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1230" yWindow="240" windowWidth="22245" windowHeight="10590" activeTab="7"/>
  </bookViews>
  <sheets>
    <sheet name="Schedules==&gt;" sheetId="16" r:id="rId1"/>
    <sheet name="Sch M-2.1" sheetId="56" state="hidden" r:id="rId2"/>
    <sheet name="Sch M-2.2-pg 1" sheetId="18" state="hidden" r:id="rId3"/>
    <sheet name="Conroy Exhibit P2" sheetId="43" state="hidden" r:id="rId4"/>
    <sheet name="Yr End Cust Adj" sheetId="17" state="hidden" r:id="rId5"/>
    <sheet name="Rate Switch" sheetId="54" state="hidden" r:id="rId6"/>
    <sheet name="Sch M-2.3 pg 1-2" sheetId="52" state="hidden" r:id="rId7"/>
    <sheet name="Settlement Exhibit 1 pg 1" sheetId="79" r:id="rId8"/>
    <sheet name="Settlement Exhibit 1 pgs 2-14" sheetId="53" r:id="rId9"/>
    <sheet name="Settlement Exhibit 1 pgs 15-20" sheetId="62" r:id="rId10"/>
    <sheet name="Analyses ==&gt;" sheetId="73" r:id="rId11"/>
    <sheet name="Rate Summary" sheetId="66" r:id="rId12"/>
    <sheet name="ECR Roll In==&gt;" sheetId="67" state="hidden" r:id="rId13"/>
    <sheet name="Summary" sheetId="68" state="hidden" r:id="rId14"/>
    <sheet name="Group1" sheetId="69" state="hidden" r:id="rId15"/>
    <sheet name="Group2" sheetId="70" state="hidden" r:id="rId16"/>
    <sheet name="ECR Rollin" sheetId="57" state="hidden" r:id="rId17"/>
    <sheet name="StLtTYRevenueNetOfBaseECR" sheetId="48" state="hidden" r:id="rId18"/>
    <sheet name="Data==&gt;" sheetId="15" r:id="rId19"/>
    <sheet name="12MonResults" sheetId="4" r:id="rId20"/>
    <sheet name="12MonLights" sheetId="29" r:id="rId21"/>
    <sheet name="Sources ==&gt;" sheetId="20" r:id="rId22"/>
    <sheet name="Rates" sheetId="2" r:id="rId23"/>
    <sheet name="Rates-Lights" sheetId="30" r:id="rId24"/>
    <sheet name="1022" sheetId="1" r:id="rId25"/>
    <sheet name="1055" sheetId="7" r:id="rId26"/>
    <sheet name="SBR" sheetId="23" r:id="rId27"/>
    <sheet name="GranVille" sheetId="28" r:id="rId28"/>
    <sheet name="MiscData" sheetId="3" r:id="rId29"/>
    <sheet name="ECR in Base Rates" sheetId="55" r:id="rId30"/>
    <sheet name="Power Factor" sheetId="74" r:id="rId31"/>
    <sheet name="LEV" sheetId="75" r:id="rId32"/>
    <sheet name="Standby Rate" sheetId="76" r:id="rId33"/>
    <sheet name="Lighting" sheetId="77" r:id="rId34"/>
    <sheet name="CSR" sheetId="78" r:id="rId35"/>
  </sheets>
  <externalReferences>
    <externalReference r:id="rId36"/>
    <externalReference r:id="rId37"/>
  </externalReferences>
  <definedNames>
    <definedName name="\\" localSheetId="31" hidden="1">#REF!</definedName>
    <definedName name="\\" localSheetId="7" hidden="1">#REF!</definedName>
    <definedName name="\\" hidden="1">#REF!</definedName>
    <definedName name="\\\" localSheetId="31" hidden="1">#REF!</definedName>
    <definedName name="\\\" localSheetId="7" hidden="1">#REF!</definedName>
    <definedName name="\\\" hidden="1">#REF!</definedName>
    <definedName name="\\\\" localSheetId="31" hidden="1">#REF!</definedName>
    <definedName name="\\\\" localSheetId="7" hidden="1">#REF!</definedName>
    <definedName name="\\\\" hidden="1">#REF!</definedName>
    <definedName name="__123Graph_A" localSheetId="31" hidden="1">#REF!</definedName>
    <definedName name="__123Graph_A" localSheetId="7" hidden="1">#REF!</definedName>
    <definedName name="__123Graph_A" hidden="1">#REF!</definedName>
    <definedName name="__123Graph_B" localSheetId="31" hidden="1">#REF!</definedName>
    <definedName name="__123Graph_B" localSheetId="7" hidden="1">#REF!</definedName>
    <definedName name="__123Graph_B" hidden="1">#REF!</definedName>
    <definedName name="__123Graph_C" localSheetId="31" hidden="1">#REF!</definedName>
    <definedName name="__123Graph_C" localSheetId="7" hidden="1">#REF!</definedName>
    <definedName name="__123Graph_C" hidden="1">#REF!</definedName>
    <definedName name="__123Graph_D" localSheetId="31" hidden="1">#REF!</definedName>
    <definedName name="__123Graph_D" localSheetId="7" hidden="1">#REF!</definedName>
    <definedName name="__123Graph_D" hidden="1">#REF!</definedName>
    <definedName name="__123Graph_E" localSheetId="31" hidden="1">#REF!</definedName>
    <definedName name="__123Graph_E" localSheetId="7" hidden="1">#REF!</definedName>
    <definedName name="__123Graph_E" hidden="1">#REF!</definedName>
    <definedName name="__123Graph_F" localSheetId="31" hidden="1">#REF!</definedName>
    <definedName name="__123Graph_F" localSheetId="7" hidden="1">#REF!</definedName>
    <definedName name="__123Graph_F" hidden="1">#REF!</definedName>
    <definedName name="__123Graph_X" localSheetId="31" hidden="1">#REF!</definedName>
    <definedName name="__123Graph_X" localSheetId="7" hidden="1">#REF!</definedName>
    <definedName name="__123Graph_X" hidden="1">#REF!</definedName>
    <definedName name="_1022_Count">'1022'!$D$3:$D$491</definedName>
    <definedName name="_1022_Demand_Base">'1022'!$I$3:$I$491</definedName>
    <definedName name="_1022_Demand_Intermediate">'1022'!$J$3:$J$491</definedName>
    <definedName name="_1022_Demand_Peak">'1022'!$K$3:$K$491</definedName>
    <definedName name="_1022_KWH">'1022'!$H$3:$H$491</definedName>
    <definedName name="_1022_KWH_P1">'1022'!$E$3:$E$491</definedName>
    <definedName name="_1022_KWH_P2">'1022'!$F$3:$F$491</definedName>
    <definedName name="_1022_KWH_P3">'1022'!$G$3:$G$491</definedName>
    <definedName name="_1022_Measured_KVA_Base">'1022'!$O$3:$O$491</definedName>
    <definedName name="_1022_Measured_KVA_Inter">'1022'!$P$3:$P$491</definedName>
    <definedName name="_1022_Measured_KVA_Peak">'1022'!$Q$3:$Q$491</definedName>
    <definedName name="_1022_Measured_KW">'1022'!$R$3:$R$491</definedName>
    <definedName name="_1022_PF_Qty">'1022'!$N$3:$N$491</definedName>
    <definedName name="_1022_Power_Factor_Revenue">'1022'!$S$3:$S$491</definedName>
    <definedName name="_1022_RateCategory">'1022'!$C$3:$C$491</definedName>
    <definedName name="_1022_RevenueMonth">'1022'!$B$3:$B$491</definedName>
    <definedName name="_1055_Light_Count">'1055'!$E$3:$E$1475</definedName>
    <definedName name="_1055_RateCategory">'1055'!$C$3:$C$1475</definedName>
    <definedName name="_1055_RevMonth">'1055'!$A$3:$A$1475</definedName>
    <definedName name="_12MonLights_Base_Fuel_Revenue">'12MonLights'!$Y$2:$Y$1069</definedName>
    <definedName name="_12MonLights_Count">'12MonLights'!$E$2:$E$1069</definedName>
    <definedName name="_12MonLights_Count_Adj">'12MonLights'!$F$2:$F$1069</definedName>
    <definedName name="_12MonLights_ECR">'12MonLights'!$S$2:$S$1069</definedName>
    <definedName name="_12MonLights_FAC">'12MonLights'!$Q$2:$Q$1069</definedName>
    <definedName name="_12MonLights_KWH">'12MonLights'!$G$2:$G$1069</definedName>
    <definedName name="_12MonLights_KWH_OutOfPeriod">'12MonLights'!$H$2:$H$1069</definedName>
    <definedName name="_12MonLights_Non_Fuel_Revenue">'12MonLights'!$Z$2:$Z$1069</definedName>
    <definedName name="_12MonLights_RateCategory">'12MonLights'!$D$2:$D$1069</definedName>
    <definedName name="_12MonLights_RateClass">'12MonLights'!$C$2:$C$1069</definedName>
    <definedName name="_12MonLights_Revenue">'12MonLights'!$K$2:$K$1069</definedName>
    <definedName name="_12MonLights_Revenue_Actual">'12MonLights'!$O$2:$O$1069</definedName>
    <definedName name="_12MonLights_Revenue_Adj">'12MonLights'!$L$2:$L$1069</definedName>
    <definedName name="_12MonLights_Revenue_BaseECR">'12MonLights'!$AB$2:$AB$1069</definedName>
    <definedName name="_12MonLights_Revenue_BaseFuel">'12MonLights'!$Y$22:$Y$1023</definedName>
    <definedName name="_12MonLights_Revenue_Calculated">'12MonLights'!$N$2:$N$1069</definedName>
    <definedName name="_12MonLights_Revenue_FAC">'12MonLights'!$Q$2:$Q$1069</definedName>
    <definedName name="_12MonLights_Revenue_OutOfPeriod">'12MonLights'!$M$2:$M$1069</definedName>
    <definedName name="_12MonLights_RevMonth">'12MonLights'!$B$2:$B$1069</definedName>
    <definedName name="_12MonLights_TariffRateCategory">'12MonLights'!$AE$2:$AE$1069</definedName>
    <definedName name="_12MonLights_TotalRevenue">'12MonLights'!$U$2:$U$1069</definedName>
    <definedName name="_12MonResults_CustomerCount">'12MonResults'!$F$4:$F$471</definedName>
    <definedName name="_12MonResults_Demand_Billed_kW_B">'12MonResults'!$N$4:$N$471</definedName>
    <definedName name="_12MonResults_Demand_Billed_kW_I">'12MonResults'!$O$4:$O$471</definedName>
    <definedName name="_12MonResults_Demand_Billed_KW_P">'12MonResults'!$P$4:$P$471</definedName>
    <definedName name="_12MonResults_Demand_Measured_kW_B">'12MonResults'!$K$4:$K$471</definedName>
    <definedName name="_12MonResults_Demand_Measured_kW_I">'12MonResults'!$L$4:$L$471</definedName>
    <definedName name="_12MonResults_Demand_Measured_kW_P">'12MonResults'!$M$4:$M$471</definedName>
    <definedName name="_12MonResults_KWH_P1">'12MonResults'!$G$4:$G$471</definedName>
    <definedName name="_12MonResults_KWH_P2">'12MonResults'!$H$4:$H$471</definedName>
    <definedName name="_12MonResults_KWH_P3">'12MonResults'!$I$4:$I$471</definedName>
    <definedName name="_12MonResults_KWH_Total">'12MonResults'!$J$4:$J$471</definedName>
    <definedName name="_12MonResults_Rate">'12MonResults'!$C$4:$C$471</definedName>
    <definedName name="_12MonResults_RateCategory">'12MonResults'!$E$4:$E$471</definedName>
    <definedName name="_12MonResults_RateClass">'12MonResults'!$D$4:$D$471</definedName>
    <definedName name="_12MonResults_Revenue_Actual">'12MonResults'!$AF$4:$AF$471</definedName>
    <definedName name="_12MonResults_Revenue_BaseFuel">'12MonResults'!$AP$4:$AP$471</definedName>
    <definedName name="_12MonResults_Revenue_Calc_BSC">'12MonResults'!$Y$4:$Y$471</definedName>
    <definedName name="_12MonResults_Revenue_Calc_Energy">'12MonResults'!$Z$4:$Z$471</definedName>
    <definedName name="_12MonResults_Revenue_Calculated">'12MonResults'!$AE$4:$AE$471</definedName>
    <definedName name="_12MonResults_Revenue_CSR">'12MonResults'!$AL$4:$AL$471</definedName>
    <definedName name="_12MonResults_Revenue_Demand">'12MonResults'!$AD$4:$AD$471</definedName>
    <definedName name="_12MonResults_Revenue_Demand_B">'12MonResults'!$AA$4:$AA$471</definedName>
    <definedName name="_12MonResults_Revenue_Demand_I">'12MonResults'!$AB$4:$AB$471</definedName>
    <definedName name="_12MonResults_Revenue_Demand_P">'12MonResults'!$AC$4:$AC$471</definedName>
    <definedName name="_12MonResults_Revenue_DSM">'12MonResults'!$AI$4:$AI$471</definedName>
    <definedName name="_12MonResults_Revenue_ECR">'12MonResults'!$AJ$4:$AJ$471</definedName>
    <definedName name="_12MonResults_Revenue_FAC">'12MonResults'!$AH$4:$AH$471</definedName>
    <definedName name="_12MonResults_Revenue_MSR">'12MonResults'!$AK$4:$AK$471</definedName>
    <definedName name="_12MonResults_Revenue_Total">'12MonResults'!$AM$4:$AM$471</definedName>
    <definedName name="_12MonResults_RevMonth">'12MonResults'!$B$4:$B$471</definedName>
    <definedName name="_12MonResults_TariffRateClass">'12MonResults'!$AX$4:$AX$471</definedName>
    <definedName name="_12MonResults_TarrifRateCategory">'12MonResults'!$AW$4:$AW$471</definedName>
    <definedName name="_Fill" localSheetId="31" hidden="1">#REF!</definedName>
    <definedName name="_Fill" localSheetId="7" hidden="1">#REF!</definedName>
    <definedName name="_Fill" hidden="1">#REF!</definedName>
    <definedName name="_xlnm._FilterDatabase" localSheetId="24" hidden="1">'1022'!$A$1:$C$866</definedName>
    <definedName name="_xlnm._FilterDatabase" localSheetId="25" hidden="1">'1055'!$K$90:$K$172</definedName>
    <definedName name="_xlnm._FilterDatabase" localSheetId="20" hidden="1">'12MonLights'!$A$1:$AM$1069</definedName>
    <definedName name="_xlnm._FilterDatabase" localSheetId="19" hidden="1">'12MonResults'!$A$3:$AQ$471</definedName>
    <definedName name="_xlnm._FilterDatabase" localSheetId="27" hidden="1">GranVille!$B$40:$B$113</definedName>
    <definedName name="_xlnm._FilterDatabase" localSheetId="14" hidden="1">Group1!$B$17:$B$150</definedName>
    <definedName name="_xlnm._FilterDatabase" localSheetId="5" hidden="1">'Rate Switch'!$B$5:$B$124</definedName>
    <definedName name="_xlnm._FilterDatabase" localSheetId="22" hidden="1">Rates!$A$2:$W$173</definedName>
    <definedName name="_xlnm._FilterDatabase" localSheetId="23" hidden="1">'Rates-Lights'!$A$2:$J$660</definedName>
    <definedName name="_xlnm._FilterDatabase" localSheetId="26" hidden="1">SBR!$A$2:$X$1875</definedName>
    <definedName name="_xlnm._FilterDatabase" localSheetId="9" hidden="1">'Settlement Exhibit 1 pgs 15-20'!$E$9:$E$206</definedName>
    <definedName name="_xlnm._FilterDatabase" localSheetId="17" hidden="1">StLtTYRevenueNetOfBaseECR!$AE$18:$AE$160</definedName>
    <definedName name="_Lights_Rates">'Rates-Lights'!$E$4:$E$660</definedName>
    <definedName name="_Lights_Tariff_Category">'Rates-Lights'!$D$4:$D$660</definedName>
    <definedName name="_Order1" hidden="1">0</definedName>
    <definedName name="_Order2" hidden="1">0</definedName>
    <definedName name="_Rates_Balance_Energy">Rates!$L$4:$L$212</definedName>
    <definedName name="_Rates_BasicServiceCharge">Rates!$F$4:$F$212</definedName>
    <definedName name="_Rates_Demand_Base">Rates!$O$4:$O$212</definedName>
    <definedName name="_Rates_Demand_Intermediate">Rates!$P$4:$P$212</definedName>
    <definedName name="_Rates_Demand_Peak">Rates!$Q$4:$Q$212</definedName>
    <definedName name="_Rates_ECR_Demand">Rates!$S$4:$S$212</definedName>
    <definedName name="_Rates_ECR_Energy">Rates!$J$4:$J$212</definedName>
    <definedName name="_Rates_Energy">Rates!$G$4:$G$212</definedName>
    <definedName name="_Rates_Energy_P2">Rates!$H$4:$H$212</definedName>
    <definedName name="_Rates_Energy_P3">Rates!$I$4:$I$212</definedName>
    <definedName name="_Rates_FAC_Energy">Rates!$K$4:$K$212</definedName>
    <definedName name="_Rates_Lights_BaseFAC">'Rates-Lights'!$H$4:$H$660</definedName>
    <definedName name="_Rates_Lights_ECR">'Rates-Lights'!$G$4:$G$660</definedName>
    <definedName name="_Rates_Rate">Rates!$B$4:$B$212</definedName>
    <definedName name="_Rates_Tariff_Category">Rates!$E$4:$E$212</definedName>
    <definedName name="_SBR_BSC_Revenue">SBR!$F$3:$F$1719</definedName>
    <definedName name="_SBR_CSR">SBR!$P$3:$P$1719</definedName>
    <definedName name="_SBR_Demand_Revenue">SBR!$T$3:$T$1719</definedName>
    <definedName name="_SBR_DSM">SBR!$L$3:$L$1719</definedName>
    <definedName name="_SBR_ECR">SBR!$U$3:$U$1719</definedName>
    <definedName name="_SBR_Energy_Revenue">SBR!$S$3:$S$1719</definedName>
    <definedName name="_SBR_FAC">SBR!$M$3:$M$1719</definedName>
    <definedName name="_SBR_KWH">SBR!$E$3:$E$1719</definedName>
    <definedName name="_SBR_MSR">SBR!$Q$3:$Q$1719</definedName>
    <definedName name="_SBR_Rate_Category">SBR!$B$3:$B$1719</definedName>
    <definedName name="_SBR_RateClass">SBR!$D$3:$D$1719</definedName>
    <definedName name="_SBR_Revenue_Actual">SBR!$R$3:$R$1719</definedName>
    <definedName name="_SBR_Revenue_Month">SBR!$A$3:$A$1719</definedName>
    <definedName name="L_1022_Count">'[1]1022'!$D$3:$D$404</definedName>
    <definedName name="L_1022_Demand_Base_Measured">'[1]1022'!$O$3:$O$404</definedName>
    <definedName name="L_1022_Demand_Inter_Measured">'[1]1022'!$P$3:$P$404</definedName>
    <definedName name="L_1022_Demand_Peak_Measured">'[1]1022'!$Q$3:$Q$404</definedName>
    <definedName name="L_1022_KWH_P1">'[1]1022'!$E$3:$E$404</definedName>
    <definedName name="L_1022_KWH_P2">'[1]1022'!$F$3:$F$404</definedName>
    <definedName name="L_1022_KWH_P3">'[1]1022'!$G$3:$G$404</definedName>
    <definedName name="L_1022_KWH_Total">'[1]1022'!$H$3:$H$404</definedName>
    <definedName name="L_1022_Rate_Category">'[1]1022'!$C$3:$C$404</definedName>
    <definedName name="L_1022_Revenue_Month">'[1]1022'!$B$3:$B$404</definedName>
    <definedName name="L_1022_Revenue_Power_Factor">'[1]1022'!$S$3:$S$404</definedName>
    <definedName name="L_1051_Count_Total">'[1]1051'!$J$3:$J$306</definedName>
    <definedName name="L_1051_Light_Category">'[1]1051'!$B$3:$B$306</definedName>
    <definedName name="L_1051_RateCategory">'[1]1051'!$C$3:$C$306</definedName>
    <definedName name="L_1051_Revenue_Month">'[1]1051'!$A$3:$A$306</definedName>
    <definedName name="L_1051_Revenue_Total">'[1]1051'!$I$3:$I$306</definedName>
    <definedName name="L_1055_Count_Total">'[1]1055'!$C$3:$C$858</definedName>
    <definedName name="L_1055_RateCategory">'[1]1055'!$B$3:$B$858</definedName>
    <definedName name="L_1055_Revenue_Month">'[1]1055'!$A$3:$A$858</definedName>
    <definedName name="L_12MonLights_Count_OutOfPeriod" localSheetId="7">'[2]12MonLights'!#REF!</definedName>
    <definedName name="L_12MonLights_Count_OutOfPeriod">'[2]12MonLights'!#REF!</definedName>
    <definedName name="L_12MonLights_Count_Total">'[1]12MonLights'!$E$4:$E$879</definedName>
    <definedName name="L_12MonLights_ECR">'[1]12MonLights'!$N$4:$N$879</definedName>
    <definedName name="L_12MonLights_FAC">'[1]12MonLights'!$M$4:$M$879</definedName>
    <definedName name="L_12MonLights_KWH_OutOfPeriod" localSheetId="7">'[2]12MonLights'!#REF!</definedName>
    <definedName name="L_12MonLights_KWH_OutOfPeriod">'[2]12MonLights'!#REF!</definedName>
    <definedName name="L_12MonLights_KWH_Total">'[1]12MonLights'!$F$4:$F$879</definedName>
    <definedName name="L_12MonLights_MSC">'[1]12MonLights'!$O$4:$O$879</definedName>
    <definedName name="L_12MonLights_RateClass">'[1]12MonLights'!$C$4:$C$879</definedName>
    <definedName name="L_12MonLights_Revenue_Adj" localSheetId="7">'[2]12MonPoles'!#REF!</definedName>
    <definedName name="L_12MonLights_Revenue_Adj">'[2]12MonPoles'!#REF!</definedName>
    <definedName name="L_12MonLights_Revenue_Adj_Test_Period" localSheetId="7">'[2]12MonLights'!#REF!</definedName>
    <definedName name="L_12MonLights_Revenue_Adj_Test_Period">'[2]12MonLights'!#REF!</definedName>
    <definedName name="L_12MonLights_Revenue_Month">'[2]12MonLights'!$B$4:$B$879</definedName>
    <definedName name="L_12MonLights_Revenue_OutOfPeriod" localSheetId="7">'[2]12MonLights'!#REF!</definedName>
    <definedName name="L_12MonLights_Revenue_OutOfPeriod">'[2]12MonLights'!#REF!</definedName>
    <definedName name="L_12MonLights_Revenue_Total_Calc">'[1]12MonLights'!$J$4:$J$879</definedName>
    <definedName name="L_12MonLights_SBR">'[1]12MonLights'!$P$4:$P$879</definedName>
    <definedName name="L_12MonLightsTariffRateCategory">'[1]12MonLights'!$Z$4:$Z$879</definedName>
    <definedName name="L_12MonPoles_Count">'[1]12MonPoles'!$E$2:$E$289</definedName>
    <definedName name="L_12MonPoles_Count_Adj" localSheetId="7">'[2]12MonPoles'!#REF!</definedName>
    <definedName name="L_12MonPoles_Count_Adj">'[2]12MonPoles'!#REF!</definedName>
    <definedName name="L_12MonPoles_RateCategory">'[1]12MonPoles'!$D$2:$D$289</definedName>
    <definedName name="L_12MonPoles_RateClass">'[1]12MonPoles'!$C$2:$C$289</definedName>
    <definedName name="L_12MonPoles_Revenue_Actual">'[1]12MonPoles'!$I$2:$I$289</definedName>
    <definedName name="L_12MonPoles_Revenue_Adj" localSheetId="7">'[2]12MonPoles'!#REF!</definedName>
    <definedName name="L_12MonPoles_Revenue_Adj">'[2]12MonPoles'!#REF!</definedName>
    <definedName name="L_12MonPoles_Revenue_Base">'[1]12MonPoles'!$G$2:$G$289</definedName>
    <definedName name="L_12MonPoles_Revenue_Out_Of_Period" localSheetId="7">'[2]12MonPoles'!#REF!</definedName>
    <definedName name="L_12MonPoles_Revenue_Out_Of_Period">'[2]12MonPoles'!#REF!</definedName>
    <definedName name="L_12MonPoles_Revenue_Total_Calc">'[1]12MonPoles'!$H$2:$H$289</definedName>
    <definedName name="L_12MonResults_Contract_Cnt">'[1]12MonResults'!$E$4:$E$459</definedName>
    <definedName name="L_12MonResults_Contract_Cnt_Adj">'[1]12MonResults'!$F$4:$F$459</definedName>
    <definedName name="L_12MonResults_Demand_Measured_Base">'[1]12MonResults'!$K$4:$K$459</definedName>
    <definedName name="L_12MonResults_Demand_Measured_Inter">'[1]12MonResults'!$L$4:$L$459</definedName>
    <definedName name="L_12MonResults_Demand_Measured_Peak">'[1]12MonResults'!$M$4:$M$459</definedName>
    <definedName name="L_12MonResults_Demand_Minimum_Base" localSheetId="7">'[2]12MonResults'!#REF!</definedName>
    <definedName name="L_12MonResults_Demand_Minimum_Base">'[2]12MonResults'!#REF!</definedName>
    <definedName name="L_12MonResults_Demand_Minimum_Inter" localSheetId="7">'[2]12MonResults'!#REF!</definedName>
    <definedName name="L_12MonResults_Demand_Minimum_Inter">'[2]12MonResults'!#REF!</definedName>
    <definedName name="L_12MonResults_Demand_Minimum_Peak" localSheetId="7">'[2]12MonResults'!#REF!</definedName>
    <definedName name="L_12MonResults_Demand_Minimum_Peak">'[2]12MonResults'!#REF!</definedName>
    <definedName name="L_12MonResults_Demand_OutOfPeriod_Base" localSheetId="7">'[2]12MonResults'!#REF!</definedName>
    <definedName name="L_12MonResults_Demand_OutOfPeriod_Base">'[2]12MonResults'!#REF!</definedName>
    <definedName name="L_12MonResults_Demand_OutOfPeriod_Inter" localSheetId="7">'[2]12MonResults'!#REF!</definedName>
    <definedName name="L_12MonResults_Demand_OutOfPeriod_Inter">'[2]12MonResults'!#REF!</definedName>
    <definedName name="L_12MonResults_Demand_OutOfPeriod_Peak" localSheetId="7">'[2]12MonResults'!#REF!</definedName>
    <definedName name="L_12MonResults_Demand_OutOfPeriod_Peak">'[2]12MonResults'!#REF!</definedName>
    <definedName name="L_12MonResults_KWH_OutOfPeriod" localSheetId="7">'[2]12MonResults'!#REF!</definedName>
    <definedName name="L_12MonResults_KWH_OutOfPeriod">'[2]12MonResults'!#REF!</definedName>
    <definedName name="L_12MonResults_KWH_P1">'[1]12MonResults'!$G$4:$G$459</definedName>
    <definedName name="L_12MonResults_KWH_P2">'[1]12MonResults'!$H$4:$H$459</definedName>
    <definedName name="L_12MonResults_KWH_P3">'[1]12MonResults'!$I$4:$I$459</definedName>
    <definedName name="L_12MonResults_KWH_Total">'[1]12MonResults'!$J$4:$J$459</definedName>
    <definedName name="L_12MonResults_RateCategory">'[1]12MonResults'!$D$4:$D$459</definedName>
    <definedName name="L_12MonResults_RateClass">'[1]12MonResults'!$C$4:$C$459</definedName>
    <definedName name="L_12MonResults_Revenue_Actual_Base">'[1]12MonResults'!$AE$4:$AE$459</definedName>
    <definedName name="L_12MonResults_Revenue_Base_Calculated">'[1]12MonResults'!$AD$4:$AD$459</definedName>
    <definedName name="L_12MonResults_Revenue_CSR">'[1]12MonResults'!$AK$4:$AK$459</definedName>
    <definedName name="L_12MonResults_Revenue_Customer_Adj" localSheetId="7">'[2]12MonResults'!#REF!</definedName>
    <definedName name="L_12MonResults_Revenue_Customer_Adj">'[2]12MonResults'!#REF!</definedName>
    <definedName name="L_12MonResults_Revenue_Demand_Adj" localSheetId="7">'[2]12MonResults'!#REF!</definedName>
    <definedName name="L_12MonResults_Revenue_Demand_Adj">'[2]12MonResults'!#REF!</definedName>
    <definedName name="L_12MonResults_Revenue_Demand_Minimum" localSheetId="7">'[2]12MonResults'!#REF!</definedName>
    <definedName name="L_12MonResults_Revenue_Demand_Minimum">'[2]12MonResults'!#REF!</definedName>
    <definedName name="L_12MonResults_Revenue_DSM">'[1]12MonResults'!$AH$4:$AH$459</definedName>
    <definedName name="L_12MonResults_Revenue_ECR">'[1]12MonResults'!$AI$4:$AI$459</definedName>
    <definedName name="L_12MonResults_Revenue_Energy_Adj" localSheetId="7">'[2]12MonResults'!#REF!</definedName>
    <definedName name="L_12MonResults_Revenue_Energy_Adj">'[2]12MonResults'!#REF!</definedName>
    <definedName name="L_12MonResults_Revenue_FAC">'[1]12MonResults'!$AG$4:$AG$459</definedName>
    <definedName name="L_12MonResults_Revenue_Month">'[1]12MonResults'!$B$4:$B$459</definedName>
    <definedName name="L_12MonResults_Revenue_MSC">'[1]12MonResults'!$AJ$4:$AJ$459</definedName>
    <definedName name="L_12MonResults_Revenue_OutOfPerid_Customer" localSheetId="7">'[2]12MonResults'!#REF!</definedName>
    <definedName name="L_12MonResults_Revenue_OutOfPerid_Customer">'[2]12MonResults'!#REF!</definedName>
    <definedName name="L_12MonResults_Revenue_OutOfPerid_Energy" localSheetId="7">'[2]12MonResults'!#REF!</definedName>
    <definedName name="L_12MonResults_Revenue_OutOfPerid_Energy">'[2]12MonResults'!#REF!</definedName>
    <definedName name="L_12MonResults_Revenue_OutOfPeriod_Demand" localSheetId="7">'[2]12MonResults'!#REF!</definedName>
    <definedName name="L_12MonResults_Revenue_OutOfPeriod_Demand">'[2]12MonResults'!#REF!</definedName>
    <definedName name="L_12MonResults_Revenue_PwrFctr">'[1]12MonResults'!$AB$4:$AB$459</definedName>
    <definedName name="L_12MonResults_Revenue_Red_Cap">'[1]12MonResults'!$AA$4:$AA$459</definedName>
    <definedName name="L_12MonResults_Revenue_Total">'[1]12MonResults'!$AL$4:$AL$459</definedName>
    <definedName name="L_12MonthLights_3_Digit_Code">'[1]12MonLights'!$AB$4:$AB$879</definedName>
    <definedName name="L_LightingRates_ECR_Rate">[2]LightingRates!$G$4:$G$1446</definedName>
    <definedName name="L_LightingRates_FAC_Rate">[1]LightingRates!$H$4:$H$1446</definedName>
    <definedName name="L_LightingRates_Tariff_Rate_Category">[1]LightingRates!$E$4:$E$1446</definedName>
    <definedName name="L_LightingRates_UnitCharge">[1]LightingRates!$F$4:$F$1446</definedName>
    <definedName name="L_Rates_BSC">[1]Rates!$F$4:$F$278</definedName>
    <definedName name="L_Rates_Demand_Base">[1]Rates!$Q$4:$Q$278</definedName>
    <definedName name="L_Rates_Demand_Intermediate">[1]Rates!$R$4:$R$278</definedName>
    <definedName name="L_Rates_Demand_Peak">[1]Rates!$S$4:$S$278</definedName>
    <definedName name="L_Rates_Energy">[1]Rates!$G$4:$G$278</definedName>
    <definedName name="L_Rates_Energy_Base_Fuel">[1]Rates!$L$4:$L$278</definedName>
    <definedName name="L_Rates_Energy_P2">[1]Rates!$H$4:$H$278</definedName>
    <definedName name="L_Rates_Energy_P3">[1]Rates!$I$4:$I$278</definedName>
    <definedName name="L_Rates_Tariff_Rate_Category">[1]Rates!$E$4:$E$278</definedName>
    <definedName name="L_SBR_BSC_Revenue">[2]SBR!$F$2:$F$1407</definedName>
    <definedName name="L_SBR_CSR">[1]SBR!$P$2:$P$1407</definedName>
    <definedName name="L_SBR_Demand_Revenue">[1]SBR!$T$2:$T$1407</definedName>
    <definedName name="L_SBR_DSM">[1]SBR!$L$2:$L$1407</definedName>
    <definedName name="L_SBR_ECR">[1]SBR!$U$2:$U$1407</definedName>
    <definedName name="L_SBR_Energy_Revenue">[2]SBR!$S$2:$S$1407</definedName>
    <definedName name="L_SBR_FAC">[1]SBR!$M$2:$M$1407</definedName>
    <definedName name="L_SBR_KWH">[1]SBR!$E$2:$E$1407</definedName>
    <definedName name="L_SBR_MSR">[1]SBR!$Q$2:$Q$1407</definedName>
    <definedName name="L_SBR_Rate_Category">[1]SBR!$B$2:$B$1407</definedName>
    <definedName name="L_SBR_Revenue_Month">[1]SBR!$A$2:$A$1407</definedName>
    <definedName name="L_SBR_Revenue_Total">[1]SBR!$R$2:$R$1407</definedName>
    <definedName name="_xlnm.Print_Area" localSheetId="3">'Conroy Exhibit P2'!$C$5:$O$49,'Conroy Exhibit P2'!$C$54:$O$99,'Conroy Exhibit P2'!$C$107:$O$148</definedName>
    <definedName name="_xlnm.Print_Area" localSheetId="14">Group1!$C$4:$U$174</definedName>
    <definedName name="_xlnm.Print_Area" localSheetId="15">Group2!$C$4:$U$38</definedName>
    <definedName name="_xlnm.Print_Area" localSheetId="30">'Power Factor'!$A$58:$K$100</definedName>
    <definedName name="_xlnm.Print_Area" localSheetId="5">'Rate Switch'!$A$135:$P$235</definedName>
    <definedName name="_xlnm.Print_Area" localSheetId="1">'Sch M-2.1'!$A$1:$F$32</definedName>
    <definedName name="_xlnm.Print_Area" localSheetId="2">'Sch M-2.2-pg 1'!$A$1:$K$41</definedName>
    <definedName name="_xlnm.Print_Area" localSheetId="6">'Sch M-2.3 pg 1-2'!$A$1:$X$54</definedName>
    <definedName name="_xlnm.Print_Area" localSheetId="7">'Settlement Exhibit 1 pg 1'!$A$1:$F$56</definedName>
    <definedName name="_xlnm.Print_Area" localSheetId="9">'Settlement Exhibit 1 pgs 15-20'!$A$1:$J$207</definedName>
    <definedName name="_xlnm.Print_Area" localSheetId="8">'Settlement Exhibit 1 pgs 2-14'!$A$1:$J$481</definedName>
    <definedName name="_xlnm.Print_Area" localSheetId="13">Summary!$A$1:$F$36</definedName>
    <definedName name="_xlnm.Print_Area" localSheetId="4">'Yr End Cust Adj'!$A$73:$K$308</definedName>
    <definedName name="_xlnm.Print_Titles" localSheetId="3">'Conroy Exhibit P2'!$A:$A,'Conroy Exhibit P2'!$1:$3</definedName>
    <definedName name="_xlnm.Print_Titles" localSheetId="14">Group1!$B:$B,Group1!$1:$3</definedName>
    <definedName name="_xlnm.Print_Titles" localSheetId="15">Group2!$B:$B,Group2!$1:$3</definedName>
    <definedName name="_xlnm.Print_Titles" localSheetId="2">'Sch M-2.2-pg 1'!$A:$A,'Sch M-2.2-pg 1'!$1:$7</definedName>
    <definedName name="_xlnm.Print_Titles" localSheetId="6">'Sch M-2.3 pg 1-2'!$A:$A</definedName>
    <definedName name="_xlnm.Print_Titles" localSheetId="7">'Settlement Exhibit 1 pg 1'!$A:$A</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hidden="1">{"Wkp ComEquity",#N/A,FALSE,"Cap Struct WPs"}</definedName>
    <definedName name="wrn.Wkp._.JDITC." hidden="1">{"Wkp JDITC",#N/A,FALSE,"Cap Struct WPs"}</definedName>
    <definedName name="wrn.Wkp._.LTerm._.Debt." hidden="1">{"Wkp LTerm Debt",#N/A,FALSE,"Cap Struct WPs"}</definedName>
    <definedName name="wrn.Wkp._.LTerm._.Debt._.13Mo._.Avg." hidden="1">{"Wkp LTerm Debt 13MoAvg",#N/A,FALSE,"Cap Struct WPs"}</definedName>
    <definedName name="wrn.Wkp._.LTerm._.Debt._.Amort." hidden="1">{"Wkp Lterm Debt Amort",#N/A,FALSE,"Cap Struct WPs"}</definedName>
    <definedName name="wrn.Wkp._.LTerm._.Debt._.Int." hidden="1">{"Wkp LTerm Debt Int",#N/A,FALSE,"Cap Struct WPs"}</definedName>
    <definedName name="wrn.Wkp._.PreStock." hidden="1">{"Wkp PreStock",#N/A,FALSE,"Cap Struct WPs"}</definedName>
    <definedName name="wrn.Wkp._.PreStock._.13MoAvg." hidden="1">{"Wkp PreStock 13MoAvg",#N/A,FALSE,"Cap Struct WPs"}</definedName>
    <definedName name="wrn.Wkp._.PreStock._.Amort." hidden="1">{"Wkp PreStock Amort",#N/A,FALSE,"Cap Struct WPs"}</definedName>
    <definedName name="wrn.Wkp._.PreStock._.Dividend." hidden="1">{"Wkp PreStock Dividend",#N/A,FALSE,"Cap Struct WPs"}</definedName>
    <definedName name="wrn.Wkp._.STerm._.Debt." hidden="1">{"Wkp STerm Debt",#N/A,FALSE,"Cap Struct WPs"}</definedName>
    <definedName name="wrn.Wkp._.Unamort._.Debt._.Exp." hidden="1">{"Wkp Unamort Debt Exp",#N/A,FALSE,"Cap Struct WPs"}</definedName>
    <definedName name="wrn.Wkp._.Unamort._.PreStock._.Exp." hidden="1">{"Wkp Unamort PreStock Exp",#N/A,FALSE,"Cap Struct WPs"}</definedName>
  </definedNames>
  <calcPr calcId="152511"/>
</workbook>
</file>

<file path=xl/calcChain.xml><?xml version="1.0" encoding="utf-8"?>
<calcChain xmlns="http://schemas.openxmlformats.org/spreadsheetml/2006/main">
  <c r="I9" i="18" l="1"/>
  <c r="M41" i="18"/>
  <c r="N41" i="18" s="1"/>
  <c r="O41" i="18" s="1"/>
  <c r="P41" i="18" s="1"/>
  <c r="M39" i="18"/>
  <c r="N39" i="18" s="1"/>
  <c r="O39" i="18" s="1"/>
  <c r="P39" i="18" s="1"/>
  <c r="M38" i="18"/>
  <c r="N38" i="18" s="1"/>
  <c r="O38" i="18" s="1"/>
  <c r="P38" i="18" s="1"/>
  <c r="M31" i="18"/>
  <c r="N31" i="18" s="1"/>
  <c r="O31" i="18" s="1"/>
  <c r="P31" i="18" s="1"/>
  <c r="M29" i="18"/>
  <c r="N29" i="18" s="1"/>
  <c r="O29" i="18" s="1"/>
  <c r="P29" i="18" s="1"/>
  <c r="M27" i="18"/>
  <c r="N27" i="18" s="1"/>
  <c r="O27" i="18" s="1"/>
  <c r="P27" i="18" s="1"/>
  <c r="M26" i="18"/>
  <c r="N26" i="18" s="1"/>
  <c r="O26" i="18" s="1"/>
  <c r="P26" i="18" s="1"/>
  <c r="M25" i="18"/>
  <c r="N25" i="18" s="1"/>
  <c r="O25" i="18" s="1"/>
  <c r="P25" i="18" s="1"/>
  <c r="M23" i="18"/>
  <c r="N23" i="18" s="1"/>
  <c r="O23" i="18" s="1"/>
  <c r="P23" i="18" s="1"/>
  <c r="M22" i="18"/>
  <c r="N22" i="18" s="1"/>
  <c r="O22" i="18" s="1"/>
  <c r="P22" i="18" s="1"/>
  <c r="M21" i="18"/>
  <c r="N21" i="18" s="1"/>
  <c r="O21" i="18" s="1"/>
  <c r="P21" i="18" s="1"/>
  <c r="M19" i="18"/>
  <c r="N19" i="18" s="1"/>
  <c r="O19" i="18" s="1"/>
  <c r="P19" i="18" s="1"/>
  <c r="M15" i="18"/>
  <c r="N15" i="18" s="1"/>
  <c r="O15" i="18" s="1"/>
  <c r="P15" i="18" s="1"/>
  <c r="M10" i="18"/>
  <c r="N10" i="18" s="1"/>
  <c r="O10" i="18" s="1"/>
  <c r="P10" i="18" s="1"/>
  <c r="K206" i="62" l="1"/>
  <c r="I150" i="53"/>
  <c r="K169" i="53"/>
  <c r="I115" i="53"/>
  <c r="K133" i="53"/>
  <c r="V39" i="52" l="1"/>
  <c r="AD51" i="52" l="1"/>
  <c r="AE40" i="52"/>
  <c r="AE41" i="52"/>
  <c r="AE39" i="52"/>
  <c r="AF41" i="52" l="1"/>
  <c r="AF40" i="52"/>
  <c r="AF39" i="52"/>
  <c r="AC61" i="52" l="1"/>
  <c r="E51" i="79"/>
  <c r="E41" i="79"/>
  <c r="E40" i="79"/>
  <c r="E39" i="79"/>
  <c r="C20" i="79"/>
  <c r="C19" i="79"/>
  <c r="C18" i="79"/>
  <c r="C15" i="79"/>
  <c r="C14" i="79"/>
  <c r="C13" i="79"/>
  <c r="C52" i="79"/>
  <c r="C51" i="79"/>
  <c r="C50" i="79"/>
  <c r="C49" i="79"/>
  <c r="C41" i="79"/>
  <c r="C40" i="79"/>
  <c r="C39" i="79"/>
  <c r="C37" i="79"/>
  <c r="C25" i="79"/>
  <c r="C24" i="79"/>
  <c r="C23" i="79"/>
  <c r="AE45" i="52" l="1"/>
  <c r="AE44" i="52"/>
  <c r="AE43" i="52"/>
  <c r="AD45" i="52"/>
  <c r="AD44" i="52"/>
  <c r="AD43" i="52"/>
  <c r="AD37" i="52"/>
  <c r="AE37" i="52"/>
  <c r="AE35" i="52"/>
  <c r="AD35" i="52"/>
  <c r="AD31" i="52"/>
  <c r="AE31" i="52"/>
  <c r="AE33" i="52"/>
  <c r="AD33" i="52"/>
  <c r="AE28" i="52"/>
  <c r="AE27" i="52"/>
  <c r="AD28" i="52"/>
  <c r="AD27" i="52"/>
  <c r="AD25" i="52"/>
  <c r="AE25" i="52"/>
  <c r="AE20" i="52"/>
  <c r="AD20" i="52"/>
  <c r="AE13" i="52"/>
  <c r="AD13" i="52"/>
  <c r="AC62" i="52"/>
  <c r="AT25" i="52"/>
  <c r="AT24" i="52"/>
  <c r="AT23" i="52"/>
  <c r="AT22" i="52"/>
  <c r="AT21" i="52"/>
  <c r="AT20" i="52"/>
  <c r="AT19" i="52"/>
  <c r="AT18" i="52"/>
  <c r="AT17" i="52"/>
  <c r="AT16" i="52"/>
  <c r="AT15" i="52"/>
  <c r="AT14" i="52"/>
  <c r="AT13" i="52"/>
  <c r="X56" i="52"/>
  <c r="Z53" i="52"/>
  <c r="Z50" i="52"/>
  <c r="Z42" i="52"/>
  <c r="Z40" i="52"/>
  <c r="Z39" i="52"/>
  <c r="Z38" i="52"/>
  <c r="Z36" i="52"/>
  <c r="Z34" i="52"/>
  <c r="Z32" i="52"/>
  <c r="Z30" i="52"/>
  <c r="AM27" i="52"/>
  <c r="AL27" i="52"/>
  <c r="Z26" i="52"/>
  <c r="AV25" i="52"/>
  <c r="AV24" i="52"/>
  <c r="Z24" i="52"/>
  <c r="AV23" i="52"/>
  <c r="Z23" i="52"/>
  <c r="AV22" i="52"/>
  <c r="Z22" i="52"/>
  <c r="AV21" i="52"/>
  <c r="AV20" i="52"/>
  <c r="AV19" i="52"/>
  <c r="Z19" i="52"/>
  <c r="AV18" i="52"/>
  <c r="Z18" i="52"/>
  <c r="AV17" i="52"/>
  <c r="Z17" i="52"/>
  <c r="AV16" i="52"/>
  <c r="Z16" i="52"/>
  <c r="AV15" i="52"/>
  <c r="Z15" i="52"/>
  <c r="AV14" i="52"/>
  <c r="AV13" i="52"/>
  <c r="Z12" i="52"/>
  <c r="AC63" i="52" l="1"/>
  <c r="Y60" i="52" s="1"/>
  <c r="AD47" i="52"/>
  <c r="AD54" i="52" s="1"/>
  <c r="AE47" i="52"/>
  <c r="AT12" i="52"/>
  <c r="AV12" i="52"/>
  <c r="F195" i="62"/>
  <c r="E28" i="56" l="1"/>
  <c r="E27" i="56"/>
  <c r="E26" i="56"/>
  <c r="E25" i="56"/>
  <c r="C52" i="52"/>
  <c r="C51" i="52"/>
  <c r="C50" i="52"/>
  <c r="C49" i="52"/>
  <c r="G472" i="53" l="1"/>
  <c r="G439" i="53"/>
  <c r="H201" i="62"/>
  <c r="B158" i="62"/>
  <c r="G187" i="62" l="1"/>
  <c r="G186" i="62"/>
  <c r="G185" i="62"/>
  <c r="G184" i="62"/>
  <c r="G183" i="62"/>
  <c r="G182" i="62"/>
  <c r="G181" i="62"/>
  <c r="G180" i="62"/>
  <c r="G179" i="62"/>
  <c r="G178" i="62"/>
  <c r="F185" i="62"/>
  <c r="F182" i="62"/>
  <c r="E187" i="62"/>
  <c r="E186" i="62"/>
  <c r="E185" i="62"/>
  <c r="E184" i="62"/>
  <c r="E183" i="62"/>
  <c r="E182" i="62"/>
  <c r="E181" i="62"/>
  <c r="E180" i="62"/>
  <c r="E179" i="62"/>
  <c r="E178" i="62"/>
  <c r="J433" i="53"/>
  <c r="F17" i="66" l="1"/>
  <c r="H17" i="66"/>
  <c r="I148" i="53" l="1"/>
  <c r="H16" i="66" s="1"/>
  <c r="I385" i="53" l="1"/>
  <c r="I384" i="53"/>
  <c r="I383" i="53"/>
  <c r="I187" i="53" l="1"/>
  <c r="I188" i="53"/>
  <c r="I226" i="53"/>
  <c r="I227" i="53"/>
  <c r="I267" i="53"/>
  <c r="I266" i="53"/>
  <c r="I268" i="53"/>
  <c r="I187" i="62" l="1"/>
  <c r="I186" i="62"/>
  <c r="I185" i="62"/>
  <c r="I184" i="62"/>
  <c r="I183" i="62"/>
  <c r="I182" i="62"/>
  <c r="I181" i="62"/>
  <c r="I180" i="62"/>
  <c r="I179" i="62"/>
  <c r="I178" i="62"/>
  <c r="T15" i="52" l="1"/>
  <c r="O36" i="53" l="1"/>
  <c r="O71" i="53" s="1"/>
  <c r="O104" i="53" s="1"/>
  <c r="O138" i="53" l="1"/>
  <c r="O174" i="53" s="1"/>
  <c r="O213" i="53" s="1"/>
  <c r="O252" i="53" l="1"/>
  <c r="O292" i="53" l="1"/>
  <c r="O333" i="53" l="1"/>
  <c r="J385" i="53"/>
  <c r="J384" i="53"/>
  <c r="J383" i="53"/>
  <c r="Q366" i="1"/>
  <c r="Q324" i="1"/>
  <c r="Q285" i="1"/>
  <c r="Q245" i="1"/>
  <c r="Q204" i="1"/>
  <c r="P486" i="1"/>
  <c r="P446" i="1"/>
  <c r="P406" i="1"/>
  <c r="P163" i="1"/>
  <c r="P122" i="1"/>
  <c r="P81" i="1"/>
  <c r="P20" i="1"/>
  <c r="Q342" i="1"/>
  <c r="Q301" i="1"/>
  <c r="Q261" i="1"/>
  <c r="Q221" i="1"/>
  <c r="Q181" i="1"/>
  <c r="P16" i="1"/>
  <c r="P58" i="1"/>
  <c r="P99" i="1"/>
  <c r="P140" i="1"/>
  <c r="P462" i="1"/>
  <c r="P422" i="1"/>
  <c r="P382" i="1"/>
  <c r="J201" i="62"/>
  <c r="K45" i="52"/>
  <c r="K43" i="52"/>
  <c r="O372" i="53" l="1"/>
  <c r="H506" i="1"/>
  <c r="H505" i="1"/>
  <c r="H504" i="1"/>
  <c r="H503" i="1"/>
  <c r="H502" i="1"/>
  <c r="H501" i="1"/>
  <c r="H500" i="1"/>
  <c r="H499" i="1"/>
  <c r="H498" i="1"/>
  <c r="H497" i="1"/>
  <c r="H496" i="1"/>
  <c r="H495" i="1"/>
  <c r="O416" i="53" l="1"/>
  <c r="H424" i="1"/>
  <c r="O449" i="53" l="1"/>
  <c r="D105" i="75"/>
  <c r="D104" i="75"/>
  <c r="D103" i="75"/>
  <c r="H96" i="75"/>
  <c r="G96" i="75"/>
  <c r="F96" i="75"/>
  <c r="J14" i="78"/>
  <c r="I14" i="78"/>
  <c r="J13" i="78"/>
  <c r="I13" i="78"/>
  <c r="J12" i="78"/>
  <c r="I12" i="78"/>
  <c r="J11" i="78"/>
  <c r="I11" i="78"/>
  <c r="J10" i="78"/>
  <c r="I10" i="78"/>
  <c r="J9" i="78"/>
  <c r="I9" i="78"/>
  <c r="J8" i="78"/>
  <c r="I8" i="78"/>
  <c r="J7" i="78"/>
  <c r="I7" i="78"/>
  <c r="J6" i="78"/>
  <c r="I6" i="78"/>
  <c r="J5" i="78"/>
  <c r="I5" i="78"/>
  <c r="J4" i="78"/>
  <c r="I4" i="78"/>
  <c r="J3" i="78"/>
  <c r="I3" i="78"/>
  <c r="O3" i="62" l="1"/>
  <c r="O34" i="62" s="1"/>
  <c r="K14" i="78"/>
  <c r="K13" i="78"/>
  <c r="K12" i="78"/>
  <c r="K11" i="78"/>
  <c r="K10" i="78"/>
  <c r="K9" i="78"/>
  <c r="K8" i="78"/>
  <c r="K7" i="78"/>
  <c r="K6" i="78"/>
  <c r="K5" i="78"/>
  <c r="K4" i="78"/>
  <c r="K3" i="78"/>
  <c r="O74" i="62" l="1"/>
  <c r="F19" i="78"/>
  <c r="F28" i="78" s="1"/>
  <c r="E19" i="78"/>
  <c r="D19" i="78"/>
  <c r="C19" i="78"/>
  <c r="B19" i="78"/>
  <c r="G14" i="78"/>
  <c r="G13" i="78"/>
  <c r="G12" i="78"/>
  <c r="G11" i="78"/>
  <c r="G10" i="78"/>
  <c r="G9" i="78"/>
  <c r="G8" i="78"/>
  <c r="G7" i="78"/>
  <c r="G6" i="78"/>
  <c r="G5" i="78"/>
  <c r="G4" i="78"/>
  <c r="G3" i="78"/>
  <c r="F16" i="78"/>
  <c r="E16" i="78"/>
  <c r="D16" i="78"/>
  <c r="C16" i="78"/>
  <c r="B16" i="78"/>
  <c r="E21" i="78" l="1"/>
  <c r="B21" i="78"/>
  <c r="O94" i="62"/>
  <c r="G19" i="78"/>
  <c r="F20" i="78" s="1"/>
  <c r="G16" i="78"/>
  <c r="F17" i="78" s="1"/>
  <c r="D21" i="78" l="1"/>
  <c r="C21" i="78"/>
  <c r="O129" i="62"/>
  <c r="D20" i="78"/>
  <c r="B20" i="78"/>
  <c r="E20" i="78"/>
  <c r="C20" i="78"/>
  <c r="D17" i="78"/>
  <c r="B17" i="78"/>
  <c r="E17" i="78"/>
  <c r="C17" i="78"/>
  <c r="O165" i="62" l="1"/>
  <c r="J35" i="52"/>
  <c r="J33" i="52"/>
  <c r="P165" i="62" l="1"/>
  <c r="J165" i="62" s="1"/>
  <c r="J29" i="52"/>
  <c r="J25" i="52"/>
  <c r="J20" i="52"/>
  <c r="P333" i="53" l="1"/>
  <c r="J333" i="53" s="1"/>
  <c r="P213" i="53"/>
  <c r="J213" i="53" s="1"/>
  <c r="P138" i="53"/>
  <c r="J138" i="53" s="1"/>
  <c r="P71" i="53"/>
  <c r="J71" i="53" s="1"/>
  <c r="P252" i="53"/>
  <c r="J252" i="53" s="1"/>
  <c r="P104" i="53"/>
  <c r="J104" i="53" s="1"/>
  <c r="P129" i="62"/>
  <c r="J129" i="62" s="1"/>
  <c r="P449" i="53"/>
  <c r="J449" i="53" s="1"/>
  <c r="P2" i="53"/>
  <c r="J2" i="53" s="1"/>
  <c r="P74" i="62"/>
  <c r="J74" i="62" s="1"/>
  <c r="P94" i="62"/>
  <c r="J94" i="62" s="1"/>
  <c r="P3" i="62"/>
  <c r="J3" i="62" s="1"/>
  <c r="P372" i="53"/>
  <c r="J372" i="53" s="1"/>
  <c r="P292" i="53"/>
  <c r="J292" i="53" s="1"/>
  <c r="P34" i="62"/>
  <c r="J34" i="62" s="1"/>
  <c r="P416" i="53"/>
  <c r="J416" i="53" s="1"/>
  <c r="P174" i="53"/>
  <c r="J174" i="53" s="1"/>
  <c r="P36" i="53"/>
  <c r="J36" i="53" s="1"/>
  <c r="J47" i="52"/>
  <c r="J54" i="52" s="1"/>
  <c r="E142" i="7" l="1"/>
  <c r="E37" i="7"/>
  <c r="R490" i="1" l="1"/>
  <c r="Q490" i="1"/>
  <c r="P490" i="1"/>
  <c r="O490" i="1"/>
  <c r="N490" i="1"/>
  <c r="M490" i="1"/>
  <c r="L490" i="1"/>
  <c r="K490" i="1"/>
  <c r="J490" i="1"/>
  <c r="I490" i="1"/>
  <c r="H490" i="1"/>
  <c r="G490" i="1"/>
  <c r="F490" i="1"/>
  <c r="E490" i="1"/>
  <c r="D490" i="1"/>
  <c r="R489" i="1"/>
  <c r="Q489" i="1"/>
  <c r="P489" i="1"/>
  <c r="O489" i="1"/>
  <c r="N489" i="1"/>
  <c r="M489" i="1"/>
  <c r="L489" i="1"/>
  <c r="K489" i="1"/>
  <c r="J489" i="1"/>
  <c r="I489" i="1"/>
  <c r="H489" i="1"/>
  <c r="G489" i="1"/>
  <c r="F489" i="1"/>
  <c r="E489" i="1"/>
  <c r="D489" i="1"/>
  <c r="R488" i="1"/>
  <c r="Q488" i="1"/>
  <c r="P488" i="1"/>
  <c r="O488" i="1"/>
  <c r="N488" i="1"/>
  <c r="M488" i="1"/>
  <c r="L488" i="1"/>
  <c r="K488" i="1"/>
  <c r="J488" i="1"/>
  <c r="I488" i="1"/>
  <c r="H488" i="1"/>
  <c r="G488" i="1"/>
  <c r="F488" i="1"/>
  <c r="E488" i="1"/>
  <c r="D488" i="1"/>
  <c r="R487" i="1"/>
  <c r="Q487" i="1"/>
  <c r="P487" i="1"/>
  <c r="O487" i="1"/>
  <c r="N487" i="1"/>
  <c r="M487" i="1"/>
  <c r="L487" i="1"/>
  <c r="K487" i="1"/>
  <c r="J487" i="1"/>
  <c r="I487" i="1"/>
  <c r="H487" i="1"/>
  <c r="G487" i="1"/>
  <c r="F487" i="1"/>
  <c r="E487" i="1"/>
  <c r="D487" i="1"/>
  <c r="R486" i="1"/>
  <c r="O486" i="1" s="1"/>
  <c r="Q486" i="1"/>
  <c r="N486" i="1"/>
  <c r="M486" i="1"/>
  <c r="L486" i="1"/>
  <c r="K486" i="1"/>
  <c r="J486" i="1"/>
  <c r="I486" i="1"/>
  <c r="H486" i="1"/>
  <c r="G486" i="1"/>
  <c r="F486" i="1"/>
  <c r="E486" i="1"/>
  <c r="D486" i="1"/>
  <c r="R485" i="1"/>
  <c r="Q485" i="1"/>
  <c r="P485" i="1"/>
  <c r="O485" i="1"/>
  <c r="N485" i="1"/>
  <c r="M485" i="1"/>
  <c r="L485" i="1"/>
  <c r="K485" i="1"/>
  <c r="J485" i="1"/>
  <c r="I485" i="1"/>
  <c r="H485" i="1"/>
  <c r="G485" i="1"/>
  <c r="F485" i="1"/>
  <c r="E485" i="1"/>
  <c r="D485" i="1"/>
  <c r="R484" i="1"/>
  <c r="Q484" i="1"/>
  <c r="P484" i="1"/>
  <c r="O484" i="1"/>
  <c r="N484" i="1"/>
  <c r="M484" i="1"/>
  <c r="L484" i="1"/>
  <c r="K484" i="1"/>
  <c r="J484" i="1"/>
  <c r="I484" i="1"/>
  <c r="H484" i="1"/>
  <c r="G484" i="1"/>
  <c r="F484" i="1"/>
  <c r="E484" i="1"/>
  <c r="R483" i="1"/>
  <c r="Q483" i="1"/>
  <c r="P483" i="1"/>
  <c r="O483" i="1"/>
  <c r="N483" i="1"/>
  <c r="M483" i="1"/>
  <c r="L483" i="1"/>
  <c r="K483" i="1"/>
  <c r="J483" i="1"/>
  <c r="I483" i="1"/>
  <c r="H483" i="1"/>
  <c r="G483" i="1"/>
  <c r="F483" i="1"/>
  <c r="E483" i="1"/>
  <c r="D483" i="1"/>
  <c r="R482" i="1"/>
  <c r="Q482" i="1"/>
  <c r="P482" i="1"/>
  <c r="O482" i="1"/>
  <c r="N482" i="1"/>
  <c r="M482" i="1"/>
  <c r="L482" i="1"/>
  <c r="K482" i="1"/>
  <c r="J482" i="1"/>
  <c r="I482" i="1"/>
  <c r="H482" i="1"/>
  <c r="G482" i="1"/>
  <c r="F482" i="1"/>
  <c r="E482" i="1"/>
  <c r="D482" i="1"/>
  <c r="R481" i="1"/>
  <c r="Q481" i="1"/>
  <c r="P481" i="1"/>
  <c r="O481" i="1"/>
  <c r="N481" i="1"/>
  <c r="M481" i="1"/>
  <c r="L481" i="1"/>
  <c r="K481" i="1"/>
  <c r="J481" i="1"/>
  <c r="I481" i="1"/>
  <c r="H481" i="1"/>
  <c r="G481" i="1"/>
  <c r="F481" i="1"/>
  <c r="E481" i="1"/>
  <c r="D481" i="1"/>
  <c r="R480" i="1"/>
  <c r="Q480" i="1"/>
  <c r="P480" i="1"/>
  <c r="O480" i="1"/>
  <c r="N480" i="1"/>
  <c r="M480" i="1"/>
  <c r="L480" i="1"/>
  <c r="K480" i="1"/>
  <c r="J480" i="1"/>
  <c r="I480" i="1"/>
  <c r="H480" i="1"/>
  <c r="G480" i="1"/>
  <c r="F480" i="1"/>
  <c r="E480" i="1"/>
  <c r="D480" i="1"/>
  <c r="R479" i="1"/>
  <c r="Q479" i="1"/>
  <c r="P479" i="1"/>
  <c r="O479" i="1"/>
  <c r="N479" i="1"/>
  <c r="M479" i="1"/>
  <c r="L479" i="1"/>
  <c r="K479" i="1"/>
  <c r="J479" i="1"/>
  <c r="I479" i="1"/>
  <c r="H479" i="1"/>
  <c r="G479" i="1"/>
  <c r="F479" i="1"/>
  <c r="E479" i="1"/>
  <c r="D479" i="1"/>
  <c r="R478" i="1"/>
  <c r="Q478" i="1"/>
  <c r="P478" i="1"/>
  <c r="O478" i="1"/>
  <c r="N478" i="1"/>
  <c r="M478" i="1"/>
  <c r="L478" i="1"/>
  <c r="K478" i="1"/>
  <c r="J478" i="1"/>
  <c r="I478" i="1"/>
  <c r="H478" i="1"/>
  <c r="G478" i="1"/>
  <c r="F478" i="1"/>
  <c r="E478" i="1"/>
  <c r="D478" i="1"/>
  <c r="R477" i="1"/>
  <c r="Q477" i="1"/>
  <c r="P477" i="1"/>
  <c r="O477" i="1"/>
  <c r="N477" i="1"/>
  <c r="M477" i="1"/>
  <c r="L477" i="1"/>
  <c r="K477" i="1"/>
  <c r="J477" i="1"/>
  <c r="I477" i="1"/>
  <c r="H477" i="1"/>
  <c r="G477" i="1"/>
  <c r="F477" i="1"/>
  <c r="E477" i="1"/>
  <c r="D477" i="1"/>
  <c r="R476" i="1"/>
  <c r="Q476" i="1"/>
  <c r="P476" i="1"/>
  <c r="O476" i="1"/>
  <c r="N476" i="1"/>
  <c r="M476" i="1"/>
  <c r="L476" i="1"/>
  <c r="K476" i="1"/>
  <c r="J476" i="1"/>
  <c r="I476" i="1"/>
  <c r="H476" i="1"/>
  <c r="G476" i="1"/>
  <c r="F476" i="1"/>
  <c r="E476" i="1"/>
  <c r="D476" i="1"/>
  <c r="R475" i="1"/>
  <c r="Q475" i="1"/>
  <c r="P475" i="1"/>
  <c r="O475" i="1"/>
  <c r="N475" i="1"/>
  <c r="M475" i="1"/>
  <c r="L475" i="1"/>
  <c r="K475" i="1"/>
  <c r="J475" i="1"/>
  <c r="I475" i="1"/>
  <c r="H475" i="1"/>
  <c r="G475" i="1"/>
  <c r="F475" i="1"/>
  <c r="E475" i="1"/>
  <c r="R474" i="1"/>
  <c r="Q474" i="1"/>
  <c r="P474" i="1"/>
  <c r="O474" i="1"/>
  <c r="N474" i="1"/>
  <c r="M474" i="1"/>
  <c r="L474" i="1"/>
  <c r="K474" i="1"/>
  <c r="J474" i="1"/>
  <c r="I474" i="1"/>
  <c r="H474" i="1"/>
  <c r="G474" i="1"/>
  <c r="F474" i="1"/>
  <c r="E474" i="1"/>
  <c r="D474" i="1"/>
  <c r="R473" i="1"/>
  <c r="Q473" i="1"/>
  <c r="P473" i="1"/>
  <c r="O473" i="1"/>
  <c r="N473" i="1"/>
  <c r="M473" i="1"/>
  <c r="L473" i="1"/>
  <c r="K473" i="1"/>
  <c r="J473" i="1"/>
  <c r="I473" i="1"/>
  <c r="H473" i="1"/>
  <c r="G473" i="1"/>
  <c r="F473" i="1"/>
  <c r="E473" i="1"/>
  <c r="D473" i="1"/>
  <c r="R472" i="1"/>
  <c r="Q472" i="1"/>
  <c r="P472" i="1"/>
  <c r="O472" i="1"/>
  <c r="N472" i="1"/>
  <c r="M472" i="1"/>
  <c r="L472" i="1"/>
  <c r="K472" i="1"/>
  <c r="J472" i="1"/>
  <c r="I472" i="1"/>
  <c r="H472" i="1"/>
  <c r="G472" i="1"/>
  <c r="F472" i="1"/>
  <c r="E472" i="1"/>
  <c r="D472" i="1"/>
  <c r="R471" i="1"/>
  <c r="Q471" i="1"/>
  <c r="P471" i="1"/>
  <c r="O471" i="1"/>
  <c r="N471" i="1"/>
  <c r="M471" i="1"/>
  <c r="L471" i="1"/>
  <c r="K471" i="1"/>
  <c r="J471" i="1"/>
  <c r="I471" i="1"/>
  <c r="H471" i="1"/>
  <c r="G471" i="1"/>
  <c r="F471" i="1"/>
  <c r="E471" i="1"/>
  <c r="D471" i="1"/>
  <c r="R470" i="1"/>
  <c r="Q470" i="1"/>
  <c r="P470" i="1"/>
  <c r="O470" i="1"/>
  <c r="N470" i="1"/>
  <c r="M470" i="1"/>
  <c r="L470" i="1"/>
  <c r="K470" i="1"/>
  <c r="J470" i="1"/>
  <c r="I470" i="1"/>
  <c r="H470" i="1"/>
  <c r="G470" i="1"/>
  <c r="F470" i="1"/>
  <c r="E470" i="1"/>
  <c r="D470" i="1"/>
  <c r="R469" i="1"/>
  <c r="Q469" i="1"/>
  <c r="P469" i="1"/>
  <c r="O469" i="1"/>
  <c r="N469" i="1"/>
  <c r="M469" i="1"/>
  <c r="L469" i="1"/>
  <c r="K469" i="1"/>
  <c r="J469" i="1"/>
  <c r="I469" i="1"/>
  <c r="H469" i="1"/>
  <c r="G469" i="1"/>
  <c r="F469" i="1"/>
  <c r="E469" i="1"/>
  <c r="D469" i="1"/>
  <c r="R468" i="1"/>
  <c r="Q468" i="1"/>
  <c r="P468" i="1"/>
  <c r="O468" i="1"/>
  <c r="N468" i="1"/>
  <c r="M468" i="1"/>
  <c r="L468" i="1"/>
  <c r="K468" i="1"/>
  <c r="J468" i="1"/>
  <c r="I468" i="1"/>
  <c r="H468" i="1"/>
  <c r="G468" i="1"/>
  <c r="F468" i="1"/>
  <c r="E468" i="1"/>
  <c r="D468" i="1"/>
  <c r="R467" i="1"/>
  <c r="Q467" i="1"/>
  <c r="P467" i="1"/>
  <c r="O467" i="1"/>
  <c r="N467" i="1"/>
  <c r="M467" i="1"/>
  <c r="L467" i="1"/>
  <c r="K467" i="1"/>
  <c r="J467" i="1"/>
  <c r="I467" i="1"/>
  <c r="H467" i="1"/>
  <c r="G467" i="1"/>
  <c r="F467" i="1"/>
  <c r="E467" i="1"/>
  <c r="D467" i="1"/>
  <c r="R466" i="1"/>
  <c r="Q466" i="1"/>
  <c r="P466" i="1"/>
  <c r="O466" i="1"/>
  <c r="N466" i="1"/>
  <c r="M466" i="1"/>
  <c r="L466" i="1"/>
  <c r="K466" i="1"/>
  <c r="J466" i="1"/>
  <c r="I466" i="1"/>
  <c r="H466" i="1"/>
  <c r="G466" i="1"/>
  <c r="F466" i="1"/>
  <c r="E466" i="1"/>
  <c r="D466" i="1"/>
  <c r="R465" i="1"/>
  <c r="Q465" i="1"/>
  <c r="P465" i="1"/>
  <c r="O465" i="1"/>
  <c r="N465" i="1"/>
  <c r="M465" i="1"/>
  <c r="L465" i="1"/>
  <c r="K465" i="1"/>
  <c r="J465" i="1"/>
  <c r="I465" i="1"/>
  <c r="H465" i="1"/>
  <c r="G465" i="1"/>
  <c r="F465" i="1"/>
  <c r="E465" i="1"/>
  <c r="D465" i="1"/>
  <c r="R464" i="1"/>
  <c r="Q464" i="1"/>
  <c r="P464" i="1"/>
  <c r="O464" i="1"/>
  <c r="N464" i="1"/>
  <c r="M464" i="1"/>
  <c r="L464" i="1"/>
  <c r="K464" i="1"/>
  <c r="J464" i="1"/>
  <c r="I464" i="1"/>
  <c r="H464" i="1"/>
  <c r="G464" i="1"/>
  <c r="F464" i="1"/>
  <c r="E464" i="1"/>
  <c r="R463" i="1"/>
  <c r="Q463" i="1"/>
  <c r="P463" i="1"/>
  <c r="O463" i="1"/>
  <c r="N463" i="1"/>
  <c r="M463" i="1"/>
  <c r="L463" i="1"/>
  <c r="K463" i="1"/>
  <c r="J463" i="1"/>
  <c r="I463" i="1"/>
  <c r="H463" i="1"/>
  <c r="G463" i="1"/>
  <c r="F463" i="1"/>
  <c r="E463" i="1"/>
  <c r="D463" i="1"/>
  <c r="R462" i="1"/>
  <c r="O462" i="1" s="1"/>
  <c r="Q462" i="1"/>
  <c r="N462" i="1"/>
  <c r="M462" i="1"/>
  <c r="L462" i="1"/>
  <c r="K462" i="1"/>
  <c r="J462" i="1"/>
  <c r="I462" i="1"/>
  <c r="H462" i="1"/>
  <c r="G462" i="1"/>
  <c r="F462" i="1"/>
  <c r="E462" i="1"/>
  <c r="D462" i="1"/>
  <c r="R461" i="1"/>
  <c r="Q461" i="1"/>
  <c r="P461" i="1"/>
  <c r="O461" i="1"/>
  <c r="N461" i="1"/>
  <c r="M461" i="1"/>
  <c r="L461" i="1"/>
  <c r="K461" i="1"/>
  <c r="J461" i="1"/>
  <c r="I461" i="1"/>
  <c r="H461" i="1"/>
  <c r="G461" i="1"/>
  <c r="F461" i="1"/>
  <c r="E461" i="1"/>
  <c r="D461" i="1"/>
  <c r="R460" i="1"/>
  <c r="Q460" i="1"/>
  <c r="P460" i="1"/>
  <c r="O460" i="1"/>
  <c r="N460" i="1"/>
  <c r="M460" i="1"/>
  <c r="L460" i="1"/>
  <c r="K460" i="1"/>
  <c r="J460" i="1"/>
  <c r="I460" i="1"/>
  <c r="H460" i="1"/>
  <c r="G460" i="1"/>
  <c r="F460" i="1"/>
  <c r="E460" i="1"/>
  <c r="D460" i="1"/>
  <c r="R459" i="1"/>
  <c r="Q459" i="1"/>
  <c r="P459" i="1"/>
  <c r="O459" i="1"/>
  <c r="N459" i="1"/>
  <c r="M459" i="1"/>
  <c r="L459" i="1"/>
  <c r="K459" i="1"/>
  <c r="J459" i="1"/>
  <c r="I459" i="1"/>
  <c r="H459" i="1"/>
  <c r="G459" i="1"/>
  <c r="F459" i="1"/>
  <c r="E459" i="1"/>
  <c r="D459" i="1"/>
  <c r="R458" i="1"/>
  <c r="Q458" i="1"/>
  <c r="P458" i="1"/>
  <c r="O458" i="1"/>
  <c r="N458" i="1"/>
  <c r="M458" i="1"/>
  <c r="L458" i="1"/>
  <c r="K458" i="1"/>
  <c r="J458" i="1"/>
  <c r="I458" i="1"/>
  <c r="H458" i="1"/>
  <c r="G458" i="1"/>
  <c r="F458" i="1"/>
  <c r="E458" i="1"/>
  <c r="D458" i="1"/>
  <c r="R457" i="1"/>
  <c r="Q457" i="1"/>
  <c r="P457" i="1"/>
  <c r="O457" i="1"/>
  <c r="N457" i="1"/>
  <c r="M457" i="1"/>
  <c r="L457" i="1"/>
  <c r="K457" i="1"/>
  <c r="J457" i="1"/>
  <c r="I457" i="1"/>
  <c r="H457" i="1"/>
  <c r="G457" i="1"/>
  <c r="F457" i="1"/>
  <c r="E457" i="1"/>
  <c r="D457" i="1"/>
  <c r="R456" i="1"/>
  <c r="Q456" i="1"/>
  <c r="P456" i="1"/>
  <c r="O456" i="1"/>
  <c r="N456" i="1"/>
  <c r="M456" i="1"/>
  <c r="L456" i="1"/>
  <c r="K456" i="1"/>
  <c r="J456" i="1"/>
  <c r="I456" i="1"/>
  <c r="H456" i="1"/>
  <c r="G456" i="1"/>
  <c r="F456" i="1"/>
  <c r="E456" i="1"/>
  <c r="D456" i="1"/>
  <c r="R455" i="1"/>
  <c r="Q455" i="1"/>
  <c r="P455" i="1"/>
  <c r="O455" i="1"/>
  <c r="N455" i="1"/>
  <c r="M455" i="1"/>
  <c r="L455" i="1"/>
  <c r="K455" i="1"/>
  <c r="J455" i="1"/>
  <c r="I455" i="1"/>
  <c r="H455" i="1"/>
  <c r="G455" i="1"/>
  <c r="F455" i="1"/>
  <c r="E455" i="1"/>
  <c r="D455" i="1"/>
  <c r="R454" i="1"/>
  <c r="Q454" i="1"/>
  <c r="O454" i="1"/>
  <c r="N454" i="1"/>
  <c r="M454" i="1"/>
  <c r="L454" i="1"/>
  <c r="K454" i="1"/>
  <c r="J454" i="1"/>
  <c r="I454" i="1"/>
  <c r="H454" i="1"/>
  <c r="G454" i="1"/>
  <c r="F454" i="1"/>
  <c r="E454" i="1"/>
  <c r="D454" i="1"/>
  <c r="R453" i="1"/>
  <c r="Q453" i="1"/>
  <c r="O453" i="1"/>
  <c r="N453" i="1"/>
  <c r="M453" i="1"/>
  <c r="L453" i="1"/>
  <c r="K453" i="1"/>
  <c r="J453" i="1"/>
  <c r="I453" i="1"/>
  <c r="H453" i="1"/>
  <c r="G453" i="1"/>
  <c r="F453" i="1"/>
  <c r="E453" i="1"/>
  <c r="D453" i="1"/>
  <c r="R452" i="1"/>
  <c r="Q452" i="1"/>
  <c r="P452" i="1"/>
  <c r="O452" i="1"/>
  <c r="N452" i="1"/>
  <c r="M452" i="1"/>
  <c r="L452" i="1"/>
  <c r="K452" i="1"/>
  <c r="J452" i="1"/>
  <c r="I452" i="1"/>
  <c r="H452" i="1"/>
  <c r="G452" i="1"/>
  <c r="F452" i="1"/>
  <c r="E452" i="1"/>
  <c r="D452" i="1"/>
  <c r="R450" i="1"/>
  <c r="Q450" i="1"/>
  <c r="P450" i="1"/>
  <c r="O450" i="1"/>
  <c r="N450" i="1"/>
  <c r="M450" i="1"/>
  <c r="L450" i="1"/>
  <c r="K450" i="1"/>
  <c r="J450" i="1"/>
  <c r="I450" i="1"/>
  <c r="H450" i="1"/>
  <c r="G450" i="1"/>
  <c r="F450" i="1"/>
  <c r="E450" i="1"/>
  <c r="D450" i="1"/>
  <c r="R449" i="1"/>
  <c r="Q449" i="1"/>
  <c r="P449" i="1"/>
  <c r="O449" i="1"/>
  <c r="N449" i="1"/>
  <c r="M449" i="1"/>
  <c r="L449" i="1"/>
  <c r="K449" i="1"/>
  <c r="J449" i="1"/>
  <c r="I449" i="1"/>
  <c r="H449" i="1"/>
  <c r="G449" i="1"/>
  <c r="F449" i="1"/>
  <c r="E449" i="1"/>
  <c r="D449" i="1"/>
  <c r="R448" i="1"/>
  <c r="Q448" i="1"/>
  <c r="P448" i="1"/>
  <c r="O448" i="1"/>
  <c r="N448" i="1"/>
  <c r="M448" i="1"/>
  <c r="L448" i="1"/>
  <c r="K448" i="1"/>
  <c r="J448" i="1"/>
  <c r="I448" i="1"/>
  <c r="H448" i="1"/>
  <c r="G448" i="1"/>
  <c r="F448" i="1"/>
  <c r="E448" i="1"/>
  <c r="D448" i="1"/>
  <c r="R447" i="1"/>
  <c r="Q447" i="1"/>
  <c r="P447" i="1"/>
  <c r="O447" i="1"/>
  <c r="N447" i="1"/>
  <c r="M447" i="1"/>
  <c r="L447" i="1"/>
  <c r="K447" i="1"/>
  <c r="J447" i="1"/>
  <c r="I447" i="1"/>
  <c r="H447" i="1"/>
  <c r="G447" i="1"/>
  <c r="F447" i="1"/>
  <c r="E447" i="1"/>
  <c r="D447" i="1"/>
  <c r="R446" i="1"/>
  <c r="O446" i="1" s="1"/>
  <c r="Q446" i="1"/>
  <c r="N446" i="1"/>
  <c r="M446" i="1"/>
  <c r="L446" i="1"/>
  <c r="K446" i="1"/>
  <c r="J446" i="1"/>
  <c r="I446" i="1"/>
  <c r="H446" i="1"/>
  <c r="G446" i="1"/>
  <c r="F446" i="1"/>
  <c r="E446" i="1"/>
  <c r="D446" i="1"/>
  <c r="R445" i="1"/>
  <c r="Q445" i="1"/>
  <c r="P445" i="1"/>
  <c r="O445" i="1"/>
  <c r="N445" i="1"/>
  <c r="M445" i="1"/>
  <c r="L445" i="1"/>
  <c r="K445" i="1"/>
  <c r="J445" i="1"/>
  <c r="I445" i="1"/>
  <c r="H445" i="1"/>
  <c r="G445" i="1"/>
  <c r="F445" i="1"/>
  <c r="E445" i="1"/>
  <c r="D445" i="1"/>
  <c r="R444" i="1"/>
  <c r="Q444" i="1"/>
  <c r="P444" i="1"/>
  <c r="O444" i="1"/>
  <c r="N444" i="1"/>
  <c r="M444" i="1"/>
  <c r="L444" i="1"/>
  <c r="K444" i="1"/>
  <c r="J444" i="1"/>
  <c r="I444" i="1"/>
  <c r="H444" i="1"/>
  <c r="G444" i="1"/>
  <c r="F444" i="1"/>
  <c r="E444" i="1"/>
  <c r="R443" i="1"/>
  <c r="Q443" i="1"/>
  <c r="P443" i="1"/>
  <c r="O443" i="1"/>
  <c r="N443" i="1"/>
  <c r="M443" i="1"/>
  <c r="L443" i="1"/>
  <c r="K443" i="1"/>
  <c r="J443" i="1"/>
  <c r="I443" i="1"/>
  <c r="H443" i="1"/>
  <c r="G443" i="1"/>
  <c r="F443" i="1"/>
  <c r="E443" i="1"/>
  <c r="D443" i="1"/>
  <c r="R442" i="1"/>
  <c r="Q442" i="1"/>
  <c r="P442" i="1"/>
  <c r="O442" i="1"/>
  <c r="N442" i="1"/>
  <c r="M442" i="1"/>
  <c r="L442" i="1"/>
  <c r="K442" i="1"/>
  <c r="J442" i="1"/>
  <c r="I442" i="1"/>
  <c r="H442" i="1"/>
  <c r="G442" i="1"/>
  <c r="F442" i="1"/>
  <c r="E442" i="1"/>
  <c r="D442" i="1"/>
  <c r="R441" i="1"/>
  <c r="Q441" i="1"/>
  <c r="P441" i="1"/>
  <c r="O441" i="1"/>
  <c r="N441" i="1"/>
  <c r="M441" i="1"/>
  <c r="L441" i="1"/>
  <c r="K441" i="1"/>
  <c r="J441" i="1"/>
  <c r="I441" i="1"/>
  <c r="H441" i="1"/>
  <c r="G441" i="1"/>
  <c r="F441" i="1"/>
  <c r="E441" i="1"/>
  <c r="D441" i="1"/>
  <c r="R440" i="1"/>
  <c r="Q440" i="1"/>
  <c r="P440" i="1"/>
  <c r="O440" i="1"/>
  <c r="N440" i="1"/>
  <c r="M440" i="1"/>
  <c r="L440" i="1"/>
  <c r="K440" i="1"/>
  <c r="J440" i="1"/>
  <c r="I440" i="1"/>
  <c r="H440" i="1"/>
  <c r="G440" i="1"/>
  <c r="F440" i="1"/>
  <c r="E440" i="1"/>
  <c r="D440" i="1"/>
  <c r="R439" i="1"/>
  <c r="Q439" i="1"/>
  <c r="P439" i="1"/>
  <c r="O439" i="1"/>
  <c r="N439" i="1"/>
  <c r="M439" i="1"/>
  <c r="L439" i="1"/>
  <c r="K439" i="1"/>
  <c r="J439" i="1"/>
  <c r="I439" i="1"/>
  <c r="H439" i="1"/>
  <c r="G439" i="1"/>
  <c r="F439" i="1"/>
  <c r="E439" i="1"/>
  <c r="D439" i="1"/>
  <c r="R438" i="1"/>
  <c r="Q438" i="1"/>
  <c r="P438" i="1"/>
  <c r="O438" i="1"/>
  <c r="N438" i="1"/>
  <c r="M438" i="1"/>
  <c r="L438" i="1"/>
  <c r="K438" i="1"/>
  <c r="J438" i="1"/>
  <c r="I438" i="1"/>
  <c r="H438" i="1"/>
  <c r="G438" i="1"/>
  <c r="F438" i="1"/>
  <c r="E438" i="1"/>
  <c r="D438" i="1"/>
  <c r="R437" i="1"/>
  <c r="Q437" i="1"/>
  <c r="P437" i="1"/>
  <c r="O437" i="1"/>
  <c r="N437" i="1"/>
  <c r="M437" i="1"/>
  <c r="L437" i="1"/>
  <c r="K437" i="1"/>
  <c r="J437" i="1"/>
  <c r="I437" i="1"/>
  <c r="H437" i="1"/>
  <c r="G437" i="1"/>
  <c r="F437" i="1"/>
  <c r="E437" i="1"/>
  <c r="D437" i="1"/>
  <c r="R436" i="1"/>
  <c r="Q436" i="1"/>
  <c r="P436" i="1"/>
  <c r="O436" i="1"/>
  <c r="N436" i="1"/>
  <c r="M436" i="1"/>
  <c r="L436" i="1"/>
  <c r="K436" i="1"/>
  <c r="J436" i="1"/>
  <c r="I436" i="1"/>
  <c r="H436" i="1"/>
  <c r="G436" i="1"/>
  <c r="F436" i="1"/>
  <c r="E436" i="1"/>
  <c r="D436" i="1"/>
  <c r="R435" i="1"/>
  <c r="Q435" i="1"/>
  <c r="P435" i="1"/>
  <c r="O435" i="1"/>
  <c r="N435" i="1"/>
  <c r="M435" i="1"/>
  <c r="L435" i="1"/>
  <c r="K435" i="1"/>
  <c r="J435" i="1"/>
  <c r="I435" i="1"/>
  <c r="H435" i="1"/>
  <c r="G435" i="1"/>
  <c r="F435" i="1"/>
  <c r="E435" i="1"/>
  <c r="R434" i="1"/>
  <c r="Q434" i="1"/>
  <c r="P434" i="1"/>
  <c r="O434" i="1"/>
  <c r="N434" i="1"/>
  <c r="M434" i="1"/>
  <c r="L434" i="1"/>
  <c r="K434" i="1"/>
  <c r="J434" i="1"/>
  <c r="I434" i="1"/>
  <c r="H434" i="1"/>
  <c r="G434" i="1"/>
  <c r="F434" i="1"/>
  <c r="E434" i="1"/>
  <c r="D434" i="1"/>
  <c r="R433" i="1"/>
  <c r="Q433" i="1"/>
  <c r="P433" i="1"/>
  <c r="O433" i="1"/>
  <c r="N433" i="1"/>
  <c r="M433" i="1"/>
  <c r="L433" i="1"/>
  <c r="K433" i="1"/>
  <c r="J433" i="1"/>
  <c r="I433" i="1"/>
  <c r="H433" i="1"/>
  <c r="G433" i="1"/>
  <c r="F433" i="1"/>
  <c r="E433" i="1"/>
  <c r="D433" i="1"/>
  <c r="R432" i="1"/>
  <c r="Q432" i="1"/>
  <c r="P432" i="1"/>
  <c r="O432" i="1"/>
  <c r="N432" i="1"/>
  <c r="M432" i="1"/>
  <c r="L432" i="1"/>
  <c r="K432" i="1"/>
  <c r="J432" i="1"/>
  <c r="I432" i="1"/>
  <c r="H432" i="1"/>
  <c r="G432" i="1"/>
  <c r="F432" i="1"/>
  <c r="E432" i="1"/>
  <c r="D432" i="1"/>
  <c r="R431" i="1"/>
  <c r="Q431" i="1"/>
  <c r="P431" i="1"/>
  <c r="O431" i="1"/>
  <c r="N431" i="1"/>
  <c r="M431" i="1"/>
  <c r="L431" i="1"/>
  <c r="K431" i="1"/>
  <c r="J431" i="1"/>
  <c r="I431" i="1"/>
  <c r="H431" i="1"/>
  <c r="G431" i="1"/>
  <c r="F431" i="1"/>
  <c r="E431" i="1"/>
  <c r="D431" i="1"/>
  <c r="R430" i="1"/>
  <c r="Q430" i="1"/>
  <c r="P430" i="1"/>
  <c r="O430" i="1"/>
  <c r="N430" i="1"/>
  <c r="M430" i="1"/>
  <c r="L430" i="1"/>
  <c r="K430" i="1"/>
  <c r="J430" i="1"/>
  <c r="I430" i="1"/>
  <c r="H430" i="1"/>
  <c r="G430" i="1"/>
  <c r="F430" i="1"/>
  <c r="E430" i="1"/>
  <c r="D430" i="1"/>
  <c r="R429" i="1"/>
  <c r="Q429" i="1"/>
  <c r="P429" i="1"/>
  <c r="O429" i="1"/>
  <c r="N429" i="1"/>
  <c r="M429" i="1"/>
  <c r="L429" i="1"/>
  <c r="K429" i="1"/>
  <c r="J429" i="1"/>
  <c r="I429" i="1"/>
  <c r="H429" i="1"/>
  <c r="G429" i="1"/>
  <c r="F429" i="1"/>
  <c r="E429" i="1"/>
  <c r="D429" i="1"/>
  <c r="R428" i="1"/>
  <c r="Q428" i="1"/>
  <c r="P428" i="1"/>
  <c r="O428" i="1"/>
  <c r="N428" i="1"/>
  <c r="M428" i="1"/>
  <c r="L428" i="1"/>
  <c r="K428" i="1"/>
  <c r="J428" i="1"/>
  <c r="I428" i="1"/>
  <c r="H428" i="1"/>
  <c r="G428" i="1"/>
  <c r="F428" i="1"/>
  <c r="E428" i="1"/>
  <c r="D428" i="1"/>
  <c r="R427" i="1"/>
  <c r="Q427" i="1"/>
  <c r="P427" i="1"/>
  <c r="O427" i="1"/>
  <c r="N427" i="1"/>
  <c r="M427" i="1"/>
  <c r="L427" i="1"/>
  <c r="K427" i="1"/>
  <c r="J427" i="1"/>
  <c r="I427" i="1"/>
  <c r="H427" i="1"/>
  <c r="G427" i="1"/>
  <c r="F427" i="1"/>
  <c r="E427" i="1"/>
  <c r="D427" i="1"/>
  <c r="R426" i="1"/>
  <c r="Q426" i="1"/>
  <c r="P426" i="1"/>
  <c r="O426" i="1"/>
  <c r="N426" i="1"/>
  <c r="M426" i="1"/>
  <c r="L426" i="1"/>
  <c r="K426" i="1"/>
  <c r="J426" i="1"/>
  <c r="I426" i="1"/>
  <c r="H426" i="1"/>
  <c r="G426" i="1"/>
  <c r="F426" i="1"/>
  <c r="E426" i="1"/>
  <c r="D426" i="1"/>
  <c r="R425" i="1"/>
  <c r="Q425" i="1"/>
  <c r="P425" i="1"/>
  <c r="O425" i="1"/>
  <c r="N425" i="1"/>
  <c r="M425" i="1"/>
  <c r="L425" i="1"/>
  <c r="K425" i="1"/>
  <c r="J425" i="1"/>
  <c r="I425" i="1"/>
  <c r="H425" i="1"/>
  <c r="G425" i="1"/>
  <c r="F425" i="1"/>
  <c r="E425" i="1"/>
  <c r="D425" i="1"/>
  <c r="R424" i="1"/>
  <c r="Q424" i="1"/>
  <c r="P424" i="1"/>
  <c r="O424" i="1"/>
  <c r="N424" i="1"/>
  <c r="M424" i="1"/>
  <c r="L424" i="1"/>
  <c r="K424" i="1"/>
  <c r="J424" i="1"/>
  <c r="I424" i="1"/>
  <c r="G424" i="1"/>
  <c r="F424" i="1"/>
  <c r="E424" i="1"/>
  <c r="R423" i="1"/>
  <c r="Q423" i="1"/>
  <c r="P423" i="1"/>
  <c r="O423" i="1"/>
  <c r="N423" i="1"/>
  <c r="M423" i="1"/>
  <c r="L423" i="1"/>
  <c r="K423" i="1"/>
  <c r="J423" i="1"/>
  <c r="I423" i="1"/>
  <c r="H423" i="1"/>
  <c r="G423" i="1"/>
  <c r="F423" i="1"/>
  <c r="E423" i="1"/>
  <c r="D423" i="1"/>
  <c r="R422" i="1"/>
  <c r="O422" i="1" s="1"/>
  <c r="Q422" i="1"/>
  <c r="N422" i="1"/>
  <c r="M422" i="1"/>
  <c r="L422" i="1"/>
  <c r="K422" i="1"/>
  <c r="J422" i="1"/>
  <c r="I422" i="1"/>
  <c r="H422" i="1"/>
  <c r="G422" i="1"/>
  <c r="F422" i="1"/>
  <c r="E422" i="1"/>
  <c r="D422" i="1"/>
  <c r="R421" i="1"/>
  <c r="Q421" i="1"/>
  <c r="P421" i="1"/>
  <c r="O421" i="1"/>
  <c r="N421" i="1"/>
  <c r="M421" i="1"/>
  <c r="L421" i="1"/>
  <c r="K421" i="1"/>
  <c r="J421" i="1"/>
  <c r="I421" i="1"/>
  <c r="H421" i="1"/>
  <c r="G421" i="1"/>
  <c r="F421" i="1"/>
  <c r="E421" i="1"/>
  <c r="D421" i="1"/>
  <c r="R420" i="1"/>
  <c r="Q420" i="1"/>
  <c r="P420" i="1"/>
  <c r="O420" i="1"/>
  <c r="N420" i="1"/>
  <c r="M420" i="1"/>
  <c r="L420" i="1"/>
  <c r="K420" i="1"/>
  <c r="J420" i="1"/>
  <c r="I420" i="1"/>
  <c r="H420" i="1"/>
  <c r="G420" i="1"/>
  <c r="F420" i="1"/>
  <c r="E420" i="1"/>
  <c r="D420" i="1"/>
  <c r="R419" i="1"/>
  <c r="Q419" i="1"/>
  <c r="P419" i="1"/>
  <c r="O419" i="1"/>
  <c r="N419" i="1"/>
  <c r="M419" i="1"/>
  <c r="L419" i="1"/>
  <c r="K419" i="1"/>
  <c r="J419" i="1"/>
  <c r="I419" i="1"/>
  <c r="H419" i="1"/>
  <c r="G419" i="1"/>
  <c r="F419" i="1"/>
  <c r="E419" i="1"/>
  <c r="D419" i="1"/>
  <c r="R418" i="1"/>
  <c r="Q418" i="1"/>
  <c r="P418" i="1"/>
  <c r="O418" i="1"/>
  <c r="N418" i="1"/>
  <c r="M418" i="1"/>
  <c r="L418" i="1"/>
  <c r="K418" i="1"/>
  <c r="J418" i="1"/>
  <c r="I418" i="1"/>
  <c r="H418" i="1"/>
  <c r="G418" i="1"/>
  <c r="F418" i="1"/>
  <c r="E418" i="1"/>
  <c r="D418" i="1"/>
  <c r="R417" i="1"/>
  <c r="Q417" i="1"/>
  <c r="P417" i="1"/>
  <c r="O417" i="1"/>
  <c r="N417" i="1"/>
  <c r="M417" i="1"/>
  <c r="L417" i="1"/>
  <c r="K417" i="1"/>
  <c r="J417" i="1"/>
  <c r="I417" i="1"/>
  <c r="H417" i="1"/>
  <c r="G417" i="1"/>
  <c r="F417" i="1"/>
  <c r="E417" i="1"/>
  <c r="D417" i="1"/>
  <c r="R416" i="1"/>
  <c r="Q416" i="1"/>
  <c r="P416" i="1"/>
  <c r="O416" i="1"/>
  <c r="N416" i="1"/>
  <c r="M416" i="1"/>
  <c r="L416" i="1"/>
  <c r="K416" i="1"/>
  <c r="J416" i="1"/>
  <c r="I416" i="1"/>
  <c r="H416" i="1"/>
  <c r="G416" i="1"/>
  <c r="F416" i="1"/>
  <c r="E416" i="1"/>
  <c r="D416" i="1"/>
  <c r="R415" i="1"/>
  <c r="Q415" i="1"/>
  <c r="P415" i="1"/>
  <c r="O415" i="1"/>
  <c r="N415" i="1"/>
  <c r="M415" i="1"/>
  <c r="L415" i="1"/>
  <c r="K415" i="1"/>
  <c r="J415" i="1"/>
  <c r="I415" i="1"/>
  <c r="H415" i="1"/>
  <c r="G415" i="1"/>
  <c r="F415" i="1"/>
  <c r="E415" i="1"/>
  <c r="D415" i="1"/>
  <c r="R414" i="1"/>
  <c r="Q414" i="1"/>
  <c r="O414" i="1"/>
  <c r="N414" i="1"/>
  <c r="M414" i="1"/>
  <c r="L414" i="1"/>
  <c r="K414" i="1"/>
  <c r="J414" i="1"/>
  <c r="I414" i="1"/>
  <c r="H414" i="1"/>
  <c r="G414" i="1"/>
  <c r="F414" i="1"/>
  <c r="E414" i="1"/>
  <c r="D414" i="1"/>
  <c r="R413" i="1"/>
  <c r="Q413" i="1"/>
  <c r="O413" i="1"/>
  <c r="N413" i="1"/>
  <c r="M413" i="1"/>
  <c r="L413" i="1"/>
  <c r="K413" i="1"/>
  <c r="J413" i="1"/>
  <c r="I413" i="1"/>
  <c r="H413" i="1"/>
  <c r="G413" i="1"/>
  <c r="F413" i="1"/>
  <c r="E413" i="1"/>
  <c r="D413" i="1"/>
  <c r="R412" i="1"/>
  <c r="Q412" i="1"/>
  <c r="P412" i="1"/>
  <c r="O412" i="1"/>
  <c r="N412" i="1"/>
  <c r="M412" i="1"/>
  <c r="L412" i="1"/>
  <c r="K412" i="1"/>
  <c r="J412" i="1"/>
  <c r="I412" i="1"/>
  <c r="H412" i="1"/>
  <c r="G412" i="1"/>
  <c r="F412" i="1"/>
  <c r="E412" i="1"/>
  <c r="D412" i="1"/>
  <c r="R410" i="1"/>
  <c r="Q410" i="1"/>
  <c r="P410" i="1"/>
  <c r="O410" i="1"/>
  <c r="N410" i="1"/>
  <c r="M410" i="1"/>
  <c r="L410" i="1"/>
  <c r="K410" i="1"/>
  <c r="J410" i="1"/>
  <c r="I410" i="1"/>
  <c r="H410" i="1"/>
  <c r="G410" i="1"/>
  <c r="F410" i="1"/>
  <c r="E410" i="1"/>
  <c r="D410" i="1"/>
  <c r="R409" i="1"/>
  <c r="Q409" i="1"/>
  <c r="P409" i="1"/>
  <c r="O409" i="1"/>
  <c r="N409" i="1"/>
  <c r="M409" i="1"/>
  <c r="L409" i="1"/>
  <c r="K409" i="1"/>
  <c r="J409" i="1"/>
  <c r="I409" i="1"/>
  <c r="H409" i="1"/>
  <c r="G409" i="1"/>
  <c r="F409" i="1"/>
  <c r="E409" i="1"/>
  <c r="D409" i="1"/>
  <c r="R408" i="1"/>
  <c r="Q408" i="1"/>
  <c r="P408" i="1"/>
  <c r="O408" i="1"/>
  <c r="N408" i="1"/>
  <c r="M408" i="1"/>
  <c r="L408" i="1"/>
  <c r="K408" i="1"/>
  <c r="J408" i="1"/>
  <c r="I408" i="1"/>
  <c r="H408" i="1"/>
  <c r="G408" i="1"/>
  <c r="F408" i="1"/>
  <c r="E408" i="1"/>
  <c r="D408" i="1"/>
  <c r="R407" i="1"/>
  <c r="Q407" i="1"/>
  <c r="P407" i="1"/>
  <c r="O407" i="1"/>
  <c r="N407" i="1"/>
  <c r="M407" i="1"/>
  <c r="L407" i="1"/>
  <c r="K407" i="1"/>
  <c r="J407" i="1"/>
  <c r="I407" i="1"/>
  <c r="H407" i="1"/>
  <c r="G407" i="1"/>
  <c r="F407" i="1"/>
  <c r="E407" i="1"/>
  <c r="D407" i="1"/>
  <c r="R406" i="1"/>
  <c r="O406" i="1" s="1"/>
  <c r="Q406" i="1"/>
  <c r="N406" i="1"/>
  <c r="M406" i="1"/>
  <c r="L406" i="1"/>
  <c r="K406" i="1"/>
  <c r="J406" i="1"/>
  <c r="I406" i="1"/>
  <c r="H406" i="1"/>
  <c r="G406" i="1"/>
  <c r="F406" i="1"/>
  <c r="E406" i="1"/>
  <c r="D406" i="1"/>
  <c r="R405" i="1"/>
  <c r="Q405" i="1"/>
  <c r="P405" i="1"/>
  <c r="O405" i="1"/>
  <c r="N405" i="1"/>
  <c r="M405" i="1"/>
  <c r="L405" i="1"/>
  <c r="K405" i="1"/>
  <c r="J405" i="1"/>
  <c r="I405" i="1"/>
  <c r="H405" i="1"/>
  <c r="G405" i="1"/>
  <c r="F405" i="1"/>
  <c r="E405" i="1"/>
  <c r="D405" i="1"/>
  <c r="R404" i="1"/>
  <c r="Q404" i="1"/>
  <c r="P404" i="1"/>
  <c r="O404" i="1"/>
  <c r="N404" i="1"/>
  <c r="M404" i="1"/>
  <c r="L404" i="1"/>
  <c r="K404" i="1"/>
  <c r="J404" i="1"/>
  <c r="I404" i="1"/>
  <c r="H404" i="1"/>
  <c r="G404" i="1"/>
  <c r="F404" i="1"/>
  <c r="E404" i="1"/>
  <c r="R403" i="1"/>
  <c r="Q403" i="1"/>
  <c r="P403" i="1"/>
  <c r="O403" i="1"/>
  <c r="N403" i="1"/>
  <c r="M403" i="1"/>
  <c r="L403" i="1"/>
  <c r="K403" i="1"/>
  <c r="J403" i="1"/>
  <c r="I403" i="1"/>
  <c r="H403" i="1"/>
  <c r="G403" i="1"/>
  <c r="F403" i="1"/>
  <c r="E403" i="1"/>
  <c r="D403" i="1"/>
  <c r="R402" i="1"/>
  <c r="Q402" i="1"/>
  <c r="P402" i="1"/>
  <c r="O402" i="1"/>
  <c r="N402" i="1"/>
  <c r="M402" i="1"/>
  <c r="L402" i="1"/>
  <c r="K402" i="1"/>
  <c r="J402" i="1"/>
  <c r="I402" i="1"/>
  <c r="H402" i="1"/>
  <c r="G402" i="1"/>
  <c r="F402" i="1"/>
  <c r="E402" i="1"/>
  <c r="D402" i="1"/>
  <c r="R401" i="1"/>
  <c r="Q401" i="1"/>
  <c r="P401" i="1"/>
  <c r="O401" i="1"/>
  <c r="N401" i="1"/>
  <c r="M401" i="1"/>
  <c r="L401" i="1"/>
  <c r="K401" i="1"/>
  <c r="J401" i="1"/>
  <c r="I401" i="1"/>
  <c r="H401" i="1"/>
  <c r="G401" i="1"/>
  <c r="F401" i="1"/>
  <c r="E401" i="1"/>
  <c r="D401" i="1"/>
  <c r="R400" i="1"/>
  <c r="Q400" i="1"/>
  <c r="P400" i="1"/>
  <c r="O400" i="1"/>
  <c r="N400" i="1"/>
  <c r="M400" i="1"/>
  <c r="L400" i="1"/>
  <c r="K400" i="1"/>
  <c r="J400" i="1"/>
  <c r="I400" i="1"/>
  <c r="H400" i="1"/>
  <c r="G400" i="1"/>
  <c r="F400" i="1"/>
  <c r="E400" i="1"/>
  <c r="D400" i="1"/>
  <c r="R399" i="1"/>
  <c r="Q399" i="1"/>
  <c r="P399" i="1"/>
  <c r="O399" i="1"/>
  <c r="N399" i="1"/>
  <c r="M399" i="1"/>
  <c r="L399" i="1"/>
  <c r="K399" i="1"/>
  <c r="J399" i="1"/>
  <c r="I399" i="1"/>
  <c r="H399" i="1"/>
  <c r="G399" i="1"/>
  <c r="F399" i="1"/>
  <c r="E399" i="1"/>
  <c r="D399" i="1"/>
  <c r="R398" i="1"/>
  <c r="Q398" i="1"/>
  <c r="P398" i="1"/>
  <c r="O398" i="1"/>
  <c r="N398" i="1"/>
  <c r="M398" i="1"/>
  <c r="L398" i="1"/>
  <c r="K398" i="1"/>
  <c r="J398" i="1"/>
  <c r="I398" i="1"/>
  <c r="H398" i="1"/>
  <c r="G398" i="1"/>
  <c r="F398" i="1"/>
  <c r="E398" i="1"/>
  <c r="D398" i="1"/>
  <c r="R397" i="1"/>
  <c r="Q397" i="1"/>
  <c r="P397" i="1"/>
  <c r="O397" i="1"/>
  <c r="N397" i="1"/>
  <c r="M397" i="1"/>
  <c r="L397" i="1"/>
  <c r="K397" i="1"/>
  <c r="J397" i="1"/>
  <c r="I397" i="1"/>
  <c r="H397" i="1"/>
  <c r="G397" i="1"/>
  <c r="F397" i="1"/>
  <c r="E397" i="1"/>
  <c r="D397" i="1"/>
  <c r="R396" i="1"/>
  <c r="Q396" i="1"/>
  <c r="P396" i="1"/>
  <c r="O396" i="1"/>
  <c r="N396" i="1"/>
  <c r="M396" i="1"/>
  <c r="L396" i="1"/>
  <c r="K396" i="1"/>
  <c r="J396" i="1"/>
  <c r="I396" i="1"/>
  <c r="H396" i="1"/>
  <c r="G396" i="1"/>
  <c r="F396" i="1"/>
  <c r="E396" i="1"/>
  <c r="D396" i="1"/>
  <c r="R395" i="1"/>
  <c r="Q395" i="1"/>
  <c r="P395" i="1"/>
  <c r="O395" i="1"/>
  <c r="N395" i="1"/>
  <c r="M395" i="1"/>
  <c r="L395" i="1"/>
  <c r="K395" i="1"/>
  <c r="J395" i="1"/>
  <c r="I395" i="1"/>
  <c r="H395" i="1"/>
  <c r="G395" i="1"/>
  <c r="F395" i="1"/>
  <c r="E395" i="1"/>
  <c r="R394" i="1"/>
  <c r="Q394" i="1"/>
  <c r="P394" i="1"/>
  <c r="O394" i="1"/>
  <c r="N394" i="1"/>
  <c r="M394" i="1"/>
  <c r="L394" i="1"/>
  <c r="K394" i="1"/>
  <c r="J394" i="1"/>
  <c r="I394" i="1"/>
  <c r="H394" i="1"/>
  <c r="G394" i="1"/>
  <c r="F394" i="1"/>
  <c r="E394" i="1"/>
  <c r="D394" i="1"/>
  <c r="R393" i="1"/>
  <c r="Q393" i="1"/>
  <c r="P393" i="1"/>
  <c r="O393" i="1"/>
  <c r="N393" i="1"/>
  <c r="M393" i="1"/>
  <c r="L393" i="1"/>
  <c r="K393" i="1"/>
  <c r="J393" i="1"/>
  <c r="I393" i="1"/>
  <c r="H393" i="1"/>
  <c r="G393" i="1"/>
  <c r="F393" i="1"/>
  <c r="E393" i="1"/>
  <c r="D393" i="1"/>
  <c r="R392" i="1"/>
  <c r="Q392" i="1"/>
  <c r="P392" i="1"/>
  <c r="O392" i="1"/>
  <c r="N392" i="1"/>
  <c r="M392" i="1"/>
  <c r="L392" i="1"/>
  <c r="K392" i="1"/>
  <c r="J392" i="1"/>
  <c r="I392" i="1"/>
  <c r="H392" i="1"/>
  <c r="G392" i="1"/>
  <c r="F392" i="1"/>
  <c r="E392" i="1"/>
  <c r="D392" i="1"/>
  <c r="R391" i="1"/>
  <c r="Q391" i="1"/>
  <c r="P391" i="1"/>
  <c r="O391" i="1"/>
  <c r="N391" i="1"/>
  <c r="M391" i="1"/>
  <c r="L391" i="1"/>
  <c r="K391" i="1"/>
  <c r="J391" i="1"/>
  <c r="I391" i="1"/>
  <c r="H391" i="1"/>
  <c r="G391" i="1"/>
  <c r="F391" i="1"/>
  <c r="E391" i="1"/>
  <c r="D391" i="1"/>
  <c r="R390" i="1"/>
  <c r="Q390" i="1"/>
  <c r="P390" i="1"/>
  <c r="O390" i="1"/>
  <c r="N390" i="1"/>
  <c r="M390" i="1"/>
  <c r="L390" i="1"/>
  <c r="K390" i="1"/>
  <c r="J390" i="1"/>
  <c r="I390" i="1"/>
  <c r="H390" i="1"/>
  <c r="G390" i="1"/>
  <c r="F390" i="1"/>
  <c r="E390" i="1"/>
  <c r="D390" i="1"/>
  <c r="R389" i="1"/>
  <c r="Q389" i="1"/>
  <c r="P389" i="1"/>
  <c r="O389" i="1"/>
  <c r="N389" i="1"/>
  <c r="M389" i="1"/>
  <c r="L389" i="1"/>
  <c r="K389" i="1"/>
  <c r="J389" i="1"/>
  <c r="I389" i="1"/>
  <c r="H389" i="1"/>
  <c r="G389" i="1"/>
  <c r="F389" i="1"/>
  <c r="E389" i="1"/>
  <c r="D389" i="1"/>
  <c r="R388" i="1"/>
  <c r="Q388" i="1"/>
  <c r="P388" i="1"/>
  <c r="O388" i="1"/>
  <c r="N388" i="1"/>
  <c r="M388" i="1"/>
  <c r="L388" i="1"/>
  <c r="K388" i="1"/>
  <c r="J388" i="1"/>
  <c r="I388" i="1"/>
  <c r="H388" i="1"/>
  <c r="G388" i="1"/>
  <c r="F388" i="1"/>
  <c r="E388" i="1"/>
  <c r="D388" i="1"/>
  <c r="R387" i="1"/>
  <c r="Q387" i="1"/>
  <c r="P387" i="1"/>
  <c r="O387" i="1"/>
  <c r="N387" i="1"/>
  <c r="M387" i="1"/>
  <c r="L387" i="1"/>
  <c r="K387" i="1"/>
  <c r="J387" i="1"/>
  <c r="I387" i="1"/>
  <c r="H387" i="1"/>
  <c r="G387" i="1"/>
  <c r="F387" i="1"/>
  <c r="E387" i="1"/>
  <c r="D387" i="1"/>
  <c r="R386" i="1"/>
  <c r="Q386" i="1"/>
  <c r="P386" i="1"/>
  <c r="O386" i="1"/>
  <c r="N386" i="1"/>
  <c r="M386" i="1"/>
  <c r="L386" i="1"/>
  <c r="K386" i="1"/>
  <c r="J386" i="1"/>
  <c r="I386" i="1"/>
  <c r="H386" i="1"/>
  <c r="G386" i="1"/>
  <c r="F386" i="1"/>
  <c r="E386" i="1"/>
  <c r="D386" i="1"/>
  <c r="R385" i="1"/>
  <c r="Q385" i="1"/>
  <c r="P385" i="1"/>
  <c r="O385" i="1"/>
  <c r="N385" i="1"/>
  <c r="M385" i="1"/>
  <c r="L385" i="1"/>
  <c r="K385" i="1"/>
  <c r="J385" i="1"/>
  <c r="I385" i="1"/>
  <c r="H385" i="1"/>
  <c r="G385" i="1"/>
  <c r="F385" i="1"/>
  <c r="E385" i="1"/>
  <c r="D385" i="1"/>
  <c r="R384" i="1"/>
  <c r="Q384" i="1"/>
  <c r="P384" i="1"/>
  <c r="O384" i="1"/>
  <c r="N384" i="1"/>
  <c r="M384" i="1"/>
  <c r="L384" i="1"/>
  <c r="K384" i="1"/>
  <c r="J384" i="1"/>
  <c r="I384" i="1"/>
  <c r="H384" i="1"/>
  <c r="G384" i="1"/>
  <c r="F384" i="1"/>
  <c r="E384" i="1"/>
  <c r="R383" i="1"/>
  <c r="Q383" i="1"/>
  <c r="P383" i="1"/>
  <c r="O383" i="1"/>
  <c r="N383" i="1"/>
  <c r="M383" i="1"/>
  <c r="L383" i="1"/>
  <c r="K383" i="1"/>
  <c r="J383" i="1"/>
  <c r="I383" i="1"/>
  <c r="H383" i="1"/>
  <c r="G383" i="1"/>
  <c r="F383" i="1"/>
  <c r="E383" i="1"/>
  <c r="D383" i="1"/>
  <c r="R382" i="1"/>
  <c r="O382" i="1" s="1"/>
  <c r="Q382" i="1"/>
  <c r="N382" i="1"/>
  <c r="M382" i="1"/>
  <c r="L382" i="1"/>
  <c r="K382" i="1"/>
  <c r="J382" i="1"/>
  <c r="I382" i="1"/>
  <c r="H382" i="1"/>
  <c r="G382" i="1"/>
  <c r="F382" i="1"/>
  <c r="E382" i="1"/>
  <c r="D382" i="1"/>
  <c r="R381" i="1"/>
  <c r="Q381" i="1"/>
  <c r="P381" i="1"/>
  <c r="O381" i="1"/>
  <c r="N381" i="1"/>
  <c r="M381" i="1"/>
  <c r="L381" i="1"/>
  <c r="K381" i="1"/>
  <c r="J381" i="1"/>
  <c r="I381" i="1"/>
  <c r="H381" i="1"/>
  <c r="G381" i="1"/>
  <c r="F381" i="1"/>
  <c r="E381" i="1"/>
  <c r="D381" i="1"/>
  <c r="R380" i="1"/>
  <c r="Q380" i="1"/>
  <c r="P380" i="1"/>
  <c r="O380" i="1"/>
  <c r="N380" i="1"/>
  <c r="M380" i="1"/>
  <c r="L380" i="1"/>
  <c r="K380" i="1"/>
  <c r="J380" i="1"/>
  <c r="I380" i="1"/>
  <c r="H380" i="1"/>
  <c r="G380" i="1"/>
  <c r="F380" i="1"/>
  <c r="E380" i="1"/>
  <c r="D380" i="1"/>
  <c r="R379" i="1"/>
  <c r="Q379" i="1"/>
  <c r="P379" i="1"/>
  <c r="O379" i="1"/>
  <c r="N379" i="1"/>
  <c r="M379" i="1"/>
  <c r="L379" i="1"/>
  <c r="K379" i="1"/>
  <c r="J379" i="1"/>
  <c r="I379" i="1"/>
  <c r="H379" i="1"/>
  <c r="G379" i="1"/>
  <c r="F379" i="1"/>
  <c r="E379" i="1"/>
  <c r="D379" i="1"/>
  <c r="R378" i="1"/>
  <c r="Q378" i="1"/>
  <c r="P378" i="1"/>
  <c r="O378" i="1"/>
  <c r="N378" i="1"/>
  <c r="M378" i="1"/>
  <c r="L378" i="1"/>
  <c r="K378" i="1"/>
  <c r="J378" i="1"/>
  <c r="I378" i="1"/>
  <c r="H378" i="1"/>
  <c r="G378" i="1"/>
  <c r="F378" i="1"/>
  <c r="E378" i="1"/>
  <c r="D378" i="1"/>
  <c r="R377" i="1"/>
  <c r="Q377" i="1"/>
  <c r="P377" i="1"/>
  <c r="O377" i="1"/>
  <c r="N377" i="1"/>
  <c r="M377" i="1"/>
  <c r="L377" i="1"/>
  <c r="K377" i="1"/>
  <c r="J377" i="1"/>
  <c r="I377" i="1"/>
  <c r="H377" i="1"/>
  <c r="G377" i="1"/>
  <c r="F377" i="1"/>
  <c r="E377" i="1"/>
  <c r="D377" i="1"/>
  <c r="R376" i="1"/>
  <c r="Q376" i="1"/>
  <c r="P376" i="1"/>
  <c r="O376" i="1"/>
  <c r="N376" i="1"/>
  <c r="M376" i="1"/>
  <c r="L376" i="1"/>
  <c r="K376" i="1"/>
  <c r="J376" i="1"/>
  <c r="I376" i="1"/>
  <c r="H376" i="1"/>
  <c r="G376" i="1"/>
  <c r="F376" i="1"/>
  <c r="E376" i="1"/>
  <c r="D376" i="1"/>
  <c r="R375" i="1"/>
  <c r="Q375" i="1"/>
  <c r="P375" i="1"/>
  <c r="O375" i="1"/>
  <c r="N375" i="1"/>
  <c r="M375" i="1"/>
  <c r="L375" i="1"/>
  <c r="K375" i="1"/>
  <c r="J375" i="1"/>
  <c r="I375" i="1"/>
  <c r="H375" i="1"/>
  <c r="G375" i="1"/>
  <c r="F375" i="1"/>
  <c r="E375" i="1"/>
  <c r="D375" i="1"/>
  <c r="R374" i="1"/>
  <c r="Q374" i="1"/>
  <c r="O374" i="1"/>
  <c r="N374" i="1"/>
  <c r="M374" i="1"/>
  <c r="L374" i="1"/>
  <c r="K374" i="1"/>
  <c r="J374" i="1"/>
  <c r="I374" i="1"/>
  <c r="H374" i="1"/>
  <c r="G374" i="1"/>
  <c r="F374" i="1"/>
  <c r="E374" i="1"/>
  <c r="D374" i="1"/>
  <c r="R373" i="1"/>
  <c r="Q373" i="1"/>
  <c r="O373" i="1"/>
  <c r="N373" i="1"/>
  <c r="M373" i="1"/>
  <c r="L373" i="1"/>
  <c r="K373" i="1"/>
  <c r="J373" i="1"/>
  <c r="I373" i="1"/>
  <c r="H373" i="1"/>
  <c r="G373" i="1"/>
  <c r="F373" i="1"/>
  <c r="E373" i="1"/>
  <c r="D373" i="1"/>
  <c r="R372" i="1"/>
  <c r="Q372" i="1"/>
  <c r="P372" i="1"/>
  <c r="O372" i="1"/>
  <c r="N372" i="1"/>
  <c r="M372" i="1"/>
  <c r="L372" i="1"/>
  <c r="K372" i="1"/>
  <c r="J372" i="1"/>
  <c r="I372" i="1"/>
  <c r="H372" i="1"/>
  <c r="G372" i="1"/>
  <c r="F372" i="1"/>
  <c r="E372" i="1"/>
  <c r="D372" i="1"/>
  <c r="R370" i="1"/>
  <c r="Q370" i="1"/>
  <c r="P370" i="1"/>
  <c r="O370" i="1"/>
  <c r="N370" i="1"/>
  <c r="M370" i="1"/>
  <c r="L370" i="1"/>
  <c r="K370" i="1"/>
  <c r="J370" i="1"/>
  <c r="I370" i="1"/>
  <c r="H370" i="1"/>
  <c r="G370" i="1"/>
  <c r="F370" i="1"/>
  <c r="E370" i="1"/>
  <c r="D370" i="1"/>
  <c r="R369" i="1"/>
  <c r="Q369" i="1"/>
  <c r="P369" i="1"/>
  <c r="O369" i="1"/>
  <c r="N369" i="1"/>
  <c r="M369" i="1"/>
  <c r="L369" i="1"/>
  <c r="K369" i="1"/>
  <c r="J369" i="1"/>
  <c r="I369" i="1"/>
  <c r="H369" i="1"/>
  <c r="G369" i="1"/>
  <c r="F369" i="1"/>
  <c r="E369" i="1"/>
  <c r="D369" i="1"/>
  <c r="R368" i="1"/>
  <c r="Q368" i="1"/>
  <c r="P368" i="1"/>
  <c r="O368" i="1"/>
  <c r="N368" i="1"/>
  <c r="M368" i="1"/>
  <c r="L368" i="1"/>
  <c r="K368" i="1"/>
  <c r="J368" i="1"/>
  <c r="I368" i="1"/>
  <c r="H368" i="1"/>
  <c r="G368" i="1"/>
  <c r="F368" i="1"/>
  <c r="E368" i="1"/>
  <c r="D368" i="1"/>
  <c r="R367" i="1"/>
  <c r="Q367" i="1"/>
  <c r="P367" i="1"/>
  <c r="O367" i="1"/>
  <c r="N367" i="1"/>
  <c r="M367" i="1"/>
  <c r="L367" i="1"/>
  <c r="K367" i="1"/>
  <c r="J367" i="1"/>
  <c r="I367" i="1"/>
  <c r="H367" i="1"/>
  <c r="G367" i="1"/>
  <c r="F367" i="1"/>
  <c r="E367" i="1"/>
  <c r="D367" i="1"/>
  <c r="R366" i="1"/>
  <c r="O366" i="1" s="1"/>
  <c r="P366" i="1"/>
  <c r="N366" i="1"/>
  <c r="M366" i="1"/>
  <c r="L366" i="1"/>
  <c r="K366" i="1"/>
  <c r="J366" i="1"/>
  <c r="I366" i="1"/>
  <c r="H366" i="1"/>
  <c r="G366" i="1"/>
  <c r="F366" i="1"/>
  <c r="E366" i="1"/>
  <c r="D366" i="1"/>
  <c r="R365" i="1"/>
  <c r="Q365" i="1"/>
  <c r="P365" i="1"/>
  <c r="O365" i="1"/>
  <c r="N365" i="1"/>
  <c r="M365" i="1"/>
  <c r="L365" i="1"/>
  <c r="K365" i="1"/>
  <c r="J365" i="1"/>
  <c r="I365" i="1"/>
  <c r="H365" i="1"/>
  <c r="G365" i="1"/>
  <c r="F365" i="1"/>
  <c r="E365" i="1"/>
  <c r="D365" i="1"/>
  <c r="R364" i="1"/>
  <c r="Q364" i="1"/>
  <c r="P364" i="1"/>
  <c r="O364" i="1"/>
  <c r="N364" i="1"/>
  <c r="M364" i="1"/>
  <c r="L364" i="1"/>
  <c r="K364" i="1"/>
  <c r="J364" i="1"/>
  <c r="I364" i="1"/>
  <c r="H364" i="1"/>
  <c r="G364" i="1"/>
  <c r="F364" i="1"/>
  <c r="E364" i="1"/>
  <c r="R363" i="1"/>
  <c r="Q363" i="1"/>
  <c r="P363" i="1"/>
  <c r="O363" i="1"/>
  <c r="N363" i="1"/>
  <c r="M363" i="1"/>
  <c r="L363" i="1"/>
  <c r="K363" i="1"/>
  <c r="J363" i="1"/>
  <c r="I363" i="1"/>
  <c r="H363" i="1"/>
  <c r="G363" i="1"/>
  <c r="F363" i="1"/>
  <c r="E363" i="1"/>
  <c r="D363" i="1"/>
  <c r="R362" i="1"/>
  <c r="Q362" i="1"/>
  <c r="P362" i="1"/>
  <c r="O362" i="1"/>
  <c r="N362" i="1"/>
  <c r="M362" i="1"/>
  <c r="L362" i="1"/>
  <c r="K362" i="1"/>
  <c r="J362" i="1"/>
  <c r="I362" i="1"/>
  <c r="H362" i="1"/>
  <c r="G362" i="1"/>
  <c r="F362" i="1"/>
  <c r="E362" i="1"/>
  <c r="D362" i="1"/>
  <c r="R361" i="1"/>
  <c r="Q361" i="1"/>
  <c r="P361" i="1"/>
  <c r="O361" i="1"/>
  <c r="N361" i="1"/>
  <c r="M361" i="1"/>
  <c r="L361" i="1"/>
  <c r="K361" i="1"/>
  <c r="J361" i="1"/>
  <c r="I361" i="1"/>
  <c r="H361" i="1"/>
  <c r="G361" i="1"/>
  <c r="F361" i="1"/>
  <c r="E361" i="1"/>
  <c r="D361" i="1"/>
  <c r="R360" i="1"/>
  <c r="Q360" i="1"/>
  <c r="P360" i="1"/>
  <c r="O360" i="1"/>
  <c r="N360" i="1"/>
  <c r="M360" i="1"/>
  <c r="L360" i="1"/>
  <c r="K360" i="1"/>
  <c r="J360" i="1"/>
  <c r="I360" i="1"/>
  <c r="H360" i="1"/>
  <c r="G360" i="1"/>
  <c r="F360" i="1"/>
  <c r="E360" i="1"/>
  <c r="D360" i="1"/>
  <c r="R359" i="1"/>
  <c r="Q359" i="1"/>
  <c r="P359" i="1"/>
  <c r="O359" i="1"/>
  <c r="N359" i="1"/>
  <c r="M359" i="1"/>
  <c r="L359" i="1"/>
  <c r="K359" i="1"/>
  <c r="J359" i="1"/>
  <c r="I359" i="1"/>
  <c r="H359" i="1"/>
  <c r="G359" i="1"/>
  <c r="F359" i="1"/>
  <c r="E359" i="1"/>
  <c r="D359" i="1"/>
  <c r="R358" i="1"/>
  <c r="Q358" i="1"/>
  <c r="P358" i="1"/>
  <c r="O358" i="1"/>
  <c r="N358" i="1"/>
  <c r="M358" i="1"/>
  <c r="L358" i="1"/>
  <c r="K358" i="1"/>
  <c r="J358" i="1"/>
  <c r="I358" i="1"/>
  <c r="H358" i="1"/>
  <c r="G358" i="1"/>
  <c r="F358" i="1"/>
  <c r="E358" i="1"/>
  <c r="D358" i="1"/>
  <c r="R357" i="1"/>
  <c r="Q357" i="1"/>
  <c r="P357" i="1"/>
  <c r="O357" i="1"/>
  <c r="N357" i="1"/>
  <c r="M357" i="1"/>
  <c r="L357" i="1"/>
  <c r="K357" i="1"/>
  <c r="J357" i="1"/>
  <c r="I357" i="1"/>
  <c r="H357" i="1"/>
  <c r="G357" i="1"/>
  <c r="F357" i="1"/>
  <c r="E357" i="1"/>
  <c r="D357" i="1"/>
  <c r="R356" i="1"/>
  <c r="Q356" i="1"/>
  <c r="P356" i="1"/>
  <c r="O356" i="1"/>
  <c r="N356" i="1"/>
  <c r="M356" i="1"/>
  <c r="L356" i="1"/>
  <c r="K356" i="1"/>
  <c r="J356" i="1"/>
  <c r="I356" i="1"/>
  <c r="H356" i="1"/>
  <c r="G356" i="1"/>
  <c r="F356" i="1"/>
  <c r="E356" i="1"/>
  <c r="D356" i="1"/>
  <c r="R355" i="1"/>
  <c r="Q355" i="1"/>
  <c r="P355" i="1"/>
  <c r="O355" i="1"/>
  <c r="N355" i="1"/>
  <c r="M355" i="1"/>
  <c r="L355" i="1"/>
  <c r="K355" i="1"/>
  <c r="J355" i="1"/>
  <c r="I355" i="1"/>
  <c r="H355" i="1"/>
  <c r="G355" i="1"/>
  <c r="F355" i="1"/>
  <c r="E355" i="1"/>
  <c r="R354" i="1"/>
  <c r="Q354" i="1"/>
  <c r="P354" i="1"/>
  <c r="O354" i="1"/>
  <c r="N354" i="1"/>
  <c r="M354" i="1"/>
  <c r="L354" i="1"/>
  <c r="K354" i="1"/>
  <c r="J354" i="1"/>
  <c r="I354" i="1"/>
  <c r="H354" i="1"/>
  <c r="G354" i="1"/>
  <c r="F354" i="1"/>
  <c r="E354" i="1"/>
  <c r="D354" i="1"/>
  <c r="R353" i="1"/>
  <c r="Q353" i="1"/>
  <c r="P353" i="1"/>
  <c r="O353" i="1"/>
  <c r="N353" i="1"/>
  <c r="M353" i="1"/>
  <c r="L353" i="1"/>
  <c r="K353" i="1"/>
  <c r="J353" i="1"/>
  <c r="I353" i="1"/>
  <c r="H353" i="1"/>
  <c r="G353" i="1"/>
  <c r="F353" i="1"/>
  <c r="E353" i="1"/>
  <c r="D353" i="1"/>
  <c r="R352" i="1"/>
  <c r="Q352" i="1"/>
  <c r="P352" i="1"/>
  <c r="O352" i="1"/>
  <c r="N352" i="1"/>
  <c r="M352" i="1"/>
  <c r="L352" i="1"/>
  <c r="K352" i="1"/>
  <c r="J352" i="1"/>
  <c r="I352" i="1"/>
  <c r="H352" i="1"/>
  <c r="G352" i="1"/>
  <c r="F352" i="1"/>
  <c r="E352" i="1"/>
  <c r="D352" i="1"/>
  <c r="R351" i="1"/>
  <c r="Q351" i="1"/>
  <c r="P351" i="1"/>
  <c r="O351" i="1"/>
  <c r="N351" i="1"/>
  <c r="M351" i="1"/>
  <c r="L351" i="1"/>
  <c r="K351" i="1"/>
  <c r="J351" i="1"/>
  <c r="I351" i="1"/>
  <c r="H351" i="1"/>
  <c r="G351" i="1"/>
  <c r="F351" i="1"/>
  <c r="E351" i="1"/>
  <c r="D351" i="1"/>
  <c r="R350" i="1"/>
  <c r="Q350" i="1"/>
  <c r="P350" i="1"/>
  <c r="O350" i="1"/>
  <c r="N350" i="1"/>
  <c r="M350" i="1"/>
  <c r="L350" i="1"/>
  <c r="K350" i="1"/>
  <c r="J350" i="1"/>
  <c r="I350" i="1"/>
  <c r="H350" i="1"/>
  <c r="G350" i="1"/>
  <c r="F350" i="1"/>
  <c r="E350" i="1"/>
  <c r="D350" i="1"/>
  <c r="R349" i="1"/>
  <c r="Q349" i="1"/>
  <c r="P349" i="1"/>
  <c r="O349" i="1"/>
  <c r="N349" i="1"/>
  <c r="M349" i="1"/>
  <c r="L349" i="1"/>
  <c r="K349" i="1"/>
  <c r="J349" i="1"/>
  <c r="I349" i="1"/>
  <c r="H349" i="1"/>
  <c r="G349" i="1"/>
  <c r="F349" i="1"/>
  <c r="E349" i="1"/>
  <c r="D349" i="1"/>
  <c r="R348" i="1"/>
  <c r="Q348" i="1"/>
  <c r="P348" i="1"/>
  <c r="O348" i="1"/>
  <c r="N348" i="1"/>
  <c r="M348" i="1"/>
  <c r="L348" i="1"/>
  <c r="K348" i="1"/>
  <c r="J348" i="1"/>
  <c r="I348" i="1"/>
  <c r="H348" i="1"/>
  <c r="G348" i="1"/>
  <c r="F348" i="1"/>
  <c r="E348" i="1"/>
  <c r="D348" i="1"/>
  <c r="R347" i="1"/>
  <c r="Q347" i="1"/>
  <c r="P347" i="1"/>
  <c r="O347" i="1"/>
  <c r="N347" i="1"/>
  <c r="M347" i="1"/>
  <c r="L347" i="1"/>
  <c r="K347" i="1"/>
  <c r="J347" i="1"/>
  <c r="I347" i="1"/>
  <c r="H347" i="1"/>
  <c r="G347" i="1"/>
  <c r="F347" i="1"/>
  <c r="E347" i="1"/>
  <c r="D347" i="1"/>
  <c r="R346" i="1"/>
  <c r="Q346" i="1"/>
  <c r="P346" i="1"/>
  <c r="O346" i="1"/>
  <c r="N346" i="1"/>
  <c r="M346" i="1"/>
  <c r="L346" i="1"/>
  <c r="K346" i="1"/>
  <c r="J346" i="1"/>
  <c r="I346" i="1"/>
  <c r="H346" i="1"/>
  <c r="G346" i="1"/>
  <c r="F346" i="1"/>
  <c r="E346" i="1"/>
  <c r="D346" i="1"/>
  <c r="R345" i="1"/>
  <c r="Q345" i="1"/>
  <c r="P345" i="1"/>
  <c r="O345" i="1"/>
  <c r="N345" i="1"/>
  <c r="M345" i="1"/>
  <c r="L345" i="1"/>
  <c r="K345" i="1"/>
  <c r="J345" i="1"/>
  <c r="I345" i="1"/>
  <c r="H345" i="1"/>
  <c r="G345" i="1"/>
  <c r="F345" i="1"/>
  <c r="E345" i="1"/>
  <c r="D345" i="1"/>
  <c r="R344" i="1"/>
  <c r="Q344" i="1"/>
  <c r="P344" i="1"/>
  <c r="O344" i="1"/>
  <c r="N344" i="1"/>
  <c r="M344" i="1"/>
  <c r="L344" i="1"/>
  <c r="K344" i="1"/>
  <c r="J344" i="1"/>
  <c r="I344" i="1"/>
  <c r="H344" i="1"/>
  <c r="G344" i="1"/>
  <c r="F344" i="1"/>
  <c r="E344" i="1"/>
  <c r="R343" i="1"/>
  <c r="Q343" i="1"/>
  <c r="P343" i="1"/>
  <c r="O343" i="1"/>
  <c r="N343" i="1"/>
  <c r="M343" i="1"/>
  <c r="L343" i="1"/>
  <c r="K343" i="1"/>
  <c r="J343" i="1"/>
  <c r="I343" i="1"/>
  <c r="H343" i="1"/>
  <c r="G343" i="1"/>
  <c r="F343" i="1"/>
  <c r="E343" i="1"/>
  <c r="D343" i="1"/>
  <c r="R342" i="1"/>
  <c r="O342" i="1" s="1"/>
  <c r="P342" i="1"/>
  <c r="N342" i="1"/>
  <c r="M342" i="1"/>
  <c r="L342" i="1"/>
  <c r="K342" i="1"/>
  <c r="J342" i="1"/>
  <c r="I342" i="1"/>
  <c r="H342" i="1"/>
  <c r="G342" i="1"/>
  <c r="F342" i="1"/>
  <c r="E342" i="1"/>
  <c r="D342" i="1"/>
  <c r="R341" i="1"/>
  <c r="Q341" i="1"/>
  <c r="P341" i="1"/>
  <c r="O341" i="1"/>
  <c r="N341" i="1"/>
  <c r="M341" i="1"/>
  <c r="L341" i="1"/>
  <c r="K341" i="1"/>
  <c r="J341" i="1"/>
  <c r="I341" i="1"/>
  <c r="H341" i="1"/>
  <c r="G341" i="1"/>
  <c r="F341" i="1"/>
  <c r="E341" i="1"/>
  <c r="D341" i="1"/>
  <c r="R340" i="1"/>
  <c r="Q340" i="1"/>
  <c r="P340" i="1"/>
  <c r="O340" i="1"/>
  <c r="N340" i="1"/>
  <c r="M340" i="1"/>
  <c r="L340" i="1"/>
  <c r="K340" i="1"/>
  <c r="J340" i="1"/>
  <c r="I340" i="1"/>
  <c r="H340" i="1"/>
  <c r="G340" i="1"/>
  <c r="F340" i="1"/>
  <c r="E340" i="1"/>
  <c r="D340" i="1"/>
  <c r="R339" i="1"/>
  <c r="Q339" i="1"/>
  <c r="P339" i="1"/>
  <c r="O339" i="1"/>
  <c r="N339" i="1"/>
  <c r="M339" i="1"/>
  <c r="L339" i="1"/>
  <c r="K339" i="1"/>
  <c r="J339" i="1"/>
  <c r="I339" i="1"/>
  <c r="H339" i="1"/>
  <c r="G339" i="1"/>
  <c r="F339" i="1"/>
  <c r="E339" i="1"/>
  <c r="D339" i="1"/>
  <c r="R338" i="1"/>
  <c r="Q338" i="1"/>
  <c r="P338" i="1"/>
  <c r="O338" i="1"/>
  <c r="N338" i="1"/>
  <c r="M338" i="1"/>
  <c r="L338" i="1"/>
  <c r="K338" i="1"/>
  <c r="J338" i="1"/>
  <c r="I338" i="1"/>
  <c r="H338" i="1"/>
  <c r="G338" i="1"/>
  <c r="F338" i="1"/>
  <c r="E338" i="1"/>
  <c r="D338" i="1"/>
  <c r="R337" i="1"/>
  <c r="Q337" i="1"/>
  <c r="P337" i="1"/>
  <c r="O337" i="1"/>
  <c r="N337" i="1"/>
  <c r="M337" i="1"/>
  <c r="L337" i="1"/>
  <c r="K337" i="1"/>
  <c r="J337" i="1"/>
  <c r="I337" i="1"/>
  <c r="H337" i="1"/>
  <c r="G337" i="1"/>
  <c r="F337" i="1"/>
  <c r="E337" i="1"/>
  <c r="D337" i="1"/>
  <c r="R336" i="1"/>
  <c r="Q336" i="1"/>
  <c r="P336" i="1"/>
  <c r="O336" i="1"/>
  <c r="N336" i="1"/>
  <c r="M336" i="1"/>
  <c r="L336" i="1"/>
  <c r="K336" i="1"/>
  <c r="J336" i="1"/>
  <c r="I336" i="1"/>
  <c r="H336" i="1"/>
  <c r="G336" i="1"/>
  <c r="F336" i="1"/>
  <c r="E336" i="1"/>
  <c r="D336" i="1"/>
  <c r="R335" i="1"/>
  <c r="Q335" i="1"/>
  <c r="P335" i="1"/>
  <c r="O335" i="1"/>
  <c r="N335" i="1"/>
  <c r="M335" i="1"/>
  <c r="L335" i="1"/>
  <c r="K335" i="1"/>
  <c r="J335" i="1"/>
  <c r="I335" i="1"/>
  <c r="H335" i="1"/>
  <c r="G335" i="1"/>
  <c r="F335" i="1"/>
  <c r="E335" i="1"/>
  <c r="D335" i="1"/>
  <c r="R334" i="1"/>
  <c r="P334" i="1"/>
  <c r="O334" i="1"/>
  <c r="N334" i="1"/>
  <c r="M334" i="1"/>
  <c r="L334" i="1"/>
  <c r="K334" i="1"/>
  <c r="J334" i="1"/>
  <c r="I334" i="1"/>
  <c r="H334" i="1"/>
  <c r="G334" i="1"/>
  <c r="F334" i="1"/>
  <c r="E334" i="1"/>
  <c r="D334" i="1"/>
  <c r="R333" i="1"/>
  <c r="P333" i="1"/>
  <c r="O333" i="1"/>
  <c r="N333" i="1"/>
  <c r="M333" i="1"/>
  <c r="L333" i="1"/>
  <c r="K333" i="1"/>
  <c r="J333" i="1"/>
  <c r="I333" i="1"/>
  <c r="H333" i="1"/>
  <c r="G333" i="1"/>
  <c r="F333" i="1"/>
  <c r="E333" i="1"/>
  <c r="D333" i="1"/>
  <c r="R332" i="1"/>
  <c r="Q332" i="1"/>
  <c r="P332" i="1"/>
  <c r="O332" i="1"/>
  <c r="N332" i="1"/>
  <c r="M332" i="1"/>
  <c r="L332" i="1"/>
  <c r="K332" i="1"/>
  <c r="J332" i="1"/>
  <c r="I332" i="1"/>
  <c r="H332" i="1"/>
  <c r="G332" i="1"/>
  <c r="F332" i="1"/>
  <c r="E332" i="1"/>
  <c r="D332" i="1"/>
  <c r="R330" i="1"/>
  <c r="Q330" i="1"/>
  <c r="P330" i="1"/>
  <c r="O330" i="1"/>
  <c r="N330" i="1"/>
  <c r="M330" i="1"/>
  <c r="L330" i="1"/>
  <c r="K330" i="1"/>
  <c r="J330" i="1"/>
  <c r="I330" i="1"/>
  <c r="H330" i="1"/>
  <c r="G330" i="1"/>
  <c r="F330" i="1"/>
  <c r="E330" i="1"/>
  <c r="D330" i="1"/>
  <c r="R329" i="1"/>
  <c r="Q329" i="1"/>
  <c r="P329" i="1"/>
  <c r="O329" i="1"/>
  <c r="N329" i="1"/>
  <c r="M329" i="1"/>
  <c r="L329" i="1"/>
  <c r="K329" i="1"/>
  <c r="J329" i="1"/>
  <c r="I329" i="1"/>
  <c r="H329" i="1"/>
  <c r="G329" i="1"/>
  <c r="F329" i="1"/>
  <c r="E329" i="1"/>
  <c r="D329" i="1"/>
  <c r="R328" i="1"/>
  <c r="Q328" i="1"/>
  <c r="P328" i="1"/>
  <c r="O328" i="1"/>
  <c r="N328" i="1"/>
  <c r="M328" i="1"/>
  <c r="L328" i="1"/>
  <c r="K328" i="1"/>
  <c r="J328" i="1"/>
  <c r="I328" i="1"/>
  <c r="H328" i="1"/>
  <c r="G328" i="1"/>
  <c r="F328" i="1"/>
  <c r="E328" i="1"/>
  <c r="D328" i="1"/>
  <c r="R327" i="1"/>
  <c r="Q327" i="1"/>
  <c r="P327" i="1"/>
  <c r="O327" i="1"/>
  <c r="N327" i="1"/>
  <c r="M327" i="1"/>
  <c r="L327" i="1"/>
  <c r="K327" i="1"/>
  <c r="J327" i="1"/>
  <c r="I327" i="1"/>
  <c r="H327" i="1"/>
  <c r="G327" i="1"/>
  <c r="F327" i="1"/>
  <c r="E327" i="1"/>
  <c r="D327" i="1"/>
  <c r="R326" i="1"/>
  <c r="Q326" i="1"/>
  <c r="P326" i="1"/>
  <c r="O326" i="1"/>
  <c r="N326" i="1"/>
  <c r="M326" i="1"/>
  <c r="L326" i="1"/>
  <c r="K326" i="1"/>
  <c r="J326" i="1"/>
  <c r="I326" i="1"/>
  <c r="H326" i="1"/>
  <c r="G326" i="1"/>
  <c r="F326" i="1"/>
  <c r="E326" i="1"/>
  <c r="D326" i="1"/>
  <c r="R325" i="1"/>
  <c r="Q325" i="1"/>
  <c r="P325" i="1"/>
  <c r="O325" i="1"/>
  <c r="N325" i="1"/>
  <c r="M325" i="1"/>
  <c r="L325" i="1"/>
  <c r="K325" i="1"/>
  <c r="J325" i="1"/>
  <c r="I325" i="1"/>
  <c r="H325" i="1"/>
  <c r="G325" i="1"/>
  <c r="F325" i="1"/>
  <c r="E325" i="1"/>
  <c r="D325" i="1"/>
  <c r="R324" i="1"/>
  <c r="O324" i="1" s="1"/>
  <c r="P324" i="1"/>
  <c r="N324" i="1"/>
  <c r="M324" i="1"/>
  <c r="L324" i="1"/>
  <c r="K324" i="1"/>
  <c r="J324" i="1"/>
  <c r="I324" i="1"/>
  <c r="H324" i="1"/>
  <c r="G324" i="1"/>
  <c r="F324" i="1"/>
  <c r="E324" i="1"/>
  <c r="D324" i="1"/>
  <c r="R323" i="1"/>
  <c r="Q323" i="1"/>
  <c r="P323" i="1"/>
  <c r="O323" i="1"/>
  <c r="N323" i="1"/>
  <c r="M323" i="1"/>
  <c r="L323" i="1"/>
  <c r="K323" i="1"/>
  <c r="J323" i="1"/>
  <c r="I323" i="1"/>
  <c r="H323" i="1"/>
  <c r="G323" i="1"/>
  <c r="F323" i="1"/>
  <c r="E323" i="1"/>
  <c r="D323" i="1"/>
  <c r="R322" i="1"/>
  <c r="Q322" i="1"/>
  <c r="P322" i="1"/>
  <c r="O322" i="1"/>
  <c r="N322" i="1"/>
  <c r="M322" i="1"/>
  <c r="L322" i="1"/>
  <c r="K322" i="1"/>
  <c r="J322" i="1"/>
  <c r="I322" i="1"/>
  <c r="H322" i="1"/>
  <c r="G322" i="1"/>
  <c r="F322" i="1"/>
  <c r="E322" i="1"/>
  <c r="R321" i="1"/>
  <c r="Q321" i="1"/>
  <c r="P321" i="1"/>
  <c r="O321" i="1"/>
  <c r="N321" i="1"/>
  <c r="M321" i="1"/>
  <c r="L321" i="1"/>
  <c r="K321" i="1"/>
  <c r="J321" i="1"/>
  <c r="I321" i="1"/>
  <c r="H321" i="1"/>
  <c r="G321" i="1"/>
  <c r="F321" i="1"/>
  <c r="E321" i="1"/>
  <c r="D321" i="1"/>
  <c r="R320" i="1"/>
  <c r="Q320" i="1"/>
  <c r="P320" i="1"/>
  <c r="O320" i="1"/>
  <c r="N320" i="1"/>
  <c r="M320" i="1"/>
  <c r="L320" i="1"/>
  <c r="K320" i="1"/>
  <c r="J320" i="1"/>
  <c r="I320" i="1"/>
  <c r="H320" i="1"/>
  <c r="G320" i="1"/>
  <c r="F320" i="1"/>
  <c r="E320" i="1"/>
  <c r="D320" i="1"/>
  <c r="R319" i="1"/>
  <c r="Q319" i="1"/>
  <c r="P319" i="1"/>
  <c r="O319" i="1"/>
  <c r="N319" i="1"/>
  <c r="M319" i="1"/>
  <c r="L319" i="1"/>
  <c r="K319" i="1"/>
  <c r="J319" i="1"/>
  <c r="I319" i="1"/>
  <c r="H319" i="1"/>
  <c r="G319" i="1"/>
  <c r="F319" i="1"/>
  <c r="E319" i="1"/>
  <c r="D319" i="1"/>
  <c r="R318" i="1"/>
  <c r="Q318" i="1"/>
  <c r="P318" i="1"/>
  <c r="O318" i="1"/>
  <c r="N318" i="1"/>
  <c r="M318" i="1"/>
  <c r="L318" i="1"/>
  <c r="K318" i="1"/>
  <c r="J318" i="1"/>
  <c r="I318" i="1"/>
  <c r="H318" i="1"/>
  <c r="G318" i="1"/>
  <c r="F318" i="1"/>
  <c r="E318" i="1"/>
  <c r="D318" i="1"/>
  <c r="R317" i="1"/>
  <c r="Q317" i="1"/>
  <c r="P317" i="1"/>
  <c r="O317" i="1"/>
  <c r="N317" i="1"/>
  <c r="M317" i="1"/>
  <c r="L317" i="1"/>
  <c r="K317" i="1"/>
  <c r="J317" i="1"/>
  <c r="I317" i="1"/>
  <c r="H317" i="1"/>
  <c r="G317" i="1"/>
  <c r="F317" i="1"/>
  <c r="E317" i="1"/>
  <c r="D317" i="1"/>
  <c r="R316" i="1"/>
  <c r="Q316" i="1"/>
  <c r="P316" i="1"/>
  <c r="O316" i="1"/>
  <c r="N316" i="1"/>
  <c r="M316" i="1"/>
  <c r="L316" i="1"/>
  <c r="K316" i="1"/>
  <c r="J316" i="1"/>
  <c r="I316" i="1"/>
  <c r="H316" i="1"/>
  <c r="G316" i="1"/>
  <c r="F316" i="1"/>
  <c r="E316" i="1"/>
  <c r="D316" i="1"/>
  <c r="R315" i="1"/>
  <c r="Q315" i="1"/>
  <c r="P315" i="1"/>
  <c r="O315" i="1"/>
  <c r="N315" i="1"/>
  <c r="M315" i="1"/>
  <c r="L315" i="1"/>
  <c r="K315" i="1"/>
  <c r="J315" i="1"/>
  <c r="I315" i="1"/>
  <c r="H315" i="1"/>
  <c r="G315" i="1"/>
  <c r="F315" i="1"/>
  <c r="E315" i="1"/>
  <c r="D315" i="1"/>
  <c r="R314" i="1"/>
  <c r="Q314" i="1"/>
  <c r="P314" i="1"/>
  <c r="O314" i="1"/>
  <c r="N314" i="1"/>
  <c r="M314" i="1"/>
  <c r="L314" i="1"/>
  <c r="K314" i="1"/>
  <c r="J314" i="1"/>
  <c r="I314" i="1"/>
  <c r="H314" i="1"/>
  <c r="G314" i="1"/>
  <c r="F314" i="1"/>
  <c r="E314" i="1"/>
  <c r="D314" i="1"/>
  <c r="R313" i="1"/>
  <c r="Q313" i="1"/>
  <c r="P313" i="1"/>
  <c r="O313" i="1"/>
  <c r="N313" i="1"/>
  <c r="M313" i="1"/>
  <c r="L313" i="1"/>
  <c r="K313" i="1"/>
  <c r="J313" i="1"/>
  <c r="I313" i="1"/>
  <c r="H313" i="1"/>
  <c r="G313" i="1"/>
  <c r="F313" i="1"/>
  <c r="E313" i="1"/>
  <c r="D313" i="1"/>
  <c r="R312" i="1"/>
  <c r="Q312" i="1"/>
  <c r="P312" i="1"/>
  <c r="O312" i="1"/>
  <c r="N312" i="1"/>
  <c r="M312" i="1"/>
  <c r="L312" i="1"/>
  <c r="K312" i="1"/>
  <c r="J312" i="1"/>
  <c r="I312" i="1"/>
  <c r="H312" i="1"/>
  <c r="G312" i="1"/>
  <c r="F312" i="1"/>
  <c r="E312" i="1"/>
  <c r="R311" i="1"/>
  <c r="Q311" i="1"/>
  <c r="P311" i="1"/>
  <c r="O311" i="1"/>
  <c r="N311" i="1"/>
  <c r="M311" i="1"/>
  <c r="L311" i="1"/>
  <c r="K311" i="1"/>
  <c r="J311" i="1"/>
  <c r="I311" i="1"/>
  <c r="H311" i="1"/>
  <c r="G311" i="1"/>
  <c r="F311" i="1"/>
  <c r="E311" i="1"/>
  <c r="D311" i="1"/>
  <c r="R310" i="1"/>
  <c r="Q310" i="1"/>
  <c r="P310" i="1"/>
  <c r="O310" i="1"/>
  <c r="N310" i="1"/>
  <c r="M310" i="1"/>
  <c r="L310" i="1"/>
  <c r="K310" i="1"/>
  <c r="J310" i="1"/>
  <c r="I310" i="1"/>
  <c r="H310" i="1"/>
  <c r="G310" i="1"/>
  <c r="F310" i="1"/>
  <c r="E310" i="1"/>
  <c r="D310" i="1"/>
  <c r="R309" i="1"/>
  <c r="Q309" i="1"/>
  <c r="P309" i="1"/>
  <c r="O309" i="1"/>
  <c r="N309" i="1"/>
  <c r="M309" i="1"/>
  <c r="L309" i="1"/>
  <c r="K309" i="1"/>
  <c r="J309" i="1"/>
  <c r="I309" i="1"/>
  <c r="H309" i="1"/>
  <c r="G309" i="1"/>
  <c r="F309" i="1"/>
  <c r="E309" i="1"/>
  <c r="D309" i="1"/>
  <c r="R308" i="1"/>
  <c r="Q308" i="1"/>
  <c r="P308" i="1"/>
  <c r="O308" i="1"/>
  <c r="N308" i="1"/>
  <c r="M308" i="1"/>
  <c r="L308" i="1"/>
  <c r="K308" i="1"/>
  <c r="J308" i="1"/>
  <c r="I308" i="1"/>
  <c r="H308" i="1"/>
  <c r="G308" i="1"/>
  <c r="F308" i="1"/>
  <c r="E308" i="1"/>
  <c r="D308" i="1"/>
  <c r="R307" i="1"/>
  <c r="Q307" i="1"/>
  <c r="P307" i="1"/>
  <c r="O307" i="1"/>
  <c r="N307" i="1"/>
  <c r="M307" i="1"/>
  <c r="L307" i="1"/>
  <c r="K307" i="1"/>
  <c r="J307" i="1"/>
  <c r="I307" i="1"/>
  <c r="H307" i="1"/>
  <c r="G307" i="1"/>
  <c r="F307" i="1"/>
  <c r="E307" i="1"/>
  <c r="D307" i="1"/>
  <c r="R306" i="1"/>
  <c r="Q306" i="1"/>
  <c r="P306" i="1"/>
  <c r="O306" i="1"/>
  <c r="N306" i="1"/>
  <c r="M306" i="1"/>
  <c r="L306" i="1"/>
  <c r="K306" i="1"/>
  <c r="J306" i="1"/>
  <c r="I306" i="1"/>
  <c r="H306" i="1"/>
  <c r="G306" i="1"/>
  <c r="F306" i="1"/>
  <c r="E306" i="1"/>
  <c r="D306" i="1"/>
  <c r="R305" i="1"/>
  <c r="Q305" i="1"/>
  <c r="P305" i="1"/>
  <c r="O305" i="1"/>
  <c r="N305" i="1"/>
  <c r="M305" i="1"/>
  <c r="L305" i="1"/>
  <c r="K305" i="1"/>
  <c r="J305" i="1"/>
  <c r="I305" i="1"/>
  <c r="H305" i="1"/>
  <c r="G305" i="1"/>
  <c r="F305" i="1"/>
  <c r="E305" i="1"/>
  <c r="D305" i="1"/>
  <c r="R304" i="1"/>
  <c r="Q304" i="1"/>
  <c r="P304" i="1"/>
  <c r="O304" i="1"/>
  <c r="N304" i="1"/>
  <c r="M304" i="1"/>
  <c r="L304" i="1"/>
  <c r="K304" i="1"/>
  <c r="J304" i="1"/>
  <c r="I304" i="1"/>
  <c r="H304" i="1"/>
  <c r="G304" i="1"/>
  <c r="F304" i="1"/>
  <c r="E304" i="1"/>
  <c r="D304" i="1"/>
  <c r="R303" i="1"/>
  <c r="Q303" i="1"/>
  <c r="P303" i="1"/>
  <c r="O303" i="1"/>
  <c r="N303" i="1"/>
  <c r="M303" i="1"/>
  <c r="L303" i="1"/>
  <c r="K303" i="1"/>
  <c r="J303" i="1"/>
  <c r="I303" i="1"/>
  <c r="H303" i="1"/>
  <c r="G303" i="1"/>
  <c r="F303" i="1"/>
  <c r="E303" i="1"/>
  <c r="R302" i="1"/>
  <c r="Q302" i="1"/>
  <c r="P302" i="1"/>
  <c r="O302" i="1"/>
  <c r="N302" i="1"/>
  <c r="M302" i="1"/>
  <c r="L302" i="1"/>
  <c r="K302" i="1"/>
  <c r="J302" i="1"/>
  <c r="I302" i="1"/>
  <c r="H302" i="1"/>
  <c r="G302" i="1"/>
  <c r="F302" i="1"/>
  <c r="E302" i="1"/>
  <c r="D302" i="1"/>
  <c r="R301" i="1"/>
  <c r="O301" i="1" s="1"/>
  <c r="P301" i="1"/>
  <c r="N301" i="1"/>
  <c r="M301" i="1"/>
  <c r="L301" i="1"/>
  <c r="K301" i="1"/>
  <c r="J301" i="1"/>
  <c r="I301" i="1"/>
  <c r="H301" i="1"/>
  <c r="G301" i="1"/>
  <c r="F301" i="1"/>
  <c r="E301" i="1"/>
  <c r="D301" i="1"/>
  <c r="R300" i="1"/>
  <c r="Q300" i="1"/>
  <c r="P300" i="1"/>
  <c r="O300" i="1"/>
  <c r="N300" i="1"/>
  <c r="M300" i="1"/>
  <c r="L300" i="1"/>
  <c r="K300" i="1"/>
  <c r="J300" i="1"/>
  <c r="I300" i="1"/>
  <c r="H300" i="1"/>
  <c r="G300" i="1"/>
  <c r="F300" i="1"/>
  <c r="E300" i="1"/>
  <c r="D300" i="1"/>
  <c r="R299" i="1"/>
  <c r="Q299" i="1"/>
  <c r="P299" i="1"/>
  <c r="O299" i="1"/>
  <c r="N299" i="1"/>
  <c r="M299" i="1"/>
  <c r="L299" i="1"/>
  <c r="K299" i="1"/>
  <c r="J299" i="1"/>
  <c r="I299" i="1"/>
  <c r="H299" i="1"/>
  <c r="G299" i="1"/>
  <c r="F299" i="1"/>
  <c r="E299" i="1"/>
  <c r="D299" i="1"/>
  <c r="R298" i="1"/>
  <c r="Q298" i="1"/>
  <c r="P298" i="1"/>
  <c r="O298" i="1"/>
  <c r="N298" i="1"/>
  <c r="M298" i="1"/>
  <c r="L298" i="1"/>
  <c r="K298" i="1"/>
  <c r="J298" i="1"/>
  <c r="I298" i="1"/>
  <c r="H298" i="1"/>
  <c r="G298" i="1"/>
  <c r="F298" i="1"/>
  <c r="E298" i="1"/>
  <c r="D298" i="1"/>
  <c r="R297" i="1"/>
  <c r="Q297" i="1"/>
  <c r="P297" i="1"/>
  <c r="O297" i="1"/>
  <c r="N297" i="1"/>
  <c r="M297" i="1"/>
  <c r="L297" i="1"/>
  <c r="K297" i="1"/>
  <c r="J297" i="1"/>
  <c r="I297" i="1"/>
  <c r="H297" i="1"/>
  <c r="G297" i="1"/>
  <c r="F297" i="1"/>
  <c r="E297" i="1"/>
  <c r="D297" i="1"/>
  <c r="R296" i="1"/>
  <c r="Q296" i="1"/>
  <c r="P296" i="1"/>
  <c r="O296" i="1"/>
  <c r="N296" i="1"/>
  <c r="M296" i="1"/>
  <c r="L296" i="1"/>
  <c r="K296" i="1"/>
  <c r="J296" i="1"/>
  <c r="I296" i="1"/>
  <c r="H296" i="1"/>
  <c r="G296" i="1"/>
  <c r="F296" i="1"/>
  <c r="E296" i="1"/>
  <c r="D296" i="1"/>
  <c r="R295" i="1"/>
  <c r="Q295" i="1"/>
  <c r="P295" i="1"/>
  <c r="O295" i="1"/>
  <c r="N295" i="1"/>
  <c r="M295" i="1"/>
  <c r="L295" i="1"/>
  <c r="K295" i="1"/>
  <c r="J295" i="1"/>
  <c r="I295" i="1"/>
  <c r="H295" i="1"/>
  <c r="G295" i="1"/>
  <c r="F295" i="1"/>
  <c r="E295" i="1"/>
  <c r="D295" i="1"/>
  <c r="R294" i="1"/>
  <c r="Q294" i="1"/>
  <c r="P294" i="1"/>
  <c r="O294" i="1"/>
  <c r="N294" i="1"/>
  <c r="M294" i="1"/>
  <c r="L294" i="1"/>
  <c r="K294" i="1"/>
  <c r="J294" i="1"/>
  <c r="I294" i="1"/>
  <c r="H294" i="1"/>
  <c r="G294" i="1"/>
  <c r="F294" i="1"/>
  <c r="E294" i="1"/>
  <c r="D294" i="1"/>
  <c r="R293" i="1"/>
  <c r="P293" i="1"/>
  <c r="O293" i="1"/>
  <c r="N293" i="1"/>
  <c r="M293" i="1"/>
  <c r="L293" i="1"/>
  <c r="K293" i="1"/>
  <c r="J293" i="1"/>
  <c r="I293" i="1"/>
  <c r="H293" i="1"/>
  <c r="G293" i="1"/>
  <c r="F293" i="1"/>
  <c r="E293" i="1"/>
  <c r="D293" i="1"/>
  <c r="R292" i="1"/>
  <c r="P292" i="1"/>
  <c r="O292" i="1"/>
  <c r="N292" i="1"/>
  <c r="M292" i="1"/>
  <c r="L292" i="1"/>
  <c r="K292" i="1"/>
  <c r="J292" i="1"/>
  <c r="I292" i="1"/>
  <c r="H292" i="1"/>
  <c r="G292" i="1"/>
  <c r="F292" i="1"/>
  <c r="E292" i="1"/>
  <c r="D292" i="1"/>
  <c r="R291" i="1"/>
  <c r="Q291" i="1"/>
  <c r="P291" i="1"/>
  <c r="O291" i="1"/>
  <c r="N291" i="1"/>
  <c r="M291" i="1"/>
  <c r="L291" i="1"/>
  <c r="K291" i="1"/>
  <c r="J291" i="1"/>
  <c r="I291" i="1"/>
  <c r="H291" i="1"/>
  <c r="G291" i="1"/>
  <c r="F291" i="1"/>
  <c r="E291" i="1"/>
  <c r="D291" i="1"/>
  <c r="R289" i="1"/>
  <c r="Q289" i="1"/>
  <c r="P289" i="1"/>
  <c r="O289" i="1"/>
  <c r="N289" i="1"/>
  <c r="M289" i="1"/>
  <c r="L289" i="1"/>
  <c r="K289" i="1"/>
  <c r="J289" i="1"/>
  <c r="I289" i="1"/>
  <c r="H289" i="1"/>
  <c r="G289" i="1"/>
  <c r="F289" i="1"/>
  <c r="E289" i="1"/>
  <c r="D289" i="1"/>
  <c r="R288" i="1"/>
  <c r="Q288" i="1"/>
  <c r="P288" i="1"/>
  <c r="O288" i="1"/>
  <c r="N288" i="1"/>
  <c r="M288" i="1"/>
  <c r="L288" i="1"/>
  <c r="K288" i="1"/>
  <c r="J288" i="1"/>
  <c r="I288" i="1"/>
  <c r="H288" i="1"/>
  <c r="G288" i="1"/>
  <c r="F288" i="1"/>
  <c r="E288" i="1"/>
  <c r="D288" i="1"/>
  <c r="R287" i="1"/>
  <c r="Q287" i="1"/>
  <c r="P287" i="1"/>
  <c r="O287" i="1"/>
  <c r="N287" i="1"/>
  <c r="M287" i="1"/>
  <c r="L287" i="1"/>
  <c r="K287" i="1"/>
  <c r="J287" i="1"/>
  <c r="I287" i="1"/>
  <c r="H287" i="1"/>
  <c r="G287" i="1"/>
  <c r="F287" i="1"/>
  <c r="E287" i="1"/>
  <c r="D287" i="1"/>
  <c r="R286" i="1"/>
  <c r="Q286" i="1"/>
  <c r="P286" i="1"/>
  <c r="O286" i="1"/>
  <c r="N286" i="1"/>
  <c r="M286" i="1"/>
  <c r="L286" i="1"/>
  <c r="K286" i="1"/>
  <c r="J286" i="1"/>
  <c r="I286" i="1"/>
  <c r="H286" i="1"/>
  <c r="G286" i="1"/>
  <c r="F286" i="1"/>
  <c r="E286" i="1"/>
  <c r="D286" i="1"/>
  <c r="R285" i="1"/>
  <c r="O285" i="1" s="1"/>
  <c r="P285" i="1"/>
  <c r="N285" i="1"/>
  <c r="M285" i="1"/>
  <c r="L285" i="1"/>
  <c r="K285" i="1"/>
  <c r="J285" i="1"/>
  <c r="I285" i="1"/>
  <c r="H285" i="1"/>
  <c r="G285" i="1"/>
  <c r="F285" i="1"/>
  <c r="E285" i="1"/>
  <c r="D285" i="1"/>
  <c r="R284" i="1"/>
  <c r="Q284" i="1"/>
  <c r="P284" i="1"/>
  <c r="O284" i="1"/>
  <c r="N284" i="1"/>
  <c r="M284" i="1"/>
  <c r="L284" i="1"/>
  <c r="K284" i="1"/>
  <c r="J284" i="1"/>
  <c r="I284" i="1"/>
  <c r="H284" i="1"/>
  <c r="G284" i="1"/>
  <c r="F284" i="1"/>
  <c r="E284" i="1"/>
  <c r="D284" i="1"/>
  <c r="R283" i="1"/>
  <c r="Q283" i="1"/>
  <c r="P283" i="1"/>
  <c r="O283" i="1"/>
  <c r="N283" i="1"/>
  <c r="M283" i="1"/>
  <c r="L283" i="1"/>
  <c r="K283" i="1"/>
  <c r="J283" i="1"/>
  <c r="I283" i="1"/>
  <c r="H283" i="1"/>
  <c r="G283" i="1"/>
  <c r="F283" i="1"/>
  <c r="E283" i="1"/>
  <c r="R282" i="1"/>
  <c r="Q282" i="1"/>
  <c r="P282" i="1"/>
  <c r="O282" i="1"/>
  <c r="N282" i="1"/>
  <c r="M282" i="1"/>
  <c r="L282" i="1"/>
  <c r="K282" i="1"/>
  <c r="J282" i="1"/>
  <c r="I282" i="1"/>
  <c r="H282" i="1"/>
  <c r="G282" i="1"/>
  <c r="F282" i="1"/>
  <c r="E282" i="1"/>
  <c r="D282" i="1"/>
  <c r="R281" i="1"/>
  <c r="Q281" i="1"/>
  <c r="P281" i="1"/>
  <c r="O281" i="1"/>
  <c r="N281" i="1"/>
  <c r="M281" i="1"/>
  <c r="L281" i="1"/>
  <c r="K281" i="1"/>
  <c r="J281" i="1"/>
  <c r="I281" i="1"/>
  <c r="H281" i="1"/>
  <c r="G281" i="1"/>
  <c r="F281" i="1"/>
  <c r="E281" i="1"/>
  <c r="D281" i="1"/>
  <c r="R280" i="1"/>
  <c r="Q280" i="1"/>
  <c r="P280" i="1"/>
  <c r="O280" i="1"/>
  <c r="N280" i="1"/>
  <c r="M280" i="1"/>
  <c r="L280" i="1"/>
  <c r="K280" i="1"/>
  <c r="J280" i="1"/>
  <c r="I280" i="1"/>
  <c r="H280" i="1"/>
  <c r="G280" i="1"/>
  <c r="F280" i="1"/>
  <c r="E280" i="1"/>
  <c r="D280" i="1"/>
  <c r="R279" i="1"/>
  <c r="Q279" i="1"/>
  <c r="P279" i="1"/>
  <c r="O279" i="1"/>
  <c r="N279" i="1"/>
  <c r="M279" i="1"/>
  <c r="L279" i="1"/>
  <c r="K279" i="1"/>
  <c r="J279" i="1"/>
  <c r="I279" i="1"/>
  <c r="H279" i="1"/>
  <c r="G279" i="1"/>
  <c r="F279" i="1"/>
  <c r="E279" i="1"/>
  <c r="D279" i="1"/>
  <c r="R278" i="1"/>
  <c r="Q278" i="1"/>
  <c r="P278" i="1"/>
  <c r="O278" i="1"/>
  <c r="N278" i="1"/>
  <c r="M278" i="1"/>
  <c r="L278" i="1"/>
  <c r="K278" i="1"/>
  <c r="J278" i="1"/>
  <c r="I278" i="1"/>
  <c r="H278" i="1"/>
  <c r="G278" i="1"/>
  <c r="F278" i="1"/>
  <c r="E278" i="1"/>
  <c r="D278" i="1"/>
  <c r="R277" i="1"/>
  <c r="Q277" i="1"/>
  <c r="P277" i="1"/>
  <c r="O277" i="1"/>
  <c r="N277" i="1"/>
  <c r="M277" i="1"/>
  <c r="L277" i="1"/>
  <c r="K277" i="1"/>
  <c r="J277" i="1"/>
  <c r="I277" i="1"/>
  <c r="H277" i="1"/>
  <c r="G277" i="1"/>
  <c r="F277" i="1"/>
  <c r="E277" i="1"/>
  <c r="D277" i="1"/>
  <c r="R276" i="1"/>
  <c r="Q276" i="1"/>
  <c r="P276" i="1"/>
  <c r="O276" i="1"/>
  <c r="N276" i="1"/>
  <c r="M276" i="1"/>
  <c r="L276" i="1"/>
  <c r="K276" i="1"/>
  <c r="J276" i="1"/>
  <c r="I276" i="1"/>
  <c r="H276" i="1"/>
  <c r="G276" i="1"/>
  <c r="F276" i="1"/>
  <c r="E276" i="1"/>
  <c r="D276" i="1"/>
  <c r="R275" i="1"/>
  <c r="Q275" i="1"/>
  <c r="P275" i="1"/>
  <c r="O275" i="1"/>
  <c r="N275" i="1"/>
  <c r="M275" i="1"/>
  <c r="L275" i="1"/>
  <c r="K275" i="1"/>
  <c r="J275" i="1"/>
  <c r="I275" i="1"/>
  <c r="H275" i="1"/>
  <c r="G275" i="1"/>
  <c r="F275" i="1"/>
  <c r="E275" i="1"/>
  <c r="D275" i="1"/>
  <c r="R274" i="1"/>
  <c r="Q274" i="1"/>
  <c r="P274" i="1"/>
  <c r="O274" i="1"/>
  <c r="N274" i="1"/>
  <c r="M274" i="1"/>
  <c r="L274" i="1"/>
  <c r="K274" i="1"/>
  <c r="J274" i="1"/>
  <c r="I274" i="1"/>
  <c r="H274" i="1"/>
  <c r="G274" i="1"/>
  <c r="F274" i="1"/>
  <c r="E274" i="1"/>
  <c r="D274" i="1"/>
  <c r="R273" i="1"/>
  <c r="Q273" i="1"/>
  <c r="P273" i="1"/>
  <c r="O273" i="1"/>
  <c r="N273" i="1"/>
  <c r="M273" i="1"/>
  <c r="L273" i="1"/>
  <c r="K273" i="1"/>
  <c r="J273" i="1"/>
  <c r="I273" i="1"/>
  <c r="H273" i="1"/>
  <c r="G273" i="1"/>
  <c r="F273" i="1"/>
  <c r="E273" i="1"/>
  <c r="D273" i="1"/>
  <c r="R272" i="1"/>
  <c r="Q272" i="1"/>
  <c r="P272" i="1"/>
  <c r="O272" i="1"/>
  <c r="N272" i="1"/>
  <c r="M272" i="1"/>
  <c r="L272" i="1"/>
  <c r="K272" i="1"/>
  <c r="J272" i="1"/>
  <c r="I272" i="1"/>
  <c r="H272" i="1"/>
  <c r="G272" i="1"/>
  <c r="F272" i="1"/>
  <c r="E272" i="1"/>
  <c r="R271" i="1"/>
  <c r="Q271" i="1"/>
  <c r="P271" i="1"/>
  <c r="O271" i="1"/>
  <c r="N271" i="1"/>
  <c r="M271" i="1"/>
  <c r="L271" i="1"/>
  <c r="K271" i="1"/>
  <c r="J271" i="1"/>
  <c r="I271" i="1"/>
  <c r="H271" i="1"/>
  <c r="G271" i="1"/>
  <c r="F271" i="1"/>
  <c r="E271" i="1"/>
  <c r="D271" i="1"/>
  <c r="R270" i="1"/>
  <c r="Q270" i="1"/>
  <c r="P270" i="1"/>
  <c r="O270" i="1"/>
  <c r="N270" i="1"/>
  <c r="M270" i="1"/>
  <c r="L270" i="1"/>
  <c r="K270" i="1"/>
  <c r="J270" i="1"/>
  <c r="I270" i="1"/>
  <c r="H270" i="1"/>
  <c r="G270" i="1"/>
  <c r="F270" i="1"/>
  <c r="E270" i="1"/>
  <c r="D270" i="1"/>
  <c r="R269" i="1"/>
  <c r="Q269" i="1"/>
  <c r="P269" i="1"/>
  <c r="O269" i="1"/>
  <c r="N269" i="1"/>
  <c r="M269" i="1"/>
  <c r="L269" i="1"/>
  <c r="K269" i="1"/>
  <c r="J269" i="1"/>
  <c r="I269" i="1"/>
  <c r="H269" i="1"/>
  <c r="G269" i="1"/>
  <c r="F269" i="1"/>
  <c r="E269" i="1"/>
  <c r="D269" i="1"/>
  <c r="R268" i="1"/>
  <c r="Q268" i="1"/>
  <c r="P268" i="1"/>
  <c r="O268" i="1"/>
  <c r="N268" i="1"/>
  <c r="M268" i="1"/>
  <c r="L268" i="1"/>
  <c r="K268" i="1"/>
  <c r="J268" i="1"/>
  <c r="I268" i="1"/>
  <c r="H268" i="1"/>
  <c r="G268" i="1"/>
  <c r="F268" i="1"/>
  <c r="E268" i="1"/>
  <c r="D268" i="1"/>
  <c r="R267" i="1"/>
  <c r="Q267" i="1"/>
  <c r="P267" i="1"/>
  <c r="O267" i="1"/>
  <c r="N267" i="1"/>
  <c r="M267" i="1"/>
  <c r="L267" i="1"/>
  <c r="K267" i="1"/>
  <c r="J267" i="1"/>
  <c r="I267" i="1"/>
  <c r="H267" i="1"/>
  <c r="G267" i="1"/>
  <c r="F267" i="1"/>
  <c r="E267" i="1"/>
  <c r="D267" i="1"/>
  <c r="R266" i="1"/>
  <c r="Q266" i="1"/>
  <c r="P266" i="1"/>
  <c r="O266" i="1"/>
  <c r="N266" i="1"/>
  <c r="M266" i="1"/>
  <c r="L266" i="1"/>
  <c r="K266" i="1"/>
  <c r="J266" i="1"/>
  <c r="I266" i="1"/>
  <c r="H266" i="1"/>
  <c r="G266" i="1"/>
  <c r="F266" i="1"/>
  <c r="E266" i="1"/>
  <c r="D266" i="1"/>
  <c r="R265" i="1"/>
  <c r="Q265" i="1"/>
  <c r="P265" i="1"/>
  <c r="O265" i="1"/>
  <c r="N265" i="1"/>
  <c r="M265" i="1"/>
  <c r="L265" i="1"/>
  <c r="K265" i="1"/>
  <c r="J265" i="1"/>
  <c r="I265" i="1"/>
  <c r="H265" i="1"/>
  <c r="G265" i="1"/>
  <c r="F265" i="1"/>
  <c r="E265" i="1"/>
  <c r="D265" i="1"/>
  <c r="R264" i="1"/>
  <c r="Q264" i="1"/>
  <c r="P264" i="1"/>
  <c r="O264" i="1"/>
  <c r="N264" i="1"/>
  <c r="M264" i="1"/>
  <c r="L264" i="1"/>
  <c r="K264" i="1"/>
  <c r="J264" i="1"/>
  <c r="I264" i="1"/>
  <c r="H264" i="1"/>
  <c r="G264" i="1"/>
  <c r="F264" i="1"/>
  <c r="E264" i="1"/>
  <c r="D264" i="1"/>
  <c r="R263" i="1"/>
  <c r="Q263" i="1"/>
  <c r="P263" i="1"/>
  <c r="O263" i="1"/>
  <c r="N263" i="1"/>
  <c r="M263" i="1"/>
  <c r="L263" i="1"/>
  <c r="K263" i="1"/>
  <c r="J263" i="1"/>
  <c r="I263" i="1"/>
  <c r="H263" i="1"/>
  <c r="K76" i="75" s="1"/>
  <c r="G263" i="1"/>
  <c r="F263" i="1"/>
  <c r="E263" i="1"/>
  <c r="R262" i="1"/>
  <c r="Q262" i="1"/>
  <c r="P262" i="1"/>
  <c r="O262" i="1"/>
  <c r="N262" i="1"/>
  <c r="M262" i="1"/>
  <c r="L262" i="1"/>
  <c r="K262" i="1"/>
  <c r="J262" i="1"/>
  <c r="I262" i="1"/>
  <c r="H262" i="1"/>
  <c r="G262" i="1"/>
  <c r="F262" i="1"/>
  <c r="E262" i="1"/>
  <c r="D262" i="1"/>
  <c r="R261" i="1"/>
  <c r="O261" i="1" s="1"/>
  <c r="P261" i="1"/>
  <c r="N261" i="1"/>
  <c r="M261" i="1"/>
  <c r="L261" i="1"/>
  <c r="K261" i="1"/>
  <c r="J261" i="1"/>
  <c r="I261" i="1"/>
  <c r="H261" i="1"/>
  <c r="G261" i="1"/>
  <c r="F261" i="1"/>
  <c r="E261" i="1"/>
  <c r="D261" i="1"/>
  <c r="R260" i="1"/>
  <c r="Q260" i="1"/>
  <c r="P260" i="1"/>
  <c r="O260" i="1"/>
  <c r="N260" i="1"/>
  <c r="M260" i="1"/>
  <c r="L260" i="1"/>
  <c r="K260" i="1"/>
  <c r="J260" i="1"/>
  <c r="I260" i="1"/>
  <c r="H260" i="1"/>
  <c r="G260" i="1"/>
  <c r="F260" i="1"/>
  <c r="E260" i="1"/>
  <c r="D260" i="1"/>
  <c r="R259" i="1"/>
  <c r="Q259" i="1"/>
  <c r="P259" i="1"/>
  <c r="O259" i="1"/>
  <c r="N259" i="1"/>
  <c r="M259" i="1"/>
  <c r="L259" i="1"/>
  <c r="K259" i="1"/>
  <c r="J259" i="1"/>
  <c r="I259" i="1"/>
  <c r="H259" i="1"/>
  <c r="G259" i="1"/>
  <c r="F259" i="1"/>
  <c r="E259" i="1"/>
  <c r="D259" i="1"/>
  <c r="R258" i="1"/>
  <c r="Q258" i="1"/>
  <c r="P258" i="1"/>
  <c r="O258" i="1"/>
  <c r="N258" i="1"/>
  <c r="M258" i="1"/>
  <c r="L258" i="1"/>
  <c r="K258" i="1"/>
  <c r="J258" i="1"/>
  <c r="I258" i="1"/>
  <c r="H258" i="1"/>
  <c r="G258" i="1"/>
  <c r="F258" i="1"/>
  <c r="E258" i="1"/>
  <c r="D258" i="1"/>
  <c r="R257" i="1"/>
  <c r="Q257" i="1"/>
  <c r="P257" i="1"/>
  <c r="O257" i="1"/>
  <c r="N257" i="1"/>
  <c r="M257" i="1"/>
  <c r="L257" i="1"/>
  <c r="K257" i="1"/>
  <c r="J257" i="1"/>
  <c r="I257" i="1"/>
  <c r="H257" i="1"/>
  <c r="G257" i="1"/>
  <c r="F257" i="1"/>
  <c r="E257" i="1"/>
  <c r="D257" i="1"/>
  <c r="R256" i="1"/>
  <c r="Q256" i="1"/>
  <c r="P256" i="1"/>
  <c r="O256" i="1"/>
  <c r="N256" i="1"/>
  <c r="M256" i="1"/>
  <c r="L256" i="1"/>
  <c r="K256" i="1"/>
  <c r="J256" i="1"/>
  <c r="I256" i="1"/>
  <c r="H256" i="1"/>
  <c r="G256" i="1"/>
  <c r="F256" i="1"/>
  <c r="E256" i="1"/>
  <c r="D256" i="1"/>
  <c r="R255" i="1"/>
  <c r="Q255" i="1"/>
  <c r="P255" i="1"/>
  <c r="O255" i="1"/>
  <c r="N255" i="1"/>
  <c r="M255" i="1"/>
  <c r="L255" i="1"/>
  <c r="K255" i="1"/>
  <c r="J255" i="1"/>
  <c r="I255" i="1"/>
  <c r="H255" i="1"/>
  <c r="G255" i="1"/>
  <c r="F255" i="1"/>
  <c r="E255" i="1"/>
  <c r="D255" i="1"/>
  <c r="R254" i="1"/>
  <c r="Q254" i="1"/>
  <c r="P254" i="1"/>
  <c r="O254" i="1"/>
  <c r="N254" i="1"/>
  <c r="M254" i="1"/>
  <c r="L254" i="1"/>
  <c r="K254" i="1"/>
  <c r="J254" i="1"/>
  <c r="I254" i="1"/>
  <c r="H254" i="1"/>
  <c r="G254" i="1"/>
  <c r="F254" i="1"/>
  <c r="E254" i="1"/>
  <c r="D254" i="1"/>
  <c r="R253" i="1"/>
  <c r="P253" i="1"/>
  <c r="O253" i="1"/>
  <c r="N253" i="1"/>
  <c r="M253" i="1"/>
  <c r="L253" i="1"/>
  <c r="K253" i="1"/>
  <c r="J253" i="1"/>
  <c r="I253" i="1"/>
  <c r="H253" i="1"/>
  <c r="G253" i="1"/>
  <c r="F253" i="1"/>
  <c r="E253" i="1"/>
  <c r="D253" i="1"/>
  <c r="R252" i="1"/>
  <c r="P252" i="1"/>
  <c r="O252" i="1"/>
  <c r="N252" i="1"/>
  <c r="M252" i="1"/>
  <c r="L252" i="1"/>
  <c r="K252" i="1"/>
  <c r="J252" i="1"/>
  <c r="I252" i="1"/>
  <c r="H252" i="1"/>
  <c r="G252" i="1"/>
  <c r="F252" i="1"/>
  <c r="E252" i="1"/>
  <c r="D252" i="1"/>
  <c r="R251" i="1"/>
  <c r="Q251" i="1"/>
  <c r="P251" i="1"/>
  <c r="O251" i="1"/>
  <c r="N251" i="1"/>
  <c r="M251" i="1"/>
  <c r="L251" i="1"/>
  <c r="K251" i="1"/>
  <c r="J251" i="1"/>
  <c r="I251" i="1"/>
  <c r="H251" i="1"/>
  <c r="G251" i="1"/>
  <c r="F251" i="1"/>
  <c r="E251" i="1"/>
  <c r="D251" i="1"/>
  <c r="R249" i="1"/>
  <c r="Q249" i="1"/>
  <c r="P249" i="1"/>
  <c r="O249" i="1"/>
  <c r="N249" i="1"/>
  <c r="M249" i="1"/>
  <c r="L249" i="1"/>
  <c r="K249" i="1"/>
  <c r="J249" i="1"/>
  <c r="I249" i="1"/>
  <c r="H249" i="1"/>
  <c r="G249" i="1"/>
  <c r="F249" i="1"/>
  <c r="E249" i="1"/>
  <c r="D249" i="1"/>
  <c r="R248" i="1"/>
  <c r="Q248" i="1"/>
  <c r="P248" i="1"/>
  <c r="O248" i="1"/>
  <c r="N248" i="1"/>
  <c r="M248" i="1"/>
  <c r="L248" i="1"/>
  <c r="K248" i="1"/>
  <c r="J248" i="1"/>
  <c r="I248" i="1"/>
  <c r="H248" i="1"/>
  <c r="G248" i="1"/>
  <c r="F248" i="1"/>
  <c r="E248" i="1"/>
  <c r="D248" i="1"/>
  <c r="R247" i="1"/>
  <c r="Q247" i="1"/>
  <c r="P247" i="1"/>
  <c r="O247" i="1"/>
  <c r="N247" i="1"/>
  <c r="M247" i="1"/>
  <c r="L247" i="1"/>
  <c r="K247" i="1"/>
  <c r="J247" i="1"/>
  <c r="I247" i="1"/>
  <c r="H247" i="1"/>
  <c r="G247" i="1"/>
  <c r="F247" i="1"/>
  <c r="E247" i="1"/>
  <c r="D247" i="1"/>
  <c r="R246" i="1"/>
  <c r="Q246" i="1"/>
  <c r="P246" i="1"/>
  <c r="O246" i="1"/>
  <c r="N246" i="1"/>
  <c r="M246" i="1"/>
  <c r="L246" i="1"/>
  <c r="K246" i="1"/>
  <c r="J246" i="1"/>
  <c r="I246" i="1"/>
  <c r="H246" i="1"/>
  <c r="G246" i="1"/>
  <c r="F246" i="1"/>
  <c r="E246" i="1"/>
  <c r="D246" i="1"/>
  <c r="R245" i="1"/>
  <c r="O245" i="1" s="1"/>
  <c r="P245" i="1"/>
  <c r="N245" i="1"/>
  <c r="M245" i="1"/>
  <c r="L245" i="1"/>
  <c r="K245" i="1"/>
  <c r="J245" i="1"/>
  <c r="I245" i="1"/>
  <c r="H245" i="1"/>
  <c r="G245" i="1"/>
  <c r="F245" i="1"/>
  <c r="E245" i="1"/>
  <c r="D245" i="1"/>
  <c r="R244" i="1"/>
  <c r="Q244" i="1"/>
  <c r="P244" i="1"/>
  <c r="O244" i="1"/>
  <c r="N244" i="1"/>
  <c r="M244" i="1"/>
  <c r="L244" i="1"/>
  <c r="K244" i="1"/>
  <c r="J244" i="1"/>
  <c r="I244" i="1"/>
  <c r="H244" i="1"/>
  <c r="G244" i="1"/>
  <c r="F244" i="1"/>
  <c r="E244" i="1"/>
  <c r="D244" i="1"/>
  <c r="R243" i="1"/>
  <c r="Q243" i="1"/>
  <c r="P243" i="1"/>
  <c r="O243" i="1"/>
  <c r="N243" i="1"/>
  <c r="M243" i="1"/>
  <c r="L243" i="1"/>
  <c r="K243" i="1"/>
  <c r="J243" i="1"/>
  <c r="I243" i="1"/>
  <c r="H243" i="1"/>
  <c r="G243" i="1"/>
  <c r="F243" i="1"/>
  <c r="E243" i="1"/>
  <c r="R242" i="1"/>
  <c r="Q242" i="1"/>
  <c r="P242" i="1"/>
  <c r="O242" i="1"/>
  <c r="N242" i="1"/>
  <c r="M242" i="1"/>
  <c r="L242" i="1"/>
  <c r="K242" i="1"/>
  <c r="J242" i="1"/>
  <c r="I242" i="1"/>
  <c r="H242" i="1"/>
  <c r="G242" i="1"/>
  <c r="F242" i="1"/>
  <c r="E242" i="1"/>
  <c r="D242" i="1"/>
  <c r="R241" i="1"/>
  <c r="Q241" i="1"/>
  <c r="P241" i="1"/>
  <c r="O241" i="1"/>
  <c r="N241" i="1"/>
  <c r="M241" i="1"/>
  <c r="L241" i="1"/>
  <c r="K241" i="1"/>
  <c r="J241" i="1"/>
  <c r="I241" i="1"/>
  <c r="H241" i="1"/>
  <c r="G241" i="1"/>
  <c r="F241" i="1"/>
  <c r="E241" i="1"/>
  <c r="D241" i="1"/>
  <c r="R240" i="1"/>
  <c r="Q240" i="1"/>
  <c r="P240" i="1"/>
  <c r="O240" i="1"/>
  <c r="N240" i="1"/>
  <c r="M240" i="1"/>
  <c r="L240" i="1"/>
  <c r="K240" i="1"/>
  <c r="J240" i="1"/>
  <c r="I240" i="1"/>
  <c r="H240" i="1"/>
  <c r="G240" i="1"/>
  <c r="F240" i="1"/>
  <c r="E240" i="1"/>
  <c r="D240" i="1"/>
  <c r="R239" i="1"/>
  <c r="Q239" i="1"/>
  <c r="P239" i="1"/>
  <c r="O239" i="1"/>
  <c r="N239" i="1"/>
  <c r="M239" i="1"/>
  <c r="L239" i="1"/>
  <c r="K239" i="1"/>
  <c r="J239" i="1"/>
  <c r="I239" i="1"/>
  <c r="H239" i="1"/>
  <c r="G239" i="1"/>
  <c r="F239" i="1"/>
  <c r="E239" i="1"/>
  <c r="D239" i="1"/>
  <c r="R238" i="1"/>
  <c r="Q238" i="1"/>
  <c r="P238" i="1"/>
  <c r="O238" i="1"/>
  <c r="N238" i="1"/>
  <c r="M238" i="1"/>
  <c r="L238" i="1"/>
  <c r="K238" i="1"/>
  <c r="J238" i="1"/>
  <c r="I238" i="1"/>
  <c r="H238" i="1"/>
  <c r="G238" i="1"/>
  <c r="F238" i="1"/>
  <c r="E238" i="1"/>
  <c r="D238" i="1"/>
  <c r="R237" i="1"/>
  <c r="Q237" i="1"/>
  <c r="P237" i="1"/>
  <c r="O237" i="1"/>
  <c r="N237" i="1"/>
  <c r="M237" i="1"/>
  <c r="L237" i="1"/>
  <c r="K237" i="1"/>
  <c r="J237" i="1"/>
  <c r="I237" i="1"/>
  <c r="H237" i="1"/>
  <c r="G237" i="1"/>
  <c r="F237" i="1"/>
  <c r="E237" i="1"/>
  <c r="D237" i="1"/>
  <c r="R236" i="1"/>
  <c r="Q236" i="1"/>
  <c r="P236" i="1"/>
  <c r="O236" i="1"/>
  <c r="N236" i="1"/>
  <c r="M236" i="1"/>
  <c r="L236" i="1"/>
  <c r="K236" i="1"/>
  <c r="J236" i="1"/>
  <c r="I236" i="1"/>
  <c r="H236" i="1"/>
  <c r="G236" i="1"/>
  <c r="F236" i="1"/>
  <c r="E236" i="1"/>
  <c r="D236" i="1"/>
  <c r="R235" i="1"/>
  <c r="Q235" i="1"/>
  <c r="P235" i="1"/>
  <c r="O235" i="1"/>
  <c r="N235" i="1"/>
  <c r="M235" i="1"/>
  <c r="L235" i="1"/>
  <c r="K235" i="1"/>
  <c r="J235" i="1"/>
  <c r="I235" i="1"/>
  <c r="H235" i="1"/>
  <c r="G235" i="1"/>
  <c r="F235" i="1"/>
  <c r="E235" i="1"/>
  <c r="D235" i="1"/>
  <c r="R234" i="1"/>
  <c r="Q234" i="1"/>
  <c r="P234" i="1"/>
  <c r="O234" i="1"/>
  <c r="N234" i="1"/>
  <c r="M234" i="1"/>
  <c r="L234" i="1"/>
  <c r="K234" i="1"/>
  <c r="J234" i="1"/>
  <c r="I234" i="1"/>
  <c r="H234" i="1"/>
  <c r="G234" i="1"/>
  <c r="F234" i="1"/>
  <c r="E234" i="1"/>
  <c r="D234" i="1"/>
  <c r="R233" i="1"/>
  <c r="Q233" i="1"/>
  <c r="P233" i="1"/>
  <c r="O233" i="1"/>
  <c r="N233" i="1"/>
  <c r="M233" i="1"/>
  <c r="L233" i="1"/>
  <c r="K233" i="1"/>
  <c r="J233" i="1"/>
  <c r="I233" i="1"/>
  <c r="H233" i="1"/>
  <c r="G233" i="1"/>
  <c r="F233" i="1"/>
  <c r="E233" i="1"/>
  <c r="D233" i="1"/>
  <c r="R232" i="1"/>
  <c r="Q232" i="1"/>
  <c r="P232" i="1"/>
  <c r="O232" i="1"/>
  <c r="N232" i="1"/>
  <c r="M232" i="1"/>
  <c r="L232" i="1"/>
  <c r="K232" i="1"/>
  <c r="J232" i="1"/>
  <c r="I232" i="1"/>
  <c r="H232" i="1"/>
  <c r="G232" i="1"/>
  <c r="F232" i="1"/>
  <c r="E232" i="1"/>
  <c r="R231" i="1"/>
  <c r="Q231" i="1"/>
  <c r="P231" i="1"/>
  <c r="O231" i="1"/>
  <c r="N231" i="1"/>
  <c r="M231" i="1"/>
  <c r="L231" i="1"/>
  <c r="K231" i="1"/>
  <c r="J231" i="1"/>
  <c r="I231" i="1"/>
  <c r="H231" i="1"/>
  <c r="G231" i="1"/>
  <c r="F231" i="1"/>
  <c r="E231" i="1"/>
  <c r="D231" i="1"/>
  <c r="R230" i="1"/>
  <c r="Q230" i="1"/>
  <c r="P230" i="1"/>
  <c r="O230" i="1"/>
  <c r="N230" i="1"/>
  <c r="M230" i="1"/>
  <c r="L230" i="1"/>
  <c r="K230" i="1"/>
  <c r="J230" i="1"/>
  <c r="I230" i="1"/>
  <c r="H230" i="1"/>
  <c r="G230" i="1"/>
  <c r="F230" i="1"/>
  <c r="E230" i="1"/>
  <c r="D230" i="1"/>
  <c r="R229" i="1"/>
  <c r="Q229" i="1"/>
  <c r="P229" i="1"/>
  <c r="O229" i="1"/>
  <c r="N229" i="1"/>
  <c r="M229" i="1"/>
  <c r="L229" i="1"/>
  <c r="K229" i="1"/>
  <c r="J229" i="1"/>
  <c r="I229" i="1"/>
  <c r="H229" i="1"/>
  <c r="G229" i="1"/>
  <c r="F229" i="1"/>
  <c r="E229" i="1"/>
  <c r="D229" i="1"/>
  <c r="R228" i="1"/>
  <c r="Q228" i="1"/>
  <c r="P228" i="1"/>
  <c r="O228" i="1"/>
  <c r="N228" i="1"/>
  <c r="M228" i="1"/>
  <c r="L228" i="1"/>
  <c r="K228" i="1"/>
  <c r="J228" i="1"/>
  <c r="I228" i="1"/>
  <c r="H228" i="1"/>
  <c r="G228" i="1"/>
  <c r="F228" i="1"/>
  <c r="E228" i="1"/>
  <c r="D228" i="1"/>
  <c r="R227" i="1"/>
  <c r="Q227" i="1"/>
  <c r="P227" i="1"/>
  <c r="O227" i="1"/>
  <c r="N227" i="1"/>
  <c r="M227" i="1"/>
  <c r="L227" i="1"/>
  <c r="K227" i="1"/>
  <c r="J227" i="1"/>
  <c r="I227" i="1"/>
  <c r="H227" i="1"/>
  <c r="G227" i="1"/>
  <c r="F227" i="1"/>
  <c r="E227" i="1"/>
  <c r="D227" i="1"/>
  <c r="R226" i="1"/>
  <c r="Q226" i="1"/>
  <c r="P226" i="1"/>
  <c r="O226" i="1"/>
  <c r="N226" i="1"/>
  <c r="M226" i="1"/>
  <c r="L226" i="1"/>
  <c r="K226" i="1"/>
  <c r="J226" i="1"/>
  <c r="I226" i="1"/>
  <c r="H226" i="1"/>
  <c r="G226" i="1"/>
  <c r="F226" i="1"/>
  <c r="E226" i="1"/>
  <c r="D226" i="1"/>
  <c r="R225" i="1"/>
  <c r="Q225" i="1"/>
  <c r="P225" i="1"/>
  <c r="O225" i="1"/>
  <c r="N225" i="1"/>
  <c r="M225" i="1"/>
  <c r="L225" i="1"/>
  <c r="K225" i="1"/>
  <c r="J225" i="1"/>
  <c r="I225" i="1"/>
  <c r="H225" i="1"/>
  <c r="G225" i="1"/>
  <c r="F225" i="1"/>
  <c r="E225" i="1"/>
  <c r="D225" i="1"/>
  <c r="R224" i="1"/>
  <c r="Q224" i="1"/>
  <c r="P224" i="1"/>
  <c r="O224" i="1"/>
  <c r="N224" i="1"/>
  <c r="M224" i="1"/>
  <c r="L224" i="1"/>
  <c r="K224" i="1"/>
  <c r="J224" i="1"/>
  <c r="I224" i="1"/>
  <c r="H224" i="1"/>
  <c r="G224" i="1"/>
  <c r="F224" i="1"/>
  <c r="E224" i="1"/>
  <c r="D224" i="1"/>
  <c r="R223" i="1"/>
  <c r="Q223" i="1"/>
  <c r="P223" i="1"/>
  <c r="O223" i="1"/>
  <c r="N223" i="1"/>
  <c r="M223" i="1"/>
  <c r="L223" i="1"/>
  <c r="K223" i="1"/>
  <c r="J223" i="1"/>
  <c r="I223" i="1"/>
  <c r="H223" i="1"/>
  <c r="G223" i="1"/>
  <c r="F223" i="1"/>
  <c r="E223" i="1"/>
  <c r="R222" i="1"/>
  <c r="Q222" i="1"/>
  <c r="P222" i="1"/>
  <c r="O222" i="1"/>
  <c r="N222" i="1"/>
  <c r="M222" i="1"/>
  <c r="L222" i="1"/>
  <c r="K222" i="1"/>
  <c r="J222" i="1"/>
  <c r="I222" i="1"/>
  <c r="H222" i="1"/>
  <c r="G222" i="1"/>
  <c r="F222" i="1"/>
  <c r="E222" i="1"/>
  <c r="D222" i="1"/>
  <c r="R221" i="1"/>
  <c r="O221" i="1" s="1"/>
  <c r="P221" i="1"/>
  <c r="N221" i="1"/>
  <c r="M221" i="1"/>
  <c r="L221" i="1"/>
  <c r="K221" i="1"/>
  <c r="J221" i="1"/>
  <c r="I221" i="1"/>
  <c r="H221" i="1"/>
  <c r="G221" i="1"/>
  <c r="F221" i="1"/>
  <c r="E221" i="1"/>
  <c r="D221" i="1"/>
  <c r="R220" i="1"/>
  <c r="Q220" i="1"/>
  <c r="P220" i="1"/>
  <c r="O220" i="1"/>
  <c r="N220" i="1"/>
  <c r="M220" i="1"/>
  <c r="L220" i="1"/>
  <c r="K220" i="1"/>
  <c r="J220" i="1"/>
  <c r="I220" i="1"/>
  <c r="H220" i="1"/>
  <c r="G220" i="1"/>
  <c r="F220" i="1"/>
  <c r="E220" i="1"/>
  <c r="D220" i="1"/>
  <c r="R219" i="1"/>
  <c r="Q219" i="1"/>
  <c r="P219" i="1"/>
  <c r="O219" i="1"/>
  <c r="N219" i="1"/>
  <c r="M219" i="1"/>
  <c r="L219" i="1"/>
  <c r="K219" i="1"/>
  <c r="J219" i="1"/>
  <c r="I219" i="1"/>
  <c r="H219" i="1"/>
  <c r="G219" i="1"/>
  <c r="F219" i="1"/>
  <c r="E219" i="1"/>
  <c r="D219" i="1"/>
  <c r="R218" i="1"/>
  <c r="Q218" i="1"/>
  <c r="P218" i="1"/>
  <c r="O218" i="1"/>
  <c r="N218" i="1"/>
  <c r="M218" i="1"/>
  <c r="L218" i="1"/>
  <c r="K218" i="1"/>
  <c r="J218" i="1"/>
  <c r="I218" i="1"/>
  <c r="H218" i="1"/>
  <c r="G218" i="1"/>
  <c r="F218" i="1"/>
  <c r="E218" i="1"/>
  <c r="D218" i="1"/>
  <c r="R217" i="1"/>
  <c r="Q217" i="1"/>
  <c r="P217" i="1"/>
  <c r="O217" i="1"/>
  <c r="N217" i="1"/>
  <c r="M217" i="1"/>
  <c r="L217" i="1"/>
  <c r="K217" i="1"/>
  <c r="J217" i="1"/>
  <c r="I217" i="1"/>
  <c r="H217" i="1"/>
  <c r="G217" i="1"/>
  <c r="F217" i="1"/>
  <c r="E217" i="1"/>
  <c r="D217" i="1"/>
  <c r="R216" i="1"/>
  <c r="Q216" i="1"/>
  <c r="P216" i="1"/>
  <c r="O216" i="1"/>
  <c r="N216" i="1"/>
  <c r="M216" i="1"/>
  <c r="L216" i="1"/>
  <c r="K216" i="1"/>
  <c r="J216" i="1"/>
  <c r="I216" i="1"/>
  <c r="H216" i="1"/>
  <c r="G216" i="1"/>
  <c r="F216" i="1"/>
  <c r="E216" i="1"/>
  <c r="D216" i="1"/>
  <c r="R215" i="1"/>
  <c r="Q215" i="1"/>
  <c r="P215" i="1"/>
  <c r="O215" i="1"/>
  <c r="N215" i="1"/>
  <c r="M215" i="1"/>
  <c r="L215" i="1"/>
  <c r="K215" i="1"/>
  <c r="J215" i="1"/>
  <c r="I215" i="1"/>
  <c r="H215" i="1"/>
  <c r="G215" i="1"/>
  <c r="F215" i="1"/>
  <c r="E215" i="1"/>
  <c r="D215" i="1"/>
  <c r="R214" i="1"/>
  <c r="Q214" i="1"/>
  <c r="P214" i="1"/>
  <c r="O214" i="1"/>
  <c r="N214" i="1"/>
  <c r="M214" i="1"/>
  <c r="L214" i="1"/>
  <c r="K214" i="1"/>
  <c r="J214" i="1"/>
  <c r="I214" i="1"/>
  <c r="H214" i="1"/>
  <c r="G214" i="1"/>
  <c r="F214" i="1"/>
  <c r="E214" i="1"/>
  <c r="D214" i="1"/>
  <c r="R213" i="1"/>
  <c r="P213" i="1"/>
  <c r="O213" i="1"/>
  <c r="N213" i="1"/>
  <c r="M213" i="1"/>
  <c r="L213" i="1"/>
  <c r="K213" i="1"/>
  <c r="J213" i="1"/>
  <c r="I213" i="1"/>
  <c r="H213" i="1"/>
  <c r="G213" i="1"/>
  <c r="F213" i="1"/>
  <c r="E213" i="1"/>
  <c r="D213" i="1"/>
  <c r="R212" i="1"/>
  <c r="P212" i="1"/>
  <c r="O212" i="1"/>
  <c r="N212" i="1"/>
  <c r="M212" i="1"/>
  <c r="L212" i="1"/>
  <c r="K212" i="1"/>
  <c r="J212" i="1"/>
  <c r="I212" i="1"/>
  <c r="H212" i="1"/>
  <c r="G212" i="1"/>
  <c r="F212" i="1"/>
  <c r="E212" i="1"/>
  <c r="D212" i="1"/>
  <c r="R211" i="1"/>
  <c r="Q211" i="1"/>
  <c r="P211" i="1"/>
  <c r="O211" i="1"/>
  <c r="N211" i="1"/>
  <c r="M211" i="1"/>
  <c r="L211" i="1"/>
  <c r="K211" i="1"/>
  <c r="J211" i="1"/>
  <c r="I211" i="1"/>
  <c r="H211" i="1"/>
  <c r="G211" i="1"/>
  <c r="F211" i="1"/>
  <c r="E211" i="1"/>
  <c r="D211" i="1"/>
  <c r="R208" i="1"/>
  <c r="Q208" i="1"/>
  <c r="P208" i="1"/>
  <c r="O208" i="1"/>
  <c r="N208" i="1"/>
  <c r="M208" i="1"/>
  <c r="L208" i="1"/>
  <c r="K208" i="1"/>
  <c r="J208" i="1"/>
  <c r="I208" i="1"/>
  <c r="H208" i="1"/>
  <c r="G208" i="1"/>
  <c r="F208" i="1"/>
  <c r="E208" i="1"/>
  <c r="D208" i="1"/>
  <c r="R207" i="1"/>
  <c r="Q207" i="1"/>
  <c r="P207" i="1"/>
  <c r="O207" i="1"/>
  <c r="N207" i="1"/>
  <c r="M207" i="1"/>
  <c r="L207" i="1"/>
  <c r="K207" i="1"/>
  <c r="J207" i="1"/>
  <c r="I207" i="1"/>
  <c r="H207" i="1"/>
  <c r="G207" i="1"/>
  <c r="F207" i="1"/>
  <c r="E207" i="1"/>
  <c r="D207" i="1"/>
  <c r="R206" i="1"/>
  <c r="Q206" i="1"/>
  <c r="P206" i="1"/>
  <c r="O206" i="1"/>
  <c r="N206" i="1"/>
  <c r="M206" i="1"/>
  <c r="L206" i="1"/>
  <c r="K206" i="1"/>
  <c r="J206" i="1"/>
  <c r="I206" i="1"/>
  <c r="H206" i="1"/>
  <c r="G206" i="1"/>
  <c r="F206" i="1"/>
  <c r="E206" i="1"/>
  <c r="D206" i="1"/>
  <c r="R205" i="1"/>
  <c r="Q205" i="1"/>
  <c r="P205" i="1"/>
  <c r="O205" i="1"/>
  <c r="N205" i="1"/>
  <c r="M205" i="1"/>
  <c r="L205" i="1"/>
  <c r="K205" i="1"/>
  <c r="J205" i="1"/>
  <c r="I205" i="1"/>
  <c r="H205" i="1"/>
  <c r="G205" i="1"/>
  <c r="F205" i="1"/>
  <c r="E205" i="1"/>
  <c r="D205" i="1"/>
  <c r="R204" i="1"/>
  <c r="O204" i="1" s="1"/>
  <c r="P204" i="1"/>
  <c r="N204" i="1"/>
  <c r="M204" i="1"/>
  <c r="L204" i="1"/>
  <c r="K204" i="1"/>
  <c r="J204" i="1"/>
  <c r="I204" i="1"/>
  <c r="H204" i="1"/>
  <c r="G204" i="1"/>
  <c r="F204" i="1"/>
  <c r="E204" i="1"/>
  <c r="D204" i="1"/>
  <c r="R203" i="1"/>
  <c r="Q203" i="1"/>
  <c r="P203" i="1"/>
  <c r="O203" i="1"/>
  <c r="N203" i="1"/>
  <c r="M203" i="1"/>
  <c r="L203" i="1"/>
  <c r="K203" i="1"/>
  <c r="J203" i="1"/>
  <c r="I203" i="1"/>
  <c r="H203" i="1"/>
  <c r="G203" i="1"/>
  <c r="F203" i="1"/>
  <c r="E203" i="1"/>
  <c r="D203" i="1"/>
  <c r="R202" i="1"/>
  <c r="Q202" i="1"/>
  <c r="P202" i="1"/>
  <c r="O202" i="1"/>
  <c r="N202" i="1"/>
  <c r="M202" i="1"/>
  <c r="L202" i="1"/>
  <c r="K202" i="1"/>
  <c r="J202" i="1"/>
  <c r="I202" i="1"/>
  <c r="H202" i="1"/>
  <c r="G202" i="1"/>
  <c r="F202" i="1"/>
  <c r="E202" i="1"/>
  <c r="R201" i="1"/>
  <c r="Q201" i="1"/>
  <c r="P201" i="1"/>
  <c r="O201" i="1"/>
  <c r="N201" i="1"/>
  <c r="M201" i="1"/>
  <c r="L201" i="1"/>
  <c r="K201" i="1"/>
  <c r="J201" i="1"/>
  <c r="I201" i="1"/>
  <c r="H201" i="1"/>
  <c r="G201" i="1"/>
  <c r="F201" i="1"/>
  <c r="E201" i="1"/>
  <c r="D201" i="1"/>
  <c r="R200" i="1"/>
  <c r="Q200" i="1"/>
  <c r="P200" i="1"/>
  <c r="O200" i="1"/>
  <c r="N200" i="1"/>
  <c r="M200" i="1"/>
  <c r="L200" i="1"/>
  <c r="K200" i="1"/>
  <c r="J200" i="1"/>
  <c r="I200" i="1"/>
  <c r="H200" i="1"/>
  <c r="G200" i="1"/>
  <c r="F200" i="1"/>
  <c r="E200" i="1"/>
  <c r="D200" i="1"/>
  <c r="R199" i="1"/>
  <c r="Q199" i="1"/>
  <c r="P199" i="1"/>
  <c r="O199" i="1"/>
  <c r="N199" i="1"/>
  <c r="M199" i="1"/>
  <c r="L199" i="1"/>
  <c r="K199" i="1"/>
  <c r="J199" i="1"/>
  <c r="I199" i="1"/>
  <c r="H199" i="1"/>
  <c r="G199" i="1"/>
  <c r="F199" i="1"/>
  <c r="E199" i="1"/>
  <c r="D199" i="1"/>
  <c r="R198" i="1"/>
  <c r="Q198" i="1"/>
  <c r="P198" i="1"/>
  <c r="O198" i="1"/>
  <c r="N198" i="1"/>
  <c r="M198" i="1"/>
  <c r="L198" i="1"/>
  <c r="K198" i="1"/>
  <c r="J198" i="1"/>
  <c r="I198" i="1"/>
  <c r="H198" i="1"/>
  <c r="G198" i="1"/>
  <c r="F198" i="1"/>
  <c r="E198" i="1"/>
  <c r="D198" i="1"/>
  <c r="R197" i="1"/>
  <c r="Q197" i="1"/>
  <c r="P197" i="1"/>
  <c r="O197" i="1"/>
  <c r="N197" i="1"/>
  <c r="M197" i="1"/>
  <c r="L197" i="1"/>
  <c r="K197" i="1"/>
  <c r="J197" i="1"/>
  <c r="I197" i="1"/>
  <c r="H197" i="1"/>
  <c r="G197" i="1"/>
  <c r="F197" i="1"/>
  <c r="E197" i="1"/>
  <c r="D197" i="1"/>
  <c r="R196" i="1"/>
  <c r="Q196" i="1"/>
  <c r="P196" i="1"/>
  <c r="O196" i="1"/>
  <c r="N196" i="1"/>
  <c r="M196" i="1"/>
  <c r="L196" i="1"/>
  <c r="K196" i="1"/>
  <c r="J196" i="1"/>
  <c r="I196" i="1"/>
  <c r="H196" i="1"/>
  <c r="G196" i="1"/>
  <c r="F196" i="1"/>
  <c r="E196" i="1"/>
  <c r="D196" i="1"/>
  <c r="R195" i="1"/>
  <c r="Q195" i="1"/>
  <c r="P195" i="1"/>
  <c r="O195" i="1"/>
  <c r="N195" i="1"/>
  <c r="M195" i="1"/>
  <c r="L195" i="1"/>
  <c r="K195" i="1"/>
  <c r="J195" i="1"/>
  <c r="I195" i="1"/>
  <c r="H195" i="1"/>
  <c r="G195" i="1"/>
  <c r="F195" i="1"/>
  <c r="E195" i="1"/>
  <c r="D195" i="1"/>
  <c r="R194" i="1"/>
  <c r="Q194" i="1"/>
  <c r="P194" i="1"/>
  <c r="O194" i="1"/>
  <c r="N194" i="1"/>
  <c r="M194" i="1"/>
  <c r="L194" i="1"/>
  <c r="K194" i="1"/>
  <c r="J194" i="1"/>
  <c r="I194" i="1"/>
  <c r="H194" i="1"/>
  <c r="G194" i="1"/>
  <c r="F194" i="1"/>
  <c r="E194" i="1"/>
  <c r="D194" i="1"/>
  <c r="R193" i="1"/>
  <c r="Q193" i="1"/>
  <c r="P193" i="1"/>
  <c r="O193" i="1"/>
  <c r="N193" i="1"/>
  <c r="M193" i="1"/>
  <c r="L193" i="1"/>
  <c r="K193" i="1"/>
  <c r="J193" i="1"/>
  <c r="I193" i="1"/>
  <c r="H193" i="1"/>
  <c r="G193" i="1"/>
  <c r="F193" i="1"/>
  <c r="E193" i="1"/>
  <c r="D193" i="1"/>
  <c r="R192" i="1"/>
  <c r="Q192" i="1"/>
  <c r="P192" i="1"/>
  <c r="O192" i="1"/>
  <c r="N192" i="1"/>
  <c r="M192" i="1"/>
  <c r="L192" i="1"/>
  <c r="K192" i="1"/>
  <c r="J192" i="1"/>
  <c r="I192" i="1"/>
  <c r="H192" i="1"/>
  <c r="G192" i="1"/>
  <c r="F192" i="1"/>
  <c r="E192" i="1"/>
  <c r="R191" i="1"/>
  <c r="Q191" i="1"/>
  <c r="P191" i="1"/>
  <c r="O191" i="1"/>
  <c r="N191" i="1"/>
  <c r="M191" i="1"/>
  <c r="L191" i="1"/>
  <c r="K191" i="1"/>
  <c r="J191" i="1"/>
  <c r="I191" i="1"/>
  <c r="H191" i="1"/>
  <c r="G191" i="1"/>
  <c r="F191" i="1"/>
  <c r="E191" i="1"/>
  <c r="D191" i="1"/>
  <c r="R190" i="1"/>
  <c r="Q190" i="1"/>
  <c r="P190" i="1"/>
  <c r="O190" i="1"/>
  <c r="N190" i="1"/>
  <c r="M190" i="1"/>
  <c r="L190" i="1"/>
  <c r="K190" i="1"/>
  <c r="J190" i="1"/>
  <c r="I190" i="1"/>
  <c r="H190" i="1"/>
  <c r="G190" i="1"/>
  <c r="F190" i="1"/>
  <c r="E190" i="1"/>
  <c r="D190" i="1"/>
  <c r="R189" i="1"/>
  <c r="Q189" i="1"/>
  <c r="P189" i="1"/>
  <c r="O189" i="1"/>
  <c r="N189" i="1"/>
  <c r="M189" i="1"/>
  <c r="L189" i="1"/>
  <c r="K189" i="1"/>
  <c r="J189" i="1"/>
  <c r="I189" i="1"/>
  <c r="H189" i="1"/>
  <c r="G189" i="1"/>
  <c r="F189" i="1"/>
  <c r="E189" i="1"/>
  <c r="D189" i="1"/>
  <c r="R188" i="1"/>
  <c r="Q188" i="1"/>
  <c r="P188" i="1"/>
  <c r="O188" i="1"/>
  <c r="N188" i="1"/>
  <c r="M188" i="1"/>
  <c r="L188" i="1"/>
  <c r="K188" i="1"/>
  <c r="J188" i="1"/>
  <c r="I188" i="1"/>
  <c r="H188" i="1"/>
  <c r="G188" i="1"/>
  <c r="F188" i="1"/>
  <c r="E188" i="1"/>
  <c r="D188" i="1"/>
  <c r="R187" i="1"/>
  <c r="Q187" i="1"/>
  <c r="P187" i="1"/>
  <c r="O187" i="1"/>
  <c r="N187" i="1"/>
  <c r="M187" i="1"/>
  <c r="L187" i="1"/>
  <c r="K187" i="1"/>
  <c r="J187" i="1"/>
  <c r="I187" i="1"/>
  <c r="H187" i="1"/>
  <c r="G187" i="1"/>
  <c r="F187" i="1"/>
  <c r="E187" i="1"/>
  <c r="D187" i="1"/>
  <c r="R186" i="1"/>
  <c r="Q186" i="1"/>
  <c r="P186" i="1"/>
  <c r="O186" i="1"/>
  <c r="N186" i="1"/>
  <c r="M186" i="1"/>
  <c r="L186" i="1"/>
  <c r="K186" i="1"/>
  <c r="J186" i="1"/>
  <c r="I186" i="1"/>
  <c r="H186" i="1"/>
  <c r="G186" i="1"/>
  <c r="F186" i="1"/>
  <c r="E186" i="1"/>
  <c r="D186" i="1"/>
  <c r="R185" i="1"/>
  <c r="Q185" i="1"/>
  <c r="P185" i="1"/>
  <c r="O185" i="1"/>
  <c r="N185" i="1"/>
  <c r="M185" i="1"/>
  <c r="L185" i="1"/>
  <c r="K185" i="1"/>
  <c r="J185" i="1"/>
  <c r="I185" i="1"/>
  <c r="H185" i="1"/>
  <c r="G185" i="1"/>
  <c r="F185" i="1"/>
  <c r="E185" i="1"/>
  <c r="D185" i="1"/>
  <c r="R184" i="1"/>
  <c r="Q184" i="1"/>
  <c r="P184" i="1"/>
  <c r="O184" i="1"/>
  <c r="N184" i="1"/>
  <c r="M184" i="1"/>
  <c r="L184" i="1"/>
  <c r="K184" i="1"/>
  <c r="J184" i="1"/>
  <c r="I184" i="1"/>
  <c r="H184" i="1"/>
  <c r="G184" i="1"/>
  <c r="F184" i="1"/>
  <c r="E184" i="1"/>
  <c r="D184" i="1"/>
  <c r="R183" i="1"/>
  <c r="Q183" i="1"/>
  <c r="P183" i="1"/>
  <c r="O183" i="1"/>
  <c r="N183" i="1"/>
  <c r="M183" i="1"/>
  <c r="L183" i="1"/>
  <c r="K183" i="1"/>
  <c r="J183" i="1"/>
  <c r="I183" i="1"/>
  <c r="H183" i="1"/>
  <c r="G183" i="1"/>
  <c r="F183" i="1"/>
  <c r="E183" i="1"/>
  <c r="R182" i="1"/>
  <c r="Q182" i="1"/>
  <c r="P182" i="1"/>
  <c r="O182" i="1"/>
  <c r="N182" i="1"/>
  <c r="M182" i="1"/>
  <c r="L182" i="1"/>
  <c r="K182" i="1"/>
  <c r="J182" i="1"/>
  <c r="I182" i="1"/>
  <c r="H182" i="1"/>
  <c r="G182" i="1"/>
  <c r="F182" i="1"/>
  <c r="E182" i="1"/>
  <c r="D182" i="1"/>
  <c r="R181" i="1"/>
  <c r="O181" i="1" s="1"/>
  <c r="P181" i="1"/>
  <c r="N181" i="1"/>
  <c r="M181" i="1"/>
  <c r="L181" i="1"/>
  <c r="K181" i="1"/>
  <c r="J181" i="1"/>
  <c r="I181" i="1"/>
  <c r="H181" i="1"/>
  <c r="G181" i="1"/>
  <c r="F181" i="1"/>
  <c r="E181" i="1"/>
  <c r="D181" i="1"/>
  <c r="R180" i="1"/>
  <c r="Q180" i="1"/>
  <c r="P180" i="1"/>
  <c r="O180" i="1"/>
  <c r="N180" i="1"/>
  <c r="M180" i="1"/>
  <c r="L180" i="1"/>
  <c r="K180" i="1"/>
  <c r="J180" i="1"/>
  <c r="I180" i="1"/>
  <c r="H180" i="1"/>
  <c r="G180" i="1"/>
  <c r="F180" i="1"/>
  <c r="E180" i="1"/>
  <c r="D180" i="1"/>
  <c r="R179" i="1"/>
  <c r="Q179" i="1"/>
  <c r="P179" i="1"/>
  <c r="O179" i="1"/>
  <c r="N179" i="1"/>
  <c r="M179" i="1"/>
  <c r="L179" i="1"/>
  <c r="K179" i="1"/>
  <c r="J179" i="1"/>
  <c r="I179" i="1"/>
  <c r="H179" i="1"/>
  <c r="G179" i="1"/>
  <c r="F179" i="1"/>
  <c r="E179" i="1"/>
  <c r="D179" i="1"/>
  <c r="R178" i="1"/>
  <c r="Q178" i="1"/>
  <c r="P178" i="1"/>
  <c r="O178" i="1"/>
  <c r="N178" i="1"/>
  <c r="M178" i="1"/>
  <c r="L178" i="1"/>
  <c r="K178" i="1"/>
  <c r="J178" i="1"/>
  <c r="I178" i="1"/>
  <c r="H178" i="1"/>
  <c r="G178" i="1"/>
  <c r="F178" i="1"/>
  <c r="E178" i="1"/>
  <c r="D178" i="1"/>
  <c r="R177" i="1"/>
  <c r="Q177" i="1"/>
  <c r="P177" i="1"/>
  <c r="O177" i="1"/>
  <c r="N177" i="1"/>
  <c r="M177" i="1"/>
  <c r="L177" i="1"/>
  <c r="K177" i="1"/>
  <c r="J177" i="1"/>
  <c r="I177" i="1"/>
  <c r="H177" i="1"/>
  <c r="G177" i="1"/>
  <c r="F177" i="1"/>
  <c r="E177" i="1"/>
  <c r="D177" i="1"/>
  <c r="R176" i="1"/>
  <c r="Q176" i="1"/>
  <c r="P176" i="1"/>
  <c r="O176" i="1"/>
  <c r="N176" i="1"/>
  <c r="M176" i="1"/>
  <c r="L176" i="1"/>
  <c r="K176" i="1"/>
  <c r="J176" i="1"/>
  <c r="I176" i="1"/>
  <c r="H176" i="1"/>
  <c r="G176" i="1"/>
  <c r="F176" i="1"/>
  <c r="E176" i="1"/>
  <c r="D176" i="1"/>
  <c r="R175" i="1"/>
  <c r="Q175" i="1"/>
  <c r="P175" i="1"/>
  <c r="O175" i="1"/>
  <c r="N175" i="1"/>
  <c r="M175" i="1"/>
  <c r="L175" i="1"/>
  <c r="K175" i="1"/>
  <c r="J175" i="1"/>
  <c r="I175" i="1"/>
  <c r="H175" i="1"/>
  <c r="G175" i="1"/>
  <c r="F175" i="1"/>
  <c r="E175" i="1"/>
  <c r="D175" i="1"/>
  <c r="R174" i="1"/>
  <c r="Q174" i="1"/>
  <c r="P174" i="1"/>
  <c r="O174" i="1"/>
  <c r="N174" i="1"/>
  <c r="M174" i="1"/>
  <c r="L174" i="1"/>
  <c r="K174" i="1"/>
  <c r="J174" i="1"/>
  <c r="I174" i="1"/>
  <c r="H174" i="1"/>
  <c r="G174" i="1"/>
  <c r="F174" i="1"/>
  <c r="E174" i="1"/>
  <c r="D174" i="1"/>
  <c r="R173" i="1"/>
  <c r="P173" i="1"/>
  <c r="O173" i="1"/>
  <c r="N173" i="1"/>
  <c r="M173" i="1"/>
  <c r="L173" i="1"/>
  <c r="K173" i="1"/>
  <c r="J173" i="1"/>
  <c r="I173" i="1"/>
  <c r="H173" i="1"/>
  <c r="G173" i="1"/>
  <c r="F173" i="1"/>
  <c r="E173" i="1"/>
  <c r="D173" i="1"/>
  <c r="R172" i="1"/>
  <c r="P172" i="1"/>
  <c r="O172" i="1"/>
  <c r="N172" i="1"/>
  <c r="M172" i="1"/>
  <c r="L172" i="1"/>
  <c r="K172" i="1"/>
  <c r="J172" i="1"/>
  <c r="I172" i="1"/>
  <c r="H172" i="1"/>
  <c r="G172" i="1"/>
  <c r="F172" i="1"/>
  <c r="E172" i="1"/>
  <c r="D172" i="1"/>
  <c r="R171" i="1"/>
  <c r="Q171" i="1"/>
  <c r="P171" i="1"/>
  <c r="O171" i="1"/>
  <c r="N171" i="1"/>
  <c r="M171" i="1"/>
  <c r="L171" i="1"/>
  <c r="K171" i="1"/>
  <c r="J171" i="1"/>
  <c r="I171" i="1"/>
  <c r="H171" i="1"/>
  <c r="G171" i="1"/>
  <c r="F171" i="1"/>
  <c r="E171" i="1"/>
  <c r="D171" i="1"/>
  <c r="R167" i="1"/>
  <c r="Q167" i="1"/>
  <c r="P167" i="1"/>
  <c r="O167" i="1"/>
  <c r="N167" i="1"/>
  <c r="M167" i="1"/>
  <c r="L167" i="1"/>
  <c r="K167" i="1"/>
  <c r="J167" i="1"/>
  <c r="I167" i="1"/>
  <c r="H167" i="1"/>
  <c r="G167" i="1"/>
  <c r="F167" i="1"/>
  <c r="E167" i="1"/>
  <c r="D167" i="1"/>
  <c r="R166" i="1"/>
  <c r="Q166" i="1"/>
  <c r="P166" i="1"/>
  <c r="O166" i="1"/>
  <c r="N166" i="1"/>
  <c r="M166" i="1"/>
  <c r="L166" i="1"/>
  <c r="K166" i="1"/>
  <c r="J166" i="1"/>
  <c r="I166" i="1"/>
  <c r="H166" i="1"/>
  <c r="G166" i="1"/>
  <c r="F166" i="1"/>
  <c r="E166" i="1"/>
  <c r="D166" i="1"/>
  <c r="R165" i="1"/>
  <c r="Q165" i="1"/>
  <c r="P165" i="1"/>
  <c r="O165" i="1"/>
  <c r="N165" i="1"/>
  <c r="M165" i="1"/>
  <c r="L165" i="1"/>
  <c r="K165" i="1"/>
  <c r="J165" i="1"/>
  <c r="I165" i="1"/>
  <c r="H165" i="1"/>
  <c r="G165" i="1"/>
  <c r="F165" i="1"/>
  <c r="E165" i="1"/>
  <c r="D165" i="1"/>
  <c r="R164" i="1"/>
  <c r="Q164" i="1"/>
  <c r="P164" i="1"/>
  <c r="O164" i="1"/>
  <c r="N164" i="1"/>
  <c r="M164" i="1"/>
  <c r="L164" i="1"/>
  <c r="K164" i="1"/>
  <c r="J164" i="1"/>
  <c r="I164" i="1"/>
  <c r="H164" i="1"/>
  <c r="G164" i="1"/>
  <c r="F164" i="1"/>
  <c r="E164" i="1"/>
  <c r="D164" i="1"/>
  <c r="R163" i="1"/>
  <c r="O163" i="1" s="1"/>
  <c r="Q163" i="1"/>
  <c r="N163" i="1"/>
  <c r="M163" i="1"/>
  <c r="L163" i="1"/>
  <c r="K163" i="1"/>
  <c r="J163" i="1"/>
  <c r="I163" i="1"/>
  <c r="H163" i="1"/>
  <c r="G163" i="1"/>
  <c r="F163" i="1"/>
  <c r="E163" i="1"/>
  <c r="D163" i="1"/>
  <c r="R162" i="1"/>
  <c r="Q162" i="1"/>
  <c r="P162" i="1"/>
  <c r="O162" i="1"/>
  <c r="N162" i="1"/>
  <c r="M162" i="1"/>
  <c r="L162" i="1"/>
  <c r="K162" i="1"/>
  <c r="J162" i="1"/>
  <c r="I162" i="1"/>
  <c r="H162" i="1"/>
  <c r="G162" i="1"/>
  <c r="F162" i="1"/>
  <c r="E162" i="1"/>
  <c r="D162" i="1"/>
  <c r="R161" i="1"/>
  <c r="Q161" i="1"/>
  <c r="P161" i="1"/>
  <c r="O161" i="1"/>
  <c r="N161" i="1"/>
  <c r="M161" i="1"/>
  <c r="L161" i="1"/>
  <c r="K161" i="1"/>
  <c r="J161" i="1"/>
  <c r="I161" i="1"/>
  <c r="H161" i="1"/>
  <c r="G161" i="1"/>
  <c r="F161" i="1"/>
  <c r="E161" i="1"/>
  <c r="R160" i="1"/>
  <c r="Q160" i="1"/>
  <c r="P160" i="1"/>
  <c r="O160" i="1"/>
  <c r="N160" i="1"/>
  <c r="M160" i="1"/>
  <c r="L160" i="1"/>
  <c r="K160" i="1"/>
  <c r="J160" i="1"/>
  <c r="I160" i="1"/>
  <c r="H160" i="1"/>
  <c r="G160" i="1"/>
  <c r="F160" i="1"/>
  <c r="E160" i="1"/>
  <c r="D160" i="1"/>
  <c r="R159" i="1"/>
  <c r="Q159" i="1"/>
  <c r="P159" i="1"/>
  <c r="O159" i="1"/>
  <c r="N159" i="1"/>
  <c r="M159" i="1"/>
  <c r="L159" i="1"/>
  <c r="K159" i="1"/>
  <c r="J159" i="1"/>
  <c r="I159" i="1"/>
  <c r="H159" i="1"/>
  <c r="G159" i="1"/>
  <c r="F159" i="1"/>
  <c r="E159" i="1"/>
  <c r="D159" i="1"/>
  <c r="R158" i="1"/>
  <c r="Q158" i="1"/>
  <c r="P158" i="1"/>
  <c r="O158" i="1"/>
  <c r="N158" i="1"/>
  <c r="M158" i="1"/>
  <c r="L158" i="1"/>
  <c r="K158" i="1"/>
  <c r="J158" i="1"/>
  <c r="I158" i="1"/>
  <c r="H158" i="1"/>
  <c r="G158" i="1"/>
  <c r="F158" i="1"/>
  <c r="E158" i="1"/>
  <c r="D158" i="1"/>
  <c r="R157" i="1"/>
  <c r="Q157" i="1"/>
  <c r="P157" i="1"/>
  <c r="O157" i="1"/>
  <c r="N157" i="1"/>
  <c r="M157" i="1"/>
  <c r="L157" i="1"/>
  <c r="K157" i="1"/>
  <c r="J157" i="1"/>
  <c r="I157" i="1"/>
  <c r="H157" i="1"/>
  <c r="G157" i="1"/>
  <c r="F157" i="1"/>
  <c r="E157" i="1"/>
  <c r="D157" i="1"/>
  <c r="R156" i="1"/>
  <c r="Q156" i="1"/>
  <c r="P156" i="1"/>
  <c r="O156" i="1"/>
  <c r="N156" i="1"/>
  <c r="M156" i="1"/>
  <c r="L156" i="1"/>
  <c r="K156" i="1"/>
  <c r="J156" i="1"/>
  <c r="I156" i="1"/>
  <c r="H156" i="1"/>
  <c r="G156" i="1"/>
  <c r="F156" i="1"/>
  <c r="E156" i="1"/>
  <c r="D156" i="1"/>
  <c r="R155" i="1"/>
  <c r="Q155" i="1"/>
  <c r="P155" i="1"/>
  <c r="O155" i="1"/>
  <c r="N155" i="1"/>
  <c r="M155" i="1"/>
  <c r="L155" i="1"/>
  <c r="K155" i="1"/>
  <c r="J155" i="1"/>
  <c r="I155" i="1"/>
  <c r="H155" i="1"/>
  <c r="G155" i="1"/>
  <c r="F155" i="1"/>
  <c r="E155" i="1"/>
  <c r="D155" i="1"/>
  <c r="R154" i="1"/>
  <c r="Q154" i="1"/>
  <c r="P154" i="1"/>
  <c r="O154" i="1"/>
  <c r="N154" i="1"/>
  <c r="M154" i="1"/>
  <c r="L154" i="1"/>
  <c r="K154" i="1"/>
  <c r="J154" i="1"/>
  <c r="I154" i="1"/>
  <c r="H154" i="1"/>
  <c r="G154" i="1"/>
  <c r="F154" i="1"/>
  <c r="E154" i="1"/>
  <c r="D154" i="1"/>
  <c r="R153" i="1"/>
  <c r="Q153" i="1"/>
  <c r="P153" i="1"/>
  <c r="O153" i="1"/>
  <c r="N153" i="1"/>
  <c r="M153" i="1"/>
  <c r="L153" i="1"/>
  <c r="K153" i="1"/>
  <c r="J153" i="1"/>
  <c r="I153" i="1"/>
  <c r="H153" i="1"/>
  <c r="G153" i="1"/>
  <c r="F153" i="1"/>
  <c r="E153" i="1"/>
  <c r="D153" i="1"/>
  <c r="R152" i="1"/>
  <c r="Q152" i="1"/>
  <c r="P152" i="1"/>
  <c r="O152" i="1"/>
  <c r="N152" i="1"/>
  <c r="M152" i="1"/>
  <c r="L152" i="1"/>
  <c r="K152" i="1"/>
  <c r="J152" i="1"/>
  <c r="I152" i="1"/>
  <c r="H152" i="1"/>
  <c r="G152" i="1"/>
  <c r="F152" i="1"/>
  <c r="E152" i="1"/>
  <c r="D152" i="1"/>
  <c r="R151" i="1"/>
  <c r="Q151" i="1"/>
  <c r="P151" i="1"/>
  <c r="O151" i="1"/>
  <c r="N151" i="1"/>
  <c r="M151" i="1"/>
  <c r="L151" i="1"/>
  <c r="K151" i="1"/>
  <c r="J151" i="1"/>
  <c r="I151" i="1"/>
  <c r="H151" i="1"/>
  <c r="G151" i="1"/>
  <c r="F151" i="1"/>
  <c r="E151" i="1"/>
  <c r="R150" i="1"/>
  <c r="Q150" i="1"/>
  <c r="P150" i="1"/>
  <c r="O150" i="1"/>
  <c r="N150" i="1"/>
  <c r="M150" i="1"/>
  <c r="L150" i="1"/>
  <c r="K150" i="1"/>
  <c r="J150" i="1"/>
  <c r="I150" i="1"/>
  <c r="H150" i="1"/>
  <c r="G150" i="1"/>
  <c r="F150" i="1"/>
  <c r="E150" i="1"/>
  <c r="D150" i="1"/>
  <c r="R149" i="1"/>
  <c r="Q149" i="1"/>
  <c r="P149" i="1"/>
  <c r="O149" i="1"/>
  <c r="N149" i="1"/>
  <c r="M149" i="1"/>
  <c r="L149" i="1"/>
  <c r="K149" i="1"/>
  <c r="J149" i="1"/>
  <c r="I149" i="1"/>
  <c r="H149" i="1"/>
  <c r="G149" i="1"/>
  <c r="F149" i="1"/>
  <c r="E149" i="1"/>
  <c r="D149" i="1"/>
  <c r="R148" i="1"/>
  <c r="Q148" i="1"/>
  <c r="P148" i="1"/>
  <c r="O148" i="1"/>
  <c r="N148" i="1"/>
  <c r="M148" i="1"/>
  <c r="L148" i="1"/>
  <c r="K148" i="1"/>
  <c r="J148" i="1"/>
  <c r="I148" i="1"/>
  <c r="H148" i="1"/>
  <c r="G148" i="1"/>
  <c r="F148" i="1"/>
  <c r="E148" i="1"/>
  <c r="D148" i="1"/>
  <c r="R147" i="1"/>
  <c r="Q147" i="1"/>
  <c r="P147" i="1"/>
  <c r="O147" i="1"/>
  <c r="N147" i="1"/>
  <c r="M147" i="1"/>
  <c r="L147" i="1"/>
  <c r="K147" i="1"/>
  <c r="J147" i="1"/>
  <c r="I147" i="1"/>
  <c r="H147" i="1"/>
  <c r="G147" i="1"/>
  <c r="F147" i="1"/>
  <c r="E147" i="1"/>
  <c r="D147" i="1"/>
  <c r="R146" i="1"/>
  <c r="Q146" i="1"/>
  <c r="P146" i="1"/>
  <c r="O146" i="1"/>
  <c r="N146" i="1"/>
  <c r="M146" i="1"/>
  <c r="L146" i="1"/>
  <c r="K146" i="1"/>
  <c r="J146" i="1"/>
  <c r="I146" i="1"/>
  <c r="H146" i="1"/>
  <c r="G146" i="1"/>
  <c r="F146" i="1"/>
  <c r="E146" i="1"/>
  <c r="D146" i="1"/>
  <c r="R145" i="1"/>
  <c r="Q145" i="1"/>
  <c r="P145" i="1"/>
  <c r="O145" i="1"/>
  <c r="N145" i="1"/>
  <c r="M145" i="1"/>
  <c r="L145" i="1"/>
  <c r="K145" i="1"/>
  <c r="J145" i="1"/>
  <c r="I145" i="1"/>
  <c r="H145" i="1"/>
  <c r="G145" i="1"/>
  <c r="F145" i="1"/>
  <c r="E145" i="1"/>
  <c r="D145" i="1"/>
  <c r="R144" i="1"/>
  <c r="Q144" i="1"/>
  <c r="P144" i="1"/>
  <c r="O144" i="1"/>
  <c r="N144" i="1"/>
  <c r="M144" i="1"/>
  <c r="L144" i="1"/>
  <c r="K144" i="1"/>
  <c r="J144" i="1"/>
  <c r="I144" i="1"/>
  <c r="H144" i="1"/>
  <c r="G144" i="1"/>
  <c r="F144" i="1"/>
  <c r="E144" i="1"/>
  <c r="D144" i="1"/>
  <c r="R143" i="1"/>
  <c r="Q143" i="1"/>
  <c r="P143" i="1"/>
  <c r="O143" i="1"/>
  <c r="N143" i="1"/>
  <c r="M143" i="1"/>
  <c r="L143" i="1"/>
  <c r="K143" i="1"/>
  <c r="J143" i="1"/>
  <c r="I143" i="1"/>
  <c r="H143" i="1"/>
  <c r="G143" i="1"/>
  <c r="F143" i="1"/>
  <c r="E143" i="1"/>
  <c r="D143" i="1"/>
  <c r="R142" i="1"/>
  <c r="Q142" i="1"/>
  <c r="P142" i="1"/>
  <c r="O142" i="1"/>
  <c r="N142" i="1"/>
  <c r="M142" i="1"/>
  <c r="L142" i="1"/>
  <c r="K142" i="1"/>
  <c r="J142" i="1"/>
  <c r="I142" i="1"/>
  <c r="H142" i="1"/>
  <c r="G142" i="1"/>
  <c r="F142" i="1"/>
  <c r="E142" i="1"/>
  <c r="R141" i="1"/>
  <c r="Q141" i="1"/>
  <c r="P141" i="1"/>
  <c r="O141" i="1"/>
  <c r="N141" i="1"/>
  <c r="M141" i="1"/>
  <c r="L141" i="1"/>
  <c r="K141" i="1"/>
  <c r="J141" i="1"/>
  <c r="I141" i="1"/>
  <c r="H141" i="1"/>
  <c r="G141" i="1"/>
  <c r="F141" i="1"/>
  <c r="E141" i="1"/>
  <c r="D141" i="1"/>
  <c r="R140" i="1"/>
  <c r="O140" i="1" s="1"/>
  <c r="Q140" i="1"/>
  <c r="N140" i="1"/>
  <c r="M140" i="1"/>
  <c r="L140" i="1"/>
  <c r="K140" i="1"/>
  <c r="J140" i="1"/>
  <c r="I140" i="1"/>
  <c r="H140" i="1"/>
  <c r="G140" i="1"/>
  <c r="F140" i="1"/>
  <c r="E140" i="1"/>
  <c r="D140" i="1"/>
  <c r="R139" i="1"/>
  <c r="Q139" i="1"/>
  <c r="P139" i="1"/>
  <c r="O139" i="1"/>
  <c r="N139" i="1"/>
  <c r="M139" i="1"/>
  <c r="L139" i="1"/>
  <c r="K139" i="1"/>
  <c r="J139" i="1"/>
  <c r="I139" i="1"/>
  <c r="H139" i="1"/>
  <c r="G139" i="1"/>
  <c r="F139" i="1"/>
  <c r="E139" i="1"/>
  <c r="D139" i="1"/>
  <c r="R138" i="1"/>
  <c r="Q138" i="1"/>
  <c r="P138" i="1"/>
  <c r="O138" i="1"/>
  <c r="N138" i="1"/>
  <c r="M138" i="1"/>
  <c r="L138" i="1"/>
  <c r="K138" i="1"/>
  <c r="J138" i="1"/>
  <c r="I138" i="1"/>
  <c r="H138" i="1"/>
  <c r="G138" i="1"/>
  <c r="F138" i="1"/>
  <c r="E138" i="1"/>
  <c r="D138" i="1"/>
  <c r="R137" i="1"/>
  <c r="Q137" i="1"/>
  <c r="P137" i="1"/>
  <c r="O137" i="1"/>
  <c r="N137" i="1"/>
  <c r="M137" i="1"/>
  <c r="L137" i="1"/>
  <c r="K137" i="1"/>
  <c r="J137" i="1"/>
  <c r="I137" i="1"/>
  <c r="H137" i="1"/>
  <c r="G137" i="1"/>
  <c r="F137" i="1"/>
  <c r="E137" i="1"/>
  <c r="D137" i="1"/>
  <c r="R136" i="1"/>
  <c r="Q136" i="1"/>
  <c r="P136" i="1"/>
  <c r="O136" i="1"/>
  <c r="N136" i="1"/>
  <c r="M136" i="1"/>
  <c r="L136" i="1"/>
  <c r="K136" i="1"/>
  <c r="J136" i="1"/>
  <c r="I136" i="1"/>
  <c r="H136" i="1"/>
  <c r="G136" i="1"/>
  <c r="F136" i="1"/>
  <c r="E136" i="1"/>
  <c r="D136" i="1"/>
  <c r="R135" i="1"/>
  <c r="Q135" i="1"/>
  <c r="P135" i="1"/>
  <c r="O135" i="1"/>
  <c r="N135" i="1"/>
  <c r="M135" i="1"/>
  <c r="L135" i="1"/>
  <c r="K135" i="1"/>
  <c r="J135" i="1"/>
  <c r="I135" i="1"/>
  <c r="H135" i="1"/>
  <c r="G135" i="1"/>
  <c r="F135" i="1"/>
  <c r="E135" i="1"/>
  <c r="D135" i="1"/>
  <c r="R134" i="1"/>
  <c r="Q134" i="1"/>
  <c r="P134" i="1"/>
  <c r="O134" i="1"/>
  <c r="N134" i="1"/>
  <c r="M134" i="1"/>
  <c r="L134" i="1"/>
  <c r="K134" i="1"/>
  <c r="J134" i="1"/>
  <c r="I134" i="1"/>
  <c r="H134" i="1"/>
  <c r="G134" i="1"/>
  <c r="F134" i="1"/>
  <c r="E134" i="1"/>
  <c r="D134" i="1"/>
  <c r="R133" i="1"/>
  <c r="Q133" i="1"/>
  <c r="P133" i="1"/>
  <c r="O133" i="1"/>
  <c r="N133" i="1"/>
  <c r="M133" i="1"/>
  <c r="L133" i="1"/>
  <c r="K133" i="1"/>
  <c r="J133" i="1"/>
  <c r="I133" i="1"/>
  <c r="H133" i="1"/>
  <c r="G133" i="1"/>
  <c r="F133" i="1"/>
  <c r="E133" i="1"/>
  <c r="D133" i="1"/>
  <c r="R132" i="1"/>
  <c r="Q132" i="1"/>
  <c r="O132" i="1"/>
  <c r="N132" i="1"/>
  <c r="M132" i="1"/>
  <c r="L132" i="1"/>
  <c r="K132" i="1"/>
  <c r="J132" i="1"/>
  <c r="I132" i="1"/>
  <c r="H132" i="1"/>
  <c r="G132" i="1"/>
  <c r="F132" i="1"/>
  <c r="E132" i="1"/>
  <c r="D132" i="1"/>
  <c r="R131" i="1"/>
  <c r="Q131" i="1"/>
  <c r="O131" i="1"/>
  <c r="N131" i="1"/>
  <c r="M131" i="1"/>
  <c r="L131" i="1"/>
  <c r="K131" i="1"/>
  <c r="J131" i="1"/>
  <c r="I131" i="1"/>
  <c r="H131" i="1"/>
  <c r="G131" i="1"/>
  <c r="F131" i="1"/>
  <c r="E131" i="1"/>
  <c r="D131" i="1"/>
  <c r="R130" i="1"/>
  <c r="Q130" i="1"/>
  <c r="P130" i="1"/>
  <c r="O130" i="1"/>
  <c r="N130" i="1"/>
  <c r="M130" i="1"/>
  <c r="L130" i="1"/>
  <c r="K130" i="1"/>
  <c r="J130" i="1"/>
  <c r="I130" i="1"/>
  <c r="H130" i="1"/>
  <c r="G130" i="1"/>
  <c r="F130" i="1"/>
  <c r="E130" i="1"/>
  <c r="D130" i="1"/>
  <c r="R126" i="1"/>
  <c r="Q126" i="1"/>
  <c r="P126" i="1"/>
  <c r="O126" i="1"/>
  <c r="N126" i="1"/>
  <c r="M126" i="1"/>
  <c r="L126" i="1"/>
  <c r="K126" i="1"/>
  <c r="J126" i="1"/>
  <c r="I126" i="1"/>
  <c r="H126" i="1"/>
  <c r="G126" i="1"/>
  <c r="F126" i="1"/>
  <c r="E126" i="1"/>
  <c r="D126" i="1"/>
  <c r="R125" i="1"/>
  <c r="Q125" i="1"/>
  <c r="P125" i="1"/>
  <c r="O125" i="1"/>
  <c r="N125" i="1"/>
  <c r="M125" i="1"/>
  <c r="L125" i="1"/>
  <c r="K125" i="1"/>
  <c r="J125" i="1"/>
  <c r="I125" i="1"/>
  <c r="H125" i="1"/>
  <c r="G125" i="1"/>
  <c r="F125" i="1"/>
  <c r="E125" i="1"/>
  <c r="D125" i="1"/>
  <c r="R124" i="1"/>
  <c r="Q124" i="1"/>
  <c r="P124" i="1"/>
  <c r="O124" i="1"/>
  <c r="N124" i="1"/>
  <c r="M124" i="1"/>
  <c r="L124" i="1"/>
  <c r="K124" i="1"/>
  <c r="J124" i="1"/>
  <c r="I124" i="1"/>
  <c r="H124" i="1"/>
  <c r="G124" i="1"/>
  <c r="F124" i="1"/>
  <c r="E124" i="1"/>
  <c r="D124" i="1"/>
  <c r="R123" i="1"/>
  <c r="Q123" i="1"/>
  <c r="P123" i="1"/>
  <c r="O123" i="1"/>
  <c r="N123" i="1"/>
  <c r="M123" i="1"/>
  <c r="L123" i="1"/>
  <c r="K123" i="1"/>
  <c r="J123" i="1"/>
  <c r="I123" i="1"/>
  <c r="H123" i="1"/>
  <c r="G123" i="1"/>
  <c r="F123" i="1"/>
  <c r="E123" i="1"/>
  <c r="D123" i="1"/>
  <c r="R122" i="1"/>
  <c r="O122" i="1" s="1"/>
  <c r="Q122" i="1"/>
  <c r="N122" i="1"/>
  <c r="M122" i="1"/>
  <c r="L122" i="1"/>
  <c r="K122" i="1"/>
  <c r="J122" i="1"/>
  <c r="I122" i="1"/>
  <c r="H122" i="1"/>
  <c r="G122" i="1"/>
  <c r="F122" i="1"/>
  <c r="E122" i="1"/>
  <c r="D122" i="1"/>
  <c r="R121" i="1"/>
  <c r="Q121" i="1"/>
  <c r="P121" i="1"/>
  <c r="O121" i="1"/>
  <c r="N121" i="1"/>
  <c r="M121" i="1"/>
  <c r="L121" i="1"/>
  <c r="K121" i="1"/>
  <c r="J121" i="1"/>
  <c r="I121" i="1"/>
  <c r="H121" i="1"/>
  <c r="G121" i="1"/>
  <c r="F121" i="1"/>
  <c r="E121" i="1"/>
  <c r="D121" i="1"/>
  <c r="R120" i="1"/>
  <c r="Q120" i="1"/>
  <c r="P120" i="1"/>
  <c r="O120" i="1"/>
  <c r="N120" i="1"/>
  <c r="M120" i="1"/>
  <c r="L120" i="1"/>
  <c r="K120" i="1"/>
  <c r="J120" i="1"/>
  <c r="I120" i="1"/>
  <c r="H120" i="1"/>
  <c r="G120" i="1"/>
  <c r="F120" i="1"/>
  <c r="E120" i="1"/>
  <c r="R119" i="1"/>
  <c r="Q119" i="1"/>
  <c r="P119" i="1"/>
  <c r="O119" i="1"/>
  <c r="N119" i="1"/>
  <c r="M119" i="1"/>
  <c r="L119" i="1"/>
  <c r="K119" i="1"/>
  <c r="J119" i="1"/>
  <c r="I119" i="1"/>
  <c r="H119" i="1"/>
  <c r="G119" i="1"/>
  <c r="F119" i="1"/>
  <c r="E119" i="1"/>
  <c r="D119" i="1"/>
  <c r="R118" i="1"/>
  <c r="Q118" i="1"/>
  <c r="P118" i="1"/>
  <c r="O118" i="1"/>
  <c r="N118" i="1"/>
  <c r="M118" i="1"/>
  <c r="L118" i="1"/>
  <c r="K118" i="1"/>
  <c r="J118" i="1"/>
  <c r="I118" i="1"/>
  <c r="H118" i="1"/>
  <c r="G118" i="1"/>
  <c r="F118" i="1"/>
  <c r="E118" i="1"/>
  <c r="D118" i="1"/>
  <c r="R117" i="1"/>
  <c r="Q117" i="1"/>
  <c r="P117" i="1"/>
  <c r="O117" i="1"/>
  <c r="N117" i="1"/>
  <c r="M117" i="1"/>
  <c r="L117" i="1"/>
  <c r="K117" i="1"/>
  <c r="J117" i="1"/>
  <c r="I117" i="1"/>
  <c r="H117" i="1"/>
  <c r="G117" i="1"/>
  <c r="F117" i="1"/>
  <c r="E117" i="1"/>
  <c r="D117" i="1"/>
  <c r="R116" i="1"/>
  <c r="Q116" i="1"/>
  <c r="P116" i="1"/>
  <c r="O116" i="1"/>
  <c r="N116" i="1"/>
  <c r="M116" i="1"/>
  <c r="L116" i="1"/>
  <c r="K116" i="1"/>
  <c r="J116" i="1"/>
  <c r="I116" i="1"/>
  <c r="H116" i="1"/>
  <c r="G116" i="1"/>
  <c r="F116" i="1"/>
  <c r="E116" i="1"/>
  <c r="D116" i="1"/>
  <c r="R115" i="1"/>
  <c r="Q115" i="1"/>
  <c r="P115" i="1"/>
  <c r="O115" i="1"/>
  <c r="N115" i="1"/>
  <c r="M115" i="1"/>
  <c r="L115" i="1"/>
  <c r="K115" i="1"/>
  <c r="J115" i="1"/>
  <c r="I115" i="1"/>
  <c r="H115" i="1"/>
  <c r="G115" i="1"/>
  <c r="F115" i="1"/>
  <c r="E115" i="1"/>
  <c r="D115" i="1"/>
  <c r="R114" i="1"/>
  <c r="Q114" i="1"/>
  <c r="P114" i="1"/>
  <c r="O114" i="1"/>
  <c r="N114" i="1"/>
  <c r="M114" i="1"/>
  <c r="L114" i="1"/>
  <c r="K114" i="1"/>
  <c r="J114" i="1"/>
  <c r="I114" i="1"/>
  <c r="H114" i="1"/>
  <c r="G114" i="1"/>
  <c r="F114" i="1"/>
  <c r="E114" i="1"/>
  <c r="D114" i="1"/>
  <c r="R113" i="1"/>
  <c r="Q113" i="1"/>
  <c r="P113" i="1"/>
  <c r="O113" i="1"/>
  <c r="N113" i="1"/>
  <c r="M113" i="1"/>
  <c r="L113" i="1"/>
  <c r="K113" i="1"/>
  <c r="J113" i="1"/>
  <c r="I113" i="1"/>
  <c r="H113" i="1"/>
  <c r="G113" i="1"/>
  <c r="F113" i="1"/>
  <c r="E113" i="1"/>
  <c r="D113" i="1"/>
  <c r="R112" i="1"/>
  <c r="Q112" i="1"/>
  <c r="P112" i="1"/>
  <c r="O112" i="1"/>
  <c r="N112" i="1"/>
  <c r="M112" i="1"/>
  <c r="L112" i="1"/>
  <c r="K112" i="1"/>
  <c r="J112" i="1"/>
  <c r="I112" i="1"/>
  <c r="H112" i="1"/>
  <c r="G112" i="1"/>
  <c r="F112" i="1"/>
  <c r="E112" i="1"/>
  <c r="D112" i="1"/>
  <c r="R111" i="1"/>
  <c r="Q111" i="1"/>
  <c r="P111" i="1"/>
  <c r="O111" i="1"/>
  <c r="N111" i="1"/>
  <c r="M111" i="1"/>
  <c r="L111" i="1"/>
  <c r="K111" i="1"/>
  <c r="J111" i="1"/>
  <c r="I111" i="1"/>
  <c r="H111" i="1"/>
  <c r="G111" i="1"/>
  <c r="F111" i="1"/>
  <c r="E111" i="1"/>
  <c r="D111" i="1"/>
  <c r="R110" i="1"/>
  <c r="Q110" i="1"/>
  <c r="P110" i="1"/>
  <c r="O110" i="1"/>
  <c r="N110" i="1"/>
  <c r="M110" i="1"/>
  <c r="L110" i="1"/>
  <c r="K110" i="1"/>
  <c r="J110" i="1"/>
  <c r="I110" i="1"/>
  <c r="H110" i="1"/>
  <c r="G110" i="1"/>
  <c r="F110" i="1"/>
  <c r="E110" i="1"/>
  <c r="R109" i="1"/>
  <c r="Q109" i="1"/>
  <c r="P109" i="1"/>
  <c r="O109" i="1"/>
  <c r="N109" i="1"/>
  <c r="M109" i="1"/>
  <c r="L109" i="1"/>
  <c r="K109" i="1"/>
  <c r="J109" i="1"/>
  <c r="I109" i="1"/>
  <c r="H109" i="1"/>
  <c r="G109" i="1"/>
  <c r="F109" i="1"/>
  <c r="E109" i="1"/>
  <c r="D109" i="1"/>
  <c r="R108" i="1"/>
  <c r="Q108" i="1"/>
  <c r="P108" i="1"/>
  <c r="O108" i="1"/>
  <c r="N108" i="1"/>
  <c r="M108" i="1"/>
  <c r="L108" i="1"/>
  <c r="K108" i="1"/>
  <c r="J108" i="1"/>
  <c r="I108" i="1"/>
  <c r="H108" i="1"/>
  <c r="G108" i="1"/>
  <c r="F108" i="1"/>
  <c r="E108" i="1"/>
  <c r="D108" i="1"/>
  <c r="R107" i="1"/>
  <c r="Q107" i="1"/>
  <c r="P107" i="1"/>
  <c r="O107" i="1"/>
  <c r="N107" i="1"/>
  <c r="M107" i="1"/>
  <c r="L107" i="1"/>
  <c r="K107" i="1"/>
  <c r="J107" i="1"/>
  <c r="I107" i="1"/>
  <c r="H107" i="1"/>
  <c r="G107" i="1"/>
  <c r="F107" i="1"/>
  <c r="E107" i="1"/>
  <c r="D107" i="1"/>
  <c r="R106" i="1"/>
  <c r="Q106" i="1"/>
  <c r="P106" i="1"/>
  <c r="O106" i="1"/>
  <c r="N106" i="1"/>
  <c r="M106" i="1"/>
  <c r="L106" i="1"/>
  <c r="K106" i="1"/>
  <c r="J106" i="1"/>
  <c r="I106" i="1"/>
  <c r="H106" i="1"/>
  <c r="G106" i="1"/>
  <c r="F106" i="1"/>
  <c r="E106" i="1"/>
  <c r="D106" i="1"/>
  <c r="R105" i="1"/>
  <c r="Q105" i="1"/>
  <c r="P105" i="1"/>
  <c r="O105" i="1"/>
  <c r="N105" i="1"/>
  <c r="M105" i="1"/>
  <c r="L105" i="1"/>
  <c r="K105" i="1"/>
  <c r="J105" i="1"/>
  <c r="I105" i="1"/>
  <c r="H105" i="1"/>
  <c r="G105" i="1"/>
  <c r="F105" i="1"/>
  <c r="E105" i="1"/>
  <c r="D105" i="1"/>
  <c r="R104" i="1"/>
  <c r="Q104" i="1"/>
  <c r="P104" i="1"/>
  <c r="O104" i="1"/>
  <c r="N104" i="1"/>
  <c r="M104" i="1"/>
  <c r="L104" i="1"/>
  <c r="K104" i="1"/>
  <c r="J104" i="1"/>
  <c r="I104" i="1"/>
  <c r="H104" i="1"/>
  <c r="G104" i="1"/>
  <c r="F104" i="1"/>
  <c r="E104" i="1"/>
  <c r="D104" i="1"/>
  <c r="R103" i="1"/>
  <c r="Q103" i="1"/>
  <c r="P103" i="1"/>
  <c r="O103" i="1"/>
  <c r="N103" i="1"/>
  <c r="M103" i="1"/>
  <c r="L103" i="1"/>
  <c r="K103" i="1"/>
  <c r="J103" i="1"/>
  <c r="I103" i="1"/>
  <c r="H103" i="1"/>
  <c r="G103" i="1"/>
  <c r="F103" i="1"/>
  <c r="E103" i="1"/>
  <c r="D103" i="1"/>
  <c r="R102" i="1"/>
  <c r="Q102" i="1"/>
  <c r="P102" i="1"/>
  <c r="O102" i="1"/>
  <c r="N102" i="1"/>
  <c r="M102" i="1"/>
  <c r="L102" i="1"/>
  <c r="K102" i="1"/>
  <c r="J102" i="1"/>
  <c r="I102" i="1"/>
  <c r="H102" i="1"/>
  <c r="G102" i="1"/>
  <c r="F102" i="1"/>
  <c r="E102" i="1"/>
  <c r="D102" i="1"/>
  <c r="R101" i="1"/>
  <c r="Q101" i="1"/>
  <c r="P101" i="1"/>
  <c r="O101" i="1"/>
  <c r="N101" i="1"/>
  <c r="M101" i="1"/>
  <c r="L101" i="1"/>
  <c r="K101" i="1"/>
  <c r="J101" i="1"/>
  <c r="I101" i="1"/>
  <c r="H101" i="1"/>
  <c r="G101" i="1"/>
  <c r="F101" i="1"/>
  <c r="E101" i="1"/>
  <c r="R100" i="1"/>
  <c r="Q100" i="1"/>
  <c r="P100" i="1"/>
  <c r="O100" i="1"/>
  <c r="N100" i="1"/>
  <c r="M100" i="1"/>
  <c r="L100" i="1"/>
  <c r="K100" i="1"/>
  <c r="J100" i="1"/>
  <c r="I100" i="1"/>
  <c r="H100" i="1"/>
  <c r="G100" i="1"/>
  <c r="F100" i="1"/>
  <c r="E100" i="1"/>
  <c r="D100" i="1"/>
  <c r="R99" i="1"/>
  <c r="O99" i="1" s="1"/>
  <c r="Q99" i="1"/>
  <c r="N99" i="1"/>
  <c r="M99" i="1"/>
  <c r="L99" i="1"/>
  <c r="K99" i="1"/>
  <c r="J99" i="1"/>
  <c r="I99" i="1"/>
  <c r="H99" i="1"/>
  <c r="G99" i="1"/>
  <c r="F99" i="1"/>
  <c r="E99" i="1"/>
  <c r="D99" i="1"/>
  <c r="R98" i="1"/>
  <c r="Q98" i="1"/>
  <c r="P98" i="1"/>
  <c r="O98" i="1"/>
  <c r="N98" i="1"/>
  <c r="M98" i="1"/>
  <c r="L98" i="1"/>
  <c r="K98" i="1"/>
  <c r="J98" i="1"/>
  <c r="I98" i="1"/>
  <c r="H98" i="1"/>
  <c r="G98" i="1"/>
  <c r="F98" i="1"/>
  <c r="E98" i="1"/>
  <c r="D98" i="1"/>
  <c r="R97" i="1"/>
  <c r="Q97" i="1"/>
  <c r="P97" i="1"/>
  <c r="O97" i="1"/>
  <c r="N97" i="1"/>
  <c r="M97" i="1"/>
  <c r="L97" i="1"/>
  <c r="K97" i="1"/>
  <c r="J97" i="1"/>
  <c r="I97" i="1"/>
  <c r="H97" i="1"/>
  <c r="G97" i="1"/>
  <c r="F97" i="1"/>
  <c r="E97" i="1"/>
  <c r="D97" i="1"/>
  <c r="R96" i="1"/>
  <c r="Q96" i="1"/>
  <c r="P96" i="1"/>
  <c r="O96" i="1"/>
  <c r="N96" i="1"/>
  <c r="M96" i="1"/>
  <c r="L96" i="1"/>
  <c r="K96" i="1"/>
  <c r="J96" i="1"/>
  <c r="I96" i="1"/>
  <c r="H96" i="1"/>
  <c r="G96" i="1"/>
  <c r="F96" i="1"/>
  <c r="E96" i="1"/>
  <c r="D96" i="1"/>
  <c r="R95" i="1"/>
  <c r="Q95" i="1"/>
  <c r="P95" i="1"/>
  <c r="O95" i="1"/>
  <c r="N95" i="1"/>
  <c r="M95" i="1"/>
  <c r="L95" i="1"/>
  <c r="K95" i="1"/>
  <c r="J95" i="1"/>
  <c r="I95" i="1"/>
  <c r="H95" i="1"/>
  <c r="G95" i="1"/>
  <c r="F95" i="1"/>
  <c r="E95" i="1"/>
  <c r="D95" i="1"/>
  <c r="R94" i="1"/>
  <c r="Q94" i="1"/>
  <c r="P94" i="1"/>
  <c r="O94" i="1"/>
  <c r="N94" i="1"/>
  <c r="M94" i="1"/>
  <c r="L94" i="1"/>
  <c r="K94" i="1"/>
  <c r="J94" i="1"/>
  <c r="I94" i="1"/>
  <c r="H94" i="1"/>
  <c r="G94" i="1"/>
  <c r="F94" i="1"/>
  <c r="E94" i="1"/>
  <c r="D94" i="1"/>
  <c r="R93" i="1"/>
  <c r="Q93" i="1"/>
  <c r="P93" i="1"/>
  <c r="O93" i="1"/>
  <c r="N93" i="1"/>
  <c r="M93" i="1"/>
  <c r="L93" i="1"/>
  <c r="K93" i="1"/>
  <c r="J93" i="1"/>
  <c r="I93" i="1"/>
  <c r="H93" i="1"/>
  <c r="G93" i="1"/>
  <c r="F93" i="1"/>
  <c r="E93" i="1"/>
  <c r="D93" i="1"/>
  <c r="R92" i="1"/>
  <c r="Q92" i="1"/>
  <c r="P92" i="1"/>
  <c r="O92" i="1"/>
  <c r="N92" i="1"/>
  <c r="M92" i="1"/>
  <c r="L92" i="1"/>
  <c r="K92" i="1"/>
  <c r="J92" i="1"/>
  <c r="I92" i="1"/>
  <c r="H92" i="1"/>
  <c r="G92" i="1"/>
  <c r="F92" i="1"/>
  <c r="E92" i="1"/>
  <c r="D92" i="1"/>
  <c r="R91" i="1"/>
  <c r="Q91" i="1"/>
  <c r="O91" i="1"/>
  <c r="N91" i="1"/>
  <c r="M91" i="1"/>
  <c r="L91" i="1"/>
  <c r="K91" i="1"/>
  <c r="J91" i="1"/>
  <c r="I91" i="1"/>
  <c r="H91" i="1"/>
  <c r="G91" i="1"/>
  <c r="F91" i="1"/>
  <c r="E91" i="1"/>
  <c r="D91" i="1"/>
  <c r="R90" i="1"/>
  <c r="Q90" i="1"/>
  <c r="O90" i="1"/>
  <c r="N90" i="1"/>
  <c r="M90" i="1"/>
  <c r="L90" i="1"/>
  <c r="K90" i="1"/>
  <c r="J90" i="1"/>
  <c r="I90" i="1"/>
  <c r="H90" i="1"/>
  <c r="G90" i="1"/>
  <c r="F90" i="1"/>
  <c r="E90" i="1"/>
  <c r="D90" i="1"/>
  <c r="R89" i="1"/>
  <c r="Q89" i="1"/>
  <c r="P89" i="1"/>
  <c r="O89" i="1"/>
  <c r="N89" i="1"/>
  <c r="M89" i="1"/>
  <c r="L89" i="1"/>
  <c r="K89" i="1"/>
  <c r="J89" i="1"/>
  <c r="I89" i="1"/>
  <c r="H89" i="1"/>
  <c r="G89" i="1"/>
  <c r="F89" i="1"/>
  <c r="E89" i="1"/>
  <c r="D89" i="1"/>
  <c r="R85" i="1"/>
  <c r="Q85" i="1"/>
  <c r="P85" i="1"/>
  <c r="O85" i="1"/>
  <c r="N85" i="1"/>
  <c r="M85" i="1"/>
  <c r="L85" i="1"/>
  <c r="K85" i="1"/>
  <c r="J85" i="1"/>
  <c r="I85" i="1"/>
  <c r="H85" i="1"/>
  <c r="G85" i="1"/>
  <c r="F85" i="1"/>
  <c r="E85" i="1"/>
  <c r="D85" i="1"/>
  <c r="R84" i="1"/>
  <c r="Q84" i="1"/>
  <c r="P84" i="1"/>
  <c r="O84" i="1"/>
  <c r="N84" i="1"/>
  <c r="M84" i="1"/>
  <c r="L84" i="1"/>
  <c r="K84" i="1"/>
  <c r="J84" i="1"/>
  <c r="I84" i="1"/>
  <c r="H84" i="1"/>
  <c r="G84" i="1"/>
  <c r="F84" i="1"/>
  <c r="E84" i="1"/>
  <c r="D84" i="1"/>
  <c r="R83" i="1"/>
  <c r="Q83" i="1"/>
  <c r="P83" i="1"/>
  <c r="O83" i="1"/>
  <c r="N83" i="1"/>
  <c r="M83" i="1"/>
  <c r="L83" i="1"/>
  <c r="K83" i="1"/>
  <c r="J83" i="1"/>
  <c r="I83" i="1"/>
  <c r="H83" i="1"/>
  <c r="G83" i="1"/>
  <c r="F83" i="1"/>
  <c r="E83" i="1"/>
  <c r="D83" i="1"/>
  <c r="R82" i="1"/>
  <c r="Q82" i="1"/>
  <c r="P82" i="1"/>
  <c r="O82" i="1"/>
  <c r="N82" i="1"/>
  <c r="M82" i="1"/>
  <c r="L82" i="1"/>
  <c r="K82" i="1"/>
  <c r="J82" i="1"/>
  <c r="I82" i="1"/>
  <c r="H82" i="1"/>
  <c r="G82" i="1"/>
  <c r="F82" i="1"/>
  <c r="E82" i="1"/>
  <c r="D82" i="1"/>
  <c r="R81" i="1"/>
  <c r="O81" i="1" s="1"/>
  <c r="Q81" i="1"/>
  <c r="N81" i="1"/>
  <c r="M81" i="1"/>
  <c r="L81" i="1"/>
  <c r="K81" i="1"/>
  <c r="J81" i="1"/>
  <c r="I81" i="1"/>
  <c r="H81" i="1"/>
  <c r="G81" i="1"/>
  <c r="F81" i="1"/>
  <c r="E81" i="1"/>
  <c r="D81" i="1"/>
  <c r="R80" i="1"/>
  <c r="Q80" i="1"/>
  <c r="P80" i="1"/>
  <c r="O80" i="1"/>
  <c r="N80" i="1"/>
  <c r="M80" i="1"/>
  <c r="L80" i="1"/>
  <c r="K80" i="1"/>
  <c r="J80" i="1"/>
  <c r="I80" i="1"/>
  <c r="H80" i="1"/>
  <c r="G80" i="1"/>
  <c r="F80" i="1"/>
  <c r="E80" i="1"/>
  <c r="D80" i="1"/>
  <c r="R79" i="1"/>
  <c r="Q79" i="1"/>
  <c r="P79" i="1"/>
  <c r="O79" i="1"/>
  <c r="N79" i="1"/>
  <c r="M79" i="1"/>
  <c r="L79" i="1"/>
  <c r="K79" i="1"/>
  <c r="J79" i="1"/>
  <c r="I79" i="1"/>
  <c r="H79" i="1"/>
  <c r="G79" i="1"/>
  <c r="F79" i="1"/>
  <c r="E79" i="1"/>
  <c r="R78" i="1"/>
  <c r="Q78" i="1"/>
  <c r="P78" i="1"/>
  <c r="O78" i="1"/>
  <c r="N78" i="1"/>
  <c r="M78" i="1"/>
  <c r="L78" i="1"/>
  <c r="K78" i="1"/>
  <c r="J78" i="1"/>
  <c r="I78" i="1"/>
  <c r="H78" i="1"/>
  <c r="G78" i="1"/>
  <c r="F78" i="1"/>
  <c r="E78" i="1"/>
  <c r="D78" i="1"/>
  <c r="R77" i="1"/>
  <c r="Q77" i="1"/>
  <c r="P77" i="1"/>
  <c r="O77" i="1"/>
  <c r="N77" i="1"/>
  <c r="M77" i="1"/>
  <c r="L77" i="1"/>
  <c r="K77" i="1"/>
  <c r="J77" i="1"/>
  <c r="I77" i="1"/>
  <c r="H77" i="1"/>
  <c r="G77" i="1"/>
  <c r="F77" i="1"/>
  <c r="E77" i="1"/>
  <c r="D77" i="1"/>
  <c r="R76" i="1"/>
  <c r="Q76" i="1"/>
  <c r="P76" i="1"/>
  <c r="O76" i="1"/>
  <c r="N76" i="1"/>
  <c r="M76" i="1"/>
  <c r="L76" i="1"/>
  <c r="K76" i="1"/>
  <c r="J76" i="1"/>
  <c r="I76" i="1"/>
  <c r="H76" i="1"/>
  <c r="G76" i="1"/>
  <c r="F76" i="1"/>
  <c r="E76" i="1"/>
  <c r="D76" i="1"/>
  <c r="R75" i="1"/>
  <c r="Q75" i="1"/>
  <c r="P75" i="1"/>
  <c r="O75" i="1"/>
  <c r="N75" i="1"/>
  <c r="M75" i="1"/>
  <c r="L75" i="1"/>
  <c r="K75" i="1"/>
  <c r="J75" i="1"/>
  <c r="I75" i="1"/>
  <c r="H75" i="1"/>
  <c r="G75" i="1"/>
  <c r="F75" i="1"/>
  <c r="E75" i="1"/>
  <c r="D75" i="1"/>
  <c r="R74" i="1"/>
  <c r="Q74" i="1"/>
  <c r="P74" i="1"/>
  <c r="O74" i="1"/>
  <c r="N74" i="1"/>
  <c r="M74" i="1"/>
  <c r="L74" i="1"/>
  <c r="K74" i="1"/>
  <c r="J74" i="1"/>
  <c r="I74" i="1"/>
  <c r="H74" i="1"/>
  <c r="G74" i="1"/>
  <c r="F74" i="1"/>
  <c r="E74" i="1"/>
  <c r="D74" i="1"/>
  <c r="R73" i="1"/>
  <c r="Q73" i="1"/>
  <c r="P73" i="1"/>
  <c r="O73" i="1"/>
  <c r="N73" i="1"/>
  <c r="M73" i="1"/>
  <c r="L73" i="1"/>
  <c r="K73" i="1"/>
  <c r="J73" i="1"/>
  <c r="I73" i="1"/>
  <c r="H73" i="1"/>
  <c r="G73" i="1"/>
  <c r="F73" i="1"/>
  <c r="E73" i="1"/>
  <c r="D73" i="1"/>
  <c r="R72" i="1"/>
  <c r="Q72" i="1"/>
  <c r="P72" i="1"/>
  <c r="O72" i="1"/>
  <c r="N72" i="1"/>
  <c r="M72" i="1"/>
  <c r="L72" i="1"/>
  <c r="K72" i="1"/>
  <c r="J72" i="1"/>
  <c r="I72" i="1"/>
  <c r="H72" i="1"/>
  <c r="G72" i="1"/>
  <c r="F72" i="1"/>
  <c r="E72" i="1"/>
  <c r="D72" i="1"/>
  <c r="R71" i="1"/>
  <c r="Q71" i="1"/>
  <c r="P71" i="1"/>
  <c r="O71" i="1"/>
  <c r="N71" i="1"/>
  <c r="M71" i="1"/>
  <c r="L71" i="1"/>
  <c r="K71" i="1"/>
  <c r="J71" i="1"/>
  <c r="I71" i="1"/>
  <c r="H71" i="1"/>
  <c r="G71" i="1"/>
  <c r="F71" i="1"/>
  <c r="E71" i="1"/>
  <c r="D71" i="1"/>
  <c r="R70" i="1"/>
  <c r="Q70" i="1"/>
  <c r="P70" i="1"/>
  <c r="O70" i="1"/>
  <c r="N70" i="1"/>
  <c r="M70" i="1"/>
  <c r="L70" i="1"/>
  <c r="K70" i="1"/>
  <c r="J70" i="1"/>
  <c r="I70" i="1"/>
  <c r="H70" i="1"/>
  <c r="G70" i="1"/>
  <c r="F70" i="1"/>
  <c r="E70" i="1"/>
  <c r="R69" i="1"/>
  <c r="Q69" i="1"/>
  <c r="P69" i="1"/>
  <c r="O69" i="1"/>
  <c r="N69" i="1"/>
  <c r="M69" i="1"/>
  <c r="L69" i="1"/>
  <c r="K69" i="1"/>
  <c r="J69" i="1"/>
  <c r="I69" i="1"/>
  <c r="H69" i="1"/>
  <c r="G69" i="1"/>
  <c r="F69" i="1"/>
  <c r="E69" i="1"/>
  <c r="D69" i="1"/>
  <c r="R68" i="1"/>
  <c r="Q68" i="1"/>
  <c r="P68" i="1"/>
  <c r="O68" i="1"/>
  <c r="N68" i="1"/>
  <c r="M68" i="1"/>
  <c r="L68" i="1"/>
  <c r="K68" i="1"/>
  <c r="J68" i="1"/>
  <c r="I68" i="1"/>
  <c r="H68" i="1"/>
  <c r="G68" i="1"/>
  <c r="F68" i="1"/>
  <c r="E68" i="1"/>
  <c r="D68" i="1"/>
  <c r="R67" i="1"/>
  <c r="Q67" i="1"/>
  <c r="P67" i="1"/>
  <c r="O67" i="1"/>
  <c r="N67" i="1"/>
  <c r="M67" i="1"/>
  <c r="L67" i="1"/>
  <c r="K67" i="1"/>
  <c r="J67" i="1"/>
  <c r="I67" i="1"/>
  <c r="H67" i="1"/>
  <c r="G67" i="1"/>
  <c r="F67" i="1"/>
  <c r="E67" i="1"/>
  <c r="D67" i="1"/>
  <c r="R66" i="1"/>
  <c r="Q66" i="1"/>
  <c r="P66" i="1"/>
  <c r="O66" i="1"/>
  <c r="N66" i="1"/>
  <c r="M66" i="1"/>
  <c r="L66" i="1"/>
  <c r="K66" i="1"/>
  <c r="J66" i="1"/>
  <c r="I66" i="1"/>
  <c r="H66" i="1"/>
  <c r="G66" i="1"/>
  <c r="F66" i="1"/>
  <c r="E66" i="1"/>
  <c r="D66" i="1"/>
  <c r="R65" i="1"/>
  <c r="Q65" i="1"/>
  <c r="P65" i="1"/>
  <c r="O65" i="1"/>
  <c r="N65" i="1"/>
  <c r="M65" i="1"/>
  <c r="L65" i="1"/>
  <c r="K65" i="1"/>
  <c r="J65" i="1"/>
  <c r="I65" i="1"/>
  <c r="H65" i="1"/>
  <c r="G65" i="1"/>
  <c r="F65" i="1"/>
  <c r="E65" i="1"/>
  <c r="D65" i="1"/>
  <c r="R64" i="1"/>
  <c r="Q64" i="1"/>
  <c r="P64" i="1"/>
  <c r="O64" i="1"/>
  <c r="N64" i="1"/>
  <c r="M64" i="1"/>
  <c r="L64" i="1"/>
  <c r="K64" i="1"/>
  <c r="J64" i="1"/>
  <c r="I64" i="1"/>
  <c r="H64" i="1"/>
  <c r="G64" i="1"/>
  <c r="F64" i="1"/>
  <c r="E64" i="1"/>
  <c r="D64" i="1"/>
  <c r="R63" i="1"/>
  <c r="Q63" i="1"/>
  <c r="P63" i="1"/>
  <c r="O63" i="1"/>
  <c r="N63" i="1"/>
  <c r="M63" i="1"/>
  <c r="L63" i="1"/>
  <c r="K63" i="1"/>
  <c r="J63" i="1"/>
  <c r="I63" i="1"/>
  <c r="H63" i="1"/>
  <c r="G63" i="1"/>
  <c r="F63" i="1"/>
  <c r="E63" i="1"/>
  <c r="D63" i="1"/>
  <c r="R62" i="1"/>
  <c r="Q62" i="1"/>
  <c r="P62" i="1"/>
  <c r="O62" i="1"/>
  <c r="N62" i="1"/>
  <c r="M62" i="1"/>
  <c r="L62" i="1"/>
  <c r="K62" i="1"/>
  <c r="J62" i="1"/>
  <c r="I62" i="1"/>
  <c r="H62" i="1"/>
  <c r="G62" i="1"/>
  <c r="F62" i="1"/>
  <c r="E62" i="1"/>
  <c r="D62" i="1"/>
  <c r="R61" i="1"/>
  <c r="Q61" i="1"/>
  <c r="P61" i="1"/>
  <c r="O61" i="1"/>
  <c r="N61" i="1"/>
  <c r="M61" i="1"/>
  <c r="L61" i="1"/>
  <c r="K61" i="1"/>
  <c r="J61" i="1"/>
  <c r="I61" i="1"/>
  <c r="H61" i="1"/>
  <c r="G61" i="1"/>
  <c r="F61" i="1"/>
  <c r="E61" i="1"/>
  <c r="D61" i="1"/>
  <c r="R60" i="1"/>
  <c r="Q60" i="1"/>
  <c r="P60" i="1"/>
  <c r="O60" i="1"/>
  <c r="N60" i="1"/>
  <c r="M60" i="1"/>
  <c r="L60" i="1"/>
  <c r="K60" i="1"/>
  <c r="J60" i="1"/>
  <c r="I60" i="1"/>
  <c r="H60" i="1"/>
  <c r="G60" i="1"/>
  <c r="F60" i="1"/>
  <c r="E60" i="1"/>
  <c r="R59" i="1"/>
  <c r="Q59" i="1"/>
  <c r="P59" i="1"/>
  <c r="O59" i="1"/>
  <c r="N59" i="1"/>
  <c r="M59" i="1"/>
  <c r="L59" i="1"/>
  <c r="K59" i="1"/>
  <c r="J59" i="1"/>
  <c r="I59" i="1"/>
  <c r="H59" i="1"/>
  <c r="G59" i="1"/>
  <c r="F59" i="1"/>
  <c r="E59" i="1"/>
  <c r="D59" i="1"/>
  <c r="R58" i="1"/>
  <c r="O58" i="1" s="1"/>
  <c r="Q58" i="1"/>
  <c r="N58" i="1"/>
  <c r="M58" i="1"/>
  <c r="L58" i="1"/>
  <c r="K58" i="1"/>
  <c r="J58" i="1"/>
  <c r="I58" i="1"/>
  <c r="H58" i="1"/>
  <c r="G58" i="1"/>
  <c r="F58" i="1"/>
  <c r="E58" i="1"/>
  <c r="D58" i="1"/>
  <c r="R57" i="1"/>
  <c r="Q57" i="1"/>
  <c r="P57" i="1"/>
  <c r="O57" i="1"/>
  <c r="N57" i="1"/>
  <c r="M57" i="1"/>
  <c r="L57" i="1"/>
  <c r="K57" i="1"/>
  <c r="J57" i="1"/>
  <c r="I57" i="1"/>
  <c r="H57" i="1"/>
  <c r="G57" i="1"/>
  <c r="F57" i="1"/>
  <c r="E57" i="1"/>
  <c r="D57" i="1"/>
  <c r="R56" i="1"/>
  <c r="Q56" i="1"/>
  <c r="P56" i="1"/>
  <c r="O56" i="1"/>
  <c r="N56" i="1"/>
  <c r="M56" i="1"/>
  <c r="L56" i="1"/>
  <c r="K56" i="1"/>
  <c r="J56" i="1"/>
  <c r="I56" i="1"/>
  <c r="H56" i="1"/>
  <c r="G56" i="1"/>
  <c r="F56" i="1"/>
  <c r="E56" i="1"/>
  <c r="D56" i="1"/>
  <c r="R55" i="1"/>
  <c r="Q55" i="1"/>
  <c r="P55" i="1"/>
  <c r="O55" i="1"/>
  <c r="N55" i="1"/>
  <c r="M55" i="1"/>
  <c r="L55" i="1"/>
  <c r="K55" i="1"/>
  <c r="J55" i="1"/>
  <c r="I55" i="1"/>
  <c r="H55" i="1"/>
  <c r="G55" i="1"/>
  <c r="F55" i="1"/>
  <c r="E55" i="1"/>
  <c r="D55" i="1"/>
  <c r="R54" i="1"/>
  <c r="Q54" i="1"/>
  <c r="P54" i="1"/>
  <c r="O54" i="1"/>
  <c r="N54" i="1"/>
  <c r="M54" i="1"/>
  <c r="L54" i="1"/>
  <c r="K54" i="1"/>
  <c r="J54" i="1"/>
  <c r="I54" i="1"/>
  <c r="H54" i="1"/>
  <c r="G54" i="1"/>
  <c r="F54" i="1"/>
  <c r="E54" i="1"/>
  <c r="D54" i="1"/>
  <c r="R53" i="1"/>
  <c r="Q53" i="1"/>
  <c r="P53" i="1"/>
  <c r="O53" i="1"/>
  <c r="N53" i="1"/>
  <c r="M53" i="1"/>
  <c r="L53" i="1"/>
  <c r="K53" i="1"/>
  <c r="J53" i="1"/>
  <c r="I53" i="1"/>
  <c r="H53" i="1"/>
  <c r="G53" i="1"/>
  <c r="F53" i="1"/>
  <c r="E53" i="1"/>
  <c r="D53" i="1"/>
  <c r="R52" i="1"/>
  <c r="Q52" i="1"/>
  <c r="P52" i="1"/>
  <c r="O52" i="1"/>
  <c r="N52" i="1"/>
  <c r="M52" i="1"/>
  <c r="L52" i="1"/>
  <c r="K52" i="1"/>
  <c r="J52" i="1"/>
  <c r="I52" i="1"/>
  <c r="H52" i="1"/>
  <c r="G52" i="1"/>
  <c r="F52" i="1"/>
  <c r="E52" i="1"/>
  <c r="D52" i="1"/>
  <c r="R51" i="1"/>
  <c r="Q51" i="1"/>
  <c r="P51" i="1"/>
  <c r="O51" i="1"/>
  <c r="N51" i="1"/>
  <c r="M51" i="1"/>
  <c r="L51" i="1"/>
  <c r="K51" i="1"/>
  <c r="J51" i="1"/>
  <c r="I51" i="1"/>
  <c r="H51" i="1"/>
  <c r="G51" i="1"/>
  <c r="F51" i="1"/>
  <c r="E51" i="1"/>
  <c r="D51" i="1"/>
  <c r="R50" i="1"/>
  <c r="Q50" i="1"/>
  <c r="O50" i="1"/>
  <c r="N50" i="1"/>
  <c r="M50" i="1"/>
  <c r="L50" i="1"/>
  <c r="K50" i="1"/>
  <c r="J50" i="1"/>
  <c r="I50" i="1"/>
  <c r="H50" i="1"/>
  <c r="G50" i="1"/>
  <c r="F50" i="1"/>
  <c r="E50" i="1"/>
  <c r="D50" i="1"/>
  <c r="R49" i="1"/>
  <c r="Q49" i="1"/>
  <c r="O49" i="1"/>
  <c r="N49" i="1"/>
  <c r="M49" i="1"/>
  <c r="L49" i="1"/>
  <c r="K49" i="1"/>
  <c r="J49" i="1"/>
  <c r="I49" i="1"/>
  <c r="H49" i="1"/>
  <c r="G49" i="1"/>
  <c r="F49" i="1"/>
  <c r="E49" i="1"/>
  <c r="D49" i="1"/>
  <c r="R48" i="1"/>
  <c r="Q48" i="1"/>
  <c r="P48" i="1"/>
  <c r="O48" i="1"/>
  <c r="N48" i="1"/>
  <c r="M48" i="1"/>
  <c r="L48" i="1"/>
  <c r="K48" i="1"/>
  <c r="J48" i="1"/>
  <c r="I48" i="1"/>
  <c r="H48" i="1"/>
  <c r="G48" i="1"/>
  <c r="F48" i="1"/>
  <c r="E48" i="1"/>
  <c r="D48" i="1"/>
  <c r="R44" i="1"/>
  <c r="Q44" i="1"/>
  <c r="P44" i="1"/>
  <c r="O44" i="1"/>
  <c r="N44" i="1"/>
  <c r="M44" i="1"/>
  <c r="L44" i="1"/>
  <c r="K44" i="1"/>
  <c r="J44" i="1"/>
  <c r="I44" i="1"/>
  <c r="H44" i="1"/>
  <c r="G44" i="1"/>
  <c r="F44" i="1"/>
  <c r="E44" i="1"/>
  <c r="D44" i="1"/>
  <c r="R43" i="1"/>
  <c r="Q43" i="1"/>
  <c r="P43" i="1"/>
  <c r="O43" i="1"/>
  <c r="N43" i="1"/>
  <c r="M43" i="1"/>
  <c r="L43" i="1"/>
  <c r="K43" i="1"/>
  <c r="J43" i="1"/>
  <c r="I43" i="1"/>
  <c r="H43" i="1"/>
  <c r="G43" i="1"/>
  <c r="F43" i="1"/>
  <c r="E43" i="1"/>
  <c r="D43" i="1"/>
  <c r="R42" i="1"/>
  <c r="Q42" i="1"/>
  <c r="P42" i="1"/>
  <c r="O42" i="1"/>
  <c r="N42" i="1"/>
  <c r="M42" i="1"/>
  <c r="L42" i="1"/>
  <c r="K42" i="1"/>
  <c r="J42" i="1"/>
  <c r="I42" i="1"/>
  <c r="H42" i="1"/>
  <c r="G42" i="1"/>
  <c r="F42" i="1"/>
  <c r="E42" i="1"/>
  <c r="D42" i="1"/>
  <c r="R41" i="1"/>
  <c r="Q41" i="1"/>
  <c r="P41" i="1"/>
  <c r="O41" i="1"/>
  <c r="N41" i="1"/>
  <c r="M41" i="1"/>
  <c r="L41" i="1"/>
  <c r="K41" i="1"/>
  <c r="J41" i="1"/>
  <c r="I41" i="1"/>
  <c r="H41" i="1"/>
  <c r="G41" i="1"/>
  <c r="F41" i="1"/>
  <c r="E41" i="1"/>
  <c r="D41" i="1"/>
  <c r="R40" i="1"/>
  <c r="Q40" i="1"/>
  <c r="P40" i="1"/>
  <c r="O40" i="1"/>
  <c r="N40" i="1"/>
  <c r="M40" i="1"/>
  <c r="L40" i="1"/>
  <c r="K40" i="1"/>
  <c r="J40" i="1"/>
  <c r="I40" i="1"/>
  <c r="H40" i="1"/>
  <c r="G40" i="1"/>
  <c r="F40" i="1"/>
  <c r="E40" i="1"/>
  <c r="R39" i="1"/>
  <c r="Q39" i="1"/>
  <c r="P39" i="1"/>
  <c r="O39" i="1"/>
  <c r="N39" i="1"/>
  <c r="M39" i="1"/>
  <c r="L39" i="1"/>
  <c r="K39" i="1"/>
  <c r="J39" i="1"/>
  <c r="I39" i="1"/>
  <c r="H39" i="1"/>
  <c r="G39" i="1"/>
  <c r="F39" i="1"/>
  <c r="E39" i="1"/>
  <c r="D39" i="1"/>
  <c r="R38" i="1"/>
  <c r="Q38" i="1"/>
  <c r="P38" i="1"/>
  <c r="O38" i="1"/>
  <c r="N38" i="1"/>
  <c r="M38" i="1"/>
  <c r="L38" i="1"/>
  <c r="K38" i="1"/>
  <c r="J38" i="1"/>
  <c r="I38" i="1"/>
  <c r="H38" i="1"/>
  <c r="G38" i="1"/>
  <c r="F38" i="1"/>
  <c r="E38" i="1"/>
  <c r="D38" i="1"/>
  <c r="R37" i="1"/>
  <c r="Q37" i="1"/>
  <c r="P37" i="1"/>
  <c r="O37" i="1"/>
  <c r="N37" i="1"/>
  <c r="M37" i="1"/>
  <c r="L37" i="1"/>
  <c r="K37" i="1"/>
  <c r="J37" i="1"/>
  <c r="I37" i="1"/>
  <c r="H37" i="1"/>
  <c r="G37" i="1"/>
  <c r="F37" i="1"/>
  <c r="E37" i="1"/>
  <c r="R36" i="1"/>
  <c r="Q36" i="1"/>
  <c r="P36" i="1"/>
  <c r="O36" i="1"/>
  <c r="N36" i="1"/>
  <c r="M36" i="1"/>
  <c r="L36" i="1"/>
  <c r="K36" i="1"/>
  <c r="J36" i="1"/>
  <c r="I36" i="1"/>
  <c r="H36" i="1"/>
  <c r="G36" i="1"/>
  <c r="F36" i="1"/>
  <c r="E36" i="1"/>
  <c r="D36" i="1"/>
  <c r="R35" i="1"/>
  <c r="Q35" i="1"/>
  <c r="P35" i="1"/>
  <c r="O35" i="1"/>
  <c r="N35" i="1"/>
  <c r="M35" i="1"/>
  <c r="L35" i="1"/>
  <c r="K35" i="1"/>
  <c r="J35" i="1"/>
  <c r="I35" i="1"/>
  <c r="H35" i="1"/>
  <c r="G35" i="1"/>
  <c r="F35" i="1"/>
  <c r="E35" i="1"/>
  <c r="D35" i="1"/>
  <c r="R34" i="1"/>
  <c r="Q34" i="1"/>
  <c r="P34" i="1"/>
  <c r="O34" i="1"/>
  <c r="N34" i="1"/>
  <c r="M34" i="1"/>
  <c r="L34" i="1"/>
  <c r="K34" i="1"/>
  <c r="J34" i="1"/>
  <c r="I34" i="1"/>
  <c r="H34" i="1"/>
  <c r="G34" i="1"/>
  <c r="F34" i="1"/>
  <c r="E34" i="1"/>
  <c r="D34" i="1"/>
  <c r="R33" i="1"/>
  <c r="Q33" i="1"/>
  <c r="P33" i="1"/>
  <c r="O33" i="1"/>
  <c r="N33" i="1"/>
  <c r="M33" i="1"/>
  <c r="L33" i="1"/>
  <c r="K33" i="1"/>
  <c r="J33" i="1"/>
  <c r="I33" i="1"/>
  <c r="H33" i="1"/>
  <c r="G33" i="1"/>
  <c r="F33" i="1"/>
  <c r="E33" i="1"/>
  <c r="D33" i="1"/>
  <c r="R32" i="1"/>
  <c r="Q32" i="1"/>
  <c r="P32" i="1"/>
  <c r="O32" i="1"/>
  <c r="N32" i="1"/>
  <c r="M32" i="1"/>
  <c r="L32" i="1"/>
  <c r="K32" i="1"/>
  <c r="J32" i="1"/>
  <c r="I32" i="1"/>
  <c r="H32" i="1"/>
  <c r="G32" i="1"/>
  <c r="F32" i="1"/>
  <c r="E32" i="1"/>
  <c r="D32" i="1"/>
  <c r="R31" i="1"/>
  <c r="Q31" i="1"/>
  <c r="P31" i="1"/>
  <c r="O31" i="1"/>
  <c r="N31" i="1"/>
  <c r="M31" i="1"/>
  <c r="L31" i="1"/>
  <c r="K31" i="1"/>
  <c r="J31" i="1"/>
  <c r="I31" i="1"/>
  <c r="H31" i="1"/>
  <c r="G31" i="1"/>
  <c r="F31" i="1"/>
  <c r="E31" i="1"/>
  <c r="D31" i="1"/>
  <c r="R30" i="1"/>
  <c r="Q30" i="1"/>
  <c r="P30" i="1"/>
  <c r="O30" i="1"/>
  <c r="N30" i="1"/>
  <c r="M30" i="1"/>
  <c r="L30" i="1"/>
  <c r="K30" i="1"/>
  <c r="J30" i="1"/>
  <c r="I30" i="1"/>
  <c r="H30" i="1"/>
  <c r="G30" i="1"/>
  <c r="F30" i="1"/>
  <c r="E30" i="1"/>
  <c r="D30" i="1"/>
  <c r="R29" i="1"/>
  <c r="Q29" i="1"/>
  <c r="P29" i="1"/>
  <c r="O29" i="1"/>
  <c r="N29" i="1"/>
  <c r="M29" i="1"/>
  <c r="L29" i="1"/>
  <c r="K29" i="1"/>
  <c r="J29" i="1"/>
  <c r="I29" i="1"/>
  <c r="H29" i="1"/>
  <c r="G29" i="1"/>
  <c r="F29" i="1"/>
  <c r="E29" i="1"/>
  <c r="D29" i="1"/>
  <c r="R28" i="1"/>
  <c r="Q28" i="1"/>
  <c r="P28" i="1"/>
  <c r="O28" i="1"/>
  <c r="N28" i="1"/>
  <c r="M28" i="1"/>
  <c r="L28" i="1"/>
  <c r="K28" i="1"/>
  <c r="J28" i="1"/>
  <c r="I28" i="1"/>
  <c r="H28" i="1"/>
  <c r="G28" i="1"/>
  <c r="F28" i="1"/>
  <c r="E28" i="1"/>
  <c r="D28" i="1"/>
  <c r="R27" i="1"/>
  <c r="Q27" i="1"/>
  <c r="P27" i="1"/>
  <c r="O27" i="1"/>
  <c r="N27" i="1"/>
  <c r="M27" i="1"/>
  <c r="L27" i="1"/>
  <c r="K27" i="1"/>
  <c r="J27" i="1"/>
  <c r="I27" i="1"/>
  <c r="H27" i="1"/>
  <c r="G27" i="1"/>
  <c r="F27" i="1"/>
  <c r="E27" i="1"/>
  <c r="D27" i="1"/>
  <c r="R26" i="1"/>
  <c r="Q26" i="1"/>
  <c r="P26" i="1"/>
  <c r="O26" i="1"/>
  <c r="N26" i="1"/>
  <c r="M26" i="1"/>
  <c r="L26" i="1"/>
  <c r="K26" i="1"/>
  <c r="J26" i="1"/>
  <c r="I26" i="1"/>
  <c r="H26" i="1"/>
  <c r="G26" i="1"/>
  <c r="F26" i="1"/>
  <c r="E26" i="1"/>
  <c r="D26" i="1"/>
  <c r="R25" i="1"/>
  <c r="Q25" i="1"/>
  <c r="P25" i="1"/>
  <c r="O25" i="1"/>
  <c r="N25" i="1"/>
  <c r="M25" i="1"/>
  <c r="L25" i="1"/>
  <c r="K25" i="1"/>
  <c r="J25" i="1"/>
  <c r="I25" i="1"/>
  <c r="H25" i="1"/>
  <c r="G25" i="1"/>
  <c r="F25" i="1"/>
  <c r="E25" i="1"/>
  <c r="D25" i="1"/>
  <c r="R24" i="1"/>
  <c r="Q24" i="1"/>
  <c r="P24" i="1"/>
  <c r="O24" i="1"/>
  <c r="N24" i="1"/>
  <c r="M24" i="1"/>
  <c r="L24" i="1"/>
  <c r="K24" i="1"/>
  <c r="J24" i="1"/>
  <c r="I24" i="1"/>
  <c r="H24" i="1"/>
  <c r="G24" i="1"/>
  <c r="F24" i="1"/>
  <c r="E24" i="1"/>
  <c r="R23" i="1"/>
  <c r="Q23" i="1"/>
  <c r="P23" i="1"/>
  <c r="O23" i="1"/>
  <c r="N23" i="1"/>
  <c r="M23" i="1"/>
  <c r="L23" i="1"/>
  <c r="K23" i="1"/>
  <c r="J23" i="1"/>
  <c r="I23" i="1"/>
  <c r="H23" i="1"/>
  <c r="G23" i="1"/>
  <c r="F23" i="1"/>
  <c r="E23" i="1"/>
  <c r="D23" i="1"/>
  <c r="R22" i="1"/>
  <c r="Q22" i="1"/>
  <c r="P22" i="1"/>
  <c r="O22" i="1"/>
  <c r="N22" i="1"/>
  <c r="M22" i="1"/>
  <c r="L22" i="1"/>
  <c r="K22" i="1"/>
  <c r="J22" i="1"/>
  <c r="I22" i="1"/>
  <c r="H22" i="1"/>
  <c r="G22" i="1"/>
  <c r="F22" i="1"/>
  <c r="E22" i="1"/>
  <c r="D22" i="1"/>
  <c r="R21" i="1"/>
  <c r="Q21" i="1"/>
  <c r="P21" i="1"/>
  <c r="O21" i="1"/>
  <c r="N21" i="1"/>
  <c r="M21" i="1"/>
  <c r="L21" i="1"/>
  <c r="K21" i="1"/>
  <c r="J21" i="1"/>
  <c r="I21" i="1"/>
  <c r="H21" i="1"/>
  <c r="G21" i="1"/>
  <c r="F21" i="1"/>
  <c r="E21" i="1"/>
  <c r="D21" i="1"/>
  <c r="R20" i="1"/>
  <c r="O20" i="1" s="1"/>
  <c r="Q20" i="1"/>
  <c r="N20" i="1"/>
  <c r="M20" i="1"/>
  <c r="L20" i="1"/>
  <c r="K20" i="1"/>
  <c r="J20" i="1"/>
  <c r="I20" i="1"/>
  <c r="H20" i="1"/>
  <c r="G20" i="1"/>
  <c r="F20" i="1"/>
  <c r="E20" i="1"/>
  <c r="D20" i="1"/>
  <c r="R19" i="1"/>
  <c r="Q19" i="1"/>
  <c r="P19" i="1"/>
  <c r="O19" i="1"/>
  <c r="N19" i="1"/>
  <c r="M19" i="1"/>
  <c r="L19" i="1"/>
  <c r="K19" i="1"/>
  <c r="J19" i="1"/>
  <c r="I19" i="1"/>
  <c r="H19" i="1"/>
  <c r="G19" i="1"/>
  <c r="F19" i="1"/>
  <c r="E19" i="1"/>
  <c r="D19" i="1"/>
  <c r="R18" i="1"/>
  <c r="Q18" i="1"/>
  <c r="P18" i="1"/>
  <c r="O18" i="1"/>
  <c r="N18" i="1"/>
  <c r="M18" i="1"/>
  <c r="L18" i="1"/>
  <c r="K18" i="1"/>
  <c r="J18" i="1"/>
  <c r="I18" i="1"/>
  <c r="H18" i="1"/>
  <c r="G18" i="1"/>
  <c r="F18" i="1"/>
  <c r="E18" i="1"/>
  <c r="D18" i="1"/>
  <c r="R17" i="1"/>
  <c r="Q17" i="1"/>
  <c r="P17" i="1"/>
  <c r="O17" i="1"/>
  <c r="N17" i="1"/>
  <c r="M17" i="1"/>
  <c r="L17" i="1"/>
  <c r="K17" i="1"/>
  <c r="J17" i="1"/>
  <c r="I17" i="1"/>
  <c r="H17" i="1"/>
  <c r="G17" i="1"/>
  <c r="F17" i="1"/>
  <c r="E17" i="1"/>
  <c r="D17" i="1"/>
  <c r="R16" i="1"/>
  <c r="O16" i="1" s="1"/>
  <c r="Q16" i="1"/>
  <c r="N16" i="1"/>
  <c r="M16" i="1"/>
  <c r="L16" i="1"/>
  <c r="K16" i="1"/>
  <c r="J16" i="1"/>
  <c r="I16" i="1"/>
  <c r="H16" i="1"/>
  <c r="G16" i="1"/>
  <c r="F16" i="1"/>
  <c r="E16" i="1"/>
  <c r="D16" i="1"/>
  <c r="R15" i="1"/>
  <c r="Q15" i="1"/>
  <c r="P15" i="1"/>
  <c r="O15" i="1"/>
  <c r="N15" i="1"/>
  <c r="M15" i="1"/>
  <c r="L15" i="1"/>
  <c r="K15" i="1"/>
  <c r="J15" i="1"/>
  <c r="I15" i="1"/>
  <c r="H15" i="1"/>
  <c r="G15" i="1"/>
  <c r="F15" i="1"/>
  <c r="E15" i="1"/>
  <c r="D15" i="1"/>
  <c r="R14" i="1"/>
  <c r="Q14" i="1"/>
  <c r="P14" i="1"/>
  <c r="O14" i="1"/>
  <c r="N14" i="1"/>
  <c r="M14" i="1"/>
  <c r="L14" i="1"/>
  <c r="K14" i="1"/>
  <c r="J14" i="1"/>
  <c r="I14" i="1"/>
  <c r="H14" i="1"/>
  <c r="G14" i="1"/>
  <c r="F14" i="1"/>
  <c r="E14" i="1"/>
  <c r="D14" i="1"/>
  <c r="R13" i="1"/>
  <c r="Q13" i="1"/>
  <c r="P13" i="1"/>
  <c r="O13" i="1"/>
  <c r="N13" i="1"/>
  <c r="M13" i="1"/>
  <c r="L13" i="1"/>
  <c r="K13" i="1"/>
  <c r="J13" i="1"/>
  <c r="I13" i="1"/>
  <c r="H13" i="1"/>
  <c r="G13" i="1"/>
  <c r="F13" i="1"/>
  <c r="E13" i="1"/>
  <c r="D13" i="1"/>
  <c r="R12" i="1"/>
  <c r="Q12" i="1"/>
  <c r="P12" i="1"/>
  <c r="O12" i="1"/>
  <c r="N12" i="1"/>
  <c r="M12" i="1"/>
  <c r="L12" i="1"/>
  <c r="K12" i="1"/>
  <c r="J12" i="1"/>
  <c r="I12" i="1"/>
  <c r="H12" i="1"/>
  <c r="G12" i="1"/>
  <c r="F12" i="1"/>
  <c r="E12" i="1"/>
  <c r="D12" i="1"/>
  <c r="R11" i="1"/>
  <c r="Q11" i="1"/>
  <c r="P11" i="1"/>
  <c r="O11" i="1"/>
  <c r="N11" i="1"/>
  <c r="M11" i="1"/>
  <c r="L11" i="1"/>
  <c r="K11" i="1"/>
  <c r="J11" i="1"/>
  <c r="I11" i="1"/>
  <c r="H11" i="1"/>
  <c r="G11" i="1"/>
  <c r="F11" i="1"/>
  <c r="E11" i="1"/>
  <c r="D11" i="1"/>
  <c r="R10" i="1"/>
  <c r="Q10" i="1"/>
  <c r="P10" i="1"/>
  <c r="O10" i="1"/>
  <c r="N10" i="1"/>
  <c r="M10" i="1"/>
  <c r="L10" i="1"/>
  <c r="K10" i="1"/>
  <c r="J10" i="1"/>
  <c r="I10" i="1"/>
  <c r="H10" i="1"/>
  <c r="G10" i="1"/>
  <c r="F10" i="1"/>
  <c r="E10" i="1"/>
  <c r="D10" i="1"/>
  <c r="R9" i="1"/>
  <c r="Q9" i="1"/>
  <c r="P9" i="1"/>
  <c r="O9" i="1"/>
  <c r="N9" i="1"/>
  <c r="M9" i="1"/>
  <c r="L9" i="1"/>
  <c r="K9" i="1"/>
  <c r="J9" i="1"/>
  <c r="I9" i="1"/>
  <c r="H9" i="1"/>
  <c r="G9" i="1"/>
  <c r="F9" i="1"/>
  <c r="E9" i="1"/>
  <c r="D9" i="1"/>
  <c r="R8" i="1"/>
  <c r="Q8" i="1"/>
  <c r="P8" i="1"/>
  <c r="O8" i="1"/>
  <c r="N8" i="1"/>
  <c r="M8" i="1"/>
  <c r="L8" i="1"/>
  <c r="K8" i="1"/>
  <c r="J8" i="1"/>
  <c r="I8" i="1"/>
  <c r="H8" i="1"/>
  <c r="G8" i="1"/>
  <c r="F8" i="1"/>
  <c r="E8" i="1"/>
  <c r="D8" i="1"/>
  <c r="R7" i="1"/>
  <c r="Q7" i="1"/>
  <c r="O7" i="1"/>
  <c r="N7" i="1"/>
  <c r="M7" i="1"/>
  <c r="L7" i="1"/>
  <c r="K7" i="1"/>
  <c r="J7" i="1"/>
  <c r="I7" i="1"/>
  <c r="H7" i="1"/>
  <c r="G7" i="1"/>
  <c r="F7" i="1"/>
  <c r="E7" i="1"/>
  <c r="D7" i="1"/>
  <c r="R6" i="1"/>
  <c r="Q6" i="1"/>
  <c r="O6" i="1"/>
  <c r="N6" i="1"/>
  <c r="M6" i="1"/>
  <c r="L6" i="1"/>
  <c r="K6" i="1"/>
  <c r="J6" i="1"/>
  <c r="I6" i="1"/>
  <c r="H6" i="1"/>
  <c r="G6" i="1"/>
  <c r="F6" i="1"/>
  <c r="E6" i="1"/>
  <c r="D6" i="1"/>
  <c r="R5" i="1"/>
  <c r="Q5" i="1"/>
  <c r="P5" i="1"/>
  <c r="O5" i="1"/>
  <c r="N5" i="1"/>
  <c r="M5" i="1"/>
  <c r="L5" i="1"/>
  <c r="K5" i="1"/>
  <c r="J5" i="1"/>
  <c r="I5" i="1"/>
  <c r="H5" i="1"/>
  <c r="G5" i="1"/>
  <c r="F5" i="1"/>
  <c r="E5" i="1"/>
  <c r="D5" i="1"/>
  <c r="R4" i="1"/>
  <c r="Q4" i="1"/>
  <c r="P4" i="1"/>
  <c r="O4" i="1"/>
  <c r="N4" i="1"/>
  <c r="M4" i="1"/>
  <c r="L4" i="1"/>
  <c r="K4" i="1"/>
  <c r="J4" i="1"/>
  <c r="I4" i="1"/>
  <c r="H4" i="1"/>
  <c r="G4" i="1"/>
  <c r="F4" i="1"/>
  <c r="E4" i="1"/>
  <c r="D4" i="1"/>
  <c r="R3" i="1"/>
  <c r="Q3" i="1"/>
  <c r="P3" i="1"/>
  <c r="O3" i="1"/>
  <c r="N3" i="1"/>
  <c r="M3" i="1"/>
  <c r="L3" i="1"/>
  <c r="K3" i="1"/>
  <c r="J3" i="1"/>
  <c r="I3" i="1"/>
  <c r="H3" i="1"/>
  <c r="G3" i="1"/>
  <c r="F3" i="1"/>
  <c r="E3" i="1"/>
  <c r="D3" i="1"/>
  <c r="D518" i="1"/>
  <c r="D243" i="1" s="1"/>
  <c r="D517" i="1"/>
  <c r="D202" i="1" s="1"/>
  <c r="D516" i="1"/>
  <c r="D161" i="1" s="1"/>
  <c r="D515" i="1"/>
  <c r="D120" i="1" s="1"/>
  <c r="D514" i="1"/>
  <c r="D79" i="1" s="1"/>
  <c r="D513" i="1"/>
  <c r="D40" i="1" s="1"/>
  <c r="D512" i="1"/>
  <c r="D484" i="1" s="1"/>
  <c r="D511" i="1"/>
  <c r="D444" i="1" s="1"/>
  <c r="D510" i="1"/>
  <c r="D404" i="1" s="1"/>
  <c r="D509" i="1"/>
  <c r="D364" i="1" s="1"/>
  <c r="D508" i="1"/>
  <c r="D322" i="1" s="1"/>
  <c r="D507" i="1"/>
  <c r="D283" i="1" s="1"/>
  <c r="G37" i="75"/>
  <c r="F37" i="75"/>
  <c r="E37" i="75"/>
  <c r="D37" i="75"/>
  <c r="C37" i="75"/>
  <c r="B37" i="75"/>
  <c r="D506" i="1"/>
  <c r="D223" i="1" s="1"/>
  <c r="D505" i="1"/>
  <c r="D183" i="1" s="1"/>
  <c r="D504" i="1"/>
  <c r="D142" i="1" s="1"/>
  <c r="D503" i="1"/>
  <c r="D101" i="1" s="1"/>
  <c r="D502" i="1"/>
  <c r="D60" i="1" s="1"/>
  <c r="D501" i="1"/>
  <c r="D37" i="1" s="1"/>
  <c r="D500" i="1"/>
  <c r="D464" i="1" s="1"/>
  <c r="D499" i="1"/>
  <c r="D424" i="1" s="1"/>
  <c r="D498" i="1"/>
  <c r="D384" i="1" s="1"/>
  <c r="D497" i="1"/>
  <c r="D344" i="1" s="1"/>
  <c r="D496" i="1"/>
  <c r="D303" i="1" s="1"/>
  <c r="D495" i="1"/>
  <c r="D263" i="1" s="1"/>
  <c r="K29" i="52" l="1"/>
  <c r="K25" i="52"/>
  <c r="K20" i="52"/>
  <c r="F317" i="53"/>
  <c r="B17" i="76"/>
  <c r="D317" i="53" s="1"/>
  <c r="J317" i="53" s="1"/>
  <c r="D16" i="76"/>
  <c r="D15" i="76"/>
  <c r="D14" i="76"/>
  <c r="D13" i="76"/>
  <c r="D12" i="76"/>
  <c r="D11" i="76"/>
  <c r="D10" i="76"/>
  <c r="D9" i="76"/>
  <c r="D8" i="76"/>
  <c r="D7" i="76"/>
  <c r="D6" i="76"/>
  <c r="D5" i="76"/>
  <c r="D17" i="76" l="1"/>
  <c r="K47" i="52"/>
  <c r="K54" i="52" s="1"/>
  <c r="G317" i="53"/>
  <c r="L33" i="52" s="1"/>
  <c r="I25" i="52"/>
  <c r="I20" i="52"/>
  <c r="L29" i="52"/>
  <c r="L25" i="52"/>
  <c r="L20" i="52"/>
  <c r="L47" i="52" l="1"/>
  <c r="L54" i="52" s="1"/>
  <c r="E10" i="74"/>
  <c r="E9" i="74"/>
  <c r="B18" i="74"/>
  <c r="B17" i="74"/>
  <c r="B35" i="74"/>
  <c r="B34" i="74"/>
  <c r="B54" i="74"/>
  <c r="B53" i="74"/>
  <c r="B52" i="74"/>
  <c r="M61" i="75" l="1"/>
  <c r="L61" i="75"/>
  <c r="K61" i="75"/>
  <c r="N60" i="75"/>
  <c r="R60" i="75" s="1"/>
  <c r="N59" i="75"/>
  <c r="R59" i="75" s="1"/>
  <c r="N58" i="75"/>
  <c r="N57" i="75"/>
  <c r="R57" i="75" s="1"/>
  <c r="N56" i="75"/>
  <c r="R56" i="75" s="1"/>
  <c r="N55" i="75"/>
  <c r="R55" i="75" s="1"/>
  <c r="N54" i="75"/>
  <c r="R54" i="75" s="1"/>
  <c r="N53" i="75"/>
  <c r="R53" i="75" s="1"/>
  <c r="N52" i="75"/>
  <c r="N51" i="75"/>
  <c r="R51" i="75" s="1"/>
  <c r="N50" i="75"/>
  <c r="R50" i="75" s="1"/>
  <c r="N49" i="75"/>
  <c r="P37" i="75"/>
  <c r="O37" i="75"/>
  <c r="N37" i="75"/>
  <c r="P38" i="75" s="1"/>
  <c r="M37" i="75"/>
  <c r="L37" i="75"/>
  <c r="K37" i="75"/>
  <c r="Q36" i="75"/>
  <c r="Q35" i="75"/>
  <c r="Q34" i="75"/>
  <c r="Q33" i="75"/>
  <c r="Q32" i="75"/>
  <c r="Q31" i="75"/>
  <c r="Q30" i="75"/>
  <c r="Q29" i="75"/>
  <c r="Q28" i="75"/>
  <c r="Q27" i="75"/>
  <c r="Q26" i="75"/>
  <c r="Q25" i="75"/>
  <c r="Q37" i="75" s="1"/>
  <c r="E47" i="74"/>
  <c r="E46" i="74"/>
  <c r="E45" i="74"/>
  <c r="E44" i="74"/>
  <c r="F44" i="74" s="1"/>
  <c r="E43" i="74"/>
  <c r="F43" i="74" s="1"/>
  <c r="G43" i="74" s="1"/>
  <c r="E42" i="74"/>
  <c r="D39" i="74"/>
  <c r="E39" i="74" s="1"/>
  <c r="F39" i="74" s="1"/>
  <c r="G39" i="74" s="1"/>
  <c r="I39" i="74" s="1"/>
  <c r="J39" i="74" s="1"/>
  <c r="K39" i="74" s="1"/>
  <c r="E29" i="74"/>
  <c r="E28" i="74"/>
  <c r="E27" i="74"/>
  <c r="E26" i="74"/>
  <c r="F26" i="74" s="1"/>
  <c r="D23" i="74"/>
  <c r="E23" i="74" s="1"/>
  <c r="F23" i="74" s="1"/>
  <c r="G23" i="74" s="1"/>
  <c r="I23" i="74" s="1"/>
  <c r="J23" i="74" s="1"/>
  <c r="K23" i="74" s="1"/>
  <c r="E12" i="74"/>
  <c r="E11" i="74"/>
  <c r="F10" i="74"/>
  <c r="E6" i="74"/>
  <c r="F6" i="74" s="1"/>
  <c r="G6" i="74" s="1"/>
  <c r="I6" i="74" s="1"/>
  <c r="J6" i="74" s="1"/>
  <c r="K6" i="74" s="1"/>
  <c r="D6" i="74"/>
  <c r="F27" i="74" l="1"/>
  <c r="G27" i="74" s="1"/>
  <c r="N61" i="75"/>
  <c r="Q61" i="75" s="1"/>
  <c r="R49" i="75"/>
  <c r="F9" i="74"/>
  <c r="G9" i="74" s="1"/>
  <c r="G10" i="74"/>
  <c r="F42" i="74"/>
  <c r="G42" i="74" s="1"/>
  <c r="P39" i="75"/>
  <c r="G44" i="74"/>
  <c r="Q52" i="75"/>
  <c r="P52" i="75"/>
  <c r="Q58" i="75"/>
  <c r="P58" i="75"/>
  <c r="R61" i="75"/>
  <c r="R52" i="75"/>
  <c r="R58" i="75"/>
  <c r="G26" i="74"/>
  <c r="Q50" i="75"/>
  <c r="P50" i="75"/>
  <c r="Q54" i="75"/>
  <c r="P54" i="75"/>
  <c r="Q56" i="75"/>
  <c r="P56" i="75"/>
  <c r="Q60" i="75"/>
  <c r="P60" i="75"/>
  <c r="Q49" i="75"/>
  <c r="P49" i="75"/>
  <c r="Q51" i="75"/>
  <c r="P51" i="75"/>
  <c r="Q53" i="75"/>
  <c r="P53" i="75"/>
  <c r="Q55" i="75"/>
  <c r="P55" i="75"/>
  <c r="Q57" i="75"/>
  <c r="P57" i="75"/>
  <c r="Q59" i="75"/>
  <c r="P59" i="75"/>
  <c r="P61" i="75" l="1"/>
  <c r="G315" i="53"/>
  <c r="I33" i="52" s="1"/>
  <c r="G17" i="66" l="1"/>
  <c r="E17" i="66"/>
  <c r="F16" i="66"/>
  <c r="J195" i="62" l="1"/>
  <c r="K69" i="75" l="1"/>
  <c r="K68" i="75"/>
  <c r="K67" i="75"/>
  <c r="K66" i="75"/>
  <c r="K77" i="75"/>
  <c r="K75" i="75"/>
  <c r="K74" i="75"/>
  <c r="K73" i="75"/>
  <c r="K72" i="75"/>
  <c r="K71" i="75"/>
  <c r="O42" i="75" l="1"/>
  <c r="K70" i="75"/>
  <c r="K78" i="75" s="1"/>
  <c r="E15" i="23"/>
  <c r="E14" i="23"/>
  <c r="R37" i="23"/>
  <c r="P37" i="23"/>
  <c r="O37" i="23"/>
  <c r="N37" i="23"/>
  <c r="M37" i="23"/>
  <c r="L37" i="23"/>
  <c r="K37" i="23"/>
  <c r="J37" i="23"/>
  <c r="I37" i="23"/>
  <c r="H37" i="23"/>
  <c r="G37" i="23"/>
  <c r="F37" i="23"/>
  <c r="E37" i="23"/>
  <c r="E999" i="7"/>
  <c r="E905" i="7"/>
  <c r="E835" i="7"/>
  <c r="E733" i="7"/>
  <c r="E637" i="7"/>
  <c r="E580" i="7"/>
  <c r="E515" i="7"/>
  <c r="E516" i="7" s="1"/>
  <c r="E424" i="7"/>
  <c r="E430" i="7" s="1"/>
  <c r="E307" i="7"/>
  <c r="E344" i="7" s="1"/>
  <c r="E233" i="7"/>
  <c r="E258" i="7" s="1"/>
  <c r="E172" i="7"/>
  <c r="E86" i="7"/>
  <c r="T37" i="23" l="1"/>
  <c r="U37" i="23"/>
  <c r="S37" i="23"/>
  <c r="W37" i="23"/>
  <c r="X37" i="23" s="1"/>
  <c r="P454" i="1" l="1"/>
  <c r="P453" i="1"/>
  <c r="P414" i="1"/>
  <c r="P413" i="1"/>
  <c r="P374" i="1"/>
  <c r="P373" i="1"/>
  <c r="Q334" i="1"/>
  <c r="Q333" i="1"/>
  <c r="Q293" i="1"/>
  <c r="Q292" i="1"/>
  <c r="Q253" i="1"/>
  <c r="Q252" i="1"/>
  <c r="Q213" i="1"/>
  <c r="Q212" i="1"/>
  <c r="Q173" i="1"/>
  <c r="Q172" i="1"/>
  <c r="P132" i="1"/>
  <c r="P131" i="1"/>
  <c r="P91" i="1"/>
  <c r="P90" i="1"/>
  <c r="P50" i="1"/>
  <c r="P49" i="1"/>
  <c r="F42" i="75"/>
  <c r="P7" i="1"/>
  <c r="P6" i="1"/>
  <c r="R53" i="23" l="1"/>
  <c r="B10" i="77" s="1"/>
  <c r="P53" i="23"/>
  <c r="O53" i="23"/>
  <c r="N53" i="23"/>
  <c r="M53" i="23"/>
  <c r="C10" i="77" s="1"/>
  <c r="L53" i="23"/>
  <c r="K53" i="23"/>
  <c r="J53" i="23"/>
  <c r="I53" i="23"/>
  <c r="H53" i="23"/>
  <c r="G53" i="23"/>
  <c r="F53" i="23"/>
  <c r="E53" i="23"/>
  <c r="L10" i="77" s="1"/>
  <c r="R52" i="23"/>
  <c r="P52" i="23"/>
  <c r="O52" i="23"/>
  <c r="N52" i="23"/>
  <c r="M52" i="23"/>
  <c r="L52" i="23"/>
  <c r="K52" i="23"/>
  <c r="J52" i="23"/>
  <c r="I52" i="23"/>
  <c r="H52" i="23"/>
  <c r="G52" i="23"/>
  <c r="F52" i="23"/>
  <c r="E52" i="23"/>
  <c r="R51" i="23"/>
  <c r="P51" i="23"/>
  <c r="O51" i="23"/>
  <c r="N51" i="23"/>
  <c r="M51" i="23"/>
  <c r="L51" i="23"/>
  <c r="K51" i="23"/>
  <c r="J51" i="23"/>
  <c r="I51" i="23"/>
  <c r="H51" i="23"/>
  <c r="G51" i="23"/>
  <c r="F51" i="23"/>
  <c r="E51" i="23"/>
  <c r="R50" i="23"/>
  <c r="P50" i="23"/>
  <c r="O50" i="23"/>
  <c r="N50" i="23"/>
  <c r="M50" i="23"/>
  <c r="L50" i="23"/>
  <c r="K50" i="23"/>
  <c r="J50" i="23"/>
  <c r="I50" i="23"/>
  <c r="H50" i="23"/>
  <c r="G50" i="23"/>
  <c r="F50" i="23"/>
  <c r="E50" i="23"/>
  <c r="R49" i="23"/>
  <c r="P49" i="23"/>
  <c r="O49" i="23"/>
  <c r="N49" i="23"/>
  <c r="M49" i="23"/>
  <c r="L49" i="23"/>
  <c r="K49" i="23"/>
  <c r="J49" i="23"/>
  <c r="I49" i="23"/>
  <c r="H49" i="23"/>
  <c r="G49" i="23"/>
  <c r="F49" i="23"/>
  <c r="E49" i="23"/>
  <c r="R48" i="23"/>
  <c r="P48" i="23"/>
  <c r="O48" i="23"/>
  <c r="N48" i="23"/>
  <c r="M48" i="23"/>
  <c r="L48" i="23"/>
  <c r="K48" i="23"/>
  <c r="J48" i="23"/>
  <c r="I48" i="23"/>
  <c r="H48" i="23"/>
  <c r="G48" i="23"/>
  <c r="F48" i="23"/>
  <c r="E48" i="23"/>
  <c r="R47" i="23"/>
  <c r="P47" i="23"/>
  <c r="O47" i="23"/>
  <c r="N47" i="23"/>
  <c r="M47" i="23"/>
  <c r="L47" i="23"/>
  <c r="K47" i="23"/>
  <c r="J47" i="23"/>
  <c r="I47" i="23"/>
  <c r="H47" i="23"/>
  <c r="G47" i="23"/>
  <c r="F47" i="23"/>
  <c r="E47" i="23"/>
  <c r="R46" i="23"/>
  <c r="P46" i="23"/>
  <c r="O46" i="23"/>
  <c r="N46" i="23"/>
  <c r="M46" i="23"/>
  <c r="L46" i="23"/>
  <c r="K46" i="23"/>
  <c r="J46" i="23"/>
  <c r="I46" i="23"/>
  <c r="H46" i="23"/>
  <c r="G46" i="23"/>
  <c r="F46" i="23"/>
  <c r="E46" i="23"/>
  <c r="R45" i="23"/>
  <c r="P45" i="23"/>
  <c r="O45" i="23"/>
  <c r="N45" i="23"/>
  <c r="M45" i="23"/>
  <c r="L45" i="23"/>
  <c r="K45" i="23"/>
  <c r="J45" i="23"/>
  <c r="I45" i="23"/>
  <c r="H45" i="23"/>
  <c r="G45" i="23"/>
  <c r="F45" i="23"/>
  <c r="E45" i="23"/>
  <c r="R44" i="23"/>
  <c r="P44" i="23"/>
  <c r="O44" i="23"/>
  <c r="N44" i="23"/>
  <c r="M44" i="23"/>
  <c r="L44" i="23"/>
  <c r="K44" i="23"/>
  <c r="J44" i="23"/>
  <c r="I44" i="23"/>
  <c r="H44" i="23"/>
  <c r="G44" i="23"/>
  <c r="F44" i="23"/>
  <c r="E44" i="23"/>
  <c r="R43" i="23"/>
  <c r="P43" i="23"/>
  <c r="O43" i="23"/>
  <c r="N43" i="23"/>
  <c r="M43" i="23"/>
  <c r="L43" i="23"/>
  <c r="K43" i="23"/>
  <c r="J43" i="23"/>
  <c r="I43" i="23"/>
  <c r="H43" i="23"/>
  <c r="G43" i="23"/>
  <c r="F43" i="23"/>
  <c r="E43" i="23"/>
  <c r="R42" i="23"/>
  <c r="P42" i="23"/>
  <c r="O42" i="23"/>
  <c r="N42" i="23"/>
  <c r="M42" i="23"/>
  <c r="L42" i="23"/>
  <c r="K42" i="23"/>
  <c r="J42" i="23"/>
  <c r="I42" i="23"/>
  <c r="H42" i="23"/>
  <c r="G42" i="23"/>
  <c r="F42" i="23"/>
  <c r="E42" i="23"/>
  <c r="R41" i="23"/>
  <c r="P41" i="23"/>
  <c r="O41" i="23"/>
  <c r="N41" i="23"/>
  <c r="M41" i="23"/>
  <c r="L41" i="23"/>
  <c r="K41" i="23"/>
  <c r="J41" i="23"/>
  <c r="I41" i="23"/>
  <c r="H41" i="23"/>
  <c r="G41" i="23"/>
  <c r="F41" i="23"/>
  <c r="E41" i="23"/>
  <c r="R40" i="23"/>
  <c r="P40" i="23"/>
  <c r="O40" i="23"/>
  <c r="N40" i="23"/>
  <c r="M40" i="23"/>
  <c r="L40" i="23"/>
  <c r="K40" i="23"/>
  <c r="J40" i="23"/>
  <c r="I40" i="23"/>
  <c r="H40" i="23"/>
  <c r="G40" i="23"/>
  <c r="F40" i="23"/>
  <c r="E40" i="23"/>
  <c r="R39" i="23"/>
  <c r="P39" i="23"/>
  <c r="O39" i="23"/>
  <c r="N39" i="23"/>
  <c r="M39" i="23"/>
  <c r="L39" i="23"/>
  <c r="K39" i="23"/>
  <c r="J39" i="23"/>
  <c r="I39" i="23"/>
  <c r="H39" i="23"/>
  <c r="G39" i="23"/>
  <c r="F39" i="23"/>
  <c r="E39" i="23"/>
  <c r="R38" i="23"/>
  <c r="P38" i="23"/>
  <c r="O38" i="23"/>
  <c r="N38" i="23"/>
  <c r="M38" i="23"/>
  <c r="L38" i="23"/>
  <c r="K38" i="23"/>
  <c r="J38" i="23"/>
  <c r="I38" i="23"/>
  <c r="H38" i="23"/>
  <c r="G38" i="23"/>
  <c r="F38" i="23"/>
  <c r="E38" i="23"/>
  <c r="R36" i="23"/>
  <c r="P36" i="23"/>
  <c r="O36" i="23"/>
  <c r="N36" i="23"/>
  <c r="M36" i="23"/>
  <c r="L36" i="23"/>
  <c r="K36" i="23"/>
  <c r="J36" i="23"/>
  <c r="I36" i="23"/>
  <c r="H36" i="23"/>
  <c r="G36" i="23"/>
  <c r="F36" i="23"/>
  <c r="E36" i="23"/>
  <c r="R35" i="23"/>
  <c r="P35" i="23"/>
  <c r="O35" i="23"/>
  <c r="N35" i="23"/>
  <c r="M35" i="23"/>
  <c r="L35" i="23"/>
  <c r="K35" i="23"/>
  <c r="J35" i="23"/>
  <c r="I35" i="23"/>
  <c r="H35" i="23"/>
  <c r="G35" i="23"/>
  <c r="F35" i="23"/>
  <c r="E35" i="23"/>
  <c r="R34" i="23"/>
  <c r="P34" i="23"/>
  <c r="O34" i="23"/>
  <c r="N34" i="23"/>
  <c r="M34" i="23"/>
  <c r="L34" i="23"/>
  <c r="K34" i="23"/>
  <c r="J34" i="23"/>
  <c r="I34" i="23"/>
  <c r="H34" i="23"/>
  <c r="G34" i="23"/>
  <c r="F34" i="23"/>
  <c r="E34" i="23"/>
  <c r="R33" i="23"/>
  <c r="P33" i="23"/>
  <c r="O33" i="23"/>
  <c r="N33" i="23"/>
  <c r="M33" i="23"/>
  <c r="L33" i="23"/>
  <c r="K33" i="23"/>
  <c r="J33" i="23"/>
  <c r="I33" i="23"/>
  <c r="H33" i="23"/>
  <c r="G33" i="23"/>
  <c r="F33" i="23"/>
  <c r="E33" i="23"/>
  <c r="R32" i="23"/>
  <c r="P32" i="23"/>
  <c r="O32" i="23"/>
  <c r="N32" i="23"/>
  <c r="M32" i="23"/>
  <c r="L32" i="23"/>
  <c r="K32" i="23"/>
  <c r="J32" i="23"/>
  <c r="I32" i="23"/>
  <c r="H32" i="23"/>
  <c r="G32" i="23"/>
  <c r="F32" i="23"/>
  <c r="E32" i="23"/>
  <c r="R31" i="23"/>
  <c r="P31" i="23"/>
  <c r="O31" i="23"/>
  <c r="N31" i="23"/>
  <c r="M31" i="23"/>
  <c r="L31" i="23"/>
  <c r="K31" i="23"/>
  <c r="J31" i="23"/>
  <c r="I31" i="23"/>
  <c r="H31" i="23"/>
  <c r="G31" i="23"/>
  <c r="F31" i="23"/>
  <c r="E31" i="23"/>
  <c r="R30" i="23"/>
  <c r="P30" i="23"/>
  <c r="O30" i="23"/>
  <c r="N30" i="23"/>
  <c r="M30" i="23"/>
  <c r="L30" i="23"/>
  <c r="K30" i="23"/>
  <c r="J30" i="23"/>
  <c r="I30" i="23"/>
  <c r="H30" i="23"/>
  <c r="G30" i="23"/>
  <c r="F30" i="23"/>
  <c r="E30" i="23"/>
  <c r="R29" i="23"/>
  <c r="P29" i="23"/>
  <c r="O29" i="23"/>
  <c r="N29" i="23"/>
  <c r="M29" i="23"/>
  <c r="L29" i="23"/>
  <c r="K29" i="23"/>
  <c r="J29" i="23"/>
  <c r="I29" i="23"/>
  <c r="H29" i="23"/>
  <c r="G29" i="23"/>
  <c r="F29" i="23"/>
  <c r="E29" i="23"/>
  <c r="R28" i="23"/>
  <c r="P28" i="23"/>
  <c r="O28" i="23"/>
  <c r="N28" i="23"/>
  <c r="M28" i="23"/>
  <c r="L28" i="23"/>
  <c r="K28" i="23"/>
  <c r="J28" i="23"/>
  <c r="I28" i="23"/>
  <c r="H28" i="23"/>
  <c r="G28" i="23"/>
  <c r="F28" i="23"/>
  <c r="E28" i="23"/>
  <c r="R27" i="23"/>
  <c r="P27" i="23"/>
  <c r="O27" i="23"/>
  <c r="N27" i="23"/>
  <c r="M27" i="23"/>
  <c r="L27" i="23"/>
  <c r="K27" i="23"/>
  <c r="J27" i="23"/>
  <c r="I27" i="23"/>
  <c r="H27" i="23"/>
  <c r="G27" i="23"/>
  <c r="F27" i="23"/>
  <c r="E27" i="23"/>
  <c r="R26" i="23"/>
  <c r="P26" i="23"/>
  <c r="O26" i="23"/>
  <c r="N26" i="23"/>
  <c r="M26" i="23"/>
  <c r="L26" i="23"/>
  <c r="K26" i="23"/>
  <c r="J26" i="23"/>
  <c r="I26" i="23"/>
  <c r="H26" i="23"/>
  <c r="G26" i="23"/>
  <c r="F26" i="23"/>
  <c r="E26" i="23"/>
  <c r="R25" i="23"/>
  <c r="P25" i="23"/>
  <c r="O25" i="23"/>
  <c r="N25" i="23"/>
  <c r="M25" i="23"/>
  <c r="L25" i="23"/>
  <c r="K25" i="23"/>
  <c r="J25" i="23"/>
  <c r="I25" i="23"/>
  <c r="H25" i="23"/>
  <c r="G25" i="23"/>
  <c r="F25" i="23"/>
  <c r="E25" i="23"/>
  <c r="R24" i="23"/>
  <c r="P24" i="23"/>
  <c r="O24" i="23"/>
  <c r="N24" i="23"/>
  <c r="M24" i="23"/>
  <c r="L24" i="23"/>
  <c r="K24" i="23"/>
  <c r="J24" i="23"/>
  <c r="I24" i="23"/>
  <c r="H24" i="23"/>
  <c r="G24" i="23"/>
  <c r="F24" i="23"/>
  <c r="E24" i="23"/>
  <c r="R23" i="23"/>
  <c r="P23" i="23"/>
  <c r="O23" i="23"/>
  <c r="N23" i="23"/>
  <c r="M23" i="23"/>
  <c r="L23" i="23"/>
  <c r="K23" i="23"/>
  <c r="J23" i="23"/>
  <c r="I23" i="23"/>
  <c r="H23" i="23"/>
  <c r="G23" i="23"/>
  <c r="F23" i="23"/>
  <c r="E23" i="23"/>
  <c r="R22" i="23"/>
  <c r="P22" i="23"/>
  <c r="O22" i="23"/>
  <c r="N22" i="23"/>
  <c r="M22" i="23"/>
  <c r="L22" i="23"/>
  <c r="K22" i="23"/>
  <c r="J22" i="23"/>
  <c r="I22" i="23"/>
  <c r="H22" i="23"/>
  <c r="G22" i="23"/>
  <c r="F22" i="23"/>
  <c r="E22" i="23"/>
  <c r="R21" i="23"/>
  <c r="P21" i="23"/>
  <c r="O21" i="23"/>
  <c r="N21" i="23"/>
  <c r="M21" i="23"/>
  <c r="L21" i="23"/>
  <c r="K21" i="23"/>
  <c r="J21" i="23"/>
  <c r="I21" i="23"/>
  <c r="H21" i="23"/>
  <c r="G21" i="23"/>
  <c r="F21" i="23"/>
  <c r="E21" i="23"/>
  <c r="R20" i="23"/>
  <c r="P20" i="23"/>
  <c r="O20" i="23"/>
  <c r="N20" i="23"/>
  <c r="M20" i="23"/>
  <c r="L20" i="23"/>
  <c r="K20" i="23"/>
  <c r="J20" i="23"/>
  <c r="I20" i="23"/>
  <c r="H20" i="23"/>
  <c r="G20" i="23"/>
  <c r="F20" i="23"/>
  <c r="E20" i="23"/>
  <c r="R19" i="23"/>
  <c r="P19" i="23"/>
  <c r="O19" i="23"/>
  <c r="N19" i="23"/>
  <c r="M19" i="23"/>
  <c r="L19" i="23"/>
  <c r="K19" i="23"/>
  <c r="J19" i="23"/>
  <c r="I19" i="23"/>
  <c r="H19" i="23"/>
  <c r="G19" i="23"/>
  <c r="F19" i="23"/>
  <c r="E19" i="23"/>
  <c r="R18" i="23"/>
  <c r="P18" i="23"/>
  <c r="O18" i="23"/>
  <c r="N18" i="23"/>
  <c r="M18" i="23"/>
  <c r="L18" i="23"/>
  <c r="K18" i="23"/>
  <c r="J18" i="23"/>
  <c r="I18" i="23"/>
  <c r="H18" i="23"/>
  <c r="G18" i="23"/>
  <c r="F18" i="23"/>
  <c r="E18" i="23"/>
  <c r="R17" i="23"/>
  <c r="P17" i="23"/>
  <c r="O17" i="23"/>
  <c r="N17" i="23"/>
  <c r="M17" i="23"/>
  <c r="L17" i="23"/>
  <c r="K17" i="23"/>
  <c r="J17" i="23"/>
  <c r="I17" i="23"/>
  <c r="H17" i="23"/>
  <c r="G17" i="23"/>
  <c r="F17" i="23"/>
  <c r="E17" i="23"/>
  <c r="R16" i="23"/>
  <c r="P16" i="23"/>
  <c r="O16" i="23"/>
  <c r="N16" i="23"/>
  <c r="M16" i="23"/>
  <c r="L16" i="23"/>
  <c r="K16" i="23"/>
  <c r="J16" i="23"/>
  <c r="I16" i="23"/>
  <c r="H16" i="23"/>
  <c r="G16" i="23"/>
  <c r="F16" i="23"/>
  <c r="E16" i="23"/>
  <c r="R15" i="23"/>
  <c r="P15" i="23"/>
  <c r="O15" i="23"/>
  <c r="N15" i="23"/>
  <c r="M15" i="23"/>
  <c r="L15" i="23"/>
  <c r="K15" i="23"/>
  <c r="J15" i="23"/>
  <c r="I15" i="23"/>
  <c r="H15" i="23"/>
  <c r="G15" i="23"/>
  <c r="F15" i="23"/>
  <c r="R14" i="23"/>
  <c r="P14" i="23"/>
  <c r="O14" i="23"/>
  <c r="N14" i="23"/>
  <c r="M14" i="23"/>
  <c r="L14" i="23"/>
  <c r="K14" i="23"/>
  <c r="J14" i="23"/>
  <c r="I14" i="23"/>
  <c r="H14" i="23"/>
  <c r="G14" i="23"/>
  <c r="F14" i="23"/>
  <c r="R13" i="23"/>
  <c r="P13" i="23"/>
  <c r="O13" i="23"/>
  <c r="N13" i="23"/>
  <c r="M13" i="23"/>
  <c r="L13" i="23"/>
  <c r="K13" i="23"/>
  <c r="J13" i="23"/>
  <c r="I13" i="23"/>
  <c r="H13" i="23"/>
  <c r="G13" i="23"/>
  <c r="F13" i="23"/>
  <c r="E13" i="23"/>
  <c r="R12" i="23"/>
  <c r="P12" i="23"/>
  <c r="O12" i="23"/>
  <c r="N12" i="23"/>
  <c r="M12" i="23"/>
  <c r="L12" i="23"/>
  <c r="K12" i="23"/>
  <c r="J12" i="23"/>
  <c r="I12" i="23"/>
  <c r="H12" i="23"/>
  <c r="G12" i="23"/>
  <c r="F12" i="23"/>
  <c r="E12" i="23"/>
  <c r="R11" i="23"/>
  <c r="P11" i="23"/>
  <c r="O11" i="23"/>
  <c r="N11" i="23"/>
  <c r="M11" i="23"/>
  <c r="L11" i="23"/>
  <c r="K11" i="23"/>
  <c r="J11" i="23"/>
  <c r="I11" i="23"/>
  <c r="H11" i="23"/>
  <c r="G11" i="23"/>
  <c r="F11" i="23"/>
  <c r="E11" i="23"/>
  <c r="R10" i="23"/>
  <c r="P10" i="23"/>
  <c r="O10" i="23"/>
  <c r="N10" i="23"/>
  <c r="M10" i="23"/>
  <c r="L10" i="23"/>
  <c r="K10" i="23"/>
  <c r="J10" i="23"/>
  <c r="I10" i="23"/>
  <c r="H10" i="23"/>
  <c r="G10" i="23"/>
  <c r="F10" i="23"/>
  <c r="E10" i="23"/>
  <c r="R9" i="23"/>
  <c r="P9" i="23"/>
  <c r="O9" i="23"/>
  <c r="N9" i="23"/>
  <c r="M9" i="23"/>
  <c r="L9" i="23"/>
  <c r="K9" i="23"/>
  <c r="J9" i="23"/>
  <c r="I9" i="23"/>
  <c r="H9" i="23"/>
  <c r="G9" i="23"/>
  <c r="F9" i="23"/>
  <c r="E9" i="23"/>
  <c r="R8" i="23"/>
  <c r="P8" i="23"/>
  <c r="O8" i="23"/>
  <c r="N8" i="23"/>
  <c r="M8" i="23"/>
  <c r="L8" i="23"/>
  <c r="K8" i="23"/>
  <c r="J8" i="23"/>
  <c r="I8" i="23"/>
  <c r="H8" i="23"/>
  <c r="G8" i="23"/>
  <c r="F8" i="23"/>
  <c r="E8" i="23"/>
  <c r="R198" i="23"/>
  <c r="B11" i="77" s="1"/>
  <c r="P198" i="23"/>
  <c r="O198" i="23"/>
  <c r="N198" i="23"/>
  <c r="M198" i="23"/>
  <c r="C11" i="77" s="1"/>
  <c r="L198" i="23"/>
  <c r="K198" i="23"/>
  <c r="J198" i="23"/>
  <c r="I198" i="23"/>
  <c r="H198" i="23"/>
  <c r="G198" i="23"/>
  <c r="F198" i="23"/>
  <c r="E198" i="23"/>
  <c r="L11" i="77" s="1"/>
  <c r="R197" i="23"/>
  <c r="P197" i="23"/>
  <c r="O197" i="23"/>
  <c r="N197" i="23"/>
  <c r="M197" i="23"/>
  <c r="L197" i="23"/>
  <c r="K197" i="23"/>
  <c r="J197" i="23"/>
  <c r="I197" i="23"/>
  <c r="H197" i="23"/>
  <c r="G197" i="23"/>
  <c r="F197" i="23"/>
  <c r="E197" i="23"/>
  <c r="R196" i="23"/>
  <c r="P196" i="23"/>
  <c r="O196" i="23"/>
  <c r="N196" i="23"/>
  <c r="M196" i="23"/>
  <c r="L196" i="23"/>
  <c r="K196" i="23"/>
  <c r="J196" i="23"/>
  <c r="I196" i="23"/>
  <c r="H196" i="23"/>
  <c r="G196" i="23"/>
  <c r="F196" i="23"/>
  <c r="E196" i="23"/>
  <c r="R195" i="23"/>
  <c r="P195" i="23"/>
  <c r="O195" i="23"/>
  <c r="N195" i="23"/>
  <c r="M195" i="23"/>
  <c r="L195" i="23"/>
  <c r="K195" i="23"/>
  <c r="J195" i="23"/>
  <c r="I195" i="23"/>
  <c r="H195" i="23"/>
  <c r="G195" i="23"/>
  <c r="F195" i="23"/>
  <c r="E195" i="23"/>
  <c r="R194" i="23"/>
  <c r="P194" i="23"/>
  <c r="O194" i="23"/>
  <c r="N194" i="23"/>
  <c r="M194" i="23"/>
  <c r="L194" i="23"/>
  <c r="K194" i="23"/>
  <c r="J194" i="23"/>
  <c r="I194" i="23"/>
  <c r="H194" i="23"/>
  <c r="G194" i="23"/>
  <c r="F194" i="23"/>
  <c r="E194" i="23"/>
  <c r="R193" i="23"/>
  <c r="P193" i="23"/>
  <c r="O193" i="23"/>
  <c r="N193" i="23"/>
  <c r="M193" i="23"/>
  <c r="L193" i="23"/>
  <c r="K193" i="23"/>
  <c r="J193" i="23"/>
  <c r="I193" i="23"/>
  <c r="H193" i="23"/>
  <c r="G193" i="23"/>
  <c r="F193" i="23"/>
  <c r="E193" i="23"/>
  <c r="R192" i="23"/>
  <c r="P192" i="23"/>
  <c r="O192" i="23"/>
  <c r="N192" i="23"/>
  <c r="M192" i="23"/>
  <c r="L192" i="23"/>
  <c r="K192" i="23"/>
  <c r="J192" i="23"/>
  <c r="I192" i="23"/>
  <c r="H192" i="23"/>
  <c r="G192" i="23"/>
  <c r="F192" i="23"/>
  <c r="E192" i="23"/>
  <c r="R191" i="23"/>
  <c r="P191" i="23"/>
  <c r="O191" i="23"/>
  <c r="N191" i="23"/>
  <c r="M191" i="23"/>
  <c r="L191" i="23"/>
  <c r="K191" i="23"/>
  <c r="J191" i="23"/>
  <c r="I191" i="23"/>
  <c r="H191" i="23"/>
  <c r="G191" i="23"/>
  <c r="F191" i="23"/>
  <c r="E191" i="23"/>
  <c r="R190" i="23"/>
  <c r="P190" i="23"/>
  <c r="O190" i="23"/>
  <c r="N190" i="23"/>
  <c r="M190" i="23"/>
  <c r="L190" i="23"/>
  <c r="K190" i="23"/>
  <c r="J190" i="23"/>
  <c r="I190" i="23"/>
  <c r="H190" i="23"/>
  <c r="G190" i="23"/>
  <c r="F190" i="23"/>
  <c r="E190" i="23"/>
  <c r="R189" i="23"/>
  <c r="P189" i="23"/>
  <c r="O189" i="23"/>
  <c r="N189" i="23"/>
  <c r="M189" i="23"/>
  <c r="L189" i="23"/>
  <c r="K189" i="23"/>
  <c r="J189" i="23"/>
  <c r="I189" i="23"/>
  <c r="H189" i="23"/>
  <c r="G189" i="23"/>
  <c r="F189" i="23"/>
  <c r="E189" i="23"/>
  <c r="R188" i="23"/>
  <c r="P188" i="23"/>
  <c r="O188" i="23"/>
  <c r="N188" i="23"/>
  <c r="M188" i="23"/>
  <c r="L188" i="23"/>
  <c r="K188" i="23"/>
  <c r="J188" i="23"/>
  <c r="I188" i="23"/>
  <c r="H188" i="23"/>
  <c r="G188" i="23"/>
  <c r="F188" i="23"/>
  <c r="E188" i="23"/>
  <c r="R187" i="23"/>
  <c r="P187" i="23"/>
  <c r="O187" i="23"/>
  <c r="N187" i="23"/>
  <c r="M187" i="23"/>
  <c r="L187" i="23"/>
  <c r="K187" i="23"/>
  <c r="J187" i="23"/>
  <c r="I187" i="23"/>
  <c r="H187" i="23"/>
  <c r="G187" i="23"/>
  <c r="F187" i="23"/>
  <c r="E187" i="23"/>
  <c r="R186" i="23"/>
  <c r="P186" i="23"/>
  <c r="O186" i="23"/>
  <c r="N186" i="23"/>
  <c r="M186" i="23"/>
  <c r="L186" i="23"/>
  <c r="K186" i="23"/>
  <c r="J186" i="23"/>
  <c r="I186" i="23"/>
  <c r="H186" i="23"/>
  <c r="G186" i="23"/>
  <c r="F186" i="23"/>
  <c r="E186" i="23"/>
  <c r="R185" i="23"/>
  <c r="P185" i="23"/>
  <c r="O185" i="23"/>
  <c r="N185" i="23"/>
  <c r="M185" i="23"/>
  <c r="L185" i="23"/>
  <c r="K185" i="23"/>
  <c r="J185" i="23"/>
  <c r="I185" i="23"/>
  <c r="H185" i="23"/>
  <c r="G185" i="23"/>
  <c r="F185" i="23"/>
  <c r="E185" i="23"/>
  <c r="R184" i="23"/>
  <c r="P184" i="23"/>
  <c r="O184" i="23"/>
  <c r="N184" i="23"/>
  <c r="M184" i="23"/>
  <c r="L184" i="23"/>
  <c r="K184" i="23"/>
  <c r="J184" i="23"/>
  <c r="I184" i="23"/>
  <c r="H184" i="23"/>
  <c r="G184" i="23"/>
  <c r="F184" i="23"/>
  <c r="E184" i="23"/>
  <c r="R183" i="23"/>
  <c r="P183" i="23"/>
  <c r="O183" i="23"/>
  <c r="N183" i="23"/>
  <c r="M183" i="23"/>
  <c r="L183" i="23"/>
  <c r="K183" i="23"/>
  <c r="J183" i="23"/>
  <c r="I183" i="23"/>
  <c r="H183" i="23"/>
  <c r="G183" i="23"/>
  <c r="F183" i="23"/>
  <c r="E183" i="23"/>
  <c r="R182" i="23"/>
  <c r="P182" i="23"/>
  <c r="O182" i="23"/>
  <c r="N182" i="23"/>
  <c r="M182" i="23"/>
  <c r="L182" i="23"/>
  <c r="K182" i="23"/>
  <c r="J182" i="23"/>
  <c r="I182" i="23"/>
  <c r="H182" i="23"/>
  <c r="G182" i="23"/>
  <c r="F182" i="23"/>
  <c r="E182" i="23"/>
  <c r="R181" i="23"/>
  <c r="P181" i="23"/>
  <c r="O181" i="23"/>
  <c r="N181" i="23"/>
  <c r="M181" i="23"/>
  <c r="L181" i="23"/>
  <c r="K181" i="23"/>
  <c r="J181" i="23"/>
  <c r="I181" i="23"/>
  <c r="H181" i="23"/>
  <c r="G181" i="23"/>
  <c r="F181" i="23"/>
  <c r="E181" i="23"/>
  <c r="R180" i="23"/>
  <c r="P180" i="23"/>
  <c r="O180" i="23"/>
  <c r="N180" i="23"/>
  <c r="M180" i="23"/>
  <c r="L180" i="23"/>
  <c r="K180" i="23"/>
  <c r="J180" i="23"/>
  <c r="I180" i="23"/>
  <c r="H180" i="23"/>
  <c r="G180" i="23"/>
  <c r="F180" i="23"/>
  <c r="E180" i="23"/>
  <c r="R179" i="23"/>
  <c r="P179" i="23"/>
  <c r="O179" i="23"/>
  <c r="N179" i="23"/>
  <c r="M179" i="23"/>
  <c r="L179" i="23"/>
  <c r="K179" i="23"/>
  <c r="J179" i="23"/>
  <c r="I179" i="23"/>
  <c r="H179" i="23"/>
  <c r="G179" i="23"/>
  <c r="F179" i="23"/>
  <c r="E179" i="23"/>
  <c r="R178" i="23"/>
  <c r="P178" i="23"/>
  <c r="O178" i="23"/>
  <c r="N178" i="23"/>
  <c r="M178" i="23"/>
  <c r="L178" i="23"/>
  <c r="K178" i="23"/>
  <c r="J178" i="23"/>
  <c r="I178" i="23"/>
  <c r="H178" i="23"/>
  <c r="G178" i="23"/>
  <c r="F178" i="23"/>
  <c r="E178" i="23"/>
  <c r="R177" i="23"/>
  <c r="P177" i="23"/>
  <c r="O177" i="23"/>
  <c r="N177" i="23"/>
  <c r="M177" i="23"/>
  <c r="L177" i="23"/>
  <c r="K177" i="23"/>
  <c r="J177" i="23"/>
  <c r="I177" i="23"/>
  <c r="H177" i="23"/>
  <c r="G177" i="23"/>
  <c r="F177" i="23"/>
  <c r="E177" i="23"/>
  <c r="R176" i="23"/>
  <c r="P176" i="23"/>
  <c r="O176" i="23"/>
  <c r="N176" i="23"/>
  <c r="M176" i="23"/>
  <c r="L176" i="23"/>
  <c r="K176" i="23"/>
  <c r="J176" i="23"/>
  <c r="I176" i="23"/>
  <c r="H176" i="23"/>
  <c r="G176" i="23"/>
  <c r="F176" i="23"/>
  <c r="E176" i="23"/>
  <c r="R175" i="23"/>
  <c r="P175" i="23"/>
  <c r="O175" i="23"/>
  <c r="N175" i="23"/>
  <c r="M175" i="23"/>
  <c r="L175" i="23"/>
  <c r="K175" i="23"/>
  <c r="J175" i="23"/>
  <c r="I175" i="23"/>
  <c r="H175" i="23"/>
  <c r="G175" i="23"/>
  <c r="F175" i="23"/>
  <c r="E175" i="23"/>
  <c r="R174" i="23"/>
  <c r="P174" i="23"/>
  <c r="O174" i="23"/>
  <c r="N174" i="23"/>
  <c r="M174" i="23"/>
  <c r="L174" i="23"/>
  <c r="K174" i="23"/>
  <c r="J174" i="23"/>
  <c r="I174" i="23"/>
  <c r="H174" i="23"/>
  <c r="G174" i="23"/>
  <c r="F174" i="23"/>
  <c r="E174" i="23"/>
  <c r="R173" i="23"/>
  <c r="P173" i="23"/>
  <c r="O173" i="23"/>
  <c r="N173" i="23"/>
  <c r="M173" i="23"/>
  <c r="L173" i="23"/>
  <c r="K173" i="23"/>
  <c r="J173" i="23"/>
  <c r="I173" i="23"/>
  <c r="H173" i="23"/>
  <c r="G173" i="23"/>
  <c r="F173" i="23"/>
  <c r="E173" i="23"/>
  <c r="R172" i="23"/>
  <c r="P172" i="23"/>
  <c r="O172" i="23"/>
  <c r="N172" i="23"/>
  <c r="M172" i="23"/>
  <c r="L172" i="23"/>
  <c r="K172" i="23"/>
  <c r="J172" i="23"/>
  <c r="I172" i="23"/>
  <c r="H172" i="23"/>
  <c r="G172" i="23"/>
  <c r="F172" i="23"/>
  <c r="E172" i="23"/>
  <c r="R171" i="23"/>
  <c r="P171" i="23"/>
  <c r="O171" i="23"/>
  <c r="N171" i="23"/>
  <c r="M171" i="23"/>
  <c r="L171" i="23"/>
  <c r="K171" i="23"/>
  <c r="J171" i="23"/>
  <c r="I171" i="23"/>
  <c r="H171" i="23"/>
  <c r="G171" i="23"/>
  <c r="F171" i="23"/>
  <c r="E171" i="23"/>
  <c r="R170" i="23"/>
  <c r="P170" i="23"/>
  <c r="O170" i="23"/>
  <c r="N170" i="23"/>
  <c r="M170" i="23"/>
  <c r="L170" i="23"/>
  <c r="K170" i="23"/>
  <c r="J170" i="23"/>
  <c r="I170" i="23"/>
  <c r="H170" i="23"/>
  <c r="G170" i="23"/>
  <c r="F170" i="23"/>
  <c r="E170" i="23"/>
  <c r="R169" i="23"/>
  <c r="P169" i="23"/>
  <c r="O169" i="23"/>
  <c r="N169" i="23"/>
  <c r="M169" i="23"/>
  <c r="L169" i="23"/>
  <c r="K169" i="23"/>
  <c r="J169" i="23"/>
  <c r="I169" i="23"/>
  <c r="H169" i="23"/>
  <c r="G169" i="23"/>
  <c r="F169" i="23"/>
  <c r="E169" i="23"/>
  <c r="R168" i="23"/>
  <c r="P168" i="23"/>
  <c r="O168" i="23"/>
  <c r="N168" i="23"/>
  <c r="M168" i="23"/>
  <c r="L168" i="23"/>
  <c r="K168" i="23"/>
  <c r="J168" i="23"/>
  <c r="I168" i="23"/>
  <c r="H168" i="23"/>
  <c r="G168" i="23"/>
  <c r="F168" i="23"/>
  <c r="E168" i="23"/>
  <c r="R167" i="23"/>
  <c r="P167" i="23"/>
  <c r="O167" i="23"/>
  <c r="N167" i="23"/>
  <c r="M167" i="23"/>
  <c r="L167" i="23"/>
  <c r="K167" i="23"/>
  <c r="J167" i="23"/>
  <c r="I167" i="23"/>
  <c r="H167" i="23"/>
  <c r="G167" i="23"/>
  <c r="F167" i="23"/>
  <c r="E167" i="23"/>
  <c r="R166" i="23"/>
  <c r="P166" i="23"/>
  <c r="O166" i="23"/>
  <c r="N166" i="23"/>
  <c r="M166" i="23"/>
  <c r="L166" i="23"/>
  <c r="K166" i="23"/>
  <c r="J166" i="23"/>
  <c r="I166" i="23"/>
  <c r="H166" i="23"/>
  <c r="G166" i="23"/>
  <c r="F166" i="23"/>
  <c r="E166" i="23"/>
  <c r="R165" i="23"/>
  <c r="P165" i="23"/>
  <c r="O165" i="23"/>
  <c r="N165" i="23"/>
  <c r="M165" i="23"/>
  <c r="L165" i="23"/>
  <c r="K165" i="23"/>
  <c r="J165" i="23"/>
  <c r="I165" i="23"/>
  <c r="H165" i="23"/>
  <c r="G165" i="23"/>
  <c r="F165" i="23"/>
  <c r="E165" i="23"/>
  <c r="R164" i="23"/>
  <c r="P164" i="23"/>
  <c r="O164" i="23"/>
  <c r="N164" i="23"/>
  <c r="M164" i="23"/>
  <c r="L164" i="23"/>
  <c r="K164" i="23"/>
  <c r="J164" i="23"/>
  <c r="I164" i="23"/>
  <c r="H164" i="23"/>
  <c r="G164" i="23"/>
  <c r="F164" i="23"/>
  <c r="E164" i="23"/>
  <c r="R163" i="23"/>
  <c r="P163" i="23"/>
  <c r="O163" i="23"/>
  <c r="N163" i="23"/>
  <c r="M163" i="23"/>
  <c r="L163" i="23"/>
  <c r="K163" i="23"/>
  <c r="J163" i="23"/>
  <c r="I163" i="23"/>
  <c r="H163" i="23"/>
  <c r="G163" i="23"/>
  <c r="F163" i="23"/>
  <c r="E163" i="23"/>
  <c r="R162" i="23"/>
  <c r="P162" i="23"/>
  <c r="O162" i="23"/>
  <c r="N162" i="23"/>
  <c r="M162" i="23"/>
  <c r="L162" i="23"/>
  <c r="K162" i="23"/>
  <c r="J162" i="23"/>
  <c r="I162" i="23"/>
  <c r="H162" i="23"/>
  <c r="G162" i="23"/>
  <c r="F162" i="23"/>
  <c r="E162" i="23"/>
  <c r="R161" i="23"/>
  <c r="P161" i="23"/>
  <c r="O161" i="23"/>
  <c r="N161" i="23"/>
  <c r="M161" i="23"/>
  <c r="L161" i="23"/>
  <c r="K161" i="23"/>
  <c r="J161" i="23"/>
  <c r="I161" i="23"/>
  <c r="H161" i="23"/>
  <c r="G161" i="23"/>
  <c r="F161" i="23"/>
  <c r="E161" i="23"/>
  <c r="R160" i="23"/>
  <c r="P160" i="23"/>
  <c r="O160" i="23"/>
  <c r="N160" i="23"/>
  <c r="M160" i="23"/>
  <c r="L160" i="23"/>
  <c r="K160" i="23"/>
  <c r="J160" i="23"/>
  <c r="I160" i="23"/>
  <c r="H160" i="23"/>
  <c r="G160" i="23"/>
  <c r="F160" i="23"/>
  <c r="E160" i="23"/>
  <c r="R159" i="23"/>
  <c r="P159" i="23"/>
  <c r="O159" i="23"/>
  <c r="N159" i="23"/>
  <c r="M159" i="23"/>
  <c r="L159" i="23"/>
  <c r="K159" i="23"/>
  <c r="J159" i="23"/>
  <c r="I159" i="23"/>
  <c r="H159" i="23"/>
  <c r="G159" i="23"/>
  <c r="F159" i="23"/>
  <c r="E159" i="23"/>
  <c r="R158" i="23"/>
  <c r="P158" i="23"/>
  <c r="O158" i="23"/>
  <c r="N158" i="23"/>
  <c r="M158" i="23"/>
  <c r="L158" i="23"/>
  <c r="K158" i="23"/>
  <c r="J158" i="23"/>
  <c r="I158" i="23"/>
  <c r="H158" i="23"/>
  <c r="G158" i="23"/>
  <c r="F158" i="23"/>
  <c r="E158" i="23"/>
  <c r="R157" i="23"/>
  <c r="P157" i="23"/>
  <c r="O157" i="23"/>
  <c r="N157" i="23"/>
  <c r="M157" i="23"/>
  <c r="L157" i="23"/>
  <c r="K157" i="23"/>
  <c r="J157" i="23"/>
  <c r="I157" i="23"/>
  <c r="H157" i="23"/>
  <c r="G157" i="23"/>
  <c r="F157" i="23"/>
  <c r="E157" i="23"/>
  <c r="R156" i="23"/>
  <c r="P156" i="23"/>
  <c r="O156" i="23"/>
  <c r="N156" i="23"/>
  <c r="M156" i="23"/>
  <c r="L156" i="23"/>
  <c r="K156" i="23"/>
  <c r="J156" i="23"/>
  <c r="I156" i="23"/>
  <c r="H156" i="23"/>
  <c r="G156" i="23"/>
  <c r="F156" i="23"/>
  <c r="E156" i="23"/>
  <c r="R155" i="23"/>
  <c r="P155" i="23"/>
  <c r="O155" i="23"/>
  <c r="N155" i="23"/>
  <c r="M155" i="23"/>
  <c r="L155" i="23"/>
  <c r="K155" i="23"/>
  <c r="J155" i="23"/>
  <c r="I155" i="23"/>
  <c r="H155" i="23"/>
  <c r="G155" i="23"/>
  <c r="F155" i="23"/>
  <c r="E155" i="23"/>
  <c r="R154" i="23"/>
  <c r="P154" i="23"/>
  <c r="O154" i="23"/>
  <c r="N154" i="23"/>
  <c r="M154" i="23"/>
  <c r="L154" i="23"/>
  <c r="K154" i="23"/>
  <c r="J154" i="23"/>
  <c r="I154" i="23"/>
  <c r="H154" i="23"/>
  <c r="G154" i="23"/>
  <c r="F154" i="23"/>
  <c r="E154" i="23"/>
  <c r="R153" i="23"/>
  <c r="P153" i="23"/>
  <c r="O153" i="23"/>
  <c r="N153" i="23"/>
  <c r="M153" i="23"/>
  <c r="L153" i="23"/>
  <c r="K153" i="23"/>
  <c r="J153" i="23"/>
  <c r="I153" i="23"/>
  <c r="H153" i="23"/>
  <c r="G153" i="23"/>
  <c r="F153" i="23"/>
  <c r="E153" i="23"/>
  <c r="R152" i="23"/>
  <c r="P152" i="23"/>
  <c r="O152" i="23"/>
  <c r="N152" i="23"/>
  <c r="M152" i="23"/>
  <c r="L152" i="23"/>
  <c r="K152" i="23"/>
  <c r="J152" i="23"/>
  <c r="I152" i="23"/>
  <c r="H152" i="23"/>
  <c r="G152" i="23"/>
  <c r="F152" i="23"/>
  <c r="E152" i="23"/>
  <c r="R341" i="23"/>
  <c r="B12" i="77" s="1"/>
  <c r="P341" i="23"/>
  <c r="O341" i="23"/>
  <c r="N341" i="23"/>
  <c r="M341" i="23"/>
  <c r="C12" i="77" s="1"/>
  <c r="L341" i="23"/>
  <c r="K341" i="23"/>
  <c r="J341" i="23"/>
  <c r="I341" i="23"/>
  <c r="H341" i="23"/>
  <c r="G341" i="23"/>
  <c r="F341" i="23"/>
  <c r="E341" i="23"/>
  <c r="L12" i="77" s="1"/>
  <c r="R340" i="23"/>
  <c r="P340" i="23"/>
  <c r="O340" i="23"/>
  <c r="N340" i="23"/>
  <c r="M340" i="23"/>
  <c r="L340" i="23"/>
  <c r="K340" i="23"/>
  <c r="J340" i="23"/>
  <c r="I340" i="23"/>
  <c r="H340" i="23"/>
  <c r="G340" i="23"/>
  <c r="F340" i="23"/>
  <c r="E340" i="23"/>
  <c r="R339" i="23"/>
  <c r="P339" i="23"/>
  <c r="O339" i="23"/>
  <c r="N339" i="23"/>
  <c r="M339" i="23"/>
  <c r="L339" i="23"/>
  <c r="K339" i="23"/>
  <c r="J339" i="23"/>
  <c r="I339" i="23"/>
  <c r="H339" i="23"/>
  <c r="G339" i="23"/>
  <c r="F339" i="23"/>
  <c r="E339" i="23"/>
  <c r="R338" i="23"/>
  <c r="P338" i="23"/>
  <c r="O338" i="23"/>
  <c r="N338" i="23"/>
  <c r="M338" i="23"/>
  <c r="L338" i="23"/>
  <c r="K338" i="23"/>
  <c r="J338" i="23"/>
  <c r="I338" i="23"/>
  <c r="H338" i="23"/>
  <c r="G338" i="23"/>
  <c r="F338" i="23"/>
  <c r="E338" i="23"/>
  <c r="R337" i="23"/>
  <c r="P337" i="23"/>
  <c r="O337" i="23"/>
  <c r="N337" i="23"/>
  <c r="M337" i="23"/>
  <c r="L337" i="23"/>
  <c r="K337" i="23"/>
  <c r="J337" i="23"/>
  <c r="I337" i="23"/>
  <c r="H337" i="23"/>
  <c r="G337" i="23"/>
  <c r="F337" i="23"/>
  <c r="E337" i="23"/>
  <c r="R336" i="23"/>
  <c r="P336" i="23"/>
  <c r="O336" i="23"/>
  <c r="N336" i="23"/>
  <c r="M336" i="23"/>
  <c r="L336" i="23"/>
  <c r="K336" i="23"/>
  <c r="J336" i="23"/>
  <c r="I336" i="23"/>
  <c r="H336" i="23"/>
  <c r="G336" i="23"/>
  <c r="F336" i="23"/>
  <c r="E336" i="23"/>
  <c r="R335" i="23"/>
  <c r="P335" i="23"/>
  <c r="O335" i="23"/>
  <c r="N335" i="23"/>
  <c r="M335" i="23"/>
  <c r="L335" i="23"/>
  <c r="K335" i="23"/>
  <c r="J335" i="23"/>
  <c r="I335" i="23"/>
  <c r="H335" i="23"/>
  <c r="G335" i="23"/>
  <c r="F335" i="23"/>
  <c r="E335" i="23"/>
  <c r="R334" i="23"/>
  <c r="P334" i="23"/>
  <c r="O334" i="23"/>
  <c r="N334" i="23"/>
  <c r="M334" i="23"/>
  <c r="L334" i="23"/>
  <c r="K334" i="23"/>
  <c r="J334" i="23"/>
  <c r="I334" i="23"/>
  <c r="H334" i="23"/>
  <c r="G334" i="23"/>
  <c r="F334" i="23"/>
  <c r="E334" i="23"/>
  <c r="R333" i="23"/>
  <c r="P333" i="23"/>
  <c r="O333" i="23"/>
  <c r="N333" i="23"/>
  <c r="M333" i="23"/>
  <c r="L333" i="23"/>
  <c r="K333" i="23"/>
  <c r="J333" i="23"/>
  <c r="I333" i="23"/>
  <c r="H333" i="23"/>
  <c r="G333" i="23"/>
  <c r="F333" i="23"/>
  <c r="E333" i="23"/>
  <c r="R332" i="23"/>
  <c r="P332" i="23"/>
  <c r="O332" i="23"/>
  <c r="N332" i="23"/>
  <c r="M332" i="23"/>
  <c r="L332" i="23"/>
  <c r="K332" i="23"/>
  <c r="J332" i="23"/>
  <c r="I332" i="23"/>
  <c r="H332" i="23"/>
  <c r="G332" i="23"/>
  <c r="F332" i="23"/>
  <c r="E332" i="23"/>
  <c r="R331" i="23"/>
  <c r="P331" i="23"/>
  <c r="O331" i="23"/>
  <c r="N331" i="23"/>
  <c r="M331" i="23"/>
  <c r="L331" i="23"/>
  <c r="K331" i="23"/>
  <c r="J331" i="23"/>
  <c r="I331" i="23"/>
  <c r="H331" i="23"/>
  <c r="G331" i="23"/>
  <c r="F331" i="23"/>
  <c r="E331" i="23"/>
  <c r="R330" i="23"/>
  <c r="P330" i="23"/>
  <c r="O330" i="23"/>
  <c r="N330" i="23"/>
  <c r="M330" i="23"/>
  <c r="L330" i="23"/>
  <c r="K330" i="23"/>
  <c r="J330" i="23"/>
  <c r="I330" i="23"/>
  <c r="H330" i="23"/>
  <c r="G330" i="23"/>
  <c r="F330" i="23"/>
  <c r="E330" i="23"/>
  <c r="R329" i="23"/>
  <c r="P329" i="23"/>
  <c r="O329" i="23"/>
  <c r="N329" i="23"/>
  <c r="M329" i="23"/>
  <c r="L329" i="23"/>
  <c r="K329" i="23"/>
  <c r="J329" i="23"/>
  <c r="I329" i="23"/>
  <c r="H329" i="23"/>
  <c r="G329" i="23"/>
  <c r="F329" i="23"/>
  <c r="E329" i="23"/>
  <c r="R328" i="23"/>
  <c r="P328" i="23"/>
  <c r="O328" i="23"/>
  <c r="N328" i="23"/>
  <c r="M328" i="23"/>
  <c r="L328" i="23"/>
  <c r="K328" i="23"/>
  <c r="J328" i="23"/>
  <c r="I328" i="23"/>
  <c r="H328" i="23"/>
  <c r="G328" i="23"/>
  <c r="F328" i="23"/>
  <c r="E328" i="23"/>
  <c r="R327" i="23"/>
  <c r="P327" i="23"/>
  <c r="O327" i="23"/>
  <c r="N327" i="23"/>
  <c r="M327" i="23"/>
  <c r="L327" i="23"/>
  <c r="K327" i="23"/>
  <c r="J327" i="23"/>
  <c r="I327" i="23"/>
  <c r="H327" i="23"/>
  <c r="G327" i="23"/>
  <c r="F327" i="23"/>
  <c r="E327" i="23"/>
  <c r="R326" i="23"/>
  <c r="P326" i="23"/>
  <c r="O326" i="23"/>
  <c r="N326" i="23"/>
  <c r="M326" i="23"/>
  <c r="L326" i="23"/>
  <c r="K326" i="23"/>
  <c r="J326" i="23"/>
  <c r="I326" i="23"/>
  <c r="H326" i="23"/>
  <c r="G326" i="23"/>
  <c r="F326" i="23"/>
  <c r="E326" i="23"/>
  <c r="R325" i="23"/>
  <c r="P325" i="23"/>
  <c r="O325" i="23"/>
  <c r="N325" i="23"/>
  <c r="M325" i="23"/>
  <c r="L325" i="23"/>
  <c r="K325" i="23"/>
  <c r="J325" i="23"/>
  <c r="I325" i="23"/>
  <c r="H325" i="23"/>
  <c r="G325" i="23"/>
  <c r="F325" i="23"/>
  <c r="E325" i="23"/>
  <c r="R324" i="23"/>
  <c r="P324" i="23"/>
  <c r="O324" i="23"/>
  <c r="N324" i="23"/>
  <c r="M324" i="23"/>
  <c r="L324" i="23"/>
  <c r="K324" i="23"/>
  <c r="J324" i="23"/>
  <c r="I324" i="23"/>
  <c r="H324" i="23"/>
  <c r="G324" i="23"/>
  <c r="F324" i="23"/>
  <c r="E324" i="23"/>
  <c r="R323" i="23"/>
  <c r="P323" i="23"/>
  <c r="O323" i="23"/>
  <c r="N323" i="23"/>
  <c r="M323" i="23"/>
  <c r="L323" i="23"/>
  <c r="K323" i="23"/>
  <c r="J323" i="23"/>
  <c r="I323" i="23"/>
  <c r="H323" i="23"/>
  <c r="G323" i="23"/>
  <c r="F323" i="23"/>
  <c r="E323" i="23"/>
  <c r="R322" i="23"/>
  <c r="P322" i="23"/>
  <c r="O322" i="23"/>
  <c r="N322" i="23"/>
  <c r="M322" i="23"/>
  <c r="L322" i="23"/>
  <c r="K322" i="23"/>
  <c r="J322" i="23"/>
  <c r="I322" i="23"/>
  <c r="H322" i="23"/>
  <c r="G322" i="23"/>
  <c r="F322" i="23"/>
  <c r="E322" i="23"/>
  <c r="R321" i="23"/>
  <c r="P321" i="23"/>
  <c r="O321" i="23"/>
  <c r="N321" i="23"/>
  <c r="M321" i="23"/>
  <c r="L321" i="23"/>
  <c r="K321" i="23"/>
  <c r="J321" i="23"/>
  <c r="I321" i="23"/>
  <c r="H321" i="23"/>
  <c r="G321" i="23"/>
  <c r="F321" i="23"/>
  <c r="E321" i="23"/>
  <c r="R320" i="23"/>
  <c r="P320" i="23"/>
  <c r="O320" i="23"/>
  <c r="N320" i="23"/>
  <c r="M320" i="23"/>
  <c r="L320" i="23"/>
  <c r="K320" i="23"/>
  <c r="J320" i="23"/>
  <c r="I320" i="23"/>
  <c r="H320" i="23"/>
  <c r="G320" i="23"/>
  <c r="F320" i="23"/>
  <c r="E320" i="23"/>
  <c r="R319" i="23"/>
  <c r="P319" i="23"/>
  <c r="O319" i="23"/>
  <c r="N319" i="23"/>
  <c r="M319" i="23"/>
  <c r="L319" i="23"/>
  <c r="K319" i="23"/>
  <c r="J319" i="23"/>
  <c r="I319" i="23"/>
  <c r="H319" i="23"/>
  <c r="G319" i="23"/>
  <c r="F319" i="23"/>
  <c r="E319" i="23"/>
  <c r="R318" i="23"/>
  <c r="P318" i="23"/>
  <c r="O318" i="23"/>
  <c r="N318" i="23"/>
  <c r="M318" i="23"/>
  <c r="L318" i="23"/>
  <c r="K318" i="23"/>
  <c r="J318" i="23"/>
  <c r="I318" i="23"/>
  <c r="H318" i="23"/>
  <c r="G318" i="23"/>
  <c r="F318" i="23"/>
  <c r="E318" i="23"/>
  <c r="R317" i="23"/>
  <c r="P317" i="23"/>
  <c r="O317" i="23"/>
  <c r="N317" i="23"/>
  <c r="M317" i="23"/>
  <c r="L317" i="23"/>
  <c r="K317" i="23"/>
  <c r="J317" i="23"/>
  <c r="I317" i="23"/>
  <c r="H317" i="23"/>
  <c r="G317" i="23"/>
  <c r="F317" i="23"/>
  <c r="E317" i="23"/>
  <c r="R316" i="23"/>
  <c r="P316" i="23"/>
  <c r="O316" i="23"/>
  <c r="N316" i="23"/>
  <c r="M316" i="23"/>
  <c r="L316" i="23"/>
  <c r="K316" i="23"/>
  <c r="J316" i="23"/>
  <c r="I316" i="23"/>
  <c r="H316" i="23"/>
  <c r="G316" i="23"/>
  <c r="F316" i="23"/>
  <c r="E316" i="23"/>
  <c r="R315" i="23"/>
  <c r="P315" i="23"/>
  <c r="O315" i="23"/>
  <c r="N315" i="23"/>
  <c r="M315" i="23"/>
  <c r="L315" i="23"/>
  <c r="K315" i="23"/>
  <c r="J315" i="23"/>
  <c r="I315" i="23"/>
  <c r="H315" i="23"/>
  <c r="G315" i="23"/>
  <c r="F315" i="23"/>
  <c r="E315" i="23"/>
  <c r="R314" i="23"/>
  <c r="P314" i="23"/>
  <c r="O314" i="23"/>
  <c r="N314" i="23"/>
  <c r="M314" i="23"/>
  <c r="L314" i="23"/>
  <c r="K314" i="23"/>
  <c r="J314" i="23"/>
  <c r="I314" i="23"/>
  <c r="H314" i="23"/>
  <c r="G314" i="23"/>
  <c r="F314" i="23"/>
  <c r="E314" i="23"/>
  <c r="R313" i="23"/>
  <c r="P313" i="23"/>
  <c r="O313" i="23"/>
  <c r="N313" i="23"/>
  <c r="M313" i="23"/>
  <c r="L313" i="23"/>
  <c r="K313" i="23"/>
  <c r="J313" i="23"/>
  <c r="I313" i="23"/>
  <c r="H313" i="23"/>
  <c r="G313" i="23"/>
  <c r="F313" i="23"/>
  <c r="E313" i="23"/>
  <c r="R312" i="23"/>
  <c r="P312" i="23"/>
  <c r="O312" i="23"/>
  <c r="N312" i="23"/>
  <c r="M312" i="23"/>
  <c r="L312" i="23"/>
  <c r="K312" i="23"/>
  <c r="J312" i="23"/>
  <c r="I312" i="23"/>
  <c r="H312" i="23"/>
  <c r="G312" i="23"/>
  <c r="F312" i="23"/>
  <c r="E312" i="23"/>
  <c r="R311" i="23"/>
  <c r="P311" i="23"/>
  <c r="O311" i="23"/>
  <c r="N311" i="23"/>
  <c r="M311" i="23"/>
  <c r="L311" i="23"/>
  <c r="K311" i="23"/>
  <c r="J311" i="23"/>
  <c r="I311" i="23"/>
  <c r="H311" i="23"/>
  <c r="G311" i="23"/>
  <c r="F311" i="23"/>
  <c r="E311" i="23"/>
  <c r="R310" i="23"/>
  <c r="P310" i="23"/>
  <c r="O310" i="23"/>
  <c r="N310" i="23"/>
  <c r="M310" i="23"/>
  <c r="L310" i="23"/>
  <c r="K310" i="23"/>
  <c r="J310" i="23"/>
  <c r="I310" i="23"/>
  <c r="H310" i="23"/>
  <c r="G310" i="23"/>
  <c r="F310" i="23"/>
  <c r="E310" i="23"/>
  <c r="R309" i="23"/>
  <c r="P309" i="23"/>
  <c r="O309" i="23"/>
  <c r="N309" i="23"/>
  <c r="M309" i="23"/>
  <c r="L309" i="23"/>
  <c r="K309" i="23"/>
  <c r="J309" i="23"/>
  <c r="I309" i="23"/>
  <c r="H309" i="23"/>
  <c r="G309" i="23"/>
  <c r="F309" i="23"/>
  <c r="E309" i="23"/>
  <c r="R308" i="23"/>
  <c r="P308" i="23"/>
  <c r="O308" i="23"/>
  <c r="N308" i="23"/>
  <c r="M308" i="23"/>
  <c r="L308" i="23"/>
  <c r="K308" i="23"/>
  <c r="J308" i="23"/>
  <c r="I308" i="23"/>
  <c r="H308" i="23"/>
  <c r="G308" i="23"/>
  <c r="F308" i="23"/>
  <c r="E308" i="23"/>
  <c r="R307" i="23"/>
  <c r="P307" i="23"/>
  <c r="O307" i="23"/>
  <c r="N307" i="23"/>
  <c r="M307" i="23"/>
  <c r="L307" i="23"/>
  <c r="K307" i="23"/>
  <c r="J307" i="23"/>
  <c r="I307" i="23"/>
  <c r="H307" i="23"/>
  <c r="G307" i="23"/>
  <c r="F307" i="23"/>
  <c r="E307" i="23"/>
  <c r="R306" i="23"/>
  <c r="P306" i="23"/>
  <c r="O306" i="23"/>
  <c r="N306" i="23"/>
  <c r="M306" i="23"/>
  <c r="L306" i="23"/>
  <c r="K306" i="23"/>
  <c r="J306" i="23"/>
  <c r="I306" i="23"/>
  <c r="H306" i="23"/>
  <c r="G306" i="23"/>
  <c r="F306" i="23"/>
  <c r="E306" i="23"/>
  <c r="R305" i="23"/>
  <c r="P305" i="23"/>
  <c r="O305" i="23"/>
  <c r="N305" i="23"/>
  <c r="M305" i="23"/>
  <c r="L305" i="23"/>
  <c r="K305" i="23"/>
  <c r="J305" i="23"/>
  <c r="I305" i="23"/>
  <c r="H305" i="23"/>
  <c r="G305" i="23"/>
  <c r="F305" i="23"/>
  <c r="E305" i="23"/>
  <c r="R304" i="23"/>
  <c r="P304" i="23"/>
  <c r="O304" i="23"/>
  <c r="N304" i="23"/>
  <c r="M304" i="23"/>
  <c r="L304" i="23"/>
  <c r="K304" i="23"/>
  <c r="J304" i="23"/>
  <c r="I304" i="23"/>
  <c r="H304" i="23"/>
  <c r="G304" i="23"/>
  <c r="F304" i="23"/>
  <c r="E304" i="23"/>
  <c r="R303" i="23"/>
  <c r="P303" i="23"/>
  <c r="O303" i="23"/>
  <c r="N303" i="23"/>
  <c r="M303" i="23"/>
  <c r="L303" i="23"/>
  <c r="K303" i="23"/>
  <c r="J303" i="23"/>
  <c r="I303" i="23"/>
  <c r="H303" i="23"/>
  <c r="G303" i="23"/>
  <c r="F303" i="23"/>
  <c r="E303" i="23"/>
  <c r="R302" i="23"/>
  <c r="P302" i="23"/>
  <c r="O302" i="23"/>
  <c r="N302" i="23"/>
  <c r="M302" i="23"/>
  <c r="L302" i="23"/>
  <c r="K302" i="23"/>
  <c r="J302" i="23"/>
  <c r="I302" i="23"/>
  <c r="H302" i="23"/>
  <c r="G302" i="23"/>
  <c r="F302" i="23"/>
  <c r="E302" i="23"/>
  <c r="R301" i="23"/>
  <c r="P301" i="23"/>
  <c r="O301" i="23"/>
  <c r="N301" i="23"/>
  <c r="M301" i="23"/>
  <c r="L301" i="23"/>
  <c r="K301" i="23"/>
  <c r="J301" i="23"/>
  <c r="I301" i="23"/>
  <c r="H301" i="23"/>
  <c r="G301" i="23"/>
  <c r="F301" i="23"/>
  <c r="E301" i="23"/>
  <c r="R300" i="23"/>
  <c r="P300" i="23"/>
  <c r="O300" i="23"/>
  <c r="N300" i="23"/>
  <c r="M300" i="23"/>
  <c r="L300" i="23"/>
  <c r="K300" i="23"/>
  <c r="J300" i="23"/>
  <c r="I300" i="23"/>
  <c r="H300" i="23"/>
  <c r="G300" i="23"/>
  <c r="F300" i="23"/>
  <c r="E300" i="23"/>
  <c r="R299" i="23"/>
  <c r="P299" i="23"/>
  <c r="O299" i="23"/>
  <c r="N299" i="23"/>
  <c r="M299" i="23"/>
  <c r="L299" i="23"/>
  <c r="K299" i="23"/>
  <c r="J299" i="23"/>
  <c r="I299" i="23"/>
  <c r="H299" i="23"/>
  <c r="G299" i="23"/>
  <c r="F299" i="23"/>
  <c r="E299" i="23"/>
  <c r="R298" i="23"/>
  <c r="P298" i="23"/>
  <c r="O298" i="23"/>
  <c r="N298" i="23"/>
  <c r="M298" i="23"/>
  <c r="L298" i="23"/>
  <c r="K298" i="23"/>
  <c r="J298" i="23"/>
  <c r="I298" i="23"/>
  <c r="H298" i="23"/>
  <c r="G298" i="23"/>
  <c r="F298" i="23"/>
  <c r="E298" i="23"/>
  <c r="R297" i="23"/>
  <c r="P297" i="23"/>
  <c r="O297" i="23"/>
  <c r="N297" i="23"/>
  <c r="M297" i="23"/>
  <c r="L297" i="23"/>
  <c r="K297" i="23"/>
  <c r="J297" i="23"/>
  <c r="I297" i="23"/>
  <c r="H297" i="23"/>
  <c r="G297" i="23"/>
  <c r="F297" i="23"/>
  <c r="E297" i="23"/>
  <c r="R296" i="23"/>
  <c r="P296" i="23"/>
  <c r="O296" i="23"/>
  <c r="N296" i="23"/>
  <c r="M296" i="23"/>
  <c r="L296" i="23"/>
  <c r="K296" i="23"/>
  <c r="J296" i="23"/>
  <c r="I296" i="23"/>
  <c r="H296" i="23"/>
  <c r="G296" i="23"/>
  <c r="F296" i="23"/>
  <c r="E296" i="23"/>
  <c r="R295" i="23"/>
  <c r="P295" i="23"/>
  <c r="O295" i="23"/>
  <c r="N295" i="23"/>
  <c r="M295" i="23"/>
  <c r="L295" i="23"/>
  <c r="K295" i="23"/>
  <c r="J295" i="23"/>
  <c r="I295" i="23"/>
  <c r="H295" i="23"/>
  <c r="G295" i="23"/>
  <c r="F295" i="23"/>
  <c r="E295" i="23"/>
  <c r="R484" i="23"/>
  <c r="B13" i="77" s="1"/>
  <c r="P484" i="23"/>
  <c r="O484" i="23"/>
  <c r="N484" i="23"/>
  <c r="M484" i="23"/>
  <c r="C13" i="77" s="1"/>
  <c r="L484" i="23"/>
  <c r="K484" i="23"/>
  <c r="J484" i="23"/>
  <c r="I484" i="23"/>
  <c r="H484" i="23"/>
  <c r="G484" i="23"/>
  <c r="F484" i="23"/>
  <c r="E484" i="23"/>
  <c r="L13" i="77" s="1"/>
  <c r="R483" i="23"/>
  <c r="P483" i="23"/>
  <c r="O483" i="23"/>
  <c r="N483" i="23"/>
  <c r="M483" i="23"/>
  <c r="L483" i="23"/>
  <c r="K483" i="23"/>
  <c r="J483" i="23"/>
  <c r="I483" i="23"/>
  <c r="H483" i="23"/>
  <c r="G483" i="23"/>
  <c r="F483" i="23"/>
  <c r="E483" i="23"/>
  <c r="R482" i="23"/>
  <c r="P482" i="23"/>
  <c r="O482" i="23"/>
  <c r="N482" i="23"/>
  <c r="M482" i="23"/>
  <c r="L482" i="23"/>
  <c r="K482" i="23"/>
  <c r="J482" i="23"/>
  <c r="I482" i="23"/>
  <c r="H482" i="23"/>
  <c r="G482" i="23"/>
  <c r="F482" i="23"/>
  <c r="E482" i="23"/>
  <c r="R481" i="23"/>
  <c r="P481" i="23"/>
  <c r="O481" i="23"/>
  <c r="N481" i="23"/>
  <c r="M481" i="23"/>
  <c r="L481" i="23"/>
  <c r="K481" i="23"/>
  <c r="J481" i="23"/>
  <c r="I481" i="23"/>
  <c r="H481" i="23"/>
  <c r="G481" i="23"/>
  <c r="F481" i="23"/>
  <c r="E481" i="23"/>
  <c r="R480" i="23"/>
  <c r="P480" i="23"/>
  <c r="O480" i="23"/>
  <c r="N480" i="23"/>
  <c r="M480" i="23"/>
  <c r="L480" i="23"/>
  <c r="K480" i="23"/>
  <c r="J480" i="23"/>
  <c r="I480" i="23"/>
  <c r="H480" i="23"/>
  <c r="G480" i="23"/>
  <c r="F480" i="23"/>
  <c r="E480" i="23"/>
  <c r="R479" i="23"/>
  <c r="P479" i="23"/>
  <c r="O479" i="23"/>
  <c r="N479" i="23"/>
  <c r="M479" i="23"/>
  <c r="L479" i="23"/>
  <c r="K479" i="23"/>
  <c r="J479" i="23"/>
  <c r="I479" i="23"/>
  <c r="H479" i="23"/>
  <c r="G479" i="23"/>
  <c r="F479" i="23"/>
  <c r="E479" i="23"/>
  <c r="R478" i="23"/>
  <c r="P478" i="23"/>
  <c r="O478" i="23"/>
  <c r="N478" i="23"/>
  <c r="M478" i="23"/>
  <c r="L478" i="23"/>
  <c r="K478" i="23"/>
  <c r="J478" i="23"/>
  <c r="I478" i="23"/>
  <c r="H478" i="23"/>
  <c r="G478" i="23"/>
  <c r="F478" i="23"/>
  <c r="E478" i="23"/>
  <c r="R477" i="23"/>
  <c r="P477" i="23"/>
  <c r="O477" i="23"/>
  <c r="N477" i="23"/>
  <c r="M477" i="23"/>
  <c r="L477" i="23"/>
  <c r="K477" i="23"/>
  <c r="J477" i="23"/>
  <c r="I477" i="23"/>
  <c r="H477" i="23"/>
  <c r="G477" i="23"/>
  <c r="F477" i="23"/>
  <c r="E477" i="23"/>
  <c r="R476" i="23"/>
  <c r="P476" i="23"/>
  <c r="O476" i="23"/>
  <c r="N476" i="23"/>
  <c r="M476" i="23"/>
  <c r="L476" i="23"/>
  <c r="K476" i="23"/>
  <c r="J476" i="23"/>
  <c r="I476" i="23"/>
  <c r="H476" i="23"/>
  <c r="G476" i="23"/>
  <c r="F476" i="23"/>
  <c r="E476" i="23"/>
  <c r="R475" i="23"/>
  <c r="P475" i="23"/>
  <c r="O475" i="23"/>
  <c r="N475" i="23"/>
  <c r="M475" i="23"/>
  <c r="L475" i="23"/>
  <c r="K475" i="23"/>
  <c r="J475" i="23"/>
  <c r="I475" i="23"/>
  <c r="H475" i="23"/>
  <c r="G475" i="23"/>
  <c r="F475" i="23"/>
  <c r="E475" i="23"/>
  <c r="R474" i="23"/>
  <c r="P474" i="23"/>
  <c r="O474" i="23"/>
  <c r="N474" i="23"/>
  <c r="M474" i="23"/>
  <c r="L474" i="23"/>
  <c r="K474" i="23"/>
  <c r="J474" i="23"/>
  <c r="I474" i="23"/>
  <c r="H474" i="23"/>
  <c r="G474" i="23"/>
  <c r="F474" i="23"/>
  <c r="E474" i="23"/>
  <c r="R473" i="23"/>
  <c r="P473" i="23"/>
  <c r="O473" i="23"/>
  <c r="N473" i="23"/>
  <c r="M473" i="23"/>
  <c r="L473" i="23"/>
  <c r="K473" i="23"/>
  <c r="J473" i="23"/>
  <c r="I473" i="23"/>
  <c r="H473" i="23"/>
  <c r="G473" i="23"/>
  <c r="F473" i="23"/>
  <c r="E473" i="23"/>
  <c r="R472" i="23"/>
  <c r="P472" i="23"/>
  <c r="O472" i="23"/>
  <c r="N472" i="23"/>
  <c r="M472" i="23"/>
  <c r="L472" i="23"/>
  <c r="K472" i="23"/>
  <c r="J472" i="23"/>
  <c r="I472" i="23"/>
  <c r="H472" i="23"/>
  <c r="G472" i="23"/>
  <c r="F472" i="23"/>
  <c r="E472" i="23"/>
  <c r="R471" i="23"/>
  <c r="P471" i="23"/>
  <c r="O471" i="23"/>
  <c r="N471" i="23"/>
  <c r="M471" i="23"/>
  <c r="L471" i="23"/>
  <c r="K471" i="23"/>
  <c r="J471" i="23"/>
  <c r="I471" i="23"/>
  <c r="H471" i="23"/>
  <c r="G471" i="23"/>
  <c r="F471" i="23"/>
  <c r="E471" i="23"/>
  <c r="R470" i="23"/>
  <c r="P470" i="23"/>
  <c r="O470" i="23"/>
  <c r="N470" i="23"/>
  <c r="M470" i="23"/>
  <c r="L470" i="23"/>
  <c r="K470" i="23"/>
  <c r="J470" i="23"/>
  <c r="I470" i="23"/>
  <c r="H470" i="23"/>
  <c r="G470" i="23"/>
  <c r="F470" i="23"/>
  <c r="E470" i="23"/>
  <c r="R469" i="23"/>
  <c r="P469" i="23"/>
  <c r="O469" i="23"/>
  <c r="N469" i="23"/>
  <c r="M469" i="23"/>
  <c r="L469" i="23"/>
  <c r="K469" i="23"/>
  <c r="J469" i="23"/>
  <c r="I469" i="23"/>
  <c r="H469" i="23"/>
  <c r="G469" i="23"/>
  <c r="F469" i="23"/>
  <c r="E469" i="23"/>
  <c r="R468" i="23"/>
  <c r="P468" i="23"/>
  <c r="O468" i="23"/>
  <c r="N468" i="23"/>
  <c r="M468" i="23"/>
  <c r="L468" i="23"/>
  <c r="K468" i="23"/>
  <c r="J468" i="23"/>
  <c r="I468" i="23"/>
  <c r="H468" i="23"/>
  <c r="G468" i="23"/>
  <c r="F468" i="23"/>
  <c r="E468" i="23"/>
  <c r="R467" i="23"/>
  <c r="P467" i="23"/>
  <c r="O467" i="23"/>
  <c r="N467" i="23"/>
  <c r="M467" i="23"/>
  <c r="L467" i="23"/>
  <c r="K467" i="23"/>
  <c r="J467" i="23"/>
  <c r="I467" i="23"/>
  <c r="H467" i="23"/>
  <c r="G467" i="23"/>
  <c r="F467" i="23"/>
  <c r="E467" i="23"/>
  <c r="R466" i="23"/>
  <c r="P466" i="23"/>
  <c r="O466" i="23"/>
  <c r="N466" i="23"/>
  <c r="M466" i="23"/>
  <c r="L466" i="23"/>
  <c r="K466" i="23"/>
  <c r="J466" i="23"/>
  <c r="I466" i="23"/>
  <c r="H466" i="23"/>
  <c r="G466" i="23"/>
  <c r="F466" i="23"/>
  <c r="E466" i="23"/>
  <c r="R465" i="23"/>
  <c r="P465" i="23"/>
  <c r="O465" i="23"/>
  <c r="N465" i="23"/>
  <c r="M465" i="23"/>
  <c r="L465" i="23"/>
  <c r="K465" i="23"/>
  <c r="J465" i="23"/>
  <c r="I465" i="23"/>
  <c r="H465" i="23"/>
  <c r="G465" i="23"/>
  <c r="F465" i="23"/>
  <c r="E465" i="23"/>
  <c r="R464" i="23"/>
  <c r="P464" i="23"/>
  <c r="O464" i="23"/>
  <c r="N464" i="23"/>
  <c r="M464" i="23"/>
  <c r="L464" i="23"/>
  <c r="K464" i="23"/>
  <c r="J464" i="23"/>
  <c r="I464" i="23"/>
  <c r="H464" i="23"/>
  <c r="G464" i="23"/>
  <c r="F464" i="23"/>
  <c r="E464" i="23"/>
  <c r="R463" i="23"/>
  <c r="P463" i="23"/>
  <c r="O463" i="23"/>
  <c r="N463" i="23"/>
  <c r="M463" i="23"/>
  <c r="L463" i="23"/>
  <c r="K463" i="23"/>
  <c r="J463" i="23"/>
  <c r="I463" i="23"/>
  <c r="H463" i="23"/>
  <c r="G463" i="23"/>
  <c r="F463" i="23"/>
  <c r="E463" i="23"/>
  <c r="R462" i="23"/>
  <c r="P462" i="23"/>
  <c r="O462" i="23"/>
  <c r="N462" i="23"/>
  <c r="M462" i="23"/>
  <c r="L462" i="23"/>
  <c r="K462" i="23"/>
  <c r="J462" i="23"/>
  <c r="I462" i="23"/>
  <c r="H462" i="23"/>
  <c r="G462" i="23"/>
  <c r="F462" i="23"/>
  <c r="E462" i="23"/>
  <c r="R461" i="23"/>
  <c r="P461" i="23"/>
  <c r="O461" i="23"/>
  <c r="N461" i="23"/>
  <c r="M461" i="23"/>
  <c r="L461" i="23"/>
  <c r="K461" i="23"/>
  <c r="J461" i="23"/>
  <c r="I461" i="23"/>
  <c r="H461" i="23"/>
  <c r="G461" i="23"/>
  <c r="F461" i="23"/>
  <c r="E461" i="23"/>
  <c r="R460" i="23"/>
  <c r="P460" i="23"/>
  <c r="O460" i="23"/>
  <c r="N460" i="23"/>
  <c r="M460" i="23"/>
  <c r="L460" i="23"/>
  <c r="K460" i="23"/>
  <c r="J460" i="23"/>
  <c r="I460" i="23"/>
  <c r="H460" i="23"/>
  <c r="G460" i="23"/>
  <c r="F460" i="23"/>
  <c r="E460" i="23"/>
  <c r="R459" i="23"/>
  <c r="P459" i="23"/>
  <c r="O459" i="23"/>
  <c r="N459" i="23"/>
  <c r="M459" i="23"/>
  <c r="L459" i="23"/>
  <c r="K459" i="23"/>
  <c r="J459" i="23"/>
  <c r="I459" i="23"/>
  <c r="H459" i="23"/>
  <c r="G459" i="23"/>
  <c r="F459" i="23"/>
  <c r="E459" i="23"/>
  <c r="R458" i="23"/>
  <c r="P458" i="23"/>
  <c r="O458" i="23"/>
  <c r="N458" i="23"/>
  <c r="M458" i="23"/>
  <c r="L458" i="23"/>
  <c r="K458" i="23"/>
  <c r="J458" i="23"/>
  <c r="I458" i="23"/>
  <c r="H458" i="23"/>
  <c r="G458" i="23"/>
  <c r="F458" i="23"/>
  <c r="E458" i="23"/>
  <c r="R457" i="23"/>
  <c r="P457" i="23"/>
  <c r="O457" i="23"/>
  <c r="N457" i="23"/>
  <c r="M457" i="23"/>
  <c r="L457" i="23"/>
  <c r="K457" i="23"/>
  <c r="J457" i="23"/>
  <c r="I457" i="23"/>
  <c r="H457" i="23"/>
  <c r="G457" i="23"/>
  <c r="F457" i="23"/>
  <c r="E457" i="23"/>
  <c r="R456" i="23"/>
  <c r="P456" i="23"/>
  <c r="O456" i="23"/>
  <c r="N456" i="23"/>
  <c r="M456" i="23"/>
  <c r="L456" i="23"/>
  <c r="K456" i="23"/>
  <c r="J456" i="23"/>
  <c r="I456" i="23"/>
  <c r="H456" i="23"/>
  <c r="G456" i="23"/>
  <c r="F456" i="23"/>
  <c r="E456" i="23"/>
  <c r="R455" i="23"/>
  <c r="P455" i="23"/>
  <c r="O455" i="23"/>
  <c r="N455" i="23"/>
  <c r="M455" i="23"/>
  <c r="L455" i="23"/>
  <c r="K455" i="23"/>
  <c r="J455" i="23"/>
  <c r="I455" i="23"/>
  <c r="H455" i="23"/>
  <c r="G455" i="23"/>
  <c r="F455" i="23"/>
  <c r="E455" i="23"/>
  <c r="R454" i="23"/>
  <c r="P454" i="23"/>
  <c r="O454" i="23"/>
  <c r="N454" i="23"/>
  <c r="M454" i="23"/>
  <c r="L454" i="23"/>
  <c r="K454" i="23"/>
  <c r="J454" i="23"/>
  <c r="I454" i="23"/>
  <c r="H454" i="23"/>
  <c r="G454" i="23"/>
  <c r="F454" i="23"/>
  <c r="E454" i="23"/>
  <c r="R453" i="23"/>
  <c r="P453" i="23"/>
  <c r="O453" i="23"/>
  <c r="N453" i="23"/>
  <c r="M453" i="23"/>
  <c r="L453" i="23"/>
  <c r="K453" i="23"/>
  <c r="J453" i="23"/>
  <c r="I453" i="23"/>
  <c r="H453" i="23"/>
  <c r="G453" i="23"/>
  <c r="F453" i="23"/>
  <c r="E453" i="23"/>
  <c r="R452" i="23"/>
  <c r="P452" i="23"/>
  <c r="O452" i="23"/>
  <c r="N452" i="23"/>
  <c r="M452" i="23"/>
  <c r="L452" i="23"/>
  <c r="K452" i="23"/>
  <c r="J452" i="23"/>
  <c r="I452" i="23"/>
  <c r="H452" i="23"/>
  <c r="G452" i="23"/>
  <c r="F452" i="23"/>
  <c r="E452" i="23"/>
  <c r="R451" i="23"/>
  <c r="P451" i="23"/>
  <c r="O451" i="23"/>
  <c r="N451" i="23"/>
  <c r="M451" i="23"/>
  <c r="L451" i="23"/>
  <c r="K451" i="23"/>
  <c r="J451" i="23"/>
  <c r="I451" i="23"/>
  <c r="H451" i="23"/>
  <c r="G451" i="23"/>
  <c r="F451" i="23"/>
  <c r="E451" i="23"/>
  <c r="R450" i="23"/>
  <c r="P450" i="23"/>
  <c r="O450" i="23"/>
  <c r="N450" i="23"/>
  <c r="M450" i="23"/>
  <c r="L450" i="23"/>
  <c r="K450" i="23"/>
  <c r="J450" i="23"/>
  <c r="I450" i="23"/>
  <c r="H450" i="23"/>
  <c r="G450" i="23"/>
  <c r="F450" i="23"/>
  <c r="E450" i="23"/>
  <c r="R449" i="23"/>
  <c r="P449" i="23"/>
  <c r="O449" i="23"/>
  <c r="N449" i="23"/>
  <c r="M449" i="23"/>
  <c r="L449" i="23"/>
  <c r="K449" i="23"/>
  <c r="J449" i="23"/>
  <c r="I449" i="23"/>
  <c r="H449" i="23"/>
  <c r="G449" i="23"/>
  <c r="F449" i="23"/>
  <c r="E449" i="23"/>
  <c r="R448" i="23"/>
  <c r="P448" i="23"/>
  <c r="O448" i="23"/>
  <c r="N448" i="23"/>
  <c r="M448" i="23"/>
  <c r="L448" i="23"/>
  <c r="K448" i="23"/>
  <c r="J448" i="23"/>
  <c r="I448" i="23"/>
  <c r="H448" i="23"/>
  <c r="G448" i="23"/>
  <c r="F448" i="23"/>
  <c r="E448" i="23"/>
  <c r="R447" i="23"/>
  <c r="P447" i="23"/>
  <c r="O447" i="23"/>
  <c r="N447" i="23"/>
  <c r="M447" i="23"/>
  <c r="L447" i="23"/>
  <c r="K447" i="23"/>
  <c r="J447" i="23"/>
  <c r="I447" i="23"/>
  <c r="H447" i="23"/>
  <c r="G447" i="23"/>
  <c r="F447" i="23"/>
  <c r="E447" i="23"/>
  <c r="R446" i="23"/>
  <c r="P446" i="23"/>
  <c r="O446" i="23"/>
  <c r="N446" i="23"/>
  <c r="M446" i="23"/>
  <c r="L446" i="23"/>
  <c r="K446" i="23"/>
  <c r="J446" i="23"/>
  <c r="I446" i="23"/>
  <c r="H446" i="23"/>
  <c r="G446" i="23"/>
  <c r="F446" i="23"/>
  <c r="E446" i="23"/>
  <c r="R445" i="23"/>
  <c r="P445" i="23"/>
  <c r="O445" i="23"/>
  <c r="N445" i="23"/>
  <c r="M445" i="23"/>
  <c r="L445" i="23"/>
  <c r="K445" i="23"/>
  <c r="J445" i="23"/>
  <c r="I445" i="23"/>
  <c r="H445" i="23"/>
  <c r="G445" i="23"/>
  <c r="F445" i="23"/>
  <c r="E445" i="23"/>
  <c r="R444" i="23"/>
  <c r="P444" i="23"/>
  <c r="O444" i="23"/>
  <c r="N444" i="23"/>
  <c r="M444" i="23"/>
  <c r="L444" i="23"/>
  <c r="K444" i="23"/>
  <c r="J444" i="23"/>
  <c r="I444" i="23"/>
  <c r="H444" i="23"/>
  <c r="G444" i="23"/>
  <c r="F444" i="23"/>
  <c r="E444" i="23"/>
  <c r="R443" i="23"/>
  <c r="P443" i="23"/>
  <c r="O443" i="23"/>
  <c r="N443" i="23"/>
  <c r="M443" i="23"/>
  <c r="L443" i="23"/>
  <c r="K443" i="23"/>
  <c r="J443" i="23"/>
  <c r="I443" i="23"/>
  <c r="H443" i="23"/>
  <c r="G443" i="23"/>
  <c r="F443" i="23"/>
  <c r="E443" i="23"/>
  <c r="R442" i="23"/>
  <c r="P442" i="23"/>
  <c r="O442" i="23"/>
  <c r="N442" i="23"/>
  <c r="M442" i="23"/>
  <c r="L442" i="23"/>
  <c r="K442" i="23"/>
  <c r="J442" i="23"/>
  <c r="I442" i="23"/>
  <c r="H442" i="23"/>
  <c r="G442" i="23"/>
  <c r="F442" i="23"/>
  <c r="E442" i="23"/>
  <c r="R441" i="23"/>
  <c r="P441" i="23"/>
  <c r="O441" i="23"/>
  <c r="N441" i="23"/>
  <c r="M441" i="23"/>
  <c r="L441" i="23"/>
  <c r="K441" i="23"/>
  <c r="J441" i="23"/>
  <c r="I441" i="23"/>
  <c r="H441" i="23"/>
  <c r="G441" i="23"/>
  <c r="F441" i="23"/>
  <c r="E441" i="23"/>
  <c r="R440" i="23"/>
  <c r="P440" i="23"/>
  <c r="O440" i="23"/>
  <c r="N440" i="23"/>
  <c r="M440" i="23"/>
  <c r="L440" i="23"/>
  <c r="K440" i="23"/>
  <c r="J440" i="23"/>
  <c r="I440" i="23"/>
  <c r="H440" i="23"/>
  <c r="G440" i="23"/>
  <c r="F440" i="23"/>
  <c r="E440" i="23"/>
  <c r="R439" i="23"/>
  <c r="P439" i="23"/>
  <c r="O439" i="23"/>
  <c r="N439" i="23"/>
  <c r="M439" i="23"/>
  <c r="L439" i="23"/>
  <c r="K439" i="23"/>
  <c r="J439" i="23"/>
  <c r="I439" i="23"/>
  <c r="H439" i="23"/>
  <c r="G439" i="23"/>
  <c r="F439" i="23"/>
  <c r="E439" i="23"/>
  <c r="R438" i="23"/>
  <c r="P438" i="23"/>
  <c r="O438" i="23"/>
  <c r="N438" i="23"/>
  <c r="M438" i="23"/>
  <c r="L438" i="23"/>
  <c r="K438" i="23"/>
  <c r="J438" i="23"/>
  <c r="I438" i="23"/>
  <c r="H438" i="23"/>
  <c r="G438" i="23"/>
  <c r="F438" i="23"/>
  <c r="E438" i="23"/>
  <c r="R627" i="23"/>
  <c r="B14" i="77" s="1"/>
  <c r="P627" i="23"/>
  <c r="O627" i="23"/>
  <c r="N627" i="23"/>
  <c r="M627" i="23"/>
  <c r="C14" i="77" s="1"/>
  <c r="L627" i="23"/>
  <c r="K627" i="23"/>
  <c r="J627" i="23"/>
  <c r="I627" i="23"/>
  <c r="H627" i="23"/>
  <c r="G627" i="23"/>
  <c r="F627" i="23"/>
  <c r="E627" i="23"/>
  <c r="L14" i="77" s="1"/>
  <c r="R626" i="23"/>
  <c r="P626" i="23"/>
  <c r="O626" i="23"/>
  <c r="N626" i="23"/>
  <c r="M626" i="23"/>
  <c r="L626" i="23"/>
  <c r="K626" i="23"/>
  <c r="J626" i="23"/>
  <c r="I626" i="23"/>
  <c r="H626" i="23"/>
  <c r="G626" i="23"/>
  <c r="F626" i="23"/>
  <c r="E626" i="23"/>
  <c r="R625" i="23"/>
  <c r="P625" i="23"/>
  <c r="O625" i="23"/>
  <c r="N625" i="23"/>
  <c r="M625" i="23"/>
  <c r="L625" i="23"/>
  <c r="K625" i="23"/>
  <c r="J625" i="23"/>
  <c r="I625" i="23"/>
  <c r="H625" i="23"/>
  <c r="G625" i="23"/>
  <c r="F625" i="23"/>
  <c r="E625" i="23"/>
  <c r="R624" i="23"/>
  <c r="P624" i="23"/>
  <c r="O624" i="23"/>
  <c r="N624" i="23"/>
  <c r="M624" i="23"/>
  <c r="L624" i="23"/>
  <c r="K624" i="23"/>
  <c r="J624" i="23"/>
  <c r="I624" i="23"/>
  <c r="H624" i="23"/>
  <c r="G624" i="23"/>
  <c r="F624" i="23"/>
  <c r="E624" i="23"/>
  <c r="R623" i="23"/>
  <c r="P623" i="23"/>
  <c r="O623" i="23"/>
  <c r="N623" i="23"/>
  <c r="M623" i="23"/>
  <c r="L623" i="23"/>
  <c r="K623" i="23"/>
  <c r="J623" i="23"/>
  <c r="I623" i="23"/>
  <c r="H623" i="23"/>
  <c r="G623" i="23"/>
  <c r="F623" i="23"/>
  <c r="E623" i="23"/>
  <c r="R622" i="23"/>
  <c r="P622" i="23"/>
  <c r="O622" i="23"/>
  <c r="N622" i="23"/>
  <c r="M622" i="23"/>
  <c r="L622" i="23"/>
  <c r="K622" i="23"/>
  <c r="J622" i="23"/>
  <c r="I622" i="23"/>
  <c r="H622" i="23"/>
  <c r="G622" i="23"/>
  <c r="F622" i="23"/>
  <c r="E622" i="23"/>
  <c r="R621" i="23"/>
  <c r="P621" i="23"/>
  <c r="O621" i="23"/>
  <c r="N621" i="23"/>
  <c r="M621" i="23"/>
  <c r="L621" i="23"/>
  <c r="K621" i="23"/>
  <c r="J621" i="23"/>
  <c r="I621" i="23"/>
  <c r="H621" i="23"/>
  <c r="G621" i="23"/>
  <c r="F621" i="23"/>
  <c r="E621" i="23"/>
  <c r="R620" i="23"/>
  <c r="P620" i="23"/>
  <c r="O620" i="23"/>
  <c r="N620" i="23"/>
  <c r="M620" i="23"/>
  <c r="L620" i="23"/>
  <c r="K620" i="23"/>
  <c r="J620" i="23"/>
  <c r="I620" i="23"/>
  <c r="H620" i="23"/>
  <c r="G620" i="23"/>
  <c r="F620" i="23"/>
  <c r="E620" i="23"/>
  <c r="R619" i="23"/>
  <c r="P619" i="23"/>
  <c r="O619" i="23"/>
  <c r="N619" i="23"/>
  <c r="M619" i="23"/>
  <c r="L619" i="23"/>
  <c r="K619" i="23"/>
  <c r="J619" i="23"/>
  <c r="I619" i="23"/>
  <c r="H619" i="23"/>
  <c r="G619" i="23"/>
  <c r="F619" i="23"/>
  <c r="E619" i="23"/>
  <c r="R618" i="23"/>
  <c r="P618" i="23"/>
  <c r="O618" i="23"/>
  <c r="N618" i="23"/>
  <c r="M618" i="23"/>
  <c r="L618" i="23"/>
  <c r="K618" i="23"/>
  <c r="J618" i="23"/>
  <c r="I618" i="23"/>
  <c r="H618" i="23"/>
  <c r="G618" i="23"/>
  <c r="F618" i="23"/>
  <c r="E618" i="23"/>
  <c r="R617" i="23"/>
  <c r="P617" i="23"/>
  <c r="O617" i="23"/>
  <c r="N617" i="23"/>
  <c r="M617" i="23"/>
  <c r="L617" i="23"/>
  <c r="K617" i="23"/>
  <c r="J617" i="23"/>
  <c r="I617" i="23"/>
  <c r="H617" i="23"/>
  <c r="G617" i="23"/>
  <c r="F617" i="23"/>
  <c r="E617" i="23"/>
  <c r="R616" i="23"/>
  <c r="P616" i="23"/>
  <c r="O616" i="23"/>
  <c r="N616" i="23"/>
  <c r="M616" i="23"/>
  <c r="L616" i="23"/>
  <c r="K616" i="23"/>
  <c r="J616" i="23"/>
  <c r="I616" i="23"/>
  <c r="H616" i="23"/>
  <c r="G616" i="23"/>
  <c r="F616" i="23"/>
  <c r="E616" i="23"/>
  <c r="R615" i="23"/>
  <c r="P615" i="23"/>
  <c r="O615" i="23"/>
  <c r="N615" i="23"/>
  <c r="M615" i="23"/>
  <c r="L615" i="23"/>
  <c r="K615" i="23"/>
  <c r="J615" i="23"/>
  <c r="I615" i="23"/>
  <c r="H615" i="23"/>
  <c r="G615" i="23"/>
  <c r="F615" i="23"/>
  <c r="E615" i="23"/>
  <c r="R614" i="23"/>
  <c r="P614" i="23"/>
  <c r="O614" i="23"/>
  <c r="N614" i="23"/>
  <c r="M614" i="23"/>
  <c r="L614" i="23"/>
  <c r="K614" i="23"/>
  <c r="J614" i="23"/>
  <c r="I614" i="23"/>
  <c r="H614" i="23"/>
  <c r="G614" i="23"/>
  <c r="F614" i="23"/>
  <c r="E614" i="23"/>
  <c r="R613" i="23"/>
  <c r="P613" i="23"/>
  <c r="O613" i="23"/>
  <c r="N613" i="23"/>
  <c r="M613" i="23"/>
  <c r="L613" i="23"/>
  <c r="K613" i="23"/>
  <c r="J613" i="23"/>
  <c r="I613" i="23"/>
  <c r="H613" i="23"/>
  <c r="G613" i="23"/>
  <c r="F613" i="23"/>
  <c r="E613" i="23"/>
  <c r="R612" i="23"/>
  <c r="P612" i="23"/>
  <c r="O612" i="23"/>
  <c r="N612" i="23"/>
  <c r="M612" i="23"/>
  <c r="L612" i="23"/>
  <c r="K612" i="23"/>
  <c r="J612" i="23"/>
  <c r="I612" i="23"/>
  <c r="H612" i="23"/>
  <c r="G612" i="23"/>
  <c r="F612" i="23"/>
  <c r="E612" i="23"/>
  <c r="R611" i="23"/>
  <c r="P611" i="23"/>
  <c r="O611" i="23"/>
  <c r="N611" i="23"/>
  <c r="M611" i="23"/>
  <c r="L611" i="23"/>
  <c r="K611" i="23"/>
  <c r="J611" i="23"/>
  <c r="I611" i="23"/>
  <c r="H611" i="23"/>
  <c r="G611" i="23"/>
  <c r="F611" i="23"/>
  <c r="E611" i="23"/>
  <c r="R610" i="23"/>
  <c r="P610" i="23"/>
  <c r="O610" i="23"/>
  <c r="N610" i="23"/>
  <c r="M610" i="23"/>
  <c r="L610" i="23"/>
  <c r="K610" i="23"/>
  <c r="J610" i="23"/>
  <c r="I610" i="23"/>
  <c r="H610" i="23"/>
  <c r="G610" i="23"/>
  <c r="F610" i="23"/>
  <c r="E610" i="23"/>
  <c r="R609" i="23"/>
  <c r="P609" i="23"/>
  <c r="O609" i="23"/>
  <c r="N609" i="23"/>
  <c r="M609" i="23"/>
  <c r="L609" i="23"/>
  <c r="K609" i="23"/>
  <c r="J609" i="23"/>
  <c r="I609" i="23"/>
  <c r="H609" i="23"/>
  <c r="G609" i="23"/>
  <c r="F609" i="23"/>
  <c r="E609" i="23"/>
  <c r="R608" i="23"/>
  <c r="P608" i="23"/>
  <c r="O608" i="23"/>
  <c r="N608" i="23"/>
  <c r="M608" i="23"/>
  <c r="L608" i="23"/>
  <c r="K608" i="23"/>
  <c r="J608" i="23"/>
  <c r="I608" i="23"/>
  <c r="H608" i="23"/>
  <c r="G608" i="23"/>
  <c r="F608" i="23"/>
  <c r="E608" i="23"/>
  <c r="R607" i="23"/>
  <c r="P607" i="23"/>
  <c r="O607" i="23"/>
  <c r="N607" i="23"/>
  <c r="M607" i="23"/>
  <c r="L607" i="23"/>
  <c r="K607" i="23"/>
  <c r="J607" i="23"/>
  <c r="I607" i="23"/>
  <c r="H607" i="23"/>
  <c r="G607" i="23"/>
  <c r="F607" i="23"/>
  <c r="E607" i="23"/>
  <c r="R606" i="23"/>
  <c r="P606" i="23"/>
  <c r="O606" i="23"/>
  <c r="N606" i="23"/>
  <c r="M606" i="23"/>
  <c r="L606" i="23"/>
  <c r="K606" i="23"/>
  <c r="J606" i="23"/>
  <c r="I606" i="23"/>
  <c r="H606" i="23"/>
  <c r="G606" i="23"/>
  <c r="F606" i="23"/>
  <c r="E606" i="23"/>
  <c r="R605" i="23"/>
  <c r="P605" i="23"/>
  <c r="O605" i="23"/>
  <c r="N605" i="23"/>
  <c r="M605" i="23"/>
  <c r="L605" i="23"/>
  <c r="K605" i="23"/>
  <c r="J605" i="23"/>
  <c r="I605" i="23"/>
  <c r="H605" i="23"/>
  <c r="G605" i="23"/>
  <c r="F605" i="23"/>
  <c r="E605" i="23"/>
  <c r="R604" i="23"/>
  <c r="P604" i="23"/>
  <c r="O604" i="23"/>
  <c r="N604" i="23"/>
  <c r="M604" i="23"/>
  <c r="L604" i="23"/>
  <c r="K604" i="23"/>
  <c r="J604" i="23"/>
  <c r="I604" i="23"/>
  <c r="H604" i="23"/>
  <c r="G604" i="23"/>
  <c r="F604" i="23"/>
  <c r="E604" i="23"/>
  <c r="R603" i="23"/>
  <c r="P603" i="23"/>
  <c r="O603" i="23"/>
  <c r="N603" i="23"/>
  <c r="M603" i="23"/>
  <c r="L603" i="23"/>
  <c r="K603" i="23"/>
  <c r="J603" i="23"/>
  <c r="I603" i="23"/>
  <c r="H603" i="23"/>
  <c r="G603" i="23"/>
  <c r="F603" i="23"/>
  <c r="E603" i="23"/>
  <c r="R602" i="23"/>
  <c r="P602" i="23"/>
  <c r="O602" i="23"/>
  <c r="N602" i="23"/>
  <c r="M602" i="23"/>
  <c r="L602" i="23"/>
  <c r="K602" i="23"/>
  <c r="J602" i="23"/>
  <c r="I602" i="23"/>
  <c r="H602" i="23"/>
  <c r="G602" i="23"/>
  <c r="F602" i="23"/>
  <c r="E602" i="23"/>
  <c r="R601" i="23"/>
  <c r="P601" i="23"/>
  <c r="O601" i="23"/>
  <c r="N601" i="23"/>
  <c r="M601" i="23"/>
  <c r="L601" i="23"/>
  <c r="K601" i="23"/>
  <c r="J601" i="23"/>
  <c r="I601" i="23"/>
  <c r="H601" i="23"/>
  <c r="G601" i="23"/>
  <c r="F601" i="23"/>
  <c r="E601" i="23"/>
  <c r="R600" i="23"/>
  <c r="P600" i="23"/>
  <c r="O600" i="23"/>
  <c r="N600" i="23"/>
  <c r="M600" i="23"/>
  <c r="L600" i="23"/>
  <c r="K600" i="23"/>
  <c r="J600" i="23"/>
  <c r="I600" i="23"/>
  <c r="H600" i="23"/>
  <c r="G600" i="23"/>
  <c r="F600" i="23"/>
  <c r="E600" i="23"/>
  <c r="R599" i="23"/>
  <c r="P599" i="23"/>
  <c r="O599" i="23"/>
  <c r="N599" i="23"/>
  <c r="M599" i="23"/>
  <c r="L599" i="23"/>
  <c r="K599" i="23"/>
  <c r="J599" i="23"/>
  <c r="I599" i="23"/>
  <c r="H599" i="23"/>
  <c r="G599" i="23"/>
  <c r="F599" i="23"/>
  <c r="E599" i="23"/>
  <c r="R598" i="23"/>
  <c r="P598" i="23"/>
  <c r="O598" i="23"/>
  <c r="N598" i="23"/>
  <c r="M598" i="23"/>
  <c r="L598" i="23"/>
  <c r="K598" i="23"/>
  <c r="J598" i="23"/>
  <c r="I598" i="23"/>
  <c r="H598" i="23"/>
  <c r="G598" i="23"/>
  <c r="F598" i="23"/>
  <c r="E598" i="23"/>
  <c r="R597" i="23"/>
  <c r="P597" i="23"/>
  <c r="O597" i="23"/>
  <c r="N597" i="23"/>
  <c r="M597" i="23"/>
  <c r="L597" i="23"/>
  <c r="K597" i="23"/>
  <c r="J597" i="23"/>
  <c r="I597" i="23"/>
  <c r="H597" i="23"/>
  <c r="G597" i="23"/>
  <c r="F597" i="23"/>
  <c r="E597" i="23"/>
  <c r="R596" i="23"/>
  <c r="P596" i="23"/>
  <c r="O596" i="23"/>
  <c r="N596" i="23"/>
  <c r="M596" i="23"/>
  <c r="L596" i="23"/>
  <c r="K596" i="23"/>
  <c r="J596" i="23"/>
  <c r="I596" i="23"/>
  <c r="H596" i="23"/>
  <c r="G596" i="23"/>
  <c r="F596" i="23"/>
  <c r="E596" i="23"/>
  <c r="R595" i="23"/>
  <c r="P595" i="23"/>
  <c r="O595" i="23"/>
  <c r="N595" i="23"/>
  <c r="M595" i="23"/>
  <c r="L595" i="23"/>
  <c r="K595" i="23"/>
  <c r="J595" i="23"/>
  <c r="I595" i="23"/>
  <c r="H595" i="23"/>
  <c r="G595" i="23"/>
  <c r="F595" i="23"/>
  <c r="E595" i="23"/>
  <c r="R594" i="23"/>
  <c r="P594" i="23"/>
  <c r="O594" i="23"/>
  <c r="N594" i="23"/>
  <c r="M594" i="23"/>
  <c r="L594" i="23"/>
  <c r="K594" i="23"/>
  <c r="J594" i="23"/>
  <c r="I594" i="23"/>
  <c r="H594" i="23"/>
  <c r="G594" i="23"/>
  <c r="F594" i="23"/>
  <c r="E594" i="23"/>
  <c r="R593" i="23"/>
  <c r="P593" i="23"/>
  <c r="O593" i="23"/>
  <c r="N593" i="23"/>
  <c r="M593" i="23"/>
  <c r="L593" i="23"/>
  <c r="K593" i="23"/>
  <c r="J593" i="23"/>
  <c r="I593" i="23"/>
  <c r="H593" i="23"/>
  <c r="G593" i="23"/>
  <c r="F593" i="23"/>
  <c r="E593" i="23"/>
  <c r="R592" i="23"/>
  <c r="P592" i="23"/>
  <c r="O592" i="23"/>
  <c r="N592" i="23"/>
  <c r="M592" i="23"/>
  <c r="L592" i="23"/>
  <c r="K592" i="23"/>
  <c r="J592" i="23"/>
  <c r="I592" i="23"/>
  <c r="H592" i="23"/>
  <c r="G592" i="23"/>
  <c r="F592" i="23"/>
  <c r="E592" i="23"/>
  <c r="R591" i="23"/>
  <c r="P591" i="23"/>
  <c r="O591" i="23"/>
  <c r="N591" i="23"/>
  <c r="M591" i="23"/>
  <c r="L591" i="23"/>
  <c r="K591" i="23"/>
  <c r="J591" i="23"/>
  <c r="I591" i="23"/>
  <c r="H591" i="23"/>
  <c r="G591" i="23"/>
  <c r="F591" i="23"/>
  <c r="E591" i="23"/>
  <c r="R590" i="23"/>
  <c r="P590" i="23"/>
  <c r="O590" i="23"/>
  <c r="N590" i="23"/>
  <c r="M590" i="23"/>
  <c r="L590" i="23"/>
  <c r="K590" i="23"/>
  <c r="J590" i="23"/>
  <c r="I590" i="23"/>
  <c r="H590" i="23"/>
  <c r="G590" i="23"/>
  <c r="F590" i="23"/>
  <c r="E590" i="23"/>
  <c r="R589" i="23"/>
  <c r="P589" i="23"/>
  <c r="O589" i="23"/>
  <c r="N589" i="23"/>
  <c r="M589" i="23"/>
  <c r="L589" i="23"/>
  <c r="K589" i="23"/>
  <c r="J589" i="23"/>
  <c r="I589" i="23"/>
  <c r="H589" i="23"/>
  <c r="G589" i="23"/>
  <c r="F589" i="23"/>
  <c r="E589" i="23"/>
  <c r="R588" i="23"/>
  <c r="P588" i="23"/>
  <c r="O588" i="23"/>
  <c r="N588" i="23"/>
  <c r="M588" i="23"/>
  <c r="L588" i="23"/>
  <c r="K588" i="23"/>
  <c r="J588" i="23"/>
  <c r="I588" i="23"/>
  <c r="H588" i="23"/>
  <c r="G588" i="23"/>
  <c r="F588" i="23"/>
  <c r="E588" i="23"/>
  <c r="R587" i="23"/>
  <c r="P587" i="23"/>
  <c r="O587" i="23"/>
  <c r="N587" i="23"/>
  <c r="M587" i="23"/>
  <c r="L587" i="23"/>
  <c r="K587" i="23"/>
  <c r="J587" i="23"/>
  <c r="I587" i="23"/>
  <c r="H587" i="23"/>
  <c r="G587" i="23"/>
  <c r="F587" i="23"/>
  <c r="E587" i="23"/>
  <c r="R586" i="23"/>
  <c r="P586" i="23"/>
  <c r="O586" i="23"/>
  <c r="N586" i="23"/>
  <c r="M586" i="23"/>
  <c r="L586" i="23"/>
  <c r="K586" i="23"/>
  <c r="J586" i="23"/>
  <c r="I586" i="23"/>
  <c r="H586" i="23"/>
  <c r="G586" i="23"/>
  <c r="F586" i="23"/>
  <c r="E586" i="23"/>
  <c r="R585" i="23"/>
  <c r="P585" i="23"/>
  <c r="O585" i="23"/>
  <c r="N585" i="23"/>
  <c r="M585" i="23"/>
  <c r="L585" i="23"/>
  <c r="K585" i="23"/>
  <c r="J585" i="23"/>
  <c r="I585" i="23"/>
  <c r="H585" i="23"/>
  <c r="G585" i="23"/>
  <c r="F585" i="23"/>
  <c r="E585" i="23"/>
  <c r="R584" i="23"/>
  <c r="P584" i="23"/>
  <c r="O584" i="23"/>
  <c r="N584" i="23"/>
  <c r="M584" i="23"/>
  <c r="L584" i="23"/>
  <c r="K584" i="23"/>
  <c r="J584" i="23"/>
  <c r="I584" i="23"/>
  <c r="H584" i="23"/>
  <c r="G584" i="23"/>
  <c r="F584" i="23"/>
  <c r="E584" i="23"/>
  <c r="R583" i="23"/>
  <c r="P583" i="23"/>
  <c r="O583" i="23"/>
  <c r="N583" i="23"/>
  <c r="M583" i="23"/>
  <c r="L583" i="23"/>
  <c r="K583" i="23"/>
  <c r="J583" i="23"/>
  <c r="I583" i="23"/>
  <c r="H583" i="23"/>
  <c r="G583" i="23"/>
  <c r="F583" i="23"/>
  <c r="E583" i="23"/>
  <c r="R582" i="23"/>
  <c r="P582" i="23"/>
  <c r="O582" i="23"/>
  <c r="N582" i="23"/>
  <c r="M582" i="23"/>
  <c r="L582" i="23"/>
  <c r="K582" i="23"/>
  <c r="J582" i="23"/>
  <c r="I582" i="23"/>
  <c r="H582" i="23"/>
  <c r="G582" i="23"/>
  <c r="F582" i="23"/>
  <c r="E582" i="23"/>
  <c r="R581" i="23"/>
  <c r="P581" i="23"/>
  <c r="O581" i="23"/>
  <c r="N581" i="23"/>
  <c r="M581" i="23"/>
  <c r="L581" i="23"/>
  <c r="K581" i="23"/>
  <c r="J581" i="23"/>
  <c r="I581" i="23"/>
  <c r="H581" i="23"/>
  <c r="G581" i="23"/>
  <c r="F581" i="23"/>
  <c r="E581" i="23"/>
  <c r="R770" i="23"/>
  <c r="B15" i="77" s="1"/>
  <c r="P770" i="23"/>
  <c r="O770" i="23"/>
  <c r="N770" i="23"/>
  <c r="M770" i="23"/>
  <c r="C15" i="77" s="1"/>
  <c r="L770" i="23"/>
  <c r="K770" i="23"/>
  <c r="J770" i="23"/>
  <c r="I770" i="23"/>
  <c r="H770" i="23"/>
  <c r="G770" i="23"/>
  <c r="F770" i="23"/>
  <c r="E770" i="23"/>
  <c r="L15" i="77" s="1"/>
  <c r="R769" i="23"/>
  <c r="P769" i="23"/>
  <c r="O769" i="23"/>
  <c r="N769" i="23"/>
  <c r="M769" i="23"/>
  <c r="L769" i="23"/>
  <c r="K769" i="23"/>
  <c r="J769" i="23"/>
  <c r="I769" i="23"/>
  <c r="H769" i="23"/>
  <c r="G769" i="23"/>
  <c r="F769" i="23"/>
  <c r="E769" i="23"/>
  <c r="R768" i="23"/>
  <c r="P768" i="23"/>
  <c r="O768" i="23"/>
  <c r="N768" i="23"/>
  <c r="M768" i="23"/>
  <c r="L768" i="23"/>
  <c r="K768" i="23"/>
  <c r="J768" i="23"/>
  <c r="I768" i="23"/>
  <c r="H768" i="23"/>
  <c r="G768" i="23"/>
  <c r="F768" i="23"/>
  <c r="E768" i="23"/>
  <c r="R767" i="23"/>
  <c r="P767" i="23"/>
  <c r="O767" i="23"/>
  <c r="N767" i="23"/>
  <c r="M767" i="23"/>
  <c r="L767" i="23"/>
  <c r="K767" i="23"/>
  <c r="J767" i="23"/>
  <c r="I767" i="23"/>
  <c r="H767" i="23"/>
  <c r="G767" i="23"/>
  <c r="F767" i="23"/>
  <c r="E767" i="23"/>
  <c r="R766" i="23"/>
  <c r="P766" i="23"/>
  <c r="O766" i="23"/>
  <c r="N766" i="23"/>
  <c r="M766" i="23"/>
  <c r="L766" i="23"/>
  <c r="K766" i="23"/>
  <c r="J766" i="23"/>
  <c r="I766" i="23"/>
  <c r="H766" i="23"/>
  <c r="G766" i="23"/>
  <c r="F766" i="23"/>
  <c r="E766" i="23"/>
  <c r="R765" i="23"/>
  <c r="P765" i="23"/>
  <c r="O765" i="23"/>
  <c r="N765" i="23"/>
  <c r="M765" i="23"/>
  <c r="L765" i="23"/>
  <c r="K765" i="23"/>
  <c r="J765" i="23"/>
  <c r="I765" i="23"/>
  <c r="H765" i="23"/>
  <c r="G765" i="23"/>
  <c r="F765" i="23"/>
  <c r="E765" i="23"/>
  <c r="R764" i="23"/>
  <c r="P764" i="23"/>
  <c r="O764" i="23"/>
  <c r="N764" i="23"/>
  <c r="M764" i="23"/>
  <c r="L764" i="23"/>
  <c r="K764" i="23"/>
  <c r="J764" i="23"/>
  <c r="I764" i="23"/>
  <c r="H764" i="23"/>
  <c r="G764" i="23"/>
  <c r="F764" i="23"/>
  <c r="E764" i="23"/>
  <c r="R763" i="23"/>
  <c r="P763" i="23"/>
  <c r="O763" i="23"/>
  <c r="N763" i="23"/>
  <c r="M763" i="23"/>
  <c r="L763" i="23"/>
  <c r="K763" i="23"/>
  <c r="J763" i="23"/>
  <c r="I763" i="23"/>
  <c r="H763" i="23"/>
  <c r="G763" i="23"/>
  <c r="F763" i="23"/>
  <c r="E763" i="23"/>
  <c r="R762" i="23"/>
  <c r="P762" i="23"/>
  <c r="O762" i="23"/>
  <c r="N762" i="23"/>
  <c r="M762" i="23"/>
  <c r="L762" i="23"/>
  <c r="K762" i="23"/>
  <c r="J762" i="23"/>
  <c r="I762" i="23"/>
  <c r="H762" i="23"/>
  <c r="G762" i="23"/>
  <c r="F762" i="23"/>
  <c r="E762" i="23"/>
  <c r="R761" i="23"/>
  <c r="P761" i="23"/>
  <c r="O761" i="23"/>
  <c r="N761" i="23"/>
  <c r="M761" i="23"/>
  <c r="L761" i="23"/>
  <c r="K761" i="23"/>
  <c r="J761" i="23"/>
  <c r="I761" i="23"/>
  <c r="H761" i="23"/>
  <c r="G761" i="23"/>
  <c r="F761" i="23"/>
  <c r="E761" i="23"/>
  <c r="R760" i="23"/>
  <c r="P760" i="23"/>
  <c r="O760" i="23"/>
  <c r="N760" i="23"/>
  <c r="M760" i="23"/>
  <c r="L760" i="23"/>
  <c r="K760" i="23"/>
  <c r="J760" i="23"/>
  <c r="I760" i="23"/>
  <c r="H760" i="23"/>
  <c r="G760" i="23"/>
  <c r="F760" i="23"/>
  <c r="E760" i="23"/>
  <c r="R759" i="23"/>
  <c r="P759" i="23"/>
  <c r="O759" i="23"/>
  <c r="N759" i="23"/>
  <c r="M759" i="23"/>
  <c r="L759" i="23"/>
  <c r="K759" i="23"/>
  <c r="J759" i="23"/>
  <c r="I759" i="23"/>
  <c r="H759" i="23"/>
  <c r="G759" i="23"/>
  <c r="F759" i="23"/>
  <c r="E759" i="23"/>
  <c r="R758" i="23"/>
  <c r="P758" i="23"/>
  <c r="O758" i="23"/>
  <c r="N758" i="23"/>
  <c r="M758" i="23"/>
  <c r="L758" i="23"/>
  <c r="K758" i="23"/>
  <c r="J758" i="23"/>
  <c r="I758" i="23"/>
  <c r="H758" i="23"/>
  <c r="G758" i="23"/>
  <c r="F758" i="23"/>
  <c r="E758" i="23"/>
  <c r="R757" i="23"/>
  <c r="P757" i="23"/>
  <c r="O757" i="23"/>
  <c r="N757" i="23"/>
  <c r="M757" i="23"/>
  <c r="L757" i="23"/>
  <c r="K757" i="23"/>
  <c r="J757" i="23"/>
  <c r="I757" i="23"/>
  <c r="H757" i="23"/>
  <c r="G757" i="23"/>
  <c r="F757" i="23"/>
  <c r="E757" i="23"/>
  <c r="R756" i="23"/>
  <c r="P756" i="23"/>
  <c r="O756" i="23"/>
  <c r="N756" i="23"/>
  <c r="M756" i="23"/>
  <c r="L756" i="23"/>
  <c r="K756" i="23"/>
  <c r="J756" i="23"/>
  <c r="I756" i="23"/>
  <c r="H756" i="23"/>
  <c r="G756" i="23"/>
  <c r="F756" i="23"/>
  <c r="E756" i="23"/>
  <c r="R755" i="23"/>
  <c r="P755" i="23"/>
  <c r="O755" i="23"/>
  <c r="N755" i="23"/>
  <c r="M755" i="23"/>
  <c r="L755" i="23"/>
  <c r="K755" i="23"/>
  <c r="J755" i="23"/>
  <c r="I755" i="23"/>
  <c r="H755" i="23"/>
  <c r="G755" i="23"/>
  <c r="F755" i="23"/>
  <c r="E755" i="23"/>
  <c r="R754" i="23"/>
  <c r="P754" i="23"/>
  <c r="O754" i="23"/>
  <c r="N754" i="23"/>
  <c r="M754" i="23"/>
  <c r="L754" i="23"/>
  <c r="K754" i="23"/>
  <c r="J754" i="23"/>
  <c r="I754" i="23"/>
  <c r="H754" i="23"/>
  <c r="G754" i="23"/>
  <c r="F754" i="23"/>
  <c r="E754" i="23"/>
  <c r="R753" i="23"/>
  <c r="P753" i="23"/>
  <c r="O753" i="23"/>
  <c r="N753" i="23"/>
  <c r="M753" i="23"/>
  <c r="L753" i="23"/>
  <c r="K753" i="23"/>
  <c r="J753" i="23"/>
  <c r="I753" i="23"/>
  <c r="H753" i="23"/>
  <c r="G753" i="23"/>
  <c r="F753" i="23"/>
  <c r="E753" i="23"/>
  <c r="R752" i="23"/>
  <c r="P752" i="23"/>
  <c r="O752" i="23"/>
  <c r="N752" i="23"/>
  <c r="M752" i="23"/>
  <c r="L752" i="23"/>
  <c r="K752" i="23"/>
  <c r="J752" i="23"/>
  <c r="I752" i="23"/>
  <c r="H752" i="23"/>
  <c r="G752" i="23"/>
  <c r="F752" i="23"/>
  <c r="E752" i="23"/>
  <c r="R751" i="23"/>
  <c r="P751" i="23"/>
  <c r="O751" i="23"/>
  <c r="N751" i="23"/>
  <c r="M751" i="23"/>
  <c r="L751" i="23"/>
  <c r="K751" i="23"/>
  <c r="J751" i="23"/>
  <c r="I751" i="23"/>
  <c r="H751" i="23"/>
  <c r="G751" i="23"/>
  <c r="F751" i="23"/>
  <c r="E751" i="23"/>
  <c r="R750" i="23"/>
  <c r="P750" i="23"/>
  <c r="O750" i="23"/>
  <c r="N750" i="23"/>
  <c r="M750" i="23"/>
  <c r="L750" i="23"/>
  <c r="K750" i="23"/>
  <c r="J750" i="23"/>
  <c r="I750" i="23"/>
  <c r="H750" i="23"/>
  <c r="G750" i="23"/>
  <c r="F750" i="23"/>
  <c r="E750" i="23"/>
  <c r="R749" i="23"/>
  <c r="P749" i="23"/>
  <c r="O749" i="23"/>
  <c r="N749" i="23"/>
  <c r="M749" i="23"/>
  <c r="L749" i="23"/>
  <c r="K749" i="23"/>
  <c r="J749" i="23"/>
  <c r="I749" i="23"/>
  <c r="H749" i="23"/>
  <c r="G749" i="23"/>
  <c r="F749" i="23"/>
  <c r="E749" i="23"/>
  <c r="R748" i="23"/>
  <c r="P748" i="23"/>
  <c r="O748" i="23"/>
  <c r="N748" i="23"/>
  <c r="M748" i="23"/>
  <c r="L748" i="23"/>
  <c r="K748" i="23"/>
  <c r="J748" i="23"/>
  <c r="I748" i="23"/>
  <c r="H748" i="23"/>
  <c r="G748" i="23"/>
  <c r="F748" i="23"/>
  <c r="E748" i="23"/>
  <c r="R747" i="23"/>
  <c r="P747" i="23"/>
  <c r="O747" i="23"/>
  <c r="N747" i="23"/>
  <c r="M747" i="23"/>
  <c r="L747" i="23"/>
  <c r="K747" i="23"/>
  <c r="J747" i="23"/>
  <c r="I747" i="23"/>
  <c r="H747" i="23"/>
  <c r="G747" i="23"/>
  <c r="F747" i="23"/>
  <c r="E747" i="23"/>
  <c r="R746" i="23"/>
  <c r="P746" i="23"/>
  <c r="O746" i="23"/>
  <c r="N746" i="23"/>
  <c r="M746" i="23"/>
  <c r="L746" i="23"/>
  <c r="K746" i="23"/>
  <c r="J746" i="23"/>
  <c r="I746" i="23"/>
  <c r="H746" i="23"/>
  <c r="G746" i="23"/>
  <c r="F746" i="23"/>
  <c r="E746" i="23"/>
  <c r="R745" i="23"/>
  <c r="P745" i="23"/>
  <c r="O745" i="23"/>
  <c r="N745" i="23"/>
  <c r="M745" i="23"/>
  <c r="L745" i="23"/>
  <c r="K745" i="23"/>
  <c r="J745" i="23"/>
  <c r="I745" i="23"/>
  <c r="H745" i="23"/>
  <c r="G745" i="23"/>
  <c r="F745" i="23"/>
  <c r="E745" i="23"/>
  <c r="R744" i="23"/>
  <c r="P744" i="23"/>
  <c r="O744" i="23"/>
  <c r="N744" i="23"/>
  <c r="M744" i="23"/>
  <c r="L744" i="23"/>
  <c r="K744" i="23"/>
  <c r="J744" i="23"/>
  <c r="I744" i="23"/>
  <c r="H744" i="23"/>
  <c r="G744" i="23"/>
  <c r="F744" i="23"/>
  <c r="E744" i="23"/>
  <c r="R743" i="23"/>
  <c r="P743" i="23"/>
  <c r="O743" i="23"/>
  <c r="N743" i="23"/>
  <c r="M743" i="23"/>
  <c r="L743" i="23"/>
  <c r="K743" i="23"/>
  <c r="J743" i="23"/>
  <c r="I743" i="23"/>
  <c r="H743" i="23"/>
  <c r="G743" i="23"/>
  <c r="F743" i="23"/>
  <c r="E743" i="23"/>
  <c r="R742" i="23"/>
  <c r="P742" i="23"/>
  <c r="O742" i="23"/>
  <c r="N742" i="23"/>
  <c r="M742" i="23"/>
  <c r="L742" i="23"/>
  <c r="K742" i="23"/>
  <c r="J742" i="23"/>
  <c r="I742" i="23"/>
  <c r="H742" i="23"/>
  <c r="G742" i="23"/>
  <c r="F742" i="23"/>
  <c r="E742" i="23"/>
  <c r="R741" i="23"/>
  <c r="P741" i="23"/>
  <c r="O741" i="23"/>
  <c r="N741" i="23"/>
  <c r="M741" i="23"/>
  <c r="L741" i="23"/>
  <c r="K741" i="23"/>
  <c r="J741" i="23"/>
  <c r="I741" i="23"/>
  <c r="H741" i="23"/>
  <c r="G741" i="23"/>
  <c r="F741" i="23"/>
  <c r="E741" i="23"/>
  <c r="R740" i="23"/>
  <c r="P740" i="23"/>
  <c r="O740" i="23"/>
  <c r="N740" i="23"/>
  <c r="M740" i="23"/>
  <c r="L740" i="23"/>
  <c r="K740" i="23"/>
  <c r="J740" i="23"/>
  <c r="I740" i="23"/>
  <c r="H740" i="23"/>
  <c r="G740" i="23"/>
  <c r="F740" i="23"/>
  <c r="E740" i="23"/>
  <c r="R739" i="23"/>
  <c r="P739" i="23"/>
  <c r="O739" i="23"/>
  <c r="N739" i="23"/>
  <c r="M739" i="23"/>
  <c r="L739" i="23"/>
  <c r="K739" i="23"/>
  <c r="J739" i="23"/>
  <c r="I739" i="23"/>
  <c r="H739" i="23"/>
  <c r="G739" i="23"/>
  <c r="F739" i="23"/>
  <c r="E739" i="23"/>
  <c r="R738" i="23"/>
  <c r="P738" i="23"/>
  <c r="O738" i="23"/>
  <c r="N738" i="23"/>
  <c r="M738" i="23"/>
  <c r="L738" i="23"/>
  <c r="K738" i="23"/>
  <c r="J738" i="23"/>
  <c r="I738" i="23"/>
  <c r="H738" i="23"/>
  <c r="G738" i="23"/>
  <c r="F738" i="23"/>
  <c r="E738" i="23"/>
  <c r="R737" i="23"/>
  <c r="P737" i="23"/>
  <c r="O737" i="23"/>
  <c r="N737" i="23"/>
  <c r="M737" i="23"/>
  <c r="L737" i="23"/>
  <c r="K737" i="23"/>
  <c r="J737" i="23"/>
  <c r="I737" i="23"/>
  <c r="H737" i="23"/>
  <c r="G737" i="23"/>
  <c r="F737" i="23"/>
  <c r="E737" i="23"/>
  <c r="R736" i="23"/>
  <c r="P736" i="23"/>
  <c r="O736" i="23"/>
  <c r="N736" i="23"/>
  <c r="M736" i="23"/>
  <c r="L736" i="23"/>
  <c r="K736" i="23"/>
  <c r="J736" i="23"/>
  <c r="I736" i="23"/>
  <c r="H736" i="23"/>
  <c r="G736" i="23"/>
  <c r="F736" i="23"/>
  <c r="E736" i="23"/>
  <c r="R735" i="23"/>
  <c r="P735" i="23"/>
  <c r="O735" i="23"/>
  <c r="N735" i="23"/>
  <c r="M735" i="23"/>
  <c r="L735" i="23"/>
  <c r="K735" i="23"/>
  <c r="J735" i="23"/>
  <c r="I735" i="23"/>
  <c r="H735" i="23"/>
  <c r="G735" i="23"/>
  <c r="F735" i="23"/>
  <c r="E735" i="23"/>
  <c r="R734" i="23"/>
  <c r="P734" i="23"/>
  <c r="O734" i="23"/>
  <c r="N734" i="23"/>
  <c r="M734" i="23"/>
  <c r="L734" i="23"/>
  <c r="K734" i="23"/>
  <c r="J734" i="23"/>
  <c r="I734" i="23"/>
  <c r="H734" i="23"/>
  <c r="G734" i="23"/>
  <c r="F734" i="23"/>
  <c r="E734" i="23"/>
  <c r="R733" i="23"/>
  <c r="P733" i="23"/>
  <c r="O733" i="23"/>
  <c r="N733" i="23"/>
  <c r="M733" i="23"/>
  <c r="L733" i="23"/>
  <c r="K733" i="23"/>
  <c r="J733" i="23"/>
  <c r="I733" i="23"/>
  <c r="H733" i="23"/>
  <c r="G733" i="23"/>
  <c r="F733" i="23"/>
  <c r="E733" i="23"/>
  <c r="R732" i="23"/>
  <c r="P732" i="23"/>
  <c r="O732" i="23"/>
  <c r="N732" i="23"/>
  <c r="M732" i="23"/>
  <c r="L732" i="23"/>
  <c r="K732" i="23"/>
  <c r="J732" i="23"/>
  <c r="I732" i="23"/>
  <c r="H732" i="23"/>
  <c r="G732" i="23"/>
  <c r="F732" i="23"/>
  <c r="E732" i="23"/>
  <c r="R731" i="23"/>
  <c r="P731" i="23"/>
  <c r="O731" i="23"/>
  <c r="N731" i="23"/>
  <c r="M731" i="23"/>
  <c r="L731" i="23"/>
  <c r="K731" i="23"/>
  <c r="J731" i="23"/>
  <c r="I731" i="23"/>
  <c r="H731" i="23"/>
  <c r="G731" i="23"/>
  <c r="F731" i="23"/>
  <c r="E731" i="23"/>
  <c r="R730" i="23"/>
  <c r="P730" i="23"/>
  <c r="O730" i="23"/>
  <c r="N730" i="23"/>
  <c r="M730" i="23"/>
  <c r="L730" i="23"/>
  <c r="K730" i="23"/>
  <c r="J730" i="23"/>
  <c r="I730" i="23"/>
  <c r="H730" i="23"/>
  <c r="G730" i="23"/>
  <c r="F730" i="23"/>
  <c r="E730" i="23"/>
  <c r="R729" i="23"/>
  <c r="P729" i="23"/>
  <c r="O729" i="23"/>
  <c r="N729" i="23"/>
  <c r="M729" i="23"/>
  <c r="L729" i="23"/>
  <c r="K729" i="23"/>
  <c r="J729" i="23"/>
  <c r="I729" i="23"/>
  <c r="H729" i="23"/>
  <c r="G729" i="23"/>
  <c r="F729" i="23"/>
  <c r="E729" i="23"/>
  <c r="R728" i="23"/>
  <c r="P728" i="23"/>
  <c r="O728" i="23"/>
  <c r="N728" i="23"/>
  <c r="M728" i="23"/>
  <c r="L728" i="23"/>
  <c r="K728" i="23"/>
  <c r="J728" i="23"/>
  <c r="I728" i="23"/>
  <c r="H728" i="23"/>
  <c r="G728" i="23"/>
  <c r="F728" i="23"/>
  <c r="E728" i="23"/>
  <c r="R727" i="23"/>
  <c r="P727" i="23"/>
  <c r="O727" i="23"/>
  <c r="N727" i="23"/>
  <c r="M727" i="23"/>
  <c r="L727" i="23"/>
  <c r="K727" i="23"/>
  <c r="J727" i="23"/>
  <c r="I727" i="23"/>
  <c r="H727" i="23"/>
  <c r="G727" i="23"/>
  <c r="F727" i="23"/>
  <c r="E727" i="23"/>
  <c r="R726" i="23"/>
  <c r="P726" i="23"/>
  <c r="O726" i="23"/>
  <c r="N726" i="23"/>
  <c r="M726" i="23"/>
  <c r="L726" i="23"/>
  <c r="K726" i="23"/>
  <c r="J726" i="23"/>
  <c r="I726" i="23"/>
  <c r="H726" i="23"/>
  <c r="G726" i="23"/>
  <c r="F726" i="23"/>
  <c r="E726" i="23"/>
  <c r="R725" i="23"/>
  <c r="P725" i="23"/>
  <c r="O725" i="23"/>
  <c r="N725" i="23"/>
  <c r="M725" i="23"/>
  <c r="L725" i="23"/>
  <c r="K725" i="23"/>
  <c r="J725" i="23"/>
  <c r="I725" i="23"/>
  <c r="H725" i="23"/>
  <c r="G725" i="23"/>
  <c r="F725" i="23"/>
  <c r="E725" i="23"/>
  <c r="R724" i="23"/>
  <c r="P724" i="23"/>
  <c r="O724" i="23"/>
  <c r="N724" i="23"/>
  <c r="M724" i="23"/>
  <c r="L724" i="23"/>
  <c r="K724" i="23"/>
  <c r="J724" i="23"/>
  <c r="I724" i="23"/>
  <c r="H724" i="23"/>
  <c r="G724" i="23"/>
  <c r="F724" i="23"/>
  <c r="E724" i="23"/>
  <c r="R913" i="23"/>
  <c r="B4" i="77" s="1"/>
  <c r="P913" i="23"/>
  <c r="O913" i="23"/>
  <c r="N913" i="23"/>
  <c r="M913" i="23"/>
  <c r="C4" i="77" s="1"/>
  <c r="L913" i="23"/>
  <c r="K913" i="23"/>
  <c r="J913" i="23"/>
  <c r="I913" i="23"/>
  <c r="H913" i="23"/>
  <c r="G913" i="23"/>
  <c r="F913" i="23"/>
  <c r="E913" i="23"/>
  <c r="L4" i="77" s="1"/>
  <c r="R912" i="23"/>
  <c r="P912" i="23"/>
  <c r="O912" i="23"/>
  <c r="N912" i="23"/>
  <c r="M912" i="23"/>
  <c r="L912" i="23"/>
  <c r="K912" i="23"/>
  <c r="J912" i="23"/>
  <c r="I912" i="23"/>
  <c r="H912" i="23"/>
  <c r="G912" i="23"/>
  <c r="F912" i="23"/>
  <c r="E912" i="23"/>
  <c r="R911" i="23"/>
  <c r="P911" i="23"/>
  <c r="O911" i="23"/>
  <c r="N911" i="23"/>
  <c r="M911" i="23"/>
  <c r="L911" i="23"/>
  <c r="K911" i="23"/>
  <c r="J911" i="23"/>
  <c r="I911" i="23"/>
  <c r="H911" i="23"/>
  <c r="G911" i="23"/>
  <c r="F911" i="23"/>
  <c r="E911" i="23"/>
  <c r="R910" i="23"/>
  <c r="P910" i="23"/>
  <c r="O910" i="23"/>
  <c r="N910" i="23"/>
  <c r="M910" i="23"/>
  <c r="L910" i="23"/>
  <c r="K910" i="23"/>
  <c r="J910" i="23"/>
  <c r="I910" i="23"/>
  <c r="H910" i="23"/>
  <c r="G910" i="23"/>
  <c r="F910" i="23"/>
  <c r="E910" i="23"/>
  <c r="R909" i="23"/>
  <c r="P909" i="23"/>
  <c r="O909" i="23"/>
  <c r="N909" i="23"/>
  <c r="M909" i="23"/>
  <c r="L909" i="23"/>
  <c r="K909" i="23"/>
  <c r="J909" i="23"/>
  <c r="I909" i="23"/>
  <c r="H909" i="23"/>
  <c r="G909" i="23"/>
  <c r="F909" i="23"/>
  <c r="E909" i="23"/>
  <c r="R908" i="23"/>
  <c r="P908" i="23"/>
  <c r="O908" i="23"/>
  <c r="N908" i="23"/>
  <c r="M908" i="23"/>
  <c r="L908" i="23"/>
  <c r="K908" i="23"/>
  <c r="J908" i="23"/>
  <c r="I908" i="23"/>
  <c r="H908" i="23"/>
  <c r="G908" i="23"/>
  <c r="F908" i="23"/>
  <c r="E908" i="23"/>
  <c r="R907" i="23"/>
  <c r="P907" i="23"/>
  <c r="O907" i="23"/>
  <c r="N907" i="23"/>
  <c r="M907" i="23"/>
  <c r="L907" i="23"/>
  <c r="K907" i="23"/>
  <c r="J907" i="23"/>
  <c r="I907" i="23"/>
  <c r="H907" i="23"/>
  <c r="G907" i="23"/>
  <c r="F907" i="23"/>
  <c r="E907" i="23"/>
  <c r="R906" i="23"/>
  <c r="P906" i="23"/>
  <c r="O906" i="23"/>
  <c r="N906" i="23"/>
  <c r="M906" i="23"/>
  <c r="L906" i="23"/>
  <c r="K906" i="23"/>
  <c r="J906" i="23"/>
  <c r="I906" i="23"/>
  <c r="H906" i="23"/>
  <c r="G906" i="23"/>
  <c r="F906" i="23"/>
  <c r="E906" i="23"/>
  <c r="R905" i="23"/>
  <c r="P905" i="23"/>
  <c r="O905" i="23"/>
  <c r="N905" i="23"/>
  <c r="M905" i="23"/>
  <c r="L905" i="23"/>
  <c r="K905" i="23"/>
  <c r="J905" i="23"/>
  <c r="I905" i="23"/>
  <c r="H905" i="23"/>
  <c r="G905" i="23"/>
  <c r="F905" i="23"/>
  <c r="E905" i="23"/>
  <c r="R904" i="23"/>
  <c r="P904" i="23"/>
  <c r="O904" i="23"/>
  <c r="N904" i="23"/>
  <c r="M904" i="23"/>
  <c r="L904" i="23"/>
  <c r="K904" i="23"/>
  <c r="J904" i="23"/>
  <c r="I904" i="23"/>
  <c r="H904" i="23"/>
  <c r="G904" i="23"/>
  <c r="F904" i="23"/>
  <c r="E904" i="23"/>
  <c r="R903" i="23"/>
  <c r="P903" i="23"/>
  <c r="O903" i="23"/>
  <c r="N903" i="23"/>
  <c r="M903" i="23"/>
  <c r="L903" i="23"/>
  <c r="K903" i="23"/>
  <c r="J903" i="23"/>
  <c r="I903" i="23"/>
  <c r="H903" i="23"/>
  <c r="G903" i="23"/>
  <c r="F903" i="23"/>
  <c r="E903" i="23"/>
  <c r="R902" i="23"/>
  <c r="P902" i="23"/>
  <c r="O902" i="23"/>
  <c r="N902" i="23"/>
  <c r="M902" i="23"/>
  <c r="L902" i="23"/>
  <c r="K902" i="23"/>
  <c r="J902" i="23"/>
  <c r="I902" i="23"/>
  <c r="H902" i="23"/>
  <c r="G902" i="23"/>
  <c r="F902" i="23"/>
  <c r="E902" i="23"/>
  <c r="R901" i="23"/>
  <c r="P901" i="23"/>
  <c r="O901" i="23"/>
  <c r="N901" i="23"/>
  <c r="M901" i="23"/>
  <c r="L901" i="23"/>
  <c r="K901" i="23"/>
  <c r="J901" i="23"/>
  <c r="I901" i="23"/>
  <c r="H901" i="23"/>
  <c r="G901" i="23"/>
  <c r="F901" i="23"/>
  <c r="E901" i="23"/>
  <c r="R900" i="23"/>
  <c r="P900" i="23"/>
  <c r="O900" i="23"/>
  <c r="N900" i="23"/>
  <c r="M900" i="23"/>
  <c r="L900" i="23"/>
  <c r="K900" i="23"/>
  <c r="J900" i="23"/>
  <c r="I900" i="23"/>
  <c r="H900" i="23"/>
  <c r="G900" i="23"/>
  <c r="F900" i="23"/>
  <c r="E900" i="23"/>
  <c r="R899" i="23"/>
  <c r="P899" i="23"/>
  <c r="O899" i="23"/>
  <c r="N899" i="23"/>
  <c r="M899" i="23"/>
  <c r="L899" i="23"/>
  <c r="K899" i="23"/>
  <c r="J899" i="23"/>
  <c r="I899" i="23"/>
  <c r="H899" i="23"/>
  <c r="G899" i="23"/>
  <c r="F899" i="23"/>
  <c r="E899" i="23"/>
  <c r="R898" i="23"/>
  <c r="P898" i="23"/>
  <c r="O898" i="23"/>
  <c r="N898" i="23"/>
  <c r="M898" i="23"/>
  <c r="L898" i="23"/>
  <c r="K898" i="23"/>
  <c r="J898" i="23"/>
  <c r="I898" i="23"/>
  <c r="H898" i="23"/>
  <c r="G898" i="23"/>
  <c r="F898" i="23"/>
  <c r="E898" i="23"/>
  <c r="R897" i="23"/>
  <c r="P897" i="23"/>
  <c r="O897" i="23"/>
  <c r="N897" i="23"/>
  <c r="M897" i="23"/>
  <c r="L897" i="23"/>
  <c r="K897" i="23"/>
  <c r="J897" i="23"/>
  <c r="I897" i="23"/>
  <c r="H897" i="23"/>
  <c r="G897" i="23"/>
  <c r="F897" i="23"/>
  <c r="E897" i="23"/>
  <c r="R896" i="23"/>
  <c r="P896" i="23"/>
  <c r="O896" i="23"/>
  <c r="N896" i="23"/>
  <c r="M896" i="23"/>
  <c r="L896" i="23"/>
  <c r="K896" i="23"/>
  <c r="J896" i="23"/>
  <c r="I896" i="23"/>
  <c r="H896" i="23"/>
  <c r="G896" i="23"/>
  <c r="F896" i="23"/>
  <c r="E896" i="23"/>
  <c r="R895" i="23"/>
  <c r="P895" i="23"/>
  <c r="O895" i="23"/>
  <c r="N895" i="23"/>
  <c r="M895" i="23"/>
  <c r="L895" i="23"/>
  <c r="K895" i="23"/>
  <c r="J895" i="23"/>
  <c r="I895" i="23"/>
  <c r="H895" i="23"/>
  <c r="G895" i="23"/>
  <c r="F895" i="23"/>
  <c r="E895" i="23"/>
  <c r="R894" i="23"/>
  <c r="P894" i="23"/>
  <c r="O894" i="23"/>
  <c r="N894" i="23"/>
  <c r="M894" i="23"/>
  <c r="L894" i="23"/>
  <c r="K894" i="23"/>
  <c r="J894" i="23"/>
  <c r="I894" i="23"/>
  <c r="H894" i="23"/>
  <c r="G894" i="23"/>
  <c r="F894" i="23"/>
  <c r="E894" i="23"/>
  <c r="R893" i="23"/>
  <c r="P893" i="23"/>
  <c r="O893" i="23"/>
  <c r="N893" i="23"/>
  <c r="M893" i="23"/>
  <c r="L893" i="23"/>
  <c r="K893" i="23"/>
  <c r="J893" i="23"/>
  <c r="I893" i="23"/>
  <c r="H893" i="23"/>
  <c r="G893" i="23"/>
  <c r="F893" i="23"/>
  <c r="E893" i="23"/>
  <c r="R892" i="23"/>
  <c r="P892" i="23"/>
  <c r="O892" i="23"/>
  <c r="N892" i="23"/>
  <c r="M892" i="23"/>
  <c r="L892" i="23"/>
  <c r="K892" i="23"/>
  <c r="J892" i="23"/>
  <c r="I892" i="23"/>
  <c r="H892" i="23"/>
  <c r="G892" i="23"/>
  <c r="F892" i="23"/>
  <c r="E892" i="23"/>
  <c r="R891" i="23"/>
  <c r="P891" i="23"/>
  <c r="O891" i="23"/>
  <c r="N891" i="23"/>
  <c r="M891" i="23"/>
  <c r="L891" i="23"/>
  <c r="K891" i="23"/>
  <c r="J891" i="23"/>
  <c r="I891" i="23"/>
  <c r="H891" i="23"/>
  <c r="G891" i="23"/>
  <c r="F891" i="23"/>
  <c r="E891" i="23"/>
  <c r="R890" i="23"/>
  <c r="P890" i="23"/>
  <c r="O890" i="23"/>
  <c r="N890" i="23"/>
  <c r="M890" i="23"/>
  <c r="L890" i="23"/>
  <c r="K890" i="23"/>
  <c r="J890" i="23"/>
  <c r="I890" i="23"/>
  <c r="H890" i="23"/>
  <c r="G890" i="23"/>
  <c r="F890" i="23"/>
  <c r="E890" i="23"/>
  <c r="R889" i="23"/>
  <c r="P889" i="23"/>
  <c r="O889" i="23"/>
  <c r="N889" i="23"/>
  <c r="M889" i="23"/>
  <c r="L889" i="23"/>
  <c r="K889" i="23"/>
  <c r="J889" i="23"/>
  <c r="I889" i="23"/>
  <c r="H889" i="23"/>
  <c r="G889" i="23"/>
  <c r="F889" i="23"/>
  <c r="E889" i="23"/>
  <c r="R888" i="23"/>
  <c r="P888" i="23"/>
  <c r="O888" i="23"/>
  <c r="N888" i="23"/>
  <c r="M888" i="23"/>
  <c r="L888" i="23"/>
  <c r="K888" i="23"/>
  <c r="J888" i="23"/>
  <c r="I888" i="23"/>
  <c r="H888" i="23"/>
  <c r="G888" i="23"/>
  <c r="F888" i="23"/>
  <c r="E888" i="23"/>
  <c r="R887" i="23"/>
  <c r="P887" i="23"/>
  <c r="O887" i="23"/>
  <c r="N887" i="23"/>
  <c r="M887" i="23"/>
  <c r="L887" i="23"/>
  <c r="K887" i="23"/>
  <c r="J887" i="23"/>
  <c r="I887" i="23"/>
  <c r="H887" i="23"/>
  <c r="G887" i="23"/>
  <c r="F887" i="23"/>
  <c r="E887" i="23"/>
  <c r="R886" i="23"/>
  <c r="P886" i="23"/>
  <c r="O886" i="23"/>
  <c r="N886" i="23"/>
  <c r="M886" i="23"/>
  <c r="L886" i="23"/>
  <c r="K886" i="23"/>
  <c r="J886" i="23"/>
  <c r="I886" i="23"/>
  <c r="H886" i="23"/>
  <c r="G886" i="23"/>
  <c r="F886" i="23"/>
  <c r="E886" i="23"/>
  <c r="R885" i="23"/>
  <c r="P885" i="23"/>
  <c r="O885" i="23"/>
  <c r="N885" i="23"/>
  <c r="M885" i="23"/>
  <c r="L885" i="23"/>
  <c r="K885" i="23"/>
  <c r="J885" i="23"/>
  <c r="I885" i="23"/>
  <c r="H885" i="23"/>
  <c r="G885" i="23"/>
  <c r="F885" i="23"/>
  <c r="E885" i="23"/>
  <c r="R884" i="23"/>
  <c r="P884" i="23"/>
  <c r="O884" i="23"/>
  <c r="N884" i="23"/>
  <c r="M884" i="23"/>
  <c r="L884" i="23"/>
  <c r="K884" i="23"/>
  <c r="J884" i="23"/>
  <c r="I884" i="23"/>
  <c r="H884" i="23"/>
  <c r="G884" i="23"/>
  <c r="F884" i="23"/>
  <c r="E884" i="23"/>
  <c r="R883" i="23"/>
  <c r="P883" i="23"/>
  <c r="O883" i="23"/>
  <c r="N883" i="23"/>
  <c r="M883" i="23"/>
  <c r="L883" i="23"/>
  <c r="K883" i="23"/>
  <c r="J883" i="23"/>
  <c r="I883" i="23"/>
  <c r="H883" i="23"/>
  <c r="G883" i="23"/>
  <c r="F883" i="23"/>
  <c r="E883" i="23"/>
  <c r="R882" i="23"/>
  <c r="P882" i="23"/>
  <c r="O882" i="23"/>
  <c r="N882" i="23"/>
  <c r="M882" i="23"/>
  <c r="L882" i="23"/>
  <c r="K882" i="23"/>
  <c r="J882" i="23"/>
  <c r="I882" i="23"/>
  <c r="H882" i="23"/>
  <c r="G882" i="23"/>
  <c r="F882" i="23"/>
  <c r="E882" i="23"/>
  <c r="R881" i="23"/>
  <c r="P881" i="23"/>
  <c r="O881" i="23"/>
  <c r="N881" i="23"/>
  <c r="M881" i="23"/>
  <c r="L881" i="23"/>
  <c r="K881" i="23"/>
  <c r="J881" i="23"/>
  <c r="I881" i="23"/>
  <c r="H881" i="23"/>
  <c r="G881" i="23"/>
  <c r="F881" i="23"/>
  <c r="E881" i="23"/>
  <c r="R880" i="23"/>
  <c r="P880" i="23"/>
  <c r="O880" i="23"/>
  <c r="N880" i="23"/>
  <c r="M880" i="23"/>
  <c r="L880" i="23"/>
  <c r="K880" i="23"/>
  <c r="J880" i="23"/>
  <c r="I880" i="23"/>
  <c r="H880" i="23"/>
  <c r="G880" i="23"/>
  <c r="F880" i="23"/>
  <c r="E880" i="23"/>
  <c r="R879" i="23"/>
  <c r="P879" i="23"/>
  <c r="O879" i="23"/>
  <c r="N879" i="23"/>
  <c r="M879" i="23"/>
  <c r="L879" i="23"/>
  <c r="K879" i="23"/>
  <c r="J879" i="23"/>
  <c r="I879" i="23"/>
  <c r="H879" i="23"/>
  <c r="G879" i="23"/>
  <c r="F879" i="23"/>
  <c r="E879" i="23"/>
  <c r="R878" i="23"/>
  <c r="P878" i="23"/>
  <c r="O878" i="23"/>
  <c r="N878" i="23"/>
  <c r="M878" i="23"/>
  <c r="L878" i="23"/>
  <c r="K878" i="23"/>
  <c r="J878" i="23"/>
  <c r="I878" i="23"/>
  <c r="H878" i="23"/>
  <c r="G878" i="23"/>
  <c r="F878" i="23"/>
  <c r="E878" i="23"/>
  <c r="R877" i="23"/>
  <c r="P877" i="23"/>
  <c r="O877" i="23"/>
  <c r="N877" i="23"/>
  <c r="M877" i="23"/>
  <c r="L877" i="23"/>
  <c r="K877" i="23"/>
  <c r="J877" i="23"/>
  <c r="I877" i="23"/>
  <c r="H877" i="23"/>
  <c r="G877" i="23"/>
  <c r="F877" i="23"/>
  <c r="E877" i="23"/>
  <c r="R876" i="23"/>
  <c r="P876" i="23"/>
  <c r="O876" i="23"/>
  <c r="N876" i="23"/>
  <c r="M876" i="23"/>
  <c r="L876" i="23"/>
  <c r="K876" i="23"/>
  <c r="J876" i="23"/>
  <c r="I876" i="23"/>
  <c r="H876" i="23"/>
  <c r="G876" i="23"/>
  <c r="F876" i="23"/>
  <c r="E876" i="23"/>
  <c r="R875" i="23"/>
  <c r="P875" i="23"/>
  <c r="O875" i="23"/>
  <c r="N875" i="23"/>
  <c r="M875" i="23"/>
  <c r="L875" i="23"/>
  <c r="K875" i="23"/>
  <c r="J875" i="23"/>
  <c r="I875" i="23"/>
  <c r="H875" i="23"/>
  <c r="G875" i="23"/>
  <c r="F875" i="23"/>
  <c r="E875" i="23"/>
  <c r="R874" i="23"/>
  <c r="P874" i="23"/>
  <c r="O874" i="23"/>
  <c r="N874" i="23"/>
  <c r="M874" i="23"/>
  <c r="L874" i="23"/>
  <c r="K874" i="23"/>
  <c r="J874" i="23"/>
  <c r="I874" i="23"/>
  <c r="H874" i="23"/>
  <c r="G874" i="23"/>
  <c r="F874" i="23"/>
  <c r="E874" i="23"/>
  <c r="R873" i="23"/>
  <c r="P873" i="23"/>
  <c r="O873" i="23"/>
  <c r="N873" i="23"/>
  <c r="M873" i="23"/>
  <c r="L873" i="23"/>
  <c r="K873" i="23"/>
  <c r="J873" i="23"/>
  <c r="I873" i="23"/>
  <c r="H873" i="23"/>
  <c r="G873" i="23"/>
  <c r="F873" i="23"/>
  <c r="E873" i="23"/>
  <c r="R872" i="23"/>
  <c r="P872" i="23"/>
  <c r="O872" i="23"/>
  <c r="N872" i="23"/>
  <c r="M872" i="23"/>
  <c r="L872" i="23"/>
  <c r="K872" i="23"/>
  <c r="J872" i="23"/>
  <c r="I872" i="23"/>
  <c r="H872" i="23"/>
  <c r="G872" i="23"/>
  <c r="F872" i="23"/>
  <c r="E872" i="23"/>
  <c r="R871" i="23"/>
  <c r="P871" i="23"/>
  <c r="O871" i="23"/>
  <c r="N871" i="23"/>
  <c r="M871" i="23"/>
  <c r="L871" i="23"/>
  <c r="K871" i="23"/>
  <c r="J871" i="23"/>
  <c r="I871" i="23"/>
  <c r="H871" i="23"/>
  <c r="G871" i="23"/>
  <c r="F871" i="23"/>
  <c r="E871" i="23"/>
  <c r="R870" i="23"/>
  <c r="P870" i="23"/>
  <c r="O870" i="23"/>
  <c r="N870" i="23"/>
  <c r="M870" i="23"/>
  <c r="L870" i="23"/>
  <c r="K870" i="23"/>
  <c r="J870" i="23"/>
  <c r="I870" i="23"/>
  <c r="H870" i="23"/>
  <c r="G870" i="23"/>
  <c r="F870" i="23"/>
  <c r="E870" i="23"/>
  <c r="R869" i="23"/>
  <c r="P869" i="23"/>
  <c r="O869" i="23"/>
  <c r="N869" i="23"/>
  <c r="M869" i="23"/>
  <c r="L869" i="23"/>
  <c r="K869" i="23"/>
  <c r="J869" i="23"/>
  <c r="I869" i="23"/>
  <c r="H869" i="23"/>
  <c r="G869" i="23"/>
  <c r="F869" i="23"/>
  <c r="E869" i="23"/>
  <c r="R868" i="23"/>
  <c r="P868" i="23"/>
  <c r="O868" i="23"/>
  <c r="N868" i="23"/>
  <c r="M868" i="23"/>
  <c r="L868" i="23"/>
  <c r="K868" i="23"/>
  <c r="J868" i="23"/>
  <c r="I868" i="23"/>
  <c r="H868" i="23"/>
  <c r="G868" i="23"/>
  <c r="F868" i="23"/>
  <c r="E868" i="23"/>
  <c r="R867" i="23"/>
  <c r="P867" i="23"/>
  <c r="O867" i="23"/>
  <c r="N867" i="23"/>
  <c r="M867" i="23"/>
  <c r="L867" i="23"/>
  <c r="K867" i="23"/>
  <c r="J867" i="23"/>
  <c r="I867" i="23"/>
  <c r="H867" i="23"/>
  <c r="G867" i="23"/>
  <c r="F867" i="23"/>
  <c r="E867" i="23"/>
  <c r="R1056" i="23"/>
  <c r="B5" i="77" s="1"/>
  <c r="P1056" i="23"/>
  <c r="O1056" i="23"/>
  <c r="N1056" i="23"/>
  <c r="M1056" i="23"/>
  <c r="C5" i="77" s="1"/>
  <c r="L1056" i="23"/>
  <c r="K1056" i="23"/>
  <c r="J1056" i="23"/>
  <c r="I1056" i="23"/>
  <c r="H1056" i="23"/>
  <c r="G1056" i="23"/>
  <c r="F1056" i="23"/>
  <c r="E1056" i="23"/>
  <c r="L5" i="77" s="1"/>
  <c r="R1055" i="23"/>
  <c r="P1055" i="23"/>
  <c r="O1055" i="23"/>
  <c r="N1055" i="23"/>
  <c r="M1055" i="23"/>
  <c r="L1055" i="23"/>
  <c r="K1055" i="23"/>
  <c r="J1055" i="23"/>
  <c r="I1055" i="23"/>
  <c r="H1055" i="23"/>
  <c r="G1055" i="23"/>
  <c r="F1055" i="23"/>
  <c r="E1055" i="23"/>
  <c r="R1054" i="23"/>
  <c r="P1054" i="23"/>
  <c r="O1054" i="23"/>
  <c r="N1054" i="23"/>
  <c r="M1054" i="23"/>
  <c r="L1054" i="23"/>
  <c r="K1054" i="23"/>
  <c r="J1054" i="23"/>
  <c r="I1054" i="23"/>
  <c r="H1054" i="23"/>
  <c r="G1054" i="23"/>
  <c r="F1054" i="23"/>
  <c r="E1054" i="23"/>
  <c r="R1053" i="23"/>
  <c r="P1053" i="23"/>
  <c r="O1053" i="23"/>
  <c r="N1053" i="23"/>
  <c r="M1053" i="23"/>
  <c r="L1053" i="23"/>
  <c r="K1053" i="23"/>
  <c r="J1053" i="23"/>
  <c r="I1053" i="23"/>
  <c r="H1053" i="23"/>
  <c r="G1053" i="23"/>
  <c r="F1053" i="23"/>
  <c r="E1053" i="23"/>
  <c r="R1052" i="23"/>
  <c r="P1052" i="23"/>
  <c r="O1052" i="23"/>
  <c r="N1052" i="23"/>
  <c r="M1052" i="23"/>
  <c r="L1052" i="23"/>
  <c r="K1052" i="23"/>
  <c r="J1052" i="23"/>
  <c r="I1052" i="23"/>
  <c r="H1052" i="23"/>
  <c r="G1052" i="23"/>
  <c r="F1052" i="23"/>
  <c r="E1052" i="23"/>
  <c r="R1051" i="23"/>
  <c r="P1051" i="23"/>
  <c r="O1051" i="23"/>
  <c r="N1051" i="23"/>
  <c r="M1051" i="23"/>
  <c r="L1051" i="23"/>
  <c r="K1051" i="23"/>
  <c r="J1051" i="23"/>
  <c r="I1051" i="23"/>
  <c r="H1051" i="23"/>
  <c r="G1051" i="23"/>
  <c r="F1051" i="23"/>
  <c r="E1051" i="23"/>
  <c r="R1050" i="23"/>
  <c r="P1050" i="23"/>
  <c r="O1050" i="23"/>
  <c r="N1050" i="23"/>
  <c r="M1050" i="23"/>
  <c r="L1050" i="23"/>
  <c r="K1050" i="23"/>
  <c r="J1050" i="23"/>
  <c r="I1050" i="23"/>
  <c r="H1050" i="23"/>
  <c r="G1050" i="23"/>
  <c r="F1050" i="23"/>
  <c r="E1050" i="23"/>
  <c r="R1049" i="23"/>
  <c r="P1049" i="23"/>
  <c r="O1049" i="23"/>
  <c r="N1049" i="23"/>
  <c r="M1049" i="23"/>
  <c r="L1049" i="23"/>
  <c r="K1049" i="23"/>
  <c r="J1049" i="23"/>
  <c r="I1049" i="23"/>
  <c r="H1049" i="23"/>
  <c r="G1049" i="23"/>
  <c r="F1049" i="23"/>
  <c r="E1049" i="23"/>
  <c r="R1048" i="23"/>
  <c r="P1048" i="23"/>
  <c r="O1048" i="23"/>
  <c r="N1048" i="23"/>
  <c r="M1048" i="23"/>
  <c r="L1048" i="23"/>
  <c r="K1048" i="23"/>
  <c r="J1048" i="23"/>
  <c r="I1048" i="23"/>
  <c r="H1048" i="23"/>
  <c r="G1048" i="23"/>
  <c r="F1048" i="23"/>
  <c r="E1048" i="23"/>
  <c r="R1047" i="23"/>
  <c r="P1047" i="23"/>
  <c r="O1047" i="23"/>
  <c r="N1047" i="23"/>
  <c r="M1047" i="23"/>
  <c r="L1047" i="23"/>
  <c r="K1047" i="23"/>
  <c r="J1047" i="23"/>
  <c r="I1047" i="23"/>
  <c r="H1047" i="23"/>
  <c r="G1047" i="23"/>
  <c r="F1047" i="23"/>
  <c r="E1047" i="23"/>
  <c r="R1046" i="23"/>
  <c r="P1046" i="23"/>
  <c r="O1046" i="23"/>
  <c r="N1046" i="23"/>
  <c r="M1046" i="23"/>
  <c r="L1046" i="23"/>
  <c r="K1046" i="23"/>
  <c r="J1046" i="23"/>
  <c r="I1046" i="23"/>
  <c r="H1046" i="23"/>
  <c r="G1046" i="23"/>
  <c r="F1046" i="23"/>
  <c r="E1046" i="23"/>
  <c r="R1045" i="23"/>
  <c r="P1045" i="23"/>
  <c r="O1045" i="23"/>
  <c r="N1045" i="23"/>
  <c r="M1045" i="23"/>
  <c r="L1045" i="23"/>
  <c r="K1045" i="23"/>
  <c r="J1045" i="23"/>
  <c r="I1045" i="23"/>
  <c r="H1045" i="23"/>
  <c r="G1045" i="23"/>
  <c r="F1045" i="23"/>
  <c r="E1045" i="23"/>
  <c r="R1044" i="23"/>
  <c r="P1044" i="23"/>
  <c r="O1044" i="23"/>
  <c r="N1044" i="23"/>
  <c r="M1044" i="23"/>
  <c r="L1044" i="23"/>
  <c r="K1044" i="23"/>
  <c r="J1044" i="23"/>
  <c r="I1044" i="23"/>
  <c r="H1044" i="23"/>
  <c r="G1044" i="23"/>
  <c r="F1044" i="23"/>
  <c r="E1044" i="23"/>
  <c r="R1043" i="23"/>
  <c r="P1043" i="23"/>
  <c r="O1043" i="23"/>
  <c r="N1043" i="23"/>
  <c r="M1043" i="23"/>
  <c r="L1043" i="23"/>
  <c r="K1043" i="23"/>
  <c r="J1043" i="23"/>
  <c r="I1043" i="23"/>
  <c r="H1043" i="23"/>
  <c r="G1043" i="23"/>
  <c r="F1043" i="23"/>
  <c r="E1043" i="23"/>
  <c r="R1042" i="23"/>
  <c r="P1042" i="23"/>
  <c r="O1042" i="23"/>
  <c r="N1042" i="23"/>
  <c r="M1042" i="23"/>
  <c r="L1042" i="23"/>
  <c r="K1042" i="23"/>
  <c r="J1042" i="23"/>
  <c r="I1042" i="23"/>
  <c r="H1042" i="23"/>
  <c r="G1042" i="23"/>
  <c r="F1042" i="23"/>
  <c r="E1042" i="23"/>
  <c r="R1041" i="23"/>
  <c r="P1041" i="23"/>
  <c r="O1041" i="23"/>
  <c r="N1041" i="23"/>
  <c r="M1041" i="23"/>
  <c r="L1041" i="23"/>
  <c r="K1041" i="23"/>
  <c r="J1041" i="23"/>
  <c r="I1041" i="23"/>
  <c r="H1041" i="23"/>
  <c r="G1041" i="23"/>
  <c r="F1041" i="23"/>
  <c r="E1041" i="23"/>
  <c r="R1040" i="23"/>
  <c r="P1040" i="23"/>
  <c r="O1040" i="23"/>
  <c r="N1040" i="23"/>
  <c r="M1040" i="23"/>
  <c r="L1040" i="23"/>
  <c r="K1040" i="23"/>
  <c r="J1040" i="23"/>
  <c r="I1040" i="23"/>
  <c r="H1040" i="23"/>
  <c r="G1040" i="23"/>
  <c r="F1040" i="23"/>
  <c r="E1040" i="23"/>
  <c r="R1039" i="23"/>
  <c r="P1039" i="23"/>
  <c r="O1039" i="23"/>
  <c r="N1039" i="23"/>
  <c r="M1039" i="23"/>
  <c r="L1039" i="23"/>
  <c r="K1039" i="23"/>
  <c r="J1039" i="23"/>
  <c r="I1039" i="23"/>
  <c r="H1039" i="23"/>
  <c r="G1039" i="23"/>
  <c r="F1039" i="23"/>
  <c r="E1039" i="23"/>
  <c r="R1038" i="23"/>
  <c r="P1038" i="23"/>
  <c r="O1038" i="23"/>
  <c r="N1038" i="23"/>
  <c r="M1038" i="23"/>
  <c r="L1038" i="23"/>
  <c r="K1038" i="23"/>
  <c r="J1038" i="23"/>
  <c r="I1038" i="23"/>
  <c r="H1038" i="23"/>
  <c r="G1038" i="23"/>
  <c r="F1038" i="23"/>
  <c r="E1038" i="23"/>
  <c r="R1037" i="23"/>
  <c r="P1037" i="23"/>
  <c r="O1037" i="23"/>
  <c r="N1037" i="23"/>
  <c r="M1037" i="23"/>
  <c r="L1037" i="23"/>
  <c r="K1037" i="23"/>
  <c r="J1037" i="23"/>
  <c r="I1037" i="23"/>
  <c r="H1037" i="23"/>
  <c r="G1037" i="23"/>
  <c r="F1037" i="23"/>
  <c r="E1037" i="23"/>
  <c r="R1036" i="23"/>
  <c r="P1036" i="23"/>
  <c r="O1036" i="23"/>
  <c r="N1036" i="23"/>
  <c r="M1036" i="23"/>
  <c r="L1036" i="23"/>
  <c r="K1036" i="23"/>
  <c r="J1036" i="23"/>
  <c r="I1036" i="23"/>
  <c r="H1036" i="23"/>
  <c r="G1036" i="23"/>
  <c r="F1036" i="23"/>
  <c r="E1036" i="23"/>
  <c r="R1035" i="23"/>
  <c r="P1035" i="23"/>
  <c r="O1035" i="23"/>
  <c r="N1035" i="23"/>
  <c r="M1035" i="23"/>
  <c r="L1035" i="23"/>
  <c r="K1035" i="23"/>
  <c r="J1035" i="23"/>
  <c r="I1035" i="23"/>
  <c r="H1035" i="23"/>
  <c r="G1035" i="23"/>
  <c r="F1035" i="23"/>
  <c r="E1035" i="23"/>
  <c r="R1034" i="23"/>
  <c r="P1034" i="23"/>
  <c r="O1034" i="23"/>
  <c r="N1034" i="23"/>
  <c r="M1034" i="23"/>
  <c r="L1034" i="23"/>
  <c r="K1034" i="23"/>
  <c r="J1034" i="23"/>
  <c r="I1034" i="23"/>
  <c r="H1034" i="23"/>
  <c r="G1034" i="23"/>
  <c r="F1034" i="23"/>
  <c r="E1034" i="23"/>
  <c r="R1033" i="23"/>
  <c r="P1033" i="23"/>
  <c r="O1033" i="23"/>
  <c r="N1033" i="23"/>
  <c r="M1033" i="23"/>
  <c r="L1033" i="23"/>
  <c r="K1033" i="23"/>
  <c r="J1033" i="23"/>
  <c r="I1033" i="23"/>
  <c r="H1033" i="23"/>
  <c r="G1033" i="23"/>
  <c r="F1033" i="23"/>
  <c r="E1033" i="23"/>
  <c r="R1032" i="23"/>
  <c r="P1032" i="23"/>
  <c r="O1032" i="23"/>
  <c r="N1032" i="23"/>
  <c r="M1032" i="23"/>
  <c r="L1032" i="23"/>
  <c r="K1032" i="23"/>
  <c r="J1032" i="23"/>
  <c r="I1032" i="23"/>
  <c r="H1032" i="23"/>
  <c r="G1032" i="23"/>
  <c r="F1032" i="23"/>
  <c r="E1032" i="23"/>
  <c r="R1031" i="23"/>
  <c r="P1031" i="23"/>
  <c r="O1031" i="23"/>
  <c r="N1031" i="23"/>
  <c r="M1031" i="23"/>
  <c r="L1031" i="23"/>
  <c r="K1031" i="23"/>
  <c r="J1031" i="23"/>
  <c r="I1031" i="23"/>
  <c r="H1031" i="23"/>
  <c r="G1031" i="23"/>
  <c r="F1031" i="23"/>
  <c r="E1031" i="23"/>
  <c r="R1030" i="23"/>
  <c r="P1030" i="23"/>
  <c r="O1030" i="23"/>
  <c r="N1030" i="23"/>
  <c r="M1030" i="23"/>
  <c r="L1030" i="23"/>
  <c r="K1030" i="23"/>
  <c r="J1030" i="23"/>
  <c r="I1030" i="23"/>
  <c r="H1030" i="23"/>
  <c r="G1030" i="23"/>
  <c r="F1030" i="23"/>
  <c r="E1030" i="23"/>
  <c r="R1029" i="23"/>
  <c r="P1029" i="23"/>
  <c r="O1029" i="23"/>
  <c r="N1029" i="23"/>
  <c r="M1029" i="23"/>
  <c r="L1029" i="23"/>
  <c r="K1029" i="23"/>
  <c r="J1029" i="23"/>
  <c r="I1029" i="23"/>
  <c r="H1029" i="23"/>
  <c r="G1029" i="23"/>
  <c r="F1029" i="23"/>
  <c r="E1029" i="23"/>
  <c r="R1028" i="23"/>
  <c r="P1028" i="23"/>
  <c r="O1028" i="23"/>
  <c r="N1028" i="23"/>
  <c r="M1028" i="23"/>
  <c r="L1028" i="23"/>
  <c r="K1028" i="23"/>
  <c r="J1028" i="23"/>
  <c r="I1028" i="23"/>
  <c r="H1028" i="23"/>
  <c r="G1028" i="23"/>
  <c r="F1028" i="23"/>
  <c r="E1028" i="23"/>
  <c r="R1027" i="23"/>
  <c r="P1027" i="23"/>
  <c r="O1027" i="23"/>
  <c r="N1027" i="23"/>
  <c r="M1027" i="23"/>
  <c r="L1027" i="23"/>
  <c r="K1027" i="23"/>
  <c r="J1027" i="23"/>
  <c r="I1027" i="23"/>
  <c r="H1027" i="23"/>
  <c r="G1027" i="23"/>
  <c r="F1027" i="23"/>
  <c r="E1027" i="23"/>
  <c r="R1026" i="23"/>
  <c r="P1026" i="23"/>
  <c r="O1026" i="23"/>
  <c r="N1026" i="23"/>
  <c r="M1026" i="23"/>
  <c r="L1026" i="23"/>
  <c r="K1026" i="23"/>
  <c r="J1026" i="23"/>
  <c r="I1026" i="23"/>
  <c r="H1026" i="23"/>
  <c r="G1026" i="23"/>
  <c r="F1026" i="23"/>
  <c r="E1026" i="23"/>
  <c r="R1025" i="23"/>
  <c r="P1025" i="23"/>
  <c r="O1025" i="23"/>
  <c r="N1025" i="23"/>
  <c r="M1025" i="23"/>
  <c r="L1025" i="23"/>
  <c r="K1025" i="23"/>
  <c r="J1025" i="23"/>
  <c r="I1025" i="23"/>
  <c r="H1025" i="23"/>
  <c r="G1025" i="23"/>
  <c r="F1025" i="23"/>
  <c r="E1025" i="23"/>
  <c r="R1024" i="23"/>
  <c r="P1024" i="23"/>
  <c r="O1024" i="23"/>
  <c r="N1024" i="23"/>
  <c r="M1024" i="23"/>
  <c r="L1024" i="23"/>
  <c r="K1024" i="23"/>
  <c r="J1024" i="23"/>
  <c r="I1024" i="23"/>
  <c r="H1024" i="23"/>
  <c r="G1024" i="23"/>
  <c r="F1024" i="23"/>
  <c r="E1024" i="23"/>
  <c r="R1023" i="23"/>
  <c r="P1023" i="23"/>
  <c r="O1023" i="23"/>
  <c r="N1023" i="23"/>
  <c r="M1023" i="23"/>
  <c r="L1023" i="23"/>
  <c r="K1023" i="23"/>
  <c r="J1023" i="23"/>
  <c r="I1023" i="23"/>
  <c r="H1023" i="23"/>
  <c r="G1023" i="23"/>
  <c r="F1023" i="23"/>
  <c r="E1023" i="23"/>
  <c r="R1022" i="23"/>
  <c r="P1022" i="23"/>
  <c r="O1022" i="23"/>
  <c r="N1022" i="23"/>
  <c r="M1022" i="23"/>
  <c r="L1022" i="23"/>
  <c r="K1022" i="23"/>
  <c r="J1022" i="23"/>
  <c r="I1022" i="23"/>
  <c r="H1022" i="23"/>
  <c r="G1022" i="23"/>
  <c r="F1022" i="23"/>
  <c r="E1022" i="23"/>
  <c r="R1021" i="23"/>
  <c r="P1021" i="23"/>
  <c r="O1021" i="23"/>
  <c r="N1021" i="23"/>
  <c r="M1021" i="23"/>
  <c r="L1021" i="23"/>
  <c r="K1021" i="23"/>
  <c r="J1021" i="23"/>
  <c r="I1021" i="23"/>
  <c r="H1021" i="23"/>
  <c r="G1021" i="23"/>
  <c r="F1021" i="23"/>
  <c r="E1021" i="23"/>
  <c r="R1020" i="23"/>
  <c r="P1020" i="23"/>
  <c r="O1020" i="23"/>
  <c r="N1020" i="23"/>
  <c r="M1020" i="23"/>
  <c r="L1020" i="23"/>
  <c r="K1020" i="23"/>
  <c r="J1020" i="23"/>
  <c r="I1020" i="23"/>
  <c r="H1020" i="23"/>
  <c r="G1020" i="23"/>
  <c r="F1020" i="23"/>
  <c r="E1020" i="23"/>
  <c r="R1019" i="23"/>
  <c r="P1019" i="23"/>
  <c r="O1019" i="23"/>
  <c r="N1019" i="23"/>
  <c r="M1019" i="23"/>
  <c r="L1019" i="23"/>
  <c r="K1019" i="23"/>
  <c r="J1019" i="23"/>
  <c r="I1019" i="23"/>
  <c r="H1019" i="23"/>
  <c r="G1019" i="23"/>
  <c r="F1019" i="23"/>
  <c r="E1019" i="23"/>
  <c r="R1018" i="23"/>
  <c r="P1018" i="23"/>
  <c r="O1018" i="23"/>
  <c r="N1018" i="23"/>
  <c r="M1018" i="23"/>
  <c r="L1018" i="23"/>
  <c r="K1018" i="23"/>
  <c r="J1018" i="23"/>
  <c r="I1018" i="23"/>
  <c r="H1018" i="23"/>
  <c r="G1018" i="23"/>
  <c r="F1018" i="23"/>
  <c r="E1018" i="23"/>
  <c r="R1017" i="23"/>
  <c r="P1017" i="23"/>
  <c r="O1017" i="23"/>
  <c r="N1017" i="23"/>
  <c r="M1017" i="23"/>
  <c r="L1017" i="23"/>
  <c r="K1017" i="23"/>
  <c r="J1017" i="23"/>
  <c r="I1017" i="23"/>
  <c r="H1017" i="23"/>
  <c r="G1017" i="23"/>
  <c r="F1017" i="23"/>
  <c r="E1017" i="23"/>
  <c r="R1016" i="23"/>
  <c r="P1016" i="23"/>
  <c r="O1016" i="23"/>
  <c r="N1016" i="23"/>
  <c r="M1016" i="23"/>
  <c r="L1016" i="23"/>
  <c r="K1016" i="23"/>
  <c r="J1016" i="23"/>
  <c r="I1016" i="23"/>
  <c r="H1016" i="23"/>
  <c r="G1016" i="23"/>
  <c r="F1016" i="23"/>
  <c r="E1016" i="23"/>
  <c r="R1015" i="23"/>
  <c r="P1015" i="23"/>
  <c r="O1015" i="23"/>
  <c r="N1015" i="23"/>
  <c r="M1015" i="23"/>
  <c r="L1015" i="23"/>
  <c r="K1015" i="23"/>
  <c r="J1015" i="23"/>
  <c r="I1015" i="23"/>
  <c r="H1015" i="23"/>
  <c r="G1015" i="23"/>
  <c r="F1015" i="23"/>
  <c r="E1015" i="23"/>
  <c r="R1014" i="23"/>
  <c r="P1014" i="23"/>
  <c r="O1014" i="23"/>
  <c r="N1014" i="23"/>
  <c r="M1014" i="23"/>
  <c r="L1014" i="23"/>
  <c r="K1014" i="23"/>
  <c r="J1014" i="23"/>
  <c r="I1014" i="23"/>
  <c r="H1014" i="23"/>
  <c r="G1014" i="23"/>
  <c r="F1014" i="23"/>
  <c r="E1014" i="23"/>
  <c r="R1013" i="23"/>
  <c r="P1013" i="23"/>
  <c r="O1013" i="23"/>
  <c r="N1013" i="23"/>
  <c r="M1013" i="23"/>
  <c r="L1013" i="23"/>
  <c r="K1013" i="23"/>
  <c r="J1013" i="23"/>
  <c r="I1013" i="23"/>
  <c r="H1013" i="23"/>
  <c r="G1013" i="23"/>
  <c r="F1013" i="23"/>
  <c r="E1013" i="23"/>
  <c r="R1012" i="23"/>
  <c r="P1012" i="23"/>
  <c r="O1012" i="23"/>
  <c r="N1012" i="23"/>
  <c r="M1012" i="23"/>
  <c r="L1012" i="23"/>
  <c r="K1012" i="23"/>
  <c r="J1012" i="23"/>
  <c r="I1012" i="23"/>
  <c r="H1012" i="23"/>
  <c r="G1012" i="23"/>
  <c r="F1012" i="23"/>
  <c r="E1012" i="23"/>
  <c r="R1011" i="23"/>
  <c r="P1011" i="23"/>
  <c r="O1011" i="23"/>
  <c r="N1011" i="23"/>
  <c r="M1011" i="23"/>
  <c r="L1011" i="23"/>
  <c r="K1011" i="23"/>
  <c r="J1011" i="23"/>
  <c r="I1011" i="23"/>
  <c r="H1011" i="23"/>
  <c r="G1011" i="23"/>
  <c r="F1011" i="23"/>
  <c r="E1011" i="23"/>
  <c r="R1010" i="23"/>
  <c r="P1010" i="23"/>
  <c r="O1010" i="23"/>
  <c r="N1010" i="23"/>
  <c r="M1010" i="23"/>
  <c r="L1010" i="23"/>
  <c r="K1010" i="23"/>
  <c r="J1010" i="23"/>
  <c r="I1010" i="23"/>
  <c r="H1010" i="23"/>
  <c r="G1010" i="23"/>
  <c r="F1010" i="23"/>
  <c r="E1010" i="23"/>
  <c r="R1199" i="23"/>
  <c r="B6" i="77" s="1"/>
  <c r="P1199" i="23"/>
  <c r="O1199" i="23"/>
  <c r="N1199" i="23"/>
  <c r="M1199" i="23"/>
  <c r="C6" i="77" s="1"/>
  <c r="L1199" i="23"/>
  <c r="K1199" i="23"/>
  <c r="J1199" i="23"/>
  <c r="I1199" i="23"/>
  <c r="H1199" i="23"/>
  <c r="G1199" i="23"/>
  <c r="F1199" i="23"/>
  <c r="E1199" i="23"/>
  <c r="L6" i="77" s="1"/>
  <c r="R1198" i="23"/>
  <c r="P1198" i="23"/>
  <c r="O1198" i="23"/>
  <c r="N1198" i="23"/>
  <c r="M1198" i="23"/>
  <c r="L1198" i="23"/>
  <c r="K1198" i="23"/>
  <c r="J1198" i="23"/>
  <c r="I1198" i="23"/>
  <c r="H1198" i="23"/>
  <c r="G1198" i="23"/>
  <c r="F1198" i="23"/>
  <c r="E1198" i="23"/>
  <c r="R1197" i="23"/>
  <c r="P1197" i="23"/>
  <c r="O1197" i="23"/>
  <c r="N1197" i="23"/>
  <c r="M1197" i="23"/>
  <c r="L1197" i="23"/>
  <c r="K1197" i="23"/>
  <c r="J1197" i="23"/>
  <c r="I1197" i="23"/>
  <c r="H1197" i="23"/>
  <c r="G1197" i="23"/>
  <c r="F1197" i="23"/>
  <c r="E1197" i="23"/>
  <c r="R1196" i="23"/>
  <c r="P1196" i="23"/>
  <c r="O1196" i="23"/>
  <c r="N1196" i="23"/>
  <c r="M1196" i="23"/>
  <c r="L1196" i="23"/>
  <c r="K1196" i="23"/>
  <c r="J1196" i="23"/>
  <c r="I1196" i="23"/>
  <c r="H1196" i="23"/>
  <c r="G1196" i="23"/>
  <c r="F1196" i="23"/>
  <c r="E1196" i="23"/>
  <c r="R1195" i="23"/>
  <c r="P1195" i="23"/>
  <c r="O1195" i="23"/>
  <c r="N1195" i="23"/>
  <c r="M1195" i="23"/>
  <c r="L1195" i="23"/>
  <c r="K1195" i="23"/>
  <c r="J1195" i="23"/>
  <c r="I1195" i="23"/>
  <c r="H1195" i="23"/>
  <c r="G1195" i="23"/>
  <c r="F1195" i="23"/>
  <c r="E1195" i="23"/>
  <c r="R1194" i="23"/>
  <c r="P1194" i="23"/>
  <c r="O1194" i="23"/>
  <c r="N1194" i="23"/>
  <c r="M1194" i="23"/>
  <c r="L1194" i="23"/>
  <c r="K1194" i="23"/>
  <c r="J1194" i="23"/>
  <c r="I1194" i="23"/>
  <c r="H1194" i="23"/>
  <c r="G1194" i="23"/>
  <c r="F1194" i="23"/>
  <c r="E1194" i="23"/>
  <c r="R1193" i="23"/>
  <c r="P1193" i="23"/>
  <c r="O1193" i="23"/>
  <c r="N1193" i="23"/>
  <c r="M1193" i="23"/>
  <c r="L1193" i="23"/>
  <c r="K1193" i="23"/>
  <c r="J1193" i="23"/>
  <c r="I1193" i="23"/>
  <c r="H1193" i="23"/>
  <c r="G1193" i="23"/>
  <c r="F1193" i="23"/>
  <c r="E1193" i="23"/>
  <c r="R1192" i="23"/>
  <c r="P1192" i="23"/>
  <c r="O1192" i="23"/>
  <c r="N1192" i="23"/>
  <c r="M1192" i="23"/>
  <c r="L1192" i="23"/>
  <c r="K1192" i="23"/>
  <c r="J1192" i="23"/>
  <c r="I1192" i="23"/>
  <c r="H1192" i="23"/>
  <c r="G1192" i="23"/>
  <c r="F1192" i="23"/>
  <c r="E1192" i="23"/>
  <c r="R1191" i="23"/>
  <c r="P1191" i="23"/>
  <c r="O1191" i="23"/>
  <c r="N1191" i="23"/>
  <c r="M1191" i="23"/>
  <c r="L1191" i="23"/>
  <c r="K1191" i="23"/>
  <c r="J1191" i="23"/>
  <c r="I1191" i="23"/>
  <c r="H1191" i="23"/>
  <c r="G1191" i="23"/>
  <c r="F1191" i="23"/>
  <c r="E1191" i="23"/>
  <c r="R1190" i="23"/>
  <c r="P1190" i="23"/>
  <c r="O1190" i="23"/>
  <c r="N1190" i="23"/>
  <c r="M1190" i="23"/>
  <c r="L1190" i="23"/>
  <c r="K1190" i="23"/>
  <c r="J1190" i="23"/>
  <c r="I1190" i="23"/>
  <c r="H1190" i="23"/>
  <c r="G1190" i="23"/>
  <c r="F1190" i="23"/>
  <c r="E1190" i="23"/>
  <c r="R1189" i="23"/>
  <c r="P1189" i="23"/>
  <c r="O1189" i="23"/>
  <c r="N1189" i="23"/>
  <c r="M1189" i="23"/>
  <c r="L1189" i="23"/>
  <c r="K1189" i="23"/>
  <c r="J1189" i="23"/>
  <c r="I1189" i="23"/>
  <c r="H1189" i="23"/>
  <c r="G1189" i="23"/>
  <c r="F1189" i="23"/>
  <c r="E1189" i="23"/>
  <c r="R1188" i="23"/>
  <c r="P1188" i="23"/>
  <c r="O1188" i="23"/>
  <c r="N1188" i="23"/>
  <c r="M1188" i="23"/>
  <c r="L1188" i="23"/>
  <c r="K1188" i="23"/>
  <c r="J1188" i="23"/>
  <c r="I1188" i="23"/>
  <c r="H1188" i="23"/>
  <c r="G1188" i="23"/>
  <c r="F1188" i="23"/>
  <c r="E1188" i="23"/>
  <c r="R1187" i="23"/>
  <c r="P1187" i="23"/>
  <c r="O1187" i="23"/>
  <c r="N1187" i="23"/>
  <c r="M1187" i="23"/>
  <c r="L1187" i="23"/>
  <c r="K1187" i="23"/>
  <c r="J1187" i="23"/>
  <c r="I1187" i="23"/>
  <c r="H1187" i="23"/>
  <c r="G1187" i="23"/>
  <c r="F1187" i="23"/>
  <c r="E1187" i="23"/>
  <c r="R1186" i="23"/>
  <c r="P1186" i="23"/>
  <c r="O1186" i="23"/>
  <c r="N1186" i="23"/>
  <c r="M1186" i="23"/>
  <c r="L1186" i="23"/>
  <c r="K1186" i="23"/>
  <c r="J1186" i="23"/>
  <c r="I1186" i="23"/>
  <c r="H1186" i="23"/>
  <c r="G1186" i="23"/>
  <c r="F1186" i="23"/>
  <c r="E1186" i="23"/>
  <c r="R1185" i="23"/>
  <c r="P1185" i="23"/>
  <c r="O1185" i="23"/>
  <c r="N1185" i="23"/>
  <c r="M1185" i="23"/>
  <c r="L1185" i="23"/>
  <c r="K1185" i="23"/>
  <c r="J1185" i="23"/>
  <c r="I1185" i="23"/>
  <c r="H1185" i="23"/>
  <c r="G1185" i="23"/>
  <c r="F1185" i="23"/>
  <c r="E1185" i="23"/>
  <c r="R1184" i="23"/>
  <c r="P1184" i="23"/>
  <c r="O1184" i="23"/>
  <c r="N1184" i="23"/>
  <c r="M1184" i="23"/>
  <c r="L1184" i="23"/>
  <c r="K1184" i="23"/>
  <c r="J1184" i="23"/>
  <c r="I1184" i="23"/>
  <c r="H1184" i="23"/>
  <c r="G1184" i="23"/>
  <c r="F1184" i="23"/>
  <c r="E1184" i="23"/>
  <c r="R1183" i="23"/>
  <c r="P1183" i="23"/>
  <c r="O1183" i="23"/>
  <c r="N1183" i="23"/>
  <c r="M1183" i="23"/>
  <c r="L1183" i="23"/>
  <c r="K1183" i="23"/>
  <c r="J1183" i="23"/>
  <c r="I1183" i="23"/>
  <c r="H1183" i="23"/>
  <c r="G1183" i="23"/>
  <c r="F1183" i="23"/>
  <c r="E1183" i="23"/>
  <c r="R1182" i="23"/>
  <c r="P1182" i="23"/>
  <c r="O1182" i="23"/>
  <c r="N1182" i="23"/>
  <c r="M1182" i="23"/>
  <c r="L1182" i="23"/>
  <c r="K1182" i="23"/>
  <c r="J1182" i="23"/>
  <c r="I1182" i="23"/>
  <c r="H1182" i="23"/>
  <c r="G1182" i="23"/>
  <c r="F1182" i="23"/>
  <c r="E1182" i="23"/>
  <c r="R1181" i="23"/>
  <c r="P1181" i="23"/>
  <c r="O1181" i="23"/>
  <c r="N1181" i="23"/>
  <c r="M1181" i="23"/>
  <c r="L1181" i="23"/>
  <c r="K1181" i="23"/>
  <c r="J1181" i="23"/>
  <c r="I1181" i="23"/>
  <c r="H1181" i="23"/>
  <c r="G1181" i="23"/>
  <c r="F1181" i="23"/>
  <c r="E1181" i="23"/>
  <c r="R1180" i="23"/>
  <c r="P1180" i="23"/>
  <c r="O1180" i="23"/>
  <c r="N1180" i="23"/>
  <c r="M1180" i="23"/>
  <c r="L1180" i="23"/>
  <c r="K1180" i="23"/>
  <c r="J1180" i="23"/>
  <c r="I1180" i="23"/>
  <c r="H1180" i="23"/>
  <c r="G1180" i="23"/>
  <c r="F1180" i="23"/>
  <c r="E1180" i="23"/>
  <c r="R1179" i="23"/>
  <c r="P1179" i="23"/>
  <c r="O1179" i="23"/>
  <c r="N1179" i="23"/>
  <c r="M1179" i="23"/>
  <c r="L1179" i="23"/>
  <c r="K1179" i="23"/>
  <c r="J1179" i="23"/>
  <c r="I1179" i="23"/>
  <c r="H1179" i="23"/>
  <c r="G1179" i="23"/>
  <c r="F1179" i="23"/>
  <c r="E1179" i="23"/>
  <c r="R1178" i="23"/>
  <c r="P1178" i="23"/>
  <c r="O1178" i="23"/>
  <c r="N1178" i="23"/>
  <c r="M1178" i="23"/>
  <c r="L1178" i="23"/>
  <c r="K1178" i="23"/>
  <c r="J1178" i="23"/>
  <c r="I1178" i="23"/>
  <c r="H1178" i="23"/>
  <c r="G1178" i="23"/>
  <c r="F1178" i="23"/>
  <c r="E1178" i="23"/>
  <c r="R1177" i="23"/>
  <c r="P1177" i="23"/>
  <c r="O1177" i="23"/>
  <c r="N1177" i="23"/>
  <c r="M1177" i="23"/>
  <c r="L1177" i="23"/>
  <c r="K1177" i="23"/>
  <c r="J1177" i="23"/>
  <c r="I1177" i="23"/>
  <c r="H1177" i="23"/>
  <c r="G1177" i="23"/>
  <c r="F1177" i="23"/>
  <c r="E1177" i="23"/>
  <c r="R1176" i="23"/>
  <c r="P1176" i="23"/>
  <c r="O1176" i="23"/>
  <c r="N1176" i="23"/>
  <c r="M1176" i="23"/>
  <c r="L1176" i="23"/>
  <c r="K1176" i="23"/>
  <c r="J1176" i="23"/>
  <c r="I1176" i="23"/>
  <c r="H1176" i="23"/>
  <c r="G1176" i="23"/>
  <c r="F1176" i="23"/>
  <c r="E1176" i="23"/>
  <c r="R1175" i="23"/>
  <c r="P1175" i="23"/>
  <c r="O1175" i="23"/>
  <c r="N1175" i="23"/>
  <c r="M1175" i="23"/>
  <c r="L1175" i="23"/>
  <c r="K1175" i="23"/>
  <c r="J1175" i="23"/>
  <c r="I1175" i="23"/>
  <c r="H1175" i="23"/>
  <c r="G1175" i="23"/>
  <c r="F1175" i="23"/>
  <c r="E1175" i="23"/>
  <c r="R1174" i="23"/>
  <c r="P1174" i="23"/>
  <c r="O1174" i="23"/>
  <c r="N1174" i="23"/>
  <c r="M1174" i="23"/>
  <c r="L1174" i="23"/>
  <c r="K1174" i="23"/>
  <c r="J1174" i="23"/>
  <c r="I1174" i="23"/>
  <c r="H1174" i="23"/>
  <c r="G1174" i="23"/>
  <c r="F1174" i="23"/>
  <c r="E1174" i="23"/>
  <c r="R1173" i="23"/>
  <c r="P1173" i="23"/>
  <c r="O1173" i="23"/>
  <c r="N1173" i="23"/>
  <c r="M1173" i="23"/>
  <c r="L1173" i="23"/>
  <c r="K1173" i="23"/>
  <c r="J1173" i="23"/>
  <c r="I1173" i="23"/>
  <c r="H1173" i="23"/>
  <c r="G1173" i="23"/>
  <c r="F1173" i="23"/>
  <c r="E1173" i="23"/>
  <c r="R1172" i="23"/>
  <c r="P1172" i="23"/>
  <c r="O1172" i="23"/>
  <c r="N1172" i="23"/>
  <c r="M1172" i="23"/>
  <c r="L1172" i="23"/>
  <c r="K1172" i="23"/>
  <c r="J1172" i="23"/>
  <c r="I1172" i="23"/>
  <c r="H1172" i="23"/>
  <c r="G1172" i="23"/>
  <c r="F1172" i="23"/>
  <c r="E1172" i="23"/>
  <c r="R1171" i="23"/>
  <c r="P1171" i="23"/>
  <c r="O1171" i="23"/>
  <c r="N1171" i="23"/>
  <c r="M1171" i="23"/>
  <c r="L1171" i="23"/>
  <c r="K1171" i="23"/>
  <c r="J1171" i="23"/>
  <c r="I1171" i="23"/>
  <c r="H1171" i="23"/>
  <c r="G1171" i="23"/>
  <c r="F1171" i="23"/>
  <c r="E1171" i="23"/>
  <c r="R1170" i="23"/>
  <c r="P1170" i="23"/>
  <c r="O1170" i="23"/>
  <c r="N1170" i="23"/>
  <c r="M1170" i="23"/>
  <c r="L1170" i="23"/>
  <c r="K1170" i="23"/>
  <c r="J1170" i="23"/>
  <c r="I1170" i="23"/>
  <c r="H1170" i="23"/>
  <c r="G1170" i="23"/>
  <c r="F1170" i="23"/>
  <c r="E1170" i="23"/>
  <c r="R1169" i="23"/>
  <c r="P1169" i="23"/>
  <c r="O1169" i="23"/>
  <c r="N1169" i="23"/>
  <c r="M1169" i="23"/>
  <c r="L1169" i="23"/>
  <c r="K1169" i="23"/>
  <c r="J1169" i="23"/>
  <c r="I1169" i="23"/>
  <c r="H1169" i="23"/>
  <c r="G1169" i="23"/>
  <c r="F1169" i="23"/>
  <c r="E1169" i="23"/>
  <c r="R1168" i="23"/>
  <c r="P1168" i="23"/>
  <c r="O1168" i="23"/>
  <c r="N1168" i="23"/>
  <c r="M1168" i="23"/>
  <c r="L1168" i="23"/>
  <c r="K1168" i="23"/>
  <c r="J1168" i="23"/>
  <c r="I1168" i="23"/>
  <c r="H1168" i="23"/>
  <c r="G1168" i="23"/>
  <c r="F1168" i="23"/>
  <c r="E1168" i="23"/>
  <c r="R1167" i="23"/>
  <c r="P1167" i="23"/>
  <c r="O1167" i="23"/>
  <c r="N1167" i="23"/>
  <c r="M1167" i="23"/>
  <c r="L1167" i="23"/>
  <c r="K1167" i="23"/>
  <c r="J1167" i="23"/>
  <c r="I1167" i="23"/>
  <c r="H1167" i="23"/>
  <c r="G1167" i="23"/>
  <c r="F1167" i="23"/>
  <c r="E1167" i="23"/>
  <c r="R1166" i="23"/>
  <c r="P1166" i="23"/>
  <c r="O1166" i="23"/>
  <c r="N1166" i="23"/>
  <c r="M1166" i="23"/>
  <c r="L1166" i="23"/>
  <c r="K1166" i="23"/>
  <c r="J1166" i="23"/>
  <c r="I1166" i="23"/>
  <c r="H1166" i="23"/>
  <c r="G1166" i="23"/>
  <c r="F1166" i="23"/>
  <c r="E1166" i="23"/>
  <c r="R1165" i="23"/>
  <c r="P1165" i="23"/>
  <c r="O1165" i="23"/>
  <c r="N1165" i="23"/>
  <c r="M1165" i="23"/>
  <c r="L1165" i="23"/>
  <c r="K1165" i="23"/>
  <c r="J1165" i="23"/>
  <c r="I1165" i="23"/>
  <c r="H1165" i="23"/>
  <c r="G1165" i="23"/>
  <c r="F1165" i="23"/>
  <c r="E1165" i="23"/>
  <c r="R1164" i="23"/>
  <c r="P1164" i="23"/>
  <c r="O1164" i="23"/>
  <c r="N1164" i="23"/>
  <c r="M1164" i="23"/>
  <c r="L1164" i="23"/>
  <c r="K1164" i="23"/>
  <c r="J1164" i="23"/>
  <c r="I1164" i="23"/>
  <c r="H1164" i="23"/>
  <c r="G1164" i="23"/>
  <c r="F1164" i="23"/>
  <c r="E1164" i="23"/>
  <c r="R1163" i="23"/>
  <c r="P1163" i="23"/>
  <c r="O1163" i="23"/>
  <c r="N1163" i="23"/>
  <c r="M1163" i="23"/>
  <c r="L1163" i="23"/>
  <c r="K1163" i="23"/>
  <c r="J1163" i="23"/>
  <c r="I1163" i="23"/>
  <c r="H1163" i="23"/>
  <c r="G1163" i="23"/>
  <c r="F1163" i="23"/>
  <c r="E1163" i="23"/>
  <c r="R1162" i="23"/>
  <c r="P1162" i="23"/>
  <c r="O1162" i="23"/>
  <c r="N1162" i="23"/>
  <c r="M1162" i="23"/>
  <c r="L1162" i="23"/>
  <c r="K1162" i="23"/>
  <c r="J1162" i="23"/>
  <c r="I1162" i="23"/>
  <c r="H1162" i="23"/>
  <c r="G1162" i="23"/>
  <c r="F1162" i="23"/>
  <c r="E1162" i="23"/>
  <c r="R1161" i="23"/>
  <c r="P1161" i="23"/>
  <c r="O1161" i="23"/>
  <c r="N1161" i="23"/>
  <c r="M1161" i="23"/>
  <c r="L1161" i="23"/>
  <c r="K1161" i="23"/>
  <c r="J1161" i="23"/>
  <c r="I1161" i="23"/>
  <c r="H1161" i="23"/>
  <c r="G1161" i="23"/>
  <c r="F1161" i="23"/>
  <c r="E1161" i="23"/>
  <c r="R1160" i="23"/>
  <c r="P1160" i="23"/>
  <c r="O1160" i="23"/>
  <c r="N1160" i="23"/>
  <c r="M1160" i="23"/>
  <c r="L1160" i="23"/>
  <c r="K1160" i="23"/>
  <c r="J1160" i="23"/>
  <c r="I1160" i="23"/>
  <c r="H1160" i="23"/>
  <c r="G1160" i="23"/>
  <c r="F1160" i="23"/>
  <c r="E1160" i="23"/>
  <c r="R1159" i="23"/>
  <c r="P1159" i="23"/>
  <c r="O1159" i="23"/>
  <c r="N1159" i="23"/>
  <c r="M1159" i="23"/>
  <c r="L1159" i="23"/>
  <c r="K1159" i="23"/>
  <c r="J1159" i="23"/>
  <c r="I1159" i="23"/>
  <c r="H1159" i="23"/>
  <c r="G1159" i="23"/>
  <c r="F1159" i="23"/>
  <c r="E1159" i="23"/>
  <c r="R1158" i="23"/>
  <c r="P1158" i="23"/>
  <c r="O1158" i="23"/>
  <c r="N1158" i="23"/>
  <c r="M1158" i="23"/>
  <c r="L1158" i="23"/>
  <c r="K1158" i="23"/>
  <c r="J1158" i="23"/>
  <c r="I1158" i="23"/>
  <c r="H1158" i="23"/>
  <c r="G1158" i="23"/>
  <c r="F1158" i="23"/>
  <c r="E1158" i="23"/>
  <c r="R1157" i="23"/>
  <c r="P1157" i="23"/>
  <c r="O1157" i="23"/>
  <c r="N1157" i="23"/>
  <c r="M1157" i="23"/>
  <c r="L1157" i="23"/>
  <c r="K1157" i="23"/>
  <c r="J1157" i="23"/>
  <c r="I1157" i="23"/>
  <c r="H1157" i="23"/>
  <c r="G1157" i="23"/>
  <c r="F1157" i="23"/>
  <c r="E1157" i="23"/>
  <c r="R1156" i="23"/>
  <c r="P1156" i="23"/>
  <c r="O1156" i="23"/>
  <c r="N1156" i="23"/>
  <c r="M1156" i="23"/>
  <c r="L1156" i="23"/>
  <c r="K1156" i="23"/>
  <c r="J1156" i="23"/>
  <c r="I1156" i="23"/>
  <c r="H1156" i="23"/>
  <c r="G1156" i="23"/>
  <c r="F1156" i="23"/>
  <c r="E1156" i="23"/>
  <c r="R1155" i="23"/>
  <c r="P1155" i="23"/>
  <c r="O1155" i="23"/>
  <c r="N1155" i="23"/>
  <c r="M1155" i="23"/>
  <c r="L1155" i="23"/>
  <c r="K1155" i="23"/>
  <c r="J1155" i="23"/>
  <c r="I1155" i="23"/>
  <c r="H1155" i="23"/>
  <c r="G1155" i="23"/>
  <c r="F1155" i="23"/>
  <c r="E1155" i="23"/>
  <c r="R1154" i="23"/>
  <c r="P1154" i="23"/>
  <c r="O1154" i="23"/>
  <c r="N1154" i="23"/>
  <c r="M1154" i="23"/>
  <c r="L1154" i="23"/>
  <c r="K1154" i="23"/>
  <c r="J1154" i="23"/>
  <c r="I1154" i="23"/>
  <c r="H1154" i="23"/>
  <c r="G1154" i="23"/>
  <c r="F1154" i="23"/>
  <c r="E1154" i="23"/>
  <c r="R1153" i="23"/>
  <c r="P1153" i="23"/>
  <c r="O1153" i="23"/>
  <c r="N1153" i="23"/>
  <c r="M1153" i="23"/>
  <c r="L1153" i="23"/>
  <c r="K1153" i="23"/>
  <c r="J1153" i="23"/>
  <c r="I1153" i="23"/>
  <c r="H1153" i="23"/>
  <c r="G1153" i="23"/>
  <c r="F1153" i="23"/>
  <c r="E1153" i="23"/>
  <c r="R1342" i="23"/>
  <c r="B7" i="77" s="1"/>
  <c r="P1342" i="23"/>
  <c r="O1342" i="23"/>
  <c r="N1342" i="23"/>
  <c r="M1342" i="23"/>
  <c r="C7" i="77" s="1"/>
  <c r="L1342" i="23"/>
  <c r="K1342" i="23"/>
  <c r="J1342" i="23"/>
  <c r="I1342" i="23"/>
  <c r="H1342" i="23"/>
  <c r="G1342" i="23"/>
  <c r="F1342" i="23"/>
  <c r="E1342" i="23"/>
  <c r="L7" i="77" s="1"/>
  <c r="R1341" i="23"/>
  <c r="P1341" i="23"/>
  <c r="O1341" i="23"/>
  <c r="N1341" i="23"/>
  <c r="M1341" i="23"/>
  <c r="L1341" i="23"/>
  <c r="K1341" i="23"/>
  <c r="J1341" i="23"/>
  <c r="I1341" i="23"/>
  <c r="H1341" i="23"/>
  <c r="G1341" i="23"/>
  <c r="F1341" i="23"/>
  <c r="E1341" i="23"/>
  <c r="R1340" i="23"/>
  <c r="P1340" i="23"/>
  <c r="O1340" i="23"/>
  <c r="N1340" i="23"/>
  <c r="M1340" i="23"/>
  <c r="L1340" i="23"/>
  <c r="K1340" i="23"/>
  <c r="J1340" i="23"/>
  <c r="I1340" i="23"/>
  <c r="H1340" i="23"/>
  <c r="G1340" i="23"/>
  <c r="F1340" i="23"/>
  <c r="E1340" i="23"/>
  <c r="R1339" i="23"/>
  <c r="P1339" i="23"/>
  <c r="O1339" i="23"/>
  <c r="N1339" i="23"/>
  <c r="M1339" i="23"/>
  <c r="L1339" i="23"/>
  <c r="K1339" i="23"/>
  <c r="J1339" i="23"/>
  <c r="I1339" i="23"/>
  <c r="H1339" i="23"/>
  <c r="G1339" i="23"/>
  <c r="F1339" i="23"/>
  <c r="E1339" i="23"/>
  <c r="R1338" i="23"/>
  <c r="P1338" i="23"/>
  <c r="O1338" i="23"/>
  <c r="N1338" i="23"/>
  <c r="M1338" i="23"/>
  <c r="L1338" i="23"/>
  <c r="K1338" i="23"/>
  <c r="J1338" i="23"/>
  <c r="I1338" i="23"/>
  <c r="H1338" i="23"/>
  <c r="G1338" i="23"/>
  <c r="F1338" i="23"/>
  <c r="E1338" i="23"/>
  <c r="R1337" i="23"/>
  <c r="P1337" i="23"/>
  <c r="O1337" i="23"/>
  <c r="N1337" i="23"/>
  <c r="M1337" i="23"/>
  <c r="L1337" i="23"/>
  <c r="K1337" i="23"/>
  <c r="J1337" i="23"/>
  <c r="I1337" i="23"/>
  <c r="H1337" i="23"/>
  <c r="G1337" i="23"/>
  <c r="F1337" i="23"/>
  <c r="E1337" i="23"/>
  <c r="R1336" i="23"/>
  <c r="P1336" i="23"/>
  <c r="O1336" i="23"/>
  <c r="N1336" i="23"/>
  <c r="M1336" i="23"/>
  <c r="L1336" i="23"/>
  <c r="K1336" i="23"/>
  <c r="J1336" i="23"/>
  <c r="I1336" i="23"/>
  <c r="H1336" i="23"/>
  <c r="G1336" i="23"/>
  <c r="F1336" i="23"/>
  <c r="E1336" i="23"/>
  <c r="R1335" i="23"/>
  <c r="P1335" i="23"/>
  <c r="O1335" i="23"/>
  <c r="N1335" i="23"/>
  <c r="M1335" i="23"/>
  <c r="L1335" i="23"/>
  <c r="K1335" i="23"/>
  <c r="J1335" i="23"/>
  <c r="I1335" i="23"/>
  <c r="H1335" i="23"/>
  <c r="G1335" i="23"/>
  <c r="F1335" i="23"/>
  <c r="E1335" i="23"/>
  <c r="R1334" i="23"/>
  <c r="P1334" i="23"/>
  <c r="O1334" i="23"/>
  <c r="N1334" i="23"/>
  <c r="M1334" i="23"/>
  <c r="L1334" i="23"/>
  <c r="K1334" i="23"/>
  <c r="J1334" i="23"/>
  <c r="I1334" i="23"/>
  <c r="H1334" i="23"/>
  <c r="G1334" i="23"/>
  <c r="F1334" i="23"/>
  <c r="E1334" i="23"/>
  <c r="R1333" i="23"/>
  <c r="P1333" i="23"/>
  <c r="O1333" i="23"/>
  <c r="N1333" i="23"/>
  <c r="M1333" i="23"/>
  <c r="L1333" i="23"/>
  <c r="K1333" i="23"/>
  <c r="J1333" i="23"/>
  <c r="I1333" i="23"/>
  <c r="H1333" i="23"/>
  <c r="G1333" i="23"/>
  <c r="F1333" i="23"/>
  <c r="E1333" i="23"/>
  <c r="R1332" i="23"/>
  <c r="P1332" i="23"/>
  <c r="O1332" i="23"/>
  <c r="N1332" i="23"/>
  <c r="M1332" i="23"/>
  <c r="L1332" i="23"/>
  <c r="K1332" i="23"/>
  <c r="J1332" i="23"/>
  <c r="I1332" i="23"/>
  <c r="H1332" i="23"/>
  <c r="G1332" i="23"/>
  <c r="F1332" i="23"/>
  <c r="E1332" i="23"/>
  <c r="R1331" i="23"/>
  <c r="P1331" i="23"/>
  <c r="O1331" i="23"/>
  <c r="N1331" i="23"/>
  <c r="M1331" i="23"/>
  <c r="L1331" i="23"/>
  <c r="K1331" i="23"/>
  <c r="J1331" i="23"/>
  <c r="I1331" i="23"/>
  <c r="H1331" i="23"/>
  <c r="G1331" i="23"/>
  <c r="F1331" i="23"/>
  <c r="E1331" i="23"/>
  <c r="R1330" i="23"/>
  <c r="P1330" i="23"/>
  <c r="O1330" i="23"/>
  <c r="N1330" i="23"/>
  <c r="M1330" i="23"/>
  <c r="L1330" i="23"/>
  <c r="K1330" i="23"/>
  <c r="J1330" i="23"/>
  <c r="I1330" i="23"/>
  <c r="H1330" i="23"/>
  <c r="G1330" i="23"/>
  <c r="F1330" i="23"/>
  <c r="E1330" i="23"/>
  <c r="R1329" i="23"/>
  <c r="P1329" i="23"/>
  <c r="O1329" i="23"/>
  <c r="N1329" i="23"/>
  <c r="M1329" i="23"/>
  <c r="L1329" i="23"/>
  <c r="K1329" i="23"/>
  <c r="J1329" i="23"/>
  <c r="I1329" i="23"/>
  <c r="H1329" i="23"/>
  <c r="G1329" i="23"/>
  <c r="F1329" i="23"/>
  <c r="E1329" i="23"/>
  <c r="R1328" i="23"/>
  <c r="P1328" i="23"/>
  <c r="O1328" i="23"/>
  <c r="N1328" i="23"/>
  <c r="M1328" i="23"/>
  <c r="L1328" i="23"/>
  <c r="K1328" i="23"/>
  <c r="J1328" i="23"/>
  <c r="I1328" i="23"/>
  <c r="H1328" i="23"/>
  <c r="G1328" i="23"/>
  <c r="F1328" i="23"/>
  <c r="E1328" i="23"/>
  <c r="R1327" i="23"/>
  <c r="P1327" i="23"/>
  <c r="O1327" i="23"/>
  <c r="N1327" i="23"/>
  <c r="M1327" i="23"/>
  <c r="L1327" i="23"/>
  <c r="K1327" i="23"/>
  <c r="J1327" i="23"/>
  <c r="I1327" i="23"/>
  <c r="H1327" i="23"/>
  <c r="G1327" i="23"/>
  <c r="F1327" i="23"/>
  <c r="E1327" i="23"/>
  <c r="R1326" i="23"/>
  <c r="P1326" i="23"/>
  <c r="O1326" i="23"/>
  <c r="N1326" i="23"/>
  <c r="M1326" i="23"/>
  <c r="L1326" i="23"/>
  <c r="K1326" i="23"/>
  <c r="J1326" i="23"/>
  <c r="I1326" i="23"/>
  <c r="H1326" i="23"/>
  <c r="G1326" i="23"/>
  <c r="F1326" i="23"/>
  <c r="E1326" i="23"/>
  <c r="R1325" i="23"/>
  <c r="P1325" i="23"/>
  <c r="O1325" i="23"/>
  <c r="N1325" i="23"/>
  <c r="M1325" i="23"/>
  <c r="L1325" i="23"/>
  <c r="K1325" i="23"/>
  <c r="J1325" i="23"/>
  <c r="I1325" i="23"/>
  <c r="H1325" i="23"/>
  <c r="G1325" i="23"/>
  <c r="F1325" i="23"/>
  <c r="E1325" i="23"/>
  <c r="R1324" i="23"/>
  <c r="P1324" i="23"/>
  <c r="O1324" i="23"/>
  <c r="N1324" i="23"/>
  <c r="M1324" i="23"/>
  <c r="L1324" i="23"/>
  <c r="K1324" i="23"/>
  <c r="J1324" i="23"/>
  <c r="I1324" i="23"/>
  <c r="H1324" i="23"/>
  <c r="G1324" i="23"/>
  <c r="F1324" i="23"/>
  <c r="E1324" i="23"/>
  <c r="R1323" i="23"/>
  <c r="P1323" i="23"/>
  <c r="O1323" i="23"/>
  <c r="N1323" i="23"/>
  <c r="M1323" i="23"/>
  <c r="L1323" i="23"/>
  <c r="K1323" i="23"/>
  <c r="J1323" i="23"/>
  <c r="I1323" i="23"/>
  <c r="H1323" i="23"/>
  <c r="G1323" i="23"/>
  <c r="F1323" i="23"/>
  <c r="E1323" i="23"/>
  <c r="R1322" i="23"/>
  <c r="P1322" i="23"/>
  <c r="O1322" i="23"/>
  <c r="N1322" i="23"/>
  <c r="M1322" i="23"/>
  <c r="L1322" i="23"/>
  <c r="K1322" i="23"/>
  <c r="J1322" i="23"/>
  <c r="I1322" i="23"/>
  <c r="H1322" i="23"/>
  <c r="G1322" i="23"/>
  <c r="F1322" i="23"/>
  <c r="E1322" i="23"/>
  <c r="R1321" i="23"/>
  <c r="P1321" i="23"/>
  <c r="O1321" i="23"/>
  <c r="N1321" i="23"/>
  <c r="M1321" i="23"/>
  <c r="L1321" i="23"/>
  <c r="K1321" i="23"/>
  <c r="J1321" i="23"/>
  <c r="I1321" i="23"/>
  <c r="H1321" i="23"/>
  <c r="G1321" i="23"/>
  <c r="F1321" i="23"/>
  <c r="E1321" i="23"/>
  <c r="R1320" i="23"/>
  <c r="P1320" i="23"/>
  <c r="O1320" i="23"/>
  <c r="N1320" i="23"/>
  <c r="M1320" i="23"/>
  <c r="L1320" i="23"/>
  <c r="K1320" i="23"/>
  <c r="J1320" i="23"/>
  <c r="I1320" i="23"/>
  <c r="H1320" i="23"/>
  <c r="G1320" i="23"/>
  <c r="F1320" i="23"/>
  <c r="E1320" i="23"/>
  <c r="R1319" i="23"/>
  <c r="P1319" i="23"/>
  <c r="O1319" i="23"/>
  <c r="N1319" i="23"/>
  <c r="M1319" i="23"/>
  <c r="L1319" i="23"/>
  <c r="K1319" i="23"/>
  <c r="J1319" i="23"/>
  <c r="I1319" i="23"/>
  <c r="H1319" i="23"/>
  <c r="G1319" i="23"/>
  <c r="F1319" i="23"/>
  <c r="E1319" i="23"/>
  <c r="R1318" i="23"/>
  <c r="P1318" i="23"/>
  <c r="O1318" i="23"/>
  <c r="N1318" i="23"/>
  <c r="M1318" i="23"/>
  <c r="L1318" i="23"/>
  <c r="K1318" i="23"/>
  <c r="J1318" i="23"/>
  <c r="I1318" i="23"/>
  <c r="H1318" i="23"/>
  <c r="G1318" i="23"/>
  <c r="F1318" i="23"/>
  <c r="E1318" i="23"/>
  <c r="R1317" i="23"/>
  <c r="P1317" i="23"/>
  <c r="O1317" i="23"/>
  <c r="N1317" i="23"/>
  <c r="M1317" i="23"/>
  <c r="L1317" i="23"/>
  <c r="K1317" i="23"/>
  <c r="J1317" i="23"/>
  <c r="I1317" i="23"/>
  <c r="H1317" i="23"/>
  <c r="G1317" i="23"/>
  <c r="F1317" i="23"/>
  <c r="E1317" i="23"/>
  <c r="R1316" i="23"/>
  <c r="P1316" i="23"/>
  <c r="O1316" i="23"/>
  <c r="N1316" i="23"/>
  <c r="M1316" i="23"/>
  <c r="L1316" i="23"/>
  <c r="K1316" i="23"/>
  <c r="J1316" i="23"/>
  <c r="I1316" i="23"/>
  <c r="H1316" i="23"/>
  <c r="G1316" i="23"/>
  <c r="F1316" i="23"/>
  <c r="E1316" i="23"/>
  <c r="R1315" i="23"/>
  <c r="P1315" i="23"/>
  <c r="O1315" i="23"/>
  <c r="N1315" i="23"/>
  <c r="M1315" i="23"/>
  <c r="L1315" i="23"/>
  <c r="K1315" i="23"/>
  <c r="J1315" i="23"/>
  <c r="I1315" i="23"/>
  <c r="H1315" i="23"/>
  <c r="G1315" i="23"/>
  <c r="F1315" i="23"/>
  <c r="E1315" i="23"/>
  <c r="R1314" i="23"/>
  <c r="P1314" i="23"/>
  <c r="O1314" i="23"/>
  <c r="N1314" i="23"/>
  <c r="M1314" i="23"/>
  <c r="L1314" i="23"/>
  <c r="K1314" i="23"/>
  <c r="J1314" i="23"/>
  <c r="I1314" i="23"/>
  <c r="H1314" i="23"/>
  <c r="G1314" i="23"/>
  <c r="F1314" i="23"/>
  <c r="E1314" i="23"/>
  <c r="R1313" i="23"/>
  <c r="P1313" i="23"/>
  <c r="O1313" i="23"/>
  <c r="N1313" i="23"/>
  <c r="M1313" i="23"/>
  <c r="L1313" i="23"/>
  <c r="K1313" i="23"/>
  <c r="J1313" i="23"/>
  <c r="I1313" i="23"/>
  <c r="H1313" i="23"/>
  <c r="G1313" i="23"/>
  <c r="F1313" i="23"/>
  <c r="E1313" i="23"/>
  <c r="R1312" i="23"/>
  <c r="P1312" i="23"/>
  <c r="O1312" i="23"/>
  <c r="N1312" i="23"/>
  <c r="M1312" i="23"/>
  <c r="L1312" i="23"/>
  <c r="K1312" i="23"/>
  <c r="J1312" i="23"/>
  <c r="I1312" i="23"/>
  <c r="H1312" i="23"/>
  <c r="G1312" i="23"/>
  <c r="F1312" i="23"/>
  <c r="E1312" i="23"/>
  <c r="R1311" i="23"/>
  <c r="P1311" i="23"/>
  <c r="O1311" i="23"/>
  <c r="N1311" i="23"/>
  <c r="M1311" i="23"/>
  <c r="L1311" i="23"/>
  <c r="K1311" i="23"/>
  <c r="J1311" i="23"/>
  <c r="I1311" i="23"/>
  <c r="H1311" i="23"/>
  <c r="G1311" i="23"/>
  <c r="F1311" i="23"/>
  <c r="E1311" i="23"/>
  <c r="R1310" i="23"/>
  <c r="P1310" i="23"/>
  <c r="O1310" i="23"/>
  <c r="N1310" i="23"/>
  <c r="M1310" i="23"/>
  <c r="L1310" i="23"/>
  <c r="K1310" i="23"/>
  <c r="J1310" i="23"/>
  <c r="I1310" i="23"/>
  <c r="H1310" i="23"/>
  <c r="G1310" i="23"/>
  <c r="F1310" i="23"/>
  <c r="E1310" i="23"/>
  <c r="R1309" i="23"/>
  <c r="P1309" i="23"/>
  <c r="O1309" i="23"/>
  <c r="N1309" i="23"/>
  <c r="M1309" i="23"/>
  <c r="L1309" i="23"/>
  <c r="K1309" i="23"/>
  <c r="J1309" i="23"/>
  <c r="I1309" i="23"/>
  <c r="H1309" i="23"/>
  <c r="G1309" i="23"/>
  <c r="F1309" i="23"/>
  <c r="E1309" i="23"/>
  <c r="R1308" i="23"/>
  <c r="P1308" i="23"/>
  <c r="O1308" i="23"/>
  <c r="N1308" i="23"/>
  <c r="M1308" i="23"/>
  <c r="L1308" i="23"/>
  <c r="K1308" i="23"/>
  <c r="J1308" i="23"/>
  <c r="I1308" i="23"/>
  <c r="H1308" i="23"/>
  <c r="G1308" i="23"/>
  <c r="F1308" i="23"/>
  <c r="E1308" i="23"/>
  <c r="R1307" i="23"/>
  <c r="P1307" i="23"/>
  <c r="O1307" i="23"/>
  <c r="N1307" i="23"/>
  <c r="M1307" i="23"/>
  <c r="L1307" i="23"/>
  <c r="K1307" i="23"/>
  <c r="J1307" i="23"/>
  <c r="I1307" i="23"/>
  <c r="H1307" i="23"/>
  <c r="G1307" i="23"/>
  <c r="F1307" i="23"/>
  <c r="E1307" i="23"/>
  <c r="R1306" i="23"/>
  <c r="P1306" i="23"/>
  <c r="O1306" i="23"/>
  <c r="N1306" i="23"/>
  <c r="M1306" i="23"/>
  <c r="L1306" i="23"/>
  <c r="K1306" i="23"/>
  <c r="J1306" i="23"/>
  <c r="I1306" i="23"/>
  <c r="H1306" i="23"/>
  <c r="G1306" i="23"/>
  <c r="F1306" i="23"/>
  <c r="E1306" i="23"/>
  <c r="R1305" i="23"/>
  <c r="P1305" i="23"/>
  <c r="O1305" i="23"/>
  <c r="N1305" i="23"/>
  <c r="M1305" i="23"/>
  <c r="L1305" i="23"/>
  <c r="K1305" i="23"/>
  <c r="J1305" i="23"/>
  <c r="I1305" i="23"/>
  <c r="H1305" i="23"/>
  <c r="G1305" i="23"/>
  <c r="F1305" i="23"/>
  <c r="E1305" i="23"/>
  <c r="R1304" i="23"/>
  <c r="P1304" i="23"/>
  <c r="O1304" i="23"/>
  <c r="N1304" i="23"/>
  <c r="M1304" i="23"/>
  <c r="L1304" i="23"/>
  <c r="K1304" i="23"/>
  <c r="J1304" i="23"/>
  <c r="I1304" i="23"/>
  <c r="H1304" i="23"/>
  <c r="G1304" i="23"/>
  <c r="F1304" i="23"/>
  <c r="E1304" i="23"/>
  <c r="R1303" i="23"/>
  <c r="P1303" i="23"/>
  <c r="O1303" i="23"/>
  <c r="N1303" i="23"/>
  <c r="M1303" i="23"/>
  <c r="L1303" i="23"/>
  <c r="K1303" i="23"/>
  <c r="J1303" i="23"/>
  <c r="I1303" i="23"/>
  <c r="H1303" i="23"/>
  <c r="G1303" i="23"/>
  <c r="F1303" i="23"/>
  <c r="E1303" i="23"/>
  <c r="R1302" i="23"/>
  <c r="P1302" i="23"/>
  <c r="O1302" i="23"/>
  <c r="N1302" i="23"/>
  <c r="M1302" i="23"/>
  <c r="L1302" i="23"/>
  <c r="K1302" i="23"/>
  <c r="J1302" i="23"/>
  <c r="I1302" i="23"/>
  <c r="H1302" i="23"/>
  <c r="G1302" i="23"/>
  <c r="F1302" i="23"/>
  <c r="E1302" i="23"/>
  <c r="R1301" i="23"/>
  <c r="P1301" i="23"/>
  <c r="O1301" i="23"/>
  <c r="N1301" i="23"/>
  <c r="M1301" i="23"/>
  <c r="L1301" i="23"/>
  <c r="K1301" i="23"/>
  <c r="J1301" i="23"/>
  <c r="I1301" i="23"/>
  <c r="H1301" i="23"/>
  <c r="G1301" i="23"/>
  <c r="F1301" i="23"/>
  <c r="E1301" i="23"/>
  <c r="R1300" i="23"/>
  <c r="P1300" i="23"/>
  <c r="O1300" i="23"/>
  <c r="N1300" i="23"/>
  <c r="M1300" i="23"/>
  <c r="L1300" i="23"/>
  <c r="K1300" i="23"/>
  <c r="J1300" i="23"/>
  <c r="I1300" i="23"/>
  <c r="H1300" i="23"/>
  <c r="G1300" i="23"/>
  <c r="F1300" i="23"/>
  <c r="E1300" i="23"/>
  <c r="R1299" i="23"/>
  <c r="P1299" i="23"/>
  <c r="O1299" i="23"/>
  <c r="N1299" i="23"/>
  <c r="M1299" i="23"/>
  <c r="L1299" i="23"/>
  <c r="K1299" i="23"/>
  <c r="J1299" i="23"/>
  <c r="I1299" i="23"/>
  <c r="H1299" i="23"/>
  <c r="G1299" i="23"/>
  <c r="F1299" i="23"/>
  <c r="E1299" i="23"/>
  <c r="R1298" i="23"/>
  <c r="P1298" i="23"/>
  <c r="O1298" i="23"/>
  <c r="N1298" i="23"/>
  <c r="M1298" i="23"/>
  <c r="L1298" i="23"/>
  <c r="K1298" i="23"/>
  <c r="J1298" i="23"/>
  <c r="I1298" i="23"/>
  <c r="H1298" i="23"/>
  <c r="G1298" i="23"/>
  <c r="F1298" i="23"/>
  <c r="E1298" i="23"/>
  <c r="R1297" i="23"/>
  <c r="P1297" i="23"/>
  <c r="O1297" i="23"/>
  <c r="N1297" i="23"/>
  <c r="M1297" i="23"/>
  <c r="L1297" i="23"/>
  <c r="K1297" i="23"/>
  <c r="J1297" i="23"/>
  <c r="I1297" i="23"/>
  <c r="H1297" i="23"/>
  <c r="G1297" i="23"/>
  <c r="F1297" i="23"/>
  <c r="E1297" i="23"/>
  <c r="R1296" i="23"/>
  <c r="P1296" i="23"/>
  <c r="O1296" i="23"/>
  <c r="N1296" i="23"/>
  <c r="M1296" i="23"/>
  <c r="L1296" i="23"/>
  <c r="K1296" i="23"/>
  <c r="J1296" i="23"/>
  <c r="I1296" i="23"/>
  <c r="H1296" i="23"/>
  <c r="G1296" i="23"/>
  <c r="F1296" i="23"/>
  <c r="E1296" i="23"/>
  <c r="R1485" i="23"/>
  <c r="B8" i="77" s="1"/>
  <c r="P1485" i="23"/>
  <c r="O1485" i="23"/>
  <c r="N1485" i="23"/>
  <c r="M1485" i="23"/>
  <c r="C8" i="77" s="1"/>
  <c r="L1485" i="23"/>
  <c r="K1485" i="23"/>
  <c r="J1485" i="23"/>
  <c r="I1485" i="23"/>
  <c r="H1485" i="23"/>
  <c r="G1485" i="23"/>
  <c r="F1485" i="23"/>
  <c r="E1485" i="23"/>
  <c r="L8" i="77" s="1"/>
  <c r="R1484" i="23"/>
  <c r="P1484" i="23"/>
  <c r="O1484" i="23"/>
  <c r="N1484" i="23"/>
  <c r="M1484" i="23"/>
  <c r="L1484" i="23"/>
  <c r="K1484" i="23"/>
  <c r="J1484" i="23"/>
  <c r="I1484" i="23"/>
  <c r="H1484" i="23"/>
  <c r="G1484" i="23"/>
  <c r="F1484" i="23"/>
  <c r="E1484" i="23"/>
  <c r="R1483" i="23"/>
  <c r="P1483" i="23"/>
  <c r="O1483" i="23"/>
  <c r="N1483" i="23"/>
  <c r="M1483" i="23"/>
  <c r="L1483" i="23"/>
  <c r="K1483" i="23"/>
  <c r="J1483" i="23"/>
  <c r="I1483" i="23"/>
  <c r="H1483" i="23"/>
  <c r="G1483" i="23"/>
  <c r="F1483" i="23"/>
  <c r="E1483" i="23"/>
  <c r="R1482" i="23"/>
  <c r="P1482" i="23"/>
  <c r="O1482" i="23"/>
  <c r="N1482" i="23"/>
  <c r="M1482" i="23"/>
  <c r="L1482" i="23"/>
  <c r="K1482" i="23"/>
  <c r="J1482" i="23"/>
  <c r="I1482" i="23"/>
  <c r="H1482" i="23"/>
  <c r="G1482" i="23"/>
  <c r="F1482" i="23"/>
  <c r="E1482" i="23"/>
  <c r="R1481" i="23"/>
  <c r="P1481" i="23"/>
  <c r="O1481" i="23"/>
  <c r="N1481" i="23"/>
  <c r="M1481" i="23"/>
  <c r="L1481" i="23"/>
  <c r="K1481" i="23"/>
  <c r="J1481" i="23"/>
  <c r="I1481" i="23"/>
  <c r="H1481" i="23"/>
  <c r="G1481" i="23"/>
  <c r="F1481" i="23"/>
  <c r="E1481" i="23"/>
  <c r="R1480" i="23"/>
  <c r="P1480" i="23"/>
  <c r="O1480" i="23"/>
  <c r="N1480" i="23"/>
  <c r="M1480" i="23"/>
  <c r="L1480" i="23"/>
  <c r="K1480" i="23"/>
  <c r="J1480" i="23"/>
  <c r="I1480" i="23"/>
  <c r="H1480" i="23"/>
  <c r="G1480" i="23"/>
  <c r="F1480" i="23"/>
  <c r="E1480" i="23"/>
  <c r="R1479" i="23"/>
  <c r="P1479" i="23"/>
  <c r="O1479" i="23"/>
  <c r="N1479" i="23"/>
  <c r="M1479" i="23"/>
  <c r="L1479" i="23"/>
  <c r="K1479" i="23"/>
  <c r="J1479" i="23"/>
  <c r="I1479" i="23"/>
  <c r="H1479" i="23"/>
  <c r="G1479" i="23"/>
  <c r="F1479" i="23"/>
  <c r="E1479" i="23"/>
  <c r="R1478" i="23"/>
  <c r="P1478" i="23"/>
  <c r="O1478" i="23"/>
  <c r="N1478" i="23"/>
  <c r="M1478" i="23"/>
  <c r="L1478" i="23"/>
  <c r="K1478" i="23"/>
  <c r="J1478" i="23"/>
  <c r="I1478" i="23"/>
  <c r="H1478" i="23"/>
  <c r="G1478" i="23"/>
  <c r="F1478" i="23"/>
  <c r="E1478" i="23"/>
  <c r="R1477" i="23"/>
  <c r="P1477" i="23"/>
  <c r="O1477" i="23"/>
  <c r="N1477" i="23"/>
  <c r="M1477" i="23"/>
  <c r="L1477" i="23"/>
  <c r="K1477" i="23"/>
  <c r="J1477" i="23"/>
  <c r="I1477" i="23"/>
  <c r="H1477" i="23"/>
  <c r="G1477" i="23"/>
  <c r="F1477" i="23"/>
  <c r="E1477" i="23"/>
  <c r="R1476" i="23"/>
  <c r="P1476" i="23"/>
  <c r="O1476" i="23"/>
  <c r="N1476" i="23"/>
  <c r="M1476" i="23"/>
  <c r="L1476" i="23"/>
  <c r="K1476" i="23"/>
  <c r="J1476" i="23"/>
  <c r="I1476" i="23"/>
  <c r="H1476" i="23"/>
  <c r="G1476" i="23"/>
  <c r="F1476" i="23"/>
  <c r="E1476" i="23"/>
  <c r="R1475" i="23"/>
  <c r="P1475" i="23"/>
  <c r="O1475" i="23"/>
  <c r="N1475" i="23"/>
  <c r="M1475" i="23"/>
  <c r="L1475" i="23"/>
  <c r="K1475" i="23"/>
  <c r="J1475" i="23"/>
  <c r="I1475" i="23"/>
  <c r="H1475" i="23"/>
  <c r="G1475" i="23"/>
  <c r="F1475" i="23"/>
  <c r="E1475" i="23"/>
  <c r="R1474" i="23"/>
  <c r="P1474" i="23"/>
  <c r="O1474" i="23"/>
  <c r="N1474" i="23"/>
  <c r="M1474" i="23"/>
  <c r="L1474" i="23"/>
  <c r="K1474" i="23"/>
  <c r="J1474" i="23"/>
  <c r="I1474" i="23"/>
  <c r="H1474" i="23"/>
  <c r="G1474" i="23"/>
  <c r="F1474" i="23"/>
  <c r="E1474" i="23"/>
  <c r="R1473" i="23"/>
  <c r="P1473" i="23"/>
  <c r="O1473" i="23"/>
  <c r="N1473" i="23"/>
  <c r="M1473" i="23"/>
  <c r="L1473" i="23"/>
  <c r="K1473" i="23"/>
  <c r="J1473" i="23"/>
  <c r="I1473" i="23"/>
  <c r="H1473" i="23"/>
  <c r="G1473" i="23"/>
  <c r="F1473" i="23"/>
  <c r="E1473" i="23"/>
  <c r="R1472" i="23"/>
  <c r="P1472" i="23"/>
  <c r="O1472" i="23"/>
  <c r="N1472" i="23"/>
  <c r="M1472" i="23"/>
  <c r="L1472" i="23"/>
  <c r="K1472" i="23"/>
  <c r="J1472" i="23"/>
  <c r="I1472" i="23"/>
  <c r="H1472" i="23"/>
  <c r="G1472" i="23"/>
  <c r="F1472" i="23"/>
  <c r="E1472" i="23"/>
  <c r="R1471" i="23"/>
  <c r="P1471" i="23"/>
  <c r="O1471" i="23"/>
  <c r="N1471" i="23"/>
  <c r="M1471" i="23"/>
  <c r="L1471" i="23"/>
  <c r="K1471" i="23"/>
  <c r="J1471" i="23"/>
  <c r="I1471" i="23"/>
  <c r="H1471" i="23"/>
  <c r="G1471" i="23"/>
  <c r="F1471" i="23"/>
  <c r="E1471" i="23"/>
  <c r="R1470" i="23"/>
  <c r="P1470" i="23"/>
  <c r="O1470" i="23"/>
  <c r="N1470" i="23"/>
  <c r="M1470" i="23"/>
  <c r="L1470" i="23"/>
  <c r="K1470" i="23"/>
  <c r="J1470" i="23"/>
  <c r="I1470" i="23"/>
  <c r="H1470" i="23"/>
  <c r="G1470" i="23"/>
  <c r="F1470" i="23"/>
  <c r="E1470" i="23"/>
  <c r="R1469" i="23"/>
  <c r="P1469" i="23"/>
  <c r="O1469" i="23"/>
  <c r="N1469" i="23"/>
  <c r="M1469" i="23"/>
  <c r="L1469" i="23"/>
  <c r="K1469" i="23"/>
  <c r="J1469" i="23"/>
  <c r="I1469" i="23"/>
  <c r="H1469" i="23"/>
  <c r="G1469" i="23"/>
  <c r="F1469" i="23"/>
  <c r="E1469" i="23"/>
  <c r="R1468" i="23"/>
  <c r="P1468" i="23"/>
  <c r="O1468" i="23"/>
  <c r="N1468" i="23"/>
  <c r="M1468" i="23"/>
  <c r="L1468" i="23"/>
  <c r="K1468" i="23"/>
  <c r="J1468" i="23"/>
  <c r="I1468" i="23"/>
  <c r="H1468" i="23"/>
  <c r="G1468" i="23"/>
  <c r="F1468" i="23"/>
  <c r="E1468" i="23"/>
  <c r="R1467" i="23"/>
  <c r="P1467" i="23"/>
  <c r="O1467" i="23"/>
  <c r="N1467" i="23"/>
  <c r="M1467" i="23"/>
  <c r="L1467" i="23"/>
  <c r="K1467" i="23"/>
  <c r="J1467" i="23"/>
  <c r="I1467" i="23"/>
  <c r="H1467" i="23"/>
  <c r="G1467" i="23"/>
  <c r="F1467" i="23"/>
  <c r="E1467" i="23"/>
  <c r="R1466" i="23"/>
  <c r="P1466" i="23"/>
  <c r="O1466" i="23"/>
  <c r="N1466" i="23"/>
  <c r="M1466" i="23"/>
  <c r="L1466" i="23"/>
  <c r="K1466" i="23"/>
  <c r="J1466" i="23"/>
  <c r="I1466" i="23"/>
  <c r="H1466" i="23"/>
  <c r="G1466" i="23"/>
  <c r="F1466" i="23"/>
  <c r="E1466" i="23"/>
  <c r="R1465" i="23"/>
  <c r="P1465" i="23"/>
  <c r="O1465" i="23"/>
  <c r="N1465" i="23"/>
  <c r="M1465" i="23"/>
  <c r="L1465" i="23"/>
  <c r="K1465" i="23"/>
  <c r="J1465" i="23"/>
  <c r="I1465" i="23"/>
  <c r="H1465" i="23"/>
  <c r="G1465" i="23"/>
  <c r="F1465" i="23"/>
  <c r="E1465" i="23"/>
  <c r="R1464" i="23"/>
  <c r="P1464" i="23"/>
  <c r="O1464" i="23"/>
  <c r="N1464" i="23"/>
  <c r="M1464" i="23"/>
  <c r="L1464" i="23"/>
  <c r="K1464" i="23"/>
  <c r="J1464" i="23"/>
  <c r="I1464" i="23"/>
  <c r="H1464" i="23"/>
  <c r="G1464" i="23"/>
  <c r="F1464" i="23"/>
  <c r="E1464" i="23"/>
  <c r="R1463" i="23"/>
  <c r="P1463" i="23"/>
  <c r="O1463" i="23"/>
  <c r="N1463" i="23"/>
  <c r="M1463" i="23"/>
  <c r="L1463" i="23"/>
  <c r="K1463" i="23"/>
  <c r="J1463" i="23"/>
  <c r="I1463" i="23"/>
  <c r="H1463" i="23"/>
  <c r="G1463" i="23"/>
  <c r="F1463" i="23"/>
  <c r="E1463" i="23"/>
  <c r="R1462" i="23"/>
  <c r="P1462" i="23"/>
  <c r="O1462" i="23"/>
  <c r="N1462" i="23"/>
  <c r="M1462" i="23"/>
  <c r="L1462" i="23"/>
  <c r="K1462" i="23"/>
  <c r="J1462" i="23"/>
  <c r="I1462" i="23"/>
  <c r="H1462" i="23"/>
  <c r="G1462" i="23"/>
  <c r="F1462" i="23"/>
  <c r="E1462" i="23"/>
  <c r="R1461" i="23"/>
  <c r="P1461" i="23"/>
  <c r="O1461" i="23"/>
  <c r="N1461" i="23"/>
  <c r="M1461" i="23"/>
  <c r="L1461" i="23"/>
  <c r="K1461" i="23"/>
  <c r="J1461" i="23"/>
  <c r="I1461" i="23"/>
  <c r="H1461" i="23"/>
  <c r="G1461" i="23"/>
  <c r="F1461" i="23"/>
  <c r="E1461" i="23"/>
  <c r="R1460" i="23"/>
  <c r="P1460" i="23"/>
  <c r="O1460" i="23"/>
  <c r="N1460" i="23"/>
  <c r="M1460" i="23"/>
  <c r="L1460" i="23"/>
  <c r="K1460" i="23"/>
  <c r="J1460" i="23"/>
  <c r="I1460" i="23"/>
  <c r="H1460" i="23"/>
  <c r="G1460" i="23"/>
  <c r="F1460" i="23"/>
  <c r="E1460" i="23"/>
  <c r="R1459" i="23"/>
  <c r="P1459" i="23"/>
  <c r="O1459" i="23"/>
  <c r="N1459" i="23"/>
  <c r="M1459" i="23"/>
  <c r="L1459" i="23"/>
  <c r="K1459" i="23"/>
  <c r="J1459" i="23"/>
  <c r="I1459" i="23"/>
  <c r="H1459" i="23"/>
  <c r="G1459" i="23"/>
  <c r="F1459" i="23"/>
  <c r="E1459" i="23"/>
  <c r="R1458" i="23"/>
  <c r="P1458" i="23"/>
  <c r="O1458" i="23"/>
  <c r="N1458" i="23"/>
  <c r="M1458" i="23"/>
  <c r="L1458" i="23"/>
  <c r="K1458" i="23"/>
  <c r="J1458" i="23"/>
  <c r="I1458" i="23"/>
  <c r="H1458" i="23"/>
  <c r="G1458" i="23"/>
  <c r="F1458" i="23"/>
  <c r="E1458" i="23"/>
  <c r="R1457" i="23"/>
  <c r="P1457" i="23"/>
  <c r="O1457" i="23"/>
  <c r="N1457" i="23"/>
  <c r="M1457" i="23"/>
  <c r="L1457" i="23"/>
  <c r="K1457" i="23"/>
  <c r="J1457" i="23"/>
  <c r="I1457" i="23"/>
  <c r="H1457" i="23"/>
  <c r="G1457" i="23"/>
  <c r="F1457" i="23"/>
  <c r="E1457" i="23"/>
  <c r="R1456" i="23"/>
  <c r="P1456" i="23"/>
  <c r="O1456" i="23"/>
  <c r="N1456" i="23"/>
  <c r="M1456" i="23"/>
  <c r="L1456" i="23"/>
  <c r="K1456" i="23"/>
  <c r="J1456" i="23"/>
  <c r="I1456" i="23"/>
  <c r="H1456" i="23"/>
  <c r="G1456" i="23"/>
  <c r="F1456" i="23"/>
  <c r="E1456" i="23"/>
  <c r="R1455" i="23"/>
  <c r="P1455" i="23"/>
  <c r="O1455" i="23"/>
  <c r="N1455" i="23"/>
  <c r="M1455" i="23"/>
  <c r="L1455" i="23"/>
  <c r="K1455" i="23"/>
  <c r="J1455" i="23"/>
  <c r="I1455" i="23"/>
  <c r="H1455" i="23"/>
  <c r="G1455" i="23"/>
  <c r="F1455" i="23"/>
  <c r="E1455" i="23"/>
  <c r="R1454" i="23"/>
  <c r="P1454" i="23"/>
  <c r="O1454" i="23"/>
  <c r="N1454" i="23"/>
  <c r="M1454" i="23"/>
  <c r="L1454" i="23"/>
  <c r="K1454" i="23"/>
  <c r="J1454" i="23"/>
  <c r="I1454" i="23"/>
  <c r="H1454" i="23"/>
  <c r="G1454" i="23"/>
  <c r="F1454" i="23"/>
  <c r="E1454" i="23"/>
  <c r="R1453" i="23"/>
  <c r="P1453" i="23"/>
  <c r="O1453" i="23"/>
  <c r="N1453" i="23"/>
  <c r="M1453" i="23"/>
  <c r="L1453" i="23"/>
  <c r="K1453" i="23"/>
  <c r="J1453" i="23"/>
  <c r="I1453" i="23"/>
  <c r="H1453" i="23"/>
  <c r="G1453" i="23"/>
  <c r="F1453" i="23"/>
  <c r="E1453" i="23"/>
  <c r="R1452" i="23"/>
  <c r="P1452" i="23"/>
  <c r="O1452" i="23"/>
  <c r="N1452" i="23"/>
  <c r="M1452" i="23"/>
  <c r="L1452" i="23"/>
  <c r="K1452" i="23"/>
  <c r="J1452" i="23"/>
  <c r="I1452" i="23"/>
  <c r="H1452" i="23"/>
  <c r="G1452" i="23"/>
  <c r="F1452" i="23"/>
  <c r="E1452" i="23"/>
  <c r="R1451" i="23"/>
  <c r="P1451" i="23"/>
  <c r="O1451" i="23"/>
  <c r="N1451" i="23"/>
  <c r="M1451" i="23"/>
  <c r="L1451" i="23"/>
  <c r="K1451" i="23"/>
  <c r="J1451" i="23"/>
  <c r="I1451" i="23"/>
  <c r="H1451" i="23"/>
  <c r="G1451" i="23"/>
  <c r="F1451" i="23"/>
  <c r="E1451" i="23"/>
  <c r="R1450" i="23"/>
  <c r="P1450" i="23"/>
  <c r="O1450" i="23"/>
  <c r="N1450" i="23"/>
  <c r="M1450" i="23"/>
  <c r="L1450" i="23"/>
  <c r="K1450" i="23"/>
  <c r="J1450" i="23"/>
  <c r="I1450" i="23"/>
  <c r="H1450" i="23"/>
  <c r="G1450" i="23"/>
  <c r="F1450" i="23"/>
  <c r="E1450" i="23"/>
  <c r="R1449" i="23"/>
  <c r="P1449" i="23"/>
  <c r="O1449" i="23"/>
  <c r="N1449" i="23"/>
  <c r="M1449" i="23"/>
  <c r="L1449" i="23"/>
  <c r="K1449" i="23"/>
  <c r="J1449" i="23"/>
  <c r="I1449" i="23"/>
  <c r="H1449" i="23"/>
  <c r="G1449" i="23"/>
  <c r="F1449" i="23"/>
  <c r="E1449" i="23"/>
  <c r="R1448" i="23"/>
  <c r="P1448" i="23"/>
  <c r="O1448" i="23"/>
  <c r="N1448" i="23"/>
  <c r="M1448" i="23"/>
  <c r="L1448" i="23"/>
  <c r="K1448" i="23"/>
  <c r="J1448" i="23"/>
  <c r="I1448" i="23"/>
  <c r="H1448" i="23"/>
  <c r="G1448" i="23"/>
  <c r="F1448" i="23"/>
  <c r="E1448" i="23"/>
  <c r="R1447" i="23"/>
  <c r="P1447" i="23"/>
  <c r="O1447" i="23"/>
  <c r="N1447" i="23"/>
  <c r="M1447" i="23"/>
  <c r="L1447" i="23"/>
  <c r="K1447" i="23"/>
  <c r="J1447" i="23"/>
  <c r="I1447" i="23"/>
  <c r="H1447" i="23"/>
  <c r="G1447" i="23"/>
  <c r="F1447" i="23"/>
  <c r="E1447" i="23"/>
  <c r="R1446" i="23"/>
  <c r="P1446" i="23"/>
  <c r="O1446" i="23"/>
  <c r="N1446" i="23"/>
  <c r="M1446" i="23"/>
  <c r="L1446" i="23"/>
  <c r="K1446" i="23"/>
  <c r="J1446" i="23"/>
  <c r="I1446" i="23"/>
  <c r="H1446" i="23"/>
  <c r="G1446" i="23"/>
  <c r="F1446" i="23"/>
  <c r="E1446" i="23"/>
  <c r="R1445" i="23"/>
  <c r="P1445" i="23"/>
  <c r="O1445" i="23"/>
  <c r="N1445" i="23"/>
  <c r="M1445" i="23"/>
  <c r="L1445" i="23"/>
  <c r="K1445" i="23"/>
  <c r="J1445" i="23"/>
  <c r="I1445" i="23"/>
  <c r="H1445" i="23"/>
  <c r="G1445" i="23"/>
  <c r="F1445" i="23"/>
  <c r="E1445" i="23"/>
  <c r="R1444" i="23"/>
  <c r="P1444" i="23"/>
  <c r="O1444" i="23"/>
  <c r="N1444" i="23"/>
  <c r="M1444" i="23"/>
  <c r="L1444" i="23"/>
  <c r="K1444" i="23"/>
  <c r="J1444" i="23"/>
  <c r="I1444" i="23"/>
  <c r="H1444" i="23"/>
  <c r="G1444" i="23"/>
  <c r="F1444" i="23"/>
  <c r="E1444" i="23"/>
  <c r="R1443" i="23"/>
  <c r="P1443" i="23"/>
  <c r="O1443" i="23"/>
  <c r="N1443" i="23"/>
  <c r="M1443" i="23"/>
  <c r="L1443" i="23"/>
  <c r="K1443" i="23"/>
  <c r="J1443" i="23"/>
  <c r="I1443" i="23"/>
  <c r="H1443" i="23"/>
  <c r="G1443" i="23"/>
  <c r="F1443" i="23"/>
  <c r="E1443" i="23"/>
  <c r="R1442" i="23"/>
  <c r="P1442" i="23"/>
  <c r="O1442" i="23"/>
  <c r="N1442" i="23"/>
  <c r="M1442" i="23"/>
  <c r="L1442" i="23"/>
  <c r="K1442" i="23"/>
  <c r="J1442" i="23"/>
  <c r="I1442" i="23"/>
  <c r="H1442" i="23"/>
  <c r="G1442" i="23"/>
  <c r="F1442" i="23"/>
  <c r="E1442" i="23"/>
  <c r="R1441" i="23"/>
  <c r="P1441" i="23"/>
  <c r="O1441" i="23"/>
  <c r="N1441" i="23"/>
  <c r="M1441" i="23"/>
  <c r="L1441" i="23"/>
  <c r="K1441" i="23"/>
  <c r="J1441" i="23"/>
  <c r="I1441" i="23"/>
  <c r="H1441" i="23"/>
  <c r="G1441" i="23"/>
  <c r="F1441" i="23"/>
  <c r="E1441" i="23"/>
  <c r="R1440" i="23"/>
  <c r="P1440" i="23"/>
  <c r="O1440" i="23"/>
  <c r="N1440" i="23"/>
  <c r="M1440" i="23"/>
  <c r="L1440" i="23"/>
  <c r="K1440" i="23"/>
  <c r="J1440" i="23"/>
  <c r="I1440" i="23"/>
  <c r="H1440" i="23"/>
  <c r="G1440" i="23"/>
  <c r="F1440" i="23"/>
  <c r="E1440" i="23"/>
  <c r="R1439" i="23"/>
  <c r="P1439" i="23"/>
  <c r="O1439" i="23"/>
  <c r="N1439" i="23"/>
  <c r="M1439" i="23"/>
  <c r="L1439" i="23"/>
  <c r="K1439" i="23"/>
  <c r="J1439" i="23"/>
  <c r="I1439" i="23"/>
  <c r="H1439" i="23"/>
  <c r="G1439" i="23"/>
  <c r="F1439" i="23"/>
  <c r="E1439" i="23"/>
  <c r="R1628" i="23"/>
  <c r="B9" i="77" s="1"/>
  <c r="P1628" i="23"/>
  <c r="O1628" i="23"/>
  <c r="N1628" i="23"/>
  <c r="M1628" i="23"/>
  <c r="C9" i="77" s="1"/>
  <c r="L1628" i="23"/>
  <c r="K1628" i="23"/>
  <c r="J1628" i="23"/>
  <c r="I1628" i="23"/>
  <c r="H1628" i="23"/>
  <c r="G1628" i="23"/>
  <c r="F1628" i="23"/>
  <c r="R1627" i="23"/>
  <c r="P1627" i="23"/>
  <c r="O1627" i="23"/>
  <c r="N1627" i="23"/>
  <c r="M1627" i="23"/>
  <c r="L1627" i="23"/>
  <c r="K1627" i="23"/>
  <c r="J1627" i="23"/>
  <c r="I1627" i="23"/>
  <c r="H1627" i="23"/>
  <c r="G1627" i="23"/>
  <c r="F1627" i="23"/>
  <c r="R1626" i="23"/>
  <c r="P1626" i="23"/>
  <c r="O1626" i="23"/>
  <c r="N1626" i="23"/>
  <c r="M1626" i="23"/>
  <c r="L1626" i="23"/>
  <c r="K1626" i="23"/>
  <c r="J1626" i="23"/>
  <c r="I1626" i="23"/>
  <c r="H1626" i="23"/>
  <c r="G1626" i="23"/>
  <c r="F1626" i="23"/>
  <c r="R1625" i="23"/>
  <c r="P1625" i="23"/>
  <c r="O1625" i="23"/>
  <c r="N1625" i="23"/>
  <c r="M1625" i="23"/>
  <c r="L1625" i="23"/>
  <c r="K1625" i="23"/>
  <c r="J1625" i="23"/>
  <c r="I1625" i="23"/>
  <c r="H1625" i="23"/>
  <c r="G1625" i="23"/>
  <c r="F1625" i="23"/>
  <c r="R1624" i="23"/>
  <c r="P1624" i="23"/>
  <c r="O1624" i="23"/>
  <c r="N1624" i="23"/>
  <c r="M1624" i="23"/>
  <c r="L1624" i="23"/>
  <c r="K1624" i="23"/>
  <c r="J1624" i="23"/>
  <c r="I1624" i="23"/>
  <c r="H1624" i="23"/>
  <c r="G1624" i="23"/>
  <c r="F1624" i="23"/>
  <c r="R1623" i="23"/>
  <c r="P1623" i="23"/>
  <c r="O1623" i="23"/>
  <c r="N1623" i="23"/>
  <c r="M1623" i="23"/>
  <c r="L1623" i="23"/>
  <c r="K1623" i="23"/>
  <c r="J1623" i="23"/>
  <c r="I1623" i="23"/>
  <c r="H1623" i="23"/>
  <c r="G1623" i="23"/>
  <c r="F1623" i="23"/>
  <c r="R1622" i="23"/>
  <c r="P1622" i="23"/>
  <c r="O1622" i="23"/>
  <c r="N1622" i="23"/>
  <c r="M1622" i="23"/>
  <c r="L1622" i="23"/>
  <c r="K1622" i="23"/>
  <c r="J1622" i="23"/>
  <c r="I1622" i="23"/>
  <c r="H1622" i="23"/>
  <c r="G1622" i="23"/>
  <c r="F1622" i="23"/>
  <c r="R1621" i="23"/>
  <c r="P1621" i="23"/>
  <c r="O1621" i="23"/>
  <c r="N1621" i="23"/>
  <c r="M1621" i="23"/>
  <c r="L1621" i="23"/>
  <c r="K1621" i="23"/>
  <c r="J1621" i="23"/>
  <c r="I1621" i="23"/>
  <c r="H1621" i="23"/>
  <c r="G1621" i="23"/>
  <c r="F1621" i="23"/>
  <c r="R1620" i="23"/>
  <c r="P1620" i="23"/>
  <c r="O1620" i="23"/>
  <c r="N1620" i="23"/>
  <c r="M1620" i="23"/>
  <c r="L1620" i="23"/>
  <c r="K1620" i="23"/>
  <c r="J1620" i="23"/>
  <c r="I1620" i="23"/>
  <c r="H1620" i="23"/>
  <c r="G1620" i="23"/>
  <c r="F1620" i="23"/>
  <c r="R1619" i="23"/>
  <c r="P1619" i="23"/>
  <c r="O1619" i="23"/>
  <c r="N1619" i="23"/>
  <c r="M1619" i="23"/>
  <c r="L1619" i="23"/>
  <c r="K1619" i="23"/>
  <c r="J1619" i="23"/>
  <c r="I1619" i="23"/>
  <c r="H1619" i="23"/>
  <c r="G1619" i="23"/>
  <c r="F1619" i="23"/>
  <c r="R1618" i="23"/>
  <c r="P1618" i="23"/>
  <c r="O1618" i="23"/>
  <c r="N1618" i="23"/>
  <c r="M1618" i="23"/>
  <c r="L1618" i="23"/>
  <c r="K1618" i="23"/>
  <c r="J1618" i="23"/>
  <c r="I1618" i="23"/>
  <c r="H1618" i="23"/>
  <c r="G1618" i="23"/>
  <c r="F1618" i="23"/>
  <c r="R1617" i="23"/>
  <c r="P1617" i="23"/>
  <c r="O1617" i="23"/>
  <c r="N1617" i="23"/>
  <c r="M1617" i="23"/>
  <c r="L1617" i="23"/>
  <c r="K1617" i="23"/>
  <c r="J1617" i="23"/>
  <c r="I1617" i="23"/>
  <c r="H1617" i="23"/>
  <c r="G1617" i="23"/>
  <c r="F1617" i="23"/>
  <c r="R1616" i="23"/>
  <c r="P1616" i="23"/>
  <c r="O1616" i="23"/>
  <c r="N1616" i="23"/>
  <c r="M1616" i="23"/>
  <c r="L1616" i="23"/>
  <c r="K1616" i="23"/>
  <c r="J1616" i="23"/>
  <c r="I1616" i="23"/>
  <c r="H1616" i="23"/>
  <c r="G1616" i="23"/>
  <c r="F1616" i="23"/>
  <c r="R1615" i="23"/>
  <c r="P1615" i="23"/>
  <c r="O1615" i="23"/>
  <c r="N1615" i="23"/>
  <c r="M1615" i="23"/>
  <c r="L1615" i="23"/>
  <c r="K1615" i="23"/>
  <c r="J1615" i="23"/>
  <c r="I1615" i="23"/>
  <c r="H1615" i="23"/>
  <c r="G1615" i="23"/>
  <c r="F1615" i="23"/>
  <c r="R1614" i="23"/>
  <c r="P1614" i="23"/>
  <c r="O1614" i="23"/>
  <c r="N1614" i="23"/>
  <c r="M1614" i="23"/>
  <c r="L1614" i="23"/>
  <c r="K1614" i="23"/>
  <c r="J1614" i="23"/>
  <c r="I1614" i="23"/>
  <c r="H1614" i="23"/>
  <c r="G1614" i="23"/>
  <c r="F1614" i="23"/>
  <c r="R1613" i="23"/>
  <c r="P1613" i="23"/>
  <c r="O1613" i="23"/>
  <c r="N1613" i="23"/>
  <c r="M1613" i="23"/>
  <c r="L1613" i="23"/>
  <c r="K1613" i="23"/>
  <c r="J1613" i="23"/>
  <c r="I1613" i="23"/>
  <c r="H1613" i="23"/>
  <c r="G1613" i="23"/>
  <c r="F1613" i="23"/>
  <c r="R1612" i="23"/>
  <c r="P1612" i="23"/>
  <c r="O1612" i="23"/>
  <c r="N1612" i="23"/>
  <c r="M1612" i="23"/>
  <c r="L1612" i="23"/>
  <c r="K1612" i="23"/>
  <c r="J1612" i="23"/>
  <c r="I1612" i="23"/>
  <c r="H1612" i="23"/>
  <c r="G1612" i="23"/>
  <c r="F1612" i="23"/>
  <c r="R1611" i="23"/>
  <c r="P1611" i="23"/>
  <c r="O1611" i="23"/>
  <c r="N1611" i="23"/>
  <c r="M1611" i="23"/>
  <c r="L1611" i="23"/>
  <c r="K1611" i="23"/>
  <c r="J1611" i="23"/>
  <c r="I1611" i="23"/>
  <c r="H1611" i="23"/>
  <c r="G1611" i="23"/>
  <c r="F1611" i="23"/>
  <c r="R1610" i="23"/>
  <c r="P1610" i="23"/>
  <c r="O1610" i="23"/>
  <c r="N1610" i="23"/>
  <c r="M1610" i="23"/>
  <c r="L1610" i="23"/>
  <c r="K1610" i="23"/>
  <c r="J1610" i="23"/>
  <c r="I1610" i="23"/>
  <c r="H1610" i="23"/>
  <c r="G1610" i="23"/>
  <c r="F1610" i="23"/>
  <c r="R1609" i="23"/>
  <c r="P1609" i="23"/>
  <c r="O1609" i="23"/>
  <c r="N1609" i="23"/>
  <c r="M1609" i="23"/>
  <c r="L1609" i="23"/>
  <c r="K1609" i="23"/>
  <c r="J1609" i="23"/>
  <c r="I1609" i="23"/>
  <c r="H1609" i="23"/>
  <c r="G1609" i="23"/>
  <c r="F1609" i="23"/>
  <c r="R1608" i="23"/>
  <c r="P1608" i="23"/>
  <c r="O1608" i="23"/>
  <c r="N1608" i="23"/>
  <c r="M1608" i="23"/>
  <c r="L1608" i="23"/>
  <c r="K1608" i="23"/>
  <c r="J1608" i="23"/>
  <c r="I1608" i="23"/>
  <c r="H1608" i="23"/>
  <c r="G1608" i="23"/>
  <c r="F1608" i="23"/>
  <c r="R1607" i="23"/>
  <c r="P1607" i="23"/>
  <c r="O1607" i="23"/>
  <c r="N1607" i="23"/>
  <c r="M1607" i="23"/>
  <c r="L1607" i="23"/>
  <c r="K1607" i="23"/>
  <c r="J1607" i="23"/>
  <c r="I1607" i="23"/>
  <c r="H1607" i="23"/>
  <c r="G1607" i="23"/>
  <c r="F1607" i="23"/>
  <c r="R1606" i="23"/>
  <c r="P1606" i="23"/>
  <c r="O1606" i="23"/>
  <c r="N1606" i="23"/>
  <c r="M1606" i="23"/>
  <c r="L1606" i="23"/>
  <c r="K1606" i="23"/>
  <c r="J1606" i="23"/>
  <c r="I1606" i="23"/>
  <c r="H1606" i="23"/>
  <c r="G1606" i="23"/>
  <c r="F1606" i="23"/>
  <c r="R1605" i="23"/>
  <c r="P1605" i="23"/>
  <c r="O1605" i="23"/>
  <c r="N1605" i="23"/>
  <c r="M1605" i="23"/>
  <c r="L1605" i="23"/>
  <c r="K1605" i="23"/>
  <c r="J1605" i="23"/>
  <c r="I1605" i="23"/>
  <c r="H1605" i="23"/>
  <c r="G1605" i="23"/>
  <c r="F1605" i="23"/>
  <c r="R1604" i="23"/>
  <c r="P1604" i="23"/>
  <c r="O1604" i="23"/>
  <c r="N1604" i="23"/>
  <c r="M1604" i="23"/>
  <c r="L1604" i="23"/>
  <c r="K1604" i="23"/>
  <c r="J1604" i="23"/>
  <c r="I1604" i="23"/>
  <c r="H1604" i="23"/>
  <c r="G1604" i="23"/>
  <c r="F1604" i="23"/>
  <c r="R1603" i="23"/>
  <c r="P1603" i="23"/>
  <c r="O1603" i="23"/>
  <c r="N1603" i="23"/>
  <c r="M1603" i="23"/>
  <c r="L1603" i="23"/>
  <c r="K1603" i="23"/>
  <c r="J1603" i="23"/>
  <c r="I1603" i="23"/>
  <c r="H1603" i="23"/>
  <c r="G1603" i="23"/>
  <c r="F1603" i="23"/>
  <c r="R1602" i="23"/>
  <c r="P1602" i="23"/>
  <c r="O1602" i="23"/>
  <c r="N1602" i="23"/>
  <c r="M1602" i="23"/>
  <c r="L1602" i="23"/>
  <c r="K1602" i="23"/>
  <c r="J1602" i="23"/>
  <c r="I1602" i="23"/>
  <c r="H1602" i="23"/>
  <c r="G1602" i="23"/>
  <c r="F1602" i="23"/>
  <c r="R1601" i="23"/>
  <c r="P1601" i="23"/>
  <c r="O1601" i="23"/>
  <c r="N1601" i="23"/>
  <c r="M1601" i="23"/>
  <c r="L1601" i="23"/>
  <c r="K1601" i="23"/>
  <c r="J1601" i="23"/>
  <c r="I1601" i="23"/>
  <c r="H1601" i="23"/>
  <c r="G1601" i="23"/>
  <c r="F1601" i="23"/>
  <c r="R1600" i="23"/>
  <c r="P1600" i="23"/>
  <c r="O1600" i="23"/>
  <c r="N1600" i="23"/>
  <c r="M1600" i="23"/>
  <c r="L1600" i="23"/>
  <c r="K1600" i="23"/>
  <c r="J1600" i="23"/>
  <c r="I1600" i="23"/>
  <c r="H1600" i="23"/>
  <c r="G1600" i="23"/>
  <c r="F1600" i="23"/>
  <c r="R1599" i="23"/>
  <c r="P1599" i="23"/>
  <c r="O1599" i="23"/>
  <c r="N1599" i="23"/>
  <c r="M1599" i="23"/>
  <c r="L1599" i="23"/>
  <c r="K1599" i="23"/>
  <c r="J1599" i="23"/>
  <c r="I1599" i="23"/>
  <c r="H1599" i="23"/>
  <c r="G1599" i="23"/>
  <c r="F1599" i="23"/>
  <c r="R1598" i="23"/>
  <c r="P1598" i="23"/>
  <c r="O1598" i="23"/>
  <c r="N1598" i="23"/>
  <c r="M1598" i="23"/>
  <c r="L1598" i="23"/>
  <c r="K1598" i="23"/>
  <c r="J1598" i="23"/>
  <c r="I1598" i="23"/>
  <c r="H1598" i="23"/>
  <c r="G1598" i="23"/>
  <c r="F1598" i="23"/>
  <c r="R1597" i="23"/>
  <c r="P1597" i="23"/>
  <c r="O1597" i="23"/>
  <c r="N1597" i="23"/>
  <c r="M1597" i="23"/>
  <c r="L1597" i="23"/>
  <c r="K1597" i="23"/>
  <c r="J1597" i="23"/>
  <c r="I1597" i="23"/>
  <c r="H1597" i="23"/>
  <c r="G1597" i="23"/>
  <c r="F1597" i="23"/>
  <c r="R1596" i="23"/>
  <c r="P1596" i="23"/>
  <c r="O1596" i="23"/>
  <c r="N1596" i="23"/>
  <c r="M1596" i="23"/>
  <c r="L1596" i="23"/>
  <c r="K1596" i="23"/>
  <c r="J1596" i="23"/>
  <c r="I1596" i="23"/>
  <c r="H1596" i="23"/>
  <c r="G1596" i="23"/>
  <c r="F1596" i="23"/>
  <c r="R1595" i="23"/>
  <c r="P1595" i="23"/>
  <c r="O1595" i="23"/>
  <c r="N1595" i="23"/>
  <c r="M1595" i="23"/>
  <c r="L1595" i="23"/>
  <c r="K1595" i="23"/>
  <c r="J1595" i="23"/>
  <c r="I1595" i="23"/>
  <c r="H1595" i="23"/>
  <c r="G1595" i="23"/>
  <c r="R1594" i="23"/>
  <c r="P1594" i="23"/>
  <c r="O1594" i="23"/>
  <c r="N1594" i="23"/>
  <c r="M1594" i="23"/>
  <c r="L1594" i="23"/>
  <c r="K1594" i="23"/>
  <c r="J1594" i="23"/>
  <c r="I1594" i="23"/>
  <c r="H1594" i="23"/>
  <c r="G1594" i="23"/>
  <c r="F1594" i="23"/>
  <c r="R1593" i="23"/>
  <c r="P1593" i="23"/>
  <c r="O1593" i="23"/>
  <c r="N1593" i="23"/>
  <c r="M1593" i="23"/>
  <c r="L1593" i="23"/>
  <c r="K1593" i="23"/>
  <c r="J1593" i="23"/>
  <c r="I1593" i="23"/>
  <c r="H1593" i="23"/>
  <c r="G1593" i="23"/>
  <c r="F1593" i="23"/>
  <c r="R1592" i="23"/>
  <c r="P1592" i="23"/>
  <c r="O1592" i="23"/>
  <c r="N1592" i="23"/>
  <c r="M1592" i="23"/>
  <c r="L1592" i="23"/>
  <c r="K1592" i="23"/>
  <c r="J1592" i="23"/>
  <c r="I1592" i="23"/>
  <c r="H1592" i="23"/>
  <c r="G1592" i="23"/>
  <c r="F1592" i="23"/>
  <c r="R1591" i="23"/>
  <c r="P1591" i="23"/>
  <c r="O1591" i="23"/>
  <c r="N1591" i="23"/>
  <c r="M1591" i="23"/>
  <c r="L1591" i="23"/>
  <c r="K1591" i="23"/>
  <c r="J1591" i="23"/>
  <c r="I1591" i="23"/>
  <c r="H1591" i="23"/>
  <c r="G1591" i="23"/>
  <c r="F1591" i="23"/>
  <c r="R1590" i="23"/>
  <c r="P1590" i="23"/>
  <c r="O1590" i="23"/>
  <c r="N1590" i="23"/>
  <c r="M1590" i="23"/>
  <c r="L1590" i="23"/>
  <c r="K1590" i="23"/>
  <c r="J1590" i="23"/>
  <c r="I1590" i="23"/>
  <c r="H1590" i="23"/>
  <c r="G1590" i="23"/>
  <c r="F1590" i="23"/>
  <c r="R1589" i="23"/>
  <c r="P1589" i="23"/>
  <c r="O1589" i="23"/>
  <c r="N1589" i="23"/>
  <c r="M1589" i="23"/>
  <c r="L1589" i="23"/>
  <c r="K1589" i="23"/>
  <c r="J1589" i="23"/>
  <c r="I1589" i="23"/>
  <c r="H1589" i="23"/>
  <c r="G1589" i="23"/>
  <c r="F1589" i="23"/>
  <c r="R1588" i="23"/>
  <c r="P1588" i="23"/>
  <c r="O1588" i="23"/>
  <c r="N1588" i="23"/>
  <c r="M1588" i="23"/>
  <c r="L1588" i="23"/>
  <c r="K1588" i="23"/>
  <c r="J1588" i="23"/>
  <c r="I1588" i="23"/>
  <c r="H1588" i="23"/>
  <c r="G1588" i="23"/>
  <c r="F1588" i="23"/>
  <c r="R1587" i="23"/>
  <c r="P1587" i="23"/>
  <c r="O1587" i="23"/>
  <c r="N1587" i="23"/>
  <c r="M1587" i="23"/>
  <c r="L1587" i="23"/>
  <c r="K1587" i="23"/>
  <c r="J1587" i="23"/>
  <c r="I1587" i="23"/>
  <c r="H1587" i="23"/>
  <c r="G1587" i="23"/>
  <c r="F1587" i="23"/>
  <c r="R1586" i="23"/>
  <c r="P1586" i="23"/>
  <c r="O1586" i="23"/>
  <c r="N1586" i="23"/>
  <c r="M1586" i="23"/>
  <c r="L1586" i="23"/>
  <c r="K1586" i="23"/>
  <c r="J1586" i="23"/>
  <c r="I1586" i="23"/>
  <c r="H1586" i="23"/>
  <c r="G1586" i="23"/>
  <c r="F1586" i="23"/>
  <c r="R1585" i="23"/>
  <c r="P1585" i="23"/>
  <c r="O1585" i="23"/>
  <c r="N1585" i="23"/>
  <c r="M1585" i="23"/>
  <c r="L1585" i="23"/>
  <c r="K1585" i="23"/>
  <c r="J1585" i="23"/>
  <c r="I1585" i="23"/>
  <c r="H1585" i="23"/>
  <c r="G1585" i="23"/>
  <c r="F1585" i="23"/>
  <c r="R1584" i="23"/>
  <c r="P1584" i="23"/>
  <c r="O1584" i="23"/>
  <c r="N1584" i="23"/>
  <c r="M1584" i="23"/>
  <c r="L1584" i="23"/>
  <c r="K1584" i="23"/>
  <c r="J1584" i="23"/>
  <c r="I1584" i="23"/>
  <c r="H1584" i="23"/>
  <c r="G1584" i="23"/>
  <c r="F1584" i="23"/>
  <c r="R1583" i="23"/>
  <c r="P1583" i="23"/>
  <c r="O1583" i="23"/>
  <c r="N1583" i="23"/>
  <c r="M1583" i="23"/>
  <c r="L1583" i="23"/>
  <c r="K1583" i="23"/>
  <c r="J1583" i="23"/>
  <c r="I1583" i="23"/>
  <c r="H1583" i="23"/>
  <c r="G1583" i="23"/>
  <c r="F1583" i="23"/>
  <c r="R1582" i="23"/>
  <c r="P1582" i="23"/>
  <c r="O1582" i="23"/>
  <c r="N1582" i="23"/>
  <c r="M1582" i="23"/>
  <c r="L1582" i="23"/>
  <c r="K1582" i="23"/>
  <c r="J1582" i="23"/>
  <c r="I1582" i="23"/>
  <c r="H1582" i="23"/>
  <c r="G1582" i="23"/>
  <c r="F1582" i="23"/>
  <c r="R1581" i="23"/>
  <c r="P1581" i="23"/>
  <c r="O1581" i="23"/>
  <c r="N1581" i="23"/>
  <c r="M1581" i="23"/>
  <c r="L1581" i="23"/>
  <c r="K1581" i="23"/>
  <c r="J1581" i="23"/>
  <c r="I1581" i="23"/>
  <c r="H1581" i="23"/>
  <c r="G1581" i="23"/>
  <c r="F1581" i="23"/>
  <c r="R1580" i="23"/>
  <c r="P1580" i="23"/>
  <c r="O1580" i="23"/>
  <c r="N1580" i="23"/>
  <c r="M1580" i="23"/>
  <c r="L1580" i="23"/>
  <c r="K1580" i="23"/>
  <c r="J1580" i="23"/>
  <c r="I1580" i="23"/>
  <c r="H1580" i="23"/>
  <c r="G1580" i="23"/>
  <c r="F1580" i="23"/>
  <c r="R1579" i="23"/>
  <c r="P1579" i="23"/>
  <c r="O1579" i="23"/>
  <c r="N1579" i="23"/>
  <c r="M1579" i="23"/>
  <c r="L1579" i="23"/>
  <c r="K1579" i="23"/>
  <c r="J1579" i="23"/>
  <c r="I1579" i="23"/>
  <c r="H1579" i="23"/>
  <c r="G1579" i="23"/>
  <c r="F1579" i="23"/>
  <c r="R1578" i="23"/>
  <c r="P1578" i="23"/>
  <c r="O1578" i="23"/>
  <c r="N1578" i="23"/>
  <c r="M1578" i="23"/>
  <c r="L1578" i="23"/>
  <c r="K1578" i="23"/>
  <c r="J1578" i="23"/>
  <c r="I1578" i="23"/>
  <c r="H1578" i="23"/>
  <c r="G1578" i="23"/>
  <c r="F1578" i="23"/>
  <c r="R1577" i="23"/>
  <c r="P1577" i="23"/>
  <c r="O1577" i="23"/>
  <c r="N1577" i="23"/>
  <c r="M1577" i="23"/>
  <c r="L1577" i="23"/>
  <c r="K1577" i="23"/>
  <c r="J1577" i="23"/>
  <c r="I1577" i="23"/>
  <c r="H1577" i="23"/>
  <c r="G1577" i="23"/>
  <c r="F1577" i="23"/>
  <c r="F1595" i="23"/>
  <c r="E1595" i="23"/>
  <c r="E1628" i="23"/>
  <c r="L9" i="77" s="1"/>
  <c r="E1627" i="23"/>
  <c r="E1626" i="23"/>
  <c r="E1625" i="23"/>
  <c r="E1624" i="23"/>
  <c r="E1623" i="23"/>
  <c r="E1622" i="23"/>
  <c r="E1621" i="23"/>
  <c r="E1620" i="23"/>
  <c r="E1619" i="23"/>
  <c r="E1618" i="23"/>
  <c r="E1617" i="23"/>
  <c r="E1616" i="23"/>
  <c r="E1615" i="23"/>
  <c r="E1614" i="23"/>
  <c r="E1613" i="23"/>
  <c r="E1612" i="23"/>
  <c r="E1611" i="23"/>
  <c r="E1610" i="23"/>
  <c r="E1609" i="23"/>
  <c r="E1608" i="23"/>
  <c r="E1607" i="23"/>
  <c r="E1606" i="23"/>
  <c r="E1605" i="23"/>
  <c r="E1604" i="23"/>
  <c r="E1603" i="23"/>
  <c r="E1602" i="23"/>
  <c r="E1601" i="23"/>
  <c r="E1600" i="23"/>
  <c r="E1599" i="23"/>
  <c r="E1598" i="23"/>
  <c r="E1597" i="23"/>
  <c r="E1596" i="23"/>
  <c r="E1594" i="23"/>
  <c r="E1593" i="23"/>
  <c r="E1592" i="23"/>
  <c r="E1591" i="23"/>
  <c r="E1590" i="23"/>
  <c r="E1589" i="23"/>
  <c r="E1588" i="23"/>
  <c r="E1587" i="23"/>
  <c r="E1586" i="23"/>
  <c r="E1585" i="23"/>
  <c r="E1584" i="23"/>
  <c r="E1583" i="23"/>
  <c r="E1582" i="23"/>
  <c r="E1581" i="23"/>
  <c r="E1580" i="23"/>
  <c r="E1579" i="23"/>
  <c r="E1578" i="23"/>
  <c r="E1577" i="23"/>
  <c r="N9" i="77" l="1"/>
  <c r="N5" i="77"/>
  <c r="N13" i="77"/>
  <c r="N6" i="77"/>
  <c r="N14" i="77"/>
  <c r="N10" i="77"/>
  <c r="N7" i="77"/>
  <c r="N15" i="77"/>
  <c r="N11" i="77"/>
  <c r="N8" i="77"/>
  <c r="N4" i="77"/>
  <c r="N12" i="77"/>
  <c r="G102" i="75"/>
  <c r="G108" i="75"/>
  <c r="C17" i="77"/>
  <c r="B17" i="77"/>
  <c r="G107" i="75"/>
  <c r="W902" i="23"/>
  <c r="X902" i="23" s="1"/>
  <c r="W45" i="23"/>
  <c r="X45" i="23" s="1"/>
  <c r="U45" i="23"/>
  <c r="T45" i="23"/>
  <c r="S45" i="23"/>
  <c r="J82" i="53" l="1"/>
  <c r="J81" i="53"/>
  <c r="G82" i="53"/>
  <c r="G81" i="53"/>
  <c r="J88" i="53"/>
  <c r="J85" i="53"/>
  <c r="J80" i="53" l="1"/>
  <c r="G79" i="53"/>
  <c r="G80" i="53"/>
  <c r="J79" i="53"/>
  <c r="G92" i="53"/>
  <c r="J92" i="53" s="1"/>
  <c r="J84" i="53" l="1"/>
  <c r="J86" i="53" s="1"/>
  <c r="J90" i="53" s="1"/>
  <c r="J97" i="53" s="1"/>
  <c r="G84" i="53"/>
  <c r="G86" i="53" s="1"/>
  <c r="G90" i="53" s="1"/>
  <c r="G97" i="53" s="1"/>
  <c r="J99" i="53" l="1"/>
  <c r="G385" i="53" l="1"/>
  <c r="G384" i="53"/>
  <c r="G383" i="53"/>
  <c r="J382" i="53"/>
  <c r="W207" i="2" l="1"/>
  <c r="V207" i="2"/>
  <c r="U207" i="2"/>
  <c r="L207" i="2"/>
  <c r="E207" i="2"/>
  <c r="W206" i="2"/>
  <c r="V206" i="2"/>
  <c r="U206" i="2"/>
  <c r="L206" i="2"/>
  <c r="E206" i="2"/>
  <c r="W205" i="2"/>
  <c r="V205" i="2"/>
  <c r="U205" i="2"/>
  <c r="L205" i="2"/>
  <c r="E205" i="2"/>
  <c r="W204" i="2"/>
  <c r="V204" i="2"/>
  <c r="U204" i="2"/>
  <c r="L204" i="2"/>
  <c r="E204" i="2"/>
  <c r="W203" i="2"/>
  <c r="V203" i="2"/>
  <c r="U203" i="2"/>
  <c r="L203" i="2"/>
  <c r="E203" i="2"/>
  <c r="J315" i="53" l="1"/>
  <c r="G197" i="53" l="1"/>
  <c r="I27" i="52" s="1"/>
  <c r="J236" i="53" l="1"/>
  <c r="G236" i="53"/>
  <c r="I28" i="52" s="1"/>
  <c r="I29" i="52" s="1"/>
  <c r="G51" i="52" l="1"/>
  <c r="M51" i="52" s="1"/>
  <c r="P51" i="52" s="1"/>
  <c r="U51" i="52" s="1"/>
  <c r="AB51" i="52" s="1"/>
  <c r="AF51" i="52" s="1"/>
  <c r="AG51" i="52" s="1"/>
  <c r="X32" i="3"/>
  <c r="X33" i="3"/>
  <c r="X34" i="3"/>
  <c r="X51" i="52" l="1"/>
  <c r="W1000" i="23"/>
  <c r="W1001" i="23"/>
  <c r="S1002" i="23"/>
  <c r="T1002" i="23"/>
  <c r="U1002" i="23"/>
  <c r="W1002" i="23"/>
  <c r="X1002" i="23" s="1"/>
  <c r="S1003" i="23"/>
  <c r="T1003" i="23"/>
  <c r="U1003" i="23"/>
  <c r="W1003" i="23"/>
  <c r="X1003" i="23" s="1"/>
  <c r="S1004" i="23"/>
  <c r="T1004" i="23"/>
  <c r="U1004" i="23"/>
  <c r="W1004" i="23"/>
  <c r="X1004" i="23" s="1"/>
  <c r="S1005" i="23"/>
  <c r="T1005" i="23"/>
  <c r="U1005" i="23"/>
  <c r="W1005" i="23"/>
  <c r="X1005" i="23" s="1"/>
  <c r="S1006" i="23"/>
  <c r="T1006" i="23"/>
  <c r="U1006" i="23"/>
  <c r="W1006" i="23"/>
  <c r="X1006" i="23" s="1"/>
  <c r="S1007" i="23"/>
  <c r="T1007" i="23"/>
  <c r="U1007" i="23"/>
  <c r="W1007" i="23"/>
  <c r="X1007" i="23" s="1"/>
  <c r="S1008" i="23"/>
  <c r="T1008" i="23"/>
  <c r="U1008" i="23"/>
  <c r="W1008" i="23"/>
  <c r="X1008" i="23" s="1"/>
  <c r="S1009" i="23"/>
  <c r="T1009" i="23"/>
  <c r="U1009" i="23"/>
  <c r="W1009" i="23"/>
  <c r="X1009" i="23" s="1"/>
  <c r="S1010" i="23"/>
  <c r="T1010" i="23"/>
  <c r="U1010" i="23"/>
  <c r="W1010" i="23"/>
  <c r="X1010" i="23" s="1"/>
  <c r="S1011" i="23"/>
  <c r="T1011" i="23"/>
  <c r="U1011" i="23"/>
  <c r="W1011" i="23"/>
  <c r="X1011" i="23" s="1"/>
  <c r="S1012" i="23"/>
  <c r="T1012" i="23"/>
  <c r="U1012" i="23"/>
  <c r="W1012" i="23"/>
  <c r="X1012" i="23" s="1"/>
  <c r="S1013" i="23"/>
  <c r="T1013" i="23"/>
  <c r="U1013" i="23"/>
  <c r="W1013" i="23"/>
  <c r="X1013" i="23" s="1"/>
  <c r="S1014" i="23"/>
  <c r="T1014" i="23"/>
  <c r="U1014" i="23"/>
  <c r="W1014" i="23"/>
  <c r="X1014" i="23" s="1"/>
  <c r="S1015" i="23"/>
  <c r="T1015" i="23"/>
  <c r="U1015" i="23"/>
  <c r="W1015" i="23"/>
  <c r="X1015" i="23" s="1"/>
  <c r="S1016" i="23"/>
  <c r="T1016" i="23"/>
  <c r="U1016" i="23"/>
  <c r="W1016" i="23"/>
  <c r="X1016" i="23" s="1"/>
  <c r="S1017" i="23"/>
  <c r="T1017" i="23"/>
  <c r="U1017" i="23"/>
  <c r="W1017" i="23"/>
  <c r="X1017" i="23" s="1"/>
  <c r="S1018" i="23"/>
  <c r="T1018" i="23"/>
  <c r="U1018" i="23"/>
  <c r="W1018" i="23"/>
  <c r="X1018" i="23" s="1"/>
  <c r="S1019" i="23"/>
  <c r="T1019" i="23"/>
  <c r="U1019" i="23"/>
  <c r="W1019" i="23"/>
  <c r="X1019" i="23" s="1"/>
  <c r="S1020" i="23"/>
  <c r="T1020" i="23"/>
  <c r="U1020" i="23"/>
  <c r="W1020" i="23"/>
  <c r="X1020" i="23" s="1"/>
  <c r="S1021" i="23"/>
  <c r="T1021" i="23"/>
  <c r="U1021" i="23"/>
  <c r="W1021" i="23"/>
  <c r="X1021" i="23" s="1"/>
  <c r="S1022" i="23"/>
  <c r="T1022" i="23"/>
  <c r="U1022" i="23"/>
  <c r="W1022" i="23"/>
  <c r="X1022" i="23" s="1"/>
  <c r="S1023" i="23"/>
  <c r="T1023" i="23"/>
  <c r="U1023" i="23"/>
  <c r="W1023" i="23"/>
  <c r="X1023" i="23" s="1"/>
  <c r="S1024" i="23"/>
  <c r="T1024" i="23"/>
  <c r="U1024" i="23"/>
  <c r="W1024" i="23"/>
  <c r="X1024" i="23" s="1"/>
  <c r="S1025" i="23"/>
  <c r="T1025" i="23"/>
  <c r="U1025" i="23"/>
  <c r="W1025" i="23"/>
  <c r="X1025" i="23" s="1"/>
  <c r="S1026" i="23"/>
  <c r="T1026" i="23"/>
  <c r="U1026" i="23"/>
  <c r="W1026" i="23"/>
  <c r="X1026" i="23" s="1"/>
  <c r="S1027" i="23"/>
  <c r="T1027" i="23"/>
  <c r="U1027" i="23"/>
  <c r="W1027" i="23"/>
  <c r="X1027" i="23" s="1"/>
  <c r="S1028" i="23"/>
  <c r="T1028" i="23"/>
  <c r="U1028" i="23"/>
  <c r="W1028" i="23"/>
  <c r="X1028" i="23" s="1"/>
  <c r="S1029" i="23"/>
  <c r="T1029" i="23"/>
  <c r="U1029" i="23"/>
  <c r="W1029" i="23"/>
  <c r="X1029" i="23" s="1"/>
  <c r="S1030" i="23"/>
  <c r="T1030" i="23"/>
  <c r="U1030" i="23"/>
  <c r="W1030" i="23"/>
  <c r="X1030" i="23" s="1"/>
  <c r="S1031" i="23"/>
  <c r="T1031" i="23"/>
  <c r="U1031" i="23"/>
  <c r="W1031" i="23"/>
  <c r="X1031" i="23" s="1"/>
  <c r="S1032" i="23"/>
  <c r="T1032" i="23"/>
  <c r="U1032" i="23"/>
  <c r="W1032" i="23"/>
  <c r="X1032" i="23" s="1"/>
  <c r="S1033" i="23"/>
  <c r="T1033" i="23"/>
  <c r="U1033" i="23"/>
  <c r="W1033" i="23"/>
  <c r="X1033" i="23" s="1"/>
  <c r="S1034" i="23"/>
  <c r="T1034" i="23"/>
  <c r="U1034" i="23"/>
  <c r="W1034" i="23"/>
  <c r="X1034" i="23" s="1"/>
  <c r="S1035" i="23"/>
  <c r="T1035" i="23"/>
  <c r="U1035" i="23"/>
  <c r="W1035" i="23"/>
  <c r="X1035" i="23" s="1"/>
  <c r="S1036" i="23"/>
  <c r="T1036" i="23"/>
  <c r="U1036" i="23"/>
  <c r="W1036" i="23"/>
  <c r="X1036" i="23" s="1"/>
  <c r="S1037" i="23"/>
  <c r="T1037" i="23"/>
  <c r="U1037" i="23"/>
  <c r="W1037" i="23"/>
  <c r="X1037" i="23" s="1"/>
  <c r="S1038" i="23"/>
  <c r="T1038" i="23"/>
  <c r="U1038" i="23"/>
  <c r="W1038" i="23"/>
  <c r="X1038" i="23" s="1"/>
  <c r="S1039" i="23"/>
  <c r="T1039" i="23"/>
  <c r="U1039" i="23"/>
  <c r="W1039" i="23"/>
  <c r="X1039" i="23" s="1"/>
  <c r="S1040" i="23"/>
  <c r="T1040" i="23"/>
  <c r="U1040" i="23"/>
  <c r="W1040" i="23"/>
  <c r="X1040" i="23" s="1"/>
  <c r="S1041" i="23"/>
  <c r="T1041" i="23"/>
  <c r="U1041" i="23"/>
  <c r="W1041" i="23"/>
  <c r="X1041" i="23" s="1"/>
  <c r="S1042" i="23"/>
  <c r="T1042" i="23"/>
  <c r="U1042" i="23"/>
  <c r="W1042" i="23"/>
  <c r="X1042" i="23" s="1"/>
  <c r="S1043" i="23"/>
  <c r="T1043" i="23"/>
  <c r="U1043" i="23"/>
  <c r="W1043" i="23"/>
  <c r="X1043" i="23" s="1"/>
  <c r="S1044" i="23"/>
  <c r="T1044" i="23"/>
  <c r="U1044" i="23"/>
  <c r="W1044" i="23"/>
  <c r="X1044" i="23" s="1"/>
  <c r="S1045" i="23"/>
  <c r="T1045" i="23"/>
  <c r="U1045" i="23"/>
  <c r="W1045" i="23"/>
  <c r="X1045" i="23" s="1"/>
  <c r="S1046" i="23"/>
  <c r="T1046" i="23"/>
  <c r="U1046" i="23"/>
  <c r="W1046" i="23"/>
  <c r="X1046" i="23" s="1"/>
  <c r="S1047" i="23"/>
  <c r="T1047" i="23"/>
  <c r="U1047" i="23"/>
  <c r="W1047" i="23"/>
  <c r="X1047" i="23" s="1"/>
  <c r="S1048" i="23"/>
  <c r="T1048" i="23"/>
  <c r="U1048" i="23"/>
  <c r="W1048" i="23"/>
  <c r="X1048" i="23" s="1"/>
  <c r="S1049" i="23"/>
  <c r="T1049" i="23"/>
  <c r="U1049" i="23"/>
  <c r="W1049" i="23"/>
  <c r="X1049" i="23" s="1"/>
  <c r="S1050" i="23"/>
  <c r="T1050" i="23"/>
  <c r="U1050" i="23"/>
  <c r="W1050" i="23"/>
  <c r="X1050" i="23" s="1"/>
  <c r="S1051" i="23"/>
  <c r="T1051" i="23"/>
  <c r="U1051" i="23"/>
  <c r="W1051" i="23"/>
  <c r="X1051" i="23" s="1"/>
  <c r="S1052" i="23"/>
  <c r="T1052" i="23"/>
  <c r="U1052" i="23"/>
  <c r="W1052" i="23"/>
  <c r="X1052" i="23" s="1"/>
  <c r="S1053" i="23"/>
  <c r="T1053" i="23"/>
  <c r="U1053" i="23"/>
  <c r="W1053" i="23"/>
  <c r="X1053" i="23" s="1"/>
  <c r="S1054" i="23"/>
  <c r="T1054" i="23"/>
  <c r="U1054" i="23"/>
  <c r="W1054" i="23"/>
  <c r="X1054" i="23" s="1"/>
  <c r="S1055" i="23"/>
  <c r="T1055" i="23"/>
  <c r="U1055" i="23"/>
  <c r="W1055" i="23"/>
  <c r="X1055" i="23" s="1"/>
  <c r="S1056" i="23"/>
  <c r="T1056" i="23"/>
  <c r="U1056" i="23"/>
  <c r="D5" i="77" s="1"/>
  <c r="W1056" i="23"/>
  <c r="X1056" i="23" s="1"/>
  <c r="S1057" i="23"/>
  <c r="T1057" i="23"/>
  <c r="U1057" i="23"/>
  <c r="W1057" i="23"/>
  <c r="X1057" i="23" s="1"/>
  <c r="S1058" i="23"/>
  <c r="T1058" i="23"/>
  <c r="U1058" i="23"/>
  <c r="W1058" i="23"/>
  <c r="X1058" i="23" s="1"/>
  <c r="S1059" i="23"/>
  <c r="T1059" i="23"/>
  <c r="U1059" i="23"/>
  <c r="W1059" i="23"/>
  <c r="X1059" i="23" s="1"/>
  <c r="S1060" i="23"/>
  <c r="T1060" i="23"/>
  <c r="U1060" i="23"/>
  <c r="W1060" i="23"/>
  <c r="X1060" i="23" s="1"/>
  <c r="S1061" i="23"/>
  <c r="T1061" i="23"/>
  <c r="U1061" i="23"/>
  <c r="W1061" i="23"/>
  <c r="X1061" i="23" s="1"/>
  <c r="S1062" i="23"/>
  <c r="T1062" i="23"/>
  <c r="U1062" i="23"/>
  <c r="W1062" i="23"/>
  <c r="X1062" i="23" s="1"/>
  <c r="S1063" i="23"/>
  <c r="T1063" i="23"/>
  <c r="U1063" i="23"/>
  <c r="W1063" i="23"/>
  <c r="X1063" i="23" s="1"/>
  <c r="S1064" i="23"/>
  <c r="T1064" i="23"/>
  <c r="U1064" i="23"/>
  <c r="W1064" i="23"/>
  <c r="X1064" i="23" s="1"/>
  <c r="S1065" i="23"/>
  <c r="T1065" i="23"/>
  <c r="U1065" i="23"/>
  <c r="W1065" i="23"/>
  <c r="X1065" i="23" s="1"/>
  <c r="S1066" i="23"/>
  <c r="T1066" i="23"/>
  <c r="U1066" i="23"/>
  <c r="W1066" i="23"/>
  <c r="X1066" i="23" s="1"/>
  <c r="S1067" i="23"/>
  <c r="T1067" i="23"/>
  <c r="U1067" i="23"/>
  <c r="W1067" i="23"/>
  <c r="X1067" i="23" s="1"/>
  <c r="S1068" i="23"/>
  <c r="T1068" i="23"/>
  <c r="U1068" i="23"/>
  <c r="W1068" i="23"/>
  <c r="X1068" i="23" s="1"/>
  <c r="S1069" i="23"/>
  <c r="T1069" i="23"/>
  <c r="U1069" i="23"/>
  <c r="W1069" i="23"/>
  <c r="X1069" i="23" s="1"/>
  <c r="S1070" i="23"/>
  <c r="T1070" i="23"/>
  <c r="U1070" i="23"/>
  <c r="W1070" i="23"/>
  <c r="X1070" i="23" s="1"/>
  <c r="S1071" i="23"/>
  <c r="T1071" i="23"/>
  <c r="U1071" i="23"/>
  <c r="W1071" i="23"/>
  <c r="X1071" i="23" s="1"/>
  <c r="S1072" i="23"/>
  <c r="T1072" i="23"/>
  <c r="U1072" i="23"/>
  <c r="W1072" i="23"/>
  <c r="X1072" i="23" s="1"/>
  <c r="S1073" i="23"/>
  <c r="T1073" i="23"/>
  <c r="U1073" i="23"/>
  <c r="W1073" i="23"/>
  <c r="X1073" i="23" s="1"/>
  <c r="S1074" i="23"/>
  <c r="T1074" i="23"/>
  <c r="U1074" i="23"/>
  <c r="W1074" i="23"/>
  <c r="X1074" i="23" s="1"/>
  <c r="S1075" i="23"/>
  <c r="T1075" i="23"/>
  <c r="U1075" i="23"/>
  <c r="W1075" i="23"/>
  <c r="X1075" i="23" s="1"/>
  <c r="S1076" i="23"/>
  <c r="T1076" i="23"/>
  <c r="U1076" i="23"/>
  <c r="W1076" i="23"/>
  <c r="X1076" i="23" s="1"/>
  <c r="S1077" i="23"/>
  <c r="T1077" i="23"/>
  <c r="U1077" i="23"/>
  <c r="W1077" i="23"/>
  <c r="X1077" i="23" s="1"/>
  <c r="S1078" i="23"/>
  <c r="T1078" i="23"/>
  <c r="U1078" i="23"/>
  <c r="W1078" i="23"/>
  <c r="X1078" i="23" s="1"/>
  <c r="S1079" i="23"/>
  <c r="T1079" i="23"/>
  <c r="U1079" i="23"/>
  <c r="W1079" i="23"/>
  <c r="X1079" i="23" s="1"/>
  <c r="S1080" i="23"/>
  <c r="T1080" i="23"/>
  <c r="U1080" i="23"/>
  <c r="W1080" i="23"/>
  <c r="X1080" i="23" s="1"/>
  <c r="S1081" i="23"/>
  <c r="T1081" i="23"/>
  <c r="U1081" i="23"/>
  <c r="W1081" i="23"/>
  <c r="X1081" i="23" s="1"/>
  <c r="S1082" i="23"/>
  <c r="T1082" i="23"/>
  <c r="U1082" i="23"/>
  <c r="W1082" i="23"/>
  <c r="X1082" i="23" s="1"/>
  <c r="S1083" i="23"/>
  <c r="T1083" i="23"/>
  <c r="U1083" i="23"/>
  <c r="W1083" i="23"/>
  <c r="X1083" i="23" s="1"/>
  <c r="S1084" i="23"/>
  <c r="T1084" i="23"/>
  <c r="U1084" i="23"/>
  <c r="W1084" i="23"/>
  <c r="X1084" i="23" s="1"/>
  <c r="S1085" i="23"/>
  <c r="T1085" i="23"/>
  <c r="U1085" i="23"/>
  <c r="W1085" i="23"/>
  <c r="X1085" i="23" s="1"/>
  <c r="S1086" i="23"/>
  <c r="T1086" i="23"/>
  <c r="U1086" i="23"/>
  <c r="W1086" i="23"/>
  <c r="X1086" i="23" s="1"/>
  <c r="S1087" i="23"/>
  <c r="T1087" i="23"/>
  <c r="U1087" i="23"/>
  <c r="W1087" i="23"/>
  <c r="X1087" i="23" s="1"/>
  <c r="S1088" i="23"/>
  <c r="T1088" i="23"/>
  <c r="U1088" i="23"/>
  <c r="W1088" i="23"/>
  <c r="X1088" i="23" s="1"/>
  <c r="S1089" i="23"/>
  <c r="T1089" i="23"/>
  <c r="U1089" i="23"/>
  <c r="W1089" i="23"/>
  <c r="X1089" i="23" s="1"/>
  <c r="S1090" i="23"/>
  <c r="T1090" i="23"/>
  <c r="U1090" i="23"/>
  <c r="W1090" i="23"/>
  <c r="X1090" i="23" s="1"/>
  <c r="S1091" i="23"/>
  <c r="T1091" i="23"/>
  <c r="U1091" i="23"/>
  <c r="W1091" i="23"/>
  <c r="X1091" i="23" s="1"/>
  <c r="S1092" i="23"/>
  <c r="T1092" i="23"/>
  <c r="U1092" i="23"/>
  <c r="W1092" i="23"/>
  <c r="X1092" i="23" s="1"/>
  <c r="S1093" i="23"/>
  <c r="T1093" i="23"/>
  <c r="U1093" i="23"/>
  <c r="W1093" i="23"/>
  <c r="X1093" i="23" s="1"/>
  <c r="S1094" i="23"/>
  <c r="T1094" i="23"/>
  <c r="U1094" i="23"/>
  <c r="W1094" i="23"/>
  <c r="X1094" i="23" s="1"/>
  <c r="S1095" i="23"/>
  <c r="T1095" i="23"/>
  <c r="U1095" i="23"/>
  <c r="W1095" i="23"/>
  <c r="X1095" i="23" s="1"/>
  <c r="S1096" i="23"/>
  <c r="T1096" i="23"/>
  <c r="U1096" i="23"/>
  <c r="W1096" i="23"/>
  <c r="X1096" i="23" s="1"/>
  <c r="S1097" i="23"/>
  <c r="T1097" i="23"/>
  <c r="U1097" i="23"/>
  <c r="W1097" i="23"/>
  <c r="X1097" i="23" s="1"/>
  <c r="S1098" i="23"/>
  <c r="T1098" i="23"/>
  <c r="U1098" i="23"/>
  <c r="W1098" i="23"/>
  <c r="X1098" i="23" s="1"/>
  <c r="S1099" i="23"/>
  <c r="T1099" i="23"/>
  <c r="U1099" i="23"/>
  <c r="W1099" i="23"/>
  <c r="X1099" i="23" s="1"/>
  <c r="S1100" i="23"/>
  <c r="T1100" i="23"/>
  <c r="U1100" i="23"/>
  <c r="W1100" i="23"/>
  <c r="X1100" i="23" s="1"/>
  <c r="S1101" i="23"/>
  <c r="T1101" i="23"/>
  <c r="U1101" i="23"/>
  <c r="W1101" i="23"/>
  <c r="X1101" i="23" s="1"/>
  <c r="S1102" i="23"/>
  <c r="T1102" i="23"/>
  <c r="U1102" i="23"/>
  <c r="W1102" i="23"/>
  <c r="X1102" i="23" s="1"/>
  <c r="S1103" i="23"/>
  <c r="T1103" i="23"/>
  <c r="U1103" i="23"/>
  <c r="W1103" i="23"/>
  <c r="X1103" i="23" s="1"/>
  <c r="S1104" i="23"/>
  <c r="T1104" i="23"/>
  <c r="U1104" i="23"/>
  <c r="W1104" i="23"/>
  <c r="X1104" i="23" s="1"/>
  <c r="S1105" i="23"/>
  <c r="T1105" i="23"/>
  <c r="U1105" i="23"/>
  <c r="W1105" i="23"/>
  <c r="X1105" i="23" s="1"/>
  <c r="S1106" i="23"/>
  <c r="T1106" i="23"/>
  <c r="U1106" i="23"/>
  <c r="W1106" i="23"/>
  <c r="X1106" i="23" s="1"/>
  <c r="S1107" i="23"/>
  <c r="T1107" i="23"/>
  <c r="U1107" i="23"/>
  <c r="W1107" i="23"/>
  <c r="X1107" i="23" s="1"/>
  <c r="S1108" i="23"/>
  <c r="T1108" i="23"/>
  <c r="U1108" i="23"/>
  <c r="W1108" i="23"/>
  <c r="X1108" i="23" s="1"/>
  <c r="S1109" i="23"/>
  <c r="T1109" i="23"/>
  <c r="U1109" i="23"/>
  <c r="W1109" i="23"/>
  <c r="X1109" i="23" s="1"/>
  <c r="S1110" i="23"/>
  <c r="T1110" i="23"/>
  <c r="U1110" i="23"/>
  <c r="W1110" i="23"/>
  <c r="X1110" i="23" s="1"/>
  <c r="S1111" i="23"/>
  <c r="T1111" i="23"/>
  <c r="U1111" i="23"/>
  <c r="W1111" i="23"/>
  <c r="X1111" i="23" s="1"/>
  <c r="S1112" i="23"/>
  <c r="T1112" i="23"/>
  <c r="U1112" i="23"/>
  <c r="W1112" i="23"/>
  <c r="X1112" i="23" s="1"/>
  <c r="S1113" i="23"/>
  <c r="T1113" i="23"/>
  <c r="U1113" i="23"/>
  <c r="W1113" i="23"/>
  <c r="X1113" i="23" s="1"/>
  <c r="S1114" i="23"/>
  <c r="T1114" i="23"/>
  <c r="U1114" i="23"/>
  <c r="W1114" i="23"/>
  <c r="X1114" i="23" s="1"/>
  <c r="S1115" i="23"/>
  <c r="T1115" i="23"/>
  <c r="U1115" i="23"/>
  <c r="W1115" i="23"/>
  <c r="X1115" i="23" s="1"/>
  <c r="S1116" i="23"/>
  <c r="T1116" i="23"/>
  <c r="U1116" i="23"/>
  <c r="W1116" i="23"/>
  <c r="X1116" i="23" s="1"/>
  <c r="S1117" i="23"/>
  <c r="T1117" i="23"/>
  <c r="U1117" i="23"/>
  <c r="W1117" i="23"/>
  <c r="X1117" i="23" s="1"/>
  <c r="S1118" i="23"/>
  <c r="T1118" i="23"/>
  <c r="U1118" i="23"/>
  <c r="W1118" i="23"/>
  <c r="X1118" i="23" s="1"/>
  <c r="S1119" i="23"/>
  <c r="T1119" i="23"/>
  <c r="U1119" i="23"/>
  <c r="W1119" i="23"/>
  <c r="X1119" i="23" s="1"/>
  <c r="S1120" i="23"/>
  <c r="T1120" i="23"/>
  <c r="U1120" i="23"/>
  <c r="W1120" i="23"/>
  <c r="X1120" i="23" s="1"/>
  <c r="S1121" i="23"/>
  <c r="T1121" i="23"/>
  <c r="U1121" i="23"/>
  <c r="W1121" i="23"/>
  <c r="X1121" i="23" s="1"/>
  <c r="S1122" i="23"/>
  <c r="T1122" i="23"/>
  <c r="U1122" i="23"/>
  <c r="W1122" i="23"/>
  <c r="X1122" i="23" s="1"/>
  <c r="S1123" i="23"/>
  <c r="T1123" i="23"/>
  <c r="U1123" i="23"/>
  <c r="W1123" i="23"/>
  <c r="X1123" i="23" s="1"/>
  <c r="S1124" i="23"/>
  <c r="T1124" i="23"/>
  <c r="U1124" i="23"/>
  <c r="W1124" i="23"/>
  <c r="X1124" i="23" s="1"/>
  <c r="S1125" i="23"/>
  <c r="T1125" i="23"/>
  <c r="U1125" i="23"/>
  <c r="W1125" i="23"/>
  <c r="X1125" i="23" s="1"/>
  <c r="S1126" i="23"/>
  <c r="T1126" i="23"/>
  <c r="U1126" i="23"/>
  <c r="W1126" i="23"/>
  <c r="X1126" i="23" s="1"/>
  <c r="S1127" i="23"/>
  <c r="T1127" i="23"/>
  <c r="U1127" i="23"/>
  <c r="W1127" i="23"/>
  <c r="X1127" i="23" s="1"/>
  <c r="S1128" i="23"/>
  <c r="T1128" i="23"/>
  <c r="U1128" i="23"/>
  <c r="W1128" i="23"/>
  <c r="X1128" i="23" s="1"/>
  <c r="S1129" i="23"/>
  <c r="T1129" i="23"/>
  <c r="U1129" i="23"/>
  <c r="W1129" i="23"/>
  <c r="X1129" i="23" s="1"/>
  <c r="S1130" i="23"/>
  <c r="T1130" i="23"/>
  <c r="U1130" i="23"/>
  <c r="W1130" i="23"/>
  <c r="X1130" i="23" s="1"/>
  <c r="S1131" i="23"/>
  <c r="T1131" i="23"/>
  <c r="U1131" i="23"/>
  <c r="W1131" i="23"/>
  <c r="X1131" i="23" s="1"/>
  <c r="S1132" i="23"/>
  <c r="T1132" i="23"/>
  <c r="U1132" i="23"/>
  <c r="W1132" i="23"/>
  <c r="X1132" i="23" s="1"/>
  <c r="S1133" i="23"/>
  <c r="T1133" i="23"/>
  <c r="U1133" i="23"/>
  <c r="W1133" i="23"/>
  <c r="X1133" i="23" s="1"/>
  <c r="S1134" i="23"/>
  <c r="T1134" i="23"/>
  <c r="U1134" i="23"/>
  <c r="W1134" i="23"/>
  <c r="X1134" i="23" s="1"/>
  <c r="S1135" i="23"/>
  <c r="T1135" i="23"/>
  <c r="U1135" i="23"/>
  <c r="W1135" i="23"/>
  <c r="X1135" i="23" s="1"/>
  <c r="S1136" i="23"/>
  <c r="T1136" i="23"/>
  <c r="U1136" i="23"/>
  <c r="W1136" i="23"/>
  <c r="X1136" i="23" s="1"/>
  <c r="S1137" i="23"/>
  <c r="T1137" i="23"/>
  <c r="U1137" i="23"/>
  <c r="W1137" i="23"/>
  <c r="X1137" i="23" s="1"/>
  <c r="S1138" i="23"/>
  <c r="T1138" i="23"/>
  <c r="U1138" i="23"/>
  <c r="W1138" i="23"/>
  <c r="X1138" i="23" s="1"/>
  <c r="S1139" i="23"/>
  <c r="T1139" i="23"/>
  <c r="U1139" i="23"/>
  <c r="W1139" i="23"/>
  <c r="X1139" i="23" s="1"/>
  <c r="S1140" i="23"/>
  <c r="T1140" i="23"/>
  <c r="U1140" i="23"/>
  <c r="W1140" i="23"/>
  <c r="X1140" i="23" s="1"/>
  <c r="E5" i="77" l="1"/>
  <c r="O5" i="77"/>
  <c r="W999" i="23"/>
  <c r="X999" i="23" s="1"/>
  <c r="U999" i="23"/>
  <c r="T999" i="23"/>
  <c r="S999" i="23"/>
  <c r="W998" i="23"/>
  <c r="X998" i="23" s="1"/>
  <c r="U998" i="23"/>
  <c r="T998" i="23"/>
  <c r="S998" i="23"/>
  <c r="W997" i="23"/>
  <c r="X997" i="23" s="1"/>
  <c r="U997" i="23"/>
  <c r="T997" i="23"/>
  <c r="S997" i="23"/>
  <c r="W996" i="23"/>
  <c r="X996" i="23" s="1"/>
  <c r="U996" i="23"/>
  <c r="T996" i="23"/>
  <c r="S996" i="23"/>
  <c r="W995" i="23"/>
  <c r="X995" i="23" s="1"/>
  <c r="U995" i="23"/>
  <c r="T995" i="23"/>
  <c r="S995" i="23"/>
  <c r="W994" i="23"/>
  <c r="X994" i="23" s="1"/>
  <c r="U994" i="23"/>
  <c r="T994" i="23"/>
  <c r="S994" i="23"/>
  <c r="W993" i="23"/>
  <c r="X993" i="23" s="1"/>
  <c r="U993" i="23"/>
  <c r="T993" i="23"/>
  <c r="S993" i="23"/>
  <c r="W992" i="23"/>
  <c r="X992" i="23" s="1"/>
  <c r="U992" i="23"/>
  <c r="T992" i="23"/>
  <c r="S992" i="23"/>
  <c r="W991" i="23"/>
  <c r="X991" i="23" s="1"/>
  <c r="U991" i="23"/>
  <c r="T991" i="23"/>
  <c r="S991" i="23"/>
  <c r="W990" i="23"/>
  <c r="X990" i="23" s="1"/>
  <c r="U990" i="23"/>
  <c r="T990" i="23"/>
  <c r="S990" i="23"/>
  <c r="W989" i="23"/>
  <c r="X989" i="23" s="1"/>
  <c r="U989" i="23"/>
  <c r="T989" i="23"/>
  <c r="S989" i="23"/>
  <c r="W988" i="23"/>
  <c r="X988" i="23" s="1"/>
  <c r="U988" i="23"/>
  <c r="T988" i="23"/>
  <c r="S988" i="23"/>
  <c r="W987" i="23"/>
  <c r="X987" i="23" s="1"/>
  <c r="U987" i="23"/>
  <c r="T987" i="23"/>
  <c r="S987" i="23"/>
  <c r="W986" i="23"/>
  <c r="X986" i="23" s="1"/>
  <c r="U986" i="23"/>
  <c r="T986" i="23"/>
  <c r="S986" i="23"/>
  <c r="W985" i="23"/>
  <c r="X985" i="23" s="1"/>
  <c r="U985" i="23"/>
  <c r="T985" i="23"/>
  <c r="S985" i="23"/>
  <c r="W984" i="23"/>
  <c r="X984" i="23" s="1"/>
  <c r="U984" i="23"/>
  <c r="T984" i="23"/>
  <c r="S984" i="23"/>
  <c r="W983" i="23"/>
  <c r="X983" i="23" s="1"/>
  <c r="U983" i="23"/>
  <c r="T983" i="23"/>
  <c r="S983" i="23"/>
  <c r="W982" i="23"/>
  <c r="X982" i="23" s="1"/>
  <c r="U982" i="23"/>
  <c r="T982" i="23"/>
  <c r="S982" i="23"/>
  <c r="W981" i="23"/>
  <c r="X981" i="23" s="1"/>
  <c r="U981" i="23"/>
  <c r="T981" i="23"/>
  <c r="S981" i="23"/>
  <c r="W980" i="23"/>
  <c r="X980" i="23" s="1"/>
  <c r="U980" i="23"/>
  <c r="T980" i="23"/>
  <c r="S980" i="23"/>
  <c r="W979" i="23"/>
  <c r="X979" i="23" s="1"/>
  <c r="U979" i="23"/>
  <c r="T979" i="23"/>
  <c r="S979" i="23"/>
  <c r="W978" i="23"/>
  <c r="X978" i="23" s="1"/>
  <c r="U978" i="23"/>
  <c r="T978" i="23"/>
  <c r="S978" i="23"/>
  <c r="W977" i="23"/>
  <c r="X977" i="23" s="1"/>
  <c r="U977" i="23"/>
  <c r="T977" i="23"/>
  <c r="S977" i="23"/>
  <c r="W976" i="23"/>
  <c r="X976" i="23" s="1"/>
  <c r="U976" i="23"/>
  <c r="T976" i="23"/>
  <c r="S976" i="23"/>
  <c r="W975" i="23"/>
  <c r="X975" i="23" s="1"/>
  <c r="U975" i="23"/>
  <c r="T975" i="23"/>
  <c r="S975" i="23"/>
  <c r="W974" i="23"/>
  <c r="X974" i="23" s="1"/>
  <c r="U974" i="23"/>
  <c r="T974" i="23"/>
  <c r="S974" i="23"/>
  <c r="W973" i="23"/>
  <c r="X973" i="23" s="1"/>
  <c r="U973" i="23"/>
  <c r="T973" i="23"/>
  <c r="S973" i="23"/>
  <c r="W972" i="23"/>
  <c r="X972" i="23" s="1"/>
  <c r="U972" i="23"/>
  <c r="T972" i="23"/>
  <c r="S972" i="23"/>
  <c r="W971" i="23"/>
  <c r="X971" i="23" s="1"/>
  <c r="U971" i="23"/>
  <c r="T971" i="23"/>
  <c r="S971" i="23"/>
  <c r="W970" i="23"/>
  <c r="X970" i="23" s="1"/>
  <c r="U970" i="23"/>
  <c r="T970" i="23"/>
  <c r="S970" i="23"/>
  <c r="W969" i="23"/>
  <c r="X969" i="23" s="1"/>
  <c r="U969" i="23"/>
  <c r="T969" i="23"/>
  <c r="S969" i="23"/>
  <c r="W968" i="23"/>
  <c r="X968" i="23" s="1"/>
  <c r="U968" i="23"/>
  <c r="T968" i="23"/>
  <c r="S968" i="23"/>
  <c r="W967" i="23"/>
  <c r="X967" i="23" s="1"/>
  <c r="U967" i="23"/>
  <c r="T967" i="23"/>
  <c r="S967" i="23"/>
  <c r="W966" i="23"/>
  <c r="X966" i="23" s="1"/>
  <c r="U966" i="23"/>
  <c r="T966" i="23"/>
  <c r="S966" i="23"/>
  <c r="W965" i="23"/>
  <c r="X965" i="23" s="1"/>
  <c r="U965" i="23"/>
  <c r="T965" i="23"/>
  <c r="S965" i="23"/>
  <c r="W964" i="23"/>
  <c r="X964" i="23" s="1"/>
  <c r="U964" i="23"/>
  <c r="T964" i="23"/>
  <c r="S964" i="23"/>
  <c r="W963" i="23"/>
  <c r="X963" i="23" s="1"/>
  <c r="U963" i="23"/>
  <c r="T963" i="23"/>
  <c r="S963" i="23"/>
  <c r="W962" i="23"/>
  <c r="X962" i="23" s="1"/>
  <c r="U962" i="23"/>
  <c r="T962" i="23"/>
  <c r="S962" i="23"/>
  <c r="W961" i="23"/>
  <c r="X961" i="23" s="1"/>
  <c r="U961" i="23"/>
  <c r="T961" i="23"/>
  <c r="S961" i="23"/>
  <c r="W960" i="23"/>
  <c r="X960" i="23" s="1"/>
  <c r="U960" i="23"/>
  <c r="T960" i="23"/>
  <c r="S960" i="23"/>
  <c r="W959" i="23"/>
  <c r="X959" i="23" s="1"/>
  <c r="U959" i="23"/>
  <c r="T959" i="23"/>
  <c r="S959" i="23"/>
  <c r="W958" i="23"/>
  <c r="X958" i="23" s="1"/>
  <c r="U958" i="23"/>
  <c r="T958" i="23"/>
  <c r="S958" i="23"/>
  <c r="W957" i="23"/>
  <c r="X957" i="23" s="1"/>
  <c r="U957" i="23"/>
  <c r="T957" i="23"/>
  <c r="S957" i="23"/>
  <c r="W956" i="23"/>
  <c r="X956" i="23" s="1"/>
  <c r="U956" i="23"/>
  <c r="T956" i="23"/>
  <c r="S956" i="23"/>
  <c r="W955" i="23"/>
  <c r="X955" i="23" s="1"/>
  <c r="U955" i="23"/>
  <c r="T955" i="23"/>
  <c r="S955" i="23"/>
  <c r="W954" i="23"/>
  <c r="X954" i="23" s="1"/>
  <c r="U954" i="23"/>
  <c r="T954" i="23"/>
  <c r="S954" i="23"/>
  <c r="W953" i="23"/>
  <c r="X953" i="23" s="1"/>
  <c r="U953" i="23"/>
  <c r="T953" i="23"/>
  <c r="S953" i="23"/>
  <c r="W952" i="23"/>
  <c r="X952" i="23" s="1"/>
  <c r="U952" i="23"/>
  <c r="T952" i="23"/>
  <c r="S952" i="23"/>
  <c r="W951" i="23"/>
  <c r="X951" i="23" s="1"/>
  <c r="U951" i="23"/>
  <c r="T951" i="23"/>
  <c r="S951" i="23"/>
  <c r="W950" i="23"/>
  <c r="X950" i="23" s="1"/>
  <c r="U950" i="23"/>
  <c r="T950" i="23"/>
  <c r="S950" i="23"/>
  <c r="W949" i="23"/>
  <c r="X949" i="23" s="1"/>
  <c r="U949" i="23"/>
  <c r="T949" i="23"/>
  <c r="S949" i="23"/>
  <c r="W948" i="23"/>
  <c r="X948" i="23" s="1"/>
  <c r="U948" i="23"/>
  <c r="T948" i="23"/>
  <c r="S948" i="23"/>
  <c r="W947" i="23"/>
  <c r="X947" i="23" s="1"/>
  <c r="U947" i="23"/>
  <c r="T947" i="23"/>
  <c r="S947" i="23"/>
  <c r="W946" i="23"/>
  <c r="X946" i="23" s="1"/>
  <c r="U946" i="23"/>
  <c r="T946" i="23"/>
  <c r="S946" i="23"/>
  <c r="W945" i="23"/>
  <c r="X945" i="23" s="1"/>
  <c r="U945" i="23"/>
  <c r="T945" i="23"/>
  <c r="S945" i="23"/>
  <c r="W944" i="23"/>
  <c r="X944" i="23" s="1"/>
  <c r="U944" i="23"/>
  <c r="T944" i="23"/>
  <c r="S944" i="23"/>
  <c r="W943" i="23"/>
  <c r="X943" i="23" s="1"/>
  <c r="U943" i="23"/>
  <c r="T943" i="23"/>
  <c r="S943" i="23"/>
  <c r="W942" i="23"/>
  <c r="X942" i="23" s="1"/>
  <c r="U942" i="23"/>
  <c r="T942" i="23"/>
  <c r="S942" i="23"/>
  <c r="W941" i="23"/>
  <c r="X941" i="23" s="1"/>
  <c r="U941" i="23"/>
  <c r="T941" i="23"/>
  <c r="S941" i="23"/>
  <c r="W940" i="23"/>
  <c r="X940" i="23" s="1"/>
  <c r="U940" i="23"/>
  <c r="T940" i="23"/>
  <c r="S940" i="23"/>
  <c r="W939" i="23"/>
  <c r="X939" i="23" s="1"/>
  <c r="U939" i="23"/>
  <c r="T939" i="23"/>
  <c r="S939" i="23"/>
  <c r="W938" i="23"/>
  <c r="X938" i="23" s="1"/>
  <c r="U938" i="23"/>
  <c r="T938" i="23"/>
  <c r="S938" i="23"/>
  <c r="W937" i="23"/>
  <c r="X937" i="23" s="1"/>
  <c r="U937" i="23"/>
  <c r="T937" i="23"/>
  <c r="S937" i="23"/>
  <c r="W936" i="23"/>
  <c r="X936" i="23" s="1"/>
  <c r="U936" i="23"/>
  <c r="T936" i="23"/>
  <c r="S936" i="23"/>
  <c r="W935" i="23"/>
  <c r="X935" i="23" s="1"/>
  <c r="U935" i="23"/>
  <c r="T935" i="23"/>
  <c r="S935" i="23"/>
  <c r="W934" i="23"/>
  <c r="X934" i="23" s="1"/>
  <c r="U934" i="23"/>
  <c r="T934" i="23"/>
  <c r="S934" i="23"/>
  <c r="W933" i="23"/>
  <c r="X933" i="23" s="1"/>
  <c r="U933" i="23"/>
  <c r="T933" i="23"/>
  <c r="S933" i="23"/>
  <c r="W932" i="23"/>
  <c r="X932" i="23" s="1"/>
  <c r="U932" i="23"/>
  <c r="T932" i="23"/>
  <c r="S932" i="23"/>
  <c r="W931" i="23"/>
  <c r="X931" i="23" s="1"/>
  <c r="U931" i="23"/>
  <c r="T931" i="23"/>
  <c r="S931" i="23"/>
  <c r="W930" i="23"/>
  <c r="X930" i="23" s="1"/>
  <c r="U930" i="23"/>
  <c r="T930" i="23"/>
  <c r="S930" i="23"/>
  <c r="W929" i="23"/>
  <c r="X929" i="23" s="1"/>
  <c r="U929" i="23"/>
  <c r="T929" i="23"/>
  <c r="S929" i="23"/>
  <c r="W928" i="23"/>
  <c r="X928" i="23" s="1"/>
  <c r="U928" i="23"/>
  <c r="T928" i="23"/>
  <c r="S928" i="23"/>
  <c r="W927" i="23"/>
  <c r="X927" i="23" s="1"/>
  <c r="U927" i="23"/>
  <c r="T927" i="23"/>
  <c r="S927" i="23"/>
  <c r="W926" i="23"/>
  <c r="X926" i="23" s="1"/>
  <c r="U926" i="23"/>
  <c r="T926" i="23"/>
  <c r="S926" i="23"/>
  <c r="W925" i="23"/>
  <c r="X925" i="23" s="1"/>
  <c r="U925" i="23"/>
  <c r="T925" i="23"/>
  <c r="S925" i="23"/>
  <c r="W924" i="23"/>
  <c r="X924" i="23" s="1"/>
  <c r="U924" i="23"/>
  <c r="T924" i="23"/>
  <c r="S924" i="23"/>
  <c r="W923" i="23"/>
  <c r="X923" i="23" s="1"/>
  <c r="U923" i="23"/>
  <c r="T923" i="23"/>
  <c r="S923" i="23"/>
  <c r="W922" i="23"/>
  <c r="X922" i="23" s="1"/>
  <c r="U922" i="23"/>
  <c r="T922" i="23"/>
  <c r="S922" i="23"/>
  <c r="W921" i="23"/>
  <c r="X921" i="23" s="1"/>
  <c r="U921" i="23"/>
  <c r="T921" i="23"/>
  <c r="S921" i="23"/>
  <c r="W920" i="23"/>
  <c r="X920" i="23" s="1"/>
  <c r="U920" i="23"/>
  <c r="T920" i="23"/>
  <c r="S920" i="23"/>
  <c r="W919" i="23"/>
  <c r="X919" i="23" s="1"/>
  <c r="U919" i="23"/>
  <c r="T919" i="23"/>
  <c r="S919" i="23"/>
  <c r="W918" i="23"/>
  <c r="X918" i="23" s="1"/>
  <c r="U918" i="23"/>
  <c r="T918" i="23"/>
  <c r="S918" i="23"/>
  <c r="W917" i="23"/>
  <c r="X917" i="23" s="1"/>
  <c r="U917" i="23"/>
  <c r="T917" i="23"/>
  <c r="S917" i="23"/>
  <c r="W916" i="23"/>
  <c r="X916" i="23" s="1"/>
  <c r="U916" i="23"/>
  <c r="T916" i="23"/>
  <c r="S916" i="23"/>
  <c r="W915" i="23"/>
  <c r="X915" i="23" s="1"/>
  <c r="U915" i="23"/>
  <c r="T915" i="23"/>
  <c r="S915" i="23"/>
  <c r="W914" i="23"/>
  <c r="X914" i="23" s="1"/>
  <c r="U914" i="23"/>
  <c r="T914" i="23"/>
  <c r="S914" i="23"/>
  <c r="W913" i="23"/>
  <c r="X913" i="23" s="1"/>
  <c r="U913" i="23"/>
  <c r="D4" i="77" s="1"/>
  <c r="O4" i="77" s="1"/>
  <c r="T913" i="23"/>
  <c r="S913" i="23"/>
  <c r="W912" i="23"/>
  <c r="X912" i="23" s="1"/>
  <c r="U912" i="23"/>
  <c r="T912" i="23"/>
  <c r="S912" i="23"/>
  <c r="W911" i="23"/>
  <c r="X911" i="23" s="1"/>
  <c r="U911" i="23"/>
  <c r="T911" i="23"/>
  <c r="S911" i="23"/>
  <c r="W910" i="23"/>
  <c r="X910" i="23" s="1"/>
  <c r="U910" i="23"/>
  <c r="T910" i="23"/>
  <c r="S910" i="23"/>
  <c r="W909" i="23"/>
  <c r="X909" i="23" s="1"/>
  <c r="U909" i="23"/>
  <c r="T909" i="23"/>
  <c r="S909" i="23"/>
  <c r="W908" i="23"/>
  <c r="X908" i="23" s="1"/>
  <c r="U908" i="23"/>
  <c r="T908" i="23"/>
  <c r="S908" i="23"/>
  <c r="W907" i="23"/>
  <c r="X907" i="23" s="1"/>
  <c r="U907" i="23"/>
  <c r="T907" i="23"/>
  <c r="S907" i="23"/>
  <c r="W906" i="23"/>
  <c r="X906" i="23" s="1"/>
  <c r="U906" i="23"/>
  <c r="T906" i="23"/>
  <c r="S906" i="23"/>
  <c r="W905" i="23"/>
  <c r="X905" i="23" s="1"/>
  <c r="U905" i="23"/>
  <c r="T905" i="23"/>
  <c r="S905" i="23"/>
  <c r="W904" i="23"/>
  <c r="X904" i="23" s="1"/>
  <c r="U904" i="23"/>
  <c r="T904" i="23"/>
  <c r="S904" i="23"/>
  <c r="W903" i="23"/>
  <c r="X903" i="23" s="1"/>
  <c r="U903" i="23"/>
  <c r="T903" i="23"/>
  <c r="S903" i="23"/>
  <c r="U902" i="23"/>
  <c r="T902" i="23"/>
  <c r="S902" i="23"/>
  <c r="W901" i="23"/>
  <c r="X901" i="23" s="1"/>
  <c r="U901" i="23"/>
  <c r="T901" i="23"/>
  <c r="S901" i="23"/>
  <c r="W900" i="23"/>
  <c r="X900" i="23" s="1"/>
  <c r="U900" i="23"/>
  <c r="T900" i="23"/>
  <c r="S900" i="23"/>
  <c r="W899" i="23"/>
  <c r="X899" i="23" s="1"/>
  <c r="U899" i="23"/>
  <c r="T899" i="23"/>
  <c r="S899" i="23"/>
  <c r="W898" i="23"/>
  <c r="X898" i="23" s="1"/>
  <c r="U898" i="23"/>
  <c r="T898" i="23"/>
  <c r="S898" i="23"/>
  <c r="W897" i="23"/>
  <c r="X897" i="23" s="1"/>
  <c r="U897" i="23"/>
  <c r="T897" i="23"/>
  <c r="S897" i="23"/>
  <c r="W896" i="23"/>
  <c r="X896" i="23" s="1"/>
  <c r="U896" i="23"/>
  <c r="T896" i="23"/>
  <c r="S896" i="23"/>
  <c r="W895" i="23"/>
  <c r="X895" i="23" s="1"/>
  <c r="U895" i="23"/>
  <c r="T895" i="23"/>
  <c r="S895" i="23"/>
  <c r="W894" i="23"/>
  <c r="X894" i="23" s="1"/>
  <c r="U894" i="23"/>
  <c r="T894" i="23"/>
  <c r="S894" i="23"/>
  <c r="W893" i="23"/>
  <c r="X893" i="23" s="1"/>
  <c r="U893" i="23"/>
  <c r="T893" i="23"/>
  <c r="S893" i="23"/>
  <c r="W892" i="23"/>
  <c r="X892" i="23" s="1"/>
  <c r="U892" i="23"/>
  <c r="T892" i="23"/>
  <c r="S892" i="23"/>
  <c r="W891" i="23"/>
  <c r="X891" i="23" s="1"/>
  <c r="U891" i="23"/>
  <c r="T891" i="23"/>
  <c r="S891" i="23"/>
  <c r="W890" i="23"/>
  <c r="X890" i="23" s="1"/>
  <c r="U890" i="23"/>
  <c r="T890" i="23"/>
  <c r="S890" i="23"/>
  <c r="W889" i="23"/>
  <c r="X889" i="23" s="1"/>
  <c r="U889" i="23"/>
  <c r="T889" i="23"/>
  <c r="S889" i="23"/>
  <c r="W888" i="23"/>
  <c r="X888" i="23" s="1"/>
  <c r="U888" i="23"/>
  <c r="T888" i="23"/>
  <c r="S888" i="23"/>
  <c r="W887" i="23"/>
  <c r="X887" i="23" s="1"/>
  <c r="U887" i="23"/>
  <c r="T887" i="23"/>
  <c r="S887" i="23"/>
  <c r="W886" i="23"/>
  <c r="X886" i="23" s="1"/>
  <c r="U886" i="23"/>
  <c r="T886" i="23"/>
  <c r="S886" i="23"/>
  <c r="W885" i="23"/>
  <c r="X885" i="23" s="1"/>
  <c r="U885" i="23"/>
  <c r="T885" i="23"/>
  <c r="S885" i="23"/>
  <c r="W884" i="23"/>
  <c r="X884" i="23" s="1"/>
  <c r="U884" i="23"/>
  <c r="T884" i="23"/>
  <c r="S884" i="23"/>
  <c r="W883" i="23"/>
  <c r="X883" i="23" s="1"/>
  <c r="U883" i="23"/>
  <c r="T883" i="23"/>
  <c r="S883" i="23"/>
  <c r="W882" i="23"/>
  <c r="X882" i="23" s="1"/>
  <c r="U882" i="23"/>
  <c r="T882" i="23"/>
  <c r="S882" i="23"/>
  <c r="W881" i="23"/>
  <c r="X881" i="23" s="1"/>
  <c r="U881" i="23"/>
  <c r="T881" i="23"/>
  <c r="S881" i="23"/>
  <c r="W880" i="23"/>
  <c r="X880" i="23" s="1"/>
  <c r="U880" i="23"/>
  <c r="T880" i="23"/>
  <c r="S880" i="23"/>
  <c r="W879" i="23"/>
  <c r="X879" i="23" s="1"/>
  <c r="U879" i="23"/>
  <c r="T879" i="23"/>
  <c r="S879" i="23"/>
  <c r="W878" i="23"/>
  <c r="X878" i="23" s="1"/>
  <c r="U878" i="23"/>
  <c r="T878" i="23"/>
  <c r="S878" i="23"/>
  <c r="W877" i="23"/>
  <c r="X877" i="23" s="1"/>
  <c r="U877" i="23"/>
  <c r="T877" i="23"/>
  <c r="S877" i="23"/>
  <c r="W876" i="23"/>
  <c r="X876" i="23" s="1"/>
  <c r="U876" i="23"/>
  <c r="T876" i="23"/>
  <c r="S876" i="23"/>
  <c r="W875" i="23"/>
  <c r="X875" i="23" s="1"/>
  <c r="U875" i="23"/>
  <c r="T875" i="23"/>
  <c r="S875" i="23"/>
  <c r="W874" i="23"/>
  <c r="X874" i="23" s="1"/>
  <c r="U874" i="23"/>
  <c r="T874" i="23"/>
  <c r="S874" i="23"/>
  <c r="W873" i="23"/>
  <c r="X873" i="23" s="1"/>
  <c r="U873" i="23"/>
  <c r="T873" i="23"/>
  <c r="S873" i="23"/>
  <c r="W872" i="23"/>
  <c r="X872" i="23" s="1"/>
  <c r="U872" i="23"/>
  <c r="T872" i="23"/>
  <c r="S872" i="23"/>
  <c r="W871" i="23"/>
  <c r="X871" i="23" s="1"/>
  <c r="U871" i="23"/>
  <c r="T871" i="23"/>
  <c r="S871" i="23"/>
  <c r="W870" i="23"/>
  <c r="X870" i="23" s="1"/>
  <c r="U870" i="23"/>
  <c r="T870" i="23"/>
  <c r="S870" i="23"/>
  <c r="W869" i="23"/>
  <c r="X869" i="23" s="1"/>
  <c r="U869" i="23"/>
  <c r="T869" i="23"/>
  <c r="S869" i="23"/>
  <c r="W868" i="23"/>
  <c r="X868" i="23" s="1"/>
  <c r="U868" i="23"/>
  <c r="T868" i="23"/>
  <c r="S868" i="23"/>
  <c r="W867" i="23"/>
  <c r="X867" i="23" s="1"/>
  <c r="U867" i="23"/>
  <c r="T867" i="23"/>
  <c r="S867" i="23"/>
  <c r="W866" i="23"/>
  <c r="X866" i="23" s="1"/>
  <c r="U866" i="23"/>
  <c r="T866" i="23"/>
  <c r="S866" i="23"/>
  <c r="W865" i="23"/>
  <c r="X865" i="23" s="1"/>
  <c r="U865" i="23"/>
  <c r="T865" i="23"/>
  <c r="S865" i="23"/>
  <c r="W864" i="23"/>
  <c r="X864" i="23" s="1"/>
  <c r="U864" i="23"/>
  <c r="T864" i="23"/>
  <c r="S864" i="23"/>
  <c r="W863" i="23"/>
  <c r="X863" i="23" s="1"/>
  <c r="U863" i="23"/>
  <c r="T863" i="23"/>
  <c r="S863" i="23"/>
  <c r="W862" i="23"/>
  <c r="X862" i="23" s="1"/>
  <c r="U862" i="23"/>
  <c r="T862" i="23"/>
  <c r="S862" i="23"/>
  <c r="W861" i="23"/>
  <c r="X861" i="23" s="1"/>
  <c r="U861" i="23"/>
  <c r="T861" i="23"/>
  <c r="S861" i="23"/>
  <c r="W860" i="23"/>
  <c r="X860" i="23" s="1"/>
  <c r="U860" i="23"/>
  <c r="T860" i="23"/>
  <c r="S860" i="23"/>
  <c r="W859" i="23"/>
  <c r="X859" i="23" s="1"/>
  <c r="U859" i="23"/>
  <c r="T859" i="23"/>
  <c r="S859" i="23"/>
  <c r="E4" i="77" l="1"/>
  <c r="N147" i="54"/>
  <c r="M147" i="54"/>
  <c r="L147" i="54"/>
  <c r="K147" i="54"/>
  <c r="J147" i="54"/>
  <c r="O147" i="54" s="1"/>
  <c r="I147" i="54"/>
  <c r="G147" i="54"/>
  <c r="F147" i="54"/>
  <c r="E147" i="54"/>
  <c r="D147" i="54"/>
  <c r="C147" i="54"/>
  <c r="C178" i="54"/>
  <c r="D178" i="54"/>
  <c r="E178" i="54"/>
  <c r="F178" i="54"/>
  <c r="G178" i="54"/>
  <c r="I178" i="54"/>
  <c r="J178" i="54"/>
  <c r="K178" i="54"/>
  <c r="L178" i="54"/>
  <c r="M178" i="54"/>
  <c r="N178" i="54"/>
  <c r="C179" i="54"/>
  <c r="L179" i="54"/>
  <c r="N177" i="54"/>
  <c r="N179" i="54" s="1"/>
  <c r="M177" i="54"/>
  <c r="M179" i="54" s="1"/>
  <c r="L177" i="54"/>
  <c r="K177" i="54"/>
  <c r="K179" i="54" s="1"/>
  <c r="J177" i="54"/>
  <c r="J179" i="54" s="1"/>
  <c r="I177" i="54"/>
  <c r="I179" i="54" s="1"/>
  <c r="G177" i="54"/>
  <c r="G179" i="54" s="1"/>
  <c r="F177" i="54"/>
  <c r="F179" i="54" s="1"/>
  <c r="E177" i="54"/>
  <c r="E179" i="54" s="1"/>
  <c r="D177" i="54"/>
  <c r="D179" i="54" s="1"/>
  <c r="R179" i="54" s="1"/>
  <c r="C177" i="54"/>
  <c r="G91" i="54"/>
  <c r="F91" i="54"/>
  <c r="E91" i="54"/>
  <c r="D91" i="54"/>
  <c r="C91" i="54"/>
  <c r="N173" i="54"/>
  <c r="M173" i="54"/>
  <c r="L173" i="54"/>
  <c r="K173" i="54"/>
  <c r="J173" i="54"/>
  <c r="I173" i="54"/>
  <c r="G173" i="54"/>
  <c r="F173" i="54"/>
  <c r="E173" i="54"/>
  <c r="D173" i="54"/>
  <c r="C173" i="54"/>
  <c r="N174" i="54"/>
  <c r="K174" i="54"/>
  <c r="J174" i="54"/>
  <c r="I174" i="54"/>
  <c r="G174" i="54"/>
  <c r="F174" i="54"/>
  <c r="E174" i="54"/>
  <c r="D174" i="54"/>
  <c r="C174" i="54"/>
  <c r="C172" i="54"/>
  <c r="C171" i="54"/>
  <c r="N168" i="54"/>
  <c r="M168" i="54"/>
  <c r="L168" i="54"/>
  <c r="K168" i="54"/>
  <c r="J168" i="54"/>
  <c r="I168" i="54"/>
  <c r="G168" i="54"/>
  <c r="F168" i="54"/>
  <c r="E168" i="54"/>
  <c r="D168" i="54"/>
  <c r="C168" i="54"/>
  <c r="N167" i="54"/>
  <c r="M167" i="54"/>
  <c r="L167" i="54"/>
  <c r="K167" i="54"/>
  <c r="J167" i="54"/>
  <c r="I167" i="54"/>
  <c r="G167" i="54"/>
  <c r="F167" i="54"/>
  <c r="E167" i="54"/>
  <c r="D167" i="54"/>
  <c r="C167" i="54"/>
  <c r="N164" i="54"/>
  <c r="M164" i="54"/>
  <c r="L164" i="54"/>
  <c r="K164" i="54"/>
  <c r="J164" i="54"/>
  <c r="I164" i="54"/>
  <c r="G164" i="54"/>
  <c r="F164" i="54"/>
  <c r="E164" i="54"/>
  <c r="D164" i="54"/>
  <c r="C164" i="54"/>
  <c r="N163" i="54"/>
  <c r="K163" i="54"/>
  <c r="J163" i="54"/>
  <c r="I163" i="54"/>
  <c r="G163" i="54"/>
  <c r="F163" i="54"/>
  <c r="E163" i="54"/>
  <c r="D163" i="54"/>
  <c r="C163" i="54"/>
  <c r="N162" i="54"/>
  <c r="K162" i="54"/>
  <c r="J162" i="54"/>
  <c r="I162" i="54"/>
  <c r="G162" i="54"/>
  <c r="F162" i="54"/>
  <c r="E162" i="54"/>
  <c r="D162" i="54"/>
  <c r="C162" i="54"/>
  <c r="C160" i="54"/>
  <c r="C158" i="54"/>
  <c r="N143" i="54"/>
  <c r="K143" i="54"/>
  <c r="J143" i="54"/>
  <c r="I143" i="54"/>
  <c r="G143" i="54"/>
  <c r="F143" i="54"/>
  <c r="E143" i="54"/>
  <c r="D143" i="54"/>
  <c r="C143" i="54"/>
  <c r="M143" i="54"/>
  <c r="L143" i="54"/>
  <c r="N155" i="54"/>
  <c r="K155" i="54"/>
  <c r="J155" i="54"/>
  <c r="I155" i="54"/>
  <c r="G155" i="54"/>
  <c r="F155" i="54"/>
  <c r="E155" i="54"/>
  <c r="D155" i="54"/>
  <c r="C155" i="54"/>
  <c r="N154" i="54"/>
  <c r="K154" i="54"/>
  <c r="J154" i="54"/>
  <c r="I154" i="54"/>
  <c r="G154" i="54"/>
  <c r="F154" i="54"/>
  <c r="E154" i="54"/>
  <c r="D154" i="54"/>
  <c r="C154" i="54"/>
  <c r="L153" i="54"/>
  <c r="C150" i="54"/>
  <c r="N149" i="54"/>
  <c r="M149" i="54"/>
  <c r="L149" i="54"/>
  <c r="K149" i="54"/>
  <c r="J149" i="54"/>
  <c r="I149" i="54"/>
  <c r="G149" i="54"/>
  <c r="F149" i="54"/>
  <c r="E149" i="54"/>
  <c r="D149" i="54"/>
  <c r="C149" i="54"/>
  <c r="N140" i="54"/>
  <c r="M140" i="54"/>
  <c r="L140" i="54"/>
  <c r="K140" i="54"/>
  <c r="J140" i="54"/>
  <c r="I140" i="54"/>
  <c r="G140" i="54"/>
  <c r="F140" i="54"/>
  <c r="E140" i="54"/>
  <c r="D140" i="54"/>
  <c r="C140" i="54"/>
  <c r="N139" i="54"/>
  <c r="K139" i="54"/>
  <c r="J139" i="54"/>
  <c r="I139" i="54"/>
  <c r="G139" i="54"/>
  <c r="F139" i="54"/>
  <c r="E139" i="54"/>
  <c r="D139" i="54"/>
  <c r="C139" i="54"/>
  <c r="I56" i="54"/>
  <c r="J56" i="54"/>
  <c r="K56" i="54"/>
  <c r="N56" i="54"/>
  <c r="I62" i="54"/>
  <c r="J62" i="54"/>
  <c r="K62" i="54"/>
  <c r="N62" i="54"/>
  <c r="I70" i="54"/>
  <c r="J70" i="54"/>
  <c r="K70" i="54"/>
  <c r="N70" i="54"/>
  <c r="I76" i="54"/>
  <c r="J76" i="54"/>
  <c r="K76" i="54"/>
  <c r="N76" i="54"/>
  <c r="I91" i="54"/>
  <c r="J91" i="54"/>
  <c r="K91" i="54"/>
  <c r="I82" i="54"/>
  <c r="J82" i="54"/>
  <c r="K82" i="54"/>
  <c r="N82" i="54"/>
  <c r="N91" i="54"/>
  <c r="W42" i="54"/>
  <c r="O42" i="54"/>
  <c r="O173" i="54" l="1"/>
  <c r="O164" i="54"/>
  <c r="O143" i="54"/>
  <c r="O177" i="54"/>
  <c r="O168" i="54"/>
  <c r="O167" i="54"/>
  <c r="Y42" i="54"/>
  <c r="O149" i="54"/>
  <c r="O140" i="54"/>
  <c r="W20" i="54"/>
  <c r="Q91" i="54"/>
  <c r="R91" i="54"/>
  <c r="S91" i="54"/>
  <c r="V91" i="54"/>
  <c r="Q82" i="54"/>
  <c r="R82" i="54"/>
  <c r="S82" i="54"/>
  <c r="V82" i="54"/>
  <c r="Q76" i="54"/>
  <c r="R76" i="54"/>
  <c r="S76" i="54"/>
  <c r="V76" i="54"/>
  <c r="W74" i="54"/>
  <c r="O74" i="54"/>
  <c r="V70" i="54"/>
  <c r="S70" i="54"/>
  <c r="R70" i="54"/>
  <c r="Q70" i="54"/>
  <c r="Q62" i="54"/>
  <c r="R62" i="54"/>
  <c r="S62" i="54"/>
  <c r="V62" i="54"/>
  <c r="Q56" i="54"/>
  <c r="R56" i="54"/>
  <c r="S56" i="54"/>
  <c r="V56" i="54"/>
  <c r="U110" i="54"/>
  <c r="N110" i="54"/>
  <c r="K110" i="54"/>
  <c r="J110" i="54"/>
  <c r="I110" i="54"/>
  <c r="G110" i="54"/>
  <c r="F110" i="54"/>
  <c r="E110" i="54"/>
  <c r="D110" i="54"/>
  <c r="C110" i="54"/>
  <c r="V36" i="54"/>
  <c r="V40" i="54" s="1"/>
  <c r="S36" i="54"/>
  <c r="S40" i="54" s="1"/>
  <c r="R36" i="54"/>
  <c r="R40" i="54" s="1"/>
  <c r="Q36" i="54"/>
  <c r="Q40" i="54" s="1"/>
  <c r="N36" i="54"/>
  <c r="N40" i="54" s="1"/>
  <c r="K36" i="54"/>
  <c r="K40" i="54" s="1"/>
  <c r="J36" i="54"/>
  <c r="J40" i="54" s="1"/>
  <c r="I36" i="54"/>
  <c r="I40" i="54" s="1"/>
  <c r="G36" i="54"/>
  <c r="G40" i="54" s="1"/>
  <c r="F36" i="54"/>
  <c r="F40" i="54" s="1"/>
  <c r="E36" i="54"/>
  <c r="E40" i="54" s="1"/>
  <c r="D36" i="54"/>
  <c r="D40" i="54" s="1"/>
  <c r="C36" i="54"/>
  <c r="C40" i="54" s="1"/>
  <c r="W39" i="54"/>
  <c r="O39" i="54"/>
  <c r="O32" i="54"/>
  <c r="V29" i="54"/>
  <c r="V33" i="54" s="1"/>
  <c r="S29" i="54"/>
  <c r="S33" i="54" s="1"/>
  <c r="R29" i="54"/>
  <c r="R33" i="54" s="1"/>
  <c r="Q29" i="54"/>
  <c r="Q33" i="54" s="1"/>
  <c r="N29" i="54"/>
  <c r="N33" i="54" s="1"/>
  <c r="K29" i="54"/>
  <c r="K33" i="54" s="1"/>
  <c r="J29" i="54"/>
  <c r="J33" i="54" s="1"/>
  <c r="I29" i="54"/>
  <c r="I33" i="54" s="1"/>
  <c r="G29" i="54"/>
  <c r="G33" i="54" s="1"/>
  <c r="F29" i="54"/>
  <c r="F33" i="54" s="1"/>
  <c r="E29" i="54"/>
  <c r="E33" i="54" s="1"/>
  <c r="D29" i="54"/>
  <c r="D33" i="54" s="1"/>
  <c r="C29" i="54"/>
  <c r="C33" i="54" s="1"/>
  <c r="W31" i="54"/>
  <c r="O31" i="54"/>
  <c r="V21" i="54"/>
  <c r="N153" i="54" s="1"/>
  <c r="S21" i="54"/>
  <c r="R21" i="54"/>
  <c r="Q21" i="54"/>
  <c r="N21" i="54"/>
  <c r="N25" i="54" s="1"/>
  <c r="K21" i="54"/>
  <c r="K25" i="54" s="1"/>
  <c r="J21" i="54"/>
  <c r="J25" i="54" s="1"/>
  <c r="I21" i="54"/>
  <c r="I25" i="54" s="1"/>
  <c r="G21" i="54"/>
  <c r="G153" i="54" s="1"/>
  <c r="F21" i="54"/>
  <c r="E21" i="54"/>
  <c r="D21" i="54"/>
  <c r="C21" i="54"/>
  <c r="W24" i="54"/>
  <c r="O24" i="54"/>
  <c r="W13" i="54"/>
  <c r="O13" i="54"/>
  <c r="V11" i="54"/>
  <c r="V15" i="54" s="1"/>
  <c r="S11" i="54"/>
  <c r="S15" i="54" s="1"/>
  <c r="R11" i="54"/>
  <c r="R15" i="54" s="1"/>
  <c r="Q11" i="54"/>
  <c r="Q15" i="54" s="1"/>
  <c r="N11" i="54"/>
  <c r="N15" i="54" s="1"/>
  <c r="K11" i="54"/>
  <c r="K15" i="54" s="1"/>
  <c r="J11" i="54"/>
  <c r="J15" i="54" s="1"/>
  <c r="I11" i="54"/>
  <c r="I15" i="54" s="1"/>
  <c r="G11" i="54"/>
  <c r="G15" i="54" s="1"/>
  <c r="F11" i="54"/>
  <c r="F15" i="54" s="1"/>
  <c r="E11" i="54"/>
  <c r="E15" i="54" s="1"/>
  <c r="D11" i="54"/>
  <c r="D15" i="54" s="1"/>
  <c r="C11" i="54"/>
  <c r="C15" i="54" s="1"/>
  <c r="V48" i="54"/>
  <c r="U48" i="54"/>
  <c r="T48" i="54"/>
  <c r="S48" i="54"/>
  <c r="R48" i="54"/>
  <c r="Q48" i="54"/>
  <c r="N48" i="54"/>
  <c r="K48" i="54"/>
  <c r="J48" i="54"/>
  <c r="I48" i="54"/>
  <c r="G48" i="54"/>
  <c r="F48" i="54"/>
  <c r="E48" i="54"/>
  <c r="D48" i="54"/>
  <c r="C48" i="54"/>
  <c r="W49" i="54"/>
  <c r="O49" i="54"/>
  <c r="W50" i="54"/>
  <c r="O50" i="54"/>
  <c r="W38" i="54"/>
  <c r="O38" i="54"/>
  <c r="W37" i="54"/>
  <c r="O37" i="54"/>
  <c r="W30" i="54"/>
  <c r="O30" i="54"/>
  <c r="W22" i="54"/>
  <c r="O22" i="54"/>
  <c r="U109" i="54"/>
  <c r="N109" i="54"/>
  <c r="M109" i="54"/>
  <c r="L109" i="54"/>
  <c r="K109" i="54"/>
  <c r="J109" i="54"/>
  <c r="I109" i="54"/>
  <c r="G109" i="54"/>
  <c r="F109" i="54"/>
  <c r="E109" i="54"/>
  <c r="D109" i="54"/>
  <c r="C109" i="54"/>
  <c r="U111" i="54"/>
  <c r="N111" i="54"/>
  <c r="K111" i="54"/>
  <c r="J111" i="54"/>
  <c r="I111" i="54"/>
  <c r="G111" i="54"/>
  <c r="F111" i="54"/>
  <c r="E111" i="54"/>
  <c r="D111" i="54"/>
  <c r="C111" i="54"/>
  <c r="W27" i="54"/>
  <c r="O27" i="54"/>
  <c r="W45" i="54"/>
  <c r="O45" i="54"/>
  <c r="U114" i="54"/>
  <c r="N114" i="54"/>
  <c r="M114" i="54"/>
  <c r="L114" i="54"/>
  <c r="K114" i="54"/>
  <c r="J114" i="54"/>
  <c r="I114" i="54"/>
  <c r="G114" i="54"/>
  <c r="F114" i="54"/>
  <c r="E114" i="54"/>
  <c r="D114" i="54"/>
  <c r="C114" i="54"/>
  <c r="W89" i="54"/>
  <c r="O89" i="54"/>
  <c r="W88" i="54"/>
  <c r="O88" i="54"/>
  <c r="W60" i="54"/>
  <c r="O60" i="54"/>
  <c r="U120" i="54"/>
  <c r="N120" i="54"/>
  <c r="K120" i="54"/>
  <c r="J120" i="54"/>
  <c r="I120" i="54"/>
  <c r="G120" i="54"/>
  <c r="F120" i="54"/>
  <c r="E120" i="54"/>
  <c r="D120" i="54"/>
  <c r="C120" i="54"/>
  <c r="U119" i="54"/>
  <c r="N119" i="54"/>
  <c r="K119" i="54"/>
  <c r="J119" i="54"/>
  <c r="I119" i="54"/>
  <c r="G119" i="54"/>
  <c r="F119" i="54"/>
  <c r="E119" i="54"/>
  <c r="D119" i="54"/>
  <c r="C119" i="54"/>
  <c r="G76" i="54"/>
  <c r="F76" i="54"/>
  <c r="E76" i="54"/>
  <c r="D76" i="54"/>
  <c r="C76" i="54"/>
  <c r="W75" i="54"/>
  <c r="O75" i="54"/>
  <c r="W73" i="54"/>
  <c r="O73" i="54"/>
  <c r="W72" i="54"/>
  <c r="O72" i="54"/>
  <c r="G56" i="54"/>
  <c r="F56" i="54"/>
  <c r="E56" i="54"/>
  <c r="D56" i="54"/>
  <c r="C56" i="54"/>
  <c r="W55" i="54"/>
  <c r="O55" i="54"/>
  <c r="W54" i="54"/>
  <c r="O54" i="54"/>
  <c r="W53" i="54"/>
  <c r="O53" i="54"/>
  <c r="W52" i="54"/>
  <c r="O52" i="54"/>
  <c r="W19" i="54"/>
  <c r="O19" i="54"/>
  <c r="W90" i="54"/>
  <c r="O90" i="54"/>
  <c r="W65" i="54"/>
  <c r="O65" i="54"/>
  <c r="W64" i="54"/>
  <c r="O64" i="54"/>
  <c r="W7" i="54"/>
  <c r="O7" i="54"/>
  <c r="W14" i="54"/>
  <c r="W12" i="54"/>
  <c r="O14" i="54"/>
  <c r="O12" i="54"/>
  <c r="O96" i="54"/>
  <c r="O93" i="54"/>
  <c r="O87" i="54"/>
  <c r="O86" i="54"/>
  <c r="O85" i="54"/>
  <c r="O84" i="54"/>
  <c r="O81" i="54"/>
  <c r="O80" i="54"/>
  <c r="O79" i="54"/>
  <c r="O78" i="54"/>
  <c r="O69" i="54"/>
  <c r="O68" i="54"/>
  <c r="O61" i="54"/>
  <c r="O59" i="54"/>
  <c r="O58" i="54"/>
  <c r="O35" i="54"/>
  <c r="O28" i="54"/>
  <c r="O18" i="54"/>
  <c r="O23" i="54"/>
  <c r="O20" i="54"/>
  <c r="O17" i="54"/>
  <c r="O8" i="54"/>
  <c r="O10" i="54"/>
  <c r="O9" i="54"/>
  <c r="O6" i="54"/>
  <c r="W96" i="54"/>
  <c r="W93" i="54"/>
  <c r="W87" i="54"/>
  <c r="W86" i="54"/>
  <c r="W85" i="54"/>
  <c r="W84" i="54"/>
  <c r="W81" i="54"/>
  <c r="O178" i="54" s="1"/>
  <c r="W80" i="54"/>
  <c r="W79" i="54"/>
  <c r="W78" i="54"/>
  <c r="W69" i="54"/>
  <c r="W68" i="54"/>
  <c r="W61" i="54"/>
  <c r="W59" i="54"/>
  <c r="W58" i="54"/>
  <c r="W35" i="54"/>
  <c r="W32" i="54"/>
  <c r="W28" i="54"/>
  <c r="W18" i="54"/>
  <c r="W23" i="54"/>
  <c r="W17" i="54"/>
  <c r="W8" i="54"/>
  <c r="W10" i="54"/>
  <c r="W9" i="54"/>
  <c r="W6" i="54"/>
  <c r="E153" i="54" l="1"/>
  <c r="E25" i="54"/>
  <c r="F153" i="54"/>
  <c r="F25" i="54"/>
  <c r="C153" i="54"/>
  <c r="C25" i="54"/>
  <c r="D153" i="54"/>
  <c r="D25" i="54"/>
  <c r="O179" i="54"/>
  <c r="Q179" i="54" s="1"/>
  <c r="R25" i="54"/>
  <c r="R101" i="54" s="1"/>
  <c r="J153" i="54"/>
  <c r="S25" i="54"/>
  <c r="S101" i="54" s="1"/>
  <c r="K153" i="54"/>
  <c r="J101" i="54"/>
  <c r="Q25" i="54"/>
  <c r="Q101" i="54" s="1"/>
  <c r="I153" i="54"/>
  <c r="V25" i="54"/>
  <c r="V101" i="54" s="1"/>
  <c r="I101" i="54"/>
  <c r="K101" i="54"/>
  <c r="Y93" i="54"/>
  <c r="Y45" i="54"/>
  <c r="N101" i="54"/>
  <c r="Y24" i="54"/>
  <c r="Y96" i="54"/>
  <c r="Y13" i="54"/>
  <c r="O82" i="54"/>
  <c r="O91" i="54"/>
  <c r="Y14" i="54"/>
  <c r="O76" i="54"/>
  <c r="W91" i="54"/>
  <c r="Y12" i="54"/>
  <c r="O62" i="54"/>
  <c r="O70" i="54"/>
  <c r="Y74" i="54"/>
  <c r="Y31" i="54"/>
  <c r="Y39" i="54"/>
  <c r="O36" i="54"/>
  <c r="O40" i="54" s="1"/>
  <c r="O110" i="54"/>
  <c r="O21" i="54"/>
  <c r="O25" i="54" s="1"/>
  <c r="W110" i="54"/>
  <c r="W21" i="54"/>
  <c r="W25" i="54" s="1"/>
  <c r="O48" i="54"/>
  <c r="W48" i="54"/>
  <c r="O29" i="54"/>
  <c r="O33" i="54" s="1"/>
  <c r="W29" i="54"/>
  <c r="W33" i="54" s="1"/>
  <c r="W36" i="54"/>
  <c r="W40" i="54" s="1"/>
  <c r="O11" i="54"/>
  <c r="O15" i="54" s="1"/>
  <c r="W11" i="54"/>
  <c r="W15" i="54" s="1"/>
  <c r="Y81" i="54"/>
  <c r="Y22" i="54"/>
  <c r="Y37" i="54"/>
  <c r="O111" i="54"/>
  <c r="Y30" i="54"/>
  <c r="Y38" i="54"/>
  <c r="O109" i="54"/>
  <c r="W111" i="54"/>
  <c r="W109" i="54"/>
  <c r="Y27" i="54"/>
  <c r="W114" i="54"/>
  <c r="O114" i="54"/>
  <c r="Y89" i="54"/>
  <c r="Y88" i="54"/>
  <c r="Y60" i="54"/>
  <c r="O120" i="54"/>
  <c r="O119" i="54"/>
  <c r="O56" i="54"/>
  <c r="W76" i="54"/>
  <c r="W120" i="54"/>
  <c r="Y90" i="54"/>
  <c r="Y54" i="54"/>
  <c r="Y75" i="54"/>
  <c r="Y19" i="54"/>
  <c r="Y79" i="54"/>
  <c r="Y85" i="54"/>
  <c r="Y73" i="54"/>
  <c r="W119" i="54"/>
  <c r="Y55" i="54"/>
  <c r="W56" i="54"/>
  <c r="Y61" i="54"/>
  <c r="Y72" i="54"/>
  <c r="Y53" i="54"/>
  <c r="Y52" i="54"/>
  <c r="Y18" i="54"/>
  <c r="Y9" i="54"/>
  <c r="Y20" i="54"/>
  <c r="Y32" i="54"/>
  <c r="Y59" i="54"/>
  <c r="Y69" i="54"/>
  <c r="Y87" i="54"/>
  <c r="Y6" i="54"/>
  <c r="Y65" i="54"/>
  <c r="Y58" i="54"/>
  <c r="Y80" i="54"/>
  <c r="Y86" i="54"/>
  <c r="O66" i="54"/>
  <c r="Y23" i="54"/>
  <c r="Y35" i="54"/>
  <c r="Y84" i="54"/>
  <c r="Y28" i="54"/>
  <c r="Y68" i="54"/>
  <c r="Y64" i="54"/>
  <c r="Y17" i="54"/>
  <c r="Y8" i="54"/>
  <c r="Y78" i="54"/>
  <c r="Y7" i="54"/>
  <c r="Y10" i="54"/>
  <c r="K97" i="17"/>
  <c r="K95" i="17"/>
  <c r="K94" i="17"/>
  <c r="D267" i="17"/>
  <c r="E267" i="17"/>
  <c r="J267" i="17"/>
  <c r="I267" i="17"/>
  <c r="C123" i="17"/>
  <c r="C126" i="17" s="1"/>
  <c r="S103" i="54" l="1"/>
  <c r="Q103" i="54"/>
  <c r="R103" i="54"/>
  <c r="V103" i="54"/>
  <c r="O101" i="54"/>
  <c r="Y82" i="54"/>
  <c r="Y36" i="54"/>
  <c r="Y40" i="54" s="1"/>
  <c r="Y91" i="54"/>
  <c r="Y76" i="54"/>
  <c r="Y70" i="54"/>
  <c r="Y48" i="54"/>
  <c r="Y29" i="54"/>
  <c r="Y33" i="54" s="1"/>
  <c r="Y21" i="54"/>
  <c r="Y25" i="54" s="1"/>
  <c r="Y11" i="54"/>
  <c r="Y15" i="54" s="1"/>
  <c r="H1071" i="29" l="1"/>
  <c r="W262" i="17" s="1"/>
  <c r="T262" i="17"/>
  <c r="T259" i="17"/>
  <c r="P74" i="17"/>
  <c r="E158" i="17" l="1"/>
  <c r="E157" i="17"/>
  <c r="C158" i="17"/>
  <c r="K154" i="17"/>
  <c r="K151" i="17"/>
  <c r="K148" i="17"/>
  <c r="K145" i="17"/>
  <c r="U1617" i="23" l="1"/>
  <c r="T1617" i="23"/>
  <c r="S1617" i="23"/>
  <c r="U1616" i="23"/>
  <c r="T1616" i="23"/>
  <c r="S1616" i="23"/>
  <c r="AG23" i="3" l="1"/>
  <c r="S432" i="23" l="1"/>
  <c r="T432" i="23"/>
  <c r="U432" i="23"/>
  <c r="W432" i="23"/>
  <c r="S433" i="23"/>
  <c r="T433" i="23"/>
  <c r="U433" i="23"/>
  <c r="W433" i="23"/>
  <c r="S434" i="23"/>
  <c r="T434" i="23"/>
  <c r="U434" i="23"/>
  <c r="W434" i="23"/>
  <c r="S435" i="23"/>
  <c r="T435" i="23"/>
  <c r="U435" i="23"/>
  <c r="W435" i="23"/>
  <c r="S436" i="23"/>
  <c r="T436" i="23"/>
  <c r="U436" i="23"/>
  <c r="W436" i="23"/>
  <c r="S437" i="23"/>
  <c r="T437" i="23"/>
  <c r="U437" i="23"/>
  <c r="W437" i="23"/>
  <c r="S438" i="23"/>
  <c r="T438" i="23"/>
  <c r="U438" i="23"/>
  <c r="W438" i="23"/>
  <c r="S439" i="23"/>
  <c r="T439" i="23"/>
  <c r="U439" i="23"/>
  <c r="W439" i="23"/>
  <c r="S440" i="23"/>
  <c r="T440" i="23"/>
  <c r="U440" i="23"/>
  <c r="W440" i="23"/>
  <c r="S441" i="23"/>
  <c r="T441" i="23"/>
  <c r="U441" i="23"/>
  <c r="W441" i="23"/>
  <c r="S442" i="23"/>
  <c r="T442" i="23"/>
  <c r="U442" i="23"/>
  <c r="W442" i="23"/>
  <c r="S443" i="23"/>
  <c r="T443" i="23"/>
  <c r="U443" i="23"/>
  <c r="W443" i="23"/>
  <c r="S444" i="23"/>
  <c r="T444" i="23"/>
  <c r="U444" i="23"/>
  <c r="W444" i="23"/>
  <c r="S445" i="23"/>
  <c r="T445" i="23"/>
  <c r="U445" i="23"/>
  <c r="W445" i="23"/>
  <c r="S446" i="23"/>
  <c r="T446" i="23"/>
  <c r="U446" i="23"/>
  <c r="W446" i="23"/>
  <c r="S447" i="23"/>
  <c r="T447" i="23"/>
  <c r="U447" i="23"/>
  <c r="W447" i="23"/>
  <c r="S448" i="23"/>
  <c r="T448" i="23"/>
  <c r="U448" i="23"/>
  <c r="W448" i="23"/>
  <c r="S449" i="23"/>
  <c r="T449" i="23"/>
  <c r="U449" i="23"/>
  <c r="W449" i="23"/>
  <c r="S450" i="23"/>
  <c r="T450" i="23"/>
  <c r="U450" i="23"/>
  <c r="W450" i="23"/>
  <c r="S451" i="23"/>
  <c r="T451" i="23"/>
  <c r="U451" i="23"/>
  <c r="W451" i="23"/>
  <c r="S452" i="23"/>
  <c r="T452" i="23"/>
  <c r="U452" i="23"/>
  <c r="W452" i="23"/>
  <c r="S453" i="23"/>
  <c r="T453" i="23"/>
  <c r="U453" i="23"/>
  <c r="W453" i="23"/>
  <c r="S454" i="23"/>
  <c r="T454" i="23"/>
  <c r="U454" i="23"/>
  <c r="W454" i="23"/>
  <c r="S455" i="23"/>
  <c r="T455" i="23"/>
  <c r="U455" i="23"/>
  <c r="W455" i="23"/>
  <c r="S456" i="23"/>
  <c r="T456" i="23"/>
  <c r="U456" i="23"/>
  <c r="W456" i="23"/>
  <c r="S457" i="23"/>
  <c r="T457" i="23"/>
  <c r="U457" i="23"/>
  <c r="W457" i="23"/>
  <c r="S458" i="23"/>
  <c r="T458" i="23"/>
  <c r="U458" i="23"/>
  <c r="W458" i="23"/>
  <c r="S459" i="23"/>
  <c r="T459" i="23"/>
  <c r="U459" i="23"/>
  <c r="W459" i="23"/>
  <c r="S460" i="23"/>
  <c r="T460" i="23"/>
  <c r="U460" i="23"/>
  <c r="W460" i="23"/>
  <c r="S461" i="23"/>
  <c r="T461" i="23"/>
  <c r="U461" i="23"/>
  <c r="W461" i="23"/>
  <c r="S462" i="23"/>
  <c r="T462" i="23"/>
  <c r="U462" i="23"/>
  <c r="W462" i="23"/>
  <c r="S463" i="23"/>
  <c r="T463" i="23"/>
  <c r="U463" i="23"/>
  <c r="W463" i="23"/>
  <c r="S464" i="23"/>
  <c r="T464" i="23"/>
  <c r="U464" i="23"/>
  <c r="W464" i="23"/>
  <c r="S465" i="23"/>
  <c r="T465" i="23"/>
  <c r="U465" i="23"/>
  <c r="W465" i="23"/>
  <c r="S466" i="23"/>
  <c r="T466" i="23"/>
  <c r="U466" i="23"/>
  <c r="W466" i="23"/>
  <c r="S467" i="23"/>
  <c r="T467" i="23"/>
  <c r="U467" i="23"/>
  <c r="W467" i="23"/>
  <c r="S468" i="23"/>
  <c r="T468" i="23"/>
  <c r="U468" i="23"/>
  <c r="W468" i="23"/>
  <c r="S469" i="23"/>
  <c r="T469" i="23"/>
  <c r="U469" i="23"/>
  <c r="W469" i="23"/>
  <c r="S470" i="23"/>
  <c r="T470" i="23"/>
  <c r="U470" i="23"/>
  <c r="W470" i="23"/>
  <c r="S471" i="23"/>
  <c r="T471" i="23"/>
  <c r="U471" i="23"/>
  <c r="W471" i="23"/>
  <c r="S472" i="23"/>
  <c r="T472" i="23"/>
  <c r="U472" i="23"/>
  <c r="W472" i="23"/>
  <c r="S473" i="23"/>
  <c r="T473" i="23"/>
  <c r="U473" i="23"/>
  <c r="W473" i="23"/>
  <c r="S474" i="23"/>
  <c r="T474" i="23"/>
  <c r="U474" i="23"/>
  <c r="W474" i="23"/>
  <c r="S475" i="23"/>
  <c r="T475" i="23"/>
  <c r="U475" i="23"/>
  <c r="W475" i="23"/>
  <c r="S476" i="23"/>
  <c r="T476" i="23"/>
  <c r="U476" i="23"/>
  <c r="W476" i="23"/>
  <c r="S477" i="23"/>
  <c r="T477" i="23"/>
  <c r="U477" i="23"/>
  <c r="W477" i="23"/>
  <c r="S478" i="23"/>
  <c r="T478" i="23"/>
  <c r="U478" i="23"/>
  <c r="W478" i="23"/>
  <c r="S479" i="23"/>
  <c r="T479" i="23"/>
  <c r="U479" i="23"/>
  <c r="W479" i="23"/>
  <c r="S480" i="23"/>
  <c r="T480" i="23"/>
  <c r="U480" i="23"/>
  <c r="W480" i="23"/>
  <c r="S481" i="23"/>
  <c r="T481" i="23"/>
  <c r="U481" i="23"/>
  <c r="W481" i="23"/>
  <c r="S482" i="23"/>
  <c r="T482" i="23"/>
  <c r="U482" i="23"/>
  <c r="W482" i="23"/>
  <c r="S483" i="23"/>
  <c r="T483" i="23"/>
  <c r="U483" i="23"/>
  <c r="W483" i="23"/>
  <c r="S484" i="23"/>
  <c r="T484" i="23"/>
  <c r="U484" i="23"/>
  <c r="D13" i="77" s="1"/>
  <c r="W484" i="23"/>
  <c r="S485" i="23"/>
  <c r="T485" i="23"/>
  <c r="U485" i="23"/>
  <c r="W485" i="23"/>
  <c r="S486" i="23"/>
  <c r="T486" i="23"/>
  <c r="U486" i="23"/>
  <c r="W486" i="23"/>
  <c r="S487" i="23"/>
  <c r="T487" i="23"/>
  <c r="U487" i="23"/>
  <c r="W487" i="23"/>
  <c r="S488" i="23"/>
  <c r="T488" i="23"/>
  <c r="U488" i="23"/>
  <c r="W488" i="23"/>
  <c r="S489" i="23"/>
  <c r="T489" i="23"/>
  <c r="U489" i="23"/>
  <c r="W489" i="23"/>
  <c r="S490" i="23"/>
  <c r="T490" i="23"/>
  <c r="U490" i="23"/>
  <c r="W490" i="23"/>
  <c r="S491" i="23"/>
  <c r="T491" i="23"/>
  <c r="U491" i="23"/>
  <c r="W491" i="23"/>
  <c r="S492" i="23"/>
  <c r="T492" i="23"/>
  <c r="U492" i="23"/>
  <c r="W492" i="23"/>
  <c r="S493" i="23"/>
  <c r="T493" i="23"/>
  <c r="U493" i="23"/>
  <c r="W493" i="23"/>
  <c r="S494" i="23"/>
  <c r="T494" i="23"/>
  <c r="U494" i="23"/>
  <c r="W494" i="23"/>
  <c r="S495" i="23"/>
  <c r="T495" i="23"/>
  <c r="U495" i="23"/>
  <c r="W495" i="23"/>
  <c r="S496" i="23"/>
  <c r="T496" i="23"/>
  <c r="U496" i="23"/>
  <c r="W496" i="23"/>
  <c r="S497" i="23"/>
  <c r="T497" i="23"/>
  <c r="U497" i="23"/>
  <c r="W497" i="23"/>
  <c r="S498" i="23"/>
  <c r="T498" i="23"/>
  <c r="U498" i="23"/>
  <c r="W498" i="23"/>
  <c r="S499" i="23"/>
  <c r="T499" i="23"/>
  <c r="U499" i="23"/>
  <c r="W499" i="23"/>
  <c r="S500" i="23"/>
  <c r="T500" i="23"/>
  <c r="U500" i="23"/>
  <c r="W500" i="23"/>
  <c r="S501" i="23"/>
  <c r="T501" i="23"/>
  <c r="U501" i="23"/>
  <c r="W501" i="23"/>
  <c r="S502" i="23"/>
  <c r="T502" i="23"/>
  <c r="U502" i="23"/>
  <c r="W502" i="23"/>
  <c r="S503" i="23"/>
  <c r="T503" i="23"/>
  <c r="U503" i="23"/>
  <c r="W503" i="23"/>
  <c r="S504" i="23"/>
  <c r="T504" i="23"/>
  <c r="U504" i="23"/>
  <c r="W504" i="23"/>
  <c r="S505" i="23"/>
  <c r="T505" i="23"/>
  <c r="U505" i="23"/>
  <c r="W505" i="23"/>
  <c r="S506" i="23"/>
  <c r="T506" i="23"/>
  <c r="U506" i="23"/>
  <c r="W506" i="23"/>
  <c r="S507" i="23"/>
  <c r="T507" i="23"/>
  <c r="U507" i="23"/>
  <c r="W507" i="23"/>
  <c r="S508" i="23"/>
  <c r="T508" i="23"/>
  <c r="U508" i="23"/>
  <c r="W508" i="23"/>
  <c r="S509" i="23"/>
  <c r="T509" i="23"/>
  <c r="U509" i="23"/>
  <c r="W509" i="23"/>
  <c r="S510" i="23"/>
  <c r="T510" i="23"/>
  <c r="U510" i="23"/>
  <c r="W510" i="23"/>
  <c r="S511" i="23"/>
  <c r="T511" i="23"/>
  <c r="U511" i="23"/>
  <c r="W511" i="23"/>
  <c r="S512" i="23"/>
  <c r="T512" i="23"/>
  <c r="U512" i="23"/>
  <c r="W512" i="23"/>
  <c r="S513" i="23"/>
  <c r="T513" i="23"/>
  <c r="U513" i="23"/>
  <c r="W513" i="23"/>
  <c r="S514" i="23"/>
  <c r="T514" i="23"/>
  <c r="U514" i="23"/>
  <c r="W514" i="23"/>
  <c r="S515" i="23"/>
  <c r="T515" i="23"/>
  <c r="U515" i="23"/>
  <c r="W515" i="23"/>
  <c r="S516" i="23"/>
  <c r="T516" i="23"/>
  <c r="U516" i="23"/>
  <c r="W516" i="23"/>
  <c r="S517" i="23"/>
  <c r="T517" i="23"/>
  <c r="U517" i="23"/>
  <c r="W517" i="23"/>
  <c r="S518" i="23"/>
  <c r="T518" i="23"/>
  <c r="U518" i="23"/>
  <c r="W518" i="23"/>
  <c r="S519" i="23"/>
  <c r="T519" i="23"/>
  <c r="U519" i="23"/>
  <c r="W519" i="23"/>
  <c r="S520" i="23"/>
  <c r="T520" i="23"/>
  <c r="U520" i="23"/>
  <c r="W520" i="23"/>
  <c r="S521" i="23"/>
  <c r="T521" i="23"/>
  <c r="U521" i="23"/>
  <c r="W521" i="23"/>
  <c r="S522" i="23"/>
  <c r="T522" i="23"/>
  <c r="U522" i="23"/>
  <c r="W522" i="23"/>
  <c r="S523" i="23"/>
  <c r="T523" i="23"/>
  <c r="U523" i="23"/>
  <c r="W523" i="23"/>
  <c r="S524" i="23"/>
  <c r="T524" i="23"/>
  <c r="U524" i="23"/>
  <c r="W524" i="23"/>
  <c r="S525" i="23"/>
  <c r="T525" i="23"/>
  <c r="U525" i="23"/>
  <c r="W525" i="23"/>
  <c r="S526" i="23"/>
  <c r="T526" i="23"/>
  <c r="U526" i="23"/>
  <c r="W526" i="23"/>
  <c r="S527" i="23"/>
  <c r="T527" i="23"/>
  <c r="U527" i="23"/>
  <c r="W527" i="23"/>
  <c r="S528" i="23"/>
  <c r="T528" i="23"/>
  <c r="U528" i="23"/>
  <c r="W528" i="23"/>
  <c r="S529" i="23"/>
  <c r="T529" i="23"/>
  <c r="U529" i="23"/>
  <c r="W529" i="23"/>
  <c r="S530" i="23"/>
  <c r="T530" i="23"/>
  <c r="U530" i="23"/>
  <c r="W530" i="23"/>
  <c r="S531" i="23"/>
  <c r="T531" i="23"/>
  <c r="U531" i="23"/>
  <c r="W531" i="23"/>
  <c r="S532" i="23"/>
  <c r="T532" i="23"/>
  <c r="U532" i="23"/>
  <c r="W532" i="23"/>
  <c r="S533" i="23"/>
  <c r="T533" i="23"/>
  <c r="U533" i="23"/>
  <c r="W533" i="23"/>
  <c r="S534" i="23"/>
  <c r="T534" i="23"/>
  <c r="U534" i="23"/>
  <c r="W534" i="23"/>
  <c r="S535" i="23"/>
  <c r="T535" i="23"/>
  <c r="U535" i="23"/>
  <c r="W535" i="23"/>
  <c r="S536" i="23"/>
  <c r="T536" i="23"/>
  <c r="U536" i="23"/>
  <c r="W536" i="23"/>
  <c r="S537" i="23"/>
  <c r="T537" i="23"/>
  <c r="U537" i="23"/>
  <c r="W537" i="23"/>
  <c r="S538" i="23"/>
  <c r="T538" i="23"/>
  <c r="U538" i="23"/>
  <c r="W538" i="23"/>
  <c r="S539" i="23"/>
  <c r="T539" i="23"/>
  <c r="U539" i="23"/>
  <c r="W539" i="23"/>
  <c r="S540" i="23"/>
  <c r="T540" i="23"/>
  <c r="U540" i="23"/>
  <c r="W540" i="23"/>
  <c r="S541" i="23"/>
  <c r="T541" i="23"/>
  <c r="U541" i="23"/>
  <c r="W541" i="23"/>
  <c r="S542" i="23"/>
  <c r="T542" i="23"/>
  <c r="U542" i="23"/>
  <c r="W542" i="23"/>
  <c r="S543" i="23"/>
  <c r="T543" i="23"/>
  <c r="U543" i="23"/>
  <c r="W543" i="23"/>
  <c r="S544" i="23"/>
  <c r="T544" i="23"/>
  <c r="U544" i="23"/>
  <c r="W544" i="23"/>
  <c r="S545" i="23"/>
  <c r="T545" i="23"/>
  <c r="U545" i="23"/>
  <c r="W545" i="23"/>
  <c r="S546" i="23"/>
  <c r="T546" i="23"/>
  <c r="U546" i="23"/>
  <c r="W546" i="23"/>
  <c r="S547" i="23"/>
  <c r="T547" i="23"/>
  <c r="U547" i="23"/>
  <c r="W547" i="23"/>
  <c r="S548" i="23"/>
  <c r="T548" i="23"/>
  <c r="U548" i="23"/>
  <c r="W548" i="23"/>
  <c r="S549" i="23"/>
  <c r="T549" i="23"/>
  <c r="U549" i="23"/>
  <c r="W549" i="23"/>
  <c r="S550" i="23"/>
  <c r="T550" i="23"/>
  <c r="U550" i="23"/>
  <c r="W550" i="23"/>
  <c r="S551" i="23"/>
  <c r="T551" i="23"/>
  <c r="U551" i="23"/>
  <c r="W551" i="23"/>
  <c r="S552" i="23"/>
  <c r="T552" i="23"/>
  <c r="U552" i="23"/>
  <c r="W552" i="23"/>
  <c r="S553" i="23"/>
  <c r="T553" i="23"/>
  <c r="U553" i="23"/>
  <c r="W553" i="23"/>
  <c r="S554" i="23"/>
  <c r="T554" i="23"/>
  <c r="U554" i="23"/>
  <c r="W554" i="23"/>
  <c r="S555" i="23"/>
  <c r="T555" i="23"/>
  <c r="U555" i="23"/>
  <c r="W555" i="23"/>
  <c r="S556" i="23"/>
  <c r="T556" i="23"/>
  <c r="U556" i="23"/>
  <c r="W556" i="23"/>
  <c r="S557" i="23"/>
  <c r="T557" i="23"/>
  <c r="U557" i="23"/>
  <c r="W557" i="23"/>
  <c r="S558" i="23"/>
  <c r="T558" i="23"/>
  <c r="U558" i="23"/>
  <c r="W558" i="23"/>
  <c r="S559" i="23"/>
  <c r="T559" i="23"/>
  <c r="U559" i="23"/>
  <c r="W559" i="23"/>
  <c r="S560" i="23"/>
  <c r="T560" i="23"/>
  <c r="U560" i="23"/>
  <c r="W560" i="23"/>
  <c r="S561" i="23"/>
  <c r="T561" i="23"/>
  <c r="U561" i="23"/>
  <c r="W561" i="23"/>
  <c r="S562" i="23"/>
  <c r="T562" i="23"/>
  <c r="U562" i="23"/>
  <c r="W562" i="23"/>
  <c r="S563" i="23"/>
  <c r="T563" i="23"/>
  <c r="U563" i="23"/>
  <c r="W563" i="23"/>
  <c r="S564" i="23"/>
  <c r="T564" i="23"/>
  <c r="U564" i="23"/>
  <c r="W564" i="23"/>
  <c r="S565" i="23"/>
  <c r="T565" i="23"/>
  <c r="U565" i="23"/>
  <c r="W565" i="23"/>
  <c r="S566" i="23"/>
  <c r="T566" i="23"/>
  <c r="U566" i="23"/>
  <c r="W566" i="23"/>
  <c r="S567" i="23"/>
  <c r="T567" i="23"/>
  <c r="U567" i="23"/>
  <c r="W567" i="23"/>
  <c r="S568" i="23"/>
  <c r="T568" i="23"/>
  <c r="U568" i="23"/>
  <c r="W568" i="23"/>
  <c r="S569" i="23"/>
  <c r="T569" i="23"/>
  <c r="U569" i="23"/>
  <c r="W569" i="23"/>
  <c r="S570" i="23"/>
  <c r="T570" i="23"/>
  <c r="U570" i="23"/>
  <c r="W570" i="23"/>
  <c r="S571" i="23"/>
  <c r="T571" i="23"/>
  <c r="U571" i="23"/>
  <c r="W571" i="23"/>
  <c r="S572" i="23"/>
  <c r="T572" i="23"/>
  <c r="U572" i="23"/>
  <c r="W572" i="23"/>
  <c r="S573" i="23"/>
  <c r="T573" i="23"/>
  <c r="U573" i="23"/>
  <c r="W573" i="23"/>
  <c r="E13" i="77" l="1"/>
  <c r="O13" i="77"/>
  <c r="U1461" i="23"/>
  <c r="T1461" i="23"/>
  <c r="S1461" i="23"/>
  <c r="U1307" i="23"/>
  <c r="T1307" i="23"/>
  <c r="S1307" i="23"/>
  <c r="U1306" i="23"/>
  <c r="T1306" i="23"/>
  <c r="S1306" i="23"/>
  <c r="U1151" i="23" l="1"/>
  <c r="T1151" i="23"/>
  <c r="S1151" i="23"/>
  <c r="W1719" i="23" l="1"/>
  <c r="W1718" i="23"/>
  <c r="W1717" i="23"/>
  <c r="W1716" i="23"/>
  <c r="W1715" i="23"/>
  <c r="W1714" i="23"/>
  <c r="W1713" i="23"/>
  <c r="W1712" i="23"/>
  <c r="W1711" i="23"/>
  <c r="W1710" i="23"/>
  <c r="W1709" i="23"/>
  <c r="W1708" i="23"/>
  <c r="W1707" i="23"/>
  <c r="W1706" i="23"/>
  <c r="W1705" i="23"/>
  <c r="W1704" i="23"/>
  <c r="W1703" i="23"/>
  <c r="W1702" i="23"/>
  <c r="W1701" i="23"/>
  <c r="W1700" i="23"/>
  <c r="W1699" i="23"/>
  <c r="W1698" i="23"/>
  <c r="W1697" i="23"/>
  <c r="W1696" i="23"/>
  <c r="W1695" i="23"/>
  <c r="W1694" i="23"/>
  <c r="W1693" i="23"/>
  <c r="W1692" i="23"/>
  <c r="W1691" i="23"/>
  <c r="W1690" i="23"/>
  <c r="W1689" i="23"/>
  <c r="W1688" i="23"/>
  <c r="W1687" i="23"/>
  <c r="W1686" i="23"/>
  <c r="W1685" i="23"/>
  <c r="W1684" i="23"/>
  <c r="W1683" i="23"/>
  <c r="W1682" i="23"/>
  <c r="W1681" i="23"/>
  <c r="W1680" i="23"/>
  <c r="W1679" i="23"/>
  <c r="W1678" i="23"/>
  <c r="W1677" i="23"/>
  <c r="W1676" i="23"/>
  <c r="W1675" i="23"/>
  <c r="W1674" i="23"/>
  <c r="W1673" i="23"/>
  <c r="W1672" i="23"/>
  <c r="W1671" i="23"/>
  <c r="W1670" i="23"/>
  <c r="W1669" i="23"/>
  <c r="W1668" i="23"/>
  <c r="W1667" i="23"/>
  <c r="W1666" i="23"/>
  <c r="W1665" i="23"/>
  <c r="W1664" i="23"/>
  <c r="W1663" i="23"/>
  <c r="W1662" i="23"/>
  <c r="W1661" i="23"/>
  <c r="W1660" i="23"/>
  <c r="W1659" i="23"/>
  <c r="W1658" i="23"/>
  <c r="W1657" i="23"/>
  <c r="W1656" i="23"/>
  <c r="W1655" i="23"/>
  <c r="W1654" i="23"/>
  <c r="W1653" i="23"/>
  <c r="W1652" i="23"/>
  <c r="W1651" i="23"/>
  <c r="W1650" i="23"/>
  <c r="W1649" i="23"/>
  <c r="W1648" i="23"/>
  <c r="W1647" i="23"/>
  <c r="W1646" i="23"/>
  <c r="W1645" i="23"/>
  <c r="W1644" i="23"/>
  <c r="W1643" i="23"/>
  <c r="W1642" i="23"/>
  <c r="W1641" i="23"/>
  <c r="W1640" i="23"/>
  <c r="W1639" i="23"/>
  <c r="W1638" i="23"/>
  <c r="W1637" i="23"/>
  <c r="W1636" i="23"/>
  <c r="W1635" i="23"/>
  <c r="W1634" i="23"/>
  <c r="W1633" i="23"/>
  <c r="W1632" i="23"/>
  <c r="W1631" i="23"/>
  <c r="W1630" i="23"/>
  <c r="W1629" i="23"/>
  <c r="W1628" i="23"/>
  <c r="W1627" i="23"/>
  <c r="W1626" i="23"/>
  <c r="W1625" i="23"/>
  <c r="W1624" i="23"/>
  <c r="W1623" i="23"/>
  <c r="W1622" i="23"/>
  <c r="W1621" i="23"/>
  <c r="W1620" i="23"/>
  <c r="W1619" i="23"/>
  <c r="W1618" i="23"/>
  <c r="W1617" i="23"/>
  <c r="X1617" i="23" s="1"/>
  <c r="W1616" i="23"/>
  <c r="W1615" i="23"/>
  <c r="W1614" i="23"/>
  <c r="W1613" i="23"/>
  <c r="W1612" i="23"/>
  <c r="W1610" i="23"/>
  <c r="W1609" i="23"/>
  <c r="W1608" i="23"/>
  <c r="W1607" i="23"/>
  <c r="W1606" i="23"/>
  <c r="W1605" i="23"/>
  <c r="W1604" i="23"/>
  <c r="W1603" i="23"/>
  <c r="W1602" i="23"/>
  <c r="W1601" i="23"/>
  <c r="W1600" i="23"/>
  <c r="W1599" i="23"/>
  <c r="W1598" i="23"/>
  <c r="W1597" i="23"/>
  <c r="W1596" i="23"/>
  <c r="W1595" i="23"/>
  <c r="W1594" i="23"/>
  <c r="W1593" i="23"/>
  <c r="W1592" i="23"/>
  <c r="W1591" i="23"/>
  <c r="W1590" i="23"/>
  <c r="W1589" i="23"/>
  <c r="W1588" i="23"/>
  <c r="W1587" i="23"/>
  <c r="W1586" i="23"/>
  <c r="W1585" i="23"/>
  <c r="W1584" i="23"/>
  <c r="W1583" i="23"/>
  <c r="W1582" i="23"/>
  <c r="W1581" i="23"/>
  <c r="W1580" i="23"/>
  <c r="W1579" i="23"/>
  <c r="W1578" i="23"/>
  <c r="W1577" i="23"/>
  <c r="W1576" i="23"/>
  <c r="W1575" i="23"/>
  <c r="W1574" i="23"/>
  <c r="W1573" i="23"/>
  <c r="W1572" i="23"/>
  <c r="W1571" i="23"/>
  <c r="W1570" i="23"/>
  <c r="W1569" i="23"/>
  <c r="W1568" i="23"/>
  <c r="W1567" i="23"/>
  <c r="W1566" i="23"/>
  <c r="W1565" i="23"/>
  <c r="W1564" i="23"/>
  <c r="W1563" i="23"/>
  <c r="W1562" i="23"/>
  <c r="W1561" i="23"/>
  <c r="W1560" i="23"/>
  <c r="W1559" i="23"/>
  <c r="W1558" i="23"/>
  <c r="W1557" i="23"/>
  <c r="W1556" i="23"/>
  <c r="W1555" i="23"/>
  <c r="W1554" i="23"/>
  <c r="W1553" i="23"/>
  <c r="W1552" i="23"/>
  <c r="W1551" i="23"/>
  <c r="W1550" i="23"/>
  <c r="W1549" i="23"/>
  <c r="W1548" i="23"/>
  <c r="W1547" i="23"/>
  <c r="W1546" i="23"/>
  <c r="W1545" i="23"/>
  <c r="W1544" i="23"/>
  <c r="W1543" i="23"/>
  <c r="W1542" i="23"/>
  <c r="W1541" i="23"/>
  <c r="W1540" i="23"/>
  <c r="W1539" i="23"/>
  <c r="W1538" i="23"/>
  <c r="W1537" i="23"/>
  <c r="W1536" i="23"/>
  <c r="W1535" i="23"/>
  <c r="W1534" i="23"/>
  <c r="W1533" i="23"/>
  <c r="W1532" i="23"/>
  <c r="W1531" i="23"/>
  <c r="W1530" i="23"/>
  <c r="W1529" i="23"/>
  <c r="W1528" i="23"/>
  <c r="W1527" i="23"/>
  <c r="W1526" i="23"/>
  <c r="W1525" i="23"/>
  <c r="W1524" i="23"/>
  <c r="W1523" i="23"/>
  <c r="W1522" i="23"/>
  <c r="W1521" i="23"/>
  <c r="W1520" i="23"/>
  <c r="W1519" i="23"/>
  <c r="W1518" i="23"/>
  <c r="W1517" i="23"/>
  <c r="W1516" i="23"/>
  <c r="W1515" i="23"/>
  <c r="W1514" i="23"/>
  <c r="W1513" i="23"/>
  <c r="W1512" i="23"/>
  <c r="W1511" i="23"/>
  <c r="W1510" i="23"/>
  <c r="W1509" i="23"/>
  <c r="W1508" i="23"/>
  <c r="W1507" i="23"/>
  <c r="W1506" i="23"/>
  <c r="W1505" i="23"/>
  <c r="W1504" i="23"/>
  <c r="W1503" i="23"/>
  <c r="W1502" i="23"/>
  <c r="W1501" i="23"/>
  <c r="W1500" i="23"/>
  <c r="W1499" i="23"/>
  <c r="W1498" i="23"/>
  <c r="W1497" i="23"/>
  <c r="W1496" i="23"/>
  <c r="W1495" i="23"/>
  <c r="W1494" i="23"/>
  <c r="W1493" i="23"/>
  <c r="W1492" i="23"/>
  <c r="W1491" i="23"/>
  <c r="W1490" i="23"/>
  <c r="W1489" i="23"/>
  <c r="W1488" i="23"/>
  <c r="W1487" i="23"/>
  <c r="W1486" i="23"/>
  <c r="W1485" i="23"/>
  <c r="W1484" i="23"/>
  <c r="W1483" i="23"/>
  <c r="W1482" i="23"/>
  <c r="W1481" i="23"/>
  <c r="W1480" i="23"/>
  <c r="W1479" i="23"/>
  <c r="W1478" i="23"/>
  <c r="W1477" i="23"/>
  <c r="W1476" i="23"/>
  <c r="W1475" i="23"/>
  <c r="W1474" i="23"/>
  <c r="W1473" i="23"/>
  <c r="W1472" i="23"/>
  <c r="W1471" i="23"/>
  <c r="W1470" i="23"/>
  <c r="W1469" i="23"/>
  <c r="W1468" i="23"/>
  <c r="W1467" i="23"/>
  <c r="W1466" i="23"/>
  <c r="W1465" i="23"/>
  <c r="W1464" i="23"/>
  <c r="W1463" i="23"/>
  <c r="W1462" i="23"/>
  <c r="W1461" i="23"/>
  <c r="W1460" i="23"/>
  <c r="W1459" i="23"/>
  <c r="W1458" i="23"/>
  <c r="W1457" i="23"/>
  <c r="W1456" i="23"/>
  <c r="W1455" i="23"/>
  <c r="W1454" i="23"/>
  <c r="W1453" i="23"/>
  <c r="W1452" i="23"/>
  <c r="W1451" i="23"/>
  <c r="W1450" i="23"/>
  <c r="W1449" i="23"/>
  <c r="W1448" i="23"/>
  <c r="W1447" i="23"/>
  <c r="W1446" i="23"/>
  <c r="W1445" i="23"/>
  <c r="W1444" i="23"/>
  <c r="W1443" i="23"/>
  <c r="W1442" i="23"/>
  <c r="W1441" i="23"/>
  <c r="W1440" i="23"/>
  <c r="W1439" i="23"/>
  <c r="W1438" i="23"/>
  <c r="W1437" i="23"/>
  <c r="W1436" i="23"/>
  <c r="W1435" i="23"/>
  <c r="W1434" i="23"/>
  <c r="W1433" i="23"/>
  <c r="W1432" i="23"/>
  <c r="W1431" i="23"/>
  <c r="W1430" i="23"/>
  <c r="W1429" i="23"/>
  <c r="W1428" i="23"/>
  <c r="W1427" i="23"/>
  <c r="W1426" i="23"/>
  <c r="W1425" i="23"/>
  <c r="W1424" i="23"/>
  <c r="W1423" i="23"/>
  <c r="W1422" i="23"/>
  <c r="W1421" i="23"/>
  <c r="W1420" i="23"/>
  <c r="W1419" i="23"/>
  <c r="W1418" i="23"/>
  <c r="W1417" i="23"/>
  <c r="W1416" i="23"/>
  <c r="W1415" i="23"/>
  <c r="W1414" i="23"/>
  <c r="W1413" i="23"/>
  <c r="W1412" i="23"/>
  <c r="W1411" i="23"/>
  <c r="W1410" i="23"/>
  <c r="W1409" i="23"/>
  <c r="W1408" i="23"/>
  <c r="W1407" i="23"/>
  <c r="W1406" i="23"/>
  <c r="W1405" i="23"/>
  <c r="W1404" i="23"/>
  <c r="W1403" i="23"/>
  <c r="W1402" i="23"/>
  <c r="W1401" i="23"/>
  <c r="W1400" i="23"/>
  <c r="W1399" i="23"/>
  <c r="W1398" i="23"/>
  <c r="W1397" i="23"/>
  <c r="W1396" i="23"/>
  <c r="W1395" i="23"/>
  <c r="W1394" i="23"/>
  <c r="W1393" i="23"/>
  <c r="W1392" i="23"/>
  <c r="W1391" i="23"/>
  <c r="W1390" i="23"/>
  <c r="W1389" i="23"/>
  <c r="W1388" i="23"/>
  <c r="W1387" i="23"/>
  <c r="W1386" i="23"/>
  <c r="W1385" i="23"/>
  <c r="W1384" i="23"/>
  <c r="W1383" i="23"/>
  <c r="W1382" i="23"/>
  <c r="W1381" i="23"/>
  <c r="W1380" i="23"/>
  <c r="W1379" i="23"/>
  <c r="W1378" i="23"/>
  <c r="W1377" i="23"/>
  <c r="W1376" i="23"/>
  <c r="W1375" i="23"/>
  <c r="W1374" i="23"/>
  <c r="W1373" i="23"/>
  <c r="W1372" i="23"/>
  <c r="W1371" i="23"/>
  <c r="W1370" i="23"/>
  <c r="W1369" i="23"/>
  <c r="W1368" i="23"/>
  <c r="W1367" i="23"/>
  <c r="W1366" i="23"/>
  <c r="W1365" i="23"/>
  <c r="W1364" i="23"/>
  <c r="W1363" i="23"/>
  <c r="W1362" i="23"/>
  <c r="W1361" i="23"/>
  <c r="W1360" i="23"/>
  <c r="W1359" i="23"/>
  <c r="W1358" i="23"/>
  <c r="W1357" i="23"/>
  <c r="W1356" i="23"/>
  <c r="W1355" i="23"/>
  <c r="W1354" i="23"/>
  <c r="W1353" i="23"/>
  <c r="W1352" i="23"/>
  <c r="W1351" i="23"/>
  <c r="W1350" i="23"/>
  <c r="W1349" i="23"/>
  <c r="W1348" i="23"/>
  <c r="W1347" i="23"/>
  <c r="W1346" i="23"/>
  <c r="W1345" i="23"/>
  <c r="W1344" i="23"/>
  <c r="W1343" i="23"/>
  <c r="W1342" i="23"/>
  <c r="W1341" i="23"/>
  <c r="W1340" i="23"/>
  <c r="W1339" i="23"/>
  <c r="W1338" i="23"/>
  <c r="W1337" i="23"/>
  <c r="W1336" i="23"/>
  <c r="W1335" i="23"/>
  <c r="W1334" i="23"/>
  <c r="W1333" i="23"/>
  <c r="W1332" i="23"/>
  <c r="W1331" i="23"/>
  <c r="W1330" i="23"/>
  <c r="W1329" i="23"/>
  <c r="W1328" i="23"/>
  <c r="W1327" i="23"/>
  <c r="W1326" i="23"/>
  <c r="W1325" i="23"/>
  <c r="W1324" i="23"/>
  <c r="W1323" i="23"/>
  <c r="W1322" i="23"/>
  <c r="W1321" i="23"/>
  <c r="W1320" i="23"/>
  <c r="W1319" i="23"/>
  <c r="W1318" i="23"/>
  <c r="W1317" i="23"/>
  <c r="W1316" i="23"/>
  <c r="W1315" i="23"/>
  <c r="W1314" i="23"/>
  <c r="W1313" i="23"/>
  <c r="W1312" i="23"/>
  <c r="W1311" i="23"/>
  <c r="W1310" i="23"/>
  <c r="W1309" i="23"/>
  <c r="W1308" i="23"/>
  <c r="W1307" i="23"/>
  <c r="W1306" i="23"/>
  <c r="W1305" i="23"/>
  <c r="W1304" i="23"/>
  <c r="W1303" i="23"/>
  <c r="W1302" i="23"/>
  <c r="W1301" i="23"/>
  <c r="W1300" i="23"/>
  <c r="W1299" i="23"/>
  <c r="W1298" i="23"/>
  <c r="W1297" i="23"/>
  <c r="W1296" i="23"/>
  <c r="W1295" i="23"/>
  <c r="W1294" i="23"/>
  <c r="W1293" i="23"/>
  <c r="W1292" i="23"/>
  <c r="W1291" i="23"/>
  <c r="W1290" i="23"/>
  <c r="W1289" i="23"/>
  <c r="W1288" i="23"/>
  <c r="W1287" i="23"/>
  <c r="W1286" i="23"/>
  <c r="W1285" i="23"/>
  <c r="W1284" i="23"/>
  <c r="W1283" i="23"/>
  <c r="W1282" i="23"/>
  <c r="W1281" i="23"/>
  <c r="W1280" i="23"/>
  <c r="W1279" i="23"/>
  <c r="W1278" i="23"/>
  <c r="W1277" i="23"/>
  <c r="W1276" i="23"/>
  <c r="W1275" i="23"/>
  <c r="W1274" i="23"/>
  <c r="W1273" i="23"/>
  <c r="W1272" i="23"/>
  <c r="W1271" i="23"/>
  <c r="W1270" i="23"/>
  <c r="W1269" i="23"/>
  <c r="W1268" i="23"/>
  <c r="W1267" i="23"/>
  <c r="W1266" i="23"/>
  <c r="W1265" i="23"/>
  <c r="W1264" i="23"/>
  <c r="W1263" i="23"/>
  <c r="W1262" i="23"/>
  <c r="W1261" i="23"/>
  <c r="W1260" i="23"/>
  <c r="W1259" i="23"/>
  <c r="W1258" i="23"/>
  <c r="W1257" i="23"/>
  <c r="W1256" i="23"/>
  <c r="W1255" i="23"/>
  <c r="W1254" i="23"/>
  <c r="W1253" i="23"/>
  <c r="W1252" i="23"/>
  <c r="W1251" i="23"/>
  <c r="W1250" i="23"/>
  <c r="W1249" i="23"/>
  <c r="W1248" i="23"/>
  <c r="W1247" i="23"/>
  <c r="W1246" i="23"/>
  <c r="W1245" i="23"/>
  <c r="W1244" i="23"/>
  <c r="W1243" i="23"/>
  <c r="W1242" i="23"/>
  <c r="W1241" i="23"/>
  <c r="W1240" i="23"/>
  <c r="W1239" i="23"/>
  <c r="W1238" i="23"/>
  <c r="W1237" i="23"/>
  <c r="W1236" i="23"/>
  <c r="W1235" i="23"/>
  <c r="W1234" i="23"/>
  <c r="W1233" i="23"/>
  <c r="W1232" i="23"/>
  <c r="W1231" i="23"/>
  <c r="W1230" i="23"/>
  <c r="W1229" i="23"/>
  <c r="W1228" i="23"/>
  <c r="W1227" i="23"/>
  <c r="W1226" i="23"/>
  <c r="W1225" i="23"/>
  <c r="W1224" i="23"/>
  <c r="W1223" i="23"/>
  <c r="W1222" i="23"/>
  <c r="W1221" i="23"/>
  <c r="W1220" i="23"/>
  <c r="W1219" i="23"/>
  <c r="W1218" i="23"/>
  <c r="W1217" i="23"/>
  <c r="W1216" i="23"/>
  <c r="W1215" i="23"/>
  <c r="W1214" i="23"/>
  <c r="W1213" i="23"/>
  <c r="W1212" i="23"/>
  <c r="W1211" i="23"/>
  <c r="W1210" i="23"/>
  <c r="W1209" i="23"/>
  <c r="W1208" i="23"/>
  <c r="W1207" i="23"/>
  <c r="W1206" i="23"/>
  <c r="W1205" i="23"/>
  <c r="W1204" i="23"/>
  <c r="W1203" i="23"/>
  <c r="W1202" i="23"/>
  <c r="W1201" i="23"/>
  <c r="W1200" i="23"/>
  <c r="W1199" i="23"/>
  <c r="W1198" i="23"/>
  <c r="W1197" i="23"/>
  <c r="W1196" i="23"/>
  <c r="W1195" i="23"/>
  <c r="W1194" i="23"/>
  <c r="W1193" i="23"/>
  <c r="W1192" i="23"/>
  <c r="W1191" i="23"/>
  <c r="W1190" i="23"/>
  <c r="W1189" i="23"/>
  <c r="W1188" i="23"/>
  <c r="W1187" i="23"/>
  <c r="W1186" i="23"/>
  <c r="W1185" i="23"/>
  <c r="W1184" i="23"/>
  <c r="W1183" i="23"/>
  <c r="W1182" i="23"/>
  <c r="W1181" i="23"/>
  <c r="W1180" i="23"/>
  <c r="W1179" i="23"/>
  <c r="W1178" i="23"/>
  <c r="W1177" i="23"/>
  <c r="W1176" i="23"/>
  <c r="W1175" i="23"/>
  <c r="W1174" i="23"/>
  <c r="W1173" i="23"/>
  <c r="W1172" i="23"/>
  <c r="W1171" i="23"/>
  <c r="W1170" i="23"/>
  <c r="W1169" i="23"/>
  <c r="W1168" i="23"/>
  <c r="W1167" i="23"/>
  <c r="W1166" i="23"/>
  <c r="W1165" i="23"/>
  <c r="W1164" i="23"/>
  <c r="W1163" i="23"/>
  <c r="W1162" i="23"/>
  <c r="W1161" i="23"/>
  <c r="W1160" i="23"/>
  <c r="W1159" i="23"/>
  <c r="W1158" i="23"/>
  <c r="W1157" i="23"/>
  <c r="W1156" i="23"/>
  <c r="W1155" i="23"/>
  <c r="W1154" i="23"/>
  <c r="W1153" i="23"/>
  <c r="W1152" i="23"/>
  <c r="W1151" i="23"/>
  <c r="W1150" i="23"/>
  <c r="W1149" i="23"/>
  <c r="W1148" i="23"/>
  <c r="W1147" i="23"/>
  <c r="W1146" i="23"/>
  <c r="W1145" i="23"/>
  <c r="W1144" i="23"/>
  <c r="W1143" i="23"/>
  <c r="W1142" i="23"/>
  <c r="W1141" i="23"/>
  <c r="W858" i="23"/>
  <c r="W857" i="23"/>
  <c r="W856" i="23"/>
  <c r="W855" i="23"/>
  <c r="W854" i="23"/>
  <c r="W853" i="23"/>
  <c r="W852" i="23"/>
  <c r="W851" i="23"/>
  <c r="W850" i="23"/>
  <c r="W849" i="23"/>
  <c r="W848" i="23"/>
  <c r="W847" i="23"/>
  <c r="W846" i="23"/>
  <c r="W845" i="23"/>
  <c r="W844" i="23"/>
  <c r="W843" i="23"/>
  <c r="W842" i="23"/>
  <c r="W841" i="23"/>
  <c r="W840" i="23"/>
  <c r="W839" i="23"/>
  <c r="W838" i="23"/>
  <c r="W837" i="23"/>
  <c r="W836" i="23"/>
  <c r="W835" i="23"/>
  <c r="W834" i="23"/>
  <c r="W833" i="23"/>
  <c r="W832" i="23"/>
  <c r="W831" i="23"/>
  <c r="W830" i="23"/>
  <c r="W829" i="23"/>
  <c r="W828" i="23"/>
  <c r="W827" i="23"/>
  <c r="W826" i="23"/>
  <c r="W825" i="23"/>
  <c r="W824" i="23"/>
  <c r="W823" i="23"/>
  <c r="W822" i="23"/>
  <c r="W821" i="23"/>
  <c r="W820" i="23"/>
  <c r="W819" i="23"/>
  <c r="W818" i="23"/>
  <c r="W817" i="23"/>
  <c r="W816" i="23"/>
  <c r="W815" i="23"/>
  <c r="W814" i="23"/>
  <c r="W813" i="23"/>
  <c r="W812" i="23"/>
  <c r="W811" i="23"/>
  <c r="W810" i="23"/>
  <c r="W809" i="23"/>
  <c r="W808" i="23"/>
  <c r="W807" i="23"/>
  <c r="W806" i="23"/>
  <c r="W805" i="23"/>
  <c r="W804" i="23"/>
  <c r="W803" i="23"/>
  <c r="W802" i="23"/>
  <c r="W801" i="23"/>
  <c r="W800" i="23"/>
  <c r="W799" i="23"/>
  <c r="W798" i="23"/>
  <c r="W797" i="23"/>
  <c r="W796" i="23"/>
  <c r="W795" i="23"/>
  <c r="W794" i="23"/>
  <c r="W793" i="23"/>
  <c r="W792" i="23"/>
  <c r="W791" i="23"/>
  <c r="W790" i="23"/>
  <c r="W789" i="23"/>
  <c r="W788" i="23"/>
  <c r="W787" i="23"/>
  <c r="W786" i="23"/>
  <c r="W785" i="23"/>
  <c r="W784" i="23"/>
  <c r="W783" i="23"/>
  <c r="W782" i="23"/>
  <c r="W781" i="23"/>
  <c r="W780" i="23"/>
  <c r="W779" i="23"/>
  <c r="W778" i="23"/>
  <c r="W777" i="23"/>
  <c r="W776" i="23"/>
  <c r="W775" i="23"/>
  <c r="W774" i="23"/>
  <c r="W773" i="23"/>
  <c r="W772" i="23"/>
  <c r="W771" i="23"/>
  <c r="W770" i="23"/>
  <c r="W769" i="23"/>
  <c r="W768" i="23"/>
  <c r="W767" i="23"/>
  <c r="W766" i="23"/>
  <c r="W765" i="23"/>
  <c r="W764" i="23"/>
  <c r="W763" i="23"/>
  <c r="W762" i="23"/>
  <c r="W761" i="23"/>
  <c r="W760" i="23"/>
  <c r="W759" i="23"/>
  <c r="W758" i="23"/>
  <c r="W757" i="23"/>
  <c r="W756" i="23"/>
  <c r="W755" i="23"/>
  <c r="W754" i="23"/>
  <c r="W753" i="23"/>
  <c r="W752" i="23"/>
  <c r="W751" i="23"/>
  <c r="W750" i="23"/>
  <c r="W749" i="23"/>
  <c r="W748" i="23"/>
  <c r="W747" i="23"/>
  <c r="W746" i="23"/>
  <c r="W745" i="23"/>
  <c r="W744" i="23"/>
  <c r="W743" i="23"/>
  <c r="W742" i="23"/>
  <c r="W741" i="23"/>
  <c r="W740" i="23"/>
  <c r="W739" i="23"/>
  <c r="W738" i="23"/>
  <c r="W737" i="23"/>
  <c r="W736" i="23"/>
  <c r="W735" i="23"/>
  <c r="W734" i="23"/>
  <c r="W733" i="23"/>
  <c r="W732" i="23"/>
  <c r="W731" i="23"/>
  <c r="W730" i="23"/>
  <c r="W729" i="23"/>
  <c r="W728" i="23"/>
  <c r="W727" i="23"/>
  <c r="W726" i="23"/>
  <c r="W725" i="23"/>
  <c r="W724" i="23"/>
  <c r="W723" i="23"/>
  <c r="W722" i="23"/>
  <c r="W721" i="23"/>
  <c r="W720" i="23"/>
  <c r="W719" i="23"/>
  <c r="W718" i="23"/>
  <c r="W717" i="23"/>
  <c r="W716" i="23"/>
  <c r="W715" i="23"/>
  <c r="W714" i="23"/>
  <c r="W713" i="23"/>
  <c r="W712" i="23"/>
  <c r="W711" i="23"/>
  <c r="W710" i="23"/>
  <c r="W709" i="23"/>
  <c r="W708" i="23"/>
  <c r="W707" i="23"/>
  <c r="W706" i="23"/>
  <c r="W705" i="23"/>
  <c r="W704" i="23"/>
  <c r="W703" i="23"/>
  <c r="W702" i="23"/>
  <c r="W701" i="23"/>
  <c r="W700" i="23"/>
  <c r="W699" i="23"/>
  <c r="W698" i="23"/>
  <c r="W697" i="23"/>
  <c r="W696" i="23"/>
  <c r="W695" i="23"/>
  <c r="W694" i="23"/>
  <c r="W693" i="23"/>
  <c r="W692" i="23"/>
  <c r="W691" i="23"/>
  <c r="W690" i="23"/>
  <c r="W689" i="23"/>
  <c r="W688" i="23"/>
  <c r="W687" i="23"/>
  <c r="W686" i="23"/>
  <c r="W685" i="23"/>
  <c r="W684" i="23"/>
  <c r="W683" i="23"/>
  <c r="W682" i="23"/>
  <c r="W681" i="23"/>
  <c r="W680" i="23"/>
  <c r="W679" i="23"/>
  <c r="W678" i="23"/>
  <c r="W677" i="23"/>
  <c r="W676" i="23"/>
  <c r="W675" i="23"/>
  <c r="W674" i="23"/>
  <c r="W673" i="23"/>
  <c r="W672" i="23"/>
  <c r="W671" i="23"/>
  <c r="W670" i="23"/>
  <c r="W669" i="23"/>
  <c r="W668" i="23"/>
  <c r="W667" i="23"/>
  <c r="W666" i="23"/>
  <c r="W665" i="23"/>
  <c r="W664" i="23"/>
  <c r="W663" i="23"/>
  <c r="W662" i="23"/>
  <c r="W661" i="23"/>
  <c r="W660" i="23"/>
  <c r="W659" i="23"/>
  <c r="W658" i="23"/>
  <c r="W657" i="23"/>
  <c r="W656" i="23"/>
  <c r="W655" i="23"/>
  <c r="W654" i="23"/>
  <c r="W653" i="23"/>
  <c r="W652" i="23"/>
  <c r="W651" i="23"/>
  <c r="W650" i="23"/>
  <c r="W649" i="23"/>
  <c r="W648" i="23"/>
  <c r="W647" i="23"/>
  <c r="W646" i="23"/>
  <c r="W645" i="23"/>
  <c r="W644" i="23"/>
  <c r="W643" i="23"/>
  <c r="W642" i="23"/>
  <c r="W641" i="23"/>
  <c r="W640" i="23"/>
  <c r="W639" i="23"/>
  <c r="W638" i="23"/>
  <c r="W637" i="23"/>
  <c r="W636" i="23"/>
  <c r="W635" i="23"/>
  <c r="W634" i="23"/>
  <c r="W633" i="23"/>
  <c r="W632" i="23"/>
  <c r="W631" i="23"/>
  <c r="W630" i="23"/>
  <c r="W629" i="23"/>
  <c r="W628" i="23"/>
  <c r="W627" i="23"/>
  <c r="W626" i="23"/>
  <c r="W625" i="23"/>
  <c r="W624" i="23"/>
  <c r="W623" i="23"/>
  <c r="W622" i="23"/>
  <c r="W621" i="23"/>
  <c r="W620" i="23"/>
  <c r="W619" i="23"/>
  <c r="W618" i="23"/>
  <c r="W617" i="23"/>
  <c r="W616" i="23"/>
  <c r="X616" i="23" s="1"/>
  <c r="W615" i="23"/>
  <c r="W614" i="23"/>
  <c r="W613" i="23"/>
  <c r="W612" i="23"/>
  <c r="W611" i="23"/>
  <c r="W610" i="23"/>
  <c r="W609" i="23"/>
  <c r="W608" i="23"/>
  <c r="W607" i="23"/>
  <c r="W606" i="23"/>
  <c r="W605" i="23"/>
  <c r="W604" i="23"/>
  <c r="W603" i="23"/>
  <c r="W602" i="23"/>
  <c r="W601" i="23"/>
  <c r="W600" i="23"/>
  <c r="W599" i="23"/>
  <c r="W598" i="23"/>
  <c r="W597" i="23"/>
  <c r="W596" i="23"/>
  <c r="W595" i="23"/>
  <c r="W594" i="23"/>
  <c r="X594" i="23" s="1"/>
  <c r="W593" i="23"/>
  <c r="W592" i="23"/>
  <c r="W591" i="23"/>
  <c r="W590" i="23"/>
  <c r="W589" i="23"/>
  <c r="W588" i="23"/>
  <c r="W587" i="23"/>
  <c r="W586" i="23"/>
  <c r="W585" i="23"/>
  <c r="W584" i="23"/>
  <c r="W583" i="23"/>
  <c r="W582" i="23"/>
  <c r="W581" i="23"/>
  <c r="W580" i="23"/>
  <c r="S1714" i="23"/>
  <c r="T1714" i="23"/>
  <c r="F1071" i="29" l="1"/>
  <c r="R262" i="17" s="1"/>
  <c r="E18" i="3" l="1"/>
  <c r="E16" i="3" l="1"/>
  <c r="E15" i="3"/>
  <c r="E14" i="3"/>
  <c r="E13" i="3"/>
  <c r="E12" i="3"/>
  <c r="E11" i="3"/>
  <c r="E10" i="3"/>
  <c r="E9" i="3"/>
  <c r="E8" i="3"/>
  <c r="E7" i="3"/>
  <c r="E6" i="3"/>
  <c r="E5" i="3"/>
  <c r="L145" i="2" l="1"/>
  <c r="M145" i="2"/>
  <c r="N145" i="2"/>
  <c r="N179" i="2"/>
  <c r="M179" i="2"/>
  <c r="L179" i="2"/>
  <c r="W579" i="23" l="1"/>
  <c r="W578" i="23"/>
  <c r="W577" i="23"/>
  <c r="W576" i="23"/>
  <c r="W575" i="23"/>
  <c r="W574" i="23"/>
  <c r="C157" i="17" l="1"/>
  <c r="C159" i="17" s="1"/>
  <c r="E159" i="17" l="1"/>
  <c r="S574" i="23"/>
  <c r="T574" i="23"/>
  <c r="U574" i="23"/>
  <c r="X574" i="23" s="1"/>
  <c r="S575" i="23"/>
  <c r="T575" i="23"/>
  <c r="U575" i="23"/>
  <c r="X575" i="23" s="1"/>
  <c r="S576" i="23"/>
  <c r="T576" i="23"/>
  <c r="U576" i="23"/>
  <c r="X576" i="23"/>
  <c r="S577" i="23"/>
  <c r="T577" i="23"/>
  <c r="U577" i="23"/>
  <c r="X577" i="23"/>
  <c r="S578" i="23"/>
  <c r="T578" i="23"/>
  <c r="U578" i="23"/>
  <c r="X578" i="23" s="1"/>
  <c r="S579" i="23"/>
  <c r="T579" i="23"/>
  <c r="U579" i="23"/>
  <c r="X579" i="23" s="1"/>
  <c r="S580" i="23"/>
  <c r="T580" i="23"/>
  <c r="U580" i="23"/>
  <c r="X580" i="23" s="1"/>
  <c r="S581" i="23"/>
  <c r="T581" i="23"/>
  <c r="U581" i="23"/>
  <c r="X581" i="23" s="1"/>
  <c r="S582" i="23"/>
  <c r="T582" i="23"/>
  <c r="U582" i="23"/>
  <c r="X582" i="23" s="1"/>
  <c r="S583" i="23"/>
  <c r="T583" i="23"/>
  <c r="U583" i="23"/>
  <c r="X583" i="23" s="1"/>
  <c r="S584" i="23"/>
  <c r="T584" i="23"/>
  <c r="U584" i="23"/>
  <c r="X584" i="23"/>
  <c r="S585" i="23"/>
  <c r="T585" i="23"/>
  <c r="U585" i="23"/>
  <c r="X585" i="23"/>
  <c r="S586" i="23"/>
  <c r="T586" i="23"/>
  <c r="U586" i="23"/>
  <c r="X586" i="23" s="1"/>
  <c r="S587" i="23"/>
  <c r="T587" i="23"/>
  <c r="U587" i="23"/>
  <c r="X587" i="23" s="1"/>
  <c r="S588" i="23"/>
  <c r="T588" i="23"/>
  <c r="U588" i="23"/>
  <c r="X588" i="23"/>
  <c r="S589" i="23"/>
  <c r="T589" i="23"/>
  <c r="U589" i="23"/>
  <c r="X589" i="23"/>
  <c r="S590" i="23"/>
  <c r="T590" i="23"/>
  <c r="U590" i="23"/>
  <c r="X590" i="23" s="1"/>
  <c r="S591" i="23"/>
  <c r="T591" i="23"/>
  <c r="U591" i="23"/>
  <c r="X591" i="23" s="1"/>
  <c r="S592" i="23"/>
  <c r="T592" i="23"/>
  <c r="U592" i="23"/>
  <c r="X592" i="23" s="1"/>
  <c r="S593" i="23"/>
  <c r="T593" i="23"/>
  <c r="U593" i="23"/>
  <c r="S594" i="23"/>
  <c r="T594" i="23"/>
  <c r="U594" i="23"/>
  <c r="S595" i="23"/>
  <c r="T595" i="23"/>
  <c r="U595" i="23"/>
  <c r="X595" i="23"/>
  <c r="S596" i="23"/>
  <c r="T596" i="23"/>
  <c r="U596" i="23"/>
  <c r="X596" i="23" s="1"/>
  <c r="S597" i="23"/>
  <c r="T597" i="23"/>
  <c r="U597" i="23"/>
  <c r="X597" i="23" s="1"/>
  <c r="S598" i="23"/>
  <c r="T598" i="23"/>
  <c r="U598" i="23"/>
  <c r="X598" i="23" s="1"/>
  <c r="S599" i="23"/>
  <c r="T599" i="23"/>
  <c r="U599" i="23"/>
  <c r="X599" i="23"/>
  <c r="S600" i="23"/>
  <c r="T600" i="23"/>
  <c r="U600" i="23"/>
  <c r="X600" i="23"/>
  <c r="S601" i="23"/>
  <c r="T601" i="23"/>
  <c r="U601" i="23"/>
  <c r="S602" i="23"/>
  <c r="T602" i="23"/>
  <c r="U602" i="23"/>
  <c r="X602" i="23" s="1"/>
  <c r="S603" i="23"/>
  <c r="T603" i="23"/>
  <c r="U603" i="23"/>
  <c r="X603" i="23" s="1"/>
  <c r="S604" i="23"/>
  <c r="T604" i="23"/>
  <c r="U604" i="23"/>
  <c r="S605" i="23"/>
  <c r="T605" i="23"/>
  <c r="U605" i="23"/>
  <c r="S606" i="23"/>
  <c r="T606" i="23"/>
  <c r="U606" i="23"/>
  <c r="X606" i="23"/>
  <c r="S607" i="23"/>
  <c r="T607" i="23"/>
  <c r="U607" i="23"/>
  <c r="X607" i="23"/>
  <c r="S608" i="23"/>
  <c r="T608" i="23"/>
  <c r="U608" i="23"/>
  <c r="X608" i="23" s="1"/>
  <c r="S609" i="23"/>
  <c r="T609" i="23"/>
  <c r="U609" i="23"/>
  <c r="X609" i="23" s="1"/>
  <c r="S610" i="23"/>
  <c r="T610" i="23"/>
  <c r="U610" i="23"/>
  <c r="S611" i="23"/>
  <c r="T611" i="23"/>
  <c r="U611" i="23"/>
  <c r="X611" i="23" s="1"/>
  <c r="S612" i="23"/>
  <c r="T612" i="23"/>
  <c r="U612" i="23"/>
  <c r="X612" i="23"/>
  <c r="S613" i="23"/>
  <c r="T613" i="23"/>
  <c r="U613" i="23"/>
  <c r="X613" i="23" s="1"/>
  <c r="S614" i="23"/>
  <c r="T614" i="23"/>
  <c r="U614" i="23"/>
  <c r="X614" i="23"/>
  <c r="S615" i="23"/>
  <c r="T615" i="23"/>
  <c r="U615" i="23"/>
  <c r="X615" i="23" s="1"/>
  <c r="S616" i="23"/>
  <c r="T616" i="23"/>
  <c r="U616" i="23"/>
  <c r="S617" i="23"/>
  <c r="T617" i="23"/>
  <c r="U617" i="23"/>
  <c r="S618" i="23"/>
  <c r="T618" i="23"/>
  <c r="U618" i="23"/>
  <c r="X618" i="23" s="1"/>
  <c r="S619" i="23"/>
  <c r="T619" i="23"/>
  <c r="U619" i="23"/>
  <c r="X619" i="23" s="1"/>
  <c r="S620" i="23"/>
  <c r="T620" i="23"/>
  <c r="U620" i="23"/>
  <c r="X620" i="23" s="1"/>
  <c r="S621" i="23"/>
  <c r="T621" i="23"/>
  <c r="U621" i="23"/>
  <c r="X621" i="23" s="1"/>
  <c r="S622" i="23"/>
  <c r="T622" i="23"/>
  <c r="U622" i="23"/>
  <c r="X622" i="23" s="1"/>
  <c r="S623" i="23"/>
  <c r="T623" i="23"/>
  <c r="U623" i="23"/>
  <c r="X623" i="23" s="1"/>
  <c r="S624" i="23"/>
  <c r="T624" i="23"/>
  <c r="U624" i="23"/>
  <c r="X624" i="23"/>
  <c r="S625" i="23"/>
  <c r="T625" i="23"/>
  <c r="U625" i="23"/>
  <c r="X625" i="23"/>
  <c r="S626" i="23"/>
  <c r="T626" i="23"/>
  <c r="U626" i="23"/>
  <c r="X626" i="23" s="1"/>
  <c r="S627" i="23"/>
  <c r="T627" i="23"/>
  <c r="U627" i="23"/>
  <c r="S628" i="23"/>
  <c r="T628" i="23"/>
  <c r="U628" i="23"/>
  <c r="X628" i="23"/>
  <c r="S629" i="23"/>
  <c r="T629" i="23"/>
  <c r="U629" i="23"/>
  <c r="X629" i="23"/>
  <c r="S630" i="23"/>
  <c r="T630" i="23"/>
  <c r="U630" i="23"/>
  <c r="X630" i="23" s="1"/>
  <c r="S631" i="23"/>
  <c r="T631" i="23"/>
  <c r="U631" i="23"/>
  <c r="X631" i="23" s="1"/>
  <c r="S632" i="23"/>
  <c r="T632" i="23"/>
  <c r="U632" i="23"/>
  <c r="X632" i="23" s="1"/>
  <c r="S633" i="23"/>
  <c r="T633" i="23"/>
  <c r="U633" i="23"/>
  <c r="X633" i="23"/>
  <c r="S634" i="23"/>
  <c r="T634" i="23"/>
  <c r="U634" i="23"/>
  <c r="X634" i="23"/>
  <c r="S635" i="23"/>
  <c r="T635" i="23"/>
  <c r="U635" i="23"/>
  <c r="X635" i="23" s="1"/>
  <c r="S636" i="23"/>
  <c r="T636" i="23"/>
  <c r="U636" i="23"/>
  <c r="X636" i="23"/>
  <c r="S637" i="23"/>
  <c r="T637" i="23"/>
  <c r="U637" i="23"/>
  <c r="X637" i="23"/>
  <c r="S638" i="23"/>
  <c r="T638" i="23"/>
  <c r="U638" i="23"/>
  <c r="X638" i="23" s="1"/>
  <c r="S639" i="23"/>
  <c r="T639" i="23"/>
  <c r="U639" i="23"/>
  <c r="X639" i="23" s="1"/>
  <c r="S640" i="23"/>
  <c r="T640" i="23"/>
  <c r="U640" i="23"/>
  <c r="X640" i="23"/>
  <c r="S641" i="23"/>
  <c r="T641" i="23"/>
  <c r="U641" i="23"/>
  <c r="X641" i="23"/>
  <c r="S642" i="23"/>
  <c r="T642" i="23"/>
  <c r="U642" i="23"/>
  <c r="X642" i="23" s="1"/>
  <c r="S643" i="23"/>
  <c r="T643" i="23"/>
  <c r="U643" i="23"/>
  <c r="X643" i="23" s="1"/>
  <c r="S644" i="23"/>
  <c r="T644" i="23"/>
  <c r="U644" i="23"/>
  <c r="X644" i="23"/>
  <c r="S645" i="23"/>
  <c r="T645" i="23"/>
  <c r="U645" i="23"/>
  <c r="X645" i="23" s="1"/>
  <c r="S646" i="23"/>
  <c r="T646" i="23"/>
  <c r="U646" i="23"/>
  <c r="X646" i="23" s="1"/>
  <c r="S647" i="23"/>
  <c r="T647" i="23"/>
  <c r="U647" i="23"/>
  <c r="X647" i="23" s="1"/>
  <c r="S648" i="23"/>
  <c r="T648" i="23"/>
  <c r="U648" i="23"/>
  <c r="X648" i="23"/>
  <c r="S649" i="23"/>
  <c r="T649" i="23"/>
  <c r="U649" i="23"/>
  <c r="X649" i="23"/>
  <c r="S650" i="23"/>
  <c r="T650" i="23"/>
  <c r="U650" i="23"/>
  <c r="X650" i="23" s="1"/>
  <c r="S651" i="23"/>
  <c r="T651" i="23"/>
  <c r="U651" i="23"/>
  <c r="X651" i="23" s="1"/>
  <c r="S652" i="23"/>
  <c r="T652" i="23"/>
  <c r="U652" i="23"/>
  <c r="X652" i="23" s="1"/>
  <c r="S653" i="23"/>
  <c r="T653" i="23"/>
  <c r="U653" i="23"/>
  <c r="X653" i="23" s="1"/>
  <c r="S654" i="23"/>
  <c r="T654" i="23"/>
  <c r="U654" i="23"/>
  <c r="X654" i="23" s="1"/>
  <c r="S655" i="23"/>
  <c r="T655" i="23"/>
  <c r="U655" i="23"/>
  <c r="X655" i="23" s="1"/>
  <c r="S656" i="23"/>
  <c r="T656" i="23"/>
  <c r="U656" i="23"/>
  <c r="X656" i="23"/>
  <c r="S657" i="23"/>
  <c r="T657" i="23"/>
  <c r="U657" i="23"/>
  <c r="X657" i="23"/>
  <c r="S658" i="23"/>
  <c r="T658" i="23"/>
  <c r="U658" i="23"/>
  <c r="X658" i="23" s="1"/>
  <c r="S659" i="23"/>
  <c r="T659" i="23"/>
  <c r="U659" i="23"/>
  <c r="X659" i="23" s="1"/>
  <c r="S660" i="23"/>
  <c r="T660" i="23"/>
  <c r="U660" i="23"/>
  <c r="X660" i="23" s="1"/>
  <c r="S661" i="23"/>
  <c r="T661" i="23"/>
  <c r="U661" i="23"/>
  <c r="X661" i="23" s="1"/>
  <c r="S662" i="23"/>
  <c r="T662" i="23"/>
  <c r="U662" i="23"/>
  <c r="X662" i="23" s="1"/>
  <c r="S663" i="23"/>
  <c r="T663" i="23"/>
  <c r="U663" i="23"/>
  <c r="X663" i="23" s="1"/>
  <c r="S664" i="23"/>
  <c r="T664" i="23"/>
  <c r="U664" i="23"/>
  <c r="X664" i="23"/>
  <c r="S665" i="23"/>
  <c r="T665" i="23"/>
  <c r="U665" i="23"/>
  <c r="X665" i="23"/>
  <c r="S666" i="23"/>
  <c r="T666" i="23"/>
  <c r="U666" i="23"/>
  <c r="X666" i="23" s="1"/>
  <c r="S667" i="23"/>
  <c r="T667" i="23"/>
  <c r="U667" i="23"/>
  <c r="X667" i="23" s="1"/>
  <c r="S668" i="23"/>
  <c r="T668" i="23"/>
  <c r="U668" i="23"/>
  <c r="X668" i="23" s="1"/>
  <c r="S669" i="23"/>
  <c r="T669" i="23"/>
  <c r="U669" i="23"/>
  <c r="X669" i="23"/>
  <c r="S670" i="23"/>
  <c r="T670" i="23"/>
  <c r="U670" i="23"/>
  <c r="X670" i="23" s="1"/>
  <c r="S671" i="23"/>
  <c r="T671" i="23"/>
  <c r="U671" i="23"/>
  <c r="X671" i="23" s="1"/>
  <c r="S672" i="23"/>
  <c r="T672" i="23"/>
  <c r="U672" i="23"/>
  <c r="X672" i="23"/>
  <c r="S673" i="23"/>
  <c r="T673" i="23"/>
  <c r="U673" i="23"/>
  <c r="X673" i="23" s="1"/>
  <c r="S674" i="23"/>
  <c r="T674" i="23"/>
  <c r="U674" i="23"/>
  <c r="X674" i="23"/>
  <c r="S675" i="23"/>
  <c r="T675" i="23"/>
  <c r="U675" i="23"/>
  <c r="X675" i="23" s="1"/>
  <c r="S676" i="23"/>
  <c r="T676" i="23"/>
  <c r="U676" i="23"/>
  <c r="X676" i="23" s="1"/>
  <c r="S677" i="23"/>
  <c r="T677" i="23"/>
  <c r="U677" i="23"/>
  <c r="X677" i="23"/>
  <c r="S678" i="23"/>
  <c r="T678" i="23"/>
  <c r="U678" i="23"/>
  <c r="X678" i="23" s="1"/>
  <c r="S679" i="23"/>
  <c r="T679" i="23"/>
  <c r="U679" i="23"/>
  <c r="X679" i="23" s="1"/>
  <c r="S680" i="23"/>
  <c r="T680" i="23"/>
  <c r="U680" i="23"/>
  <c r="X680" i="23"/>
  <c r="S681" i="23"/>
  <c r="T681" i="23"/>
  <c r="U681" i="23"/>
  <c r="X681" i="23"/>
  <c r="S682" i="23"/>
  <c r="T682" i="23"/>
  <c r="U682" i="23"/>
  <c r="X682" i="23" s="1"/>
  <c r="S683" i="23"/>
  <c r="T683" i="23"/>
  <c r="U683" i="23"/>
  <c r="X683" i="23" s="1"/>
  <c r="S684" i="23"/>
  <c r="T684" i="23"/>
  <c r="U684" i="23"/>
  <c r="X684" i="23"/>
  <c r="S685" i="23"/>
  <c r="T685" i="23"/>
  <c r="U685" i="23"/>
  <c r="X685" i="23"/>
  <c r="S686" i="23"/>
  <c r="T686" i="23"/>
  <c r="U686" i="23"/>
  <c r="X686" i="23" s="1"/>
  <c r="S687" i="23"/>
  <c r="T687" i="23"/>
  <c r="U687" i="23"/>
  <c r="X687" i="23" s="1"/>
  <c r="S688" i="23"/>
  <c r="T688" i="23"/>
  <c r="U688" i="23"/>
  <c r="X688" i="23"/>
  <c r="S689" i="23"/>
  <c r="T689" i="23"/>
  <c r="U689" i="23"/>
  <c r="X689" i="23"/>
  <c r="S690" i="23"/>
  <c r="T690" i="23"/>
  <c r="U690" i="23"/>
  <c r="X690" i="23" s="1"/>
  <c r="S691" i="23"/>
  <c r="T691" i="23"/>
  <c r="U691" i="23"/>
  <c r="X691" i="23" s="1"/>
  <c r="S692" i="23"/>
  <c r="T692" i="23"/>
  <c r="U692" i="23"/>
  <c r="X692" i="23"/>
  <c r="S693" i="23"/>
  <c r="T693" i="23"/>
  <c r="U693" i="23"/>
  <c r="X693" i="23" s="1"/>
  <c r="S694" i="23"/>
  <c r="T694" i="23"/>
  <c r="U694" i="23"/>
  <c r="X694" i="23" s="1"/>
  <c r="S695" i="23"/>
  <c r="T695" i="23"/>
  <c r="U695" i="23"/>
  <c r="X695" i="23" s="1"/>
  <c r="S696" i="23"/>
  <c r="T696" i="23"/>
  <c r="U696" i="23"/>
  <c r="X696" i="23" s="1"/>
  <c r="S697" i="23"/>
  <c r="T697" i="23"/>
  <c r="U697" i="23"/>
  <c r="X697" i="23"/>
  <c r="S698" i="23"/>
  <c r="T698" i="23"/>
  <c r="U698" i="23"/>
  <c r="X698" i="23" s="1"/>
  <c r="S699" i="23"/>
  <c r="T699" i="23"/>
  <c r="U699" i="23"/>
  <c r="X699" i="23" s="1"/>
  <c r="S700" i="23"/>
  <c r="T700" i="23"/>
  <c r="U700" i="23"/>
  <c r="X700" i="23"/>
  <c r="S701" i="23"/>
  <c r="T701" i="23"/>
  <c r="U701" i="23"/>
  <c r="X701" i="23" s="1"/>
  <c r="S702" i="23"/>
  <c r="T702" i="23"/>
  <c r="U702" i="23"/>
  <c r="X702" i="23"/>
  <c r="S703" i="23"/>
  <c r="T703" i="23"/>
  <c r="U703" i="23"/>
  <c r="X703" i="23" s="1"/>
  <c r="S704" i="23"/>
  <c r="T704" i="23"/>
  <c r="U704" i="23"/>
  <c r="X704" i="23" s="1"/>
  <c r="S705" i="23"/>
  <c r="T705" i="23"/>
  <c r="U705" i="23"/>
  <c r="X705" i="23"/>
  <c r="S706" i="23"/>
  <c r="T706" i="23"/>
  <c r="U706" i="23"/>
  <c r="X706" i="23" s="1"/>
  <c r="S707" i="23"/>
  <c r="T707" i="23"/>
  <c r="U707" i="23"/>
  <c r="X707" i="23" s="1"/>
  <c r="S708" i="23"/>
  <c r="T708" i="23"/>
  <c r="U708" i="23"/>
  <c r="X708" i="23"/>
  <c r="S709" i="23"/>
  <c r="T709" i="23"/>
  <c r="U709" i="23"/>
  <c r="X709" i="23" s="1"/>
  <c r="S710" i="23"/>
  <c r="T710" i="23"/>
  <c r="U710" i="23"/>
  <c r="X710" i="23" s="1"/>
  <c r="S711" i="23"/>
  <c r="T711" i="23"/>
  <c r="U711" i="23"/>
  <c r="X711" i="23" s="1"/>
  <c r="S712" i="23"/>
  <c r="T712" i="23"/>
  <c r="U712" i="23"/>
  <c r="X712" i="23" s="1"/>
  <c r="S713" i="23"/>
  <c r="T713" i="23"/>
  <c r="U713" i="23"/>
  <c r="X713" i="23"/>
  <c r="S714" i="23"/>
  <c r="T714" i="23"/>
  <c r="U714" i="23"/>
  <c r="X714" i="23" s="1"/>
  <c r="S715" i="23"/>
  <c r="T715" i="23"/>
  <c r="U715" i="23"/>
  <c r="X715" i="23" s="1"/>
  <c r="S716" i="23"/>
  <c r="T716" i="23"/>
  <c r="U716" i="23"/>
  <c r="X716" i="23" s="1"/>
  <c r="S717" i="23"/>
  <c r="T717" i="23"/>
  <c r="U717" i="23"/>
  <c r="X717" i="23" s="1"/>
  <c r="S718" i="23"/>
  <c r="T718" i="23"/>
  <c r="U718" i="23"/>
  <c r="X718" i="23" s="1"/>
  <c r="S719" i="23"/>
  <c r="T719" i="23"/>
  <c r="U719" i="23"/>
  <c r="X719" i="23" s="1"/>
  <c r="S720" i="23"/>
  <c r="T720" i="23"/>
  <c r="U720" i="23"/>
  <c r="X720" i="23" s="1"/>
  <c r="S721" i="23"/>
  <c r="T721" i="23"/>
  <c r="U721" i="23"/>
  <c r="X721" i="23" s="1"/>
  <c r="S722" i="23"/>
  <c r="T722" i="23"/>
  <c r="U722" i="23"/>
  <c r="X722" i="23" s="1"/>
  <c r="S723" i="23"/>
  <c r="T723" i="23"/>
  <c r="U723" i="23"/>
  <c r="X723" i="23" s="1"/>
  <c r="S724" i="23"/>
  <c r="T724" i="23"/>
  <c r="U724" i="23"/>
  <c r="X724" i="23" s="1"/>
  <c r="S725" i="23"/>
  <c r="T725" i="23"/>
  <c r="U725" i="23"/>
  <c r="X725" i="23" s="1"/>
  <c r="S726" i="23"/>
  <c r="T726" i="23"/>
  <c r="U726" i="23"/>
  <c r="X726" i="23" s="1"/>
  <c r="S727" i="23"/>
  <c r="T727" i="23"/>
  <c r="U727" i="23"/>
  <c r="X727" i="23" s="1"/>
  <c r="S728" i="23"/>
  <c r="T728" i="23"/>
  <c r="U728" i="23"/>
  <c r="X728" i="23" s="1"/>
  <c r="S729" i="23"/>
  <c r="T729" i="23"/>
  <c r="U729" i="23"/>
  <c r="X729" i="23" s="1"/>
  <c r="S730" i="23"/>
  <c r="T730" i="23"/>
  <c r="U730" i="23"/>
  <c r="X730" i="23" s="1"/>
  <c r="S731" i="23"/>
  <c r="T731" i="23"/>
  <c r="U731" i="23"/>
  <c r="X731" i="23" s="1"/>
  <c r="S732" i="23"/>
  <c r="T732" i="23"/>
  <c r="U732" i="23"/>
  <c r="X732" i="23" s="1"/>
  <c r="S733" i="23"/>
  <c r="T733" i="23"/>
  <c r="U733" i="23"/>
  <c r="X733" i="23" s="1"/>
  <c r="S734" i="23"/>
  <c r="T734" i="23"/>
  <c r="U734" i="23"/>
  <c r="X734" i="23" s="1"/>
  <c r="S735" i="23"/>
  <c r="T735" i="23"/>
  <c r="U735" i="23"/>
  <c r="X735" i="23" s="1"/>
  <c r="S736" i="23"/>
  <c r="T736" i="23"/>
  <c r="U736" i="23"/>
  <c r="X736" i="23" s="1"/>
  <c r="S737" i="23"/>
  <c r="T737" i="23"/>
  <c r="U737" i="23"/>
  <c r="X737" i="23" s="1"/>
  <c r="S738" i="23"/>
  <c r="T738" i="23"/>
  <c r="U738" i="23"/>
  <c r="X738" i="23" s="1"/>
  <c r="S739" i="23"/>
  <c r="T739" i="23"/>
  <c r="U739" i="23"/>
  <c r="X739" i="23" s="1"/>
  <c r="S740" i="23"/>
  <c r="T740" i="23"/>
  <c r="U740" i="23"/>
  <c r="X740" i="23" s="1"/>
  <c r="S741" i="23"/>
  <c r="T741" i="23"/>
  <c r="U741" i="23"/>
  <c r="X741" i="23" s="1"/>
  <c r="S742" i="23"/>
  <c r="T742" i="23"/>
  <c r="U742" i="23"/>
  <c r="X742" i="23" s="1"/>
  <c r="S743" i="23"/>
  <c r="T743" i="23"/>
  <c r="U743" i="23"/>
  <c r="X743" i="23" s="1"/>
  <c r="S744" i="23"/>
  <c r="T744" i="23"/>
  <c r="U744" i="23"/>
  <c r="S745" i="23"/>
  <c r="T745" i="23"/>
  <c r="U745" i="23"/>
  <c r="X745" i="23" s="1"/>
  <c r="S746" i="23"/>
  <c r="T746" i="23"/>
  <c r="U746" i="23"/>
  <c r="X746" i="23" s="1"/>
  <c r="S747" i="23"/>
  <c r="T747" i="23"/>
  <c r="U747" i="23"/>
  <c r="X747" i="23"/>
  <c r="S748" i="23"/>
  <c r="T748" i="23"/>
  <c r="U748" i="23"/>
  <c r="X748" i="23"/>
  <c r="S749" i="23"/>
  <c r="T749" i="23"/>
  <c r="U749" i="23"/>
  <c r="X749" i="23"/>
  <c r="S750" i="23"/>
  <c r="T750" i="23"/>
  <c r="U750" i="23"/>
  <c r="X750" i="23" s="1"/>
  <c r="S751" i="23"/>
  <c r="T751" i="23"/>
  <c r="U751" i="23"/>
  <c r="X751" i="23" s="1"/>
  <c r="S752" i="23"/>
  <c r="T752" i="23"/>
  <c r="U752" i="23"/>
  <c r="X752" i="23" s="1"/>
  <c r="S753" i="23"/>
  <c r="T753" i="23"/>
  <c r="U753" i="23"/>
  <c r="X753" i="23" s="1"/>
  <c r="S754" i="23"/>
  <c r="T754" i="23"/>
  <c r="U754" i="23"/>
  <c r="X754" i="23" s="1"/>
  <c r="S755" i="23"/>
  <c r="T755" i="23"/>
  <c r="U755" i="23"/>
  <c r="X755" i="23" s="1"/>
  <c r="S756" i="23"/>
  <c r="T756" i="23"/>
  <c r="U756" i="23"/>
  <c r="X756" i="23" s="1"/>
  <c r="S757" i="23"/>
  <c r="T757" i="23"/>
  <c r="U757" i="23"/>
  <c r="X757" i="23" s="1"/>
  <c r="S758" i="23"/>
  <c r="T758" i="23"/>
  <c r="U758" i="23"/>
  <c r="X758" i="23" s="1"/>
  <c r="S759" i="23"/>
  <c r="T759" i="23"/>
  <c r="U759" i="23"/>
  <c r="X759" i="23" s="1"/>
  <c r="S760" i="23"/>
  <c r="T760" i="23"/>
  <c r="U760" i="23"/>
  <c r="X760" i="23" s="1"/>
  <c r="S761" i="23"/>
  <c r="T761" i="23"/>
  <c r="U761" i="23"/>
  <c r="X761" i="23" s="1"/>
  <c r="S762" i="23"/>
  <c r="T762" i="23"/>
  <c r="U762" i="23"/>
  <c r="X762" i="23" s="1"/>
  <c r="S763" i="23"/>
  <c r="T763" i="23"/>
  <c r="U763" i="23"/>
  <c r="X763" i="23" s="1"/>
  <c r="S764" i="23"/>
  <c r="T764" i="23"/>
  <c r="U764" i="23"/>
  <c r="X764" i="23" s="1"/>
  <c r="S765" i="23"/>
  <c r="T765" i="23"/>
  <c r="U765" i="23"/>
  <c r="X765" i="23" s="1"/>
  <c r="S766" i="23"/>
  <c r="T766" i="23"/>
  <c r="U766" i="23"/>
  <c r="X766" i="23" s="1"/>
  <c r="S767" i="23"/>
  <c r="T767" i="23"/>
  <c r="U767" i="23"/>
  <c r="X767" i="23" s="1"/>
  <c r="S768" i="23"/>
  <c r="T768" i="23"/>
  <c r="U768" i="23"/>
  <c r="X768" i="23" s="1"/>
  <c r="S769" i="23"/>
  <c r="T769" i="23"/>
  <c r="U769" i="23"/>
  <c r="X769" i="23" s="1"/>
  <c r="S770" i="23"/>
  <c r="T770" i="23"/>
  <c r="U770" i="23"/>
  <c r="S771" i="23"/>
  <c r="T771" i="23"/>
  <c r="U771" i="23"/>
  <c r="X771" i="23" s="1"/>
  <c r="S772" i="23"/>
  <c r="T772" i="23"/>
  <c r="U772" i="23"/>
  <c r="X772" i="23" s="1"/>
  <c r="S773" i="23"/>
  <c r="T773" i="23"/>
  <c r="U773" i="23"/>
  <c r="X773" i="23" s="1"/>
  <c r="S774" i="23"/>
  <c r="T774" i="23"/>
  <c r="U774" i="23"/>
  <c r="X774" i="23" s="1"/>
  <c r="S775" i="23"/>
  <c r="T775" i="23"/>
  <c r="U775" i="23"/>
  <c r="X775" i="23" s="1"/>
  <c r="S776" i="23"/>
  <c r="T776" i="23"/>
  <c r="U776" i="23"/>
  <c r="X776" i="23" s="1"/>
  <c r="S777" i="23"/>
  <c r="T777" i="23"/>
  <c r="U777" i="23"/>
  <c r="X777" i="23" s="1"/>
  <c r="S778" i="23"/>
  <c r="T778" i="23"/>
  <c r="U778" i="23"/>
  <c r="X778" i="23" s="1"/>
  <c r="S779" i="23"/>
  <c r="T779" i="23"/>
  <c r="U779" i="23"/>
  <c r="X779" i="23" s="1"/>
  <c r="S780" i="23"/>
  <c r="T780" i="23"/>
  <c r="U780" i="23"/>
  <c r="X780" i="23" s="1"/>
  <c r="S781" i="23"/>
  <c r="T781" i="23"/>
  <c r="U781" i="23"/>
  <c r="X781" i="23" s="1"/>
  <c r="S782" i="23"/>
  <c r="T782" i="23"/>
  <c r="U782" i="23"/>
  <c r="X782" i="23" s="1"/>
  <c r="S783" i="23"/>
  <c r="T783" i="23"/>
  <c r="U783" i="23"/>
  <c r="X783" i="23" s="1"/>
  <c r="S784" i="23"/>
  <c r="T784" i="23"/>
  <c r="U784" i="23"/>
  <c r="X784" i="23" s="1"/>
  <c r="S785" i="23"/>
  <c r="T785" i="23"/>
  <c r="U785" i="23"/>
  <c r="X785" i="23" s="1"/>
  <c r="S786" i="23"/>
  <c r="T786" i="23"/>
  <c r="U786" i="23"/>
  <c r="X786" i="23" s="1"/>
  <c r="S787" i="23"/>
  <c r="T787" i="23"/>
  <c r="U787" i="23"/>
  <c r="X787" i="23" s="1"/>
  <c r="S788" i="23"/>
  <c r="T788" i="23"/>
  <c r="U788" i="23"/>
  <c r="X788" i="23" s="1"/>
  <c r="S789" i="23"/>
  <c r="T789" i="23"/>
  <c r="U789" i="23"/>
  <c r="X789" i="23" s="1"/>
  <c r="S790" i="23"/>
  <c r="T790" i="23"/>
  <c r="U790" i="23"/>
  <c r="X790" i="23" s="1"/>
  <c r="S791" i="23"/>
  <c r="T791" i="23"/>
  <c r="U791" i="23"/>
  <c r="X791" i="23" s="1"/>
  <c r="S792" i="23"/>
  <c r="T792" i="23"/>
  <c r="U792" i="23"/>
  <c r="X792" i="23" s="1"/>
  <c r="S793" i="23"/>
  <c r="T793" i="23"/>
  <c r="U793" i="23"/>
  <c r="X793" i="23" s="1"/>
  <c r="S794" i="23"/>
  <c r="T794" i="23"/>
  <c r="U794" i="23"/>
  <c r="X794" i="23" s="1"/>
  <c r="S795" i="23"/>
  <c r="T795" i="23"/>
  <c r="U795" i="23"/>
  <c r="X795" i="23" s="1"/>
  <c r="S796" i="23"/>
  <c r="T796" i="23"/>
  <c r="U796" i="23"/>
  <c r="X796" i="23" s="1"/>
  <c r="S797" i="23"/>
  <c r="T797" i="23"/>
  <c r="U797" i="23"/>
  <c r="X797" i="23" s="1"/>
  <c r="S798" i="23"/>
  <c r="T798" i="23"/>
  <c r="U798" i="23"/>
  <c r="X798" i="23" s="1"/>
  <c r="S799" i="23"/>
  <c r="T799" i="23"/>
  <c r="U799" i="23"/>
  <c r="X799" i="23" s="1"/>
  <c r="S800" i="23"/>
  <c r="T800" i="23"/>
  <c r="U800" i="23"/>
  <c r="X800" i="23" s="1"/>
  <c r="S801" i="23"/>
  <c r="T801" i="23"/>
  <c r="U801" i="23"/>
  <c r="X801" i="23" s="1"/>
  <c r="S802" i="23"/>
  <c r="T802" i="23"/>
  <c r="U802" i="23"/>
  <c r="X802" i="23" s="1"/>
  <c r="S803" i="23"/>
  <c r="T803" i="23"/>
  <c r="U803" i="23"/>
  <c r="X803" i="23" s="1"/>
  <c r="S804" i="23"/>
  <c r="T804" i="23"/>
  <c r="U804" i="23"/>
  <c r="X804" i="23" s="1"/>
  <c r="S805" i="23"/>
  <c r="T805" i="23"/>
  <c r="U805" i="23"/>
  <c r="X805" i="23" s="1"/>
  <c r="S806" i="23"/>
  <c r="T806" i="23"/>
  <c r="U806" i="23"/>
  <c r="X806" i="23" s="1"/>
  <c r="S807" i="23"/>
  <c r="T807" i="23"/>
  <c r="U807" i="23"/>
  <c r="X807" i="23" s="1"/>
  <c r="S808" i="23"/>
  <c r="T808" i="23"/>
  <c r="U808" i="23"/>
  <c r="X808" i="23" s="1"/>
  <c r="S809" i="23"/>
  <c r="T809" i="23"/>
  <c r="U809" i="23"/>
  <c r="X809" i="23" s="1"/>
  <c r="S810" i="23"/>
  <c r="T810" i="23"/>
  <c r="U810" i="23"/>
  <c r="X810" i="23" s="1"/>
  <c r="S811" i="23"/>
  <c r="T811" i="23"/>
  <c r="U811" i="23"/>
  <c r="X811" i="23"/>
  <c r="S812" i="23"/>
  <c r="T812" i="23"/>
  <c r="U812" i="23"/>
  <c r="X812" i="23"/>
  <c r="S813" i="23"/>
  <c r="T813" i="23"/>
  <c r="U813" i="23"/>
  <c r="X813" i="23"/>
  <c r="S814" i="23"/>
  <c r="T814" i="23"/>
  <c r="U814" i="23"/>
  <c r="X814" i="23" s="1"/>
  <c r="S815" i="23"/>
  <c r="T815" i="23"/>
  <c r="U815" i="23"/>
  <c r="X815" i="23" s="1"/>
  <c r="S816" i="23"/>
  <c r="T816" i="23"/>
  <c r="U816" i="23"/>
  <c r="X816" i="23" s="1"/>
  <c r="S817" i="23"/>
  <c r="T817" i="23"/>
  <c r="U817" i="23"/>
  <c r="X817" i="23" s="1"/>
  <c r="S818" i="23"/>
  <c r="T818" i="23"/>
  <c r="U818" i="23"/>
  <c r="X818" i="23" s="1"/>
  <c r="S819" i="23"/>
  <c r="T819" i="23"/>
  <c r="U819" i="23"/>
  <c r="X819" i="23" s="1"/>
  <c r="S820" i="23"/>
  <c r="T820" i="23"/>
  <c r="U820" i="23"/>
  <c r="X820" i="23" s="1"/>
  <c r="S821" i="23"/>
  <c r="T821" i="23"/>
  <c r="U821" i="23"/>
  <c r="X821" i="23" s="1"/>
  <c r="S822" i="23"/>
  <c r="T822" i="23"/>
  <c r="U822" i="23"/>
  <c r="X822" i="23" s="1"/>
  <c r="S823" i="23"/>
  <c r="T823" i="23"/>
  <c r="U823" i="23"/>
  <c r="X823" i="23" s="1"/>
  <c r="S824" i="23"/>
  <c r="T824" i="23"/>
  <c r="U824" i="23"/>
  <c r="X824" i="23" s="1"/>
  <c r="S825" i="23"/>
  <c r="T825" i="23"/>
  <c r="U825" i="23"/>
  <c r="X825" i="23" s="1"/>
  <c r="S826" i="23"/>
  <c r="T826" i="23"/>
  <c r="U826" i="23"/>
  <c r="X826" i="23" s="1"/>
  <c r="S827" i="23"/>
  <c r="T827" i="23"/>
  <c r="U827" i="23"/>
  <c r="X827" i="23" s="1"/>
  <c r="S828" i="23"/>
  <c r="T828" i="23"/>
  <c r="U828" i="23"/>
  <c r="X828" i="23" s="1"/>
  <c r="S829" i="23"/>
  <c r="T829" i="23"/>
  <c r="U829" i="23"/>
  <c r="X829" i="23" s="1"/>
  <c r="S830" i="23"/>
  <c r="T830" i="23"/>
  <c r="U830" i="23"/>
  <c r="X830" i="23" s="1"/>
  <c r="S831" i="23"/>
  <c r="T831" i="23"/>
  <c r="U831" i="23"/>
  <c r="X831" i="23" s="1"/>
  <c r="S832" i="23"/>
  <c r="T832" i="23"/>
  <c r="U832" i="23"/>
  <c r="X832" i="23" s="1"/>
  <c r="S833" i="23"/>
  <c r="T833" i="23"/>
  <c r="U833" i="23"/>
  <c r="X833" i="23" s="1"/>
  <c r="S834" i="23"/>
  <c r="T834" i="23"/>
  <c r="U834" i="23"/>
  <c r="X834" i="23" s="1"/>
  <c r="S835" i="23"/>
  <c r="T835" i="23"/>
  <c r="U835" i="23"/>
  <c r="X835" i="23"/>
  <c r="S836" i="23"/>
  <c r="T836" i="23"/>
  <c r="U836" i="23"/>
  <c r="X836" i="23"/>
  <c r="S837" i="23"/>
  <c r="T837" i="23"/>
  <c r="U837" i="23"/>
  <c r="X837" i="23"/>
  <c r="S838" i="23"/>
  <c r="T838" i="23"/>
  <c r="U838" i="23"/>
  <c r="X838" i="23" s="1"/>
  <c r="S839" i="23"/>
  <c r="T839" i="23"/>
  <c r="U839" i="23"/>
  <c r="X839" i="23" s="1"/>
  <c r="S840" i="23"/>
  <c r="T840" i="23"/>
  <c r="U840" i="23"/>
  <c r="X840" i="23" s="1"/>
  <c r="S841" i="23"/>
  <c r="T841" i="23"/>
  <c r="U841" i="23"/>
  <c r="X841" i="23" s="1"/>
  <c r="S842" i="23"/>
  <c r="T842" i="23"/>
  <c r="U842" i="23"/>
  <c r="X842" i="23" s="1"/>
  <c r="S843" i="23"/>
  <c r="T843" i="23"/>
  <c r="U843" i="23"/>
  <c r="X843" i="23" s="1"/>
  <c r="S844" i="23"/>
  <c r="T844" i="23"/>
  <c r="U844" i="23"/>
  <c r="X844" i="23" s="1"/>
  <c r="S845" i="23"/>
  <c r="T845" i="23"/>
  <c r="U845" i="23"/>
  <c r="X845" i="23" s="1"/>
  <c r="S846" i="23"/>
  <c r="T846" i="23"/>
  <c r="U846" i="23"/>
  <c r="X846" i="23" s="1"/>
  <c r="S847" i="23"/>
  <c r="T847" i="23"/>
  <c r="U847" i="23"/>
  <c r="X847" i="23" s="1"/>
  <c r="S848" i="23"/>
  <c r="T848" i="23"/>
  <c r="U848" i="23"/>
  <c r="X848" i="23" s="1"/>
  <c r="S849" i="23"/>
  <c r="T849" i="23"/>
  <c r="U849" i="23"/>
  <c r="X849" i="23" s="1"/>
  <c r="S850" i="23"/>
  <c r="T850" i="23"/>
  <c r="U850" i="23"/>
  <c r="X850" i="23" s="1"/>
  <c r="S851" i="23"/>
  <c r="T851" i="23"/>
  <c r="U851" i="23"/>
  <c r="X851" i="23" s="1"/>
  <c r="S852" i="23"/>
  <c r="T852" i="23"/>
  <c r="U852" i="23"/>
  <c r="X852" i="23" s="1"/>
  <c r="S853" i="23"/>
  <c r="T853" i="23"/>
  <c r="U853" i="23"/>
  <c r="X853" i="23" s="1"/>
  <c r="S854" i="23"/>
  <c r="T854" i="23"/>
  <c r="U854" i="23"/>
  <c r="X854" i="23" s="1"/>
  <c r="S855" i="23"/>
  <c r="T855" i="23"/>
  <c r="U855" i="23"/>
  <c r="X855" i="23" s="1"/>
  <c r="S856" i="23"/>
  <c r="T856" i="23"/>
  <c r="U856" i="23"/>
  <c r="X856" i="23" s="1"/>
  <c r="S857" i="23"/>
  <c r="T857" i="23"/>
  <c r="U857" i="23"/>
  <c r="X857" i="23" s="1"/>
  <c r="S858" i="23"/>
  <c r="T858" i="23"/>
  <c r="U858" i="23"/>
  <c r="X858" i="23" s="1"/>
  <c r="S1141" i="23"/>
  <c r="T1141" i="23"/>
  <c r="U1141" i="23"/>
  <c r="S1142" i="23"/>
  <c r="T1142" i="23"/>
  <c r="U1142" i="23"/>
  <c r="S1143" i="23"/>
  <c r="T1143" i="23"/>
  <c r="U1143" i="23"/>
  <c r="S1144" i="23"/>
  <c r="T1144" i="23"/>
  <c r="U1144" i="23"/>
  <c r="X1144" i="23" s="1"/>
  <c r="S1145" i="23"/>
  <c r="T1145" i="23"/>
  <c r="U1145" i="23"/>
  <c r="S1146" i="23"/>
  <c r="T1146" i="23"/>
  <c r="U1146" i="23"/>
  <c r="S1147" i="23"/>
  <c r="T1147" i="23"/>
  <c r="U1147" i="23"/>
  <c r="S1148" i="23"/>
  <c r="T1148" i="23"/>
  <c r="U1148" i="23"/>
  <c r="X1148" i="23" s="1"/>
  <c r="S1149" i="23"/>
  <c r="T1149" i="23"/>
  <c r="U1149" i="23"/>
  <c r="S1150" i="23"/>
  <c r="T1150" i="23"/>
  <c r="U1150" i="23"/>
  <c r="S1153" i="23"/>
  <c r="T1153" i="23"/>
  <c r="U1153" i="23"/>
  <c r="S1154" i="23"/>
  <c r="T1154" i="23"/>
  <c r="U1154" i="23"/>
  <c r="X1154" i="23" s="1"/>
  <c r="S1155" i="23"/>
  <c r="T1155" i="23"/>
  <c r="U1155" i="23"/>
  <c r="S1156" i="23"/>
  <c r="T1156" i="23"/>
  <c r="U1156" i="23"/>
  <c r="S1157" i="23"/>
  <c r="T1157" i="23"/>
  <c r="U1157" i="23"/>
  <c r="S1158" i="23"/>
  <c r="T1158" i="23"/>
  <c r="U1158" i="23"/>
  <c r="X1158" i="23" s="1"/>
  <c r="S1159" i="23"/>
  <c r="T1159" i="23"/>
  <c r="U1159" i="23"/>
  <c r="S1160" i="23"/>
  <c r="T1160" i="23"/>
  <c r="U1160" i="23"/>
  <c r="S1161" i="23"/>
  <c r="T1161" i="23"/>
  <c r="U1161" i="23"/>
  <c r="S1162" i="23"/>
  <c r="T1162" i="23"/>
  <c r="U1162" i="23"/>
  <c r="X1162" i="23" s="1"/>
  <c r="S1163" i="23"/>
  <c r="T1163" i="23"/>
  <c r="U1163" i="23"/>
  <c r="S1164" i="23"/>
  <c r="T1164" i="23"/>
  <c r="U1164" i="23"/>
  <c r="S1165" i="23"/>
  <c r="T1165" i="23"/>
  <c r="U1165" i="23"/>
  <c r="S1166" i="23"/>
  <c r="T1166" i="23"/>
  <c r="U1166" i="23"/>
  <c r="X1166" i="23" s="1"/>
  <c r="S1167" i="23"/>
  <c r="T1167" i="23"/>
  <c r="U1167" i="23"/>
  <c r="S1168" i="23"/>
  <c r="T1168" i="23"/>
  <c r="U1168" i="23"/>
  <c r="S1169" i="23"/>
  <c r="T1169" i="23"/>
  <c r="U1169" i="23"/>
  <c r="S1170" i="23"/>
  <c r="T1170" i="23"/>
  <c r="U1170" i="23"/>
  <c r="X1170" i="23" s="1"/>
  <c r="S1171" i="23"/>
  <c r="T1171" i="23"/>
  <c r="U1171" i="23"/>
  <c r="S1172" i="23"/>
  <c r="T1172" i="23"/>
  <c r="U1172" i="23"/>
  <c r="S1173" i="23"/>
  <c r="T1173" i="23"/>
  <c r="U1173" i="23"/>
  <c r="S1174" i="23"/>
  <c r="T1174" i="23"/>
  <c r="U1174" i="23"/>
  <c r="X1174" i="23" s="1"/>
  <c r="S1175" i="23"/>
  <c r="T1175" i="23"/>
  <c r="U1175" i="23"/>
  <c r="S1176" i="23"/>
  <c r="T1176" i="23"/>
  <c r="U1176" i="23"/>
  <c r="S1177" i="23"/>
  <c r="T1177" i="23"/>
  <c r="U1177" i="23"/>
  <c r="S1178" i="23"/>
  <c r="T1178" i="23"/>
  <c r="U1178" i="23"/>
  <c r="X1178" i="23" s="1"/>
  <c r="S1179" i="23"/>
  <c r="T1179" i="23"/>
  <c r="U1179" i="23"/>
  <c r="S1180" i="23"/>
  <c r="T1180" i="23"/>
  <c r="U1180" i="23"/>
  <c r="S1181" i="23"/>
  <c r="T1181" i="23"/>
  <c r="U1181" i="23"/>
  <c r="S1182" i="23"/>
  <c r="T1182" i="23"/>
  <c r="U1182" i="23"/>
  <c r="X1182" i="23" s="1"/>
  <c r="S1183" i="23"/>
  <c r="T1183" i="23"/>
  <c r="U1183" i="23"/>
  <c r="S1184" i="23"/>
  <c r="T1184" i="23"/>
  <c r="U1184" i="23"/>
  <c r="S1185" i="23"/>
  <c r="T1185" i="23"/>
  <c r="U1185" i="23"/>
  <c r="S1186" i="23"/>
  <c r="T1186" i="23"/>
  <c r="U1186" i="23"/>
  <c r="X1186" i="23" s="1"/>
  <c r="S1187" i="23"/>
  <c r="T1187" i="23"/>
  <c r="U1187" i="23"/>
  <c r="S1188" i="23"/>
  <c r="T1188" i="23"/>
  <c r="U1188" i="23"/>
  <c r="S1189" i="23"/>
  <c r="T1189" i="23"/>
  <c r="U1189" i="23"/>
  <c r="S1190" i="23"/>
  <c r="T1190" i="23"/>
  <c r="U1190" i="23"/>
  <c r="X1190" i="23" s="1"/>
  <c r="S1191" i="23"/>
  <c r="T1191" i="23"/>
  <c r="U1191" i="23"/>
  <c r="S1192" i="23"/>
  <c r="T1192" i="23"/>
  <c r="U1192" i="23"/>
  <c r="S1193" i="23"/>
  <c r="T1193" i="23"/>
  <c r="U1193" i="23"/>
  <c r="S1194" i="23"/>
  <c r="T1194" i="23"/>
  <c r="U1194" i="23"/>
  <c r="X1194" i="23" s="1"/>
  <c r="S1195" i="23"/>
  <c r="T1195" i="23"/>
  <c r="U1195" i="23"/>
  <c r="S1196" i="23"/>
  <c r="T1196" i="23"/>
  <c r="U1196" i="23"/>
  <c r="S1197" i="23"/>
  <c r="T1197" i="23"/>
  <c r="U1197" i="23"/>
  <c r="S1198" i="23"/>
  <c r="T1198" i="23"/>
  <c r="U1198" i="23"/>
  <c r="X1198" i="23" s="1"/>
  <c r="S1199" i="23"/>
  <c r="T1199" i="23"/>
  <c r="U1199" i="23"/>
  <c r="D6" i="77" s="1"/>
  <c r="O6" i="77" s="1"/>
  <c r="S1200" i="23"/>
  <c r="T1200" i="23"/>
  <c r="U1200" i="23"/>
  <c r="S1201" i="23"/>
  <c r="T1201" i="23"/>
  <c r="U1201" i="23"/>
  <c r="S1202" i="23"/>
  <c r="T1202" i="23"/>
  <c r="U1202" i="23"/>
  <c r="X1202" i="23" s="1"/>
  <c r="S1203" i="23"/>
  <c r="T1203" i="23"/>
  <c r="U1203" i="23"/>
  <c r="S1204" i="23"/>
  <c r="T1204" i="23"/>
  <c r="U1204" i="23"/>
  <c r="S1205" i="23"/>
  <c r="T1205" i="23"/>
  <c r="U1205" i="23"/>
  <c r="S1206" i="23"/>
  <c r="T1206" i="23"/>
  <c r="U1206" i="23"/>
  <c r="X1206" i="23" s="1"/>
  <c r="S1207" i="23"/>
  <c r="T1207" i="23"/>
  <c r="U1207" i="23"/>
  <c r="S1208" i="23"/>
  <c r="T1208" i="23"/>
  <c r="U1208" i="23"/>
  <c r="S1209" i="23"/>
  <c r="T1209" i="23"/>
  <c r="U1209" i="23"/>
  <c r="S1210" i="23"/>
  <c r="T1210" i="23"/>
  <c r="U1210" i="23"/>
  <c r="X1210" i="23" s="1"/>
  <c r="S1211" i="23"/>
  <c r="T1211" i="23"/>
  <c r="U1211" i="23"/>
  <c r="S1212" i="23"/>
  <c r="T1212" i="23"/>
  <c r="U1212" i="23"/>
  <c r="S1213" i="23"/>
  <c r="T1213" i="23"/>
  <c r="U1213" i="23"/>
  <c r="S1214" i="23"/>
  <c r="T1214" i="23"/>
  <c r="U1214" i="23"/>
  <c r="S1215" i="23"/>
  <c r="T1215" i="23"/>
  <c r="U1215" i="23"/>
  <c r="X1215" i="23" s="1"/>
  <c r="S1216" i="23"/>
  <c r="T1216" i="23"/>
  <c r="U1216" i="23"/>
  <c r="S1217" i="23"/>
  <c r="T1217" i="23"/>
  <c r="U1217" i="23"/>
  <c r="S1218" i="23"/>
  <c r="T1218" i="23"/>
  <c r="U1218" i="23"/>
  <c r="S1219" i="23"/>
  <c r="T1219" i="23"/>
  <c r="U1219" i="23"/>
  <c r="S1220" i="23"/>
  <c r="T1220" i="23"/>
  <c r="U1220" i="23"/>
  <c r="X1220" i="23" s="1"/>
  <c r="S1221" i="23"/>
  <c r="T1221" i="23"/>
  <c r="U1221" i="23"/>
  <c r="S1222" i="23"/>
  <c r="T1222" i="23"/>
  <c r="U1222" i="23"/>
  <c r="S1223" i="23"/>
  <c r="T1223" i="23"/>
  <c r="U1223" i="23"/>
  <c r="S1224" i="23"/>
  <c r="T1224" i="23"/>
  <c r="U1224" i="23"/>
  <c r="X1224" i="23" s="1"/>
  <c r="S1225" i="23"/>
  <c r="T1225" i="23"/>
  <c r="U1225" i="23"/>
  <c r="S1226" i="23"/>
  <c r="T1226" i="23"/>
  <c r="U1226" i="23"/>
  <c r="S1227" i="23"/>
  <c r="T1227" i="23"/>
  <c r="U1227" i="23"/>
  <c r="S1228" i="23"/>
  <c r="T1228" i="23"/>
  <c r="U1228" i="23"/>
  <c r="X1228" i="23" s="1"/>
  <c r="S1229" i="23"/>
  <c r="T1229" i="23"/>
  <c r="U1229" i="23"/>
  <c r="S1230" i="23"/>
  <c r="T1230" i="23"/>
  <c r="U1230" i="23"/>
  <c r="S1231" i="23"/>
  <c r="T1231" i="23"/>
  <c r="U1231" i="23"/>
  <c r="S1232" i="23"/>
  <c r="T1232" i="23"/>
  <c r="U1232" i="23"/>
  <c r="X1232" i="23" s="1"/>
  <c r="S1233" i="23"/>
  <c r="T1233" i="23"/>
  <c r="U1233" i="23"/>
  <c r="S1234" i="23"/>
  <c r="T1234" i="23"/>
  <c r="U1234" i="23"/>
  <c r="S1235" i="23"/>
  <c r="T1235" i="23"/>
  <c r="U1235" i="23"/>
  <c r="S1236" i="23"/>
  <c r="T1236" i="23"/>
  <c r="U1236" i="23"/>
  <c r="X1236" i="23" s="1"/>
  <c r="S1237" i="23"/>
  <c r="T1237" i="23"/>
  <c r="U1237" i="23"/>
  <c r="S1238" i="23"/>
  <c r="T1238" i="23"/>
  <c r="U1238" i="23"/>
  <c r="S1239" i="23"/>
  <c r="T1239" i="23"/>
  <c r="U1239" i="23"/>
  <c r="S1240" i="23"/>
  <c r="T1240" i="23"/>
  <c r="U1240" i="23"/>
  <c r="X1240" i="23" s="1"/>
  <c r="S1241" i="23"/>
  <c r="T1241" i="23"/>
  <c r="U1241" i="23"/>
  <c r="S1242" i="23"/>
  <c r="T1242" i="23"/>
  <c r="U1242" i="23"/>
  <c r="S1243" i="23"/>
  <c r="T1243" i="23"/>
  <c r="U1243" i="23"/>
  <c r="S1244" i="23"/>
  <c r="T1244" i="23"/>
  <c r="U1244" i="23"/>
  <c r="X1244" i="23" s="1"/>
  <c r="S1245" i="23"/>
  <c r="T1245" i="23"/>
  <c r="U1245" i="23"/>
  <c r="S1246" i="23"/>
  <c r="T1246" i="23"/>
  <c r="U1246" i="23"/>
  <c r="S1247" i="23"/>
  <c r="T1247" i="23"/>
  <c r="U1247" i="23"/>
  <c r="S1248" i="23"/>
  <c r="T1248" i="23"/>
  <c r="U1248" i="23"/>
  <c r="X1248" i="23" s="1"/>
  <c r="S1249" i="23"/>
  <c r="T1249" i="23"/>
  <c r="U1249" i="23"/>
  <c r="S1250" i="23"/>
  <c r="T1250" i="23"/>
  <c r="U1250" i="23"/>
  <c r="S1251" i="23"/>
  <c r="T1251" i="23"/>
  <c r="U1251" i="23"/>
  <c r="S1252" i="23"/>
  <c r="T1252" i="23"/>
  <c r="U1252" i="23"/>
  <c r="X1252" i="23" s="1"/>
  <c r="S1253" i="23"/>
  <c r="T1253" i="23"/>
  <c r="U1253" i="23"/>
  <c r="S1254" i="23"/>
  <c r="T1254" i="23"/>
  <c r="U1254" i="23"/>
  <c r="S1255" i="23"/>
  <c r="T1255" i="23"/>
  <c r="U1255" i="23"/>
  <c r="S1256" i="23"/>
  <c r="T1256" i="23"/>
  <c r="U1256" i="23"/>
  <c r="X1256" i="23" s="1"/>
  <c r="S1257" i="23"/>
  <c r="T1257" i="23"/>
  <c r="U1257" i="23"/>
  <c r="S1258" i="23"/>
  <c r="T1258" i="23"/>
  <c r="U1258" i="23"/>
  <c r="S1259" i="23"/>
  <c r="T1259" i="23"/>
  <c r="U1259" i="23"/>
  <c r="S1260" i="23"/>
  <c r="T1260" i="23"/>
  <c r="U1260" i="23"/>
  <c r="X1260" i="23" s="1"/>
  <c r="S1261" i="23"/>
  <c r="T1261" i="23"/>
  <c r="U1261" i="23"/>
  <c r="S1262" i="23"/>
  <c r="T1262" i="23"/>
  <c r="U1262" i="23"/>
  <c r="S1263" i="23"/>
  <c r="T1263" i="23"/>
  <c r="U1263" i="23"/>
  <c r="S1264" i="23"/>
  <c r="T1264" i="23"/>
  <c r="U1264" i="23"/>
  <c r="X1264" i="23" s="1"/>
  <c r="S1265" i="23"/>
  <c r="T1265" i="23"/>
  <c r="U1265" i="23"/>
  <c r="S1266" i="23"/>
  <c r="T1266" i="23"/>
  <c r="U1266" i="23"/>
  <c r="S1267" i="23"/>
  <c r="T1267" i="23"/>
  <c r="U1267" i="23"/>
  <c r="S1268" i="23"/>
  <c r="T1268" i="23"/>
  <c r="U1268" i="23"/>
  <c r="X1268" i="23" s="1"/>
  <c r="S1269" i="23"/>
  <c r="T1269" i="23"/>
  <c r="U1269" i="23"/>
  <c r="S1270" i="23"/>
  <c r="T1270" i="23"/>
  <c r="U1270" i="23"/>
  <c r="S1271" i="23"/>
  <c r="T1271" i="23"/>
  <c r="U1271" i="23"/>
  <c r="S1272" i="23"/>
  <c r="T1272" i="23"/>
  <c r="U1272" i="23"/>
  <c r="X1272" i="23" s="1"/>
  <c r="S1273" i="23"/>
  <c r="T1273" i="23"/>
  <c r="U1273" i="23"/>
  <c r="X1273" i="23"/>
  <c r="S1274" i="23"/>
  <c r="T1274" i="23"/>
  <c r="U1274" i="23"/>
  <c r="S1275" i="23"/>
  <c r="T1275" i="23"/>
  <c r="U1275" i="23"/>
  <c r="S1276" i="23"/>
  <c r="T1276" i="23"/>
  <c r="U1276" i="23"/>
  <c r="S1277" i="23"/>
  <c r="T1277" i="23"/>
  <c r="U1277" i="23"/>
  <c r="X1277" i="23" s="1"/>
  <c r="S1278" i="23"/>
  <c r="T1278" i="23"/>
  <c r="U1278" i="23"/>
  <c r="S1279" i="23"/>
  <c r="T1279" i="23"/>
  <c r="U1279" i="23"/>
  <c r="S1280" i="23"/>
  <c r="T1280" i="23"/>
  <c r="U1280" i="23"/>
  <c r="S1281" i="23"/>
  <c r="T1281" i="23"/>
  <c r="U1281" i="23"/>
  <c r="X1281" i="23" s="1"/>
  <c r="S1282" i="23"/>
  <c r="T1282" i="23"/>
  <c r="U1282" i="23"/>
  <c r="S1283" i="23"/>
  <c r="T1283" i="23"/>
  <c r="U1283" i="23"/>
  <c r="S1284" i="23"/>
  <c r="T1284" i="23"/>
  <c r="U1284" i="23"/>
  <c r="S1285" i="23"/>
  <c r="T1285" i="23"/>
  <c r="U1285" i="23"/>
  <c r="X1285" i="23" s="1"/>
  <c r="S1286" i="23"/>
  <c r="T1286" i="23"/>
  <c r="U1286" i="23"/>
  <c r="S1287" i="23"/>
  <c r="T1287" i="23"/>
  <c r="U1287" i="23"/>
  <c r="S1288" i="23"/>
  <c r="T1288" i="23"/>
  <c r="U1288" i="23"/>
  <c r="S1289" i="23"/>
  <c r="T1289" i="23"/>
  <c r="U1289" i="23"/>
  <c r="X1289" i="23" s="1"/>
  <c r="S1290" i="23"/>
  <c r="T1290" i="23"/>
  <c r="U1290" i="23"/>
  <c r="S1291" i="23"/>
  <c r="T1291" i="23"/>
  <c r="U1291" i="23"/>
  <c r="S1292" i="23"/>
  <c r="T1292" i="23"/>
  <c r="U1292" i="23"/>
  <c r="S1293" i="23"/>
  <c r="T1293" i="23"/>
  <c r="U1293" i="23"/>
  <c r="X1293" i="23" s="1"/>
  <c r="S1294" i="23"/>
  <c r="T1294" i="23"/>
  <c r="U1294" i="23"/>
  <c r="S1295" i="23"/>
  <c r="T1295" i="23"/>
  <c r="U1295" i="23"/>
  <c r="S1296" i="23"/>
  <c r="T1296" i="23"/>
  <c r="U1296" i="23"/>
  <c r="S1297" i="23"/>
  <c r="T1297" i="23"/>
  <c r="U1297" i="23"/>
  <c r="X1297" i="23" s="1"/>
  <c r="S1298" i="23"/>
  <c r="T1298" i="23"/>
  <c r="U1298" i="23"/>
  <c r="S1299" i="23"/>
  <c r="T1299" i="23"/>
  <c r="U1299" i="23"/>
  <c r="S1300" i="23"/>
  <c r="T1300" i="23"/>
  <c r="U1300" i="23"/>
  <c r="S1301" i="23"/>
  <c r="T1301" i="23"/>
  <c r="U1301" i="23"/>
  <c r="X1301" i="23" s="1"/>
  <c r="S1302" i="23"/>
  <c r="T1302" i="23"/>
  <c r="U1302" i="23"/>
  <c r="S1303" i="23"/>
  <c r="T1303" i="23"/>
  <c r="U1303" i="23"/>
  <c r="S1304" i="23"/>
  <c r="T1304" i="23"/>
  <c r="U1304" i="23"/>
  <c r="S1305" i="23"/>
  <c r="T1305" i="23"/>
  <c r="U1305" i="23"/>
  <c r="X1305" i="23" s="1"/>
  <c r="S1308" i="23"/>
  <c r="T1308" i="23"/>
  <c r="U1308" i="23"/>
  <c r="S1309" i="23"/>
  <c r="T1309" i="23"/>
  <c r="U1309" i="23"/>
  <c r="S1310" i="23"/>
  <c r="T1310" i="23"/>
  <c r="U1310" i="23"/>
  <c r="S1311" i="23"/>
  <c r="T1311" i="23"/>
  <c r="U1311" i="23"/>
  <c r="X1311" i="23" s="1"/>
  <c r="S1312" i="23"/>
  <c r="T1312" i="23"/>
  <c r="U1312" i="23"/>
  <c r="S1313" i="23"/>
  <c r="T1313" i="23"/>
  <c r="U1313" i="23"/>
  <c r="S1314" i="23"/>
  <c r="T1314" i="23"/>
  <c r="U1314" i="23"/>
  <c r="S1315" i="23"/>
  <c r="T1315" i="23"/>
  <c r="U1315" i="23"/>
  <c r="X1315" i="23"/>
  <c r="S1316" i="23"/>
  <c r="T1316" i="23"/>
  <c r="U1316" i="23"/>
  <c r="X1316" i="23" s="1"/>
  <c r="S1317" i="23"/>
  <c r="T1317" i="23"/>
  <c r="U1317" i="23"/>
  <c r="S1318" i="23"/>
  <c r="T1318" i="23"/>
  <c r="U1318" i="23"/>
  <c r="S1319" i="23"/>
  <c r="T1319" i="23"/>
  <c r="U1319" i="23"/>
  <c r="S1320" i="23"/>
  <c r="T1320" i="23"/>
  <c r="U1320" i="23"/>
  <c r="X1320" i="23" s="1"/>
  <c r="S1321" i="23"/>
  <c r="T1321" i="23"/>
  <c r="U1321" i="23"/>
  <c r="S1322" i="23"/>
  <c r="T1322" i="23"/>
  <c r="U1322" i="23"/>
  <c r="S1323" i="23"/>
  <c r="T1323" i="23"/>
  <c r="U1323" i="23"/>
  <c r="S1324" i="23"/>
  <c r="T1324" i="23"/>
  <c r="U1324" i="23"/>
  <c r="X1324" i="23" s="1"/>
  <c r="S1325" i="23"/>
  <c r="T1325" i="23"/>
  <c r="U1325" i="23"/>
  <c r="S1326" i="23"/>
  <c r="T1326" i="23"/>
  <c r="U1326" i="23"/>
  <c r="S1327" i="23"/>
  <c r="T1327" i="23"/>
  <c r="U1327" i="23"/>
  <c r="S1328" i="23"/>
  <c r="T1328" i="23"/>
  <c r="U1328" i="23"/>
  <c r="X1328" i="23"/>
  <c r="S1329" i="23"/>
  <c r="T1329" i="23"/>
  <c r="U1329" i="23"/>
  <c r="X1329" i="23" s="1"/>
  <c r="S1330" i="23"/>
  <c r="T1330" i="23"/>
  <c r="U1330" i="23"/>
  <c r="S1331" i="23"/>
  <c r="T1331" i="23"/>
  <c r="U1331" i="23"/>
  <c r="S1332" i="23"/>
  <c r="T1332" i="23"/>
  <c r="U1332" i="23"/>
  <c r="S1333" i="23"/>
  <c r="T1333" i="23"/>
  <c r="U1333" i="23"/>
  <c r="X1333" i="23" s="1"/>
  <c r="S1334" i="23"/>
  <c r="T1334" i="23"/>
  <c r="U1334" i="23"/>
  <c r="S1335" i="23"/>
  <c r="T1335" i="23"/>
  <c r="U1335" i="23"/>
  <c r="S1336" i="23"/>
  <c r="T1336" i="23"/>
  <c r="U1336" i="23"/>
  <c r="S1337" i="23"/>
  <c r="T1337" i="23"/>
  <c r="U1337" i="23"/>
  <c r="X1337" i="23" s="1"/>
  <c r="S1338" i="23"/>
  <c r="T1338" i="23"/>
  <c r="U1338" i="23"/>
  <c r="S1339" i="23"/>
  <c r="T1339" i="23"/>
  <c r="U1339" i="23"/>
  <c r="S1340" i="23"/>
  <c r="T1340" i="23"/>
  <c r="U1340" i="23"/>
  <c r="S1341" i="23"/>
  <c r="T1341" i="23"/>
  <c r="U1341" i="23"/>
  <c r="X1341" i="23" s="1"/>
  <c r="S1342" i="23"/>
  <c r="T1342" i="23"/>
  <c r="U1342" i="23"/>
  <c r="D7" i="77" s="1"/>
  <c r="S1343" i="23"/>
  <c r="T1343" i="23"/>
  <c r="U1343" i="23"/>
  <c r="S1344" i="23"/>
  <c r="T1344" i="23"/>
  <c r="U1344" i="23"/>
  <c r="S1345" i="23"/>
  <c r="T1345" i="23"/>
  <c r="U1345" i="23"/>
  <c r="X1345" i="23" s="1"/>
  <c r="S1346" i="23"/>
  <c r="T1346" i="23"/>
  <c r="U1346" i="23"/>
  <c r="S1347" i="23"/>
  <c r="T1347" i="23"/>
  <c r="U1347" i="23"/>
  <c r="S1348" i="23"/>
  <c r="T1348" i="23"/>
  <c r="U1348" i="23"/>
  <c r="S1349" i="23"/>
  <c r="T1349" i="23"/>
  <c r="U1349" i="23"/>
  <c r="X1349" i="23" s="1"/>
  <c r="S1350" i="23"/>
  <c r="T1350" i="23"/>
  <c r="U1350" i="23"/>
  <c r="S1351" i="23"/>
  <c r="T1351" i="23"/>
  <c r="U1351" i="23"/>
  <c r="S1352" i="23"/>
  <c r="T1352" i="23"/>
  <c r="U1352" i="23"/>
  <c r="S1353" i="23"/>
  <c r="T1353" i="23"/>
  <c r="U1353" i="23"/>
  <c r="X1353" i="23" s="1"/>
  <c r="S1354" i="23"/>
  <c r="T1354" i="23"/>
  <c r="U1354" i="23"/>
  <c r="S1355" i="23"/>
  <c r="T1355" i="23"/>
  <c r="U1355" i="23"/>
  <c r="S1356" i="23"/>
  <c r="T1356" i="23"/>
  <c r="U1356" i="23"/>
  <c r="S1357" i="23"/>
  <c r="T1357" i="23"/>
  <c r="U1357" i="23"/>
  <c r="X1357" i="23" s="1"/>
  <c r="S1358" i="23"/>
  <c r="T1358" i="23"/>
  <c r="U1358" i="23"/>
  <c r="S1359" i="23"/>
  <c r="T1359" i="23"/>
  <c r="U1359" i="23"/>
  <c r="S1360" i="23"/>
  <c r="T1360" i="23"/>
  <c r="U1360" i="23"/>
  <c r="S1361" i="23"/>
  <c r="T1361" i="23"/>
  <c r="U1361" i="23"/>
  <c r="X1361" i="23" s="1"/>
  <c r="S1362" i="23"/>
  <c r="T1362" i="23"/>
  <c r="U1362" i="23"/>
  <c r="S1363" i="23"/>
  <c r="T1363" i="23"/>
  <c r="U1363" i="23"/>
  <c r="S1364" i="23"/>
  <c r="T1364" i="23"/>
  <c r="U1364" i="23"/>
  <c r="S1365" i="23"/>
  <c r="T1365" i="23"/>
  <c r="U1365" i="23"/>
  <c r="X1365" i="23" s="1"/>
  <c r="S1366" i="23"/>
  <c r="T1366" i="23"/>
  <c r="U1366" i="23"/>
  <c r="S1367" i="23"/>
  <c r="T1367" i="23"/>
  <c r="U1367" i="23"/>
  <c r="S1368" i="23"/>
  <c r="T1368" i="23"/>
  <c r="U1368" i="23"/>
  <c r="S1369" i="23"/>
  <c r="T1369" i="23"/>
  <c r="U1369" i="23"/>
  <c r="X1369" i="23" s="1"/>
  <c r="S1370" i="23"/>
  <c r="T1370" i="23"/>
  <c r="U1370" i="23"/>
  <c r="S1371" i="23"/>
  <c r="T1371" i="23"/>
  <c r="U1371" i="23"/>
  <c r="S1372" i="23"/>
  <c r="T1372" i="23"/>
  <c r="U1372" i="23"/>
  <c r="S1373" i="23"/>
  <c r="T1373" i="23"/>
  <c r="U1373" i="23"/>
  <c r="X1373" i="23" s="1"/>
  <c r="S1374" i="23"/>
  <c r="T1374" i="23"/>
  <c r="U1374" i="23"/>
  <c r="S1375" i="23"/>
  <c r="X1375" i="23" s="1"/>
  <c r="T1375" i="23"/>
  <c r="U1375" i="23"/>
  <c r="S1376" i="23"/>
  <c r="T1376" i="23"/>
  <c r="U1376" i="23"/>
  <c r="S1377" i="23"/>
  <c r="T1377" i="23"/>
  <c r="U1377" i="23"/>
  <c r="S1378" i="23"/>
  <c r="T1378" i="23"/>
  <c r="U1378" i="23"/>
  <c r="S1379" i="23"/>
  <c r="T1379" i="23"/>
  <c r="U1379" i="23"/>
  <c r="S1380" i="23"/>
  <c r="T1380" i="23"/>
  <c r="U1380" i="23"/>
  <c r="S1381" i="23"/>
  <c r="T1381" i="23"/>
  <c r="U1381" i="23"/>
  <c r="S1382" i="23"/>
  <c r="T1382" i="23"/>
  <c r="U1382" i="23"/>
  <c r="S1383" i="23"/>
  <c r="T1383" i="23"/>
  <c r="U1383" i="23"/>
  <c r="S1384" i="23"/>
  <c r="T1384" i="23"/>
  <c r="U1384" i="23"/>
  <c r="S1385" i="23"/>
  <c r="T1385" i="23"/>
  <c r="U1385" i="23"/>
  <c r="S1386" i="23"/>
  <c r="T1386" i="23"/>
  <c r="U1386" i="23"/>
  <c r="S1387" i="23"/>
  <c r="T1387" i="23"/>
  <c r="U1387" i="23"/>
  <c r="S1388" i="23"/>
  <c r="T1388" i="23"/>
  <c r="U1388" i="23"/>
  <c r="S1389" i="23"/>
  <c r="T1389" i="23"/>
  <c r="U1389" i="23"/>
  <c r="S1390" i="23"/>
  <c r="T1390" i="23"/>
  <c r="U1390" i="23"/>
  <c r="S1391" i="23"/>
  <c r="T1391" i="23"/>
  <c r="U1391" i="23"/>
  <c r="S1392" i="23"/>
  <c r="T1392" i="23"/>
  <c r="U1392" i="23"/>
  <c r="S1393" i="23"/>
  <c r="T1393" i="23"/>
  <c r="U1393" i="23"/>
  <c r="S1394" i="23"/>
  <c r="T1394" i="23"/>
  <c r="U1394" i="23"/>
  <c r="S1395" i="23"/>
  <c r="T1395" i="23"/>
  <c r="U1395" i="23"/>
  <c r="S1396" i="23"/>
  <c r="T1396" i="23"/>
  <c r="U1396" i="23"/>
  <c r="S1397" i="23"/>
  <c r="T1397" i="23"/>
  <c r="U1397" i="23"/>
  <c r="S1398" i="23"/>
  <c r="T1398" i="23"/>
  <c r="U1398" i="23"/>
  <c r="S1399" i="23"/>
  <c r="T1399" i="23"/>
  <c r="U1399" i="23"/>
  <c r="S1400" i="23"/>
  <c r="T1400" i="23"/>
  <c r="U1400" i="23"/>
  <c r="S1401" i="23"/>
  <c r="T1401" i="23"/>
  <c r="U1401" i="23"/>
  <c r="S1402" i="23"/>
  <c r="T1402" i="23"/>
  <c r="U1402" i="23"/>
  <c r="S1403" i="23"/>
  <c r="T1403" i="23"/>
  <c r="U1403" i="23"/>
  <c r="S1404" i="23"/>
  <c r="T1404" i="23"/>
  <c r="U1404" i="23"/>
  <c r="S1405" i="23"/>
  <c r="T1405" i="23"/>
  <c r="U1405" i="23"/>
  <c r="S1406" i="23"/>
  <c r="T1406" i="23"/>
  <c r="U1406" i="23"/>
  <c r="S1407" i="23"/>
  <c r="T1407" i="23"/>
  <c r="U1407" i="23"/>
  <c r="S1408" i="23"/>
  <c r="T1408" i="23"/>
  <c r="U1408" i="23"/>
  <c r="S1409" i="23"/>
  <c r="T1409" i="23"/>
  <c r="U1409" i="23"/>
  <c r="S1410" i="23"/>
  <c r="T1410" i="23"/>
  <c r="U1410" i="23"/>
  <c r="S1411" i="23"/>
  <c r="X1411" i="23" s="1"/>
  <c r="T1411" i="23"/>
  <c r="U1411" i="23"/>
  <c r="S1412" i="23"/>
  <c r="T1412" i="23"/>
  <c r="U1412" i="23"/>
  <c r="S1413" i="23"/>
  <c r="T1413" i="23"/>
  <c r="U1413" i="23"/>
  <c r="S1414" i="23"/>
  <c r="T1414" i="23"/>
  <c r="U1414" i="23"/>
  <c r="S1415" i="23"/>
  <c r="T1415" i="23"/>
  <c r="U1415" i="23"/>
  <c r="X1415" i="23"/>
  <c r="S1416" i="23"/>
  <c r="T1416" i="23"/>
  <c r="U1416" i="23"/>
  <c r="X1416" i="23"/>
  <c r="S1417" i="23"/>
  <c r="T1417" i="23"/>
  <c r="U1417" i="23"/>
  <c r="S1418" i="23"/>
  <c r="T1418" i="23"/>
  <c r="U1418" i="23"/>
  <c r="S1419" i="23"/>
  <c r="T1419" i="23"/>
  <c r="U1419" i="23"/>
  <c r="S1420" i="23"/>
  <c r="T1420" i="23"/>
  <c r="U1420" i="23"/>
  <c r="S1421" i="23"/>
  <c r="T1421" i="23"/>
  <c r="U1421" i="23"/>
  <c r="S1422" i="23"/>
  <c r="T1422" i="23"/>
  <c r="U1422" i="23"/>
  <c r="S1423" i="23"/>
  <c r="T1423" i="23"/>
  <c r="U1423" i="23"/>
  <c r="S1424" i="23"/>
  <c r="T1424" i="23"/>
  <c r="U1424" i="23"/>
  <c r="S1425" i="23"/>
  <c r="T1425" i="23"/>
  <c r="U1425" i="23"/>
  <c r="S1426" i="23"/>
  <c r="T1426" i="23"/>
  <c r="U1426" i="23"/>
  <c r="S1427" i="23"/>
  <c r="T1427" i="23"/>
  <c r="U1427" i="23"/>
  <c r="S1428" i="23"/>
  <c r="T1428" i="23"/>
  <c r="U1428" i="23"/>
  <c r="S1429" i="23"/>
  <c r="T1429" i="23"/>
  <c r="U1429" i="23"/>
  <c r="S1430" i="23"/>
  <c r="T1430" i="23"/>
  <c r="U1430" i="23"/>
  <c r="S1431" i="23"/>
  <c r="T1431" i="23"/>
  <c r="U1431" i="23"/>
  <c r="S1432" i="23"/>
  <c r="T1432" i="23"/>
  <c r="U1432" i="23"/>
  <c r="S1433" i="23"/>
  <c r="T1433" i="23"/>
  <c r="U1433" i="23"/>
  <c r="S1434" i="23"/>
  <c r="T1434" i="23"/>
  <c r="U1434" i="23"/>
  <c r="S1435" i="23"/>
  <c r="T1435" i="23"/>
  <c r="U1435" i="23"/>
  <c r="S1436" i="23"/>
  <c r="T1436" i="23"/>
  <c r="U1436" i="23"/>
  <c r="S1437" i="23"/>
  <c r="T1437" i="23"/>
  <c r="U1437" i="23"/>
  <c r="S1438" i="23"/>
  <c r="T1438" i="23"/>
  <c r="U1438" i="23"/>
  <c r="S1439" i="23"/>
  <c r="T1439" i="23"/>
  <c r="U1439" i="23"/>
  <c r="S1440" i="23"/>
  <c r="T1440" i="23"/>
  <c r="U1440" i="23"/>
  <c r="S1441" i="23"/>
  <c r="T1441" i="23"/>
  <c r="U1441" i="23"/>
  <c r="S1442" i="23"/>
  <c r="T1442" i="23"/>
  <c r="U1442" i="23"/>
  <c r="S1443" i="23"/>
  <c r="T1443" i="23"/>
  <c r="U1443" i="23"/>
  <c r="S1444" i="23"/>
  <c r="T1444" i="23"/>
  <c r="U1444" i="23"/>
  <c r="S1445" i="23"/>
  <c r="T1445" i="23"/>
  <c r="U1445" i="23"/>
  <c r="S1446" i="23"/>
  <c r="T1446" i="23"/>
  <c r="U1446" i="23"/>
  <c r="S1447" i="23"/>
  <c r="T1447" i="23"/>
  <c r="U1447" i="23"/>
  <c r="S1448" i="23"/>
  <c r="T1448" i="23"/>
  <c r="U1448" i="23"/>
  <c r="S1449" i="23"/>
  <c r="T1449" i="23"/>
  <c r="U1449" i="23"/>
  <c r="S1450" i="23"/>
  <c r="T1450" i="23"/>
  <c r="U1450" i="23"/>
  <c r="S1451" i="23"/>
  <c r="T1451" i="23"/>
  <c r="U1451" i="23"/>
  <c r="S1452" i="23"/>
  <c r="T1452" i="23"/>
  <c r="U1452" i="23"/>
  <c r="S1453" i="23"/>
  <c r="T1453" i="23"/>
  <c r="U1453" i="23"/>
  <c r="S1454" i="23"/>
  <c r="T1454" i="23"/>
  <c r="U1454" i="23"/>
  <c r="S1455" i="23"/>
  <c r="T1455" i="23"/>
  <c r="U1455" i="23"/>
  <c r="S1456" i="23"/>
  <c r="T1456" i="23"/>
  <c r="U1456" i="23"/>
  <c r="S1457" i="23"/>
  <c r="T1457" i="23"/>
  <c r="U1457" i="23"/>
  <c r="S1458" i="23"/>
  <c r="T1458" i="23"/>
  <c r="U1458" i="23"/>
  <c r="S1459" i="23"/>
  <c r="T1459" i="23"/>
  <c r="U1459" i="23"/>
  <c r="S1462" i="23"/>
  <c r="T1462" i="23"/>
  <c r="U1462" i="23"/>
  <c r="S1463" i="23"/>
  <c r="T1463" i="23"/>
  <c r="U1463" i="23"/>
  <c r="S1464" i="23"/>
  <c r="T1464" i="23"/>
  <c r="U1464" i="23"/>
  <c r="S1465" i="23"/>
  <c r="T1465" i="23"/>
  <c r="U1465" i="23"/>
  <c r="S1466" i="23"/>
  <c r="T1466" i="23"/>
  <c r="U1466" i="23"/>
  <c r="S1467" i="23"/>
  <c r="T1467" i="23"/>
  <c r="U1467" i="23"/>
  <c r="S1468" i="23"/>
  <c r="T1468" i="23"/>
  <c r="U1468" i="23"/>
  <c r="S1469" i="23"/>
  <c r="T1469" i="23"/>
  <c r="U1469" i="23"/>
  <c r="S1470" i="23"/>
  <c r="T1470" i="23"/>
  <c r="U1470" i="23"/>
  <c r="S1471" i="23"/>
  <c r="T1471" i="23"/>
  <c r="U1471" i="23"/>
  <c r="S1472" i="23"/>
  <c r="T1472" i="23"/>
  <c r="U1472" i="23"/>
  <c r="S1473" i="23"/>
  <c r="T1473" i="23"/>
  <c r="U1473" i="23"/>
  <c r="S1474" i="23"/>
  <c r="T1474" i="23"/>
  <c r="U1474" i="23"/>
  <c r="S1475" i="23"/>
  <c r="T1475" i="23"/>
  <c r="U1475" i="23"/>
  <c r="S1476" i="23"/>
  <c r="T1476" i="23"/>
  <c r="U1476" i="23"/>
  <c r="S1477" i="23"/>
  <c r="T1477" i="23"/>
  <c r="U1477" i="23"/>
  <c r="S1478" i="23"/>
  <c r="T1478" i="23"/>
  <c r="U1478" i="23"/>
  <c r="S1479" i="23"/>
  <c r="T1479" i="23"/>
  <c r="U1479" i="23"/>
  <c r="S1480" i="23"/>
  <c r="T1480" i="23"/>
  <c r="U1480" i="23"/>
  <c r="S1481" i="23"/>
  <c r="T1481" i="23"/>
  <c r="U1481" i="23"/>
  <c r="S1482" i="23"/>
  <c r="T1482" i="23"/>
  <c r="U1482" i="23"/>
  <c r="S1483" i="23"/>
  <c r="T1483" i="23"/>
  <c r="U1483" i="23"/>
  <c r="S1484" i="23"/>
  <c r="T1484" i="23"/>
  <c r="U1484" i="23"/>
  <c r="S1485" i="23"/>
  <c r="T1485" i="23"/>
  <c r="U1485" i="23"/>
  <c r="D8" i="77" s="1"/>
  <c r="S1486" i="23"/>
  <c r="T1486" i="23"/>
  <c r="U1486" i="23"/>
  <c r="S1487" i="23"/>
  <c r="T1487" i="23"/>
  <c r="U1487" i="23"/>
  <c r="S1488" i="23"/>
  <c r="T1488" i="23"/>
  <c r="U1488" i="23"/>
  <c r="S1489" i="23"/>
  <c r="T1489" i="23"/>
  <c r="U1489" i="23"/>
  <c r="X1489" i="23"/>
  <c r="S1490" i="23"/>
  <c r="T1490" i="23"/>
  <c r="U1490" i="23"/>
  <c r="S1491" i="23"/>
  <c r="T1491" i="23"/>
  <c r="U1491" i="23"/>
  <c r="S1492" i="23"/>
  <c r="T1492" i="23"/>
  <c r="U1492" i="23"/>
  <c r="S1493" i="23"/>
  <c r="T1493" i="23"/>
  <c r="U1493" i="23"/>
  <c r="S1494" i="23"/>
  <c r="T1494" i="23"/>
  <c r="U1494" i="23"/>
  <c r="X1494" i="23"/>
  <c r="S1495" i="23"/>
  <c r="T1495" i="23"/>
  <c r="U1495" i="23"/>
  <c r="X1495" i="23"/>
  <c r="S1496" i="23"/>
  <c r="T1496" i="23"/>
  <c r="U1496" i="23"/>
  <c r="X1496" i="23"/>
  <c r="S1497" i="23"/>
  <c r="T1497" i="23"/>
  <c r="U1497" i="23"/>
  <c r="X1497" i="23"/>
  <c r="S1498" i="23"/>
  <c r="T1498" i="23"/>
  <c r="U1498" i="23"/>
  <c r="S1499" i="23"/>
  <c r="T1499" i="23"/>
  <c r="U1499" i="23"/>
  <c r="S1500" i="23"/>
  <c r="T1500" i="23"/>
  <c r="U1500" i="23"/>
  <c r="S1501" i="23"/>
  <c r="T1501" i="23"/>
  <c r="U1501" i="23"/>
  <c r="S1502" i="23"/>
  <c r="T1502" i="23"/>
  <c r="U1502" i="23"/>
  <c r="X1502" i="23"/>
  <c r="S1503" i="23"/>
  <c r="T1503" i="23"/>
  <c r="U1503" i="23"/>
  <c r="S1504" i="23"/>
  <c r="T1504" i="23"/>
  <c r="U1504" i="23"/>
  <c r="S1505" i="23"/>
  <c r="T1505" i="23"/>
  <c r="U1505" i="23"/>
  <c r="S1506" i="23"/>
  <c r="T1506" i="23"/>
  <c r="U1506" i="23"/>
  <c r="S1507" i="23"/>
  <c r="T1507" i="23"/>
  <c r="U1507" i="23"/>
  <c r="S1508" i="23"/>
  <c r="T1508" i="23"/>
  <c r="U1508" i="23"/>
  <c r="S1509" i="23"/>
  <c r="T1509" i="23"/>
  <c r="U1509" i="23"/>
  <c r="S1510" i="23"/>
  <c r="T1510" i="23"/>
  <c r="U1510" i="23"/>
  <c r="S1511" i="23"/>
  <c r="T1511" i="23"/>
  <c r="U1511" i="23"/>
  <c r="S1512" i="23"/>
  <c r="T1512" i="23"/>
  <c r="U1512" i="23"/>
  <c r="S1513" i="23"/>
  <c r="T1513" i="23"/>
  <c r="U1513" i="23"/>
  <c r="S1514" i="23"/>
  <c r="T1514" i="23"/>
  <c r="U1514" i="23"/>
  <c r="S1515" i="23"/>
  <c r="T1515" i="23"/>
  <c r="U1515" i="23"/>
  <c r="S1516" i="23"/>
  <c r="T1516" i="23"/>
  <c r="U1516" i="23"/>
  <c r="S1517" i="23"/>
  <c r="T1517" i="23"/>
  <c r="U1517" i="23"/>
  <c r="S1518" i="23"/>
  <c r="T1518" i="23"/>
  <c r="U1518" i="23"/>
  <c r="S1519" i="23"/>
  <c r="T1519" i="23"/>
  <c r="U1519" i="23"/>
  <c r="S1520" i="23"/>
  <c r="T1520" i="23"/>
  <c r="U1520" i="23"/>
  <c r="S1521" i="23"/>
  <c r="T1521" i="23"/>
  <c r="U1521" i="23"/>
  <c r="S1522" i="23"/>
  <c r="T1522" i="23"/>
  <c r="U1522" i="23"/>
  <c r="S1523" i="23"/>
  <c r="T1523" i="23"/>
  <c r="U1523" i="23"/>
  <c r="S1524" i="23"/>
  <c r="T1524" i="23"/>
  <c r="U1524" i="23"/>
  <c r="S1525" i="23"/>
  <c r="T1525" i="23"/>
  <c r="U1525" i="23"/>
  <c r="S1526" i="23"/>
  <c r="T1526" i="23"/>
  <c r="U1526" i="23"/>
  <c r="S1527" i="23"/>
  <c r="T1527" i="23"/>
  <c r="U1527" i="23"/>
  <c r="S1528" i="23"/>
  <c r="T1528" i="23"/>
  <c r="U1528" i="23"/>
  <c r="S1529" i="23"/>
  <c r="T1529" i="23"/>
  <c r="U1529" i="23"/>
  <c r="S1530" i="23"/>
  <c r="T1530" i="23"/>
  <c r="U1530" i="23"/>
  <c r="S1531" i="23"/>
  <c r="T1531" i="23"/>
  <c r="U1531" i="23"/>
  <c r="S1532" i="23"/>
  <c r="T1532" i="23"/>
  <c r="U1532" i="23"/>
  <c r="S1533" i="23"/>
  <c r="T1533" i="23"/>
  <c r="U1533" i="23"/>
  <c r="S1534" i="23"/>
  <c r="T1534" i="23"/>
  <c r="U1534" i="23"/>
  <c r="S1535" i="23"/>
  <c r="T1535" i="23"/>
  <c r="U1535" i="23"/>
  <c r="S1536" i="23"/>
  <c r="T1536" i="23"/>
  <c r="U1536" i="23"/>
  <c r="S1537" i="23"/>
  <c r="T1537" i="23"/>
  <c r="U1537" i="23"/>
  <c r="S1538" i="23"/>
  <c r="T1538" i="23"/>
  <c r="U1538" i="23"/>
  <c r="S1539" i="23"/>
  <c r="T1539" i="23"/>
  <c r="U1539" i="23"/>
  <c r="S1540" i="23"/>
  <c r="T1540" i="23"/>
  <c r="U1540" i="23"/>
  <c r="S1541" i="23"/>
  <c r="T1541" i="23"/>
  <c r="U1541" i="23"/>
  <c r="S1542" i="23"/>
  <c r="T1542" i="23"/>
  <c r="U1542" i="23"/>
  <c r="S1543" i="23"/>
  <c r="T1543" i="23"/>
  <c r="U1543" i="23"/>
  <c r="S1544" i="23"/>
  <c r="T1544" i="23"/>
  <c r="U1544" i="23"/>
  <c r="S1545" i="23"/>
  <c r="T1545" i="23"/>
  <c r="U1545" i="23"/>
  <c r="S1546" i="23"/>
  <c r="T1546" i="23"/>
  <c r="U1546" i="23"/>
  <c r="S1547" i="23"/>
  <c r="T1547" i="23"/>
  <c r="U1547" i="23"/>
  <c r="S1548" i="23"/>
  <c r="T1548" i="23"/>
  <c r="U1548" i="23"/>
  <c r="S1549" i="23"/>
  <c r="T1549" i="23"/>
  <c r="U1549" i="23"/>
  <c r="S1550" i="23"/>
  <c r="T1550" i="23"/>
  <c r="U1550" i="23"/>
  <c r="S1551" i="23"/>
  <c r="T1551" i="23"/>
  <c r="U1551" i="23"/>
  <c r="S1552" i="23"/>
  <c r="T1552" i="23"/>
  <c r="U1552" i="23"/>
  <c r="S1553" i="23"/>
  <c r="T1553" i="23"/>
  <c r="U1553" i="23"/>
  <c r="S1554" i="23"/>
  <c r="T1554" i="23"/>
  <c r="U1554" i="23"/>
  <c r="S1555" i="23"/>
  <c r="T1555" i="23"/>
  <c r="U1555" i="23"/>
  <c r="S1556" i="23"/>
  <c r="T1556" i="23"/>
  <c r="U1556" i="23"/>
  <c r="S1557" i="23"/>
  <c r="T1557" i="23"/>
  <c r="U1557" i="23"/>
  <c r="S1558" i="23"/>
  <c r="T1558" i="23"/>
  <c r="U1558" i="23"/>
  <c r="S1559" i="23"/>
  <c r="T1559" i="23"/>
  <c r="U1559" i="23"/>
  <c r="S1560" i="23"/>
  <c r="T1560" i="23"/>
  <c r="U1560" i="23"/>
  <c r="S1561" i="23"/>
  <c r="T1561" i="23"/>
  <c r="U1561" i="23"/>
  <c r="S1562" i="23"/>
  <c r="T1562" i="23"/>
  <c r="U1562" i="23"/>
  <c r="S1563" i="23"/>
  <c r="T1563" i="23"/>
  <c r="U1563" i="23"/>
  <c r="S1564" i="23"/>
  <c r="T1564" i="23"/>
  <c r="U1564" i="23"/>
  <c r="S1565" i="23"/>
  <c r="T1565" i="23"/>
  <c r="U1565" i="23"/>
  <c r="S1566" i="23"/>
  <c r="T1566" i="23"/>
  <c r="U1566" i="23"/>
  <c r="S1567" i="23"/>
  <c r="T1567" i="23"/>
  <c r="U1567" i="23"/>
  <c r="S1568" i="23"/>
  <c r="T1568" i="23"/>
  <c r="U1568" i="23"/>
  <c r="S1569" i="23"/>
  <c r="T1569" i="23"/>
  <c r="U1569" i="23"/>
  <c r="S1570" i="23"/>
  <c r="T1570" i="23"/>
  <c r="U1570" i="23"/>
  <c r="S1571" i="23"/>
  <c r="T1571" i="23"/>
  <c r="U1571" i="23"/>
  <c r="S1572" i="23"/>
  <c r="T1572" i="23"/>
  <c r="U1572" i="23"/>
  <c r="S1573" i="23"/>
  <c r="T1573" i="23"/>
  <c r="U1573" i="23"/>
  <c r="S1574" i="23"/>
  <c r="T1574" i="23"/>
  <c r="U1574" i="23"/>
  <c r="S1575" i="23"/>
  <c r="T1575" i="23"/>
  <c r="U1575" i="23"/>
  <c r="S1576" i="23"/>
  <c r="T1576" i="23"/>
  <c r="U1576" i="23"/>
  <c r="S1577" i="23"/>
  <c r="T1577" i="23"/>
  <c r="U1577" i="23"/>
  <c r="S1578" i="23"/>
  <c r="T1578" i="23"/>
  <c r="U1578" i="23"/>
  <c r="S1579" i="23"/>
  <c r="T1579" i="23"/>
  <c r="U1579" i="23"/>
  <c r="S1580" i="23"/>
  <c r="T1580" i="23"/>
  <c r="U1580" i="23"/>
  <c r="S1581" i="23"/>
  <c r="X1581" i="23" s="1"/>
  <c r="T1581" i="23"/>
  <c r="U1581" i="23"/>
  <c r="S1582" i="23"/>
  <c r="T1582" i="23"/>
  <c r="U1582" i="23"/>
  <c r="S1583" i="23"/>
  <c r="T1583" i="23"/>
  <c r="U1583" i="23"/>
  <c r="S1584" i="23"/>
  <c r="T1584" i="23"/>
  <c r="U1584" i="23"/>
  <c r="S1585" i="23"/>
  <c r="T1585" i="23"/>
  <c r="U1585" i="23"/>
  <c r="S1586" i="23"/>
  <c r="X1586" i="23" s="1"/>
  <c r="T1586" i="23"/>
  <c r="U1586" i="23"/>
  <c r="S1587" i="23"/>
  <c r="T1587" i="23"/>
  <c r="U1587" i="23"/>
  <c r="S1588" i="23"/>
  <c r="T1588" i="23"/>
  <c r="U1588" i="23"/>
  <c r="S1589" i="23"/>
  <c r="T1589" i="23"/>
  <c r="U1589" i="23"/>
  <c r="S1590" i="23"/>
  <c r="T1590" i="23"/>
  <c r="U1590" i="23"/>
  <c r="S1591" i="23"/>
  <c r="T1591" i="23"/>
  <c r="U1591" i="23"/>
  <c r="S1592" i="23"/>
  <c r="T1592" i="23"/>
  <c r="U1592" i="23"/>
  <c r="S1593" i="23"/>
  <c r="T1593" i="23"/>
  <c r="U1593" i="23"/>
  <c r="S1594" i="23"/>
  <c r="T1594" i="23"/>
  <c r="U1594" i="23"/>
  <c r="S1595" i="23"/>
  <c r="T1595" i="23"/>
  <c r="U1595" i="23"/>
  <c r="S1596" i="23"/>
  <c r="T1596" i="23"/>
  <c r="U1596" i="23"/>
  <c r="S1597" i="23"/>
  <c r="T1597" i="23"/>
  <c r="U1597" i="23"/>
  <c r="S1598" i="23"/>
  <c r="T1598" i="23"/>
  <c r="U1598" i="23"/>
  <c r="S1599" i="23"/>
  <c r="T1599" i="23"/>
  <c r="U1599" i="23"/>
  <c r="S1600" i="23"/>
  <c r="T1600" i="23"/>
  <c r="U1600" i="23"/>
  <c r="S1601" i="23"/>
  <c r="T1601" i="23"/>
  <c r="U1601" i="23"/>
  <c r="S1602" i="23"/>
  <c r="T1602" i="23"/>
  <c r="U1602" i="23"/>
  <c r="S1603" i="23"/>
  <c r="T1603" i="23"/>
  <c r="U1603" i="23"/>
  <c r="S1604" i="23"/>
  <c r="T1604" i="23"/>
  <c r="U1604" i="23"/>
  <c r="S1605" i="23"/>
  <c r="T1605" i="23"/>
  <c r="U1605" i="23"/>
  <c r="S1606" i="23"/>
  <c r="T1606" i="23"/>
  <c r="U1606" i="23"/>
  <c r="S1607" i="23"/>
  <c r="T1607" i="23"/>
  <c r="U1607" i="23"/>
  <c r="S1608" i="23"/>
  <c r="T1608" i="23"/>
  <c r="U1608" i="23"/>
  <c r="S1609" i="23"/>
  <c r="T1609" i="23"/>
  <c r="U1609" i="23"/>
  <c r="S1610" i="23"/>
  <c r="T1610" i="23"/>
  <c r="U1610" i="23"/>
  <c r="S1611" i="23"/>
  <c r="T1611" i="23"/>
  <c r="U1611" i="23"/>
  <c r="S1612" i="23"/>
  <c r="T1612" i="23"/>
  <c r="U1612" i="23"/>
  <c r="S1613" i="23"/>
  <c r="T1613" i="23"/>
  <c r="U1613" i="23"/>
  <c r="S1614" i="23"/>
  <c r="T1614" i="23"/>
  <c r="U1614" i="23"/>
  <c r="S1615" i="23"/>
  <c r="T1615" i="23"/>
  <c r="U1615" i="23"/>
  <c r="S1618" i="23"/>
  <c r="T1618" i="23"/>
  <c r="U1618" i="23"/>
  <c r="S1619" i="23"/>
  <c r="T1619" i="23"/>
  <c r="U1619" i="23"/>
  <c r="S1620" i="23"/>
  <c r="T1620" i="23"/>
  <c r="U1620" i="23"/>
  <c r="S1621" i="23"/>
  <c r="T1621" i="23"/>
  <c r="U1621" i="23"/>
  <c r="S1622" i="23"/>
  <c r="T1622" i="23"/>
  <c r="U1622" i="23"/>
  <c r="S1623" i="23"/>
  <c r="T1623" i="23"/>
  <c r="U1623" i="23"/>
  <c r="S1624" i="23"/>
  <c r="T1624" i="23"/>
  <c r="U1624" i="23"/>
  <c r="S1625" i="23"/>
  <c r="T1625" i="23"/>
  <c r="U1625" i="23"/>
  <c r="S1626" i="23"/>
  <c r="T1626" i="23"/>
  <c r="U1626" i="23"/>
  <c r="S1627" i="23"/>
  <c r="T1627" i="23"/>
  <c r="U1627" i="23"/>
  <c r="S1628" i="23"/>
  <c r="T1628" i="23"/>
  <c r="U1628" i="23"/>
  <c r="D9" i="77" s="1"/>
  <c r="S1629" i="23"/>
  <c r="T1629" i="23"/>
  <c r="U1629" i="23"/>
  <c r="S1630" i="23"/>
  <c r="T1630" i="23"/>
  <c r="U1630" i="23"/>
  <c r="S1631" i="23"/>
  <c r="T1631" i="23"/>
  <c r="U1631" i="23"/>
  <c r="S1632" i="23"/>
  <c r="T1632" i="23"/>
  <c r="U1632" i="23"/>
  <c r="S1633" i="23"/>
  <c r="T1633" i="23"/>
  <c r="U1633" i="23"/>
  <c r="S1634" i="23"/>
  <c r="T1634" i="23"/>
  <c r="U1634" i="23"/>
  <c r="S1635" i="23"/>
  <c r="T1635" i="23"/>
  <c r="U1635" i="23"/>
  <c r="S1636" i="23"/>
  <c r="T1636" i="23"/>
  <c r="U1636" i="23"/>
  <c r="S1637" i="23"/>
  <c r="T1637" i="23"/>
  <c r="U1637" i="23"/>
  <c r="S1638" i="23"/>
  <c r="T1638" i="23"/>
  <c r="U1638" i="23"/>
  <c r="S1639" i="23"/>
  <c r="T1639" i="23"/>
  <c r="U1639" i="23"/>
  <c r="S1640" i="23"/>
  <c r="T1640" i="23"/>
  <c r="U1640" i="23"/>
  <c r="S1641" i="23"/>
  <c r="T1641" i="23"/>
  <c r="U1641" i="23"/>
  <c r="S1642" i="23"/>
  <c r="T1642" i="23"/>
  <c r="U1642" i="23"/>
  <c r="S1643" i="23"/>
  <c r="T1643" i="23"/>
  <c r="U1643" i="23"/>
  <c r="S1644" i="23"/>
  <c r="T1644" i="23"/>
  <c r="U1644" i="23"/>
  <c r="S1645" i="23"/>
  <c r="T1645" i="23"/>
  <c r="U1645" i="23"/>
  <c r="S1646" i="23"/>
  <c r="T1646" i="23"/>
  <c r="U1646" i="23"/>
  <c r="S1647" i="23"/>
  <c r="T1647" i="23"/>
  <c r="U1647" i="23"/>
  <c r="S1648" i="23"/>
  <c r="T1648" i="23"/>
  <c r="U1648" i="23"/>
  <c r="S1649" i="23"/>
  <c r="T1649" i="23"/>
  <c r="U1649" i="23"/>
  <c r="S1650" i="23"/>
  <c r="T1650" i="23"/>
  <c r="U1650" i="23"/>
  <c r="S1651" i="23"/>
  <c r="T1651" i="23"/>
  <c r="U1651" i="23"/>
  <c r="S1652" i="23"/>
  <c r="T1652" i="23"/>
  <c r="U1652" i="23"/>
  <c r="S1653" i="23"/>
  <c r="T1653" i="23"/>
  <c r="U1653" i="23"/>
  <c r="X1653" i="23" s="1"/>
  <c r="S1654" i="23"/>
  <c r="T1654" i="23"/>
  <c r="U1654" i="23"/>
  <c r="S1655" i="23"/>
  <c r="T1655" i="23"/>
  <c r="U1655" i="23"/>
  <c r="S1656" i="23"/>
  <c r="T1656" i="23"/>
  <c r="U1656" i="23"/>
  <c r="S1657" i="23"/>
  <c r="T1657" i="23"/>
  <c r="U1657" i="23"/>
  <c r="X1657" i="23" s="1"/>
  <c r="S1658" i="23"/>
  <c r="T1658" i="23"/>
  <c r="U1658" i="23"/>
  <c r="S1659" i="23"/>
  <c r="T1659" i="23"/>
  <c r="U1659" i="23"/>
  <c r="S1660" i="23"/>
  <c r="T1660" i="23"/>
  <c r="U1660" i="23"/>
  <c r="S1661" i="23"/>
  <c r="T1661" i="23"/>
  <c r="U1661" i="23"/>
  <c r="X1661" i="23" s="1"/>
  <c r="S1662" i="23"/>
  <c r="T1662" i="23"/>
  <c r="U1662" i="23"/>
  <c r="S1663" i="23"/>
  <c r="T1663" i="23"/>
  <c r="U1663" i="23"/>
  <c r="S1664" i="23"/>
  <c r="T1664" i="23"/>
  <c r="U1664" i="23"/>
  <c r="S1665" i="23"/>
  <c r="T1665" i="23"/>
  <c r="U1665" i="23"/>
  <c r="X1665" i="23" s="1"/>
  <c r="S1666" i="23"/>
  <c r="T1666" i="23"/>
  <c r="U1666" i="23"/>
  <c r="S1667" i="23"/>
  <c r="T1667" i="23"/>
  <c r="U1667" i="23"/>
  <c r="S1668" i="23"/>
  <c r="T1668" i="23"/>
  <c r="U1668" i="23"/>
  <c r="S1669" i="23"/>
  <c r="T1669" i="23"/>
  <c r="U1669" i="23"/>
  <c r="S1670" i="23"/>
  <c r="T1670" i="23"/>
  <c r="U1670" i="23"/>
  <c r="X1670" i="23" s="1"/>
  <c r="S1671" i="23"/>
  <c r="T1671" i="23"/>
  <c r="U1671" i="23"/>
  <c r="S1672" i="23"/>
  <c r="T1672" i="23"/>
  <c r="U1672" i="23"/>
  <c r="S1673" i="23"/>
  <c r="T1673" i="23"/>
  <c r="U1673" i="23"/>
  <c r="S1674" i="23"/>
  <c r="T1674" i="23"/>
  <c r="U1674" i="23"/>
  <c r="X1674" i="23" s="1"/>
  <c r="S1675" i="23"/>
  <c r="T1675" i="23"/>
  <c r="U1675" i="23"/>
  <c r="S1676" i="23"/>
  <c r="T1676" i="23"/>
  <c r="U1676" i="23"/>
  <c r="S1677" i="23"/>
  <c r="T1677" i="23"/>
  <c r="U1677" i="23"/>
  <c r="S1678" i="23"/>
  <c r="T1678" i="23"/>
  <c r="U1678" i="23"/>
  <c r="X1678" i="23" s="1"/>
  <c r="S1679" i="23"/>
  <c r="T1679" i="23"/>
  <c r="U1679" i="23"/>
  <c r="S1680" i="23"/>
  <c r="T1680" i="23"/>
  <c r="U1680" i="23"/>
  <c r="S1681" i="23"/>
  <c r="T1681" i="23"/>
  <c r="U1681" i="23"/>
  <c r="S1682" i="23"/>
  <c r="T1682" i="23"/>
  <c r="U1682" i="23"/>
  <c r="X1682" i="23" s="1"/>
  <c r="S1683" i="23"/>
  <c r="T1683" i="23"/>
  <c r="U1683" i="23"/>
  <c r="S1684" i="23"/>
  <c r="T1684" i="23"/>
  <c r="U1684" i="23"/>
  <c r="S1685" i="23"/>
  <c r="T1685" i="23"/>
  <c r="U1685" i="23"/>
  <c r="S1686" i="23"/>
  <c r="T1686" i="23"/>
  <c r="U1686" i="23"/>
  <c r="X1686" i="23" s="1"/>
  <c r="S1687" i="23"/>
  <c r="T1687" i="23"/>
  <c r="U1687" i="23"/>
  <c r="S1688" i="23"/>
  <c r="T1688" i="23"/>
  <c r="U1688" i="23"/>
  <c r="S1689" i="23"/>
  <c r="T1689" i="23"/>
  <c r="U1689" i="23"/>
  <c r="S1690" i="23"/>
  <c r="T1690" i="23"/>
  <c r="U1690" i="23"/>
  <c r="S1691" i="23"/>
  <c r="T1691" i="23"/>
  <c r="U1691" i="23"/>
  <c r="X1691" i="23" s="1"/>
  <c r="S1692" i="23"/>
  <c r="T1692" i="23"/>
  <c r="U1692" i="23"/>
  <c r="S1693" i="23"/>
  <c r="T1693" i="23"/>
  <c r="U1693" i="23"/>
  <c r="S1694" i="23"/>
  <c r="T1694" i="23"/>
  <c r="U1694" i="23"/>
  <c r="S1695" i="23"/>
  <c r="T1695" i="23"/>
  <c r="U1695" i="23"/>
  <c r="X1695" i="23" s="1"/>
  <c r="S1696" i="23"/>
  <c r="T1696" i="23"/>
  <c r="U1696" i="23"/>
  <c r="S1697" i="23"/>
  <c r="T1697" i="23"/>
  <c r="U1697" i="23"/>
  <c r="S1698" i="23"/>
  <c r="T1698" i="23"/>
  <c r="U1698" i="23"/>
  <c r="S1699" i="23"/>
  <c r="T1699" i="23"/>
  <c r="U1699" i="23"/>
  <c r="X1699" i="23" s="1"/>
  <c r="S1700" i="23"/>
  <c r="T1700" i="23"/>
  <c r="U1700" i="23"/>
  <c r="S1701" i="23"/>
  <c r="T1701" i="23"/>
  <c r="U1701" i="23"/>
  <c r="S1702" i="23"/>
  <c r="X1702" i="23" s="1"/>
  <c r="T1702" i="23"/>
  <c r="U1702" i="23"/>
  <c r="S1703" i="23"/>
  <c r="X1703" i="23" s="1"/>
  <c r="T1703" i="23"/>
  <c r="U1703" i="23"/>
  <c r="S1704" i="23"/>
  <c r="X1704" i="23" s="1"/>
  <c r="T1704" i="23"/>
  <c r="U1704" i="23"/>
  <c r="S1705" i="23"/>
  <c r="T1705" i="23"/>
  <c r="U1705" i="23"/>
  <c r="S1706" i="23"/>
  <c r="T1706" i="23"/>
  <c r="U1706" i="23"/>
  <c r="S1707" i="23"/>
  <c r="T1707" i="23"/>
  <c r="U1707" i="23"/>
  <c r="X1707" i="23" s="1"/>
  <c r="S1708" i="23"/>
  <c r="T1708" i="23"/>
  <c r="U1708" i="23"/>
  <c r="S1709" i="23"/>
  <c r="X1709" i="23" s="1"/>
  <c r="T1709" i="23"/>
  <c r="U1709" i="23"/>
  <c r="S1710" i="23"/>
  <c r="T1710" i="23"/>
  <c r="U1710" i="23"/>
  <c r="S1711" i="23"/>
  <c r="T1711" i="23"/>
  <c r="U1711" i="23"/>
  <c r="S1712" i="23"/>
  <c r="T1712" i="23"/>
  <c r="U1712" i="23"/>
  <c r="X1712" i="23" s="1"/>
  <c r="S1713" i="23"/>
  <c r="T1713" i="23"/>
  <c r="U1713" i="23"/>
  <c r="U1714" i="23"/>
  <c r="X1714" i="23" s="1"/>
  <c r="S1715" i="23"/>
  <c r="T1715" i="23"/>
  <c r="U1715" i="23"/>
  <c r="S1716" i="23"/>
  <c r="T1716" i="23"/>
  <c r="U1716" i="23"/>
  <c r="S1717" i="23"/>
  <c r="T1717" i="23"/>
  <c r="U1717" i="23"/>
  <c r="S1718" i="23"/>
  <c r="T1718" i="23"/>
  <c r="U1718" i="23"/>
  <c r="X1718" i="23" s="1"/>
  <c r="S1719" i="23"/>
  <c r="T1719" i="23"/>
  <c r="U1719" i="23"/>
  <c r="I549" i="30"/>
  <c r="D549" i="30"/>
  <c r="I548" i="30"/>
  <c r="D548" i="30"/>
  <c r="I547" i="30"/>
  <c r="D547" i="30"/>
  <c r="I546" i="30"/>
  <c r="D546" i="30"/>
  <c r="I545" i="30"/>
  <c r="D545" i="30"/>
  <c r="I544" i="30"/>
  <c r="D544" i="30"/>
  <c r="I543" i="30"/>
  <c r="D543" i="30"/>
  <c r="I542" i="30"/>
  <c r="D542" i="30"/>
  <c r="I541" i="30"/>
  <c r="D541" i="30"/>
  <c r="I540" i="30"/>
  <c r="D540" i="30"/>
  <c r="I539" i="30"/>
  <c r="D539" i="30"/>
  <c r="I538" i="30"/>
  <c r="D538" i="30"/>
  <c r="I537" i="30"/>
  <c r="D537" i="30"/>
  <c r="I536" i="30"/>
  <c r="D536" i="30"/>
  <c r="I535" i="30"/>
  <c r="D535" i="30"/>
  <c r="I534" i="30"/>
  <c r="D534" i="30"/>
  <c r="I533" i="30"/>
  <c r="D533" i="30"/>
  <c r="I532" i="30"/>
  <c r="D532" i="30"/>
  <c r="I531" i="30"/>
  <c r="D531" i="30"/>
  <c r="I530" i="30"/>
  <c r="D530" i="30"/>
  <c r="I529" i="30"/>
  <c r="D529" i="30"/>
  <c r="I528" i="30"/>
  <c r="D528" i="30"/>
  <c r="I527" i="30"/>
  <c r="D527" i="30"/>
  <c r="I526" i="30"/>
  <c r="D526" i="30"/>
  <c r="I525" i="30"/>
  <c r="D525" i="30"/>
  <c r="I524" i="30"/>
  <c r="D524" i="30"/>
  <c r="I523" i="30"/>
  <c r="D523" i="30"/>
  <c r="I522" i="30"/>
  <c r="D522" i="30"/>
  <c r="I521" i="30"/>
  <c r="D521" i="30"/>
  <c r="I520" i="30"/>
  <c r="D520" i="30"/>
  <c r="I519" i="30"/>
  <c r="D519" i="30"/>
  <c r="I518" i="30"/>
  <c r="D518" i="30"/>
  <c r="I517" i="30"/>
  <c r="D517" i="30"/>
  <c r="I516" i="30"/>
  <c r="D516" i="30"/>
  <c r="I515" i="30"/>
  <c r="D515" i="30"/>
  <c r="I514" i="30"/>
  <c r="D514" i="30"/>
  <c r="I513" i="30"/>
  <c r="D513" i="30"/>
  <c r="I512" i="30"/>
  <c r="D512" i="30"/>
  <c r="I511" i="30"/>
  <c r="D511" i="30"/>
  <c r="I510" i="30"/>
  <c r="D510" i="30"/>
  <c r="I509" i="30"/>
  <c r="D509" i="30"/>
  <c r="I508" i="30"/>
  <c r="D508" i="30"/>
  <c r="I507" i="30"/>
  <c r="D507" i="30"/>
  <c r="I506" i="30"/>
  <c r="D506" i="30"/>
  <c r="I505" i="30"/>
  <c r="D505" i="30"/>
  <c r="I504" i="30"/>
  <c r="D504" i="30"/>
  <c r="I503" i="30"/>
  <c r="D503" i="30"/>
  <c r="I502" i="30"/>
  <c r="D502" i="30"/>
  <c r="I501" i="30"/>
  <c r="D501" i="30"/>
  <c r="I500" i="30"/>
  <c r="D500" i="30"/>
  <c r="I499" i="30"/>
  <c r="D499" i="30"/>
  <c r="I498" i="30"/>
  <c r="D498" i="30"/>
  <c r="I497" i="30"/>
  <c r="D497" i="30"/>
  <c r="I496" i="30"/>
  <c r="D496" i="30"/>
  <c r="I495" i="30"/>
  <c r="D495" i="30"/>
  <c r="I494" i="30"/>
  <c r="D494" i="30"/>
  <c r="I493" i="30"/>
  <c r="D493" i="30"/>
  <c r="I492" i="30"/>
  <c r="D492" i="30"/>
  <c r="I491" i="30"/>
  <c r="D491" i="30"/>
  <c r="I490" i="30"/>
  <c r="D490" i="30"/>
  <c r="I489" i="30"/>
  <c r="D489" i="30"/>
  <c r="I488" i="30"/>
  <c r="D488" i="30"/>
  <c r="I487" i="30"/>
  <c r="D487" i="30"/>
  <c r="I486" i="30"/>
  <c r="D486" i="30"/>
  <c r="I485" i="30"/>
  <c r="D485" i="30"/>
  <c r="I484" i="30"/>
  <c r="D484" i="30"/>
  <c r="I483" i="30"/>
  <c r="D483" i="30"/>
  <c r="I482" i="30"/>
  <c r="D482" i="30"/>
  <c r="I481" i="30"/>
  <c r="D481" i="30"/>
  <c r="I480" i="30"/>
  <c r="D480" i="30"/>
  <c r="I479" i="30"/>
  <c r="D479" i="30"/>
  <c r="I478" i="30"/>
  <c r="D478" i="30"/>
  <c r="I477" i="30"/>
  <c r="D477" i="30"/>
  <c r="I476" i="30"/>
  <c r="D476" i="30"/>
  <c r="I475" i="30"/>
  <c r="D475" i="30"/>
  <c r="I474" i="30"/>
  <c r="D474" i="30"/>
  <c r="I473" i="30"/>
  <c r="D473" i="30"/>
  <c r="I472" i="30"/>
  <c r="D472" i="30"/>
  <c r="I471" i="30"/>
  <c r="D471" i="30"/>
  <c r="I470" i="30"/>
  <c r="D470" i="30"/>
  <c r="I469" i="30"/>
  <c r="D469" i="30"/>
  <c r="I468" i="30"/>
  <c r="D468" i="30"/>
  <c r="I467" i="30"/>
  <c r="D467" i="30"/>
  <c r="I466" i="30"/>
  <c r="D466" i="30"/>
  <c r="I465" i="30"/>
  <c r="D465" i="30"/>
  <c r="I464" i="30"/>
  <c r="D464" i="30"/>
  <c r="I463" i="30"/>
  <c r="D463" i="30"/>
  <c r="I462" i="30"/>
  <c r="D462" i="30"/>
  <c r="I461" i="30"/>
  <c r="D461" i="30"/>
  <c r="I460" i="30"/>
  <c r="D460" i="30"/>
  <c r="I459" i="30"/>
  <c r="D459" i="30"/>
  <c r="I458" i="30"/>
  <c r="D458" i="30"/>
  <c r="I457" i="30"/>
  <c r="D457" i="30"/>
  <c r="I456" i="30"/>
  <c r="D456" i="30"/>
  <c r="I455" i="30"/>
  <c r="D455" i="30"/>
  <c r="I454" i="30"/>
  <c r="D454" i="30"/>
  <c r="I453" i="30"/>
  <c r="D453" i="30"/>
  <c r="I452" i="30"/>
  <c r="D452" i="30"/>
  <c r="I451" i="30"/>
  <c r="D451" i="30"/>
  <c r="I450" i="30"/>
  <c r="D450" i="30"/>
  <c r="I449" i="30"/>
  <c r="D449" i="30"/>
  <c r="I448" i="30"/>
  <c r="D448" i="30"/>
  <c r="I447" i="30"/>
  <c r="D447" i="30"/>
  <c r="I446" i="30"/>
  <c r="D446" i="30"/>
  <c r="I445" i="30"/>
  <c r="D445" i="30"/>
  <c r="I444" i="30"/>
  <c r="D444" i="30"/>
  <c r="I443" i="30"/>
  <c r="D443" i="30"/>
  <c r="I442" i="30"/>
  <c r="D442" i="30"/>
  <c r="I441" i="30"/>
  <c r="D441" i="30"/>
  <c r="I440" i="30"/>
  <c r="D440" i="30"/>
  <c r="I439" i="30"/>
  <c r="D439" i="30"/>
  <c r="W212" i="2"/>
  <c r="V212" i="2"/>
  <c r="U212" i="2"/>
  <c r="L212" i="2"/>
  <c r="E212" i="2"/>
  <c r="W211" i="2"/>
  <c r="V211" i="2"/>
  <c r="U211" i="2"/>
  <c r="L211" i="2"/>
  <c r="E211" i="2"/>
  <c r="W210" i="2"/>
  <c r="V210" i="2"/>
  <c r="U210" i="2"/>
  <c r="L210" i="2"/>
  <c r="E210" i="2"/>
  <c r="W209" i="2"/>
  <c r="V209" i="2"/>
  <c r="U209" i="2"/>
  <c r="L209" i="2"/>
  <c r="E209" i="2"/>
  <c r="W208" i="2"/>
  <c r="V208" i="2"/>
  <c r="U208" i="2"/>
  <c r="L208" i="2"/>
  <c r="E208" i="2"/>
  <c r="W202" i="2"/>
  <c r="V202" i="2"/>
  <c r="U202" i="2"/>
  <c r="L202" i="2"/>
  <c r="E202" i="2"/>
  <c r="W201" i="2"/>
  <c r="V201" i="2"/>
  <c r="U201" i="2"/>
  <c r="L201" i="2"/>
  <c r="E201" i="2"/>
  <c r="W200" i="2"/>
  <c r="V200" i="2"/>
  <c r="U200" i="2"/>
  <c r="L200" i="2"/>
  <c r="E200" i="2"/>
  <c r="W199" i="2"/>
  <c r="V199" i="2"/>
  <c r="U199" i="2"/>
  <c r="L199" i="2"/>
  <c r="E199" i="2"/>
  <c r="W198" i="2"/>
  <c r="V198" i="2"/>
  <c r="U198" i="2"/>
  <c r="L198" i="2"/>
  <c r="E198" i="2"/>
  <c r="W197" i="2"/>
  <c r="V197" i="2"/>
  <c r="U197" i="2"/>
  <c r="L197" i="2"/>
  <c r="E197" i="2"/>
  <c r="W196" i="2"/>
  <c r="V196" i="2"/>
  <c r="U196" i="2"/>
  <c r="L196" i="2"/>
  <c r="E196" i="2"/>
  <c r="W195" i="2"/>
  <c r="V195" i="2"/>
  <c r="U195" i="2"/>
  <c r="L195" i="2"/>
  <c r="E195" i="2"/>
  <c r="W194" i="2"/>
  <c r="V194" i="2"/>
  <c r="U194" i="2"/>
  <c r="L194" i="2"/>
  <c r="E194" i="2"/>
  <c r="W193" i="2"/>
  <c r="V193" i="2"/>
  <c r="U193" i="2"/>
  <c r="L193" i="2"/>
  <c r="E193" i="2"/>
  <c r="W192" i="2"/>
  <c r="V192" i="2"/>
  <c r="U192" i="2"/>
  <c r="L192" i="2"/>
  <c r="E192" i="2"/>
  <c r="W191" i="2"/>
  <c r="V191" i="2"/>
  <c r="U191" i="2"/>
  <c r="L191" i="2"/>
  <c r="E191" i="2"/>
  <c r="W190" i="2"/>
  <c r="V190" i="2"/>
  <c r="U190" i="2"/>
  <c r="L190" i="2"/>
  <c r="E190" i="2"/>
  <c r="W189" i="2"/>
  <c r="V189" i="2"/>
  <c r="U189" i="2"/>
  <c r="L189" i="2"/>
  <c r="E189" i="2"/>
  <c r="W188" i="2"/>
  <c r="V188" i="2"/>
  <c r="U188" i="2"/>
  <c r="L188" i="2"/>
  <c r="E188" i="2"/>
  <c r="W187" i="2"/>
  <c r="V187" i="2"/>
  <c r="U187" i="2"/>
  <c r="L187" i="2"/>
  <c r="E187" i="2"/>
  <c r="W186" i="2"/>
  <c r="V186" i="2"/>
  <c r="U186" i="2"/>
  <c r="L186" i="2"/>
  <c r="E186" i="2"/>
  <c r="W185" i="2"/>
  <c r="V185" i="2"/>
  <c r="U185" i="2"/>
  <c r="L185" i="2"/>
  <c r="E185" i="2"/>
  <c r="W184" i="2"/>
  <c r="V184" i="2"/>
  <c r="U184" i="2"/>
  <c r="L184" i="2"/>
  <c r="E184" i="2"/>
  <c r="W183" i="2"/>
  <c r="V183" i="2"/>
  <c r="U183" i="2"/>
  <c r="L183" i="2"/>
  <c r="E183" i="2"/>
  <c r="W182" i="2"/>
  <c r="V182" i="2"/>
  <c r="U182" i="2"/>
  <c r="L182" i="2"/>
  <c r="E182" i="2"/>
  <c r="W181" i="2"/>
  <c r="V181" i="2"/>
  <c r="U181" i="2"/>
  <c r="L181" i="2"/>
  <c r="E181" i="2"/>
  <c r="W180" i="2"/>
  <c r="V180" i="2"/>
  <c r="U180" i="2"/>
  <c r="L180" i="2"/>
  <c r="E180" i="2"/>
  <c r="W179" i="2"/>
  <c r="V179" i="2"/>
  <c r="U179" i="2"/>
  <c r="E179" i="2"/>
  <c r="W178" i="2"/>
  <c r="V178" i="2"/>
  <c r="U178" i="2"/>
  <c r="L178" i="2"/>
  <c r="E178" i="2"/>
  <c r="W177" i="2"/>
  <c r="V177" i="2"/>
  <c r="U177" i="2"/>
  <c r="L177" i="2"/>
  <c r="E177" i="2"/>
  <c r="W176" i="2"/>
  <c r="V176" i="2"/>
  <c r="U176" i="2"/>
  <c r="L176" i="2"/>
  <c r="E176" i="2"/>
  <c r="W175" i="2"/>
  <c r="V175" i="2"/>
  <c r="U175" i="2"/>
  <c r="L175" i="2"/>
  <c r="E175" i="2"/>
  <c r="W174" i="2"/>
  <c r="V174" i="2"/>
  <c r="U174" i="2"/>
  <c r="L174" i="2"/>
  <c r="E174" i="2"/>
  <c r="E9" i="77" l="1"/>
  <c r="O9" i="77"/>
  <c r="E8" i="77"/>
  <c r="O8" i="77"/>
  <c r="E7" i="77"/>
  <c r="O7" i="77"/>
  <c r="E6" i="77"/>
  <c r="X770" i="23"/>
  <c r="D15" i="77"/>
  <c r="X627" i="23"/>
  <c r="D14" i="77"/>
  <c r="X1632" i="23"/>
  <c r="X1716" i="23"/>
  <c r="X1710" i="23"/>
  <c r="X1705" i="23"/>
  <c r="X1697" i="23"/>
  <c r="X1693" i="23"/>
  <c r="X1689" i="23"/>
  <c r="X1684" i="23"/>
  <c r="X1680" i="23"/>
  <c r="X1676" i="23"/>
  <c r="X1672" i="23"/>
  <c r="X1667" i="23"/>
  <c r="X1663" i="23"/>
  <c r="X1659" i="23"/>
  <c r="X1655" i="23"/>
  <c r="X1651" i="23"/>
  <c r="X1631" i="23"/>
  <c r="X1612" i="23"/>
  <c r="X1538" i="23"/>
  <c r="X1522" i="23"/>
  <c r="X1506" i="23"/>
  <c r="X1484" i="23"/>
  <c r="X1468" i="23"/>
  <c r="X1628" i="23"/>
  <c r="X1594" i="23"/>
  <c r="X1585" i="23"/>
  <c r="X1576" i="23"/>
  <c r="X1568" i="23"/>
  <c r="X1440" i="23"/>
  <c r="X1424" i="23"/>
  <c r="X1636" i="23"/>
  <c r="X1397" i="23"/>
  <c r="X1717" i="23"/>
  <c r="X1708" i="23"/>
  <c r="X1696" i="23"/>
  <c r="X1688" i="23"/>
  <c r="X1679" i="23"/>
  <c r="X1671" i="23"/>
  <c r="X1668" i="23"/>
  <c r="X1664" i="23"/>
  <c r="X1656" i="23"/>
  <c r="X1559" i="23"/>
  <c r="X1541" i="23"/>
  <c r="X1525" i="23"/>
  <c r="X1509" i="23"/>
  <c r="X1487" i="23"/>
  <c r="X1471" i="23"/>
  <c r="X1452" i="23"/>
  <c r="X1368" i="23"/>
  <c r="X1352" i="23"/>
  <c r="X1336" i="23"/>
  <c r="X1319" i="23"/>
  <c r="X1300" i="23"/>
  <c r="X1284" i="23"/>
  <c r="X1267" i="23"/>
  <c r="X1251" i="23"/>
  <c r="X1235" i="23"/>
  <c r="X1219" i="23"/>
  <c r="X1649" i="23"/>
  <c r="X1648" i="23"/>
  <c r="X1646" i="23"/>
  <c r="X1644" i="23"/>
  <c r="X1642" i="23"/>
  <c r="X1640" i="23"/>
  <c r="X1639" i="23"/>
  <c r="X1637" i="23"/>
  <c r="X1635" i="23"/>
  <c r="X1633" i="23"/>
  <c r="X1629" i="23"/>
  <c r="X1627" i="23"/>
  <c r="X1625" i="23"/>
  <c r="X1622" i="23"/>
  <c r="X1620" i="23"/>
  <c r="X1618" i="23"/>
  <c r="X1614" i="23"/>
  <c r="X1610" i="23"/>
  <c r="X1608" i="23"/>
  <c r="X1607" i="23"/>
  <c r="X1605" i="23"/>
  <c r="X1603" i="23"/>
  <c r="X1602" i="23"/>
  <c r="X1600" i="23"/>
  <c r="X1598" i="23"/>
  <c r="X1597" i="23"/>
  <c r="X1595" i="23"/>
  <c r="X1593" i="23"/>
  <c r="X1591" i="23"/>
  <c r="X1589" i="23"/>
  <c r="X1587" i="23"/>
  <c r="X1584" i="23"/>
  <c r="X1582" i="23"/>
  <c r="X1579" i="23"/>
  <c r="X1577" i="23"/>
  <c r="X1575" i="23"/>
  <c r="X1573" i="23"/>
  <c r="X1571" i="23"/>
  <c r="X1569" i="23"/>
  <c r="X1567" i="23"/>
  <c r="X1565" i="23"/>
  <c r="X1563" i="23"/>
  <c r="X1561" i="23"/>
  <c r="X1557" i="23"/>
  <c r="X1555" i="23"/>
  <c r="X1553" i="23"/>
  <c r="X1550" i="23"/>
  <c r="X1548" i="23"/>
  <c r="X1545" i="23"/>
  <c r="X1543" i="23"/>
  <c r="X1539" i="23"/>
  <c r="X1537" i="23"/>
  <c r="X1535" i="23"/>
  <c r="X1533" i="23"/>
  <c r="X1531" i="23"/>
  <c r="X1529" i="23"/>
  <c r="X1527" i="23"/>
  <c r="X1523" i="23"/>
  <c r="X1521" i="23"/>
  <c r="X1519" i="23"/>
  <c r="X1517" i="23"/>
  <c r="X1515" i="23"/>
  <c r="X1513" i="23"/>
  <c r="X1511" i="23"/>
  <c r="X1507" i="23"/>
  <c r="X1505" i="23"/>
  <c r="X1503" i="23"/>
  <c r="X1500" i="23"/>
  <c r="X1498" i="23"/>
  <c r="X1492" i="23"/>
  <c r="X1490" i="23"/>
  <c r="X1485" i="23"/>
  <c r="X1483" i="23"/>
  <c r="X1481" i="23"/>
  <c r="X1479" i="23"/>
  <c r="X1477" i="23"/>
  <c r="X1475" i="23"/>
  <c r="X1473" i="23"/>
  <c r="X1469" i="23"/>
  <c r="X1467" i="23"/>
  <c r="X1465" i="23"/>
  <c r="X1463" i="23"/>
  <c r="X1459" i="23"/>
  <c r="X1457" i="23"/>
  <c r="X1456" i="23"/>
  <c r="X1454" i="23"/>
  <c r="X1451" i="23"/>
  <c r="X1449" i="23"/>
  <c r="X1447" i="23"/>
  <c r="X1445" i="23"/>
  <c r="X1443" i="23"/>
  <c r="X1441" i="23"/>
  <c r="X1439" i="23"/>
  <c r="X1437" i="23"/>
  <c r="X1435" i="23"/>
  <c r="X1433" i="23"/>
  <c r="X1431" i="23"/>
  <c r="X1429" i="23"/>
  <c r="X1427" i="23"/>
  <c r="X1425" i="23"/>
  <c r="X1423" i="23"/>
  <c r="X1421" i="23"/>
  <c r="X1419" i="23"/>
  <c r="X1417" i="23"/>
  <c r="X1413" i="23"/>
  <c r="X1410" i="23"/>
  <c r="X1408" i="23"/>
  <c r="X1406" i="23"/>
  <c r="X1404" i="23"/>
  <c r="X1402" i="23"/>
  <c r="X1400" i="23"/>
  <c r="X1398" i="23"/>
  <c r="X1396" i="23"/>
  <c r="X1394" i="23"/>
  <c r="X1392" i="23"/>
  <c r="X1390" i="23"/>
  <c r="X1388" i="23"/>
  <c r="X1386" i="23"/>
  <c r="X1384" i="23"/>
  <c r="X1382" i="23"/>
  <c r="X1380" i="23"/>
  <c r="X1378" i="23"/>
  <c r="X1376" i="23"/>
  <c r="X1197" i="23"/>
  <c r="X1181" i="23"/>
  <c r="X1165" i="23"/>
  <c r="X1147" i="23"/>
  <c r="X1719" i="23"/>
  <c r="X1715" i="23"/>
  <c r="X1713" i="23"/>
  <c r="X1711" i="23"/>
  <c r="X1706" i="23"/>
  <c r="X1701" i="23"/>
  <c r="X1700" i="23"/>
  <c r="X1698" i="23"/>
  <c r="X1694" i="23"/>
  <c r="X1692" i="23"/>
  <c r="X1690" i="23"/>
  <c r="X1687" i="23"/>
  <c r="X1685" i="23"/>
  <c r="X1683" i="23"/>
  <c r="X1681" i="23"/>
  <c r="X1677" i="23"/>
  <c r="X1675" i="23"/>
  <c r="X1673" i="23"/>
  <c r="X1669" i="23"/>
  <c r="X1666" i="23"/>
  <c r="X1662" i="23"/>
  <c r="X1660" i="23"/>
  <c r="X1658" i="23"/>
  <c r="X1654" i="23"/>
  <c r="X1652" i="23"/>
  <c r="X1650" i="23"/>
  <c r="X1647" i="23"/>
  <c r="X1645" i="23"/>
  <c r="X1643" i="23"/>
  <c r="X1641" i="23"/>
  <c r="X1638" i="23"/>
  <c r="X1634" i="23"/>
  <c r="X1630" i="23"/>
  <c r="X1626" i="23"/>
  <c r="X1624" i="23"/>
  <c r="X1623" i="23"/>
  <c r="X1621" i="23"/>
  <c r="X1619" i="23"/>
  <c r="X1615" i="23"/>
  <c r="X1613" i="23"/>
  <c r="X1609" i="23"/>
  <c r="X1606" i="23"/>
  <c r="X1604" i="23"/>
  <c r="X1601" i="23"/>
  <c r="X1599" i="23"/>
  <c r="X1596" i="23"/>
  <c r="X1592" i="23"/>
  <c r="X1590" i="23"/>
  <c r="X1588" i="23"/>
  <c r="X1583" i="23"/>
  <c r="X1580" i="23"/>
  <c r="X1578" i="23"/>
  <c r="X1574" i="23"/>
  <c r="X1572" i="23"/>
  <c r="X1570" i="23"/>
  <c r="X1566" i="23"/>
  <c r="X1564" i="23"/>
  <c r="X1562" i="23"/>
  <c r="X1560" i="23"/>
  <c r="X1558" i="23"/>
  <c r="X1556" i="23"/>
  <c r="X1554" i="23"/>
  <c r="X1552" i="23"/>
  <c r="X1551" i="23"/>
  <c r="X1549" i="23"/>
  <c r="X1547" i="23"/>
  <c r="X1546" i="23"/>
  <c r="X1544" i="23"/>
  <c r="X1542" i="23"/>
  <c r="X1540" i="23"/>
  <c r="X1536" i="23"/>
  <c r="X1534" i="23"/>
  <c r="X1532" i="23"/>
  <c r="X1530" i="23"/>
  <c r="X1528" i="23"/>
  <c r="X1526" i="23"/>
  <c r="X1524" i="23"/>
  <c r="X1520" i="23"/>
  <c r="X1518" i="23"/>
  <c r="X1516" i="23"/>
  <c r="X1514" i="23"/>
  <c r="X1512" i="23"/>
  <c r="X1510" i="23"/>
  <c r="X1508" i="23"/>
  <c r="X1504" i="23"/>
  <c r="X1501" i="23"/>
  <c r="X1499" i="23"/>
  <c r="X1493" i="23"/>
  <c r="X1491" i="23"/>
  <c r="X1488" i="23"/>
  <c r="X1486" i="23"/>
  <c r="X1482" i="23"/>
  <c r="X1480" i="23"/>
  <c r="X1478" i="23"/>
  <c r="X1476" i="23"/>
  <c r="X1474" i="23"/>
  <c r="X1472" i="23"/>
  <c r="X1470" i="23"/>
  <c r="X1466" i="23"/>
  <c r="X1464" i="23"/>
  <c r="X1462" i="23"/>
  <c r="X1458" i="23"/>
  <c r="X1455" i="23"/>
  <c r="X1453" i="23"/>
  <c r="X1450" i="23"/>
  <c r="X1448" i="23"/>
  <c r="X1446" i="23"/>
  <c r="X1444" i="23"/>
  <c r="X1442" i="23"/>
  <c r="X1438" i="23"/>
  <c r="X1436" i="23"/>
  <c r="X1434" i="23"/>
  <c r="X1432" i="23"/>
  <c r="X1430" i="23"/>
  <c r="X1428" i="23"/>
  <c r="X1426" i="23"/>
  <c r="X1422" i="23"/>
  <c r="X1420" i="23"/>
  <c r="X1418" i="23"/>
  <c r="X1414" i="23"/>
  <c r="X1412" i="23"/>
  <c r="X1409" i="23"/>
  <c r="X1407" i="23"/>
  <c r="X1405" i="23"/>
  <c r="X1403" i="23"/>
  <c r="X1401" i="23"/>
  <c r="X1399" i="23"/>
  <c r="X1395" i="23"/>
  <c r="X1393" i="23"/>
  <c r="X1391" i="23"/>
  <c r="X1389" i="23"/>
  <c r="X1387" i="23"/>
  <c r="X1385" i="23"/>
  <c r="X1383" i="23"/>
  <c r="X1381" i="23"/>
  <c r="X1371" i="23"/>
  <c r="X1367" i="23"/>
  <c r="X1363" i="23"/>
  <c r="X1359" i="23"/>
  <c r="X1355" i="23"/>
  <c r="X1351" i="23"/>
  <c r="X1347" i="23"/>
  <c r="X1343" i="23"/>
  <c r="X1339" i="23"/>
  <c r="X1335" i="23"/>
  <c r="X1331" i="23"/>
  <c r="X1326" i="23"/>
  <c r="X1322" i="23"/>
  <c r="X1214" i="23"/>
  <c r="X1318" i="23"/>
  <c r="X1313" i="23"/>
  <c r="X1309" i="23"/>
  <c r="X1303" i="23"/>
  <c r="X1299" i="23"/>
  <c r="X1295" i="23"/>
  <c r="X1291" i="23"/>
  <c r="X1287" i="23"/>
  <c r="X1283" i="23"/>
  <c r="X1279" i="23"/>
  <c r="X1275" i="23"/>
  <c r="X1270" i="23"/>
  <c r="X1266" i="23"/>
  <c r="X1262" i="23"/>
  <c r="X1258" i="23"/>
  <c r="X1254" i="23"/>
  <c r="X1250" i="23"/>
  <c r="X1246" i="23"/>
  <c r="X1242" i="23"/>
  <c r="X1238" i="23"/>
  <c r="X1234" i="23"/>
  <c r="X1226" i="23"/>
  <c r="X1217" i="23"/>
  <c r="X1208" i="23"/>
  <c r="X1200" i="23"/>
  <c r="X1192" i="23"/>
  <c r="X1184" i="23"/>
  <c r="X1176" i="23"/>
  <c r="X1168" i="23"/>
  <c r="X1160" i="23"/>
  <c r="X1150" i="23"/>
  <c r="X1142" i="23"/>
  <c r="X744" i="23"/>
  <c r="X1230" i="23"/>
  <c r="X1222" i="23"/>
  <c r="X1212" i="23"/>
  <c r="X1204" i="23"/>
  <c r="X1196" i="23"/>
  <c r="X1188" i="23"/>
  <c r="X1180" i="23"/>
  <c r="X1172" i="23"/>
  <c r="X1164" i="23"/>
  <c r="X1156" i="23"/>
  <c r="X1146" i="23"/>
  <c r="X1379" i="23"/>
  <c r="X1377" i="23"/>
  <c r="X1374" i="23"/>
  <c r="X1372" i="23"/>
  <c r="X1370" i="23"/>
  <c r="X1366" i="23"/>
  <c r="X1364" i="23"/>
  <c r="X1362" i="23"/>
  <c r="X1360" i="23"/>
  <c r="X1358" i="23"/>
  <c r="X1356" i="23"/>
  <c r="X1354" i="23"/>
  <c r="X1350" i="23"/>
  <c r="X1348" i="23"/>
  <c r="X1346" i="23"/>
  <c r="X1344" i="23"/>
  <c r="X1342" i="23"/>
  <c r="X1340" i="23"/>
  <c r="X1338" i="23"/>
  <c r="X1334" i="23"/>
  <c r="X1332" i="23"/>
  <c r="X1330" i="23"/>
  <c r="X1327" i="23"/>
  <c r="X1325" i="23"/>
  <c r="X1323" i="23"/>
  <c r="X1321" i="23"/>
  <c r="X1317" i="23"/>
  <c r="X1314" i="23"/>
  <c r="X1312" i="23"/>
  <c r="X1310" i="23"/>
  <c r="X1308" i="23"/>
  <c r="X1304" i="23"/>
  <c r="X1302" i="23"/>
  <c r="X1298" i="23"/>
  <c r="X1296" i="23"/>
  <c r="X1294" i="23"/>
  <c r="X1292" i="23"/>
  <c r="X1290" i="23"/>
  <c r="X1288" i="23"/>
  <c r="X1286" i="23"/>
  <c r="X1282" i="23"/>
  <c r="X1280" i="23"/>
  <c r="X1278" i="23"/>
  <c r="X1276" i="23"/>
  <c r="X1274" i="23"/>
  <c r="X1271" i="23"/>
  <c r="X1269" i="23"/>
  <c r="X1265" i="23"/>
  <c r="X1263" i="23"/>
  <c r="X1261" i="23"/>
  <c r="X1259" i="23"/>
  <c r="X1257" i="23"/>
  <c r="X1255" i="23"/>
  <c r="X1253" i="23"/>
  <c r="X1249" i="23"/>
  <c r="X1247" i="23"/>
  <c r="X1245" i="23"/>
  <c r="X1243" i="23"/>
  <c r="X1241" i="23"/>
  <c r="X1239" i="23"/>
  <c r="X1237" i="23"/>
  <c r="X1233" i="23"/>
  <c r="X1231" i="23"/>
  <c r="X1229" i="23"/>
  <c r="X1227" i="23"/>
  <c r="X1225" i="23"/>
  <c r="X1223" i="23"/>
  <c r="X1221" i="23"/>
  <c r="X1218" i="23"/>
  <c r="X1216" i="23"/>
  <c r="X1213" i="23"/>
  <c r="X1211" i="23"/>
  <c r="X1209" i="23"/>
  <c r="X1207" i="23"/>
  <c r="X1205" i="23"/>
  <c r="X1203" i="23"/>
  <c r="X1201" i="23"/>
  <c r="X1199" i="23"/>
  <c r="X1195" i="23"/>
  <c r="X1193" i="23"/>
  <c r="X1191" i="23"/>
  <c r="X1189" i="23"/>
  <c r="X1187" i="23"/>
  <c r="X1185" i="23"/>
  <c r="X1183" i="23"/>
  <c r="X1179" i="23"/>
  <c r="X1177" i="23"/>
  <c r="X1175" i="23"/>
  <c r="X1173" i="23"/>
  <c r="X1171" i="23"/>
  <c r="X1169" i="23"/>
  <c r="X1167" i="23"/>
  <c r="X1163" i="23"/>
  <c r="X1161" i="23"/>
  <c r="X1159" i="23"/>
  <c r="X1157" i="23"/>
  <c r="X1155" i="23"/>
  <c r="X1153" i="23"/>
  <c r="X1149" i="23"/>
  <c r="X1145" i="23"/>
  <c r="X1143" i="23"/>
  <c r="X1141" i="23"/>
  <c r="U39" i="28"/>
  <c r="U38" i="28"/>
  <c r="U37" i="28"/>
  <c r="U36" i="28"/>
  <c r="U35" i="28"/>
  <c r="U34" i="28"/>
  <c r="U33" i="28"/>
  <c r="U32" i="28"/>
  <c r="U31" i="28"/>
  <c r="U30" i="28"/>
  <c r="U29" i="28"/>
  <c r="U28" i="28"/>
  <c r="U27" i="28"/>
  <c r="U26" i="28"/>
  <c r="U25" i="28"/>
  <c r="U24" i="28"/>
  <c r="U23" i="28"/>
  <c r="U22" i="28"/>
  <c r="U21" i="28"/>
  <c r="U20" i="28"/>
  <c r="U19" i="28"/>
  <c r="U18" i="28"/>
  <c r="U17" i="28"/>
  <c r="T39" i="28"/>
  <c r="T38" i="28"/>
  <c r="T37" i="28"/>
  <c r="T36" i="28"/>
  <c r="T35" i="28"/>
  <c r="T34" i="28"/>
  <c r="T33" i="28"/>
  <c r="T32" i="28"/>
  <c r="T31" i="28"/>
  <c r="T30" i="28"/>
  <c r="T29" i="28"/>
  <c r="T28" i="28"/>
  <c r="T27" i="28"/>
  <c r="T26" i="28"/>
  <c r="T25" i="28"/>
  <c r="T24" i="28"/>
  <c r="T23" i="28"/>
  <c r="T22" i="28"/>
  <c r="T21" i="28"/>
  <c r="T20" i="28"/>
  <c r="T19" i="28"/>
  <c r="T18" i="28"/>
  <c r="T17" i="28"/>
  <c r="I438" i="30"/>
  <c r="D438" i="30"/>
  <c r="I437" i="30"/>
  <c r="D437" i="30"/>
  <c r="I436" i="30"/>
  <c r="D436" i="30"/>
  <c r="I435" i="30"/>
  <c r="D435" i="30"/>
  <c r="I434" i="30"/>
  <c r="D434" i="30"/>
  <c r="I433" i="30"/>
  <c r="D433" i="30"/>
  <c r="I432" i="30"/>
  <c r="D432" i="30"/>
  <c r="I431" i="30"/>
  <c r="D431" i="30"/>
  <c r="I430" i="30"/>
  <c r="D430" i="30"/>
  <c r="I429" i="30"/>
  <c r="D429" i="30"/>
  <c r="I428" i="30"/>
  <c r="D428" i="30"/>
  <c r="I427" i="30"/>
  <c r="D427" i="30"/>
  <c r="I426" i="30"/>
  <c r="D426" i="30"/>
  <c r="I425" i="30"/>
  <c r="D425" i="30"/>
  <c r="I424" i="30"/>
  <c r="D424" i="30"/>
  <c r="I423" i="30"/>
  <c r="D423" i="30"/>
  <c r="I422" i="30"/>
  <c r="D422" i="30"/>
  <c r="I421" i="30"/>
  <c r="D421" i="30"/>
  <c r="I420" i="30"/>
  <c r="D420" i="30"/>
  <c r="I419" i="30"/>
  <c r="D419" i="30"/>
  <c r="I418" i="30"/>
  <c r="D418" i="30"/>
  <c r="I417" i="30"/>
  <c r="D417" i="30"/>
  <c r="I416" i="30"/>
  <c r="D416" i="30"/>
  <c r="I415" i="30"/>
  <c r="D415" i="30"/>
  <c r="I414" i="30"/>
  <c r="D414" i="30"/>
  <c r="I413" i="30"/>
  <c r="D413" i="30"/>
  <c r="I412" i="30"/>
  <c r="D412" i="30"/>
  <c r="I411" i="30"/>
  <c r="D411" i="30"/>
  <c r="I410" i="30"/>
  <c r="D410" i="30"/>
  <c r="I409" i="30"/>
  <c r="D409" i="30"/>
  <c r="I408" i="30"/>
  <c r="D408" i="30"/>
  <c r="I407" i="30"/>
  <c r="D407" i="30"/>
  <c r="I406" i="30"/>
  <c r="D406" i="30"/>
  <c r="I405" i="30"/>
  <c r="D405" i="30"/>
  <c r="I404" i="30"/>
  <c r="D404" i="30"/>
  <c r="I403" i="30"/>
  <c r="D403" i="30"/>
  <c r="I402" i="30"/>
  <c r="D402" i="30"/>
  <c r="I401" i="30"/>
  <c r="D401" i="30"/>
  <c r="I400" i="30"/>
  <c r="D400" i="30"/>
  <c r="I399" i="30"/>
  <c r="D399" i="30"/>
  <c r="I398" i="30"/>
  <c r="D398" i="30"/>
  <c r="I397" i="30"/>
  <c r="D397" i="30"/>
  <c r="I396" i="30"/>
  <c r="D396" i="30"/>
  <c r="I395" i="30"/>
  <c r="D395" i="30"/>
  <c r="I394" i="30"/>
  <c r="D394" i="30"/>
  <c r="I393" i="30"/>
  <c r="D393" i="30"/>
  <c r="I392" i="30"/>
  <c r="D392" i="30"/>
  <c r="I391" i="30"/>
  <c r="D391" i="30"/>
  <c r="I390" i="30"/>
  <c r="D390" i="30"/>
  <c r="I389" i="30"/>
  <c r="D389" i="30"/>
  <c r="I388" i="30"/>
  <c r="D388" i="30"/>
  <c r="I387" i="30"/>
  <c r="D387" i="30"/>
  <c r="I386" i="30"/>
  <c r="D386" i="30"/>
  <c r="I385" i="30"/>
  <c r="D385" i="30"/>
  <c r="I384" i="30"/>
  <c r="D384" i="30"/>
  <c r="I383" i="30"/>
  <c r="D383" i="30"/>
  <c r="I382" i="30"/>
  <c r="D382" i="30"/>
  <c r="I381" i="30"/>
  <c r="D381" i="30"/>
  <c r="I380" i="30"/>
  <c r="D380" i="30"/>
  <c r="I379" i="30"/>
  <c r="D379" i="30"/>
  <c r="I378" i="30"/>
  <c r="D378" i="30"/>
  <c r="I377" i="30"/>
  <c r="D377" i="30"/>
  <c r="I376" i="30"/>
  <c r="D376" i="30"/>
  <c r="I375" i="30"/>
  <c r="D375" i="30"/>
  <c r="I374" i="30"/>
  <c r="D374" i="30"/>
  <c r="I373" i="30"/>
  <c r="D373" i="30"/>
  <c r="I372" i="30"/>
  <c r="D372" i="30"/>
  <c r="I371" i="30"/>
  <c r="D371" i="30"/>
  <c r="I370" i="30"/>
  <c r="D370" i="30"/>
  <c r="I369" i="30"/>
  <c r="D369" i="30"/>
  <c r="I368" i="30"/>
  <c r="D368" i="30"/>
  <c r="I367" i="30"/>
  <c r="D367" i="30"/>
  <c r="I366" i="30"/>
  <c r="D366" i="30"/>
  <c r="I365" i="30"/>
  <c r="D365" i="30"/>
  <c r="I364" i="30"/>
  <c r="D364" i="30"/>
  <c r="I363" i="30"/>
  <c r="D363" i="30"/>
  <c r="I362" i="30"/>
  <c r="D362" i="30"/>
  <c r="I361" i="30"/>
  <c r="D361" i="30"/>
  <c r="I360" i="30"/>
  <c r="D360" i="30"/>
  <c r="I359" i="30"/>
  <c r="D359" i="30"/>
  <c r="I358" i="30"/>
  <c r="D358" i="30"/>
  <c r="I357" i="30"/>
  <c r="D357" i="30"/>
  <c r="I356" i="30"/>
  <c r="D356" i="30"/>
  <c r="I355" i="30"/>
  <c r="D355" i="30"/>
  <c r="I354" i="30"/>
  <c r="D354" i="30"/>
  <c r="I353" i="30"/>
  <c r="D353" i="30"/>
  <c r="I352" i="30"/>
  <c r="D352" i="30"/>
  <c r="I351" i="30"/>
  <c r="D351" i="30"/>
  <c r="I350" i="30"/>
  <c r="D350" i="30"/>
  <c r="I349" i="30"/>
  <c r="D349" i="30"/>
  <c r="I348" i="30"/>
  <c r="D348" i="30"/>
  <c r="I347" i="30"/>
  <c r="D347" i="30"/>
  <c r="I346" i="30"/>
  <c r="D346" i="30"/>
  <c r="I345" i="30"/>
  <c r="D345" i="30"/>
  <c r="I344" i="30"/>
  <c r="D344" i="30"/>
  <c r="I343" i="30"/>
  <c r="D343" i="30"/>
  <c r="I342" i="30"/>
  <c r="D342" i="30"/>
  <c r="I341" i="30"/>
  <c r="D341" i="30"/>
  <c r="I340" i="30"/>
  <c r="D340" i="30"/>
  <c r="I339" i="30"/>
  <c r="D339" i="30"/>
  <c r="I338" i="30"/>
  <c r="D338" i="30"/>
  <c r="I337" i="30"/>
  <c r="D337" i="30"/>
  <c r="I336" i="30"/>
  <c r="D336" i="30"/>
  <c r="I335" i="30"/>
  <c r="D335" i="30"/>
  <c r="I334" i="30"/>
  <c r="D334" i="30"/>
  <c r="I333" i="30"/>
  <c r="D333" i="30"/>
  <c r="I332" i="30"/>
  <c r="D332" i="30"/>
  <c r="I331" i="30"/>
  <c r="D331" i="30"/>
  <c r="I330" i="30"/>
  <c r="D330" i="30"/>
  <c r="I329" i="30"/>
  <c r="D329" i="30"/>
  <c r="I328" i="30"/>
  <c r="D328" i="30"/>
  <c r="W139" i="2"/>
  <c r="V139" i="2"/>
  <c r="U139" i="2"/>
  <c r="L139" i="2"/>
  <c r="E139" i="2"/>
  <c r="W138" i="2"/>
  <c r="V138" i="2"/>
  <c r="U138" i="2"/>
  <c r="L138" i="2"/>
  <c r="E138" i="2"/>
  <c r="W137" i="2"/>
  <c r="V137" i="2"/>
  <c r="U137" i="2"/>
  <c r="L137" i="2"/>
  <c r="E137" i="2"/>
  <c r="W136" i="2"/>
  <c r="V136" i="2"/>
  <c r="U136" i="2"/>
  <c r="L136" i="2"/>
  <c r="E136" i="2"/>
  <c r="W135" i="2"/>
  <c r="V135" i="2"/>
  <c r="U135" i="2"/>
  <c r="L135" i="2"/>
  <c r="E135" i="2"/>
  <c r="W134" i="2"/>
  <c r="V134" i="2"/>
  <c r="U134" i="2"/>
  <c r="L134" i="2"/>
  <c r="E134" i="2"/>
  <c r="W133" i="2"/>
  <c r="V133" i="2"/>
  <c r="U133" i="2"/>
  <c r="L133" i="2"/>
  <c r="E133" i="2"/>
  <c r="W132" i="2"/>
  <c r="V132" i="2"/>
  <c r="U132" i="2"/>
  <c r="L132" i="2"/>
  <c r="E132" i="2"/>
  <c r="W131" i="2"/>
  <c r="V131" i="2"/>
  <c r="U131" i="2"/>
  <c r="L131" i="2"/>
  <c r="E131" i="2"/>
  <c r="W130" i="2"/>
  <c r="V130" i="2"/>
  <c r="U130" i="2"/>
  <c r="L130" i="2"/>
  <c r="E130" i="2"/>
  <c r="W129" i="2"/>
  <c r="V129" i="2"/>
  <c r="U129" i="2"/>
  <c r="L129" i="2"/>
  <c r="E129" i="2"/>
  <c r="W128" i="2"/>
  <c r="V128" i="2"/>
  <c r="U128" i="2"/>
  <c r="L128" i="2"/>
  <c r="E128" i="2"/>
  <c r="W127" i="2"/>
  <c r="V127" i="2"/>
  <c r="U127" i="2"/>
  <c r="L127" i="2"/>
  <c r="E127" i="2"/>
  <c r="W126" i="2"/>
  <c r="V126" i="2"/>
  <c r="U126" i="2"/>
  <c r="L126" i="2"/>
  <c r="E126" i="2"/>
  <c r="W125" i="2"/>
  <c r="V125" i="2"/>
  <c r="U125" i="2"/>
  <c r="L125" i="2"/>
  <c r="E125" i="2"/>
  <c r="W124" i="2"/>
  <c r="V124" i="2"/>
  <c r="U124" i="2"/>
  <c r="L124" i="2"/>
  <c r="E124" i="2"/>
  <c r="W123" i="2"/>
  <c r="V123" i="2"/>
  <c r="U123" i="2"/>
  <c r="L123" i="2"/>
  <c r="E123" i="2"/>
  <c r="W122" i="2"/>
  <c r="V122" i="2"/>
  <c r="U122" i="2"/>
  <c r="L122" i="2"/>
  <c r="E122" i="2"/>
  <c r="W121" i="2"/>
  <c r="V121" i="2"/>
  <c r="U121" i="2"/>
  <c r="L121" i="2"/>
  <c r="E121" i="2"/>
  <c r="W120" i="2"/>
  <c r="V120" i="2"/>
  <c r="U120" i="2"/>
  <c r="L120" i="2"/>
  <c r="E120" i="2"/>
  <c r="W119" i="2"/>
  <c r="V119" i="2"/>
  <c r="U119" i="2"/>
  <c r="L119" i="2"/>
  <c r="E119" i="2"/>
  <c r="W118" i="2"/>
  <c r="V118" i="2"/>
  <c r="U118" i="2"/>
  <c r="L118" i="2"/>
  <c r="E118" i="2"/>
  <c r="W117" i="2"/>
  <c r="V117" i="2"/>
  <c r="U117" i="2"/>
  <c r="L117" i="2"/>
  <c r="E117" i="2"/>
  <c r="W116" i="2"/>
  <c r="V116" i="2"/>
  <c r="U116" i="2"/>
  <c r="L116" i="2"/>
  <c r="E116" i="2"/>
  <c r="W115" i="2"/>
  <c r="V115" i="2"/>
  <c r="U115" i="2"/>
  <c r="L115" i="2"/>
  <c r="E115" i="2"/>
  <c r="W114" i="2"/>
  <c r="V114" i="2"/>
  <c r="U114" i="2"/>
  <c r="L114" i="2"/>
  <c r="E114" i="2"/>
  <c r="W113" i="2"/>
  <c r="V113" i="2"/>
  <c r="U113" i="2"/>
  <c r="L113" i="2"/>
  <c r="E113" i="2"/>
  <c r="W112" i="2"/>
  <c r="V112" i="2"/>
  <c r="U112" i="2"/>
  <c r="L112" i="2"/>
  <c r="E112" i="2"/>
  <c r="W111" i="2"/>
  <c r="V111" i="2"/>
  <c r="U111" i="2"/>
  <c r="K111" i="2"/>
  <c r="N111" i="2" s="1"/>
  <c r="E111" i="2"/>
  <c r="W110" i="2"/>
  <c r="V110" i="2"/>
  <c r="U110" i="2"/>
  <c r="L110" i="2"/>
  <c r="E110" i="2"/>
  <c r="W109" i="2"/>
  <c r="V109" i="2"/>
  <c r="U109" i="2"/>
  <c r="L109" i="2"/>
  <c r="E109" i="2"/>
  <c r="W108" i="2"/>
  <c r="V108" i="2"/>
  <c r="U108" i="2"/>
  <c r="L108" i="2"/>
  <c r="E108" i="2"/>
  <c r="W107" i="2"/>
  <c r="V107" i="2"/>
  <c r="U107" i="2"/>
  <c r="L107" i="2"/>
  <c r="E107" i="2"/>
  <c r="W106" i="2"/>
  <c r="V106" i="2"/>
  <c r="U106" i="2"/>
  <c r="L106" i="2"/>
  <c r="E106" i="2"/>
  <c r="L111" i="2" l="1"/>
  <c r="M111" i="2"/>
  <c r="E14" i="77"/>
  <c r="O14" i="77"/>
  <c r="E15" i="77"/>
  <c r="O15" i="77"/>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2" i="3"/>
  <c r="AG21" i="3"/>
  <c r="AG20" i="3"/>
  <c r="AG19" i="3"/>
  <c r="AG18" i="3"/>
  <c r="AG17" i="3"/>
  <c r="AG16" i="3"/>
  <c r="AG15" i="3"/>
  <c r="AG14" i="3"/>
  <c r="AG13" i="3"/>
  <c r="AG12" i="3"/>
  <c r="AG11" i="3"/>
  <c r="AG10" i="3"/>
  <c r="AG9" i="3"/>
  <c r="AG8" i="3"/>
  <c r="AG7" i="3"/>
  <c r="AG6" i="3"/>
  <c r="X573" i="23" l="1"/>
  <c r="X572" i="23"/>
  <c r="X571" i="23"/>
  <c r="X570" i="23"/>
  <c r="X569" i="23"/>
  <c r="X568" i="23"/>
  <c r="X567" i="23"/>
  <c r="X566" i="23"/>
  <c r="X565" i="23"/>
  <c r="X564" i="23"/>
  <c r="X563" i="23"/>
  <c r="X562" i="23"/>
  <c r="X561" i="23"/>
  <c r="X560" i="23"/>
  <c r="X559" i="23"/>
  <c r="X558" i="23"/>
  <c r="X557" i="23"/>
  <c r="X556" i="23"/>
  <c r="X555" i="23"/>
  <c r="X554" i="23"/>
  <c r="X553" i="23"/>
  <c r="X552" i="23"/>
  <c r="X551" i="23"/>
  <c r="X550" i="23"/>
  <c r="X549" i="23"/>
  <c r="X548" i="23"/>
  <c r="X547" i="23"/>
  <c r="X546" i="23"/>
  <c r="X545" i="23"/>
  <c r="X544" i="23"/>
  <c r="X543" i="23"/>
  <c r="X542" i="23"/>
  <c r="X541" i="23"/>
  <c r="X540" i="23"/>
  <c r="X539" i="23"/>
  <c r="X538" i="23"/>
  <c r="X537" i="23"/>
  <c r="X536" i="23"/>
  <c r="X535" i="23"/>
  <c r="X534" i="23"/>
  <c r="X533" i="23"/>
  <c r="X532" i="23"/>
  <c r="X531" i="23"/>
  <c r="X530" i="23"/>
  <c r="X529" i="23"/>
  <c r="X528" i="23"/>
  <c r="X527" i="23"/>
  <c r="X526" i="23"/>
  <c r="X525" i="23"/>
  <c r="X524" i="23"/>
  <c r="X523" i="23"/>
  <c r="X522" i="23"/>
  <c r="X521" i="23"/>
  <c r="X520" i="23"/>
  <c r="X519" i="23"/>
  <c r="X518" i="23"/>
  <c r="X517" i="23"/>
  <c r="X516" i="23"/>
  <c r="X515" i="23"/>
  <c r="X514" i="23"/>
  <c r="X513" i="23"/>
  <c r="X512" i="23"/>
  <c r="X511" i="23"/>
  <c r="X510" i="23"/>
  <c r="X509" i="23"/>
  <c r="X508" i="23"/>
  <c r="X507" i="23"/>
  <c r="X506" i="23"/>
  <c r="X505" i="23"/>
  <c r="X504" i="23"/>
  <c r="X503" i="23"/>
  <c r="X502" i="23"/>
  <c r="X501" i="23"/>
  <c r="X500" i="23"/>
  <c r="X499" i="23"/>
  <c r="X498" i="23"/>
  <c r="X497" i="23"/>
  <c r="X496" i="23"/>
  <c r="X495" i="23"/>
  <c r="X494" i="23"/>
  <c r="X493" i="23"/>
  <c r="X492" i="23"/>
  <c r="X491" i="23"/>
  <c r="X490" i="23"/>
  <c r="X489" i="23"/>
  <c r="X488" i="23"/>
  <c r="X487" i="23"/>
  <c r="X486" i="23"/>
  <c r="X485" i="23"/>
  <c r="X484" i="23"/>
  <c r="X483" i="23"/>
  <c r="X482" i="23"/>
  <c r="X481" i="23"/>
  <c r="X480" i="23"/>
  <c r="X479" i="23"/>
  <c r="X478" i="23"/>
  <c r="X477" i="23"/>
  <c r="X476" i="23"/>
  <c r="X475" i="23"/>
  <c r="X474" i="23"/>
  <c r="X473" i="23"/>
  <c r="X472" i="23"/>
  <c r="X471" i="23"/>
  <c r="X470" i="23"/>
  <c r="X469" i="23"/>
  <c r="X468" i="23"/>
  <c r="X467" i="23"/>
  <c r="X466" i="23"/>
  <c r="X465" i="23"/>
  <c r="X464" i="23"/>
  <c r="X463" i="23"/>
  <c r="X462" i="23"/>
  <c r="X461" i="23"/>
  <c r="X460" i="23"/>
  <c r="X459" i="23"/>
  <c r="X458" i="23"/>
  <c r="X457" i="23"/>
  <c r="X456" i="23"/>
  <c r="X455" i="23"/>
  <c r="X454" i="23"/>
  <c r="X453" i="23"/>
  <c r="X452" i="23"/>
  <c r="X451" i="23"/>
  <c r="X450" i="23"/>
  <c r="X449" i="23"/>
  <c r="X448" i="23"/>
  <c r="X447" i="23"/>
  <c r="X446" i="23"/>
  <c r="X445" i="23"/>
  <c r="X444" i="23"/>
  <c r="X443" i="23"/>
  <c r="X442" i="23"/>
  <c r="X441" i="23"/>
  <c r="X440" i="23"/>
  <c r="X439" i="23"/>
  <c r="X438" i="23"/>
  <c r="X437" i="23"/>
  <c r="X436" i="23"/>
  <c r="X435" i="23"/>
  <c r="X434" i="23"/>
  <c r="X433" i="23"/>
  <c r="X432" i="23"/>
  <c r="K55" i="70" l="1"/>
  <c r="K27" i="70"/>
  <c r="G27" i="70"/>
  <c r="D29" i="70"/>
  <c r="D28" i="70"/>
  <c r="D27" i="70"/>
  <c r="AQ3" i="70"/>
  <c r="C27" i="70"/>
  <c r="B3" i="2"/>
  <c r="C3" i="2" s="1"/>
  <c r="D3" i="2" s="1"/>
  <c r="E3" i="2" s="1"/>
  <c r="F3" i="2" s="1"/>
  <c r="G3" i="2" s="1"/>
  <c r="T14" i="69" s="1"/>
  <c r="T150" i="69"/>
  <c r="T149" i="69"/>
  <c r="T148" i="69"/>
  <c r="T147" i="69"/>
  <c r="T146" i="69"/>
  <c r="T145" i="69"/>
  <c r="T144" i="69"/>
  <c r="T143" i="69"/>
  <c r="T142" i="69"/>
  <c r="T141" i="69"/>
  <c r="T140" i="69"/>
  <c r="T139" i="69"/>
  <c r="T138" i="69"/>
  <c r="T137" i="69"/>
  <c r="T136" i="69"/>
  <c r="T135" i="69"/>
  <c r="T134" i="69"/>
  <c r="T133" i="69"/>
  <c r="T132" i="69"/>
  <c r="T131" i="69"/>
  <c r="T130" i="69"/>
  <c r="T128" i="69"/>
  <c r="T127" i="69"/>
  <c r="T125" i="69"/>
  <c r="T123" i="69"/>
  <c r="T122" i="69"/>
  <c r="T120" i="69"/>
  <c r="T119" i="69"/>
  <c r="T118" i="69"/>
  <c r="T115" i="69"/>
  <c r="T114" i="69"/>
  <c r="T113" i="69"/>
  <c r="T112" i="69"/>
  <c r="T111" i="69"/>
  <c r="T109" i="69"/>
  <c r="T107" i="69"/>
  <c r="T106" i="69"/>
  <c r="T105" i="69"/>
  <c r="T104" i="69"/>
  <c r="T103" i="69"/>
  <c r="T102" i="69"/>
  <c r="T100" i="69"/>
  <c r="T99" i="69"/>
  <c r="T98" i="69"/>
  <c r="T96" i="69"/>
  <c r="T94" i="69"/>
  <c r="T93" i="69"/>
  <c r="T92" i="69"/>
  <c r="T89" i="69"/>
  <c r="T88" i="69"/>
  <c r="T87" i="69"/>
  <c r="T86" i="69"/>
  <c r="T85" i="69"/>
  <c r="T84" i="69"/>
  <c r="T82" i="69"/>
  <c r="T81" i="69"/>
  <c r="T80" i="69"/>
  <c r="T79" i="69"/>
  <c r="T78" i="69"/>
  <c r="T77" i="69"/>
  <c r="T76" i="69"/>
  <c r="T75" i="69"/>
  <c r="T74" i="69"/>
  <c r="T73" i="69"/>
  <c r="T72" i="69"/>
  <c r="T71" i="69"/>
  <c r="T70" i="69"/>
  <c r="T69" i="69"/>
  <c r="T68" i="69"/>
  <c r="T67" i="69"/>
  <c r="T66" i="69"/>
  <c r="T65" i="69"/>
  <c r="T64" i="69"/>
  <c r="T63" i="69"/>
  <c r="T62" i="69"/>
  <c r="T61" i="69"/>
  <c r="T58" i="69"/>
  <c r="T57" i="69"/>
  <c r="T55" i="69"/>
  <c r="T54" i="69"/>
  <c r="T53" i="69"/>
  <c r="T52" i="69"/>
  <c r="T51" i="69"/>
  <c r="T50" i="69"/>
  <c r="T49" i="69"/>
  <c r="T48" i="69"/>
  <c r="T46" i="69"/>
  <c r="T45" i="69"/>
  <c r="T43" i="69"/>
  <c r="T42" i="69"/>
  <c r="T41" i="69"/>
  <c r="T40" i="69"/>
  <c r="T38" i="69"/>
  <c r="T37" i="69"/>
  <c r="T34" i="69"/>
  <c r="T33" i="69"/>
  <c r="T32" i="69"/>
  <c r="T30" i="69"/>
  <c r="T28" i="69"/>
  <c r="T27" i="69"/>
  <c r="T26" i="69"/>
  <c r="T24" i="69"/>
  <c r="T23" i="69"/>
  <c r="T22" i="69"/>
  <c r="T21" i="69"/>
  <c r="T20" i="69"/>
  <c r="T19" i="69"/>
  <c r="T18" i="69"/>
  <c r="T17" i="69"/>
  <c r="G17" i="69"/>
  <c r="G150" i="69"/>
  <c r="G149" i="69"/>
  <c r="G148" i="69"/>
  <c r="G147" i="69"/>
  <c r="G146" i="69"/>
  <c r="G145" i="69"/>
  <c r="G144" i="69"/>
  <c r="G143" i="69"/>
  <c r="G142" i="69"/>
  <c r="G141" i="69"/>
  <c r="G140" i="69"/>
  <c r="G139" i="69"/>
  <c r="G138" i="69"/>
  <c r="G137" i="69"/>
  <c r="G136" i="69"/>
  <c r="G135" i="69"/>
  <c r="G134" i="69"/>
  <c r="G133" i="69"/>
  <c r="G132" i="69"/>
  <c r="G131" i="69"/>
  <c r="G130" i="69"/>
  <c r="G128" i="69"/>
  <c r="G127" i="69"/>
  <c r="G125" i="69"/>
  <c r="G123" i="69"/>
  <c r="G122" i="69"/>
  <c r="G120" i="69"/>
  <c r="G119" i="69"/>
  <c r="G118" i="69"/>
  <c r="G115" i="69"/>
  <c r="G114" i="69"/>
  <c r="G113" i="69"/>
  <c r="G112" i="69"/>
  <c r="G111" i="69"/>
  <c r="G109" i="69"/>
  <c r="G107" i="69"/>
  <c r="G106" i="69"/>
  <c r="G105" i="69"/>
  <c r="G104" i="69"/>
  <c r="G103" i="69"/>
  <c r="G102" i="69"/>
  <c r="G100" i="69"/>
  <c r="G99" i="69"/>
  <c r="G98" i="69"/>
  <c r="G96" i="69"/>
  <c r="G94" i="69"/>
  <c r="G93" i="69"/>
  <c r="G92" i="69"/>
  <c r="G89" i="69"/>
  <c r="G88" i="69"/>
  <c r="G87" i="69"/>
  <c r="G86" i="69"/>
  <c r="G85" i="69"/>
  <c r="G84" i="69"/>
  <c r="G82" i="69"/>
  <c r="G81" i="69"/>
  <c r="G80" i="69"/>
  <c r="G79" i="69"/>
  <c r="G78" i="69"/>
  <c r="G77" i="69"/>
  <c r="G76" i="69"/>
  <c r="G75" i="69"/>
  <c r="G74" i="69"/>
  <c r="G73" i="69"/>
  <c r="G72" i="69"/>
  <c r="G71" i="69"/>
  <c r="G70" i="69"/>
  <c r="G69" i="69"/>
  <c r="G68" i="69"/>
  <c r="G67" i="69"/>
  <c r="G66" i="69"/>
  <c r="G65" i="69"/>
  <c r="G64" i="69"/>
  <c r="G63" i="69"/>
  <c r="G62" i="69"/>
  <c r="G61" i="69"/>
  <c r="G58" i="69"/>
  <c r="G57" i="69"/>
  <c r="G55" i="69"/>
  <c r="G54" i="69"/>
  <c r="G53" i="69"/>
  <c r="G52" i="69"/>
  <c r="G51" i="69"/>
  <c r="G50" i="69"/>
  <c r="G49" i="69"/>
  <c r="G48" i="69"/>
  <c r="G46" i="69"/>
  <c r="G45" i="69"/>
  <c r="G43" i="69"/>
  <c r="G42" i="69"/>
  <c r="G41" i="69"/>
  <c r="G40" i="69"/>
  <c r="G38" i="69"/>
  <c r="G37" i="69"/>
  <c r="G34" i="69"/>
  <c r="G33" i="69"/>
  <c r="G32" i="69"/>
  <c r="G30" i="69"/>
  <c r="G28" i="69"/>
  <c r="G27" i="69"/>
  <c r="G26" i="69"/>
  <c r="G24" i="69"/>
  <c r="G23" i="69"/>
  <c r="G22" i="69"/>
  <c r="G21" i="69"/>
  <c r="G20" i="69"/>
  <c r="G19" i="69"/>
  <c r="G18" i="69"/>
  <c r="T4" i="70" l="1"/>
  <c r="T5" i="70"/>
  <c r="T4" i="69"/>
  <c r="T5" i="69"/>
  <c r="T7" i="69"/>
  <c r="T13" i="69"/>
  <c r="T9" i="69"/>
  <c r="H3" i="2"/>
  <c r="T10" i="69" s="1"/>
  <c r="B5" i="68"/>
  <c r="I3" i="2" l="1"/>
  <c r="L188" i="69"/>
  <c r="AQ4" i="70"/>
  <c r="AC4" i="70"/>
  <c r="AR3" i="70"/>
  <c r="AR4" i="70" s="1"/>
  <c r="AD3" i="70"/>
  <c r="B1" i="70"/>
  <c r="C1" i="70" s="1"/>
  <c r="K11" i="69"/>
  <c r="K10" i="69"/>
  <c r="B1" i="69"/>
  <c r="C1" i="69" s="1"/>
  <c r="D1" i="69" s="1"/>
  <c r="D34" i="68"/>
  <c r="D12" i="68"/>
  <c r="E12" i="68" s="1"/>
  <c r="F12" i="68" s="1"/>
  <c r="J3" i="2" l="1"/>
  <c r="T11" i="69"/>
  <c r="E1" i="69"/>
  <c r="F1" i="69" s="1"/>
  <c r="G1" i="69" s="1"/>
  <c r="H1" i="69" s="1"/>
  <c r="I1" i="69" s="1"/>
  <c r="D1" i="70"/>
  <c r="AD4" i="70"/>
  <c r="AE3" i="70"/>
  <c r="AS3" i="70"/>
  <c r="K3" i="2" l="1"/>
  <c r="L3" i="2" s="1"/>
  <c r="M3" i="2" s="1"/>
  <c r="N3" i="2" s="1"/>
  <c r="O3" i="2" s="1"/>
  <c r="P3" i="2" s="1"/>
  <c r="Q3" i="2" s="1"/>
  <c r="R3" i="2" s="1"/>
  <c r="S3" i="2" s="1"/>
  <c r="T3" i="2" s="1"/>
  <c r="E5" i="70"/>
  <c r="F14" i="69"/>
  <c r="F9" i="69"/>
  <c r="E4" i="70"/>
  <c r="F13" i="69"/>
  <c r="F7" i="69"/>
  <c r="F11" i="69"/>
  <c r="F5" i="69"/>
  <c r="F10" i="69"/>
  <c r="F4" i="69"/>
  <c r="J3" i="69"/>
  <c r="AS4" i="70"/>
  <c r="AT3" i="70"/>
  <c r="E1" i="70"/>
  <c r="AE4" i="70"/>
  <c r="AF3" i="70"/>
  <c r="J1" i="69"/>
  <c r="K1" i="69" s="1"/>
  <c r="L1" i="69" s="1"/>
  <c r="I3" i="69"/>
  <c r="U3" i="2" l="1"/>
  <c r="V3" i="2" s="1"/>
  <c r="W3" i="2" s="1"/>
  <c r="F33" i="70"/>
  <c r="F28" i="70"/>
  <c r="I28" i="70" s="1"/>
  <c r="J28" i="70" s="1"/>
  <c r="F23" i="70"/>
  <c r="F16" i="70"/>
  <c r="F11" i="70"/>
  <c r="F32" i="70"/>
  <c r="F27" i="70"/>
  <c r="I27" i="70" s="1"/>
  <c r="J27" i="70" s="1"/>
  <c r="F20" i="70"/>
  <c r="F15" i="70"/>
  <c r="F10" i="70"/>
  <c r="F31" i="70"/>
  <c r="F25" i="70"/>
  <c r="F19" i="70"/>
  <c r="F14" i="70"/>
  <c r="F9" i="70"/>
  <c r="F29" i="70"/>
  <c r="I29" i="70" s="1"/>
  <c r="J29" i="70" s="1"/>
  <c r="F24" i="70"/>
  <c r="F18" i="70"/>
  <c r="F12" i="70"/>
  <c r="M3" i="69"/>
  <c r="M1" i="69"/>
  <c r="N1" i="69" s="1"/>
  <c r="AT4" i="70"/>
  <c r="AU3" i="70"/>
  <c r="AF4" i="70"/>
  <c r="AG3" i="70"/>
  <c r="K3" i="69"/>
  <c r="F1" i="70"/>
  <c r="H3" i="70"/>
  <c r="M27" i="70" l="1"/>
  <c r="L27" i="70"/>
  <c r="G1" i="70"/>
  <c r="H1" i="70" s="1"/>
  <c r="I3" i="70"/>
  <c r="AH3" i="70"/>
  <c r="AG4" i="70"/>
  <c r="AU4" i="70"/>
  <c r="AV3" i="70"/>
  <c r="P3" i="69"/>
  <c r="O1" i="69"/>
  <c r="O3" i="69"/>
  <c r="AH4" i="70" l="1"/>
  <c r="AI3" i="70"/>
  <c r="AV4" i="70"/>
  <c r="AW3" i="70"/>
  <c r="I1" i="70"/>
  <c r="J1" i="70" s="1"/>
  <c r="K1" i="70" s="1"/>
  <c r="P1" i="69"/>
  <c r="Q1" i="69" s="1"/>
  <c r="Q3" i="69"/>
  <c r="L1" i="70" l="1"/>
  <c r="L3" i="70"/>
  <c r="AW4" i="70"/>
  <c r="AX3" i="70"/>
  <c r="J3" i="70"/>
  <c r="AI4" i="70"/>
  <c r="AJ3" i="70"/>
  <c r="R1" i="69"/>
  <c r="S1" i="69" s="1"/>
  <c r="T1" i="69" s="1"/>
  <c r="U1" i="69" s="1"/>
  <c r="R3" i="69"/>
  <c r="AX4" i="70" l="1"/>
  <c r="AY3" i="70"/>
  <c r="AK3" i="70"/>
  <c r="AJ4" i="70"/>
  <c r="M3" i="70"/>
  <c r="M1" i="70"/>
  <c r="N1" i="70" s="1"/>
  <c r="AK4" i="70" l="1"/>
  <c r="AL3" i="70"/>
  <c r="P3" i="70"/>
  <c r="O3" i="70"/>
  <c r="O1" i="70"/>
  <c r="AZ3" i="70"/>
  <c r="AY4" i="70"/>
  <c r="AL4" i="70" l="1"/>
  <c r="AM3" i="70"/>
  <c r="AZ4" i="70"/>
  <c r="BA3" i="70"/>
  <c r="P1" i="70"/>
  <c r="Q1" i="70" s="1"/>
  <c r="Q3" i="70" l="1"/>
  <c r="R1" i="70"/>
  <c r="S1" i="70" s="1"/>
  <c r="T1" i="70" s="1"/>
  <c r="U1" i="70" s="1"/>
  <c r="R3" i="70"/>
  <c r="AM4" i="70"/>
  <c r="AN3" i="70"/>
  <c r="AN4" i="70" s="1"/>
  <c r="AE6" i="70" s="1"/>
  <c r="BA4" i="70"/>
  <c r="BB3" i="70"/>
  <c r="BB4" i="70" s="1"/>
  <c r="AU6" i="70" l="1"/>
  <c r="AS6" i="70"/>
  <c r="AR8" i="70"/>
  <c r="AQ8" i="70"/>
  <c r="AT6" i="70"/>
  <c r="AR6" i="70"/>
  <c r="AW8" i="70"/>
  <c r="AS8" i="70"/>
  <c r="AU8" i="70"/>
  <c r="AV8" i="70"/>
  <c r="AQ6" i="70"/>
  <c r="AT8" i="70"/>
  <c r="AC8" i="70"/>
  <c r="AG6" i="70"/>
  <c r="AF6" i="70"/>
  <c r="AE8" i="70"/>
  <c r="AG8" i="70"/>
  <c r="AD8" i="70"/>
  <c r="AI8" i="70"/>
  <c r="AD6" i="70"/>
  <c r="AH8" i="70"/>
  <c r="AC6" i="70"/>
  <c r="AF8" i="70"/>
  <c r="AB5" i="3" l="1"/>
  <c r="AB6" i="3" s="1"/>
  <c r="AB7" i="3" s="1"/>
  <c r="AB8" i="3" s="1"/>
  <c r="I562" i="30" l="1"/>
  <c r="D562" i="30"/>
  <c r="U431" i="23"/>
  <c r="U430" i="23"/>
  <c r="U429" i="23"/>
  <c r="U428" i="23"/>
  <c r="U427" i="23"/>
  <c r="U426" i="23"/>
  <c r="U425" i="23"/>
  <c r="U424" i="23"/>
  <c r="U423" i="23"/>
  <c r="U422" i="23"/>
  <c r="U421" i="23"/>
  <c r="U420" i="23"/>
  <c r="U419" i="23"/>
  <c r="U418" i="23"/>
  <c r="U417" i="23"/>
  <c r="U416" i="23"/>
  <c r="U415" i="23"/>
  <c r="U414" i="23"/>
  <c r="U413" i="23"/>
  <c r="U412" i="23"/>
  <c r="U411" i="23"/>
  <c r="U410" i="23"/>
  <c r="U409" i="23"/>
  <c r="U408" i="23"/>
  <c r="U407" i="23"/>
  <c r="U406" i="23"/>
  <c r="U405" i="23"/>
  <c r="U404" i="23"/>
  <c r="U403" i="23"/>
  <c r="U402" i="23"/>
  <c r="U401" i="23"/>
  <c r="U400" i="23"/>
  <c r="U399" i="23"/>
  <c r="U398" i="23"/>
  <c r="U397" i="23"/>
  <c r="U396" i="23"/>
  <c r="U395" i="23"/>
  <c r="U394" i="23"/>
  <c r="U393" i="23"/>
  <c r="U392" i="23"/>
  <c r="U391" i="23"/>
  <c r="U390" i="23"/>
  <c r="U389" i="23"/>
  <c r="U388" i="23"/>
  <c r="U387" i="23"/>
  <c r="U386" i="23"/>
  <c r="U385" i="23"/>
  <c r="U384" i="23"/>
  <c r="U383" i="23"/>
  <c r="U382" i="23"/>
  <c r="U381" i="23"/>
  <c r="U380" i="23"/>
  <c r="U379" i="23"/>
  <c r="U378" i="23"/>
  <c r="U377" i="23"/>
  <c r="U376" i="23"/>
  <c r="U375" i="23"/>
  <c r="U374" i="23"/>
  <c r="U373" i="23"/>
  <c r="U372" i="23"/>
  <c r="U371" i="23"/>
  <c r="U370" i="23"/>
  <c r="U369" i="23"/>
  <c r="U368" i="23"/>
  <c r="U367" i="23"/>
  <c r="U366" i="23"/>
  <c r="U365" i="23"/>
  <c r="U364" i="23"/>
  <c r="U363" i="23"/>
  <c r="U362" i="23"/>
  <c r="U361" i="23"/>
  <c r="U360" i="23"/>
  <c r="U359" i="23"/>
  <c r="U358" i="23"/>
  <c r="U357" i="23"/>
  <c r="U356" i="23"/>
  <c r="U355" i="23"/>
  <c r="U354" i="23"/>
  <c r="U353" i="23"/>
  <c r="U352" i="23"/>
  <c r="U351" i="23"/>
  <c r="U350" i="23"/>
  <c r="U349" i="23"/>
  <c r="U348" i="23"/>
  <c r="U347" i="23"/>
  <c r="U346" i="23"/>
  <c r="U345" i="23"/>
  <c r="U344" i="23"/>
  <c r="U343" i="23"/>
  <c r="U342" i="23"/>
  <c r="U341" i="23"/>
  <c r="D12" i="77" s="1"/>
  <c r="U340" i="23"/>
  <c r="U339" i="23"/>
  <c r="U338" i="23"/>
  <c r="U337" i="23"/>
  <c r="U336" i="23"/>
  <c r="U335" i="23"/>
  <c r="U334" i="23"/>
  <c r="U333" i="23"/>
  <c r="U332" i="23"/>
  <c r="U331" i="23"/>
  <c r="U330" i="23"/>
  <c r="U329" i="23"/>
  <c r="U328" i="23"/>
  <c r="U327" i="23"/>
  <c r="U326" i="23"/>
  <c r="U325" i="23"/>
  <c r="U324" i="23"/>
  <c r="U323" i="23"/>
  <c r="U322" i="23"/>
  <c r="U321" i="23"/>
  <c r="U320" i="23"/>
  <c r="U319" i="23"/>
  <c r="U318" i="23"/>
  <c r="U317" i="23"/>
  <c r="U316" i="23"/>
  <c r="U315" i="23"/>
  <c r="U314" i="23"/>
  <c r="U313" i="23"/>
  <c r="U312" i="23"/>
  <c r="U311" i="23"/>
  <c r="U310" i="23"/>
  <c r="U309" i="23"/>
  <c r="U308" i="23"/>
  <c r="U307" i="23"/>
  <c r="U306" i="23"/>
  <c r="U305" i="23"/>
  <c r="U304" i="23"/>
  <c r="U303" i="23"/>
  <c r="U302" i="23"/>
  <c r="U301" i="23"/>
  <c r="U300" i="23"/>
  <c r="U299" i="23"/>
  <c r="U298" i="23"/>
  <c r="U297" i="23"/>
  <c r="U296" i="23"/>
  <c r="U295" i="23"/>
  <c r="U294" i="23"/>
  <c r="U293" i="23"/>
  <c r="U292" i="23"/>
  <c r="U291" i="23"/>
  <c r="U290" i="23"/>
  <c r="U289" i="23"/>
  <c r="U288" i="23"/>
  <c r="U287" i="23"/>
  <c r="U286" i="23"/>
  <c r="U285" i="23"/>
  <c r="U284" i="23"/>
  <c r="U283" i="23"/>
  <c r="U282" i="23"/>
  <c r="U281" i="23"/>
  <c r="U280" i="23"/>
  <c r="U279" i="23"/>
  <c r="U278" i="23"/>
  <c r="U277" i="23"/>
  <c r="U276" i="23"/>
  <c r="U275" i="23"/>
  <c r="U274" i="23"/>
  <c r="U273" i="23"/>
  <c r="U272" i="23"/>
  <c r="U271" i="23"/>
  <c r="U270" i="23"/>
  <c r="U269" i="23"/>
  <c r="U268" i="23"/>
  <c r="U267" i="23"/>
  <c r="U266" i="23"/>
  <c r="U265" i="23"/>
  <c r="U264" i="23"/>
  <c r="U263" i="23"/>
  <c r="U262" i="23"/>
  <c r="U261" i="23"/>
  <c r="U260" i="23"/>
  <c r="U259" i="23"/>
  <c r="U258" i="23"/>
  <c r="U257" i="23"/>
  <c r="U256" i="23"/>
  <c r="U255" i="23"/>
  <c r="U254" i="23"/>
  <c r="U253" i="23"/>
  <c r="U252" i="23"/>
  <c r="U251" i="23"/>
  <c r="U250" i="23"/>
  <c r="U249" i="23"/>
  <c r="U248" i="23"/>
  <c r="U247" i="23"/>
  <c r="U246" i="23"/>
  <c r="U245" i="23"/>
  <c r="U244" i="23"/>
  <c r="U243" i="23"/>
  <c r="U242" i="23"/>
  <c r="U241" i="23"/>
  <c r="U240" i="23"/>
  <c r="U239" i="23"/>
  <c r="U238" i="23"/>
  <c r="U237" i="23"/>
  <c r="U236" i="23"/>
  <c r="U235" i="23"/>
  <c r="U234" i="23"/>
  <c r="U233" i="23"/>
  <c r="U232" i="23"/>
  <c r="U231" i="23"/>
  <c r="U230" i="23"/>
  <c r="U229" i="23"/>
  <c r="U228" i="23"/>
  <c r="U227" i="23"/>
  <c r="U226" i="23"/>
  <c r="U225" i="23"/>
  <c r="U224" i="23"/>
  <c r="U223" i="23"/>
  <c r="U222" i="23"/>
  <c r="U221" i="23"/>
  <c r="U220" i="23"/>
  <c r="U219" i="23"/>
  <c r="U218" i="23"/>
  <c r="U217" i="23"/>
  <c r="U216" i="23"/>
  <c r="U215" i="23"/>
  <c r="U214" i="23"/>
  <c r="U213" i="23"/>
  <c r="U212" i="23"/>
  <c r="U211" i="23"/>
  <c r="U210" i="23"/>
  <c r="U209" i="23"/>
  <c r="U208" i="23"/>
  <c r="U207" i="23"/>
  <c r="U206" i="23"/>
  <c r="U205" i="23"/>
  <c r="U204" i="23"/>
  <c r="U203" i="23"/>
  <c r="U202" i="23"/>
  <c r="U201" i="23"/>
  <c r="U200" i="23"/>
  <c r="U199" i="23"/>
  <c r="U198" i="23"/>
  <c r="D11" i="77" s="1"/>
  <c r="U197" i="23"/>
  <c r="U196" i="23"/>
  <c r="U195" i="23"/>
  <c r="U194" i="23"/>
  <c r="U193" i="23"/>
  <c r="U192" i="23"/>
  <c r="U191" i="23"/>
  <c r="U190" i="23"/>
  <c r="U189" i="23"/>
  <c r="U188" i="23"/>
  <c r="U187" i="23"/>
  <c r="U186" i="23"/>
  <c r="U185" i="23"/>
  <c r="U184" i="23"/>
  <c r="U183" i="23"/>
  <c r="U182" i="23"/>
  <c r="U181" i="23"/>
  <c r="U180" i="23"/>
  <c r="U179" i="23"/>
  <c r="U178" i="23"/>
  <c r="U177" i="23"/>
  <c r="U176" i="23"/>
  <c r="U175" i="23"/>
  <c r="U174" i="23"/>
  <c r="U173" i="23"/>
  <c r="U172" i="23"/>
  <c r="U171" i="23"/>
  <c r="U170" i="23"/>
  <c r="U169" i="23"/>
  <c r="U168" i="23"/>
  <c r="U167" i="23"/>
  <c r="U166" i="23"/>
  <c r="U165" i="23"/>
  <c r="U164" i="23"/>
  <c r="U163" i="23"/>
  <c r="U162" i="23"/>
  <c r="U161" i="23"/>
  <c r="U160" i="23"/>
  <c r="U159" i="23"/>
  <c r="U158" i="23"/>
  <c r="U157" i="23"/>
  <c r="U156" i="23"/>
  <c r="U155" i="23"/>
  <c r="U154" i="23"/>
  <c r="U153" i="23"/>
  <c r="U152" i="23"/>
  <c r="U151" i="23"/>
  <c r="U150" i="23"/>
  <c r="U149" i="23"/>
  <c r="U148" i="23"/>
  <c r="U147" i="23"/>
  <c r="U146" i="23"/>
  <c r="U145" i="23"/>
  <c r="E11" i="77" l="1"/>
  <c r="O11" i="77"/>
  <c r="E12" i="77"/>
  <c r="O12" i="77"/>
  <c r="U144" i="23"/>
  <c r="U143" i="23"/>
  <c r="U142" i="23"/>
  <c r="U141" i="23"/>
  <c r="U140" i="23"/>
  <c r="U139" i="23"/>
  <c r="U138" i="23"/>
  <c r="U137" i="23"/>
  <c r="U136" i="23"/>
  <c r="U135" i="23"/>
  <c r="U134" i="23"/>
  <c r="U133" i="23"/>
  <c r="U132" i="23"/>
  <c r="U131" i="23"/>
  <c r="U130" i="23"/>
  <c r="U129" i="23"/>
  <c r="U128" i="23"/>
  <c r="U127" i="23"/>
  <c r="U126" i="23"/>
  <c r="U125" i="23"/>
  <c r="U124" i="23"/>
  <c r="U123" i="23"/>
  <c r="U122" i="23"/>
  <c r="U121" i="23"/>
  <c r="U120" i="23"/>
  <c r="U119" i="23"/>
  <c r="U118" i="23"/>
  <c r="U117" i="23"/>
  <c r="U116" i="23"/>
  <c r="U115" i="23"/>
  <c r="U114" i="23"/>
  <c r="U113" i="23"/>
  <c r="U112" i="23"/>
  <c r="U111" i="23"/>
  <c r="U110" i="23"/>
  <c r="U109" i="23"/>
  <c r="U108" i="23"/>
  <c r="U107" i="23"/>
  <c r="U106" i="23"/>
  <c r="U105" i="23"/>
  <c r="U104" i="23"/>
  <c r="U103" i="23"/>
  <c r="U102" i="23"/>
  <c r="U101" i="23"/>
  <c r="U100" i="23"/>
  <c r="U99" i="23"/>
  <c r="U98" i="23"/>
  <c r="U97" i="23"/>
  <c r="U96" i="23"/>
  <c r="U95" i="23"/>
  <c r="U94" i="23"/>
  <c r="U93" i="23"/>
  <c r="U92" i="23"/>
  <c r="U91" i="23"/>
  <c r="U90" i="23"/>
  <c r="U89" i="23"/>
  <c r="U88" i="23"/>
  <c r="U87" i="23"/>
  <c r="U86" i="23"/>
  <c r="U85" i="23"/>
  <c r="U84" i="23"/>
  <c r="U83" i="23"/>
  <c r="U82" i="23"/>
  <c r="U81" i="23"/>
  <c r="U80" i="23"/>
  <c r="U79" i="23"/>
  <c r="U78" i="23"/>
  <c r="U77" i="23"/>
  <c r="U76" i="23"/>
  <c r="U75" i="23"/>
  <c r="U74" i="23"/>
  <c r="U73" i="23"/>
  <c r="U72" i="23"/>
  <c r="U71" i="23"/>
  <c r="U70" i="23"/>
  <c r="U69" i="23"/>
  <c r="U68" i="23"/>
  <c r="U67" i="23"/>
  <c r="U66" i="23"/>
  <c r="U65" i="23"/>
  <c r="U64" i="23"/>
  <c r="U63" i="23"/>
  <c r="U62" i="23"/>
  <c r="U61" i="23"/>
  <c r="U60" i="23"/>
  <c r="U59" i="23"/>
  <c r="U58" i="23"/>
  <c r="U57" i="23"/>
  <c r="U56" i="23"/>
  <c r="U55" i="23"/>
  <c r="U54" i="23"/>
  <c r="U53" i="23"/>
  <c r="D10" i="77" s="1"/>
  <c r="O10" i="77" s="1"/>
  <c r="U52" i="23"/>
  <c r="U51" i="23"/>
  <c r="U50" i="23"/>
  <c r="U49" i="23"/>
  <c r="U48" i="23"/>
  <c r="U47" i="23"/>
  <c r="G109" i="75" s="1"/>
  <c r="U46" i="23"/>
  <c r="U44" i="23"/>
  <c r="U43" i="23"/>
  <c r="U42" i="23"/>
  <c r="U41" i="23"/>
  <c r="U40" i="23"/>
  <c r="U39" i="23"/>
  <c r="U38" i="23"/>
  <c r="U36" i="23"/>
  <c r="U35" i="23"/>
  <c r="U34" i="23"/>
  <c r="U33" i="23"/>
  <c r="U32" i="23"/>
  <c r="U31" i="23"/>
  <c r="U30" i="23"/>
  <c r="U29" i="23"/>
  <c r="U28" i="23"/>
  <c r="U27" i="23"/>
  <c r="U26" i="23"/>
  <c r="U25" i="23"/>
  <c r="U24" i="23"/>
  <c r="U23" i="23"/>
  <c r="U22" i="23"/>
  <c r="U21" i="23"/>
  <c r="U20" i="23"/>
  <c r="U19" i="23"/>
  <c r="U18" i="23"/>
  <c r="U17" i="23"/>
  <c r="U16" i="23"/>
  <c r="U15" i="23"/>
  <c r="U14" i="23"/>
  <c r="U13" i="23"/>
  <c r="U12" i="23"/>
  <c r="U11" i="23"/>
  <c r="U10" i="23"/>
  <c r="U9" i="23"/>
  <c r="U8" i="23"/>
  <c r="U7" i="23"/>
  <c r="U6" i="23"/>
  <c r="U5" i="23"/>
  <c r="U4" i="23"/>
  <c r="U3" i="23"/>
  <c r="W289" i="23"/>
  <c r="X289" i="23" s="1"/>
  <c r="T289" i="23"/>
  <c r="S289" i="23"/>
  <c r="W288" i="23"/>
  <c r="X288" i="23" s="1"/>
  <c r="T288" i="23"/>
  <c r="S288" i="23"/>
  <c r="W287" i="23"/>
  <c r="X287" i="23" s="1"/>
  <c r="T287" i="23"/>
  <c r="S287" i="23"/>
  <c r="W286" i="23"/>
  <c r="X286" i="23" s="1"/>
  <c r="T286" i="23"/>
  <c r="S286" i="23"/>
  <c r="W285" i="23"/>
  <c r="X285" i="23" s="1"/>
  <c r="T285" i="23"/>
  <c r="S285" i="23"/>
  <c r="W284" i="23"/>
  <c r="X284" i="23" s="1"/>
  <c r="T284" i="23"/>
  <c r="S284" i="23"/>
  <c r="W283" i="23"/>
  <c r="X283" i="23" s="1"/>
  <c r="T283" i="23"/>
  <c r="S283" i="23"/>
  <c r="W282" i="23"/>
  <c r="X282" i="23" s="1"/>
  <c r="T282" i="23"/>
  <c r="S282" i="23"/>
  <c r="W281" i="23"/>
  <c r="X281" i="23" s="1"/>
  <c r="T281" i="23"/>
  <c r="S281" i="23"/>
  <c r="W280" i="23"/>
  <c r="X280" i="23" s="1"/>
  <c r="T280" i="23"/>
  <c r="S280" i="23"/>
  <c r="W279" i="23"/>
  <c r="X279" i="23" s="1"/>
  <c r="T279" i="23"/>
  <c r="S279" i="23"/>
  <c r="W278" i="23"/>
  <c r="X278" i="23" s="1"/>
  <c r="T278" i="23"/>
  <c r="S278" i="23"/>
  <c r="W277" i="23"/>
  <c r="X277" i="23" s="1"/>
  <c r="T277" i="23"/>
  <c r="S277" i="23"/>
  <c r="W276" i="23"/>
  <c r="X276" i="23" s="1"/>
  <c r="T276" i="23"/>
  <c r="S276" i="23"/>
  <c r="W275" i="23"/>
  <c r="X275" i="23" s="1"/>
  <c r="T275" i="23"/>
  <c r="S275" i="23"/>
  <c r="W274" i="23"/>
  <c r="X274" i="23" s="1"/>
  <c r="T274" i="23"/>
  <c r="S274" i="23"/>
  <c r="W273" i="23"/>
  <c r="X273" i="23" s="1"/>
  <c r="T273" i="23"/>
  <c r="S273" i="23"/>
  <c r="W272" i="23"/>
  <c r="X272" i="23" s="1"/>
  <c r="T272" i="23"/>
  <c r="S272" i="23"/>
  <c r="W271" i="23"/>
  <c r="X271" i="23" s="1"/>
  <c r="T271" i="23"/>
  <c r="S271" i="23"/>
  <c r="W270" i="23"/>
  <c r="X270" i="23" s="1"/>
  <c r="T270" i="23"/>
  <c r="S270" i="23"/>
  <c r="W269" i="23"/>
  <c r="X269" i="23" s="1"/>
  <c r="T269" i="23"/>
  <c r="S269" i="23"/>
  <c r="W268" i="23"/>
  <c r="X268" i="23" s="1"/>
  <c r="T268" i="23"/>
  <c r="S268" i="23"/>
  <c r="W267" i="23"/>
  <c r="X267" i="23" s="1"/>
  <c r="T267" i="23"/>
  <c r="S267" i="23"/>
  <c r="W266" i="23"/>
  <c r="X266" i="23" s="1"/>
  <c r="T266" i="23"/>
  <c r="S266" i="23"/>
  <c r="W265" i="23"/>
  <c r="X265" i="23" s="1"/>
  <c r="T265" i="23"/>
  <c r="S265" i="23"/>
  <c r="W264" i="23"/>
  <c r="X264" i="23" s="1"/>
  <c r="T264" i="23"/>
  <c r="S264" i="23"/>
  <c r="W263" i="23"/>
  <c r="X263" i="23" s="1"/>
  <c r="T263" i="23"/>
  <c r="S263" i="23"/>
  <c r="W262" i="23"/>
  <c r="X262" i="23" s="1"/>
  <c r="T262" i="23"/>
  <c r="S262" i="23"/>
  <c r="W261" i="23"/>
  <c r="X261" i="23" s="1"/>
  <c r="T261" i="23"/>
  <c r="S261" i="23"/>
  <c r="W260" i="23"/>
  <c r="X260" i="23" s="1"/>
  <c r="T260" i="23"/>
  <c r="S260" i="23"/>
  <c r="W259" i="23"/>
  <c r="X259" i="23" s="1"/>
  <c r="T259" i="23"/>
  <c r="S259" i="23"/>
  <c r="W258" i="23"/>
  <c r="X258" i="23" s="1"/>
  <c r="T258" i="23"/>
  <c r="S258" i="23"/>
  <c r="W257" i="23"/>
  <c r="X257" i="23" s="1"/>
  <c r="T257" i="23"/>
  <c r="S257" i="23"/>
  <c r="W256" i="23"/>
  <c r="X256" i="23" s="1"/>
  <c r="T256" i="23"/>
  <c r="S256" i="23"/>
  <c r="W255" i="23"/>
  <c r="X255" i="23" s="1"/>
  <c r="T255" i="23"/>
  <c r="S255" i="23"/>
  <c r="W254" i="23"/>
  <c r="X254" i="23" s="1"/>
  <c r="T254" i="23"/>
  <c r="S254" i="23"/>
  <c r="W253" i="23"/>
  <c r="X253" i="23" s="1"/>
  <c r="T253" i="23"/>
  <c r="S253" i="23"/>
  <c r="W252" i="23"/>
  <c r="X252" i="23" s="1"/>
  <c r="T252" i="23"/>
  <c r="S252" i="23"/>
  <c r="W251" i="23"/>
  <c r="X251" i="23" s="1"/>
  <c r="T251" i="23"/>
  <c r="S251" i="23"/>
  <c r="W250" i="23"/>
  <c r="X250" i="23" s="1"/>
  <c r="T250" i="23"/>
  <c r="S250" i="23"/>
  <c r="W249" i="23"/>
  <c r="X249" i="23" s="1"/>
  <c r="T249" i="23"/>
  <c r="S249" i="23"/>
  <c r="W248" i="23"/>
  <c r="X248" i="23" s="1"/>
  <c r="T248" i="23"/>
  <c r="S248" i="23"/>
  <c r="W247" i="23"/>
  <c r="X247" i="23" s="1"/>
  <c r="T247" i="23"/>
  <c r="S247" i="23"/>
  <c r="W246" i="23"/>
  <c r="X246" i="23" s="1"/>
  <c r="T246" i="23"/>
  <c r="S246" i="23"/>
  <c r="W245" i="23"/>
  <c r="X245" i="23" s="1"/>
  <c r="T245" i="23"/>
  <c r="S245" i="23"/>
  <c r="W244" i="23"/>
  <c r="X244" i="23" s="1"/>
  <c r="T244" i="23"/>
  <c r="S244" i="23"/>
  <c r="W243" i="23"/>
  <c r="X243" i="23" s="1"/>
  <c r="T243" i="23"/>
  <c r="S243" i="23"/>
  <c r="W242" i="23"/>
  <c r="X242" i="23" s="1"/>
  <c r="T242" i="23"/>
  <c r="S242" i="23"/>
  <c r="W241" i="23"/>
  <c r="X241" i="23" s="1"/>
  <c r="T241" i="23"/>
  <c r="S241" i="23"/>
  <c r="W240" i="23"/>
  <c r="X240" i="23" s="1"/>
  <c r="T240" i="23"/>
  <c r="S240" i="23"/>
  <c r="W239" i="23"/>
  <c r="X239" i="23" s="1"/>
  <c r="T239" i="23"/>
  <c r="S239" i="23"/>
  <c r="W238" i="23"/>
  <c r="X238" i="23" s="1"/>
  <c r="T238" i="23"/>
  <c r="S238" i="23"/>
  <c r="W237" i="23"/>
  <c r="X237" i="23" s="1"/>
  <c r="T237" i="23"/>
  <c r="S237" i="23"/>
  <c r="W236" i="23"/>
  <c r="X236" i="23" s="1"/>
  <c r="T236" i="23"/>
  <c r="S236" i="23"/>
  <c r="W235" i="23"/>
  <c r="X235" i="23" s="1"/>
  <c r="T235" i="23"/>
  <c r="S235" i="23"/>
  <c r="W234" i="23"/>
  <c r="X234" i="23" s="1"/>
  <c r="T234" i="23"/>
  <c r="S234" i="23"/>
  <c r="W233" i="23"/>
  <c r="X233" i="23" s="1"/>
  <c r="T233" i="23"/>
  <c r="S233" i="23"/>
  <c r="W232" i="23"/>
  <c r="X232" i="23" s="1"/>
  <c r="T232" i="23"/>
  <c r="S232" i="23"/>
  <c r="W231" i="23"/>
  <c r="X231" i="23" s="1"/>
  <c r="T231" i="23"/>
  <c r="S231" i="23"/>
  <c r="W230" i="23"/>
  <c r="X230" i="23" s="1"/>
  <c r="T230" i="23"/>
  <c r="S230" i="23"/>
  <c r="W229" i="23"/>
  <c r="X229" i="23" s="1"/>
  <c r="T229" i="23"/>
  <c r="S229" i="23"/>
  <c r="W228" i="23"/>
  <c r="X228" i="23" s="1"/>
  <c r="T228" i="23"/>
  <c r="S228" i="23"/>
  <c r="W227" i="23"/>
  <c r="X227" i="23" s="1"/>
  <c r="T227" i="23"/>
  <c r="S227" i="23"/>
  <c r="W226" i="23"/>
  <c r="X226" i="23" s="1"/>
  <c r="T226" i="23"/>
  <c r="S226" i="23"/>
  <c r="W225" i="23"/>
  <c r="X225" i="23" s="1"/>
  <c r="T225" i="23"/>
  <c r="S225" i="23"/>
  <c r="W224" i="23"/>
  <c r="X224" i="23" s="1"/>
  <c r="T224" i="23"/>
  <c r="S224" i="23"/>
  <c r="W223" i="23"/>
  <c r="X223" i="23" s="1"/>
  <c r="T223" i="23"/>
  <c r="S223" i="23"/>
  <c r="W222" i="23"/>
  <c r="X222" i="23" s="1"/>
  <c r="T222" i="23"/>
  <c r="S222" i="23"/>
  <c r="W221" i="23"/>
  <c r="X221" i="23" s="1"/>
  <c r="T221" i="23"/>
  <c r="S221" i="23"/>
  <c r="W220" i="23"/>
  <c r="X220" i="23" s="1"/>
  <c r="T220" i="23"/>
  <c r="S220" i="23"/>
  <c r="W219" i="23"/>
  <c r="X219" i="23" s="1"/>
  <c r="T219" i="23"/>
  <c r="S219" i="23"/>
  <c r="W218" i="23"/>
  <c r="X218" i="23" s="1"/>
  <c r="T218" i="23"/>
  <c r="S218" i="23"/>
  <c r="W217" i="23"/>
  <c r="X217" i="23" s="1"/>
  <c r="T217" i="23"/>
  <c r="S217" i="23"/>
  <c r="W216" i="23"/>
  <c r="X216" i="23" s="1"/>
  <c r="T216" i="23"/>
  <c r="S216" i="23"/>
  <c r="W215" i="23"/>
  <c r="X215" i="23" s="1"/>
  <c r="T215" i="23"/>
  <c r="S215" i="23"/>
  <c r="W214" i="23"/>
  <c r="X214" i="23" s="1"/>
  <c r="T214" i="23"/>
  <c r="S214" i="23"/>
  <c r="W213" i="23"/>
  <c r="X213" i="23" s="1"/>
  <c r="T213" i="23"/>
  <c r="S213" i="23"/>
  <c r="W212" i="23"/>
  <c r="X212" i="23" s="1"/>
  <c r="T212" i="23"/>
  <c r="S212" i="23"/>
  <c r="W211" i="23"/>
  <c r="X211" i="23" s="1"/>
  <c r="T211" i="23"/>
  <c r="S211" i="23"/>
  <c r="W210" i="23"/>
  <c r="X210" i="23" s="1"/>
  <c r="T210" i="23"/>
  <c r="S210" i="23"/>
  <c r="W209" i="23"/>
  <c r="X209" i="23" s="1"/>
  <c r="T209" i="23"/>
  <c r="S209" i="23"/>
  <c r="W208" i="23"/>
  <c r="X208" i="23" s="1"/>
  <c r="T208" i="23"/>
  <c r="S208" i="23"/>
  <c r="W207" i="23"/>
  <c r="X207" i="23" s="1"/>
  <c r="T207" i="23"/>
  <c r="S207" i="23"/>
  <c r="W206" i="23"/>
  <c r="X206" i="23" s="1"/>
  <c r="T206" i="23"/>
  <c r="S206" i="23"/>
  <c r="W205" i="23"/>
  <c r="X205" i="23" s="1"/>
  <c r="T205" i="23"/>
  <c r="S205" i="23"/>
  <c r="W204" i="23"/>
  <c r="X204" i="23" s="1"/>
  <c r="T204" i="23"/>
  <c r="S204" i="23"/>
  <c r="W203" i="23"/>
  <c r="X203" i="23" s="1"/>
  <c r="T203" i="23"/>
  <c r="S203" i="23"/>
  <c r="W202" i="23"/>
  <c r="X202" i="23" s="1"/>
  <c r="T202" i="23"/>
  <c r="S202" i="23"/>
  <c r="W201" i="23"/>
  <c r="X201" i="23" s="1"/>
  <c r="T201" i="23"/>
  <c r="S201" i="23"/>
  <c r="W200" i="23"/>
  <c r="X200" i="23" s="1"/>
  <c r="T200" i="23"/>
  <c r="S200" i="23"/>
  <c r="W199" i="23"/>
  <c r="X199" i="23" s="1"/>
  <c r="T199" i="23"/>
  <c r="S199" i="23"/>
  <c r="W198" i="23"/>
  <c r="X198" i="23" s="1"/>
  <c r="T198" i="23"/>
  <c r="S198" i="23"/>
  <c r="W197" i="23"/>
  <c r="X197" i="23" s="1"/>
  <c r="T197" i="23"/>
  <c r="S197" i="23"/>
  <c r="W196" i="23"/>
  <c r="X196" i="23" s="1"/>
  <c r="T196" i="23"/>
  <c r="S196" i="23"/>
  <c r="W195" i="23"/>
  <c r="X195" i="23" s="1"/>
  <c r="T195" i="23"/>
  <c r="S195" i="23"/>
  <c r="W194" i="23"/>
  <c r="X194" i="23" s="1"/>
  <c r="T194" i="23"/>
  <c r="S194" i="23"/>
  <c r="W193" i="23"/>
  <c r="X193" i="23" s="1"/>
  <c r="T193" i="23"/>
  <c r="S193" i="23"/>
  <c r="W192" i="23"/>
  <c r="X192" i="23" s="1"/>
  <c r="T192" i="23"/>
  <c r="S192" i="23"/>
  <c r="W191" i="23"/>
  <c r="X191" i="23" s="1"/>
  <c r="T191" i="23"/>
  <c r="S191" i="23"/>
  <c r="W190" i="23"/>
  <c r="X190" i="23" s="1"/>
  <c r="T190" i="23"/>
  <c r="S190" i="23"/>
  <c r="W189" i="23"/>
  <c r="X189" i="23" s="1"/>
  <c r="T189" i="23"/>
  <c r="S189" i="23"/>
  <c r="W188" i="23"/>
  <c r="X188" i="23" s="1"/>
  <c r="T188" i="23"/>
  <c r="S188" i="23"/>
  <c r="W187" i="23"/>
  <c r="X187" i="23" s="1"/>
  <c r="T187" i="23"/>
  <c r="S187" i="23"/>
  <c r="W186" i="23"/>
  <c r="X186" i="23" s="1"/>
  <c r="T186" i="23"/>
  <c r="S186" i="23"/>
  <c r="W185" i="23"/>
  <c r="X185" i="23" s="1"/>
  <c r="T185" i="23"/>
  <c r="S185" i="23"/>
  <c r="W184" i="23"/>
  <c r="X184" i="23" s="1"/>
  <c r="T184" i="23"/>
  <c r="S184" i="23"/>
  <c r="W183" i="23"/>
  <c r="X183" i="23" s="1"/>
  <c r="T183" i="23"/>
  <c r="S183" i="23"/>
  <c r="W182" i="23"/>
  <c r="X182" i="23" s="1"/>
  <c r="T182" i="23"/>
  <c r="S182" i="23"/>
  <c r="W181" i="23"/>
  <c r="X181" i="23" s="1"/>
  <c r="T181" i="23"/>
  <c r="S181" i="23"/>
  <c r="W180" i="23"/>
  <c r="X180" i="23" s="1"/>
  <c r="T180" i="23"/>
  <c r="S180" i="23"/>
  <c r="W179" i="23"/>
  <c r="X179" i="23" s="1"/>
  <c r="T179" i="23"/>
  <c r="S179" i="23"/>
  <c r="W178" i="23"/>
  <c r="X178" i="23" s="1"/>
  <c r="T178" i="23"/>
  <c r="S178" i="23"/>
  <c r="W177" i="23"/>
  <c r="X177" i="23" s="1"/>
  <c r="T177" i="23"/>
  <c r="S177" i="23"/>
  <c r="W176" i="23"/>
  <c r="X176" i="23" s="1"/>
  <c r="T176" i="23"/>
  <c r="S176" i="23"/>
  <c r="W175" i="23"/>
  <c r="X175" i="23" s="1"/>
  <c r="T175" i="23"/>
  <c r="S175" i="23"/>
  <c r="W174" i="23"/>
  <c r="X174" i="23" s="1"/>
  <c r="T174" i="23"/>
  <c r="S174" i="23"/>
  <c r="W173" i="23"/>
  <c r="X173" i="23" s="1"/>
  <c r="T173" i="23"/>
  <c r="S173" i="23"/>
  <c r="W172" i="23"/>
  <c r="X172" i="23" s="1"/>
  <c r="T172" i="23"/>
  <c r="S172" i="23"/>
  <c r="W171" i="23"/>
  <c r="X171" i="23" s="1"/>
  <c r="T171" i="23"/>
  <c r="S171" i="23"/>
  <c r="W170" i="23"/>
  <c r="X170" i="23" s="1"/>
  <c r="T170" i="23"/>
  <c r="S170" i="23"/>
  <c r="W169" i="23"/>
  <c r="X169" i="23" s="1"/>
  <c r="T169" i="23"/>
  <c r="S169" i="23"/>
  <c r="W168" i="23"/>
  <c r="X168" i="23" s="1"/>
  <c r="T168" i="23"/>
  <c r="S168" i="23"/>
  <c r="W167" i="23"/>
  <c r="X167" i="23" s="1"/>
  <c r="T167" i="23"/>
  <c r="S167" i="23"/>
  <c r="W166" i="23"/>
  <c r="X166" i="23" s="1"/>
  <c r="T166" i="23"/>
  <c r="S166" i="23"/>
  <c r="W165" i="23"/>
  <c r="X165" i="23" s="1"/>
  <c r="T165" i="23"/>
  <c r="S165" i="23"/>
  <c r="W164" i="23"/>
  <c r="X164" i="23" s="1"/>
  <c r="T164" i="23"/>
  <c r="S164" i="23"/>
  <c r="W163" i="23"/>
  <c r="X163" i="23" s="1"/>
  <c r="T163" i="23"/>
  <c r="S163" i="23"/>
  <c r="W162" i="23"/>
  <c r="X162" i="23" s="1"/>
  <c r="T162" i="23"/>
  <c r="S162" i="23"/>
  <c r="W161" i="23"/>
  <c r="X161" i="23" s="1"/>
  <c r="T161" i="23"/>
  <c r="S161" i="23"/>
  <c r="W160" i="23"/>
  <c r="X160" i="23" s="1"/>
  <c r="T160" i="23"/>
  <c r="S160" i="23"/>
  <c r="W159" i="23"/>
  <c r="X159" i="23" s="1"/>
  <c r="T159" i="23"/>
  <c r="S159" i="23"/>
  <c r="W158" i="23"/>
  <c r="X158" i="23" s="1"/>
  <c r="T158" i="23"/>
  <c r="S158" i="23"/>
  <c r="W157" i="23"/>
  <c r="X157" i="23" s="1"/>
  <c r="T157" i="23"/>
  <c r="S157" i="23"/>
  <c r="W156" i="23"/>
  <c r="X156" i="23" s="1"/>
  <c r="T156" i="23"/>
  <c r="S156" i="23"/>
  <c r="W155" i="23"/>
  <c r="X155" i="23" s="1"/>
  <c r="T155" i="23"/>
  <c r="S155" i="23"/>
  <c r="W154" i="23"/>
  <c r="X154" i="23" s="1"/>
  <c r="T154" i="23"/>
  <c r="S154" i="23"/>
  <c r="W153" i="23"/>
  <c r="X153" i="23" s="1"/>
  <c r="T153" i="23"/>
  <c r="S153" i="23"/>
  <c r="W152" i="23"/>
  <c r="X152" i="23" s="1"/>
  <c r="T152" i="23"/>
  <c r="S152" i="23"/>
  <c r="W151" i="23"/>
  <c r="X151" i="23" s="1"/>
  <c r="T151" i="23"/>
  <c r="S151" i="23"/>
  <c r="W150" i="23"/>
  <c r="X150" i="23" s="1"/>
  <c r="T150" i="23"/>
  <c r="S150" i="23"/>
  <c r="W149" i="23"/>
  <c r="X149" i="23" s="1"/>
  <c r="T149" i="23"/>
  <c r="S149" i="23"/>
  <c r="W148" i="23"/>
  <c r="X148" i="23" s="1"/>
  <c r="T148" i="23"/>
  <c r="S148" i="23"/>
  <c r="W147" i="23"/>
  <c r="X147" i="23" s="1"/>
  <c r="T147" i="23"/>
  <c r="S147" i="23"/>
  <c r="W146" i="23"/>
  <c r="X146" i="23" s="1"/>
  <c r="T146" i="23"/>
  <c r="S146" i="23"/>
  <c r="W145" i="23"/>
  <c r="X145" i="23" s="1"/>
  <c r="T145" i="23"/>
  <c r="S145" i="23"/>
  <c r="W144" i="23"/>
  <c r="X144" i="23" s="1"/>
  <c r="T144" i="23"/>
  <c r="S144" i="23"/>
  <c r="W143" i="23"/>
  <c r="X143" i="23" s="1"/>
  <c r="T143" i="23"/>
  <c r="S143" i="23"/>
  <c r="W142" i="23"/>
  <c r="X142" i="23" s="1"/>
  <c r="T142" i="23"/>
  <c r="S142" i="23"/>
  <c r="W141" i="23"/>
  <c r="X141" i="23" s="1"/>
  <c r="T141" i="23"/>
  <c r="S141" i="23"/>
  <c r="W140" i="23"/>
  <c r="X140" i="23" s="1"/>
  <c r="T140" i="23"/>
  <c r="S140" i="23"/>
  <c r="W139" i="23"/>
  <c r="X139" i="23" s="1"/>
  <c r="T139" i="23"/>
  <c r="S139" i="23"/>
  <c r="W138" i="23"/>
  <c r="X138" i="23" s="1"/>
  <c r="T138" i="23"/>
  <c r="S138" i="23"/>
  <c r="W137" i="23"/>
  <c r="X137" i="23" s="1"/>
  <c r="T137" i="23"/>
  <c r="S137" i="23"/>
  <c r="W136" i="23"/>
  <c r="X136" i="23" s="1"/>
  <c r="T136" i="23"/>
  <c r="S136" i="23"/>
  <c r="W135" i="23"/>
  <c r="X135" i="23" s="1"/>
  <c r="T135" i="23"/>
  <c r="S135" i="23"/>
  <c r="W134" i="23"/>
  <c r="X134" i="23" s="1"/>
  <c r="T134" i="23"/>
  <c r="S134" i="23"/>
  <c r="W133" i="23"/>
  <c r="X133" i="23" s="1"/>
  <c r="T133" i="23"/>
  <c r="S133" i="23"/>
  <c r="W132" i="23"/>
  <c r="X132" i="23" s="1"/>
  <c r="T132" i="23"/>
  <c r="S132" i="23"/>
  <c r="W131" i="23"/>
  <c r="X131" i="23" s="1"/>
  <c r="T131" i="23"/>
  <c r="S131" i="23"/>
  <c r="W130" i="23"/>
  <c r="X130" i="23" s="1"/>
  <c r="T130" i="23"/>
  <c r="S130" i="23"/>
  <c r="W129" i="23"/>
  <c r="X129" i="23" s="1"/>
  <c r="T129" i="23"/>
  <c r="S129" i="23"/>
  <c r="W128" i="23"/>
  <c r="X128" i="23" s="1"/>
  <c r="T128" i="23"/>
  <c r="S128" i="23"/>
  <c r="W127" i="23"/>
  <c r="X127" i="23" s="1"/>
  <c r="T127" i="23"/>
  <c r="S127" i="23"/>
  <c r="W126" i="23"/>
  <c r="X126" i="23" s="1"/>
  <c r="T126" i="23"/>
  <c r="S126" i="23"/>
  <c r="W125" i="23"/>
  <c r="X125" i="23" s="1"/>
  <c r="T125" i="23"/>
  <c r="S125" i="23"/>
  <c r="W124" i="23"/>
  <c r="X124" i="23" s="1"/>
  <c r="T124" i="23"/>
  <c r="S124" i="23"/>
  <c r="W123" i="23"/>
  <c r="X123" i="23" s="1"/>
  <c r="T123" i="23"/>
  <c r="S123" i="23"/>
  <c r="W122" i="23"/>
  <c r="X122" i="23" s="1"/>
  <c r="T122" i="23"/>
  <c r="S122" i="23"/>
  <c r="W121" i="23"/>
  <c r="X121" i="23" s="1"/>
  <c r="T121" i="23"/>
  <c r="S121" i="23"/>
  <c r="W120" i="23"/>
  <c r="X120" i="23" s="1"/>
  <c r="T120" i="23"/>
  <c r="S120" i="23"/>
  <c r="W119" i="23"/>
  <c r="X119" i="23" s="1"/>
  <c r="T119" i="23"/>
  <c r="S119" i="23"/>
  <c r="W118" i="23"/>
  <c r="X118" i="23" s="1"/>
  <c r="T118" i="23"/>
  <c r="S118" i="23"/>
  <c r="W117" i="23"/>
  <c r="X117" i="23" s="1"/>
  <c r="T117" i="23"/>
  <c r="S117" i="23"/>
  <c r="W116" i="23"/>
  <c r="X116" i="23" s="1"/>
  <c r="T116" i="23"/>
  <c r="S116" i="23"/>
  <c r="W115" i="23"/>
  <c r="X115" i="23" s="1"/>
  <c r="T115" i="23"/>
  <c r="S115" i="23"/>
  <c r="W114" i="23"/>
  <c r="X114" i="23" s="1"/>
  <c r="T114" i="23"/>
  <c r="S114" i="23"/>
  <c r="W113" i="23"/>
  <c r="X113" i="23" s="1"/>
  <c r="T113" i="23"/>
  <c r="S113" i="23"/>
  <c r="W112" i="23"/>
  <c r="X112" i="23" s="1"/>
  <c r="T112" i="23"/>
  <c r="S112" i="23"/>
  <c r="W111" i="23"/>
  <c r="X111" i="23" s="1"/>
  <c r="T111" i="23"/>
  <c r="S111" i="23"/>
  <c r="W110" i="23"/>
  <c r="X110" i="23" s="1"/>
  <c r="T110" i="23"/>
  <c r="S110" i="23"/>
  <c r="W109" i="23"/>
  <c r="X109" i="23" s="1"/>
  <c r="T109" i="23"/>
  <c r="S109" i="23"/>
  <c r="W108" i="23"/>
  <c r="X108" i="23" s="1"/>
  <c r="T108" i="23"/>
  <c r="S108" i="23"/>
  <c r="W107" i="23"/>
  <c r="X107" i="23" s="1"/>
  <c r="T107" i="23"/>
  <c r="S107" i="23"/>
  <c r="W106" i="23"/>
  <c r="X106" i="23" s="1"/>
  <c r="T106" i="23"/>
  <c r="S106" i="23"/>
  <c r="W105" i="23"/>
  <c r="X105" i="23" s="1"/>
  <c r="T105" i="23"/>
  <c r="S105" i="23"/>
  <c r="W104" i="23"/>
  <c r="X104" i="23" s="1"/>
  <c r="T104" i="23"/>
  <c r="S104" i="23"/>
  <c r="W103" i="23"/>
  <c r="X103" i="23" s="1"/>
  <c r="T103" i="23"/>
  <c r="S103" i="23"/>
  <c r="W102" i="23"/>
  <c r="X102" i="23" s="1"/>
  <c r="T102" i="23"/>
  <c r="S102" i="23"/>
  <c r="W101" i="23"/>
  <c r="X101" i="23" s="1"/>
  <c r="T101" i="23"/>
  <c r="S101" i="23"/>
  <c r="W100" i="23"/>
  <c r="X100" i="23" s="1"/>
  <c r="T100" i="23"/>
  <c r="S100" i="23"/>
  <c r="W99" i="23"/>
  <c r="X99" i="23" s="1"/>
  <c r="T99" i="23"/>
  <c r="S99" i="23"/>
  <c r="W98" i="23"/>
  <c r="X98" i="23" s="1"/>
  <c r="T98" i="23"/>
  <c r="S98" i="23"/>
  <c r="W97" i="23"/>
  <c r="X97" i="23" s="1"/>
  <c r="T97" i="23"/>
  <c r="S97" i="23"/>
  <c r="W96" i="23"/>
  <c r="X96" i="23" s="1"/>
  <c r="T96" i="23"/>
  <c r="S96" i="23"/>
  <c r="W95" i="23"/>
  <c r="X95" i="23" s="1"/>
  <c r="T95" i="23"/>
  <c r="S95" i="23"/>
  <c r="W94" i="23"/>
  <c r="X94" i="23" s="1"/>
  <c r="T94" i="23"/>
  <c r="S94" i="23"/>
  <c r="W93" i="23"/>
  <c r="X93" i="23" s="1"/>
  <c r="T93" i="23"/>
  <c r="S93" i="23"/>
  <c r="W92" i="23"/>
  <c r="X92" i="23" s="1"/>
  <c r="T92" i="23"/>
  <c r="S92" i="23"/>
  <c r="W91" i="23"/>
  <c r="X91" i="23" s="1"/>
  <c r="T91" i="23"/>
  <c r="S91" i="23"/>
  <c r="W90" i="23"/>
  <c r="X90" i="23" s="1"/>
  <c r="T90" i="23"/>
  <c r="S90" i="23"/>
  <c r="W89" i="23"/>
  <c r="X89" i="23" s="1"/>
  <c r="T89" i="23"/>
  <c r="S89" i="23"/>
  <c r="W88" i="23"/>
  <c r="X88" i="23" s="1"/>
  <c r="T88" i="23"/>
  <c r="S88" i="23"/>
  <c r="W87" i="23"/>
  <c r="X87" i="23" s="1"/>
  <c r="T87" i="23"/>
  <c r="S87" i="23"/>
  <c r="W86" i="23"/>
  <c r="X86" i="23" s="1"/>
  <c r="T86" i="23"/>
  <c r="S86" i="23"/>
  <c r="W85" i="23"/>
  <c r="X85" i="23" s="1"/>
  <c r="T85" i="23"/>
  <c r="S85" i="23"/>
  <c r="W84" i="23"/>
  <c r="X84" i="23" s="1"/>
  <c r="T84" i="23"/>
  <c r="S84" i="23"/>
  <c r="W83" i="23"/>
  <c r="X83" i="23" s="1"/>
  <c r="T83" i="23"/>
  <c r="S83" i="23"/>
  <c r="W82" i="23"/>
  <c r="X82" i="23" s="1"/>
  <c r="T82" i="23"/>
  <c r="S82" i="23"/>
  <c r="W81" i="23"/>
  <c r="X81" i="23" s="1"/>
  <c r="T81" i="23"/>
  <c r="S81" i="23"/>
  <c r="W80" i="23"/>
  <c r="X80" i="23" s="1"/>
  <c r="T80" i="23"/>
  <c r="S80" i="23"/>
  <c r="W79" i="23"/>
  <c r="X79" i="23" s="1"/>
  <c r="T79" i="23"/>
  <c r="S79" i="23"/>
  <c r="W78" i="23"/>
  <c r="X78" i="23" s="1"/>
  <c r="T78" i="23"/>
  <c r="S78" i="23"/>
  <c r="W77" i="23"/>
  <c r="X77" i="23" s="1"/>
  <c r="T77" i="23"/>
  <c r="S77" i="23"/>
  <c r="W76" i="23"/>
  <c r="X76" i="23" s="1"/>
  <c r="T76" i="23"/>
  <c r="S76" i="23"/>
  <c r="W75" i="23"/>
  <c r="X75" i="23" s="1"/>
  <c r="T75" i="23"/>
  <c r="S75" i="23"/>
  <c r="W74" i="23"/>
  <c r="X74" i="23" s="1"/>
  <c r="T74" i="23"/>
  <c r="S74" i="23"/>
  <c r="W73" i="23"/>
  <c r="X73" i="23" s="1"/>
  <c r="T73" i="23"/>
  <c r="S73" i="23"/>
  <c r="W72" i="23"/>
  <c r="X72" i="23" s="1"/>
  <c r="T72" i="23"/>
  <c r="S72" i="23"/>
  <c r="W71" i="23"/>
  <c r="X71" i="23" s="1"/>
  <c r="T71" i="23"/>
  <c r="S71" i="23"/>
  <c r="W70" i="23"/>
  <c r="X70" i="23" s="1"/>
  <c r="T70" i="23"/>
  <c r="S70" i="23"/>
  <c r="W69" i="23"/>
  <c r="X69" i="23" s="1"/>
  <c r="T69" i="23"/>
  <c r="S69" i="23"/>
  <c r="W68" i="23"/>
  <c r="X68" i="23" s="1"/>
  <c r="T68" i="23"/>
  <c r="S68" i="23"/>
  <c r="W67" i="23"/>
  <c r="X67" i="23" s="1"/>
  <c r="T67" i="23"/>
  <c r="S67" i="23"/>
  <c r="W66" i="23"/>
  <c r="X66" i="23" s="1"/>
  <c r="T66" i="23"/>
  <c r="S66" i="23"/>
  <c r="W65" i="23"/>
  <c r="X65" i="23" s="1"/>
  <c r="T65" i="23"/>
  <c r="S65" i="23"/>
  <c r="W64" i="23"/>
  <c r="X64" i="23" s="1"/>
  <c r="T64" i="23"/>
  <c r="S64" i="23"/>
  <c r="W63" i="23"/>
  <c r="X63" i="23" s="1"/>
  <c r="T63" i="23"/>
  <c r="S63" i="23"/>
  <c r="W62" i="23"/>
  <c r="X62" i="23" s="1"/>
  <c r="T62" i="23"/>
  <c r="S62" i="23"/>
  <c r="W61" i="23"/>
  <c r="X61" i="23" s="1"/>
  <c r="T61" i="23"/>
  <c r="S61" i="23"/>
  <c r="W60" i="23"/>
  <c r="X60" i="23" s="1"/>
  <c r="T60" i="23"/>
  <c r="S60" i="23"/>
  <c r="W59" i="23"/>
  <c r="X59" i="23" s="1"/>
  <c r="T59" i="23"/>
  <c r="S59" i="23"/>
  <c r="W58" i="23"/>
  <c r="X58" i="23" s="1"/>
  <c r="T58" i="23"/>
  <c r="S58" i="23"/>
  <c r="W57" i="23"/>
  <c r="X57" i="23" s="1"/>
  <c r="T57" i="23"/>
  <c r="S57" i="23"/>
  <c r="W56" i="23"/>
  <c r="X56" i="23" s="1"/>
  <c r="T56" i="23"/>
  <c r="S56" i="23"/>
  <c r="W55" i="23"/>
  <c r="X55" i="23" s="1"/>
  <c r="T55" i="23"/>
  <c r="S55" i="23"/>
  <c r="W54" i="23"/>
  <c r="X54" i="23" s="1"/>
  <c r="T54" i="23"/>
  <c r="S54" i="23"/>
  <c r="W53" i="23"/>
  <c r="X53" i="23" s="1"/>
  <c r="T53" i="23"/>
  <c r="S53" i="23"/>
  <c r="W52" i="23"/>
  <c r="X52" i="23" s="1"/>
  <c r="T52" i="23"/>
  <c r="S52" i="23"/>
  <c r="W51" i="23"/>
  <c r="X51" i="23" s="1"/>
  <c r="T51" i="23"/>
  <c r="S51" i="23"/>
  <c r="W50" i="23"/>
  <c r="X50" i="23" s="1"/>
  <c r="T50" i="23"/>
  <c r="S50" i="23"/>
  <c r="W49" i="23"/>
  <c r="X49" i="23" s="1"/>
  <c r="T49" i="23"/>
  <c r="S49" i="23"/>
  <c r="W48" i="23"/>
  <c r="X48" i="23" s="1"/>
  <c r="T48" i="23"/>
  <c r="S48" i="23"/>
  <c r="W47" i="23"/>
  <c r="X47" i="23" s="1"/>
  <c r="T47" i="23"/>
  <c r="S47" i="23"/>
  <c r="W46" i="23"/>
  <c r="X46" i="23" s="1"/>
  <c r="T46" i="23"/>
  <c r="S46" i="23"/>
  <c r="W44" i="23"/>
  <c r="X44" i="23" s="1"/>
  <c r="T44" i="23"/>
  <c r="S44" i="23"/>
  <c r="W43" i="23"/>
  <c r="X43" i="23" s="1"/>
  <c r="T43" i="23"/>
  <c r="S43" i="23"/>
  <c r="W42" i="23"/>
  <c r="X42" i="23" s="1"/>
  <c r="T42" i="23"/>
  <c r="S42" i="23"/>
  <c r="W41" i="23"/>
  <c r="X41" i="23" s="1"/>
  <c r="T41" i="23"/>
  <c r="S41" i="23"/>
  <c r="W40" i="23"/>
  <c r="X40" i="23" s="1"/>
  <c r="T40" i="23"/>
  <c r="S40" i="23"/>
  <c r="W39" i="23"/>
  <c r="X39" i="23" s="1"/>
  <c r="T39" i="23"/>
  <c r="S39" i="23"/>
  <c r="W38" i="23"/>
  <c r="X38" i="23" s="1"/>
  <c r="T38" i="23"/>
  <c r="S38" i="23"/>
  <c r="W36" i="23"/>
  <c r="X36" i="23" s="1"/>
  <c r="T36" i="23"/>
  <c r="S36" i="23"/>
  <c r="W35" i="23"/>
  <c r="X35" i="23" s="1"/>
  <c r="T35" i="23"/>
  <c r="S35" i="23"/>
  <c r="W34" i="23"/>
  <c r="X34" i="23" s="1"/>
  <c r="T34" i="23"/>
  <c r="S34" i="23"/>
  <c r="W33" i="23"/>
  <c r="X33" i="23" s="1"/>
  <c r="T33" i="23"/>
  <c r="S33" i="23"/>
  <c r="W32" i="23"/>
  <c r="X32" i="23" s="1"/>
  <c r="T32" i="23"/>
  <c r="S32" i="23"/>
  <c r="W31" i="23"/>
  <c r="X31" i="23" s="1"/>
  <c r="T31" i="23"/>
  <c r="S31" i="23"/>
  <c r="W30" i="23"/>
  <c r="X30" i="23" s="1"/>
  <c r="T30" i="23"/>
  <c r="S30" i="23"/>
  <c r="W29" i="23"/>
  <c r="X29" i="23" s="1"/>
  <c r="T29" i="23"/>
  <c r="S29" i="23"/>
  <c r="W28" i="23"/>
  <c r="X28" i="23" s="1"/>
  <c r="T28" i="23"/>
  <c r="S28" i="23"/>
  <c r="W27" i="23"/>
  <c r="X27" i="23" s="1"/>
  <c r="T27" i="23"/>
  <c r="S27" i="23"/>
  <c r="W26" i="23"/>
  <c r="X26" i="23" s="1"/>
  <c r="T26" i="23"/>
  <c r="S26" i="23"/>
  <c r="W25" i="23"/>
  <c r="X25" i="23" s="1"/>
  <c r="T25" i="23"/>
  <c r="S25" i="23"/>
  <c r="W24" i="23"/>
  <c r="X24" i="23" s="1"/>
  <c r="T24" i="23"/>
  <c r="S24" i="23"/>
  <c r="W23" i="23"/>
  <c r="X23" i="23" s="1"/>
  <c r="T23" i="23"/>
  <c r="S23" i="23"/>
  <c r="W22" i="23"/>
  <c r="X22" i="23" s="1"/>
  <c r="T22" i="23"/>
  <c r="S22" i="23"/>
  <c r="W21" i="23"/>
  <c r="X21" i="23" s="1"/>
  <c r="T21" i="23"/>
  <c r="S21" i="23"/>
  <c r="W20" i="23"/>
  <c r="X20" i="23" s="1"/>
  <c r="T20" i="23"/>
  <c r="S20" i="23"/>
  <c r="W19" i="23"/>
  <c r="X19" i="23" s="1"/>
  <c r="T19" i="23"/>
  <c r="S19" i="23"/>
  <c r="W18" i="23"/>
  <c r="X18" i="23" s="1"/>
  <c r="T18" i="23"/>
  <c r="S18" i="23"/>
  <c r="W17" i="23"/>
  <c r="X17" i="23" s="1"/>
  <c r="T17" i="23"/>
  <c r="S17" i="23"/>
  <c r="W16" i="23"/>
  <c r="X16" i="23" s="1"/>
  <c r="T16" i="23"/>
  <c r="S16" i="23"/>
  <c r="W15" i="23"/>
  <c r="X15" i="23" s="1"/>
  <c r="T15" i="23"/>
  <c r="S15" i="23"/>
  <c r="W14" i="23"/>
  <c r="X14" i="23" s="1"/>
  <c r="T14" i="23"/>
  <c r="S14" i="23"/>
  <c r="W13" i="23"/>
  <c r="X13" i="23" s="1"/>
  <c r="T13" i="23"/>
  <c r="S13" i="23"/>
  <c r="W12" i="23"/>
  <c r="X12" i="23" s="1"/>
  <c r="T12" i="23"/>
  <c r="S12" i="23"/>
  <c r="W11" i="23"/>
  <c r="X11" i="23" s="1"/>
  <c r="T11" i="23"/>
  <c r="S11" i="23"/>
  <c r="W10" i="23"/>
  <c r="X10" i="23" s="1"/>
  <c r="T10" i="23"/>
  <c r="S10" i="23"/>
  <c r="W9" i="23"/>
  <c r="X9" i="23" s="1"/>
  <c r="T9" i="23"/>
  <c r="F36" i="74" s="1"/>
  <c r="S9" i="23"/>
  <c r="W8" i="23"/>
  <c r="X8" i="23" s="1"/>
  <c r="T8" i="23"/>
  <c r="S8" i="23"/>
  <c r="W7" i="23"/>
  <c r="X7" i="23" s="1"/>
  <c r="T7" i="23"/>
  <c r="S7" i="23"/>
  <c r="W6" i="23"/>
  <c r="X6" i="23" s="1"/>
  <c r="T6" i="23"/>
  <c r="S6" i="23"/>
  <c r="W5" i="23"/>
  <c r="X5" i="23" s="1"/>
  <c r="T5" i="23"/>
  <c r="S5" i="23"/>
  <c r="W4" i="23"/>
  <c r="X4" i="23" s="1"/>
  <c r="T4" i="23"/>
  <c r="S4" i="23"/>
  <c r="W3" i="23"/>
  <c r="X3" i="23" s="1"/>
  <c r="T3" i="23"/>
  <c r="S3" i="23"/>
  <c r="X42" i="3"/>
  <c r="X41" i="3"/>
  <c r="X40" i="3"/>
  <c r="X39" i="3"/>
  <c r="X38" i="3"/>
  <c r="X37" i="3"/>
  <c r="X36" i="3"/>
  <c r="W431" i="23"/>
  <c r="X431" i="23" s="1"/>
  <c r="T431" i="23"/>
  <c r="S431" i="23"/>
  <c r="W430" i="23"/>
  <c r="X430" i="23" s="1"/>
  <c r="T430" i="23"/>
  <c r="S430" i="23"/>
  <c r="W429" i="23"/>
  <c r="X429" i="23" s="1"/>
  <c r="T429" i="23"/>
  <c r="S429" i="23"/>
  <c r="W428" i="23"/>
  <c r="X428" i="23" s="1"/>
  <c r="T428" i="23"/>
  <c r="S428" i="23"/>
  <c r="W427" i="23"/>
  <c r="X427" i="23" s="1"/>
  <c r="T427" i="23"/>
  <c r="S427" i="23"/>
  <c r="W426" i="23"/>
  <c r="X426" i="23" s="1"/>
  <c r="T426" i="23"/>
  <c r="S426" i="23"/>
  <c r="W425" i="23"/>
  <c r="X425" i="23" s="1"/>
  <c r="T425" i="23"/>
  <c r="S425" i="23"/>
  <c r="W424" i="23"/>
  <c r="X424" i="23" s="1"/>
  <c r="T424" i="23"/>
  <c r="S424" i="23"/>
  <c r="W423" i="23"/>
  <c r="X423" i="23" s="1"/>
  <c r="T423" i="23"/>
  <c r="S423" i="23"/>
  <c r="W422" i="23"/>
  <c r="X422" i="23" s="1"/>
  <c r="T422" i="23"/>
  <c r="S422" i="23"/>
  <c r="W421" i="23"/>
  <c r="X421" i="23" s="1"/>
  <c r="T421" i="23"/>
  <c r="S421" i="23"/>
  <c r="W420" i="23"/>
  <c r="X420" i="23" s="1"/>
  <c r="T420" i="23"/>
  <c r="S420" i="23"/>
  <c r="W419" i="23"/>
  <c r="X419" i="23" s="1"/>
  <c r="T419" i="23"/>
  <c r="S419" i="23"/>
  <c r="W418" i="23"/>
  <c r="X418" i="23" s="1"/>
  <c r="T418" i="23"/>
  <c r="S418" i="23"/>
  <c r="W417" i="23"/>
  <c r="X417" i="23" s="1"/>
  <c r="T417" i="23"/>
  <c r="S417" i="23"/>
  <c r="W416" i="23"/>
  <c r="X416" i="23" s="1"/>
  <c r="T416" i="23"/>
  <c r="S416" i="23"/>
  <c r="W415" i="23"/>
  <c r="X415" i="23" s="1"/>
  <c r="T415" i="23"/>
  <c r="S415" i="23"/>
  <c r="W414" i="23"/>
  <c r="X414" i="23" s="1"/>
  <c r="T414" i="23"/>
  <c r="S414" i="23"/>
  <c r="W413" i="23"/>
  <c r="X413" i="23" s="1"/>
  <c r="T413" i="23"/>
  <c r="S413" i="23"/>
  <c r="W412" i="23"/>
  <c r="X412" i="23" s="1"/>
  <c r="T412" i="23"/>
  <c r="S412" i="23"/>
  <c r="W411" i="23"/>
  <c r="X411" i="23" s="1"/>
  <c r="T411" i="23"/>
  <c r="S411" i="23"/>
  <c r="W410" i="23"/>
  <c r="X410" i="23" s="1"/>
  <c r="T410" i="23"/>
  <c r="S410" i="23"/>
  <c r="W409" i="23"/>
  <c r="X409" i="23" s="1"/>
  <c r="T409" i="23"/>
  <c r="S409" i="23"/>
  <c r="W408" i="23"/>
  <c r="X408" i="23" s="1"/>
  <c r="T408" i="23"/>
  <c r="S408" i="23"/>
  <c r="W407" i="23"/>
  <c r="X407" i="23" s="1"/>
  <c r="T407" i="23"/>
  <c r="S407" i="23"/>
  <c r="W406" i="23"/>
  <c r="X406" i="23" s="1"/>
  <c r="T406" i="23"/>
  <c r="S406" i="23"/>
  <c r="W405" i="23"/>
  <c r="X405" i="23" s="1"/>
  <c r="T405" i="23"/>
  <c r="S405" i="23"/>
  <c r="W404" i="23"/>
  <c r="X404" i="23" s="1"/>
  <c r="T404" i="23"/>
  <c r="S404" i="23"/>
  <c r="W403" i="23"/>
  <c r="X403" i="23" s="1"/>
  <c r="T403" i="23"/>
  <c r="S403" i="23"/>
  <c r="W402" i="23"/>
  <c r="X402" i="23" s="1"/>
  <c r="T402" i="23"/>
  <c r="S402" i="23"/>
  <c r="W401" i="23"/>
  <c r="X401" i="23" s="1"/>
  <c r="T401" i="23"/>
  <c r="S401" i="23"/>
  <c r="W400" i="23"/>
  <c r="X400" i="23" s="1"/>
  <c r="T400" i="23"/>
  <c r="S400" i="23"/>
  <c r="W399" i="23"/>
  <c r="X399" i="23" s="1"/>
  <c r="T399" i="23"/>
  <c r="S399" i="23"/>
  <c r="W398" i="23"/>
  <c r="X398" i="23" s="1"/>
  <c r="T398" i="23"/>
  <c r="S398" i="23"/>
  <c r="W397" i="23"/>
  <c r="X397" i="23" s="1"/>
  <c r="T397" i="23"/>
  <c r="S397" i="23"/>
  <c r="W396" i="23"/>
  <c r="X396" i="23" s="1"/>
  <c r="T396" i="23"/>
  <c r="S396" i="23"/>
  <c r="W395" i="23"/>
  <c r="X395" i="23" s="1"/>
  <c r="T395" i="23"/>
  <c r="S395" i="23"/>
  <c r="W394" i="23"/>
  <c r="X394" i="23" s="1"/>
  <c r="T394" i="23"/>
  <c r="S394" i="23"/>
  <c r="W393" i="23"/>
  <c r="X393" i="23" s="1"/>
  <c r="T393" i="23"/>
  <c r="S393" i="23"/>
  <c r="W392" i="23"/>
  <c r="X392" i="23" s="1"/>
  <c r="T392" i="23"/>
  <c r="S392" i="23"/>
  <c r="W391" i="23"/>
  <c r="X391" i="23" s="1"/>
  <c r="T391" i="23"/>
  <c r="S391" i="23"/>
  <c r="W390" i="23"/>
  <c r="X390" i="23" s="1"/>
  <c r="T390" i="23"/>
  <c r="S390" i="23"/>
  <c r="W389" i="23"/>
  <c r="X389" i="23" s="1"/>
  <c r="T389" i="23"/>
  <c r="S389" i="23"/>
  <c r="W388" i="23"/>
  <c r="X388" i="23" s="1"/>
  <c r="T388" i="23"/>
  <c r="S388" i="23"/>
  <c r="W387" i="23"/>
  <c r="X387" i="23" s="1"/>
  <c r="T387" i="23"/>
  <c r="S387" i="23"/>
  <c r="W386" i="23"/>
  <c r="X386" i="23" s="1"/>
  <c r="T386" i="23"/>
  <c r="S386" i="23"/>
  <c r="W385" i="23"/>
  <c r="X385" i="23" s="1"/>
  <c r="T385" i="23"/>
  <c r="S385" i="23"/>
  <c r="W384" i="23"/>
  <c r="X384" i="23" s="1"/>
  <c r="T384" i="23"/>
  <c r="S384" i="23"/>
  <c r="W383" i="23"/>
  <c r="X383" i="23" s="1"/>
  <c r="T383" i="23"/>
  <c r="S383" i="23"/>
  <c r="W382" i="23"/>
  <c r="X382" i="23" s="1"/>
  <c r="T382" i="23"/>
  <c r="S382" i="23"/>
  <c r="W381" i="23"/>
  <c r="X381" i="23" s="1"/>
  <c r="T381" i="23"/>
  <c r="S381" i="23"/>
  <c r="W380" i="23"/>
  <c r="X380" i="23" s="1"/>
  <c r="T380" i="23"/>
  <c r="S380" i="23"/>
  <c r="W379" i="23"/>
  <c r="X379" i="23" s="1"/>
  <c r="T379" i="23"/>
  <c r="S379" i="23"/>
  <c r="W378" i="23"/>
  <c r="X378" i="23" s="1"/>
  <c r="T378" i="23"/>
  <c r="S378" i="23"/>
  <c r="W377" i="23"/>
  <c r="X377" i="23" s="1"/>
  <c r="T377" i="23"/>
  <c r="S377" i="23"/>
  <c r="W376" i="23"/>
  <c r="X376" i="23" s="1"/>
  <c r="T376" i="23"/>
  <c r="S376" i="23"/>
  <c r="W375" i="23"/>
  <c r="X375" i="23" s="1"/>
  <c r="T375" i="23"/>
  <c r="S375" i="23"/>
  <c r="W374" i="23"/>
  <c r="X374" i="23" s="1"/>
  <c r="T374" i="23"/>
  <c r="S374" i="23"/>
  <c r="W373" i="23"/>
  <c r="X373" i="23" s="1"/>
  <c r="T373" i="23"/>
  <c r="S373" i="23"/>
  <c r="W372" i="23"/>
  <c r="X372" i="23" s="1"/>
  <c r="T372" i="23"/>
  <c r="S372" i="23"/>
  <c r="W371" i="23"/>
  <c r="X371" i="23" s="1"/>
  <c r="T371" i="23"/>
  <c r="S371" i="23"/>
  <c r="W370" i="23"/>
  <c r="X370" i="23" s="1"/>
  <c r="T370" i="23"/>
  <c r="S370" i="23"/>
  <c r="W369" i="23"/>
  <c r="X369" i="23" s="1"/>
  <c r="T369" i="23"/>
  <c r="S369" i="23"/>
  <c r="W368" i="23"/>
  <c r="X368" i="23" s="1"/>
  <c r="T368" i="23"/>
  <c r="S368" i="23"/>
  <c r="W367" i="23"/>
  <c r="X367" i="23" s="1"/>
  <c r="T367" i="23"/>
  <c r="S367" i="23"/>
  <c r="W366" i="23"/>
  <c r="X366" i="23" s="1"/>
  <c r="T366" i="23"/>
  <c r="S366" i="23"/>
  <c r="W365" i="23"/>
  <c r="X365" i="23" s="1"/>
  <c r="T365" i="23"/>
  <c r="S365" i="23"/>
  <c r="W364" i="23"/>
  <c r="X364" i="23" s="1"/>
  <c r="T364" i="23"/>
  <c r="S364" i="23"/>
  <c r="W363" i="23"/>
  <c r="X363" i="23" s="1"/>
  <c r="T363" i="23"/>
  <c r="S363" i="23"/>
  <c r="W362" i="23"/>
  <c r="X362" i="23" s="1"/>
  <c r="T362" i="23"/>
  <c r="S362" i="23"/>
  <c r="W361" i="23"/>
  <c r="X361" i="23" s="1"/>
  <c r="T361" i="23"/>
  <c r="S361" i="23"/>
  <c r="W360" i="23"/>
  <c r="X360" i="23" s="1"/>
  <c r="T360" i="23"/>
  <c r="S360" i="23"/>
  <c r="W359" i="23"/>
  <c r="X359" i="23" s="1"/>
  <c r="T359" i="23"/>
  <c r="S359" i="23"/>
  <c r="W358" i="23"/>
  <c r="X358" i="23" s="1"/>
  <c r="T358" i="23"/>
  <c r="S358" i="23"/>
  <c r="W357" i="23"/>
  <c r="X357" i="23" s="1"/>
  <c r="T357" i="23"/>
  <c r="S357" i="23"/>
  <c r="W356" i="23"/>
  <c r="X356" i="23" s="1"/>
  <c r="T356" i="23"/>
  <c r="S356" i="23"/>
  <c r="W355" i="23"/>
  <c r="X355" i="23" s="1"/>
  <c r="T355" i="23"/>
  <c r="S355" i="23"/>
  <c r="W354" i="23"/>
  <c r="X354" i="23" s="1"/>
  <c r="T354" i="23"/>
  <c r="S354" i="23"/>
  <c r="W353" i="23"/>
  <c r="X353" i="23" s="1"/>
  <c r="T353" i="23"/>
  <c r="S353" i="23"/>
  <c r="W352" i="23"/>
  <c r="X352" i="23" s="1"/>
  <c r="T352" i="23"/>
  <c r="S352" i="23"/>
  <c r="W351" i="23"/>
  <c r="X351" i="23" s="1"/>
  <c r="T351" i="23"/>
  <c r="S351" i="23"/>
  <c r="W350" i="23"/>
  <c r="X350" i="23" s="1"/>
  <c r="T350" i="23"/>
  <c r="S350" i="23"/>
  <c r="W349" i="23"/>
  <c r="X349" i="23" s="1"/>
  <c r="T349" i="23"/>
  <c r="S349" i="23"/>
  <c r="W348" i="23"/>
  <c r="X348" i="23" s="1"/>
  <c r="T348" i="23"/>
  <c r="S348" i="23"/>
  <c r="W347" i="23"/>
  <c r="X347" i="23" s="1"/>
  <c r="T347" i="23"/>
  <c r="S347" i="23"/>
  <c r="W346" i="23"/>
  <c r="X346" i="23" s="1"/>
  <c r="T346" i="23"/>
  <c r="S346" i="23"/>
  <c r="W345" i="23"/>
  <c r="X345" i="23" s="1"/>
  <c r="T345" i="23"/>
  <c r="S345" i="23"/>
  <c r="W344" i="23"/>
  <c r="X344" i="23" s="1"/>
  <c r="T344" i="23"/>
  <c r="S344" i="23"/>
  <c r="W343" i="23"/>
  <c r="X343" i="23" s="1"/>
  <c r="T343" i="23"/>
  <c r="S343" i="23"/>
  <c r="W342" i="23"/>
  <c r="X342" i="23" s="1"/>
  <c r="T342" i="23"/>
  <c r="S342" i="23"/>
  <c r="W341" i="23"/>
  <c r="X341" i="23" s="1"/>
  <c r="T341" i="23"/>
  <c r="S341" i="23"/>
  <c r="W340" i="23"/>
  <c r="X340" i="23" s="1"/>
  <c r="T340" i="23"/>
  <c r="S340" i="23"/>
  <c r="W339" i="23"/>
  <c r="X339" i="23" s="1"/>
  <c r="T339" i="23"/>
  <c r="S339" i="23"/>
  <c r="W338" i="23"/>
  <c r="X338" i="23" s="1"/>
  <c r="T338" i="23"/>
  <c r="S338" i="23"/>
  <c r="W337" i="23"/>
  <c r="X337" i="23" s="1"/>
  <c r="T337" i="23"/>
  <c r="S337" i="23"/>
  <c r="W336" i="23"/>
  <c r="X336" i="23" s="1"/>
  <c r="T336" i="23"/>
  <c r="S336" i="23"/>
  <c r="W335" i="23"/>
  <c r="X335" i="23" s="1"/>
  <c r="T335" i="23"/>
  <c r="S335" i="23"/>
  <c r="W334" i="23"/>
  <c r="X334" i="23" s="1"/>
  <c r="T334" i="23"/>
  <c r="S334" i="23"/>
  <c r="W333" i="23"/>
  <c r="X333" i="23" s="1"/>
  <c r="T333" i="23"/>
  <c r="S333" i="23"/>
  <c r="W332" i="23"/>
  <c r="X332" i="23" s="1"/>
  <c r="T332" i="23"/>
  <c r="S332" i="23"/>
  <c r="W331" i="23"/>
  <c r="X331" i="23" s="1"/>
  <c r="T331" i="23"/>
  <c r="S331" i="23"/>
  <c r="W330" i="23"/>
  <c r="X330" i="23" s="1"/>
  <c r="T330" i="23"/>
  <c r="S330" i="23"/>
  <c r="W329" i="23"/>
  <c r="X329" i="23" s="1"/>
  <c r="T329" i="23"/>
  <c r="S329" i="23"/>
  <c r="W328" i="23"/>
  <c r="X328" i="23" s="1"/>
  <c r="T328" i="23"/>
  <c r="S328" i="23"/>
  <c r="W327" i="23"/>
  <c r="X327" i="23" s="1"/>
  <c r="T327" i="23"/>
  <c r="S327" i="23"/>
  <c r="W326" i="23"/>
  <c r="X326" i="23" s="1"/>
  <c r="T326" i="23"/>
  <c r="S326" i="23"/>
  <c r="W325" i="23"/>
  <c r="X325" i="23" s="1"/>
  <c r="T325" i="23"/>
  <c r="S325" i="23"/>
  <c r="W324" i="23"/>
  <c r="X324" i="23" s="1"/>
  <c r="T324" i="23"/>
  <c r="S324" i="23"/>
  <c r="W323" i="23"/>
  <c r="X323" i="23" s="1"/>
  <c r="T323" i="23"/>
  <c r="S323" i="23"/>
  <c r="W322" i="23"/>
  <c r="X322" i="23" s="1"/>
  <c r="T322" i="23"/>
  <c r="S322" i="23"/>
  <c r="W321" i="23"/>
  <c r="X321" i="23" s="1"/>
  <c r="T321" i="23"/>
  <c r="S321" i="23"/>
  <c r="W320" i="23"/>
  <c r="X320" i="23" s="1"/>
  <c r="T320" i="23"/>
  <c r="S320" i="23"/>
  <c r="W319" i="23"/>
  <c r="X319" i="23" s="1"/>
  <c r="T319" i="23"/>
  <c r="S319" i="23"/>
  <c r="W318" i="23"/>
  <c r="X318" i="23" s="1"/>
  <c r="T318" i="23"/>
  <c r="S318" i="23"/>
  <c r="W317" i="23"/>
  <c r="X317" i="23" s="1"/>
  <c r="T317" i="23"/>
  <c r="S317" i="23"/>
  <c r="W316" i="23"/>
  <c r="X316" i="23" s="1"/>
  <c r="T316" i="23"/>
  <c r="S316" i="23"/>
  <c r="W315" i="23"/>
  <c r="X315" i="23" s="1"/>
  <c r="T315" i="23"/>
  <c r="S315" i="23"/>
  <c r="W314" i="23"/>
  <c r="X314" i="23" s="1"/>
  <c r="T314" i="23"/>
  <c r="S314" i="23"/>
  <c r="W313" i="23"/>
  <c r="X313" i="23" s="1"/>
  <c r="T313" i="23"/>
  <c r="S313" i="23"/>
  <c r="W312" i="23"/>
  <c r="X312" i="23" s="1"/>
  <c r="T312" i="23"/>
  <c r="S312" i="23"/>
  <c r="W311" i="23"/>
  <c r="X311" i="23" s="1"/>
  <c r="T311" i="23"/>
  <c r="S311" i="23"/>
  <c r="W310" i="23"/>
  <c r="X310" i="23" s="1"/>
  <c r="T310" i="23"/>
  <c r="S310" i="23"/>
  <c r="W309" i="23"/>
  <c r="X309" i="23" s="1"/>
  <c r="T309" i="23"/>
  <c r="S309" i="23"/>
  <c r="W308" i="23"/>
  <c r="X308" i="23" s="1"/>
  <c r="T308" i="23"/>
  <c r="S308" i="23"/>
  <c r="W307" i="23"/>
  <c r="X307" i="23" s="1"/>
  <c r="T307" i="23"/>
  <c r="S307" i="23"/>
  <c r="W306" i="23"/>
  <c r="X306" i="23" s="1"/>
  <c r="T306" i="23"/>
  <c r="S306" i="23"/>
  <c r="W305" i="23"/>
  <c r="X305" i="23" s="1"/>
  <c r="T305" i="23"/>
  <c r="S305" i="23"/>
  <c r="W304" i="23"/>
  <c r="X304" i="23" s="1"/>
  <c r="T304" i="23"/>
  <c r="S304" i="23"/>
  <c r="W303" i="23"/>
  <c r="X303" i="23" s="1"/>
  <c r="T303" i="23"/>
  <c r="S303" i="23"/>
  <c r="W302" i="23"/>
  <c r="X302" i="23" s="1"/>
  <c r="T302" i="23"/>
  <c r="S302" i="23"/>
  <c r="W301" i="23"/>
  <c r="X301" i="23" s="1"/>
  <c r="T301" i="23"/>
  <c r="S301" i="23"/>
  <c r="W300" i="23"/>
  <c r="X300" i="23" s="1"/>
  <c r="T300" i="23"/>
  <c r="S300" i="23"/>
  <c r="W299" i="23"/>
  <c r="X299" i="23" s="1"/>
  <c r="T299" i="23"/>
  <c r="S299" i="23"/>
  <c r="W298" i="23"/>
  <c r="X298" i="23" s="1"/>
  <c r="T298" i="23"/>
  <c r="S298" i="23"/>
  <c r="W297" i="23"/>
  <c r="X297" i="23" s="1"/>
  <c r="T297" i="23"/>
  <c r="S297" i="23"/>
  <c r="W296" i="23"/>
  <c r="X296" i="23" s="1"/>
  <c r="T296" i="23"/>
  <c r="S296" i="23"/>
  <c r="W295" i="23"/>
  <c r="X295" i="23" s="1"/>
  <c r="T295" i="23"/>
  <c r="S295" i="23"/>
  <c r="W294" i="23"/>
  <c r="X294" i="23" s="1"/>
  <c r="T294" i="23"/>
  <c r="S294" i="23"/>
  <c r="W293" i="23"/>
  <c r="X293" i="23" s="1"/>
  <c r="T293" i="23"/>
  <c r="S293" i="23"/>
  <c r="W292" i="23"/>
  <c r="X292" i="23" s="1"/>
  <c r="T292" i="23"/>
  <c r="S292" i="23"/>
  <c r="W291" i="23"/>
  <c r="X291" i="23" s="1"/>
  <c r="T291" i="23"/>
  <c r="S291" i="23"/>
  <c r="W290" i="23"/>
  <c r="X290" i="23" s="1"/>
  <c r="T290" i="23"/>
  <c r="S290" i="23"/>
  <c r="F55" i="74" l="1"/>
  <c r="E10" i="77"/>
  <c r="E17" i="77" s="1"/>
  <c r="D17" i="77"/>
  <c r="F19" i="74"/>
  <c r="G103" i="75"/>
  <c r="G111" i="75" s="1"/>
  <c r="D1" i="3"/>
  <c r="S39" i="28"/>
  <c r="S38" i="28"/>
  <c r="S37" i="28"/>
  <c r="S36" i="28"/>
  <c r="S35" i="28"/>
  <c r="S34" i="28"/>
  <c r="S33" i="28"/>
  <c r="S32" i="28"/>
  <c r="S31" i="28"/>
  <c r="S30" i="28"/>
  <c r="S29" i="28"/>
  <c r="S28" i="28"/>
  <c r="S27" i="28"/>
  <c r="S26" i="28"/>
  <c r="S25" i="28"/>
  <c r="S24" i="28"/>
  <c r="S23" i="28"/>
  <c r="S22" i="28"/>
  <c r="S21" i="28"/>
  <c r="S20" i="28"/>
  <c r="S19" i="28"/>
  <c r="S18" i="28"/>
  <c r="S17" i="28"/>
  <c r="V22" i="2" l="1"/>
  <c r="T26" i="2"/>
  <c r="T25" i="2"/>
  <c r="T24" i="2"/>
  <c r="T23" i="2"/>
  <c r="T22" i="2"/>
  <c r="I147" i="53" l="1"/>
  <c r="G16" i="66" s="1"/>
  <c r="Q17" i="66" l="1"/>
  <c r="Q16" i="66"/>
  <c r="P17" i="66"/>
  <c r="O17" i="66"/>
  <c r="O16" i="66"/>
  <c r="N17" i="66"/>
  <c r="N16" i="66"/>
  <c r="N12" i="66"/>
  <c r="N11" i="66"/>
  <c r="N10" i="66"/>
  <c r="N8" i="66"/>
  <c r="M20" i="66"/>
  <c r="M17" i="66"/>
  <c r="M16" i="66"/>
  <c r="L20" i="66"/>
  <c r="L19" i="66"/>
  <c r="L17" i="66"/>
  <c r="L16" i="66"/>
  <c r="K19" i="66"/>
  <c r="K17" i="66"/>
  <c r="K16" i="66"/>
  <c r="J17" i="66"/>
  <c r="J16" i="66"/>
  <c r="I17" i="66"/>
  <c r="I16" i="66"/>
  <c r="E16" i="66"/>
  <c r="D161" i="62"/>
  <c r="D160" i="62"/>
  <c r="D157" i="62"/>
  <c r="D155" i="62"/>
  <c r="D154" i="62"/>
  <c r="D151" i="62"/>
  <c r="D149" i="62"/>
  <c r="D147" i="62"/>
  <c r="D142" i="62"/>
  <c r="D141" i="62"/>
  <c r="D140" i="62"/>
  <c r="D139" i="62"/>
  <c r="D138" i="62"/>
  <c r="D125" i="62"/>
  <c r="D123" i="62"/>
  <c r="D122" i="62"/>
  <c r="D121" i="62"/>
  <c r="D120" i="62"/>
  <c r="D119" i="62"/>
  <c r="D118" i="62"/>
  <c r="D115" i="62"/>
  <c r="D113" i="62"/>
  <c r="D111" i="62"/>
  <c r="D107" i="62"/>
  <c r="D105" i="62"/>
  <c r="D104" i="62"/>
  <c r="D103" i="62"/>
  <c r="D90" i="62"/>
  <c r="D88" i="62"/>
  <c r="D87" i="62"/>
  <c r="D85" i="62"/>
  <c r="D84" i="62"/>
  <c r="D82" i="62"/>
  <c r="D69" i="62"/>
  <c r="D68" i="62"/>
  <c r="D65" i="62"/>
  <c r="D66" i="62"/>
  <c r="D62" i="62"/>
  <c r="D63" i="62"/>
  <c r="D59" i="62"/>
  <c r="D60" i="62"/>
  <c r="D56" i="62"/>
  <c r="D57" i="62"/>
  <c r="D52" i="62"/>
  <c r="D51" i="62"/>
  <c r="D49" i="62"/>
  <c r="D48" i="62"/>
  <c r="D47" i="62"/>
  <c r="D46" i="62"/>
  <c r="D44" i="62"/>
  <c r="D43" i="62"/>
  <c r="D30" i="62"/>
  <c r="D29" i="62"/>
  <c r="D28" i="62"/>
  <c r="D25" i="62"/>
  <c r="D23" i="62"/>
  <c r="D22" i="62"/>
  <c r="D21" i="62"/>
  <c r="D19" i="62"/>
  <c r="D18" i="62"/>
  <c r="D17" i="62"/>
  <c r="D16" i="62"/>
  <c r="D15" i="62"/>
  <c r="D14" i="62"/>
  <c r="D13" i="62"/>
  <c r="D12" i="62"/>
  <c r="G382" i="53" l="1"/>
  <c r="J381" i="53"/>
  <c r="I211" i="30" l="1"/>
  <c r="I196" i="30"/>
  <c r="I660" i="30"/>
  <c r="I659" i="30"/>
  <c r="I658" i="30"/>
  <c r="I653" i="30"/>
  <c r="I640" i="30"/>
  <c r="I639" i="30"/>
  <c r="I638" i="30"/>
  <c r="I327" i="30"/>
  <c r="I326" i="30"/>
  <c r="I325" i="30"/>
  <c r="I320" i="30"/>
  <c r="I307" i="30"/>
  <c r="I306" i="30"/>
  <c r="I305" i="30"/>
  <c r="I195" i="30"/>
  <c r="I194" i="30"/>
  <c r="I637" i="30"/>
  <c r="I304" i="30"/>
  <c r="O222" i="54" l="1"/>
  <c r="N231" i="54"/>
  <c r="N228" i="54"/>
  <c r="N227" i="54"/>
  <c r="N226" i="54"/>
  <c r="N225" i="54"/>
  <c r="N222" i="54"/>
  <c r="N221" i="54"/>
  <c r="N220" i="54"/>
  <c r="N219" i="54"/>
  <c r="N218" i="54"/>
  <c r="N217" i="54"/>
  <c r="N215" i="54"/>
  <c r="N212" i="54"/>
  <c r="N211" i="54"/>
  <c r="N208" i="54"/>
  <c r="N207" i="54"/>
  <c r="N206" i="54"/>
  <c r="N205" i="54"/>
  <c r="N204" i="54"/>
  <c r="N203" i="54"/>
  <c r="N200" i="54"/>
  <c r="N199" i="54"/>
  <c r="N198" i="54"/>
  <c r="N197" i="54"/>
  <c r="N196" i="54"/>
  <c r="N195" i="54"/>
  <c r="N192" i="54"/>
  <c r="N191" i="54"/>
  <c r="N188" i="54"/>
  <c r="N187" i="54"/>
  <c r="M222" i="54"/>
  <c r="K231" i="54"/>
  <c r="J231" i="54"/>
  <c r="K228" i="54"/>
  <c r="J228" i="54"/>
  <c r="K227" i="54"/>
  <c r="J227" i="54"/>
  <c r="K226" i="54"/>
  <c r="J226" i="54"/>
  <c r="K225" i="54"/>
  <c r="J225" i="54"/>
  <c r="L222" i="54"/>
  <c r="K222" i="54"/>
  <c r="J222" i="54"/>
  <c r="K221" i="54"/>
  <c r="J221" i="54"/>
  <c r="K220" i="54"/>
  <c r="J220" i="54"/>
  <c r="K219" i="54"/>
  <c r="J219" i="54"/>
  <c r="K218" i="54"/>
  <c r="J218" i="54"/>
  <c r="K217" i="54"/>
  <c r="J217" i="54"/>
  <c r="K215" i="54"/>
  <c r="J215" i="54"/>
  <c r="K212" i="54"/>
  <c r="J212" i="54"/>
  <c r="K211" i="54"/>
  <c r="J211" i="54"/>
  <c r="K208" i="54"/>
  <c r="J208" i="54"/>
  <c r="K207" i="54"/>
  <c r="J207" i="54"/>
  <c r="K206" i="54"/>
  <c r="J206" i="54"/>
  <c r="K205" i="54"/>
  <c r="J205" i="54"/>
  <c r="K204" i="54"/>
  <c r="J204" i="54"/>
  <c r="K203" i="54"/>
  <c r="K209" i="54" s="1"/>
  <c r="J203" i="54"/>
  <c r="K200" i="54"/>
  <c r="J200" i="54"/>
  <c r="K199" i="54"/>
  <c r="J199" i="54"/>
  <c r="K198" i="54"/>
  <c r="J198" i="54"/>
  <c r="K197" i="54"/>
  <c r="J197" i="54"/>
  <c r="L196" i="54"/>
  <c r="K196" i="54"/>
  <c r="J196" i="54"/>
  <c r="K195" i="54"/>
  <c r="J195" i="54"/>
  <c r="K192" i="54"/>
  <c r="J192" i="54"/>
  <c r="K191" i="54"/>
  <c r="J191" i="54"/>
  <c r="K188" i="54"/>
  <c r="J188" i="54"/>
  <c r="K187" i="54"/>
  <c r="J187" i="54"/>
  <c r="I231" i="54"/>
  <c r="I228" i="54"/>
  <c r="I227" i="54"/>
  <c r="I226" i="54"/>
  <c r="I225" i="54"/>
  <c r="I222" i="54"/>
  <c r="I221" i="54"/>
  <c r="I220" i="54"/>
  <c r="I219" i="54"/>
  <c r="I218" i="54"/>
  <c r="I217" i="54"/>
  <c r="I215" i="54"/>
  <c r="I212" i="54"/>
  <c r="I211" i="54"/>
  <c r="I208" i="54"/>
  <c r="I207" i="54"/>
  <c r="I206" i="54"/>
  <c r="I205" i="54"/>
  <c r="I204" i="54"/>
  <c r="I203" i="54"/>
  <c r="I200" i="54"/>
  <c r="I199" i="54"/>
  <c r="I198" i="54"/>
  <c r="I197" i="54"/>
  <c r="I196" i="54"/>
  <c r="I195" i="54"/>
  <c r="I192" i="54"/>
  <c r="I191" i="54"/>
  <c r="I188" i="54"/>
  <c r="I187" i="54"/>
  <c r="G231" i="54"/>
  <c r="G228" i="54"/>
  <c r="G227" i="54"/>
  <c r="G226" i="54"/>
  <c r="G225" i="54"/>
  <c r="G222" i="54"/>
  <c r="G221" i="54"/>
  <c r="G220" i="54"/>
  <c r="G219" i="54"/>
  <c r="G218" i="54"/>
  <c r="G217" i="54"/>
  <c r="G215" i="54"/>
  <c r="G212" i="54"/>
  <c r="G211" i="54"/>
  <c r="G208" i="54"/>
  <c r="G207" i="54"/>
  <c r="G206" i="54"/>
  <c r="G205" i="54"/>
  <c r="G204" i="54"/>
  <c r="G203" i="54"/>
  <c r="G200" i="54"/>
  <c r="G199" i="54"/>
  <c r="G198" i="54"/>
  <c r="G197" i="54"/>
  <c r="G196" i="54"/>
  <c r="G195" i="54"/>
  <c r="G192" i="54"/>
  <c r="G191" i="54"/>
  <c r="G188" i="54"/>
  <c r="G187" i="54"/>
  <c r="F231" i="54"/>
  <c r="F228" i="54"/>
  <c r="F227" i="54"/>
  <c r="F226" i="54"/>
  <c r="F225" i="54"/>
  <c r="F222" i="54"/>
  <c r="F221" i="54"/>
  <c r="F220" i="54"/>
  <c r="F219" i="54"/>
  <c r="F218" i="54"/>
  <c r="F217" i="54"/>
  <c r="F215" i="54"/>
  <c r="F212" i="54"/>
  <c r="F211" i="54"/>
  <c r="F208" i="54"/>
  <c r="F207" i="54"/>
  <c r="F206" i="54"/>
  <c r="F205" i="54"/>
  <c r="F204" i="54"/>
  <c r="F203" i="54"/>
  <c r="F200" i="54"/>
  <c r="F199" i="54"/>
  <c r="F198" i="54"/>
  <c r="F197" i="54"/>
  <c r="F196" i="54"/>
  <c r="F195" i="54"/>
  <c r="F192" i="54"/>
  <c r="F191" i="54"/>
  <c r="F188" i="54"/>
  <c r="F187" i="54"/>
  <c r="F189" i="54" s="1"/>
  <c r="E231" i="54"/>
  <c r="E228" i="54"/>
  <c r="E227" i="54"/>
  <c r="E226" i="54"/>
  <c r="E225" i="54"/>
  <c r="E222" i="54"/>
  <c r="E221" i="54"/>
  <c r="E220" i="54"/>
  <c r="E219" i="54"/>
  <c r="E218" i="54"/>
  <c r="E217" i="54"/>
  <c r="E215" i="54"/>
  <c r="E212" i="54"/>
  <c r="E211" i="54"/>
  <c r="E208" i="54"/>
  <c r="E207" i="54"/>
  <c r="E206" i="54"/>
  <c r="E205" i="54"/>
  <c r="E204" i="54"/>
  <c r="E203" i="54"/>
  <c r="E200" i="54"/>
  <c r="E199" i="54"/>
  <c r="E198" i="54"/>
  <c r="E197" i="54"/>
  <c r="E196" i="54"/>
  <c r="E195" i="54"/>
  <c r="E192" i="54"/>
  <c r="E191" i="54"/>
  <c r="E193" i="54" s="1"/>
  <c r="E188" i="54"/>
  <c r="E187" i="54"/>
  <c r="D231" i="54"/>
  <c r="D228" i="54"/>
  <c r="D227" i="54"/>
  <c r="D226" i="54"/>
  <c r="D225" i="54"/>
  <c r="D222" i="54"/>
  <c r="D221" i="54"/>
  <c r="D220" i="54"/>
  <c r="D219" i="54"/>
  <c r="D218" i="54"/>
  <c r="D217" i="54"/>
  <c r="D215" i="54"/>
  <c r="D212" i="54"/>
  <c r="D211" i="54"/>
  <c r="D208" i="54"/>
  <c r="D207" i="54"/>
  <c r="D206" i="54"/>
  <c r="D205" i="54"/>
  <c r="D204" i="54"/>
  <c r="D203" i="54"/>
  <c r="D200" i="54"/>
  <c r="D199" i="54"/>
  <c r="D198" i="54"/>
  <c r="D197" i="54"/>
  <c r="D196" i="54"/>
  <c r="D195" i="54"/>
  <c r="D192" i="54"/>
  <c r="D191" i="54"/>
  <c r="D188" i="54"/>
  <c r="D187" i="54"/>
  <c r="C231" i="54"/>
  <c r="C227" i="54"/>
  <c r="C228" i="54"/>
  <c r="C226" i="54"/>
  <c r="C225" i="54"/>
  <c r="D189" i="54" l="1"/>
  <c r="R140" i="54" s="1"/>
  <c r="D193" i="54"/>
  <c r="F193" i="54"/>
  <c r="G189" i="54"/>
  <c r="G201" i="54"/>
  <c r="G209" i="54"/>
  <c r="G213" i="54"/>
  <c r="I193" i="54"/>
  <c r="D223" i="54"/>
  <c r="R164" i="54" s="1"/>
  <c r="E229" i="54"/>
  <c r="E189" i="54"/>
  <c r="E201" i="54"/>
  <c r="E209" i="54"/>
  <c r="E213" i="54"/>
  <c r="I213" i="54"/>
  <c r="K201" i="54"/>
  <c r="F223" i="54"/>
  <c r="K189" i="54"/>
  <c r="K229" i="54"/>
  <c r="N193" i="54"/>
  <c r="J213" i="54"/>
  <c r="K223" i="54"/>
  <c r="C229" i="54"/>
  <c r="D201" i="54"/>
  <c r="D209" i="54"/>
  <c r="F201" i="54"/>
  <c r="F209" i="54"/>
  <c r="I189" i="54"/>
  <c r="I223" i="54"/>
  <c r="J223" i="54"/>
  <c r="J229" i="54"/>
  <c r="N229" i="54"/>
  <c r="D229" i="54"/>
  <c r="R168" i="54" s="1"/>
  <c r="E223" i="54"/>
  <c r="F229" i="54"/>
  <c r="G193" i="54"/>
  <c r="G223" i="54"/>
  <c r="G229" i="54"/>
  <c r="I209" i="54"/>
  <c r="J189" i="54"/>
  <c r="D213" i="54"/>
  <c r="R159" i="54" s="1"/>
  <c r="F213" i="54"/>
  <c r="I229" i="54"/>
  <c r="K193" i="54"/>
  <c r="K213" i="54"/>
  <c r="N223" i="54"/>
  <c r="N201" i="54"/>
  <c r="J209" i="54"/>
  <c r="I201" i="54"/>
  <c r="N213" i="54"/>
  <c r="N209" i="54"/>
  <c r="J201" i="54"/>
  <c r="N189" i="54"/>
  <c r="J193" i="54"/>
  <c r="I233" i="54" l="1"/>
  <c r="D233" i="54"/>
  <c r="E233" i="54"/>
  <c r="K233" i="54"/>
  <c r="G233" i="54"/>
  <c r="R155" i="54"/>
  <c r="F233" i="54"/>
  <c r="N233" i="54"/>
  <c r="J233" i="54"/>
  <c r="C222" i="54"/>
  <c r="C221" i="54"/>
  <c r="C220" i="54"/>
  <c r="C219" i="54"/>
  <c r="C215" i="54"/>
  <c r="C217" i="54"/>
  <c r="C218" i="54"/>
  <c r="C212" i="54"/>
  <c r="C211" i="54"/>
  <c r="C208" i="54"/>
  <c r="C207" i="54"/>
  <c r="C206" i="54"/>
  <c r="C205" i="54"/>
  <c r="C192" i="54"/>
  <c r="C204" i="54"/>
  <c r="C203" i="54"/>
  <c r="C200" i="54"/>
  <c r="C199" i="54"/>
  <c r="C196" i="54"/>
  <c r="C198" i="54"/>
  <c r="C197" i="54"/>
  <c r="C195" i="54"/>
  <c r="C191" i="54"/>
  <c r="C188" i="54"/>
  <c r="C187" i="54"/>
  <c r="N172" i="54"/>
  <c r="K172" i="54"/>
  <c r="J172" i="54"/>
  <c r="N171" i="54"/>
  <c r="K171" i="54"/>
  <c r="J171" i="54"/>
  <c r="I172" i="54"/>
  <c r="I171" i="54"/>
  <c r="G172" i="54"/>
  <c r="F172" i="54"/>
  <c r="E172" i="54"/>
  <c r="D172" i="54"/>
  <c r="G171" i="54"/>
  <c r="G175" i="54" s="1"/>
  <c r="F171" i="54"/>
  <c r="F175" i="54" s="1"/>
  <c r="E171" i="54"/>
  <c r="D171" i="54"/>
  <c r="D175" i="54" s="1"/>
  <c r="R173" i="54" s="1"/>
  <c r="R175" i="54" s="1"/>
  <c r="G169" i="54"/>
  <c r="E169" i="54"/>
  <c r="D169" i="54"/>
  <c r="R167" i="54" s="1"/>
  <c r="R169" i="54" s="1"/>
  <c r="G165" i="54"/>
  <c r="E165" i="54"/>
  <c r="N160" i="54"/>
  <c r="K160" i="54"/>
  <c r="J160" i="54"/>
  <c r="I160" i="54"/>
  <c r="G160" i="54"/>
  <c r="F160" i="54"/>
  <c r="E160" i="54"/>
  <c r="D160" i="54"/>
  <c r="N158" i="54"/>
  <c r="K158" i="54"/>
  <c r="J158" i="54"/>
  <c r="I158" i="54"/>
  <c r="G158" i="54"/>
  <c r="F158" i="54"/>
  <c r="E158" i="54"/>
  <c r="D158" i="54"/>
  <c r="G156" i="54"/>
  <c r="F156" i="54"/>
  <c r="E156" i="54"/>
  <c r="D156" i="54"/>
  <c r="F169" i="54" l="1"/>
  <c r="E175" i="54"/>
  <c r="F165" i="54"/>
  <c r="D165" i="54"/>
  <c r="R158" i="54"/>
  <c r="R160" i="54" s="1"/>
  <c r="N169" i="54"/>
  <c r="I175" i="54"/>
  <c r="C189" i="54"/>
  <c r="C213" i="54"/>
  <c r="C209" i="54"/>
  <c r="C165" i="54"/>
  <c r="I165" i="54"/>
  <c r="J165" i="54"/>
  <c r="C169" i="54"/>
  <c r="J169" i="54"/>
  <c r="C193" i="54"/>
  <c r="N156" i="54"/>
  <c r="C201" i="54"/>
  <c r="C223" i="54"/>
  <c r="K156" i="54"/>
  <c r="N165" i="54"/>
  <c r="C175" i="54"/>
  <c r="J156" i="54"/>
  <c r="I169" i="54"/>
  <c r="K175" i="54"/>
  <c r="I156" i="54"/>
  <c r="K165" i="54"/>
  <c r="K169" i="54"/>
  <c r="J175" i="54"/>
  <c r="N175" i="54"/>
  <c r="R163" i="54" l="1"/>
  <c r="R165" i="54" s="1"/>
  <c r="C233" i="54"/>
  <c r="C156" i="54" l="1"/>
  <c r="N150" i="54"/>
  <c r="K150" i="54"/>
  <c r="J150" i="54"/>
  <c r="N148" i="54"/>
  <c r="K148" i="54"/>
  <c r="J148" i="54"/>
  <c r="N146" i="54"/>
  <c r="K146" i="54"/>
  <c r="J146" i="54"/>
  <c r="N145" i="54"/>
  <c r="K145" i="54"/>
  <c r="J145" i="54"/>
  <c r="I150" i="54"/>
  <c r="I148" i="54"/>
  <c r="I146" i="54"/>
  <c r="I145" i="54"/>
  <c r="G150" i="54"/>
  <c r="F150" i="54"/>
  <c r="E150" i="54"/>
  <c r="D150" i="54"/>
  <c r="G148" i="54"/>
  <c r="F148" i="54"/>
  <c r="E148" i="54"/>
  <c r="D148" i="54"/>
  <c r="G146" i="54"/>
  <c r="F146" i="54"/>
  <c r="E146" i="54"/>
  <c r="D146" i="54"/>
  <c r="G145" i="54"/>
  <c r="G151" i="54" s="1"/>
  <c r="F145" i="54"/>
  <c r="F151" i="54" s="1"/>
  <c r="E145" i="54"/>
  <c r="E151" i="54" s="1"/>
  <c r="D145" i="54"/>
  <c r="C148" i="54"/>
  <c r="C146" i="54"/>
  <c r="C145" i="54"/>
  <c r="D151" i="54" l="1"/>
  <c r="J151" i="54"/>
  <c r="K141" i="54"/>
  <c r="C151" i="54"/>
  <c r="I151" i="54"/>
  <c r="N151" i="54"/>
  <c r="D141" i="54"/>
  <c r="F141" i="54"/>
  <c r="F181" i="54" s="1"/>
  <c r="I141" i="54"/>
  <c r="E141" i="54"/>
  <c r="E181" i="54" s="1"/>
  <c r="C141" i="54"/>
  <c r="G141" i="54"/>
  <c r="G181" i="54" s="1"/>
  <c r="J141" i="54"/>
  <c r="N141" i="54"/>
  <c r="K151" i="54"/>
  <c r="J302" i="17"/>
  <c r="J300" i="17"/>
  <c r="J298" i="17"/>
  <c r="J294" i="17"/>
  <c r="J293" i="17"/>
  <c r="J278" i="17"/>
  <c r="D232" i="17"/>
  <c r="E232" i="17" s="1"/>
  <c r="F232" i="17" s="1"/>
  <c r="G232" i="17" s="1"/>
  <c r="H232" i="17" s="1"/>
  <c r="J232" i="17" s="1"/>
  <c r="K232" i="17" s="1"/>
  <c r="D199" i="17"/>
  <c r="E199" i="17" s="1"/>
  <c r="F199" i="17" s="1"/>
  <c r="G199" i="17" s="1"/>
  <c r="H199" i="17" s="1"/>
  <c r="J199" i="17" s="1"/>
  <c r="K199" i="17" s="1"/>
  <c r="D162" i="17"/>
  <c r="E162" i="17" s="1"/>
  <c r="F162" i="17" s="1"/>
  <c r="G162" i="17" s="1"/>
  <c r="H162" i="17" s="1"/>
  <c r="J162" i="17" s="1"/>
  <c r="K162" i="17" s="1"/>
  <c r="C225" i="17"/>
  <c r="C196" i="17"/>
  <c r="D134" i="17"/>
  <c r="E134" i="17" s="1"/>
  <c r="F134" i="17" s="1"/>
  <c r="G134" i="17" s="1"/>
  <c r="H134" i="17" s="1"/>
  <c r="J134" i="17" s="1"/>
  <c r="K134" i="17" s="1"/>
  <c r="A97" i="17"/>
  <c r="A95" i="17"/>
  <c r="A94" i="17"/>
  <c r="I181" i="54" l="1"/>
  <c r="N181" i="54"/>
  <c r="N235" i="54" s="1"/>
  <c r="J181" i="54"/>
  <c r="K181" i="54"/>
  <c r="K235" i="54" s="1"/>
  <c r="R154" i="54"/>
  <c r="R156" i="54" s="1"/>
  <c r="D181" i="54"/>
  <c r="C181" i="54"/>
  <c r="R139" i="54"/>
  <c r="R141" i="54" s="1"/>
  <c r="R182" i="54" s="1"/>
  <c r="I235" i="54"/>
  <c r="J235" i="54"/>
  <c r="A308" i="17"/>
  <c r="D273" i="17"/>
  <c r="E273" i="17" s="1"/>
  <c r="F273" i="17" s="1"/>
  <c r="G273" i="17" s="1"/>
  <c r="H273" i="17" s="1"/>
  <c r="I273" i="17" s="1"/>
  <c r="J273" i="17" s="1"/>
  <c r="K273" i="17" s="1"/>
  <c r="I300" i="17"/>
  <c r="I298" i="17"/>
  <c r="I296" i="17"/>
  <c r="I278" i="17"/>
  <c r="A302" i="17"/>
  <c r="A300" i="17"/>
  <c r="A298" i="17"/>
  <c r="A296" i="17"/>
  <c r="A294" i="17"/>
  <c r="A293" i="17"/>
  <c r="A292" i="17"/>
  <c r="A290" i="17"/>
  <c r="A289" i="17"/>
  <c r="A288" i="17"/>
  <c r="A284" i="17"/>
  <c r="A280" i="17"/>
  <c r="A278" i="17"/>
  <c r="A276" i="17"/>
  <c r="K205" i="17"/>
  <c r="K221" i="17"/>
  <c r="K218" i="17"/>
  <c r="K215" i="17"/>
  <c r="K212" i="17"/>
  <c r="K209" i="17"/>
  <c r="K204" i="17"/>
  <c r="K203" i="17"/>
  <c r="K202" i="17"/>
  <c r="K137" i="17"/>
  <c r="K142" i="17"/>
  <c r="K141" i="17"/>
  <c r="K140" i="17"/>
  <c r="K139" i="17"/>
  <c r="K138" i="17"/>
  <c r="K196" i="17"/>
  <c r="K225" i="17" l="1"/>
  <c r="K159" i="17"/>
  <c r="A110" i="17" l="1"/>
  <c r="A267" i="17" s="1"/>
  <c r="A103" i="17"/>
  <c r="A261" i="17" s="1"/>
  <c r="A101" i="17"/>
  <c r="A259" i="17" s="1"/>
  <c r="A99" i="17"/>
  <c r="A257" i="17" s="1"/>
  <c r="A255" i="17"/>
  <c r="A253" i="17"/>
  <c r="A252" i="17"/>
  <c r="A93" i="17"/>
  <c r="A91" i="17"/>
  <c r="A249" i="17" s="1"/>
  <c r="A90" i="17"/>
  <c r="A248" i="17" s="1"/>
  <c r="A89" i="17"/>
  <c r="A247" i="17" s="1"/>
  <c r="A85" i="17"/>
  <c r="A243" i="17" s="1"/>
  <c r="A81" i="17"/>
  <c r="A239" i="17" s="1"/>
  <c r="A79" i="17"/>
  <c r="A237" i="17" s="1"/>
  <c r="A77" i="17"/>
  <c r="A235" i="17" s="1"/>
  <c r="D74" i="17"/>
  <c r="C74" i="17"/>
  <c r="D73" i="17"/>
  <c r="E75" i="17" s="1"/>
  <c r="E73" i="17" l="1"/>
  <c r="F73" i="17" s="1"/>
  <c r="G75" i="17" l="1"/>
  <c r="G73" i="17"/>
  <c r="H73" i="17" l="1"/>
  <c r="I73" i="17" s="1"/>
  <c r="H75" i="17"/>
  <c r="J75" i="17" l="1"/>
  <c r="J73" i="17"/>
  <c r="K73" i="17" s="1"/>
  <c r="K75" i="17" l="1"/>
  <c r="C95" i="28" l="1"/>
  <c r="C98" i="28"/>
  <c r="C96" i="28"/>
  <c r="H185" i="62" l="1"/>
  <c r="H182" i="62"/>
  <c r="E120" i="57" l="1"/>
  <c r="E119" i="57"/>
  <c r="E118" i="57"/>
  <c r="E117" i="57"/>
  <c r="E116" i="57"/>
  <c r="E115" i="57"/>
  <c r="E114" i="57"/>
  <c r="E113" i="57"/>
  <c r="E112" i="57"/>
  <c r="E111" i="57"/>
  <c r="E110" i="57"/>
  <c r="E109" i="57"/>
  <c r="E108" i="57"/>
  <c r="E107" i="57"/>
  <c r="E106" i="57"/>
  <c r="E105" i="57"/>
  <c r="E104" i="57"/>
  <c r="E103" i="57"/>
  <c r="E102" i="57"/>
  <c r="E101" i="57"/>
  <c r="E100" i="57"/>
  <c r="E99" i="57"/>
  <c r="E98" i="57"/>
  <c r="E97" i="57"/>
  <c r="E96" i="57"/>
  <c r="E95" i="57"/>
  <c r="E94" i="57"/>
  <c r="E93" i="57"/>
  <c r="E92" i="57"/>
  <c r="E91" i="57"/>
  <c r="E90" i="57"/>
  <c r="E89" i="57"/>
  <c r="E88" i="57"/>
  <c r="E87" i="57"/>
  <c r="E86" i="57"/>
  <c r="E85" i="57"/>
  <c r="E84" i="57"/>
  <c r="E83" i="57"/>
  <c r="E82" i="57"/>
  <c r="E81" i="57"/>
  <c r="E80" i="57"/>
  <c r="E79" i="57"/>
  <c r="E78" i="57"/>
  <c r="E77" i="57"/>
  <c r="E76" i="57"/>
  <c r="E75" i="57"/>
  <c r="E74" i="57"/>
  <c r="E73" i="57"/>
  <c r="E72" i="57"/>
  <c r="E71" i="57"/>
  <c r="E70" i="57"/>
  <c r="E69" i="57"/>
  <c r="E68" i="57"/>
  <c r="E67" i="57"/>
  <c r="E66" i="57"/>
  <c r="E65" i="57"/>
  <c r="E64" i="57"/>
  <c r="E63" i="57"/>
  <c r="E62" i="57"/>
  <c r="E61" i="57"/>
  <c r="E60" i="57"/>
  <c r="E59" i="57"/>
  <c r="E58" i="57"/>
  <c r="E57" i="57"/>
  <c r="E56" i="57"/>
  <c r="E55" i="57"/>
  <c r="E54" i="57"/>
  <c r="E53" i="57"/>
  <c r="E52" i="57"/>
  <c r="E51" i="57"/>
  <c r="E50" i="57"/>
  <c r="E49" i="57"/>
  <c r="E48" i="57"/>
  <c r="E47" i="57"/>
  <c r="E46" i="57"/>
  <c r="E45" i="57"/>
  <c r="E44" i="57"/>
  <c r="E43" i="57"/>
  <c r="E42" i="57"/>
  <c r="E41" i="57"/>
  <c r="E40" i="57"/>
  <c r="E39" i="57"/>
  <c r="E38" i="57"/>
  <c r="E37" i="57"/>
  <c r="E36" i="57"/>
  <c r="E35" i="57"/>
  <c r="E34" i="57"/>
  <c r="E33" i="57"/>
  <c r="E32" i="57"/>
  <c r="E31" i="57"/>
  <c r="E30" i="57"/>
  <c r="E29" i="57"/>
  <c r="E28" i="57"/>
  <c r="E27" i="57"/>
  <c r="E26" i="57"/>
  <c r="E25" i="57"/>
  <c r="E24" i="57"/>
  <c r="E23" i="57"/>
  <c r="E22" i="57"/>
  <c r="E21" i="57"/>
  <c r="E20" i="57"/>
  <c r="E19" i="57"/>
  <c r="E18" i="57"/>
  <c r="E17" i="57"/>
  <c r="B137" i="57" l="1"/>
  <c r="B136" i="57"/>
  <c r="B138" i="57"/>
  <c r="B140" i="57" l="1"/>
  <c r="G7" i="57" s="1"/>
  <c r="G8" i="57" l="1"/>
  <c r="C83" i="57" s="1"/>
  <c r="C19" i="57" l="1"/>
  <c r="M19" i="57" s="1"/>
  <c r="C130" i="57"/>
  <c r="F83" i="57"/>
  <c r="M83" i="57"/>
  <c r="C21" i="57"/>
  <c r="C34" i="57"/>
  <c r="C106" i="57"/>
  <c r="C45" i="57"/>
  <c r="C104" i="57"/>
  <c r="C84" i="57"/>
  <c r="C67" i="57"/>
  <c r="C101" i="57"/>
  <c r="C98" i="57"/>
  <c r="C59" i="57"/>
  <c r="C88" i="57"/>
  <c r="C109" i="57"/>
  <c r="C74" i="57"/>
  <c r="C100" i="57"/>
  <c r="C85" i="57"/>
  <c r="C68" i="57"/>
  <c r="C91" i="57"/>
  <c r="C18" i="57"/>
  <c r="C82" i="57"/>
  <c r="C52" i="57"/>
  <c r="C29" i="57"/>
  <c r="C93" i="57"/>
  <c r="C56" i="57"/>
  <c r="C111" i="57"/>
  <c r="C23" i="57"/>
  <c r="C57" i="57"/>
  <c r="C38" i="57"/>
  <c r="C92" i="57"/>
  <c r="C42" i="57"/>
  <c r="C72" i="57"/>
  <c r="C69" i="57"/>
  <c r="C40" i="57"/>
  <c r="C27" i="57"/>
  <c r="C87" i="57"/>
  <c r="C66" i="57"/>
  <c r="C20" i="57"/>
  <c r="C10" i="57"/>
  <c r="C77" i="57"/>
  <c r="C24" i="57"/>
  <c r="C47" i="57"/>
  <c r="C99" i="57"/>
  <c r="C76" i="57"/>
  <c r="C58" i="57"/>
  <c r="C75" i="57"/>
  <c r="C14" i="57"/>
  <c r="C26" i="57"/>
  <c r="C122" i="57"/>
  <c r="M122" i="57" s="1"/>
  <c r="C37" i="57"/>
  <c r="C9" i="57"/>
  <c r="C13" i="57"/>
  <c r="C119" i="57"/>
  <c r="C50" i="57"/>
  <c r="C114" i="57"/>
  <c r="C116" i="57"/>
  <c r="C61" i="57"/>
  <c r="C126" i="57"/>
  <c r="C120" i="57"/>
  <c r="C123" i="57"/>
  <c r="M123" i="57" s="1"/>
  <c r="C62" i="57"/>
  <c r="C43" i="57"/>
  <c r="C113" i="57"/>
  <c r="C39" i="57"/>
  <c r="C46" i="57"/>
  <c r="C128" i="57"/>
  <c r="M128" i="57" s="1"/>
  <c r="C41" i="57"/>
  <c r="C121" i="57"/>
  <c r="C31" i="57"/>
  <c r="C55" i="57"/>
  <c r="C22" i="57"/>
  <c r="C60" i="57"/>
  <c r="C97" i="57"/>
  <c r="C35" i="57"/>
  <c r="C30" i="57"/>
  <c r="C110" i="57"/>
  <c r="C7" i="57"/>
  <c r="C105" i="57"/>
  <c r="C112" i="57"/>
  <c r="C115" i="57"/>
  <c r="C53" i="57"/>
  <c r="C102" i="57"/>
  <c r="C49" i="57"/>
  <c r="C96" i="57"/>
  <c r="C103" i="57"/>
  <c r="C94" i="57"/>
  <c r="C108" i="57"/>
  <c r="C73" i="57"/>
  <c r="C80" i="57"/>
  <c r="C107" i="57"/>
  <c r="C4" i="57"/>
  <c r="M4" i="57" s="1"/>
  <c r="C86" i="57"/>
  <c r="C33" i="57"/>
  <c r="C64" i="57"/>
  <c r="F19" i="57"/>
  <c r="C78" i="57"/>
  <c r="C44" i="57"/>
  <c r="C25" i="57"/>
  <c r="C89" i="57"/>
  <c r="C48" i="57"/>
  <c r="C95" i="57"/>
  <c r="C51" i="57"/>
  <c r="C90" i="57"/>
  <c r="C117" i="57"/>
  <c r="C54" i="57"/>
  <c r="C118" i="57"/>
  <c r="C125" i="57"/>
  <c r="C65" i="57"/>
  <c r="C134" i="57"/>
  <c r="C132" i="57"/>
  <c r="C5" i="57"/>
  <c r="M5" i="57" s="1"/>
  <c r="C11" i="57"/>
  <c r="C71" i="57"/>
  <c r="C36" i="57"/>
  <c r="C79" i="57"/>
  <c r="C70" i="57"/>
  <c r="C28" i="57"/>
  <c r="C17" i="57"/>
  <c r="M17" i="57" s="1"/>
  <c r="C81" i="57"/>
  <c r="C32" i="57"/>
  <c r="C63" i="57"/>
  <c r="M130" i="57" l="1"/>
  <c r="F63" i="57"/>
  <c r="M63" i="57"/>
  <c r="F81" i="57"/>
  <c r="M81" i="57"/>
  <c r="F79" i="57"/>
  <c r="M79" i="57"/>
  <c r="M125" i="57"/>
  <c r="F90" i="57"/>
  <c r="M90" i="57"/>
  <c r="F89" i="57"/>
  <c r="M89" i="57"/>
  <c r="F108" i="57"/>
  <c r="M108" i="57"/>
  <c r="F49" i="57"/>
  <c r="M49" i="57"/>
  <c r="F112" i="57"/>
  <c r="M112" i="57"/>
  <c r="F30" i="57"/>
  <c r="M30" i="57"/>
  <c r="F22" i="57"/>
  <c r="M22" i="57"/>
  <c r="F41" i="57"/>
  <c r="M41" i="57"/>
  <c r="F113" i="57"/>
  <c r="M113" i="57"/>
  <c r="F120" i="57"/>
  <c r="M120" i="57"/>
  <c r="F114" i="57"/>
  <c r="M114" i="57"/>
  <c r="M14" i="57"/>
  <c r="F99" i="57"/>
  <c r="M99" i="57"/>
  <c r="F27" i="57"/>
  <c r="M27" i="57"/>
  <c r="F42" i="57"/>
  <c r="M42" i="57"/>
  <c r="F23" i="57"/>
  <c r="M23" i="57"/>
  <c r="F29" i="57"/>
  <c r="M29" i="57"/>
  <c r="F91" i="57"/>
  <c r="M91" i="57"/>
  <c r="F74" i="57"/>
  <c r="M74" i="57"/>
  <c r="F98" i="57"/>
  <c r="M98" i="57"/>
  <c r="F104" i="57"/>
  <c r="M104" i="57"/>
  <c r="F21" i="57"/>
  <c r="M21" i="57"/>
  <c r="F32" i="57"/>
  <c r="M32" i="57"/>
  <c r="F70" i="57"/>
  <c r="M70" i="57"/>
  <c r="F65" i="57"/>
  <c r="M65" i="57"/>
  <c r="F117" i="57"/>
  <c r="M117" i="57"/>
  <c r="F48" i="57"/>
  <c r="M48" i="57"/>
  <c r="F78" i="57"/>
  <c r="M78" i="57"/>
  <c r="F86" i="57"/>
  <c r="M86" i="57"/>
  <c r="F73" i="57"/>
  <c r="M73" i="57"/>
  <c r="F96" i="57"/>
  <c r="M96" i="57"/>
  <c r="F115" i="57"/>
  <c r="M115" i="57"/>
  <c r="F110" i="57"/>
  <c r="M110" i="57"/>
  <c r="F60" i="57"/>
  <c r="M60" i="57"/>
  <c r="F39" i="57"/>
  <c r="M39" i="57"/>
  <c r="F116" i="57"/>
  <c r="M116" i="57"/>
  <c r="M13" i="57"/>
  <c r="F26" i="57"/>
  <c r="M26" i="57"/>
  <c r="F76" i="57"/>
  <c r="M76" i="57"/>
  <c r="F77" i="57"/>
  <c r="M77" i="57"/>
  <c r="F87" i="57"/>
  <c r="M87" i="57"/>
  <c r="F72" i="57"/>
  <c r="M72" i="57"/>
  <c r="F57" i="57"/>
  <c r="M57" i="57"/>
  <c r="F93" i="57"/>
  <c r="M93" i="57"/>
  <c r="F18" i="57"/>
  <c r="M18" i="57"/>
  <c r="F100" i="57"/>
  <c r="M100" i="57"/>
  <c r="F59" i="57"/>
  <c r="M59" i="57"/>
  <c r="F84" i="57"/>
  <c r="M84" i="57"/>
  <c r="F34" i="57"/>
  <c r="M34" i="57"/>
  <c r="F28" i="57"/>
  <c r="M28" i="57"/>
  <c r="F71" i="57"/>
  <c r="M71" i="57"/>
  <c r="M134" i="57"/>
  <c r="F54" i="57"/>
  <c r="M54" i="57"/>
  <c r="F95" i="57"/>
  <c r="M95" i="57"/>
  <c r="F44" i="57"/>
  <c r="M44" i="57"/>
  <c r="F33" i="57"/>
  <c r="M33" i="57"/>
  <c r="F80" i="57"/>
  <c r="M80" i="57"/>
  <c r="F103" i="57"/>
  <c r="M103" i="57"/>
  <c r="F53" i="57"/>
  <c r="M53" i="57"/>
  <c r="M7" i="57"/>
  <c r="F97" i="57"/>
  <c r="M97" i="57"/>
  <c r="F31" i="57"/>
  <c r="M31" i="57"/>
  <c r="F46" i="57"/>
  <c r="M46" i="57"/>
  <c r="F62" i="57"/>
  <c r="M62" i="57"/>
  <c r="F61" i="57"/>
  <c r="M61" i="57"/>
  <c r="F119" i="57"/>
  <c r="M119" i="57"/>
  <c r="F58" i="57"/>
  <c r="M58" i="57"/>
  <c r="F24" i="57"/>
  <c r="M24" i="57"/>
  <c r="F66" i="57"/>
  <c r="M66" i="57"/>
  <c r="F69" i="57"/>
  <c r="M69" i="57"/>
  <c r="F38" i="57"/>
  <c r="M38" i="57"/>
  <c r="F56" i="57"/>
  <c r="M56" i="57"/>
  <c r="F82" i="57"/>
  <c r="M82" i="57"/>
  <c r="F85" i="57"/>
  <c r="M85" i="57"/>
  <c r="F88" i="57"/>
  <c r="M88" i="57"/>
  <c r="F67" i="57"/>
  <c r="M67" i="57"/>
  <c r="F106" i="57"/>
  <c r="M106" i="57"/>
  <c r="F36" i="57"/>
  <c r="M36" i="57"/>
  <c r="M132" i="57"/>
  <c r="F118" i="57"/>
  <c r="M118" i="57"/>
  <c r="F51" i="57"/>
  <c r="M51" i="57"/>
  <c r="F25" i="57"/>
  <c r="M25" i="57"/>
  <c r="F64" i="57"/>
  <c r="M64" i="57"/>
  <c r="F107" i="57"/>
  <c r="M107" i="57"/>
  <c r="F94" i="57"/>
  <c r="M94" i="57"/>
  <c r="F102" i="57"/>
  <c r="M102" i="57"/>
  <c r="F105" i="57"/>
  <c r="M105" i="57"/>
  <c r="F35" i="57"/>
  <c r="M35" i="57"/>
  <c r="F55" i="57"/>
  <c r="M55" i="57"/>
  <c r="F43" i="57"/>
  <c r="M43" i="57"/>
  <c r="M126" i="57"/>
  <c r="F50" i="57"/>
  <c r="M50" i="57"/>
  <c r="F37" i="57"/>
  <c r="M37" i="57"/>
  <c r="F75" i="57"/>
  <c r="M75" i="57"/>
  <c r="F47" i="57"/>
  <c r="M47" i="57"/>
  <c r="F20" i="57"/>
  <c r="M20" i="57"/>
  <c r="F40" i="57"/>
  <c r="M40" i="57"/>
  <c r="F92" i="57"/>
  <c r="M92" i="57"/>
  <c r="F111" i="57"/>
  <c r="M111" i="57"/>
  <c r="F52" i="57"/>
  <c r="M52" i="57"/>
  <c r="F68" i="57"/>
  <c r="M68" i="57"/>
  <c r="F109" i="57"/>
  <c r="M109" i="57"/>
  <c r="F101" i="57"/>
  <c r="M101" i="57"/>
  <c r="F45" i="57"/>
  <c r="M45" i="57"/>
  <c r="F17" i="57"/>
  <c r="C140" i="57"/>
  <c r="M140" i="57" l="1"/>
  <c r="C136" i="57"/>
  <c r="M136" i="57" s="1"/>
  <c r="C138" i="57"/>
  <c r="M138" i="57" s="1"/>
  <c r="C137" i="57"/>
  <c r="M137" i="57" s="1"/>
  <c r="N118" i="54" l="1"/>
  <c r="N122" i="54"/>
  <c r="N117" i="54"/>
  <c r="N113" i="54"/>
  <c r="N121" i="54"/>
  <c r="N115" i="54"/>
  <c r="N112" i="54"/>
  <c r="N108" i="54"/>
  <c r="N116" i="54"/>
  <c r="N124" i="54" l="1"/>
  <c r="N126" i="54" s="1"/>
  <c r="D1" i="55"/>
  <c r="E1" i="55" s="1"/>
  <c r="F1" i="55" s="1"/>
  <c r="G121" i="54"/>
  <c r="G118" i="54"/>
  <c r="G117" i="54"/>
  <c r="G116" i="54"/>
  <c r="F116" i="54"/>
  <c r="E116" i="54"/>
  <c r="G115" i="54"/>
  <c r="G113" i="54"/>
  <c r="G112" i="54"/>
  <c r="F112" i="54"/>
  <c r="E112" i="54"/>
  <c r="G108" i="54"/>
  <c r="F108" i="54"/>
  <c r="E108" i="54"/>
  <c r="G82" i="54"/>
  <c r="G70" i="54"/>
  <c r="K122" i="54"/>
  <c r="J122" i="54"/>
  <c r="G66" i="54"/>
  <c r="F122" i="54"/>
  <c r="D122" i="54"/>
  <c r="C122" i="54"/>
  <c r="G62" i="54"/>
  <c r="K117" i="54"/>
  <c r="J117" i="54"/>
  <c r="F117" i="54"/>
  <c r="C117" i="54"/>
  <c r="G25" i="54"/>
  <c r="K112" i="54"/>
  <c r="C112" i="54"/>
  <c r="G101" i="54" l="1"/>
  <c r="V6" i="17"/>
  <c r="L218" i="54"/>
  <c r="E66" i="54"/>
  <c r="F66" i="54"/>
  <c r="D66" i="54"/>
  <c r="C66" i="54"/>
  <c r="G122" i="54"/>
  <c r="W44" i="17"/>
  <c r="C108" i="54"/>
  <c r="L225" i="54"/>
  <c r="L197" i="54"/>
  <c r="L206" i="54"/>
  <c r="L198" i="54"/>
  <c r="L172" i="54"/>
  <c r="L187" i="54"/>
  <c r="L145" i="54"/>
  <c r="L204" i="54"/>
  <c r="L226" i="54"/>
  <c r="L174" i="54"/>
  <c r="L212" i="54"/>
  <c r="L154" i="54"/>
  <c r="L155" i="54"/>
  <c r="E122" i="54"/>
  <c r="L231" i="54"/>
  <c r="L220" i="54"/>
  <c r="L208" i="54"/>
  <c r="L227" i="54"/>
  <c r="L158" i="54"/>
  <c r="L217" i="54"/>
  <c r="L163" i="54"/>
  <c r="L219" i="54"/>
  <c r="L150" i="54"/>
  <c r="L203" i="54"/>
  <c r="W19" i="17"/>
  <c r="Y44" i="17"/>
  <c r="Y18" i="17"/>
  <c r="W18" i="17"/>
  <c r="Y19" i="17"/>
  <c r="J108" i="54"/>
  <c r="V19" i="17"/>
  <c r="V35" i="17"/>
  <c r="X35" i="17"/>
  <c r="F62" i="54"/>
  <c r="L162" i="54"/>
  <c r="C70" i="54"/>
  <c r="L221" i="54"/>
  <c r="J112" i="54"/>
  <c r="C116" i="54"/>
  <c r="C62" i="54"/>
  <c r="E117" i="54"/>
  <c r="I118" i="54"/>
  <c r="I116" i="54"/>
  <c r="I117" i="54"/>
  <c r="I122" i="54"/>
  <c r="E113" i="54"/>
  <c r="K115" i="54"/>
  <c r="J113" i="54"/>
  <c r="C113" i="54"/>
  <c r="L160" i="54"/>
  <c r="D108" i="54"/>
  <c r="C121" i="54"/>
  <c r="F113" i="54"/>
  <c r="C82" i="54"/>
  <c r="I112" i="54"/>
  <c r="I113" i="54"/>
  <c r="C115" i="54"/>
  <c r="K121" i="54"/>
  <c r="I108" i="54"/>
  <c r="D113" i="54"/>
  <c r="F118" i="54"/>
  <c r="J118" i="54"/>
  <c r="J121" i="54"/>
  <c r="J115" i="54"/>
  <c r="D82" i="54"/>
  <c r="F115" i="54"/>
  <c r="K118" i="54"/>
  <c r="D117" i="54"/>
  <c r="D112" i="54"/>
  <c r="K108" i="54"/>
  <c r="J116" i="54"/>
  <c r="F121" i="54"/>
  <c r="I121" i="54"/>
  <c r="E62" i="54"/>
  <c r="D70" i="54"/>
  <c r="F82" i="54"/>
  <c r="D116" i="54"/>
  <c r="D118" i="54"/>
  <c r="E121" i="54"/>
  <c r="C101" i="54"/>
  <c r="K116" i="54"/>
  <c r="L211" i="54"/>
  <c r="I115" i="54"/>
  <c r="L188" i="54"/>
  <c r="K113" i="54"/>
  <c r="L215" i="54"/>
  <c r="D62" i="54"/>
  <c r="F70" i="54"/>
  <c r="E82" i="54"/>
  <c r="L171" i="54"/>
  <c r="C118" i="54"/>
  <c r="D115" i="54"/>
  <c r="E70" i="54"/>
  <c r="D121" i="54"/>
  <c r="E115" i="54"/>
  <c r="E118" i="54"/>
  <c r="F101" i="54" l="1"/>
  <c r="E101" i="54"/>
  <c r="C124" i="54"/>
  <c r="E124" i="54"/>
  <c r="D101" i="54"/>
  <c r="F124" i="54"/>
  <c r="K124" i="54"/>
  <c r="K126" i="54" s="1"/>
  <c r="J124" i="54"/>
  <c r="J126" i="54" s="1"/>
  <c r="X6" i="17"/>
  <c r="D124" i="54"/>
  <c r="I124" i="54"/>
  <c r="I126" i="54" s="1"/>
  <c r="G124" i="54"/>
  <c r="G126" i="54" s="1"/>
  <c r="L213" i="54"/>
  <c r="L228" i="54"/>
  <c r="L229" i="54" s="1"/>
  <c r="L223" i="54"/>
  <c r="L175" i="54"/>
  <c r="L200" i="54"/>
  <c r="L207" i="54"/>
  <c r="L199" i="54"/>
  <c r="M205" i="54"/>
  <c r="L205" i="54"/>
  <c r="L195" i="54"/>
  <c r="L189" i="54"/>
  <c r="M192" i="54"/>
  <c r="L192" i="54"/>
  <c r="L165" i="54"/>
  <c r="M148" i="54"/>
  <c r="L148" i="54"/>
  <c r="L156" i="54"/>
  <c r="L146" i="54"/>
  <c r="L139" i="54"/>
  <c r="L169" i="54"/>
  <c r="M163" i="54"/>
  <c r="O163" i="54" s="1"/>
  <c r="M227" i="54"/>
  <c r="L117" i="54"/>
  <c r="X26" i="17"/>
  <c r="O227" i="54"/>
  <c r="V24" i="17"/>
  <c r="O205" i="54"/>
  <c r="V26" i="17"/>
  <c r="X5" i="17"/>
  <c r="Y5" i="17"/>
  <c r="Y32" i="17"/>
  <c r="Y26" i="17"/>
  <c r="W24" i="17"/>
  <c r="W13" i="17"/>
  <c r="Y24" i="17"/>
  <c r="V14" i="17"/>
  <c r="X14" i="17"/>
  <c r="X19" i="17"/>
  <c r="V18" i="17"/>
  <c r="M220" i="54"/>
  <c r="W5" i="17"/>
  <c r="W14" i="17"/>
  <c r="Y14" i="17"/>
  <c r="X24" i="17"/>
  <c r="Y13" i="17"/>
  <c r="X18" i="17"/>
  <c r="X13" i="17"/>
  <c r="V13" i="17"/>
  <c r="W26" i="17"/>
  <c r="W32" i="17"/>
  <c r="M228" i="54"/>
  <c r="Y30" i="17"/>
  <c r="W30" i="17"/>
  <c r="V5" i="17"/>
  <c r="L108" i="54"/>
  <c r="M204" i="54"/>
  <c r="L115" i="54"/>
  <c r="L122" i="54"/>
  <c r="L113" i="54"/>
  <c r="M211" i="54"/>
  <c r="L116" i="54"/>
  <c r="L118" i="54"/>
  <c r="O148" i="54" l="1"/>
  <c r="L201" i="54"/>
  <c r="O204" i="54"/>
  <c r="O226" i="54"/>
  <c r="M226" i="54"/>
  <c r="O192" i="54"/>
  <c r="O221" i="54"/>
  <c r="M221" i="54"/>
  <c r="O219" i="54"/>
  <c r="M219" i="54"/>
  <c r="O208" i="54"/>
  <c r="M208" i="54"/>
  <c r="M215" i="54"/>
  <c r="O200" i="54"/>
  <c r="M200" i="54"/>
  <c r="O196" i="54"/>
  <c r="M196" i="54"/>
  <c r="O198" i="54"/>
  <c r="M198" i="54"/>
  <c r="L209" i="54"/>
  <c r="O207" i="54"/>
  <c r="M207" i="54"/>
  <c r="O199" i="54"/>
  <c r="M199" i="54"/>
  <c r="O206" i="54"/>
  <c r="M206" i="54"/>
  <c r="O197" i="54"/>
  <c r="M197" i="54"/>
  <c r="M195" i="54"/>
  <c r="O212" i="54"/>
  <c r="M212" i="54"/>
  <c r="M213" i="54" s="1"/>
  <c r="O217" i="54"/>
  <c r="M217" i="54"/>
  <c r="O225" i="54"/>
  <c r="M225" i="54"/>
  <c r="O218" i="54"/>
  <c r="M218" i="54"/>
  <c r="O203" i="54"/>
  <c r="M203" i="54"/>
  <c r="M191" i="54"/>
  <c r="M193" i="54" s="1"/>
  <c r="L191" i="54"/>
  <c r="L193" i="54" s="1"/>
  <c r="O188" i="54"/>
  <c r="M188" i="54"/>
  <c r="O187" i="54"/>
  <c r="M187" i="54"/>
  <c r="M122" i="54"/>
  <c r="M231" i="54"/>
  <c r="L151" i="54"/>
  <c r="L181" i="54" s="1"/>
  <c r="L141" i="54"/>
  <c r="M154" i="54"/>
  <c r="O154" i="54" s="1"/>
  <c r="W122" i="54"/>
  <c r="M174" i="54"/>
  <c r="O174" i="54" s="1"/>
  <c r="M162" i="54"/>
  <c r="O162" i="54" s="1"/>
  <c r="M145" i="54"/>
  <c r="O145" i="54" s="1"/>
  <c r="M172" i="54"/>
  <c r="O172" i="54" s="1"/>
  <c r="M160" i="54"/>
  <c r="O160" i="54" s="1"/>
  <c r="M171" i="54"/>
  <c r="O171" i="54" s="1"/>
  <c r="M158" i="54"/>
  <c r="O158" i="54" s="1"/>
  <c r="U122" i="54"/>
  <c r="M155" i="54"/>
  <c r="O155" i="54" s="1"/>
  <c r="M146" i="54"/>
  <c r="O146" i="54" s="1"/>
  <c r="M139" i="54"/>
  <c r="O139" i="54" s="1"/>
  <c r="M153" i="54"/>
  <c r="O153" i="54" s="1"/>
  <c r="M150" i="54"/>
  <c r="O150" i="54" s="1"/>
  <c r="W66" i="54"/>
  <c r="U112" i="54"/>
  <c r="U115" i="54"/>
  <c r="M117" i="54"/>
  <c r="M116" i="54"/>
  <c r="U117" i="54"/>
  <c r="U108" i="54"/>
  <c r="M118" i="54"/>
  <c r="U113" i="54"/>
  <c r="C126" i="54"/>
  <c r="O220" i="54"/>
  <c r="U118" i="54"/>
  <c r="M112" i="54"/>
  <c r="U121" i="54"/>
  <c r="M108" i="54"/>
  <c r="M115" i="54"/>
  <c r="L112" i="54"/>
  <c r="L124" i="54" s="1"/>
  <c r="U116" i="54"/>
  <c r="F126" i="54"/>
  <c r="E126" i="54"/>
  <c r="M113" i="54"/>
  <c r="D126" i="54"/>
  <c r="Q158" i="54" l="1"/>
  <c r="M124" i="54"/>
  <c r="L233" i="54"/>
  <c r="O228" i="54"/>
  <c r="O229" i="54" s="1"/>
  <c r="Q168" i="54" s="1"/>
  <c r="M229" i="54"/>
  <c r="O117" i="54"/>
  <c r="Z19" i="17" s="1"/>
  <c r="O215" i="54"/>
  <c r="O223" i="54"/>
  <c r="Q164" i="54" s="1"/>
  <c r="M209" i="54"/>
  <c r="M201" i="54"/>
  <c r="O209" i="54"/>
  <c r="M223" i="54"/>
  <c r="O116" i="54"/>
  <c r="Z18" i="17" s="1"/>
  <c r="O211" i="54"/>
  <c r="O213" i="54" s="1"/>
  <c r="O115" i="54"/>
  <c r="Z14" i="17" s="1"/>
  <c r="O113" i="54"/>
  <c r="Z13" i="17" s="1"/>
  <c r="O195" i="54"/>
  <c r="O201" i="54" s="1"/>
  <c r="Q155" i="54" s="1"/>
  <c r="O191" i="54"/>
  <c r="O193" i="54" s="1"/>
  <c r="O189" i="54"/>
  <c r="Q140" i="54" s="1"/>
  <c r="M189" i="54"/>
  <c r="AA13" i="17"/>
  <c r="O108" i="54"/>
  <c r="Z5" i="17" s="1"/>
  <c r="O122" i="54"/>
  <c r="Z35" i="17" s="1"/>
  <c r="J296" i="17" s="1"/>
  <c r="O231" i="54"/>
  <c r="AA19" i="17"/>
  <c r="W112" i="54"/>
  <c r="W116" i="54"/>
  <c r="W113" i="54"/>
  <c r="AA32" i="17"/>
  <c r="I294" i="17" s="1"/>
  <c r="W70" i="54"/>
  <c r="AA24" i="17" s="1"/>
  <c r="I289" i="17" s="1"/>
  <c r="W108" i="54"/>
  <c r="O151" i="54"/>
  <c r="O141" i="54"/>
  <c r="Q139" i="54" s="1"/>
  <c r="W62" i="54"/>
  <c r="M141" i="54"/>
  <c r="W82" i="54"/>
  <c r="AA30" i="17" s="1"/>
  <c r="I293" i="17" s="1"/>
  <c r="W117" i="54"/>
  <c r="AA18" i="17"/>
  <c r="M156" i="54"/>
  <c r="O165" i="54"/>
  <c r="Q163" i="54" s="1"/>
  <c r="AA44" i="17"/>
  <c r="I302" i="17" s="1"/>
  <c r="M165" i="54"/>
  <c r="W118" i="54"/>
  <c r="O175" i="54"/>
  <c r="Q173" i="54" s="1"/>
  <c r="Q175" i="54" s="1"/>
  <c r="O169" i="54"/>
  <c r="Q167" i="54" s="1"/>
  <c r="W115" i="54"/>
  <c r="M175" i="54"/>
  <c r="M151" i="54"/>
  <c r="M169" i="54"/>
  <c r="W121" i="54"/>
  <c r="O112" i="54"/>
  <c r="O121" i="54"/>
  <c r="O118" i="54"/>
  <c r="Z26" i="17" s="1"/>
  <c r="J290" i="17" s="1"/>
  <c r="U124" i="54"/>
  <c r="M181" i="54" l="1"/>
  <c r="Q159" i="54"/>
  <c r="Q160" i="54" s="1"/>
  <c r="Q141" i="54"/>
  <c r="W101" i="54"/>
  <c r="W124" i="54"/>
  <c r="Z6" i="17"/>
  <c r="J276" i="17" s="1"/>
  <c r="O124" i="54"/>
  <c r="O126" i="54" s="1"/>
  <c r="I284" i="17"/>
  <c r="AA26" i="17"/>
  <c r="I290" i="17" s="1"/>
  <c r="Y62" i="54"/>
  <c r="L235" i="54"/>
  <c r="Q169" i="54"/>
  <c r="J284" i="17"/>
  <c r="AA5" i="17"/>
  <c r="I276" i="17" s="1"/>
  <c r="Q165" i="54"/>
  <c r="M233" i="54"/>
  <c r="O233" i="54"/>
  <c r="Z24" i="17"/>
  <c r="J289" i="17" s="1"/>
  <c r="O156" i="54"/>
  <c r="O181" i="54" s="1"/>
  <c r="AA14" i="17"/>
  <c r="U126" i="54"/>
  <c r="Y52" i="17"/>
  <c r="X52" i="17"/>
  <c r="V52" i="17"/>
  <c r="Q154" i="54" l="1"/>
  <c r="Q156" i="54" s="1"/>
  <c r="Q182" i="54" s="1"/>
  <c r="I308" i="17"/>
  <c r="J308" i="17"/>
  <c r="M235" i="54"/>
  <c r="O235" i="54"/>
  <c r="AA52" i="17"/>
  <c r="Z52" i="17"/>
  <c r="W103" i="54"/>
  <c r="W126" i="54"/>
  <c r="W52" i="17"/>
  <c r="I63" i="17" l="1"/>
  <c r="D660" i="30" l="1"/>
  <c r="D659" i="30"/>
  <c r="D658" i="30"/>
  <c r="I657" i="30"/>
  <c r="D657" i="30"/>
  <c r="I656" i="30"/>
  <c r="D656" i="30"/>
  <c r="I655" i="30"/>
  <c r="D655" i="30"/>
  <c r="I654" i="30"/>
  <c r="D654" i="30"/>
  <c r="D653" i="30"/>
  <c r="I652" i="30"/>
  <c r="D652" i="30"/>
  <c r="I651" i="30"/>
  <c r="D651" i="30"/>
  <c r="I650" i="30"/>
  <c r="D650" i="30"/>
  <c r="I649" i="30"/>
  <c r="D649" i="30"/>
  <c r="I648" i="30"/>
  <c r="D648" i="30"/>
  <c r="I647" i="30"/>
  <c r="D647" i="30"/>
  <c r="I646" i="30"/>
  <c r="D646" i="30"/>
  <c r="I645" i="30"/>
  <c r="D645" i="30"/>
  <c r="I644" i="30"/>
  <c r="D644" i="30"/>
  <c r="I643" i="30"/>
  <c r="D643" i="30"/>
  <c r="I642" i="30"/>
  <c r="D642" i="30"/>
  <c r="I641" i="30"/>
  <c r="D641" i="30"/>
  <c r="D640" i="30"/>
  <c r="D639" i="30"/>
  <c r="D638" i="30"/>
  <c r="D637" i="30"/>
  <c r="I636" i="30"/>
  <c r="D636" i="30"/>
  <c r="I635" i="30"/>
  <c r="D635" i="30"/>
  <c r="I634" i="30"/>
  <c r="D634" i="30"/>
  <c r="I633" i="30"/>
  <c r="D633" i="30"/>
  <c r="I632" i="30"/>
  <c r="D632" i="30"/>
  <c r="I631" i="30"/>
  <c r="D631" i="30"/>
  <c r="I630" i="30"/>
  <c r="D630" i="30"/>
  <c r="I629" i="30"/>
  <c r="D629" i="30"/>
  <c r="I628" i="30"/>
  <c r="D628" i="30"/>
  <c r="I627" i="30"/>
  <c r="D627" i="30"/>
  <c r="I626" i="30"/>
  <c r="D626" i="30"/>
  <c r="I625" i="30"/>
  <c r="D625" i="30"/>
  <c r="I624" i="30"/>
  <c r="D624" i="30"/>
  <c r="I623" i="30"/>
  <c r="D623" i="30"/>
  <c r="I622" i="30"/>
  <c r="D622" i="30"/>
  <c r="I621" i="30"/>
  <c r="D621" i="30"/>
  <c r="I620" i="30"/>
  <c r="D620" i="30"/>
  <c r="I619" i="30"/>
  <c r="D619" i="30"/>
  <c r="I618" i="30"/>
  <c r="D618" i="30"/>
  <c r="I617" i="30"/>
  <c r="D617" i="30"/>
  <c r="I616" i="30"/>
  <c r="D616" i="30"/>
  <c r="I615" i="30"/>
  <c r="D615" i="30"/>
  <c r="I614" i="30"/>
  <c r="D614" i="30"/>
  <c r="I613" i="30"/>
  <c r="D613" i="30"/>
  <c r="I612" i="30"/>
  <c r="D612" i="30"/>
  <c r="I611" i="30"/>
  <c r="D611" i="30"/>
  <c r="I610" i="30"/>
  <c r="D610" i="30"/>
  <c r="I609" i="30"/>
  <c r="D609" i="30"/>
  <c r="I608" i="30"/>
  <c r="D608" i="30"/>
  <c r="I607" i="30"/>
  <c r="D607" i="30"/>
  <c r="I606" i="30"/>
  <c r="D606" i="30"/>
  <c r="I605" i="30"/>
  <c r="D605" i="30"/>
  <c r="I604" i="30"/>
  <c r="D604" i="30"/>
  <c r="I603" i="30"/>
  <c r="D603" i="30"/>
  <c r="I602" i="30"/>
  <c r="D602" i="30"/>
  <c r="I601" i="30"/>
  <c r="D601" i="30"/>
  <c r="I600" i="30"/>
  <c r="D600" i="30"/>
  <c r="I599" i="30"/>
  <c r="D599" i="30"/>
  <c r="I598" i="30"/>
  <c r="D598" i="30"/>
  <c r="I597" i="30"/>
  <c r="D597" i="30"/>
  <c r="I596" i="30"/>
  <c r="D596" i="30"/>
  <c r="I595" i="30"/>
  <c r="D595" i="30"/>
  <c r="I594" i="30"/>
  <c r="D594" i="30"/>
  <c r="I593" i="30"/>
  <c r="D593" i="30"/>
  <c r="I592" i="30"/>
  <c r="D592" i="30"/>
  <c r="I591" i="30"/>
  <c r="D591" i="30"/>
  <c r="I590" i="30"/>
  <c r="D590" i="30"/>
  <c r="I589" i="30"/>
  <c r="D589" i="30"/>
  <c r="I588" i="30"/>
  <c r="D588" i="30"/>
  <c r="I587" i="30"/>
  <c r="D587" i="30"/>
  <c r="I586" i="30"/>
  <c r="D586" i="30"/>
  <c r="I585" i="30"/>
  <c r="D585" i="30"/>
  <c r="I584" i="30"/>
  <c r="D584" i="30"/>
  <c r="I583" i="30"/>
  <c r="D583" i="30"/>
  <c r="I582" i="30"/>
  <c r="D582" i="30"/>
  <c r="I581" i="30"/>
  <c r="D581" i="30"/>
  <c r="I580" i="30"/>
  <c r="D580" i="30"/>
  <c r="I579" i="30"/>
  <c r="D579" i="30"/>
  <c r="I578" i="30"/>
  <c r="D578" i="30"/>
  <c r="I577" i="30"/>
  <c r="D577" i="30"/>
  <c r="I576" i="30"/>
  <c r="D576" i="30"/>
  <c r="I575" i="30"/>
  <c r="D575" i="30"/>
  <c r="I574" i="30"/>
  <c r="D574" i="30"/>
  <c r="I573" i="30"/>
  <c r="D573" i="30"/>
  <c r="I572" i="30"/>
  <c r="D572" i="30"/>
  <c r="I571" i="30"/>
  <c r="D571" i="30"/>
  <c r="I570" i="30"/>
  <c r="D570" i="30"/>
  <c r="I569" i="30"/>
  <c r="D569" i="30"/>
  <c r="I568" i="30"/>
  <c r="D568" i="30"/>
  <c r="I567" i="30"/>
  <c r="D567" i="30"/>
  <c r="I566" i="30"/>
  <c r="D566" i="30"/>
  <c r="I565" i="30"/>
  <c r="D565" i="30"/>
  <c r="I564" i="30"/>
  <c r="D564" i="30"/>
  <c r="I563" i="30"/>
  <c r="D563" i="30"/>
  <c r="I561" i="30"/>
  <c r="D561" i="30"/>
  <c r="I560" i="30"/>
  <c r="D560" i="30"/>
  <c r="I559" i="30"/>
  <c r="D559" i="30"/>
  <c r="I558" i="30"/>
  <c r="D558" i="30"/>
  <c r="I557" i="30"/>
  <c r="D557" i="30"/>
  <c r="I556" i="30"/>
  <c r="D556" i="30"/>
  <c r="I555" i="30"/>
  <c r="D555" i="30"/>
  <c r="I554" i="30"/>
  <c r="D554" i="30"/>
  <c r="I553" i="30"/>
  <c r="D553" i="30"/>
  <c r="I552" i="30"/>
  <c r="D552" i="30"/>
  <c r="I551" i="30"/>
  <c r="D551" i="30"/>
  <c r="I550" i="30"/>
  <c r="D550" i="30"/>
  <c r="I324" i="30"/>
  <c r="I323" i="30"/>
  <c r="I322" i="30"/>
  <c r="I321" i="30"/>
  <c r="I319" i="30"/>
  <c r="I318" i="30"/>
  <c r="I317" i="30"/>
  <c r="I316" i="30"/>
  <c r="I315" i="30"/>
  <c r="I314" i="30"/>
  <c r="I313" i="30"/>
  <c r="I312" i="30"/>
  <c r="I311" i="30"/>
  <c r="I310" i="30"/>
  <c r="I309" i="30"/>
  <c r="I308"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W173" i="2"/>
  <c r="V173" i="2"/>
  <c r="U173" i="2"/>
  <c r="L173" i="2"/>
  <c r="E173" i="2"/>
  <c r="W172" i="2"/>
  <c r="V172" i="2"/>
  <c r="U172" i="2"/>
  <c r="L172" i="2"/>
  <c r="E172" i="2"/>
  <c r="W171" i="2"/>
  <c r="V171" i="2"/>
  <c r="U171" i="2"/>
  <c r="L171" i="2"/>
  <c r="E171" i="2"/>
  <c r="W170" i="2"/>
  <c r="V170" i="2"/>
  <c r="U170" i="2"/>
  <c r="L170" i="2"/>
  <c r="E170" i="2"/>
  <c r="W169" i="2"/>
  <c r="V169" i="2"/>
  <c r="U169" i="2"/>
  <c r="L169" i="2"/>
  <c r="E169" i="2"/>
  <c r="U168" i="2"/>
  <c r="L168" i="2"/>
  <c r="E168" i="2"/>
  <c r="V167" i="2"/>
  <c r="U167" i="2"/>
  <c r="W167" i="2"/>
  <c r="L167" i="2"/>
  <c r="E167" i="2"/>
  <c r="U166" i="2"/>
  <c r="L166" i="2"/>
  <c r="E166" i="2"/>
  <c r="U165" i="2"/>
  <c r="L165" i="2"/>
  <c r="E165" i="2"/>
  <c r="U164" i="2"/>
  <c r="L164" i="2"/>
  <c r="E164" i="2"/>
  <c r="U163" i="2"/>
  <c r="W163" i="2"/>
  <c r="V163" i="2"/>
  <c r="L163" i="2"/>
  <c r="E163" i="2"/>
  <c r="U162" i="2"/>
  <c r="W162" i="2"/>
  <c r="L162" i="2"/>
  <c r="E162" i="2"/>
  <c r="U161" i="2"/>
  <c r="W161" i="2"/>
  <c r="L161" i="2"/>
  <c r="E161" i="2"/>
  <c r="U160" i="2"/>
  <c r="W160" i="2"/>
  <c r="L160" i="2"/>
  <c r="E160" i="2"/>
  <c r="U159" i="2"/>
  <c r="V159" i="2"/>
  <c r="L159" i="2"/>
  <c r="E159" i="2"/>
  <c r="V158" i="2"/>
  <c r="U158" i="2"/>
  <c r="L158" i="2"/>
  <c r="E158" i="2"/>
  <c r="W157" i="2"/>
  <c r="V157" i="2"/>
  <c r="U157" i="2"/>
  <c r="L157" i="2"/>
  <c r="E157" i="2"/>
  <c r="W156" i="2"/>
  <c r="V156" i="2"/>
  <c r="U156" i="2"/>
  <c r="L156" i="2"/>
  <c r="E156" i="2"/>
  <c r="W155" i="2"/>
  <c r="V155" i="2"/>
  <c r="U155" i="2"/>
  <c r="L155" i="2"/>
  <c r="E155" i="2"/>
  <c r="W154" i="2"/>
  <c r="V154" i="2"/>
  <c r="U154" i="2"/>
  <c r="L154" i="2"/>
  <c r="E154" i="2"/>
  <c r="W153" i="2"/>
  <c r="V153" i="2"/>
  <c r="U153" i="2"/>
  <c r="L153" i="2"/>
  <c r="E153" i="2"/>
  <c r="W152" i="2"/>
  <c r="V152" i="2"/>
  <c r="U152" i="2"/>
  <c r="L152" i="2"/>
  <c r="E152" i="2"/>
  <c r="W151" i="2"/>
  <c r="V151" i="2"/>
  <c r="U151" i="2"/>
  <c r="L151" i="2"/>
  <c r="E151" i="2"/>
  <c r="W150" i="2"/>
  <c r="V150" i="2"/>
  <c r="U150" i="2"/>
  <c r="L150" i="2"/>
  <c r="E150" i="2"/>
  <c r="W149" i="2"/>
  <c r="V149" i="2"/>
  <c r="U149" i="2"/>
  <c r="L149" i="2"/>
  <c r="E149" i="2"/>
  <c r="W148" i="2"/>
  <c r="V148" i="2"/>
  <c r="U148" i="2"/>
  <c r="L148" i="2"/>
  <c r="E148" i="2"/>
  <c r="W147" i="2"/>
  <c r="V147" i="2"/>
  <c r="U147" i="2"/>
  <c r="L147" i="2"/>
  <c r="E147" i="2"/>
  <c r="W146" i="2"/>
  <c r="V146" i="2"/>
  <c r="U146" i="2"/>
  <c r="L146" i="2"/>
  <c r="E146" i="2"/>
  <c r="W145" i="2"/>
  <c r="V145" i="2"/>
  <c r="U145" i="2"/>
  <c r="E145" i="2"/>
  <c r="W144" i="2"/>
  <c r="V144" i="2"/>
  <c r="U144" i="2"/>
  <c r="L144" i="2"/>
  <c r="E144" i="2"/>
  <c r="W143" i="2"/>
  <c r="V143" i="2"/>
  <c r="U143" i="2"/>
  <c r="L143" i="2"/>
  <c r="E143" i="2"/>
  <c r="W142" i="2"/>
  <c r="V142" i="2"/>
  <c r="U142" i="2"/>
  <c r="L142" i="2"/>
  <c r="E142" i="2"/>
  <c r="W141" i="2"/>
  <c r="V141" i="2"/>
  <c r="U141" i="2"/>
  <c r="L141" i="2"/>
  <c r="E141" i="2"/>
  <c r="W140" i="2"/>
  <c r="V140" i="2"/>
  <c r="U140" i="2"/>
  <c r="L140" i="2"/>
  <c r="E140"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6" i="2"/>
  <c r="L75" i="2"/>
  <c r="L74" i="2"/>
  <c r="L73" i="2"/>
  <c r="L72" i="2"/>
  <c r="W165" i="2" l="1"/>
  <c r="W158" i="2"/>
  <c r="V164" i="2"/>
  <c r="W168" i="2"/>
  <c r="W159" i="2"/>
  <c r="V166" i="2"/>
  <c r="W166" i="2"/>
  <c r="W164" i="2"/>
  <c r="V165" i="2"/>
  <c r="V168" i="2"/>
  <c r="V160" i="2" l="1"/>
  <c r="V162" i="2"/>
  <c r="V161" i="2"/>
  <c r="I20" i="2" l="1"/>
  <c r="H20" i="2"/>
  <c r="G20" i="2"/>
  <c r="I19" i="2"/>
  <c r="H19" i="2"/>
  <c r="G19" i="2"/>
  <c r="I18" i="2"/>
  <c r="H18" i="2"/>
  <c r="G18" i="2"/>
  <c r="E4" i="2" l="1"/>
  <c r="E130" i="30"/>
  <c r="E129" i="30"/>
  <c r="E128" i="30"/>
  <c r="E127" i="30"/>
  <c r="Q35" i="28"/>
  <c r="P35" i="28"/>
  <c r="W86" i="2"/>
  <c r="V86" i="2"/>
  <c r="U86" i="2"/>
  <c r="E86" i="2"/>
  <c r="W85" i="2"/>
  <c r="V85" i="2"/>
  <c r="U85" i="2"/>
  <c r="E85" i="2"/>
  <c r="W84" i="2"/>
  <c r="V84" i="2"/>
  <c r="U84" i="2"/>
  <c r="E84" i="2"/>
  <c r="AL2" i="29" l="1"/>
  <c r="AK2" i="29"/>
  <c r="I63" i="48" l="1"/>
  <c r="I64" i="48"/>
  <c r="I65" i="48"/>
  <c r="I66" i="48"/>
  <c r="I67" i="48"/>
  <c r="I68" i="48"/>
  <c r="I69" i="48"/>
  <c r="I70" i="48"/>
  <c r="I71" i="48"/>
  <c r="I72" i="48"/>
  <c r="I73" i="48"/>
  <c r="I74" i="48"/>
  <c r="AB160" i="48"/>
  <c r="AB159" i="48"/>
  <c r="AB123" i="48"/>
  <c r="AB122" i="48"/>
  <c r="AB121" i="48"/>
  <c r="AB119" i="48"/>
  <c r="AB118" i="48"/>
  <c r="AB117" i="48"/>
  <c r="AB114" i="48"/>
  <c r="AB111" i="48"/>
  <c r="AB109" i="48"/>
  <c r="AB102" i="48"/>
  <c r="AB101" i="48"/>
  <c r="AB100" i="48"/>
  <c r="AB98" i="48"/>
  <c r="AB97" i="48"/>
  <c r="AB96" i="48"/>
  <c r="AC87" i="48"/>
  <c r="AC86" i="48"/>
  <c r="Y86" i="48"/>
  <c r="AC85" i="48"/>
  <c r="Y85" i="48"/>
  <c r="AC84" i="48"/>
  <c r="Y84" i="48"/>
  <c r="H74" i="48"/>
  <c r="G74" i="48"/>
  <c r="E74" i="48"/>
  <c r="D74" i="48"/>
  <c r="C74" i="48"/>
  <c r="H73" i="48"/>
  <c r="G73" i="48"/>
  <c r="H72" i="48"/>
  <c r="G72" i="48"/>
  <c r="E72" i="48"/>
  <c r="D72" i="48"/>
  <c r="C72" i="48"/>
  <c r="H71" i="48"/>
  <c r="G71" i="48"/>
  <c r="E71" i="48"/>
  <c r="D71" i="48"/>
  <c r="C71" i="48"/>
  <c r="H70" i="48"/>
  <c r="G70" i="48"/>
  <c r="H69" i="48"/>
  <c r="G69" i="48"/>
  <c r="H68" i="48"/>
  <c r="G68" i="48"/>
  <c r="E68" i="48"/>
  <c r="D68" i="48"/>
  <c r="C68" i="48"/>
  <c r="H67" i="48"/>
  <c r="G67" i="48"/>
  <c r="H66" i="48"/>
  <c r="G66" i="48"/>
  <c r="H65" i="48"/>
  <c r="G65" i="48"/>
  <c r="H64" i="48"/>
  <c r="G64" i="48"/>
  <c r="H63" i="48"/>
  <c r="G63" i="48"/>
  <c r="E63" i="48"/>
  <c r="D63" i="48"/>
  <c r="C63" i="48"/>
  <c r="Y62" i="48"/>
  <c r="Y66" i="48" s="1"/>
  <c r="H61" i="48"/>
  <c r="G61" i="48"/>
  <c r="AB56" i="48"/>
  <c r="AB55" i="48"/>
  <c r="AB54" i="48"/>
  <c r="AB52" i="48"/>
  <c r="AB51" i="48"/>
  <c r="AB50" i="48"/>
  <c r="AB44" i="48"/>
  <c r="AB43" i="48"/>
  <c r="AB41" i="48"/>
  <c r="AB40" i="48"/>
  <c r="AB39" i="48"/>
  <c r="AB33" i="48"/>
  <c r="AB32" i="48"/>
  <c r="AB31" i="48"/>
  <c r="AB29" i="48"/>
  <c r="AB28" i="48"/>
  <c r="AB27" i="48"/>
  <c r="AC21" i="48"/>
  <c r="AB21" i="48"/>
  <c r="AC20" i="48"/>
  <c r="AB20" i="48"/>
  <c r="AC19" i="48"/>
  <c r="AB19" i="48"/>
  <c r="AC17" i="48"/>
  <c r="AB17" i="48"/>
  <c r="AC16" i="48"/>
  <c r="AB16" i="48"/>
  <c r="AC15" i="48"/>
  <c r="AB15" i="48"/>
  <c r="K8" i="48"/>
  <c r="A4" i="48"/>
  <c r="AB1" i="48"/>
  <c r="G7" i="48" s="1"/>
  <c r="B25" i="3"/>
  <c r="AB64" i="48" l="1"/>
  <c r="K74" i="48"/>
  <c r="L71" i="48"/>
  <c r="L74" i="48"/>
  <c r="M74" i="48"/>
  <c r="K72" i="48"/>
  <c r="L63" i="48"/>
  <c r="M72" i="48"/>
  <c r="K68" i="48"/>
  <c r="AB71" i="48"/>
  <c r="AB67" i="48"/>
  <c r="AB63" i="48"/>
  <c r="AB72" i="48"/>
  <c r="AB68" i="48"/>
  <c r="AB74" i="48"/>
  <c r="AB70" i="48"/>
  <c r="AB66" i="48"/>
  <c r="AB62" i="48"/>
  <c r="K63" i="48"/>
  <c r="M63" i="48"/>
  <c r="K71" i="48"/>
  <c r="C8" i="48"/>
  <c r="AB69" i="48"/>
  <c r="M71" i="48"/>
  <c r="M68" i="48"/>
  <c r="AB73" i="48"/>
  <c r="L68" i="48"/>
  <c r="L72" i="48"/>
  <c r="AB9" i="3" l="1"/>
  <c r="AB10" i="3" s="1"/>
  <c r="AB11" i="3" s="1"/>
  <c r="AB12" i="3" s="1"/>
  <c r="AB13" i="3" s="1"/>
  <c r="AB14" i="3" s="1"/>
  <c r="AB15" i="3" s="1"/>
  <c r="AB16" i="3" s="1"/>
  <c r="AB17" i="3" s="1"/>
  <c r="AB18" i="3" s="1"/>
  <c r="AB19" i="3" s="1"/>
  <c r="AB20" i="3" s="1"/>
  <c r="AB21" i="3" s="1"/>
  <c r="AB22" i="3" s="1"/>
  <c r="AB23" i="3" l="1"/>
  <c r="AB24" i="3" s="1"/>
  <c r="AB25" i="3" s="1"/>
  <c r="AB26" i="3" s="1"/>
  <c r="AB27" i="3" s="1"/>
  <c r="AB28" i="3" s="1"/>
  <c r="AB29" i="3" s="1"/>
  <c r="AB30" i="3" s="1"/>
  <c r="AB31" i="3" s="1"/>
  <c r="AB32" i="3" s="1"/>
  <c r="AB33" i="3" s="1"/>
  <c r="AB34" i="3" s="1"/>
  <c r="AB35" i="3" s="1"/>
  <c r="AB36" i="3" s="1"/>
  <c r="AB37" i="3" s="1"/>
  <c r="AB38" i="3" s="1"/>
  <c r="AB39" i="3" s="1"/>
  <c r="AB40" i="3" s="1"/>
  <c r="AB41" i="3" s="1"/>
  <c r="AB42" i="3" s="1"/>
  <c r="AB43" i="3" s="1"/>
  <c r="AB44" i="3" s="1"/>
  <c r="AB45" i="3" s="1"/>
  <c r="AB46" i="3" s="1"/>
  <c r="AB47" i="3" s="1"/>
  <c r="AB48" i="3" s="1"/>
  <c r="AB49" i="3" s="1"/>
  <c r="AB50" i="3" s="1"/>
  <c r="AB51" i="3" s="1"/>
  <c r="AB52" i="3" s="1"/>
  <c r="AB53" i="3" s="1"/>
  <c r="AB54" i="3" s="1"/>
  <c r="AB55" i="3" s="1"/>
  <c r="AB56" i="3" s="1"/>
  <c r="AB57" i="3" s="1"/>
  <c r="AB58" i="3" s="1"/>
  <c r="AB59" i="3" s="1"/>
  <c r="AB60" i="3" s="1"/>
  <c r="AB61" i="3" s="1"/>
  <c r="AB62" i="3" s="1"/>
  <c r="AB63" i="3" s="1"/>
  <c r="AB64" i="3" s="1"/>
  <c r="AB65" i="3" s="1"/>
  <c r="AB66" i="3" s="1"/>
  <c r="AB67" i="3" s="1"/>
  <c r="AB68" i="3" s="1"/>
  <c r="AB69" i="3" s="1"/>
  <c r="AB70" i="3" s="1"/>
  <c r="AB71" i="3" s="1"/>
  <c r="AB72" i="3" s="1"/>
  <c r="AB73" i="3" s="1"/>
  <c r="AB74" i="3" s="1"/>
  <c r="AB75" i="3" s="1"/>
  <c r="AB76" i="3" s="1"/>
  <c r="AB77" i="3" s="1"/>
  <c r="AB78" i="3" s="1"/>
  <c r="AB79" i="3" s="1"/>
  <c r="AB80" i="3" s="1"/>
  <c r="AB81" i="3" s="1"/>
  <c r="AB82" i="3" s="1"/>
  <c r="AB83" i="3" s="1"/>
  <c r="AB84" i="3" s="1"/>
  <c r="AB85" i="3" s="1"/>
  <c r="AB86" i="3" s="1"/>
  <c r="AB87" i="3" s="1"/>
  <c r="AB88" i="3" s="1"/>
  <c r="AB89" i="3" s="1"/>
  <c r="AB90" i="3" s="1"/>
  <c r="AB91" i="3" s="1"/>
  <c r="AM3" i="29" l="1"/>
  <c r="AM4" i="29" s="1"/>
  <c r="AM5" i="29" s="1"/>
  <c r="AM6" i="29" s="1"/>
  <c r="AM7" i="29" s="1"/>
  <c r="AM8" i="29" s="1"/>
  <c r="AM9" i="29" s="1"/>
  <c r="AM10" i="29" s="1"/>
  <c r="AM11" i="29" s="1"/>
  <c r="AM12" i="29" s="1"/>
  <c r="AM13" i="29" s="1"/>
  <c r="AM14" i="29" s="1"/>
  <c r="AM15" i="29" s="1"/>
  <c r="AM16" i="29" s="1"/>
  <c r="AM17" i="29" s="1"/>
  <c r="AM18" i="29" s="1"/>
  <c r="AM19" i="29" s="1"/>
  <c r="AM20" i="29" s="1"/>
  <c r="AM21" i="29" s="1"/>
  <c r="AM22" i="29" s="1"/>
  <c r="AM23" i="29" s="1"/>
  <c r="AM24" i="29" s="1"/>
  <c r="AM25" i="29" s="1"/>
  <c r="AM26" i="29" s="1"/>
  <c r="AM27" i="29" s="1"/>
  <c r="AM28" i="29" s="1"/>
  <c r="AM29" i="29" s="1"/>
  <c r="AM30" i="29" s="1"/>
  <c r="AM31" i="29" s="1"/>
  <c r="AM32" i="29" s="1"/>
  <c r="AM33" i="29" s="1"/>
  <c r="AM34" i="29" s="1"/>
  <c r="AM35" i="29" s="1"/>
  <c r="AM36" i="29" s="1"/>
  <c r="AM37" i="29" s="1"/>
  <c r="AM38" i="29" s="1"/>
  <c r="AM39" i="29" s="1"/>
  <c r="AM40" i="29" s="1"/>
  <c r="AM41" i="29" s="1"/>
  <c r="AM42" i="29" s="1"/>
  <c r="AM43" i="29" s="1"/>
  <c r="AM44" i="29" s="1"/>
  <c r="AM45" i="29" s="1"/>
  <c r="AM46" i="29" s="1"/>
  <c r="AM47" i="29" s="1"/>
  <c r="AM48" i="29" s="1"/>
  <c r="AM49" i="29" s="1"/>
  <c r="AM50" i="29" s="1"/>
  <c r="AM51" i="29" s="1"/>
  <c r="AM52" i="29" s="1"/>
  <c r="AM53" i="29" s="1"/>
  <c r="AM54" i="29" s="1"/>
  <c r="AM55" i="29" s="1"/>
  <c r="AM56" i="29" s="1"/>
  <c r="AM57" i="29" s="1"/>
  <c r="AM58" i="29" s="1"/>
  <c r="AM59" i="29" s="1"/>
  <c r="AM60" i="29" s="1"/>
  <c r="AM61" i="29" s="1"/>
  <c r="AM62" i="29" s="1"/>
  <c r="AM63" i="29" s="1"/>
  <c r="AM64" i="29" s="1"/>
  <c r="AM65" i="29" s="1"/>
  <c r="AM66" i="29" s="1"/>
  <c r="AM67" i="29" s="1"/>
  <c r="AM68" i="29" s="1"/>
  <c r="AM69" i="29" s="1"/>
  <c r="AM70" i="29" s="1"/>
  <c r="AM71" i="29" s="1"/>
  <c r="AM72" i="29" s="1"/>
  <c r="AM73" i="29" s="1"/>
  <c r="AM74" i="29" s="1"/>
  <c r="AM75" i="29" s="1"/>
  <c r="AM76" i="29" s="1"/>
  <c r="AM77" i="29" s="1"/>
  <c r="AM78" i="29" s="1"/>
  <c r="AM79" i="29" s="1"/>
  <c r="AM80" i="29" s="1"/>
  <c r="AM81" i="29" s="1"/>
  <c r="AM82" i="29" s="1"/>
  <c r="AM83" i="29" s="1"/>
  <c r="AM84" i="29" s="1"/>
  <c r="AM85" i="29" s="1"/>
  <c r="AM86" i="29" s="1"/>
  <c r="AM87" i="29" s="1"/>
  <c r="AM88" i="29" s="1"/>
  <c r="AM89" i="29" s="1"/>
  <c r="AM90" i="29" s="1"/>
  <c r="AM91" i="29" s="1"/>
  <c r="AM92" i="29" s="1"/>
  <c r="AM93" i="29" s="1"/>
  <c r="AM94" i="29" s="1"/>
  <c r="AM95" i="29" s="1"/>
  <c r="AM96" i="29" s="1"/>
  <c r="AM97" i="29" s="1"/>
  <c r="AM98" i="29" s="1"/>
  <c r="AM99" i="29" s="1"/>
  <c r="AM100" i="29" s="1"/>
  <c r="AM101" i="29" s="1"/>
  <c r="AM102" i="29" s="1"/>
  <c r="AM103" i="29" s="1"/>
  <c r="AM104" i="29" s="1"/>
  <c r="AM105" i="29" s="1"/>
  <c r="AM106" i="29" s="1"/>
  <c r="AM107" i="29" s="1"/>
  <c r="AM108" i="29" s="1"/>
  <c r="AM109" i="29" s="1"/>
  <c r="AM110" i="29" s="1"/>
  <c r="AM111" i="29" s="1"/>
  <c r="AM112" i="29" s="1"/>
  <c r="AM113" i="29" s="1"/>
  <c r="AM114" i="29" s="1"/>
  <c r="AM115" i="29" s="1"/>
  <c r="AM116" i="29" s="1"/>
  <c r="AM117" i="29" s="1"/>
  <c r="AM118" i="29" s="1"/>
  <c r="AM119" i="29" s="1"/>
  <c r="AM120" i="29" s="1"/>
  <c r="AM121" i="29" s="1"/>
  <c r="AM122" i="29" s="1"/>
  <c r="AM123" i="29" s="1"/>
  <c r="AM124" i="29" s="1"/>
  <c r="AM125" i="29" s="1"/>
  <c r="AM126" i="29" s="1"/>
  <c r="AM127" i="29" s="1"/>
  <c r="AM128" i="29" s="1"/>
  <c r="AM129" i="29" s="1"/>
  <c r="AM130" i="29" s="1"/>
  <c r="AM131" i="29" s="1"/>
  <c r="AM132" i="29" s="1"/>
  <c r="AM133" i="29" s="1"/>
  <c r="AM134" i="29" s="1"/>
  <c r="AM135" i="29" s="1"/>
  <c r="AM136" i="29" s="1"/>
  <c r="AM137" i="29" s="1"/>
  <c r="AM138" i="29" s="1"/>
  <c r="AM139" i="29" s="1"/>
  <c r="AM140" i="29" s="1"/>
  <c r="AM141" i="29" s="1"/>
  <c r="AM142" i="29" s="1"/>
  <c r="AM143" i="29" s="1"/>
  <c r="AM144" i="29" s="1"/>
  <c r="AM145" i="29" s="1"/>
  <c r="AM146" i="29" s="1"/>
  <c r="AM147" i="29" s="1"/>
  <c r="AM148" i="29" s="1"/>
  <c r="AM149" i="29" s="1"/>
  <c r="AM150" i="29" s="1"/>
  <c r="AM151" i="29" s="1"/>
  <c r="AM152" i="29" s="1"/>
  <c r="AM153" i="29" s="1"/>
  <c r="AM154" i="29" s="1"/>
  <c r="AM155" i="29" s="1"/>
  <c r="AM156" i="29" s="1"/>
  <c r="AM157" i="29" s="1"/>
  <c r="AM158" i="29" s="1"/>
  <c r="AM159" i="29" s="1"/>
  <c r="AM160" i="29" s="1"/>
  <c r="AM161" i="29" s="1"/>
  <c r="AM162" i="29" s="1"/>
  <c r="AM163" i="29" s="1"/>
  <c r="AM164" i="29" s="1"/>
  <c r="AM165" i="29" s="1"/>
  <c r="AM166" i="29" s="1"/>
  <c r="AM167" i="29" s="1"/>
  <c r="AM168" i="29" s="1"/>
  <c r="AM169" i="29" s="1"/>
  <c r="AM170" i="29" s="1"/>
  <c r="AM171" i="29" s="1"/>
  <c r="AM172" i="29" s="1"/>
  <c r="AM173" i="29" s="1"/>
  <c r="AM174" i="29" s="1"/>
  <c r="AM175" i="29" s="1"/>
  <c r="AM176" i="29" s="1"/>
  <c r="AM177" i="29" s="1"/>
  <c r="AM178" i="29" s="1"/>
  <c r="AM179" i="29" s="1"/>
  <c r="AM180" i="29" s="1"/>
  <c r="AM181" i="29" s="1"/>
  <c r="AM182" i="29" s="1"/>
  <c r="AM183" i="29" s="1"/>
  <c r="AM184" i="29" s="1"/>
  <c r="AM185" i="29" s="1"/>
  <c r="AM186" i="29" s="1"/>
  <c r="AM187" i="29" s="1"/>
  <c r="AM188" i="29" s="1"/>
  <c r="AM189" i="29" s="1"/>
  <c r="AM190" i="29" s="1"/>
  <c r="AM191" i="29" s="1"/>
  <c r="AM192" i="29" s="1"/>
  <c r="AM193" i="29" s="1"/>
  <c r="AM194" i="29" s="1"/>
  <c r="AM195" i="29" s="1"/>
  <c r="AM196" i="29" s="1"/>
  <c r="AM197" i="29" s="1"/>
  <c r="AM198" i="29" s="1"/>
  <c r="AM199" i="29" s="1"/>
  <c r="AM200" i="29" s="1"/>
  <c r="AM201" i="29" s="1"/>
  <c r="AM202" i="29" s="1"/>
  <c r="AM203" i="29" s="1"/>
  <c r="AM204" i="29" s="1"/>
  <c r="AM205" i="29" s="1"/>
  <c r="AM206" i="29" s="1"/>
  <c r="AM207" i="29" s="1"/>
  <c r="AM208" i="29" s="1"/>
  <c r="AM209" i="29" s="1"/>
  <c r="AM210" i="29" s="1"/>
  <c r="AM211" i="29" s="1"/>
  <c r="AM212" i="29" s="1"/>
  <c r="AM213" i="29" s="1"/>
  <c r="AM214" i="29" s="1"/>
  <c r="AM215" i="29" s="1"/>
  <c r="AM216" i="29" s="1"/>
  <c r="AM217" i="29" s="1"/>
  <c r="AM218" i="29" s="1"/>
  <c r="AM219" i="29" s="1"/>
  <c r="AM220" i="29" s="1"/>
  <c r="AM221" i="29" s="1"/>
  <c r="AM222" i="29" s="1"/>
  <c r="AM223" i="29" s="1"/>
  <c r="AM224" i="29" s="1"/>
  <c r="AM225" i="29" s="1"/>
  <c r="AM226" i="29" s="1"/>
  <c r="AM227" i="29" s="1"/>
  <c r="AM228" i="29" s="1"/>
  <c r="AM229" i="29" s="1"/>
  <c r="AM230" i="29" s="1"/>
  <c r="AM231" i="29" s="1"/>
  <c r="AM232" i="29" s="1"/>
  <c r="AM233" i="29" s="1"/>
  <c r="AM234" i="29" s="1"/>
  <c r="AM235" i="29" s="1"/>
  <c r="AM236" i="29" s="1"/>
  <c r="AM237" i="29" s="1"/>
  <c r="AM238" i="29" s="1"/>
  <c r="AM239" i="29" s="1"/>
  <c r="AM240" i="29" s="1"/>
  <c r="AM241" i="29" s="1"/>
  <c r="AM242" i="29" s="1"/>
  <c r="AM243" i="29" s="1"/>
  <c r="AM244" i="29" s="1"/>
  <c r="AM245" i="29" s="1"/>
  <c r="AM246" i="29" s="1"/>
  <c r="AM247" i="29" s="1"/>
  <c r="AM248" i="29" s="1"/>
  <c r="AM249" i="29" s="1"/>
  <c r="AM250" i="29" s="1"/>
  <c r="AM251" i="29" s="1"/>
  <c r="AM252" i="29" s="1"/>
  <c r="AM253" i="29" s="1"/>
  <c r="AM254" i="29" s="1"/>
  <c r="AM255" i="29" s="1"/>
  <c r="AM256" i="29" s="1"/>
  <c r="AM257" i="29" s="1"/>
  <c r="AM258" i="29" s="1"/>
  <c r="AM259" i="29" s="1"/>
  <c r="AM260" i="29" s="1"/>
  <c r="AM261" i="29" s="1"/>
  <c r="AM262" i="29" s="1"/>
  <c r="AM263" i="29" s="1"/>
  <c r="AM264" i="29" s="1"/>
  <c r="AM265" i="29" s="1"/>
  <c r="AM266" i="29" s="1"/>
  <c r="AM267" i="29" s="1"/>
  <c r="AM268" i="29" s="1"/>
  <c r="AM269" i="29" s="1"/>
  <c r="AM270" i="29" s="1"/>
  <c r="AM271" i="29" s="1"/>
  <c r="AM272" i="29" s="1"/>
  <c r="AM273" i="29" s="1"/>
  <c r="AM274" i="29" s="1"/>
  <c r="AM275" i="29" s="1"/>
  <c r="AM276" i="29" s="1"/>
  <c r="AM277" i="29" s="1"/>
  <c r="AM278" i="29" s="1"/>
  <c r="AM279" i="29" s="1"/>
  <c r="AM280" i="29" s="1"/>
  <c r="AM281" i="29" s="1"/>
  <c r="AM282" i="29" s="1"/>
  <c r="AM283" i="29" s="1"/>
  <c r="AM284" i="29" s="1"/>
  <c r="AM285" i="29" s="1"/>
  <c r="AM286" i="29" s="1"/>
  <c r="AM287" i="29" s="1"/>
  <c r="AM288" i="29" s="1"/>
  <c r="AM289" i="29" s="1"/>
  <c r="AM290" i="29" s="1"/>
  <c r="AM291" i="29" s="1"/>
  <c r="AM292" i="29" s="1"/>
  <c r="AM293" i="29" s="1"/>
  <c r="AM294" i="29" s="1"/>
  <c r="AM295" i="29" s="1"/>
  <c r="AM296" i="29" s="1"/>
  <c r="AM297" i="29" s="1"/>
  <c r="AM298" i="29" s="1"/>
  <c r="AM299" i="29" s="1"/>
  <c r="AM300" i="29" s="1"/>
  <c r="AM301" i="29" s="1"/>
  <c r="AM302" i="29" s="1"/>
  <c r="AM303" i="29" s="1"/>
  <c r="AM304" i="29" s="1"/>
  <c r="AM305" i="29" s="1"/>
  <c r="AM306" i="29" s="1"/>
  <c r="AM307" i="29" s="1"/>
  <c r="AM308" i="29" s="1"/>
  <c r="AM309" i="29" s="1"/>
  <c r="AM310" i="29" s="1"/>
  <c r="AM311" i="29" s="1"/>
  <c r="AM312" i="29" s="1"/>
  <c r="AM313" i="29" s="1"/>
  <c r="AM314" i="29" s="1"/>
  <c r="AM315" i="29" s="1"/>
  <c r="AM316" i="29" s="1"/>
  <c r="AM317" i="29" s="1"/>
  <c r="AM318" i="29" s="1"/>
  <c r="AM319" i="29" s="1"/>
  <c r="AM320" i="29" s="1"/>
  <c r="AM321" i="29" s="1"/>
  <c r="AM322" i="29" s="1"/>
  <c r="AM323" i="29" s="1"/>
  <c r="AM324" i="29" s="1"/>
  <c r="AM325" i="29" s="1"/>
  <c r="AM326" i="29" s="1"/>
  <c r="AM327" i="29" s="1"/>
  <c r="AM328" i="29" s="1"/>
  <c r="AM329" i="29" s="1"/>
  <c r="AM330" i="29" s="1"/>
  <c r="AM331" i="29" s="1"/>
  <c r="AM332" i="29" s="1"/>
  <c r="AM333" i="29" s="1"/>
  <c r="AM334" i="29" s="1"/>
  <c r="AM335" i="29" s="1"/>
  <c r="AM336" i="29" s="1"/>
  <c r="AM337" i="29" s="1"/>
  <c r="AM338" i="29" s="1"/>
  <c r="AM339" i="29" s="1"/>
  <c r="AM340" i="29" s="1"/>
  <c r="AM341" i="29" s="1"/>
  <c r="AM342" i="29" s="1"/>
  <c r="AM343" i="29" s="1"/>
  <c r="AM344" i="29" s="1"/>
  <c r="AM345" i="29" s="1"/>
  <c r="AM346" i="29" s="1"/>
  <c r="AM347" i="29" s="1"/>
  <c r="AM348" i="29" s="1"/>
  <c r="AM349" i="29" s="1"/>
  <c r="AM350" i="29" s="1"/>
  <c r="AM351" i="29" s="1"/>
  <c r="AM352" i="29" s="1"/>
  <c r="AM353" i="29" s="1"/>
  <c r="AM354" i="29" s="1"/>
  <c r="AM355" i="29" s="1"/>
  <c r="AM356" i="29" s="1"/>
  <c r="AM357" i="29" s="1"/>
  <c r="AM358" i="29" s="1"/>
  <c r="AM359" i="29" s="1"/>
  <c r="AM360" i="29" s="1"/>
  <c r="AM361" i="29" s="1"/>
  <c r="AM362" i="29" s="1"/>
  <c r="AM363" i="29" s="1"/>
  <c r="AM364" i="29" s="1"/>
  <c r="AM365" i="29" s="1"/>
  <c r="AM366" i="29" s="1"/>
  <c r="AM367" i="29" s="1"/>
  <c r="AM368" i="29" s="1"/>
  <c r="AM369" i="29" s="1"/>
  <c r="AM370" i="29" s="1"/>
  <c r="AM371" i="29" s="1"/>
  <c r="AM372" i="29" s="1"/>
  <c r="AM373" i="29" s="1"/>
  <c r="AM374" i="29" s="1"/>
  <c r="AM375" i="29" s="1"/>
  <c r="AM376" i="29" s="1"/>
  <c r="AM377" i="29" s="1"/>
  <c r="AM378" i="29" s="1"/>
  <c r="AM379" i="29" s="1"/>
  <c r="AM380" i="29" s="1"/>
  <c r="AM381" i="29" s="1"/>
  <c r="AM382" i="29" s="1"/>
  <c r="AM383" i="29" s="1"/>
  <c r="AM384" i="29" s="1"/>
  <c r="AM385" i="29" s="1"/>
  <c r="AM386" i="29" s="1"/>
  <c r="AM387" i="29" s="1"/>
  <c r="AM388" i="29" s="1"/>
  <c r="AM389" i="29" s="1"/>
  <c r="AM390" i="29" s="1"/>
  <c r="AM391" i="29" s="1"/>
  <c r="AM392" i="29" s="1"/>
  <c r="AM393" i="29" s="1"/>
  <c r="AM394" i="29" s="1"/>
  <c r="AM395" i="29" s="1"/>
  <c r="AM396" i="29" s="1"/>
  <c r="AM397" i="29" s="1"/>
  <c r="AM398" i="29" s="1"/>
  <c r="AM399" i="29" s="1"/>
  <c r="AM400" i="29" s="1"/>
  <c r="AM401" i="29" s="1"/>
  <c r="AM402" i="29" s="1"/>
  <c r="AM403" i="29" s="1"/>
  <c r="AM404" i="29" s="1"/>
  <c r="AM405" i="29" s="1"/>
  <c r="AM406" i="29" s="1"/>
  <c r="AM407" i="29" s="1"/>
  <c r="AM408" i="29" s="1"/>
  <c r="AM409" i="29" s="1"/>
  <c r="AM410" i="29" s="1"/>
  <c r="AM411" i="29" s="1"/>
  <c r="AM412" i="29" s="1"/>
  <c r="AM413" i="29" s="1"/>
  <c r="AM414" i="29" s="1"/>
  <c r="AM415" i="29" s="1"/>
  <c r="AM416" i="29" s="1"/>
  <c r="AM417" i="29" s="1"/>
  <c r="AM418" i="29" s="1"/>
  <c r="AM419" i="29" s="1"/>
  <c r="AM420" i="29" s="1"/>
  <c r="AM421" i="29" s="1"/>
  <c r="AM422" i="29" s="1"/>
  <c r="AM423" i="29" s="1"/>
  <c r="AM424" i="29" s="1"/>
  <c r="AM425" i="29" s="1"/>
  <c r="AM426" i="29" s="1"/>
  <c r="AM427" i="29" s="1"/>
  <c r="AM428" i="29" s="1"/>
  <c r="AM429" i="29" s="1"/>
  <c r="AM430" i="29" s="1"/>
  <c r="AM431" i="29" s="1"/>
  <c r="AM432" i="29" s="1"/>
  <c r="AM433" i="29" s="1"/>
  <c r="AM434" i="29" s="1"/>
  <c r="AM435" i="29" s="1"/>
  <c r="AM436" i="29" s="1"/>
  <c r="AM437" i="29" s="1"/>
  <c r="AM438" i="29" s="1"/>
  <c r="AM439" i="29" s="1"/>
  <c r="AM440" i="29" s="1"/>
  <c r="AM441" i="29" s="1"/>
  <c r="AM442" i="29" s="1"/>
  <c r="AM443" i="29" s="1"/>
  <c r="AM444" i="29" s="1"/>
  <c r="AM445" i="29" s="1"/>
  <c r="AM446" i="29" s="1"/>
  <c r="AM447" i="29" s="1"/>
  <c r="AM448" i="29" s="1"/>
  <c r="AM449" i="29" s="1"/>
  <c r="AM450" i="29" s="1"/>
  <c r="AM451" i="29" s="1"/>
  <c r="AM452" i="29" s="1"/>
  <c r="AM453" i="29" s="1"/>
  <c r="AM454" i="29" s="1"/>
  <c r="AM455" i="29" s="1"/>
  <c r="AM456" i="29" s="1"/>
  <c r="AM457" i="29" s="1"/>
  <c r="AM458" i="29" s="1"/>
  <c r="AM459" i="29" s="1"/>
  <c r="AM460" i="29" s="1"/>
  <c r="AM461" i="29" s="1"/>
  <c r="AM462" i="29" s="1"/>
  <c r="AM463" i="29" s="1"/>
  <c r="AM464" i="29" s="1"/>
  <c r="AM465" i="29" s="1"/>
  <c r="AM466" i="29" s="1"/>
  <c r="AM467" i="29" s="1"/>
  <c r="AM468" i="29" s="1"/>
  <c r="AM469" i="29" s="1"/>
  <c r="AM470" i="29" s="1"/>
  <c r="AM471" i="29" s="1"/>
  <c r="AM472" i="29" s="1"/>
  <c r="AM473" i="29" s="1"/>
  <c r="AM474" i="29" s="1"/>
  <c r="AM475" i="29" s="1"/>
  <c r="AM476" i="29" s="1"/>
  <c r="AM477" i="29" s="1"/>
  <c r="AM478" i="29" s="1"/>
  <c r="AM479" i="29" s="1"/>
  <c r="AM480" i="29" s="1"/>
  <c r="AM481" i="29" s="1"/>
  <c r="AM482" i="29" s="1"/>
  <c r="AM483" i="29" s="1"/>
  <c r="AM484" i="29" s="1"/>
  <c r="AM485" i="29" s="1"/>
  <c r="AM486" i="29" s="1"/>
  <c r="AM487" i="29" s="1"/>
  <c r="AM488" i="29" s="1"/>
  <c r="AM489" i="29" s="1"/>
  <c r="AM490" i="29" s="1"/>
  <c r="AM491" i="29" s="1"/>
  <c r="AM492" i="29" s="1"/>
  <c r="AM493" i="29" s="1"/>
  <c r="AM494" i="29" s="1"/>
  <c r="AM495" i="29" s="1"/>
  <c r="AM496" i="29" s="1"/>
  <c r="AM497" i="29" s="1"/>
  <c r="AM498" i="29" s="1"/>
  <c r="AM499" i="29" s="1"/>
  <c r="AM500" i="29" s="1"/>
  <c r="AM501" i="29" s="1"/>
  <c r="AM502" i="29" s="1"/>
  <c r="AM503" i="29" s="1"/>
  <c r="AM504" i="29" s="1"/>
  <c r="AM505" i="29" s="1"/>
  <c r="AM506" i="29" s="1"/>
  <c r="AM507" i="29" s="1"/>
  <c r="AM508" i="29" s="1"/>
  <c r="AM509" i="29" s="1"/>
  <c r="AM510" i="29" s="1"/>
  <c r="AM511" i="29" s="1"/>
  <c r="AM512" i="29" s="1"/>
  <c r="AM513" i="29" s="1"/>
  <c r="AM514" i="29" s="1"/>
  <c r="AM515" i="29" s="1"/>
  <c r="AM516" i="29" s="1"/>
  <c r="AM517" i="29" s="1"/>
  <c r="AM518" i="29" s="1"/>
  <c r="AM519" i="29" s="1"/>
  <c r="AM520" i="29" s="1"/>
  <c r="AM521" i="29" s="1"/>
  <c r="AM522" i="29" s="1"/>
  <c r="AM523" i="29" s="1"/>
  <c r="AM524" i="29" s="1"/>
  <c r="AM525" i="29" s="1"/>
  <c r="AM526" i="29" s="1"/>
  <c r="AM527" i="29" s="1"/>
  <c r="AM528" i="29" s="1"/>
  <c r="AM529" i="29" s="1"/>
  <c r="AM530" i="29" s="1"/>
  <c r="AM531" i="29" s="1"/>
  <c r="AM532" i="29" s="1"/>
  <c r="AM533" i="29" s="1"/>
  <c r="AM534" i="29" s="1"/>
  <c r="AM535" i="29" s="1"/>
  <c r="AM536" i="29" s="1"/>
  <c r="AM537" i="29" s="1"/>
  <c r="AM538" i="29" s="1"/>
  <c r="AM539" i="29" s="1"/>
  <c r="AM540" i="29" s="1"/>
  <c r="AM541" i="29" s="1"/>
  <c r="AM542" i="29" s="1"/>
  <c r="AM543" i="29" s="1"/>
  <c r="AM544" i="29" s="1"/>
  <c r="AM545" i="29" s="1"/>
  <c r="AM546" i="29" s="1"/>
  <c r="AM547" i="29" s="1"/>
  <c r="AM548" i="29" s="1"/>
  <c r="AM549" i="29" s="1"/>
  <c r="AM550" i="29" s="1"/>
  <c r="AM551" i="29" s="1"/>
  <c r="AM552" i="29" s="1"/>
  <c r="AM553" i="29" s="1"/>
  <c r="AM554" i="29" s="1"/>
  <c r="AM555" i="29" s="1"/>
  <c r="AM556" i="29" s="1"/>
  <c r="AM557" i="29" s="1"/>
  <c r="AM558" i="29" s="1"/>
  <c r="AM559" i="29" s="1"/>
  <c r="AM560" i="29" s="1"/>
  <c r="AM561" i="29" s="1"/>
  <c r="AM562" i="29" s="1"/>
  <c r="AM563" i="29" s="1"/>
  <c r="AM564" i="29" s="1"/>
  <c r="AM565" i="29" s="1"/>
  <c r="AM566" i="29" s="1"/>
  <c r="AM567" i="29" s="1"/>
  <c r="AM568" i="29" s="1"/>
  <c r="AM569" i="29" s="1"/>
  <c r="AM570" i="29" s="1"/>
  <c r="AM571" i="29" s="1"/>
  <c r="AM572" i="29" s="1"/>
  <c r="AM573" i="29" s="1"/>
  <c r="AM574" i="29" s="1"/>
  <c r="AM575" i="29" s="1"/>
  <c r="AM576" i="29" s="1"/>
  <c r="AM577" i="29" s="1"/>
  <c r="AM578" i="29" s="1"/>
  <c r="AM579" i="29" s="1"/>
  <c r="AM580" i="29" s="1"/>
  <c r="AM581" i="29" s="1"/>
  <c r="AM582" i="29" s="1"/>
  <c r="AM583" i="29" s="1"/>
  <c r="AM584" i="29" s="1"/>
  <c r="AM585" i="29" s="1"/>
  <c r="AM586" i="29" s="1"/>
  <c r="AM587" i="29" s="1"/>
  <c r="AM588" i="29" s="1"/>
  <c r="AM589" i="29" s="1"/>
  <c r="AM590" i="29" s="1"/>
  <c r="AM591" i="29" s="1"/>
  <c r="AM592" i="29" s="1"/>
  <c r="AM593" i="29" s="1"/>
  <c r="AM594" i="29" s="1"/>
  <c r="AM595" i="29" s="1"/>
  <c r="AM596" i="29" s="1"/>
  <c r="AM597" i="29" s="1"/>
  <c r="AM598" i="29" s="1"/>
  <c r="AM599" i="29" s="1"/>
  <c r="AM600" i="29" s="1"/>
  <c r="AM601" i="29" s="1"/>
  <c r="AM602" i="29" s="1"/>
  <c r="AM603" i="29" s="1"/>
  <c r="AM604" i="29" s="1"/>
  <c r="AM605" i="29" s="1"/>
  <c r="AM606" i="29" s="1"/>
  <c r="AM607" i="29" s="1"/>
  <c r="AM608" i="29" s="1"/>
  <c r="AM609" i="29" s="1"/>
  <c r="AM610" i="29" s="1"/>
  <c r="AM611" i="29" s="1"/>
  <c r="AM612" i="29" s="1"/>
  <c r="AM613" i="29" s="1"/>
  <c r="AM614" i="29" s="1"/>
  <c r="AM615" i="29" s="1"/>
  <c r="AM616" i="29" s="1"/>
  <c r="AM617" i="29" s="1"/>
  <c r="AM618" i="29" s="1"/>
  <c r="AM619" i="29" s="1"/>
  <c r="AM620" i="29" s="1"/>
  <c r="AM621" i="29" s="1"/>
  <c r="AM622" i="29" s="1"/>
  <c r="AM623" i="29" s="1"/>
  <c r="AM624" i="29" s="1"/>
  <c r="AM625" i="29" s="1"/>
  <c r="AM626" i="29" s="1"/>
  <c r="AM627" i="29" s="1"/>
  <c r="AM628" i="29" s="1"/>
  <c r="AM629" i="29" s="1"/>
  <c r="AM630" i="29" s="1"/>
  <c r="AM631" i="29" s="1"/>
  <c r="AM632" i="29" s="1"/>
  <c r="AM633" i="29" s="1"/>
  <c r="AM634" i="29" s="1"/>
  <c r="AM635" i="29" s="1"/>
  <c r="AM636" i="29" s="1"/>
  <c r="AM637" i="29" s="1"/>
  <c r="AM638" i="29" s="1"/>
  <c r="AM639" i="29" s="1"/>
  <c r="AM640" i="29" s="1"/>
  <c r="AM641" i="29" s="1"/>
  <c r="AM642" i="29" s="1"/>
  <c r="AM643" i="29" s="1"/>
  <c r="AM644" i="29" s="1"/>
  <c r="AM645" i="29" s="1"/>
  <c r="AM646" i="29" s="1"/>
  <c r="AM647" i="29" s="1"/>
  <c r="AM648" i="29" s="1"/>
  <c r="AM649" i="29" s="1"/>
  <c r="AM650" i="29" s="1"/>
  <c r="AM651" i="29" s="1"/>
  <c r="AM652" i="29" s="1"/>
  <c r="AM653" i="29" s="1"/>
  <c r="AM654" i="29" s="1"/>
  <c r="AM655" i="29" s="1"/>
  <c r="AM656" i="29" s="1"/>
  <c r="AM657" i="29" s="1"/>
  <c r="AM658" i="29" s="1"/>
  <c r="AM659" i="29" s="1"/>
  <c r="AM660" i="29" s="1"/>
  <c r="AM661" i="29" s="1"/>
  <c r="AM662" i="29" s="1"/>
  <c r="AM663" i="29" s="1"/>
  <c r="AM664" i="29" s="1"/>
  <c r="AM665" i="29" s="1"/>
  <c r="AM666" i="29" s="1"/>
  <c r="AM667" i="29" s="1"/>
  <c r="AM668" i="29" s="1"/>
  <c r="AM669" i="29" s="1"/>
  <c r="AM670" i="29" s="1"/>
  <c r="AM671" i="29" s="1"/>
  <c r="AM672" i="29" s="1"/>
  <c r="AM673" i="29" s="1"/>
  <c r="AM674" i="29" s="1"/>
  <c r="AM675" i="29" s="1"/>
  <c r="AM676" i="29" s="1"/>
  <c r="AM677" i="29" s="1"/>
  <c r="AM678" i="29" s="1"/>
  <c r="AM679" i="29" s="1"/>
  <c r="AM680" i="29" s="1"/>
  <c r="AM681" i="29" s="1"/>
  <c r="AM682" i="29" s="1"/>
  <c r="AM683" i="29" s="1"/>
  <c r="AM684" i="29" s="1"/>
  <c r="AM685" i="29" s="1"/>
  <c r="AM686" i="29" s="1"/>
  <c r="AM687" i="29" s="1"/>
  <c r="AM688" i="29" s="1"/>
  <c r="AM689" i="29" s="1"/>
  <c r="AM690" i="29" s="1"/>
  <c r="AM691" i="29" s="1"/>
  <c r="AM692" i="29" s="1"/>
  <c r="AM693" i="29" s="1"/>
  <c r="AM694" i="29" s="1"/>
  <c r="AM695" i="29" s="1"/>
  <c r="AM696" i="29" s="1"/>
  <c r="AM697" i="29" s="1"/>
  <c r="AM698" i="29" s="1"/>
  <c r="AM699" i="29" s="1"/>
  <c r="AM700" i="29" s="1"/>
  <c r="AM701" i="29" s="1"/>
  <c r="AM702" i="29" s="1"/>
  <c r="AM703" i="29" s="1"/>
  <c r="AM704" i="29" s="1"/>
  <c r="AM705" i="29" s="1"/>
  <c r="AM706" i="29" s="1"/>
  <c r="AM707" i="29" s="1"/>
  <c r="AM708" i="29" s="1"/>
  <c r="AM709" i="29" s="1"/>
  <c r="AM710" i="29" s="1"/>
  <c r="AM711" i="29" s="1"/>
  <c r="AM712" i="29" s="1"/>
  <c r="AM713" i="29" s="1"/>
  <c r="AM714" i="29" s="1"/>
  <c r="AM715" i="29" s="1"/>
  <c r="AM716" i="29" s="1"/>
  <c r="AM717" i="29" s="1"/>
  <c r="AM718" i="29" s="1"/>
  <c r="AM719" i="29" s="1"/>
  <c r="AM720" i="29" s="1"/>
  <c r="AM721" i="29" s="1"/>
  <c r="AM722" i="29" s="1"/>
  <c r="AM723" i="29" s="1"/>
  <c r="AM724" i="29" s="1"/>
  <c r="AM725" i="29" s="1"/>
  <c r="AM726" i="29" s="1"/>
  <c r="AM727" i="29" s="1"/>
  <c r="AM728" i="29" s="1"/>
  <c r="AM729" i="29" s="1"/>
  <c r="AM730" i="29" s="1"/>
  <c r="AM731" i="29" s="1"/>
  <c r="AM732" i="29" s="1"/>
  <c r="AM733" i="29" s="1"/>
  <c r="AM734" i="29" s="1"/>
  <c r="AM735" i="29" s="1"/>
  <c r="AM736" i="29" s="1"/>
  <c r="AM737" i="29" s="1"/>
  <c r="AM738" i="29" s="1"/>
  <c r="AM739" i="29" s="1"/>
  <c r="AM740" i="29" s="1"/>
  <c r="AM741" i="29" s="1"/>
  <c r="AM742" i="29" s="1"/>
  <c r="AM743" i="29" s="1"/>
  <c r="AM744" i="29" s="1"/>
  <c r="AM745" i="29" s="1"/>
  <c r="AM746" i="29" s="1"/>
  <c r="AM747" i="29" s="1"/>
  <c r="AM748" i="29" s="1"/>
  <c r="AM749" i="29" s="1"/>
  <c r="AM750" i="29" s="1"/>
  <c r="AM751" i="29" s="1"/>
  <c r="AM752" i="29" s="1"/>
  <c r="AM753" i="29" s="1"/>
  <c r="AM754" i="29" s="1"/>
  <c r="AM755" i="29" s="1"/>
  <c r="AM756" i="29" s="1"/>
  <c r="AM757" i="29" s="1"/>
  <c r="AM758" i="29" s="1"/>
  <c r="AM759" i="29" s="1"/>
  <c r="AM760" i="29" s="1"/>
  <c r="AM761" i="29" s="1"/>
  <c r="AM762" i="29" s="1"/>
  <c r="AM763" i="29" s="1"/>
  <c r="AM764" i="29" s="1"/>
  <c r="AM765" i="29" s="1"/>
  <c r="AM766" i="29" s="1"/>
  <c r="AM767" i="29" s="1"/>
  <c r="AM768" i="29" s="1"/>
  <c r="AM769" i="29" s="1"/>
  <c r="AM770" i="29" s="1"/>
  <c r="AM771" i="29" s="1"/>
  <c r="AM772" i="29" s="1"/>
  <c r="AM773" i="29" s="1"/>
  <c r="AM774" i="29" s="1"/>
  <c r="AM775" i="29" s="1"/>
  <c r="AM776" i="29" s="1"/>
  <c r="AM777" i="29" s="1"/>
  <c r="AM778" i="29" s="1"/>
  <c r="AM779" i="29" s="1"/>
  <c r="AM780" i="29" s="1"/>
  <c r="AM781" i="29" s="1"/>
  <c r="AM782" i="29" s="1"/>
  <c r="AM783" i="29" s="1"/>
  <c r="AM784" i="29" s="1"/>
  <c r="AM785" i="29" s="1"/>
  <c r="AM786" i="29" s="1"/>
  <c r="AM787" i="29" s="1"/>
  <c r="AM788" i="29" s="1"/>
  <c r="AM789" i="29" s="1"/>
  <c r="AM790" i="29" s="1"/>
  <c r="AM791" i="29" s="1"/>
  <c r="AM792" i="29" s="1"/>
  <c r="AM793" i="29" s="1"/>
  <c r="AM794" i="29" s="1"/>
  <c r="AM795" i="29" s="1"/>
  <c r="AM796" i="29" s="1"/>
  <c r="AM797" i="29" s="1"/>
  <c r="AM798" i="29" s="1"/>
  <c r="AM799" i="29" s="1"/>
  <c r="AM800" i="29" s="1"/>
  <c r="AM801" i="29" s="1"/>
  <c r="AM802" i="29" s="1"/>
  <c r="AM803" i="29" s="1"/>
  <c r="AM804" i="29" s="1"/>
  <c r="AM805" i="29" s="1"/>
  <c r="AM806" i="29" s="1"/>
  <c r="AM807" i="29" s="1"/>
  <c r="AM808" i="29" s="1"/>
  <c r="AM809" i="29" s="1"/>
  <c r="AM810" i="29" s="1"/>
  <c r="AM811" i="29" s="1"/>
  <c r="AM812" i="29" s="1"/>
  <c r="AM813" i="29" s="1"/>
  <c r="AM814" i="29" s="1"/>
  <c r="AM815" i="29" s="1"/>
  <c r="AM816" i="29" s="1"/>
  <c r="AM817" i="29" s="1"/>
  <c r="AM818" i="29" s="1"/>
  <c r="AM819" i="29" s="1"/>
  <c r="AM820" i="29" s="1"/>
  <c r="AM821" i="29" s="1"/>
  <c r="AM822" i="29" s="1"/>
  <c r="AM823" i="29" s="1"/>
  <c r="AM824" i="29" s="1"/>
  <c r="AM825" i="29" s="1"/>
  <c r="AM826" i="29" s="1"/>
  <c r="AM827" i="29" s="1"/>
  <c r="AM828" i="29" s="1"/>
  <c r="AM829" i="29" s="1"/>
  <c r="AM830" i="29" s="1"/>
  <c r="AM831" i="29" s="1"/>
  <c r="AM832" i="29" s="1"/>
  <c r="AM833" i="29" s="1"/>
  <c r="AM834" i="29" s="1"/>
  <c r="AM835" i="29" s="1"/>
  <c r="AM836" i="29" s="1"/>
  <c r="AM837" i="29" s="1"/>
  <c r="AM838" i="29" s="1"/>
  <c r="AM839" i="29" s="1"/>
  <c r="AM840" i="29" s="1"/>
  <c r="AM841" i="29" s="1"/>
  <c r="AM842" i="29" s="1"/>
  <c r="AM843" i="29" s="1"/>
  <c r="AM844" i="29" s="1"/>
  <c r="AM845" i="29" s="1"/>
  <c r="AM846" i="29" s="1"/>
  <c r="AM847" i="29" s="1"/>
  <c r="AM848" i="29" s="1"/>
  <c r="AM849" i="29" s="1"/>
  <c r="AM850" i="29" s="1"/>
  <c r="AM851" i="29" s="1"/>
  <c r="AM852" i="29" s="1"/>
  <c r="AM853" i="29" s="1"/>
  <c r="AM854" i="29" s="1"/>
  <c r="AM855" i="29" s="1"/>
  <c r="AM856" i="29" s="1"/>
  <c r="AM857" i="29" s="1"/>
  <c r="AM858" i="29" s="1"/>
  <c r="AM859" i="29" s="1"/>
  <c r="AM860" i="29" s="1"/>
  <c r="AM861" i="29" s="1"/>
  <c r="AM862" i="29" s="1"/>
  <c r="AM863" i="29" s="1"/>
  <c r="AM864" i="29" s="1"/>
  <c r="AM865" i="29" s="1"/>
  <c r="AM866" i="29" s="1"/>
  <c r="AM867" i="29" s="1"/>
  <c r="AM868" i="29" s="1"/>
  <c r="AM869" i="29" s="1"/>
  <c r="AM870" i="29" s="1"/>
  <c r="AM871" i="29" s="1"/>
  <c r="AM872" i="29" s="1"/>
  <c r="AM873" i="29" s="1"/>
  <c r="AM874" i="29" s="1"/>
  <c r="AM875" i="29" s="1"/>
  <c r="AM876" i="29" s="1"/>
  <c r="AM877" i="29" s="1"/>
  <c r="AM878" i="29" s="1"/>
  <c r="AM879" i="29" s="1"/>
  <c r="AM880" i="29" s="1"/>
  <c r="AM881" i="29" s="1"/>
  <c r="AM882" i="29" s="1"/>
  <c r="AM883" i="29" s="1"/>
  <c r="AM884" i="29" s="1"/>
  <c r="AM885" i="29" s="1"/>
  <c r="AM886" i="29" s="1"/>
  <c r="AM887" i="29" s="1"/>
  <c r="AM888" i="29" s="1"/>
  <c r="AM889" i="29" s="1"/>
  <c r="AM890" i="29" s="1"/>
  <c r="AM891" i="29" s="1"/>
  <c r="AM892" i="29" s="1"/>
  <c r="AM893" i="29" s="1"/>
  <c r="AM894" i="29" s="1"/>
  <c r="AM895" i="29" s="1"/>
  <c r="AM896" i="29" s="1"/>
  <c r="AM897" i="29" s="1"/>
  <c r="AM898" i="29" s="1"/>
  <c r="AM899" i="29" s="1"/>
  <c r="AM900" i="29" s="1"/>
  <c r="AM901" i="29" s="1"/>
  <c r="AM902" i="29" s="1"/>
  <c r="AM903" i="29" s="1"/>
  <c r="AM904" i="29" s="1"/>
  <c r="AM905" i="29" s="1"/>
  <c r="AM906" i="29" s="1"/>
  <c r="AM907" i="29" s="1"/>
  <c r="AM908" i="29" s="1"/>
  <c r="AM909" i="29" s="1"/>
  <c r="AM910" i="29" s="1"/>
  <c r="AM911" i="29" s="1"/>
  <c r="AM912" i="29" s="1"/>
  <c r="AM913" i="29" s="1"/>
  <c r="AM914" i="29" s="1"/>
  <c r="AM915" i="29" s="1"/>
  <c r="AM916" i="29" s="1"/>
  <c r="AM917" i="29" s="1"/>
  <c r="AM918" i="29" s="1"/>
  <c r="AM919" i="29" s="1"/>
  <c r="AM920" i="29" s="1"/>
  <c r="AM921" i="29" s="1"/>
  <c r="AM922" i="29" s="1"/>
  <c r="AM923" i="29" s="1"/>
  <c r="AM924" i="29" s="1"/>
  <c r="AM925" i="29" s="1"/>
  <c r="AM926" i="29" s="1"/>
  <c r="AM927" i="29" s="1"/>
  <c r="AM928" i="29" s="1"/>
  <c r="AM929" i="29" s="1"/>
  <c r="AM930" i="29" s="1"/>
  <c r="AM931" i="29" s="1"/>
  <c r="AM932" i="29" s="1"/>
  <c r="AM933" i="29" s="1"/>
  <c r="AM934" i="29" s="1"/>
  <c r="AM935" i="29" s="1"/>
  <c r="AM936" i="29" s="1"/>
  <c r="AM937" i="29" s="1"/>
  <c r="AM938" i="29" s="1"/>
  <c r="AM939" i="29" s="1"/>
  <c r="AM940" i="29" s="1"/>
  <c r="AM941" i="29" s="1"/>
  <c r="AM942" i="29" s="1"/>
  <c r="AM943" i="29" s="1"/>
  <c r="AM944" i="29" s="1"/>
  <c r="AM945" i="29" s="1"/>
  <c r="AM946" i="29" s="1"/>
  <c r="AM947" i="29" s="1"/>
  <c r="AM948" i="29" s="1"/>
  <c r="AM949" i="29" s="1"/>
  <c r="AM950" i="29" s="1"/>
  <c r="AM951" i="29" s="1"/>
  <c r="AM952" i="29" s="1"/>
  <c r="AM953" i="29" s="1"/>
  <c r="AM954" i="29" s="1"/>
  <c r="AM955" i="29" s="1"/>
  <c r="AM956" i="29" s="1"/>
  <c r="AM957" i="29" s="1"/>
  <c r="AM958" i="29" s="1"/>
  <c r="AM959" i="29" s="1"/>
  <c r="AM960" i="29" s="1"/>
  <c r="AM961" i="29" s="1"/>
  <c r="AM962" i="29" s="1"/>
  <c r="AM963" i="29" s="1"/>
  <c r="AM964" i="29" s="1"/>
  <c r="AM965" i="29" s="1"/>
  <c r="AM966" i="29" s="1"/>
  <c r="AM967" i="29" s="1"/>
  <c r="AM968" i="29" s="1"/>
  <c r="AM969" i="29" s="1"/>
  <c r="AM970" i="29" s="1"/>
  <c r="AM971" i="29" s="1"/>
  <c r="AM972" i="29" s="1"/>
  <c r="AM973" i="29" s="1"/>
  <c r="AM974" i="29" s="1"/>
  <c r="AM975" i="29" s="1"/>
  <c r="AM976" i="29" s="1"/>
  <c r="AM977" i="29" s="1"/>
  <c r="AM978" i="29" s="1"/>
  <c r="AM979" i="29" s="1"/>
  <c r="AM980" i="29" s="1"/>
  <c r="AM981" i="29" s="1"/>
  <c r="AM982" i="29" s="1"/>
  <c r="AM983" i="29" s="1"/>
  <c r="AM984" i="29" s="1"/>
  <c r="AM985" i="29" s="1"/>
  <c r="AM986" i="29" s="1"/>
  <c r="AM987" i="29" s="1"/>
  <c r="AM988" i="29" s="1"/>
  <c r="AM989" i="29" s="1"/>
  <c r="AM990" i="29" s="1"/>
  <c r="AM991" i="29" s="1"/>
  <c r="AM992" i="29" s="1"/>
  <c r="AM993" i="29" s="1"/>
  <c r="AM994" i="29" s="1"/>
  <c r="AM995" i="29" s="1"/>
  <c r="AM996" i="29" s="1"/>
  <c r="AM997" i="29" s="1"/>
  <c r="AM998" i="29" s="1"/>
  <c r="AM999" i="29" s="1"/>
  <c r="AM1000" i="29" s="1"/>
  <c r="AM1001" i="29" s="1"/>
  <c r="AM1002" i="29" s="1"/>
  <c r="AM1003" i="29" s="1"/>
  <c r="AM1004" i="29" s="1"/>
  <c r="AM1005" i="29" s="1"/>
  <c r="AM1006" i="29" s="1"/>
  <c r="AM1007" i="29" s="1"/>
  <c r="AM1008" i="29" s="1"/>
  <c r="AM1009" i="29" s="1"/>
  <c r="AM1010" i="29" s="1"/>
  <c r="AM1011" i="29" s="1"/>
  <c r="AM1012" i="29" s="1"/>
  <c r="AM1013" i="29" s="1"/>
  <c r="AM1014" i="29" s="1"/>
  <c r="AM1015" i="29" s="1"/>
  <c r="AM1016" i="29" s="1"/>
  <c r="AM1017" i="29" s="1"/>
  <c r="AM1018" i="29" s="1"/>
  <c r="AM1019" i="29" s="1"/>
  <c r="AM1020" i="29" s="1"/>
  <c r="AM1021" i="29" s="1"/>
  <c r="AM1022" i="29" s="1"/>
  <c r="AM1023" i="29" s="1"/>
  <c r="AM1024" i="29" s="1"/>
  <c r="AM1025" i="29" s="1"/>
  <c r="AM1026" i="29" s="1"/>
  <c r="AM1027" i="29" s="1"/>
  <c r="AM1028" i="29" s="1"/>
  <c r="AM1029" i="29" s="1"/>
  <c r="AM1030" i="29" s="1"/>
  <c r="AM1031" i="29" s="1"/>
  <c r="AM1032" i="29" s="1"/>
  <c r="AM1033" i="29" s="1"/>
  <c r="AH1" i="29"/>
  <c r="AH2" i="29" s="1"/>
  <c r="AH3" i="29" s="1"/>
  <c r="AH4" i="29" s="1"/>
  <c r="AH5" i="29" s="1"/>
  <c r="AH6" i="29" s="1"/>
  <c r="AH7" i="29" s="1"/>
  <c r="AH8" i="29" s="1"/>
  <c r="AH9" i="29" s="1"/>
  <c r="AH10" i="29" s="1"/>
  <c r="AH11" i="29" s="1"/>
  <c r="AH12" i="29" s="1"/>
  <c r="AH13" i="29" s="1"/>
  <c r="AH14" i="29" s="1"/>
  <c r="AH15" i="29" s="1"/>
  <c r="AH16" i="29" s="1"/>
  <c r="AH17" i="29" s="1"/>
  <c r="AH18" i="29" s="1"/>
  <c r="AH19" i="29" s="1"/>
  <c r="AH20" i="29" s="1"/>
  <c r="AH21" i="29" s="1"/>
  <c r="AH22" i="29" s="1"/>
  <c r="AH23" i="29" s="1"/>
  <c r="AH24" i="29" s="1"/>
  <c r="AH25" i="29" s="1"/>
  <c r="AH26" i="29" s="1"/>
  <c r="AH27" i="29" s="1"/>
  <c r="AH28" i="29" s="1"/>
  <c r="AH29" i="29" s="1"/>
  <c r="AH30" i="29" s="1"/>
  <c r="AH31" i="29" s="1"/>
  <c r="AH32" i="29" s="1"/>
  <c r="AH33" i="29" s="1"/>
  <c r="AH34" i="29" s="1"/>
  <c r="AH35" i="29" s="1"/>
  <c r="AH36" i="29" s="1"/>
  <c r="AH37" i="29" s="1"/>
  <c r="AH38" i="29" s="1"/>
  <c r="AH39" i="29" s="1"/>
  <c r="AH40" i="29" s="1"/>
  <c r="AH41" i="29" s="1"/>
  <c r="AH42" i="29" s="1"/>
  <c r="AH43" i="29" s="1"/>
  <c r="AH44" i="29" s="1"/>
  <c r="AH45" i="29" s="1"/>
  <c r="AH46" i="29" s="1"/>
  <c r="AH47" i="29" s="1"/>
  <c r="AH48" i="29" s="1"/>
  <c r="AH49" i="29" s="1"/>
  <c r="AH50" i="29" s="1"/>
  <c r="AH51" i="29" s="1"/>
  <c r="AH52" i="29" s="1"/>
  <c r="AH53" i="29" s="1"/>
  <c r="AH54" i="29" s="1"/>
  <c r="AH55" i="29" s="1"/>
  <c r="AH56" i="29" s="1"/>
  <c r="AH57" i="29" s="1"/>
  <c r="AH58" i="29" s="1"/>
  <c r="AH59" i="29" s="1"/>
  <c r="AH60" i="29" s="1"/>
  <c r="AH61" i="29" s="1"/>
  <c r="AH62" i="29" s="1"/>
  <c r="AH63" i="29" s="1"/>
  <c r="AH64" i="29" s="1"/>
  <c r="AH65" i="29" s="1"/>
  <c r="AH66" i="29" s="1"/>
  <c r="AH67" i="29" s="1"/>
  <c r="AH68" i="29" s="1"/>
  <c r="AH69" i="29" s="1"/>
  <c r="AH70" i="29" s="1"/>
  <c r="AH71" i="29" s="1"/>
  <c r="AH72" i="29" s="1"/>
  <c r="AH73" i="29" s="1"/>
  <c r="AH74" i="29" s="1"/>
  <c r="AH75" i="29" s="1"/>
  <c r="AH76" i="29" s="1"/>
  <c r="AH77" i="29" s="1"/>
  <c r="AH78" i="29" s="1"/>
  <c r="AH79" i="29" s="1"/>
  <c r="AH80" i="29" s="1"/>
  <c r="AH81" i="29" s="1"/>
  <c r="AH82" i="29" s="1"/>
  <c r="AH83" i="29" s="1"/>
  <c r="AH84" i="29" s="1"/>
  <c r="AH85" i="29" s="1"/>
  <c r="AH86" i="29" s="1"/>
  <c r="AH87" i="29" s="1"/>
  <c r="AH88" i="29" s="1"/>
  <c r="AH89" i="29" s="1"/>
  <c r="AH90" i="29" s="1"/>
  <c r="AH91" i="29" s="1"/>
  <c r="AH92" i="29" s="1"/>
  <c r="AH93" i="29" s="1"/>
  <c r="AH94" i="29" s="1"/>
  <c r="AH95" i="29" s="1"/>
  <c r="AH96" i="29" s="1"/>
  <c r="AH97" i="29" s="1"/>
  <c r="AH98" i="29" s="1"/>
  <c r="AH99" i="29" s="1"/>
  <c r="AH100" i="29" s="1"/>
  <c r="AH101" i="29" s="1"/>
  <c r="AH102" i="29" s="1"/>
  <c r="AH103" i="29" s="1"/>
  <c r="AH104" i="29" s="1"/>
  <c r="AH105" i="29" s="1"/>
  <c r="AH106" i="29" s="1"/>
  <c r="AH107" i="29" s="1"/>
  <c r="AH108" i="29" s="1"/>
  <c r="AH109" i="29" s="1"/>
  <c r="AH110" i="29" s="1"/>
  <c r="AH111" i="29" s="1"/>
  <c r="AH112" i="29" s="1"/>
  <c r="AH113" i="29" s="1"/>
  <c r="AH114" i="29" s="1"/>
  <c r="AH115" i="29" s="1"/>
  <c r="AH116" i="29" s="1"/>
  <c r="AH117" i="29" s="1"/>
  <c r="AH118" i="29" s="1"/>
  <c r="AH119" i="29" s="1"/>
  <c r="AH120" i="29" s="1"/>
  <c r="AH121" i="29" s="1"/>
  <c r="AH122" i="29" s="1"/>
  <c r="AH123" i="29" s="1"/>
  <c r="AH124" i="29" s="1"/>
  <c r="AH125" i="29" s="1"/>
  <c r="AH126" i="29" s="1"/>
  <c r="AH127" i="29" s="1"/>
  <c r="AH128" i="29" s="1"/>
  <c r="AH129" i="29" s="1"/>
  <c r="AH130" i="29" s="1"/>
  <c r="AH131" i="29" s="1"/>
  <c r="AH132" i="29" s="1"/>
  <c r="AH133" i="29" s="1"/>
  <c r="AH134" i="29" s="1"/>
  <c r="AH135" i="29" s="1"/>
  <c r="AH136" i="29" s="1"/>
  <c r="AH137" i="29" s="1"/>
  <c r="AH138" i="29" s="1"/>
  <c r="AH139" i="29" s="1"/>
  <c r="AH140" i="29" s="1"/>
  <c r="AH141" i="29" s="1"/>
  <c r="AH142" i="29" s="1"/>
  <c r="AH143" i="29" s="1"/>
  <c r="AH144" i="29" s="1"/>
  <c r="AH145" i="29" s="1"/>
  <c r="AH146" i="29" s="1"/>
  <c r="AH147" i="29" s="1"/>
  <c r="AH148" i="29" s="1"/>
  <c r="AH149" i="29" s="1"/>
  <c r="AH150" i="29" s="1"/>
  <c r="AH151" i="29" s="1"/>
  <c r="AH152" i="29" s="1"/>
  <c r="AH153" i="29" s="1"/>
  <c r="AH154" i="29" s="1"/>
  <c r="AH155" i="29" s="1"/>
  <c r="AH156" i="29" s="1"/>
  <c r="AH157" i="29" s="1"/>
  <c r="AH158" i="29" s="1"/>
  <c r="AH159" i="29" s="1"/>
  <c r="AH160" i="29" s="1"/>
  <c r="AH161" i="29" s="1"/>
  <c r="AH162" i="29" s="1"/>
  <c r="AH163" i="29" s="1"/>
  <c r="AH164" i="29" s="1"/>
  <c r="AH165" i="29" s="1"/>
  <c r="AH166" i="29" s="1"/>
  <c r="AH167" i="29" s="1"/>
  <c r="AH168" i="29" s="1"/>
  <c r="AH169" i="29" s="1"/>
  <c r="AH170" i="29" s="1"/>
  <c r="AH171" i="29" s="1"/>
  <c r="AH172" i="29" s="1"/>
  <c r="AH173" i="29" s="1"/>
  <c r="AH174" i="29" s="1"/>
  <c r="AH175" i="29" s="1"/>
  <c r="AH176" i="29" s="1"/>
  <c r="AH177" i="29" s="1"/>
  <c r="AH178" i="29" s="1"/>
  <c r="AH179" i="29" s="1"/>
  <c r="AH180" i="29" s="1"/>
  <c r="AH181" i="29" s="1"/>
  <c r="AH182" i="29" s="1"/>
  <c r="AH183" i="29" s="1"/>
  <c r="AH184" i="29" s="1"/>
  <c r="AH185" i="29" s="1"/>
  <c r="AH186" i="29" s="1"/>
  <c r="AH187" i="29" s="1"/>
  <c r="AH188" i="29" s="1"/>
  <c r="AH189" i="29" s="1"/>
  <c r="AH190" i="29" s="1"/>
  <c r="AH191" i="29" s="1"/>
  <c r="AH192" i="29" s="1"/>
  <c r="AH193" i="29" s="1"/>
  <c r="AH194" i="29" s="1"/>
  <c r="AH195" i="29" s="1"/>
  <c r="AH196" i="29" s="1"/>
  <c r="AH197" i="29" s="1"/>
  <c r="AH198" i="29" s="1"/>
  <c r="AH199" i="29" s="1"/>
  <c r="AH200" i="29" s="1"/>
  <c r="AH201" i="29" s="1"/>
  <c r="AH202" i="29" s="1"/>
  <c r="AH203" i="29" s="1"/>
  <c r="AH204" i="29" s="1"/>
  <c r="AH205" i="29" s="1"/>
  <c r="AH206" i="29" s="1"/>
  <c r="AH207" i="29" s="1"/>
  <c r="AH208" i="29" s="1"/>
  <c r="AH209" i="29" s="1"/>
  <c r="AH210" i="29" s="1"/>
  <c r="AH211" i="29" s="1"/>
  <c r="AH212" i="29" s="1"/>
  <c r="AH213" i="29" s="1"/>
  <c r="AH214" i="29" s="1"/>
  <c r="AH215" i="29" s="1"/>
  <c r="AH216" i="29" s="1"/>
  <c r="AH217" i="29" s="1"/>
  <c r="AH218" i="29" s="1"/>
  <c r="AH219" i="29" s="1"/>
  <c r="AH220" i="29" s="1"/>
  <c r="AH221" i="29" s="1"/>
  <c r="AH222" i="29" s="1"/>
  <c r="AH223" i="29" s="1"/>
  <c r="AH224" i="29" s="1"/>
  <c r="AH225" i="29" s="1"/>
  <c r="AH226" i="29" s="1"/>
  <c r="AH227" i="29" s="1"/>
  <c r="AH228" i="29" s="1"/>
  <c r="AH229" i="29" s="1"/>
  <c r="AH230" i="29" s="1"/>
  <c r="AH231" i="29" s="1"/>
  <c r="AH232" i="29" s="1"/>
  <c r="AH233" i="29" s="1"/>
  <c r="AH234" i="29" s="1"/>
  <c r="AH235" i="29" s="1"/>
  <c r="AH236" i="29" s="1"/>
  <c r="AH237" i="29" s="1"/>
  <c r="AH238" i="29" s="1"/>
  <c r="AH239" i="29" s="1"/>
  <c r="AH240" i="29" s="1"/>
  <c r="AH241" i="29" s="1"/>
  <c r="AH242" i="29" s="1"/>
  <c r="AH243" i="29" s="1"/>
  <c r="AH244" i="29" s="1"/>
  <c r="AH245" i="29" s="1"/>
  <c r="AH246" i="29" s="1"/>
  <c r="AH247" i="29" s="1"/>
  <c r="AH248" i="29" s="1"/>
  <c r="AH249" i="29" s="1"/>
  <c r="AH250" i="29" s="1"/>
  <c r="AH251" i="29" s="1"/>
  <c r="AH252" i="29" s="1"/>
  <c r="AH253" i="29" s="1"/>
  <c r="AH254" i="29" s="1"/>
  <c r="AH255" i="29" s="1"/>
  <c r="AH256" i="29" s="1"/>
  <c r="AH257" i="29" s="1"/>
  <c r="AH258" i="29" s="1"/>
  <c r="AH259" i="29" s="1"/>
  <c r="AH260" i="29" s="1"/>
  <c r="AH261" i="29" s="1"/>
  <c r="AH262" i="29" s="1"/>
  <c r="AH263" i="29" s="1"/>
  <c r="AH264" i="29" s="1"/>
  <c r="AH265" i="29" s="1"/>
  <c r="AH266" i="29" s="1"/>
  <c r="AH267" i="29" s="1"/>
  <c r="AH268" i="29" s="1"/>
  <c r="AH269" i="29" s="1"/>
  <c r="AH270" i="29" s="1"/>
  <c r="AH271" i="29" s="1"/>
  <c r="AH272" i="29" s="1"/>
  <c r="AH273" i="29" s="1"/>
  <c r="AH274" i="29" s="1"/>
  <c r="AH275" i="29" s="1"/>
  <c r="AH276" i="29" s="1"/>
  <c r="AH277" i="29" s="1"/>
  <c r="AH278" i="29" s="1"/>
  <c r="AH279" i="29" s="1"/>
  <c r="AH280" i="29" s="1"/>
  <c r="AH281" i="29" s="1"/>
  <c r="AH282" i="29" s="1"/>
  <c r="AH283" i="29" s="1"/>
  <c r="AH284" i="29" s="1"/>
  <c r="AH285" i="29" s="1"/>
  <c r="AH286" i="29" s="1"/>
  <c r="AH287" i="29" s="1"/>
  <c r="AH288" i="29" s="1"/>
  <c r="AH289" i="29" s="1"/>
  <c r="AH290" i="29" s="1"/>
  <c r="AH291" i="29" s="1"/>
  <c r="AH292" i="29" s="1"/>
  <c r="AH293" i="29" s="1"/>
  <c r="AH294" i="29" s="1"/>
  <c r="AH295" i="29" s="1"/>
  <c r="AH296" i="29" s="1"/>
  <c r="AH297" i="29" s="1"/>
  <c r="AH298" i="29" s="1"/>
  <c r="AH299" i="29" s="1"/>
  <c r="AH300" i="29" s="1"/>
  <c r="AH301" i="29" s="1"/>
  <c r="AH302" i="29" s="1"/>
  <c r="AH303" i="29" s="1"/>
  <c r="AH304" i="29" s="1"/>
  <c r="AH305" i="29" s="1"/>
  <c r="AH306" i="29" s="1"/>
  <c r="AH307" i="29" s="1"/>
  <c r="AH308" i="29" s="1"/>
  <c r="AH309" i="29" s="1"/>
  <c r="AH310" i="29" s="1"/>
  <c r="AH311" i="29" s="1"/>
  <c r="AH312" i="29" s="1"/>
  <c r="AH313" i="29" s="1"/>
  <c r="AH314" i="29" s="1"/>
  <c r="AH315" i="29" s="1"/>
  <c r="AH316" i="29" s="1"/>
  <c r="AH317" i="29" s="1"/>
  <c r="AH318" i="29" s="1"/>
  <c r="AH319" i="29" s="1"/>
  <c r="AH320" i="29" s="1"/>
  <c r="AH321" i="29" s="1"/>
  <c r="AH322" i="29" s="1"/>
  <c r="AH323" i="29" s="1"/>
  <c r="AH324" i="29" s="1"/>
  <c r="AH325" i="29" s="1"/>
  <c r="AH326" i="29" s="1"/>
  <c r="AH327" i="29" s="1"/>
  <c r="AH328" i="29" s="1"/>
  <c r="AH329" i="29" s="1"/>
  <c r="AH330" i="29" s="1"/>
  <c r="AH331" i="29" s="1"/>
  <c r="AH332" i="29" s="1"/>
  <c r="AH333" i="29" s="1"/>
  <c r="AH334" i="29" s="1"/>
  <c r="AH335" i="29" s="1"/>
  <c r="AH336" i="29" s="1"/>
  <c r="AH337" i="29" s="1"/>
  <c r="AH338" i="29" s="1"/>
  <c r="AH339" i="29" s="1"/>
  <c r="AH340" i="29" s="1"/>
  <c r="AH341" i="29" s="1"/>
  <c r="AH342" i="29" s="1"/>
  <c r="AH343" i="29" s="1"/>
  <c r="AH344" i="29" s="1"/>
  <c r="AH345" i="29" s="1"/>
  <c r="AH346" i="29" s="1"/>
  <c r="AH347" i="29" s="1"/>
  <c r="AH348" i="29" s="1"/>
  <c r="AH349" i="29" s="1"/>
  <c r="AH350" i="29" s="1"/>
  <c r="AH351" i="29" s="1"/>
  <c r="AH352" i="29" s="1"/>
  <c r="AH353" i="29" s="1"/>
  <c r="AH354" i="29" s="1"/>
  <c r="AH355" i="29" s="1"/>
  <c r="AH356" i="29" s="1"/>
  <c r="AH357" i="29" s="1"/>
  <c r="AH358" i="29" s="1"/>
  <c r="AH359" i="29" s="1"/>
  <c r="AH360" i="29" s="1"/>
  <c r="AH361" i="29" s="1"/>
  <c r="AH362" i="29" s="1"/>
  <c r="AH363" i="29" s="1"/>
  <c r="AH364" i="29" s="1"/>
  <c r="AH365" i="29" s="1"/>
  <c r="AH366" i="29" s="1"/>
  <c r="AH367" i="29" s="1"/>
  <c r="AH368" i="29" s="1"/>
  <c r="AH369" i="29" s="1"/>
  <c r="AH370" i="29" s="1"/>
  <c r="AH371" i="29" s="1"/>
  <c r="AH372" i="29" s="1"/>
  <c r="AH373" i="29" s="1"/>
  <c r="AH374" i="29" s="1"/>
  <c r="AH375" i="29" s="1"/>
  <c r="AH376" i="29" s="1"/>
  <c r="AH377" i="29" s="1"/>
  <c r="AH378" i="29" s="1"/>
  <c r="AH379" i="29" s="1"/>
  <c r="AH380" i="29" s="1"/>
  <c r="AH381" i="29" s="1"/>
  <c r="AH382" i="29" s="1"/>
  <c r="AH383" i="29" s="1"/>
  <c r="AH384" i="29" s="1"/>
  <c r="AH385" i="29" s="1"/>
  <c r="AH386" i="29" s="1"/>
  <c r="AH387" i="29" s="1"/>
  <c r="AH388" i="29" s="1"/>
  <c r="AH389" i="29" s="1"/>
  <c r="AH390" i="29" s="1"/>
  <c r="AH391" i="29" s="1"/>
  <c r="AH392" i="29" s="1"/>
  <c r="AH393" i="29" s="1"/>
  <c r="AH394" i="29" s="1"/>
  <c r="AH395" i="29" s="1"/>
  <c r="AH396" i="29" s="1"/>
  <c r="AH397" i="29" s="1"/>
  <c r="AH398" i="29" s="1"/>
  <c r="AH399" i="29" s="1"/>
  <c r="AH400" i="29" s="1"/>
  <c r="AH401" i="29" s="1"/>
  <c r="AH402" i="29" s="1"/>
  <c r="AH403" i="29" s="1"/>
  <c r="AH404" i="29" s="1"/>
  <c r="AH405" i="29" s="1"/>
  <c r="AH406" i="29" s="1"/>
  <c r="AH407" i="29" s="1"/>
  <c r="AH408" i="29" s="1"/>
  <c r="AH409" i="29" s="1"/>
  <c r="AH410" i="29" s="1"/>
  <c r="AH411" i="29" s="1"/>
  <c r="AH412" i="29" s="1"/>
  <c r="AH413" i="29" s="1"/>
  <c r="AH414" i="29" s="1"/>
  <c r="AH415" i="29" s="1"/>
  <c r="AH416" i="29" s="1"/>
  <c r="AH417" i="29" s="1"/>
  <c r="AH418" i="29" s="1"/>
  <c r="AH419" i="29" s="1"/>
  <c r="AH420" i="29" s="1"/>
  <c r="AH421" i="29" s="1"/>
  <c r="AH422" i="29" s="1"/>
  <c r="AH423" i="29" s="1"/>
  <c r="AH424" i="29" s="1"/>
  <c r="AH425" i="29" s="1"/>
  <c r="AH426" i="29" s="1"/>
  <c r="AH427" i="29" s="1"/>
  <c r="AH428" i="29" s="1"/>
  <c r="AH429" i="29" s="1"/>
  <c r="AH430" i="29" s="1"/>
  <c r="AH431" i="29" s="1"/>
  <c r="AH432" i="29" s="1"/>
  <c r="AH433" i="29" s="1"/>
  <c r="AH434" i="29" s="1"/>
  <c r="AH435" i="29" s="1"/>
  <c r="AH436" i="29" s="1"/>
  <c r="AH437" i="29" s="1"/>
  <c r="AH438" i="29" s="1"/>
  <c r="AH439" i="29" s="1"/>
  <c r="AH440" i="29" s="1"/>
  <c r="AH441" i="29" s="1"/>
  <c r="AH442" i="29" s="1"/>
  <c r="AH443" i="29" s="1"/>
  <c r="AH444" i="29" s="1"/>
  <c r="AH445" i="29" s="1"/>
  <c r="AH446" i="29" s="1"/>
  <c r="AH447" i="29" s="1"/>
  <c r="AH448" i="29" s="1"/>
  <c r="AH449" i="29" s="1"/>
  <c r="AH450" i="29" s="1"/>
  <c r="AH451" i="29" s="1"/>
  <c r="AH452" i="29" s="1"/>
  <c r="AH453" i="29" s="1"/>
  <c r="AH454" i="29" s="1"/>
  <c r="AH455" i="29" s="1"/>
  <c r="AH456" i="29" s="1"/>
  <c r="AH457" i="29" s="1"/>
  <c r="AH458" i="29" s="1"/>
  <c r="AH459" i="29" s="1"/>
  <c r="AH460" i="29" s="1"/>
  <c r="AH461" i="29" s="1"/>
  <c r="AH462" i="29" s="1"/>
  <c r="AH463" i="29" s="1"/>
  <c r="AH464" i="29" s="1"/>
  <c r="AH465" i="29" s="1"/>
  <c r="AH466" i="29" s="1"/>
  <c r="AH467" i="29" s="1"/>
  <c r="AH468" i="29" s="1"/>
  <c r="AH469" i="29" s="1"/>
  <c r="AH470" i="29" s="1"/>
  <c r="AH471" i="29" s="1"/>
  <c r="AH472" i="29" s="1"/>
  <c r="AH473" i="29" s="1"/>
  <c r="AH474" i="29" s="1"/>
  <c r="AH475" i="29" s="1"/>
  <c r="AH476" i="29" s="1"/>
  <c r="AH477" i="29" s="1"/>
  <c r="AH478" i="29" s="1"/>
  <c r="AH479" i="29" s="1"/>
  <c r="AH480" i="29" s="1"/>
  <c r="AH481" i="29" s="1"/>
  <c r="AH482" i="29" s="1"/>
  <c r="AH483" i="29" s="1"/>
  <c r="AH484" i="29" s="1"/>
  <c r="AH485" i="29" s="1"/>
  <c r="AH486" i="29" s="1"/>
  <c r="AH487" i="29" s="1"/>
  <c r="AH488" i="29" s="1"/>
  <c r="AH489" i="29" s="1"/>
  <c r="AH490" i="29" s="1"/>
  <c r="AH491" i="29" s="1"/>
  <c r="AH492" i="29" s="1"/>
  <c r="AH493" i="29" s="1"/>
  <c r="AH494" i="29" s="1"/>
  <c r="AH495" i="29" s="1"/>
  <c r="AH496" i="29" s="1"/>
  <c r="AH497" i="29" s="1"/>
  <c r="AH498" i="29" s="1"/>
  <c r="AH499" i="29" s="1"/>
  <c r="AH500" i="29" s="1"/>
  <c r="AH501" i="29" s="1"/>
  <c r="AH502" i="29" s="1"/>
  <c r="AH503" i="29" s="1"/>
  <c r="AH504" i="29" s="1"/>
  <c r="AH505" i="29" s="1"/>
  <c r="AH506" i="29" s="1"/>
  <c r="AH507" i="29" s="1"/>
  <c r="AH508" i="29" s="1"/>
  <c r="AH509" i="29" s="1"/>
  <c r="AH510" i="29" s="1"/>
  <c r="AH511" i="29" s="1"/>
  <c r="AH512" i="29" s="1"/>
  <c r="AH513" i="29" s="1"/>
  <c r="AH514" i="29" s="1"/>
  <c r="AH515" i="29" s="1"/>
  <c r="AH516" i="29" s="1"/>
  <c r="AH517" i="29" s="1"/>
  <c r="AH518" i="29" s="1"/>
  <c r="AH519" i="29" s="1"/>
  <c r="AH520" i="29" s="1"/>
  <c r="AH521" i="29" s="1"/>
  <c r="AH522" i="29" s="1"/>
  <c r="AH523" i="29" s="1"/>
  <c r="AH524" i="29" s="1"/>
  <c r="AH525" i="29" s="1"/>
  <c r="AH526" i="29" s="1"/>
  <c r="AH527" i="29" s="1"/>
  <c r="AH528" i="29" s="1"/>
  <c r="AH529" i="29" s="1"/>
  <c r="AH530" i="29" s="1"/>
  <c r="AH531" i="29" s="1"/>
  <c r="AH532" i="29" s="1"/>
  <c r="AH533" i="29" s="1"/>
  <c r="AH534" i="29" s="1"/>
  <c r="AH535" i="29" s="1"/>
  <c r="AH536" i="29" s="1"/>
  <c r="AH537" i="29" s="1"/>
  <c r="AH538" i="29" s="1"/>
  <c r="AH539" i="29" s="1"/>
  <c r="AH540" i="29" s="1"/>
  <c r="AH541" i="29" s="1"/>
  <c r="AH542" i="29" s="1"/>
  <c r="AH543" i="29" s="1"/>
  <c r="AH544" i="29" s="1"/>
  <c r="AH545" i="29" s="1"/>
  <c r="AH546" i="29" s="1"/>
  <c r="AH547" i="29" s="1"/>
  <c r="AH548" i="29" s="1"/>
  <c r="AH549" i="29" s="1"/>
  <c r="AH550" i="29" s="1"/>
  <c r="AH551" i="29" s="1"/>
  <c r="AH552" i="29" s="1"/>
  <c r="AH553" i="29" s="1"/>
  <c r="AH554" i="29" s="1"/>
  <c r="AH555" i="29" s="1"/>
  <c r="AH556" i="29" s="1"/>
  <c r="AH557" i="29" s="1"/>
  <c r="AH558" i="29" s="1"/>
  <c r="AH559" i="29" s="1"/>
  <c r="AH560" i="29" s="1"/>
  <c r="AH561" i="29" s="1"/>
  <c r="AH562" i="29" s="1"/>
  <c r="AH563" i="29" s="1"/>
  <c r="AH564" i="29" s="1"/>
  <c r="AH565" i="29" s="1"/>
  <c r="AH566" i="29" s="1"/>
  <c r="AH567" i="29" s="1"/>
  <c r="AH568" i="29" s="1"/>
  <c r="AH569" i="29" s="1"/>
  <c r="AH570" i="29" s="1"/>
  <c r="AH571" i="29" s="1"/>
  <c r="AH572" i="29" s="1"/>
  <c r="AH573" i="29" s="1"/>
  <c r="AH574" i="29" s="1"/>
  <c r="AH575" i="29" s="1"/>
  <c r="AH576" i="29" s="1"/>
  <c r="AH577" i="29" s="1"/>
  <c r="AH578" i="29" s="1"/>
  <c r="AH579" i="29" s="1"/>
  <c r="AH580" i="29" s="1"/>
  <c r="AH581" i="29" s="1"/>
  <c r="AH582" i="29" s="1"/>
  <c r="AH583" i="29" s="1"/>
  <c r="AH584" i="29" s="1"/>
  <c r="AH585" i="29" s="1"/>
  <c r="AH586" i="29" s="1"/>
  <c r="AH587" i="29" s="1"/>
  <c r="AH588" i="29" s="1"/>
  <c r="AH589" i="29" s="1"/>
  <c r="AH590" i="29" s="1"/>
  <c r="AH591" i="29" s="1"/>
  <c r="AH592" i="29" s="1"/>
  <c r="AH593" i="29" s="1"/>
  <c r="AH594" i="29" s="1"/>
  <c r="AH595" i="29" s="1"/>
  <c r="AH596" i="29" s="1"/>
  <c r="AH597" i="29" s="1"/>
  <c r="AH598" i="29" s="1"/>
  <c r="AH599" i="29" s="1"/>
  <c r="AH600" i="29" s="1"/>
  <c r="AH601" i="29" s="1"/>
  <c r="AH602" i="29" s="1"/>
  <c r="AH603" i="29" s="1"/>
  <c r="AH604" i="29" s="1"/>
  <c r="AH605" i="29" s="1"/>
  <c r="AH606" i="29" s="1"/>
  <c r="AH607" i="29" s="1"/>
  <c r="AH608" i="29" s="1"/>
  <c r="AH609" i="29" s="1"/>
  <c r="AH610" i="29" s="1"/>
  <c r="AH611" i="29" s="1"/>
  <c r="AH612" i="29" s="1"/>
  <c r="AH613" i="29" s="1"/>
  <c r="AH614" i="29" s="1"/>
  <c r="AH615" i="29" s="1"/>
  <c r="AH616" i="29" s="1"/>
  <c r="AH617" i="29" s="1"/>
  <c r="AH618" i="29" s="1"/>
  <c r="AH619" i="29" s="1"/>
  <c r="AH620" i="29" s="1"/>
  <c r="AH621" i="29" s="1"/>
  <c r="AH622" i="29" s="1"/>
  <c r="AH623" i="29" s="1"/>
  <c r="AH624" i="29" s="1"/>
  <c r="AH625" i="29" s="1"/>
  <c r="AH626" i="29" s="1"/>
  <c r="AH627" i="29" s="1"/>
  <c r="AH628" i="29" s="1"/>
  <c r="AH629" i="29" s="1"/>
  <c r="AH630" i="29" s="1"/>
  <c r="AH631" i="29" s="1"/>
  <c r="AH632" i="29" s="1"/>
  <c r="AH633" i="29" s="1"/>
  <c r="AH634" i="29" s="1"/>
  <c r="AH635" i="29" s="1"/>
  <c r="AH636" i="29" s="1"/>
  <c r="AH637" i="29" s="1"/>
  <c r="AH638" i="29" s="1"/>
  <c r="AH639" i="29" s="1"/>
  <c r="AH640" i="29" s="1"/>
  <c r="AH641" i="29" s="1"/>
  <c r="AH642" i="29" s="1"/>
  <c r="AH643" i="29" s="1"/>
  <c r="AH644" i="29" s="1"/>
  <c r="AH645" i="29" s="1"/>
  <c r="AH646" i="29" s="1"/>
  <c r="AH647" i="29" s="1"/>
  <c r="AH648" i="29" s="1"/>
  <c r="AH649" i="29" s="1"/>
  <c r="AH650" i="29" s="1"/>
  <c r="AH651" i="29" s="1"/>
  <c r="AH652" i="29" s="1"/>
  <c r="AH653" i="29" s="1"/>
  <c r="AH654" i="29" s="1"/>
  <c r="AH655" i="29" s="1"/>
  <c r="AH656" i="29" s="1"/>
  <c r="AH657" i="29" s="1"/>
  <c r="AH658" i="29" s="1"/>
  <c r="AH659" i="29" s="1"/>
  <c r="AH660" i="29" s="1"/>
  <c r="AH661" i="29" s="1"/>
  <c r="AH662" i="29" s="1"/>
  <c r="AH663" i="29" s="1"/>
  <c r="AH664" i="29" s="1"/>
  <c r="AH665" i="29" s="1"/>
  <c r="AH666" i="29" s="1"/>
  <c r="AH667" i="29" s="1"/>
  <c r="AH668" i="29" s="1"/>
  <c r="AH669" i="29" s="1"/>
  <c r="AH670" i="29" s="1"/>
  <c r="AH671" i="29" s="1"/>
  <c r="AH672" i="29" s="1"/>
  <c r="AH673" i="29" s="1"/>
  <c r="AH674" i="29" s="1"/>
  <c r="AH675" i="29" s="1"/>
  <c r="AH676" i="29" s="1"/>
  <c r="AH677" i="29" s="1"/>
  <c r="AH678" i="29" s="1"/>
  <c r="AH679" i="29" s="1"/>
  <c r="AH680" i="29" s="1"/>
  <c r="AH681" i="29" s="1"/>
  <c r="AH682" i="29" s="1"/>
  <c r="AH683" i="29" s="1"/>
  <c r="AH684" i="29" s="1"/>
  <c r="AH685" i="29" s="1"/>
  <c r="AH686" i="29" s="1"/>
  <c r="AH687" i="29" s="1"/>
  <c r="AH688" i="29" s="1"/>
  <c r="AH689" i="29" s="1"/>
  <c r="AH690" i="29" s="1"/>
  <c r="AH691" i="29" s="1"/>
  <c r="AH692" i="29" s="1"/>
  <c r="AH693" i="29" s="1"/>
  <c r="AH694" i="29" s="1"/>
  <c r="AH695" i="29" s="1"/>
  <c r="AH696" i="29" s="1"/>
  <c r="AH697" i="29" s="1"/>
  <c r="AH698" i="29" s="1"/>
  <c r="AH699" i="29" s="1"/>
  <c r="AH700" i="29" s="1"/>
  <c r="AH701" i="29" s="1"/>
  <c r="AH702" i="29" s="1"/>
  <c r="AH703" i="29" s="1"/>
  <c r="AH704" i="29" s="1"/>
  <c r="AH705" i="29" s="1"/>
  <c r="AH706" i="29" s="1"/>
  <c r="AH707" i="29" s="1"/>
  <c r="AH708" i="29" s="1"/>
  <c r="AH709" i="29" s="1"/>
  <c r="AH710" i="29" s="1"/>
  <c r="AH711" i="29" s="1"/>
  <c r="AH712" i="29" s="1"/>
  <c r="AH713" i="29" s="1"/>
  <c r="AH714" i="29" s="1"/>
  <c r="AH715" i="29" s="1"/>
  <c r="AH716" i="29" s="1"/>
  <c r="AH717" i="29" s="1"/>
  <c r="AH718" i="29" s="1"/>
  <c r="AH719" i="29" s="1"/>
  <c r="AH720" i="29" s="1"/>
  <c r="AH721" i="29" s="1"/>
  <c r="AH722" i="29" s="1"/>
  <c r="AH723" i="29" s="1"/>
  <c r="AH724" i="29" s="1"/>
  <c r="AH725" i="29" s="1"/>
  <c r="AH726" i="29" s="1"/>
  <c r="AH727" i="29" s="1"/>
  <c r="AH728" i="29" s="1"/>
  <c r="AH729" i="29" s="1"/>
  <c r="AH730" i="29" s="1"/>
  <c r="AH731" i="29" s="1"/>
  <c r="AH732" i="29" s="1"/>
  <c r="AH733" i="29" s="1"/>
  <c r="AH734" i="29" s="1"/>
  <c r="AH735" i="29" s="1"/>
  <c r="AH736" i="29" s="1"/>
  <c r="AH737" i="29" s="1"/>
  <c r="AH738" i="29" s="1"/>
  <c r="AH739" i="29" s="1"/>
  <c r="AH740" i="29" s="1"/>
  <c r="AH741" i="29" s="1"/>
  <c r="AH742" i="29" s="1"/>
  <c r="AH743" i="29" s="1"/>
  <c r="AH744" i="29" s="1"/>
  <c r="AH745" i="29" s="1"/>
  <c r="AH746" i="29" s="1"/>
  <c r="AH747" i="29" s="1"/>
  <c r="AH748" i="29" s="1"/>
  <c r="AH749" i="29" s="1"/>
  <c r="AH750" i="29" s="1"/>
  <c r="AH751" i="29" s="1"/>
  <c r="AH752" i="29" s="1"/>
  <c r="AH753" i="29" s="1"/>
  <c r="AH754" i="29" s="1"/>
  <c r="AH755" i="29" s="1"/>
  <c r="AH756" i="29" s="1"/>
  <c r="AH757" i="29" s="1"/>
  <c r="AH758" i="29" s="1"/>
  <c r="AH759" i="29" s="1"/>
  <c r="AH760" i="29" s="1"/>
  <c r="AH761" i="29" s="1"/>
  <c r="AH762" i="29" s="1"/>
  <c r="AH763" i="29" s="1"/>
  <c r="AH764" i="29" s="1"/>
  <c r="AH765" i="29" s="1"/>
  <c r="AH766" i="29" s="1"/>
  <c r="AH767" i="29" s="1"/>
  <c r="AH768" i="29" s="1"/>
  <c r="AH769" i="29" s="1"/>
  <c r="AH770" i="29" s="1"/>
  <c r="AH771" i="29" s="1"/>
  <c r="AH772" i="29" s="1"/>
  <c r="AH773" i="29" s="1"/>
  <c r="AH774" i="29" s="1"/>
  <c r="AH775" i="29" s="1"/>
  <c r="AH776" i="29" s="1"/>
  <c r="AH777" i="29" s="1"/>
  <c r="AH778" i="29" s="1"/>
  <c r="AH779" i="29" s="1"/>
  <c r="AH780" i="29" s="1"/>
  <c r="AH781" i="29" s="1"/>
  <c r="AH782" i="29" s="1"/>
  <c r="AH783" i="29" s="1"/>
  <c r="AH784" i="29" s="1"/>
  <c r="AH785" i="29" s="1"/>
  <c r="AH786" i="29" s="1"/>
  <c r="AH787" i="29" s="1"/>
  <c r="AH788" i="29" s="1"/>
  <c r="AH789" i="29" s="1"/>
  <c r="AH790" i="29" s="1"/>
  <c r="AH791" i="29" s="1"/>
  <c r="AH792" i="29" s="1"/>
  <c r="AH793" i="29" s="1"/>
  <c r="AH794" i="29" s="1"/>
  <c r="AH795" i="29" s="1"/>
  <c r="AH796" i="29" s="1"/>
  <c r="AH797" i="29" s="1"/>
  <c r="AH798" i="29" s="1"/>
  <c r="AH799" i="29" s="1"/>
  <c r="AH800" i="29" s="1"/>
  <c r="AH801" i="29" s="1"/>
  <c r="AH802" i="29" s="1"/>
  <c r="AH803" i="29" s="1"/>
  <c r="AH804" i="29" s="1"/>
  <c r="AH805" i="29" s="1"/>
  <c r="AH806" i="29" s="1"/>
  <c r="AH807" i="29" s="1"/>
  <c r="AH808" i="29" s="1"/>
  <c r="AH809" i="29" s="1"/>
  <c r="AH810" i="29" s="1"/>
  <c r="AH811" i="29" s="1"/>
  <c r="AH812" i="29" s="1"/>
  <c r="AH813" i="29" s="1"/>
  <c r="AH814" i="29" s="1"/>
  <c r="AH815" i="29" s="1"/>
  <c r="AH816" i="29" s="1"/>
  <c r="AH817" i="29" s="1"/>
  <c r="AH818" i="29" s="1"/>
  <c r="AH819" i="29" s="1"/>
  <c r="AH820" i="29" s="1"/>
  <c r="AH821" i="29" s="1"/>
  <c r="AH822" i="29" s="1"/>
  <c r="AH823" i="29" s="1"/>
  <c r="AH824" i="29" s="1"/>
  <c r="AH825" i="29" s="1"/>
  <c r="AH826" i="29" s="1"/>
  <c r="AH827" i="29" s="1"/>
  <c r="AH828" i="29" s="1"/>
  <c r="AH829" i="29" s="1"/>
  <c r="AH830" i="29" s="1"/>
  <c r="AH831" i="29" s="1"/>
  <c r="AH832" i="29" s="1"/>
  <c r="AH833" i="29" s="1"/>
  <c r="AH834" i="29" s="1"/>
  <c r="AH835" i="29" s="1"/>
  <c r="AH836" i="29" s="1"/>
  <c r="AH837" i="29" s="1"/>
  <c r="AH838" i="29" s="1"/>
  <c r="AH839" i="29" s="1"/>
  <c r="AH840" i="29" s="1"/>
  <c r="AH841" i="29" s="1"/>
  <c r="AH842" i="29" s="1"/>
  <c r="AH843" i="29" s="1"/>
  <c r="AH844" i="29" s="1"/>
  <c r="AH845" i="29" s="1"/>
  <c r="AH846" i="29" s="1"/>
  <c r="AH847" i="29" s="1"/>
  <c r="AH848" i="29" s="1"/>
  <c r="AH849" i="29" s="1"/>
  <c r="AH850" i="29" s="1"/>
  <c r="AH851" i="29" s="1"/>
  <c r="AH852" i="29" s="1"/>
  <c r="AH853" i="29" s="1"/>
  <c r="AH854" i="29" s="1"/>
  <c r="AH855" i="29" s="1"/>
  <c r="AH856" i="29" s="1"/>
  <c r="AH857" i="29" s="1"/>
  <c r="AH858" i="29" s="1"/>
  <c r="AH859" i="29" s="1"/>
  <c r="AH860" i="29" s="1"/>
  <c r="AH861" i="29" s="1"/>
  <c r="AH862" i="29" s="1"/>
  <c r="AH863" i="29" s="1"/>
  <c r="AH864" i="29" s="1"/>
  <c r="AH865" i="29" s="1"/>
  <c r="AH866" i="29" s="1"/>
  <c r="AH867" i="29" s="1"/>
  <c r="AH868" i="29" s="1"/>
  <c r="AH869" i="29" s="1"/>
  <c r="AH870" i="29" s="1"/>
  <c r="AH871" i="29" s="1"/>
  <c r="AH872" i="29" s="1"/>
  <c r="AH873" i="29" s="1"/>
  <c r="AH874" i="29" s="1"/>
  <c r="AH875" i="29" s="1"/>
  <c r="AH876" i="29" s="1"/>
  <c r="AH877" i="29" s="1"/>
  <c r="AH878" i="29" s="1"/>
  <c r="AH879" i="29" s="1"/>
  <c r="AH880" i="29" s="1"/>
  <c r="AH881" i="29" s="1"/>
  <c r="AH882" i="29" s="1"/>
  <c r="AH883" i="29" s="1"/>
  <c r="AH884" i="29" s="1"/>
  <c r="AH885" i="29" s="1"/>
  <c r="AH886" i="29" s="1"/>
  <c r="AH887" i="29" s="1"/>
  <c r="AH888" i="29" s="1"/>
  <c r="AH889" i="29" s="1"/>
  <c r="AH890" i="29" s="1"/>
  <c r="AH891" i="29" s="1"/>
  <c r="AH892" i="29" s="1"/>
  <c r="AH893" i="29" s="1"/>
  <c r="AH894" i="29" s="1"/>
  <c r="AH895" i="29" s="1"/>
  <c r="AH896" i="29" s="1"/>
  <c r="AH897" i="29" s="1"/>
  <c r="AH898" i="29" s="1"/>
  <c r="AH899" i="29" s="1"/>
  <c r="AH900" i="29" s="1"/>
  <c r="AH901" i="29" s="1"/>
  <c r="AH902" i="29" s="1"/>
  <c r="AH903" i="29" s="1"/>
  <c r="AH904" i="29" s="1"/>
  <c r="AH905" i="29" s="1"/>
  <c r="AH906" i="29" s="1"/>
  <c r="AH907" i="29" s="1"/>
  <c r="AH908" i="29" s="1"/>
  <c r="AH909" i="29" s="1"/>
  <c r="AH910" i="29" s="1"/>
  <c r="AH911" i="29" s="1"/>
  <c r="AH912" i="29" s="1"/>
  <c r="AH913" i="29" s="1"/>
  <c r="AH914" i="29" s="1"/>
  <c r="AH915" i="29" s="1"/>
  <c r="AH916" i="29" s="1"/>
  <c r="AH917" i="29" s="1"/>
  <c r="AH918" i="29" s="1"/>
  <c r="AH919" i="29" s="1"/>
  <c r="AH920" i="29" s="1"/>
  <c r="AH921" i="29" s="1"/>
  <c r="AH922" i="29" s="1"/>
  <c r="AH923" i="29" s="1"/>
  <c r="AH924" i="29" s="1"/>
  <c r="AH925" i="29" s="1"/>
  <c r="AH926" i="29" s="1"/>
  <c r="AH927" i="29" s="1"/>
  <c r="AH928" i="29" s="1"/>
  <c r="AH929" i="29" s="1"/>
  <c r="AH930" i="29" s="1"/>
  <c r="AH931" i="29" s="1"/>
  <c r="AH932" i="29" s="1"/>
  <c r="AH933" i="29" s="1"/>
  <c r="AH934" i="29" s="1"/>
  <c r="AH935" i="29" s="1"/>
  <c r="AH936" i="29" s="1"/>
  <c r="AH937" i="29" s="1"/>
  <c r="AH938" i="29" s="1"/>
  <c r="AH939" i="29" s="1"/>
  <c r="AH940" i="29" s="1"/>
  <c r="AH941" i="29" s="1"/>
  <c r="AH942" i="29" s="1"/>
  <c r="AH943" i="29" s="1"/>
  <c r="AH944" i="29" s="1"/>
  <c r="AH945" i="29" s="1"/>
  <c r="AH946" i="29" s="1"/>
  <c r="AH947" i="29" s="1"/>
  <c r="AH948" i="29" s="1"/>
  <c r="AH949" i="29" s="1"/>
  <c r="AH950" i="29" s="1"/>
  <c r="AH951" i="29" s="1"/>
  <c r="AH952" i="29" s="1"/>
  <c r="AH953" i="29" s="1"/>
  <c r="AH954" i="29" s="1"/>
  <c r="AH955" i="29" s="1"/>
  <c r="AH956" i="29" s="1"/>
  <c r="AH957" i="29" s="1"/>
  <c r="AH958" i="29" s="1"/>
  <c r="AH959" i="29" s="1"/>
  <c r="AH960" i="29" s="1"/>
  <c r="AH961" i="29" s="1"/>
  <c r="AH962" i="29" s="1"/>
  <c r="AH963" i="29" s="1"/>
  <c r="AH964" i="29" s="1"/>
  <c r="AH965" i="29" s="1"/>
  <c r="AH966" i="29" s="1"/>
  <c r="AH967" i="29" s="1"/>
  <c r="AH968" i="29" s="1"/>
  <c r="AH969" i="29" s="1"/>
  <c r="AH970" i="29" s="1"/>
  <c r="AH971" i="29" s="1"/>
  <c r="AH972" i="29" s="1"/>
  <c r="AH973" i="29" s="1"/>
  <c r="AH974" i="29" s="1"/>
  <c r="AH975" i="29" s="1"/>
  <c r="AH976" i="29" s="1"/>
  <c r="AH977" i="29" s="1"/>
  <c r="AH978" i="29" s="1"/>
  <c r="AH979" i="29" s="1"/>
  <c r="AH980" i="29" s="1"/>
  <c r="AH981" i="29" s="1"/>
  <c r="AH982" i="29" s="1"/>
  <c r="AH983" i="29" s="1"/>
  <c r="AH984" i="29" s="1"/>
  <c r="AH985" i="29" s="1"/>
  <c r="AH986" i="29" s="1"/>
  <c r="AH987" i="29" s="1"/>
  <c r="AH988" i="29" s="1"/>
  <c r="AH989" i="29" s="1"/>
  <c r="AH990" i="29" s="1"/>
  <c r="AH991" i="29" s="1"/>
  <c r="AH992" i="29" s="1"/>
  <c r="AH993" i="29" s="1"/>
  <c r="AH994" i="29" s="1"/>
  <c r="AH995" i="29" s="1"/>
  <c r="AH996" i="29" s="1"/>
  <c r="AH997" i="29" s="1"/>
  <c r="AH998" i="29" s="1"/>
  <c r="AH999" i="29" s="1"/>
  <c r="AH1000" i="29" s="1"/>
  <c r="AH1001" i="29" s="1"/>
  <c r="AH1002" i="29" s="1"/>
  <c r="AH1003" i="29" s="1"/>
  <c r="AH1004" i="29" s="1"/>
  <c r="AH1005" i="29" s="1"/>
  <c r="AH1006" i="29" s="1"/>
  <c r="AH1007" i="29" s="1"/>
  <c r="AH1008" i="29" s="1"/>
  <c r="AH1009" i="29" s="1"/>
  <c r="AH1010" i="29" s="1"/>
  <c r="AH1011" i="29" s="1"/>
  <c r="AH1012" i="29" s="1"/>
  <c r="AH1013" i="29" s="1"/>
  <c r="AH1014" i="29" s="1"/>
  <c r="AH1015" i="29" s="1"/>
  <c r="AH1016" i="29" s="1"/>
  <c r="AH1017" i="29" s="1"/>
  <c r="AH1018" i="29" s="1"/>
  <c r="AH1019" i="29" s="1"/>
  <c r="AH1020" i="29" s="1"/>
  <c r="AH1021" i="29" s="1"/>
  <c r="AH1022" i="29" s="1"/>
  <c r="AH1023" i="29" s="1"/>
  <c r="AH1024" i="29" s="1"/>
  <c r="AH1025" i="29" s="1"/>
  <c r="AH1026" i="29" s="1"/>
  <c r="AH1027" i="29" s="1"/>
  <c r="AH1028" i="29" s="1"/>
  <c r="AH1029" i="29" s="1"/>
  <c r="AH1030" i="29" s="1"/>
  <c r="AH1031" i="29" s="1"/>
  <c r="AH1032" i="29" s="1"/>
  <c r="AH1033" i="29" s="1"/>
  <c r="AO2" i="29"/>
  <c r="E135" i="30"/>
  <c r="X20" i="3"/>
  <c r="X19" i="3"/>
  <c r="X21" i="3"/>
  <c r="W54" i="2"/>
  <c r="V54" i="2"/>
  <c r="U54" i="2"/>
  <c r="I54" i="2"/>
  <c r="H54" i="2"/>
  <c r="G54" i="2"/>
  <c r="W53" i="2"/>
  <c r="V53" i="2"/>
  <c r="U53" i="2"/>
  <c r="I53" i="2"/>
  <c r="H53" i="2"/>
  <c r="G53" i="2"/>
  <c r="W52" i="2"/>
  <c r="V52" i="2"/>
  <c r="U52" i="2"/>
  <c r="I52" i="2"/>
  <c r="H52" i="2"/>
  <c r="G52" i="2"/>
  <c r="AM1034" i="29" l="1"/>
  <c r="AK1033" i="29"/>
  <c r="D1033" i="29" s="1"/>
  <c r="AL1033" i="29"/>
  <c r="C1033" i="29" s="1"/>
  <c r="AH1034" i="29"/>
  <c r="AL3" i="29"/>
  <c r="C3" i="29" s="1"/>
  <c r="AK3" i="29"/>
  <c r="D3" i="29" s="1"/>
  <c r="AM1035" i="29" l="1"/>
  <c r="AL1034" i="29"/>
  <c r="C1034" i="29" s="1"/>
  <c r="AK1034" i="29"/>
  <c r="D1034" i="29" s="1"/>
  <c r="AH1035" i="29"/>
  <c r="AK4" i="29"/>
  <c r="D4" i="29" s="1"/>
  <c r="AL4" i="29"/>
  <c r="C4" i="29" s="1"/>
  <c r="AH1036" i="29" l="1"/>
  <c r="AL1035" i="29"/>
  <c r="C1035" i="29" s="1"/>
  <c r="AM1036" i="29"/>
  <c r="AK1035" i="29"/>
  <c r="D1035" i="29" s="1"/>
  <c r="AL5" i="29"/>
  <c r="C5" i="29" s="1"/>
  <c r="AK5" i="29"/>
  <c r="D5" i="29" s="1"/>
  <c r="AL1036" i="29" l="1"/>
  <c r="C1036" i="29" s="1"/>
  <c r="AM1037" i="29"/>
  <c r="AK1036" i="29"/>
  <c r="D1036" i="29" s="1"/>
  <c r="AH1037" i="29"/>
  <c r="AL6" i="29"/>
  <c r="C6" i="29" s="1"/>
  <c r="AK6" i="29"/>
  <c r="D6" i="29" s="1"/>
  <c r="AH1038" i="29" l="1"/>
  <c r="AK1037" i="29"/>
  <c r="D1037" i="29" s="1"/>
  <c r="AL1037" i="29"/>
  <c r="C1037" i="29" s="1"/>
  <c r="AM1038" i="29"/>
  <c r="AL7" i="29"/>
  <c r="C7" i="29" s="1"/>
  <c r="AK7" i="29"/>
  <c r="D7" i="29" s="1"/>
  <c r="AM1039" i="29" l="1"/>
  <c r="AL1038" i="29"/>
  <c r="C1038" i="29" s="1"/>
  <c r="AK1038" i="29"/>
  <c r="D1038" i="29" s="1"/>
  <c r="AH1039" i="29"/>
  <c r="AK8" i="29"/>
  <c r="D8" i="29" s="1"/>
  <c r="AL8" i="29"/>
  <c r="C8" i="29" s="1"/>
  <c r="AH1040" i="29" l="1"/>
  <c r="AM1040" i="29"/>
  <c r="AL1039" i="29"/>
  <c r="C1039" i="29" s="1"/>
  <c r="AK1039" i="29"/>
  <c r="D1039" i="29" s="1"/>
  <c r="AL9" i="29"/>
  <c r="C9" i="29" s="1"/>
  <c r="AK9" i="29"/>
  <c r="D9" i="29" s="1"/>
  <c r="AL1040" i="29" l="1"/>
  <c r="C1040" i="29" s="1"/>
  <c r="AM1041" i="29"/>
  <c r="AK1040" i="29"/>
  <c r="D1040" i="29" s="1"/>
  <c r="AH1041" i="29"/>
  <c r="AK10" i="29"/>
  <c r="D10" i="29" s="1"/>
  <c r="AL10" i="29"/>
  <c r="C10" i="29" s="1"/>
  <c r="AK1041" i="29" l="1"/>
  <c r="D1041" i="29" s="1"/>
  <c r="AM1042" i="29"/>
  <c r="AL1041" i="29"/>
  <c r="C1041" i="29" s="1"/>
  <c r="AH1042" i="29"/>
  <c r="AL11" i="29"/>
  <c r="C11" i="29" s="1"/>
  <c r="AK11" i="29"/>
  <c r="D11" i="29" s="1"/>
  <c r="AM1043" i="29" l="1"/>
  <c r="AL1042" i="29"/>
  <c r="C1042" i="29" s="1"/>
  <c r="AK1042" i="29"/>
  <c r="D1042" i="29" s="1"/>
  <c r="AH1043" i="29"/>
  <c r="AL12" i="29"/>
  <c r="C12" i="29" s="1"/>
  <c r="AK12" i="29"/>
  <c r="D12" i="29" s="1"/>
  <c r="AH1044" i="29" l="1"/>
  <c r="AL1043" i="29"/>
  <c r="C1043" i="29" s="1"/>
  <c r="AM1044" i="29"/>
  <c r="AK1043" i="29"/>
  <c r="D1043" i="29" s="1"/>
  <c r="AL13" i="29"/>
  <c r="C13" i="29" s="1"/>
  <c r="AK13" i="29"/>
  <c r="D13" i="29" s="1"/>
  <c r="W105" i="2"/>
  <c r="V105" i="2"/>
  <c r="U105" i="2"/>
  <c r="W104" i="2"/>
  <c r="V104" i="2"/>
  <c r="U104" i="2"/>
  <c r="W103" i="2"/>
  <c r="V103" i="2"/>
  <c r="U103" i="2"/>
  <c r="W102" i="2"/>
  <c r="V102" i="2"/>
  <c r="U102" i="2"/>
  <c r="W101" i="2"/>
  <c r="V101" i="2"/>
  <c r="U101" i="2"/>
  <c r="U100" i="2"/>
  <c r="U99" i="2"/>
  <c r="W99" i="2"/>
  <c r="V99" i="2"/>
  <c r="U98" i="2"/>
  <c r="U97" i="2"/>
  <c r="U96" i="2"/>
  <c r="U95" i="2"/>
  <c r="W95" i="2"/>
  <c r="V95" i="2"/>
  <c r="U94" i="2"/>
  <c r="W94" i="2"/>
  <c r="U93" i="2"/>
  <c r="W93" i="2"/>
  <c r="U92" i="2"/>
  <c r="U91" i="2"/>
  <c r="W91" i="2"/>
  <c r="V90" i="2"/>
  <c r="U90" i="2"/>
  <c r="W89" i="2"/>
  <c r="V89" i="2"/>
  <c r="U89" i="2"/>
  <c r="W88" i="2"/>
  <c r="V88" i="2"/>
  <c r="U88" i="2"/>
  <c r="W87" i="2"/>
  <c r="V87" i="2"/>
  <c r="U87" i="2"/>
  <c r="W83" i="2"/>
  <c r="V83" i="2"/>
  <c r="U83" i="2"/>
  <c r="W82" i="2"/>
  <c r="V82" i="2"/>
  <c r="U82" i="2"/>
  <c r="W81" i="2"/>
  <c r="V81" i="2"/>
  <c r="U81" i="2"/>
  <c r="W80" i="2"/>
  <c r="V80" i="2"/>
  <c r="U80" i="2"/>
  <c r="W79" i="2"/>
  <c r="V79" i="2"/>
  <c r="U79" i="2"/>
  <c r="W78" i="2"/>
  <c r="V78" i="2"/>
  <c r="U78" i="2"/>
  <c r="W77" i="2"/>
  <c r="V77" i="2"/>
  <c r="U77" i="2"/>
  <c r="K77" i="2"/>
  <c r="W76" i="2"/>
  <c r="V76" i="2"/>
  <c r="U76" i="2"/>
  <c r="W75" i="2"/>
  <c r="V75" i="2"/>
  <c r="U75" i="2"/>
  <c r="W74" i="2"/>
  <c r="V74" i="2"/>
  <c r="U74" i="2"/>
  <c r="W73" i="2"/>
  <c r="V73" i="2"/>
  <c r="U73" i="2"/>
  <c r="W72" i="2"/>
  <c r="V72" i="2"/>
  <c r="U72" i="2"/>
  <c r="E72" i="2"/>
  <c r="W71" i="2"/>
  <c r="V71" i="2"/>
  <c r="U71" i="2"/>
  <c r="I71" i="2"/>
  <c r="H71" i="2"/>
  <c r="G71" i="2"/>
  <c r="W70" i="2"/>
  <c r="V70" i="2"/>
  <c r="U70" i="2"/>
  <c r="I70" i="2"/>
  <c r="H70" i="2"/>
  <c r="G70" i="2"/>
  <c r="W69" i="2"/>
  <c r="V69" i="2"/>
  <c r="U69" i="2"/>
  <c r="I69" i="2"/>
  <c r="H69" i="2"/>
  <c r="G69" i="2"/>
  <c r="W68" i="2"/>
  <c r="V68" i="2"/>
  <c r="U68" i="2"/>
  <c r="I68" i="2"/>
  <c r="H68" i="2"/>
  <c r="G68" i="2"/>
  <c r="W67" i="2"/>
  <c r="V67" i="2"/>
  <c r="U67" i="2"/>
  <c r="I67" i="2"/>
  <c r="H67" i="2"/>
  <c r="G67" i="2"/>
  <c r="U66" i="2"/>
  <c r="T66" i="2"/>
  <c r="W66" i="2" s="1"/>
  <c r="S66" i="2"/>
  <c r="V66" i="2" s="1"/>
  <c r="I66" i="2"/>
  <c r="H66" i="2"/>
  <c r="G66" i="2"/>
  <c r="U65" i="2"/>
  <c r="T65" i="2"/>
  <c r="W65" i="2" s="1"/>
  <c r="S65" i="2"/>
  <c r="V65" i="2" s="1"/>
  <c r="I65" i="2"/>
  <c r="H65" i="2"/>
  <c r="G65" i="2"/>
  <c r="U64" i="2"/>
  <c r="T64" i="2"/>
  <c r="W64" i="2" s="1"/>
  <c r="S64" i="2"/>
  <c r="V64" i="2" s="1"/>
  <c r="I64" i="2"/>
  <c r="H64" i="2"/>
  <c r="G64" i="2"/>
  <c r="U63" i="2"/>
  <c r="T63" i="2"/>
  <c r="W63" i="2" s="1"/>
  <c r="S63" i="2"/>
  <c r="V63" i="2" s="1"/>
  <c r="I63" i="2"/>
  <c r="H63" i="2"/>
  <c r="G63" i="2"/>
  <c r="U62" i="2"/>
  <c r="T62" i="2"/>
  <c r="W62" i="2" s="1"/>
  <c r="S62" i="2"/>
  <c r="V62" i="2" s="1"/>
  <c r="I62" i="2"/>
  <c r="H62" i="2"/>
  <c r="G62" i="2"/>
  <c r="U61" i="2"/>
  <c r="T61" i="2"/>
  <c r="W61" i="2" s="1"/>
  <c r="S61" i="2"/>
  <c r="V61" i="2" s="1"/>
  <c r="I61" i="2"/>
  <c r="H61" i="2"/>
  <c r="G61" i="2"/>
  <c r="U60" i="2"/>
  <c r="W60" i="2"/>
  <c r="I60" i="2"/>
  <c r="H60" i="2"/>
  <c r="G60" i="2"/>
  <c r="U59" i="2"/>
  <c r="W59" i="2"/>
  <c r="I59" i="2"/>
  <c r="H59" i="2"/>
  <c r="G59" i="2"/>
  <c r="U58" i="2"/>
  <c r="W58" i="2"/>
  <c r="I58" i="2"/>
  <c r="H58" i="2"/>
  <c r="G58" i="2"/>
  <c r="U57" i="2"/>
  <c r="W57" i="2"/>
  <c r="I57" i="2"/>
  <c r="H57" i="2"/>
  <c r="G57" i="2"/>
  <c r="V56" i="2"/>
  <c r="U56" i="2"/>
  <c r="W56" i="2"/>
  <c r="I56" i="2"/>
  <c r="H56" i="2"/>
  <c r="G56" i="2"/>
  <c r="W55" i="2"/>
  <c r="V55" i="2"/>
  <c r="U55" i="2"/>
  <c r="I55" i="2"/>
  <c r="H55" i="2"/>
  <c r="G55" i="2"/>
  <c r="W51" i="2"/>
  <c r="V51" i="2"/>
  <c r="U51" i="2"/>
  <c r="I51" i="2"/>
  <c r="H51" i="2"/>
  <c r="G51" i="2"/>
  <c r="W50" i="2"/>
  <c r="V50" i="2"/>
  <c r="U50" i="2"/>
  <c r="I50" i="2"/>
  <c r="H50" i="2"/>
  <c r="G50" i="2"/>
  <c r="W49" i="2"/>
  <c r="V49" i="2"/>
  <c r="U49" i="2"/>
  <c r="I49" i="2"/>
  <c r="H49" i="2"/>
  <c r="G49" i="2"/>
  <c r="W48" i="2"/>
  <c r="V48" i="2"/>
  <c r="U48" i="2"/>
  <c r="I48" i="2"/>
  <c r="H48" i="2"/>
  <c r="G48" i="2"/>
  <c r="W47" i="2"/>
  <c r="V47" i="2"/>
  <c r="U47" i="2"/>
  <c r="I47" i="2"/>
  <c r="H47" i="2"/>
  <c r="G47" i="2"/>
  <c r="W46" i="2"/>
  <c r="V46" i="2"/>
  <c r="U46" i="2"/>
  <c r="I46" i="2"/>
  <c r="H46" i="2"/>
  <c r="G46" i="2"/>
  <c r="W45" i="2"/>
  <c r="V45" i="2"/>
  <c r="U45" i="2"/>
  <c r="I45" i="2"/>
  <c r="H45" i="2"/>
  <c r="G45" i="2"/>
  <c r="W44" i="2"/>
  <c r="V44" i="2"/>
  <c r="U44" i="2"/>
  <c r="I44" i="2"/>
  <c r="H44" i="2"/>
  <c r="G44" i="2"/>
  <c r="W43" i="2"/>
  <c r="V43" i="2"/>
  <c r="U43" i="2"/>
  <c r="K43" i="2"/>
  <c r="J43" i="2"/>
  <c r="W42" i="2"/>
  <c r="V42" i="2"/>
  <c r="U42" i="2"/>
  <c r="I42" i="2"/>
  <c r="H42" i="2"/>
  <c r="G42" i="2"/>
  <c r="W41" i="2"/>
  <c r="V41" i="2"/>
  <c r="U41" i="2"/>
  <c r="I41" i="2"/>
  <c r="H41" i="2"/>
  <c r="G41" i="2"/>
  <c r="W40" i="2"/>
  <c r="V40" i="2"/>
  <c r="U40" i="2"/>
  <c r="I40" i="2"/>
  <c r="H40" i="2"/>
  <c r="G40" i="2"/>
  <c r="W39" i="2"/>
  <c r="V39" i="2"/>
  <c r="U39" i="2"/>
  <c r="I39" i="2"/>
  <c r="H39" i="2"/>
  <c r="G39" i="2"/>
  <c r="W38" i="2"/>
  <c r="V38" i="2"/>
  <c r="U38" i="2"/>
  <c r="I38" i="2"/>
  <c r="H38" i="2"/>
  <c r="G38" i="2"/>
  <c r="E38" i="2"/>
  <c r="W37" i="2"/>
  <c r="V37" i="2"/>
  <c r="U37" i="2"/>
  <c r="I37" i="2"/>
  <c r="H37" i="2"/>
  <c r="G37" i="2"/>
  <c r="W36" i="2"/>
  <c r="V36" i="2"/>
  <c r="U36" i="2"/>
  <c r="I36" i="2"/>
  <c r="H36" i="2"/>
  <c r="G36" i="2"/>
  <c r="W35" i="2"/>
  <c r="V35" i="2"/>
  <c r="U35" i="2"/>
  <c r="I35" i="2"/>
  <c r="H35" i="2"/>
  <c r="G35" i="2"/>
  <c r="W34" i="2"/>
  <c r="V34" i="2"/>
  <c r="U34" i="2"/>
  <c r="I34" i="2"/>
  <c r="H34" i="2"/>
  <c r="G34" i="2"/>
  <c r="W33" i="2"/>
  <c r="V33" i="2"/>
  <c r="U33" i="2"/>
  <c r="I33" i="2"/>
  <c r="H33" i="2"/>
  <c r="G33" i="2"/>
  <c r="U32" i="2"/>
  <c r="T32" i="2"/>
  <c r="W32" i="2" s="1"/>
  <c r="S32" i="2"/>
  <c r="V32" i="2" s="1"/>
  <c r="I32" i="2"/>
  <c r="H32" i="2"/>
  <c r="G32" i="2"/>
  <c r="U31" i="2"/>
  <c r="T31" i="2"/>
  <c r="W31" i="2" s="1"/>
  <c r="S31" i="2"/>
  <c r="V31" i="2" s="1"/>
  <c r="I31" i="2"/>
  <c r="H31" i="2"/>
  <c r="G31" i="2"/>
  <c r="U30" i="2"/>
  <c r="T30" i="2"/>
  <c r="W30" i="2" s="1"/>
  <c r="S30" i="2"/>
  <c r="V30" i="2" s="1"/>
  <c r="I30" i="2"/>
  <c r="H30" i="2"/>
  <c r="G30" i="2"/>
  <c r="U29" i="2"/>
  <c r="T29" i="2"/>
  <c r="W29" i="2" s="1"/>
  <c r="S29" i="2"/>
  <c r="V29" i="2" s="1"/>
  <c r="I29" i="2"/>
  <c r="H29" i="2"/>
  <c r="G29" i="2"/>
  <c r="U28" i="2"/>
  <c r="T28" i="2"/>
  <c r="W28" i="2" s="1"/>
  <c r="S28" i="2"/>
  <c r="V28" i="2" s="1"/>
  <c r="I28" i="2"/>
  <c r="H28" i="2"/>
  <c r="G28" i="2"/>
  <c r="U27" i="2"/>
  <c r="T27" i="2"/>
  <c r="W27" i="2" s="1"/>
  <c r="S27" i="2"/>
  <c r="V27" i="2" s="1"/>
  <c r="I27" i="2"/>
  <c r="H27" i="2"/>
  <c r="G27" i="2"/>
  <c r="U26" i="2"/>
  <c r="W26" i="2"/>
  <c r="I26" i="2"/>
  <c r="H26" i="2"/>
  <c r="G26" i="2"/>
  <c r="U25" i="2"/>
  <c r="W25" i="2"/>
  <c r="I25" i="2"/>
  <c r="H25" i="2"/>
  <c r="G25" i="2"/>
  <c r="U24" i="2"/>
  <c r="W24" i="2"/>
  <c r="I24" i="2"/>
  <c r="H24" i="2"/>
  <c r="G24" i="2"/>
  <c r="W23" i="2"/>
  <c r="U23" i="2"/>
  <c r="I23" i="2"/>
  <c r="H23" i="2"/>
  <c r="G23" i="2"/>
  <c r="U22" i="2"/>
  <c r="W22" i="2"/>
  <c r="I22" i="2"/>
  <c r="H22" i="2"/>
  <c r="G22" i="2"/>
  <c r="I21" i="2"/>
  <c r="H21" i="2"/>
  <c r="G21" i="2"/>
  <c r="I17" i="2"/>
  <c r="H17" i="2"/>
  <c r="G17" i="2"/>
  <c r="I16" i="2"/>
  <c r="H16" i="2"/>
  <c r="G16" i="2"/>
  <c r="I15" i="2"/>
  <c r="H15" i="2"/>
  <c r="G15" i="2"/>
  <c r="I14" i="2"/>
  <c r="H14" i="2"/>
  <c r="G14" i="2"/>
  <c r="I13" i="2"/>
  <c r="H13" i="2"/>
  <c r="G13" i="2"/>
  <c r="I12" i="2"/>
  <c r="H12" i="2"/>
  <c r="G12" i="2"/>
  <c r="I11" i="2"/>
  <c r="H11" i="2"/>
  <c r="G11" i="2"/>
  <c r="I10" i="2"/>
  <c r="H10" i="2"/>
  <c r="G10" i="2"/>
  <c r="K9" i="2"/>
  <c r="J9" i="2"/>
  <c r="I8" i="2"/>
  <c r="H8" i="2"/>
  <c r="G8" i="2"/>
  <c r="I7" i="2"/>
  <c r="H7" i="2"/>
  <c r="G7" i="2"/>
  <c r="I6" i="2"/>
  <c r="H6" i="2"/>
  <c r="G6" i="2"/>
  <c r="I5" i="2"/>
  <c r="H5" i="2"/>
  <c r="G5" i="2"/>
  <c r="I4" i="2"/>
  <c r="H4" i="2"/>
  <c r="G4" i="2"/>
  <c r="A219" i="30"/>
  <c r="D218" i="30"/>
  <c r="E215" i="30"/>
  <c r="E214" i="30"/>
  <c r="E213" i="30"/>
  <c r="E212" i="30"/>
  <c r="E210" i="30"/>
  <c r="E209" i="30"/>
  <c r="E208" i="30"/>
  <c r="E207" i="30"/>
  <c r="E206" i="30"/>
  <c r="E205" i="30"/>
  <c r="E204" i="30"/>
  <c r="E203" i="30"/>
  <c r="E202" i="30"/>
  <c r="E201" i="30"/>
  <c r="E200" i="30"/>
  <c r="E199" i="30"/>
  <c r="E198" i="30"/>
  <c r="E193" i="30"/>
  <c r="E192" i="30"/>
  <c r="E191" i="30"/>
  <c r="E190" i="30"/>
  <c r="E189" i="30"/>
  <c r="E188" i="30"/>
  <c r="E187" i="30"/>
  <c r="E186" i="30"/>
  <c r="E185" i="30"/>
  <c r="E184" i="30"/>
  <c r="E183" i="30"/>
  <c r="E182" i="30"/>
  <c r="E181" i="30"/>
  <c r="E180" i="30"/>
  <c r="E179" i="30"/>
  <c r="E178" i="30"/>
  <c r="E177" i="30"/>
  <c r="E176" i="30"/>
  <c r="E175" i="30"/>
  <c r="E174" i="30"/>
  <c r="E173" i="30"/>
  <c r="E172" i="30"/>
  <c r="E171" i="30"/>
  <c r="E170" i="30"/>
  <c r="E169" i="30"/>
  <c r="E168" i="30"/>
  <c r="E167" i="30"/>
  <c r="E166" i="30"/>
  <c r="E165" i="30"/>
  <c r="E164" i="30"/>
  <c r="E163" i="30"/>
  <c r="E162" i="30"/>
  <c r="E161" i="30"/>
  <c r="E160" i="30"/>
  <c r="E159" i="30"/>
  <c r="E158" i="30"/>
  <c r="E157" i="30"/>
  <c r="E156" i="30"/>
  <c r="E155" i="30"/>
  <c r="E154" i="30"/>
  <c r="E153" i="30"/>
  <c r="E152" i="30"/>
  <c r="E151" i="30"/>
  <c r="E150" i="30"/>
  <c r="E149" i="30"/>
  <c r="E148" i="30"/>
  <c r="E147" i="30"/>
  <c r="E146" i="30"/>
  <c r="E145" i="30"/>
  <c r="E144" i="30"/>
  <c r="E143" i="30"/>
  <c r="E142" i="30"/>
  <c r="E141" i="30"/>
  <c r="E140" i="30"/>
  <c r="E139" i="30"/>
  <c r="E138" i="30"/>
  <c r="E137" i="30"/>
  <c r="E134" i="30"/>
  <c r="E133" i="30"/>
  <c r="E132" i="30"/>
  <c r="E131" i="30"/>
  <c r="E126" i="30"/>
  <c r="E125" i="30"/>
  <c r="E124" i="30"/>
  <c r="E123" i="30"/>
  <c r="E122" i="30"/>
  <c r="E121" i="30"/>
  <c r="E120" i="30"/>
  <c r="E119" i="30"/>
  <c r="E118" i="30"/>
  <c r="E117" i="30"/>
  <c r="E116" i="30"/>
  <c r="E115" i="30"/>
  <c r="E114" i="30"/>
  <c r="E113" i="30"/>
  <c r="E112" i="30"/>
  <c r="E111" i="30"/>
  <c r="E110" i="30"/>
  <c r="E109" i="30"/>
  <c r="E108" i="30"/>
  <c r="D108" i="30"/>
  <c r="E107" i="30"/>
  <c r="E106" i="30"/>
  <c r="E105" i="30"/>
  <c r="E104" i="30"/>
  <c r="E103" i="30"/>
  <c r="E102" i="30"/>
  <c r="E101" i="30"/>
  <c r="E100" i="30"/>
  <c r="E99" i="30"/>
  <c r="E97" i="30"/>
  <c r="E95" i="30"/>
  <c r="E94" i="30"/>
  <c r="E93" i="30"/>
  <c r="E92" i="30"/>
  <c r="E91" i="30"/>
  <c r="E90" i="30"/>
  <c r="E89" i="30"/>
  <c r="E84" i="30"/>
  <c r="E83" i="30"/>
  <c r="E82" i="30"/>
  <c r="E81" i="30"/>
  <c r="E80"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9" i="30"/>
  <c r="E38" i="30"/>
  <c r="E37" i="30"/>
  <c r="E36" i="30"/>
  <c r="E35" i="30"/>
  <c r="E34" i="30"/>
  <c r="E33" i="30"/>
  <c r="E32" i="30"/>
  <c r="E31" i="30"/>
  <c r="E30" i="30"/>
  <c r="E29" i="30"/>
  <c r="E28" i="30"/>
  <c r="E27" i="30"/>
  <c r="E26" i="30"/>
  <c r="E25" i="30"/>
  <c r="E24" i="30"/>
  <c r="E23" i="30"/>
  <c r="E22" i="30"/>
  <c r="E21" i="30"/>
  <c r="E20" i="30"/>
  <c r="E19" i="30"/>
  <c r="E18" i="30"/>
  <c r="E17" i="30"/>
  <c r="E16" i="30"/>
  <c r="E15" i="30"/>
  <c r="E14" i="30"/>
  <c r="E13" i="30"/>
  <c r="E12" i="30"/>
  <c r="E11" i="30"/>
  <c r="E10" i="30"/>
  <c r="E9" i="30"/>
  <c r="E8" i="30"/>
  <c r="E7" i="30"/>
  <c r="E6" i="30"/>
  <c r="E5" i="30"/>
  <c r="E4" i="30"/>
  <c r="D4" i="30"/>
  <c r="AL1044" i="29" l="1"/>
  <c r="C1044" i="29" s="1"/>
  <c r="AM1045" i="29"/>
  <c r="AM1046" i="29" s="1"/>
  <c r="AM1047" i="29" s="1"/>
  <c r="AM1048" i="29" s="1"/>
  <c r="AM1049" i="29" s="1"/>
  <c r="AM1050" i="29" s="1"/>
  <c r="AM1051" i="29" s="1"/>
  <c r="AM1052" i="29" s="1"/>
  <c r="AM1053" i="29" s="1"/>
  <c r="AM1054" i="29" s="1"/>
  <c r="AM1055" i="29" s="1"/>
  <c r="AM1056" i="29" s="1"/>
  <c r="AM1057" i="29" s="1"/>
  <c r="AK1044" i="29"/>
  <c r="D1044" i="29" s="1"/>
  <c r="AH1045" i="29"/>
  <c r="AH1046" i="29" s="1"/>
  <c r="AH1047" i="29" s="1"/>
  <c r="AH1048" i="29" s="1"/>
  <c r="AH1049" i="29" s="1"/>
  <c r="AH1050" i="29" s="1"/>
  <c r="AH1051" i="29" s="1"/>
  <c r="AH1052" i="29" s="1"/>
  <c r="AH1053" i="29" s="1"/>
  <c r="AH1054" i="29" s="1"/>
  <c r="AH1055" i="29" s="1"/>
  <c r="AH1056" i="29" s="1"/>
  <c r="AH1057" i="29" s="1"/>
  <c r="V98" i="2"/>
  <c r="W92" i="2"/>
  <c r="V97" i="2"/>
  <c r="W98" i="2"/>
  <c r="W90" i="2"/>
  <c r="V96" i="2"/>
  <c r="W97" i="2"/>
  <c r="V100" i="2"/>
  <c r="W96" i="2"/>
  <c r="W100" i="2"/>
  <c r="L77" i="2"/>
  <c r="N77" i="2"/>
  <c r="M77" i="2"/>
  <c r="I43" i="2"/>
  <c r="AK14" i="29"/>
  <c r="D14" i="29" s="1"/>
  <c r="AL14" i="29"/>
  <c r="C14" i="29" s="1"/>
  <c r="G43" i="2"/>
  <c r="G9" i="2"/>
  <c r="H43" i="2"/>
  <c r="H9" i="2"/>
  <c r="I9" i="2"/>
  <c r="A5" i="30"/>
  <c r="A6" i="30" s="1"/>
  <c r="A7" i="30" s="1"/>
  <c r="A8" i="30" s="1"/>
  <c r="A109" i="30"/>
  <c r="A110" i="30" s="1"/>
  <c r="A111" i="30" s="1"/>
  <c r="D111" i="30" s="1"/>
  <c r="V57" i="2"/>
  <c r="D219" i="30"/>
  <c r="A220" i="30"/>
  <c r="A5" i="2"/>
  <c r="V23" i="2"/>
  <c r="E74" i="2"/>
  <c r="V94" i="2"/>
  <c r="V93" i="2"/>
  <c r="A39" i="2"/>
  <c r="V92" i="2"/>
  <c r="E73" i="2"/>
  <c r="V91" i="2"/>
  <c r="X128" i="43"/>
  <c r="AL15" i="29" l="1"/>
  <c r="C15" i="29" s="1"/>
  <c r="AK15" i="29"/>
  <c r="D15" i="29" s="1"/>
  <c r="V24" i="2"/>
  <c r="D5" i="30"/>
  <c r="D7" i="30"/>
  <c r="D6" i="30"/>
  <c r="A112" i="30"/>
  <c r="A113" i="30" s="1"/>
  <c r="D109" i="30"/>
  <c r="D110" i="30"/>
  <c r="E39" i="2"/>
  <c r="A40" i="2"/>
  <c r="V26" i="2"/>
  <c r="V25" i="2"/>
  <c r="E75" i="2"/>
  <c r="A6" i="2"/>
  <c r="E5" i="2"/>
  <c r="V60" i="2"/>
  <c r="V59" i="2"/>
  <c r="D8" i="30"/>
  <c r="A9" i="30"/>
  <c r="A221" i="30"/>
  <c r="D220" i="30"/>
  <c r="D112" i="30"/>
  <c r="V58" i="2"/>
  <c r="AL16" i="29" l="1"/>
  <c r="C16" i="29" s="1"/>
  <c r="AK16" i="29"/>
  <c r="D16" i="29" s="1"/>
  <c r="A222" i="30"/>
  <c r="D221" i="30"/>
  <c r="E76" i="2"/>
  <c r="E40" i="2"/>
  <c r="A41" i="2"/>
  <c r="A7" i="2"/>
  <c r="E6" i="2"/>
  <c r="A114" i="30"/>
  <c r="D113" i="30"/>
  <c r="A10" i="30"/>
  <c r="D9" i="30"/>
  <c r="AL17" i="29" l="1"/>
  <c r="C17" i="29" s="1"/>
  <c r="AK17" i="29"/>
  <c r="D17" i="29" s="1"/>
  <c r="D10" i="30"/>
  <c r="A11" i="30"/>
  <c r="A8" i="2"/>
  <c r="E7" i="2"/>
  <c r="E77" i="2"/>
  <c r="D114" i="30"/>
  <c r="A115" i="30"/>
  <c r="D222" i="30"/>
  <c r="A223" i="30"/>
  <c r="E41" i="2"/>
  <c r="A42" i="2"/>
  <c r="AK18" i="29" l="1"/>
  <c r="D18" i="29" s="1"/>
  <c r="AL18" i="29"/>
  <c r="C18" i="29" s="1"/>
  <c r="D115" i="30"/>
  <c r="A116" i="30"/>
  <c r="A9" i="2"/>
  <c r="E8" i="2"/>
  <c r="E78" i="2"/>
  <c r="D11" i="30"/>
  <c r="A12" i="30"/>
  <c r="D223" i="30"/>
  <c r="A224" i="30"/>
  <c r="E42" i="2"/>
  <c r="A43" i="2"/>
  <c r="AL19" i="29" l="1"/>
  <c r="C19" i="29" s="1"/>
  <c r="AK19" i="29"/>
  <c r="D19" i="29" s="1"/>
  <c r="A225" i="30"/>
  <c r="D224" i="30"/>
  <c r="A117" i="30"/>
  <c r="D116" i="30"/>
  <c r="E79" i="2"/>
  <c r="E9" i="2"/>
  <c r="A10" i="2"/>
  <c r="E43" i="2"/>
  <c r="A44" i="2"/>
  <c r="D12" i="30"/>
  <c r="A13" i="30"/>
  <c r="AL20" i="29" l="1"/>
  <c r="C20" i="29" s="1"/>
  <c r="AK20" i="29"/>
  <c r="D20" i="29" s="1"/>
  <c r="A45" i="2"/>
  <c r="E44" i="2"/>
  <c r="A118" i="30"/>
  <c r="D117" i="30"/>
  <c r="E80" i="2"/>
  <c r="A226" i="30"/>
  <c r="D225" i="30"/>
  <c r="A14" i="30"/>
  <c r="D13" i="30"/>
  <c r="A11" i="2"/>
  <c r="E10" i="2"/>
  <c r="AL21" i="29" l="1"/>
  <c r="C21" i="29" s="1"/>
  <c r="AK21" i="29"/>
  <c r="D21" i="29" s="1"/>
  <c r="A12" i="2"/>
  <c r="E11" i="2"/>
  <c r="A46" i="2"/>
  <c r="E45" i="2"/>
  <c r="A15" i="30"/>
  <c r="D14" i="30"/>
  <c r="E81" i="2"/>
  <c r="D226" i="30"/>
  <c r="A227" i="30"/>
  <c r="A119" i="30"/>
  <c r="D118" i="30"/>
  <c r="AK22" i="29" l="1"/>
  <c r="D22" i="29" s="1"/>
  <c r="AL22" i="29"/>
  <c r="C22" i="29" s="1"/>
  <c r="D227" i="30"/>
  <c r="A228" i="30"/>
  <c r="D15" i="30"/>
  <c r="A16" i="30"/>
  <c r="A13" i="2"/>
  <c r="E12" i="2"/>
  <c r="D119" i="30"/>
  <c r="A120" i="30"/>
  <c r="E82" i="2"/>
  <c r="A47" i="2"/>
  <c r="E46" i="2"/>
  <c r="AL23" i="29" l="1"/>
  <c r="C23" i="29" s="1"/>
  <c r="AK23" i="29"/>
  <c r="D23" i="29" s="1"/>
  <c r="A48" i="2"/>
  <c r="E47" i="2"/>
  <c r="A14" i="2"/>
  <c r="E13" i="2"/>
  <c r="E83" i="2"/>
  <c r="A229" i="30"/>
  <c r="D228" i="30"/>
  <c r="D120" i="30"/>
  <c r="A121" i="30"/>
  <c r="D16" i="30"/>
  <c r="A17" i="30"/>
  <c r="AL24" i="29" l="1"/>
  <c r="C24" i="29" s="1"/>
  <c r="AK24" i="29"/>
  <c r="D24" i="29" s="1"/>
  <c r="A15" i="2"/>
  <c r="E14" i="2"/>
  <c r="E87" i="2"/>
  <c r="A49" i="2"/>
  <c r="E48" i="2"/>
  <c r="A122" i="30"/>
  <c r="D121" i="30"/>
  <c r="A230" i="30"/>
  <c r="D229" i="30"/>
  <c r="A18" i="30"/>
  <c r="D17" i="30"/>
  <c r="AL25" i="29" l="1"/>
  <c r="C25" i="29" s="1"/>
  <c r="AK25" i="29"/>
  <c r="D25" i="29" s="1"/>
  <c r="D230" i="30"/>
  <c r="A231" i="30"/>
  <c r="A16" i="2"/>
  <c r="E15" i="2"/>
  <c r="D18" i="30"/>
  <c r="A19" i="30"/>
  <c r="D122" i="30"/>
  <c r="A123" i="30"/>
  <c r="E88" i="2"/>
  <c r="A50" i="2"/>
  <c r="E49" i="2"/>
  <c r="A18" i="2" l="1"/>
  <c r="E18" i="2" s="1"/>
  <c r="A19" i="2"/>
  <c r="E19" i="2" s="1"/>
  <c r="A20" i="2"/>
  <c r="E20" i="2" s="1"/>
  <c r="AK26" i="29"/>
  <c r="D26" i="29" s="1"/>
  <c r="AL26" i="29"/>
  <c r="C26" i="29" s="1"/>
  <c r="A52" i="2"/>
  <c r="E52" i="2" s="1"/>
  <c r="A53" i="2"/>
  <c r="E53" i="2" s="1"/>
  <c r="A54" i="2"/>
  <c r="E54" i="2" s="1"/>
  <c r="D231" i="30"/>
  <c r="A232" i="30"/>
  <c r="A51" i="2"/>
  <c r="E50" i="2"/>
  <c r="A17" i="2"/>
  <c r="E16" i="2"/>
  <c r="E89" i="2"/>
  <c r="D19" i="30"/>
  <c r="A20" i="30"/>
  <c r="D123" i="30"/>
  <c r="A124" i="30"/>
  <c r="X35" i="3"/>
  <c r="X31" i="3"/>
  <c r="X30" i="3"/>
  <c r="X29" i="3"/>
  <c r="X28" i="3"/>
  <c r="X27" i="3"/>
  <c r="X26" i="3"/>
  <c r="X25" i="3"/>
  <c r="X24" i="3"/>
  <c r="X23" i="3"/>
  <c r="X22" i="3"/>
  <c r="X18" i="3"/>
  <c r="X17" i="3"/>
  <c r="X16" i="3"/>
  <c r="X15" i="3"/>
  <c r="X14" i="3"/>
  <c r="X13" i="3"/>
  <c r="X12" i="3"/>
  <c r="X11" i="3"/>
  <c r="X10" i="3"/>
  <c r="X9" i="3"/>
  <c r="X8" i="3"/>
  <c r="X7" i="3"/>
  <c r="X6" i="3"/>
  <c r="X5" i="3"/>
  <c r="X4" i="3"/>
  <c r="V5" i="3"/>
  <c r="AZ4" i="4"/>
  <c r="BB4" i="4" s="1"/>
  <c r="V6" i="3" l="1"/>
  <c r="V7" i="3" s="1"/>
  <c r="V8" i="3" s="1"/>
  <c r="V9" i="3" s="1"/>
  <c r="V10" i="3" s="1"/>
  <c r="V11" i="3" s="1"/>
  <c r="V12" i="3" s="1"/>
  <c r="V13" i="3" s="1"/>
  <c r="V14" i="3" s="1"/>
  <c r="V15" i="3" s="1"/>
  <c r="V16" i="3" s="1"/>
  <c r="V17" i="3" s="1"/>
  <c r="V18" i="3" s="1"/>
  <c r="AL27" i="29"/>
  <c r="C27" i="29" s="1"/>
  <c r="AK27" i="29"/>
  <c r="D27" i="29" s="1"/>
  <c r="A21" i="30"/>
  <c r="D20" i="30"/>
  <c r="A233" i="30"/>
  <c r="D232" i="30"/>
  <c r="E90" i="2"/>
  <c r="A21" i="2"/>
  <c r="E17" i="2"/>
  <c r="A55" i="2"/>
  <c r="E51" i="2"/>
  <c r="D124" i="30"/>
  <c r="A125" i="30"/>
  <c r="E4" i="4"/>
  <c r="D4" i="4"/>
  <c r="AL28" i="29" l="1"/>
  <c r="C28" i="29" s="1"/>
  <c r="AK28" i="29"/>
  <c r="D28" i="29" s="1"/>
  <c r="V19" i="3"/>
  <c r="A56" i="2"/>
  <c r="E55" i="2"/>
  <c r="E91" i="2"/>
  <c r="A22" i="30"/>
  <c r="D22" i="30" s="1"/>
  <c r="A23" i="30"/>
  <c r="D21" i="30"/>
  <c r="A22" i="2"/>
  <c r="E21" i="2"/>
  <c r="A234" i="30"/>
  <c r="D233" i="30"/>
  <c r="A126" i="30"/>
  <c r="A127" i="30" s="1"/>
  <c r="D125" i="30"/>
  <c r="V20" i="3" l="1"/>
  <c r="A128" i="30"/>
  <c r="D127" i="30"/>
  <c r="AL29" i="29"/>
  <c r="C29" i="29" s="1"/>
  <c r="AK29" i="29"/>
  <c r="D29" i="29" s="1"/>
  <c r="A57" i="2"/>
  <c r="E56" i="2"/>
  <c r="D234" i="30"/>
  <c r="A235" i="30"/>
  <c r="D23" i="30"/>
  <c r="A24" i="30"/>
  <c r="D126" i="30"/>
  <c r="A23" i="2"/>
  <c r="E22" i="2"/>
  <c r="E92" i="2"/>
  <c r="V21" i="3" l="1"/>
  <c r="A129" i="30"/>
  <c r="D128" i="30"/>
  <c r="AK30" i="29"/>
  <c r="D30" i="29" s="1"/>
  <c r="AL30" i="29"/>
  <c r="C30" i="29" s="1"/>
  <c r="A58" i="2"/>
  <c r="E57" i="2"/>
  <c r="A24" i="2"/>
  <c r="E23" i="2"/>
  <c r="A25" i="30"/>
  <c r="D24" i="30"/>
  <c r="E93" i="2"/>
  <c r="D235" i="30"/>
  <c r="A241" i="30"/>
  <c r="A236" i="30"/>
  <c r="V22" i="3" l="1"/>
  <c r="A130" i="30"/>
  <c r="D129" i="30"/>
  <c r="AL31" i="29"/>
  <c r="C31" i="29" s="1"/>
  <c r="AK31" i="29"/>
  <c r="D31" i="29" s="1"/>
  <c r="D236" i="30"/>
  <c r="A237" i="30"/>
  <c r="E94" i="2"/>
  <c r="E24" i="2"/>
  <c r="A25" i="2"/>
  <c r="E58" i="2"/>
  <c r="A59" i="2"/>
  <c r="A26" i="30"/>
  <c r="D25" i="30"/>
  <c r="A242" i="30"/>
  <c r="D241" i="30"/>
  <c r="V23" i="3" l="1"/>
  <c r="A131" i="30"/>
  <c r="D130" i="30"/>
  <c r="AK32" i="29"/>
  <c r="D32" i="29" s="1"/>
  <c r="AL32" i="29"/>
  <c r="C32" i="29" s="1"/>
  <c r="D237" i="30"/>
  <c r="A238" i="30"/>
  <c r="E59" i="2"/>
  <c r="A60" i="2"/>
  <c r="D242" i="30"/>
  <c r="A243" i="30"/>
  <c r="E95" i="2"/>
  <c r="D26" i="30"/>
  <c r="A27" i="30"/>
  <c r="E25" i="2"/>
  <c r="A26" i="2"/>
  <c r="V24" i="3" l="1"/>
  <c r="D131" i="30"/>
  <c r="A132" i="30"/>
  <c r="AL33" i="29"/>
  <c r="C33" i="29" s="1"/>
  <c r="AK33" i="29"/>
  <c r="D33" i="29" s="1"/>
  <c r="D238" i="30"/>
  <c r="A239" i="30"/>
  <c r="D27" i="30"/>
  <c r="A28" i="30"/>
  <c r="E60" i="2"/>
  <c r="A61" i="2"/>
  <c r="E96" i="2"/>
  <c r="E26" i="2"/>
  <c r="A27" i="2"/>
  <c r="D243" i="30"/>
  <c r="A244" i="30"/>
  <c r="V25" i="3" l="1"/>
  <c r="D132" i="30"/>
  <c r="A133" i="30"/>
  <c r="AL34" i="29"/>
  <c r="C34" i="29" s="1"/>
  <c r="AK34" i="29"/>
  <c r="D34" i="29" s="1"/>
  <c r="D239" i="30"/>
  <c r="A240" i="30"/>
  <c r="D240" i="30" s="1"/>
  <c r="E27" i="2"/>
  <c r="A28" i="2"/>
  <c r="D28" i="30"/>
  <c r="A29" i="30"/>
  <c r="A245" i="30"/>
  <c r="D244" i="30"/>
  <c r="E97" i="2"/>
  <c r="E61" i="2"/>
  <c r="A62" i="2"/>
  <c r="V26" i="3" l="1"/>
  <c r="A135" i="30"/>
  <c r="D135" i="30" s="1"/>
  <c r="A134" i="30"/>
  <c r="D133" i="30"/>
  <c r="AL35" i="29"/>
  <c r="C35" i="29" s="1"/>
  <c r="AK35" i="29"/>
  <c r="D35" i="29" s="1"/>
  <c r="A246" i="30"/>
  <c r="A247" i="30" s="1"/>
  <c r="D245" i="30"/>
  <c r="E98" i="2"/>
  <c r="A30" i="30"/>
  <c r="D29" i="30"/>
  <c r="E62" i="2"/>
  <c r="A63" i="2"/>
  <c r="E28" i="2"/>
  <c r="A29" i="2"/>
  <c r="V27" i="3" l="1"/>
  <c r="A248" i="30"/>
  <c r="D247" i="30"/>
  <c r="A136" i="30"/>
  <c r="D134" i="30"/>
  <c r="AK36" i="29"/>
  <c r="D36" i="29" s="1"/>
  <c r="AL36" i="29"/>
  <c r="C36" i="29" s="1"/>
  <c r="E63" i="2"/>
  <c r="A64" i="2"/>
  <c r="A31" i="30"/>
  <c r="D30" i="30"/>
  <c r="D246" i="30"/>
  <c r="E99" i="2"/>
  <c r="E29" i="2"/>
  <c r="A30" i="2"/>
  <c r="V28" i="3" l="1"/>
  <c r="D248" i="30"/>
  <c r="A249" i="30"/>
  <c r="A137" i="30"/>
  <c r="D136" i="30"/>
  <c r="AL37" i="29"/>
  <c r="C37" i="29" s="1"/>
  <c r="AK37" i="29"/>
  <c r="D37" i="29" s="1"/>
  <c r="E30" i="2"/>
  <c r="A31" i="2"/>
  <c r="E100" i="2"/>
  <c r="D31" i="30"/>
  <c r="A32" i="30"/>
  <c r="E64" i="2"/>
  <c r="A65" i="2"/>
  <c r="V29" i="3" l="1"/>
  <c r="D249" i="30"/>
  <c r="A250" i="30"/>
  <c r="A138" i="30"/>
  <c r="D137" i="30"/>
  <c r="AL38" i="29"/>
  <c r="C38" i="29" s="1"/>
  <c r="AK38" i="29"/>
  <c r="D38" i="29" s="1"/>
  <c r="E31" i="2"/>
  <c r="A32" i="2"/>
  <c r="A33" i="2"/>
  <c r="E33" i="2" s="1"/>
  <c r="A33" i="30"/>
  <c r="D32" i="30"/>
  <c r="E65" i="2"/>
  <c r="A66" i="2"/>
  <c r="E101" i="2"/>
  <c r="V30" i="3" l="1"/>
  <c r="V31" i="3" s="1"/>
  <c r="V32" i="3" s="1"/>
  <c r="V33" i="3" s="1"/>
  <c r="V34" i="3" s="1"/>
  <c r="V35" i="3" s="1"/>
  <c r="V36" i="3" s="1"/>
  <c r="V37" i="3" s="1"/>
  <c r="V38" i="3" s="1"/>
  <c r="V39" i="3" s="1"/>
  <c r="V40" i="3" s="1"/>
  <c r="V41" i="3" s="1"/>
  <c r="V42" i="3" s="1"/>
  <c r="BA4" i="4" s="1"/>
  <c r="A251" i="30"/>
  <c r="D250" i="30"/>
  <c r="A139" i="30"/>
  <c r="D138" i="30"/>
  <c r="AL39" i="29"/>
  <c r="C39" i="29" s="1"/>
  <c r="AK39" i="29"/>
  <c r="D39" i="29" s="1"/>
  <c r="E32" i="2"/>
  <c r="A34" i="2"/>
  <c r="E66" i="2"/>
  <c r="A67" i="2"/>
  <c r="A34" i="30"/>
  <c r="D33" i="30"/>
  <c r="E102" i="2"/>
  <c r="A252" i="30" l="1"/>
  <c r="D251" i="30"/>
  <c r="D139" i="30"/>
  <c r="A140" i="30"/>
  <c r="AK40" i="29"/>
  <c r="D40" i="29" s="1"/>
  <c r="AL40" i="29"/>
  <c r="C40" i="29" s="1"/>
  <c r="D34" i="30"/>
  <c r="A35" i="30"/>
  <c r="E103" i="2"/>
  <c r="E67" i="2"/>
  <c r="A68" i="2"/>
  <c r="E34" i="2"/>
  <c r="A35" i="2"/>
  <c r="BA5" i="4" l="1"/>
  <c r="BA6" i="4" s="1"/>
  <c r="D252" i="30"/>
  <c r="A253" i="30"/>
  <c r="A141" i="30"/>
  <c r="D140" i="30"/>
  <c r="AL41" i="29"/>
  <c r="C41" i="29" s="1"/>
  <c r="AK41" i="29"/>
  <c r="D41" i="29" s="1"/>
  <c r="E105" i="2"/>
  <c r="E104" i="2"/>
  <c r="E68" i="2"/>
  <c r="A69" i="2"/>
  <c r="D35" i="30"/>
  <c r="A36" i="30"/>
  <c r="E35" i="2"/>
  <c r="A36" i="2"/>
  <c r="AZ5" i="4" l="1"/>
  <c r="BB5" i="4" s="1"/>
  <c r="BA7" i="4"/>
  <c r="AZ6" i="4"/>
  <c r="BB6" i="4" s="1"/>
  <c r="D253" i="30"/>
  <c r="A254" i="30"/>
  <c r="A142" i="30"/>
  <c r="D141" i="30"/>
  <c r="AL42" i="29"/>
  <c r="C42" i="29" s="1"/>
  <c r="AK42" i="29"/>
  <c r="D42" i="29" s="1"/>
  <c r="E36" i="2"/>
  <c r="A37" i="2"/>
  <c r="E37" i="2" s="1"/>
  <c r="E69" i="2"/>
  <c r="A70" i="2"/>
  <c r="D36" i="30"/>
  <c r="A37" i="30"/>
  <c r="E46" i="55" l="1"/>
  <c r="BA8" i="4"/>
  <c r="AZ7" i="4"/>
  <c r="BB7" i="4" s="1"/>
  <c r="A255" i="30"/>
  <c r="D254" i="30"/>
  <c r="A143" i="30"/>
  <c r="D142" i="30"/>
  <c r="AL43" i="29"/>
  <c r="C43" i="29" s="1"/>
  <c r="AK43" i="29"/>
  <c r="D43" i="29" s="1"/>
  <c r="A38" i="30"/>
  <c r="D37" i="30"/>
  <c r="E70" i="2"/>
  <c r="F344" i="53" s="1"/>
  <c r="A71" i="2"/>
  <c r="E71" i="2" s="1"/>
  <c r="F222" i="53" l="1"/>
  <c r="E49" i="55"/>
  <c r="E54" i="55"/>
  <c r="F260" i="53"/>
  <c r="F388" i="53"/>
  <c r="E41" i="55"/>
  <c r="E40" i="55"/>
  <c r="F457" i="53"/>
  <c r="F147" i="53"/>
  <c r="E36" i="55"/>
  <c r="E34" i="55"/>
  <c r="E21" i="55"/>
  <c r="F226" i="53"/>
  <c r="F183" i="53"/>
  <c r="F113" i="53"/>
  <c r="F7" i="66" s="1"/>
  <c r="F223" i="53"/>
  <c r="F302" i="53"/>
  <c r="F387" i="53"/>
  <c r="F389" i="53"/>
  <c r="F221" i="53"/>
  <c r="E11" i="55"/>
  <c r="F304" i="53"/>
  <c r="E48" i="55"/>
  <c r="F227" i="53"/>
  <c r="E63" i="55"/>
  <c r="F185" i="53"/>
  <c r="F188" i="53" s="1"/>
  <c r="F115" i="53"/>
  <c r="F8" i="66" s="1"/>
  <c r="F301" i="53"/>
  <c r="F425" i="53"/>
  <c r="F424" i="53"/>
  <c r="F112" i="53"/>
  <c r="F261" i="53"/>
  <c r="F114" i="53"/>
  <c r="E56" i="55"/>
  <c r="E6" i="55"/>
  <c r="F148" i="53"/>
  <c r="H7" i="66" s="1"/>
  <c r="F10" i="53"/>
  <c r="F184" i="53"/>
  <c r="F187" i="53" s="1"/>
  <c r="F149" i="53"/>
  <c r="G8" i="66" s="1"/>
  <c r="E38" i="55"/>
  <c r="E47" i="55"/>
  <c r="F262" i="53"/>
  <c r="F266" i="53" s="1"/>
  <c r="E26" i="55"/>
  <c r="F343" i="53"/>
  <c r="F391" i="53"/>
  <c r="E12" i="55"/>
  <c r="E23" i="55"/>
  <c r="E33" i="55"/>
  <c r="E57" i="55"/>
  <c r="F390" i="53"/>
  <c r="F46" i="53"/>
  <c r="F342" i="53"/>
  <c r="E22" i="55"/>
  <c r="E27" i="55"/>
  <c r="F11" i="53"/>
  <c r="F47" i="53"/>
  <c r="F45" i="53"/>
  <c r="F150" i="53"/>
  <c r="H8" i="66" s="1"/>
  <c r="E61" i="55"/>
  <c r="F44" i="53"/>
  <c r="F224" i="53"/>
  <c r="E16" i="55"/>
  <c r="F263" i="53"/>
  <c r="F267" i="53" s="1"/>
  <c r="F303" i="53"/>
  <c r="E55" i="55"/>
  <c r="F341" i="53"/>
  <c r="E28" i="55"/>
  <c r="F182" i="53"/>
  <c r="E39" i="55"/>
  <c r="E5" i="55"/>
  <c r="F264" i="53"/>
  <c r="F268" i="53" s="1"/>
  <c r="E35" i="55"/>
  <c r="F300" i="53"/>
  <c r="F345" i="53"/>
  <c r="F458" i="53"/>
  <c r="E17" i="55"/>
  <c r="G7" i="66"/>
  <c r="D16" i="66"/>
  <c r="BA9" i="4"/>
  <c r="AZ8" i="4"/>
  <c r="BB8" i="4" s="1"/>
  <c r="A256" i="30"/>
  <c r="D255" i="30"/>
  <c r="D143" i="30"/>
  <c r="A144" i="30"/>
  <c r="AK44" i="29"/>
  <c r="D44" i="29" s="1"/>
  <c r="AL44" i="29"/>
  <c r="C44" i="29" s="1"/>
  <c r="A39" i="30"/>
  <c r="D38" i="30"/>
  <c r="E8" i="66" l="1"/>
  <c r="D17" i="66"/>
  <c r="BA10" i="4"/>
  <c r="AZ9" i="4"/>
  <c r="BB9" i="4" s="1"/>
  <c r="A257" i="30"/>
  <c r="D256" i="30"/>
  <c r="A145" i="30"/>
  <c r="D144" i="30"/>
  <c r="AL45" i="29"/>
  <c r="C45" i="29" s="1"/>
  <c r="AK45" i="29"/>
  <c r="D45" i="29" s="1"/>
  <c r="D39" i="30"/>
  <c r="A40" i="30"/>
  <c r="BA11" i="4" l="1"/>
  <c r="AZ10" i="4"/>
  <c r="BB10" i="4" s="1"/>
  <c r="A258" i="30"/>
  <c r="D257" i="30"/>
  <c r="A146" i="30"/>
  <c r="D145" i="30"/>
  <c r="AK46" i="29"/>
  <c r="D46" i="29" s="1"/>
  <c r="AL46" i="29"/>
  <c r="C46" i="29" s="1"/>
  <c r="D40" i="30"/>
  <c r="A41" i="30"/>
  <c r="BA12" i="4" l="1"/>
  <c r="AZ11" i="4"/>
  <c r="BB11" i="4" s="1"/>
  <c r="D258" i="30"/>
  <c r="A259" i="30"/>
  <c r="A147" i="30"/>
  <c r="D146" i="30"/>
  <c r="AL47" i="29"/>
  <c r="C47" i="29" s="1"/>
  <c r="AK47" i="29"/>
  <c r="D47" i="29" s="1"/>
  <c r="A42" i="30"/>
  <c r="D41" i="30"/>
  <c r="BA13" i="4" l="1"/>
  <c r="AZ12" i="4"/>
  <c r="BB12" i="4" s="1"/>
  <c r="D259" i="30"/>
  <c r="A260" i="30"/>
  <c r="D147" i="30"/>
  <c r="A148" i="30"/>
  <c r="AL48" i="29"/>
  <c r="C48" i="29" s="1"/>
  <c r="AK48" i="29"/>
  <c r="D48" i="29" s="1"/>
  <c r="D42" i="30"/>
  <c r="A43" i="30"/>
  <c r="BA14" i="4" l="1"/>
  <c r="AZ13" i="4"/>
  <c r="BB13" i="4" s="1"/>
  <c r="A261" i="30"/>
  <c r="D260" i="30"/>
  <c r="A149" i="30"/>
  <c r="D148" i="30"/>
  <c r="AL49" i="29"/>
  <c r="C49" i="29" s="1"/>
  <c r="AK49" i="29"/>
  <c r="D49" i="29" s="1"/>
  <c r="D43" i="30"/>
  <c r="A44" i="30"/>
  <c r="BA15" i="4" l="1"/>
  <c r="AZ14" i="4"/>
  <c r="BB14" i="4" s="1"/>
  <c r="A262" i="30"/>
  <c r="D261" i="30"/>
  <c r="A150" i="30"/>
  <c r="D149" i="30"/>
  <c r="AK50" i="29"/>
  <c r="D50" i="29" s="1"/>
  <c r="AL50" i="29"/>
  <c r="C50" i="29" s="1"/>
  <c r="D44" i="30"/>
  <c r="A45" i="30"/>
  <c r="BA16" i="4" l="1"/>
  <c r="AZ15" i="4"/>
  <c r="BB15" i="4" s="1"/>
  <c r="D262" i="30"/>
  <c r="A263" i="30"/>
  <c r="D150" i="30"/>
  <c r="A151" i="30"/>
  <c r="AL51" i="29"/>
  <c r="C51" i="29" s="1"/>
  <c r="AK51" i="29"/>
  <c r="D51" i="29" s="1"/>
  <c r="A46" i="30"/>
  <c r="D45" i="30"/>
  <c r="BA17" i="4" l="1"/>
  <c r="AZ16" i="4"/>
  <c r="BB16" i="4" s="1"/>
  <c r="A264" i="30"/>
  <c r="D263" i="30"/>
  <c r="D151" i="30"/>
  <c r="A152" i="30"/>
  <c r="AL52" i="29"/>
  <c r="C52" i="29" s="1"/>
  <c r="AK52" i="29"/>
  <c r="D52" i="29" s="1"/>
  <c r="A47" i="30"/>
  <c r="D46" i="30"/>
  <c r="BA18" i="4" l="1"/>
  <c r="AZ17" i="4"/>
  <c r="BB17" i="4" s="1"/>
  <c r="D264" i="30"/>
  <c r="A265" i="30"/>
  <c r="A153" i="30"/>
  <c r="D152" i="30"/>
  <c r="AL53" i="29"/>
  <c r="C53" i="29" s="1"/>
  <c r="AK53" i="29"/>
  <c r="D53" i="29" s="1"/>
  <c r="D47" i="30"/>
  <c r="A48" i="30"/>
  <c r="BA19" i="4" l="1"/>
  <c r="AZ18" i="4"/>
  <c r="BB18" i="4" s="1"/>
  <c r="A266" i="30"/>
  <c r="D265" i="30"/>
  <c r="A154" i="30"/>
  <c r="D153" i="30"/>
  <c r="AK54" i="29"/>
  <c r="D54" i="29" s="1"/>
  <c r="AL54" i="29"/>
  <c r="C54" i="29" s="1"/>
  <c r="A49" i="30"/>
  <c r="D48" i="30"/>
  <c r="BA20" i="4" l="1"/>
  <c r="AZ19" i="4"/>
  <c r="BB19" i="4" s="1"/>
  <c r="D266" i="30"/>
  <c r="A267" i="30"/>
  <c r="A155" i="30"/>
  <c r="D154" i="30"/>
  <c r="AL55" i="29"/>
  <c r="C55" i="29" s="1"/>
  <c r="AK55" i="29"/>
  <c r="D55" i="29" s="1"/>
  <c r="A50" i="30"/>
  <c r="D49" i="30"/>
  <c r="BA21" i="4" l="1"/>
  <c r="AZ20" i="4"/>
  <c r="BB20" i="4" s="1"/>
  <c r="D267" i="30"/>
  <c r="A268" i="30"/>
  <c r="D155" i="30"/>
  <c r="A156" i="30"/>
  <c r="AK56" i="29"/>
  <c r="D56" i="29" s="1"/>
  <c r="AL56" i="29"/>
  <c r="C56" i="29" s="1"/>
  <c r="D50" i="30"/>
  <c r="A51" i="30"/>
  <c r="BA22" i="4" l="1"/>
  <c r="AZ21" i="4"/>
  <c r="BB21" i="4" s="1"/>
  <c r="A269" i="30"/>
  <c r="D268" i="30"/>
  <c r="A157" i="30"/>
  <c r="D156" i="30"/>
  <c r="AL57" i="29"/>
  <c r="C57" i="29" s="1"/>
  <c r="AK57" i="29"/>
  <c r="D57" i="29" s="1"/>
  <c r="D51" i="30"/>
  <c r="A52" i="30"/>
  <c r="BA23" i="4" l="1"/>
  <c r="AZ22" i="4"/>
  <c r="BB22" i="4" s="1"/>
  <c r="A270" i="30"/>
  <c r="D269" i="30"/>
  <c r="D157" i="30"/>
  <c r="A158" i="30"/>
  <c r="AL58" i="29"/>
  <c r="C58" i="29" s="1"/>
  <c r="AK58" i="29"/>
  <c r="D58" i="29" s="1"/>
  <c r="D52" i="30"/>
  <c r="A53" i="30"/>
  <c r="BA24" i="4" l="1"/>
  <c r="AZ23" i="4"/>
  <c r="BB23" i="4" s="1"/>
  <c r="A271" i="30"/>
  <c r="D270" i="30"/>
  <c r="D158" i="30"/>
  <c r="A159" i="30"/>
  <c r="AL59" i="29"/>
  <c r="C59" i="29" s="1"/>
  <c r="AK59" i="29"/>
  <c r="D59" i="29" s="1"/>
  <c r="A54" i="30"/>
  <c r="D53" i="30"/>
  <c r="BA25" i="4" l="1"/>
  <c r="AZ24" i="4"/>
  <c r="BB24" i="4" s="1"/>
  <c r="D271" i="30"/>
  <c r="A272" i="30"/>
  <c r="A160" i="30"/>
  <c r="D159" i="30"/>
  <c r="AK60" i="29"/>
  <c r="D60" i="29" s="1"/>
  <c r="AL60" i="29"/>
  <c r="C60" i="29" s="1"/>
  <c r="A55" i="30"/>
  <c r="D54" i="30"/>
  <c r="BA26" i="4" l="1"/>
  <c r="AZ25" i="4"/>
  <c r="BB25" i="4" s="1"/>
  <c r="D272" i="30"/>
  <c r="A273" i="30"/>
  <c r="A161" i="30"/>
  <c r="D160" i="30"/>
  <c r="AL61" i="29"/>
  <c r="C61" i="29" s="1"/>
  <c r="AK61" i="29"/>
  <c r="D61" i="29" s="1"/>
  <c r="D55" i="30"/>
  <c r="A56" i="30"/>
  <c r="BA27" i="4" l="1"/>
  <c r="AZ26" i="4"/>
  <c r="BB26" i="4" s="1"/>
  <c r="A274" i="30"/>
  <c r="D273" i="30"/>
  <c r="D161" i="30"/>
  <c r="A162" i="30"/>
  <c r="AL62" i="29"/>
  <c r="C62" i="29" s="1"/>
  <c r="AK62" i="29"/>
  <c r="D62" i="29" s="1"/>
  <c r="D56" i="30"/>
  <c r="A57" i="30"/>
  <c r="BA28" i="4" l="1"/>
  <c r="AZ27" i="4"/>
  <c r="BB27" i="4" s="1"/>
  <c r="A275" i="30"/>
  <c r="D274" i="30"/>
  <c r="D162" i="30"/>
  <c r="A163" i="30"/>
  <c r="AL63" i="29"/>
  <c r="C63" i="29" s="1"/>
  <c r="AK63" i="29"/>
  <c r="D63" i="29" s="1"/>
  <c r="A58" i="30"/>
  <c r="D57" i="30"/>
  <c r="BA29" i="4" l="1"/>
  <c r="AZ28" i="4"/>
  <c r="BB28" i="4" s="1"/>
  <c r="D275" i="30"/>
  <c r="A276" i="30"/>
  <c r="A164" i="30"/>
  <c r="D163" i="30"/>
  <c r="AK64" i="29"/>
  <c r="D64" i="29" s="1"/>
  <c r="AL64" i="29"/>
  <c r="C64" i="29" s="1"/>
  <c r="D58" i="30"/>
  <c r="A59" i="30"/>
  <c r="BA30" i="4" l="1"/>
  <c r="BA31" i="4" s="1"/>
  <c r="AZ29" i="4"/>
  <c r="BB29" i="4" s="1"/>
  <c r="D276" i="30"/>
  <c r="A277" i="30"/>
  <c r="D164" i="30"/>
  <c r="A165" i="30"/>
  <c r="AL65" i="29"/>
  <c r="C65" i="29" s="1"/>
  <c r="AK65" i="29"/>
  <c r="D65" i="29" s="1"/>
  <c r="D59" i="30"/>
  <c r="A60" i="30"/>
  <c r="BA32" i="4" l="1"/>
  <c r="AZ31" i="4"/>
  <c r="AZ30" i="4"/>
  <c r="BB30" i="4" s="1"/>
  <c r="A278" i="30"/>
  <c r="D277" i="30"/>
  <c r="D165" i="30"/>
  <c r="A166" i="30"/>
  <c r="AL66" i="29"/>
  <c r="C66" i="29" s="1"/>
  <c r="AK66" i="29"/>
  <c r="D66" i="29" s="1"/>
  <c r="D60" i="30"/>
  <c r="A61" i="30"/>
  <c r="BB31" i="4" l="1"/>
  <c r="D31" i="4" s="1"/>
  <c r="E31" i="4"/>
  <c r="BA33" i="4"/>
  <c r="AZ32" i="4"/>
  <c r="D278" i="30"/>
  <c r="A279" i="30"/>
  <c r="A167" i="30"/>
  <c r="D166" i="30"/>
  <c r="AL67" i="29"/>
  <c r="C67" i="29" s="1"/>
  <c r="AK67" i="29"/>
  <c r="D67" i="29" s="1"/>
  <c r="A62" i="30"/>
  <c r="D61" i="30"/>
  <c r="E32" i="4" l="1"/>
  <c r="BB32" i="4"/>
  <c r="D32" i="4" s="1"/>
  <c r="BA34" i="4"/>
  <c r="AZ33" i="4"/>
  <c r="D279" i="30"/>
  <c r="A280" i="30"/>
  <c r="D167" i="30"/>
  <c r="A168" i="30"/>
  <c r="AK68" i="29"/>
  <c r="D68" i="29" s="1"/>
  <c r="AL68" i="29"/>
  <c r="C68" i="29" s="1"/>
  <c r="A63" i="30"/>
  <c r="D62" i="30"/>
  <c r="BB33" i="4" l="1"/>
  <c r="D33" i="4" s="1"/>
  <c r="E33" i="4"/>
  <c r="BA35" i="4"/>
  <c r="AZ34" i="4"/>
  <c r="BB34" i="4" s="1"/>
  <c r="A281" i="30"/>
  <c r="D280" i="30"/>
  <c r="A169" i="30"/>
  <c r="D168" i="30"/>
  <c r="AL69" i="29"/>
  <c r="C69" i="29" s="1"/>
  <c r="AK69" i="29"/>
  <c r="D69" i="29" s="1"/>
  <c r="D63" i="30"/>
  <c r="A64" i="30"/>
  <c r="BA36" i="4" l="1"/>
  <c r="AZ35" i="4"/>
  <c r="BB35" i="4" s="1"/>
  <c r="A282" i="30"/>
  <c r="D281" i="30"/>
  <c r="D169" i="30"/>
  <c r="A170" i="30"/>
  <c r="AL70" i="29"/>
  <c r="C70" i="29" s="1"/>
  <c r="AK70" i="29"/>
  <c r="D70" i="29" s="1"/>
  <c r="A65" i="30"/>
  <c r="D64" i="30"/>
  <c r="BA37" i="4" l="1"/>
  <c r="AZ36" i="4"/>
  <c r="BB36" i="4" s="1"/>
  <c r="D282" i="30"/>
  <c r="A283" i="30"/>
  <c r="D170" i="30"/>
  <c r="A171" i="30"/>
  <c r="AL71" i="29"/>
  <c r="C71" i="29" s="1"/>
  <c r="AK71" i="29"/>
  <c r="D71" i="29" s="1"/>
  <c r="A66" i="30"/>
  <c r="D65" i="30"/>
  <c r="BA38" i="4" l="1"/>
  <c r="AZ37" i="4"/>
  <c r="BB37" i="4" s="1"/>
  <c r="D283" i="30"/>
  <c r="A284" i="30"/>
  <c r="D171" i="30"/>
  <c r="A172" i="30"/>
  <c r="AK72" i="29"/>
  <c r="D72" i="29" s="1"/>
  <c r="AL72" i="29"/>
  <c r="C72" i="29" s="1"/>
  <c r="D66" i="30"/>
  <c r="A67" i="30"/>
  <c r="BA39" i="4" l="1"/>
  <c r="AZ38" i="4"/>
  <c r="BB38" i="4" s="1"/>
  <c r="A285" i="30"/>
  <c r="D284" i="30"/>
  <c r="A173" i="30"/>
  <c r="D172" i="30"/>
  <c r="AL73" i="29"/>
  <c r="C73" i="29" s="1"/>
  <c r="AK73" i="29"/>
  <c r="D73" i="29" s="1"/>
  <c r="D67" i="30"/>
  <c r="A68" i="30"/>
  <c r="BA40" i="4" l="1"/>
  <c r="AZ39" i="4"/>
  <c r="BB39" i="4" s="1"/>
  <c r="A286" i="30"/>
  <c r="D285" i="30"/>
  <c r="D173" i="30"/>
  <c r="A174" i="30"/>
  <c r="AK74" i="29"/>
  <c r="D74" i="29" s="1"/>
  <c r="AL74" i="29"/>
  <c r="C74" i="29" s="1"/>
  <c r="D68" i="30"/>
  <c r="A69" i="30"/>
  <c r="BA41" i="4" l="1"/>
  <c r="AZ40" i="4"/>
  <c r="BB40" i="4" s="1"/>
  <c r="A287" i="30"/>
  <c r="D286" i="30"/>
  <c r="A175" i="30"/>
  <c r="D174" i="30"/>
  <c r="AL75" i="29"/>
  <c r="C75" i="29" s="1"/>
  <c r="AK75" i="29"/>
  <c r="D75" i="29" s="1"/>
  <c r="A70" i="30"/>
  <c r="D69" i="30"/>
  <c r="BA42" i="4" l="1"/>
  <c r="AZ41" i="4"/>
  <c r="BB41" i="4" s="1"/>
  <c r="D287" i="30"/>
  <c r="A288" i="30"/>
  <c r="A176" i="30"/>
  <c r="D175" i="30"/>
  <c r="AL76" i="29"/>
  <c r="C76" i="29" s="1"/>
  <c r="AK76" i="29"/>
  <c r="D76" i="29" s="1"/>
  <c r="A71" i="30"/>
  <c r="D70" i="30"/>
  <c r="BA43" i="4" l="1"/>
  <c r="AZ42" i="4"/>
  <c r="BB42" i="4" s="1"/>
  <c r="X259" i="17"/>
  <c r="D288" i="30"/>
  <c r="A289" i="30"/>
  <c r="A177" i="30"/>
  <c r="D176" i="30"/>
  <c r="AL77" i="29"/>
  <c r="C77" i="29" s="1"/>
  <c r="AK77" i="29"/>
  <c r="D77" i="29" s="1"/>
  <c r="D71" i="30"/>
  <c r="A72" i="30"/>
  <c r="BA44" i="4" l="1"/>
  <c r="AZ43" i="4"/>
  <c r="BB43" i="4" s="1"/>
  <c r="T300" i="17"/>
  <c r="S259" i="17"/>
  <c r="A290" i="30"/>
  <c r="D289" i="30"/>
  <c r="D177" i="30"/>
  <c r="A178" i="30"/>
  <c r="AK78" i="29"/>
  <c r="D78" i="29" s="1"/>
  <c r="AL78" i="29"/>
  <c r="C78" i="29" s="1"/>
  <c r="D72" i="30"/>
  <c r="A73" i="30"/>
  <c r="BA45" i="4" l="1"/>
  <c r="AZ44" i="4"/>
  <c r="BB44" i="4" s="1"/>
  <c r="Q54" i="17"/>
  <c r="D290" i="30"/>
  <c r="A291" i="30"/>
  <c r="D178" i="30"/>
  <c r="A179" i="30"/>
  <c r="AL79" i="29"/>
  <c r="C79" i="29" s="1"/>
  <c r="AK79" i="29"/>
  <c r="D79" i="29" s="1"/>
  <c r="A74" i="30"/>
  <c r="D73" i="30"/>
  <c r="BA46" i="4" l="1"/>
  <c r="AZ45" i="4"/>
  <c r="BB45" i="4" s="1"/>
  <c r="A292" i="30"/>
  <c r="D291" i="30"/>
  <c r="D179" i="30"/>
  <c r="A180" i="30"/>
  <c r="AL80" i="29"/>
  <c r="C80" i="29" s="1"/>
  <c r="AK80" i="29"/>
  <c r="D80" i="29" s="1"/>
  <c r="D74" i="30"/>
  <c r="A75" i="30"/>
  <c r="BA47" i="4" l="1"/>
  <c r="AZ46" i="4"/>
  <c r="BB46" i="4" s="1"/>
  <c r="A293" i="30"/>
  <c r="D292" i="30"/>
  <c r="A181" i="30"/>
  <c r="D180" i="30"/>
  <c r="AL81" i="29"/>
  <c r="C81" i="29" s="1"/>
  <c r="AK81" i="29"/>
  <c r="D81" i="29" s="1"/>
  <c r="D75" i="30"/>
  <c r="A76" i="30"/>
  <c r="BA48" i="4" l="1"/>
  <c r="AZ47" i="4"/>
  <c r="BB47" i="4" s="1"/>
  <c r="A294" i="30"/>
  <c r="D293" i="30"/>
  <c r="D181" i="30"/>
  <c r="A182" i="30"/>
  <c r="AK82" i="29"/>
  <c r="D82" i="29" s="1"/>
  <c r="AL82" i="29"/>
  <c r="C82" i="29" s="1"/>
  <c r="D76" i="30"/>
  <c r="A77" i="30"/>
  <c r="BA49" i="4" l="1"/>
  <c r="AZ48" i="4"/>
  <c r="BB48" i="4" s="1"/>
  <c r="D294" i="30"/>
  <c r="A295" i="30"/>
  <c r="D182" i="30"/>
  <c r="A183" i="30"/>
  <c r="AL83" i="29"/>
  <c r="C83" i="29" s="1"/>
  <c r="AK83" i="29"/>
  <c r="D83" i="29" s="1"/>
  <c r="A78" i="30"/>
  <c r="D77" i="30"/>
  <c r="BA50" i="4" l="1"/>
  <c r="AZ49" i="4"/>
  <c r="BB49" i="4" s="1"/>
  <c r="D295" i="30"/>
  <c r="A296" i="30"/>
  <c r="D183" i="30"/>
  <c r="A184" i="30"/>
  <c r="AL84" i="29"/>
  <c r="C84" i="29" s="1"/>
  <c r="AK84" i="29"/>
  <c r="D84" i="29" s="1"/>
  <c r="A79" i="30"/>
  <c r="D78" i="30"/>
  <c r="BA51" i="4" l="1"/>
  <c r="AZ50" i="4"/>
  <c r="BB50" i="4" s="1"/>
  <c r="A297" i="30"/>
  <c r="D296" i="30"/>
  <c r="D184" i="30"/>
  <c r="A185" i="30"/>
  <c r="AL85" i="29"/>
  <c r="C85" i="29" s="1"/>
  <c r="AK85" i="29"/>
  <c r="D85" i="29" s="1"/>
  <c r="D79" i="30"/>
  <c r="A80" i="30"/>
  <c r="BA52" i="4" l="1"/>
  <c r="AZ51" i="4"/>
  <c r="BB51" i="4" s="1"/>
  <c r="A298" i="30"/>
  <c r="D297" i="30"/>
  <c r="A186" i="30"/>
  <c r="D185" i="30"/>
  <c r="AK86" i="29"/>
  <c r="D86" i="29" s="1"/>
  <c r="AL86" i="29"/>
  <c r="C86" i="29" s="1"/>
  <c r="A81" i="30"/>
  <c r="D80" i="30"/>
  <c r="BA53" i="4" l="1"/>
  <c r="AZ52" i="4"/>
  <c r="BB52" i="4" s="1"/>
  <c r="D298" i="30"/>
  <c r="A299" i="30"/>
  <c r="D186" i="30"/>
  <c r="A187" i="30"/>
  <c r="AL87" i="29"/>
  <c r="C87" i="29" s="1"/>
  <c r="AK87" i="29"/>
  <c r="D87" i="29" s="1"/>
  <c r="A82" i="30"/>
  <c r="D81" i="30"/>
  <c r="BA54" i="4" l="1"/>
  <c r="AZ53" i="4"/>
  <c r="BB53" i="4" s="1"/>
  <c r="D299" i="30"/>
  <c r="A300" i="30"/>
  <c r="A188" i="30"/>
  <c r="D187" i="30"/>
  <c r="AK88" i="29"/>
  <c r="D88" i="29" s="1"/>
  <c r="AL88" i="29"/>
  <c r="C88" i="29" s="1"/>
  <c r="D82" i="30"/>
  <c r="A83" i="30"/>
  <c r="BA55" i="4" l="1"/>
  <c r="AZ54" i="4"/>
  <c r="BB54" i="4" s="1"/>
  <c r="A301" i="30"/>
  <c r="D300" i="30"/>
  <c r="D188" i="30"/>
  <c r="A189" i="30"/>
  <c r="AL89" i="29"/>
  <c r="C89" i="29" s="1"/>
  <c r="AK89" i="29"/>
  <c r="D89" i="29" s="1"/>
  <c r="D83" i="30"/>
  <c r="A84" i="30"/>
  <c r="B3" i="17"/>
  <c r="D2" i="29"/>
  <c r="BA56" i="4" l="1"/>
  <c r="AZ55" i="4"/>
  <c r="BB55" i="4" s="1"/>
  <c r="A302" i="30"/>
  <c r="D301" i="30"/>
  <c r="D189" i="30"/>
  <c r="A190" i="30"/>
  <c r="AL90" i="29"/>
  <c r="C90" i="29" s="1"/>
  <c r="AK90" i="29"/>
  <c r="D90" i="29" s="1"/>
  <c r="D84" i="30"/>
  <c r="A85" i="30"/>
  <c r="BA57" i="4" l="1"/>
  <c r="AZ56" i="4"/>
  <c r="BB56" i="4" s="1"/>
  <c r="D302" i="30"/>
  <c r="A303" i="30"/>
  <c r="A191" i="30"/>
  <c r="D190" i="30"/>
  <c r="AL91" i="29"/>
  <c r="C91" i="29" s="1"/>
  <c r="AK91" i="29"/>
  <c r="D91" i="29" s="1"/>
  <c r="A86" i="30"/>
  <c r="D85" i="30"/>
  <c r="BA58" i="4" l="1"/>
  <c r="AZ57" i="4"/>
  <c r="BB57" i="4" s="1"/>
  <c r="D303" i="30"/>
  <c r="A304" i="30"/>
  <c r="D191" i="30"/>
  <c r="A192" i="30"/>
  <c r="AK92" i="29"/>
  <c r="D92" i="29" s="1"/>
  <c r="AL92" i="29"/>
  <c r="C92" i="29" s="1"/>
  <c r="A87" i="30"/>
  <c r="D86" i="30"/>
  <c r="A3" i="29"/>
  <c r="C2" i="29"/>
  <c r="BA59" i="4" l="1"/>
  <c r="AZ58" i="4"/>
  <c r="BB58" i="4" s="1"/>
  <c r="A4" i="29"/>
  <c r="A305" i="30"/>
  <c r="D304" i="30"/>
  <c r="A193" i="30"/>
  <c r="D192" i="30"/>
  <c r="AL93" i="29"/>
  <c r="C93" i="29" s="1"/>
  <c r="AK93" i="29"/>
  <c r="D93" i="29" s="1"/>
  <c r="D87" i="30"/>
  <c r="A88" i="30"/>
  <c r="BA60" i="4" l="1"/>
  <c r="AZ59" i="4"/>
  <c r="BB59" i="4" s="1"/>
  <c r="A5" i="29"/>
  <c r="A306" i="30"/>
  <c r="D305" i="30"/>
  <c r="D193" i="30"/>
  <c r="A194" i="30"/>
  <c r="AL94" i="29"/>
  <c r="C94" i="29" s="1"/>
  <c r="AK94" i="29"/>
  <c r="D94" i="29" s="1"/>
  <c r="A89" i="30"/>
  <c r="D88" i="30"/>
  <c r="BA61" i="4" l="1"/>
  <c r="AZ60" i="4"/>
  <c r="BB60" i="4" s="1"/>
  <c r="A6" i="29"/>
  <c r="D306" i="30"/>
  <c r="A307" i="30"/>
  <c r="D194" i="30"/>
  <c r="A195" i="30"/>
  <c r="AL95" i="29"/>
  <c r="C95" i="29" s="1"/>
  <c r="AK95" i="29"/>
  <c r="D95" i="29" s="1"/>
  <c r="A90" i="30"/>
  <c r="D89" i="30"/>
  <c r="BA62" i="4" l="1"/>
  <c r="AZ61" i="4"/>
  <c r="BB61" i="4" s="1"/>
  <c r="A7" i="29"/>
  <c r="D307" i="30"/>
  <c r="A308" i="30"/>
  <c r="D195" i="30"/>
  <c r="A196" i="30"/>
  <c r="AK96" i="29"/>
  <c r="D96" i="29" s="1"/>
  <c r="AL96" i="29"/>
  <c r="C96" i="29" s="1"/>
  <c r="D90" i="30"/>
  <c r="A91" i="30"/>
  <c r="BA63" i="4" l="1"/>
  <c r="AZ62" i="4"/>
  <c r="BB62" i="4" s="1"/>
  <c r="A8" i="29"/>
  <c r="A309" i="30"/>
  <c r="D308" i="30"/>
  <c r="A197" i="30"/>
  <c r="D196" i="30"/>
  <c r="AL97" i="29"/>
  <c r="C97" i="29" s="1"/>
  <c r="AK97" i="29"/>
  <c r="D91" i="30"/>
  <c r="A92" i="30"/>
  <c r="BA64" i="4" l="1"/>
  <c r="AZ63" i="4"/>
  <c r="BB63" i="4" s="1"/>
  <c r="D97" i="29"/>
  <c r="A9" i="29"/>
  <c r="A310" i="30"/>
  <c r="D309" i="30"/>
  <c r="A198" i="30"/>
  <c r="D197" i="30"/>
  <c r="AK98" i="29"/>
  <c r="D98" i="29" s="1"/>
  <c r="AL98" i="29"/>
  <c r="C98" i="29" s="1"/>
  <c r="D92" i="30"/>
  <c r="A93" i="30"/>
  <c r="BA65" i="4" l="1"/>
  <c r="AZ64" i="4"/>
  <c r="BB64" i="4" s="1"/>
  <c r="A10" i="29"/>
  <c r="D310" i="30"/>
  <c r="A311" i="30"/>
  <c r="D311" i="30" s="1"/>
  <c r="A312" i="30"/>
  <c r="A199" i="30"/>
  <c r="D198" i="30"/>
  <c r="AL99" i="29"/>
  <c r="C99" i="29" s="1"/>
  <c r="AK99" i="29"/>
  <c r="D99" i="29" s="1"/>
  <c r="A94" i="30"/>
  <c r="D93" i="30"/>
  <c r="R38" i="28"/>
  <c r="Q38" i="28"/>
  <c r="P38" i="28"/>
  <c r="C110" i="28"/>
  <c r="C105" i="28"/>
  <c r="C101" i="28"/>
  <c r="C113" i="28"/>
  <c r="C112" i="28"/>
  <c r="C111" i="28"/>
  <c r="C109" i="28"/>
  <c r="C108" i="28"/>
  <c r="C107" i="28"/>
  <c r="C106" i="28"/>
  <c r="C104" i="28"/>
  <c r="C103" i="28"/>
  <c r="C102" i="28"/>
  <c r="C100" i="28"/>
  <c r="C99" i="28"/>
  <c r="C97" i="28"/>
  <c r="R37" i="28"/>
  <c r="Q37" i="28"/>
  <c r="P37" i="28"/>
  <c r="R36" i="28"/>
  <c r="Q36" i="28"/>
  <c r="P36" i="28"/>
  <c r="R35" i="28"/>
  <c r="R34" i="28"/>
  <c r="Q34" i="28"/>
  <c r="P34" i="28"/>
  <c r="BA66" i="4" l="1"/>
  <c r="AZ65" i="4"/>
  <c r="BB65" i="4" s="1"/>
  <c r="A11" i="29"/>
  <c r="A313" i="30"/>
  <c r="D312" i="30"/>
  <c r="A200" i="30"/>
  <c r="D199" i="30"/>
  <c r="AL100" i="29"/>
  <c r="C100" i="29" s="1"/>
  <c r="AK100" i="29"/>
  <c r="D100" i="29" s="1"/>
  <c r="A95" i="30"/>
  <c r="D94" i="30"/>
  <c r="BA67" i="4" l="1"/>
  <c r="AZ66" i="4"/>
  <c r="BB66" i="4" s="1"/>
  <c r="A12" i="29"/>
  <c r="A314" i="30"/>
  <c r="D313" i="30"/>
  <c r="A201" i="30"/>
  <c r="D200" i="30"/>
  <c r="AL101" i="29"/>
  <c r="C101" i="29" s="1"/>
  <c r="AK101" i="29"/>
  <c r="D101" i="29" s="1"/>
  <c r="D95" i="30"/>
  <c r="A96" i="30"/>
  <c r="BA68" i="4" l="1"/>
  <c r="AZ67" i="4"/>
  <c r="BB67" i="4" s="1"/>
  <c r="A13" i="29"/>
  <c r="D314" i="30"/>
  <c r="A315" i="30"/>
  <c r="D201" i="30"/>
  <c r="A202" i="30"/>
  <c r="AK102" i="29"/>
  <c r="D102" i="29" s="1"/>
  <c r="AL102" i="29"/>
  <c r="C102" i="29" s="1"/>
  <c r="A97" i="30"/>
  <c r="D96" i="30"/>
  <c r="R39" i="28"/>
  <c r="R33" i="28"/>
  <c r="R32" i="28"/>
  <c r="R31" i="28"/>
  <c r="R30" i="28"/>
  <c r="R29" i="28"/>
  <c r="R28" i="28"/>
  <c r="R27" i="28"/>
  <c r="R26" i="28"/>
  <c r="R25" i="28"/>
  <c r="R24" i="28"/>
  <c r="R23" i="28"/>
  <c r="R22" i="28"/>
  <c r="R21" i="28"/>
  <c r="R20" i="28"/>
  <c r="R19" i="28"/>
  <c r="R18" i="28"/>
  <c r="R17" i="28"/>
  <c r="Q39" i="28"/>
  <c r="Q33" i="28"/>
  <c r="Q32" i="28"/>
  <c r="Q31" i="28"/>
  <c r="Q30" i="28"/>
  <c r="Q29" i="28"/>
  <c r="Q28" i="28"/>
  <c r="Q27" i="28"/>
  <c r="Q26" i="28"/>
  <c r="Q25" i="28"/>
  <c r="Q24" i="28"/>
  <c r="Q23" i="28"/>
  <c r="Q22" i="28"/>
  <c r="Q21" i="28"/>
  <c r="Q20" i="28"/>
  <c r="Q19" i="28"/>
  <c r="Q18" i="28"/>
  <c r="Q17" i="28"/>
  <c r="P39" i="28"/>
  <c r="P33" i="28"/>
  <c r="P32" i="28"/>
  <c r="P31" i="28"/>
  <c r="P30" i="28"/>
  <c r="P29" i="28"/>
  <c r="P28" i="28"/>
  <c r="P27" i="28"/>
  <c r="P26" i="28"/>
  <c r="P25" i="28"/>
  <c r="P24" i="28"/>
  <c r="P23" i="28"/>
  <c r="P22" i="28"/>
  <c r="P21" i="28"/>
  <c r="P20" i="28"/>
  <c r="P19" i="28"/>
  <c r="P18" i="28"/>
  <c r="P17" i="28"/>
  <c r="Y33"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N39" i="28"/>
  <c r="M39" i="28"/>
  <c r="L39" i="28"/>
  <c r="K39" i="28"/>
  <c r="J39" i="28"/>
  <c r="I39" i="28"/>
  <c r="H39" i="28"/>
  <c r="G39" i="28"/>
  <c r="F39" i="28"/>
  <c r="N33" i="28"/>
  <c r="M33" i="28"/>
  <c r="L33" i="28"/>
  <c r="K33" i="28"/>
  <c r="J33" i="28"/>
  <c r="I33" i="28"/>
  <c r="H33" i="28"/>
  <c r="G33" i="28"/>
  <c r="F33" i="28"/>
  <c r="N32" i="28"/>
  <c r="M32" i="28"/>
  <c r="L32" i="28"/>
  <c r="K32" i="28"/>
  <c r="J32" i="28"/>
  <c r="I32" i="28"/>
  <c r="H32" i="28"/>
  <c r="G32" i="28"/>
  <c r="F32" i="28"/>
  <c r="N31" i="28"/>
  <c r="M31" i="28"/>
  <c r="L31" i="28"/>
  <c r="K31" i="28"/>
  <c r="J31" i="28"/>
  <c r="I31" i="28"/>
  <c r="H31" i="28"/>
  <c r="G31" i="28"/>
  <c r="F31" i="28"/>
  <c r="N30" i="28"/>
  <c r="M30" i="28"/>
  <c r="L30" i="28"/>
  <c r="K30" i="28"/>
  <c r="J30" i="28"/>
  <c r="I30" i="28"/>
  <c r="H30" i="28"/>
  <c r="G30" i="28"/>
  <c r="F30" i="28"/>
  <c r="N29" i="28"/>
  <c r="M29" i="28"/>
  <c r="L29" i="28"/>
  <c r="K29" i="28"/>
  <c r="J29" i="28"/>
  <c r="I29" i="28"/>
  <c r="H29" i="28"/>
  <c r="G29" i="28"/>
  <c r="F29" i="28"/>
  <c r="N28" i="28"/>
  <c r="M28" i="28"/>
  <c r="L28" i="28"/>
  <c r="K28" i="28"/>
  <c r="J28" i="28"/>
  <c r="I28" i="28"/>
  <c r="H28" i="28"/>
  <c r="G28" i="28"/>
  <c r="F28" i="28"/>
  <c r="N27" i="28"/>
  <c r="M27" i="28"/>
  <c r="L27" i="28"/>
  <c r="K27" i="28"/>
  <c r="J27" i="28"/>
  <c r="I27" i="28"/>
  <c r="H27" i="28"/>
  <c r="G27" i="28"/>
  <c r="F27" i="28"/>
  <c r="N26" i="28"/>
  <c r="M26" i="28"/>
  <c r="L26" i="28"/>
  <c r="K26" i="28"/>
  <c r="J26" i="28"/>
  <c r="I26" i="28"/>
  <c r="H26" i="28"/>
  <c r="G26" i="28"/>
  <c r="F26" i="28"/>
  <c r="N25" i="28"/>
  <c r="M25" i="28"/>
  <c r="L25" i="28"/>
  <c r="K25" i="28"/>
  <c r="J25" i="28"/>
  <c r="I25" i="28"/>
  <c r="H25" i="28"/>
  <c r="G25" i="28"/>
  <c r="F25" i="28"/>
  <c r="N24" i="28"/>
  <c r="M24" i="28"/>
  <c r="L24" i="28"/>
  <c r="K24" i="28"/>
  <c r="J24" i="28"/>
  <c r="I24" i="28"/>
  <c r="H24" i="28"/>
  <c r="G24" i="28"/>
  <c r="F24" i="28"/>
  <c r="N23" i="28"/>
  <c r="M23" i="28"/>
  <c r="L23" i="28"/>
  <c r="K23" i="28"/>
  <c r="J23" i="28"/>
  <c r="I23" i="28"/>
  <c r="H23" i="28"/>
  <c r="G23" i="28"/>
  <c r="F23" i="28"/>
  <c r="N22" i="28"/>
  <c r="M22" i="28"/>
  <c r="L22" i="28"/>
  <c r="K22" i="28"/>
  <c r="J22" i="28"/>
  <c r="I22" i="28"/>
  <c r="H22" i="28"/>
  <c r="G22" i="28"/>
  <c r="F22" i="28"/>
  <c r="N21" i="28"/>
  <c r="M21" i="28"/>
  <c r="L21" i="28"/>
  <c r="K21" i="28"/>
  <c r="J21" i="28"/>
  <c r="I21" i="28"/>
  <c r="H21" i="28"/>
  <c r="G21" i="28"/>
  <c r="F21" i="28"/>
  <c r="N20" i="28"/>
  <c r="M20" i="28"/>
  <c r="L20" i="28"/>
  <c r="K20" i="28"/>
  <c r="J20" i="28"/>
  <c r="I20" i="28"/>
  <c r="H20" i="28"/>
  <c r="G20" i="28"/>
  <c r="F20" i="28"/>
  <c r="N19" i="28"/>
  <c r="M19" i="28"/>
  <c r="L19" i="28"/>
  <c r="K19" i="28"/>
  <c r="J19" i="28"/>
  <c r="I19" i="28"/>
  <c r="H19" i="28"/>
  <c r="G19" i="28"/>
  <c r="F19" i="28"/>
  <c r="N18" i="28"/>
  <c r="M18" i="28"/>
  <c r="L18" i="28"/>
  <c r="K18" i="28"/>
  <c r="J18" i="28"/>
  <c r="I18" i="28"/>
  <c r="H18" i="28"/>
  <c r="G18" i="28"/>
  <c r="F18" i="28"/>
  <c r="N17" i="28"/>
  <c r="M17" i="28"/>
  <c r="L17" i="28"/>
  <c r="K17" i="28"/>
  <c r="J17" i="28"/>
  <c r="I17" i="28"/>
  <c r="H17" i="28"/>
  <c r="G17" i="28"/>
  <c r="F17" i="28"/>
  <c r="D16" i="28"/>
  <c r="E16" i="28" s="1"/>
  <c r="F16" i="28" s="1"/>
  <c r="O14" i="28"/>
  <c r="O13" i="28"/>
  <c r="O12" i="28"/>
  <c r="O11" i="28"/>
  <c r="O10" i="28"/>
  <c r="O9" i="28"/>
  <c r="O8" i="28"/>
  <c r="O7" i="28"/>
  <c r="O6" i="28"/>
  <c r="O5" i="28"/>
  <c r="O4" i="28"/>
  <c r="O3" i="28"/>
  <c r="BA69" i="4" l="1"/>
  <c r="AZ68" i="4"/>
  <c r="BB68" i="4" s="1"/>
  <c r="A14" i="29"/>
  <c r="D315" i="30"/>
  <c r="A316" i="30"/>
  <c r="A203" i="30"/>
  <c r="D202" i="30"/>
  <c r="AL103" i="29"/>
  <c r="C103" i="29" s="1"/>
  <c r="AK103" i="29"/>
  <c r="D103" i="29" s="1"/>
  <c r="F113" i="28"/>
  <c r="F111" i="28"/>
  <c r="F109" i="28"/>
  <c r="F107" i="28"/>
  <c r="F103" i="28"/>
  <c r="F101" i="28"/>
  <c r="F99" i="28"/>
  <c r="F96" i="28"/>
  <c r="F98" i="28"/>
  <c r="F105" i="28"/>
  <c r="F102" i="28"/>
  <c r="F110" i="28"/>
  <c r="F104" i="28"/>
  <c r="F112" i="28"/>
  <c r="F97" i="28"/>
  <c r="F106" i="28"/>
  <c r="F108" i="28"/>
  <c r="F100" i="28"/>
  <c r="A98" i="30"/>
  <c r="D97" i="30"/>
  <c r="F53" i="28"/>
  <c r="F65" i="28"/>
  <c r="F85" i="28"/>
  <c r="F95" i="28"/>
  <c r="F69" i="28"/>
  <c r="F45" i="28"/>
  <c r="F61" i="28"/>
  <c r="F77" i="28"/>
  <c r="F93" i="28"/>
  <c r="F81" i="28"/>
  <c r="F56" i="28"/>
  <c r="F60" i="28"/>
  <c r="F68" i="28"/>
  <c r="F84" i="28"/>
  <c r="F92" i="28"/>
  <c r="F44" i="28"/>
  <c r="F48" i="28"/>
  <c r="F64" i="28"/>
  <c r="F72" i="28"/>
  <c r="F76" i="28"/>
  <c r="F80" i="28"/>
  <c r="F88" i="28"/>
  <c r="F41" i="28"/>
  <c r="F52" i="28"/>
  <c r="F49" i="28"/>
  <c r="F57" i="28"/>
  <c r="F73" i="28"/>
  <c r="F89" i="28"/>
  <c r="F42" i="28"/>
  <c r="F46" i="28"/>
  <c r="F50" i="28"/>
  <c r="F54" i="28"/>
  <c r="F58" i="28"/>
  <c r="F62" i="28"/>
  <c r="F66" i="28"/>
  <c r="F70" i="28"/>
  <c r="F74" i="28"/>
  <c r="F78" i="28"/>
  <c r="F82" i="28"/>
  <c r="F86" i="28"/>
  <c r="F90" i="28"/>
  <c r="F94" i="28"/>
  <c r="F43" i="28"/>
  <c r="F47" i="28"/>
  <c r="F51" i="28"/>
  <c r="F55" i="28"/>
  <c r="F59" i="28"/>
  <c r="F63" i="28"/>
  <c r="F67" i="28"/>
  <c r="F71" i="28"/>
  <c r="F75" i="28"/>
  <c r="F79" i="28"/>
  <c r="F83" i="28"/>
  <c r="F87" i="28"/>
  <c r="F91" i="28"/>
  <c r="G16" i="28"/>
  <c r="BA70" i="4" l="1"/>
  <c r="AZ69" i="4"/>
  <c r="BB69" i="4" s="1"/>
  <c r="A15" i="29"/>
  <c r="A317" i="30"/>
  <c r="D316" i="30"/>
  <c r="A204" i="30"/>
  <c r="D203" i="30"/>
  <c r="AL104" i="29"/>
  <c r="C104" i="29" s="1"/>
  <c r="AK104" i="29"/>
  <c r="D104" i="29" s="1"/>
  <c r="G45" i="28"/>
  <c r="G96" i="28"/>
  <c r="G98" i="28"/>
  <c r="G112" i="28"/>
  <c r="G106" i="28"/>
  <c r="G102" i="28"/>
  <c r="G108" i="28"/>
  <c r="G104" i="28"/>
  <c r="G97" i="28"/>
  <c r="G100" i="28"/>
  <c r="G110" i="28"/>
  <c r="G101" i="28"/>
  <c r="G103" i="28"/>
  <c r="G105" i="28"/>
  <c r="G107" i="28"/>
  <c r="G109" i="28"/>
  <c r="G111" i="28"/>
  <c r="G113" i="28"/>
  <c r="G99" i="28"/>
  <c r="D98" i="30"/>
  <c r="A99" i="30"/>
  <c r="G49" i="28"/>
  <c r="G50" i="28"/>
  <c r="G82" i="28"/>
  <c r="G61" i="28"/>
  <c r="G66" i="28"/>
  <c r="G57" i="28"/>
  <c r="G86" i="28"/>
  <c r="G56" i="28"/>
  <c r="G72" i="28"/>
  <c r="G90" i="28"/>
  <c r="G48" i="28"/>
  <c r="G80" i="28"/>
  <c r="G93" i="28"/>
  <c r="G81" i="28"/>
  <c r="G77" i="28"/>
  <c r="G73" i="28"/>
  <c r="G65" i="28"/>
  <c r="G53" i="28"/>
  <c r="G87" i="28"/>
  <c r="G67" i="28"/>
  <c r="G63" i="28"/>
  <c r="G59" i="28"/>
  <c r="G55" i="28"/>
  <c r="G91" i="28"/>
  <c r="G83" i="28"/>
  <c r="G79" i="28"/>
  <c r="G75" i="28"/>
  <c r="G71" i="28"/>
  <c r="G95" i="28"/>
  <c r="G51" i="28"/>
  <c r="G43" i="28"/>
  <c r="G47" i="28"/>
  <c r="G70" i="28"/>
  <c r="G54" i="28"/>
  <c r="G60" i="28"/>
  <c r="G89" i="28"/>
  <c r="G69" i="28"/>
  <c r="G74" i="28"/>
  <c r="G58" i="28"/>
  <c r="G42" i="28"/>
  <c r="G84" i="28"/>
  <c r="G52" i="28"/>
  <c r="G94" i="28"/>
  <c r="G78" i="28"/>
  <c r="G62" i="28"/>
  <c r="G46" i="28"/>
  <c r="G68" i="28"/>
  <c r="G44" i="28"/>
  <c r="G76" i="28"/>
  <c r="G64" i="28"/>
  <c r="G85" i="28"/>
  <c r="G41" i="28"/>
  <c r="G92" i="28"/>
  <c r="G88" i="28"/>
  <c r="H16" i="28"/>
  <c r="BA71" i="4" l="1"/>
  <c r="AZ70" i="4"/>
  <c r="A16" i="29"/>
  <c r="D317" i="30"/>
  <c r="A318" i="30"/>
  <c r="D204" i="30"/>
  <c r="A205" i="30"/>
  <c r="AL105" i="29"/>
  <c r="C105" i="29" s="1"/>
  <c r="AK105" i="29"/>
  <c r="D105" i="29" s="1"/>
  <c r="H110" i="28"/>
  <c r="H98" i="28"/>
  <c r="H96" i="28"/>
  <c r="H102" i="28"/>
  <c r="H108" i="28"/>
  <c r="H103" i="28"/>
  <c r="H111" i="28"/>
  <c r="H100" i="28"/>
  <c r="H106" i="28"/>
  <c r="H112" i="28"/>
  <c r="H105" i="28"/>
  <c r="H113" i="28"/>
  <c r="H104" i="28"/>
  <c r="H107" i="28"/>
  <c r="H99" i="28"/>
  <c r="H101" i="28"/>
  <c r="H109" i="28"/>
  <c r="H97" i="28"/>
  <c r="D99" i="30"/>
  <c r="A100" i="30"/>
  <c r="H90" i="28"/>
  <c r="H86" i="28"/>
  <c r="H82" i="28"/>
  <c r="H78" i="28"/>
  <c r="H66" i="28"/>
  <c r="H58" i="28"/>
  <c r="H95" i="28"/>
  <c r="H94" i="28"/>
  <c r="H74" i="28"/>
  <c r="H70" i="28"/>
  <c r="H62" i="28"/>
  <c r="H79" i="28"/>
  <c r="H63" i="28"/>
  <c r="H47" i="28"/>
  <c r="H71" i="28"/>
  <c r="H55" i="28"/>
  <c r="H51" i="28"/>
  <c r="H75" i="28"/>
  <c r="H59" i="28"/>
  <c r="H50" i="28"/>
  <c r="H83" i="28"/>
  <c r="H67" i="28"/>
  <c r="H54" i="28"/>
  <c r="H46" i="28"/>
  <c r="H87" i="28"/>
  <c r="H43" i="28"/>
  <c r="H91" i="28"/>
  <c r="H42" i="28"/>
  <c r="H52" i="28"/>
  <c r="H76" i="28"/>
  <c r="H80" i="28"/>
  <c r="H88" i="28"/>
  <c r="H45" i="28"/>
  <c r="H53" i="28"/>
  <c r="H65" i="28"/>
  <c r="H81" i="28"/>
  <c r="H68" i="28"/>
  <c r="H92" i="28"/>
  <c r="H48" i="28"/>
  <c r="H57" i="28"/>
  <c r="H89" i="28"/>
  <c r="H56" i="28"/>
  <c r="H60" i="28"/>
  <c r="H41" i="28"/>
  <c r="H85" i="28"/>
  <c r="H84" i="28"/>
  <c r="H64" i="28"/>
  <c r="H61" i="28"/>
  <c r="H77" i="28"/>
  <c r="H93" i="28"/>
  <c r="H44" i="28"/>
  <c r="H72" i="28"/>
  <c r="H49" i="28"/>
  <c r="H73" i="28"/>
  <c r="H69" i="28"/>
  <c r="I16" i="28"/>
  <c r="BB70" i="4" l="1"/>
  <c r="D70" i="4" s="1"/>
  <c r="E70" i="4"/>
  <c r="BA72" i="4"/>
  <c r="AZ71" i="4"/>
  <c r="A17" i="29"/>
  <c r="A319" i="30"/>
  <c r="D318" i="30"/>
  <c r="D205" i="30"/>
  <c r="A206" i="30"/>
  <c r="AK106" i="29"/>
  <c r="D106" i="29" s="1"/>
  <c r="AL106" i="29"/>
  <c r="C106" i="29" s="1"/>
  <c r="I98" i="28"/>
  <c r="I96" i="28"/>
  <c r="I101" i="28"/>
  <c r="I107" i="28"/>
  <c r="I102" i="28"/>
  <c r="I104" i="28"/>
  <c r="I106" i="28"/>
  <c r="I108" i="28"/>
  <c r="I110" i="28"/>
  <c r="I112" i="28"/>
  <c r="I97" i="28"/>
  <c r="I99" i="28"/>
  <c r="I100" i="28"/>
  <c r="I103" i="28"/>
  <c r="I111" i="28"/>
  <c r="I105" i="28"/>
  <c r="I113" i="28"/>
  <c r="I109" i="28"/>
  <c r="D100" i="30"/>
  <c r="A101" i="30"/>
  <c r="I95" i="28"/>
  <c r="I90" i="28"/>
  <c r="I74" i="28"/>
  <c r="I58" i="28"/>
  <c r="I50" i="28"/>
  <c r="I42" i="28"/>
  <c r="I82" i="28"/>
  <c r="I66" i="28"/>
  <c r="I46" i="28"/>
  <c r="I45" i="28"/>
  <c r="I94" i="28"/>
  <c r="I78" i="28"/>
  <c r="I62" i="28"/>
  <c r="I41" i="28"/>
  <c r="I54" i="28"/>
  <c r="I86" i="28"/>
  <c r="I70" i="28"/>
  <c r="I53" i="28"/>
  <c r="I49" i="28"/>
  <c r="I57" i="28"/>
  <c r="I73" i="28"/>
  <c r="I89" i="28"/>
  <c r="I93" i="28"/>
  <c r="I43" i="28"/>
  <c r="I59" i="28"/>
  <c r="I75" i="28"/>
  <c r="I91" i="28"/>
  <c r="I79" i="28"/>
  <c r="I81" i="28"/>
  <c r="I51" i="28"/>
  <c r="I67" i="28"/>
  <c r="I56" i="28"/>
  <c r="I92" i="28"/>
  <c r="I52" i="28"/>
  <c r="I72" i="28"/>
  <c r="I80" i="28"/>
  <c r="I44" i="28"/>
  <c r="I60" i="28"/>
  <c r="I84" i="28"/>
  <c r="I48" i="28"/>
  <c r="I64" i="28"/>
  <c r="I76" i="28"/>
  <c r="I88" i="28"/>
  <c r="I69" i="28"/>
  <c r="I85" i="28"/>
  <c r="I47" i="28"/>
  <c r="I63" i="28"/>
  <c r="I61" i="28"/>
  <c r="I65" i="28"/>
  <c r="I83" i="28"/>
  <c r="I68" i="28"/>
  <c r="I77" i="28"/>
  <c r="I71" i="28"/>
  <c r="I55" i="28"/>
  <c r="I87" i="28"/>
  <c r="J16" i="28"/>
  <c r="BB71" i="4" l="1"/>
  <c r="D71" i="4" s="1"/>
  <c r="E71" i="4"/>
  <c r="BA73" i="4"/>
  <c r="AZ72" i="4"/>
  <c r="A18" i="29"/>
  <c r="D319" i="30"/>
  <c r="A320" i="30"/>
  <c r="A207" i="30"/>
  <c r="D206" i="30"/>
  <c r="AL107" i="29"/>
  <c r="C107" i="29" s="1"/>
  <c r="AK107" i="29"/>
  <c r="D107" i="29" s="1"/>
  <c r="J113" i="28"/>
  <c r="J111" i="28"/>
  <c r="J96" i="28"/>
  <c r="J98" i="28"/>
  <c r="J99" i="28"/>
  <c r="J101" i="28"/>
  <c r="J104" i="28"/>
  <c r="J112" i="28"/>
  <c r="J97" i="28"/>
  <c r="J107" i="28"/>
  <c r="J106" i="28"/>
  <c r="J103" i="28"/>
  <c r="J109" i="28"/>
  <c r="J108" i="28"/>
  <c r="J100" i="28"/>
  <c r="J105" i="28"/>
  <c r="J102" i="28"/>
  <c r="J110" i="28"/>
  <c r="A102" i="30"/>
  <c r="D101" i="30"/>
  <c r="J95" i="28"/>
  <c r="J49" i="28"/>
  <c r="J41" i="28"/>
  <c r="J93" i="28"/>
  <c r="J77" i="28"/>
  <c r="J61" i="28"/>
  <c r="J81" i="28"/>
  <c r="J65" i="28"/>
  <c r="J73" i="28"/>
  <c r="J84" i="28"/>
  <c r="J92" i="28"/>
  <c r="J85" i="28"/>
  <c r="J46" i="28"/>
  <c r="J62" i="28"/>
  <c r="J78" i="28"/>
  <c r="J94" i="28"/>
  <c r="J51" i="28"/>
  <c r="J67" i="28"/>
  <c r="J83" i="28"/>
  <c r="J50" i="28"/>
  <c r="J66" i="28"/>
  <c r="J47" i="28"/>
  <c r="J57" i="28"/>
  <c r="J60" i="28"/>
  <c r="J45" i="28"/>
  <c r="J70" i="28"/>
  <c r="J86" i="28"/>
  <c r="J43" i="28"/>
  <c r="J52" i="28"/>
  <c r="J64" i="28"/>
  <c r="J88" i="28"/>
  <c r="J53" i="28"/>
  <c r="J69" i="28"/>
  <c r="J42" i="28"/>
  <c r="J56" i="28"/>
  <c r="J68" i="28"/>
  <c r="J72" i="28"/>
  <c r="J80" i="28"/>
  <c r="J48" i="28"/>
  <c r="J82" i="28"/>
  <c r="J63" i="28"/>
  <c r="J79" i="28"/>
  <c r="J89" i="28"/>
  <c r="J76" i="28"/>
  <c r="J54" i="28"/>
  <c r="J59" i="28"/>
  <c r="J75" i="28"/>
  <c r="J91" i="28"/>
  <c r="J44" i="28"/>
  <c r="J90" i="28"/>
  <c r="J74" i="28"/>
  <c r="J58" i="28"/>
  <c r="J55" i="28"/>
  <c r="J71" i="28"/>
  <c r="J87" i="28"/>
  <c r="K16" i="28"/>
  <c r="BA74" i="4" l="1"/>
  <c r="AZ73" i="4"/>
  <c r="BB73" i="4" s="1"/>
  <c r="E72" i="4"/>
  <c r="BB72" i="4"/>
  <c r="D72" i="4" s="1"/>
  <c r="A19" i="29"/>
  <c r="A321" i="30"/>
  <c r="D320" i="30"/>
  <c r="A208" i="30"/>
  <c r="D207" i="30"/>
  <c r="AK108" i="29"/>
  <c r="D108" i="29" s="1"/>
  <c r="AL108" i="29"/>
  <c r="C108" i="29" s="1"/>
  <c r="K96" i="28"/>
  <c r="K98" i="28"/>
  <c r="K112" i="28"/>
  <c r="K110" i="28"/>
  <c r="K106" i="28"/>
  <c r="K97" i="28"/>
  <c r="K102" i="28"/>
  <c r="K108" i="28"/>
  <c r="K101" i="28"/>
  <c r="K103" i="28"/>
  <c r="K105" i="28"/>
  <c r="K107" i="28"/>
  <c r="K109" i="28"/>
  <c r="K111" i="28"/>
  <c r="K113" i="28"/>
  <c r="K99" i="28"/>
  <c r="K100" i="28"/>
  <c r="K104" i="28"/>
  <c r="A103" i="30"/>
  <c r="D102" i="30"/>
  <c r="K91" i="28"/>
  <c r="K83" i="28"/>
  <c r="K75" i="28"/>
  <c r="K87" i="28"/>
  <c r="K79" i="28"/>
  <c r="K71" i="28"/>
  <c r="K67" i="28"/>
  <c r="K63" i="28"/>
  <c r="K59" i="28"/>
  <c r="K55" i="28"/>
  <c r="K51" i="28"/>
  <c r="K43" i="28"/>
  <c r="K95" i="28"/>
  <c r="K47" i="28"/>
  <c r="K56" i="28"/>
  <c r="K84" i="28"/>
  <c r="K49" i="28"/>
  <c r="K57" i="28"/>
  <c r="K61" i="28"/>
  <c r="K48" i="28"/>
  <c r="K42" i="28"/>
  <c r="K58" i="28"/>
  <c r="K74" i="28"/>
  <c r="K90" i="28"/>
  <c r="K70" i="28"/>
  <c r="K86" i="28"/>
  <c r="K45" i="28"/>
  <c r="K53" i="28"/>
  <c r="K65" i="28"/>
  <c r="K73" i="28"/>
  <c r="K77" i="28"/>
  <c r="K93" i="28"/>
  <c r="K76" i="28"/>
  <c r="K66" i="28"/>
  <c r="K82" i="28"/>
  <c r="K69" i="28"/>
  <c r="K89" i="28"/>
  <c r="K80" i="28"/>
  <c r="K92" i="28"/>
  <c r="K44" i="28"/>
  <c r="K88" i="28"/>
  <c r="K68" i="28"/>
  <c r="K41" i="28"/>
  <c r="K85" i="28"/>
  <c r="K60" i="28"/>
  <c r="K72" i="28"/>
  <c r="K54" i="28"/>
  <c r="K81" i="28"/>
  <c r="K64" i="28"/>
  <c r="K50" i="28"/>
  <c r="K52" i="28"/>
  <c r="K46" i="28"/>
  <c r="K62" i="28"/>
  <c r="K78" i="28"/>
  <c r="K94" i="28"/>
  <c r="L16" i="28"/>
  <c r="BA75" i="4" l="1"/>
  <c r="AZ74" i="4"/>
  <c r="BB74" i="4" s="1"/>
  <c r="A20" i="29"/>
  <c r="D321" i="30"/>
  <c r="A322" i="30"/>
  <c r="D208" i="30"/>
  <c r="A209" i="30"/>
  <c r="AL109" i="29"/>
  <c r="C109" i="29" s="1"/>
  <c r="AK109" i="29"/>
  <c r="D109" i="29" s="1"/>
  <c r="L98" i="28"/>
  <c r="L96" i="28"/>
  <c r="L102" i="28"/>
  <c r="L106" i="28"/>
  <c r="L105" i="28"/>
  <c r="L113" i="28"/>
  <c r="L112" i="28"/>
  <c r="L107" i="28"/>
  <c r="L99" i="28"/>
  <c r="L100" i="28"/>
  <c r="L104" i="28"/>
  <c r="L108" i="28"/>
  <c r="L110" i="28"/>
  <c r="L101" i="28"/>
  <c r="L109" i="28"/>
  <c r="L97" i="28"/>
  <c r="L103" i="28"/>
  <c r="L111" i="28"/>
  <c r="D103" i="30"/>
  <c r="A104" i="30"/>
  <c r="L94" i="28"/>
  <c r="L74" i="28"/>
  <c r="L70" i="28"/>
  <c r="L62" i="28"/>
  <c r="L95" i="28"/>
  <c r="L90" i="28"/>
  <c r="L86" i="28"/>
  <c r="L82" i="28"/>
  <c r="L78" i="28"/>
  <c r="L66" i="28"/>
  <c r="L58" i="28"/>
  <c r="L91" i="28"/>
  <c r="L75" i="28"/>
  <c r="L59" i="28"/>
  <c r="L51" i="28"/>
  <c r="L43" i="28"/>
  <c r="L47" i="28"/>
  <c r="L87" i="28"/>
  <c r="L71" i="28"/>
  <c r="L54" i="28"/>
  <c r="L46" i="28"/>
  <c r="L79" i="28"/>
  <c r="L63" i="28"/>
  <c r="L50" i="28"/>
  <c r="L42" i="28"/>
  <c r="L83" i="28"/>
  <c r="L67" i="28"/>
  <c r="L55" i="28"/>
  <c r="L56" i="28"/>
  <c r="L60" i="28"/>
  <c r="L41" i="28"/>
  <c r="L69" i="28"/>
  <c r="L85" i="28"/>
  <c r="L84" i="28"/>
  <c r="L61" i="28"/>
  <c r="L68" i="28"/>
  <c r="L48" i="28"/>
  <c r="L57" i="28"/>
  <c r="L73" i="28"/>
  <c r="L89" i="28"/>
  <c r="L52" i="28"/>
  <c r="L76" i="28"/>
  <c r="L80" i="28"/>
  <c r="L88" i="28"/>
  <c r="L45" i="28"/>
  <c r="L53" i="28"/>
  <c r="L65" i="28"/>
  <c r="L81" i="28"/>
  <c r="L64" i="28"/>
  <c r="L77" i="28"/>
  <c r="L93" i="28"/>
  <c r="L44" i="28"/>
  <c r="L92" i="28"/>
  <c r="L72" i="28"/>
  <c r="L49" i="28"/>
  <c r="M16" i="28"/>
  <c r="BA76" i="4" l="1"/>
  <c r="AZ75" i="4"/>
  <c r="BB75" i="4" s="1"/>
  <c r="A21" i="29"/>
  <c r="A323" i="30"/>
  <c r="D322" i="30"/>
  <c r="D209" i="30"/>
  <c r="A210" i="30"/>
  <c r="AL110" i="29"/>
  <c r="C110" i="29" s="1"/>
  <c r="AK110" i="29"/>
  <c r="D110" i="29" s="1"/>
  <c r="M98" i="28"/>
  <c r="M96" i="28"/>
  <c r="M111" i="28"/>
  <c r="M107" i="28"/>
  <c r="M113" i="28"/>
  <c r="M103" i="28"/>
  <c r="M101" i="28"/>
  <c r="M105" i="28"/>
  <c r="M109" i="28"/>
  <c r="M102" i="28"/>
  <c r="M104" i="28"/>
  <c r="M106" i="28"/>
  <c r="M108" i="28"/>
  <c r="M110" i="28"/>
  <c r="M112" i="28"/>
  <c r="M97" i="28"/>
  <c r="M99" i="28"/>
  <c r="M100" i="28"/>
  <c r="A105" i="30"/>
  <c r="D104" i="30"/>
  <c r="M95" i="28"/>
  <c r="M86" i="28"/>
  <c r="M70" i="28"/>
  <c r="M54" i="28"/>
  <c r="M46" i="28"/>
  <c r="M78" i="28"/>
  <c r="M62" i="28"/>
  <c r="M50" i="28"/>
  <c r="M42" i="28"/>
  <c r="M82" i="28"/>
  <c r="M66" i="28"/>
  <c r="M49" i="28"/>
  <c r="M41" i="28"/>
  <c r="M90" i="28"/>
  <c r="M74" i="28"/>
  <c r="M58" i="28"/>
  <c r="M94" i="28"/>
  <c r="M56" i="28"/>
  <c r="M68" i="28"/>
  <c r="M92" i="28"/>
  <c r="M52" i="28"/>
  <c r="M72" i="28"/>
  <c r="M80" i="28"/>
  <c r="M73" i="28"/>
  <c r="M77" i="28"/>
  <c r="M47" i="28"/>
  <c r="M63" i="28"/>
  <c r="M79" i="28"/>
  <c r="M83" i="28"/>
  <c r="M44" i="28"/>
  <c r="M60" i="28"/>
  <c r="M64" i="28"/>
  <c r="M76" i="28"/>
  <c r="M88" i="28"/>
  <c r="M55" i="28"/>
  <c r="M45" i="28"/>
  <c r="M61" i="28"/>
  <c r="M65" i="28"/>
  <c r="M81" i="28"/>
  <c r="M93" i="28"/>
  <c r="M57" i="28"/>
  <c r="M69" i="28"/>
  <c r="M89" i="28"/>
  <c r="M51" i="28"/>
  <c r="M67" i="28"/>
  <c r="M84" i="28"/>
  <c r="M48" i="28"/>
  <c r="M85" i="28"/>
  <c r="M71" i="28"/>
  <c r="M87" i="28"/>
  <c r="M53" i="28"/>
  <c r="M43" i="28"/>
  <c r="M59" i="28"/>
  <c r="M91" i="28"/>
  <c r="M75" i="28"/>
  <c r="N16" i="28"/>
  <c r="BA77" i="4" l="1"/>
  <c r="AZ76" i="4"/>
  <c r="BB76" i="4" s="1"/>
  <c r="A22" i="29"/>
  <c r="D323" i="30"/>
  <c r="A324" i="30"/>
  <c r="A211" i="30"/>
  <c r="D210" i="30"/>
  <c r="AL111" i="29"/>
  <c r="C111" i="29" s="1"/>
  <c r="AK111" i="29"/>
  <c r="D111" i="29" s="1"/>
  <c r="N113" i="28"/>
  <c r="N111" i="28"/>
  <c r="N96" i="28"/>
  <c r="N98" i="28"/>
  <c r="N99" i="28"/>
  <c r="N107" i="28"/>
  <c r="N101" i="28"/>
  <c r="N106" i="28"/>
  <c r="N109" i="28"/>
  <c r="N105" i="28"/>
  <c r="N108" i="28"/>
  <c r="N100" i="28"/>
  <c r="N102" i="28"/>
  <c r="N110" i="28"/>
  <c r="N104" i="28"/>
  <c r="N112" i="28"/>
  <c r="N97" i="28"/>
  <c r="N103" i="28"/>
  <c r="A106" i="30"/>
  <c r="D105" i="30"/>
  <c r="N95" i="28"/>
  <c r="N57" i="28"/>
  <c r="N93" i="28"/>
  <c r="N89" i="28"/>
  <c r="N73" i="28"/>
  <c r="N53" i="28"/>
  <c r="N45" i="28"/>
  <c r="N77" i="28"/>
  <c r="N61" i="28"/>
  <c r="N64" i="28"/>
  <c r="N50" i="28"/>
  <c r="N66" i="28"/>
  <c r="N82" i="28"/>
  <c r="N47" i="28"/>
  <c r="N63" i="28"/>
  <c r="N79" i="28"/>
  <c r="N54" i="28"/>
  <c r="N70" i="28"/>
  <c r="N86" i="28"/>
  <c r="N59" i="28"/>
  <c r="N75" i="28"/>
  <c r="N91" i="28"/>
  <c r="N56" i="28"/>
  <c r="N44" i="28"/>
  <c r="N81" i="28"/>
  <c r="N74" i="28"/>
  <c r="N90" i="28"/>
  <c r="N55" i="28"/>
  <c r="N71" i="28"/>
  <c r="N87" i="28"/>
  <c r="N85" i="28"/>
  <c r="N84" i="28"/>
  <c r="N69" i="28"/>
  <c r="N48" i="28"/>
  <c r="N68" i="28"/>
  <c r="N72" i="28"/>
  <c r="N41" i="28"/>
  <c r="N65" i="28"/>
  <c r="N43" i="28"/>
  <c r="N92" i="28"/>
  <c r="N80" i="28"/>
  <c r="N52" i="28"/>
  <c r="N49" i="28"/>
  <c r="N42" i="28"/>
  <c r="N58" i="28"/>
  <c r="N60" i="28"/>
  <c r="N76" i="28"/>
  <c r="N88" i="28"/>
  <c r="N46" i="28"/>
  <c r="N78" i="28"/>
  <c r="N83" i="28"/>
  <c r="N62" i="28"/>
  <c r="N94" i="28"/>
  <c r="N51" i="28"/>
  <c r="N67" i="28"/>
  <c r="O16" i="28"/>
  <c r="BA78" i="4" l="1"/>
  <c r="AZ77" i="4"/>
  <c r="BB77" i="4" s="1"/>
  <c r="Y235" i="17"/>
  <c r="Y237" i="17"/>
  <c r="T252" i="17"/>
  <c r="Y252" i="17"/>
  <c r="Y242" i="17"/>
  <c r="Y236" i="17"/>
  <c r="Y239" i="17"/>
  <c r="T249" i="17"/>
  <c r="T255" i="17"/>
  <c r="T254" i="17"/>
  <c r="T235" i="17"/>
  <c r="T253" i="17"/>
  <c r="Y238" i="17"/>
  <c r="Y246" i="17"/>
  <c r="Y247" i="17"/>
  <c r="T250" i="17"/>
  <c r="Y248" i="17"/>
  <c r="T247" i="17"/>
  <c r="T248" i="17"/>
  <c r="T251" i="17"/>
  <c r="Y254" i="17"/>
  <c r="Y256" i="17"/>
  <c r="T238" i="17"/>
  <c r="T256" i="17"/>
  <c r="Y250" i="17"/>
  <c r="Y255" i="17"/>
  <c r="T243" i="17"/>
  <c r="T239" i="17"/>
  <c r="T236" i="17"/>
  <c r="Y249" i="17"/>
  <c r="T246" i="17"/>
  <c r="Y253" i="17"/>
  <c r="T237" i="17"/>
  <c r="U291" i="17"/>
  <c r="G296" i="17" s="1"/>
  <c r="T242" i="17"/>
  <c r="T291" i="17"/>
  <c r="F296" i="17" s="1"/>
  <c r="Y251" i="17"/>
  <c r="Y243" i="17"/>
  <c r="X250" i="17"/>
  <c r="T287" i="17"/>
  <c r="F289" i="17" s="1"/>
  <c r="S250" i="17"/>
  <c r="S246" i="17"/>
  <c r="S248" i="17"/>
  <c r="X246" i="17"/>
  <c r="X248" i="17"/>
  <c r="T289" i="17"/>
  <c r="F293" i="17" s="1"/>
  <c r="S249" i="17"/>
  <c r="T288" i="17"/>
  <c r="F290" i="17" s="1"/>
  <c r="T290" i="17"/>
  <c r="F294" i="17" s="1"/>
  <c r="S247" i="17"/>
  <c r="X249" i="17"/>
  <c r="X247" i="17"/>
  <c r="T283" i="17"/>
  <c r="F285" i="17" s="1"/>
  <c r="S242" i="17"/>
  <c r="X242" i="17"/>
  <c r="X243" i="17"/>
  <c r="S253" i="17"/>
  <c r="T294" i="17"/>
  <c r="F300" i="17" s="1"/>
  <c r="X253" i="17"/>
  <c r="T295" i="17"/>
  <c r="F302" i="17" s="1"/>
  <c r="S254" i="17"/>
  <c r="X254" i="17"/>
  <c r="T279" i="17"/>
  <c r="F281" i="17" s="1"/>
  <c r="S238" i="17"/>
  <c r="X238" i="17"/>
  <c r="S239" i="17"/>
  <c r="T280" i="17"/>
  <c r="F282" i="17" s="1"/>
  <c r="X239" i="17"/>
  <c r="T293" i="17"/>
  <c r="T306" i="17" s="1"/>
  <c r="S252" i="17"/>
  <c r="S251" i="17"/>
  <c r="X252" i="17"/>
  <c r="T292" i="17"/>
  <c r="F298" i="17" s="1"/>
  <c r="U276" i="17"/>
  <c r="X251" i="17"/>
  <c r="T277" i="17"/>
  <c r="U277" i="17"/>
  <c r="X236" i="17"/>
  <c r="S235" i="17"/>
  <c r="T276" i="17"/>
  <c r="F276" i="17" s="1"/>
  <c r="S236" i="17"/>
  <c r="V277" i="17"/>
  <c r="X235" i="17"/>
  <c r="U278" i="17"/>
  <c r="G278" i="17" s="1"/>
  <c r="S237" i="17"/>
  <c r="X237" i="17"/>
  <c r="T278" i="17"/>
  <c r="F278" i="17" s="1"/>
  <c r="R35" i="17"/>
  <c r="R26" i="17"/>
  <c r="Q13" i="17"/>
  <c r="Q38" i="17"/>
  <c r="R6" i="17"/>
  <c r="R42" i="17"/>
  <c r="R44" i="17"/>
  <c r="R39" i="17"/>
  <c r="Q18" i="17"/>
  <c r="R14" i="17"/>
  <c r="R18" i="17"/>
  <c r="Q32" i="17"/>
  <c r="Q39" i="17"/>
  <c r="Q42" i="17"/>
  <c r="Q5" i="17"/>
  <c r="Q14" i="17"/>
  <c r="R5" i="17"/>
  <c r="R19" i="17"/>
  <c r="R10" i="17"/>
  <c r="Q10" i="17"/>
  <c r="Q6" i="17"/>
  <c r="Q44" i="17"/>
  <c r="Q35" i="17"/>
  <c r="R38" i="17"/>
  <c r="R13" i="17"/>
  <c r="Q19" i="17"/>
  <c r="R32" i="17"/>
  <c r="Q24" i="17"/>
  <c r="A23" i="29"/>
  <c r="D324" i="30"/>
  <c r="A325" i="30"/>
  <c r="D211" i="30"/>
  <c r="A212" i="30"/>
  <c r="AK112" i="29"/>
  <c r="D112" i="29" s="1"/>
  <c r="AL112" i="29"/>
  <c r="C112" i="29" s="1"/>
  <c r="O112" i="28"/>
  <c r="O111" i="28"/>
  <c r="O107" i="28"/>
  <c r="O102" i="28"/>
  <c r="O108" i="28"/>
  <c r="O99" i="28"/>
  <c r="O103" i="28"/>
  <c r="O109" i="28"/>
  <c r="O104" i="28"/>
  <c r="O113" i="28"/>
  <c r="O100" i="28"/>
  <c r="O106" i="28"/>
  <c r="O97" i="28"/>
  <c r="D106" i="30"/>
  <c r="A107" i="30"/>
  <c r="D107" i="30" s="1"/>
  <c r="P16" i="28"/>
  <c r="O87" i="28"/>
  <c r="O79" i="28"/>
  <c r="O71" i="28"/>
  <c r="O67" i="28"/>
  <c r="O59" i="28"/>
  <c r="O55" i="28"/>
  <c r="O91" i="28"/>
  <c r="O75" i="28"/>
  <c r="O51" i="28"/>
  <c r="O43" i="28"/>
  <c r="O74" i="28"/>
  <c r="O94" i="28"/>
  <c r="O69" i="28"/>
  <c r="O88" i="28"/>
  <c r="O48" i="28"/>
  <c r="O62" i="28"/>
  <c r="O84" i="28"/>
  <c r="O50" i="28"/>
  <c r="O85" i="28"/>
  <c r="O54" i="28"/>
  <c r="O82" i="28"/>
  <c r="O45" i="28"/>
  <c r="O77" i="28"/>
  <c r="O46" i="28"/>
  <c r="O44" i="28"/>
  <c r="O80" i="28"/>
  <c r="O58" i="28"/>
  <c r="O90" i="28"/>
  <c r="O57" i="28"/>
  <c r="O61" i="28"/>
  <c r="O78" i="28"/>
  <c r="O64" i="28"/>
  <c r="O53" i="28"/>
  <c r="O65" i="28"/>
  <c r="O73" i="28"/>
  <c r="O93" i="28"/>
  <c r="O72" i="28"/>
  <c r="BA79" i="4" l="1"/>
  <c r="AZ78" i="4"/>
  <c r="BB78" i="4" s="1"/>
  <c r="T258" i="17"/>
  <c r="X258" i="17"/>
  <c r="G276" i="17"/>
  <c r="T261" i="17"/>
  <c r="P98" i="28"/>
  <c r="P96" i="28"/>
  <c r="P95" i="28"/>
  <c r="P105" i="28"/>
  <c r="P110" i="28"/>
  <c r="P101" i="28"/>
  <c r="A24" i="29"/>
  <c r="A327" i="30"/>
  <c r="D327" i="30" s="1"/>
  <c r="A326" i="30"/>
  <c r="D326" i="30" s="1"/>
  <c r="D325" i="30"/>
  <c r="A213" i="30"/>
  <c r="D212" i="30"/>
  <c r="AL113" i="29"/>
  <c r="C113" i="29" s="1"/>
  <c r="AK113" i="29"/>
  <c r="D113" i="29" s="1"/>
  <c r="Q16" i="28"/>
  <c r="P106" i="28"/>
  <c r="P112" i="28"/>
  <c r="P107" i="28"/>
  <c r="P99" i="28"/>
  <c r="P102" i="28"/>
  <c r="P100" i="28"/>
  <c r="P109" i="28"/>
  <c r="P97" i="28"/>
  <c r="P103" i="28"/>
  <c r="P111" i="28"/>
  <c r="P113" i="28"/>
  <c r="P108" i="28"/>
  <c r="P104" i="28"/>
  <c r="P90" i="28"/>
  <c r="P82" i="28"/>
  <c r="P78" i="28"/>
  <c r="P74" i="28"/>
  <c r="P70" i="28"/>
  <c r="P94" i="28"/>
  <c r="P86" i="28"/>
  <c r="P66" i="28"/>
  <c r="P62" i="28"/>
  <c r="P58" i="28"/>
  <c r="P54" i="28"/>
  <c r="P87" i="28"/>
  <c r="P71" i="28"/>
  <c r="P55" i="28"/>
  <c r="P47" i="28"/>
  <c r="P79" i="28"/>
  <c r="P63" i="28"/>
  <c r="P51" i="28"/>
  <c r="P43" i="28"/>
  <c r="P83" i="28"/>
  <c r="P91" i="28"/>
  <c r="P75" i="28"/>
  <c r="P59" i="28"/>
  <c r="P46" i="28"/>
  <c r="P67" i="28"/>
  <c r="P50" i="28"/>
  <c r="P42" i="28"/>
  <c r="P44" i="28"/>
  <c r="P68" i="28"/>
  <c r="P92" i="28"/>
  <c r="P48" i="28"/>
  <c r="P72" i="28"/>
  <c r="P49" i="28"/>
  <c r="P57" i="28"/>
  <c r="P73" i="28"/>
  <c r="P89" i="28"/>
  <c r="P52" i="28"/>
  <c r="P76" i="28"/>
  <c r="P80" i="28"/>
  <c r="P88" i="28"/>
  <c r="P45" i="28"/>
  <c r="P65" i="28"/>
  <c r="P81" i="28"/>
  <c r="P77" i="28"/>
  <c r="P93" i="28"/>
  <c r="P56" i="28"/>
  <c r="P60" i="28"/>
  <c r="P41" i="28"/>
  <c r="P69" i="28"/>
  <c r="P85" i="28"/>
  <c r="P53" i="28"/>
  <c r="P84" i="28"/>
  <c r="P64" i="28"/>
  <c r="P61" i="28"/>
  <c r="BA80" i="4" l="1"/>
  <c r="AZ79" i="4"/>
  <c r="BB79" i="4" s="1"/>
  <c r="Q96" i="28"/>
  <c r="Q95" i="28"/>
  <c r="Q98" i="28"/>
  <c r="Q105" i="28"/>
  <c r="Q110" i="28"/>
  <c r="Q101" i="28"/>
  <c r="Q52" i="28"/>
  <c r="Q46" i="28"/>
  <c r="Q82" i="28"/>
  <c r="Q43" i="28"/>
  <c r="Q57" i="28"/>
  <c r="Q60" i="28"/>
  <c r="Q81" i="28"/>
  <c r="Q58" i="28"/>
  <c r="Q85" i="28"/>
  <c r="Q64" i="28"/>
  <c r="Q93" i="28"/>
  <c r="Q53" i="28"/>
  <c r="Q92" i="28"/>
  <c r="Q71" i="28"/>
  <c r="Q90" i="28"/>
  <c r="Q47" i="28"/>
  <c r="Q73" i="28"/>
  <c r="Q76" i="28"/>
  <c r="Q59" i="28"/>
  <c r="Q83" i="28"/>
  <c r="Q45" i="28"/>
  <c r="Q86" i="28"/>
  <c r="Q50" i="28"/>
  <c r="Q79" i="28"/>
  <c r="Q89" i="28"/>
  <c r="Q68" i="28"/>
  <c r="Q91" i="28"/>
  <c r="Q55" i="28"/>
  <c r="Q65" i="28"/>
  <c r="Q70" i="28"/>
  <c r="Q74" i="28"/>
  <c r="R16" i="28"/>
  <c r="S16" i="28" s="1"/>
  <c r="T16" i="28" s="1"/>
  <c r="U16" i="28" s="1"/>
  <c r="Q48" i="28"/>
  <c r="Q80" i="28"/>
  <c r="Q88" i="28"/>
  <c r="Q44" i="28"/>
  <c r="Q69" i="28"/>
  <c r="Q51" i="28"/>
  <c r="Q61" i="28"/>
  <c r="Q41" i="28"/>
  <c r="Q78" i="28"/>
  <c r="Q66" i="28"/>
  <c r="A25" i="29"/>
  <c r="D213" i="30"/>
  <c r="A214" i="30"/>
  <c r="AL114" i="29"/>
  <c r="C114" i="29" s="1"/>
  <c r="AK114" i="29"/>
  <c r="D114" i="29" s="1"/>
  <c r="Q63" i="28"/>
  <c r="Q49" i="28"/>
  <c r="Q72" i="28"/>
  <c r="Q56" i="28"/>
  <c r="Q84" i="28"/>
  <c r="Q75" i="28"/>
  <c r="Q87" i="28"/>
  <c r="Q67" i="28"/>
  <c r="Q77" i="28"/>
  <c r="Q94" i="28"/>
  <c r="Q54" i="28"/>
  <c r="Q62" i="28"/>
  <c r="Q42" i="28"/>
  <c r="Q100" i="28"/>
  <c r="Q104" i="28"/>
  <c r="Q108" i="28"/>
  <c r="Q103" i="28"/>
  <c r="Q107" i="28"/>
  <c r="Q113" i="28"/>
  <c r="Q102" i="28"/>
  <c r="Q106" i="28"/>
  <c r="Q112" i="28"/>
  <c r="Q109" i="28"/>
  <c r="Q97" i="28"/>
  <c r="Q99" i="28"/>
  <c r="Q111" i="28"/>
  <c r="O105" i="28"/>
  <c r="O110" i="28"/>
  <c r="O101" i="28"/>
  <c r="R50" i="28"/>
  <c r="O60" i="28"/>
  <c r="O92" i="28"/>
  <c r="O70" i="28"/>
  <c r="O66" i="28"/>
  <c r="O56" i="28"/>
  <c r="O41" i="28"/>
  <c r="O81" i="28"/>
  <c r="O83" i="28"/>
  <c r="O89" i="28"/>
  <c r="O52" i="28"/>
  <c r="O49" i="28"/>
  <c r="O86" i="28"/>
  <c r="O63" i="28"/>
  <c r="O76" i="28"/>
  <c r="O68" i="28"/>
  <c r="O47" i="28"/>
  <c r="O42" i="28"/>
  <c r="O39" i="28"/>
  <c r="O32" i="28"/>
  <c r="O30" i="28"/>
  <c r="O28" i="28"/>
  <c r="O26" i="28"/>
  <c r="O24" i="28"/>
  <c r="O22" i="28"/>
  <c r="O20" i="28"/>
  <c r="O18" i="28"/>
  <c r="O31" i="28"/>
  <c r="O23" i="28"/>
  <c r="O27" i="28"/>
  <c r="O19" i="28"/>
  <c r="O29" i="28"/>
  <c r="O21" i="28"/>
  <c r="O33" i="28"/>
  <c r="O25" i="28"/>
  <c r="O17" i="28"/>
  <c r="R57" i="28" l="1"/>
  <c r="BA81" i="4"/>
  <c r="AZ80" i="4"/>
  <c r="BB80" i="4" s="1"/>
  <c r="U110" i="28"/>
  <c r="U106" i="28"/>
  <c r="U102" i="28"/>
  <c r="U98" i="28"/>
  <c r="U94" i="28"/>
  <c r="U90" i="28"/>
  <c r="U86" i="28"/>
  <c r="U82" i="28"/>
  <c r="U78" i="28"/>
  <c r="U74" i="28"/>
  <c r="U70" i="28"/>
  <c r="U66" i="28"/>
  <c r="U62" i="28"/>
  <c r="U58" i="28"/>
  <c r="U54" i="28"/>
  <c r="U50" i="28"/>
  <c r="U46" i="28"/>
  <c r="U42" i="28"/>
  <c r="U108" i="28"/>
  <c r="U96" i="28"/>
  <c r="U92" i="28"/>
  <c r="U84" i="28"/>
  <c r="U76" i="28"/>
  <c r="U68" i="28"/>
  <c r="U64" i="28"/>
  <c r="U56" i="28"/>
  <c r="U48" i="28"/>
  <c r="U107" i="28"/>
  <c r="U99" i="28"/>
  <c r="U91" i="28"/>
  <c r="U83" i="28"/>
  <c r="U75" i="28"/>
  <c r="U67" i="28"/>
  <c r="U55" i="28"/>
  <c r="U51" i="28"/>
  <c r="U43" i="28"/>
  <c r="U113" i="28"/>
  <c r="U109" i="28"/>
  <c r="U105" i="28"/>
  <c r="U101" i="28"/>
  <c r="U97" i="28"/>
  <c r="U93" i="28"/>
  <c r="U89" i="28"/>
  <c r="U85" i="28"/>
  <c r="U81" i="28"/>
  <c r="U77" i="28"/>
  <c r="U73" i="28"/>
  <c r="U69" i="28"/>
  <c r="U65" i="28"/>
  <c r="U61" i="28"/>
  <c r="U57" i="28"/>
  <c r="U53" i="28"/>
  <c r="U49" i="28"/>
  <c r="U45" i="28"/>
  <c r="U41" i="28"/>
  <c r="U112" i="28"/>
  <c r="U104" i="28"/>
  <c r="U100" i="28"/>
  <c r="U88" i="28"/>
  <c r="U80" i="28"/>
  <c r="U72" i="28"/>
  <c r="U60" i="28"/>
  <c r="U52" i="28"/>
  <c r="U44" i="28"/>
  <c r="U111" i="28"/>
  <c r="U103" i="28"/>
  <c r="U95" i="28"/>
  <c r="U87" i="28"/>
  <c r="U79" i="28"/>
  <c r="U71" i="28"/>
  <c r="U63" i="28"/>
  <c r="U59" i="28"/>
  <c r="U47" i="28"/>
  <c r="R58" i="28"/>
  <c r="R83" i="28"/>
  <c r="R111" i="28"/>
  <c r="R54" i="28"/>
  <c r="T113" i="28"/>
  <c r="T109" i="28"/>
  <c r="T105" i="28"/>
  <c r="T101" i="28"/>
  <c r="T97" i="28"/>
  <c r="T93" i="28"/>
  <c r="T89" i="28"/>
  <c r="T85" i="28"/>
  <c r="T81" i="28"/>
  <c r="T77" i="28"/>
  <c r="T73" i="28"/>
  <c r="T69" i="28"/>
  <c r="T65" i="28"/>
  <c r="T61" i="28"/>
  <c r="T57" i="28"/>
  <c r="T53" i="28"/>
  <c r="T49" i="28"/>
  <c r="T45" i="28"/>
  <c r="T41" i="28"/>
  <c r="T107" i="28"/>
  <c r="T99" i="28"/>
  <c r="T91" i="28"/>
  <c r="T83" i="28"/>
  <c r="T75" i="28"/>
  <c r="T67" i="28"/>
  <c r="T59" i="28"/>
  <c r="T51" i="28"/>
  <c r="T43" i="28"/>
  <c r="T106" i="28"/>
  <c r="T102" i="28"/>
  <c r="T90" i="28"/>
  <c r="T82" i="28"/>
  <c r="T74" i="28"/>
  <c r="T66" i="28"/>
  <c r="T58" i="28"/>
  <c r="T54" i="28"/>
  <c r="T46" i="28"/>
  <c r="T112" i="28"/>
  <c r="T108" i="28"/>
  <c r="T104" i="28"/>
  <c r="T100" i="28"/>
  <c r="T96" i="28"/>
  <c r="T92" i="28"/>
  <c r="T88" i="28"/>
  <c r="T84" i="28"/>
  <c r="T80" i="28"/>
  <c r="T76" i="28"/>
  <c r="T72" i="28"/>
  <c r="T68" i="28"/>
  <c r="T64" i="28"/>
  <c r="T60" i="28"/>
  <c r="T56" i="28"/>
  <c r="T52" i="28"/>
  <c r="T48" i="28"/>
  <c r="T44" i="28"/>
  <c r="T111" i="28"/>
  <c r="T103" i="28"/>
  <c r="T95" i="28"/>
  <c r="T87" i="28"/>
  <c r="T79" i="28"/>
  <c r="T71" i="28"/>
  <c r="T63" i="28"/>
  <c r="T55" i="28"/>
  <c r="T47" i="28"/>
  <c r="T110" i="28"/>
  <c r="T98" i="28"/>
  <c r="T94" i="28"/>
  <c r="T86" i="28"/>
  <c r="T78" i="28"/>
  <c r="T70" i="28"/>
  <c r="T62" i="28"/>
  <c r="T50" i="28"/>
  <c r="T42" i="28"/>
  <c r="R47" i="28"/>
  <c r="R44" i="28"/>
  <c r="R85" i="28"/>
  <c r="R94" i="28"/>
  <c r="R92" i="28"/>
  <c r="R56" i="28"/>
  <c r="R43" i="28"/>
  <c r="R103" i="28"/>
  <c r="R93" i="28"/>
  <c r="R48" i="28"/>
  <c r="R109" i="28"/>
  <c r="R59" i="28"/>
  <c r="R51" i="28"/>
  <c r="R74" i="28"/>
  <c r="R52" i="28"/>
  <c r="R112" i="28"/>
  <c r="S113" i="28"/>
  <c r="S112" i="28"/>
  <c r="S108" i="28"/>
  <c r="S104" i="28"/>
  <c r="S100" i="28"/>
  <c r="S96" i="28"/>
  <c r="S92" i="28"/>
  <c r="S88" i="28"/>
  <c r="S84" i="28"/>
  <c r="S80" i="28"/>
  <c r="S76" i="28"/>
  <c r="S72" i="28"/>
  <c r="S68" i="28"/>
  <c r="S64" i="28"/>
  <c r="S60" i="28"/>
  <c r="S56" i="28"/>
  <c r="S52" i="28"/>
  <c r="S48" i="28"/>
  <c r="S44" i="28"/>
  <c r="S107" i="28"/>
  <c r="S103" i="28"/>
  <c r="S99" i="28"/>
  <c r="S95" i="28"/>
  <c r="S91" i="28"/>
  <c r="S87" i="28"/>
  <c r="S83" i="28"/>
  <c r="S79" i="28"/>
  <c r="S75" i="28"/>
  <c r="S71" i="28"/>
  <c r="S67" i="28"/>
  <c r="S63" i="28"/>
  <c r="S59" i="28"/>
  <c r="S55" i="28"/>
  <c r="S51" i="28"/>
  <c r="S47" i="28"/>
  <c r="S43" i="28"/>
  <c r="S111" i="28"/>
  <c r="S110" i="28"/>
  <c r="S106" i="28"/>
  <c r="S102" i="28"/>
  <c r="S98" i="28"/>
  <c r="S94" i="28"/>
  <c r="S90" i="28"/>
  <c r="S86" i="28"/>
  <c r="S82" i="28"/>
  <c r="S78" i="28"/>
  <c r="S74" i="28"/>
  <c r="S70" i="28"/>
  <c r="S66" i="28"/>
  <c r="S62" i="28"/>
  <c r="S58" i="28"/>
  <c r="S54" i="28"/>
  <c r="S50" i="28"/>
  <c r="S46" i="28"/>
  <c r="S42" i="28"/>
  <c r="S109" i="28"/>
  <c r="S105" i="28"/>
  <c r="S101" i="28"/>
  <c r="S97" i="28"/>
  <c r="S93" i="28"/>
  <c r="S89" i="28"/>
  <c r="S85" i="28"/>
  <c r="S81" i="28"/>
  <c r="S77" i="28"/>
  <c r="S73" i="28"/>
  <c r="S69" i="28"/>
  <c r="S65" i="28"/>
  <c r="S61" i="28"/>
  <c r="S57" i="28"/>
  <c r="S53" i="28"/>
  <c r="S49" i="28"/>
  <c r="S45" i="28"/>
  <c r="S41" i="28"/>
  <c r="R88" i="28"/>
  <c r="R81" i="28"/>
  <c r="R100" i="28"/>
  <c r="R66" i="28"/>
  <c r="R46" i="28"/>
  <c r="R67" i="28"/>
  <c r="R72" i="28"/>
  <c r="R70" i="28"/>
  <c r="R75" i="28"/>
  <c r="R49" i="28"/>
  <c r="R106" i="28"/>
  <c r="R108" i="28"/>
  <c r="R99" i="28"/>
  <c r="R95" i="28"/>
  <c r="R98" i="28"/>
  <c r="R96" i="28"/>
  <c r="R105" i="28"/>
  <c r="R110" i="28"/>
  <c r="R101" i="28"/>
  <c r="R82" i="28"/>
  <c r="R80" i="28"/>
  <c r="R62" i="28"/>
  <c r="R90" i="28"/>
  <c r="R63" i="28"/>
  <c r="R79" i="28"/>
  <c r="R87" i="28"/>
  <c r="R68" i="28"/>
  <c r="R86" i="28"/>
  <c r="R71" i="28"/>
  <c r="R64" i="28"/>
  <c r="R60" i="28"/>
  <c r="R41" i="28"/>
  <c r="R69" i="28"/>
  <c r="R107" i="28"/>
  <c r="R113" i="28"/>
  <c r="R61" i="28"/>
  <c r="R78" i="28"/>
  <c r="R91" i="28"/>
  <c r="R45" i="28"/>
  <c r="R65" i="28"/>
  <c r="R53" i="28"/>
  <c r="R55" i="28"/>
  <c r="R42" i="28"/>
  <c r="R77" i="28"/>
  <c r="R76" i="28"/>
  <c r="R84" i="28"/>
  <c r="R73" i="28"/>
  <c r="R89" i="28"/>
  <c r="R104" i="28"/>
  <c r="R102" i="28"/>
  <c r="R97" i="28"/>
  <c r="A26" i="29"/>
  <c r="D214" i="30"/>
  <c r="A215" i="30"/>
  <c r="A216" i="30"/>
  <c r="D216" i="30" s="1"/>
  <c r="AL115" i="29"/>
  <c r="C115" i="29" s="1"/>
  <c r="AK115" i="29"/>
  <c r="D115" i="29" s="1"/>
  <c r="O95" i="28"/>
  <c r="O96" i="28"/>
  <c r="O98" i="28"/>
  <c r="G104" i="62" l="1"/>
  <c r="I104" i="62" s="1"/>
  <c r="M104" i="62" s="1"/>
  <c r="G201" i="7"/>
  <c r="H201" i="7" s="1"/>
  <c r="G680" i="7"/>
  <c r="H680" i="7" s="1"/>
  <c r="G343" i="7"/>
  <c r="H343" i="7" s="1"/>
  <c r="G56" i="7"/>
  <c r="H56" i="7" s="1"/>
  <c r="G30" i="7"/>
  <c r="H30" i="7" s="1"/>
  <c r="G184" i="7"/>
  <c r="H184" i="7" s="1"/>
  <c r="G563" i="7"/>
  <c r="H563" i="7" s="1"/>
  <c r="G475" i="7"/>
  <c r="H475" i="7" s="1"/>
  <c r="G739" i="7"/>
  <c r="H739" i="7" s="1"/>
  <c r="G396" i="7"/>
  <c r="H396" i="7" s="1"/>
  <c r="G900" i="7"/>
  <c r="H900" i="7" s="1"/>
  <c r="G97" i="7"/>
  <c r="H97" i="7" s="1"/>
  <c r="G983" i="7"/>
  <c r="H983" i="7" s="1"/>
  <c r="G221" i="7"/>
  <c r="H221" i="7" s="1"/>
  <c r="G457" i="7"/>
  <c r="H457" i="7" s="1"/>
  <c r="G120" i="62"/>
  <c r="I120" i="62" s="1"/>
  <c r="M120" i="62" s="1"/>
  <c r="G926" i="7"/>
  <c r="H926" i="7" s="1"/>
  <c r="G636" i="7"/>
  <c r="H636" i="7" s="1"/>
  <c r="G207" i="7"/>
  <c r="H207" i="7" s="1"/>
  <c r="G1018" i="7"/>
  <c r="H1018" i="7" s="1"/>
  <c r="G759" i="7"/>
  <c r="H759" i="7" s="1"/>
  <c r="G495" i="7"/>
  <c r="H495" i="7" s="1"/>
  <c r="G70" i="7"/>
  <c r="H70" i="7" s="1"/>
  <c r="G309" i="7"/>
  <c r="H309" i="7" s="1"/>
  <c r="G24" i="7"/>
  <c r="H24" i="7" s="1"/>
  <c r="G240" i="7"/>
  <c r="H240" i="7" s="1"/>
  <c r="G644" i="7"/>
  <c r="H644" i="7" s="1"/>
  <c r="G72" i="7"/>
  <c r="H72" i="7" s="1"/>
  <c r="G73" i="7"/>
  <c r="H73" i="7" s="1"/>
  <c r="G836" i="7"/>
  <c r="H836" i="7" s="1"/>
  <c r="G706" i="7"/>
  <c r="H706" i="7" s="1"/>
  <c r="G231" i="7"/>
  <c r="H231" i="7" s="1"/>
  <c r="G902" i="7"/>
  <c r="H902" i="7" s="1"/>
  <c r="G514" i="7"/>
  <c r="H514" i="7" s="1"/>
  <c r="G269" i="7"/>
  <c r="H269" i="7" s="1"/>
  <c r="G487" i="7"/>
  <c r="H487" i="7" s="1"/>
  <c r="G715" i="7"/>
  <c r="H715" i="7" s="1"/>
  <c r="G667" i="7"/>
  <c r="H667" i="7" s="1"/>
  <c r="G464" i="7"/>
  <c r="H464" i="7" s="1"/>
  <c r="G753" i="7"/>
  <c r="H753" i="7" s="1"/>
  <c r="G500" i="7"/>
  <c r="H500" i="7" s="1"/>
  <c r="G68" i="62"/>
  <c r="G807" i="7"/>
  <c r="H807" i="7" s="1"/>
  <c r="G481" i="7"/>
  <c r="H481" i="7" s="1"/>
  <c r="G144" i="7"/>
  <c r="H144" i="7" s="1"/>
  <c r="G512" i="7"/>
  <c r="H512" i="7" s="1"/>
  <c r="G988" i="7"/>
  <c r="H988" i="7" s="1"/>
  <c r="G119" i="7"/>
  <c r="H119" i="7" s="1"/>
  <c r="G751" i="7"/>
  <c r="H751" i="7" s="1"/>
  <c r="G995" i="7"/>
  <c r="H995" i="7" s="1"/>
  <c r="G523" i="7"/>
  <c r="H523" i="7" s="1"/>
  <c r="G774" i="7"/>
  <c r="H774" i="7" s="1"/>
  <c r="G646" i="7"/>
  <c r="H646" i="7" s="1"/>
  <c r="G319" i="7"/>
  <c r="H319" i="7" s="1"/>
  <c r="G693" i="7"/>
  <c r="H693" i="7" s="1"/>
  <c r="G330" i="7"/>
  <c r="H330" i="7" s="1"/>
  <c r="G42" i="7"/>
  <c r="H42" i="7" s="1"/>
  <c r="G138" i="62"/>
  <c r="I138" i="62" s="1"/>
  <c r="M138" i="62" s="1"/>
  <c r="G703" i="7"/>
  <c r="H703" i="7" s="1"/>
  <c r="G102" i="7"/>
  <c r="H102" i="7" s="1"/>
  <c r="G815" i="7"/>
  <c r="H815" i="7" s="1"/>
  <c r="G381" i="7"/>
  <c r="H381" i="7" s="1"/>
  <c r="G631" i="7"/>
  <c r="H631" i="7" s="1"/>
  <c r="G834" i="7"/>
  <c r="H834" i="7" s="1"/>
  <c r="G550" i="7"/>
  <c r="H550" i="7" s="1"/>
  <c r="G449" i="7"/>
  <c r="H449" i="7" s="1"/>
  <c r="G91" i="7"/>
  <c r="H91" i="7" s="1"/>
  <c r="G905" i="7"/>
  <c r="H905" i="7" s="1"/>
  <c r="G471" i="7"/>
  <c r="H471" i="7" s="1"/>
  <c r="G453" i="7"/>
  <c r="H453" i="7" s="1"/>
  <c r="G8" i="7"/>
  <c r="H8" i="7" s="1"/>
  <c r="G356" i="7"/>
  <c r="H356" i="7" s="1"/>
  <c r="G657" i="7"/>
  <c r="H657" i="7" s="1"/>
  <c r="G49" i="62"/>
  <c r="G285" i="7"/>
  <c r="H285" i="7" s="1"/>
  <c r="G138" i="7"/>
  <c r="H138" i="7" s="1"/>
  <c r="G312" i="7"/>
  <c r="H312" i="7" s="1"/>
  <c r="G968" i="7"/>
  <c r="H968" i="7" s="1"/>
  <c r="G117" i="7"/>
  <c r="H117" i="7" s="1"/>
  <c r="G772" i="7"/>
  <c r="H772" i="7" s="1"/>
  <c r="G360" i="7"/>
  <c r="H360" i="7" s="1"/>
  <c r="G263" i="7"/>
  <c r="H263" i="7" s="1"/>
  <c r="G321" i="7"/>
  <c r="H321" i="7" s="1"/>
  <c r="G671" i="7"/>
  <c r="H671" i="7" s="1"/>
  <c r="G844" i="7"/>
  <c r="H844" i="7" s="1"/>
  <c r="G740" i="7"/>
  <c r="H740" i="7" s="1"/>
  <c r="G129" i="7"/>
  <c r="H129" i="7" s="1"/>
  <c r="G342" i="7"/>
  <c r="H342" i="7" s="1"/>
  <c r="G611" i="7"/>
  <c r="H611" i="7" s="1"/>
  <c r="G14" i="62"/>
  <c r="G820" i="7"/>
  <c r="H820" i="7" s="1"/>
  <c r="G656" i="7"/>
  <c r="H656" i="7" s="1"/>
  <c r="G419" i="7"/>
  <c r="H419" i="7" s="1"/>
  <c r="G16" i="62"/>
  <c r="I16" i="62" s="1"/>
  <c r="M16" i="62" s="1"/>
  <c r="G200" i="7"/>
  <c r="H200" i="7" s="1"/>
  <c r="G604" i="7"/>
  <c r="H604" i="7" s="1"/>
  <c r="G25" i="7"/>
  <c r="H25" i="7" s="1"/>
  <c r="G583" i="7"/>
  <c r="H583" i="7" s="1"/>
  <c r="G717" i="7"/>
  <c r="H717" i="7" s="1"/>
  <c r="G92" i="7"/>
  <c r="H92" i="7" s="1"/>
  <c r="G702" i="7"/>
  <c r="H702" i="7" s="1"/>
  <c r="G390" i="7"/>
  <c r="H390" i="7" s="1"/>
  <c r="G561" i="7"/>
  <c r="H561" i="7" s="1"/>
  <c r="G830" i="7"/>
  <c r="H830" i="7" s="1"/>
  <c r="G206" i="7"/>
  <c r="H206" i="7" s="1"/>
  <c r="G28" i="7"/>
  <c r="H28" i="7" s="1"/>
  <c r="G1006" i="7"/>
  <c r="H1006" i="7" s="1"/>
  <c r="G885" i="7"/>
  <c r="H885" i="7" s="1"/>
  <c r="G210" i="7"/>
  <c r="H210" i="7" s="1"/>
  <c r="G980" i="7"/>
  <c r="H980" i="7" s="1"/>
  <c r="G845" i="7"/>
  <c r="H845" i="7" s="1"/>
  <c r="G19" i="7"/>
  <c r="H19" i="7" s="1"/>
  <c r="G598" i="7"/>
  <c r="H598" i="7" s="1"/>
  <c r="G62" i="62"/>
  <c r="G150" i="7"/>
  <c r="H150" i="7" s="1"/>
  <c r="G559" i="7"/>
  <c r="H559" i="7" s="1"/>
  <c r="G6" i="7"/>
  <c r="H6" i="7" s="1"/>
  <c r="G978" i="7"/>
  <c r="H978" i="7" s="1"/>
  <c r="G748" i="7"/>
  <c r="H748" i="7" s="1"/>
  <c r="G374" i="7"/>
  <c r="H374" i="7" s="1"/>
  <c r="G542" i="7"/>
  <c r="H542" i="7" s="1"/>
  <c r="G489" i="7"/>
  <c r="H489" i="7" s="1"/>
  <c r="G194" i="7"/>
  <c r="H194" i="7" s="1"/>
  <c r="G553" i="7"/>
  <c r="H553" i="7" s="1"/>
  <c r="G580" i="7"/>
  <c r="H580" i="7" s="1"/>
  <c r="G111" i="7"/>
  <c r="H111" i="7" s="1"/>
  <c r="G615" i="7"/>
  <c r="H615" i="7" s="1"/>
  <c r="G480" i="7"/>
  <c r="H480" i="7" s="1"/>
  <c r="G728" i="7"/>
  <c r="H728" i="7" s="1"/>
  <c r="G13" i="62"/>
  <c r="G85" i="7"/>
  <c r="H85" i="7" s="1"/>
  <c r="G340" i="7"/>
  <c r="H340" i="7" s="1"/>
  <c r="G998" i="7"/>
  <c r="H998" i="7" s="1"/>
  <c r="G164" i="7"/>
  <c r="H164" i="7" s="1"/>
  <c r="G695" i="7"/>
  <c r="H695" i="7" s="1"/>
  <c r="G349" i="7"/>
  <c r="H349" i="7" s="1"/>
  <c r="G326" i="7"/>
  <c r="H326" i="7" s="1"/>
  <c r="G914" i="7"/>
  <c r="H914" i="7" s="1"/>
  <c r="G244" i="7"/>
  <c r="H244" i="7" s="1"/>
  <c r="G577" i="7"/>
  <c r="H577" i="7" s="1"/>
  <c r="G730" i="7"/>
  <c r="H730" i="7" s="1"/>
  <c r="G217" i="7"/>
  <c r="H217" i="7" s="1"/>
  <c r="G742" i="7"/>
  <c r="H742" i="7" s="1"/>
  <c r="G509" i="7"/>
  <c r="H509" i="7" s="1"/>
  <c r="G53" i="7"/>
  <c r="H53" i="7" s="1"/>
  <c r="G105" i="62"/>
  <c r="I105" i="62" s="1"/>
  <c r="M105" i="62" s="1"/>
  <c r="G189" i="7"/>
  <c r="H189" i="7" s="1"/>
  <c r="G146" i="7"/>
  <c r="H146" i="7" s="1"/>
  <c r="G339" i="7"/>
  <c r="H339" i="7" s="1"/>
  <c r="G363" i="7"/>
  <c r="H363" i="7" s="1"/>
  <c r="G511" i="7"/>
  <c r="H511" i="7" s="1"/>
  <c r="G216" i="7"/>
  <c r="H216" i="7" s="1"/>
  <c r="G951" i="7"/>
  <c r="H951" i="7" s="1"/>
  <c r="G892" i="7"/>
  <c r="H892" i="7" s="1"/>
  <c r="G738" i="7"/>
  <c r="H738" i="7" s="1"/>
  <c r="G1001" i="7"/>
  <c r="H1001" i="7" s="1"/>
  <c r="G786" i="7"/>
  <c r="H786" i="7" s="1"/>
  <c r="G662" i="7"/>
  <c r="H662" i="7" s="1"/>
  <c r="G704" i="7"/>
  <c r="H704" i="7" s="1"/>
  <c r="G653" i="7"/>
  <c r="H653" i="7" s="1"/>
  <c r="G369" i="7"/>
  <c r="H369" i="7" s="1"/>
  <c r="G301" i="7"/>
  <c r="H301" i="7" s="1"/>
  <c r="G85" i="62"/>
  <c r="G872" i="7"/>
  <c r="H872" i="7" s="1"/>
  <c r="G513" i="7"/>
  <c r="H513" i="7" s="1"/>
  <c r="G400" i="7"/>
  <c r="H400" i="7" s="1"/>
  <c r="G65" i="62"/>
  <c r="G460" i="7"/>
  <c r="H460" i="7" s="1"/>
  <c r="G316" i="7"/>
  <c r="H316" i="7" s="1"/>
  <c r="G841" i="7"/>
  <c r="H841" i="7" s="1"/>
  <c r="G278" i="7"/>
  <c r="H278" i="7" s="1"/>
  <c r="G960" i="7"/>
  <c r="H960" i="7" s="1"/>
  <c r="G594" i="7"/>
  <c r="H594" i="7" s="1"/>
  <c r="G816" i="7"/>
  <c r="H816" i="7" s="1"/>
  <c r="G314" i="7"/>
  <c r="H314" i="7" s="1"/>
  <c r="G32" i="7"/>
  <c r="H32" i="7" s="1"/>
  <c r="G26" i="7"/>
  <c r="H26" i="7" s="1"/>
  <c r="G88" i="62"/>
  <c r="G428" i="7"/>
  <c r="H428" i="7" s="1"/>
  <c r="G45" i="7"/>
  <c r="H45" i="7" s="1"/>
  <c r="G183" i="7"/>
  <c r="H183" i="7" s="1"/>
  <c r="G450" i="7"/>
  <c r="H450" i="7" s="1"/>
  <c r="G757" i="7"/>
  <c r="H757" i="7" s="1"/>
  <c r="G718" i="7"/>
  <c r="H718" i="7" s="1"/>
  <c r="G758" i="7"/>
  <c r="H758" i="7" s="1"/>
  <c r="G333" i="7"/>
  <c r="H333" i="7" s="1"/>
  <c r="G268" i="7"/>
  <c r="H268" i="7" s="1"/>
  <c r="G474" i="7"/>
  <c r="H474" i="7" s="1"/>
  <c r="G944" i="7"/>
  <c r="H944" i="7" s="1"/>
  <c r="G720" i="7"/>
  <c r="H720" i="7" s="1"/>
  <c r="G22" i="7"/>
  <c r="H22" i="7" s="1"/>
  <c r="G828" i="7"/>
  <c r="H828" i="7" s="1"/>
  <c r="G256" i="7"/>
  <c r="H256" i="7" s="1"/>
  <c r="G215" i="7"/>
  <c r="H215" i="7" s="1"/>
  <c r="G627" i="7"/>
  <c r="H627" i="7" s="1"/>
  <c r="G688" i="7"/>
  <c r="H688" i="7" s="1"/>
  <c r="G31" i="7"/>
  <c r="H31" i="7" s="1"/>
  <c r="G810" i="7"/>
  <c r="H810" i="7" s="1"/>
  <c r="G119" i="62"/>
  <c r="I119" i="62" s="1"/>
  <c r="M119" i="62" s="1"/>
  <c r="G124" i="7"/>
  <c r="H124" i="7" s="1"/>
  <c r="G420" i="7"/>
  <c r="H420" i="7" s="1"/>
  <c r="G554" i="7"/>
  <c r="H554" i="7" s="1"/>
  <c r="G1000" i="7"/>
  <c r="H1000" i="7" s="1"/>
  <c r="G246" i="7"/>
  <c r="H246" i="7" s="1"/>
  <c r="G248" i="7"/>
  <c r="H248" i="7" s="1"/>
  <c r="G409" i="7"/>
  <c r="H409" i="7" s="1"/>
  <c r="G976" i="7"/>
  <c r="H976" i="7" s="1"/>
  <c r="G448" i="7"/>
  <c r="H448" i="7" s="1"/>
  <c r="G282" i="7"/>
  <c r="H282" i="7" s="1"/>
  <c r="G43" i="7"/>
  <c r="H43" i="7" s="1"/>
  <c r="G415" i="7"/>
  <c r="H415" i="7" s="1"/>
  <c r="G596" i="7"/>
  <c r="H596" i="7" s="1"/>
  <c r="G64" i="7"/>
  <c r="H64" i="7" s="1"/>
  <c r="G1016" i="7"/>
  <c r="H1016" i="7" s="1"/>
  <c r="G15" i="62"/>
  <c r="G869" i="7"/>
  <c r="H869" i="7" s="1"/>
  <c r="G652" i="7"/>
  <c r="H652" i="7" s="1"/>
  <c r="G811" i="7"/>
  <c r="H811" i="7" s="1"/>
  <c r="G110" i="7"/>
  <c r="H110" i="7" s="1"/>
  <c r="G95" i="7"/>
  <c r="H95" i="7" s="1"/>
  <c r="G729" i="7"/>
  <c r="H729" i="7" s="1"/>
  <c r="G211" i="7"/>
  <c r="H211" i="7" s="1"/>
  <c r="G522" i="7"/>
  <c r="H522" i="7" s="1"/>
  <c r="G633" i="7"/>
  <c r="H633" i="7" s="1"/>
  <c r="G209" i="7"/>
  <c r="H209" i="7" s="1"/>
  <c r="G725" i="7"/>
  <c r="H725" i="7" s="1"/>
  <c r="G959" i="7"/>
  <c r="H959" i="7" s="1"/>
  <c r="G237" i="7"/>
  <c r="H237" i="7" s="1"/>
  <c r="G997" i="7"/>
  <c r="H997" i="7" s="1"/>
  <c r="G733" i="7"/>
  <c r="H733" i="7" s="1"/>
  <c r="G913" i="7"/>
  <c r="H913" i="7" s="1"/>
  <c r="G465" i="7"/>
  <c r="H465" i="7" s="1"/>
  <c r="G750" i="7"/>
  <c r="H750" i="7" s="1"/>
  <c r="G574" i="7"/>
  <c r="H574" i="7" s="1"/>
  <c r="G37" i="7"/>
  <c r="H37" i="7" s="1"/>
  <c r="G359" i="7"/>
  <c r="H359" i="7" s="1"/>
  <c r="G943" i="7"/>
  <c r="H943" i="7" s="1"/>
  <c r="G69" i="62"/>
  <c r="G59" i="62"/>
  <c r="G147" i="7"/>
  <c r="H147" i="7" s="1"/>
  <c r="G83" i="7"/>
  <c r="H83" i="7" s="1"/>
  <c r="G186" i="7"/>
  <c r="H186" i="7" s="1"/>
  <c r="G304" i="7"/>
  <c r="H304" i="7" s="1"/>
  <c r="G639" i="7"/>
  <c r="H639" i="7" s="1"/>
  <c r="G51" i="7"/>
  <c r="H51" i="7" s="1"/>
  <c r="G33" i="7"/>
  <c r="H33" i="7" s="1"/>
  <c r="G250" i="7"/>
  <c r="H250" i="7" s="1"/>
  <c r="G846" i="7"/>
  <c r="H846" i="7" s="1"/>
  <c r="G971" i="7"/>
  <c r="H971" i="7" s="1"/>
  <c r="G910" i="7"/>
  <c r="H910" i="7" s="1"/>
  <c r="G782" i="7"/>
  <c r="H782" i="7" s="1"/>
  <c r="G620" i="7"/>
  <c r="H620" i="7" s="1"/>
  <c r="G39" i="7"/>
  <c r="H39" i="7" s="1"/>
  <c r="G337" i="7"/>
  <c r="H337" i="7" s="1"/>
  <c r="G915" i="7"/>
  <c r="H915" i="7" s="1"/>
  <c r="G114" i="7"/>
  <c r="H114" i="7" s="1"/>
  <c r="G989" i="7"/>
  <c r="H989" i="7" s="1"/>
  <c r="G297" i="7"/>
  <c r="H297" i="7" s="1"/>
  <c r="G957" i="7"/>
  <c r="H957" i="7" s="1"/>
  <c r="G378" i="7"/>
  <c r="H378" i="7" s="1"/>
  <c r="G893" i="7"/>
  <c r="H893" i="7" s="1"/>
  <c r="G941" i="7"/>
  <c r="H941" i="7" s="1"/>
  <c r="G286" i="7"/>
  <c r="H286" i="7" s="1"/>
  <c r="G735" i="7"/>
  <c r="H735" i="7" s="1"/>
  <c r="G157" i="7"/>
  <c r="H157" i="7" s="1"/>
  <c r="G320" i="7"/>
  <c r="H320" i="7" s="1"/>
  <c r="G922" i="7"/>
  <c r="H922" i="7" s="1"/>
  <c r="G43" i="62"/>
  <c r="G838" i="7"/>
  <c r="H838" i="7" s="1"/>
  <c r="G329" i="7"/>
  <c r="H329" i="7" s="1"/>
  <c r="G399" i="7"/>
  <c r="H399" i="7" s="1"/>
  <c r="G877" i="7"/>
  <c r="H877" i="7" s="1"/>
  <c r="G681" i="7"/>
  <c r="H681" i="7" s="1"/>
  <c r="G724" i="7"/>
  <c r="H724" i="7" s="1"/>
  <c r="G965" i="7"/>
  <c r="H965" i="7" s="1"/>
  <c r="G425" i="7"/>
  <c r="H425" i="7" s="1"/>
  <c r="G982" i="7"/>
  <c r="H982" i="7" s="1"/>
  <c r="G700" i="7"/>
  <c r="H700" i="7" s="1"/>
  <c r="G66" i="62"/>
  <c r="I66" i="62" s="1"/>
  <c r="G934" i="7"/>
  <c r="H934" i="7" s="1"/>
  <c r="G707" i="7"/>
  <c r="H707" i="7" s="1"/>
  <c r="G752" i="7"/>
  <c r="H752" i="7" s="1"/>
  <c r="G284" i="7"/>
  <c r="H284" i="7" s="1"/>
  <c r="G876" i="7"/>
  <c r="H876" i="7" s="1"/>
  <c r="G873" i="7"/>
  <c r="H873" i="7" s="1"/>
  <c r="G469" i="7"/>
  <c r="H469" i="7" s="1"/>
  <c r="G438" i="7"/>
  <c r="H438" i="7" s="1"/>
  <c r="G149" i="62"/>
  <c r="I149" i="62" s="1"/>
  <c r="M149" i="62" s="1"/>
  <c r="G123" i="62"/>
  <c r="I123" i="62" s="1"/>
  <c r="M123" i="62" s="1"/>
  <c r="G744" i="7"/>
  <c r="H744" i="7" s="1"/>
  <c r="G82" i="62"/>
  <c r="G912" i="7"/>
  <c r="H912" i="7" s="1"/>
  <c r="G654" i="7"/>
  <c r="H654" i="7" s="1"/>
  <c r="BA82" i="4"/>
  <c r="AZ81" i="4"/>
  <c r="BB81" i="4" s="1"/>
  <c r="A27" i="29"/>
  <c r="D215" i="30"/>
  <c r="G241" i="7" s="1"/>
  <c r="H241" i="7" s="1"/>
  <c r="A217" i="30"/>
  <c r="D217" i="30" s="1"/>
  <c r="G668" i="7" s="1"/>
  <c r="H668" i="7" s="1"/>
  <c r="AK116" i="29"/>
  <c r="D116" i="29" s="1"/>
  <c r="AL116" i="29"/>
  <c r="C116" i="29" s="1"/>
  <c r="G367" i="7" l="1"/>
  <c r="H367" i="7" s="1"/>
  <c r="G896" i="7"/>
  <c r="H896" i="7" s="1"/>
  <c r="G818" i="7"/>
  <c r="H818" i="7" s="1"/>
  <c r="G392" i="7"/>
  <c r="H392" i="7" s="1"/>
  <c r="G619" i="7"/>
  <c r="H619" i="7" s="1"/>
  <c r="G372" i="7"/>
  <c r="H372" i="7" s="1"/>
  <c r="G152" i="7"/>
  <c r="H152" i="7" s="1"/>
  <c r="G783" i="7"/>
  <c r="H783" i="7" s="1"/>
  <c r="G436" i="7"/>
  <c r="H436" i="7" s="1"/>
  <c r="G120" i="7"/>
  <c r="H120" i="7" s="1"/>
  <c r="G404" i="7"/>
  <c r="H404" i="7" s="1"/>
  <c r="G277" i="7"/>
  <c r="H277" i="7" s="1"/>
  <c r="G790" i="7"/>
  <c r="H790" i="7" s="1"/>
  <c r="G655" i="7"/>
  <c r="H655" i="7" s="1"/>
  <c r="G175" i="62"/>
  <c r="H175" i="62" s="1"/>
  <c r="I175" i="62" s="1"/>
  <c r="G883" i="7"/>
  <c r="H883" i="7" s="1"/>
  <c r="G165" i="7"/>
  <c r="H165" i="7" s="1"/>
  <c r="G106" i="7"/>
  <c r="H106" i="7" s="1"/>
  <c r="G90" i="62"/>
  <c r="G856" i="7"/>
  <c r="H856" i="7" s="1"/>
  <c r="G593" i="7"/>
  <c r="H593" i="7" s="1"/>
  <c r="G579" i="7"/>
  <c r="H579" i="7" s="1"/>
  <c r="G270" i="7"/>
  <c r="H270" i="7" s="1"/>
  <c r="G308" i="7"/>
  <c r="H308" i="7" s="1"/>
  <c r="G148" i="7"/>
  <c r="H148" i="7" s="1"/>
  <c r="G93" i="7"/>
  <c r="H93" i="7" s="1"/>
  <c r="G35" i="7"/>
  <c r="H35" i="7" s="1"/>
  <c r="G492" i="7"/>
  <c r="H492" i="7" s="1"/>
  <c r="G867" i="7"/>
  <c r="H867" i="7" s="1"/>
  <c r="G954" i="7"/>
  <c r="H954" i="7" s="1"/>
  <c r="G692" i="7"/>
  <c r="H692" i="7" s="1"/>
  <c r="G452" i="7"/>
  <c r="H452" i="7" s="1"/>
  <c r="G76" i="7"/>
  <c r="H76" i="7" s="1"/>
  <c r="G921" i="7"/>
  <c r="H921" i="7" s="1"/>
  <c r="G628" i="7"/>
  <c r="H628" i="7" s="1"/>
  <c r="G421" i="7"/>
  <c r="H421" i="7" s="1"/>
  <c r="G831" i="7"/>
  <c r="H831" i="7" s="1"/>
  <c r="G1008" i="7"/>
  <c r="H1008" i="7" s="1"/>
  <c r="G295" i="7"/>
  <c r="H295" i="7" s="1"/>
  <c r="G950" i="7"/>
  <c r="H950" i="7" s="1"/>
  <c r="G947" i="7"/>
  <c r="H947" i="7" s="1"/>
  <c r="G586" i="7"/>
  <c r="H586" i="7" s="1"/>
  <c r="G57" i="7"/>
  <c r="H57" i="7" s="1"/>
  <c r="G557" i="7"/>
  <c r="H557" i="7" s="1"/>
  <c r="G414" i="7"/>
  <c r="H414" i="7" s="1"/>
  <c r="G701" i="7"/>
  <c r="H701" i="7" s="1"/>
  <c r="G15" i="7"/>
  <c r="H15" i="7" s="1"/>
  <c r="G140" i="7"/>
  <c r="H140" i="7" s="1"/>
  <c r="G113" i="62"/>
  <c r="I113" i="62" s="1"/>
  <c r="M113" i="62" s="1"/>
  <c r="G276" i="7"/>
  <c r="H276" i="7" s="1"/>
  <c r="G1015" i="7"/>
  <c r="H1015" i="7" s="1"/>
  <c r="G597" i="7"/>
  <c r="H597" i="7" s="1"/>
  <c r="G113" i="7"/>
  <c r="H113" i="7" s="1"/>
  <c r="G721" i="7"/>
  <c r="H721" i="7" s="1"/>
  <c r="G482" i="7"/>
  <c r="H482" i="7" s="1"/>
  <c r="G383" i="7"/>
  <c r="H383" i="7" s="1"/>
  <c r="G29" i="62"/>
  <c r="G698" i="7"/>
  <c r="H698" i="7" s="1"/>
  <c r="G819" i="7"/>
  <c r="H819" i="7" s="1"/>
  <c r="G749" i="7"/>
  <c r="H749" i="7" s="1"/>
  <c r="G393" i="7"/>
  <c r="H393" i="7" s="1"/>
  <c r="G488" i="7"/>
  <c r="H488" i="7" s="1"/>
  <c r="G41" i="7"/>
  <c r="H41" i="7" s="1"/>
  <c r="G754" i="7"/>
  <c r="H754" i="7" s="1"/>
  <c r="G931" i="7"/>
  <c r="H931" i="7" s="1"/>
  <c r="G592" i="7"/>
  <c r="H592" i="7" s="1"/>
  <c r="G544" i="7"/>
  <c r="H544" i="7" s="1"/>
  <c r="G177" i="7"/>
  <c r="H177" i="7" s="1"/>
  <c r="G930" i="7"/>
  <c r="H930" i="7" s="1"/>
  <c r="G352" i="7"/>
  <c r="H352" i="7" s="1"/>
  <c r="G327" i="7"/>
  <c r="H327" i="7" s="1"/>
  <c r="G821" i="7"/>
  <c r="H821" i="7" s="1"/>
  <c r="G51" i="62"/>
  <c r="G255" i="7"/>
  <c r="H255" i="7" s="1"/>
  <c r="G696" i="7"/>
  <c r="H696" i="7" s="1"/>
  <c r="G929" i="7"/>
  <c r="H929" i="7" s="1"/>
  <c r="G291" i="7"/>
  <c r="H291" i="7" s="1"/>
  <c r="G765" i="7"/>
  <c r="H765" i="7" s="1"/>
  <c r="G891" i="7"/>
  <c r="H891" i="7" s="1"/>
  <c r="G265" i="7"/>
  <c r="H265" i="7" s="1"/>
  <c r="G546" i="7"/>
  <c r="H546" i="7" s="1"/>
  <c r="G135" i="7"/>
  <c r="H135" i="7" s="1"/>
  <c r="G923" i="7"/>
  <c r="H923" i="7" s="1"/>
  <c r="G948" i="7"/>
  <c r="H948" i="7" s="1"/>
  <c r="G14" i="7"/>
  <c r="H14" i="7" s="1"/>
  <c r="G499" i="7"/>
  <c r="H499" i="7" s="1"/>
  <c r="G908" i="7"/>
  <c r="H908" i="7" s="1"/>
  <c r="G932" i="7"/>
  <c r="H932" i="7" s="1"/>
  <c r="G20" i="7"/>
  <c r="H20" i="7" s="1"/>
  <c r="G63" i="62"/>
  <c r="I63" i="62" s="1"/>
  <c r="G358" i="7"/>
  <c r="H358" i="7" s="1"/>
  <c r="G17" i="7"/>
  <c r="H17" i="7" s="1"/>
  <c r="G101" i="7"/>
  <c r="H101" i="7" s="1"/>
  <c r="G1007" i="7"/>
  <c r="H1007" i="7" s="1"/>
  <c r="G293" i="7"/>
  <c r="H293" i="7" s="1"/>
  <c r="G398" i="7"/>
  <c r="H398" i="7" s="1"/>
  <c r="G477" i="7"/>
  <c r="H477" i="7" s="1"/>
  <c r="G903" i="7"/>
  <c r="H903" i="7" s="1"/>
  <c r="G11" i="7"/>
  <c r="H11" i="7" s="1"/>
  <c r="G979" i="7"/>
  <c r="H979" i="7" s="1"/>
  <c r="G77" i="7"/>
  <c r="H77" i="7" s="1"/>
  <c r="G958" i="7"/>
  <c r="H958" i="7" s="1"/>
  <c r="G467" i="7"/>
  <c r="H467" i="7" s="1"/>
  <c r="G142" i="7"/>
  <c r="H142" i="7" s="1"/>
  <c r="G670" i="7"/>
  <c r="H670" i="7" s="1"/>
  <c r="G125" i="62"/>
  <c r="I125" i="62" s="1"/>
  <c r="M125" i="62" s="1"/>
  <c r="G193" i="7"/>
  <c r="H193" i="7" s="1"/>
  <c r="G637" i="7"/>
  <c r="H637" i="7" s="1"/>
  <c r="G61" i="7"/>
  <c r="H61" i="7" s="1"/>
  <c r="G444" i="7"/>
  <c r="H444" i="7" s="1"/>
  <c r="G447" i="7"/>
  <c r="H447" i="7" s="1"/>
  <c r="G23" i="7"/>
  <c r="H23" i="7" s="1"/>
  <c r="G901" i="7"/>
  <c r="H901" i="7" s="1"/>
  <c r="G651" i="7"/>
  <c r="H651" i="7" s="1"/>
  <c r="G984" i="7"/>
  <c r="H984" i="7" s="1"/>
  <c r="G69" i="7"/>
  <c r="H69" i="7" s="1"/>
  <c r="G376" i="7"/>
  <c r="H376" i="7" s="1"/>
  <c r="G669" i="7"/>
  <c r="H669" i="7" s="1"/>
  <c r="G805" i="7"/>
  <c r="H805" i="7" s="1"/>
  <c r="G690" i="7"/>
  <c r="H690" i="7" s="1"/>
  <c r="G697" i="7"/>
  <c r="H697" i="7" s="1"/>
  <c r="G388" i="7"/>
  <c r="H388" i="7" s="1"/>
  <c r="G162" i="7"/>
  <c r="H162" i="7" s="1"/>
  <c r="G107" i="7"/>
  <c r="H107" i="7" s="1"/>
  <c r="G274" i="7"/>
  <c r="H274" i="7" s="1"/>
  <c r="G719" i="7"/>
  <c r="H719" i="7" s="1"/>
  <c r="G109" i="7"/>
  <c r="H109" i="7" s="1"/>
  <c r="G642" i="7"/>
  <c r="H642" i="7" s="1"/>
  <c r="G87" i="62"/>
  <c r="G300" i="7"/>
  <c r="H300" i="7" s="1"/>
  <c r="G875" i="7"/>
  <c r="H875" i="7" s="1"/>
  <c r="G616" i="7"/>
  <c r="H616" i="7" s="1"/>
  <c r="G350" i="7"/>
  <c r="H350" i="7" s="1"/>
  <c r="G928" i="7"/>
  <c r="H928" i="7" s="1"/>
  <c r="G866" i="7"/>
  <c r="H866" i="7" s="1"/>
  <c r="G916" i="7"/>
  <c r="H916" i="7" s="1"/>
  <c r="G364" i="7"/>
  <c r="H364" i="7" s="1"/>
  <c r="G612" i="7"/>
  <c r="H612" i="7" s="1"/>
  <c r="G771" i="7"/>
  <c r="H771" i="7" s="1"/>
  <c r="G323" i="7"/>
  <c r="H323" i="7" s="1"/>
  <c r="G1009" i="7"/>
  <c r="H1009" i="7" s="1"/>
  <c r="G405" i="7"/>
  <c r="H405" i="7" s="1"/>
  <c r="G468" i="7"/>
  <c r="H468" i="7" s="1"/>
  <c r="G417" i="7"/>
  <c r="H417" i="7" s="1"/>
  <c r="G761" i="7"/>
  <c r="H761" i="7" s="1"/>
  <c r="G107" i="62"/>
  <c r="I107" i="62" s="1"/>
  <c r="M107" i="62" s="1"/>
  <c r="G289" i="7"/>
  <c r="H289" i="7" s="1"/>
  <c r="G225" i="7"/>
  <c r="H225" i="7" s="1"/>
  <c r="G551" i="7"/>
  <c r="H551" i="7" s="1"/>
  <c r="G882" i="7"/>
  <c r="H882" i="7" s="1"/>
  <c r="G387" i="7"/>
  <c r="H387" i="7" s="1"/>
  <c r="G75" i="7"/>
  <c r="H75" i="7" s="1"/>
  <c r="G503" i="7"/>
  <c r="H503" i="7" s="1"/>
  <c r="G123" i="7"/>
  <c r="H123" i="7" s="1"/>
  <c r="G391" i="7"/>
  <c r="H391" i="7" s="1"/>
  <c r="G208" i="7"/>
  <c r="H208" i="7" s="1"/>
  <c r="G82" i="7"/>
  <c r="H82" i="7" s="1"/>
  <c r="G236" i="7"/>
  <c r="H236" i="7" s="1"/>
  <c r="G198" i="7"/>
  <c r="H198" i="7" s="1"/>
  <c r="G104" i="7"/>
  <c r="H104" i="7" s="1"/>
  <c r="G126" i="7"/>
  <c r="H126" i="7" s="1"/>
  <c r="G139" i="62"/>
  <c r="I139" i="62" s="1"/>
  <c r="M139" i="62" s="1"/>
  <c r="G686" i="7"/>
  <c r="H686" i="7" s="1"/>
  <c r="G791" i="7"/>
  <c r="H791" i="7" s="1"/>
  <c r="G520" i="7"/>
  <c r="H520" i="7" s="1"/>
  <c r="G458" i="7"/>
  <c r="H458" i="7" s="1"/>
  <c r="G213" i="7"/>
  <c r="H213" i="7" s="1"/>
  <c r="G204" i="7"/>
  <c r="H204" i="7" s="1"/>
  <c r="G945" i="7"/>
  <c r="H945" i="7" s="1"/>
  <c r="G962" i="7"/>
  <c r="H962" i="7" s="1"/>
  <c r="G131" i="7"/>
  <c r="H131" i="7" s="1"/>
  <c r="G939" i="7"/>
  <c r="H939" i="7" s="1"/>
  <c r="G726" i="7"/>
  <c r="H726" i="7" s="1"/>
  <c r="G16" i="7"/>
  <c r="H16" i="7" s="1"/>
  <c r="G462" i="7"/>
  <c r="H462" i="7" s="1"/>
  <c r="G605" i="7"/>
  <c r="H605" i="7" s="1"/>
  <c r="G809" i="7"/>
  <c r="H809" i="7" s="1"/>
  <c r="G57" i="62"/>
  <c r="I57" i="62" s="1"/>
  <c r="G483" i="7"/>
  <c r="H483" i="7" s="1"/>
  <c r="G854" i="7"/>
  <c r="H854" i="7" s="1"/>
  <c r="G271" i="7"/>
  <c r="H271" i="7" s="1"/>
  <c r="G660" i="7"/>
  <c r="H660" i="7" s="1"/>
  <c r="G737" i="7"/>
  <c r="H737" i="7" s="1"/>
  <c r="G863" i="7"/>
  <c r="H863" i="7" s="1"/>
  <c r="G385" i="7"/>
  <c r="H385" i="7" s="1"/>
  <c r="G709" i="7"/>
  <c r="H709" i="7" s="1"/>
  <c r="G96" i="7"/>
  <c r="H96" i="7" s="1"/>
  <c r="G155" i="7"/>
  <c r="H155" i="7" s="1"/>
  <c r="G535" i="7"/>
  <c r="H535" i="7" s="1"/>
  <c r="G296" i="7"/>
  <c r="H296" i="7" s="1"/>
  <c r="G814" i="7"/>
  <c r="H814" i="7" s="1"/>
  <c r="G273" i="7"/>
  <c r="H273" i="7" s="1"/>
  <c r="G203" i="7"/>
  <c r="H203" i="7" s="1"/>
  <c r="G192" i="7"/>
  <c r="H192" i="7" s="1"/>
  <c r="G970" i="7"/>
  <c r="H970" i="7" s="1"/>
  <c r="G235" i="7"/>
  <c r="H235" i="7" s="1"/>
  <c r="G578" i="7"/>
  <c r="H578" i="7" s="1"/>
  <c r="G648" i="7"/>
  <c r="H648" i="7" s="1"/>
  <c r="G779" i="7"/>
  <c r="H779" i="7" s="1"/>
  <c r="G219" i="7"/>
  <c r="H219" i="7" s="1"/>
  <c r="G537" i="7"/>
  <c r="H537" i="7" s="1"/>
  <c r="G151" i="7"/>
  <c r="H151" i="7" s="1"/>
  <c r="G176" i="62"/>
  <c r="I176" i="62" s="1"/>
  <c r="G52" i="62"/>
  <c r="G524" i="7"/>
  <c r="H524" i="7" s="1"/>
  <c r="G784" i="7"/>
  <c r="H784" i="7" s="1"/>
  <c r="G756" i="7"/>
  <c r="H756" i="7" s="1"/>
  <c r="G545" i="7"/>
  <c r="H545" i="7" s="1"/>
  <c r="G498" i="7"/>
  <c r="H498" i="7" s="1"/>
  <c r="G18" i="7"/>
  <c r="H18" i="7" s="1"/>
  <c r="G132" i="7"/>
  <c r="H132" i="7" s="1"/>
  <c r="G942" i="7"/>
  <c r="H942" i="7" s="1"/>
  <c r="G571" i="7"/>
  <c r="H571" i="7" s="1"/>
  <c r="G253" i="7"/>
  <c r="H253" i="7" s="1"/>
  <c r="G437" i="7"/>
  <c r="H437" i="7" s="1"/>
  <c r="G440" i="7"/>
  <c r="H440" i="7" s="1"/>
  <c r="G674" i="7"/>
  <c r="H674" i="7" s="1"/>
  <c r="G879" i="7"/>
  <c r="H879" i="7" s="1"/>
  <c r="G920" i="7"/>
  <c r="H920" i="7" s="1"/>
  <c r="G313" i="7"/>
  <c r="H313" i="7" s="1"/>
  <c r="G455" i="7"/>
  <c r="H455" i="7" s="1"/>
  <c r="G796" i="7"/>
  <c r="H796" i="7" s="1"/>
  <c r="G103" i="7"/>
  <c r="H103" i="7" s="1"/>
  <c r="G490" i="7"/>
  <c r="H490" i="7" s="1"/>
  <c r="G245" i="7"/>
  <c r="H245" i="7" s="1"/>
  <c r="G56" i="62"/>
  <c r="G130" i="7"/>
  <c r="H130" i="7" s="1"/>
  <c r="G829" i="7"/>
  <c r="H829" i="7" s="1"/>
  <c r="G994" i="7"/>
  <c r="H994" i="7" s="1"/>
  <c r="G861" i="7"/>
  <c r="H861" i="7" s="1"/>
  <c r="G479" i="7"/>
  <c r="H479" i="7" s="1"/>
  <c r="G185" i="7"/>
  <c r="H185" i="7" s="1"/>
  <c r="G17" i="62"/>
  <c r="G649" i="7"/>
  <c r="H649" i="7" s="1"/>
  <c r="G1010" i="7"/>
  <c r="H1010" i="7" s="1"/>
  <c r="G808" i="7"/>
  <c r="H808" i="7" s="1"/>
  <c r="G411" i="7"/>
  <c r="H411" i="7" s="1"/>
  <c r="G881" i="7"/>
  <c r="H881" i="7" s="1"/>
  <c r="G373" i="7"/>
  <c r="H373" i="7" s="1"/>
  <c r="G493" i="7"/>
  <c r="H493" i="7" s="1"/>
  <c r="G938" i="7"/>
  <c r="H938" i="7" s="1"/>
  <c r="G151" i="62"/>
  <c r="I151" i="62" s="1"/>
  <c r="M151" i="62" s="1"/>
  <c r="G338" i="7"/>
  <c r="H338" i="7" s="1"/>
  <c r="G727" i="7"/>
  <c r="H727" i="7" s="1"/>
  <c r="G182" i="7"/>
  <c r="H182" i="7" s="1"/>
  <c r="G801" i="7"/>
  <c r="H801" i="7" s="1"/>
  <c r="G272" i="7"/>
  <c r="H272" i="7" s="1"/>
  <c r="G403" i="7"/>
  <c r="H403" i="7" s="1"/>
  <c r="G508" i="7"/>
  <c r="H508" i="7" s="1"/>
  <c r="G78" i="7"/>
  <c r="H78" i="7" s="1"/>
  <c r="G264" i="7"/>
  <c r="H264" i="7" s="1"/>
  <c r="G103" i="62"/>
  <c r="I103" i="62" s="1"/>
  <c r="M103" i="62" s="1"/>
  <c r="G538" i="7"/>
  <c r="H538" i="7" s="1"/>
  <c r="G279" i="7"/>
  <c r="H279" i="7" s="1"/>
  <c r="G804" i="7"/>
  <c r="H804" i="7" s="1"/>
  <c r="G1017" i="7"/>
  <c r="H1017" i="7" s="1"/>
  <c r="G887" i="7"/>
  <c r="H887" i="7" s="1"/>
  <c r="G60" i="62"/>
  <c r="I60" i="62" s="1"/>
  <c r="G115" i="7"/>
  <c r="H115" i="7" s="1"/>
  <c r="G609" i="7"/>
  <c r="H609" i="7" s="1"/>
  <c r="G382" i="7"/>
  <c r="H382" i="7" s="1"/>
  <c r="G413" i="7"/>
  <c r="H413" i="7" s="1"/>
  <c r="G128" i="7"/>
  <c r="H128" i="7" s="1"/>
  <c r="G118" i="7"/>
  <c r="H118" i="7" s="1"/>
  <c r="G736" i="7"/>
  <c r="H736" i="7" s="1"/>
  <c r="G849" i="7"/>
  <c r="H849" i="7" s="1"/>
  <c r="G169" i="7"/>
  <c r="H169" i="7" s="1"/>
  <c r="G121" i="7"/>
  <c r="H121" i="7" s="1"/>
  <c r="G590" i="7"/>
  <c r="H590" i="7" s="1"/>
  <c r="G510" i="7"/>
  <c r="H510" i="7" s="1"/>
  <c r="G855" i="7"/>
  <c r="H855" i="7" s="1"/>
  <c r="G118" i="62"/>
  <c r="I118" i="62" s="1"/>
  <c r="M118" i="62" s="1"/>
  <c r="G238" i="7"/>
  <c r="H238" i="7" s="1"/>
  <c r="G334" i="7"/>
  <c r="H334" i="7" s="1"/>
  <c r="G122" i="62"/>
  <c r="I122" i="62" s="1"/>
  <c r="M122" i="62" s="1"/>
  <c r="G188" i="7"/>
  <c r="H188" i="7" s="1"/>
  <c r="G357" i="7"/>
  <c r="H357" i="7" s="1"/>
  <c r="G710" i="7"/>
  <c r="H710" i="7" s="1"/>
  <c r="G607" i="7"/>
  <c r="H607" i="7" s="1"/>
  <c r="G322" i="7"/>
  <c r="H322" i="7" s="1"/>
  <c r="G386" i="7"/>
  <c r="H386" i="7" s="1"/>
  <c r="G961" i="7"/>
  <c r="H961" i="7" s="1"/>
  <c r="G764" i="7"/>
  <c r="H764" i="7" s="1"/>
  <c r="G555" i="7"/>
  <c r="H555" i="7" s="1"/>
  <c r="G981" i="7"/>
  <c r="H981" i="7" s="1"/>
  <c r="G466" i="7"/>
  <c r="H466" i="7" s="1"/>
  <c r="G25" i="62"/>
  <c r="G731" i="7"/>
  <c r="H731" i="7" s="1"/>
  <c r="G375" i="7"/>
  <c r="H375" i="7" s="1"/>
  <c r="G423" i="7"/>
  <c r="H423" i="7" s="1"/>
  <c r="G354" i="7"/>
  <c r="H354" i="7" s="1"/>
  <c r="G565" i="7"/>
  <c r="H565" i="7" s="1"/>
  <c r="G650" i="7"/>
  <c r="H650" i="7" s="1"/>
  <c r="G44" i="7"/>
  <c r="H44" i="7" s="1"/>
  <c r="G139" i="7"/>
  <c r="H139" i="7" s="1"/>
  <c r="G202" i="7"/>
  <c r="H202" i="7" s="1"/>
  <c r="G864" i="7"/>
  <c r="H864" i="7" s="1"/>
  <c r="G407" i="7"/>
  <c r="H407" i="7" s="1"/>
  <c r="G585" i="7"/>
  <c r="H585" i="7" s="1"/>
  <c r="G397" i="7"/>
  <c r="H397" i="7" s="1"/>
  <c r="G67" i="7"/>
  <c r="H67" i="7" s="1"/>
  <c r="G769" i="7"/>
  <c r="H769" i="7" s="1"/>
  <c r="G142" i="62"/>
  <c r="I142" i="62" s="1"/>
  <c r="M142" i="62" s="1"/>
  <c r="G161" i="7"/>
  <c r="H161" i="7" s="1"/>
  <c r="G608" i="7"/>
  <c r="H608" i="7" s="1"/>
  <c r="G218" i="7"/>
  <c r="H218" i="7" s="1"/>
  <c r="G638" i="7"/>
  <c r="H638" i="7" s="1"/>
  <c r="G366" i="7"/>
  <c r="H366" i="7" s="1"/>
  <c r="G587" i="7"/>
  <c r="H587" i="7" s="1"/>
  <c r="G839" i="7"/>
  <c r="H839" i="7" s="1"/>
  <c r="G812" i="7"/>
  <c r="H812" i="7" s="1"/>
  <c r="G29" i="7"/>
  <c r="H29" i="7" s="1"/>
  <c r="G9" i="7"/>
  <c r="H9" i="7" s="1"/>
  <c r="G355" i="7"/>
  <c r="H355" i="7" s="1"/>
  <c r="G635" i="7"/>
  <c r="H635" i="7" s="1"/>
  <c r="G813" i="7"/>
  <c r="H813" i="7" s="1"/>
  <c r="G543" i="7"/>
  <c r="H543" i="7" s="1"/>
  <c r="G52" i="7"/>
  <c r="H52" i="7" s="1"/>
  <c r="G161" i="62"/>
  <c r="I161" i="62" s="1"/>
  <c r="M161" i="62" s="1"/>
  <c r="G115" i="62"/>
  <c r="I115" i="62" s="1"/>
  <c r="M115" i="62" s="1"/>
  <c r="G581" i="7"/>
  <c r="H581" i="7" s="1"/>
  <c r="G501" i="7"/>
  <c r="H501" i="7" s="1"/>
  <c r="G239" i="7"/>
  <c r="H239" i="7" s="1"/>
  <c r="G623" i="7"/>
  <c r="H623" i="7" s="1"/>
  <c r="G977" i="7"/>
  <c r="H977" i="7" s="1"/>
  <c r="G389" i="7"/>
  <c r="H389" i="7" s="1"/>
  <c r="G626" i="7"/>
  <c r="H626" i="7" s="1"/>
  <c r="G62" i="7"/>
  <c r="H62" i="7" s="1"/>
  <c r="G917" i="7"/>
  <c r="H917" i="7" s="1"/>
  <c r="G424" i="7"/>
  <c r="H424" i="7" s="1"/>
  <c r="G143" i="7"/>
  <c r="H143" i="7" s="1"/>
  <c r="G223" i="7"/>
  <c r="H223" i="7" s="1"/>
  <c r="G336" i="7"/>
  <c r="H336" i="7" s="1"/>
  <c r="G687" i="7"/>
  <c r="H687" i="7" s="1"/>
  <c r="G617" i="7"/>
  <c r="H617" i="7" s="1"/>
  <c r="G826" i="7"/>
  <c r="H826" i="7" s="1"/>
  <c r="G1004" i="7"/>
  <c r="H1004" i="7" s="1"/>
  <c r="G298" i="7"/>
  <c r="H298" i="7" s="1"/>
  <c r="G985" i="7"/>
  <c r="H985" i="7" s="1"/>
  <c r="G573" i="7"/>
  <c r="H573" i="7" s="1"/>
  <c r="G63" i="7"/>
  <c r="H63" i="7" s="1"/>
  <c r="G780" i="7"/>
  <c r="H780" i="7" s="1"/>
  <c r="G663" i="7"/>
  <c r="H663" i="7" s="1"/>
  <c r="G946" i="7"/>
  <c r="H946" i="7" s="1"/>
  <c r="G486" i="7"/>
  <c r="H486" i="7" s="1"/>
  <c r="G797" i="7"/>
  <c r="H797" i="7" s="1"/>
  <c r="G940" i="7"/>
  <c r="H940" i="7" s="1"/>
  <c r="G19" i="62"/>
  <c r="G426" i="7"/>
  <c r="H426" i="7" s="1"/>
  <c r="G318" i="7"/>
  <c r="H318" i="7" s="1"/>
  <c r="G933" i="7"/>
  <c r="H933" i="7" s="1"/>
  <c r="G973" i="7"/>
  <c r="H973" i="7" s="1"/>
  <c r="G515" i="7"/>
  <c r="H515" i="7" s="1"/>
  <c r="G1003" i="7"/>
  <c r="H1003" i="7" s="1"/>
  <c r="G760" i="7"/>
  <c r="H760" i="7" s="1"/>
  <c r="G121" i="62"/>
  <c r="I121" i="62" s="1"/>
  <c r="M121" i="62" s="1"/>
  <c r="G532" i="7"/>
  <c r="H532" i="7" s="1"/>
  <c r="G799" i="7"/>
  <c r="H799" i="7" s="1"/>
  <c r="G507" i="7"/>
  <c r="H507" i="7" s="1"/>
  <c r="G46" i="7"/>
  <c r="H46" i="7" s="1"/>
  <c r="G878" i="7"/>
  <c r="H878" i="7" s="1"/>
  <c r="G952" i="7"/>
  <c r="H952" i="7" s="1"/>
  <c r="G560" i="7"/>
  <c r="H560" i="7" s="1"/>
  <c r="G429" i="7"/>
  <c r="H429" i="7" s="1"/>
  <c r="G463" i="7"/>
  <c r="H463" i="7" s="1"/>
  <c r="G306" i="7"/>
  <c r="H306" i="7" s="1"/>
  <c r="G54" i="7"/>
  <c r="H54" i="7" s="1"/>
  <c r="G708" i="7"/>
  <c r="H708" i="7" s="1"/>
  <c r="G539" i="7"/>
  <c r="H539" i="7" s="1"/>
  <c r="G332" i="7"/>
  <c r="H332" i="7" s="1"/>
  <c r="G116" i="7"/>
  <c r="H116" i="7" s="1"/>
  <c r="G21" i="62"/>
  <c r="G691" i="7"/>
  <c r="H691" i="7" s="1"/>
  <c r="G678" i="7"/>
  <c r="H678" i="7" s="1"/>
  <c r="G762" i="7"/>
  <c r="H762" i="7" s="1"/>
  <c r="G925" i="7"/>
  <c r="H925" i="7" s="1"/>
  <c r="G180" i="7"/>
  <c r="H180" i="7" s="1"/>
  <c r="G871" i="7"/>
  <c r="H871" i="7" s="1"/>
  <c r="G341" i="7"/>
  <c r="H341" i="7" s="1"/>
  <c r="G60" i="7"/>
  <c r="H60" i="7" s="1"/>
  <c r="G824" i="7"/>
  <c r="H824" i="7" s="1"/>
  <c r="G473" i="7"/>
  <c r="H473" i="7" s="1"/>
  <c r="G266" i="7"/>
  <c r="H266" i="7" s="1"/>
  <c r="G98" i="7"/>
  <c r="H98" i="7" s="1"/>
  <c r="G803" i="7"/>
  <c r="H803" i="7" s="1"/>
  <c r="G191" i="7"/>
  <c r="H191" i="7" s="1"/>
  <c r="G794" i="7"/>
  <c r="H794" i="7" s="1"/>
  <c r="G140" i="62"/>
  <c r="I140" i="62" s="1"/>
  <c r="M140" i="62" s="1"/>
  <c r="G919" i="7"/>
  <c r="H919" i="7" s="1"/>
  <c r="G302" i="7"/>
  <c r="H302" i="7" s="1"/>
  <c r="G549" i="7"/>
  <c r="H549" i="7" s="1"/>
  <c r="G416" i="7"/>
  <c r="H416" i="7" s="1"/>
  <c r="G843" i="7"/>
  <c r="H843" i="7" s="1"/>
  <c r="G564" i="7"/>
  <c r="H564" i="7" s="1"/>
  <c r="G294" i="7"/>
  <c r="H294" i="7" s="1"/>
  <c r="G485" i="7"/>
  <c r="H485" i="7" s="1"/>
  <c r="G884" i="7"/>
  <c r="H884" i="7" s="1"/>
  <c r="G310" i="7"/>
  <c r="H310" i="7" s="1"/>
  <c r="G125" i="7"/>
  <c r="H125" i="7" s="1"/>
  <c r="G906" i="7"/>
  <c r="H906" i="7" s="1"/>
  <c r="G71" i="7"/>
  <c r="H71" i="7" s="1"/>
  <c r="G999" i="7"/>
  <c r="H999" i="7" s="1"/>
  <c r="G112" i="7"/>
  <c r="H112" i="7" s="1"/>
  <c r="G48" i="7"/>
  <c r="H48" i="7" s="1"/>
  <c r="G154" i="62"/>
  <c r="I154" i="62" s="1"/>
  <c r="M154" i="62" s="1"/>
  <c r="G494" i="7"/>
  <c r="H494" i="7" s="1"/>
  <c r="G154" i="7"/>
  <c r="H154" i="7" s="1"/>
  <c r="G746" i="7"/>
  <c r="H746" i="7" s="1"/>
  <c r="G187" i="7"/>
  <c r="H187" i="7" s="1"/>
  <c r="G459" i="7"/>
  <c r="H459" i="7" s="1"/>
  <c r="G27" i="7"/>
  <c r="H27" i="7" s="1"/>
  <c r="G288" i="7"/>
  <c r="H288" i="7" s="1"/>
  <c r="G991" i="7"/>
  <c r="H991" i="7" s="1"/>
  <c r="G732" i="7"/>
  <c r="H732" i="7" s="1"/>
  <c r="G972" i="7"/>
  <c r="H972" i="7" s="1"/>
  <c r="G966" i="7"/>
  <c r="H966" i="7" s="1"/>
  <c r="G548" i="7"/>
  <c r="H548" i="7" s="1"/>
  <c r="G365" i="7"/>
  <c r="H365" i="7" s="1"/>
  <c r="G84" i="7"/>
  <c r="H84" i="7" s="1"/>
  <c r="G472" i="7"/>
  <c r="H472" i="7" s="1"/>
  <c r="G975" i="7"/>
  <c r="H975" i="7" s="1"/>
  <c r="G325" i="7"/>
  <c r="H325" i="7" s="1"/>
  <c r="G105" i="7"/>
  <c r="H105" i="7" s="1"/>
  <c r="G380" i="7"/>
  <c r="H380" i="7" s="1"/>
  <c r="G860" i="7"/>
  <c r="H860" i="7" s="1"/>
  <c r="G484" i="7"/>
  <c r="H484" i="7" s="1"/>
  <c r="G491" i="7"/>
  <c r="H491" i="7" s="1"/>
  <c r="G30" i="62"/>
  <c r="G536" i="7"/>
  <c r="H536" i="7" s="1"/>
  <c r="G311" i="7"/>
  <c r="H311" i="7" s="1"/>
  <c r="G665" i="7"/>
  <c r="H665" i="7" s="1"/>
  <c r="G141" i="7"/>
  <c r="H141" i="7" s="1"/>
  <c r="G924" i="7"/>
  <c r="H924" i="7" s="1"/>
  <c r="G556" i="7"/>
  <c r="H556" i="7" s="1"/>
  <c r="G100" i="7"/>
  <c r="H100" i="7" s="1"/>
  <c r="G802" i="7"/>
  <c r="H802" i="7" s="1"/>
  <c r="G168" i="7"/>
  <c r="H168" i="7" s="1"/>
  <c r="G167" i="7"/>
  <c r="H167" i="7" s="1"/>
  <c r="G137" i="7"/>
  <c r="H137" i="7" s="1"/>
  <c r="G823" i="7"/>
  <c r="H823" i="7" s="1"/>
  <c r="G679" i="7"/>
  <c r="H679" i="7" s="1"/>
  <c r="G526" i="7"/>
  <c r="H526" i="7" s="1"/>
  <c r="G599" i="7"/>
  <c r="H599" i="7" s="1"/>
  <c r="G18" i="62"/>
  <c r="I18" i="62" s="1"/>
  <c r="M18" i="62" s="1"/>
  <c r="G806" i="7"/>
  <c r="H806" i="7" s="1"/>
  <c r="G677" i="7"/>
  <c r="H677" i="7" s="1"/>
  <c r="G787" i="7"/>
  <c r="H787" i="7" s="1"/>
  <c r="G870" i="7"/>
  <c r="H870" i="7" s="1"/>
  <c r="G234" i="7"/>
  <c r="H234" i="7" s="1"/>
  <c r="G528" i="7"/>
  <c r="H528" i="7" s="1"/>
  <c r="G618" i="7"/>
  <c r="H618" i="7" s="1"/>
  <c r="G158" i="7"/>
  <c r="H158" i="7" s="1"/>
  <c r="G1005" i="7"/>
  <c r="H1005" i="7" s="1"/>
  <c r="G181" i="7"/>
  <c r="H181" i="7" s="1"/>
  <c r="G835" i="7"/>
  <c r="H835" i="7" s="1"/>
  <c r="G50" i="7"/>
  <c r="H50" i="7" s="1"/>
  <c r="G233" i="7"/>
  <c r="H233" i="7" s="1"/>
  <c r="G212" i="7"/>
  <c r="H212" i="7" s="1"/>
  <c r="G907" i="7"/>
  <c r="H907" i="7" s="1"/>
  <c r="G840" i="7"/>
  <c r="H840" i="7" s="1"/>
  <c r="G28" i="62"/>
  <c r="G232" i="7"/>
  <c r="H232" i="7" s="1"/>
  <c r="G795" i="7"/>
  <c r="H795" i="7" s="1"/>
  <c r="G99" i="7"/>
  <c r="H99" i="7" s="1"/>
  <c r="G899" i="7"/>
  <c r="H899" i="7" s="1"/>
  <c r="G634" i="7"/>
  <c r="H634" i="7" s="1"/>
  <c r="G859" i="7"/>
  <c r="H859" i="7" s="1"/>
  <c r="G927" i="7"/>
  <c r="H927" i="7" s="1"/>
  <c r="G632" i="7"/>
  <c r="H632" i="7" s="1"/>
  <c r="G570" i="7"/>
  <c r="H570" i="7" s="1"/>
  <c r="G34" i="7"/>
  <c r="H34" i="7" s="1"/>
  <c r="G722" i="7"/>
  <c r="H722" i="7" s="1"/>
  <c r="G874" i="7"/>
  <c r="H874" i="7" s="1"/>
  <c r="G629" i="7"/>
  <c r="H629" i="7" s="1"/>
  <c r="G478" i="7"/>
  <c r="H478" i="7" s="1"/>
  <c r="G324" i="7"/>
  <c r="H324" i="7" s="1"/>
  <c r="G160" i="62"/>
  <c r="I160" i="62" s="1"/>
  <c r="M160" i="62" s="1"/>
  <c r="G658" i="7"/>
  <c r="H658" i="7" s="1"/>
  <c r="G496" i="7"/>
  <c r="H496" i="7" s="1"/>
  <c r="G331" i="7"/>
  <c r="H331" i="7" s="1"/>
  <c r="G287" i="7"/>
  <c r="H287" i="7" s="1"/>
  <c r="G506" i="7"/>
  <c r="H506" i="7" s="1"/>
  <c r="G664" i="7"/>
  <c r="H664" i="7" s="1"/>
  <c r="G79" i="7"/>
  <c r="H79" i="7" s="1"/>
  <c r="G408" i="7"/>
  <c r="H408" i="7" s="1"/>
  <c r="G745" i="7"/>
  <c r="H745" i="7" s="1"/>
  <c r="G741" i="7"/>
  <c r="H741" i="7" s="1"/>
  <c r="G576" i="7"/>
  <c r="H576" i="7" s="1"/>
  <c r="G406" i="7"/>
  <c r="H406" i="7" s="1"/>
  <c r="G714" i="7"/>
  <c r="H714" i="7" s="1"/>
  <c r="G441" i="7"/>
  <c r="H441" i="7" s="1"/>
  <c r="G613" i="7"/>
  <c r="H613" i="7" s="1"/>
  <c r="G504" i="7"/>
  <c r="H504" i="7" s="1"/>
  <c r="G986" i="7"/>
  <c r="H986" i="7" s="1"/>
  <c r="G540" i="7"/>
  <c r="H540" i="7" s="1"/>
  <c r="G963" i="7"/>
  <c r="H963" i="7" s="1"/>
  <c r="G446" i="7"/>
  <c r="H446" i="7" s="1"/>
  <c r="G283" i="7"/>
  <c r="H283" i="7" s="1"/>
  <c r="G552" i="7"/>
  <c r="H552" i="7" s="1"/>
  <c r="G190" i="7"/>
  <c r="H190" i="7" s="1"/>
  <c r="G362" i="7"/>
  <c r="H362" i="7" s="1"/>
  <c r="G292" i="7"/>
  <c r="H292" i="7" s="1"/>
  <c r="G23" i="62"/>
  <c r="G307" i="7"/>
  <c r="H307" i="7" s="1"/>
  <c r="G964" i="7"/>
  <c r="H964" i="7" s="1"/>
  <c r="G1012" i="7"/>
  <c r="H1012" i="7" s="1"/>
  <c r="G1013" i="7"/>
  <c r="H1013" i="7" s="1"/>
  <c r="G5" i="7"/>
  <c r="H5" i="7" s="1"/>
  <c r="G800" i="7"/>
  <c r="H800" i="7" s="1"/>
  <c r="G610" i="7"/>
  <c r="H610" i="7" s="1"/>
  <c r="G299" i="7"/>
  <c r="H299" i="7" s="1"/>
  <c r="G956" i="7"/>
  <c r="H956" i="7" s="1"/>
  <c r="G227" i="7"/>
  <c r="H227" i="7" s="1"/>
  <c r="G572" i="7"/>
  <c r="H572" i="7" s="1"/>
  <c r="G673" i="7"/>
  <c r="H673" i="7" s="1"/>
  <c r="G49" i="7"/>
  <c r="H49" i="7" s="1"/>
  <c r="G898" i="7"/>
  <c r="H898" i="7" s="1"/>
  <c r="G108" i="7"/>
  <c r="H108" i="7" s="1"/>
  <c r="G534" i="7"/>
  <c r="H534" i="7" s="1"/>
  <c r="G351" i="7"/>
  <c r="H351" i="7" s="1"/>
  <c r="G862" i="7"/>
  <c r="H862" i="7" s="1"/>
  <c r="G606" i="7"/>
  <c r="H606" i="7" s="1"/>
  <c r="G713" i="7"/>
  <c r="H713" i="7" s="1"/>
  <c r="G395" i="7"/>
  <c r="H395" i="7" s="1"/>
  <c r="G229" i="7"/>
  <c r="H229" i="7" s="1"/>
  <c r="G257" i="7"/>
  <c r="H257" i="7" s="1"/>
  <c r="G156" i="7"/>
  <c r="H156" i="7" s="1"/>
  <c r="G141" i="62"/>
  <c r="I141" i="62" s="1"/>
  <c r="M141" i="62" s="1"/>
  <c r="G837" i="7"/>
  <c r="H837" i="7" s="1"/>
  <c r="G505" i="7"/>
  <c r="H505" i="7" s="1"/>
  <c r="G659" i="7"/>
  <c r="H659" i="7" s="1"/>
  <c r="G13" i="7"/>
  <c r="H13" i="7" s="1"/>
  <c r="G1011" i="7"/>
  <c r="H1011" i="7" s="1"/>
  <c r="G205" i="7"/>
  <c r="H205" i="7" s="1"/>
  <c r="G868" i="7"/>
  <c r="H868" i="7" s="1"/>
  <c r="G66" i="7"/>
  <c r="H66" i="7" s="1"/>
  <c r="G723" i="7"/>
  <c r="H723" i="7" s="1"/>
  <c r="G967" i="7"/>
  <c r="H967" i="7" s="1"/>
  <c r="G7" i="7"/>
  <c r="H7" i="7" s="1"/>
  <c r="G694" i="7"/>
  <c r="H694" i="7" s="1"/>
  <c r="G558" i="7"/>
  <c r="H558" i="7" s="1"/>
  <c r="G675" i="7"/>
  <c r="H675" i="7" s="1"/>
  <c r="G955" i="7"/>
  <c r="H955" i="7" s="1"/>
  <c r="G111" i="62"/>
  <c r="I111" i="62" s="1"/>
  <c r="M111" i="62" s="1"/>
  <c r="G685" i="7"/>
  <c r="H685" i="7" s="1"/>
  <c r="G368" i="7"/>
  <c r="H368" i="7" s="1"/>
  <c r="G640" i="7"/>
  <c r="H640" i="7" s="1"/>
  <c r="G886" i="7"/>
  <c r="H886" i="7" s="1"/>
  <c r="G847" i="7"/>
  <c r="H847" i="7" s="1"/>
  <c r="G647" i="7"/>
  <c r="H647" i="7" s="1"/>
  <c r="G12" i="7"/>
  <c r="H12" i="7" s="1"/>
  <c r="G439" i="7"/>
  <c r="H439" i="7" s="1"/>
  <c r="G716" i="7"/>
  <c r="H716" i="7" s="1"/>
  <c r="G666" i="7"/>
  <c r="H666" i="7" s="1"/>
  <c r="G435" i="7"/>
  <c r="H435" i="7" s="1"/>
  <c r="G793" i="7"/>
  <c r="H793" i="7" s="1"/>
  <c r="G1014" i="7"/>
  <c r="H1014" i="7" s="1"/>
  <c r="G788" i="7"/>
  <c r="H788" i="7" s="1"/>
  <c r="G497" i="7"/>
  <c r="H497" i="7" s="1"/>
  <c r="G122" i="7"/>
  <c r="H122" i="7" s="1"/>
  <c r="G443" i="7"/>
  <c r="H443" i="7" s="1"/>
  <c r="G568" i="7"/>
  <c r="H568" i="7" s="1"/>
  <c r="G603" i="7"/>
  <c r="H603" i="7" s="1"/>
  <c r="G157" i="62"/>
  <c r="I157" i="62" s="1"/>
  <c r="M157" i="62" s="1"/>
  <c r="G249" i="7"/>
  <c r="H249" i="7" s="1"/>
  <c r="G894" i="7"/>
  <c r="H894" i="7" s="1"/>
  <c r="G621" i="7"/>
  <c r="H621" i="7" s="1"/>
  <c r="G214" i="7"/>
  <c r="H214" i="7" s="1"/>
  <c r="G527" i="7"/>
  <c r="H527" i="7" s="1"/>
  <c r="G197" i="7"/>
  <c r="H197" i="7" s="1"/>
  <c r="G689" i="7"/>
  <c r="H689" i="7" s="1"/>
  <c r="G825" i="7"/>
  <c r="H825" i="7" s="1"/>
  <c r="G254" i="7"/>
  <c r="H254" i="7" s="1"/>
  <c r="G911" i="7"/>
  <c r="H911" i="7" s="1"/>
  <c r="G47" i="62"/>
  <c r="G533" i="7"/>
  <c r="H533" i="7" s="1"/>
  <c r="G127" i="7"/>
  <c r="H127" i="7" s="1"/>
  <c r="G567" i="7"/>
  <c r="H567" i="7" s="1"/>
  <c r="G789" i="7"/>
  <c r="H789" i="7" s="1"/>
  <c r="G12" i="62"/>
  <c r="G880" i="7"/>
  <c r="H880" i="7" s="1"/>
  <c r="G196" i="7"/>
  <c r="H196" i="7" s="1"/>
  <c r="G149" i="7"/>
  <c r="H149" i="7" s="1"/>
  <c r="G222" i="7"/>
  <c r="H222" i="7" s="1"/>
  <c r="G371" i="7"/>
  <c r="H371" i="7" s="1"/>
  <c r="G904" i="7"/>
  <c r="H904" i="7" s="1"/>
  <c r="G410" i="7"/>
  <c r="H410" i="7" s="1"/>
  <c r="G281" i="7"/>
  <c r="H281" i="7" s="1"/>
  <c r="G335" i="7"/>
  <c r="H335" i="7" s="1"/>
  <c r="G451" i="7"/>
  <c r="H451" i="7" s="1"/>
  <c r="G889" i="7"/>
  <c r="H889" i="7" s="1"/>
  <c r="G918" i="7"/>
  <c r="H918" i="7" s="1"/>
  <c r="G521" i="7"/>
  <c r="H521" i="7" s="1"/>
  <c r="G94" i="7"/>
  <c r="H94" i="7" s="1"/>
  <c r="G36" i="7"/>
  <c r="H36" i="7" s="1"/>
  <c r="G48" i="62"/>
  <c r="G159" i="7"/>
  <c r="H159" i="7" s="1"/>
  <c r="G442" i="7"/>
  <c r="H442" i="7" s="1"/>
  <c r="G136" i="7"/>
  <c r="H136" i="7" s="1"/>
  <c r="G566" i="7"/>
  <c r="H566" i="7" s="1"/>
  <c r="G59" i="7"/>
  <c r="H59" i="7" s="1"/>
  <c r="G179" i="7"/>
  <c r="H179" i="7" s="1"/>
  <c r="G353" i="7"/>
  <c r="H353" i="7" s="1"/>
  <c r="G267" i="7"/>
  <c r="H267" i="7" s="1"/>
  <c r="G377" i="7"/>
  <c r="H377" i="7" s="1"/>
  <c r="G21" i="7"/>
  <c r="H21" i="7" s="1"/>
  <c r="G711" i="7"/>
  <c r="H711" i="7" s="1"/>
  <c r="G470" i="7"/>
  <c r="H470" i="7" s="1"/>
  <c r="G290" i="7"/>
  <c r="H290" i="7" s="1"/>
  <c r="G775" i="7"/>
  <c r="H775" i="7" s="1"/>
  <c r="G476" i="7"/>
  <c r="H476" i="7" s="1"/>
  <c r="G147" i="62"/>
  <c r="I147" i="62" s="1"/>
  <c r="M147" i="62" s="1"/>
  <c r="G781" i="7"/>
  <c r="H781" i="7" s="1"/>
  <c r="G133" i="7"/>
  <c r="H133" i="7" s="1"/>
  <c r="G755" i="7"/>
  <c r="H755" i="7" s="1"/>
  <c r="G502" i="7"/>
  <c r="H502" i="7" s="1"/>
  <c r="G422" i="7"/>
  <c r="H422" i="7" s="1"/>
  <c r="G842" i="7"/>
  <c r="H842" i="7" s="1"/>
  <c r="G199" i="7"/>
  <c r="H199" i="7" s="1"/>
  <c r="G588" i="7"/>
  <c r="H588" i="7" s="1"/>
  <c r="G65" i="7"/>
  <c r="H65" i="7" s="1"/>
  <c r="G134" i="7"/>
  <c r="H134" i="7" s="1"/>
  <c r="G315" i="7"/>
  <c r="H315" i="7" s="1"/>
  <c r="G827" i="7"/>
  <c r="H827" i="7" s="1"/>
  <c r="G575" i="7"/>
  <c r="H575" i="7" s="1"/>
  <c r="G379" i="7"/>
  <c r="H379" i="7" s="1"/>
  <c r="G589" i="7"/>
  <c r="H589" i="7" s="1"/>
  <c r="G44" i="62"/>
  <c r="G220" i="7"/>
  <c r="H220" i="7" s="1"/>
  <c r="G770" i="7"/>
  <c r="H770" i="7" s="1"/>
  <c r="G777" i="7"/>
  <c r="H777" i="7" s="1"/>
  <c r="G792" i="7"/>
  <c r="H792" i="7" s="1"/>
  <c r="G529" i="7"/>
  <c r="H529" i="7" s="1"/>
  <c r="G166" i="7"/>
  <c r="H166" i="7" s="1"/>
  <c r="G832" i="7"/>
  <c r="H832" i="7" s="1"/>
  <c r="G625" i="7"/>
  <c r="H625" i="7" s="1"/>
  <c r="G987" i="7"/>
  <c r="H987" i="7" s="1"/>
  <c r="G848" i="7"/>
  <c r="H848" i="7" s="1"/>
  <c r="G776" i="7"/>
  <c r="H776" i="7" s="1"/>
  <c r="G275" i="7"/>
  <c r="H275" i="7" s="1"/>
  <c r="G614" i="7"/>
  <c r="H614" i="7" s="1"/>
  <c r="G247" i="7"/>
  <c r="H247" i="7" s="1"/>
  <c r="G699" i="7"/>
  <c r="H699" i="7" s="1"/>
  <c r="G763" i="7"/>
  <c r="H763" i="7" s="1"/>
  <c r="G858" i="7"/>
  <c r="H858" i="7" s="1"/>
  <c r="G602" i="7"/>
  <c r="H602" i="7" s="1"/>
  <c r="G857" i="7"/>
  <c r="H857" i="7" s="1"/>
  <c r="G58" i="7"/>
  <c r="H58" i="7" s="1"/>
  <c r="G74" i="7"/>
  <c r="H74" i="7" s="1"/>
  <c r="G705" i="7"/>
  <c r="H705" i="7" s="1"/>
  <c r="G10" i="7"/>
  <c r="H10" i="7" s="1"/>
  <c r="G84" i="62"/>
  <c r="G531" i="7"/>
  <c r="H531" i="7" s="1"/>
  <c r="G712" i="7"/>
  <c r="H712" i="7" s="1"/>
  <c r="G734" i="7"/>
  <c r="H734" i="7" s="1"/>
  <c r="G38" i="7"/>
  <c r="H38" i="7" s="1"/>
  <c r="G394" i="7"/>
  <c r="H394" i="7" s="1"/>
  <c r="G541" i="7"/>
  <c r="H541" i="7" s="1"/>
  <c r="G676" i="7"/>
  <c r="H676" i="7" s="1"/>
  <c r="G402" i="7"/>
  <c r="H402" i="7" s="1"/>
  <c r="G252" i="7"/>
  <c r="H252" i="7" s="1"/>
  <c r="G370" i="7"/>
  <c r="H370" i="7" s="1"/>
  <c r="G1002" i="7"/>
  <c r="H1002" i="7" s="1"/>
  <c r="G461" i="7"/>
  <c r="H461" i="7" s="1"/>
  <c r="G778" i="7"/>
  <c r="H778" i="7" s="1"/>
  <c r="G242" i="7"/>
  <c r="H242" i="7" s="1"/>
  <c r="G230" i="7"/>
  <c r="H230" i="7" s="1"/>
  <c r="G46" i="62"/>
  <c r="G525" i="7"/>
  <c r="H525" i="7" s="1"/>
  <c r="G171" i="7"/>
  <c r="H171" i="7" s="1"/>
  <c r="G630" i="7"/>
  <c r="H630" i="7" s="1"/>
  <c r="G890" i="7"/>
  <c r="H890" i="7" s="1"/>
  <c r="G661" i="7"/>
  <c r="H661" i="7" s="1"/>
  <c r="G785" i="7"/>
  <c r="H785" i="7" s="1"/>
  <c r="G547" i="7"/>
  <c r="H547" i="7" s="1"/>
  <c r="G456" i="7"/>
  <c r="H456" i="7" s="1"/>
  <c r="G641" i="7"/>
  <c r="H641" i="7" s="1"/>
  <c r="G672" i="7"/>
  <c r="H672" i="7" s="1"/>
  <c r="G622" i="7"/>
  <c r="H622" i="7" s="1"/>
  <c r="G582" i="7"/>
  <c r="H582" i="7" s="1"/>
  <c r="G747" i="7"/>
  <c r="H747" i="7" s="1"/>
  <c r="G909" i="7"/>
  <c r="H909" i="7" s="1"/>
  <c r="G47" i="7"/>
  <c r="H47" i="7" s="1"/>
  <c r="G22" i="62"/>
  <c r="G895" i="7"/>
  <c r="H895" i="7" s="1"/>
  <c r="G226" i="7"/>
  <c r="H226" i="7" s="1"/>
  <c r="G530" i="7"/>
  <c r="H530" i="7" s="1"/>
  <c r="G969" i="7"/>
  <c r="H969" i="7" s="1"/>
  <c r="G40" i="7"/>
  <c r="H40" i="7" s="1"/>
  <c r="G305" i="7"/>
  <c r="H305" i="7" s="1"/>
  <c r="G993" i="7"/>
  <c r="H993" i="7" s="1"/>
  <c r="G317" i="7"/>
  <c r="H317" i="7" s="1"/>
  <c r="G798" i="7"/>
  <c r="H798" i="7" s="1"/>
  <c r="G595" i="7"/>
  <c r="H595" i="7" s="1"/>
  <c r="G145" i="7"/>
  <c r="H145" i="7" s="1"/>
  <c r="G224" i="7"/>
  <c r="H224" i="7" s="1"/>
  <c r="G817" i="7"/>
  <c r="H817" i="7" s="1"/>
  <c r="G401" i="7"/>
  <c r="H401" i="7" s="1"/>
  <c r="G953" i="7"/>
  <c r="H953" i="7" s="1"/>
  <c r="G160" i="7"/>
  <c r="H160" i="7" s="1"/>
  <c r="G155" i="62"/>
  <c r="I155" i="62" s="1"/>
  <c r="M155" i="62" s="1"/>
  <c r="G562" i="7"/>
  <c r="H562" i="7" s="1"/>
  <c r="G195" i="7"/>
  <c r="H195" i="7" s="1"/>
  <c r="G412" i="7"/>
  <c r="H412" i="7" s="1"/>
  <c r="G888" i="7"/>
  <c r="H888" i="7" s="1"/>
  <c r="G384" i="7"/>
  <c r="H384" i="7" s="1"/>
  <c r="G427" i="7"/>
  <c r="H427" i="7" s="1"/>
  <c r="G643" i="7"/>
  <c r="H643" i="7" s="1"/>
  <c r="G153" i="7"/>
  <c r="H153" i="7" s="1"/>
  <c r="G996" i="7"/>
  <c r="H996" i="7" s="1"/>
  <c r="G243" i="7"/>
  <c r="H243" i="7" s="1"/>
  <c r="G280" i="7"/>
  <c r="H280" i="7" s="1"/>
  <c r="G454" i="7"/>
  <c r="H454" i="7" s="1"/>
  <c r="G251" i="7"/>
  <c r="H251" i="7" s="1"/>
  <c r="G178" i="7"/>
  <c r="H178" i="7" s="1"/>
  <c r="G328" i="7"/>
  <c r="H328" i="7" s="1"/>
  <c r="G773" i="7"/>
  <c r="H773" i="7" s="1"/>
  <c r="G228" i="7"/>
  <c r="H228" i="7" s="1"/>
  <c r="G974" i="7"/>
  <c r="H974" i="7" s="1"/>
  <c r="G584" i="7"/>
  <c r="H584" i="7" s="1"/>
  <c r="G833" i="7"/>
  <c r="H833" i="7" s="1"/>
  <c r="G990" i="7"/>
  <c r="H990" i="7" s="1"/>
  <c r="G68" i="7"/>
  <c r="H68" i="7" s="1"/>
  <c r="G418" i="7"/>
  <c r="H418" i="7" s="1"/>
  <c r="G445" i="7"/>
  <c r="H445" i="7" s="1"/>
  <c r="G303" i="7"/>
  <c r="H303" i="7" s="1"/>
  <c r="G361" i="7"/>
  <c r="H361" i="7" s="1"/>
  <c r="G81" i="7"/>
  <c r="H81" i="7" s="1"/>
  <c r="G624" i="7"/>
  <c r="H624" i="7" s="1"/>
  <c r="G992" i="7"/>
  <c r="H992" i="7" s="1"/>
  <c r="G897" i="7"/>
  <c r="H897" i="7" s="1"/>
  <c r="G80" i="7"/>
  <c r="H80" i="7" s="1"/>
  <c r="G743" i="7"/>
  <c r="H743" i="7" s="1"/>
  <c r="G865" i="7"/>
  <c r="H865" i="7" s="1"/>
  <c r="G569" i="7"/>
  <c r="H569" i="7" s="1"/>
  <c r="G55" i="7"/>
  <c r="H55" i="7" s="1"/>
  <c r="G822" i="7"/>
  <c r="H822" i="7" s="1"/>
  <c r="G591" i="7"/>
  <c r="H591" i="7" s="1"/>
  <c r="G170" i="7"/>
  <c r="H170" i="7" s="1"/>
  <c r="G163" i="7"/>
  <c r="H163" i="7" s="1"/>
  <c r="G645" i="7"/>
  <c r="H645" i="7" s="1"/>
  <c r="G949" i="7"/>
  <c r="H949" i="7" s="1"/>
  <c r="BA83" i="4"/>
  <c r="AZ82" i="4"/>
  <c r="BB82" i="4" s="1"/>
  <c r="G57" i="48"/>
  <c r="H97" i="48"/>
  <c r="H91" i="48"/>
  <c r="I106" i="48"/>
  <c r="H82" i="48"/>
  <c r="I98" i="48"/>
  <c r="H138" i="48"/>
  <c r="G45" i="48"/>
  <c r="G37" i="48"/>
  <c r="H92" i="48"/>
  <c r="I21" i="48"/>
  <c r="H122" i="48"/>
  <c r="G125" i="48"/>
  <c r="H25" i="48"/>
  <c r="G20" i="48"/>
  <c r="G91" i="48"/>
  <c r="H131" i="48"/>
  <c r="I117" i="48"/>
  <c r="I41" i="48"/>
  <c r="H81" i="48"/>
  <c r="G131" i="48"/>
  <c r="G49" i="48"/>
  <c r="G32" i="48"/>
  <c r="H103" i="48"/>
  <c r="H104" i="48"/>
  <c r="I131" i="48"/>
  <c r="H37" i="48"/>
  <c r="H40" i="48"/>
  <c r="I138" i="48"/>
  <c r="I24" i="48"/>
  <c r="G105" i="48"/>
  <c r="H27" i="48"/>
  <c r="G29" i="48"/>
  <c r="G139" i="48"/>
  <c r="H29" i="48"/>
  <c r="I124" i="48"/>
  <c r="I105" i="48"/>
  <c r="G36" i="48"/>
  <c r="I128" i="48"/>
  <c r="G39" i="48"/>
  <c r="H108" i="48"/>
  <c r="H118" i="48"/>
  <c r="I113" i="48"/>
  <c r="G34" i="48"/>
  <c r="I23" i="48"/>
  <c r="I32" i="48"/>
  <c r="I125" i="48"/>
  <c r="I40" i="48"/>
  <c r="I83" i="48"/>
  <c r="I123" i="48"/>
  <c r="H86" i="48"/>
  <c r="G53" i="48"/>
  <c r="H125" i="48"/>
  <c r="H124" i="48"/>
  <c r="G25" i="48"/>
  <c r="I45" i="48"/>
  <c r="I89" i="48"/>
  <c r="A28" i="29"/>
  <c r="H117" i="48"/>
  <c r="G126" i="48"/>
  <c r="G129" i="48"/>
  <c r="G106" i="48"/>
  <c r="G89" i="48"/>
  <c r="I38" i="48"/>
  <c r="H35" i="48"/>
  <c r="H106" i="48"/>
  <c r="G50" i="48"/>
  <c r="G97" i="48"/>
  <c r="G99" i="48"/>
  <c r="I122" i="48"/>
  <c r="G24" i="48"/>
  <c r="I80" i="48"/>
  <c r="G21" i="48"/>
  <c r="I19" i="48"/>
  <c r="G111" i="48"/>
  <c r="G107" i="48"/>
  <c r="H83" i="48"/>
  <c r="H55" i="48"/>
  <c r="G30" i="48"/>
  <c r="G48" i="48"/>
  <c r="I81" i="48"/>
  <c r="H123" i="48"/>
  <c r="I84" i="48"/>
  <c r="G83" i="48"/>
  <c r="I88" i="48"/>
  <c r="G108" i="48"/>
  <c r="H49" i="48"/>
  <c r="H45" i="48"/>
  <c r="H109" i="48"/>
  <c r="H57" i="48"/>
  <c r="G28" i="48"/>
  <c r="G110" i="48"/>
  <c r="G46" i="48"/>
  <c r="H53" i="48"/>
  <c r="I104" i="48"/>
  <c r="H36" i="48"/>
  <c r="I126" i="48"/>
  <c r="I27" i="48"/>
  <c r="I36" i="48"/>
  <c r="H56" i="48"/>
  <c r="I28" i="48"/>
  <c r="G109" i="48"/>
  <c r="I91" i="48"/>
  <c r="H130" i="48"/>
  <c r="H126" i="48"/>
  <c r="I108" i="48"/>
  <c r="G103" i="48"/>
  <c r="I34" i="48"/>
  <c r="I53" i="48"/>
  <c r="I54" i="48"/>
  <c r="G52" i="48"/>
  <c r="I50" i="48"/>
  <c r="I17" i="48"/>
  <c r="G81" i="48"/>
  <c r="G92" i="48"/>
  <c r="G130" i="48"/>
  <c r="G104" i="48"/>
  <c r="I96" i="48"/>
  <c r="G123" i="48"/>
  <c r="H121" i="48"/>
  <c r="H98" i="48"/>
  <c r="H22" i="48"/>
  <c r="H39" i="48"/>
  <c r="H46" i="48"/>
  <c r="H96" i="48"/>
  <c r="G113" i="48"/>
  <c r="I49" i="48"/>
  <c r="G56" i="48"/>
  <c r="G55" i="48"/>
  <c r="G119" i="48"/>
  <c r="G47" i="48"/>
  <c r="H89" i="48"/>
  <c r="G17" i="48"/>
  <c r="G54" i="48"/>
  <c r="H48" i="48"/>
  <c r="I52" i="48"/>
  <c r="H51" i="48"/>
  <c r="I48" i="48"/>
  <c r="I119" i="48"/>
  <c r="H139" i="48"/>
  <c r="H30" i="48"/>
  <c r="H111" i="48"/>
  <c r="I99" i="48"/>
  <c r="H52" i="48"/>
  <c r="I102" i="48"/>
  <c r="H20" i="48"/>
  <c r="G16" i="48"/>
  <c r="H50" i="48"/>
  <c r="H47" i="48"/>
  <c r="G98" i="48"/>
  <c r="H101" i="48"/>
  <c r="I35" i="48"/>
  <c r="G114" i="48"/>
  <c r="I61" i="48"/>
  <c r="G86" i="48"/>
  <c r="I18" i="48"/>
  <c r="G35" i="48"/>
  <c r="G118" i="48"/>
  <c r="H128" i="48"/>
  <c r="H17" i="48"/>
  <c r="I25" i="48"/>
  <c r="I110" i="48"/>
  <c r="I30" i="48"/>
  <c r="H21" i="48"/>
  <c r="I37" i="48"/>
  <c r="I118" i="48"/>
  <c r="H88" i="48"/>
  <c r="G58" i="48"/>
  <c r="G22" i="48"/>
  <c r="G31" i="48"/>
  <c r="G124" i="48"/>
  <c r="G96" i="48"/>
  <c r="G19" i="48"/>
  <c r="G100" i="48"/>
  <c r="I112" i="48"/>
  <c r="H32" i="48"/>
  <c r="I111" i="48"/>
  <c r="I22" i="48"/>
  <c r="I46" i="48"/>
  <c r="G23" i="48"/>
  <c r="G85" i="48"/>
  <c r="G138" i="48"/>
  <c r="H31" i="48"/>
  <c r="I114" i="48"/>
  <c r="I101" i="48"/>
  <c r="H54" i="48"/>
  <c r="I82" i="48"/>
  <c r="I127" i="48"/>
  <c r="G122" i="48"/>
  <c r="I16" i="48"/>
  <c r="H107" i="48"/>
  <c r="H129" i="48"/>
  <c r="G41" i="48"/>
  <c r="I20" i="48"/>
  <c r="H105" i="48"/>
  <c r="G88" i="48"/>
  <c r="I129" i="48"/>
  <c r="I130" i="48"/>
  <c r="H100" i="48"/>
  <c r="H18" i="48"/>
  <c r="H23" i="48"/>
  <c r="H110" i="48"/>
  <c r="H102" i="48"/>
  <c r="G51" i="48"/>
  <c r="H84" i="48"/>
  <c r="I56" i="48"/>
  <c r="I86" i="48"/>
  <c r="I51" i="48"/>
  <c r="I139" i="48"/>
  <c r="G127" i="48"/>
  <c r="I100" i="48"/>
  <c r="G121" i="48"/>
  <c r="I31" i="48"/>
  <c r="H119" i="48"/>
  <c r="H41" i="48"/>
  <c r="I29" i="48"/>
  <c r="I47" i="48"/>
  <c r="H99" i="48"/>
  <c r="I59" i="48"/>
  <c r="G115" i="48"/>
  <c r="H38" i="48"/>
  <c r="I120" i="48"/>
  <c r="I39" i="48"/>
  <c r="G128" i="48"/>
  <c r="G27" i="48"/>
  <c r="H19" i="48"/>
  <c r="I115" i="48"/>
  <c r="G18" i="48"/>
  <c r="G102" i="48"/>
  <c r="I121" i="48"/>
  <c r="G101" i="48"/>
  <c r="I85" i="48"/>
  <c r="H28" i="48"/>
  <c r="G84" i="48"/>
  <c r="I55" i="48"/>
  <c r="I58" i="48"/>
  <c r="G80" i="48"/>
  <c r="H24" i="48"/>
  <c r="H16" i="48"/>
  <c r="G59" i="48"/>
  <c r="I103" i="48"/>
  <c r="G40" i="48"/>
  <c r="I92" i="48"/>
  <c r="H85" i="48"/>
  <c r="I109" i="48"/>
  <c r="G82" i="48"/>
  <c r="G117" i="48"/>
  <c r="G38" i="48"/>
  <c r="G120" i="48"/>
  <c r="H80" i="48"/>
  <c r="I107" i="48"/>
  <c r="H34" i="48"/>
  <c r="H114" i="48"/>
  <c r="I97" i="48"/>
  <c r="G112" i="48"/>
  <c r="H127" i="48"/>
  <c r="I57" i="48"/>
  <c r="H120" i="48"/>
  <c r="AL117" i="29"/>
  <c r="C117" i="29" s="1"/>
  <c r="AK117" i="29"/>
  <c r="D117" i="29" s="1"/>
  <c r="H430" i="7" l="1"/>
  <c r="L351" i="7" s="1"/>
  <c r="H935" i="7"/>
  <c r="L857" i="7" s="1"/>
  <c r="H172" i="7"/>
  <c r="L93" i="7" s="1"/>
  <c r="H682" i="7"/>
  <c r="L606" i="7" s="1"/>
  <c r="H850" i="7"/>
  <c r="L774" i="7" s="1"/>
  <c r="J175" i="62"/>
  <c r="M175" i="62"/>
  <c r="H766" i="7"/>
  <c r="L689" i="7" s="1"/>
  <c r="H258" i="7"/>
  <c r="L179" i="7" s="1"/>
  <c r="H516" i="7"/>
  <c r="L437" i="7" s="1"/>
  <c r="H1019" i="7"/>
  <c r="L942" i="7" s="1"/>
  <c r="H86" i="7"/>
  <c r="L7" i="7" s="1"/>
  <c r="H344" i="7"/>
  <c r="L265" i="7" s="1"/>
  <c r="H600" i="7"/>
  <c r="L522" i="7" s="1"/>
  <c r="BA84" i="4"/>
  <c r="AZ83" i="4"/>
  <c r="BB83" i="4" s="1"/>
  <c r="A29" i="29"/>
  <c r="AL118" i="29"/>
  <c r="C118" i="29" s="1"/>
  <c r="AK118" i="29"/>
  <c r="D118" i="29" s="1"/>
  <c r="A25" i="3"/>
  <c r="A24" i="3"/>
  <c r="BA85" i="4" l="1"/>
  <c r="AZ84" i="4"/>
  <c r="BB84" i="4" s="1"/>
  <c r="A30" i="29"/>
  <c r="AL119" i="29"/>
  <c r="C119" i="29" s="1"/>
  <c r="AK119" i="29"/>
  <c r="D119" i="29" s="1"/>
  <c r="AB2" i="48"/>
  <c r="A5" i="48"/>
  <c r="AB3" i="48"/>
  <c r="E8" i="48" s="1"/>
  <c r="A6" i="48"/>
  <c r="BA86" i="4" l="1"/>
  <c r="AZ85" i="4"/>
  <c r="BB85" i="4" s="1"/>
  <c r="A31" i="29"/>
  <c r="AK120" i="29"/>
  <c r="D120" i="29" s="1"/>
  <c r="AL120" i="29"/>
  <c r="C120" i="29" s="1"/>
  <c r="H7" i="48"/>
  <c r="D8" i="48"/>
  <c r="BA87" i="4" l="1"/>
  <c r="AZ86" i="4"/>
  <c r="BB86" i="4" s="1"/>
  <c r="A32" i="29"/>
  <c r="AL121" i="29"/>
  <c r="C121" i="29" s="1"/>
  <c r="AK121" i="29"/>
  <c r="D121" i="29" s="1"/>
  <c r="BA88" i="4" l="1"/>
  <c r="AZ87" i="4"/>
  <c r="BB87" i="4" s="1"/>
  <c r="A33" i="29"/>
  <c r="AK122" i="29"/>
  <c r="D122" i="29" s="1"/>
  <c r="AL122" i="29"/>
  <c r="C122" i="29" s="1"/>
  <c r="BA89" i="4" l="1"/>
  <c r="AZ88" i="4"/>
  <c r="BB88" i="4" s="1"/>
  <c r="A34" i="29"/>
  <c r="AL123" i="29"/>
  <c r="C123" i="29" s="1"/>
  <c r="AK123" i="29"/>
  <c r="D123" i="29" s="1"/>
  <c r="BA90" i="4" l="1"/>
  <c r="AZ89" i="4"/>
  <c r="BB89" i="4" s="1"/>
  <c r="A35" i="29"/>
  <c r="AL124" i="29"/>
  <c r="C124" i="29" s="1"/>
  <c r="AK124" i="29"/>
  <c r="D124" i="29" s="1"/>
  <c r="BA91" i="4" l="1"/>
  <c r="AZ90" i="4"/>
  <c r="BB90" i="4" s="1"/>
  <c r="A36" i="29"/>
  <c r="AL125" i="29"/>
  <c r="C125" i="29" s="1"/>
  <c r="AK125" i="29"/>
  <c r="D125" i="29" s="1"/>
  <c r="BA92" i="4" l="1"/>
  <c r="AZ91" i="4"/>
  <c r="BB91" i="4" s="1"/>
  <c r="A37" i="29"/>
  <c r="AK126" i="29"/>
  <c r="D126" i="29" s="1"/>
  <c r="AL126" i="29"/>
  <c r="C126" i="29" s="1"/>
  <c r="BA93" i="4" l="1"/>
  <c r="AZ92" i="4"/>
  <c r="BB92" i="4" s="1"/>
  <c r="A38" i="29"/>
  <c r="AL127" i="29"/>
  <c r="C127" i="29" s="1"/>
  <c r="AK127" i="29"/>
  <c r="D127" i="29" s="1"/>
  <c r="BA94" i="4" l="1"/>
  <c r="AZ93" i="4"/>
  <c r="BB93" i="4" s="1"/>
  <c r="A39" i="29"/>
  <c r="AL128" i="29"/>
  <c r="C128" i="29" s="1"/>
  <c r="AK128" i="29"/>
  <c r="D128" i="29" s="1"/>
  <c r="BA95" i="4" l="1"/>
  <c r="AZ94" i="4"/>
  <c r="BB94" i="4" s="1"/>
  <c r="A40" i="29"/>
  <c r="AL129" i="29"/>
  <c r="C129" i="29" s="1"/>
  <c r="AK129" i="29"/>
  <c r="D129" i="29" s="1"/>
  <c r="BA96" i="4" l="1"/>
  <c r="AZ95" i="4"/>
  <c r="BB95" i="4" s="1"/>
  <c r="A41" i="29"/>
  <c r="AK130" i="29"/>
  <c r="D130" i="29" s="1"/>
  <c r="AL130" i="29"/>
  <c r="C130" i="29" s="1"/>
  <c r="BA97" i="4" l="1"/>
  <c r="AZ96" i="4"/>
  <c r="BB96" i="4" s="1"/>
  <c r="A42" i="29"/>
  <c r="AL131" i="29"/>
  <c r="C131" i="29" s="1"/>
  <c r="AK131" i="29"/>
  <c r="D131" i="29" s="1"/>
  <c r="BA98" i="4" l="1"/>
  <c r="AZ97" i="4"/>
  <c r="BB97" i="4" s="1"/>
  <c r="A43" i="29"/>
  <c r="AK132" i="29"/>
  <c r="D132" i="29" s="1"/>
  <c r="AL132" i="29"/>
  <c r="C132" i="29" s="1"/>
  <c r="BA99" i="4" l="1"/>
  <c r="AZ98" i="4"/>
  <c r="BB98" i="4" s="1"/>
  <c r="A44" i="29"/>
  <c r="AL133" i="29"/>
  <c r="C133" i="29" s="1"/>
  <c r="AK133" i="29"/>
  <c r="D133" i="29" s="1"/>
  <c r="BA100" i="4" l="1"/>
  <c r="AZ99" i="4"/>
  <c r="BB99" i="4" s="1"/>
  <c r="A45" i="29"/>
  <c r="AL134" i="29"/>
  <c r="C134" i="29" s="1"/>
  <c r="AK134" i="29"/>
  <c r="D134" i="29" s="1"/>
  <c r="BA101" i="4" l="1"/>
  <c r="AZ100" i="4"/>
  <c r="BB100" i="4" s="1"/>
  <c r="A46" i="29"/>
  <c r="AL135" i="29"/>
  <c r="C135" i="29" s="1"/>
  <c r="AK135" i="29"/>
  <c r="D135" i="29" s="1"/>
  <c r="BA102" i="4" l="1"/>
  <c r="AZ101" i="4"/>
  <c r="BB101" i="4" s="1"/>
  <c r="A47" i="29"/>
  <c r="AK136" i="29"/>
  <c r="D136" i="29" s="1"/>
  <c r="AL136" i="29"/>
  <c r="C136" i="29" s="1"/>
  <c r="BA103" i="4" l="1"/>
  <c r="AZ102" i="4"/>
  <c r="BB102" i="4" s="1"/>
  <c r="A48" i="29"/>
  <c r="AL137" i="29"/>
  <c r="C137" i="29" s="1"/>
  <c r="AK137" i="29"/>
  <c r="D137" i="29" s="1"/>
  <c r="BA104" i="4" l="1"/>
  <c r="AZ103" i="4"/>
  <c r="BB103" i="4" s="1"/>
  <c r="A49" i="29"/>
  <c r="AL138" i="29"/>
  <c r="C138" i="29" s="1"/>
  <c r="AK138" i="29"/>
  <c r="D138" i="29" s="1"/>
  <c r="BA105" i="4" l="1"/>
  <c r="AZ104" i="4"/>
  <c r="BB104" i="4" s="1"/>
  <c r="X262" i="17"/>
  <c r="S262" i="17"/>
  <c r="A50" i="29"/>
  <c r="AL139" i="29"/>
  <c r="C139" i="29" s="1"/>
  <c r="AK139" i="29"/>
  <c r="D139" i="29" s="1"/>
  <c r="BA106" i="4" l="1"/>
  <c r="AZ105" i="4"/>
  <c r="BB105" i="4" s="1"/>
  <c r="A51" i="29"/>
  <c r="AK140" i="29"/>
  <c r="D140" i="29" s="1"/>
  <c r="AL140" i="29"/>
  <c r="C140" i="29" s="1"/>
  <c r="BA107" i="4" l="1"/>
  <c r="AZ106" i="4"/>
  <c r="BB106" i="4" s="1"/>
  <c r="A52" i="29"/>
  <c r="AL141" i="29"/>
  <c r="C141" i="29" s="1"/>
  <c r="AK141" i="29"/>
  <c r="D141" i="29" s="1"/>
  <c r="BA108" i="4" l="1"/>
  <c r="AZ107" i="4"/>
  <c r="BB107" i="4" s="1"/>
  <c r="A53" i="29"/>
  <c r="AL142" i="29"/>
  <c r="C142" i="29" s="1"/>
  <c r="AK142" i="29"/>
  <c r="D142" i="29" s="1"/>
  <c r="BA109" i="4" l="1"/>
  <c r="AZ108" i="4"/>
  <c r="BB108" i="4" s="1"/>
  <c r="A54" i="29"/>
  <c r="AL143" i="29"/>
  <c r="C143" i="29" s="1"/>
  <c r="AK143" i="29"/>
  <c r="D143" i="29" s="1"/>
  <c r="BA110" i="4" l="1"/>
  <c r="AZ109" i="4"/>
  <c r="A55" i="29"/>
  <c r="AK144" i="29"/>
  <c r="D144" i="29" s="1"/>
  <c r="AL144" i="29"/>
  <c r="C144" i="29" s="1"/>
  <c r="BB109" i="4" l="1"/>
  <c r="D109" i="4" s="1"/>
  <c r="E109" i="4"/>
  <c r="BA111" i="4"/>
  <c r="AZ110" i="4"/>
  <c r="A56" i="29"/>
  <c r="AL145" i="29"/>
  <c r="C145" i="29" s="1"/>
  <c r="AK145" i="29"/>
  <c r="D145" i="29" s="1"/>
  <c r="BA112" i="4" l="1"/>
  <c r="AZ111" i="4"/>
  <c r="E110" i="4"/>
  <c r="BB110" i="4"/>
  <c r="D110" i="4" s="1"/>
  <c r="A57" i="29"/>
  <c r="AK146" i="29"/>
  <c r="D146" i="29" s="1"/>
  <c r="AL146" i="29"/>
  <c r="C146" i="29" s="1"/>
  <c r="E111" i="4" l="1"/>
  <c r="BB111" i="4"/>
  <c r="D111" i="4" s="1"/>
  <c r="BA113" i="4"/>
  <c r="AZ112" i="4"/>
  <c r="BB112" i="4" s="1"/>
  <c r="A58" i="29"/>
  <c r="AL147" i="29"/>
  <c r="C147" i="29" s="1"/>
  <c r="AK147" i="29"/>
  <c r="D147" i="29" s="1"/>
  <c r="BA114" i="4" l="1"/>
  <c r="AZ113" i="4"/>
  <c r="BB113" i="4" s="1"/>
  <c r="A59" i="29"/>
  <c r="AL148" i="29"/>
  <c r="C148" i="29" s="1"/>
  <c r="AK148" i="29"/>
  <c r="D148" i="29" s="1"/>
  <c r="BA115" i="4" l="1"/>
  <c r="AZ114" i="4"/>
  <c r="BB114" i="4" s="1"/>
  <c r="A60" i="29"/>
  <c r="AL149" i="29"/>
  <c r="C149" i="29" s="1"/>
  <c r="AK149" i="29"/>
  <c r="D149" i="29" s="1"/>
  <c r="BA116" i="4" l="1"/>
  <c r="AZ115" i="4"/>
  <c r="BB115" i="4" s="1"/>
  <c r="A61" i="29"/>
  <c r="AK150" i="29"/>
  <c r="D150" i="29" s="1"/>
  <c r="AL150" i="29"/>
  <c r="C150" i="29" s="1"/>
  <c r="BA117" i="4" l="1"/>
  <c r="AZ116" i="4"/>
  <c r="BB116" i="4" s="1"/>
  <c r="A62" i="29"/>
  <c r="AL151" i="29"/>
  <c r="C151" i="29" s="1"/>
  <c r="AK151" i="29"/>
  <c r="D151" i="29" s="1"/>
  <c r="BA118" i="4" l="1"/>
  <c r="AZ117" i="4"/>
  <c r="BB117" i="4" s="1"/>
  <c r="A63" i="29"/>
  <c r="AL152" i="29"/>
  <c r="C152" i="29" s="1"/>
  <c r="AK152" i="29"/>
  <c r="D152" i="29" s="1"/>
  <c r="BA119" i="4" l="1"/>
  <c r="AZ118" i="4"/>
  <c r="BB118" i="4" s="1"/>
  <c r="A64" i="29"/>
  <c r="AL153" i="29"/>
  <c r="C153" i="29" s="1"/>
  <c r="AK153" i="29"/>
  <c r="D153" i="29" s="1"/>
  <c r="BA120" i="4" l="1"/>
  <c r="AZ119" i="4"/>
  <c r="BB119" i="4" s="1"/>
  <c r="A65" i="29"/>
  <c r="AK154" i="29"/>
  <c r="D154" i="29" s="1"/>
  <c r="AL154" i="29"/>
  <c r="C154" i="29" s="1"/>
  <c r="BA121" i="4" l="1"/>
  <c r="AZ120" i="4"/>
  <c r="BB120" i="4" s="1"/>
  <c r="A66" i="29"/>
  <c r="AL155" i="29"/>
  <c r="C155" i="29" s="1"/>
  <c r="AK155" i="29"/>
  <c r="D155" i="29" s="1"/>
  <c r="BA122" i="4" l="1"/>
  <c r="AZ121" i="4"/>
  <c r="BB121" i="4" s="1"/>
  <c r="A67" i="29"/>
  <c r="AK156" i="29"/>
  <c r="D156" i="29" s="1"/>
  <c r="AL156" i="29"/>
  <c r="C156" i="29" s="1"/>
  <c r="BA123" i="4" l="1"/>
  <c r="AZ122" i="4"/>
  <c r="BB122" i="4" s="1"/>
  <c r="A68" i="29"/>
  <c r="AL157" i="29"/>
  <c r="C157" i="29" s="1"/>
  <c r="AK157" i="29"/>
  <c r="D157" i="29" s="1"/>
  <c r="BA124" i="4" l="1"/>
  <c r="AZ123" i="4"/>
  <c r="BB123" i="4" s="1"/>
  <c r="A69" i="29"/>
  <c r="AL158" i="29"/>
  <c r="C158" i="29" s="1"/>
  <c r="AK158" i="29"/>
  <c r="D158" i="29" s="1"/>
  <c r="BA125" i="4" l="1"/>
  <c r="AZ124" i="4"/>
  <c r="BB124" i="4" s="1"/>
  <c r="A70" i="29"/>
  <c r="AL159" i="29"/>
  <c r="C159" i="29" s="1"/>
  <c r="AK159" i="29"/>
  <c r="D159" i="29" s="1"/>
  <c r="BA126" i="4" l="1"/>
  <c r="AZ125" i="4"/>
  <c r="BB125" i="4" s="1"/>
  <c r="U303" i="17"/>
  <c r="T303" i="17"/>
  <c r="S243" i="17"/>
  <c r="S258" i="17" s="1"/>
  <c r="A71" i="29"/>
  <c r="AK160" i="29"/>
  <c r="D160" i="29" s="1"/>
  <c r="AL160" i="29"/>
  <c r="C160" i="29" s="1"/>
  <c r="BA127" i="4" l="1"/>
  <c r="AZ126" i="4"/>
  <c r="BB126" i="4" s="1"/>
  <c r="X255" i="17"/>
  <c r="X256" i="17"/>
  <c r="T296" i="17"/>
  <c r="T284" i="17"/>
  <c r="T297" i="17"/>
  <c r="F306" i="17" s="1"/>
  <c r="U296" i="17"/>
  <c r="U297" i="17"/>
  <c r="G306" i="17" s="1"/>
  <c r="S255" i="17"/>
  <c r="S256" i="17"/>
  <c r="R24" i="17"/>
  <c r="R30" i="17"/>
  <c r="R49" i="17"/>
  <c r="R48" i="17"/>
  <c r="F57" i="17"/>
  <c r="A72" i="29"/>
  <c r="AL161" i="29"/>
  <c r="C161" i="29" s="1"/>
  <c r="AK161" i="29"/>
  <c r="D161" i="29" s="1"/>
  <c r="BA128" i="4" l="1"/>
  <c r="AZ127" i="4"/>
  <c r="BB127" i="4" s="1"/>
  <c r="X261" i="17"/>
  <c r="F305" i="17"/>
  <c r="T302" i="17"/>
  <c r="G305" i="17"/>
  <c r="U302" i="17"/>
  <c r="F286" i="17"/>
  <c r="F308" i="17" s="1"/>
  <c r="T299" i="17"/>
  <c r="T305" i="17" s="1"/>
  <c r="T307" i="17" s="1"/>
  <c r="S261" i="17"/>
  <c r="Q55" i="17"/>
  <c r="Q30" i="17"/>
  <c r="Q26" i="17"/>
  <c r="Q48" i="17"/>
  <c r="Q49" i="17"/>
  <c r="A73" i="29"/>
  <c r="AL162" i="29"/>
  <c r="C162" i="29" s="1"/>
  <c r="AK162" i="29"/>
  <c r="D162" i="29" s="1"/>
  <c r="BA129" i="4" l="1"/>
  <c r="AZ128" i="4"/>
  <c r="BB128" i="4" s="1"/>
  <c r="Q52" i="17"/>
  <c r="Q56" i="17" s="1"/>
  <c r="A74" i="29"/>
  <c r="AL163" i="29"/>
  <c r="C163" i="29" s="1"/>
  <c r="AK163" i="29"/>
  <c r="D163" i="29" s="1"/>
  <c r="BA130" i="4" l="1"/>
  <c r="AZ129" i="4"/>
  <c r="BB129" i="4" s="1"/>
  <c r="A75" i="29"/>
  <c r="AK164" i="29"/>
  <c r="D164" i="29" s="1"/>
  <c r="AL164" i="29"/>
  <c r="C164" i="29" s="1"/>
  <c r="BA131" i="4" l="1"/>
  <c r="AZ130" i="4"/>
  <c r="BB130" i="4" s="1"/>
  <c r="A76" i="29"/>
  <c r="AL165" i="29"/>
  <c r="C165" i="29" s="1"/>
  <c r="AK165" i="29"/>
  <c r="D165" i="29" s="1"/>
  <c r="BA132" i="4" l="1"/>
  <c r="AZ131" i="4"/>
  <c r="BB131" i="4" s="1"/>
  <c r="A77" i="29"/>
  <c r="AL166" i="29"/>
  <c r="C166" i="29" s="1"/>
  <c r="AK166" i="29"/>
  <c r="D166" i="29" s="1"/>
  <c r="BA133" i="4" l="1"/>
  <c r="AZ132" i="4"/>
  <c r="BB132" i="4" s="1"/>
  <c r="A78" i="29"/>
  <c r="AL167" i="29"/>
  <c r="C167" i="29" s="1"/>
  <c r="AK167" i="29"/>
  <c r="D167" i="29" s="1"/>
  <c r="BA134" i="4" l="1"/>
  <c r="AZ133" i="4"/>
  <c r="BB133" i="4" s="1"/>
  <c r="A79" i="29"/>
  <c r="AK168" i="29"/>
  <c r="D168" i="29" s="1"/>
  <c r="AL168" i="29"/>
  <c r="C168" i="29" s="1"/>
  <c r="BA135" i="4" l="1"/>
  <c r="AZ134" i="4"/>
  <c r="BB134" i="4" s="1"/>
  <c r="A80" i="29"/>
  <c r="AL169" i="29"/>
  <c r="C169" i="29" s="1"/>
  <c r="AK169" i="29"/>
  <c r="D169" i="29" s="1"/>
  <c r="BA136" i="4" l="1"/>
  <c r="AZ135" i="4"/>
  <c r="BB135" i="4" s="1"/>
  <c r="A81" i="29"/>
  <c r="AL170" i="29"/>
  <c r="C170" i="29" s="1"/>
  <c r="AK170" i="29"/>
  <c r="D170" i="29" s="1"/>
  <c r="BA137" i="4" l="1"/>
  <c r="AZ136" i="4"/>
  <c r="BB136" i="4" s="1"/>
  <c r="A82" i="29"/>
  <c r="AL171" i="29"/>
  <c r="C171" i="29" s="1"/>
  <c r="AK171" i="29"/>
  <c r="D171" i="29" s="1"/>
  <c r="BA138" i="4" l="1"/>
  <c r="AZ137" i="4"/>
  <c r="BB137" i="4" s="1"/>
  <c r="A83" i="29"/>
  <c r="AK172" i="29"/>
  <c r="D172" i="29" s="1"/>
  <c r="AL172" i="29"/>
  <c r="C172" i="29" s="1"/>
  <c r="BA139" i="4" l="1"/>
  <c r="AZ138" i="4"/>
  <c r="BB138" i="4" s="1"/>
  <c r="A84" i="29"/>
  <c r="AL173" i="29"/>
  <c r="C173" i="29" s="1"/>
  <c r="AK173" i="29"/>
  <c r="D173" i="29" s="1"/>
  <c r="BA140" i="4" l="1"/>
  <c r="AZ139" i="4"/>
  <c r="BB139" i="4" s="1"/>
  <c r="A85" i="29"/>
  <c r="AK174" i="29"/>
  <c r="D174" i="29" s="1"/>
  <c r="AL174" i="29"/>
  <c r="C174" i="29" s="1"/>
  <c r="BA141" i="4" l="1"/>
  <c r="AZ140" i="4"/>
  <c r="BB140" i="4" s="1"/>
  <c r="A86" i="29"/>
  <c r="AL175" i="29"/>
  <c r="C175" i="29" s="1"/>
  <c r="AK175" i="29"/>
  <c r="D175" i="29" s="1"/>
  <c r="BA142" i="4" l="1"/>
  <c r="AZ141" i="4"/>
  <c r="BB141" i="4" s="1"/>
  <c r="A87" i="29"/>
  <c r="AL176" i="29"/>
  <c r="C176" i="29" s="1"/>
  <c r="AK176" i="29"/>
  <c r="D176" i="29" s="1"/>
  <c r="BA143" i="4" l="1"/>
  <c r="AZ142" i="4"/>
  <c r="BB142" i="4" s="1"/>
  <c r="A88" i="29"/>
  <c r="AL177" i="29"/>
  <c r="C177" i="29" s="1"/>
  <c r="AK177" i="29"/>
  <c r="D177" i="29" s="1"/>
  <c r="BA144" i="4" l="1"/>
  <c r="AZ143" i="4"/>
  <c r="BB143" i="4" s="1"/>
  <c r="A89" i="29"/>
  <c r="AK178" i="29"/>
  <c r="D178" i="29" s="1"/>
  <c r="AL178" i="29"/>
  <c r="C178" i="29" s="1"/>
  <c r="BA145" i="4" l="1"/>
  <c r="AZ144" i="4"/>
  <c r="BB144" i="4" s="1"/>
  <c r="A90" i="29"/>
  <c r="AL179" i="29"/>
  <c r="C179" i="29" s="1"/>
  <c r="AK179" i="29"/>
  <c r="D179" i="29" s="1"/>
  <c r="BA146" i="4" l="1"/>
  <c r="AZ145" i="4"/>
  <c r="BB145" i="4" s="1"/>
  <c r="A91" i="29"/>
  <c r="AL180" i="29"/>
  <c r="C180" i="29" s="1"/>
  <c r="AK180" i="29"/>
  <c r="D180" i="29" s="1"/>
  <c r="BA147" i="4" l="1"/>
  <c r="AZ146" i="4"/>
  <c r="BB146" i="4" s="1"/>
  <c r="A92" i="29"/>
  <c r="AL181" i="29"/>
  <c r="C181" i="29" s="1"/>
  <c r="AK181" i="29"/>
  <c r="D181" i="29" s="1"/>
  <c r="BA148" i="4" l="1"/>
  <c r="AZ147" i="4"/>
  <c r="BB147" i="4" s="1"/>
  <c r="A93" i="29"/>
  <c r="AK182" i="29"/>
  <c r="D182" i="29" s="1"/>
  <c r="AL182" i="29"/>
  <c r="C182" i="29" s="1"/>
  <c r="BA149" i="4" l="1"/>
  <c r="AZ148" i="4"/>
  <c r="A94" i="29"/>
  <c r="AL183" i="29"/>
  <c r="C183" i="29" s="1"/>
  <c r="AK183" i="29"/>
  <c r="D183" i="29" s="1"/>
  <c r="E148" i="4" l="1"/>
  <c r="BB148" i="4"/>
  <c r="D148" i="4" s="1"/>
  <c r="BA150" i="4"/>
  <c r="AZ149" i="4"/>
  <c r="A95" i="29"/>
  <c r="AL184" i="29"/>
  <c r="C184" i="29" s="1"/>
  <c r="AK184" i="29"/>
  <c r="D184" i="29" s="1"/>
  <c r="BA151" i="4" l="1"/>
  <c r="AZ150" i="4"/>
  <c r="E149" i="4"/>
  <c r="BB149" i="4"/>
  <c r="D149" i="4" s="1"/>
  <c r="A96" i="29"/>
  <c r="AL185" i="29"/>
  <c r="C185" i="29" s="1"/>
  <c r="AK185" i="29"/>
  <c r="D185" i="29" s="1"/>
  <c r="E150" i="4" l="1"/>
  <c r="BB150" i="4"/>
  <c r="D150" i="4" s="1"/>
  <c r="BA152" i="4"/>
  <c r="AZ151" i="4"/>
  <c r="BB151" i="4" s="1"/>
  <c r="A97" i="29"/>
  <c r="AK186" i="29"/>
  <c r="D186" i="29" s="1"/>
  <c r="AL186" i="29"/>
  <c r="C186" i="29" s="1"/>
  <c r="BA153" i="4" l="1"/>
  <c r="AZ152" i="4"/>
  <c r="BB152" i="4" s="1"/>
  <c r="A98" i="29"/>
  <c r="AL187" i="29"/>
  <c r="C187" i="29" s="1"/>
  <c r="AK187" i="29"/>
  <c r="D187" i="29" s="1"/>
  <c r="BA154" i="4" l="1"/>
  <c r="AZ153" i="4"/>
  <c r="BB153" i="4" s="1"/>
  <c r="A99" i="29"/>
  <c r="AK188" i="29"/>
  <c r="D188" i="29" s="1"/>
  <c r="AL188" i="29"/>
  <c r="C188" i="29" s="1"/>
  <c r="BA155" i="4" l="1"/>
  <c r="AZ154" i="4"/>
  <c r="BB154" i="4" s="1"/>
  <c r="A100" i="29"/>
  <c r="AL189" i="29"/>
  <c r="C189" i="29" s="1"/>
  <c r="AK189" i="29"/>
  <c r="D189" i="29" s="1"/>
  <c r="BA156" i="4" l="1"/>
  <c r="AZ155" i="4"/>
  <c r="BB155" i="4" s="1"/>
  <c r="A101" i="29"/>
  <c r="AL190" i="29"/>
  <c r="C190" i="29" s="1"/>
  <c r="AK190" i="29"/>
  <c r="D190" i="29" s="1"/>
  <c r="BA157" i="4" l="1"/>
  <c r="AZ156" i="4"/>
  <c r="BB156" i="4" s="1"/>
  <c r="A102" i="29"/>
  <c r="AL191" i="29"/>
  <c r="C191" i="29" s="1"/>
  <c r="AK191" i="29"/>
  <c r="D191" i="29" s="1"/>
  <c r="BA158" i="4" l="1"/>
  <c r="AZ157" i="4"/>
  <c r="BB157" i="4" s="1"/>
  <c r="A103" i="29"/>
  <c r="AK192" i="29"/>
  <c r="D192" i="29" s="1"/>
  <c r="AL192" i="29"/>
  <c r="C192" i="29" s="1"/>
  <c r="BA159" i="4" l="1"/>
  <c r="AZ158" i="4"/>
  <c r="BB158" i="4" s="1"/>
  <c r="A104" i="29"/>
  <c r="AL193" i="29"/>
  <c r="C193" i="29" s="1"/>
  <c r="AK193" i="29"/>
  <c r="D193" i="29" s="1"/>
  <c r="BA160" i="4" l="1"/>
  <c r="AZ159" i="4"/>
  <c r="BB159" i="4" s="1"/>
  <c r="A105" i="29"/>
  <c r="AL194" i="29"/>
  <c r="C194" i="29" s="1"/>
  <c r="AK194" i="29"/>
  <c r="D194" i="29" s="1"/>
  <c r="BA161" i="4" l="1"/>
  <c r="AZ160" i="4"/>
  <c r="BB160" i="4" s="1"/>
  <c r="A106" i="29"/>
  <c r="AL195" i="29"/>
  <c r="C195" i="29" s="1"/>
  <c r="AK195" i="29"/>
  <c r="D195" i="29" s="1"/>
  <c r="BA162" i="4" l="1"/>
  <c r="AZ161" i="4"/>
  <c r="BB161" i="4" s="1"/>
  <c r="A107" i="29"/>
  <c r="AK196" i="29"/>
  <c r="D196" i="29" s="1"/>
  <c r="AL196" i="29"/>
  <c r="C196" i="29" s="1"/>
  <c r="BA163" i="4" l="1"/>
  <c r="AZ162" i="4"/>
  <c r="BB162" i="4" s="1"/>
  <c r="A108" i="29"/>
  <c r="AL197" i="29"/>
  <c r="C197" i="29" s="1"/>
  <c r="AK197" i="29"/>
  <c r="D197" i="29" s="1"/>
  <c r="BA164" i="4" l="1"/>
  <c r="AZ163" i="4"/>
  <c r="BB163" i="4" s="1"/>
  <c r="A109" i="29"/>
  <c r="AL198" i="29"/>
  <c r="C198" i="29" s="1"/>
  <c r="AK198" i="29"/>
  <c r="D198" i="29" s="1"/>
  <c r="BA165" i="4" l="1"/>
  <c r="AZ164" i="4"/>
  <c r="BB164" i="4" s="1"/>
  <c r="A110" i="29"/>
  <c r="AL199" i="29"/>
  <c r="C199" i="29" s="1"/>
  <c r="AK199" i="29"/>
  <c r="D199" i="29" s="1"/>
  <c r="BA166" i="4" l="1"/>
  <c r="AZ165" i="4"/>
  <c r="BB165" i="4" s="1"/>
  <c r="A111" i="29"/>
  <c r="AK200" i="29"/>
  <c r="D200" i="29" s="1"/>
  <c r="AL200" i="29"/>
  <c r="C200" i="29" s="1"/>
  <c r="BA167" i="4" l="1"/>
  <c r="AZ166" i="4"/>
  <c r="BB166" i="4" s="1"/>
  <c r="A112" i="29"/>
  <c r="AL201" i="29"/>
  <c r="C201" i="29" s="1"/>
  <c r="AK201" i="29"/>
  <c r="D201" i="29" s="1"/>
  <c r="BA168" i="4" l="1"/>
  <c r="AZ167" i="4"/>
  <c r="BB167" i="4" s="1"/>
  <c r="A113" i="29"/>
  <c r="AK202" i="29"/>
  <c r="D202" i="29" s="1"/>
  <c r="AL202" i="29"/>
  <c r="C202" i="29" s="1"/>
  <c r="BA169" i="4" l="1"/>
  <c r="AZ168" i="4"/>
  <c r="BB168" i="4" s="1"/>
  <c r="A114" i="29"/>
  <c r="AL203" i="29"/>
  <c r="C203" i="29" s="1"/>
  <c r="AK203" i="29"/>
  <c r="D203" i="29" s="1"/>
  <c r="BA170" i="4" l="1"/>
  <c r="AZ169" i="4"/>
  <c r="BB169" i="4" s="1"/>
  <c r="A115" i="29"/>
  <c r="AK204" i="29"/>
  <c r="D204" i="29" s="1"/>
  <c r="AL204" i="29"/>
  <c r="C204" i="29" s="1"/>
  <c r="BA171" i="4" l="1"/>
  <c r="AZ170" i="4"/>
  <c r="BB170" i="4" s="1"/>
  <c r="A116" i="29"/>
  <c r="AL205" i="29"/>
  <c r="C205" i="29" s="1"/>
  <c r="AK205" i="29"/>
  <c r="D205" i="29" s="1"/>
  <c r="BA172" i="4" l="1"/>
  <c r="AZ171" i="4"/>
  <c r="BB171" i="4" s="1"/>
  <c r="A117" i="29"/>
  <c r="AK206" i="29"/>
  <c r="D206" i="29" s="1"/>
  <c r="AL206" i="29"/>
  <c r="C206" i="29" s="1"/>
  <c r="BA173" i="4" l="1"/>
  <c r="AZ172" i="4"/>
  <c r="BB172" i="4" s="1"/>
  <c r="A118" i="29"/>
  <c r="AL207" i="29"/>
  <c r="C207" i="29" s="1"/>
  <c r="AK207" i="29"/>
  <c r="D207" i="29" s="1"/>
  <c r="BA174" i="4" l="1"/>
  <c r="AZ173" i="4"/>
  <c r="BB173" i="4" s="1"/>
  <c r="A119" i="29"/>
  <c r="AK208" i="29"/>
  <c r="D208" i="29" s="1"/>
  <c r="AL208" i="29"/>
  <c r="C208" i="29" s="1"/>
  <c r="BA175" i="4" l="1"/>
  <c r="AZ174" i="4"/>
  <c r="BB174" i="4" s="1"/>
  <c r="A120" i="29"/>
  <c r="AL209" i="29"/>
  <c r="C209" i="29" s="1"/>
  <c r="AK209" i="29"/>
  <c r="D209" i="29" s="1"/>
  <c r="BA176" i="4" l="1"/>
  <c r="AZ175" i="4"/>
  <c r="BB175" i="4" s="1"/>
  <c r="A121" i="29"/>
  <c r="AK210" i="29"/>
  <c r="D210" i="29" s="1"/>
  <c r="AL210" i="29"/>
  <c r="C210" i="29" s="1"/>
  <c r="BA177" i="4" l="1"/>
  <c r="AZ176" i="4"/>
  <c r="BB176" i="4" s="1"/>
  <c r="A122" i="29"/>
  <c r="AL211" i="29"/>
  <c r="C211" i="29" s="1"/>
  <c r="AK211" i="29"/>
  <c r="D211" i="29" s="1"/>
  <c r="BA178" i="4" l="1"/>
  <c r="AZ177" i="4"/>
  <c r="BB177" i="4" s="1"/>
  <c r="A123" i="29"/>
  <c r="AK212" i="29"/>
  <c r="D212" i="29" s="1"/>
  <c r="AL212" i="29"/>
  <c r="C212" i="29" s="1"/>
  <c r="BA179" i="4" l="1"/>
  <c r="AZ178" i="4"/>
  <c r="BB178" i="4" s="1"/>
  <c r="A124" i="29"/>
  <c r="AL213" i="29"/>
  <c r="C213" i="29" s="1"/>
  <c r="AK213" i="29"/>
  <c r="D213" i="29" s="1"/>
  <c r="BA180" i="4" l="1"/>
  <c r="AZ179" i="4"/>
  <c r="BB179" i="4" s="1"/>
  <c r="A125" i="29"/>
  <c r="AK214" i="29"/>
  <c r="D214" i="29" s="1"/>
  <c r="AL214" i="29"/>
  <c r="C214" i="29" s="1"/>
  <c r="BA181" i="4" l="1"/>
  <c r="AZ180" i="4"/>
  <c r="BB180" i="4" s="1"/>
  <c r="A126" i="29"/>
  <c r="AL215" i="29"/>
  <c r="C215" i="29" s="1"/>
  <c r="AK215" i="29"/>
  <c r="D215" i="29" s="1"/>
  <c r="BA182" i="4" l="1"/>
  <c r="AZ181" i="4"/>
  <c r="BB181" i="4" s="1"/>
  <c r="A127" i="29"/>
  <c r="AK216" i="29"/>
  <c r="D216" i="29" s="1"/>
  <c r="AL216" i="29"/>
  <c r="C216" i="29" s="1"/>
  <c r="BA183" i="4" l="1"/>
  <c r="AZ182" i="4"/>
  <c r="BB182" i="4" s="1"/>
  <c r="A128" i="29"/>
  <c r="AL217" i="29"/>
  <c r="C217" i="29" s="1"/>
  <c r="AK217" i="29"/>
  <c r="D217" i="29" s="1"/>
  <c r="BA184" i="4" l="1"/>
  <c r="AZ183" i="4"/>
  <c r="BB183" i="4" s="1"/>
  <c r="A129" i="29"/>
  <c r="AK218" i="29"/>
  <c r="D218" i="29" s="1"/>
  <c r="AL218" i="29"/>
  <c r="C218" i="29" s="1"/>
  <c r="BA185" i="4" l="1"/>
  <c r="AZ184" i="4"/>
  <c r="BB184" i="4" s="1"/>
  <c r="A130" i="29"/>
  <c r="AL219" i="29"/>
  <c r="C219" i="29" s="1"/>
  <c r="AK219" i="29"/>
  <c r="D219" i="29" s="1"/>
  <c r="BA186" i="4" l="1"/>
  <c r="AZ185" i="4"/>
  <c r="BB185" i="4" s="1"/>
  <c r="A131" i="29"/>
  <c r="AK220" i="29"/>
  <c r="D220" i="29" s="1"/>
  <c r="AL220" i="29"/>
  <c r="C220" i="29" s="1"/>
  <c r="BA187" i="4" l="1"/>
  <c r="AZ186" i="4"/>
  <c r="BB186" i="4" s="1"/>
  <c r="A132" i="29"/>
  <c r="AL221" i="29"/>
  <c r="C221" i="29" s="1"/>
  <c r="AK221" i="29"/>
  <c r="D221" i="29" s="1"/>
  <c r="BA188" i="4" l="1"/>
  <c r="AZ187" i="4"/>
  <c r="BB187" i="4" s="1"/>
  <c r="A133" i="29"/>
  <c r="AK222" i="29"/>
  <c r="D222" i="29" s="1"/>
  <c r="AL222" i="29"/>
  <c r="C222" i="29" s="1"/>
  <c r="BA189" i="4" l="1"/>
  <c r="AZ188" i="4"/>
  <c r="A134" i="29"/>
  <c r="AL223" i="29"/>
  <c r="C223" i="29" s="1"/>
  <c r="AK223" i="29"/>
  <c r="D223" i="29" s="1"/>
  <c r="E188" i="4" l="1"/>
  <c r="BB188" i="4"/>
  <c r="D188" i="4" s="1"/>
  <c r="BA190" i="4"/>
  <c r="AZ189" i="4"/>
  <c r="A135" i="29"/>
  <c r="AK224" i="29"/>
  <c r="D224" i="29" s="1"/>
  <c r="AL224" i="29"/>
  <c r="C224" i="29" s="1"/>
  <c r="BA191" i="4" l="1"/>
  <c r="AZ190" i="4"/>
  <c r="BB189" i="4"/>
  <c r="D189" i="4" s="1"/>
  <c r="E189" i="4"/>
  <c r="A136" i="29"/>
  <c r="AL225" i="29"/>
  <c r="C225" i="29" s="1"/>
  <c r="AK225" i="29"/>
  <c r="D225" i="29" s="1"/>
  <c r="BB190" i="4" l="1"/>
  <c r="D190" i="4" s="1"/>
  <c r="E190" i="4"/>
  <c r="BA192" i="4"/>
  <c r="AZ191" i="4"/>
  <c r="BB191" i="4" s="1"/>
  <c r="A137" i="29"/>
  <c r="AK226" i="29"/>
  <c r="D226" i="29" s="1"/>
  <c r="AL226" i="29"/>
  <c r="C226" i="29" s="1"/>
  <c r="BA193" i="4" l="1"/>
  <c r="AZ192" i="4"/>
  <c r="BB192" i="4" s="1"/>
  <c r="A138" i="29"/>
  <c r="AL227" i="29"/>
  <c r="C227" i="29" s="1"/>
  <c r="AK227" i="29"/>
  <c r="D227" i="29" s="1"/>
  <c r="BA194" i="4" l="1"/>
  <c r="AZ193" i="4"/>
  <c r="BB193" i="4" s="1"/>
  <c r="A139" i="29"/>
  <c r="AK228" i="29"/>
  <c r="D228" i="29" s="1"/>
  <c r="AL228" i="29"/>
  <c r="C228" i="29" s="1"/>
  <c r="BA195" i="4" l="1"/>
  <c r="AZ194" i="4"/>
  <c r="BB194" i="4" s="1"/>
  <c r="A140" i="29"/>
  <c r="AL229" i="29"/>
  <c r="C229" i="29" s="1"/>
  <c r="AK229" i="29"/>
  <c r="D229" i="29" s="1"/>
  <c r="BA196" i="4" l="1"/>
  <c r="AZ195" i="4"/>
  <c r="BB195" i="4" s="1"/>
  <c r="A141" i="29"/>
  <c r="AK230" i="29"/>
  <c r="D230" i="29" s="1"/>
  <c r="AL230" i="29"/>
  <c r="C230" i="29" s="1"/>
  <c r="BA197" i="4" l="1"/>
  <c r="AZ196" i="4"/>
  <c r="BB196" i="4" s="1"/>
  <c r="A142" i="29"/>
  <c r="AL231" i="29"/>
  <c r="C231" i="29" s="1"/>
  <c r="AK231" i="29"/>
  <c r="D231" i="29" s="1"/>
  <c r="BA198" i="4" l="1"/>
  <c r="AZ197" i="4"/>
  <c r="BB197" i="4" s="1"/>
  <c r="A143" i="29"/>
  <c r="AK232" i="29"/>
  <c r="D232" i="29" s="1"/>
  <c r="AL232" i="29"/>
  <c r="C232" i="29" s="1"/>
  <c r="BA199" i="4" l="1"/>
  <c r="AZ198" i="4"/>
  <c r="BB198" i="4" s="1"/>
  <c r="A144" i="29"/>
  <c r="AL233" i="29"/>
  <c r="C233" i="29" s="1"/>
  <c r="AK233" i="29"/>
  <c r="D233" i="29" s="1"/>
  <c r="BA200" i="4" l="1"/>
  <c r="AZ199" i="4"/>
  <c r="BB199" i="4" s="1"/>
  <c r="A145" i="29"/>
  <c r="AK234" i="29"/>
  <c r="D234" i="29" s="1"/>
  <c r="AL234" i="29"/>
  <c r="C234" i="29" s="1"/>
  <c r="BA201" i="4" l="1"/>
  <c r="AZ200" i="4"/>
  <c r="BB200" i="4" s="1"/>
  <c r="A146" i="29"/>
  <c r="AL235" i="29"/>
  <c r="C235" i="29" s="1"/>
  <c r="AK235" i="29"/>
  <c r="D235" i="29" s="1"/>
  <c r="BA202" i="4" l="1"/>
  <c r="AZ201" i="4"/>
  <c r="BB201" i="4" s="1"/>
  <c r="A147" i="29"/>
  <c r="AK236" i="29"/>
  <c r="D236" i="29" s="1"/>
  <c r="AL236" i="29"/>
  <c r="C236" i="29" s="1"/>
  <c r="BA203" i="4" l="1"/>
  <c r="AZ202" i="4"/>
  <c r="BB202" i="4" s="1"/>
  <c r="A148" i="29"/>
  <c r="AL237" i="29"/>
  <c r="C237" i="29" s="1"/>
  <c r="AK237" i="29"/>
  <c r="D237" i="29" s="1"/>
  <c r="BA204" i="4" l="1"/>
  <c r="AZ203" i="4"/>
  <c r="BB203" i="4" s="1"/>
  <c r="A149" i="29"/>
  <c r="AK238" i="29"/>
  <c r="D238" i="29" s="1"/>
  <c r="AL238" i="29"/>
  <c r="C238" i="29" s="1"/>
  <c r="BA205" i="4" l="1"/>
  <c r="AZ204" i="4"/>
  <c r="BB204" i="4" s="1"/>
  <c r="A150" i="29"/>
  <c r="AL239" i="29"/>
  <c r="C239" i="29" s="1"/>
  <c r="AK239" i="29"/>
  <c r="D239" i="29" s="1"/>
  <c r="BA206" i="4" l="1"/>
  <c r="AZ205" i="4"/>
  <c r="BB205" i="4" s="1"/>
  <c r="A151" i="29"/>
  <c r="AK240" i="29"/>
  <c r="D240" i="29" s="1"/>
  <c r="AL240" i="29"/>
  <c r="C240" i="29" s="1"/>
  <c r="BA207" i="4" l="1"/>
  <c r="AZ206" i="4"/>
  <c r="BB206" i="4" s="1"/>
  <c r="A152" i="29"/>
  <c r="AL241" i="29"/>
  <c r="C241" i="29" s="1"/>
  <c r="AK241" i="29"/>
  <c r="D241" i="29" s="1"/>
  <c r="BA208" i="4" l="1"/>
  <c r="AZ207" i="4"/>
  <c r="BB207" i="4" s="1"/>
  <c r="A153" i="29"/>
  <c r="AK242" i="29"/>
  <c r="D242" i="29" s="1"/>
  <c r="AL242" i="29"/>
  <c r="C242" i="29" s="1"/>
  <c r="BA209" i="4" l="1"/>
  <c r="AZ208" i="4"/>
  <c r="BB208" i="4" s="1"/>
  <c r="A154" i="29"/>
  <c r="AL243" i="29"/>
  <c r="C243" i="29" s="1"/>
  <c r="AK243" i="29"/>
  <c r="D243" i="29" s="1"/>
  <c r="BA210" i="4" l="1"/>
  <c r="AZ209" i="4"/>
  <c r="BB209" i="4" s="1"/>
  <c r="A155" i="29"/>
  <c r="AK244" i="29"/>
  <c r="D244" i="29" s="1"/>
  <c r="AL244" i="29"/>
  <c r="C244" i="29" s="1"/>
  <c r="BA211" i="4" l="1"/>
  <c r="AZ210" i="4"/>
  <c r="BB210" i="4" s="1"/>
  <c r="A156" i="29"/>
  <c r="AL245" i="29"/>
  <c r="C245" i="29" s="1"/>
  <c r="AK245" i="29"/>
  <c r="D245" i="29" s="1"/>
  <c r="BA212" i="4" l="1"/>
  <c r="AZ211" i="4"/>
  <c r="BB211" i="4" s="1"/>
  <c r="A157" i="29"/>
  <c r="AK246" i="29"/>
  <c r="D246" i="29" s="1"/>
  <c r="AL246" i="29"/>
  <c r="C246" i="29" s="1"/>
  <c r="BA213" i="4" l="1"/>
  <c r="AZ212" i="4"/>
  <c r="BB212" i="4" s="1"/>
  <c r="A158" i="29"/>
  <c r="AL247" i="29"/>
  <c r="C247" i="29" s="1"/>
  <c r="AK247" i="29"/>
  <c r="D247" i="29" s="1"/>
  <c r="BA214" i="4" l="1"/>
  <c r="AZ213" i="4"/>
  <c r="BB213" i="4" s="1"/>
  <c r="A159" i="29"/>
  <c r="AK248" i="29"/>
  <c r="D248" i="29" s="1"/>
  <c r="AL248" i="29"/>
  <c r="C248" i="29" s="1"/>
  <c r="BA215" i="4" l="1"/>
  <c r="AZ214" i="4"/>
  <c r="BB214" i="4" s="1"/>
  <c r="A160" i="29"/>
  <c r="AL249" i="29"/>
  <c r="C249" i="29" s="1"/>
  <c r="AK249" i="29"/>
  <c r="D249" i="29" s="1"/>
  <c r="BA216" i="4" l="1"/>
  <c r="AZ215" i="4"/>
  <c r="BB215" i="4" s="1"/>
  <c r="A161" i="29"/>
  <c r="AK250" i="29"/>
  <c r="D250" i="29" s="1"/>
  <c r="AL250" i="29"/>
  <c r="C250" i="29" s="1"/>
  <c r="BA217" i="4" l="1"/>
  <c r="AZ216" i="4"/>
  <c r="BB216" i="4" s="1"/>
  <c r="A162" i="29"/>
  <c r="AL251" i="29"/>
  <c r="C251" i="29" s="1"/>
  <c r="AK251" i="29"/>
  <c r="D251" i="29" s="1"/>
  <c r="BA218" i="4" l="1"/>
  <c r="AZ217" i="4"/>
  <c r="BB217" i="4" s="1"/>
  <c r="A163" i="29"/>
  <c r="AK252" i="29"/>
  <c r="D252" i="29" s="1"/>
  <c r="AL252" i="29"/>
  <c r="C252" i="29" s="1"/>
  <c r="BA219" i="4" l="1"/>
  <c r="AZ218" i="4"/>
  <c r="BB218" i="4" s="1"/>
  <c r="A164" i="29"/>
  <c r="AL253" i="29"/>
  <c r="C253" i="29" s="1"/>
  <c r="AK253" i="29"/>
  <c r="D253" i="29" s="1"/>
  <c r="BA220" i="4" l="1"/>
  <c r="AZ219" i="4"/>
  <c r="BB219" i="4" s="1"/>
  <c r="A165" i="29"/>
  <c r="AK254" i="29"/>
  <c r="D254" i="29" s="1"/>
  <c r="AL254" i="29"/>
  <c r="C254" i="29" s="1"/>
  <c r="BA221" i="4" l="1"/>
  <c r="AZ220" i="4"/>
  <c r="BB220" i="4" s="1"/>
  <c r="A166" i="29"/>
  <c r="AL255" i="29"/>
  <c r="C255" i="29" s="1"/>
  <c r="AK255" i="29"/>
  <c r="D255" i="29" s="1"/>
  <c r="BA222" i="4" l="1"/>
  <c r="AZ221" i="4"/>
  <c r="BB221" i="4" s="1"/>
  <c r="A167" i="29"/>
  <c r="AK256" i="29"/>
  <c r="D256" i="29" s="1"/>
  <c r="AL256" i="29"/>
  <c r="C256" i="29" s="1"/>
  <c r="BA223" i="4" l="1"/>
  <c r="AZ222" i="4"/>
  <c r="BB222" i="4" s="1"/>
  <c r="A168" i="29"/>
  <c r="AL257" i="29"/>
  <c r="C257" i="29" s="1"/>
  <c r="AK257" i="29"/>
  <c r="D257" i="29" s="1"/>
  <c r="BA224" i="4" l="1"/>
  <c r="AZ223" i="4"/>
  <c r="BB223" i="4" s="1"/>
  <c r="A169" i="29"/>
  <c r="AK258" i="29"/>
  <c r="D258" i="29" s="1"/>
  <c r="AL258" i="29"/>
  <c r="C258" i="29" s="1"/>
  <c r="BA225" i="4" l="1"/>
  <c r="AZ224" i="4"/>
  <c r="BB224" i="4" s="1"/>
  <c r="A170" i="29"/>
  <c r="AL259" i="29"/>
  <c r="C259" i="29" s="1"/>
  <c r="AK259" i="29"/>
  <c r="D259" i="29" s="1"/>
  <c r="BA226" i="4" l="1"/>
  <c r="AZ225" i="4"/>
  <c r="BB225" i="4" s="1"/>
  <c r="A171" i="29"/>
  <c r="AK260" i="29"/>
  <c r="D260" i="29" s="1"/>
  <c r="AL260" i="29"/>
  <c r="C260" i="29" s="1"/>
  <c r="BA227" i="4" l="1"/>
  <c r="AZ226" i="4"/>
  <c r="A172" i="29"/>
  <c r="AL261" i="29"/>
  <c r="C261" i="29" s="1"/>
  <c r="AK261" i="29"/>
  <c r="D261" i="29" s="1"/>
  <c r="BB226" i="4" l="1"/>
  <c r="D226" i="4" s="1"/>
  <c r="E226" i="4"/>
  <c r="BA228" i="4"/>
  <c r="AZ227" i="4"/>
  <c r="A173" i="29"/>
  <c r="AK262" i="29"/>
  <c r="D262" i="29" s="1"/>
  <c r="AL262" i="29"/>
  <c r="C262" i="29" s="1"/>
  <c r="BA229" i="4" l="1"/>
  <c r="AZ228" i="4"/>
  <c r="BB227" i="4"/>
  <c r="D227" i="4" s="1"/>
  <c r="E227" i="4"/>
  <c r="A174" i="29"/>
  <c r="AL263" i="29"/>
  <c r="C263" i="29" s="1"/>
  <c r="AK263" i="29"/>
  <c r="D263" i="29" s="1"/>
  <c r="BB228" i="4" l="1"/>
  <c r="D228" i="4" s="1"/>
  <c r="E228" i="4"/>
  <c r="BA230" i="4"/>
  <c r="AZ229" i="4"/>
  <c r="BB229" i="4" s="1"/>
  <c r="A175" i="29"/>
  <c r="AK264" i="29"/>
  <c r="D264" i="29" s="1"/>
  <c r="AL264" i="29"/>
  <c r="C264" i="29" s="1"/>
  <c r="BA231" i="4" l="1"/>
  <c r="AZ230" i="4"/>
  <c r="BB230" i="4" s="1"/>
  <c r="A176" i="29"/>
  <c r="AL265" i="29"/>
  <c r="C265" i="29" s="1"/>
  <c r="AK265" i="29"/>
  <c r="D265" i="29" s="1"/>
  <c r="BA232" i="4" l="1"/>
  <c r="AZ231" i="4"/>
  <c r="BB231" i="4" s="1"/>
  <c r="A177" i="29"/>
  <c r="AK266" i="29"/>
  <c r="D266" i="29" s="1"/>
  <c r="AL266" i="29"/>
  <c r="C266" i="29" s="1"/>
  <c r="BA233" i="4" l="1"/>
  <c r="AZ232" i="4"/>
  <c r="BB232" i="4" s="1"/>
  <c r="A178" i="29"/>
  <c r="AL267" i="29"/>
  <c r="C267" i="29" s="1"/>
  <c r="AK267" i="29"/>
  <c r="D267" i="29" s="1"/>
  <c r="BA234" i="4" l="1"/>
  <c r="AZ233" i="4"/>
  <c r="BB233" i="4" s="1"/>
  <c r="A179" i="29"/>
  <c r="AK268" i="29"/>
  <c r="D268" i="29" s="1"/>
  <c r="AL268" i="29"/>
  <c r="C268" i="29" s="1"/>
  <c r="BA235" i="4" l="1"/>
  <c r="AZ234" i="4"/>
  <c r="BB234" i="4" s="1"/>
  <c r="A180" i="29"/>
  <c r="AL269" i="29"/>
  <c r="C269" i="29" s="1"/>
  <c r="AK269" i="29"/>
  <c r="D269" i="29" s="1"/>
  <c r="BA236" i="4" l="1"/>
  <c r="AZ235" i="4"/>
  <c r="BB235" i="4" s="1"/>
  <c r="A181" i="29"/>
  <c r="AK270" i="29"/>
  <c r="D270" i="29" s="1"/>
  <c r="AL270" i="29"/>
  <c r="C270" i="29" s="1"/>
  <c r="BA237" i="4" l="1"/>
  <c r="AZ236" i="4"/>
  <c r="BB236" i="4" s="1"/>
  <c r="A182" i="29"/>
  <c r="AL271" i="29"/>
  <c r="C271" i="29" s="1"/>
  <c r="AK271" i="29"/>
  <c r="D271" i="29" s="1"/>
  <c r="BA238" i="4" l="1"/>
  <c r="AZ237" i="4"/>
  <c r="BB237" i="4" s="1"/>
  <c r="A183" i="29"/>
  <c r="AK272" i="29"/>
  <c r="D272" i="29" s="1"/>
  <c r="AL272" i="29"/>
  <c r="C272" i="29" s="1"/>
  <c r="BA239" i="4" l="1"/>
  <c r="AZ238" i="4"/>
  <c r="BB238" i="4" s="1"/>
  <c r="A184" i="29"/>
  <c r="AL273" i="29"/>
  <c r="C273" i="29" s="1"/>
  <c r="AK273" i="29"/>
  <c r="D273" i="29" s="1"/>
  <c r="BA240" i="4" l="1"/>
  <c r="AZ239" i="4"/>
  <c r="BB239" i="4" s="1"/>
  <c r="A185" i="29"/>
  <c r="AK274" i="29"/>
  <c r="D274" i="29" s="1"/>
  <c r="AL274" i="29"/>
  <c r="C274" i="29" s="1"/>
  <c r="BA241" i="4" l="1"/>
  <c r="AZ240" i="4"/>
  <c r="BB240" i="4" s="1"/>
  <c r="A186" i="29"/>
  <c r="AL275" i="29"/>
  <c r="C275" i="29" s="1"/>
  <c r="AK275" i="29"/>
  <c r="D275" i="29" s="1"/>
  <c r="BA242" i="4" l="1"/>
  <c r="AZ241" i="4"/>
  <c r="BB241" i="4" s="1"/>
  <c r="A187" i="29"/>
  <c r="AK276" i="29"/>
  <c r="D276" i="29" s="1"/>
  <c r="AL276" i="29"/>
  <c r="C276" i="29" s="1"/>
  <c r="BA243" i="4" l="1"/>
  <c r="AZ242" i="4"/>
  <c r="BB242" i="4" s="1"/>
  <c r="A188" i="29"/>
  <c r="AL277" i="29"/>
  <c r="C277" i="29" s="1"/>
  <c r="AK277" i="29"/>
  <c r="D277" i="29" s="1"/>
  <c r="BA244" i="4" l="1"/>
  <c r="AZ243" i="4"/>
  <c r="BB243" i="4" s="1"/>
  <c r="A189" i="29"/>
  <c r="AK278" i="29"/>
  <c r="D278" i="29" s="1"/>
  <c r="AL278" i="29"/>
  <c r="C278" i="29" s="1"/>
  <c r="BA245" i="4" l="1"/>
  <c r="AZ244" i="4"/>
  <c r="BB244" i="4" s="1"/>
  <c r="A190" i="29"/>
  <c r="AL279" i="29"/>
  <c r="C279" i="29" s="1"/>
  <c r="AK279" i="29"/>
  <c r="D279" i="29" s="1"/>
  <c r="BA246" i="4" l="1"/>
  <c r="AZ245" i="4"/>
  <c r="BB245" i="4" s="1"/>
  <c r="A191" i="29"/>
  <c r="AK280" i="29"/>
  <c r="D280" i="29" s="1"/>
  <c r="AL280" i="29"/>
  <c r="C280" i="29" s="1"/>
  <c r="BA247" i="4" l="1"/>
  <c r="AZ246" i="4"/>
  <c r="BB246" i="4" s="1"/>
  <c r="A192" i="29"/>
  <c r="AL281" i="29"/>
  <c r="C281" i="29" s="1"/>
  <c r="AK281" i="29"/>
  <c r="D281" i="29" s="1"/>
  <c r="BA248" i="4" l="1"/>
  <c r="AZ247" i="4"/>
  <c r="BB247" i="4" s="1"/>
  <c r="A193" i="29"/>
  <c r="AK282" i="29"/>
  <c r="D282" i="29" s="1"/>
  <c r="AL282" i="29"/>
  <c r="C282" i="29" s="1"/>
  <c r="BA249" i="4" l="1"/>
  <c r="AZ248" i="4"/>
  <c r="BB248" i="4" s="1"/>
  <c r="A194" i="29"/>
  <c r="AL283" i="29"/>
  <c r="C283" i="29" s="1"/>
  <c r="AK283" i="29"/>
  <c r="D283" i="29" s="1"/>
  <c r="BA250" i="4" l="1"/>
  <c r="AZ249" i="4"/>
  <c r="BB249" i="4" s="1"/>
  <c r="A195" i="29"/>
  <c r="AK284" i="29"/>
  <c r="D284" i="29" s="1"/>
  <c r="AL284" i="29"/>
  <c r="C284" i="29" s="1"/>
  <c r="BA251" i="4" l="1"/>
  <c r="AZ250" i="4"/>
  <c r="BB250" i="4" s="1"/>
  <c r="A196" i="29"/>
  <c r="AL285" i="29"/>
  <c r="C285" i="29" s="1"/>
  <c r="AK285" i="29"/>
  <c r="D285" i="29" s="1"/>
  <c r="BA252" i="4" l="1"/>
  <c r="AZ251" i="4"/>
  <c r="BB251" i="4" s="1"/>
  <c r="A197" i="29"/>
  <c r="AK286" i="29"/>
  <c r="D286" i="29" s="1"/>
  <c r="AL286" i="29"/>
  <c r="C286" i="29" s="1"/>
  <c r="BA253" i="4" l="1"/>
  <c r="AZ252" i="4"/>
  <c r="BB252" i="4" s="1"/>
  <c r="A198" i="29"/>
  <c r="AL287" i="29"/>
  <c r="C287" i="29" s="1"/>
  <c r="AK287" i="29"/>
  <c r="D287" i="29" s="1"/>
  <c r="BA254" i="4" l="1"/>
  <c r="AZ253" i="4"/>
  <c r="BB253" i="4" s="1"/>
  <c r="A199" i="29"/>
  <c r="AK288" i="29"/>
  <c r="D288" i="29" s="1"/>
  <c r="AL288" i="29"/>
  <c r="C288" i="29" s="1"/>
  <c r="BA255" i="4" l="1"/>
  <c r="AZ254" i="4"/>
  <c r="BB254" i="4" s="1"/>
  <c r="A200" i="29"/>
  <c r="AL289" i="29"/>
  <c r="C289" i="29" s="1"/>
  <c r="AK289" i="29"/>
  <c r="D289" i="29" s="1"/>
  <c r="BA256" i="4" l="1"/>
  <c r="AZ255" i="4"/>
  <c r="BB255" i="4" s="1"/>
  <c r="A201" i="29"/>
  <c r="AK290" i="29"/>
  <c r="D290" i="29" s="1"/>
  <c r="AL290" i="29"/>
  <c r="C290" i="29" s="1"/>
  <c r="BA257" i="4" l="1"/>
  <c r="AZ256" i="4"/>
  <c r="BB256" i="4" s="1"/>
  <c r="A202" i="29"/>
  <c r="AL291" i="29"/>
  <c r="C291" i="29" s="1"/>
  <c r="AK291" i="29"/>
  <c r="D291" i="29" s="1"/>
  <c r="BA258" i="4" l="1"/>
  <c r="AZ257" i="4"/>
  <c r="BB257" i="4" s="1"/>
  <c r="A203" i="29"/>
  <c r="AK292" i="29"/>
  <c r="D292" i="29" s="1"/>
  <c r="AL292" i="29"/>
  <c r="C292" i="29" s="1"/>
  <c r="BA259" i="4" l="1"/>
  <c r="AZ258" i="4"/>
  <c r="BB258" i="4" s="1"/>
  <c r="A204" i="29"/>
  <c r="AL293" i="29"/>
  <c r="C293" i="29" s="1"/>
  <c r="AK293" i="29"/>
  <c r="D293" i="29" s="1"/>
  <c r="BA260" i="4" l="1"/>
  <c r="AZ259" i="4"/>
  <c r="BB259" i="4" s="1"/>
  <c r="A205" i="29"/>
  <c r="AK294" i="29"/>
  <c r="D294" i="29" s="1"/>
  <c r="AL294" i="29"/>
  <c r="C294" i="29" s="1"/>
  <c r="BA261" i="4" l="1"/>
  <c r="AZ260" i="4"/>
  <c r="BB260" i="4" s="1"/>
  <c r="A206" i="29"/>
  <c r="AL295" i="29"/>
  <c r="C295" i="29" s="1"/>
  <c r="AK295" i="29"/>
  <c r="D295" i="29" s="1"/>
  <c r="BA262" i="4" l="1"/>
  <c r="AZ261" i="4"/>
  <c r="BB261" i="4" s="1"/>
  <c r="A207" i="29"/>
  <c r="AK296" i="29"/>
  <c r="D296" i="29" s="1"/>
  <c r="AL296" i="29"/>
  <c r="C296" i="29" s="1"/>
  <c r="BA263" i="4" l="1"/>
  <c r="AZ262" i="4"/>
  <c r="BB262" i="4" s="1"/>
  <c r="A208" i="29"/>
  <c r="AL297" i="29"/>
  <c r="C297" i="29" s="1"/>
  <c r="AK297" i="29"/>
  <c r="D297" i="29" s="1"/>
  <c r="BA264" i="4" l="1"/>
  <c r="AZ263" i="4"/>
  <c r="BB263" i="4" s="1"/>
  <c r="A209" i="29"/>
  <c r="AK298" i="29"/>
  <c r="D298" i="29" s="1"/>
  <c r="AL298" i="29"/>
  <c r="C298" i="29" s="1"/>
  <c r="BA265" i="4" l="1"/>
  <c r="AZ264" i="4"/>
  <c r="BB264" i="4" s="1"/>
  <c r="A210" i="29"/>
  <c r="AL299" i="29"/>
  <c r="C299" i="29" s="1"/>
  <c r="AK299" i="29"/>
  <c r="D299" i="29" s="1"/>
  <c r="BA266" i="4" l="1"/>
  <c r="AZ265" i="4"/>
  <c r="BB265" i="4" s="1"/>
  <c r="A211" i="29"/>
  <c r="AK300" i="29"/>
  <c r="D300" i="29" s="1"/>
  <c r="AL300" i="29"/>
  <c r="C300" i="29" s="1"/>
  <c r="BA267" i="4" l="1"/>
  <c r="AZ266" i="4"/>
  <c r="A212" i="29"/>
  <c r="AL301" i="29"/>
  <c r="C301" i="29" s="1"/>
  <c r="AK301" i="29"/>
  <c r="D301" i="29" s="1"/>
  <c r="E266" i="4" l="1"/>
  <c r="BB266" i="4"/>
  <c r="D266" i="4" s="1"/>
  <c r="BA268" i="4"/>
  <c r="AZ267" i="4"/>
  <c r="A213" i="29"/>
  <c r="AK302" i="29"/>
  <c r="D302" i="29" s="1"/>
  <c r="AL302" i="29"/>
  <c r="C302" i="29" s="1"/>
  <c r="BB267" i="4" l="1"/>
  <c r="D267" i="4" s="1"/>
  <c r="E267" i="4"/>
  <c r="BA269" i="4"/>
  <c r="AZ268" i="4"/>
  <c r="A214" i="29"/>
  <c r="AL303" i="29"/>
  <c r="C303" i="29" s="1"/>
  <c r="AK303" i="29"/>
  <c r="D303" i="29" s="1"/>
  <c r="BA270" i="4" l="1"/>
  <c r="AZ269" i="4"/>
  <c r="BB269" i="4" s="1"/>
  <c r="BB268" i="4"/>
  <c r="D268" i="4" s="1"/>
  <c r="E268" i="4"/>
  <c r="A215" i="29"/>
  <c r="AK304" i="29"/>
  <c r="D304" i="29" s="1"/>
  <c r="AL304" i="29"/>
  <c r="C304" i="29" s="1"/>
  <c r="BA271" i="4" l="1"/>
  <c r="AZ270" i="4"/>
  <c r="BB270" i="4" s="1"/>
  <c r="A216" i="29"/>
  <c r="AL305" i="29"/>
  <c r="C305" i="29" s="1"/>
  <c r="AK305" i="29"/>
  <c r="D305" i="29" s="1"/>
  <c r="BA272" i="4" l="1"/>
  <c r="AZ271" i="4"/>
  <c r="BB271" i="4" s="1"/>
  <c r="A217" i="29"/>
  <c r="AK306" i="29"/>
  <c r="D306" i="29" s="1"/>
  <c r="AL306" i="29"/>
  <c r="C306" i="29" s="1"/>
  <c r="BA273" i="4" l="1"/>
  <c r="AZ272" i="4"/>
  <c r="BB272" i="4" s="1"/>
  <c r="A218" i="29"/>
  <c r="AL307" i="29"/>
  <c r="C307" i="29" s="1"/>
  <c r="AK307" i="29"/>
  <c r="D307" i="29" s="1"/>
  <c r="BA274" i="4" l="1"/>
  <c r="AZ273" i="4"/>
  <c r="BB273" i="4" s="1"/>
  <c r="A219" i="29"/>
  <c r="AK308" i="29"/>
  <c r="D308" i="29" s="1"/>
  <c r="AL308" i="29"/>
  <c r="C308" i="29" s="1"/>
  <c r="BA275" i="4" l="1"/>
  <c r="AZ274" i="4"/>
  <c r="BB274" i="4" s="1"/>
  <c r="A220" i="29"/>
  <c r="AL309" i="29"/>
  <c r="C309" i="29" s="1"/>
  <c r="AK309" i="29"/>
  <c r="D309" i="29" s="1"/>
  <c r="BA276" i="4" l="1"/>
  <c r="AZ275" i="4"/>
  <c r="BB275" i="4" s="1"/>
  <c r="A221" i="29"/>
  <c r="AK310" i="29"/>
  <c r="D310" i="29" s="1"/>
  <c r="AL310" i="29"/>
  <c r="C310" i="29" s="1"/>
  <c r="BA277" i="4" l="1"/>
  <c r="AZ276" i="4"/>
  <c r="BB276" i="4" s="1"/>
  <c r="A222" i="29"/>
  <c r="AL311" i="29"/>
  <c r="C311" i="29" s="1"/>
  <c r="AK311" i="29"/>
  <c r="D311" i="29" s="1"/>
  <c r="BA278" i="4" l="1"/>
  <c r="AZ277" i="4"/>
  <c r="BB277" i="4" s="1"/>
  <c r="A223" i="29"/>
  <c r="AK312" i="29"/>
  <c r="D312" i="29" s="1"/>
  <c r="AL312" i="29"/>
  <c r="C312" i="29" s="1"/>
  <c r="BA279" i="4" l="1"/>
  <c r="AZ278" i="4"/>
  <c r="BB278" i="4" s="1"/>
  <c r="A224" i="29"/>
  <c r="AL313" i="29"/>
  <c r="C313" i="29" s="1"/>
  <c r="AK313" i="29"/>
  <c r="D313" i="29" s="1"/>
  <c r="BA280" i="4" l="1"/>
  <c r="AZ279" i="4"/>
  <c r="BB279" i="4" s="1"/>
  <c r="A225" i="29"/>
  <c r="BA281" i="4" l="1"/>
  <c r="AZ280" i="4"/>
  <c r="BB280" i="4" s="1"/>
  <c r="A226" i="29"/>
  <c r="AL314" i="29"/>
  <c r="C314" i="29" s="1"/>
  <c r="AK314" i="29"/>
  <c r="D314" i="29" s="1"/>
  <c r="BA282" i="4" l="1"/>
  <c r="AZ281" i="4"/>
  <c r="BB281" i="4" s="1"/>
  <c r="A227" i="29"/>
  <c r="AK315" i="29"/>
  <c r="D315" i="29" s="1"/>
  <c r="AL315" i="29"/>
  <c r="C315" i="29" s="1"/>
  <c r="BA283" i="4" l="1"/>
  <c r="AZ282" i="4"/>
  <c r="BB282" i="4" s="1"/>
  <c r="A228" i="29"/>
  <c r="AL316" i="29"/>
  <c r="C316" i="29" s="1"/>
  <c r="AK316" i="29"/>
  <c r="D316" i="29" s="1"/>
  <c r="BA284" i="4" l="1"/>
  <c r="AZ283" i="4"/>
  <c r="BB283" i="4" s="1"/>
  <c r="A229" i="29"/>
  <c r="AK317" i="29"/>
  <c r="D317" i="29" s="1"/>
  <c r="AL317" i="29"/>
  <c r="C317" i="29" s="1"/>
  <c r="BA285" i="4" l="1"/>
  <c r="AZ284" i="4"/>
  <c r="BB284" i="4" s="1"/>
  <c r="A230" i="29"/>
  <c r="AL318" i="29"/>
  <c r="C318" i="29" s="1"/>
  <c r="AK318" i="29"/>
  <c r="D318" i="29" s="1"/>
  <c r="BA286" i="4" l="1"/>
  <c r="AZ285" i="4"/>
  <c r="BB285" i="4" s="1"/>
  <c r="A231" i="29"/>
  <c r="AK319" i="29"/>
  <c r="D319" i="29" s="1"/>
  <c r="AL319" i="29"/>
  <c r="C319" i="29" s="1"/>
  <c r="BA287" i="4" l="1"/>
  <c r="AZ286" i="4"/>
  <c r="BB286" i="4" s="1"/>
  <c r="A232" i="29"/>
  <c r="AL320" i="29"/>
  <c r="C320" i="29" s="1"/>
  <c r="AK320" i="29"/>
  <c r="D320" i="29" s="1"/>
  <c r="BA288" i="4" l="1"/>
  <c r="AZ287" i="4"/>
  <c r="BB287" i="4" s="1"/>
  <c r="A233" i="29"/>
  <c r="AK321" i="29"/>
  <c r="D321" i="29" s="1"/>
  <c r="AL321" i="29"/>
  <c r="C321" i="29" s="1"/>
  <c r="BA289" i="4" l="1"/>
  <c r="AZ288" i="4"/>
  <c r="BB288" i="4" s="1"/>
  <c r="A234" i="29"/>
  <c r="AL322" i="29"/>
  <c r="C322" i="29" s="1"/>
  <c r="AK322" i="29"/>
  <c r="D322" i="29" s="1"/>
  <c r="BA290" i="4" l="1"/>
  <c r="AZ289" i="4"/>
  <c r="BB289" i="4" s="1"/>
  <c r="A235" i="29"/>
  <c r="AK323" i="29"/>
  <c r="D323" i="29" s="1"/>
  <c r="AL323" i="29"/>
  <c r="C323" i="29" s="1"/>
  <c r="BA291" i="4" l="1"/>
  <c r="AZ290" i="4"/>
  <c r="BB290" i="4" s="1"/>
  <c r="A236" i="29"/>
  <c r="AL324" i="29"/>
  <c r="C324" i="29" s="1"/>
  <c r="AK324" i="29"/>
  <c r="D324" i="29" s="1"/>
  <c r="BA292" i="4" l="1"/>
  <c r="AZ291" i="4"/>
  <c r="BB291" i="4" s="1"/>
  <c r="A237" i="29"/>
  <c r="AK325" i="29"/>
  <c r="D325" i="29" s="1"/>
  <c r="AL325" i="29"/>
  <c r="C325" i="29" s="1"/>
  <c r="BA293" i="4" l="1"/>
  <c r="AZ292" i="4"/>
  <c r="BB292" i="4" s="1"/>
  <c r="A238" i="29"/>
  <c r="AL326" i="29"/>
  <c r="C326" i="29" s="1"/>
  <c r="AK326" i="29"/>
  <c r="D326" i="29" s="1"/>
  <c r="BA294" i="4" l="1"/>
  <c r="AZ293" i="4"/>
  <c r="BB293" i="4" s="1"/>
  <c r="A239" i="29"/>
  <c r="AK327" i="29"/>
  <c r="D327" i="29" s="1"/>
  <c r="AL327" i="29"/>
  <c r="C327" i="29" s="1"/>
  <c r="BA295" i="4" l="1"/>
  <c r="AZ294" i="4"/>
  <c r="BB294" i="4" s="1"/>
  <c r="A240" i="29"/>
  <c r="AL328" i="29"/>
  <c r="C328" i="29" s="1"/>
  <c r="AK328" i="29"/>
  <c r="D328" i="29" s="1"/>
  <c r="BA296" i="4" l="1"/>
  <c r="AZ295" i="4"/>
  <c r="BB295" i="4" s="1"/>
  <c r="A241" i="29"/>
  <c r="AK329" i="29"/>
  <c r="D329" i="29" s="1"/>
  <c r="AL329" i="29"/>
  <c r="C329" i="29" s="1"/>
  <c r="BA297" i="4" l="1"/>
  <c r="AZ296" i="4"/>
  <c r="BB296" i="4" s="1"/>
  <c r="A242" i="29"/>
  <c r="AL330" i="29"/>
  <c r="C330" i="29" s="1"/>
  <c r="AK330" i="29"/>
  <c r="D330" i="29" s="1"/>
  <c r="BA298" i="4" l="1"/>
  <c r="AZ297" i="4"/>
  <c r="BB297" i="4" s="1"/>
  <c r="A243" i="29"/>
  <c r="AK331" i="29"/>
  <c r="D331" i="29" s="1"/>
  <c r="AL331" i="29"/>
  <c r="C331" i="29" s="1"/>
  <c r="BA299" i="4" l="1"/>
  <c r="AZ298" i="4"/>
  <c r="BB298" i="4" s="1"/>
  <c r="A244" i="29"/>
  <c r="BA300" i="4" l="1"/>
  <c r="AZ299" i="4"/>
  <c r="BB299" i="4" s="1"/>
  <c r="A245" i="29"/>
  <c r="BA301" i="4" l="1"/>
  <c r="AZ300" i="4"/>
  <c r="BB300" i="4" s="1"/>
  <c r="A246" i="29"/>
  <c r="AL332" i="29"/>
  <c r="C332" i="29" s="1"/>
  <c r="AK332" i="29"/>
  <c r="D332" i="29" s="1"/>
  <c r="BA302" i="4" l="1"/>
  <c r="AZ301" i="4"/>
  <c r="BB301" i="4" s="1"/>
  <c r="A247" i="29"/>
  <c r="AK333" i="29"/>
  <c r="D333" i="29" s="1"/>
  <c r="AL333" i="29"/>
  <c r="C333" i="29" s="1"/>
  <c r="BA303" i="4" l="1"/>
  <c r="AZ302" i="4"/>
  <c r="BB302" i="4" s="1"/>
  <c r="A248" i="29"/>
  <c r="AL334" i="29"/>
  <c r="C334" i="29" s="1"/>
  <c r="AK334" i="29"/>
  <c r="D334" i="29" s="1"/>
  <c r="BA304" i="4" l="1"/>
  <c r="AZ303" i="4"/>
  <c r="BB303" i="4" s="1"/>
  <c r="A249" i="29"/>
  <c r="BA305" i="4" l="1"/>
  <c r="AZ304" i="4"/>
  <c r="BB304" i="4" s="1"/>
  <c r="A250" i="29"/>
  <c r="AL335" i="29"/>
  <c r="C335" i="29" s="1"/>
  <c r="AK335" i="29"/>
  <c r="D335" i="29" s="1"/>
  <c r="BA306" i="4" l="1"/>
  <c r="AZ305" i="4"/>
  <c r="A251" i="29"/>
  <c r="AK336" i="29"/>
  <c r="D336" i="29" s="1"/>
  <c r="AL336" i="29"/>
  <c r="C336" i="29" s="1"/>
  <c r="BB305" i="4" l="1"/>
  <c r="D305" i="4" s="1"/>
  <c r="E305" i="4"/>
  <c r="BA307" i="4"/>
  <c r="AZ306" i="4"/>
  <c r="A252" i="29"/>
  <c r="AL337" i="29"/>
  <c r="C337" i="29" s="1"/>
  <c r="AK337" i="29"/>
  <c r="D337" i="29" s="1"/>
  <c r="BB306" i="4" l="1"/>
  <c r="D306" i="4" s="1"/>
  <c r="E306" i="4"/>
  <c r="BA308" i="4"/>
  <c r="AZ307" i="4"/>
  <c r="A253" i="29"/>
  <c r="AK338" i="29"/>
  <c r="D338" i="29" s="1"/>
  <c r="AL338" i="29"/>
  <c r="C338" i="29" s="1"/>
  <c r="BA309" i="4" l="1"/>
  <c r="AZ308" i="4"/>
  <c r="BB308" i="4" s="1"/>
  <c r="BB307" i="4"/>
  <c r="D307" i="4" s="1"/>
  <c r="E307" i="4"/>
  <c r="A254" i="29"/>
  <c r="AL339" i="29"/>
  <c r="C339" i="29" s="1"/>
  <c r="AK339" i="29"/>
  <c r="D339" i="29" s="1"/>
  <c r="BA310" i="4" l="1"/>
  <c r="AZ309" i="4"/>
  <c r="BB309" i="4" s="1"/>
  <c r="A255" i="29"/>
  <c r="AK340" i="29"/>
  <c r="D340" i="29" s="1"/>
  <c r="AL340" i="29"/>
  <c r="C340" i="29" s="1"/>
  <c r="BA311" i="4" l="1"/>
  <c r="AZ310" i="4"/>
  <c r="BB310" i="4" s="1"/>
  <c r="A256" i="29"/>
  <c r="AL341" i="29"/>
  <c r="C341" i="29" s="1"/>
  <c r="AK341" i="29"/>
  <c r="D341" i="29" s="1"/>
  <c r="BA312" i="4" l="1"/>
  <c r="AZ311" i="4"/>
  <c r="BB311" i="4" s="1"/>
  <c r="A257" i="29"/>
  <c r="AK342" i="29"/>
  <c r="D342" i="29" s="1"/>
  <c r="AL342" i="29"/>
  <c r="C342" i="29" s="1"/>
  <c r="BA313" i="4" l="1"/>
  <c r="AZ312" i="4"/>
  <c r="BB312" i="4" s="1"/>
  <c r="A258" i="29"/>
  <c r="AL343" i="29"/>
  <c r="C343" i="29" s="1"/>
  <c r="AK343" i="29"/>
  <c r="D343" i="29" s="1"/>
  <c r="BA314" i="4" l="1"/>
  <c r="AZ313" i="4"/>
  <c r="BB313" i="4" s="1"/>
  <c r="A259" i="29"/>
  <c r="AK344" i="29"/>
  <c r="D344" i="29" s="1"/>
  <c r="AL344" i="29"/>
  <c r="C344" i="29" s="1"/>
  <c r="BA315" i="4" l="1"/>
  <c r="AZ314" i="4"/>
  <c r="BB314" i="4" s="1"/>
  <c r="A260" i="29"/>
  <c r="AL345" i="29"/>
  <c r="C345" i="29" s="1"/>
  <c r="AK345" i="29"/>
  <c r="D345" i="29" s="1"/>
  <c r="BA316" i="4" l="1"/>
  <c r="AZ315" i="4"/>
  <c r="BB315" i="4" s="1"/>
  <c r="A261" i="29"/>
  <c r="AK346" i="29"/>
  <c r="D346" i="29" s="1"/>
  <c r="AL346" i="29"/>
  <c r="C346" i="29" s="1"/>
  <c r="BA317" i="4" l="1"/>
  <c r="AZ316" i="4"/>
  <c r="BB316" i="4" s="1"/>
  <c r="A262" i="29"/>
  <c r="AL347" i="29"/>
  <c r="C347" i="29" s="1"/>
  <c r="AK347" i="29"/>
  <c r="D347" i="29" s="1"/>
  <c r="BA318" i="4" l="1"/>
  <c r="AZ317" i="4"/>
  <c r="BB317" i="4" s="1"/>
  <c r="A263" i="29"/>
  <c r="AK348" i="29"/>
  <c r="D348" i="29" s="1"/>
  <c r="AL348" i="29"/>
  <c r="C348" i="29" s="1"/>
  <c r="BA319" i="4" l="1"/>
  <c r="AZ318" i="4"/>
  <c r="BB318" i="4" s="1"/>
  <c r="A264" i="29"/>
  <c r="AL349" i="29"/>
  <c r="C349" i="29" s="1"/>
  <c r="AK349" i="29"/>
  <c r="D349" i="29" s="1"/>
  <c r="BA320" i="4" l="1"/>
  <c r="AZ319" i="4"/>
  <c r="BB319" i="4" s="1"/>
  <c r="A265" i="29"/>
  <c r="AK350" i="29"/>
  <c r="D350" i="29" s="1"/>
  <c r="AL350" i="29"/>
  <c r="C350" i="29" s="1"/>
  <c r="BA321" i="4" l="1"/>
  <c r="AZ320" i="4"/>
  <c r="BB320" i="4" s="1"/>
  <c r="A266" i="29"/>
  <c r="AL351" i="29"/>
  <c r="C351" i="29" s="1"/>
  <c r="AK351" i="29"/>
  <c r="D351" i="29" s="1"/>
  <c r="BA322" i="4" l="1"/>
  <c r="AZ321" i="4"/>
  <c r="BB321" i="4" s="1"/>
  <c r="A267" i="29"/>
  <c r="AK352" i="29"/>
  <c r="D352" i="29" s="1"/>
  <c r="AL352" i="29"/>
  <c r="C352" i="29" s="1"/>
  <c r="BA323" i="4" l="1"/>
  <c r="AZ322" i="4"/>
  <c r="BB322" i="4" s="1"/>
  <c r="A268" i="29"/>
  <c r="AL353" i="29"/>
  <c r="C353" i="29" s="1"/>
  <c r="AK353" i="29"/>
  <c r="D353" i="29" s="1"/>
  <c r="BA324" i="4" l="1"/>
  <c r="AZ323" i="4"/>
  <c r="BB323" i="4" s="1"/>
  <c r="A269" i="29"/>
  <c r="AK354" i="29"/>
  <c r="D354" i="29" s="1"/>
  <c r="AL354" i="29"/>
  <c r="C354" i="29" s="1"/>
  <c r="BA325" i="4" l="1"/>
  <c r="AZ324" i="4"/>
  <c r="BB324" i="4" s="1"/>
  <c r="A270" i="29"/>
  <c r="AL355" i="29"/>
  <c r="C355" i="29" s="1"/>
  <c r="AK355" i="29"/>
  <c r="D355" i="29" s="1"/>
  <c r="BA326" i="4" l="1"/>
  <c r="AZ325" i="4"/>
  <c r="BB325" i="4" s="1"/>
  <c r="A271" i="29"/>
  <c r="AK356" i="29"/>
  <c r="D356" i="29" s="1"/>
  <c r="AL356" i="29"/>
  <c r="C356" i="29" s="1"/>
  <c r="BA327" i="4" l="1"/>
  <c r="AZ326" i="4"/>
  <c r="BB326" i="4" s="1"/>
  <c r="A272" i="29"/>
  <c r="AL357" i="29"/>
  <c r="C357" i="29" s="1"/>
  <c r="AK357" i="29"/>
  <c r="D357" i="29" s="1"/>
  <c r="BA328" i="4" l="1"/>
  <c r="AZ327" i="4"/>
  <c r="BB327" i="4" s="1"/>
  <c r="A273" i="29"/>
  <c r="AK358" i="29"/>
  <c r="D358" i="29" s="1"/>
  <c r="AL358" i="29"/>
  <c r="C358" i="29" s="1"/>
  <c r="BA329" i="4" l="1"/>
  <c r="AZ328" i="4"/>
  <c r="BB328" i="4" s="1"/>
  <c r="A274" i="29"/>
  <c r="AL359" i="29"/>
  <c r="C359" i="29" s="1"/>
  <c r="AK359" i="29"/>
  <c r="D359" i="29" s="1"/>
  <c r="BA330" i="4" l="1"/>
  <c r="AZ329" i="4"/>
  <c r="BB329" i="4" s="1"/>
  <c r="A275" i="29"/>
  <c r="AK360" i="29"/>
  <c r="D360" i="29" s="1"/>
  <c r="AL360" i="29"/>
  <c r="C360" i="29" s="1"/>
  <c r="BA331" i="4" l="1"/>
  <c r="AZ330" i="4"/>
  <c r="BB330" i="4" s="1"/>
  <c r="A276" i="29"/>
  <c r="AL361" i="29"/>
  <c r="C361" i="29" s="1"/>
  <c r="AK361" i="29"/>
  <c r="D361" i="29" s="1"/>
  <c r="BA332" i="4" l="1"/>
  <c r="AZ331" i="4"/>
  <c r="BB331" i="4" s="1"/>
  <c r="A277" i="29"/>
  <c r="AK362" i="29"/>
  <c r="D362" i="29" s="1"/>
  <c r="AL362" i="29"/>
  <c r="C362" i="29" s="1"/>
  <c r="BA333" i="4" l="1"/>
  <c r="AZ332" i="4"/>
  <c r="BB332" i="4" s="1"/>
  <c r="A278" i="29"/>
  <c r="AL363" i="29"/>
  <c r="C363" i="29" s="1"/>
  <c r="AK363" i="29"/>
  <c r="D363" i="29" s="1"/>
  <c r="BA334" i="4" l="1"/>
  <c r="AZ333" i="4"/>
  <c r="BB333" i="4" s="1"/>
  <c r="A279" i="29"/>
  <c r="BA335" i="4" l="1"/>
  <c r="AZ334" i="4"/>
  <c r="BB334" i="4" s="1"/>
  <c r="A280" i="29"/>
  <c r="BA336" i="4" l="1"/>
  <c r="AZ335" i="4"/>
  <c r="BB335" i="4" s="1"/>
  <c r="A281" i="29"/>
  <c r="BA337" i="4" l="1"/>
  <c r="AZ336" i="4"/>
  <c r="BB336" i="4" s="1"/>
  <c r="A282" i="29"/>
  <c r="BA338" i="4" l="1"/>
  <c r="AZ337" i="4"/>
  <c r="BB337" i="4" s="1"/>
  <c r="A283" i="29"/>
  <c r="AK364" i="29"/>
  <c r="D364" i="29" s="1"/>
  <c r="AL364" i="29"/>
  <c r="C364" i="29" s="1"/>
  <c r="BA339" i="4" l="1"/>
  <c r="AZ338" i="4"/>
  <c r="BB338" i="4" s="1"/>
  <c r="A284" i="29"/>
  <c r="AL365" i="29"/>
  <c r="C365" i="29" s="1"/>
  <c r="AK365" i="29"/>
  <c r="D365" i="29" s="1"/>
  <c r="BA340" i="4" l="1"/>
  <c r="AZ339" i="4"/>
  <c r="BB339" i="4" s="1"/>
  <c r="A285" i="29"/>
  <c r="AK366" i="29"/>
  <c r="D366" i="29" s="1"/>
  <c r="AL366" i="29"/>
  <c r="C366" i="29" s="1"/>
  <c r="BA341" i="4" l="1"/>
  <c r="AZ340" i="4"/>
  <c r="BB340" i="4" s="1"/>
  <c r="A286" i="29"/>
  <c r="AL367" i="29"/>
  <c r="C367" i="29" s="1"/>
  <c r="AK367" i="29"/>
  <c r="D367" i="29" s="1"/>
  <c r="BA342" i="4" l="1"/>
  <c r="AZ341" i="4"/>
  <c r="BB341" i="4" s="1"/>
  <c r="A287" i="29"/>
  <c r="AK368" i="29"/>
  <c r="D368" i="29" s="1"/>
  <c r="AL368" i="29"/>
  <c r="C368" i="29" s="1"/>
  <c r="BA343" i="4" l="1"/>
  <c r="AZ342" i="4"/>
  <c r="BB342" i="4" s="1"/>
  <c r="A288" i="29"/>
  <c r="AL369" i="29"/>
  <c r="C369" i="29" s="1"/>
  <c r="AK369" i="29"/>
  <c r="D369" i="29" s="1"/>
  <c r="BA344" i="4" l="1"/>
  <c r="AZ343" i="4"/>
  <c r="BB343" i="4" s="1"/>
  <c r="A289" i="29"/>
  <c r="AK370" i="29"/>
  <c r="D370" i="29" s="1"/>
  <c r="AL370" i="29"/>
  <c r="C370" i="29" s="1"/>
  <c r="BA345" i="4" l="1"/>
  <c r="AZ344" i="4"/>
  <c r="A290" i="29"/>
  <c r="AL371" i="29"/>
  <c r="C371" i="29" s="1"/>
  <c r="AK371" i="29"/>
  <c r="D371" i="29" s="1"/>
  <c r="BB344" i="4" l="1"/>
  <c r="D344" i="4" s="1"/>
  <c r="E344" i="4"/>
  <c r="BA346" i="4"/>
  <c r="AZ345" i="4"/>
  <c r="A291" i="29"/>
  <c r="AK372" i="29"/>
  <c r="D372" i="29" s="1"/>
  <c r="AL372" i="29"/>
  <c r="C372" i="29" s="1"/>
  <c r="BA347" i="4" l="1"/>
  <c r="AZ346" i="4"/>
  <c r="BB345" i="4"/>
  <c r="D345" i="4" s="1"/>
  <c r="E345" i="4"/>
  <c r="A292" i="29"/>
  <c r="AL373" i="29"/>
  <c r="C373" i="29" s="1"/>
  <c r="AK373" i="29"/>
  <c r="D373" i="29" s="1"/>
  <c r="E346" i="4" l="1"/>
  <c r="BB346" i="4"/>
  <c r="D346" i="4" s="1"/>
  <c r="BA348" i="4"/>
  <c r="AZ347" i="4"/>
  <c r="BB347" i="4" s="1"/>
  <c r="A293" i="29"/>
  <c r="AK374" i="29"/>
  <c r="D374" i="29" s="1"/>
  <c r="AL374" i="29"/>
  <c r="C374" i="29" s="1"/>
  <c r="BA349" i="4" l="1"/>
  <c r="AZ348" i="4"/>
  <c r="BB348" i="4" s="1"/>
  <c r="A294" i="29"/>
  <c r="AL375" i="29"/>
  <c r="C375" i="29" s="1"/>
  <c r="AK375" i="29"/>
  <c r="D375" i="29" s="1"/>
  <c r="BA350" i="4" l="1"/>
  <c r="AZ349" i="4"/>
  <c r="BB349" i="4" s="1"/>
  <c r="A295" i="29"/>
  <c r="AK376" i="29"/>
  <c r="D376" i="29" s="1"/>
  <c r="AL376" i="29"/>
  <c r="C376" i="29" s="1"/>
  <c r="BA351" i="4" l="1"/>
  <c r="AZ350" i="4"/>
  <c r="BB350" i="4" s="1"/>
  <c r="A296" i="29"/>
  <c r="AL377" i="29"/>
  <c r="C377" i="29" s="1"/>
  <c r="AK377" i="29"/>
  <c r="D377" i="29" s="1"/>
  <c r="BA352" i="4" l="1"/>
  <c r="AZ351" i="4"/>
  <c r="BB351" i="4" s="1"/>
  <c r="A297" i="29"/>
  <c r="AK378" i="29"/>
  <c r="D378" i="29" s="1"/>
  <c r="AL378" i="29"/>
  <c r="C378" i="29" s="1"/>
  <c r="BA353" i="4" l="1"/>
  <c r="AZ352" i="4"/>
  <c r="BB352" i="4" s="1"/>
  <c r="A298" i="29"/>
  <c r="AL379" i="29"/>
  <c r="C379" i="29" s="1"/>
  <c r="AK379" i="29"/>
  <c r="D379" i="29" s="1"/>
  <c r="BA354" i="4" l="1"/>
  <c r="AZ353" i="4"/>
  <c r="BB353" i="4" s="1"/>
  <c r="A299" i="29"/>
  <c r="AK380" i="29"/>
  <c r="D380" i="29" s="1"/>
  <c r="AL380" i="29"/>
  <c r="C380" i="29" s="1"/>
  <c r="BA355" i="4" l="1"/>
  <c r="AZ354" i="4"/>
  <c r="BB354" i="4" s="1"/>
  <c r="A300" i="29"/>
  <c r="AL381" i="29"/>
  <c r="C381" i="29" s="1"/>
  <c r="AK381" i="29"/>
  <c r="D381" i="29" s="1"/>
  <c r="BA356" i="4" l="1"/>
  <c r="AZ355" i="4"/>
  <c r="BB355" i="4" s="1"/>
  <c r="A301" i="29"/>
  <c r="AK382" i="29"/>
  <c r="D382" i="29" s="1"/>
  <c r="AL382" i="29"/>
  <c r="C382" i="29" s="1"/>
  <c r="BA357" i="4" l="1"/>
  <c r="AZ356" i="4"/>
  <c r="BB356" i="4" s="1"/>
  <c r="A302" i="29"/>
  <c r="AL383" i="29"/>
  <c r="C383" i="29" s="1"/>
  <c r="AK383" i="29"/>
  <c r="D383" i="29" s="1"/>
  <c r="BA358" i="4" l="1"/>
  <c r="AZ357" i="4"/>
  <c r="BB357" i="4" s="1"/>
  <c r="A303" i="29"/>
  <c r="AK384" i="29"/>
  <c r="D384" i="29" s="1"/>
  <c r="AL384" i="29"/>
  <c r="C384" i="29" s="1"/>
  <c r="BA359" i="4" l="1"/>
  <c r="AZ358" i="4"/>
  <c r="BB358" i="4" s="1"/>
  <c r="A304" i="29"/>
  <c r="AL385" i="29"/>
  <c r="C385" i="29" s="1"/>
  <c r="AK385" i="29"/>
  <c r="D385" i="29" s="1"/>
  <c r="BA360" i="4" l="1"/>
  <c r="AZ359" i="4"/>
  <c r="BB359" i="4" s="1"/>
  <c r="A305" i="29"/>
  <c r="AK386" i="29"/>
  <c r="D386" i="29" s="1"/>
  <c r="AL386" i="29"/>
  <c r="C386" i="29" s="1"/>
  <c r="BA361" i="4" l="1"/>
  <c r="AZ360" i="4"/>
  <c r="BB360" i="4" s="1"/>
  <c r="A306" i="29"/>
  <c r="AL387" i="29"/>
  <c r="C387" i="29" s="1"/>
  <c r="AK387" i="29"/>
  <c r="D387" i="29" s="1"/>
  <c r="BA362" i="4" l="1"/>
  <c r="AZ361" i="4"/>
  <c r="BB361" i="4" s="1"/>
  <c r="A307" i="29"/>
  <c r="AK388" i="29"/>
  <c r="D388" i="29" s="1"/>
  <c r="AL388" i="29"/>
  <c r="C388" i="29" s="1"/>
  <c r="BA363" i="4" l="1"/>
  <c r="AZ362" i="4"/>
  <c r="BB362" i="4" s="1"/>
  <c r="A308" i="29"/>
  <c r="AL389" i="29"/>
  <c r="C389" i="29" s="1"/>
  <c r="AK389" i="29"/>
  <c r="D389" i="29" s="1"/>
  <c r="BA364" i="4" l="1"/>
  <c r="AZ363" i="4"/>
  <c r="BB363" i="4" s="1"/>
  <c r="A309" i="29"/>
  <c r="AK390" i="29"/>
  <c r="D390" i="29" s="1"/>
  <c r="AL390" i="29"/>
  <c r="C390" i="29" s="1"/>
  <c r="BA365" i="4" l="1"/>
  <c r="AZ364" i="4"/>
  <c r="BB364" i="4" s="1"/>
  <c r="A310" i="29"/>
  <c r="AL391" i="29"/>
  <c r="C391" i="29" s="1"/>
  <c r="AK391" i="29"/>
  <c r="D391" i="29" s="1"/>
  <c r="BA366" i="4" l="1"/>
  <c r="AZ365" i="4"/>
  <c r="BB365" i="4" s="1"/>
  <c r="A311" i="29"/>
  <c r="AK392" i="29"/>
  <c r="D392" i="29" s="1"/>
  <c r="AL392" i="29"/>
  <c r="C392" i="29" s="1"/>
  <c r="BA367" i="4" l="1"/>
  <c r="AZ366" i="4"/>
  <c r="BB366" i="4" s="1"/>
  <c r="A312" i="29"/>
  <c r="AL393" i="29"/>
  <c r="C393" i="29" s="1"/>
  <c r="AK393" i="29"/>
  <c r="D393" i="29" s="1"/>
  <c r="BA368" i="4" l="1"/>
  <c r="AZ367" i="4"/>
  <c r="BB367" i="4" s="1"/>
  <c r="A313" i="29"/>
  <c r="A314" i="29" s="1"/>
  <c r="AK394" i="29"/>
  <c r="D394" i="29" s="1"/>
  <c r="AL394" i="29"/>
  <c r="C394" i="29" s="1"/>
  <c r="BA369" i="4" l="1"/>
  <c r="AZ368" i="4"/>
  <c r="BB368" i="4" s="1"/>
  <c r="AL395" i="29"/>
  <c r="C395" i="29" s="1"/>
  <c r="AK395" i="29"/>
  <c r="D395" i="29" s="1"/>
  <c r="BA370" i="4" l="1"/>
  <c r="AZ369" i="4"/>
  <c r="BB369" i="4" s="1"/>
  <c r="AK396" i="29"/>
  <c r="D396" i="29" s="1"/>
  <c r="AL396" i="29"/>
  <c r="C396" i="29" s="1"/>
  <c r="BA371" i="4" l="1"/>
  <c r="AZ370" i="4"/>
  <c r="BB370" i="4" s="1"/>
  <c r="A315" i="29"/>
  <c r="AL397" i="29"/>
  <c r="C397" i="29" s="1"/>
  <c r="AK397" i="29"/>
  <c r="D397" i="29" s="1"/>
  <c r="BA372" i="4" l="1"/>
  <c r="AZ371" i="4"/>
  <c r="BB371" i="4" s="1"/>
  <c r="A316" i="29"/>
  <c r="AK398" i="29"/>
  <c r="D398" i="29" s="1"/>
  <c r="AL398" i="29"/>
  <c r="C398" i="29" s="1"/>
  <c r="BA373" i="4" l="1"/>
  <c r="AZ372" i="4"/>
  <c r="BB372" i="4" s="1"/>
  <c r="A317" i="29"/>
  <c r="AL399" i="29"/>
  <c r="C399" i="29" s="1"/>
  <c r="AK399" i="29"/>
  <c r="D399" i="29" s="1"/>
  <c r="BA374" i="4" l="1"/>
  <c r="AZ373" i="4"/>
  <c r="BB373" i="4" s="1"/>
  <c r="A318" i="29"/>
  <c r="AK400" i="29"/>
  <c r="D400" i="29" s="1"/>
  <c r="AL400" i="29"/>
  <c r="C400" i="29" s="1"/>
  <c r="BA375" i="4" l="1"/>
  <c r="AZ374" i="4"/>
  <c r="BB374" i="4" s="1"/>
  <c r="A319" i="29"/>
  <c r="AL401" i="29"/>
  <c r="C401" i="29" s="1"/>
  <c r="AK401" i="29"/>
  <c r="D401" i="29" s="1"/>
  <c r="BA376" i="4" l="1"/>
  <c r="AZ375" i="4"/>
  <c r="BB375" i="4" s="1"/>
  <c r="A320" i="29"/>
  <c r="AK402" i="29"/>
  <c r="D402" i="29" s="1"/>
  <c r="AL402" i="29"/>
  <c r="C402" i="29" s="1"/>
  <c r="A23" i="3"/>
  <c r="BA377" i="4" l="1"/>
  <c r="AZ376" i="4"/>
  <c r="BB376" i="4" s="1"/>
  <c r="A321" i="29"/>
  <c r="AL403" i="29"/>
  <c r="C403" i="29" s="1"/>
  <c r="AK403" i="29"/>
  <c r="D403" i="29" s="1"/>
  <c r="BA378" i="4" l="1"/>
  <c r="AZ377" i="4"/>
  <c r="BB377" i="4" s="1"/>
  <c r="A322" i="29"/>
  <c r="AK404" i="29"/>
  <c r="D404" i="29" s="1"/>
  <c r="AL404" i="29"/>
  <c r="C404" i="29" s="1"/>
  <c r="BA379" i="4" l="1"/>
  <c r="AZ378" i="4"/>
  <c r="BB378" i="4" s="1"/>
  <c r="A323" i="29"/>
  <c r="AL405" i="29"/>
  <c r="C405" i="29" s="1"/>
  <c r="AK405" i="29"/>
  <c r="D405" i="29" s="1"/>
  <c r="BA380" i="4" l="1"/>
  <c r="AZ379" i="4"/>
  <c r="BB379" i="4" s="1"/>
  <c r="A324" i="29"/>
  <c r="AK406" i="29"/>
  <c r="D406" i="29" s="1"/>
  <c r="AL406" i="29"/>
  <c r="C406" i="29" s="1"/>
  <c r="BA381" i="4" l="1"/>
  <c r="AZ380" i="4"/>
  <c r="BB380" i="4" s="1"/>
  <c r="A325" i="29"/>
  <c r="AL407" i="29"/>
  <c r="C407" i="29" s="1"/>
  <c r="AK407" i="29"/>
  <c r="D407" i="29" s="1"/>
  <c r="BA382" i="4" l="1"/>
  <c r="AZ381" i="4"/>
  <c r="A326" i="29"/>
  <c r="AK408" i="29"/>
  <c r="D408" i="29" s="1"/>
  <c r="AL408" i="29"/>
  <c r="C408" i="29" s="1"/>
  <c r="BB381" i="4" l="1"/>
  <c r="D381" i="4" s="1"/>
  <c r="E381" i="4"/>
  <c r="BA383" i="4"/>
  <c r="AZ382" i="4"/>
  <c r="I12" i="66"/>
  <c r="I11" i="66"/>
  <c r="A327" i="29"/>
  <c r="AL409" i="29"/>
  <c r="C409" i="29" s="1"/>
  <c r="AK409" i="29"/>
  <c r="D409" i="29" s="1"/>
  <c r="BB382" i="4" l="1"/>
  <c r="D382" i="4" s="1"/>
  <c r="E382" i="4"/>
  <c r="BA384" i="4"/>
  <c r="AZ383" i="4"/>
  <c r="A328" i="29"/>
  <c r="AK410" i="29"/>
  <c r="D410" i="29" s="1"/>
  <c r="AL410" i="29"/>
  <c r="C410" i="29" s="1"/>
  <c r="D8" i="66"/>
  <c r="D7" i="66"/>
  <c r="BB383" i="4" l="1"/>
  <c r="D383" i="4" s="1"/>
  <c r="E383" i="4"/>
  <c r="BA385" i="4"/>
  <c r="AZ384" i="4"/>
  <c r="Q7" i="66"/>
  <c r="Q8" i="66"/>
  <c r="P8" i="66"/>
  <c r="G381" i="53"/>
  <c r="N7" i="66"/>
  <c r="M7" i="66"/>
  <c r="O12" i="66"/>
  <c r="O10" i="66"/>
  <c r="O11" i="66"/>
  <c r="L7" i="66"/>
  <c r="O7" i="66"/>
  <c r="K7" i="66"/>
  <c r="I7" i="66"/>
  <c r="K10" i="66"/>
  <c r="E7" i="66"/>
  <c r="A329" i="29"/>
  <c r="AL411" i="29"/>
  <c r="C411" i="29" s="1"/>
  <c r="AK411" i="29"/>
  <c r="D411" i="29" s="1"/>
  <c r="E384" i="4" l="1"/>
  <c r="BB384" i="4"/>
  <c r="D384" i="4" s="1"/>
  <c r="BA386" i="4"/>
  <c r="AZ385" i="4"/>
  <c r="J7" i="66"/>
  <c r="K12" i="66"/>
  <c r="L10" i="66"/>
  <c r="J8" i="66"/>
  <c r="J12" i="66"/>
  <c r="K11" i="66"/>
  <c r="M10" i="66"/>
  <c r="M12" i="66"/>
  <c r="M11" i="66"/>
  <c r="L12" i="66"/>
  <c r="L11" i="66"/>
  <c r="J11" i="66"/>
  <c r="O8" i="66"/>
  <c r="L8" i="66"/>
  <c r="I8" i="66"/>
  <c r="K8" i="66"/>
  <c r="M8" i="66"/>
  <c r="A330" i="29"/>
  <c r="AK412" i="29"/>
  <c r="D412" i="29" s="1"/>
  <c r="AL412" i="29"/>
  <c r="C412" i="29" s="1"/>
  <c r="BB385" i="4" l="1"/>
  <c r="D385" i="4" s="1"/>
  <c r="E385" i="4"/>
  <c r="BA387" i="4"/>
  <c r="AZ386" i="4"/>
  <c r="M21" i="66"/>
  <c r="M19" i="66"/>
  <c r="L21" i="66"/>
  <c r="A331" i="29"/>
  <c r="A332" i="29" s="1"/>
  <c r="AL413" i="29"/>
  <c r="C413" i="29" s="1"/>
  <c r="AK413" i="29"/>
  <c r="D413" i="29" s="1"/>
  <c r="D2" i="17"/>
  <c r="D1" i="17"/>
  <c r="E3" i="17" s="1"/>
  <c r="C2" i="17"/>
  <c r="BB386" i="4" l="1"/>
  <c r="D386" i="4" s="1"/>
  <c r="E386" i="4"/>
  <c r="BA388" i="4"/>
  <c r="AZ387" i="4"/>
  <c r="AK414" i="29"/>
  <c r="D414" i="29" s="1"/>
  <c r="AL414" i="29"/>
  <c r="C414" i="29" s="1"/>
  <c r="E1" i="17"/>
  <c r="BB387" i="4" l="1"/>
  <c r="D387" i="4" s="1"/>
  <c r="E387" i="4"/>
  <c r="BA389" i="4"/>
  <c r="AZ388" i="4"/>
  <c r="AL415" i="29"/>
  <c r="C415" i="29" s="1"/>
  <c r="AK415" i="29"/>
  <c r="D415" i="29" s="1"/>
  <c r="F1" i="17"/>
  <c r="G1" i="17" s="1"/>
  <c r="H1" i="17" s="1"/>
  <c r="BA390" i="4" l="1"/>
  <c r="AZ389" i="4"/>
  <c r="BB388" i="4"/>
  <c r="D388" i="4" s="1"/>
  <c r="E388" i="4"/>
  <c r="AK416" i="29"/>
  <c r="D416" i="29" s="1"/>
  <c r="AL416" i="29"/>
  <c r="C416" i="29" s="1"/>
  <c r="G3" i="17"/>
  <c r="I1" i="17"/>
  <c r="H3" i="17"/>
  <c r="BB389" i="4" l="1"/>
  <c r="D389" i="4" s="1"/>
  <c r="E389" i="4"/>
  <c r="BA391" i="4"/>
  <c r="AZ390" i="4"/>
  <c r="A333" i="29"/>
  <c r="AL417" i="29"/>
  <c r="C417" i="29" s="1"/>
  <c r="AK417" i="29"/>
  <c r="D417" i="29" s="1"/>
  <c r="J1" i="17"/>
  <c r="J3" i="17"/>
  <c r="BB390" i="4" l="1"/>
  <c r="D390" i="4" s="1"/>
  <c r="E390" i="4"/>
  <c r="BA392" i="4"/>
  <c r="AZ391" i="4"/>
  <c r="A334" i="29"/>
  <c r="A335" i="29" s="1"/>
  <c r="AK418" i="29"/>
  <c r="D418" i="29" s="1"/>
  <c r="AL418" i="29"/>
  <c r="C418" i="29" s="1"/>
  <c r="K1" i="17"/>
  <c r="K3" i="17"/>
  <c r="BB391" i="4" l="1"/>
  <c r="D391" i="4" s="1"/>
  <c r="E391" i="4"/>
  <c r="BA393" i="4"/>
  <c r="AZ392" i="4"/>
  <c r="AL419" i="29"/>
  <c r="C419" i="29" s="1"/>
  <c r="AK419" i="29"/>
  <c r="D419" i="29" s="1"/>
  <c r="BB392" i="4" l="1"/>
  <c r="D392" i="4" s="1"/>
  <c r="E392" i="4"/>
  <c r="BA394" i="4"/>
  <c r="AZ393" i="4"/>
  <c r="AK420" i="29"/>
  <c r="D420" i="29" s="1"/>
  <c r="AL420" i="29"/>
  <c r="C420" i="29" s="1"/>
  <c r="BB393" i="4" l="1"/>
  <c r="D393" i="4" s="1"/>
  <c r="E393" i="4"/>
  <c r="BA395" i="4"/>
  <c r="AZ394" i="4"/>
  <c r="A336" i="29"/>
  <c r="AL421" i="29"/>
  <c r="C421" i="29" s="1"/>
  <c r="AK421" i="29"/>
  <c r="D421" i="29" s="1"/>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BA396" i="4" l="1"/>
  <c r="AZ395" i="4"/>
  <c r="BB394" i="4"/>
  <c r="D394" i="4" s="1"/>
  <c r="E394" i="4"/>
  <c r="A28" i="4"/>
  <c r="A32" i="4" s="1"/>
  <c r="A33" i="4" s="1"/>
  <c r="A31" i="4"/>
  <c r="A337" i="29"/>
  <c r="AK422" i="29"/>
  <c r="D422" i="29" s="1"/>
  <c r="AL422" i="29"/>
  <c r="C422" i="29" s="1"/>
  <c r="BB395" i="4" l="1"/>
  <c r="D395" i="4" s="1"/>
  <c r="E395" i="4"/>
  <c r="BA397" i="4"/>
  <c r="AZ396" i="4"/>
  <c r="A29" i="4"/>
  <c r="A30"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338" i="29"/>
  <c r="AL423" i="29"/>
  <c r="C423" i="29" s="1"/>
  <c r="AK423" i="29"/>
  <c r="D423" i="29" s="1"/>
  <c r="BB396" i="4" l="1"/>
  <c r="D396" i="4" s="1"/>
  <c r="E396" i="4"/>
  <c r="BA398" i="4"/>
  <c r="AZ397" i="4"/>
  <c r="A71" i="4"/>
  <c r="A68" i="4"/>
  <c r="A69"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9" i="4" s="1"/>
  <c r="A70" i="4"/>
  <c r="A339" i="29"/>
  <c r="AK424" i="29"/>
  <c r="D424" i="29" s="1"/>
  <c r="AL424" i="29"/>
  <c r="C424" i="29" s="1"/>
  <c r="BB397" i="4" l="1"/>
  <c r="D397" i="4" s="1"/>
  <c r="E397" i="4"/>
  <c r="BA399" i="4"/>
  <c r="AZ398" i="4"/>
  <c r="A72" i="4"/>
  <c r="A106" i="4"/>
  <c r="A107" i="4" s="1"/>
  <c r="A111" i="4" s="1"/>
  <c r="A340" i="29"/>
  <c r="AL425" i="29"/>
  <c r="C425" i="29" s="1"/>
  <c r="AK425" i="29"/>
  <c r="D425" i="29" s="1"/>
  <c r="BA400" i="4" l="1"/>
  <c r="AZ399" i="4"/>
  <c r="BB398" i="4"/>
  <c r="D398" i="4" s="1"/>
  <c r="E398" i="4"/>
  <c r="A110" i="4"/>
  <c r="A108" i="4"/>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341" i="29"/>
  <c r="AK426" i="29"/>
  <c r="D426" i="29" s="1"/>
  <c r="AL426" i="29"/>
  <c r="C426" i="29" s="1"/>
  <c r="BB399" i="4" l="1"/>
  <c r="D399" i="4" s="1"/>
  <c r="E399" i="4"/>
  <c r="BA401" i="4"/>
  <c r="AZ400" i="4"/>
  <c r="A148" i="4"/>
  <c r="A149" i="4"/>
  <c r="A185" i="4"/>
  <c r="A186" i="4" s="1"/>
  <c r="A188" i="4"/>
  <c r="A150" i="4"/>
  <c r="A342" i="29"/>
  <c r="AL427" i="29"/>
  <c r="C427" i="29" s="1"/>
  <c r="AK427" i="29"/>
  <c r="D427" i="29" s="1"/>
  <c r="BA402" i="4" l="1"/>
  <c r="AZ401" i="4"/>
  <c r="BB400" i="4"/>
  <c r="D400" i="4" s="1"/>
  <c r="E400" i="4"/>
  <c r="A187" i="4"/>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190" i="4"/>
  <c r="A189" i="4"/>
  <c r="A343" i="29"/>
  <c r="AK428" i="29"/>
  <c r="D428" i="29" s="1"/>
  <c r="AL428" i="29"/>
  <c r="C428" i="29" s="1"/>
  <c r="BB401" i="4" l="1"/>
  <c r="D401" i="4" s="1"/>
  <c r="E401" i="4"/>
  <c r="BA403" i="4"/>
  <c r="AZ402" i="4"/>
  <c r="A223" i="4"/>
  <c r="A224" i="4" s="1"/>
  <c r="A225"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26" i="4"/>
  <c r="A344" i="29"/>
  <c r="AL429" i="29"/>
  <c r="C429" i="29" s="1"/>
  <c r="AK429" i="29"/>
  <c r="D429" i="29" s="1"/>
  <c r="BB402" i="4" l="1"/>
  <c r="D402" i="4" s="1"/>
  <c r="E402" i="4"/>
  <c r="BA404" i="4"/>
  <c r="AZ403" i="4"/>
  <c r="A227" i="4"/>
  <c r="A263" i="4"/>
  <c r="A267" i="4" s="1"/>
  <c r="A266" i="4"/>
  <c r="A228" i="4"/>
  <c r="A345" i="29"/>
  <c r="AK430" i="29"/>
  <c r="D430" i="29" s="1"/>
  <c r="AL430" i="29"/>
  <c r="C430" i="29" s="1"/>
  <c r="BA405" i="4" l="1"/>
  <c r="AZ404" i="4"/>
  <c r="BB403" i="4"/>
  <c r="D403" i="4" s="1"/>
  <c r="E403" i="4"/>
  <c r="A264" i="4"/>
  <c r="A265"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6" i="29"/>
  <c r="AL431" i="29"/>
  <c r="C431" i="29" s="1"/>
  <c r="AK431" i="29"/>
  <c r="D431" i="29" s="1"/>
  <c r="BB404" i="4" l="1"/>
  <c r="D404" i="4" s="1"/>
  <c r="E404" i="4"/>
  <c r="BA406" i="4"/>
  <c r="AZ405" i="4"/>
  <c r="A341" i="4"/>
  <c r="A342" i="4" s="1"/>
  <c r="A343"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44" i="4"/>
  <c r="A268" i="4"/>
  <c r="A305" i="4"/>
  <c r="A306" i="4"/>
  <c r="A307" i="4"/>
  <c r="A347" i="29"/>
  <c r="AK432" i="29"/>
  <c r="D432" i="29" s="1"/>
  <c r="AL432" i="29"/>
  <c r="C432" i="29" s="1"/>
  <c r="BA407" i="4" l="1"/>
  <c r="AZ406" i="4"/>
  <c r="BB405" i="4"/>
  <c r="D405" i="4" s="1"/>
  <c r="E405" i="4"/>
  <c r="A345" i="4"/>
  <c r="A346" i="4"/>
  <c r="A394" i="4"/>
  <c r="A392" i="4"/>
  <c r="A393" i="4"/>
  <c r="A378" i="4"/>
  <c r="A382" i="4" s="1"/>
  <c r="A395" i="4"/>
  <c r="A348" i="29"/>
  <c r="AL433" i="29"/>
  <c r="C433" i="29" s="1"/>
  <c r="AK433" i="29"/>
  <c r="D433" i="29" s="1"/>
  <c r="BB406" i="4" l="1"/>
  <c r="D406" i="4" s="1"/>
  <c r="E406" i="4"/>
  <c r="BA408" i="4"/>
  <c r="AZ407" i="4"/>
  <c r="A396" i="4"/>
  <c r="A379" i="4"/>
  <c r="A383" i="4" s="1"/>
  <c r="A349" i="29"/>
  <c r="AK434" i="29"/>
  <c r="D434" i="29" s="1"/>
  <c r="AL434" i="29"/>
  <c r="C434" i="29" s="1"/>
  <c r="BA409" i="4" l="1"/>
  <c r="AZ408" i="4"/>
  <c r="BB407" i="4"/>
  <c r="D407" i="4" s="1"/>
  <c r="E407" i="4"/>
  <c r="A380" i="4"/>
  <c r="A384" i="4" s="1"/>
  <c r="A397" i="4"/>
  <c r="A350" i="29"/>
  <c r="AL435" i="29"/>
  <c r="C435" i="29" s="1"/>
  <c r="AK435" i="29"/>
  <c r="D435" i="29" s="1"/>
  <c r="BB408" i="4" l="1"/>
  <c r="D408" i="4" s="1"/>
  <c r="E408" i="4"/>
  <c r="BA410" i="4"/>
  <c r="AZ409" i="4"/>
  <c r="A381" i="4"/>
  <c r="A398" i="4"/>
  <c r="A351" i="29"/>
  <c r="AK436" i="29"/>
  <c r="D436" i="29" s="1"/>
  <c r="AL436" i="29"/>
  <c r="C436" i="29" s="1"/>
  <c r="BA411" i="4" l="1"/>
  <c r="AZ410" i="4"/>
  <c r="BB409" i="4"/>
  <c r="D409" i="4" s="1"/>
  <c r="E409" i="4"/>
  <c r="A399" i="4"/>
  <c r="A385" i="4"/>
  <c r="A352" i="29"/>
  <c r="AL437" i="29"/>
  <c r="C437" i="29" s="1"/>
  <c r="AK437" i="29"/>
  <c r="D437" i="29" s="1"/>
  <c r="BB410" i="4" l="1"/>
  <c r="D410" i="4" s="1"/>
  <c r="E410" i="4"/>
  <c r="BA412" i="4"/>
  <c r="AZ411" i="4"/>
  <c r="A386" i="4"/>
  <c r="A400" i="4"/>
  <c r="A353" i="29"/>
  <c r="AK438" i="29"/>
  <c r="D438" i="29" s="1"/>
  <c r="AL438" i="29"/>
  <c r="C438" i="29" s="1"/>
  <c r="BB411" i="4" l="1"/>
  <c r="D411" i="4" s="1"/>
  <c r="E411" i="4"/>
  <c r="BA413" i="4"/>
  <c r="AZ412" i="4"/>
  <c r="A387" i="4"/>
  <c r="A401" i="4"/>
  <c r="A411" i="4"/>
  <c r="A428" i="4"/>
  <c r="A354" i="29"/>
  <c r="AL439" i="29"/>
  <c r="C439" i="29" s="1"/>
  <c r="AK439" i="29"/>
  <c r="D439" i="29" s="1"/>
  <c r="BA414" i="4" l="1"/>
  <c r="AZ413" i="4"/>
  <c r="BB412" i="4"/>
  <c r="D412" i="4" s="1"/>
  <c r="E412" i="4"/>
  <c r="A412" i="4"/>
  <c r="A429" i="4"/>
  <c r="A389" i="4"/>
  <c r="A405" i="4" s="1"/>
  <c r="A402" i="4"/>
  <c r="A388" i="4"/>
  <c r="A355" i="29"/>
  <c r="AK440" i="29"/>
  <c r="D440" i="29" s="1"/>
  <c r="AL440" i="29"/>
  <c r="C440" i="29" s="1"/>
  <c r="BB413" i="4" l="1"/>
  <c r="D413" i="4" s="1"/>
  <c r="E413" i="4"/>
  <c r="BA415" i="4"/>
  <c r="AZ414" i="4"/>
  <c r="A404" i="4"/>
  <c r="A390" i="4"/>
  <c r="A403" i="4"/>
  <c r="A430" i="4"/>
  <c r="A413" i="4"/>
  <c r="A356" i="29"/>
  <c r="AL441" i="29"/>
  <c r="C441" i="29" s="1"/>
  <c r="AK441" i="29"/>
  <c r="D441" i="29" s="1"/>
  <c r="BB414" i="4" l="1"/>
  <c r="D414" i="4" s="1"/>
  <c r="E414" i="4"/>
  <c r="BA416" i="4"/>
  <c r="AZ415" i="4"/>
  <c r="A391" i="4"/>
  <c r="A470" i="4" s="1"/>
  <c r="A471" i="4" s="1"/>
  <c r="A406" i="4"/>
  <c r="A407" i="4" s="1"/>
  <c r="A408" i="4" s="1"/>
  <c r="A409" i="4" s="1"/>
  <c r="A410" i="4" s="1"/>
  <c r="A414" i="4"/>
  <c r="A431" i="4"/>
  <c r="A357" i="29"/>
  <c r="AK442" i="29"/>
  <c r="D442" i="29" s="1"/>
  <c r="AL442" i="29"/>
  <c r="C442" i="29" s="1"/>
  <c r="BB415" i="4" l="1"/>
  <c r="D415" i="4" s="1"/>
  <c r="E415" i="4"/>
  <c r="BA417" i="4"/>
  <c r="AZ416" i="4"/>
  <c r="A438" i="4"/>
  <c r="A452" i="4"/>
  <c r="A415" i="4"/>
  <c r="A432" i="4"/>
  <c r="A358" i="29"/>
  <c r="AL443" i="29"/>
  <c r="C443" i="29" s="1"/>
  <c r="AK443" i="29"/>
  <c r="D443" i="29" s="1"/>
  <c r="BA418" i="4" l="1"/>
  <c r="AZ417" i="4"/>
  <c r="BB416" i="4"/>
  <c r="D416" i="4" s="1"/>
  <c r="E416" i="4"/>
  <c r="A416" i="4"/>
  <c r="A433" i="4"/>
  <c r="A453" i="4"/>
  <c r="A439" i="4"/>
  <c r="A359" i="29"/>
  <c r="AK444" i="29"/>
  <c r="D444" i="29" s="1"/>
  <c r="AL444" i="29"/>
  <c r="C444" i="29" s="1"/>
  <c r="BB417" i="4" l="1"/>
  <c r="D417" i="4" s="1"/>
  <c r="E417" i="4"/>
  <c r="BA419" i="4"/>
  <c r="AZ418" i="4"/>
  <c r="A440" i="4"/>
  <c r="A454" i="4"/>
  <c r="A434" i="4"/>
  <c r="A417" i="4"/>
  <c r="A421" i="4" s="1"/>
  <c r="A360" i="29"/>
  <c r="AL445" i="29"/>
  <c r="C445" i="29" s="1"/>
  <c r="AK445" i="29"/>
  <c r="D445" i="29" s="1"/>
  <c r="BB418" i="4" l="1"/>
  <c r="D418" i="4" s="1"/>
  <c r="E418" i="4"/>
  <c r="BA420" i="4"/>
  <c r="AZ419" i="4"/>
  <c r="A418" i="4"/>
  <c r="A422" i="4" s="1"/>
  <c r="A435" i="4"/>
  <c r="A455" i="4"/>
  <c r="A441" i="4"/>
  <c r="A361" i="29"/>
  <c r="AK446" i="29"/>
  <c r="D446" i="29" s="1"/>
  <c r="AL446" i="29"/>
  <c r="C446" i="29" s="1"/>
  <c r="BA421" i="4" l="1"/>
  <c r="AZ420" i="4"/>
  <c r="BB419" i="4"/>
  <c r="D419" i="4" s="1"/>
  <c r="E419" i="4"/>
  <c r="A456" i="4"/>
  <c r="A442" i="4"/>
  <c r="A436" i="4"/>
  <c r="A419" i="4"/>
  <c r="A423" i="4" s="1"/>
  <c r="A362" i="29"/>
  <c r="AL447" i="29"/>
  <c r="C447" i="29" s="1"/>
  <c r="AK447" i="29"/>
  <c r="D447" i="29" s="1"/>
  <c r="BB420" i="4" l="1"/>
  <c r="D420" i="4" s="1"/>
  <c r="E420" i="4"/>
  <c r="BA422" i="4"/>
  <c r="AZ421" i="4"/>
  <c r="A457" i="4"/>
  <c r="A443" i="4"/>
  <c r="A461" i="4" s="1"/>
  <c r="A437" i="4"/>
  <c r="A420" i="4"/>
  <c r="A363" i="29"/>
  <c r="A364" i="29" s="1"/>
  <c r="AK448" i="29"/>
  <c r="D448" i="29" s="1"/>
  <c r="AL448" i="29"/>
  <c r="C448" i="29" s="1"/>
  <c r="BB421" i="4" l="1"/>
  <c r="D421" i="4" s="1"/>
  <c r="E421" i="4"/>
  <c r="BA423" i="4"/>
  <c r="AZ422" i="4"/>
  <c r="A458" i="4"/>
  <c r="A444" i="4"/>
  <c r="A462" i="4" s="1"/>
  <c r="A425" i="4"/>
  <c r="A424" i="4"/>
  <c r="A426" i="4" s="1"/>
  <c r="A427" i="4" s="1"/>
  <c r="AL449" i="29"/>
  <c r="C449" i="29" s="1"/>
  <c r="AK449" i="29"/>
  <c r="D449" i="29" s="1"/>
  <c r="E422" i="4" l="1"/>
  <c r="BB422" i="4"/>
  <c r="D422" i="4" s="1"/>
  <c r="BA424" i="4"/>
  <c r="AZ423" i="4"/>
  <c r="A445" i="4"/>
  <c r="A463" i="4" s="1"/>
  <c r="A459" i="4"/>
  <c r="AK450" i="29"/>
  <c r="D450" i="29" s="1"/>
  <c r="AL450" i="29"/>
  <c r="C450" i="29" s="1"/>
  <c r="BA425" i="4" l="1"/>
  <c r="AZ424" i="4"/>
  <c r="BB423" i="4"/>
  <c r="D423" i="4" s="1"/>
  <c r="E423" i="4"/>
  <c r="A460" i="4"/>
  <c r="A446" i="4"/>
  <c r="AL451" i="29"/>
  <c r="C451" i="29" s="1"/>
  <c r="AK451" i="29"/>
  <c r="D451" i="29" s="1"/>
  <c r="BB424" i="4" l="1"/>
  <c r="D424" i="4" s="1"/>
  <c r="E424" i="4"/>
  <c r="BA426" i="4"/>
  <c r="AZ425" i="4"/>
  <c r="A464" i="4"/>
  <c r="A447" i="4"/>
  <c r="AK452" i="29"/>
  <c r="D452" i="29" s="1"/>
  <c r="AL452" i="29"/>
  <c r="C452" i="29" s="1"/>
  <c r="BB425" i="4" l="1"/>
  <c r="D425" i="4" s="1"/>
  <c r="E425" i="4"/>
  <c r="BA427" i="4"/>
  <c r="AZ426" i="4"/>
  <c r="A449" i="4"/>
  <c r="A468" i="4" s="1"/>
  <c r="A448" i="4"/>
  <c r="A465" i="4"/>
  <c r="AL453" i="29"/>
  <c r="C453" i="29" s="1"/>
  <c r="AK453" i="29"/>
  <c r="D453" i="29" s="1"/>
  <c r="BB426" i="4" l="1"/>
  <c r="D426" i="4" s="1"/>
  <c r="E426" i="4"/>
  <c r="BA428" i="4"/>
  <c r="AZ427" i="4"/>
  <c r="A450" i="4"/>
  <c r="A466" i="4"/>
  <c r="A467" i="4"/>
  <c r="A365" i="29"/>
  <c r="AK454" i="29"/>
  <c r="D454" i="29" s="1"/>
  <c r="AL454" i="29"/>
  <c r="C454" i="29" s="1"/>
  <c r="BB427" i="4" l="1"/>
  <c r="D427" i="4" s="1"/>
  <c r="E427" i="4"/>
  <c r="BA429" i="4"/>
  <c r="AZ428" i="4"/>
  <c r="A451" i="4"/>
  <c r="A469" i="4"/>
  <c r="A366" i="29"/>
  <c r="AL455" i="29"/>
  <c r="C455" i="29" s="1"/>
  <c r="AK455" i="29"/>
  <c r="D455" i="29" s="1"/>
  <c r="BB428" i="4" l="1"/>
  <c r="D428" i="4" s="1"/>
  <c r="E428" i="4"/>
  <c r="BA430" i="4"/>
  <c r="AZ429" i="4"/>
  <c r="A367" i="29"/>
  <c r="AK456" i="29"/>
  <c r="D456" i="29" s="1"/>
  <c r="AL456" i="29"/>
  <c r="C456" i="29" s="1"/>
  <c r="BB429" i="4" l="1"/>
  <c r="D429" i="4" s="1"/>
  <c r="E429" i="4"/>
  <c r="BA431" i="4"/>
  <c r="AZ430" i="4"/>
  <c r="A368" i="29"/>
  <c r="AL457" i="29"/>
  <c r="C457" i="29" s="1"/>
  <c r="AK457" i="29"/>
  <c r="D457" i="29" s="1"/>
  <c r="BB430" i="4" l="1"/>
  <c r="D430" i="4" s="1"/>
  <c r="E430" i="4"/>
  <c r="BA432" i="4"/>
  <c r="AZ431" i="4"/>
  <c r="A369" i="29"/>
  <c r="AK458" i="29"/>
  <c r="D458" i="29" s="1"/>
  <c r="AL458" i="29"/>
  <c r="C458" i="29" s="1"/>
  <c r="BB431" i="4" l="1"/>
  <c r="D431" i="4" s="1"/>
  <c r="E431" i="4"/>
  <c r="BA433" i="4"/>
  <c r="AZ432" i="4"/>
  <c r="A370" i="29"/>
  <c r="AL459" i="29"/>
  <c r="C459" i="29" s="1"/>
  <c r="AK459" i="29"/>
  <c r="D459" i="29" s="1"/>
  <c r="BB432" i="4" l="1"/>
  <c r="D432" i="4" s="1"/>
  <c r="E432" i="4"/>
  <c r="BA434" i="4"/>
  <c r="AZ433" i="4"/>
  <c r="A371" i="29"/>
  <c r="AK460" i="29"/>
  <c r="D460" i="29" s="1"/>
  <c r="AL460" i="29"/>
  <c r="C460" i="29" s="1"/>
  <c r="BB433" i="4" l="1"/>
  <c r="D433" i="4" s="1"/>
  <c r="E433" i="4"/>
  <c r="BA435" i="4"/>
  <c r="AZ434" i="4"/>
  <c r="A372" i="29"/>
  <c r="AL461" i="29"/>
  <c r="C461" i="29" s="1"/>
  <c r="AK461" i="29"/>
  <c r="D461" i="29" s="1"/>
  <c r="BB434" i="4" l="1"/>
  <c r="D434" i="4" s="1"/>
  <c r="E434" i="4"/>
  <c r="BA436" i="4"/>
  <c r="AZ435" i="4"/>
  <c r="A373" i="29"/>
  <c r="AK462" i="29"/>
  <c r="D462" i="29" s="1"/>
  <c r="AL462" i="29"/>
  <c r="C462" i="29" s="1"/>
  <c r="BB435" i="4" l="1"/>
  <c r="D435" i="4" s="1"/>
  <c r="E435" i="4"/>
  <c r="BA437" i="4"/>
  <c r="AZ436" i="4"/>
  <c r="A374" i="29"/>
  <c r="AL463" i="29"/>
  <c r="C463" i="29" s="1"/>
  <c r="AK463" i="29"/>
  <c r="D463" i="29" s="1"/>
  <c r="BB436" i="4" l="1"/>
  <c r="D436" i="4" s="1"/>
  <c r="E436" i="4"/>
  <c r="BA438" i="4"/>
  <c r="AZ437" i="4"/>
  <c r="A375" i="29"/>
  <c r="AK464" i="29"/>
  <c r="D464" i="29" s="1"/>
  <c r="AL464" i="29"/>
  <c r="C464" i="29" s="1"/>
  <c r="BB437" i="4" l="1"/>
  <c r="D437" i="4" s="1"/>
  <c r="E437" i="4"/>
  <c r="BA439" i="4"/>
  <c r="AZ438" i="4"/>
  <c r="N38" i="17"/>
  <c r="A376" i="29"/>
  <c r="AL465" i="29"/>
  <c r="C465" i="29" s="1"/>
  <c r="AK465" i="29"/>
  <c r="D465" i="29" s="1"/>
  <c r="BB438" i="4" l="1"/>
  <c r="D438" i="4" s="1"/>
  <c r="E438" i="4"/>
  <c r="BA440" i="4"/>
  <c r="AZ439" i="4"/>
  <c r="A377" i="29"/>
  <c r="AK466" i="29"/>
  <c r="D466" i="29" s="1"/>
  <c r="AL466" i="29"/>
  <c r="C466" i="29" s="1"/>
  <c r="BB439" i="4" l="1"/>
  <c r="D439" i="4" s="1"/>
  <c r="E439" i="4"/>
  <c r="BA441" i="4"/>
  <c r="AZ440" i="4"/>
  <c r="A378" i="29"/>
  <c r="AL467" i="29"/>
  <c r="C467" i="29" s="1"/>
  <c r="AK467" i="29"/>
  <c r="D467" i="29" s="1"/>
  <c r="BB440" i="4" l="1"/>
  <c r="D440" i="4" s="1"/>
  <c r="E440" i="4"/>
  <c r="BA442" i="4"/>
  <c r="AZ441" i="4"/>
  <c r="A379" i="29"/>
  <c r="AK468" i="29"/>
  <c r="D468" i="29" s="1"/>
  <c r="AL468" i="29"/>
  <c r="C468" i="29" s="1"/>
  <c r="BB441" i="4" l="1"/>
  <c r="D441" i="4" s="1"/>
  <c r="E441" i="4"/>
  <c r="BA443" i="4"/>
  <c r="AZ442" i="4"/>
  <c r="A380" i="29"/>
  <c r="AL469" i="29"/>
  <c r="C469" i="29" s="1"/>
  <c r="AK469" i="29"/>
  <c r="D469" i="29" s="1"/>
  <c r="BB442" i="4" l="1"/>
  <c r="D442" i="4" s="1"/>
  <c r="E442" i="4"/>
  <c r="BA444" i="4"/>
  <c r="AZ443" i="4"/>
  <c r="A381" i="29"/>
  <c r="AK470" i="29"/>
  <c r="D470" i="29" s="1"/>
  <c r="AL470" i="29"/>
  <c r="C470" i="29" s="1"/>
  <c r="BB443" i="4" l="1"/>
  <c r="D443" i="4" s="1"/>
  <c r="E443" i="4"/>
  <c r="BA445" i="4"/>
  <c r="AZ444" i="4"/>
  <c r="A382" i="29"/>
  <c r="AL471" i="29"/>
  <c r="C471" i="29" s="1"/>
  <c r="AK471" i="29"/>
  <c r="D471" i="29" s="1"/>
  <c r="BB444" i="4" l="1"/>
  <c r="D444" i="4" s="1"/>
  <c r="E444" i="4"/>
  <c r="BA446" i="4"/>
  <c r="AZ445" i="4"/>
  <c r="A383" i="29"/>
  <c r="AK472" i="29"/>
  <c r="D472" i="29" s="1"/>
  <c r="AL472" i="29"/>
  <c r="C472" i="29" s="1"/>
  <c r="BB445" i="4" l="1"/>
  <c r="D445" i="4" s="1"/>
  <c r="E445" i="4"/>
  <c r="BA447" i="4"/>
  <c r="AZ446" i="4"/>
  <c r="A384" i="29"/>
  <c r="AL473" i="29"/>
  <c r="C473" i="29" s="1"/>
  <c r="AK473" i="29"/>
  <c r="D473" i="29" s="1"/>
  <c r="BA448" i="4" l="1"/>
  <c r="AZ447" i="4"/>
  <c r="BB446" i="4"/>
  <c r="D446" i="4" s="1"/>
  <c r="E446" i="4"/>
  <c r="A385" i="29"/>
  <c r="AK474" i="29"/>
  <c r="D474" i="29" s="1"/>
  <c r="AL474" i="29"/>
  <c r="C474" i="29" s="1"/>
  <c r="BA449" i="4" l="1"/>
  <c r="AZ448" i="4"/>
  <c r="BB447" i="4"/>
  <c r="D447" i="4" s="1"/>
  <c r="E447" i="4"/>
  <c r="A386" i="29"/>
  <c r="AL475" i="29"/>
  <c r="C475" i="29" s="1"/>
  <c r="AK475" i="29"/>
  <c r="D475" i="29" s="1"/>
  <c r="BA450" i="4" l="1"/>
  <c r="AZ449" i="4"/>
  <c r="BB448" i="4"/>
  <c r="D448" i="4" s="1"/>
  <c r="E448" i="4"/>
  <c r="A387" i="29"/>
  <c r="AK476" i="29"/>
  <c r="D476" i="29" s="1"/>
  <c r="AL476" i="29"/>
  <c r="C476" i="29" s="1"/>
  <c r="BA451" i="4" l="1"/>
  <c r="AZ450" i="4"/>
  <c r="BB449" i="4"/>
  <c r="D449" i="4" s="1"/>
  <c r="E449" i="4"/>
  <c r="A388" i="29"/>
  <c r="AL477" i="29"/>
  <c r="C477" i="29" s="1"/>
  <c r="AK477" i="29"/>
  <c r="D477" i="29" s="1"/>
  <c r="BA452" i="4" l="1"/>
  <c r="AZ451" i="4"/>
  <c r="BB450" i="4"/>
  <c r="D450" i="4" s="1"/>
  <c r="E450" i="4"/>
  <c r="A389" i="29"/>
  <c r="AK478" i="29"/>
  <c r="D478" i="29" s="1"/>
  <c r="AL478" i="29"/>
  <c r="C478" i="29" s="1"/>
  <c r="BA453" i="4" l="1"/>
  <c r="AZ452" i="4"/>
  <c r="BB451" i="4"/>
  <c r="D451" i="4" s="1"/>
  <c r="E451" i="4"/>
  <c r="A390" i="29"/>
  <c r="AL479" i="29"/>
  <c r="C479" i="29" s="1"/>
  <c r="AK479" i="29"/>
  <c r="D479" i="29" s="1"/>
  <c r="BA454" i="4" l="1"/>
  <c r="AZ453" i="4"/>
  <c r="BB452" i="4"/>
  <c r="D452" i="4" s="1"/>
  <c r="E452" i="4"/>
  <c r="A391" i="29"/>
  <c r="AK480" i="29"/>
  <c r="D480" i="29" s="1"/>
  <c r="AL480" i="29"/>
  <c r="C480" i="29" s="1"/>
  <c r="BA455" i="4" l="1"/>
  <c r="AZ454" i="4"/>
  <c r="BB453" i="4"/>
  <c r="D453" i="4" s="1"/>
  <c r="E453" i="4"/>
  <c r="A392" i="29"/>
  <c r="AL481" i="29"/>
  <c r="C481" i="29" s="1"/>
  <c r="AK481" i="29"/>
  <c r="D481" i="29" s="1"/>
  <c r="BA456" i="4" l="1"/>
  <c r="AZ455" i="4"/>
  <c r="BB454" i="4"/>
  <c r="D454" i="4" s="1"/>
  <c r="E454" i="4"/>
  <c r="A393" i="29"/>
  <c r="AK482" i="29"/>
  <c r="D482" i="29" s="1"/>
  <c r="AL482" i="29"/>
  <c r="C482" i="29" s="1"/>
  <c r="BA457" i="4" l="1"/>
  <c r="AZ456" i="4"/>
  <c r="BB455" i="4"/>
  <c r="D455" i="4" s="1"/>
  <c r="E455" i="4"/>
  <c r="A394" i="29"/>
  <c r="AL483" i="29"/>
  <c r="C483" i="29" s="1"/>
  <c r="AK483" i="29"/>
  <c r="D483" i="29" s="1"/>
  <c r="BB456" i="4" l="1"/>
  <c r="D456" i="4" s="1"/>
  <c r="E456" i="4"/>
  <c r="BA458" i="4"/>
  <c r="AZ457" i="4"/>
  <c r="A395" i="29"/>
  <c r="AK484" i="29"/>
  <c r="D484" i="29" s="1"/>
  <c r="AL484" i="29"/>
  <c r="C484" i="29" s="1"/>
  <c r="BB457" i="4" l="1"/>
  <c r="D457" i="4" s="1"/>
  <c r="E457" i="4"/>
  <c r="BA459" i="4"/>
  <c r="AZ458" i="4"/>
  <c r="A396" i="29"/>
  <c r="AL485" i="29"/>
  <c r="C485" i="29" s="1"/>
  <c r="AK485" i="29"/>
  <c r="D485" i="29" s="1"/>
  <c r="BB458" i="4" l="1"/>
  <c r="D458" i="4" s="1"/>
  <c r="E458" i="4"/>
  <c r="BA460" i="4"/>
  <c r="AZ459" i="4"/>
  <c r="A397" i="29"/>
  <c r="AK486" i="29"/>
  <c r="D486" i="29" s="1"/>
  <c r="AL486" i="29"/>
  <c r="C486" i="29" s="1"/>
  <c r="BB459" i="4" l="1"/>
  <c r="D459" i="4" s="1"/>
  <c r="E459" i="4"/>
  <c r="BA461" i="4"/>
  <c r="AZ460" i="4"/>
  <c r="A398" i="29"/>
  <c r="AL487" i="29"/>
  <c r="C487" i="29" s="1"/>
  <c r="AK487" i="29"/>
  <c r="D487" i="29" s="1"/>
  <c r="BB460" i="4" l="1"/>
  <c r="D460" i="4" s="1"/>
  <c r="E460" i="4"/>
  <c r="BA462" i="4"/>
  <c r="AZ461" i="4"/>
  <c r="A399" i="29"/>
  <c r="AK488" i="29"/>
  <c r="D488" i="29" s="1"/>
  <c r="AL488" i="29"/>
  <c r="C488" i="29" s="1"/>
  <c r="E461" i="4" l="1"/>
  <c r="BB461" i="4"/>
  <c r="D461" i="4" s="1"/>
  <c r="BA463" i="4"/>
  <c r="AZ462" i="4"/>
  <c r="A400" i="29"/>
  <c r="AL489" i="29"/>
  <c r="C489" i="29" s="1"/>
  <c r="AK489" i="29"/>
  <c r="D489" i="29" s="1"/>
  <c r="E462" i="4" l="1"/>
  <c r="BB462" i="4"/>
  <c r="D462" i="4" s="1"/>
  <c r="BA464" i="4"/>
  <c r="AZ463" i="4"/>
  <c r="A401" i="29"/>
  <c r="AK490" i="29"/>
  <c r="D490" i="29" s="1"/>
  <c r="AL490" i="29"/>
  <c r="C490" i="29" s="1"/>
  <c r="E463" i="4" l="1"/>
  <c r="BB463" i="4"/>
  <c r="D463" i="4" s="1"/>
  <c r="BA465" i="4"/>
  <c r="AZ464" i="4"/>
  <c r="A402" i="29"/>
  <c r="AL491" i="29"/>
  <c r="C491" i="29" s="1"/>
  <c r="AK491" i="29"/>
  <c r="D491" i="29" s="1"/>
  <c r="BB464" i="4" l="1"/>
  <c r="D464" i="4" s="1"/>
  <c r="E464" i="4"/>
  <c r="BA466" i="4"/>
  <c r="AZ465" i="4"/>
  <c r="A403" i="29"/>
  <c r="AK492" i="29"/>
  <c r="D492" i="29" s="1"/>
  <c r="AL492" i="29"/>
  <c r="C492" i="29" s="1"/>
  <c r="BB465" i="4" l="1"/>
  <c r="D465" i="4" s="1"/>
  <c r="E465" i="4"/>
  <c r="BA467" i="4"/>
  <c r="AZ466" i="4"/>
  <c r="A404" i="29"/>
  <c r="AL493" i="29"/>
  <c r="C493" i="29" s="1"/>
  <c r="AK493" i="29"/>
  <c r="D493" i="29" s="1"/>
  <c r="BB466" i="4" l="1"/>
  <c r="D466" i="4" s="1"/>
  <c r="E466" i="4"/>
  <c r="BA468" i="4"/>
  <c r="AZ467" i="4"/>
  <c r="A405" i="29"/>
  <c r="AK494" i="29"/>
  <c r="D494" i="29" s="1"/>
  <c r="AL494" i="29"/>
  <c r="C494" i="29" s="1"/>
  <c r="BB467" i="4" l="1"/>
  <c r="D467" i="4" s="1"/>
  <c r="E467" i="4"/>
  <c r="BA469" i="4"/>
  <c r="AZ468" i="4"/>
  <c r="A406" i="29"/>
  <c r="AL495" i="29"/>
  <c r="C495" i="29" s="1"/>
  <c r="AK495" i="29"/>
  <c r="D495" i="29" s="1"/>
  <c r="BB468" i="4" l="1"/>
  <c r="D468" i="4" s="1"/>
  <c r="E468" i="4"/>
  <c r="BA470" i="4"/>
  <c r="AZ469" i="4"/>
  <c r="A407" i="29"/>
  <c r="AK496" i="29"/>
  <c r="D496" i="29" s="1"/>
  <c r="AL496" i="29"/>
  <c r="C496" i="29" s="1"/>
  <c r="BB469" i="4" l="1"/>
  <c r="D469" i="4" s="1"/>
  <c r="E469" i="4"/>
  <c r="BA471" i="4"/>
  <c r="AZ471" i="4" s="1"/>
  <c r="AZ470" i="4"/>
  <c r="A408" i="29"/>
  <c r="AL497" i="29"/>
  <c r="C497" i="29" s="1"/>
  <c r="AK497" i="29"/>
  <c r="D497" i="29" s="1"/>
  <c r="BB470" i="4" l="1"/>
  <c r="D470" i="4" s="1"/>
  <c r="E470" i="4"/>
  <c r="BB471" i="4"/>
  <c r="D471" i="4" s="1"/>
  <c r="E471" i="4"/>
  <c r="A409" i="29"/>
  <c r="AK498" i="29"/>
  <c r="D498" i="29" s="1"/>
  <c r="AL498" i="29"/>
  <c r="C498" i="29" s="1"/>
  <c r="A410" i="29" l="1"/>
  <c r="AL499" i="29"/>
  <c r="C499" i="29" s="1"/>
  <c r="AK499" i="29"/>
  <c r="D499" i="29" s="1"/>
  <c r="A411" i="29" l="1"/>
  <c r="AK500" i="29"/>
  <c r="D500" i="29" s="1"/>
  <c r="AL500" i="29"/>
  <c r="C500" i="29" s="1"/>
  <c r="A412" i="29" l="1"/>
  <c r="AL501" i="29"/>
  <c r="C501" i="29" s="1"/>
  <c r="AK501" i="29"/>
  <c r="D501" i="29" s="1"/>
  <c r="A413" i="29" l="1"/>
  <c r="AK502" i="29"/>
  <c r="D502" i="29" s="1"/>
  <c r="AL502" i="29"/>
  <c r="C502" i="29" s="1"/>
  <c r="A414" i="29" l="1"/>
  <c r="AL503" i="29"/>
  <c r="C503" i="29" s="1"/>
  <c r="AK503" i="29"/>
  <c r="D503" i="29" s="1"/>
  <c r="A415" i="29" l="1"/>
  <c r="AK504" i="29"/>
  <c r="D504" i="29" s="1"/>
  <c r="AL504" i="29"/>
  <c r="C504" i="29" s="1"/>
  <c r="A416" i="29" l="1"/>
  <c r="AL505" i="29"/>
  <c r="C505" i="29" s="1"/>
  <c r="AK505" i="29"/>
  <c r="D505" i="29" s="1"/>
  <c r="A417" i="29" l="1"/>
  <c r="AK506" i="29"/>
  <c r="D506" i="29" s="1"/>
  <c r="AL506" i="29"/>
  <c r="C506" i="29" s="1"/>
  <c r="A418" i="29" l="1"/>
  <c r="AL507" i="29"/>
  <c r="C507" i="29" s="1"/>
  <c r="AK507" i="29"/>
  <c r="D507" i="29" s="1"/>
  <c r="A419" i="29" l="1"/>
  <c r="AK508" i="29"/>
  <c r="D508" i="29" s="1"/>
  <c r="AL508" i="29"/>
  <c r="C508" i="29" s="1"/>
  <c r="A420" i="29" l="1"/>
  <c r="AL509" i="29"/>
  <c r="C509" i="29" s="1"/>
  <c r="AK509" i="29"/>
  <c r="D509" i="29" s="1"/>
  <c r="A421" i="29" l="1"/>
  <c r="AK510" i="29"/>
  <c r="D510" i="29" s="1"/>
  <c r="AL510" i="29"/>
  <c r="C510" i="29" s="1"/>
  <c r="A422" i="29" l="1"/>
  <c r="AL511" i="29"/>
  <c r="C511" i="29" s="1"/>
  <c r="AK511" i="29"/>
  <c r="D511" i="29" s="1"/>
  <c r="A423" i="29" l="1"/>
  <c r="AK512" i="29"/>
  <c r="D512" i="29" s="1"/>
  <c r="AL512" i="29"/>
  <c r="C512" i="29" s="1"/>
  <c r="A424" i="29" l="1"/>
  <c r="AL513" i="29"/>
  <c r="C513" i="29" s="1"/>
  <c r="AK513" i="29"/>
  <c r="D513" i="29" s="1"/>
  <c r="A425" i="29" l="1"/>
  <c r="AK514" i="29"/>
  <c r="D514" i="29" s="1"/>
  <c r="AL514" i="29"/>
  <c r="C514" i="29" s="1"/>
  <c r="A426" i="29" l="1"/>
  <c r="AL515" i="29"/>
  <c r="C515" i="29" s="1"/>
  <c r="AK515" i="29"/>
  <c r="D515" i="29" s="1"/>
  <c r="A427" i="29" l="1"/>
  <c r="AK516" i="29"/>
  <c r="D516" i="29" s="1"/>
  <c r="AL516" i="29"/>
  <c r="C516" i="29" s="1"/>
  <c r="A428" i="29" l="1"/>
  <c r="AL517" i="29"/>
  <c r="C517" i="29" s="1"/>
  <c r="AK517" i="29"/>
  <c r="D517" i="29" s="1"/>
  <c r="A429" i="29" l="1"/>
  <c r="AK518" i="29"/>
  <c r="D518" i="29" s="1"/>
  <c r="AL518" i="29"/>
  <c r="C518" i="29" s="1"/>
  <c r="A430" i="29" l="1"/>
  <c r="AL519" i="29"/>
  <c r="C519" i="29" s="1"/>
  <c r="AK519" i="29"/>
  <c r="D519" i="29" s="1"/>
  <c r="A431" i="29" l="1"/>
  <c r="AK520" i="29"/>
  <c r="D520" i="29" s="1"/>
  <c r="AL520" i="29"/>
  <c r="C520" i="29" s="1"/>
  <c r="A432" i="29" l="1"/>
  <c r="AL521" i="29"/>
  <c r="C521" i="29" s="1"/>
  <c r="AK521" i="29"/>
  <c r="D521" i="29" s="1"/>
  <c r="A433" i="29" l="1"/>
  <c r="AK522" i="29"/>
  <c r="D522" i="29" s="1"/>
  <c r="AL522" i="29"/>
  <c r="C522" i="29" s="1"/>
  <c r="A434" i="29" l="1"/>
  <c r="AL523" i="29"/>
  <c r="C523" i="29" s="1"/>
  <c r="AK523" i="29"/>
  <c r="D523" i="29" s="1"/>
  <c r="A435" i="29" l="1"/>
  <c r="AK524" i="29"/>
  <c r="D524" i="29" s="1"/>
  <c r="AL524" i="29"/>
  <c r="C524" i="29" s="1"/>
  <c r="A436" i="29" l="1"/>
  <c r="AL525" i="29"/>
  <c r="C525" i="29" s="1"/>
  <c r="AK525" i="29"/>
  <c r="D525" i="29" s="1"/>
  <c r="A437" i="29" l="1"/>
  <c r="AK526" i="29"/>
  <c r="D526" i="29" s="1"/>
  <c r="AL526" i="29"/>
  <c r="C526" i="29" s="1"/>
  <c r="A438" i="29" l="1"/>
  <c r="AL527" i="29"/>
  <c r="C527" i="29" s="1"/>
  <c r="AK527" i="29"/>
  <c r="D527" i="29" s="1"/>
  <c r="A439" i="29" l="1"/>
  <c r="AK528" i="29"/>
  <c r="D528" i="29" s="1"/>
  <c r="AL528" i="29"/>
  <c r="C528" i="29" s="1"/>
  <c r="A440" i="29" l="1"/>
  <c r="AL529" i="29"/>
  <c r="C529" i="29" s="1"/>
  <c r="AK529" i="29"/>
  <c r="D529" i="29" s="1"/>
  <c r="A441" i="29" l="1"/>
  <c r="AK530" i="29"/>
  <c r="D530" i="29" s="1"/>
  <c r="AL530" i="29"/>
  <c r="C530" i="29" s="1"/>
  <c r="A442" i="29" l="1"/>
  <c r="AL531" i="29"/>
  <c r="C531" i="29" s="1"/>
  <c r="AK531" i="29"/>
  <c r="D531" i="29" s="1"/>
  <c r="A443" i="29" l="1"/>
  <c r="AK532" i="29"/>
  <c r="D532" i="29" s="1"/>
  <c r="AL532" i="29"/>
  <c r="C532" i="29" s="1"/>
  <c r="A444" i="29" l="1"/>
  <c r="AL533" i="29"/>
  <c r="C533" i="29" s="1"/>
  <c r="AK533" i="29"/>
  <c r="D533" i="29" s="1"/>
  <c r="A445" i="29" l="1"/>
  <c r="AK534" i="29"/>
  <c r="D534" i="29" s="1"/>
  <c r="AL534" i="29"/>
  <c r="C534" i="29" s="1"/>
  <c r="A446" i="29" l="1"/>
  <c r="AL535" i="29"/>
  <c r="C535" i="29" s="1"/>
  <c r="AK535" i="29"/>
  <c r="D535" i="29" s="1"/>
  <c r="A447" i="29" l="1"/>
  <c r="AK536" i="29"/>
  <c r="D536" i="29" s="1"/>
  <c r="AL536" i="29"/>
  <c r="C536" i="29" s="1"/>
  <c r="A448" i="29" l="1"/>
  <c r="AL537" i="29"/>
  <c r="C537" i="29" s="1"/>
  <c r="AK537" i="29"/>
  <c r="D537" i="29" s="1"/>
  <c r="A449" i="29" l="1"/>
  <c r="AK538" i="29"/>
  <c r="D538" i="29" s="1"/>
  <c r="AL538" i="29"/>
  <c r="C538" i="29" s="1"/>
  <c r="A450" i="29" l="1"/>
  <c r="AL539" i="29"/>
  <c r="C539" i="29" s="1"/>
  <c r="AK539" i="29"/>
  <c r="D539" i="29" s="1"/>
  <c r="A451" i="29" l="1"/>
  <c r="AK540" i="29"/>
  <c r="D540" i="29" s="1"/>
  <c r="AL540" i="29"/>
  <c r="C540" i="29" s="1"/>
  <c r="A452" i="29" l="1"/>
  <c r="AL541" i="29"/>
  <c r="C541" i="29" s="1"/>
  <c r="AK541" i="29"/>
  <c r="D541" i="29" s="1"/>
  <c r="A453" i="29" l="1"/>
  <c r="AK542" i="29"/>
  <c r="D542" i="29" s="1"/>
  <c r="AL542" i="29"/>
  <c r="C542" i="29" s="1"/>
  <c r="A454" i="29" l="1"/>
  <c r="AL543" i="29"/>
  <c r="C543" i="29" s="1"/>
  <c r="AK543" i="29"/>
  <c r="D543" i="29" s="1"/>
  <c r="A455" i="29" l="1"/>
  <c r="AK544" i="29"/>
  <c r="D544" i="29" s="1"/>
  <c r="AL544" i="29"/>
  <c r="C544" i="29" s="1"/>
  <c r="A456" i="29" l="1"/>
  <c r="AL545" i="29"/>
  <c r="C545" i="29" s="1"/>
  <c r="AK545" i="29"/>
  <c r="D545" i="29" s="1"/>
  <c r="A457" i="29" l="1"/>
  <c r="AK546" i="29"/>
  <c r="D546" i="29" s="1"/>
  <c r="AL546" i="29"/>
  <c r="C546" i="29" s="1"/>
  <c r="A458" i="29" l="1"/>
  <c r="AL547" i="29"/>
  <c r="C547" i="29" s="1"/>
  <c r="AK547" i="29"/>
  <c r="D547" i="29" s="1"/>
  <c r="A459" i="29" l="1"/>
  <c r="AK548" i="29"/>
  <c r="D548" i="29" s="1"/>
  <c r="AL548" i="29"/>
  <c r="C548" i="29" s="1"/>
  <c r="A460" i="29" l="1"/>
  <c r="AL549" i="29"/>
  <c r="C549" i="29" s="1"/>
  <c r="AK549" i="29"/>
  <c r="D549" i="29" s="1"/>
  <c r="A461" i="29" l="1"/>
  <c r="AK550" i="29"/>
  <c r="D550" i="29" s="1"/>
  <c r="AL550" i="29"/>
  <c r="C550" i="29" s="1"/>
  <c r="A462" i="29" l="1"/>
  <c r="AL551" i="29"/>
  <c r="C551" i="29" s="1"/>
  <c r="AK551" i="29"/>
  <c r="D551" i="29" s="1"/>
  <c r="A463" i="29" l="1"/>
  <c r="AK552" i="29"/>
  <c r="D552" i="29" s="1"/>
  <c r="AL552" i="29"/>
  <c r="C552" i="29" s="1"/>
  <c r="A464" i="29" l="1"/>
  <c r="AL553" i="29"/>
  <c r="C553" i="29" s="1"/>
  <c r="AK553" i="29"/>
  <c r="D553" i="29" s="1"/>
  <c r="A465" i="29" l="1"/>
  <c r="AK554" i="29"/>
  <c r="D554" i="29" s="1"/>
  <c r="AL554" i="29"/>
  <c r="C554" i="29" s="1"/>
  <c r="A466" i="29" l="1"/>
  <c r="AL555" i="29"/>
  <c r="C555" i="29" s="1"/>
  <c r="AK555" i="29"/>
  <c r="D555" i="29" s="1"/>
  <c r="A467" i="29" l="1"/>
  <c r="AK556" i="29"/>
  <c r="D556" i="29" s="1"/>
  <c r="AL556" i="29"/>
  <c r="C556" i="29" s="1"/>
  <c r="A468" i="29" l="1"/>
  <c r="AL557" i="29"/>
  <c r="C557" i="29" s="1"/>
  <c r="AK557" i="29"/>
  <c r="D557" i="29" s="1"/>
  <c r="A469" i="29" l="1"/>
  <c r="AK558" i="29"/>
  <c r="D558" i="29" s="1"/>
  <c r="AL558" i="29"/>
  <c r="C558" i="29" s="1"/>
  <c r="A470" i="29" l="1"/>
  <c r="AL559" i="29"/>
  <c r="C559" i="29" s="1"/>
  <c r="AK559" i="29"/>
  <c r="D559" i="29" s="1"/>
  <c r="A471" i="29" l="1"/>
  <c r="AK560" i="29"/>
  <c r="D560" i="29" s="1"/>
  <c r="AL560" i="29"/>
  <c r="C560" i="29" s="1"/>
  <c r="A472" i="29" l="1"/>
  <c r="AL561" i="29"/>
  <c r="C561" i="29" s="1"/>
  <c r="AK561" i="29"/>
  <c r="D561" i="29" s="1"/>
  <c r="A473" i="29" l="1"/>
  <c r="AK562" i="29"/>
  <c r="D562" i="29" s="1"/>
  <c r="AL562" i="29"/>
  <c r="C562" i="29" s="1"/>
  <c r="A474" i="29" l="1"/>
  <c r="AL563" i="29"/>
  <c r="C563" i="29" s="1"/>
  <c r="AK563" i="29"/>
  <c r="D563" i="29" s="1"/>
  <c r="A475" i="29" l="1"/>
  <c r="AK564" i="29"/>
  <c r="D564" i="29" s="1"/>
  <c r="AL564" i="29"/>
  <c r="C564" i="29" s="1"/>
  <c r="A476" i="29" l="1"/>
  <c r="AL565" i="29"/>
  <c r="C565" i="29" s="1"/>
  <c r="AK565" i="29"/>
  <c r="D565" i="29" s="1"/>
  <c r="A477" i="29" l="1"/>
  <c r="AK566" i="29"/>
  <c r="D566" i="29" s="1"/>
  <c r="AL566" i="29"/>
  <c r="C566" i="29" s="1"/>
  <c r="A478" i="29" l="1"/>
  <c r="AL567" i="29"/>
  <c r="C567" i="29" s="1"/>
  <c r="AK567" i="29"/>
  <c r="D567" i="29" s="1"/>
  <c r="A479" i="29" l="1"/>
  <c r="AK568" i="29"/>
  <c r="D568" i="29" s="1"/>
  <c r="AL568" i="29"/>
  <c r="C568" i="29" s="1"/>
  <c r="A480" i="29" l="1"/>
  <c r="AL569" i="29"/>
  <c r="C569" i="29" s="1"/>
  <c r="AK569" i="29"/>
  <c r="D569" i="29" s="1"/>
  <c r="A481" i="29" l="1"/>
  <c r="AK570" i="29"/>
  <c r="D570" i="29" s="1"/>
  <c r="AL570" i="29"/>
  <c r="C570" i="29" s="1"/>
  <c r="A482" i="29" l="1"/>
  <c r="AL571" i="29"/>
  <c r="C571" i="29" s="1"/>
  <c r="AK571" i="29"/>
  <c r="D571" i="29" s="1"/>
  <c r="A483" i="29" l="1"/>
  <c r="AK572" i="29"/>
  <c r="D572" i="29" s="1"/>
  <c r="AL572" i="29"/>
  <c r="C572" i="29" s="1"/>
  <c r="A484" i="29" l="1"/>
  <c r="AL573" i="29"/>
  <c r="C573" i="29" s="1"/>
  <c r="AK573" i="29"/>
  <c r="D573" i="29" s="1"/>
  <c r="A485" i="29" l="1"/>
  <c r="AK574" i="29"/>
  <c r="D574" i="29" s="1"/>
  <c r="AL574" i="29"/>
  <c r="C574" i="29" s="1"/>
  <c r="A486" i="29" l="1"/>
  <c r="AL575" i="29"/>
  <c r="C575" i="29" s="1"/>
  <c r="AK575" i="29"/>
  <c r="D575" i="29" s="1"/>
  <c r="A487" i="29" l="1"/>
  <c r="AK576" i="29"/>
  <c r="D576" i="29" s="1"/>
  <c r="AL576" i="29"/>
  <c r="C576" i="29" s="1"/>
  <c r="A488" i="29" l="1"/>
  <c r="AL577" i="29"/>
  <c r="C577" i="29" s="1"/>
  <c r="AK577" i="29"/>
  <c r="D577" i="29" s="1"/>
  <c r="A489" i="29" l="1"/>
  <c r="AK578" i="29"/>
  <c r="D578" i="29" s="1"/>
  <c r="AL578" i="29"/>
  <c r="C578" i="29" s="1"/>
  <c r="A490" i="29" l="1"/>
  <c r="AL579" i="29"/>
  <c r="C579" i="29" s="1"/>
  <c r="AK579" i="29"/>
  <c r="D579" i="29" s="1"/>
  <c r="A491" i="29" l="1"/>
  <c r="AK580" i="29"/>
  <c r="D580" i="29" s="1"/>
  <c r="AL580" i="29"/>
  <c r="C580" i="29" s="1"/>
  <c r="A492" i="29" l="1"/>
  <c r="AL581" i="29"/>
  <c r="C581" i="29" s="1"/>
  <c r="AK581" i="29"/>
  <c r="D581" i="29" s="1"/>
  <c r="A493" i="29" l="1"/>
  <c r="AK582" i="29"/>
  <c r="D582" i="29" s="1"/>
  <c r="AL582" i="29"/>
  <c r="C582" i="29" s="1"/>
  <c r="A494" i="29" l="1"/>
  <c r="AL583" i="29"/>
  <c r="C583" i="29" s="1"/>
  <c r="AK583" i="29"/>
  <c r="D583" i="29" s="1"/>
  <c r="A495" i="29" l="1"/>
  <c r="AK584" i="29"/>
  <c r="D584" i="29" s="1"/>
  <c r="AL584" i="29"/>
  <c r="C584" i="29" s="1"/>
  <c r="A496" i="29" l="1"/>
  <c r="AL585" i="29"/>
  <c r="C585" i="29" s="1"/>
  <c r="AK585" i="29"/>
  <c r="D585" i="29" s="1"/>
  <c r="A497" i="29" l="1"/>
  <c r="AK586" i="29"/>
  <c r="D586" i="29" s="1"/>
  <c r="AL586" i="29"/>
  <c r="C586" i="29" s="1"/>
  <c r="A498" i="29" l="1"/>
  <c r="AL587" i="29"/>
  <c r="C587" i="29" s="1"/>
  <c r="AK587" i="29"/>
  <c r="D587" i="29" s="1"/>
  <c r="A499" i="29" l="1"/>
  <c r="AK588" i="29"/>
  <c r="D588" i="29" s="1"/>
  <c r="AL588" i="29"/>
  <c r="C588" i="29" s="1"/>
  <c r="A500" i="29" l="1"/>
  <c r="AL589" i="29"/>
  <c r="C589" i="29" s="1"/>
  <c r="AK589" i="29"/>
  <c r="D589" i="29" s="1"/>
  <c r="A501" i="29" l="1"/>
  <c r="AK590" i="29"/>
  <c r="D590" i="29" s="1"/>
  <c r="AL590" i="29"/>
  <c r="C590" i="29" s="1"/>
  <c r="A502" i="29" l="1"/>
  <c r="AL591" i="29"/>
  <c r="C591" i="29" s="1"/>
  <c r="AK591" i="29"/>
  <c r="D591" i="29" s="1"/>
  <c r="A503" i="29" l="1"/>
  <c r="AK592" i="29"/>
  <c r="D592" i="29" s="1"/>
  <c r="AL592" i="29"/>
  <c r="C592" i="29" s="1"/>
  <c r="A504" i="29" l="1"/>
  <c r="AL593" i="29"/>
  <c r="C593" i="29" s="1"/>
  <c r="AK593" i="29"/>
  <c r="D593" i="29" s="1"/>
  <c r="A505" i="29" l="1"/>
  <c r="AK594" i="29"/>
  <c r="D594" i="29" s="1"/>
  <c r="AL594" i="29"/>
  <c r="C594" i="29" s="1"/>
  <c r="A506" i="29" l="1"/>
  <c r="AL595" i="29"/>
  <c r="C595" i="29" s="1"/>
  <c r="AK595" i="29"/>
  <c r="D595" i="29" s="1"/>
  <c r="A507" i="29" l="1"/>
  <c r="AK596" i="29"/>
  <c r="D596" i="29" s="1"/>
  <c r="AL596" i="29"/>
  <c r="C596" i="29" s="1"/>
  <c r="A508" i="29" l="1"/>
  <c r="AL597" i="29"/>
  <c r="C597" i="29" s="1"/>
  <c r="AK597" i="29"/>
  <c r="D597" i="29" s="1"/>
  <c r="A509" i="29" l="1"/>
  <c r="AK598" i="29"/>
  <c r="D598" i="29" s="1"/>
  <c r="AL598" i="29"/>
  <c r="C598" i="29" s="1"/>
  <c r="A510" i="29" l="1"/>
  <c r="AL599" i="29"/>
  <c r="C599" i="29" s="1"/>
  <c r="AK599" i="29"/>
  <c r="D599" i="29" s="1"/>
  <c r="A511" i="29" l="1"/>
  <c r="AK600" i="29"/>
  <c r="D600" i="29" s="1"/>
  <c r="AL600" i="29"/>
  <c r="C600" i="29" s="1"/>
  <c r="A512" i="29" l="1"/>
  <c r="AL601" i="29"/>
  <c r="C601" i="29" s="1"/>
  <c r="AK601" i="29"/>
  <c r="D601" i="29" s="1"/>
  <c r="A513" i="29" l="1"/>
  <c r="AK602" i="29"/>
  <c r="D602" i="29" s="1"/>
  <c r="AL602" i="29"/>
  <c r="C602" i="29" s="1"/>
  <c r="A514" i="29" l="1"/>
  <c r="AL603" i="29"/>
  <c r="C603" i="29" s="1"/>
  <c r="AK603" i="29"/>
  <c r="D603" i="29" s="1"/>
  <c r="A515" i="29" l="1"/>
  <c r="AK604" i="29"/>
  <c r="D604" i="29" s="1"/>
  <c r="AL604" i="29"/>
  <c r="C604" i="29" s="1"/>
  <c r="A516" i="29" l="1"/>
  <c r="AL605" i="29"/>
  <c r="C605" i="29" s="1"/>
  <c r="AK605" i="29"/>
  <c r="D605" i="29" s="1"/>
  <c r="A517" i="29" l="1"/>
  <c r="AK606" i="29"/>
  <c r="D606" i="29" s="1"/>
  <c r="AL606" i="29"/>
  <c r="C606" i="29" s="1"/>
  <c r="A518" i="29" l="1"/>
  <c r="AL607" i="29"/>
  <c r="C607" i="29" s="1"/>
  <c r="AK607" i="29"/>
  <c r="D607" i="29" s="1"/>
  <c r="A519" i="29" l="1"/>
  <c r="AK608" i="29"/>
  <c r="D608" i="29" s="1"/>
  <c r="AL608" i="29"/>
  <c r="C608" i="29" s="1"/>
  <c r="A520" i="29" l="1"/>
  <c r="AL609" i="29"/>
  <c r="C609" i="29" s="1"/>
  <c r="AK609" i="29"/>
  <c r="D609" i="29" s="1"/>
  <c r="A521" i="29" l="1"/>
  <c r="AK610" i="29"/>
  <c r="D610" i="29" s="1"/>
  <c r="AL610" i="29"/>
  <c r="C610" i="29" s="1"/>
  <c r="A522" i="29" l="1"/>
  <c r="AL611" i="29"/>
  <c r="C611" i="29" s="1"/>
  <c r="AK611" i="29"/>
  <c r="D611" i="29" s="1"/>
  <c r="A523" i="29" l="1"/>
  <c r="AK612" i="29"/>
  <c r="D612" i="29" s="1"/>
  <c r="AL612" i="29"/>
  <c r="C612" i="29" s="1"/>
  <c r="A524" i="29" l="1"/>
  <c r="AL613" i="29"/>
  <c r="C613" i="29" s="1"/>
  <c r="AK613" i="29"/>
  <c r="D613" i="29" s="1"/>
  <c r="A525" i="29" l="1"/>
  <c r="AK614" i="29"/>
  <c r="D614" i="29" s="1"/>
  <c r="AL614" i="29"/>
  <c r="C614" i="29" s="1"/>
  <c r="A526" i="29" l="1"/>
  <c r="AL615" i="29"/>
  <c r="C615" i="29" s="1"/>
  <c r="AK615" i="29"/>
  <c r="D615" i="29" s="1"/>
  <c r="A527" i="29" l="1"/>
  <c r="AK616" i="29"/>
  <c r="D616" i="29" s="1"/>
  <c r="AL616" i="29"/>
  <c r="C616" i="29" s="1"/>
  <c r="A528" i="29" l="1"/>
  <c r="AL617" i="29"/>
  <c r="C617" i="29" s="1"/>
  <c r="AK617" i="29"/>
  <c r="D617" i="29" s="1"/>
  <c r="A529" i="29" l="1"/>
  <c r="AK618" i="29"/>
  <c r="D618" i="29" s="1"/>
  <c r="AL618" i="29"/>
  <c r="C618" i="29" s="1"/>
  <c r="A530" i="29" l="1"/>
  <c r="AL619" i="29"/>
  <c r="C619" i="29" s="1"/>
  <c r="AK619" i="29"/>
  <c r="D619" i="29" s="1"/>
  <c r="A531" i="29" l="1"/>
  <c r="AK620" i="29"/>
  <c r="D620" i="29" s="1"/>
  <c r="AL620" i="29"/>
  <c r="C620" i="29" s="1"/>
  <c r="A532" i="29" l="1"/>
  <c r="AL621" i="29"/>
  <c r="C621" i="29" s="1"/>
  <c r="AK621" i="29"/>
  <c r="D621" i="29" s="1"/>
  <c r="A533" i="29" l="1"/>
  <c r="AK622" i="29"/>
  <c r="D622" i="29" s="1"/>
  <c r="AL622" i="29"/>
  <c r="C622" i="29" s="1"/>
  <c r="A534" i="29" l="1"/>
  <c r="AL623" i="29"/>
  <c r="C623" i="29" s="1"/>
  <c r="AK623" i="29"/>
  <c r="D623" i="29" s="1"/>
  <c r="A535" i="29" l="1"/>
  <c r="AK624" i="29"/>
  <c r="D624" i="29" s="1"/>
  <c r="AL624" i="29"/>
  <c r="C624" i="29" s="1"/>
  <c r="A536" i="29" l="1"/>
  <c r="AL625" i="29"/>
  <c r="C625" i="29" s="1"/>
  <c r="AK625" i="29"/>
  <c r="D625" i="29" s="1"/>
  <c r="A537" i="29" l="1"/>
  <c r="AK626" i="29"/>
  <c r="D626" i="29" s="1"/>
  <c r="AL626" i="29"/>
  <c r="C626" i="29" s="1"/>
  <c r="A538" i="29" l="1"/>
  <c r="AL627" i="29"/>
  <c r="C627" i="29" s="1"/>
  <c r="AK627" i="29"/>
  <c r="D627" i="29" s="1"/>
  <c r="A539" i="29" l="1"/>
  <c r="AK628" i="29"/>
  <c r="D628" i="29" s="1"/>
  <c r="AL628" i="29"/>
  <c r="C628" i="29" s="1"/>
  <c r="A540" i="29" l="1"/>
  <c r="AL629" i="29"/>
  <c r="C629" i="29" s="1"/>
  <c r="AK629" i="29"/>
  <c r="D629" i="29" s="1"/>
  <c r="A541" i="29" l="1"/>
  <c r="AK630" i="29"/>
  <c r="D630" i="29" s="1"/>
  <c r="AL630" i="29"/>
  <c r="C630" i="29" s="1"/>
  <c r="A542" i="29" l="1"/>
  <c r="AL631" i="29"/>
  <c r="C631" i="29" s="1"/>
  <c r="AK631" i="29"/>
  <c r="D631" i="29" s="1"/>
  <c r="A543" i="29" l="1"/>
  <c r="AK632" i="29"/>
  <c r="D632" i="29" s="1"/>
  <c r="AL632" i="29"/>
  <c r="C632" i="29" s="1"/>
  <c r="A544" i="29" l="1"/>
  <c r="AL633" i="29"/>
  <c r="C633" i="29" s="1"/>
  <c r="AK633" i="29"/>
  <c r="D633" i="29" s="1"/>
  <c r="A545" i="29" l="1"/>
  <c r="AK634" i="29"/>
  <c r="D634" i="29" s="1"/>
  <c r="AL634" i="29"/>
  <c r="C634" i="29" s="1"/>
  <c r="A546" i="29" l="1"/>
  <c r="AL635" i="29"/>
  <c r="C635" i="29" s="1"/>
  <c r="AK635" i="29"/>
  <c r="D635" i="29" s="1"/>
  <c r="A547" i="29" l="1"/>
  <c r="AK636" i="29"/>
  <c r="D636" i="29" s="1"/>
  <c r="AL636" i="29"/>
  <c r="C636" i="29" s="1"/>
  <c r="A548" i="29" l="1"/>
  <c r="AL637" i="29"/>
  <c r="C637" i="29" s="1"/>
  <c r="AK637" i="29"/>
  <c r="D637" i="29" s="1"/>
  <c r="A549" i="29" l="1"/>
  <c r="AK638" i="29"/>
  <c r="D638" i="29" s="1"/>
  <c r="AL638" i="29"/>
  <c r="C638" i="29" s="1"/>
  <c r="A550" i="29" l="1"/>
  <c r="AL639" i="29"/>
  <c r="C639" i="29" s="1"/>
  <c r="AK639" i="29"/>
  <c r="D639" i="29" s="1"/>
  <c r="A551" i="29" l="1"/>
  <c r="AK640" i="29"/>
  <c r="D640" i="29" s="1"/>
  <c r="AL640" i="29"/>
  <c r="C640" i="29" s="1"/>
  <c r="A552" i="29" l="1"/>
  <c r="AL641" i="29"/>
  <c r="C641" i="29" s="1"/>
  <c r="AK641" i="29"/>
  <c r="D641" i="29" s="1"/>
  <c r="A553" i="29" l="1"/>
  <c r="AK642" i="29"/>
  <c r="D642" i="29" s="1"/>
  <c r="AL642" i="29"/>
  <c r="C642" i="29" s="1"/>
  <c r="A554" i="29" l="1"/>
  <c r="AL643" i="29"/>
  <c r="C643" i="29" s="1"/>
  <c r="AK643" i="29"/>
  <c r="D643" i="29" s="1"/>
  <c r="A555" i="29" l="1"/>
  <c r="AK644" i="29"/>
  <c r="D644" i="29" s="1"/>
  <c r="AL644" i="29"/>
  <c r="C644" i="29" s="1"/>
  <c r="A556" i="29" l="1"/>
  <c r="AL645" i="29"/>
  <c r="C645" i="29" s="1"/>
  <c r="AK645" i="29"/>
  <c r="D645" i="29" s="1"/>
  <c r="A557" i="29" l="1"/>
  <c r="AK646" i="29"/>
  <c r="D646" i="29" s="1"/>
  <c r="AL646" i="29"/>
  <c r="C646" i="29" s="1"/>
  <c r="A558" i="29" l="1"/>
  <c r="AL647" i="29"/>
  <c r="C647" i="29" s="1"/>
  <c r="AK647" i="29"/>
  <c r="D647" i="29" s="1"/>
  <c r="A559" i="29" l="1"/>
  <c r="AK648" i="29"/>
  <c r="D648" i="29" s="1"/>
  <c r="AL648" i="29"/>
  <c r="C648" i="29" s="1"/>
  <c r="A560" i="29" l="1"/>
  <c r="AL649" i="29"/>
  <c r="C649" i="29" s="1"/>
  <c r="AK649" i="29"/>
  <c r="D649" i="29" s="1"/>
  <c r="A561" i="29" l="1"/>
  <c r="AK650" i="29"/>
  <c r="D650" i="29" s="1"/>
  <c r="AL650" i="29"/>
  <c r="C650" i="29" s="1"/>
  <c r="A562" i="29" l="1"/>
  <c r="AL651" i="29"/>
  <c r="C651" i="29" s="1"/>
  <c r="AK651" i="29"/>
  <c r="D651" i="29" s="1"/>
  <c r="A563" i="29" l="1"/>
  <c r="AK652" i="29"/>
  <c r="D652" i="29" s="1"/>
  <c r="AL652" i="29"/>
  <c r="C652" i="29" s="1"/>
  <c r="A564" i="29" l="1"/>
  <c r="AL653" i="29"/>
  <c r="C653" i="29" s="1"/>
  <c r="AK653" i="29"/>
  <c r="D653" i="29" s="1"/>
  <c r="A565" i="29" l="1"/>
  <c r="AK654" i="29"/>
  <c r="D654" i="29" s="1"/>
  <c r="AL654" i="29"/>
  <c r="C654" i="29" s="1"/>
  <c r="A566" i="29" l="1"/>
  <c r="AL655" i="29"/>
  <c r="C655" i="29" s="1"/>
  <c r="AK655" i="29"/>
  <c r="D655" i="29" s="1"/>
  <c r="A567" i="29" l="1"/>
  <c r="AK656" i="29"/>
  <c r="D656" i="29" s="1"/>
  <c r="AL656" i="29"/>
  <c r="C656" i="29" s="1"/>
  <c r="A568" i="29" l="1"/>
  <c r="AL657" i="29"/>
  <c r="C657" i="29" s="1"/>
  <c r="AK657" i="29"/>
  <c r="D657" i="29" s="1"/>
  <c r="A569" i="29" l="1"/>
  <c r="AK658" i="29"/>
  <c r="D658" i="29" s="1"/>
  <c r="AL658" i="29"/>
  <c r="C658" i="29" s="1"/>
  <c r="A570" i="29" l="1"/>
  <c r="AL659" i="29"/>
  <c r="C659" i="29" s="1"/>
  <c r="AK659" i="29"/>
  <c r="D659" i="29" s="1"/>
  <c r="A571" i="29" l="1"/>
  <c r="AK660" i="29"/>
  <c r="D660" i="29" s="1"/>
  <c r="AL660" i="29"/>
  <c r="C660" i="29" s="1"/>
  <c r="A572" i="29" l="1"/>
  <c r="AL661" i="29"/>
  <c r="C661" i="29" s="1"/>
  <c r="AK661" i="29"/>
  <c r="D661" i="29" s="1"/>
  <c r="A573" i="29" l="1"/>
  <c r="AK662" i="29"/>
  <c r="D662" i="29" s="1"/>
  <c r="AL662" i="29"/>
  <c r="C662" i="29" s="1"/>
  <c r="A574" i="29" l="1"/>
  <c r="AL663" i="29"/>
  <c r="C663" i="29" s="1"/>
  <c r="AK663" i="29"/>
  <c r="D663" i="29" s="1"/>
  <c r="A575" i="29" l="1"/>
  <c r="AK664" i="29"/>
  <c r="D664" i="29" s="1"/>
  <c r="AL664" i="29"/>
  <c r="C664" i="29" s="1"/>
  <c r="A576" i="29" l="1"/>
  <c r="AL665" i="29"/>
  <c r="C665" i="29" s="1"/>
  <c r="AK665" i="29"/>
  <c r="D665" i="29" s="1"/>
  <c r="A577" i="29" l="1"/>
  <c r="AK666" i="29"/>
  <c r="D666" i="29" s="1"/>
  <c r="AL666" i="29"/>
  <c r="C666" i="29" s="1"/>
  <c r="A578" i="29" l="1"/>
  <c r="AL667" i="29"/>
  <c r="C667" i="29" s="1"/>
  <c r="AK667" i="29"/>
  <c r="D667" i="29" s="1"/>
  <c r="A579" i="29" l="1"/>
  <c r="AK668" i="29"/>
  <c r="D668" i="29" s="1"/>
  <c r="AL668" i="29"/>
  <c r="C668" i="29" s="1"/>
  <c r="A580" i="29" l="1"/>
  <c r="AL669" i="29"/>
  <c r="C669" i="29" s="1"/>
  <c r="AK669" i="29"/>
  <c r="D669" i="29" s="1"/>
  <c r="A581" i="29" l="1"/>
  <c r="AK670" i="29"/>
  <c r="D670" i="29" s="1"/>
  <c r="AL670" i="29"/>
  <c r="C670" i="29" s="1"/>
  <c r="A582" i="29" l="1"/>
  <c r="AL671" i="29"/>
  <c r="C671" i="29" s="1"/>
  <c r="AK671" i="29"/>
  <c r="D671" i="29" s="1"/>
  <c r="A583" i="29" l="1"/>
  <c r="AK672" i="29"/>
  <c r="D672" i="29" s="1"/>
  <c r="AL672" i="29"/>
  <c r="C672" i="29" s="1"/>
  <c r="A584" i="29" l="1"/>
  <c r="AL673" i="29"/>
  <c r="C673" i="29" s="1"/>
  <c r="AK673" i="29"/>
  <c r="D673" i="29" s="1"/>
  <c r="A585" i="29" l="1"/>
  <c r="AK674" i="29"/>
  <c r="D674" i="29" s="1"/>
  <c r="AL674" i="29"/>
  <c r="C674" i="29" s="1"/>
  <c r="A586" i="29" l="1"/>
  <c r="AL675" i="29"/>
  <c r="C675" i="29" s="1"/>
  <c r="AK675" i="29"/>
  <c r="D675" i="29" s="1"/>
  <c r="A587" i="29" l="1"/>
  <c r="AK676" i="29"/>
  <c r="D676" i="29" s="1"/>
  <c r="AL676" i="29"/>
  <c r="C676" i="29" s="1"/>
  <c r="A588" i="29" l="1"/>
  <c r="AL677" i="29"/>
  <c r="C677" i="29" s="1"/>
  <c r="AK677" i="29"/>
  <c r="D677" i="29" s="1"/>
  <c r="A589" i="29" l="1"/>
  <c r="AK678" i="29"/>
  <c r="D678" i="29" s="1"/>
  <c r="AL678" i="29"/>
  <c r="C678" i="29" s="1"/>
  <c r="A590" i="29" l="1"/>
  <c r="AL679" i="29"/>
  <c r="C679" i="29" s="1"/>
  <c r="AK679" i="29"/>
  <c r="D679" i="29" s="1"/>
  <c r="A591" i="29" l="1"/>
  <c r="AK680" i="29"/>
  <c r="D680" i="29" s="1"/>
  <c r="AL680" i="29"/>
  <c r="C680" i="29" s="1"/>
  <c r="A592" i="29" l="1"/>
  <c r="AL681" i="29"/>
  <c r="C681" i="29" s="1"/>
  <c r="AK681" i="29"/>
  <c r="D681" i="29" s="1"/>
  <c r="A593" i="29" l="1"/>
  <c r="AK682" i="29"/>
  <c r="D682" i="29" s="1"/>
  <c r="AL682" i="29"/>
  <c r="C682" i="29" s="1"/>
  <c r="A594" i="29" l="1"/>
  <c r="AL683" i="29"/>
  <c r="C683" i="29" s="1"/>
  <c r="AK683" i="29"/>
  <c r="D683" i="29" s="1"/>
  <c r="A595" i="29" l="1"/>
  <c r="AK684" i="29"/>
  <c r="D684" i="29" s="1"/>
  <c r="AL684" i="29"/>
  <c r="C684" i="29" s="1"/>
  <c r="A596" i="29" l="1"/>
  <c r="AL685" i="29"/>
  <c r="C685" i="29" s="1"/>
  <c r="AK685" i="29"/>
  <c r="D685" i="29" s="1"/>
  <c r="A597" i="29" l="1"/>
  <c r="AK686" i="29"/>
  <c r="D686" i="29" s="1"/>
  <c r="AL686" i="29"/>
  <c r="C686" i="29" s="1"/>
  <c r="A598" i="29" l="1"/>
  <c r="AL687" i="29"/>
  <c r="C687" i="29" s="1"/>
  <c r="AK687" i="29"/>
  <c r="D687" i="29" s="1"/>
  <c r="A599" i="29" l="1"/>
  <c r="AK688" i="29"/>
  <c r="D688" i="29" s="1"/>
  <c r="AL688" i="29"/>
  <c r="C688" i="29" s="1"/>
  <c r="A600" i="29" l="1"/>
  <c r="AL689" i="29"/>
  <c r="C689" i="29" s="1"/>
  <c r="AK689" i="29"/>
  <c r="D689" i="29" s="1"/>
  <c r="A601" i="29" l="1"/>
  <c r="AK690" i="29"/>
  <c r="D690" i="29" s="1"/>
  <c r="AL690" i="29"/>
  <c r="C690" i="29" s="1"/>
  <c r="A602" i="29" l="1"/>
  <c r="AL691" i="29"/>
  <c r="C691" i="29" s="1"/>
  <c r="AK691" i="29"/>
  <c r="D691" i="29" s="1"/>
  <c r="A603" i="29" l="1"/>
  <c r="AK692" i="29"/>
  <c r="D692" i="29" s="1"/>
  <c r="AL692" i="29"/>
  <c r="C692" i="29" s="1"/>
  <c r="A604" i="29" l="1"/>
  <c r="AL693" i="29"/>
  <c r="C693" i="29" s="1"/>
  <c r="AK693" i="29"/>
  <c r="D693" i="29" s="1"/>
  <c r="A605" i="29" l="1"/>
  <c r="AK694" i="29"/>
  <c r="D694" i="29" s="1"/>
  <c r="AL694" i="29"/>
  <c r="C694" i="29" s="1"/>
  <c r="A606" i="29" l="1"/>
  <c r="AL695" i="29"/>
  <c r="C695" i="29" s="1"/>
  <c r="AK695" i="29"/>
  <c r="D695" i="29" s="1"/>
  <c r="A607" i="29" l="1"/>
  <c r="AK696" i="29"/>
  <c r="D696" i="29" s="1"/>
  <c r="AL696" i="29"/>
  <c r="C696" i="29" s="1"/>
  <c r="A608" i="29" l="1"/>
  <c r="AL697" i="29"/>
  <c r="C697" i="29" s="1"/>
  <c r="AK697" i="29"/>
  <c r="D697" i="29" s="1"/>
  <c r="A609" i="29" l="1"/>
  <c r="AK698" i="29"/>
  <c r="D698" i="29" s="1"/>
  <c r="AL698" i="29"/>
  <c r="C698" i="29" s="1"/>
  <c r="A610" i="29" l="1"/>
  <c r="AL699" i="29"/>
  <c r="C699" i="29" s="1"/>
  <c r="AK699" i="29"/>
  <c r="D699" i="29" s="1"/>
  <c r="A611" i="29" l="1"/>
  <c r="AK700" i="29"/>
  <c r="D700" i="29" s="1"/>
  <c r="AL700" i="29"/>
  <c r="C700" i="29" s="1"/>
  <c r="A612" i="29" l="1"/>
  <c r="AL701" i="29"/>
  <c r="C701" i="29" s="1"/>
  <c r="AK701" i="29"/>
  <c r="D701" i="29" s="1"/>
  <c r="A613" i="29" l="1"/>
  <c r="AK702" i="29"/>
  <c r="D702" i="29" s="1"/>
  <c r="AL702" i="29"/>
  <c r="C702" i="29" s="1"/>
  <c r="A614" i="29" l="1"/>
  <c r="AL703" i="29"/>
  <c r="C703" i="29" s="1"/>
  <c r="AK703" i="29"/>
  <c r="D703" i="29" s="1"/>
  <c r="A615" i="29" l="1"/>
  <c r="AK704" i="29"/>
  <c r="D704" i="29" s="1"/>
  <c r="AL704" i="29"/>
  <c r="C704" i="29" s="1"/>
  <c r="A616" i="29" l="1"/>
  <c r="AL705" i="29"/>
  <c r="C705" i="29" s="1"/>
  <c r="AK705" i="29"/>
  <c r="D705" i="29" s="1"/>
  <c r="A617" i="29" l="1"/>
  <c r="AK706" i="29"/>
  <c r="D706" i="29" s="1"/>
  <c r="AL706" i="29"/>
  <c r="C706" i="29" s="1"/>
  <c r="A618" i="29" l="1"/>
  <c r="AL707" i="29"/>
  <c r="C707" i="29" s="1"/>
  <c r="AK707" i="29"/>
  <c r="D707" i="29" s="1"/>
  <c r="A619" i="29" l="1"/>
  <c r="AK708" i="29"/>
  <c r="D708" i="29" s="1"/>
  <c r="AL708" i="29"/>
  <c r="C708" i="29" s="1"/>
  <c r="A620" i="29" l="1"/>
  <c r="AL709" i="29"/>
  <c r="C709" i="29" s="1"/>
  <c r="AK709" i="29"/>
  <c r="D709" i="29" s="1"/>
  <c r="A621" i="29" l="1"/>
  <c r="AK710" i="29"/>
  <c r="D710" i="29" s="1"/>
  <c r="AL710" i="29"/>
  <c r="C710" i="29" s="1"/>
  <c r="A622" i="29" l="1"/>
  <c r="AL711" i="29"/>
  <c r="C711" i="29" s="1"/>
  <c r="AK711" i="29"/>
  <c r="D711" i="29" s="1"/>
  <c r="A623" i="29" l="1"/>
  <c r="AK712" i="29"/>
  <c r="D712" i="29" s="1"/>
  <c r="AL712" i="29"/>
  <c r="C712" i="29" s="1"/>
  <c r="A624" i="29" l="1"/>
  <c r="AL713" i="29"/>
  <c r="C713" i="29" s="1"/>
  <c r="AK713" i="29"/>
  <c r="D713" i="29" s="1"/>
  <c r="A625" i="29" l="1"/>
  <c r="AK714" i="29"/>
  <c r="D714" i="29" s="1"/>
  <c r="AL714" i="29"/>
  <c r="C714" i="29" s="1"/>
  <c r="A626" i="29" l="1"/>
  <c r="AL715" i="29"/>
  <c r="C715" i="29" s="1"/>
  <c r="AK715" i="29"/>
  <c r="D715" i="29" s="1"/>
  <c r="A627" i="29" l="1"/>
  <c r="AK716" i="29"/>
  <c r="D716" i="29" s="1"/>
  <c r="AL716" i="29"/>
  <c r="C716" i="29" s="1"/>
  <c r="A628" i="29" l="1"/>
  <c r="AL717" i="29"/>
  <c r="C717" i="29" s="1"/>
  <c r="AK717" i="29"/>
  <c r="D717" i="29" s="1"/>
  <c r="A629" i="29" l="1"/>
  <c r="AK718" i="29"/>
  <c r="D718" i="29" s="1"/>
  <c r="AL718" i="29"/>
  <c r="C718" i="29" s="1"/>
  <c r="A630" i="29" l="1"/>
  <c r="AL719" i="29"/>
  <c r="C719" i="29" s="1"/>
  <c r="AK719" i="29"/>
  <c r="D719" i="29" s="1"/>
  <c r="A631" i="29" l="1"/>
  <c r="AK720" i="29"/>
  <c r="D720" i="29" s="1"/>
  <c r="AL720" i="29"/>
  <c r="C720" i="29" s="1"/>
  <c r="A632" i="29" l="1"/>
  <c r="AL721" i="29"/>
  <c r="C721" i="29" s="1"/>
  <c r="AK721" i="29"/>
  <c r="D721" i="29" s="1"/>
  <c r="A633" i="29" l="1"/>
  <c r="AK722" i="29"/>
  <c r="D722" i="29" s="1"/>
  <c r="AL722" i="29"/>
  <c r="C722" i="29" s="1"/>
  <c r="A634" i="29" l="1"/>
  <c r="AL723" i="29"/>
  <c r="C723" i="29" s="1"/>
  <c r="AK723" i="29"/>
  <c r="D723" i="29" s="1"/>
  <c r="A635" i="29" l="1"/>
  <c r="AK724" i="29"/>
  <c r="D724" i="29" s="1"/>
  <c r="AL724" i="29"/>
  <c r="C724" i="29" s="1"/>
  <c r="A636" i="29" l="1"/>
  <c r="AL725" i="29"/>
  <c r="C725" i="29" s="1"/>
  <c r="AK725" i="29"/>
  <c r="D725" i="29" s="1"/>
  <c r="A637" i="29" l="1"/>
  <c r="AK726" i="29"/>
  <c r="D726" i="29" s="1"/>
  <c r="AL726" i="29"/>
  <c r="C726" i="29" s="1"/>
  <c r="A638" i="29" l="1"/>
  <c r="AL727" i="29"/>
  <c r="C727" i="29" s="1"/>
  <c r="AK727" i="29"/>
  <c r="D727" i="29" s="1"/>
  <c r="A639" i="29" l="1"/>
  <c r="AK728" i="29"/>
  <c r="D728" i="29" s="1"/>
  <c r="AL728" i="29"/>
  <c r="C728" i="29" s="1"/>
  <c r="A640" i="29" l="1"/>
  <c r="AL729" i="29"/>
  <c r="C729" i="29" s="1"/>
  <c r="AK729" i="29"/>
  <c r="D729" i="29" s="1"/>
  <c r="A641" i="29" l="1"/>
  <c r="AK730" i="29"/>
  <c r="D730" i="29" s="1"/>
  <c r="AL730" i="29"/>
  <c r="C730" i="29" s="1"/>
  <c r="A642" i="29" l="1"/>
  <c r="AL731" i="29"/>
  <c r="C731" i="29" s="1"/>
  <c r="AK731" i="29"/>
  <c r="D731" i="29" s="1"/>
  <c r="A643" i="29" l="1"/>
  <c r="AK732" i="29"/>
  <c r="D732" i="29" s="1"/>
  <c r="AL732" i="29"/>
  <c r="C732" i="29" s="1"/>
  <c r="A644" i="29" l="1"/>
  <c r="AL733" i="29"/>
  <c r="C733" i="29" s="1"/>
  <c r="AK733" i="29"/>
  <c r="D733" i="29" s="1"/>
  <c r="A645" i="29" l="1"/>
  <c r="AK734" i="29"/>
  <c r="D734" i="29" s="1"/>
  <c r="AL734" i="29"/>
  <c r="C734" i="29" s="1"/>
  <c r="A646" i="29" l="1"/>
  <c r="AL735" i="29"/>
  <c r="C735" i="29" s="1"/>
  <c r="AK735" i="29"/>
  <c r="D735" i="29" s="1"/>
  <c r="A647" i="29" l="1"/>
  <c r="AK736" i="29"/>
  <c r="D736" i="29" s="1"/>
  <c r="AL736" i="29"/>
  <c r="C736" i="29" s="1"/>
  <c r="A648" i="29" l="1"/>
  <c r="AL737" i="29"/>
  <c r="C737" i="29" s="1"/>
  <c r="AK737" i="29"/>
  <c r="D737" i="29" s="1"/>
  <c r="A649" i="29" l="1"/>
  <c r="AK738" i="29"/>
  <c r="D738" i="29" s="1"/>
  <c r="AL738" i="29"/>
  <c r="C738" i="29" s="1"/>
  <c r="A650" i="29" l="1"/>
  <c r="AL739" i="29"/>
  <c r="C739" i="29" s="1"/>
  <c r="AK739" i="29"/>
  <c r="D739" i="29" s="1"/>
  <c r="A651" i="29" l="1"/>
  <c r="AK740" i="29"/>
  <c r="D740" i="29" s="1"/>
  <c r="AL740" i="29"/>
  <c r="C740" i="29" s="1"/>
  <c r="A652" i="29" l="1"/>
  <c r="AL741" i="29"/>
  <c r="C741" i="29" s="1"/>
  <c r="AK741" i="29"/>
  <c r="D741" i="29" s="1"/>
  <c r="A653" i="29" l="1"/>
  <c r="AK742" i="29"/>
  <c r="D742" i="29" s="1"/>
  <c r="AL742" i="29"/>
  <c r="C742" i="29" s="1"/>
  <c r="A654" i="29" l="1"/>
  <c r="AL743" i="29"/>
  <c r="C743" i="29" s="1"/>
  <c r="AK743" i="29"/>
  <c r="D743" i="29" s="1"/>
  <c r="A655" i="29" l="1"/>
  <c r="AK744" i="29"/>
  <c r="D744" i="29" s="1"/>
  <c r="AL744" i="29"/>
  <c r="C744" i="29" s="1"/>
  <c r="A656" i="29" l="1"/>
  <c r="AL745" i="29"/>
  <c r="C745" i="29" s="1"/>
  <c r="AK745" i="29"/>
  <c r="D745" i="29" s="1"/>
  <c r="A657" i="29" l="1"/>
  <c r="AK746" i="29"/>
  <c r="D746" i="29" s="1"/>
  <c r="AL746" i="29"/>
  <c r="C746" i="29" s="1"/>
  <c r="A658" i="29" l="1"/>
  <c r="AL747" i="29"/>
  <c r="C747" i="29" s="1"/>
  <c r="AK747" i="29"/>
  <c r="D747" i="29" s="1"/>
  <c r="A659" i="29" l="1"/>
  <c r="AK748" i="29"/>
  <c r="D748" i="29" s="1"/>
  <c r="AL748" i="29"/>
  <c r="C748" i="29" s="1"/>
  <c r="A660" i="29" l="1"/>
  <c r="AL749" i="29"/>
  <c r="C749" i="29" s="1"/>
  <c r="AK749" i="29"/>
  <c r="D749" i="29" s="1"/>
  <c r="A661" i="29" l="1"/>
  <c r="AK750" i="29"/>
  <c r="D750" i="29" s="1"/>
  <c r="AL750" i="29"/>
  <c r="C750" i="29" s="1"/>
  <c r="A662" i="29" l="1"/>
  <c r="AL751" i="29"/>
  <c r="C751" i="29" s="1"/>
  <c r="AK751" i="29"/>
  <c r="D751" i="29" s="1"/>
  <c r="A663" i="29" l="1"/>
  <c r="AK752" i="29"/>
  <c r="D752" i="29" s="1"/>
  <c r="AL752" i="29"/>
  <c r="C752" i="29" s="1"/>
  <c r="A664" i="29" l="1"/>
  <c r="AL753" i="29"/>
  <c r="C753" i="29" s="1"/>
  <c r="AK753" i="29"/>
  <c r="D753" i="29" s="1"/>
  <c r="A665" i="29" l="1"/>
  <c r="AK754" i="29"/>
  <c r="D754" i="29" s="1"/>
  <c r="AL754" i="29"/>
  <c r="C754" i="29" s="1"/>
  <c r="A666" i="29" l="1"/>
  <c r="AL755" i="29"/>
  <c r="C755" i="29" s="1"/>
  <c r="AK755" i="29"/>
  <c r="D755" i="29" s="1"/>
  <c r="A667" i="29" l="1"/>
  <c r="AK756" i="29"/>
  <c r="D756" i="29" s="1"/>
  <c r="AL756" i="29"/>
  <c r="C756" i="29" s="1"/>
  <c r="A668" i="29" l="1"/>
  <c r="AL757" i="29"/>
  <c r="C757" i="29" s="1"/>
  <c r="AK757" i="29"/>
  <c r="D757" i="29" s="1"/>
  <c r="A669" i="29" l="1"/>
  <c r="AK758" i="29"/>
  <c r="D758" i="29" s="1"/>
  <c r="AL758" i="29"/>
  <c r="C758" i="29" s="1"/>
  <c r="A670" i="29" l="1"/>
  <c r="AL759" i="29"/>
  <c r="C759" i="29" s="1"/>
  <c r="AK759" i="29"/>
  <c r="D759" i="29" s="1"/>
  <c r="A671" i="29" l="1"/>
  <c r="AK760" i="29"/>
  <c r="D760" i="29" s="1"/>
  <c r="AL760" i="29"/>
  <c r="C760" i="29" s="1"/>
  <c r="A672" i="29" l="1"/>
  <c r="AL761" i="29"/>
  <c r="C761" i="29" s="1"/>
  <c r="AK761" i="29"/>
  <c r="D761" i="29" s="1"/>
  <c r="A673" i="29" l="1"/>
  <c r="AK762" i="29"/>
  <c r="D762" i="29" s="1"/>
  <c r="AL762" i="29"/>
  <c r="C762" i="29" s="1"/>
  <c r="A674" i="29" l="1"/>
  <c r="AL763" i="29"/>
  <c r="C763" i="29" s="1"/>
  <c r="AK763" i="29"/>
  <c r="D763" i="29" s="1"/>
  <c r="A675" i="29" l="1"/>
  <c r="AK764" i="29"/>
  <c r="D764" i="29" s="1"/>
  <c r="AL764" i="29"/>
  <c r="C764" i="29" s="1"/>
  <c r="A676" i="29" l="1"/>
  <c r="AL765" i="29"/>
  <c r="C765" i="29" s="1"/>
  <c r="AK765" i="29"/>
  <c r="D765" i="29" s="1"/>
  <c r="A677" i="29" l="1"/>
  <c r="AK766" i="29"/>
  <c r="D766" i="29" s="1"/>
  <c r="AL766" i="29"/>
  <c r="C766" i="29" s="1"/>
  <c r="A678" i="29" l="1"/>
  <c r="AL767" i="29"/>
  <c r="C767" i="29" s="1"/>
  <c r="AK767" i="29"/>
  <c r="D767" i="29" s="1"/>
  <c r="A679" i="29" l="1"/>
  <c r="AK768" i="29"/>
  <c r="D768" i="29" s="1"/>
  <c r="AL768" i="29"/>
  <c r="C768" i="29" s="1"/>
  <c r="A680" i="29" l="1"/>
  <c r="AL769" i="29"/>
  <c r="C769" i="29" s="1"/>
  <c r="AK769" i="29"/>
  <c r="D769" i="29" s="1"/>
  <c r="A681" i="29" l="1"/>
  <c r="AK770" i="29"/>
  <c r="D770" i="29" s="1"/>
  <c r="AL770" i="29"/>
  <c r="C770" i="29" s="1"/>
  <c r="A682" i="29" l="1"/>
  <c r="AL771" i="29"/>
  <c r="C771" i="29" s="1"/>
  <c r="AK771" i="29"/>
  <c r="D771" i="29" s="1"/>
  <c r="A683" i="29" l="1"/>
  <c r="AK772" i="29"/>
  <c r="D772" i="29" s="1"/>
  <c r="AL772" i="29"/>
  <c r="C772" i="29" s="1"/>
  <c r="A684" i="29" l="1"/>
  <c r="AL773" i="29"/>
  <c r="C773" i="29" s="1"/>
  <c r="AK773" i="29"/>
  <c r="D773" i="29" s="1"/>
  <c r="A685" i="29" l="1"/>
  <c r="AK774" i="29"/>
  <c r="D774" i="29" s="1"/>
  <c r="AL774" i="29"/>
  <c r="C774" i="29" s="1"/>
  <c r="A686" i="29" l="1"/>
  <c r="AL775" i="29"/>
  <c r="C775" i="29" s="1"/>
  <c r="AK775" i="29"/>
  <c r="D775" i="29" s="1"/>
  <c r="A687" i="29" l="1"/>
  <c r="AK776" i="29"/>
  <c r="D776" i="29" s="1"/>
  <c r="AL776" i="29"/>
  <c r="C776" i="29" s="1"/>
  <c r="A688" i="29" l="1"/>
  <c r="AL777" i="29"/>
  <c r="C777" i="29" s="1"/>
  <c r="AK777" i="29"/>
  <c r="D777" i="29" s="1"/>
  <c r="A689" i="29" l="1"/>
  <c r="AK778" i="29"/>
  <c r="D778" i="29" s="1"/>
  <c r="AL778" i="29"/>
  <c r="C778" i="29" s="1"/>
  <c r="A690" i="29" l="1"/>
  <c r="AL779" i="29"/>
  <c r="C779" i="29" s="1"/>
  <c r="AK779" i="29"/>
  <c r="D779" i="29" s="1"/>
  <c r="A691" i="29" l="1"/>
  <c r="AK780" i="29"/>
  <c r="D780" i="29" s="1"/>
  <c r="AL780" i="29"/>
  <c r="C780" i="29" s="1"/>
  <c r="A692" i="29" l="1"/>
  <c r="AL781" i="29"/>
  <c r="C781" i="29" s="1"/>
  <c r="AK781" i="29"/>
  <c r="D781" i="29" s="1"/>
  <c r="A693" i="29" l="1"/>
  <c r="AK782" i="29"/>
  <c r="D782" i="29" s="1"/>
  <c r="AL782" i="29"/>
  <c r="C782" i="29" s="1"/>
  <c r="A694" i="29" l="1"/>
  <c r="AL783" i="29"/>
  <c r="C783" i="29" s="1"/>
  <c r="AK783" i="29"/>
  <c r="D783" i="29" s="1"/>
  <c r="A695" i="29" l="1"/>
  <c r="AK784" i="29"/>
  <c r="D784" i="29" s="1"/>
  <c r="AL784" i="29"/>
  <c r="C784" i="29" s="1"/>
  <c r="A696" i="29" l="1"/>
  <c r="AL785" i="29"/>
  <c r="C785" i="29" s="1"/>
  <c r="AK785" i="29"/>
  <c r="D785" i="29" s="1"/>
  <c r="A697" i="29" l="1"/>
  <c r="AK786" i="29"/>
  <c r="D786" i="29" s="1"/>
  <c r="AL786" i="29"/>
  <c r="C786" i="29" s="1"/>
  <c r="A698" i="29" l="1"/>
  <c r="AL787" i="29"/>
  <c r="C787" i="29" s="1"/>
  <c r="AK787" i="29"/>
  <c r="D787" i="29" s="1"/>
  <c r="A699" i="29" l="1"/>
  <c r="AK788" i="29"/>
  <c r="D788" i="29" s="1"/>
  <c r="AL788" i="29"/>
  <c r="C788" i="29" s="1"/>
  <c r="A700" i="29" l="1"/>
  <c r="AL789" i="29"/>
  <c r="C789" i="29" s="1"/>
  <c r="AK789" i="29"/>
  <c r="D789" i="29" s="1"/>
  <c r="A701" i="29" l="1"/>
  <c r="AK790" i="29"/>
  <c r="D790" i="29" s="1"/>
  <c r="AL790" i="29"/>
  <c r="C790" i="29" s="1"/>
  <c r="A702" i="29" l="1"/>
  <c r="AL791" i="29"/>
  <c r="C791" i="29" s="1"/>
  <c r="AK791" i="29"/>
  <c r="D791" i="29" s="1"/>
  <c r="A703" i="29" l="1"/>
  <c r="AK792" i="29"/>
  <c r="D792" i="29" s="1"/>
  <c r="AL792" i="29"/>
  <c r="C792" i="29" s="1"/>
  <c r="A704" i="29" l="1"/>
  <c r="AL793" i="29"/>
  <c r="C793" i="29" s="1"/>
  <c r="AK793" i="29"/>
  <c r="D793" i="29" s="1"/>
  <c r="A705" i="29" l="1"/>
  <c r="AK794" i="29"/>
  <c r="D794" i="29" s="1"/>
  <c r="AL794" i="29"/>
  <c r="C794" i="29" s="1"/>
  <c r="A706" i="29" l="1"/>
  <c r="AL795" i="29"/>
  <c r="C795" i="29" s="1"/>
  <c r="AK795" i="29"/>
  <c r="D795" i="29" s="1"/>
  <c r="A707" i="29" l="1"/>
  <c r="AK796" i="29"/>
  <c r="D796" i="29" s="1"/>
  <c r="AL796" i="29"/>
  <c r="C796" i="29" s="1"/>
  <c r="A708" i="29" l="1"/>
  <c r="AL797" i="29"/>
  <c r="C797" i="29" s="1"/>
  <c r="AK797" i="29"/>
  <c r="D797" i="29" s="1"/>
  <c r="A709" i="29" l="1"/>
  <c r="AK798" i="29"/>
  <c r="D798" i="29" s="1"/>
  <c r="AL798" i="29"/>
  <c r="C798" i="29" s="1"/>
  <c r="A710" i="29" l="1"/>
  <c r="AL799" i="29"/>
  <c r="C799" i="29" s="1"/>
  <c r="AK799" i="29"/>
  <c r="D799" i="29" s="1"/>
  <c r="A711" i="29" l="1"/>
  <c r="AK800" i="29"/>
  <c r="D800" i="29" s="1"/>
  <c r="AL800" i="29"/>
  <c r="C800" i="29" s="1"/>
  <c r="A712" i="29" l="1"/>
  <c r="AL801" i="29"/>
  <c r="C801" i="29" s="1"/>
  <c r="AK801" i="29"/>
  <c r="D801" i="29" s="1"/>
  <c r="A713" i="29" l="1"/>
  <c r="AK802" i="29"/>
  <c r="D802" i="29" s="1"/>
  <c r="AL802" i="29"/>
  <c r="C802" i="29" s="1"/>
  <c r="A714" i="29" l="1"/>
  <c r="AL803" i="29"/>
  <c r="C803" i="29" s="1"/>
  <c r="AK803" i="29"/>
  <c r="D803" i="29" s="1"/>
  <c r="A715" i="29" l="1"/>
  <c r="AK804" i="29"/>
  <c r="D804" i="29" s="1"/>
  <c r="AL804" i="29"/>
  <c r="C804" i="29" s="1"/>
  <c r="A716" i="29" l="1"/>
  <c r="AL805" i="29"/>
  <c r="C805" i="29" s="1"/>
  <c r="AK805" i="29"/>
  <c r="D805" i="29" s="1"/>
  <c r="A717" i="29" l="1"/>
  <c r="AK806" i="29"/>
  <c r="D806" i="29" s="1"/>
  <c r="AL806" i="29"/>
  <c r="C806" i="29" s="1"/>
  <c r="A718" i="29" l="1"/>
  <c r="AL807" i="29"/>
  <c r="C807" i="29" s="1"/>
  <c r="AK807" i="29"/>
  <c r="D807" i="29" s="1"/>
  <c r="A719" i="29" l="1"/>
  <c r="AK808" i="29"/>
  <c r="D808" i="29" s="1"/>
  <c r="AL808" i="29"/>
  <c r="C808" i="29" s="1"/>
  <c r="A720" i="29" l="1"/>
  <c r="AL809" i="29"/>
  <c r="C809" i="29" s="1"/>
  <c r="AK809" i="29"/>
  <c r="D809" i="29" s="1"/>
  <c r="A721" i="29" l="1"/>
  <c r="AK810" i="29"/>
  <c r="D810" i="29" s="1"/>
  <c r="AL810" i="29"/>
  <c r="C810" i="29" s="1"/>
  <c r="A722" i="29" l="1"/>
  <c r="AL811" i="29"/>
  <c r="C811" i="29" s="1"/>
  <c r="AK811" i="29"/>
  <c r="D811" i="29" s="1"/>
  <c r="A723" i="29" l="1"/>
  <c r="AK812" i="29"/>
  <c r="D812" i="29" s="1"/>
  <c r="AL812" i="29"/>
  <c r="C812" i="29" s="1"/>
  <c r="A724" i="29" l="1"/>
  <c r="AL813" i="29"/>
  <c r="C813" i="29" s="1"/>
  <c r="AK813" i="29"/>
  <c r="D813" i="29" s="1"/>
  <c r="A725" i="29" l="1"/>
  <c r="AK814" i="29"/>
  <c r="D814" i="29" s="1"/>
  <c r="AL814" i="29"/>
  <c r="C814" i="29" s="1"/>
  <c r="A726" i="29" l="1"/>
  <c r="AL815" i="29"/>
  <c r="C815" i="29" s="1"/>
  <c r="AK815" i="29"/>
  <c r="D815" i="29" s="1"/>
  <c r="A727" i="29" l="1"/>
  <c r="AK816" i="29"/>
  <c r="D816" i="29" s="1"/>
  <c r="AL816" i="29"/>
  <c r="C816" i="29" s="1"/>
  <c r="A728" i="29" l="1"/>
  <c r="AL817" i="29"/>
  <c r="C817" i="29" s="1"/>
  <c r="AK817" i="29"/>
  <c r="D817" i="29" s="1"/>
  <c r="A729" i="29" l="1"/>
  <c r="AK818" i="29"/>
  <c r="D818" i="29" s="1"/>
  <c r="AL818" i="29"/>
  <c r="C818" i="29" s="1"/>
  <c r="A730" i="29" l="1"/>
  <c r="AL819" i="29"/>
  <c r="C819" i="29" s="1"/>
  <c r="AK819" i="29"/>
  <c r="D819" i="29" s="1"/>
  <c r="A731" i="29" l="1"/>
  <c r="AK820" i="29"/>
  <c r="D820" i="29" s="1"/>
  <c r="AL820" i="29"/>
  <c r="C820" i="29" s="1"/>
  <c r="A732" i="29" l="1"/>
  <c r="AL821" i="29"/>
  <c r="C821" i="29" s="1"/>
  <c r="AK821" i="29"/>
  <c r="D821" i="29" s="1"/>
  <c r="A733" i="29" l="1"/>
  <c r="AK822" i="29"/>
  <c r="D822" i="29" s="1"/>
  <c r="AL822" i="29"/>
  <c r="C822" i="29" s="1"/>
  <c r="A734" i="29" l="1"/>
  <c r="AL823" i="29"/>
  <c r="C823" i="29" s="1"/>
  <c r="AK823" i="29"/>
  <c r="D823" i="29" s="1"/>
  <c r="A735" i="29" l="1"/>
  <c r="AK824" i="29"/>
  <c r="D824" i="29" s="1"/>
  <c r="AL824" i="29"/>
  <c r="C824" i="29" s="1"/>
  <c r="A736" i="29" l="1"/>
  <c r="AL825" i="29"/>
  <c r="C825" i="29" s="1"/>
  <c r="AK825" i="29"/>
  <c r="D825" i="29" s="1"/>
  <c r="A737" i="29" l="1"/>
  <c r="AK826" i="29"/>
  <c r="D826" i="29" s="1"/>
  <c r="AL826" i="29"/>
  <c r="C826" i="29" s="1"/>
  <c r="A738" i="29" l="1"/>
  <c r="AL827" i="29"/>
  <c r="C827" i="29" s="1"/>
  <c r="AK827" i="29"/>
  <c r="D827" i="29" s="1"/>
  <c r="A739" i="29" l="1"/>
  <c r="AK828" i="29"/>
  <c r="D828" i="29" s="1"/>
  <c r="AL828" i="29"/>
  <c r="C828" i="29" s="1"/>
  <c r="A740" i="29" l="1"/>
  <c r="AL829" i="29"/>
  <c r="C829" i="29" s="1"/>
  <c r="AK829" i="29"/>
  <c r="D829" i="29" s="1"/>
  <c r="A741" i="29" l="1"/>
  <c r="AK830" i="29"/>
  <c r="D830" i="29" s="1"/>
  <c r="AL830" i="29"/>
  <c r="C830" i="29" s="1"/>
  <c r="A742" i="29" l="1"/>
  <c r="AL831" i="29"/>
  <c r="C831" i="29" s="1"/>
  <c r="AK831" i="29"/>
  <c r="D831" i="29" s="1"/>
  <c r="A743" i="29" l="1"/>
  <c r="AK832" i="29"/>
  <c r="D832" i="29" s="1"/>
  <c r="AL832" i="29"/>
  <c r="C832" i="29" s="1"/>
  <c r="A744" i="29" l="1"/>
  <c r="AL833" i="29"/>
  <c r="C833" i="29" s="1"/>
  <c r="AK833" i="29"/>
  <c r="D833" i="29" s="1"/>
  <c r="A745" i="29" l="1"/>
  <c r="AK834" i="29"/>
  <c r="D834" i="29" s="1"/>
  <c r="AL834" i="29"/>
  <c r="C834" i="29" s="1"/>
  <c r="A746" i="29" l="1"/>
  <c r="AL835" i="29"/>
  <c r="C835" i="29" s="1"/>
  <c r="AK835" i="29"/>
  <c r="D835" i="29" s="1"/>
  <c r="A747" i="29" l="1"/>
  <c r="AK836" i="29"/>
  <c r="D836" i="29" s="1"/>
  <c r="AL836" i="29"/>
  <c r="C836" i="29" s="1"/>
  <c r="A748" i="29" l="1"/>
  <c r="AL837" i="29"/>
  <c r="C837" i="29" s="1"/>
  <c r="AK837" i="29"/>
  <c r="D837" i="29" s="1"/>
  <c r="A749" i="29" l="1"/>
  <c r="AK838" i="29"/>
  <c r="D838" i="29" s="1"/>
  <c r="AL838" i="29"/>
  <c r="C838" i="29" s="1"/>
  <c r="A750" i="29" l="1"/>
  <c r="AL839" i="29"/>
  <c r="C839" i="29" s="1"/>
  <c r="AK839" i="29"/>
  <c r="D839" i="29" s="1"/>
  <c r="A751" i="29" l="1"/>
  <c r="AK840" i="29"/>
  <c r="D840" i="29" s="1"/>
  <c r="AL840" i="29"/>
  <c r="C840" i="29" s="1"/>
  <c r="A752" i="29" l="1"/>
  <c r="AL841" i="29"/>
  <c r="C841" i="29" s="1"/>
  <c r="AK841" i="29"/>
  <c r="D841" i="29" s="1"/>
  <c r="A753" i="29" l="1"/>
  <c r="AK842" i="29"/>
  <c r="D842" i="29" s="1"/>
  <c r="AL842" i="29"/>
  <c r="C842" i="29" s="1"/>
  <c r="A754" i="29" l="1"/>
  <c r="AL843" i="29"/>
  <c r="C843" i="29" s="1"/>
  <c r="AK843" i="29"/>
  <c r="D843" i="29" s="1"/>
  <c r="A755" i="29" l="1"/>
  <c r="AK844" i="29"/>
  <c r="D844" i="29" s="1"/>
  <c r="AL844" i="29"/>
  <c r="C844" i="29" s="1"/>
  <c r="A756" i="29" l="1"/>
  <c r="AL845" i="29"/>
  <c r="C845" i="29" s="1"/>
  <c r="AK845" i="29"/>
  <c r="D845" i="29" s="1"/>
  <c r="A757" i="29" l="1"/>
  <c r="AK846" i="29"/>
  <c r="D846" i="29" s="1"/>
  <c r="AL846" i="29"/>
  <c r="C846" i="29" s="1"/>
  <c r="A758" i="29" l="1"/>
  <c r="AL847" i="29"/>
  <c r="C847" i="29" s="1"/>
  <c r="AK847" i="29"/>
  <c r="D847" i="29" s="1"/>
  <c r="A759" i="29" l="1"/>
  <c r="AK848" i="29"/>
  <c r="D848" i="29" s="1"/>
  <c r="AL848" i="29"/>
  <c r="C848" i="29" s="1"/>
  <c r="A760" i="29" l="1"/>
  <c r="AL849" i="29"/>
  <c r="C849" i="29" s="1"/>
  <c r="AK849" i="29"/>
  <c r="D849" i="29" s="1"/>
  <c r="A761" i="29" l="1"/>
  <c r="AK850" i="29"/>
  <c r="D850" i="29" s="1"/>
  <c r="AL850" i="29"/>
  <c r="C850" i="29" s="1"/>
  <c r="A762" i="29" l="1"/>
  <c r="AL851" i="29"/>
  <c r="C851" i="29" s="1"/>
  <c r="AK851" i="29"/>
  <c r="D851" i="29" s="1"/>
  <c r="A763" i="29" l="1"/>
  <c r="AK852" i="29"/>
  <c r="D852" i="29" s="1"/>
  <c r="AL852" i="29"/>
  <c r="C852" i="29" s="1"/>
  <c r="A764" i="29" l="1"/>
  <c r="AL853" i="29"/>
  <c r="C853" i="29" s="1"/>
  <c r="AK853" i="29"/>
  <c r="D853" i="29" s="1"/>
  <c r="A765" i="29" l="1"/>
  <c r="AK854" i="29"/>
  <c r="D854" i="29" s="1"/>
  <c r="AL854" i="29"/>
  <c r="C854" i="29" s="1"/>
  <c r="A766" i="29" l="1"/>
  <c r="AL855" i="29"/>
  <c r="C855" i="29" s="1"/>
  <c r="AK855" i="29"/>
  <c r="D855" i="29" s="1"/>
  <c r="A767" i="29" l="1"/>
  <c r="AK856" i="29"/>
  <c r="D856" i="29" s="1"/>
  <c r="AL856" i="29"/>
  <c r="C856" i="29" s="1"/>
  <c r="A768" i="29" l="1"/>
  <c r="AL857" i="29"/>
  <c r="C857" i="29" s="1"/>
  <c r="AK857" i="29"/>
  <c r="D857" i="29" s="1"/>
  <c r="A769" i="29" l="1"/>
  <c r="AK858" i="29"/>
  <c r="D858" i="29" s="1"/>
  <c r="AL858" i="29"/>
  <c r="C858" i="29" s="1"/>
  <c r="A770" i="29" l="1"/>
  <c r="AL859" i="29"/>
  <c r="C859" i="29" s="1"/>
  <c r="AK859" i="29"/>
  <c r="D859" i="29" s="1"/>
  <c r="A771" i="29" l="1"/>
  <c r="AK860" i="29"/>
  <c r="D860" i="29" s="1"/>
  <c r="AL860" i="29"/>
  <c r="C860" i="29" s="1"/>
  <c r="A772" i="29" l="1"/>
  <c r="AL861" i="29"/>
  <c r="C861" i="29" s="1"/>
  <c r="AK861" i="29"/>
  <c r="D861" i="29" s="1"/>
  <c r="A773" i="29" l="1"/>
  <c r="AK862" i="29"/>
  <c r="D862" i="29" s="1"/>
  <c r="AL862" i="29"/>
  <c r="C862" i="29" s="1"/>
  <c r="A774" i="29" l="1"/>
  <c r="AL863" i="29"/>
  <c r="C863" i="29" s="1"/>
  <c r="AK863" i="29"/>
  <c r="D863" i="29" s="1"/>
  <c r="A775" i="29" l="1"/>
  <c r="AK864" i="29"/>
  <c r="D864" i="29" s="1"/>
  <c r="AL864" i="29"/>
  <c r="C864" i="29" s="1"/>
  <c r="A776" i="29" l="1"/>
  <c r="AL865" i="29"/>
  <c r="C865" i="29" s="1"/>
  <c r="AK865" i="29"/>
  <c r="D865" i="29" s="1"/>
  <c r="A777" i="29" l="1"/>
  <c r="AK866" i="29"/>
  <c r="D866" i="29" s="1"/>
  <c r="AL866" i="29"/>
  <c r="C866" i="29" s="1"/>
  <c r="A778" i="29" l="1"/>
  <c r="AL867" i="29"/>
  <c r="C867" i="29" s="1"/>
  <c r="AK867" i="29"/>
  <c r="D867" i="29" s="1"/>
  <c r="A779" i="29" l="1"/>
  <c r="AK868" i="29"/>
  <c r="D868" i="29" s="1"/>
  <c r="AL868" i="29"/>
  <c r="C868" i="29" s="1"/>
  <c r="A780" i="29" l="1"/>
  <c r="AL869" i="29"/>
  <c r="C869" i="29" s="1"/>
  <c r="AK869" i="29"/>
  <c r="D869" i="29" s="1"/>
  <c r="A781" i="29" l="1"/>
  <c r="AK870" i="29"/>
  <c r="D870" i="29" s="1"/>
  <c r="AL870" i="29"/>
  <c r="C870" i="29" s="1"/>
  <c r="A782" i="29" l="1"/>
  <c r="AL871" i="29"/>
  <c r="C871" i="29" s="1"/>
  <c r="AK871" i="29"/>
  <c r="D871" i="29" s="1"/>
  <c r="A783" i="29" l="1"/>
  <c r="AK872" i="29"/>
  <c r="D872" i="29" s="1"/>
  <c r="AL872" i="29"/>
  <c r="C872" i="29" s="1"/>
  <c r="A784" i="29" l="1"/>
  <c r="AL873" i="29"/>
  <c r="C873" i="29" s="1"/>
  <c r="AK873" i="29"/>
  <c r="D873" i="29" s="1"/>
  <c r="A785" i="29" l="1"/>
  <c r="AK874" i="29"/>
  <c r="D874" i="29" s="1"/>
  <c r="AL874" i="29"/>
  <c r="C874" i="29" s="1"/>
  <c r="A786" i="29" l="1"/>
  <c r="AL875" i="29"/>
  <c r="C875" i="29" s="1"/>
  <c r="AK875" i="29"/>
  <c r="D875" i="29" s="1"/>
  <c r="A787" i="29" l="1"/>
  <c r="AK876" i="29"/>
  <c r="D876" i="29" s="1"/>
  <c r="AL876" i="29"/>
  <c r="C876" i="29" s="1"/>
  <c r="A788" i="29" l="1"/>
  <c r="AL877" i="29"/>
  <c r="C877" i="29" s="1"/>
  <c r="AK877" i="29"/>
  <c r="D877" i="29" s="1"/>
  <c r="A789" i="29" l="1"/>
  <c r="AK878" i="29"/>
  <c r="D878" i="29" s="1"/>
  <c r="AL878" i="29"/>
  <c r="C878" i="29" s="1"/>
  <c r="A790" i="29" l="1"/>
  <c r="AL879" i="29"/>
  <c r="C879" i="29" s="1"/>
  <c r="AK879" i="29"/>
  <c r="D879" i="29" s="1"/>
  <c r="A791" i="29" l="1"/>
  <c r="AK880" i="29"/>
  <c r="D880" i="29" s="1"/>
  <c r="AL880" i="29"/>
  <c r="C880" i="29" s="1"/>
  <c r="A792" i="29" l="1"/>
  <c r="AL881" i="29"/>
  <c r="C881" i="29" s="1"/>
  <c r="AK881" i="29"/>
  <c r="D881" i="29" s="1"/>
  <c r="A793" i="29" l="1"/>
  <c r="AK882" i="29"/>
  <c r="D882" i="29" s="1"/>
  <c r="AL882" i="29"/>
  <c r="C882" i="29" s="1"/>
  <c r="A794" i="29" l="1"/>
  <c r="AL883" i="29"/>
  <c r="C883" i="29" s="1"/>
  <c r="AK883" i="29"/>
  <c r="D883" i="29" s="1"/>
  <c r="A795" i="29" l="1"/>
  <c r="AK884" i="29"/>
  <c r="D884" i="29" s="1"/>
  <c r="AL884" i="29"/>
  <c r="C884" i="29" s="1"/>
  <c r="A796" i="29" l="1"/>
  <c r="AL885" i="29"/>
  <c r="C885" i="29" s="1"/>
  <c r="AK885" i="29"/>
  <c r="D885" i="29" s="1"/>
  <c r="A797" i="29" l="1"/>
  <c r="AK886" i="29"/>
  <c r="D886" i="29" s="1"/>
  <c r="AL886" i="29"/>
  <c r="C886" i="29" s="1"/>
  <c r="A798" i="29" l="1"/>
  <c r="AL887" i="29"/>
  <c r="C887" i="29" s="1"/>
  <c r="AK887" i="29"/>
  <c r="D887" i="29" s="1"/>
  <c r="A799" i="29" l="1"/>
  <c r="AK888" i="29"/>
  <c r="D888" i="29" s="1"/>
  <c r="AL888" i="29"/>
  <c r="C888" i="29" s="1"/>
  <c r="A800" i="29" l="1"/>
  <c r="AL889" i="29"/>
  <c r="C889" i="29" s="1"/>
  <c r="AK889" i="29"/>
  <c r="D889" i="29" s="1"/>
  <c r="A801" i="29" l="1"/>
  <c r="AK890" i="29"/>
  <c r="D890" i="29" s="1"/>
  <c r="AL890" i="29"/>
  <c r="C890" i="29" s="1"/>
  <c r="A802" i="29" l="1"/>
  <c r="AL891" i="29"/>
  <c r="C891" i="29" s="1"/>
  <c r="AK891" i="29"/>
  <c r="D891" i="29" s="1"/>
  <c r="A803" i="29" l="1"/>
  <c r="AK892" i="29"/>
  <c r="D892" i="29" s="1"/>
  <c r="AL892" i="29"/>
  <c r="C892" i="29" s="1"/>
  <c r="A804" i="29" l="1"/>
  <c r="AL893" i="29"/>
  <c r="C893" i="29" s="1"/>
  <c r="AK893" i="29"/>
  <c r="D893" i="29" s="1"/>
  <c r="A805" i="29" l="1"/>
  <c r="AK894" i="29"/>
  <c r="D894" i="29" s="1"/>
  <c r="AL894" i="29"/>
  <c r="C894" i="29" s="1"/>
  <c r="A806" i="29" l="1"/>
  <c r="AL895" i="29"/>
  <c r="C895" i="29" s="1"/>
  <c r="AK895" i="29"/>
  <c r="D895" i="29" s="1"/>
  <c r="A807" i="29" l="1"/>
  <c r="AK896" i="29"/>
  <c r="D896" i="29" s="1"/>
  <c r="AL896" i="29"/>
  <c r="C896" i="29" s="1"/>
  <c r="A808" i="29" l="1"/>
  <c r="AL897" i="29"/>
  <c r="C897" i="29" s="1"/>
  <c r="AK897" i="29"/>
  <c r="D897" i="29" s="1"/>
  <c r="A809" i="29" l="1"/>
  <c r="AK898" i="29"/>
  <c r="D898" i="29" s="1"/>
  <c r="AL898" i="29"/>
  <c r="C898" i="29" s="1"/>
  <c r="A810" i="29" l="1"/>
  <c r="AL899" i="29"/>
  <c r="C899" i="29" s="1"/>
  <c r="AK899" i="29"/>
  <c r="D899" i="29" s="1"/>
  <c r="A811" i="29" l="1"/>
  <c r="AK900" i="29"/>
  <c r="D900" i="29" s="1"/>
  <c r="AL900" i="29"/>
  <c r="C900" i="29" s="1"/>
  <c r="A812" i="29" l="1"/>
  <c r="AL901" i="29"/>
  <c r="C901" i="29" s="1"/>
  <c r="AK901" i="29"/>
  <c r="D901" i="29" s="1"/>
  <c r="A813" i="29" l="1"/>
  <c r="AK902" i="29"/>
  <c r="D902" i="29" s="1"/>
  <c r="AL902" i="29"/>
  <c r="C902" i="29" s="1"/>
  <c r="A814" i="29" l="1"/>
  <c r="AL903" i="29"/>
  <c r="C903" i="29" s="1"/>
  <c r="AK903" i="29"/>
  <c r="D903" i="29" s="1"/>
  <c r="A815" i="29" l="1"/>
  <c r="AK904" i="29"/>
  <c r="D904" i="29" s="1"/>
  <c r="AL904" i="29"/>
  <c r="C904" i="29" s="1"/>
  <c r="A816" i="29" l="1"/>
  <c r="AL905" i="29"/>
  <c r="C905" i="29" s="1"/>
  <c r="AK905" i="29"/>
  <c r="D905" i="29" s="1"/>
  <c r="A817" i="29" l="1"/>
  <c r="AK906" i="29"/>
  <c r="D906" i="29" s="1"/>
  <c r="AL906" i="29"/>
  <c r="C906" i="29" s="1"/>
  <c r="A818" i="29" l="1"/>
  <c r="AL907" i="29"/>
  <c r="C907" i="29" s="1"/>
  <c r="AK907" i="29"/>
  <c r="D907" i="29" s="1"/>
  <c r="A819" i="29" l="1"/>
  <c r="AK908" i="29"/>
  <c r="D908" i="29" s="1"/>
  <c r="AL908" i="29"/>
  <c r="C908" i="29" s="1"/>
  <c r="A820" i="29" l="1"/>
  <c r="AL909" i="29"/>
  <c r="C909" i="29" s="1"/>
  <c r="AK909" i="29"/>
  <c r="D909" i="29" s="1"/>
  <c r="A821" i="29" l="1"/>
  <c r="AK910" i="29"/>
  <c r="D910" i="29" s="1"/>
  <c r="AL910" i="29"/>
  <c r="C910" i="29" s="1"/>
  <c r="A822" i="29" l="1"/>
  <c r="AL911" i="29"/>
  <c r="C911" i="29" s="1"/>
  <c r="AK911" i="29"/>
  <c r="D911" i="29" s="1"/>
  <c r="A823" i="29" l="1"/>
  <c r="AK912" i="29"/>
  <c r="D912" i="29" s="1"/>
  <c r="AL912" i="29"/>
  <c r="C912" i="29" s="1"/>
  <c r="A824" i="29" l="1"/>
  <c r="AL913" i="29"/>
  <c r="C913" i="29" s="1"/>
  <c r="AK913" i="29"/>
  <c r="D913" i="29" s="1"/>
  <c r="A825" i="29" l="1"/>
  <c r="AK914" i="29"/>
  <c r="D914" i="29" s="1"/>
  <c r="AL914" i="29"/>
  <c r="C914" i="29" s="1"/>
  <c r="A826" i="29" l="1"/>
  <c r="AL915" i="29"/>
  <c r="C915" i="29" s="1"/>
  <c r="AK915" i="29"/>
  <c r="D915" i="29" s="1"/>
  <c r="A827" i="29" l="1"/>
  <c r="AK916" i="29"/>
  <c r="D916" i="29" s="1"/>
  <c r="AL916" i="29"/>
  <c r="C916" i="29" s="1"/>
  <c r="A828" i="29" l="1"/>
  <c r="AL917" i="29"/>
  <c r="C917" i="29" s="1"/>
  <c r="AK917" i="29"/>
  <c r="D917" i="29" s="1"/>
  <c r="A829" i="29" l="1"/>
  <c r="AK918" i="29"/>
  <c r="D918" i="29" s="1"/>
  <c r="AL918" i="29"/>
  <c r="C918" i="29" s="1"/>
  <c r="A830" i="29" l="1"/>
  <c r="AL919" i="29"/>
  <c r="C919" i="29" s="1"/>
  <c r="AK919" i="29"/>
  <c r="D919" i="29" s="1"/>
  <c r="A831" i="29" l="1"/>
  <c r="AK920" i="29"/>
  <c r="D920" i="29" s="1"/>
  <c r="AL920" i="29"/>
  <c r="C920" i="29" s="1"/>
  <c r="A832" i="29" l="1"/>
  <c r="AL921" i="29"/>
  <c r="C921" i="29" s="1"/>
  <c r="AK921" i="29"/>
  <c r="D921" i="29" s="1"/>
  <c r="A833" i="29" l="1"/>
  <c r="AK922" i="29"/>
  <c r="D922" i="29" s="1"/>
  <c r="AL922" i="29"/>
  <c r="C922" i="29" s="1"/>
  <c r="A834" i="29" l="1"/>
  <c r="AL923" i="29"/>
  <c r="C923" i="29" s="1"/>
  <c r="AK923" i="29"/>
  <c r="D923" i="29" s="1"/>
  <c r="A835" i="29" l="1"/>
  <c r="AK924" i="29"/>
  <c r="D924" i="29" s="1"/>
  <c r="AL924" i="29"/>
  <c r="C924" i="29" s="1"/>
  <c r="A836" i="29" l="1"/>
  <c r="AL925" i="29"/>
  <c r="C925" i="29" s="1"/>
  <c r="AK925" i="29"/>
  <c r="D925" i="29" s="1"/>
  <c r="A837" i="29" l="1"/>
  <c r="AK926" i="29"/>
  <c r="D926" i="29" s="1"/>
  <c r="AL926" i="29"/>
  <c r="C926" i="29" s="1"/>
  <c r="A838" i="29" l="1"/>
  <c r="AL927" i="29"/>
  <c r="C927" i="29" s="1"/>
  <c r="AK927" i="29"/>
  <c r="D927" i="29" s="1"/>
  <c r="A839" i="29" l="1"/>
  <c r="AK928" i="29"/>
  <c r="D928" i="29" s="1"/>
  <c r="AL928" i="29"/>
  <c r="C928" i="29" s="1"/>
  <c r="A840" i="29" l="1"/>
  <c r="AL929" i="29"/>
  <c r="C929" i="29" s="1"/>
  <c r="AK929" i="29"/>
  <c r="D929" i="29" s="1"/>
  <c r="A841" i="29" l="1"/>
  <c r="AK930" i="29"/>
  <c r="D930" i="29" s="1"/>
  <c r="AL930" i="29"/>
  <c r="C930" i="29" s="1"/>
  <c r="A842" i="29" l="1"/>
  <c r="AL931" i="29"/>
  <c r="C931" i="29" s="1"/>
  <c r="AK931" i="29"/>
  <c r="D931" i="29" s="1"/>
  <c r="A843" i="29" l="1"/>
  <c r="AK932" i="29"/>
  <c r="D932" i="29" s="1"/>
  <c r="AL932" i="29"/>
  <c r="C932" i="29" s="1"/>
  <c r="A844" i="29" l="1"/>
  <c r="AL933" i="29"/>
  <c r="C933" i="29" s="1"/>
  <c r="AK933" i="29"/>
  <c r="D933" i="29" s="1"/>
  <c r="A845" i="29" l="1"/>
  <c r="AK934" i="29"/>
  <c r="D934" i="29" s="1"/>
  <c r="AL934" i="29"/>
  <c r="C934" i="29" s="1"/>
  <c r="A846" i="29" l="1"/>
  <c r="AL935" i="29"/>
  <c r="C935" i="29" s="1"/>
  <c r="AK935" i="29"/>
  <c r="D935" i="29" s="1"/>
  <c r="A847" i="29" l="1"/>
  <c r="AK936" i="29"/>
  <c r="D936" i="29" s="1"/>
  <c r="AL936" i="29"/>
  <c r="C936" i="29" s="1"/>
  <c r="A848" i="29" l="1"/>
  <c r="AL937" i="29"/>
  <c r="C937" i="29" s="1"/>
  <c r="AK937" i="29"/>
  <c r="D937" i="29" s="1"/>
  <c r="A849" i="29" l="1"/>
  <c r="AK938" i="29"/>
  <c r="D938" i="29" s="1"/>
  <c r="AL938" i="29"/>
  <c r="C938" i="29" s="1"/>
  <c r="A850" i="29" l="1"/>
  <c r="AL939" i="29"/>
  <c r="C939" i="29" s="1"/>
  <c r="AK939" i="29"/>
  <c r="D939" i="29" s="1"/>
  <c r="A851" i="29" l="1"/>
  <c r="AK940" i="29"/>
  <c r="D940" i="29" s="1"/>
  <c r="AL940" i="29"/>
  <c r="C940" i="29" s="1"/>
  <c r="A852" i="29" l="1"/>
  <c r="AL941" i="29"/>
  <c r="C941" i="29" s="1"/>
  <c r="AK941" i="29"/>
  <c r="D941" i="29" s="1"/>
  <c r="A853" i="29" l="1"/>
  <c r="AK942" i="29"/>
  <c r="D942" i="29" s="1"/>
  <c r="AL942" i="29"/>
  <c r="C942" i="29" s="1"/>
  <c r="A854" i="29" l="1"/>
  <c r="AL943" i="29"/>
  <c r="C943" i="29" s="1"/>
  <c r="AK943" i="29"/>
  <c r="D943" i="29" s="1"/>
  <c r="A855" i="29" l="1"/>
  <c r="AK944" i="29"/>
  <c r="D944" i="29" s="1"/>
  <c r="AL944" i="29"/>
  <c r="C944" i="29" s="1"/>
  <c r="A856" i="29" l="1"/>
  <c r="AL945" i="29"/>
  <c r="C945" i="29" s="1"/>
  <c r="AK945" i="29"/>
  <c r="D945" i="29" s="1"/>
  <c r="A857" i="29" l="1"/>
  <c r="AK946" i="29"/>
  <c r="D946" i="29" s="1"/>
  <c r="AL946" i="29"/>
  <c r="C946" i="29" s="1"/>
  <c r="A858" i="29" l="1"/>
  <c r="AL947" i="29"/>
  <c r="C947" i="29" s="1"/>
  <c r="AK947" i="29"/>
  <c r="D947" i="29" s="1"/>
  <c r="A859" i="29" l="1"/>
  <c r="AK948" i="29"/>
  <c r="D948" i="29" s="1"/>
  <c r="AL948" i="29"/>
  <c r="C948" i="29" s="1"/>
  <c r="A860" i="29" l="1"/>
  <c r="AL949" i="29"/>
  <c r="C949" i="29" s="1"/>
  <c r="AK949" i="29"/>
  <c r="D949" i="29" s="1"/>
  <c r="A861" i="29" l="1"/>
  <c r="AK950" i="29"/>
  <c r="D950" i="29" s="1"/>
  <c r="AL950" i="29"/>
  <c r="C950" i="29" s="1"/>
  <c r="A862" i="29" l="1"/>
  <c r="AL951" i="29"/>
  <c r="C951" i="29" s="1"/>
  <c r="AK951" i="29"/>
  <c r="D951" i="29" s="1"/>
  <c r="A863" i="29" l="1"/>
  <c r="AK952" i="29"/>
  <c r="D952" i="29" s="1"/>
  <c r="AL952" i="29"/>
  <c r="C952" i="29" s="1"/>
  <c r="A864" i="29" l="1"/>
  <c r="AL953" i="29"/>
  <c r="C953" i="29" s="1"/>
  <c r="AK953" i="29"/>
  <c r="D953" i="29" s="1"/>
  <c r="A865" i="29" l="1"/>
  <c r="AK954" i="29"/>
  <c r="D954" i="29" s="1"/>
  <c r="AL954" i="29"/>
  <c r="C954" i="29" s="1"/>
  <c r="A866" i="29" l="1"/>
  <c r="AL955" i="29"/>
  <c r="C955" i="29" s="1"/>
  <c r="AK955" i="29"/>
  <c r="D955" i="29" s="1"/>
  <c r="A867" i="29" l="1"/>
  <c r="AK956" i="29"/>
  <c r="D956" i="29" s="1"/>
  <c r="AL956" i="29"/>
  <c r="C956" i="29" s="1"/>
  <c r="A868" i="29" l="1"/>
  <c r="AL957" i="29"/>
  <c r="C957" i="29" s="1"/>
  <c r="AK957" i="29"/>
  <c r="D957" i="29" s="1"/>
  <c r="A869" i="29" l="1"/>
  <c r="AK958" i="29"/>
  <c r="D958" i="29" s="1"/>
  <c r="AL958" i="29"/>
  <c r="C958" i="29" s="1"/>
  <c r="A870" i="29" l="1"/>
  <c r="AL959" i="29"/>
  <c r="C959" i="29" s="1"/>
  <c r="AK959" i="29"/>
  <c r="D959" i="29" s="1"/>
  <c r="A871" i="29" l="1"/>
  <c r="AK960" i="29"/>
  <c r="D960" i="29" s="1"/>
  <c r="AL960" i="29"/>
  <c r="C960" i="29" s="1"/>
  <c r="A872" i="29" l="1"/>
  <c r="AL961" i="29"/>
  <c r="C961" i="29" s="1"/>
  <c r="AK961" i="29"/>
  <c r="D961" i="29" s="1"/>
  <c r="A873" i="29" l="1"/>
  <c r="AK962" i="29"/>
  <c r="D962" i="29" s="1"/>
  <c r="AL962" i="29"/>
  <c r="C962" i="29" s="1"/>
  <c r="A874" i="29" l="1"/>
  <c r="AL963" i="29"/>
  <c r="C963" i="29" s="1"/>
  <c r="AK963" i="29"/>
  <c r="D963" i="29" s="1"/>
  <c r="A875" i="29" l="1"/>
  <c r="AK964" i="29"/>
  <c r="D964" i="29" s="1"/>
  <c r="AL964" i="29"/>
  <c r="C964" i="29" s="1"/>
  <c r="A876" i="29" l="1"/>
  <c r="AL965" i="29"/>
  <c r="C965" i="29" s="1"/>
  <c r="AK965" i="29"/>
  <c r="D965" i="29" s="1"/>
  <c r="A877" i="29" l="1"/>
  <c r="AK966" i="29"/>
  <c r="D966" i="29" s="1"/>
  <c r="AL966" i="29"/>
  <c r="C966" i="29" s="1"/>
  <c r="A878" i="29" l="1"/>
  <c r="AL967" i="29"/>
  <c r="C967" i="29" s="1"/>
  <c r="AK967" i="29"/>
  <c r="D967" i="29" s="1"/>
  <c r="A879" i="29" l="1"/>
  <c r="AK968" i="29"/>
  <c r="D968" i="29" s="1"/>
  <c r="AL968" i="29"/>
  <c r="C968" i="29" s="1"/>
  <c r="A880" i="29" l="1"/>
  <c r="AL969" i="29"/>
  <c r="C969" i="29" s="1"/>
  <c r="AK969" i="29"/>
  <c r="D969" i="29" s="1"/>
  <c r="A881" i="29" l="1"/>
  <c r="AK970" i="29"/>
  <c r="D970" i="29" s="1"/>
  <c r="AL970" i="29"/>
  <c r="C970" i="29" s="1"/>
  <c r="A882" i="29" l="1"/>
  <c r="AL971" i="29"/>
  <c r="C971" i="29" s="1"/>
  <c r="AK971" i="29"/>
  <c r="D971" i="29" s="1"/>
  <c r="A883" i="29" l="1"/>
  <c r="AK972" i="29"/>
  <c r="D972" i="29" s="1"/>
  <c r="AL972" i="29"/>
  <c r="C972" i="29" s="1"/>
  <c r="A884" i="29" l="1"/>
  <c r="AL973" i="29"/>
  <c r="C973" i="29" s="1"/>
  <c r="AK973" i="29"/>
  <c r="D973" i="29" s="1"/>
  <c r="A885" i="29" l="1"/>
  <c r="AK974" i="29"/>
  <c r="D974" i="29" s="1"/>
  <c r="AL974" i="29"/>
  <c r="C974" i="29" s="1"/>
  <c r="A886" i="29" l="1"/>
  <c r="AL975" i="29"/>
  <c r="C975" i="29" s="1"/>
  <c r="AK975" i="29"/>
  <c r="D975" i="29" s="1"/>
  <c r="A887" i="29" l="1"/>
  <c r="AK976" i="29"/>
  <c r="D976" i="29" s="1"/>
  <c r="AL976" i="29"/>
  <c r="C976" i="29" s="1"/>
  <c r="A888" i="29" l="1"/>
  <c r="AL977" i="29"/>
  <c r="C977" i="29" s="1"/>
  <c r="AK977" i="29"/>
  <c r="D977" i="29" s="1"/>
  <c r="A889" i="29" l="1"/>
  <c r="AK978" i="29"/>
  <c r="D978" i="29" s="1"/>
  <c r="AL978" i="29"/>
  <c r="C978" i="29" s="1"/>
  <c r="A890" i="29" l="1"/>
  <c r="AL979" i="29"/>
  <c r="C979" i="29" s="1"/>
  <c r="AK979" i="29"/>
  <c r="D979" i="29" s="1"/>
  <c r="A891" i="29" l="1"/>
  <c r="AK980" i="29"/>
  <c r="D980" i="29" s="1"/>
  <c r="AL980" i="29"/>
  <c r="C980" i="29" s="1"/>
  <c r="A892" i="29" l="1"/>
  <c r="AL981" i="29"/>
  <c r="C981" i="29" s="1"/>
  <c r="AK981" i="29"/>
  <c r="D981" i="29" s="1"/>
  <c r="A893" i="29" l="1"/>
  <c r="AK982" i="29"/>
  <c r="D982" i="29" s="1"/>
  <c r="AL982" i="29"/>
  <c r="C982" i="29" s="1"/>
  <c r="A894" i="29" l="1"/>
  <c r="AL983" i="29"/>
  <c r="C983" i="29" s="1"/>
  <c r="AK983" i="29"/>
  <c r="D983" i="29" s="1"/>
  <c r="A895" i="29" l="1"/>
  <c r="AK984" i="29"/>
  <c r="D984" i="29" s="1"/>
  <c r="AL984" i="29"/>
  <c r="C984" i="29" s="1"/>
  <c r="A896" i="29" l="1"/>
  <c r="AL985" i="29"/>
  <c r="C985" i="29" s="1"/>
  <c r="AK985" i="29"/>
  <c r="D985" i="29" s="1"/>
  <c r="A897" i="29" l="1"/>
  <c r="AK986" i="29"/>
  <c r="D986" i="29" s="1"/>
  <c r="AL986" i="29"/>
  <c r="C986" i="29" s="1"/>
  <c r="A898" i="29" l="1"/>
  <c r="AL987" i="29"/>
  <c r="C987" i="29" s="1"/>
  <c r="AK987" i="29"/>
  <c r="D987" i="29" s="1"/>
  <c r="A899" i="29" l="1"/>
  <c r="AK988" i="29"/>
  <c r="D988" i="29" s="1"/>
  <c r="AL988" i="29"/>
  <c r="C988" i="29" s="1"/>
  <c r="A900" i="29" l="1"/>
  <c r="AL989" i="29"/>
  <c r="C989" i="29" s="1"/>
  <c r="AK989" i="29"/>
  <c r="D989" i="29" s="1"/>
  <c r="A901" i="29" l="1"/>
  <c r="AK990" i="29"/>
  <c r="D990" i="29" s="1"/>
  <c r="AL990" i="29"/>
  <c r="C990" i="29" s="1"/>
  <c r="A902" i="29" l="1"/>
  <c r="AL991" i="29"/>
  <c r="C991" i="29" s="1"/>
  <c r="AK991" i="29"/>
  <c r="D991" i="29" s="1"/>
  <c r="A903" i="29" l="1"/>
  <c r="AK992" i="29"/>
  <c r="D992" i="29" s="1"/>
  <c r="AL992" i="29"/>
  <c r="C992" i="29" s="1"/>
  <c r="A904" i="29" l="1"/>
  <c r="AL993" i="29"/>
  <c r="C993" i="29" s="1"/>
  <c r="AK993" i="29"/>
  <c r="D993" i="29" s="1"/>
  <c r="A905" i="29" l="1"/>
  <c r="AK994" i="29"/>
  <c r="D994" i="29" s="1"/>
  <c r="AL994" i="29"/>
  <c r="C994" i="29" s="1"/>
  <c r="A906" i="29" l="1"/>
  <c r="AL995" i="29"/>
  <c r="C995" i="29" s="1"/>
  <c r="AK995" i="29"/>
  <c r="D995" i="29" s="1"/>
  <c r="A907" i="29" l="1"/>
  <c r="AK996" i="29"/>
  <c r="D996" i="29" s="1"/>
  <c r="AL996" i="29"/>
  <c r="C996" i="29" s="1"/>
  <c r="A908" i="29" l="1"/>
  <c r="AL997" i="29"/>
  <c r="C997" i="29" s="1"/>
  <c r="AK997" i="29"/>
  <c r="D997" i="29" s="1"/>
  <c r="A909" i="29" l="1"/>
  <c r="AK998" i="29"/>
  <c r="D998" i="29" s="1"/>
  <c r="AL998" i="29"/>
  <c r="C998" i="29" s="1"/>
  <c r="A910" i="29" l="1"/>
  <c r="AL999" i="29"/>
  <c r="C999" i="29" s="1"/>
  <c r="AK999" i="29"/>
  <c r="D999" i="29" s="1"/>
  <c r="A911" i="29" l="1"/>
  <c r="AK1000" i="29"/>
  <c r="D1000" i="29" s="1"/>
  <c r="AL1000" i="29"/>
  <c r="C1000" i="29" s="1"/>
  <c r="A912" i="29" l="1"/>
  <c r="AL1001" i="29"/>
  <c r="C1001" i="29" s="1"/>
  <c r="AK1001" i="29"/>
  <c r="D1001" i="29" s="1"/>
  <c r="A913" i="29" l="1"/>
  <c r="AK1002" i="29"/>
  <c r="D1002" i="29" s="1"/>
  <c r="AL1002" i="29"/>
  <c r="C1002" i="29" s="1"/>
  <c r="A914" i="29" l="1"/>
  <c r="AL1003" i="29"/>
  <c r="C1003" i="29" s="1"/>
  <c r="AK1003" i="29"/>
  <c r="D1003" i="29" s="1"/>
  <c r="A915" i="29" l="1"/>
  <c r="AK1004" i="29"/>
  <c r="D1004" i="29" s="1"/>
  <c r="AL1004" i="29"/>
  <c r="C1004" i="29" s="1"/>
  <c r="A916" i="29" l="1"/>
  <c r="AL1005" i="29"/>
  <c r="C1005" i="29" s="1"/>
  <c r="AK1005" i="29"/>
  <c r="D1005" i="29" s="1"/>
  <c r="A917" i="29" l="1"/>
  <c r="AK1006" i="29"/>
  <c r="D1006" i="29" s="1"/>
  <c r="AL1006" i="29"/>
  <c r="C1006" i="29" s="1"/>
  <c r="A918" i="29" l="1"/>
  <c r="AL1007" i="29"/>
  <c r="C1007" i="29" s="1"/>
  <c r="AK1007" i="29"/>
  <c r="D1007" i="29" s="1"/>
  <c r="A919" i="29" l="1"/>
  <c r="AK1008" i="29"/>
  <c r="D1008" i="29" s="1"/>
  <c r="AL1008" i="29"/>
  <c r="C1008" i="29" s="1"/>
  <c r="A920" i="29" l="1"/>
  <c r="AL1009" i="29"/>
  <c r="C1009" i="29" s="1"/>
  <c r="AK1009" i="29"/>
  <c r="D1009" i="29" s="1"/>
  <c r="A921" i="29" l="1"/>
  <c r="AK1010" i="29"/>
  <c r="D1010" i="29" s="1"/>
  <c r="AL1010" i="29"/>
  <c r="C1010" i="29" s="1"/>
  <c r="A922" i="29" l="1"/>
  <c r="AL1011" i="29"/>
  <c r="C1011" i="29" s="1"/>
  <c r="AK1011" i="29"/>
  <c r="D1011" i="29" s="1"/>
  <c r="A923" i="29" l="1"/>
  <c r="AK1012" i="29"/>
  <c r="D1012" i="29" s="1"/>
  <c r="AL1012" i="29"/>
  <c r="C1012" i="29" s="1"/>
  <c r="A924" i="29" l="1"/>
  <c r="AL1013" i="29"/>
  <c r="C1013" i="29" s="1"/>
  <c r="AK1013" i="29"/>
  <c r="D1013" i="29" s="1"/>
  <c r="A925" i="29" l="1"/>
  <c r="AK1014" i="29"/>
  <c r="D1014" i="29" s="1"/>
  <c r="AL1014" i="29"/>
  <c r="C1014" i="29" s="1"/>
  <c r="A926" i="29" l="1"/>
  <c r="AL1015" i="29"/>
  <c r="C1015" i="29" s="1"/>
  <c r="AK1015" i="29"/>
  <c r="D1015" i="29" s="1"/>
  <c r="A927" i="29" l="1"/>
  <c r="AK1016" i="29"/>
  <c r="D1016" i="29" s="1"/>
  <c r="AL1016" i="29"/>
  <c r="C1016" i="29" s="1"/>
  <c r="A928" i="29" l="1"/>
  <c r="AL1017" i="29"/>
  <c r="C1017" i="29" s="1"/>
  <c r="AK1017" i="29"/>
  <c r="D1017" i="29" s="1"/>
  <c r="A929" i="29" l="1"/>
  <c r="AK1018" i="29"/>
  <c r="D1018" i="29" s="1"/>
  <c r="AL1018" i="29"/>
  <c r="C1018" i="29" s="1"/>
  <c r="A930" i="29" l="1"/>
  <c r="AL1019" i="29"/>
  <c r="C1019" i="29" s="1"/>
  <c r="AK1019" i="29"/>
  <c r="D1019" i="29" s="1"/>
  <c r="A931" i="29" l="1"/>
  <c r="AK1020" i="29"/>
  <c r="D1020" i="29" s="1"/>
  <c r="AL1020" i="29"/>
  <c r="C1020" i="29" s="1"/>
  <c r="A932" i="29" l="1"/>
  <c r="AL1021" i="29"/>
  <c r="C1021" i="29" s="1"/>
  <c r="AK1021" i="29"/>
  <c r="D1021" i="29" s="1"/>
  <c r="A933" i="29" l="1"/>
  <c r="AK1022" i="29"/>
  <c r="D1022" i="29" s="1"/>
  <c r="AL1022" i="29"/>
  <c r="C1022" i="29" s="1"/>
  <c r="A934" i="29" l="1"/>
  <c r="AL1023" i="29"/>
  <c r="C1023" i="29" s="1"/>
  <c r="AK1023" i="29"/>
  <c r="D1023" i="29" s="1"/>
  <c r="A935" i="29" l="1"/>
  <c r="AK1024" i="29"/>
  <c r="D1024" i="29" s="1"/>
  <c r="AL1024" i="29"/>
  <c r="C1024" i="29" s="1"/>
  <c r="A936" i="29" l="1"/>
  <c r="AL1025" i="29"/>
  <c r="C1025" i="29" s="1"/>
  <c r="AK1025" i="29"/>
  <c r="D1025" i="29" s="1"/>
  <c r="A937" i="29" l="1"/>
  <c r="AK1026" i="29"/>
  <c r="D1026" i="29" s="1"/>
  <c r="AL1026" i="29"/>
  <c r="C1026" i="29" s="1"/>
  <c r="A938" i="29" l="1"/>
  <c r="AL1027" i="29"/>
  <c r="C1027" i="29" s="1"/>
  <c r="AK1027" i="29"/>
  <c r="D1027" i="29" s="1"/>
  <c r="A939" i="29" l="1"/>
  <c r="AK1028" i="29"/>
  <c r="D1028" i="29" s="1"/>
  <c r="AL1028" i="29"/>
  <c r="C1028" i="29" s="1"/>
  <c r="A940" i="29" l="1"/>
  <c r="AL1029" i="29"/>
  <c r="C1029" i="29" s="1"/>
  <c r="AK1029" i="29"/>
  <c r="D1029" i="29" s="1"/>
  <c r="A941" i="29" l="1"/>
  <c r="AK1030" i="29"/>
  <c r="D1030" i="29" s="1"/>
  <c r="AL1030" i="29"/>
  <c r="C1030" i="29" s="1"/>
  <c r="A942" i="29" l="1"/>
  <c r="AL1031" i="29"/>
  <c r="C1031" i="29" s="1"/>
  <c r="AK1031" i="29"/>
  <c r="D1031" i="29" s="1"/>
  <c r="A943" i="29" l="1"/>
  <c r="AK1032" i="29"/>
  <c r="D1032" i="29" s="1"/>
  <c r="AL1032" i="29"/>
  <c r="C1032" i="29" s="1"/>
  <c r="A944" i="29" l="1"/>
  <c r="AL1045" i="29"/>
  <c r="C1045" i="29" s="1"/>
  <c r="AK1045" i="29"/>
  <c r="D1045" i="29" s="1"/>
  <c r="A945" i="29" l="1"/>
  <c r="AK1046" i="29"/>
  <c r="D1046" i="29" s="1"/>
  <c r="AL1046" i="29"/>
  <c r="C1046" i="29" s="1"/>
  <c r="A946" i="29" l="1"/>
  <c r="AL1047" i="29"/>
  <c r="C1047" i="29" s="1"/>
  <c r="AK1047" i="29"/>
  <c r="D1047" i="29" s="1"/>
  <c r="A947" i="29" l="1"/>
  <c r="AK1048" i="29"/>
  <c r="D1048" i="29" s="1"/>
  <c r="AL1048" i="29"/>
  <c r="C1048" i="29" s="1"/>
  <c r="A948" i="29" l="1"/>
  <c r="AL1049" i="29"/>
  <c r="C1049" i="29" s="1"/>
  <c r="AK1049" i="29"/>
  <c r="D1049" i="29" s="1"/>
  <c r="A949" i="29" l="1"/>
  <c r="AK1050" i="29"/>
  <c r="D1050" i="29" s="1"/>
  <c r="AL1050" i="29"/>
  <c r="C1050" i="29" s="1"/>
  <c r="A950" i="29" l="1"/>
  <c r="AL1051" i="29"/>
  <c r="C1051" i="29" s="1"/>
  <c r="AK1051" i="29"/>
  <c r="D1051" i="29" s="1"/>
  <c r="A951" i="29" l="1"/>
  <c r="AK1052" i="29"/>
  <c r="D1052" i="29" s="1"/>
  <c r="AL1052" i="29"/>
  <c r="C1052" i="29" s="1"/>
  <c r="A952" i="29" l="1"/>
  <c r="AL1053" i="29"/>
  <c r="C1053" i="29" s="1"/>
  <c r="AK1053" i="29"/>
  <c r="D1053" i="29" s="1"/>
  <c r="A953" i="29" l="1"/>
  <c r="AK1054" i="29"/>
  <c r="D1054" i="29" s="1"/>
  <c r="AL1054" i="29"/>
  <c r="C1054" i="29" s="1"/>
  <c r="A954" i="29" l="1"/>
  <c r="AL1055" i="29"/>
  <c r="C1055" i="29" s="1"/>
  <c r="AK1055" i="29"/>
  <c r="D1055" i="29" s="1"/>
  <c r="A955" i="29" l="1"/>
  <c r="AK1056" i="29"/>
  <c r="D1056" i="29" s="1"/>
  <c r="AL1056" i="29"/>
  <c r="C1056" i="29" s="1"/>
  <c r="A956" i="29" l="1"/>
  <c r="AL1057" i="29"/>
  <c r="C1057" i="29" s="1"/>
  <c r="AK1057" i="29"/>
  <c r="D1057" i="29" s="1"/>
  <c r="W256" i="17" l="1"/>
  <c r="R256" i="17"/>
  <c r="W255" i="17"/>
  <c r="W261" i="17" s="1"/>
  <c r="R255" i="17"/>
  <c r="A957" i="29"/>
  <c r="R261" i="17" l="1"/>
  <c r="A958" i="29"/>
  <c r="A959" i="29" l="1"/>
  <c r="A960" i="29" l="1"/>
  <c r="A961" i="29" l="1"/>
  <c r="A962" i="29" l="1"/>
  <c r="A963" i="29" l="1"/>
  <c r="A964" i="29" l="1"/>
  <c r="A965" i="29" l="1"/>
  <c r="A966" i="29" l="1"/>
  <c r="A967" i="29" l="1"/>
  <c r="A968" i="29" l="1"/>
  <c r="M1074" i="29" l="1"/>
  <c r="F1074" i="29"/>
  <c r="F1073" i="29"/>
  <c r="M1073" i="29"/>
  <c r="A969" i="29"/>
  <c r="A970" i="29" l="1"/>
  <c r="A971" i="29" l="1"/>
  <c r="A972" i="29" l="1"/>
  <c r="A973" i="29" l="1"/>
  <c r="A974" i="29" l="1"/>
  <c r="A975" i="29" l="1"/>
  <c r="A976" i="29" l="1"/>
  <c r="A977" i="29" l="1"/>
  <c r="A978" i="29" l="1"/>
  <c r="A979" i="29" l="1"/>
  <c r="A980" i="29" l="1"/>
  <c r="A981" i="29" l="1"/>
  <c r="A982" i="29" l="1"/>
  <c r="A983" i="29" l="1"/>
  <c r="A984" i="29" l="1"/>
  <c r="A985" i="29" l="1"/>
  <c r="A986" i="29" l="1"/>
  <c r="A987" i="29" l="1"/>
  <c r="A988" i="29" l="1"/>
  <c r="A989" i="29" l="1"/>
  <c r="A990" i="29" l="1"/>
  <c r="A991" i="29" l="1"/>
  <c r="A992" i="29" l="1"/>
  <c r="A993" i="29" l="1"/>
  <c r="A994" i="29" l="1"/>
  <c r="A995" i="29" l="1"/>
  <c r="A996" i="29" l="1"/>
  <c r="A997" i="29" l="1"/>
  <c r="A998" i="29" l="1"/>
  <c r="A999" i="29" l="1"/>
  <c r="A1000" i="29" l="1"/>
  <c r="A1001" i="29" l="1"/>
  <c r="A1002" i="29" l="1"/>
  <c r="A1003" i="29" l="1"/>
  <c r="A1004" i="29" l="1"/>
  <c r="A1005" i="29" l="1"/>
  <c r="A1006" i="29" l="1"/>
  <c r="A1007" i="29" l="1"/>
  <c r="A1008" i="29" l="1"/>
  <c r="A1009" i="29" l="1"/>
  <c r="A1010" i="29" l="1"/>
  <c r="A1011" i="29" l="1"/>
  <c r="A1012" i="29" l="1"/>
  <c r="A1013" i="29" l="1"/>
  <c r="A1014" i="29" l="1"/>
  <c r="A1015" i="29" l="1"/>
  <c r="A1016" i="29" l="1"/>
  <c r="A1017" i="29" l="1"/>
  <c r="A1018" i="29" l="1"/>
  <c r="A1019" i="29" l="1"/>
  <c r="A1020" i="29" l="1"/>
  <c r="A1021" i="29" l="1"/>
  <c r="A1022" i="29" l="1"/>
  <c r="A1023" i="29" l="1"/>
  <c r="A1024" i="29" l="1"/>
  <c r="A1025" i="29" l="1"/>
  <c r="A1026" i="29" l="1"/>
  <c r="A1027" i="29" l="1"/>
  <c r="A1028" i="29" l="1"/>
  <c r="A1029" i="29" l="1"/>
  <c r="A1030" i="29" l="1"/>
  <c r="A1031" i="29" l="1"/>
  <c r="A1032" i="29" l="1"/>
  <c r="A1033" i="29" s="1"/>
  <c r="A1034" i="29" s="1"/>
  <c r="A1035" i="29" s="1"/>
  <c r="A1036" i="29" s="1"/>
  <c r="A1037" i="29" s="1"/>
  <c r="A1038" i="29" s="1"/>
  <c r="A1039" i="29" s="1"/>
  <c r="A1040" i="29" s="1"/>
  <c r="A1041" i="29" s="1"/>
  <c r="A1042" i="29" s="1"/>
  <c r="A1043" i="29" s="1"/>
  <c r="A1044" i="29" s="1"/>
  <c r="A1045" i="29" s="1"/>
  <c r="A1046" i="29" s="1"/>
  <c r="A1047" i="29" s="1"/>
  <c r="A1048" i="29" s="1"/>
  <c r="A1049" i="29" s="1"/>
  <c r="A1050" i="29" s="1"/>
  <c r="A1051" i="29" s="1"/>
  <c r="A1052" i="29" s="1"/>
  <c r="A1053" i="29" s="1"/>
  <c r="A1054" i="29" s="1"/>
  <c r="A1055" i="29" s="1"/>
  <c r="A1056" i="29" s="1"/>
  <c r="A1057" i="29" s="1"/>
  <c r="L78" i="69" l="1"/>
  <c r="H80" i="69"/>
  <c r="L144" i="69"/>
  <c r="L133" i="69"/>
  <c r="L81" i="69"/>
  <c r="H81" i="69"/>
  <c r="H131" i="69"/>
  <c r="H79" i="69"/>
  <c r="H133" i="69"/>
  <c r="L150" i="69"/>
  <c r="L79" i="69"/>
  <c r="H132" i="69"/>
  <c r="H78" i="69"/>
  <c r="H140" i="69"/>
  <c r="H130" i="69"/>
  <c r="L143" i="69"/>
  <c r="L132" i="69"/>
  <c r="H138" i="69"/>
  <c r="L140" i="69"/>
  <c r="L131" i="69"/>
  <c r="H143" i="69"/>
  <c r="H144" i="69"/>
  <c r="L130" i="69"/>
  <c r="L138" i="69"/>
  <c r="H150" i="69"/>
  <c r="L80" i="69"/>
  <c r="C150" i="69"/>
  <c r="C143" i="69"/>
  <c r="C78" i="69"/>
  <c r="D79" i="69"/>
  <c r="D140" i="69"/>
  <c r="D130" i="69"/>
  <c r="D150" i="69"/>
  <c r="C130" i="69"/>
  <c r="C132" i="69"/>
  <c r="D78" i="69"/>
  <c r="C81" i="69"/>
  <c r="C79" i="69"/>
  <c r="D132" i="69"/>
  <c r="D81" i="69"/>
  <c r="D144" i="69"/>
  <c r="D138" i="69"/>
  <c r="D131" i="69"/>
  <c r="C131" i="69"/>
  <c r="C133" i="69"/>
  <c r="D80" i="69"/>
  <c r="D133" i="69"/>
  <c r="C140" i="69"/>
  <c r="C144" i="69"/>
  <c r="C80" i="69"/>
  <c r="D143" i="69"/>
  <c r="C138" i="69"/>
  <c r="J81" i="69" l="1"/>
  <c r="I81" i="69"/>
  <c r="J78" i="69"/>
  <c r="I78" i="69"/>
  <c r="I80" i="69"/>
  <c r="J80" i="69"/>
  <c r="J79" i="69"/>
  <c r="I79" i="69"/>
  <c r="I130" i="69"/>
  <c r="J130" i="69"/>
  <c r="I143" i="69"/>
  <c r="J143" i="69"/>
  <c r="J133" i="69"/>
  <c r="I133" i="69"/>
  <c r="I131" i="69"/>
  <c r="J131" i="69"/>
  <c r="I150" i="69"/>
  <c r="J150" i="69"/>
  <c r="I132" i="69"/>
  <c r="J132" i="69"/>
  <c r="I144" i="69"/>
  <c r="J144" i="69"/>
  <c r="I138" i="69"/>
  <c r="J138" i="69"/>
  <c r="I140" i="69"/>
  <c r="J140" i="69"/>
  <c r="K80" i="69" l="1"/>
  <c r="M80" i="69" s="1"/>
  <c r="K81" i="69"/>
  <c r="M81" i="69" s="1"/>
  <c r="K79" i="69"/>
  <c r="M79" i="69" s="1"/>
  <c r="K78" i="69"/>
  <c r="M78" i="69" s="1"/>
  <c r="K140" i="69"/>
  <c r="M140" i="69" s="1"/>
  <c r="K144" i="69"/>
  <c r="M144" i="69" s="1"/>
  <c r="K150" i="69"/>
  <c r="M150" i="69" s="1"/>
  <c r="K130" i="69"/>
  <c r="M130" i="69" s="1"/>
  <c r="K138" i="69"/>
  <c r="M138" i="69" s="1"/>
  <c r="K132" i="69"/>
  <c r="M132" i="69" s="1"/>
  <c r="K131" i="69"/>
  <c r="M131" i="69" s="1"/>
  <c r="K143" i="69"/>
  <c r="M143" i="69" s="1"/>
  <c r="K133" i="69"/>
  <c r="M133" i="69" s="1"/>
  <c r="U287" i="17" l="1"/>
  <c r="G289" i="17" s="1"/>
  <c r="U289" i="17" l="1"/>
  <c r="G293" i="17" s="1"/>
  <c r="U290" i="17" l="1"/>
  <c r="G294" i="17" s="1"/>
  <c r="U288" i="17" l="1"/>
  <c r="G290" i="17" s="1"/>
  <c r="U283" i="17" l="1"/>
  <c r="G285" i="17" s="1"/>
  <c r="U294" i="17" l="1"/>
  <c r="G300" i="17" s="1"/>
  <c r="U295" i="17" l="1"/>
  <c r="G302" i="17" s="1"/>
  <c r="U279" i="17" l="1"/>
  <c r="G281" i="17" l="1"/>
  <c r="U280" i="17"/>
  <c r="G282" i="17" s="1"/>
  <c r="U293" i="17" l="1"/>
  <c r="U292" i="17" l="1"/>
  <c r="G298" i="17" s="1"/>
  <c r="U300" i="17" l="1"/>
  <c r="U284" i="17"/>
  <c r="G286" i="17" l="1"/>
  <c r="G308" i="17" s="1"/>
  <c r="U299" i="17"/>
  <c r="U305" i="17" s="1"/>
  <c r="V303" i="17" l="1"/>
  <c r="V296" i="17"/>
  <c r="V297" i="17"/>
  <c r="H306" i="17" s="1"/>
  <c r="R52" i="17"/>
  <c r="S49" i="17"/>
  <c r="S48" i="17"/>
  <c r="B57" i="17"/>
  <c r="V302" i="17" l="1"/>
  <c r="H305" i="17"/>
  <c r="E116" i="4"/>
  <c r="E163" i="4"/>
  <c r="E214" i="4"/>
  <c r="E18" i="4"/>
  <c r="E40" i="4"/>
  <c r="E57" i="4"/>
  <c r="E80" i="4"/>
  <c r="E99" i="4"/>
  <c r="E122" i="4"/>
  <c r="E142" i="4"/>
  <c r="D142" i="4"/>
  <c r="E165" i="4"/>
  <c r="E182" i="4"/>
  <c r="E205" i="4"/>
  <c r="E235" i="4"/>
  <c r="E251" i="4"/>
  <c r="E270" i="4"/>
  <c r="E286" i="4"/>
  <c r="E302" i="4"/>
  <c r="E321" i="4"/>
  <c r="E337" i="4"/>
  <c r="E356" i="4"/>
  <c r="E372" i="4"/>
  <c r="E54" i="4"/>
  <c r="E159" i="4"/>
  <c r="E237" i="4"/>
  <c r="E272" i="4"/>
  <c r="E304" i="4"/>
  <c r="E339" i="4"/>
  <c r="E374" i="4"/>
  <c r="E29" i="4"/>
  <c r="E63" i="4"/>
  <c r="E98" i="4"/>
  <c r="E133" i="4"/>
  <c r="E168" i="4"/>
  <c r="E203" i="4"/>
  <c r="E234" i="4"/>
  <c r="E269" i="4"/>
  <c r="E301" i="4"/>
  <c r="E336" i="4"/>
  <c r="E371" i="4"/>
  <c r="E73" i="4"/>
  <c r="D73" i="4"/>
  <c r="E179" i="4"/>
  <c r="D179" i="4"/>
  <c r="E23" i="4"/>
  <c r="D76" i="4"/>
  <c r="E76" i="4"/>
  <c r="E127" i="4"/>
  <c r="E174" i="4"/>
  <c r="E232" i="4"/>
  <c r="E19" i="4"/>
  <c r="E41" i="4"/>
  <c r="E60" i="4"/>
  <c r="E83" i="4"/>
  <c r="E103" i="4"/>
  <c r="E123" i="4"/>
  <c r="D143" i="4"/>
  <c r="E143" i="4"/>
  <c r="E166" i="4"/>
  <c r="E185" i="4"/>
  <c r="E208" i="4"/>
  <c r="E236" i="4"/>
  <c r="E252" i="4"/>
  <c r="E271" i="4"/>
  <c r="E287" i="4"/>
  <c r="E303" i="4"/>
  <c r="E322" i="4"/>
  <c r="E338" i="4"/>
  <c r="E357" i="4"/>
  <c r="E373" i="4"/>
  <c r="E66" i="4"/>
  <c r="E171" i="4"/>
  <c r="E241" i="4"/>
  <c r="E276" i="4"/>
  <c r="E311" i="4"/>
  <c r="E343" i="4"/>
  <c r="E378" i="4"/>
  <c r="E67" i="4"/>
  <c r="E102" i="4"/>
  <c r="E137" i="4"/>
  <c r="E172" i="4"/>
  <c r="E207" i="4"/>
  <c r="E238" i="4"/>
  <c r="E273" i="4"/>
  <c r="E308" i="4"/>
  <c r="E340" i="4"/>
  <c r="E375" i="4"/>
  <c r="E85" i="4"/>
  <c r="E194" i="4"/>
  <c r="E50" i="4"/>
  <c r="E202" i="4"/>
  <c r="E53" i="4"/>
  <c r="E95" i="4"/>
  <c r="E118" i="4"/>
  <c r="E135" i="4"/>
  <c r="E158" i="4"/>
  <c r="E178" i="4"/>
  <c r="E200" i="4"/>
  <c r="E225" i="4"/>
  <c r="E247" i="4"/>
  <c r="E263" i="4"/>
  <c r="E282" i="4"/>
  <c r="E298" i="4"/>
  <c r="E317" i="4"/>
  <c r="E333" i="4"/>
  <c r="E352" i="4"/>
  <c r="E368" i="4"/>
  <c r="E28" i="4"/>
  <c r="E132" i="4"/>
  <c r="E218" i="4"/>
  <c r="D218" i="4"/>
  <c r="E261" i="4"/>
  <c r="E296" i="4"/>
  <c r="E331" i="4"/>
  <c r="E366" i="4"/>
  <c r="D366" i="4"/>
  <c r="E21" i="4"/>
  <c r="E55" i="4"/>
  <c r="E90" i="4"/>
  <c r="E125" i="4"/>
  <c r="E160" i="4"/>
  <c r="E195" i="4"/>
  <c r="E223" i="4"/>
  <c r="E258" i="4"/>
  <c r="D258" i="4"/>
  <c r="E293" i="4"/>
  <c r="E328" i="4"/>
  <c r="D328" i="4"/>
  <c r="E363" i="4"/>
  <c r="E46" i="4"/>
  <c r="E155" i="4"/>
  <c r="E11" i="4"/>
  <c r="E61" i="4"/>
  <c r="E115" i="4"/>
  <c r="E162" i="4"/>
  <c r="E213" i="4"/>
  <c r="E15" i="4"/>
  <c r="E36" i="4"/>
  <c r="D36" i="4"/>
  <c r="E56" i="4"/>
  <c r="E79" i="4"/>
  <c r="E96" i="4"/>
  <c r="E119" i="4"/>
  <c r="E138" i="4"/>
  <c r="E161" i="4"/>
  <c r="E181" i="4"/>
  <c r="D181" i="4"/>
  <c r="E204" i="4"/>
  <c r="E231" i="4"/>
  <c r="E248" i="4"/>
  <c r="E264" i="4"/>
  <c r="E283" i="4"/>
  <c r="E299" i="4"/>
  <c r="E318" i="4"/>
  <c r="E334" i="4"/>
  <c r="E353" i="4"/>
  <c r="D369" i="4"/>
  <c r="E369" i="4"/>
  <c r="E42" i="4"/>
  <c r="E144" i="4"/>
  <c r="D144" i="4"/>
  <c r="E229" i="4"/>
  <c r="E265" i="4"/>
  <c r="E300" i="4"/>
  <c r="E335" i="4"/>
  <c r="E370" i="4"/>
  <c r="E25" i="4"/>
  <c r="E59" i="4"/>
  <c r="E94" i="4"/>
  <c r="E129" i="4"/>
  <c r="E164" i="4"/>
  <c r="E199" i="4"/>
  <c r="E230" i="4"/>
  <c r="E262" i="4"/>
  <c r="E297" i="4"/>
  <c r="E332" i="4"/>
  <c r="D332" i="4"/>
  <c r="E367" i="4"/>
  <c r="E58" i="4"/>
  <c r="E167" i="4"/>
  <c r="E62" i="4"/>
  <c r="E151" i="4"/>
  <c r="E14" i="4"/>
  <c r="E75" i="4"/>
  <c r="E38" i="4"/>
  <c r="E89" i="4"/>
  <c r="E140" i="4"/>
  <c r="E187" i="4"/>
  <c r="E7" i="4"/>
  <c r="E27" i="4"/>
  <c r="E48" i="4"/>
  <c r="E68" i="4"/>
  <c r="D68" i="4"/>
  <c r="E91" i="4"/>
  <c r="E108" i="4"/>
  <c r="E131" i="4"/>
  <c r="E154" i="4"/>
  <c r="E173" i="4"/>
  <c r="E196" i="4"/>
  <c r="D221" i="4"/>
  <c r="E221" i="4"/>
  <c r="E243" i="4"/>
  <c r="E259" i="4"/>
  <c r="E278" i="4"/>
  <c r="E294" i="4"/>
  <c r="E313" i="4"/>
  <c r="E329" i="4"/>
  <c r="D329" i="4"/>
  <c r="E348" i="4"/>
  <c r="E364" i="4"/>
  <c r="D364" i="4"/>
  <c r="E380" i="4"/>
  <c r="E105" i="4"/>
  <c r="D105" i="4"/>
  <c r="E210" i="4"/>
  <c r="E253" i="4"/>
  <c r="D253" i="4"/>
  <c r="E288" i="4"/>
  <c r="E323" i="4"/>
  <c r="E358" i="4"/>
  <c r="E13" i="4"/>
  <c r="E47" i="4"/>
  <c r="E82" i="4"/>
  <c r="E117" i="4"/>
  <c r="E152" i="4"/>
  <c r="E184" i="4"/>
  <c r="D184" i="4"/>
  <c r="E215" i="4"/>
  <c r="E250" i="4"/>
  <c r="E285" i="4"/>
  <c r="E320" i="4"/>
  <c r="E355" i="4"/>
  <c r="E20" i="4"/>
  <c r="E124" i="4"/>
  <c r="E5" i="4"/>
  <c r="E49" i="4"/>
  <c r="E100" i="4"/>
  <c r="D147" i="4"/>
  <c r="E147" i="4"/>
  <c r="E201" i="4"/>
  <c r="E10" i="4"/>
  <c r="E30" i="4"/>
  <c r="E52" i="4"/>
  <c r="D69" i="4"/>
  <c r="E69" i="4"/>
  <c r="E92" i="4"/>
  <c r="E114" i="4"/>
  <c r="E134" i="4"/>
  <c r="E157" i="4"/>
  <c r="E177" i="4"/>
  <c r="E197" i="4"/>
  <c r="E224" i="4"/>
  <c r="E244" i="4"/>
  <c r="E260" i="4"/>
  <c r="E279" i="4"/>
  <c r="D295" i="4"/>
  <c r="E295" i="4"/>
  <c r="E314" i="4"/>
  <c r="E330" i="4"/>
  <c r="E349" i="4"/>
  <c r="D365" i="4"/>
  <c r="E365" i="4"/>
  <c r="E16" i="4"/>
  <c r="E120" i="4"/>
  <c r="D217" i="4"/>
  <c r="E217" i="4"/>
  <c r="E257" i="4"/>
  <c r="E292" i="4"/>
  <c r="D292" i="4"/>
  <c r="E327" i="4"/>
  <c r="D327" i="4"/>
  <c r="E362" i="4"/>
  <c r="E17" i="4"/>
  <c r="E51" i="4"/>
  <c r="E86" i="4"/>
  <c r="E121" i="4"/>
  <c r="E156" i="4"/>
  <c r="E191" i="4"/>
  <c r="E219" i="4"/>
  <c r="E254" i="4"/>
  <c r="D254" i="4"/>
  <c r="E289" i="4"/>
  <c r="E324" i="4"/>
  <c r="E359" i="4"/>
  <c r="E35" i="4"/>
  <c r="E136" i="4"/>
  <c r="E12" i="4"/>
  <c r="E101" i="4"/>
  <c r="E34" i="4"/>
  <c r="E24" i="4"/>
  <c r="E77" i="4"/>
  <c r="E128" i="4"/>
  <c r="E175" i="4"/>
  <c r="E233" i="4"/>
  <c r="E22" i="4"/>
  <c r="E44" i="4"/>
  <c r="E64" i="4"/>
  <c r="E84" i="4"/>
  <c r="E104" i="4"/>
  <c r="E126" i="4"/>
  <c r="E146" i="4"/>
  <c r="E169" i="4"/>
  <c r="E192" i="4"/>
  <c r="E209" i="4"/>
  <c r="E239" i="4"/>
  <c r="E255" i="4"/>
  <c r="D255" i="4"/>
  <c r="E274" i="4"/>
  <c r="E290" i="4"/>
  <c r="D290" i="4"/>
  <c r="E309" i="4"/>
  <c r="E325" i="4"/>
  <c r="E341" i="4"/>
  <c r="E360" i="4"/>
  <c r="E376" i="4"/>
  <c r="E81" i="4"/>
  <c r="E183" i="4"/>
  <c r="E245" i="4"/>
  <c r="E280" i="4"/>
  <c r="E315" i="4"/>
  <c r="E350" i="4"/>
  <c r="E216" i="4"/>
  <c r="D216" i="4"/>
  <c r="E39" i="4"/>
  <c r="D39" i="4"/>
  <c r="E74" i="4"/>
  <c r="E106" i="4"/>
  <c r="D106" i="4"/>
  <c r="E141" i="4"/>
  <c r="E176" i="4"/>
  <c r="E211" i="4"/>
  <c r="E242" i="4"/>
  <c r="E277" i="4"/>
  <c r="E312" i="4"/>
  <c r="E347" i="4"/>
  <c r="E379" i="4"/>
  <c r="E97" i="4"/>
  <c r="E206" i="4"/>
  <c r="E37" i="4"/>
  <c r="E88" i="4"/>
  <c r="E139" i="4"/>
  <c r="E186" i="4"/>
  <c r="E6" i="4"/>
  <c r="E26" i="4"/>
  <c r="E45" i="4"/>
  <c r="E65" i="4"/>
  <c r="E87" i="4"/>
  <c r="E107" i="4"/>
  <c r="D107" i="4"/>
  <c r="E130" i="4"/>
  <c r="E153" i="4"/>
  <c r="E170" i="4"/>
  <c r="E193" i="4"/>
  <c r="E220" i="4"/>
  <c r="E240" i="4"/>
  <c r="E256" i="4"/>
  <c r="E275" i="4"/>
  <c r="D291" i="4"/>
  <c r="E291" i="4"/>
  <c r="E310" i="4"/>
  <c r="E326" i="4"/>
  <c r="E342" i="4"/>
  <c r="E361" i="4"/>
  <c r="E377" i="4"/>
  <c r="E93" i="4"/>
  <c r="E198" i="4"/>
  <c r="E249" i="4"/>
  <c r="E284" i="4"/>
  <c r="E319" i="4"/>
  <c r="E354" i="4"/>
  <c r="E9" i="4"/>
  <c r="E43" i="4"/>
  <c r="E78" i="4"/>
  <c r="E113" i="4"/>
  <c r="D113" i="4"/>
  <c r="E145" i="4"/>
  <c r="E180" i="4"/>
  <c r="D180" i="4"/>
  <c r="E212" i="4"/>
  <c r="E246" i="4"/>
  <c r="E281" i="4"/>
  <c r="E316" i="4"/>
  <c r="E351" i="4"/>
  <c r="E8" i="4"/>
  <c r="E112" i="4"/>
  <c r="E222" i="4"/>
  <c r="D8" i="4" l="1"/>
  <c r="D222" i="4"/>
  <c r="D316" i="4"/>
  <c r="D212" i="4"/>
  <c r="D112" i="4"/>
  <c r="D281" i="4"/>
  <c r="D354" i="4"/>
  <c r="D198" i="4"/>
  <c r="D246" i="4"/>
  <c r="D351" i="4"/>
  <c r="D78" i="4"/>
  <c r="D319" i="4"/>
  <c r="D43" i="4"/>
  <c r="D284" i="4"/>
  <c r="D361" i="4"/>
  <c r="D153" i="4"/>
  <c r="D45" i="4"/>
  <c r="D139" i="4"/>
  <c r="D206" i="4"/>
  <c r="D312" i="4"/>
  <c r="D176" i="4"/>
  <c r="D280" i="4"/>
  <c r="D376" i="4"/>
  <c r="D309" i="4"/>
  <c r="D239" i="4"/>
  <c r="D209" i="4"/>
  <c r="D146" i="4"/>
  <c r="D64" i="4"/>
  <c r="D175" i="4"/>
  <c r="D35" i="4"/>
  <c r="D121" i="4"/>
  <c r="D362" i="4"/>
  <c r="D330" i="4"/>
  <c r="D260" i="4"/>
  <c r="D114" i="4"/>
  <c r="D92" i="4"/>
  <c r="D30" i="4"/>
  <c r="D49" i="4"/>
  <c r="D20" i="4"/>
  <c r="D250" i="4"/>
  <c r="D117" i="4"/>
  <c r="D358" i="4"/>
  <c r="D210" i="4"/>
  <c r="D348" i="4"/>
  <c r="D278" i="4"/>
  <c r="D196" i="4"/>
  <c r="D7" i="4"/>
  <c r="D89" i="4"/>
  <c r="D151" i="4"/>
  <c r="D367" i="4"/>
  <c r="D230" i="4"/>
  <c r="D94" i="4"/>
  <c r="D335" i="4"/>
  <c r="D318" i="4"/>
  <c r="D248" i="4"/>
  <c r="D213" i="4"/>
  <c r="D11" i="4"/>
  <c r="D363" i="4"/>
  <c r="D223" i="4"/>
  <c r="D90" i="4"/>
  <c r="D331" i="4"/>
  <c r="D132" i="4"/>
  <c r="D333" i="4"/>
  <c r="D263" i="4"/>
  <c r="D158" i="4"/>
  <c r="D95" i="4"/>
  <c r="D53" i="4"/>
  <c r="D194" i="4"/>
  <c r="D308" i="4"/>
  <c r="D172" i="4"/>
  <c r="D276" i="4"/>
  <c r="D357" i="4"/>
  <c r="D287" i="4"/>
  <c r="D123" i="4"/>
  <c r="D60" i="4"/>
  <c r="D41" i="4"/>
  <c r="D127" i="4"/>
  <c r="D301" i="4"/>
  <c r="D168" i="4"/>
  <c r="D29" i="4"/>
  <c r="D272" i="4"/>
  <c r="D372" i="4"/>
  <c r="D302" i="4"/>
  <c r="D235" i="4"/>
  <c r="D205" i="4"/>
  <c r="D163" i="4"/>
  <c r="D145" i="4"/>
  <c r="D9" i="4"/>
  <c r="D249" i="4"/>
  <c r="D342" i="4"/>
  <c r="D275" i="4"/>
  <c r="D220" i="4"/>
  <c r="D193" i="4"/>
  <c r="D130" i="4"/>
  <c r="D88" i="4"/>
  <c r="D97" i="4"/>
  <c r="D277" i="4"/>
  <c r="D141" i="4"/>
  <c r="D245" i="4"/>
  <c r="D360" i="4"/>
  <c r="D126" i="4"/>
  <c r="D104" i="4"/>
  <c r="D44" i="4"/>
  <c r="D128" i="4"/>
  <c r="D101" i="4"/>
  <c r="D359" i="4"/>
  <c r="D219" i="4"/>
  <c r="D86" i="4"/>
  <c r="D120" i="4"/>
  <c r="D314" i="4"/>
  <c r="D244" i="4"/>
  <c r="D177" i="4"/>
  <c r="D10" i="4"/>
  <c r="D201" i="4"/>
  <c r="D355" i="4"/>
  <c r="D215" i="4"/>
  <c r="D82" i="4"/>
  <c r="D323" i="4"/>
  <c r="D259" i="4"/>
  <c r="D173" i="4"/>
  <c r="D154" i="4"/>
  <c r="D91" i="4"/>
  <c r="D38" i="4"/>
  <c r="D62" i="4"/>
  <c r="D199" i="4"/>
  <c r="D59" i="4"/>
  <c r="D300" i="4"/>
  <c r="D42" i="4"/>
  <c r="D299" i="4"/>
  <c r="D161" i="4"/>
  <c r="D79" i="4"/>
  <c r="D162" i="4"/>
  <c r="D195" i="4"/>
  <c r="D55" i="4"/>
  <c r="D296" i="4"/>
  <c r="D28" i="4"/>
  <c r="D317" i="4"/>
  <c r="D247" i="4"/>
  <c r="D225" i="4"/>
  <c r="D135" i="4"/>
  <c r="D85" i="4"/>
  <c r="D273" i="4"/>
  <c r="D137" i="4"/>
  <c r="D378" i="4"/>
  <c r="D241" i="4"/>
  <c r="D338" i="4"/>
  <c r="D271" i="4"/>
  <c r="D208" i="4"/>
  <c r="D19" i="4"/>
  <c r="D269" i="4"/>
  <c r="D133" i="4"/>
  <c r="D374" i="4"/>
  <c r="D237" i="4"/>
  <c r="D356" i="4"/>
  <c r="D286" i="4"/>
  <c r="D182" i="4"/>
  <c r="D122" i="4"/>
  <c r="D40" i="4"/>
  <c r="D116" i="4"/>
  <c r="D326" i="4"/>
  <c r="D256" i="4"/>
  <c r="D170" i="4"/>
  <c r="D26" i="4"/>
  <c r="D37" i="4"/>
  <c r="D379" i="4"/>
  <c r="D242" i="4"/>
  <c r="D350" i="4"/>
  <c r="D183" i="4"/>
  <c r="D341" i="4"/>
  <c r="D274" i="4"/>
  <c r="D192" i="4"/>
  <c r="D84" i="4"/>
  <c r="D22" i="4"/>
  <c r="D77" i="4"/>
  <c r="D12" i="4"/>
  <c r="D324" i="4"/>
  <c r="D191" i="4"/>
  <c r="D51" i="4"/>
  <c r="D16" i="4"/>
  <c r="D157" i="4"/>
  <c r="D5" i="4"/>
  <c r="D320" i="4"/>
  <c r="D47" i="4"/>
  <c r="D288" i="4"/>
  <c r="D380" i="4"/>
  <c r="D313" i="4"/>
  <c r="D243" i="4"/>
  <c r="D131" i="4"/>
  <c r="D187" i="4"/>
  <c r="D75" i="4"/>
  <c r="D167" i="4"/>
  <c r="D297" i="4"/>
  <c r="D164" i="4"/>
  <c r="D25" i="4"/>
  <c r="D265" i="4"/>
  <c r="D353" i="4"/>
  <c r="D283" i="4"/>
  <c r="D231" i="4"/>
  <c r="D138" i="4"/>
  <c r="D119" i="4"/>
  <c r="D56" i="4"/>
  <c r="D115" i="4"/>
  <c r="D155" i="4"/>
  <c r="D293" i="4"/>
  <c r="D160" i="4"/>
  <c r="D21" i="4"/>
  <c r="D261" i="4"/>
  <c r="D368" i="4"/>
  <c r="D298" i="4"/>
  <c r="D202" i="4"/>
  <c r="D375" i="4"/>
  <c r="D238" i="4"/>
  <c r="D102" i="4"/>
  <c r="D343" i="4"/>
  <c r="D171" i="4"/>
  <c r="D322" i="4"/>
  <c r="D252" i="4"/>
  <c r="D185" i="4"/>
  <c r="D166" i="4"/>
  <c r="D103" i="4"/>
  <c r="D232" i="4"/>
  <c r="D23" i="4"/>
  <c r="D371" i="4"/>
  <c r="D234" i="4"/>
  <c r="D98" i="4"/>
  <c r="D339" i="4"/>
  <c r="D159" i="4"/>
  <c r="D337" i="4"/>
  <c r="D270" i="4"/>
  <c r="D99" i="4"/>
  <c r="D80" i="4"/>
  <c r="D18" i="4"/>
  <c r="D93" i="4"/>
  <c r="D377" i="4"/>
  <c r="D310" i="4"/>
  <c r="D240" i="4"/>
  <c r="D87" i="4"/>
  <c r="D65" i="4"/>
  <c r="D6" i="4"/>
  <c r="D186" i="4"/>
  <c r="D347" i="4"/>
  <c r="D211" i="4"/>
  <c r="D74" i="4"/>
  <c r="D315" i="4"/>
  <c r="D81" i="4"/>
  <c r="D325" i="4"/>
  <c r="D169" i="4"/>
  <c r="D233" i="4"/>
  <c r="D24" i="4"/>
  <c r="D34" i="4"/>
  <c r="D136" i="4"/>
  <c r="D289" i="4"/>
  <c r="D156" i="4"/>
  <c r="D17" i="4"/>
  <c r="D257" i="4"/>
  <c r="D349" i="4"/>
  <c r="D279" i="4"/>
  <c r="D224" i="4"/>
  <c r="D197" i="4"/>
  <c r="D134" i="4"/>
  <c r="D52" i="4"/>
  <c r="D100" i="4"/>
  <c r="D124" i="4"/>
  <c r="D285" i="4"/>
  <c r="D152" i="4"/>
  <c r="D13" i="4"/>
  <c r="D294" i="4"/>
  <c r="D108" i="4"/>
  <c r="D48" i="4"/>
  <c r="D27" i="4"/>
  <c r="D140" i="4"/>
  <c r="D14" i="4"/>
  <c r="D58" i="4"/>
  <c r="D262" i="4"/>
  <c r="D129" i="4"/>
  <c r="D370" i="4"/>
  <c r="D229" i="4"/>
  <c r="D334" i="4"/>
  <c r="D264" i="4"/>
  <c r="D204" i="4"/>
  <c r="D96" i="4"/>
  <c r="D15" i="4"/>
  <c r="D61" i="4"/>
  <c r="D46" i="4"/>
  <c r="D125" i="4"/>
  <c r="D352" i="4"/>
  <c r="D282" i="4"/>
  <c r="D200" i="4"/>
  <c r="D178" i="4"/>
  <c r="D118" i="4"/>
  <c r="D50" i="4"/>
  <c r="D340" i="4"/>
  <c r="D207" i="4"/>
  <c r="D67" i="4"/>
  <c r="D311" i="4"/>
  <c r="D66" i="4"/>
  <c r="D373" i="4"/>
  <c r="D303" i="4"/>
  <c r="D236" i="4"/>
  <c r="D83" i="4"/>
  <c r="D174" i="4"/>
  <c r="D336" i="4"/>
  <c r="D203" i="4"/>
  <c r="D63" i="4"/>
  <c r="D304" i="4"/>
  <c r="D54" i="4"/>
  <c r="D321" i="4"/>
  <c r="D251" i="4"/>
  <c r="D165" i="4"/>
  <c r="D57" i="4"/>
  <c r="D214" i="4"/>
  <c r="AL488" i="4" l="1"/>
  <c r="AK488" i="4"/>
  <c r="W254" i="17"/>
  <c r="W247" i="17"/>
  <c r="R250" i="17"/>
  <c r="R242" i="17"/>
  <c r="W242" i="17"/>
  <c r="W235" i="17"/>
  <c r="R239" i="17"/>
  <c r="W246" i="17"/>
  <c r="R248" i="17"/>
  <c r="W253" i="17"/>
  <c r="W252" i="17"/>
  <c r="W251" i="17"/>
  <c r="R251" i="17"/>
  <c r="R235" i="17"/>
  <c r="R243" i="17"/>
  <c r="W249" i="17"/>
  <c r="W239" i="17"/>
  <c r="R254" i="17"/>
  <c r="R249" i="17"/>
  <c r="R238" i="17"/>
  <c r="W236" i="17"/>
  <c r="R236" i="17"/>
  <c r="W238" i="17"/>
  <c r="W243" i="17"/>
  <c r="R253" i="17"/>
  <c r="R237" i="17"/>
  <c r="R247" i="17"/>
  <c r="W237" i="17"/>
  <c r="R246" i="17"/>
  <c r="W248" i="17"/>
  <c r="R252" i="17"/>
  <c r="W250" i="17"/>
  <c r="C22" i="55"/>
  <c r="K141" i="48"/>
  <c r="L141" i="48" s="1"/>
  <c r="M141" i="48" s="1"/>
  <c r="R258" i="17" l="1"/>
  <c r="W258" i="17"/>
  <c r="O20" i="66" l="1"/>
  <c r="O21" i="66" l="1"/>
  <c r="O19" i="66" l="1"/>
  <c r="N19" i="66"/>
  <c r="N21" i="66"/>
  <c r="K20" i="66"/>
  <c r="J20" i="66"/>
  <c r="J21" i="66"/>
  <c r="K21" i="66" l="1"/>
  <c r="I20" i="66" l="1"/>
  <c r="I21" i="66"/>
  <c r="H58" i="48" l="1"/>
  <c r="I197" i="30" l="1"/>
  <c r="H59" i="48"/>
  <c r="I216" i="30" l="1"/>
  <c r="H112" i="48"/>
  <c r="H113" i="48"/>
  <c r="I217" i="30" l="1"/>
  <c r="H115" i="48"/>
  <c r="M179" i="62" l="1"/>
  <c r="M187" i="62"/>
  <c r="M178" i="62"/>
  <c r="I88" i="62"/>
  <c r="M88" i="62" s="1"/>
  <c r="I82" i="62"/>
  <c r="M82" i="62" s="1"/>
  <c r="I65" i="62"/>
  <c r="M65" i="62" s="1"/>
  <c r="I69" i="62"/>
  <c r="M69" i="62" s="1"/>
  <c r="M186" i="62"/>
  <c r="I22" i="62"/>
  <c r="M22" i="62" s="1"/>
  <c r="I68" i="62"/>
  <c r="M68" i="62" s="1"/>
  <c r="I19" i="62"/>
  <c r="M19" i="62" s="1"/>
  <c r="M180" i="62"/>
  <c r="I59" i="62"/>
  <c r="M59" i="62" s="1"/>
  <c r="M181" i="62"/>
  <c r="I30" i="62"/>
  <c r="M30" i="62" s="1"/>
  <c r="I14" i="62"/>
  <c r="M14" i="62" s="1"/>
  <c r="I51" i="62"/>
  <c r="M51" i="62" s="1"/>
  <c r="M184" i="62"/>
  <c r="I28" i="62"/>
  <c r="M28" i="62" s="1"/>
  <c r="I84" i="62"/>
  <c r="I23" i="62"/>
  <c r="M23" i="62" s="1"/>
  <c r="I56" i="62"/>
  <c r="M56" i="62" s="1"/>
  <c r="I17" i="62"/>
  <c r="M17" i="62" s="1"/>
  <c r="I85" i="62"/>
  <c r="M85" i="62" s="1"/>
  <c r="I29" i="62"/>
  <c r="M29" i="62" s="1"/>
  <c r="I13" i="62"/>
  <c r="M13" i="62" s="1"/>
  <c r="I15" i="62"/>
  <c r="M15" i="62" s="1"/>
  <c r="I62" i="62"/>
  <c r="M62" i="62" s="1"/>
  <c r="M183" i="62"/>
  <c r="I52" i="62"/>
  <c r="M52" i="62" s="1"/>
  <c r="I90" i="62"/>
  <c r="I25" i="62"/>
  <c r="M25" i="62" s="1"/>
  <c r="I21" i="62"/>
  <c r="M21" i="62" s="1"/>
  <c r="I87" i="62"/>
  <c r="I12" i="62"/>
  <c r="M12" i="62" s="1"/>
  <c r="J185" i="62" l="1"/>
  <c r="M185" i="62"/>
  <c r="J182" i="62"/>
  <c r="M182" i="62"/>
  <c r="M90" i="62"/>
  <c r="M84" i="62"/>
  <c r="M87" i="62"/>
  <c r="N20" i="66" l="1"/>
  <c r="O38" i="17" l="1"/>
  <c r="S6" i="17" l="1"/>
  <c r="P38" i="17" l="1"/>
  <c r="C66" i="55" l="1"/>
  <c r="S38" i="17" l="1"/>
  <c r="T38" i="17" s="1"/>
  <c r="V290" i="17" l="1"/>
  <c r="H294" i="17" s="1"/>
  <c r="V279" i="17" l="1"/>
  <c r="H281" i="17" s="1"/>
  <c r="S32" i="17"/>
  <c r="V289" i="17"/>
  <c r="H293" i="17" s="1"/>
  <c r="S13" i="17"/>
  <c r="V280" i="17"/>
  <c r="H282" i="17" s="1"/>
  <c r="V278" i="17"/>
  <c r="H278" i="17" s="1"/>
  <c r="V292" i="17"/>
  <c r="H298" i="17" s="1"/>
  <c r="V287" i="17" l="1"/>
  <c r="H289" i="17" s="1"/>
  <c r="S5" i="17"/>
  <c r="V293" i="17"/>
  <c r="V276" i="17"/>
  <c r="H276" i="17" s="1"/>
  <c r="V284" i="17"/>
  <c r="H286" i="17" s="1"/>
  <c r="V295" i="17"/>
  <c r="H302" i="17" s="1"/>
  <c r="V294" i="17"/>
  <c r="H300" i="17" s="1"/>
  <c r="V283" i="17"/>
  <c r="H285" i="17" s="1"/>
  <c r="V288" i="17"/>
  <c r="H290" i="17" s="1"/>
  <c r="S14" i="17"/>
  <c r="S39" i="17"/>
  <c r="S44" i="17"/>
  <c r="S24" i="17"/>
  <c r="S18" i="17"/>
  <c r="S10" i="17"/>
  <c r="S42" i="17"/>
  <c r="S19" i="17"/>
  <c r="S30" i="17"/>
  <c r="S26" i="17"/>
  <c r="V291" i="17" l="1"/>
  <c r="V300" i="17"/>
  <c r="J276" i="53"/>
  <c r="G276" i="53"/>
  <c r="I31" i="52" s="1"/>
  <c r="I47" i="52" s="1"/>
  <c r="J197" i="53"/>
  <c r="S35" i="17"/>
  <c r="I57" i="17"/>
  <c r="I54" i="52" l="1"/>
  <c r="H296" i="17"/>
  <c r="H308" i="17" s="1"/>
  <c r="V299" i="17"/>
  <c r="V305" i="17" s="1"/>
  <c r="S52" i="17"/>
  <c r="D137" i="69" l="1"/>
  <c r="D139" i="69"/>
  <c r="D141" i="69"/>
  <c r="D142" i="69"/>
  <c r="D145" i="69"/>
  <c r="D146" i="69"/>
  <c r="D147" i="69"/>
  <c r="D148" i="69"/>
  <c r="C137" i="69"/>
  <c r="C139" i="69"/>
  <c r="C141" i="69"/>
  <c r="C142" i="69"/>
  <c r="C145" i="69"/>
  <c r="C146" i="69"/>
  <c r="C147" i="69"/>
  <c r="C148" i="69"/>
  <c r="H139" i="69" l="1"/>
  <c r="H141" i="69"/>
  <c r="H142" i="69"/>
  <c r="H145" i="69"/>
  <c r="H146" i="69"/>
  <c r="H147" i="69"/>
  <c r="H148" i="69"/>
  <c r="H137" i="69"/>
  <c r="J146" i="69"/>
  <c r="I146" i="69"/>
  <c r="J139" i="69"/>
  <c r="I139" i="69"/>
  <c r="L137" i="69"/>
  <c r="L139" i="69"/>
  <c r="L141" i="69"/>
  <c r="L142" i="69"/>
  <c r="L146" i="69"/>
  <c r="L145" i="69"/>
  <c r="L147" i="69"/>
  <c r="L148" i="69"/>
  <c r="I145" i="69"/>
  <c r="J145" i="69"/>
  <c r="J148" i="69"/>
  <c r="I148" i="69"/>
  <c r="J147" i="69"/>
  <c r="I147" i="69"/>
  <c r="J142" i="69"/>
  <c r="I142" i="69"/>
  <c r="J141" i="69"/>
  <c r="I141" i="69"/>
  <c r="J137" i="69"/>
  <c r="I137" i="69"/>
  <c r="K142" i="69" l="1"/>
  <c r="M142" i="69" s="1"/>
  <c r="K141" i="69"/>
  <c r="M141" i="69" s="1"/>
  <c r="K146" i="69"/>
  <c r="M146" i="69" s="1"/>
  <c r="K148" i="69"/>
  <c r="M148" i="69" s="1"/>
  <c r="K145" i="69"/>
  <c r="M145" i="69" s="1"/>
  <c r="K137" i="69"/>
  <c r="M137" i="69" s="1"/>
  <c r="K147" i="69"/>
  <c r="M147" i="69" s="1"/>
  <c r="K139" i="69"/>
  <c r="M139" i="69" s="1"/>
  <c r="R259" i="17" l="1"/>
  <c r="W259" i="17" l="1"/>
  <c r="B64" i="17" l="1"/>
  <c r="D31" i="70" l="1"/>
  <c r="I31" i="70" s="1"/>
  <c r="J31" i="70" s="1"/>
  <c r="D32" i="70"/>
  <c r="I32" i="70" s="1"/>
  <c r="J32" i="70" s="1"/>
  <c r="D33" i="70"/>
  <c r="I33" i="70" s="1"/>
  <c r="J33" i="70" s="1"/>
  <c r="C31" i="70"/>
  <c r="K31" i="70" l="1"/>
  <c r="L31" i="70" l="1"/>
  <c r="B31" i="68" s="1"/>
  <c r="R293" i="17" l="1"/>
  <c r="V252" i="17"/>
  <c r="Q252" i="17"/>
  <c r="K239" i="17" l="1"/>
  <c r="K243" i="17"/>
  <c r="F85" i="17" s="1"/>
  <c r="D5" i="69" l="1"/>
  <c r="I5" i="69" s="1"/>
  <c r="K5" i="69" s="1"/>
  <c r="Q40" i="52" l="1"/>
  <c r="S40" i="52"/>
  <c r="R40" i="52"/>
  <c r="R41" i="52"/>
  <c r="L5" i="69"/>
  <c r="M5" i="69" s="1"/>
  <c r="B16" i="68" s="1"/>
  <c r="Q293" i="17"/>
  <c r="C35" i="18" l="1"/>
  <c r="Q39" i="52"/>
  <c r="R39" i="52"/>
  <c r="S39" i="52"/>
  <c r="Q41" i="52"/>
  <c r="S41" i="52"/>
  <c r="D82" i="69" l="1"/>
  <c r="C82" i="69"/>
  <c r="H82" i="69" l="1"/>
  <c r="L82" i="69"/>
  <c r="I82" i="69"/>
  <c r="J82" i="69"/>
  <c r="K82" i="69" l="1"/>
  <c r="M82" i="69" s="1"/>
  <c r="B56" i="17" l="1"/>
  <c r="F56" i="17" l="1"/>
  <c r="S293" i="17" l="1"/>
  <c r="J81" i="17" l="1"/>
  <c r="J85" i="17"/>
  <c r="K81" i="17"/>
  <c r="K85" i="17"/>
  <c r="L1074" i="29" l="1"/>
  <c r="M155" i="48" l="1"/>
  <c r="I56" i="17"/>
  <c r="S277" i="17" l="1"/>
  <c r="S278" i="17"/>
  <c r="A10" i="3" l="1"/>
  <c r="A11" i="3" s="1"/>
  <c r="B11" i="3" s="1"/>
  <c r="E278" i="17"/>
  <c r="A12" i="3" l="1"/>
  <c r="A13" i="3" s="1"/>
  <c r="I2" i="43"/>
  <c r="A9" i="3"/>
  <c r="H2" i="43"/>
  <c r="B10" i="3"/>
  <c r="I3" i="43"/>
  <c r="B12" i="3" l="1"/>
  <c r="J2" i="43"/>
  <c r="H3" i="43"/>
  <c r="G2" i="43"/>
  <c r="B9" i="3"/>
  <c r="J3" i="43"/>
  <c r="K2" i="43"/>
  <c r="A14" i="3"/>
  <c r="B13" i="3"/>
  <c r="G3" i="43" l="1"/>
  <c r="L2" i="43"/>
  <c r="A15" i="3"/>
  <c r="B14" i="3"/>
  <c r="K3" i="43"/>
  <c r="A16" i="3" l="1"/>
  <c r="B15" i="3"/>
  <c r="M2" i="43"/>
  <c r="L3" i="43"/>
  <c r="M3" i="43" l="1"/>
  <c r="B16" i="3"/>
  <c r="N2" i="43"/>
  <c r="N3" i="43" l="1"/>
  <c r="P17" i="52" l="1"/>
  <c r="A8" i="3" l="1"/>
  <c r="A7" i="3" s="1"/>
  <c r="A6" i="3" s="1"/>
  <c r="A5" i="3" s="1"/>
  <c r="AD2" i="29" s="1"/>
  <c r="AI2" i="29" s="1"/>
  <c r="AF2" i="29" s="1"/>
  <c r="H5" i="69"/>
  <c r="G31" i="70"/>
  <c r="M31" i="70" s="1"/>
  <c r="E31" i="68" s="1"/>
  <c r="N7" i="43"/>
  <c r="M58" i="43"/>
  <c r="M7" i="43"/>
  <c r="L58" i="43"/>
  <c r="G58" i="43"/>
  <c r="K7" i="43"/>
  <c r="J7" i="43"/>
  <c r="J58" i="43"/>
  <c r="H7" i="43"/>
  <c r="I58" i="43"/>
  <c r="AV4" i="4"/>
  <c r="AV5" i="4" s="1"/>
  <c r="B5" i="3"/>
  <c r="D2" i="43"/>
  <c r="D58" i="43" s="1"/>
  <c r="B6" i="3"/>
  <c r="B8" i="3"/>
  <c r="B7" i="3"/>
  <c r="E2" i="43"/>
  <c r="E7" i="43" s="1"/>
  <c r="E56" i="43" s="1"/>
  <c r="F2" i="43" l="1"/>
  <c r="F7" i="43" s="1"/>
  <c r="F56" i="43" s="1"/>
  <c r="C2" i="43"/>
  <c r="I7" i="43"/>
  <c r="G7" i="43"/>
  <c r="L7" i="43"/>
  <c r="L56" i="43" s="1"/>
  <c r="L57" i="43" s="1"/>
  <c r="N58" i="43"/>
  <c r="H58" i="43"/>
  <c r="K58" i="43"/>
  <c r="A18" i="3"/>
  <c r="B18" i="3" s="1"/>
  <c r="C58" i="43"/>
  <c r="C3" i="43"/>
  <c r="C7" i="43"/>
  <c r="C56" i="43" s="1"/>
  <c r="E3" i="43"/>
  <c r="E44" i="43" s="1"/>
  <c r="D7" i="43"/>
  <c r="D56" i="43" s="1"/>
  <c r="D57" i="43" s="1"/>
  <c r="E58" i="43"/>
  <c r="E57" i="43" s="1"/>
  <c r="D3" i="43"/>
  <c r="B4" i="4"/>
  <c r="AM4" i="4" s="1"/>
  <c r="AU4" i="4"/>
  <c r="B2" i="29"/>
  <c r="AD3" i="29"/>
  <c r="B5" i="4"/>
  <c r="AV6" i="4"/>
  <c r="AY5" i="4"/>
  <c r="I74" i="43"/>
  <c r="J23" i="43"/>
  <c r="J45" i="43"/>
  <c r="J56" i="43"/>
  <c r="J43" i="43"/>
  <c r="J44" i="43"/>
  <c r="M43" i="43"/>
  <c r="M56" i="43"/>
  <c r="M45" i="43"/>
  <c r="M23" i="43"/>
  <c r="M44" i="43"/>
  <c r="N44" i="43"/>
  <c r="N23" i="43"/>
  <c r="N45" i="43"/>
  <c r="N56" i="43"/>
  <c r="N43" i="43"/>
  <c r="C23" i="43"/>
  <c r="G74" i="43"/>
  <c r="H44" i="43"/>
  <c r="H43" i="43"/>
  <c r="H45" i="43"/>
  <c r="H23" i="43"/>
  <c r="H56" i="43"/>
  <c r="H57" i="43" s="1"/>
  <c r="G45" i="43"/>
  <c r="G44" i="43"/>
  <c r="G56" i="43"/>
  <c r="G57" i="43" s="1"/>
  <c r="G43" i="43"/>
  <c r="G23" i="43"/>
  <c r="L74" i="43"/>
  <c r="F58" i="43"/>
  <c r="F57" i="43" s="1"/>
  <c r="D23" i="43"/>
  <c r="D45" i="43"/>
  <c r="E74" i="43"/>
  <c r="J57" i="43"/>
  <c r="J74" i="43"/>
  <c r="K43" i="43"/>
  <c r="K56" i="43"/>
  <c r="K57" i="43" s="1"/>
  <c r="K44" i="43"/>
  <c r="K23" i="43"/>
  <c r="K45" i="43"/>
  <c r="L45" i="43"/>
  <c r="L23" i="43"/>
  <c r="M57" i="43"/>
  <c r="M74" i="43"/>
  <c r="D44" i="43"/>
  <c r="AY4" i="4"/>
  <c r="C74" i="43"/>
  <c r="D43" i="43"/>
  <c r="C43" i="43"/>
  <c r="AE2" i="29"/>
  <c r="AA2" i="29" s="1"/>
  <c r="I44" i="43"/>
  <c r="I23" i="43"/>
  <c r="I45" i="43"/>
  <c r="I43" i="43"/>
  <c r="I56" i="43"/>
  <c r="I57" i="43" s="1"/>
  <c r="K74" i="43"/>
  <c r="N74" i="43"/>
  <c r="N57" i="43"/>
  <c r="D74" i="43"/>
  <c r="C44" i="43"/>
  <c r="C45" i="43"/>
  <c r="H74" i="43"/>
  <c r="E45" i="43" l="1"/>
  <c r="E43" i="43"/>
  <c r="F3" i="43"/>
  <c r="L44" i="43"/>
  <c r="E23" i="43"/>
  <c r="L43" i="43"/>
  <c r="F4" i="4"/>
  <c r="AL4" i="4"/>
  <c r="AJ4" i="4"/>
  <c r="L4" i="4"/>
  <c r="O4" i="4"/>
  <c r="AH4" i="4"/>
  <c r="N4" i="4"/>
  <c r="K4" i="4"/>
  <c r="P4" i="4"/>
  <c r="J4" i="4"/>
  <c r="M4" i="4"/>
  <c r="AI4" i="4"/>
  <c r="AK4" i="4"/>
  <c r="K123" i="43"/>
  <c r="H123" i="43"/>
  <c r="C57" i="43"/>
  <c r="AD4" i="29"/>
  <c r="B3" i="29"/>
  <c r="AI3" i="29"/>
  <c r="E2" i="29"/>
  <c r="R2" i="29"/>
  <c r="S2" i="29"/>
  <c r="U2" i="29"/>
  <c r="T2" i="29"/>
  <c r="G2" i="29"/>
  <c r="Q2" i="29"/>
  <c r="N123" i="43"/>
  <c r="D123" i="43"/>
  <c r="M123" i="43"/>
  <c r="J123" i="43"/>
  <c r="I2" i="29"/>
  <c r="J2" i="29"/>
  <c r="C123" i="43"/>
  <c r="AX4" i="4"/>
  <c r="AW4" i="4"/>
  <c r="E123" i="43"/>
  <c r="L123" i="43"/>
  <c r="I123" i="43"/>
  <c r="AW5" i="4"/>
  <c r="AX5" i="4"/>
  <c r="F45" i="43"/>
  <c r="F74" i="43"/>
  <c r="F43" i="43"/>
  <c r="O43" i="43" s="1"/>
  <c r="F23" i="43"/>
  <c r="O23" i="43" s="1"/>
  <c r="F44" i="43"/>
  <c r="O44" i="43" s="1"/>
  <c r="B6" i="4"/>
  <c r="AY6" i="4"/>
  <c r="AV7" i="4"/>
  <c r="O45" i="43"/>
  <c r="G123" i="43"/>
  <c r="AL5" i="4"/>
  <c r="AI5" i="4"/>
  <c r="AJ5" i="4"/>
  <c r="AK5" i="4"/>
  <c r="M5" i="4"/>
  <c r="AM5" i="4"/>
  <c r="O5" i="4"/>
  <c r="N5" i="4"/>
  <c r="AH5" i="4"/>
  <c r="L5" i="4"/>
  <c r="F5" i="4"/>
  <c r="J5" i="4"/>
  <c r="P5" i="4"/>
  <c r="K5" i="4"/>
  <c r="AB2" i="29" l="1"/>
  <c r="K2" i="29"/>
  <c r="N2" i="29" s="1"/>
  <c r="AF4" i="4"/>
  <c r="Y2" i="29"/>
  <c r="O2" i="29"/>
  <c r="AE3" i="29"/>
  <c r="AA3" i="29" s="1"/>
  <c r="AF3" i="29"/>
  <c r="E3" i="29"/>
  <c r="S3" i="29"/>
  <c r="U3" i="29"/>
  <c r="Q3" i="29"/>
  <c r="G3" i="29"/>
  <c r="R3" i="29"/>
  <c r="T3" i="29"/>
  <c r="AD5" i="29"/>
  <c r="B4" i="29"/>
  <c r="AI4" i="29"/>
  <c r="B7" i="4"/>
  <c r="AY7" i="4"/>
  <c r="AV8" i="4"/>
  <c r="AW6" i="4"/>
  <c r="AX6" i="4"/>
  <c r="F123" i="43"/>
  <c r="O123" i="43" s="1"/>
  <c r="U5" i="4"/>
  <c r="AP5" i="4" s="1"/>
  <c r="R5" i="4"/>
  <c r="Z5" i="4" s="1"/>
  <c r="W5" i="4"/>
  <c r="AB5" i="4" s="1"/>
  <c r="Q5" i="4"/>
  <c r="Y5" i="4" s="1"/>
  <c r="V5" i="4"/>
  <c r="AA5" i="4" s="1"/>
  <c r="X5" i="4"/>
  <c r="AC5" i="4" s="1"/>
  <c r="R4" i="4"/>
  <c r="Z4" i="4" s="1"/>
  <c r="W4" i="4"/>
  <c r="AB4" i="4" s="1"/>
  <c r="X4" i="4"/>
  <c r="AC4" i="4" s="1"/>
  <c r="V4" i="4"/>
  <c r="AA4" i="4" s="1"/>
  <c r="Q4" i="4"/>
  <c r="Y4" i="4" s="1"/>
  <c r="U4" i="4"/>
  <c r="AP4" i="4" s="1"/>
  <c r="O74" i="43"/>
  <c r="AH6" i="4"/>
  <c r="K6" i="4"/>
  <c r="AJ6" i="4"/>
  <c r="F6" i="4"/>
  <c r="AK6" i="4"/>
  <c r="L6" i="4"/>
  <c r="AL6" i="4"/>
  <c r="J6" i="4"/>
  <c r="AI6" i="4"/>
  <c r="P6" i="4"/>
  <c r="AM6" i="4"/>
  <c r="N6" i="4"/>
  <c r="M6" i="4"/>
  <c r="O6" i="4"/>
  <c r="AF5" i="4"/>
  <c r="AQ5" i="4" l="1"/>
  <c r="AQ4" i="4"/>
  <c r="AB3" i="29"/>
  <c r="AE5" i="4"/>
  <c r="AE4" i="4"/>
  <c r="B5" i="29"/>
  <c r="AD6" i="29"/>
  <c r="AI5" i="29"/>
  <c r="O3" i="29"/>
  <c r="J3" i="29"/>
  <c r="Y3" i="29" s="1"/>
  <c r="I3" i="29"/>
  <c r="Z2" i="29"/>
  <c r="AE4" i="29"/>
  <c r="AA4" i="29" s="1"/>
  <c r="AF4" i="29"/>
  <c r="E4" i="29"/>
  <c r="R4" i="29"/>
  <c r="U4" i="29"/>
  <c r="T4" i="29"/>
  <c r="G4" i="29"/>
  <c r="S4" i="29"/>
  <c r="Q4" i="29"/>
  <c r="AF6" i="4"/>
  <c r="V2" i="29"/>
  <c r="P2" i="29"/>
  <c r="B8" i="4"/>
  <c r="AY8" i="4"/>
  <c r="AV9" i="4"/>
  <c r="R6" i="4"/>
  <c r="Z6" i="4" s="1"/>
  <c r="W6" i="4"/>
  <c r="AB6" i="4" s="1"/>
  <c r="X6" i="4"/>
  <c r="AC6" i="4" s="1"/>
  <c r="U6" i="4"/>
  <c r="AP6" i="4" s="1"/>
  <c r="V6" i="4"/>
  <c r="AA6" i="4" s="1"/>
  <c r="Q6" i="4"/>
  <c r="Y6" i="4" s="1"/>
  <c r="AW7" i="4"/>
  <c r="AX7" i="4"/>
  <c r="AJ7" i="4"/>
  <c r="N7" i="4"/>
  <c r="M7" i="4"/>
  <c r="AM7" i="4"/>
  <c r="L7" i="4"/>
  <c r="AL7" i="4"/>
  <c r="AI7" i="4"/>
  <c r="J7" i="4"/>
  <c r="K7" i="4"/>
  <c r="AK7" i="4"/>
  <c r="F7" i="4"/>
  <c r="P7" i="4"/>
  <c r="AH7" i="4"/>
  <c r="O7" i="4"/>
  <c r="AB4" i="29" l="1"/>
  <c r="K3" i="29"/>
  <c r="N3" i="29" s="1"/>
  <c r="AQ6" i="4"/>
  <c r="AE6" i="4"/>
  <c r="J4" i="29"/>
  <c r="Y4" i="29" s="1"/>
  <c r="I4" i="29"/>
  <c r="K4" i="29" s="1"/>
  <c r="Z3" i="29"/>
  <c r="AF5" i="29"/>
  <c r="AE5" i="29"/>
  <c r="AA5" i="29" s="1"/>
  <c r="B6" i="29"/>
  <c r="AD7" i="29"/>
  <c r="AI6" i="29"/>
  <c r="O4" i="29"/>
  <c r="E5" i="29"/>
  <c r="U5" i="29"/>
  <c r="R5" i="29"/>
  <c r="Q5" i="29"/>
  <c r="G5" i="29"/>
  <c r="T5" i="29"/>
  <c r="S5" i="29"/>
  <c r="AN5" i="4"/>
  <c r="AO5" i="4" s="1"/>
  <c r="AG5" i="4"/>
  <c r="W2" i="29"/>
  <c r="W7" i="4"/>
  <c r="AB7" i="4" s="1"/>
  <c r="Q7" i="4"/>
  <c r="Y7" i="4" s="1"/>
  <c r="U7" i="4"/>
  <c r="AP7" i="4" s="1"/>
  <c r="R7" i="4"/>
  <c r="Z7" i="4" s="1"/>
  <c r="V7" i="4"/>
  <c r="AA7" i="4" s="1"/>
  <c r="X7" i="4"/>
  <c r="AC7" i="4" s="1"/>
  <c r="AD6" i="4"/>
  <c r="AV10" i="4"/>
  <c r="AY9" i="4"/>
  <c r="B9" i="4"/>
  <c r="AF7" i="4"/>
  <c r="AD4" i="4"/>
  <c r="AW8" i="4"/>
  <c r="AX8" i="4"/>
  <c r="AJ8" i="4"/>
  <c r="AM8" i="4"/>
  <c r="P8" i="4"/>
  <c r="J8" i="4"/>
  <c r="AL8" i="4"/>
  <c r="K8" i="4"/>
  <c r="L8" i="4"/>
  <c r="AH8" i="4"/>
  <c r="F8" i="4"/>
  <c r="N8" i="4"/>
  <c r="AI8" i="4"/>
  <c r="M8" i="4"/>
  <c r="O8" i="4"/>
  <c r="AK8" i="4"/>
  <c r="AD5" i="4"/>
  <c r="V3" i="29" l="1"/>
  <c r="W3" i="29" s="1"/>
  <c r="P3" i="29"/>
  <c r="AB5" i="29"/>
  <c r="N4" i="29"/>
  <c r="AQ7" i="4"/>
  <c r="AE7" i="4"/>
  <c r="I5" i="29"/>
  <c r="J5" i="29"/>
  <c r="Y5" i="29" s="1"/>
  <c r="AE6" i="29"/>
  <c r="AA6" i="29" s="1"/>
  <c r="AF6" i="29"/>
  <c r="V4" i="29"/>
  <c r="W4" i="29" s="1"/>
  <c r="P4" i="29"/>
  <c r="AD8" i="29"/>
  <c r="B7" i="29"/>
  <c r="AI7" i="29"/>
  <c r="O5" i="29"/>
  <c r="Z4" i="29"/>
  <c r="E6" i="29"/>
  <c r="U6" i="29"/>
  <c r="Q6" i="29"/>
  <c r="S6" i="29"/>
  <c r="T6" i="29"/>
  <c r="R6" i="29"/>
  <c r="G6" i="29"/>
  <c r="AW9" i="4"/>
  <c r="AX9" i="4"/>
  <c r="AN4" i="4"/>
  <c r="AG4" i="4"/>
  <c r="B10" i="4"/>
  <c r="AV11" i="4"/>
  <c r="AY10" i="4"/>
  <c r="AF8" i="4"/>
  <c r="V8" i="4"/>
  <c r="AA8" i="4" s="1"/>
  <c r="U8" i="4"/>
  <c r="AP8" i="4" s="1"/>
  <c r="W8" i="4"/>
  <c r="AB8" i="4" s="1"/>
  <c r="R8" i="4"/>
  <c r="Z8" i="4" s="1"/>
  <c r="Q8" i="4"/>
  <c r="Y8" i="4" s="1"/>
  <c r="X8" i="4"/>
  <c r="AC8" i="4" s="1"/>
  <c r="AH9" i="4"/>
  <c r="AM9" i="4"/>
  <c r="O9" i="4"/>
  <c r="J9" i="4"/>
  <c r="F9" i="4"/>
  <c r="AI9" i="4"/>
  <c r="N9" i="4"/>
  <c r="L9" i="4"/>
  <c r="M9" i="4"/>
  <c r="P9" i="4"/>
  <c r="AJ9" i="4"/>
  <c r="K9" i="4"/>
  <c r="AK9" i="4"/>
  <c r="AL9" i="4"/>
  <c r="K5" i="29" l="1"/>
  <c r="N5" i="29" s="1"/>
  <c r="AQ8" i="4"/>
  <c r="AB6" i="29"/>
  <c r="AE8" i="4"/>
  <c r="Z5" i="29"/>
  <c r="E7" i="29"/>
  <c r="Q7" i="29"/>
  <c r="U7" i="29"/>
  <c r="R7" i="29"/>
  <c r="S7" i="29"/>
  <c r="G7" i="29"/>
  <c r="T7" i="29"/>
  <c r="AD9" i="29"/>
  <c r="B8" i="29"/>
  <c r="AI8" i="29"/>
  <c r="O6" i="29"/>
  <c r="AE7" i="29"/>
  <c r="AA7" i="29" s="1"/>
  <c r="AF7" i="29"/>
  <c r="J6" i="29"/>
  <c r="Y6" i="29" s="1"/>
  <c r="I6" i="29"/>
  <c r="AW10" i="4"/>
  <c r="AX10" i="4"/>
  <c r="AF9" i="4"/>
  <c r="AV12" i="4"/>
  <c r="B11" i="4"/>
  <c r="AY11" i="4"/>
  <c r="AO4" i="4"/>
  <c r="Q9" i="4"/>
  <c r="Y9" i="4" s="1"/>
  <c r="U9" i="4"/>
  <c r="AP9" i="4" s="1"/>
  <c r="W9" i="4"/>
  <c r="AB9" i="4" s="1"/>
  <c r="R9" i="4"/>
  <c r="Z9" i="4" s="1"/>
  <c r="X9" i="4"/>
  <c r="AC9" i="4" s="1"/>
  <c r="V9" i="4"/>
  <c r="AA9" i="4" s="1"/>
  <c r="AM10" i="4"/>
  <c r="L10" i="4"/>
  <c r="N10" i="4"/>
  <c r="K10" i="4"/>
  <c r="J10" i="4"/>
  <c r="AH10" i="4"/>
  <c r="P10" i="4"/>
  <c r="AI10" i="4"/>
  <c r="O10" i="4"/>
  <c r="AJ10" i="4"/>
  <c r="AK10" i="4"/>
  <c r="M10" i="4"/>
  <c r="F10" i="4"/>
  <c r="AL10" i="4"/>
  <c r="AN6" i="4"/>
  <c r="AO6" i="4" s="1"/>
  <c r="AG6" i="4"/>
  <c r="AG7" i="4"/>
  <c r="AN7" i="4"/>
  <c r="AO7" i="4" s="1"/>
  <c r="AD7" i="4"/>
  <c r="V5" i="29" l="1"/>
  <c r="W5" i="29" s="1"/>
  <c r="P5" i="29"/>
  <c r="K6" i="29"/>
  <c r="N6" i="29" s="1"/>
  <c r="AQ9" i="4"/>
  <c r="AB7" i="29"/>
  <c r="AE9" i="4"/>
  <c r="E8" i="29"/>
  <c r="S8" i="29"/>
  <c r="T8" i="29"/>
  <c r="G8" i="29"/>
  <c r="U8" i="29"/>
  <c r="R8" i="29"/>
  <c r="Q8" i="29"/>
  <c r="B9" i="29"/>
  <c r="AD10" i="29"/>
  <c r="AI9" i="29"/>
  <c r="J7" i="29"/>
  <c r="Y7" i="29" s="1"/>
  <c r="I7" i="29"/>
  <c r="Z6" i="29"/>
  <c r="AE8" i="29"/>
  <c r="AA8" i="29" s="1"/>
  <c r="AF8" i="29"/>
  <c r="O7" i="29"/>
  <c r="AD8" i="4"/>
  <c r="AK11" i="4"/>
  <c r="AM11" i="4"/>
  <c r="K11" i="4"/>
  <c r="F11" i="4"/>
  <c r="AI11" i="4"/>
  <c r="M11" i="4"/>
  <c r="O11" i="4"/>
  <c r="AL11" i="4"/>
  <c r="AH11" i="4"/>
  <c r="N11" i="4"/>
  <c r="J11" i="4"/>
  <c r="P11" i="4"/>
  <c r="L11" i="4"/>
  <c r="AJ11" i="4"/>
  <c r="W10" i="4"/>
  <c r="AB10" i="4" s="1"/>
  <c r="U10" i="4"/>
  <c r="AP10" i="4" s="1"/>
  <c r="X10" i="4"/>
  <c r="AC10" i="4" s="1"/>
  <c r="Q10" i="4"/>
  <c r="Y10" i="4" s="1"/>
  <c r="V10" i="4"/>
  <c r="AA10" i="4" s="1"/>
  <c r="R10" i="4"/>
  <c r="Z10" i="4" s="1"/>
  <c r="AQ10" i="4" s="1"/>
  <c r="AY12" i="4"/>
  <c r="AV13" i="4"/>
  <c r="B12" i="4"/>
  <c r="AF10" i="4"/>
  <c r="AW11" i="4"/>
  <c r="AX11" i="4"/>
  <c r="P6" i="29" l="1"/>
  <c r="V6" i="29"/>
  <c r="W6" i="29" s="1"/>
  <c r="K7" i="29"/>
  <c r="N7" i="29" s="1"/>
  <c r="AB8" i="29"/>
  <c r="AE10" i="4"/>
  <c r="E9" i="29"/>
  <c r="Q9" i="29"/>
  <c r="G9" i="29"/>
  <c r="S9" i="29"/>
  <c r="R9" i="29"/>
  <c r="U9" i="29"/>
  <c r="T9" i="29"/>
  <c r="Z7" i="29"/>
  <c r="AE9" i="29"/>
  <c r="AA9" i="29" s="1"/>
  <c r="AF9" i="29"/>
  <c r="J8" i="29"/>
  <c r="Y8" i="29" s="1"/>
  <c r="I8" i="29"/>
  <c r="B10" i="29"/>
  <c r="AD11" i="29"/>
  <c r="AI10" i="29"/>
  <c r="O8" i="29"/>
  <c r="J12" i="4"/>
  <c r="AJ12" i="4"/>
  <c r="M12" i="4"/>
  <c r="AI12" i="4"/>
  <c r="K12" i="4"/>
  <c r="AM12" i="4"/>
  <c r="F12" i="4"/>
  <c r="P12" i="4"/>
  <c r="O12" i="4"/>
  <c r="N12" i="4"/>
  <c r="AH12" i="4"/>
  <c r="AL12" i="4"/>
  <c r="AK12" i="4"/>
  <c r="L12" i="4"/>
  <c r="AD9" i="4"/>
  <c r="AG8" i="4"/>
  <c r="AN8" i="4"/>
  <c r="W11" i="4"/>
  <c r="AB11" i="4" s="1"/>
  <c r="Q11" i="4"/>
  <c r="Y11" i="4" s="1"/>
  <c r="X11" i="4"/>
  <c r="AC11" i="4" s="1"/>
  <c r="R11" i="4"/>
  <c r="Z11" i="4" s="1"/>
  <c r="V11" i="4"/>
  <c r="AA11" i="4" s="1"/>
  <c r="U11" i="4"/>
  <c r="AP11" i="4" s="1"/>
  <c r="AV14" i="4"/>
  <c r="AY13" i="4"/>
  <c r="B13" i="4"/>
  <c r="AX12" i="4"/>
  <c r="AW12" i="4"/>
  <c r="AF11" i="4"/>
  <c r="AL13" i="4" l="1"/>
  <c r="AH13" i="4"/>
  <c r="M13" i="4"/>
  <c r="F13" i="4"/>
  <c r="AK13" i="4"/>
  <c r="P13" i="4"/>
  <c r="L13" i="4"/>
  <c r="AM13" i="4"/>
  <c r="N13" i="4"/>
  <c r="AI13" i="4"/>
  <c r="O13" i="4"/>
  <c r="AJ13" i="4"/>
  <c r="K13" i="4"/>
  <c r="J13" i="4"/>
  <c r="V7" i="29"/>
  <c r="W7" i="29" s="1"/>
  <c r="P7" i="29"/>
  <c r="K8" i="29"/>
  <c r="N8" i="29" s="1"/>
  <c r="AQ11" i="4"/>
  <c r="AB9" i="29"/>
  <c r="AE11" i="4"/>
  <c r="O9" i="29"/>
  <c r="AD12" i="29"/>
  <c r="B11" i="29"/>
  <c r="AI11" i="29"/>
  <c r="I9" i="29"/>
  <c r="K9" i="29" s="1"/>
  <c r="J9" i="29"/>
  <c r="Y9" i="29" s="1"/>
  <c r="AF10" i="29"/>
  <c r="AE10" i="29"/>
  <c r="AA10" i="29" s="1"/>
  <c r="E10" i="29"/>
  <c r="G10" i="29"/>
  <c r="U10" i="29"/>
  <c r="T10" i="29"/>
  <c r="S10" i="29"/>
  <c r="R10" i="29"/>
  <c r="Q10" i="29"/>
  <c r="Z8" i="29"/>
  <c r="AN10" i="4"/>
  <c r="AO10" i="4" s="1"/>
  <c r="AF12" i="4"/>
  <c r="AG9" i="4"/>
  <c r="AN9" i="4"/>
  <c r="AO9" i="4" s="1"/>
  <c r="AX13" i="4"/>
  <c r="AW13" i="4"/>
  <c r="AD10" i="4"/>
  <c r="R12" i="4"/>
  <c r="Z12" i="4" s="1"/>
  <c r="W12" i="4"/>
  <c r="AB12" i="4" s="1"/>
  <c r="V12" i="4"/>
  <c r="AA12" i="4" s="1"/>
  <c r="U12" i="4"/>
  <c r="AP12" i="4" s="1"/>
  <c r="X12" i="4"/>
  <c r="AC12" i="4" s="1"/>
  <c r="Q12" i="4"/>
  <c r="Y12" i="4" s="1"/>
  <c r="B14" i="4"/>
  <c r="AY14" i="4"/>
  <c r="AV15" i="4"/>
  <c r="AO8" i="4"/>
  <c r="AJ14" i="4" l="1"/>
  <c r="O14" i="4"/>
  <c r="K14" i="4"/>
  <c r="AM14" i="4"/>
  <c r="AI14" i="4"/>
  <c r="N14" i="4"/>
  <c r="J14" i="4"/>
  <c r="P14" i="4"/>
  <c r="AK14" i="4"/>
  <c r="AH14" i="4"/>
  <c r="AL14" i="4"/>
  <c r="M14" i="4"/>
  <c r="L14" i="4"/>
  <c r="F14" i="4"/>
  <c r="V8" i="29"/>
  <c r="W8" i="29" s="1"/>
  <c r="P8" i="29"/>
  <c r="N9" i="29"/>
  <c r="P9" i="29" s="1"/>
  <c r="AQ12" i="4"/>
  <c r="AB10" i="29"/>
  <c r="AE12" i="4"/>
  <c r="Z9" i="29"/>
  <c r="J10" i="29"/>
  <c r="Y10" i="29" s="1"/>
  <c r="I10" i="29"/>
  <c r="O10" i="29"/>
  <c r="AE11" i="29"/>
  <c r="AA11" i="29" s="1"/>
  <c r="AF11" i="29"/>
  <c r="E11" i="29"/>
  <c r="Q11" i="29"/>
  <c r="T11" i="29"/>
  <c r="R11" i="29"/>
  <c r="S11" i="29"/>
  <c r="U11" i="29"/>
  <c r="G11" i="29"/>
  <c r="AD13" i="29"/>
  <c r="B12" i="29"/>
  <c r="AI12" i="29"/>
  <c r="AG10" i="4"/>
  <c r="AD11" i="4"/>
  <c r="AG11" i="4"/>
  <c r="AN11" i="4"/>
  <c r="AF13" i="4"/>
  <c r="AW14" i="4"/>
  <c r="AX14" i="4"/>
  <c r="B15" i="4"/>
  <c r="AY15" i="4"/>
  <c r="AV16" i="4"/>
  <c r="Q13" i="4"/>
  <c r="Y13" i="4" s="1"/>
  <c r="U13" i="4"/>
  <c r="AP13" i="4" s="1"/>
  <c r="X13" i="4"/>
  <c r="AC13" i="4" s="1"/>
  <c r="R13" i="4"/>
  <c r="Z13" i="4" s="1"/>
  <c r="W13" i="4"/>
  <c r="AB13" i="4" s="1"/>
  <c r="V13" i="4"/>
  <c r="AA13" i="4" s="1"/>
  <c r="V9" i="29" l="1"/>
  <c r="W9" i="29" s="1"/>
  <c r="AL15" i="4"/>
  <c r="AH15" i="4"/>
  <c r="M15" i="4"/>
  <c r="F15" i="4"/>
  <c r="AK15" i="4"/>
  <c r="P15" i="4"/>
  <c r="L15" i="4"/>
  <c r="AI15" i="4"/>
  <c r="J15" i="4"/>
  <c r="AM15" i="4"/>
  <c r="AJ15" i="4"/>
  <c r="O15" i="4"/>
  <c r="N15" i="4"/>
  <c r="K15" i="4"/>
  <c r="AB11" i="29"/>
  <c r="K10" i="29"/>
  <c r="N10" i="29" s="1"/>
  <c r="AQ13" i="4"/>
  <c r="AE13" i="4"/>
  <c r="O11" i="29"/>
  <c r="AE12" i="29"/>
  <c r="AA12" i="29" s="1"/>
  <c r="AF12" i="29"/>
  <c r="E12" i="29"/>
  <c r="U12" i="29"/>
  <c r="G12" i="29"/>
  <c r="R12" i="29"/>
  <c r="Q12" i="29"/>
  <c r="S12" i="29"/>
  <c r="T12" i="29"/>
  <c r="B13" i="29"/>
  <c r="AD14" i="29"/>
  <c r="AI13" i="29"/>
  <c r="I11" i="29"/>
  <c r="K11" i="29" s="1"/>
  <c r="J11" i="29"/>
  <c r="Y11" i="29" s="1"/>
  <c r="Z11" i="29" s="1"/>
  <c r="Z10" i="29"/>
  <c r="AG12" i="4"/>
  <c r="AN12" i="4"/>
  <c r="AO12" i="4" s="1"/>
  <c r="U14" i="4"/>
  <c r="AP14" i="4" s="1"/>
  <c r="V14" i="4"/>
  <c r="AA14" i="4" s="1"/>
  <c r="X14" i="4"/>
  <c r="AC14" i="4" s="1"/>
  <c r="R14" i="4"/>
  <c r="Z14" i="4" s="1"/>
  <c r="W14" i="4"/>
  <c r="AB14" i="4" s="1"/>
  <c r="Q14" i="4"/>
  <c r="Y14" i="4" s="1"/>
  <c r="AO11" i="4"/>
  <c r="AY16" i="4"/>
  <c r="B16" i="4"/>
  <c r="AV17" i="4"/>
  <c r="AD12" i="4"/>
  <c r="AX15" i="4"/>
  <c r="AW15" i="4"/>
  <c r="AF14" i="4"/>
  <c r="V10" i="29" l="1"/>
  <c r="W10" i="29" s="1"/>
  <c r="P10" i="29"/>
  <c r="AB12" i="29"/>
  <c r="N11" i="29"/>
  <c r="AQ14" i="4"/>
  <c r="AE14" i="4"/>
  <c r="E13" i="29"/>
  <c r="G13" i="29"/>
  <c r="T13" i="29"/>
  <c r="U13" i="29"/>
  <c r="Q13" i="29"/>
  <c r="S13" i="29"/>
  <c r="R13" i="29"/>
  <c r="V11" i="29"/>
  <c r="W11" i="29" s="1"/>
  <c r="P11" i="29"/>
  <c r="AF13" i="29"/>
  <c r="AE13" i="29"/>
  <c r="AA13" i="29" s="1"/>
  <c r="J12" i="29"/>
  <c r="Y12" i="29" s="1"/>
  <c r="I12" i="29"/>
  <c r="B14" i="29"/>
  <c r="AD15" i="29"/>
  <c r="AI14" i="29"/>
  <c r="O12" i="29"/>
  <c r="AG13" i="4"/>
  <c r="AN13" i="4"/>
  <c r="B17" i="4"/>
  <c r="AV18" i="4"/>
  <c r="AY17" i="4"/>
  <c r="N16" i="4"/>
  <c r="AH16" i="4"/>
  <c r="K16" i="4"/>
  <c r="F16" i="4"/>
  <c r="P16" i="4"/>
  <c r="AL16" i="4"/>
  <c r="M16" i="4"/>
  <c r="AK16" i="4"/>
  <c r="O16" i="4"/>
  <c r="J16" i="4"/>
  <c r="L16" i="4"/>
  <c r="AJ16" i="4"/>
  <c r="AI16" i="4"/>
  <c r="AM16" i="4"/>
  <c r="AD13" i="4"/>
  <c r="R15" i="4"/>
  <c r="Z15" i="4" s="1"/>
  <c r="W15" i="4"/>
  <c r="AB15" i="4" s="1"/>
  <c r="X15" i="4"/>
  <c r="AC15" i="4" s="1"/>
  <c r="U15" i="4"/>
  <c r="AP15" i="4" s="1"/>
  <c r="V15" i="4"/>
  <c r="AA15" i="4" s="1"/>
  <c r="Q15" i="4"/>
  <c r="Y15" i="4" s="1"/>
  <c r="AX16" i="4"/>
  <c r="AW16" i="4"/>
  <c r="AD14" i="4"/>
  <c r="AF15" i="4"/>
  <c r="K12" i="29" l="1"/>
  <c r="N12" i="29" s="1"/>
  <c r="AQ15" i="4"/>
  <c r="AB13" i="29"/>
  <c r="AE15" i="4"/>
  <c r="AF14" i="29"/>
  <c r="AE14" i="29"/>
  <c r="AA14" i="29" s="1"/>
  <c r="AD16" i="29"/>
  <c r="B15" i="29"/>
  <c r="AI15" i="29"/>
  <c r="E14" i="29"/>
  <c r="S14" i="29"/>
  <c r="R14" i="29"/>
  <c r="Q14" i="29"/>
  <c r="T14" i="29"/>
  <c r="G14" i="29"/>
  <c r="U14" i="29"/>
  <c r="J13" i="29"/>
  <c r="Y13" i="29" s="1"/>
  <c r="I13" i="29"/>
  <c r="K13" i="29" s="1"/>
  <c r="O13" i="29"/>
  <c r="Z12" i="29"/>
  <c r="AF16" i="4"/>
  <c r="W16" i="4"/>
  <c r="AB16" i="4" s="1"/>
  <c r="V16" i="4"/>
  <c r="AA16" i="4" s="1"/>
  <c r="Q16" i="4"/>
  <c r="Y16" i="4" s="1"/>
  <c r="R16" i="4"/>
  <c r="Z16" i="4" s="1"/>
  <c r="U16" i="4"/>
  <c r="AP16" i="4" s="1"/>
  <c r="X16" i="4"/>
  <c r="AC16" i="4" s="1"/>
  <c r="L17" i="4"/>
  <c r="N17" i="4"/>
  <c r="J17" i="4"/>
  <c r="K17" i="4"/>
  <c r="P17" i="4"/>
  <c r="O17" i="4"/>
  <c r="F17" i="4"/>
  <c r="M17" i="4"/>
  <c r="AJ17" i="4"/>
  <c r="AI17" i="4"/>
  <c r="AM17" i="4"/>
  <c r="AL17" i="4"/>
  <c r="AK17" i="4"/>
  <c r="AH17" i="4"/>
  <c r="AO13" i="4"/>
  <c r="AX17" i="4"/>
  <c r="AW17" i="4"/>
  <c r="B18" i="4"/>
  <c r="AY18" i="4"/>
  <c r="AV19" i="4"/>
  <c r="V12" i="29" l="1"/>
  <c r="W12" i="29" s="1"/>
  <c r="P12" i="29"/>
  <c r="AB14" i="29"/>
  <c r="N13" i="29"/>
  <c r="AQ16" i="4"/>
  <c r="AE16" i="4"/>
  <c r="O14" i="29"/>
  <c r="J14" i="29"/>
  <c r="Y14" i="29" s="1"/>
  <c r="I14" i="29"/>
  <c r="K14" i="29" s="1"/>
  <c r="P13" i="29"/>
  <c r="V13" i="29"/>
  <c r="W13" i="29" s="1"/>
  <c r="AE15" i="29"/>
  <c r="AA15" i="29" s="1"/>
  <c r="AF15" i="29"/>
  <c r="Z13" i="29"/>
  <c r="E15" i="29"/>
  <c r="Q15" i="29"/>
  <c r="R15" i="29"/>
  <c r="G15" i="29"/>
  <c r="T15" i="29"/>
  <c r="S15" i="29"/>
  <c r="U15" i="29"/>
  <c r="AD17" i="29"/>
  <c r="B16" i="29"/>
  <c r="AI16" i="29"/>
  <c r="AD16" i="4"/>
  <c r="AN15" i="4"/>
  <c r="AO15" i="4" s="1"/>
  <c r="AG15" i="4"/>
  <c r="AW18" i="4"/>
  <c r="AX18" i="4"/>
  <c r="AD15" i="4"/>
  <c r="AV20" i="4"/>
  <c r="AY19" i="4"/>
  <c r="B19" i="4"/>
  <c r="AM18" i="4"/>
  <c r="AH18" i="4"/>
  <c r="L18" i="4"/>
  <c r="O18" i="4"/>
  <c r="P18" i="4"/>
  <c r="J18" i="4"/>
  <c r="AI18" i="4"/>
  <c r="M18" i="4"/>
  <c r="N18" i="4"/>
  <c r="AJ18" i="4"/>
  <c r="AK18" i="4"/>
  <c r="AL18" i="4"/>
  <c r="K18" i="4"/>
  <c r="F18" i="4"/>
  <c r="AF17" i="4"/>
  <c r="U17" i="4"/>
  <c r="AP17" i="4" s="1"/>
  <c r="W17" i="4"/>
  <c r="AB17" i="4" s="1"/>
  <c r="V17" i="4"/>
  <c r="AA17" i="4" s="1"/>
  <c r="R17" i="4"/>
  <c r="Z17" i="4" s="1"/>
  <c r="X17" i="4"/>
  <c r="AC17" i="4" s="1"/>
  <c r="Q17" i="4"/>
  <c r="Y17" i="4" s="1"/>
  <c r="AG14" i="4"/>
  <c r="AN14" i="4"/>
  <c r="AO14" i="4" s="1"/>
  <c r="N14" i="29" l="1"/>
  <c r="AB15" i="29"/>
  <c r="AQ17" i="4"/>
  <c r="AE17" i="4"/>
  <c r="Z14" i="29"/>
  <c r="E16" i="29"/>
  <c r="R16" i="29"/>
  <c r="G16" i="29"/>
  <c r="S16" i="29"/>
  <c r="U16" i="29"/>
  <c r="Q16" i="29"/>
  <c r="T16" i="29"/>
  <c r="O15" i="29"/>
  <c r="P14" i="29"/>
  <c r="V14" i="29"/>
  <c r="W14" i="29" s="1"/>
  <c r="B17" i="29"/>
  <c r="AD18" i="29"/>
  <c r="AI17" i="29"/>
  <c r="AF16" i="29"/>
  <c r="AE16" i="29"/>
  <c r="AA16" i="29" s="1"/>
  <c r="J15" i="29"/>
  <c r="Y15" i="29" s="1"/>
  <c r="I15" i="29"/>
  <c r="AN16" i="4"/>
  <c r="AO16" i="4" s="1"/>
  <c r="AG16" i="4"/>
  <c r="N19" i="4"/>
  <c r="AI19" i="4"/>
  <c r="K19" i="4"/>
  <c r="L19" i="4"/>
  <c r="AJ19" i="4"/>
  <c r="F19" i="4"/>
  <c r="AL19" i="4"/>
  <c r="AK19" i="4"/>
  <c r="AM19" i="4"/>
  <c r="M19" i="4"/>
  <c r="O19" i="4"/>
  <c r="J19" i="4"/>
  <c r="AH19" i="4"/>
  <c r="P19" i="4"/>
  <c r="AX19" i="4"/>
  <c r="AW19" i="4"/>
  <c r="V18" i="4"/>
  <c r="AA18" i="4" s="1"/>
  <c r="U18" i="4"/>
  <c r="AP18" i="4" s="1"/>
  <c r="Q18" i="4"/>
  <c r="Y18" i="4" s="1"/>
  <c r="R18" i="4"/>
  <c r="Z18" i="4" s="1"/>
  <c r="W18" i="4"/>
  <c r="AB18" i="4" s="1"/>
  <c r="X18" i="4"/>
  <c r="AC18" i="4" s="1"/>
  <c r="AF18" i="4"/>
  <c r="B20" i="4"/>
  <c r="AV21" i="4"/>
  <c r="AY20" i="4"/>
  <c r="K15" i="29" l="1"/>
  <c r="N15" i="29" s="1"/>
  <c r="AQ18" i="4"/>
  <c r="AB16" i="29"/>
  <c r="AE18" i="4"/>
  <c r="AF17" i="29"/>
  <c r="AE17" i="29"/>
  <c r="AA17" i="29" s="1"/>
  <c r="O16" i="29"/>
  <c r="I16" i="29"/>
  <c r="K16" i="29" s="1"/>
  <c r="J16" i="29"/>
  <c r="Y16" i="29" s="1"/>
  <c r="B18" i="29"/>
  <c r="AD19" i="29"/>
  <c r="AI18" i="29"/>
  <c r="Z15" i="29"/>
  <c r="AD17" i="4"/>
  <c r="E17" i="29"/>
  <c r="U17" i="29"/>
  <c r="R17" i="29"/>
  <c r="S17" i="29"/>
  <c r="G17" i="29"/>
  <c r="T17" i="29"/>
  <c r="Q17" i="29"/>
  <c r="AN17" i="4"/>
  <c r="AO17" i="4" s="1"/>
  <c r="J20" i="4"/>
  <c r="N20" i="4"/>
  <c r="AJ20" i="4"/>
  <c r="M20" i="4"/>
  <c r="O20" i="4"/>
  <c r="AM20" i="4"/>
  <c r="K20" i="4"/>
  <c r="AI20" i="4"/>
  <c r="L20" i="4"/>
  <c r="AK20" i="4"/>
  <c r="AH20" i="4"/>
  <c r="F20" i="4"/>
  <c r="AL20" i="4"/>
  <c r="P20" i="4"/>
  <c r="W19" i="4"/>
  <c r="AB19" i="4" s="1"/>
  <c r="R19" i="4"/>
  <c r="Z19" i="4" s="1"/>
  <c r="X19" i="4"/>
  <c r="AC19" i="4" s="1"/>
  <c r="V19" i="4"/>
  <c r="AA19" i="4" s="1"/>
  <c r="Q19" i="4"/>
  <c r="Y19" i="4" s="1"/>
  <c r="U19" i="4"/>
  <c r="AP19" i="4" s="1"/>
  <c r="AW20" i="4"/>
  <c r="AX20" i="4"/>
  <c r="B21" i="4"/>
  <c r="AV22" i="4"/>
  <c r="AY21" i="4"/>
  <c r="AF19" i="4"/>
  <c r="V15" i="29" l="1"/>
  <c r="W15" i="29" s="1"/>
  <c r="P15" i="29"/>
  <c r="N16" i="29"/>
  <c r="AB17" i="29"/>
  <c r="Z16" i="29"/>
  <c r="AQ19" i="4"/>
  <c r="AE19" i="4"/>
  <c r="AG17" i="4"/>
  <c r="E18" i="29"/>
  <c r="R18" i="29"/>
  <c r="U18" i="29"/>
  <c r="Q18" i="29"/>
  <c r="T18" i="29"/>
  <c r="G18" i="29"/>
  <c r="S18" i="29"/>
  <c r="V16" i="29"/>
  <c r="W16" i="29" s="1"/>
  <c r="P16" i="29"/>
  <c r="J17" i="29"/>
  <c r="Y17" i="29" s="1"/>
  <c r="I17" i="29"/>
  <c r="K17" i="29" s="1"/>
  <c r="AF18" i="29"/>
  <c r="AE18" i="29"/>
  <c r="AA18" i="29" s="1"/>
  <c r="O17" i="29"/>
  <c r="AD20" i="29"/>
  <c r="B19" i="29"/>
  <c r="AI19" i="29"/>
  <c r="AN18" i="4"/>
  <c r="AO18" i="4" s="1"/>
  <c r="AG18" i="4"/>
  <c r="AF20" i="4"/>
  <c r="V20" i="4"/>
  <c r="AA20" i="4" s="1"/>
  <c r="Q20" i="4"/>
  <c r="Y20" i="4" s="1"/>
  <c r="X20" i="4"/>
  <c r="AC20" i="4" s="1"/>
  <c r="U20" i="4"/>
  <c r="AP20" i="4" s="1"/>
  <c r="W20" i="4"/>
  <c r="AB20" i="4" s="1"/>
  <c r="R20" i="4"/>
  <c r="Z20" i="4" s="1"/>
  <c r="AW21" i="4"/>
  <c r="AX21" i="4"/>
  <c r="AV23" i="4"/>
  <c r="B22" i="4"/>
  <c r="AY22" i="4"/>
  <c r="AD18" i="4"/>
  <c r="P21" i="4"/>
  <c r="M21" i="4"/>
  <c r="AH21" i="4"/>
  <c r="N21" i="4"/>
  <c r="AI21" i="4"/>
  <c r="AK21" i="4"/>
  <c r="AM21" i="4"/>
  <c r="K21" i="4"/>
  <c r="O21" i="4"/>
  <c r="AL21" i="4"/>
  <c r="F21" i="4"/>
  <c r="L21" i="4"/>
  <c r="J21" i="4"/>
  <c r="AJ21" i="4"/>
  <c r="N17" i="29" l="1"/>
  <c r="AQ20" i="4"/>
  <c r="AB18" i="29"/>
  <c r="AE20" i="4"/>
  <c r="AF19" i="29"/>
  <c r="AE19" i="29"/>
  <c r="AA19" i="29" s="1"/>
  <c r="I18" i="29"/>
  <c r="J18" i="29"/>
  <c r="Y18" i="29" s="1"/>
  <c r="E19" i="29"/>
  <c r="R19" i="29"/>
  <c r="S19" i="29"/>
  <c r="G19" i="29"/>
  <c r="U19" i="29"/>
  <c r="Q19" i="29"/>
  <c r="T19" i="29"/>
  <c r="P17" i="29"/>
  <c r="V17" i="29"/>
  <c r="W17" i="29" s="1"/>
  <c r="O18" i="29"/>
  <c r="AD21" i="29"/>
  <c r="B20" i="29"/>
  <c r="AI20" i="29"/>
  <c r="Z17" i="29"/>
  <c r="AG19" i="4"/>
  <c r="AN19" i="4"/>
  <c r="AO19" i="4" s="1"/>
  <c r="AF21" i="4"/>
  <c r="AX22" i="4"/>
  <c r="AW22" i="4"/>
  <c r="N22" i="4"/>
  <c r="F22" i="4"/>
  <c r="AJ22" i="4"/>
  <c r="AI22" i="4"/>
  <c r="O22" i="4"/>
  <c r="P22" i="4"/>
  <c r="M22" i="4"/>
  <c r="K22" i="4"/>
  <c r="L22" i="4"/>
  <c r="AM22" i="4"/>
  <c r="AH22" i="4"/>
  <c r="AK22" i="4"/>
  <c r="AL22" i="4"/>
  <c r="J22" i="4"/>
  <c r="AD19" i="4"/>
  <c r="AV24" i="4"/>
  <c r="B23" i="4"/>
  <c r="AY23" i="4"/>
  <c r="AD20" i="4"/>
  <c r="V21" i="4"/>
  <c r="AA21" i="4" s="1"/>
  <c r="R21" i="4"/>
  <c r="Z21" i="4" s="1"/>
  <c r="U21" i="4"/>
  <c r="AP21" i="4" s="1"/>
  <c r="W21" i="4"/>
  <c r="AB21" i="4" s="1"/>
  <c r="Q21" i="4"/>
  <c r="Y21" i="4" s="1"/>
  <c r="X21" i="4"/>
  <c r="AC21" i="4" s="1"/>
  <c r="AB19" i="29" l="1"/>
  <c r="K18" i="29"/>
  <c r="N18" i="29" s="1"/>
  <c r="AQ21" i="4"/>
  <c r="AE21" i="4"/>
  <c r="E20" i="29"/>
  <c r="G20" i="29"/>
  <c r="T20" i="29"/>
  <c r="U20" i="29"/>
  <c r="Q20" i="29"/>
  <c r="R20" i="29"/>
  <c r="S20" i="29"/>
  <c r="J19" i="29"/>
  <c r="Y19" i="29" s="1"/>
  <c r="I19" i="29"/>
  <c r="K19" i="29" s="1"/>
  <c r="B21" i="29"/>
  <c r="AD22" i="29"/>
  <c r="AI21" i="29"/>
  <c r="Z18" i="29"/>
  <c r="AF20" i="29"/>
  <c r="AE20" i="29"/>
  <c r="AA20" i="29" s="1"/>
  <c r="O19" i="29"/>
  <c r="AK23" i="4"/>
  <c r="L23" i="4"/>
  <c r="M23" i="4"/>
  <c r="O23" i="4"/>
  <c r="P23" i="4"/>
  <c r="AH23" i="4"/>
  <c r="K23" i="4"/>
  <c r="N23" i="4"/>
  <c r="AI23" i="4"/>
  <c r="AM23" i="4"/>
  <c r="AL23" i="4"/>
  <c r="AJ23" i="4"/>
  <c r="F23" i="4"/>
  <c r="J23" i="4"/>
  <c r="AV25" i="4"/>
  <c r="B24" i="4"/>
  <c r="AY24" i="4"/>
  <c r="AF22" i="4"/>
  <c r="AX23" i="4"/>
  <c r="AW23" i="4"/>
  <c r="V22" i="4"/>
  <c r="AA22" i="4" s="1"/>
  <c r="W22" i="4"/>
  <c r="AB22" i="4" s="1"/>
  <c r="X22" i="4"/>
  <c r="AC22" i="4" s="1"/>
  <c r="U22" i="4"/>
  <c r="AP22" i="4" s="1"/>
  <c r="Q22" i="4"/>
  <c r="Y22" i="4" s="1"/>
  <c r="R22" i="4"/>
  <c r="Z22" i="4" s="1"/>
  <c r="AG20" i="4"/>
  <c r="AN20" i="4"/>
  <c r="AO20" i="4" s="1"/>
  <c r="V18" i="29" l="1"/>
  <c r="W18" i="29" s="1"/>
  <c r="P18" i="29"/>
  <c r="N19" i="29"/>
  <c r="AQ22" i="4"/>
  <c r="AB20" i="29"/>
  <c r="AE22" i="4"/>
  <c r="AE21" i="29"/>
  <c r="AA21" i="29" s="1"/>
  <c r="AF21" i="29"/>
  <c r="Z19" i="29"/>
  <c r="B22" i="29"/>
  <c r="AD23" i="29"/>
  <c r="AI22" i="29"/>
  <c r="O20" i="29"/>
  <c r="I20" i="29"/>
  <c r="K20" i="29" s="1"/>
  <c r="J20" i="29"/>
  <c r="Y20" i="29" s="1"/>
  <c r="E21" i="29"/>
  <c r="Q21" i="29"/>
  <c r="R21" i="29"/>
  <c r="T21" i="29"/>
  <c r="U21" i="29"/>
  <c r="S21" i="29"/>
  <c r="G21" i="29"/>
  <c r="P19" i="29"/>
  <c r="V19" i="29"/>
  <c r="W19" i="29" s="1"/>
  <c r="AD21" i="4"/>
  <c r="AN21" i="4"/>
  <c r="AO21" i="4" s="1"/>
  <c r="AG21" i="4"/>
  <c r="AW24" i="4"/>
  <c r="AX24" i="4"/>
  <c r="B25" i="4"/>
  <c r="AY25" i="4"/>
  <c r="AV26" i="4"/>
  <c r="R23" i="4"/>
  <c r="Z23" i="4" s="1"/>
  <c r="Q23" i="4"/>
  <c r="Y23" i="4" s="1"/>
  <c r="U23" i="4"/>
  <c r="AP23" i="4" s="1"/>
  <c r="V23" i="4"/>
  <c r="AA23" i="4" s="1"/>
  <c r="W23" i="4"/>
  <c r="AB23" i="4" s="1"/>
  <c r="X23" i="4"/>
  <c r="AC23" i="4" s="1"/>
  <c r="J24" i="4"/>
  <c r="L24" i="4"/>
  <c r="K24" i="4"/>
  <c r="M24" i="4"/>
  <c r="AJ24" i="4"/>
  <c r="AL24" i="4"/>
  <c r="AM24" i="4"/>
  <c r="AI24" i="4"/>
  <c r="AK24" i="4"/>
  <c r="P24" i="4"/>
  <c r="N24" i="4"/>
  <c r="F24" i="4"/>
  <c r="O24" i="4"/>
  <c r="AH24" i="4"/>
  <c r="AF23" i="4"/>
  <c r="AB21" i="29" l="1"/>
  <c r="N20" i="29"/>
  <c r="P20" i="29" s="1"/>
  <c r="AQ23" i="4"/>
  <c r="AE23" i="4"/>
  <c r="AD24" i="29"/>
  <c r="B23" i="29"/>
  <c r="AI23" i="29"/>
  <c r="V20" i="29"/>
  <c r="W20" i="29" s="1"/>
  <c r="E22" i="29"/>
  <c r="T22" i="29"/>
  <c r="S22" i="29"/>
  <c r="Q22" i="29"/>
  <c r="U22" i="29"/>
  <c r="R22" i="29"/>
  <c r="G22" i="29"/>
  <c r="Z20" i="29"/>
  <c r="J21" i="29"/>
  <c r="Y21" i="29" s="1"/>
  <c r="I21" i="29"/>
  <c r="K21" i="29" s="1"/>
  <c r="AG22" i="4"/>
  <c r="O21" i="29"/>
  <c r="AF22" i="29"/>
  <c r="AE22" i="29"/>
  <c r="AA22" i="29" s="1"/>
  <c r="AW25" i="4"/>
  <c r="AX25" i="4"/>
  <c r="AD22" i="4"/>
  <c r="AJ25" i="4"/>
  <c r="AI25" i="4"/>
  <c r="M25" i="4"/>
  <c r="J25" i="4"/>
  <c r="L25" i="4"/>
  <c r="AH25" i="4"/>
  <c r="K25" i="4"/>
  <c r="AL25" i="4"/>
  <c r="F25" i="4"/>
  <c r="N25" i="4"/>
  <c r="AK25" i="4"/>
  <c r="AM25" i="4"/>
  <c r="P25" i="4"/>
  <c r="O25" i="4"/>
  <c r="AD23" i="4"/>
  <c r="W24" i="4"/>
  <c r="AB24" i="4" s="1"/>
  <c r="Q24" i="4"/>
  <c r="Y24" i="4" s="1"/>
  <c r="X24" i="4"/>
  <c r="AC24" i="4" s="1"/>
  <c r="R24" i="4"/>
  <c r="Z24" i="4" s="1"/>
  <c r="V24" i="4"/>
  <c r="AA24" i="4" s="1"/>
  <c r="U24" i="4"/>
  <c r="AP24" i="4" s="1"/>
  <c r="AF24" i="4"/>
  <c r="B26" i="4"/>
  <c r="AV27" i="4"/>
  <c r="AY26" i="4"/>
  <c r="N21" i="29" l="1"/>
  <c r="L4" i="7"/>
  <c r="AQ24" i="4"/>
  <c r="AB22" i="29"/>
  <c r="AE24" i="4"/>
  <c r="P21" i="29"/>
  <c r="V21" i="29"/>
  <c r="W21" i="29" s="1"/>
  <c r="O22" i="29"/>
  <c r="AF23" i="29"/>
  <c r="AE23" i="29"/>
  <c r="AA23" i="29" s="1"/>
  <c r="AN22" i="4"/>
  <c r="AO22" i="4" s="1"/>
  <c r="E23" i="29"/>
  <c r="U23" i="29"/>
  <c r="S23" i="29"/>
  <c r="R23" i="29"/>
  <c r="Q23" i="29"/>
  <c r="T23" i="29"/>
  <c r="G23" i="29"/>
  <c r="I22" i="29"/>
  <c r="K22" i="29" s="1"/>
  <c r="J22" i="29"/>
  <c r="Y22" i="29" s="1"/>
  <c r="Z21" i="29"/>
  <c r="AD25" i="29"/>
  <c r="B24" i="29"/>
  <c r="AI24" i="29"/>
  <c r="AX26" i="4"/>
  <c r="AW26" i="4"/>
  <c r="AF25" i="4"/>
  <c r="U25" i="4"/>
  <c r="Q25" i="4"/>
  <c r="Y25" i="4" s="1"/>
  <c r="X25" i="4"/>
  <c r="AC25" i="4" s="1"/>
  <c r="W25" i="4"/>
  <c r="AB25" i="4" s="1"/>
  <c r="V25" i="4"/>
  <c r="AA25" i="4" s="1"/>
  <c r="R25" i="4"/>
  <c r="Z25" i="4" s="1"/>
  <c r="K26" i="4"/>
  <c r="M26" i="4"/>
  <c r="AJ26" i="4"/>
  <c r="AM26" i="4"/>
  <c r="AK26" i="4"/>
  <c r="F26" i="4"/>
  <c r="L26" i="4"/>
  <c r="AH26" i="4"/>
  <c r="AL26" i="4"/>
  <c r="AI26" i="4"/>
  <c r="P26" i="4"/>
  <c r="J26" i="4"/>
  <c r="N26" i="4"/>
  <c r="O26" i="4"/>
  <c r="AD24" i="4"/>
  <c r="AP25" i="4"/>
  <c r="B27" i="4"/>
  <c r="AY27" i="4"/>
  <c r="AV31" i="4"/>
  <c r="AV28" i="4"/>
  <c r="AG23" i="4"/>
  <c r="AN23" i="4"/>
  <c r="AO23" i="4" s="1"/>
  <c r="AB23" i="29" l="1"/>
  <c r="N22" i="29"/>
  <c r="AQ25" i="4"/>
  <c r="AE25" i="4"/>
  <c r="E24" i="29"/>
  <c r="U24" i="29"/>
  <c r="Q24" i="29"/>
  <c r="G24" i="29"/>
  <c r="T24" i="29"/>
  <c r="S24" i="29"/>
  <c r="R24" i="29"/>
  <c r="V22" i="29"/>
  <c r="W22" i="29" s="1"/>
  <c r="P22" i="29"/>
  <c r="B25" i="29"/>
  <c r="AD26" i="29"/>
  <c r="AI25" i="29"/>
  <c r="O23" i="29"/>
  <c r="AF24" i="29"/>
  <c r="AE24" i="29"/>
  <c r="AA24" i="29" s="1"/>
  <c r="J23" i="29"/>
  <c r="Y23" i="29" s="1"/>
  <c r="I23" i="29"/>
  <c r="K23" i="29" s="1"/>
  <c r="Z22" i="29"/>
  <c r="B31" i="4"/>
  <c r="AY31" i="4"/>
  <c r="AX27" i="4"/>
  <c r="AW27" i="4"/>
  <c r="M27" i="4"/>
  <c r="AM27" i="4"/>
  <c r="K27" i="4"/>
  <c r="AK27" i="4"/>
  <c r="AJ27" i="4"/>
  <c r="AL27" i="4"/>
  <c r="L27" i="4"/>
  <c r="O27" i="4"/>
  <c r="J27" i="4"/>
  <c r="F27" i="4"/>
  <c r="N27" i="4"/>
  <c r="P27" i="4"/>
  <c r="AH27" i="4"/>
  <c r="AI27" i="4"/>
  <c r="V26" i="4"/>
  <c r="AA26" i="4" s="1"/>
  <c r="W26" i="4"/>
  <c r="AB26" i="4" s="1"/>
  <c r="U26" i="4"/>
  <c r="AP26" i="4" s="1"/>
  <c r="R26" i="4"/>
  <c r="Z26" i="4" s="1"/>
  <c r="Q26" i="4"/>
  <c r="Y26" i="4" s="1"/>
  <c r="X26" i="4"/>
  <c r="AC26" i="4" s="1"/>
  <c r="AV32" i="4"/>
  <c r="AY28" i="4"/>
  <c r="AV29" i="4"/>
  <c r="B28" i="4"/>
  <c r="AF26" i="4"/>
  <c r="L5" i="7"/>
  <c r="N23" i="29" l="1"/>
  <c r="AQ26" i="4"/>
  <c r="AB24" i="29"/>
  <c r="AE26" i="4"/>
  <c r="Z23" i="29"/>
  <c r="V23" i="29"/>
  <c r="W23" i="29" s="1"/>
  <c r="P23" i="29"/>
  <c r="J24" i="29"/>
  <c r="Y24" i="29" s="1"/>
  <c r="I24" i="29"/>
  <c r="AF25" i="29"/>
  <c r="AE25" i="29"/>
  <c r="AA25" i="29" s="1"/>
  <c r="B26" i="29"/>
  <c r="AD27" i="29"/>
  <c r="AI26" i="29"/>
  <c r="E25" i="29"/>
  <c r="S25" i="29"/>
  <c r="T25" i="29"/>
  <c r="Q25" i="29"/>
  <c r="G25" i="29"/>
  <c r="U25" i="29"/>
  <c r="R25" i="29"/>
  <c r="O24" i="29"/>
  <c r="AN25" i="4"/>
  <c r="AO25" i="4" s="1"/>
  <c r="AG25" i="4"/>
  <c r="AD25" i="4"/>
  <c r="AI31" i="4"/>
  <c r="J31" i="4"/>
  <c r="AJ31" i="4"/>
  <c r="L31" i="4"/>
  <c r="AK31" i="4"/>
  <c r="P31" i="4"/>
  <c r="O31" i="4"/>
  <c r="AL31" i="4"/>
  <c r="F31" i="4"/>
  <c r="AH31" i="4"/>
  <c r="AM31" i="4"/>
  <c r="M31" i="4"/>
  <c r="K31" i="4"/>
  <c r="N31" i="4"/>
  <c r="V27" i="4"/>
  <c r="AA27" i="4" s="1"/>
  <c r="W27" i="4"/>
  <c r="AB27" i="4" s="1"/>
  <c r="R27" i="4"/>
  <c r="Z27" i="4" s="1"/>
  <c r="U27" i="4"/>
  <c r="AP27" i="4" s="1"/>
  <c r="Q27" i="4"/>
  <c r="Y27" i="4" s="1"/>
  <c r="X27" i="4"/>
  <c r="AC27" i="4" s="1"/>
  <c r="AF27" i="4"/>
  <c r="B32" i="4"/>
  <c r="AV33" i="4"/>
  <c r="AY32" i="4"/>
  <c r="F28" i="4"/>
  <c r="AH28" i="4"/>
  <c r="AK28" i="4"/>
  <c r="J28" i="4"/>
  <c r="P28" i="4"/>
  <c r="N28" i="4"/>
  <c r="M28" i="4"/>
  <c r="AM28" i="4"/>
  <c r="AL28" i="4"/>
  <c r="L28" i="4"/>
  <c r="K28" i="4"/>
  <c r="O28" i="4"/>
  <c r="AJ28" i="4"/>
  <c r="AI28" i="4"/>
  <c r="B29" i="4"/>
  <c r="AV30" i="4"/>
  <c r="AY29" i="4"/>
  <c r="AX28" i="4"/>
  <c r="AW28" i="4"/>
  <c r="AW31" i="4"/>
  <c r="AX31" i="4"/>
  <c r="AG24" i="4"/>
  <c r="AN24" i="4"/>
  <c r="AO24" i="4" s="1"/>
  <c r="AJ29" i="4" l="1"/>
  <c r="O29" i="4"/>
  <c r="K29" i="4"/>
  <c r="AM29" i="4"/>
  <c r="AI29" i="4"/>
  <c r="N29" i="4"/>
  <c r="J29" i="4"/>
  <c r="AK29" i="4"/>
  <c r="L29" i="4"/>
  <c r="AL29" i="4"/>
  <c r="AH29" i="4"/>
  <c r="F29" i="4"/>
  <c r="P29" i="4"/>
  <c r="M29" i="4"/>
  <c r="K24" i="29"/>
  <c r="N24" i="29" s="1"/>
  <c r="AB25" i="29"/>
  <c r="AQ27" i="4"/>
  <c r="AE27" i="4"/>
  <c r="Z24" i="29"/>
  <c r="AD28" i="29"/>
  <c r="B27" i="29"/>
  <c r="AI27" i="29"/>
  <c r="E26" i="29"/>
  <c r="G26" i="29"/>
  <c r="Q26" i="29"/>
  <c r="S26" i="29"/>
  <c r="R26" i="29"/>
  <c r="U26" i="29"/>
  <c r="T26" i="29"/>
  <c r="O25" i="29"/>
  <c r="I25" i="29"/>
  <c r="J25" i="29"/>
  <c r="Y25" i="29" s="1"/>
  <c r="AF26" i="29"/>
  <c r="AE26" i="29"/>
  <c r="AA26" i="29" s="1"/>
  <c r="AG26" i="4"/>
  <c r="AN26" i="4"/>
  <c r="AO26" i="4" s="1"/>
  <c r="AX32" i="4"/>
  <c r="AW32" i="4"/>
  <c r="AV34" i="4"/>
  <c r="AY30" i="4"/>
  <c r="B30" i="4"/>
  <c r="AD27" i="4"/>
  <c r="AF31" i="4"/>
  <c r="AD26" i="4"/>
  <c r="W31" i="4"/>
  <c r="AB31" i="4" s="1"/>
  <c r="R31" i="4"/>
  <c r="Z31" i="4" s="1"/>
  <c r="X31" i="4"/>
  <c r="AC31" i="4" s="1"/>
  <c r="Q31" i="4"/>
  <c r="Y31" i="4" s="1"/>
  <c r="U31" i="4"/>
  <c r="AP31" i="4" s="1"/>
  <c r="V31" i="4"/>
  <c r="AA31" i="4" s="1"/>
  <c r="V28" i="4"/>
  <c r="AA28" i="4" s="1"/>
  <c r="Q28" i="4"/>
  <c r="Y28" i="4" s="1"/>
  <c r="R28" i="4"/>
  <c r="Z28" i="4" s="1"/>
  <c r="W28" i="4"/>
  <c r="AB28" i="4" s="1"/>
  <c r="U28" i="4"/>
  <c r="AP28" i="4" s="1"/>
  <c r="X28" i="4"/>
  <c r="AC28" i="4" s="1"/>
  <c r="AF28" i="4"/>
  <c r="AY33" i="4"/>
  <c r="B33" i="4"/>
  <c r="AW29" i="4"/>
  <c r="AX29" i="4"/>
  <c r="J32" i="4"/>
  <c r="L32" i="4"/>
  <c r="O32" i="4"/>
  <c r="AI32" i="4"/>
  <c r="AM32" i="4"/>
  <c r="P32" i="4"/>
  <c r="AJ32" i="4"/>
  <c r="K32" i="4"/>
  <c r="F32" i="4"/>
  <c r="M32" i="4"/>
  <c r="AK32" i="4"/>
  <c r="N32" i="4"/>
  <c r="AH32" i="4"/>
  <c r="AL32" i="4"/>
  <c r="AL30" i="4" l="1"/>
  <c r="AH30" i="4"/>
  <c r="M30" i="4"/>
  <c r="F30" i="4"/>
  <c r="AK30" i="4"/>
  <c r="P30" i="4"/>
  <c r="L30" i="4"/>
  <c r="AM30" i="4"/>
  <c r="N30" i="4"/>
  <c r="J30" i="4"/>
  <c r="AJ30" i="4"/>
  <c r="K30" i="4"/>
  <c r="AI30" i="4"/>
  <c r="O30" i="4"/>
  <c r="P24" i="29"/>
  <c r="V24" i="29"/>
  <c r="W24" i="29" s="1"/>
  <c r="K25" i="29"/>
  <c r="N25" i="29" s="1"/>
  <c r="AQ31" i="4"/>
  <c r="AQ28" i="4"/>
  <c r="AB26" i="29"/>
  <c r="AE28" i="4"/>
  <c r="AE31" i="4"/>
  <c r="O26" i="29"/>
  <c r="AF27" i="29"/>
  <c r="AE27" i="29"/>
  <c r="AA27" i="29" s="1"/>
  <c r="J26" i="29"/>
  <c r="Y26" i="29" s="1"/>
  <c r="I26" i="29"/>
  <c r="K26" i="29" s="1"/>
  <c r="E27" i="29"/>
  <c r="S27" i="29"/>
  <c r="T27" i="29"/>
  <c r="Q27" i="29"/>
  <c r="U27" i="29"/>
  <c r="G27" i="29"/>
  <c r="R27" i="29"/>
  <c r="AD29" i="29"/>
  <c r="B28" i="29"/>
  <c r="AI28" i="29"/>
  <c r="Z25" i="29"/>
  <c r="AD31" i="4"/>
  <c r="AJ33" i="4"/>
  <c r="O33" i="4"/>
  <c r="AH33" i="4"/>
  <c r="L33" i="4"/>
  <c r="K33" i="4"/>
  <c r="P33" i="4"/>
  <c r="AM33" i="4"/>
  <c r="AK33" i="4"/>
  <c r="M33" i="4"/>
  <c r="J33" i="4"/>
  <c r="N33" i="4"/>
  <c r="AL33" i="4"/>
  <c r="F33" i="4"/>
  <c r="AI33" i="4"/>
  <c r="AV35" i="4"/>
  <c r="AY34" i="4"/>
  <c r="B34" i="4"/>
  <c r="AF32" i="4"/>
  <c r="X29" i="4"/>
  <c r="AC29" i="4" s="1"/>
  <c r="Q29" i="4"/>
  <c r="Y29" i="4" s="1"/>
  <c r="U29" i="4"/>
  <c r="AP29" i="4" s="1"/>
  <c r="R29" i="4"/>
  <c r="Z29" i="4" s="1"/>
  <c r="W29" i="4"/>
  <c r="AB29" i="4" s="1"/>
  <c r="V29" i="4"/>
  <c r="AA29" i="4" s="1"/>
  <c r="AW33" i="4"/>
  <c r="AX33" i="4"/>
  <c r="AF29" i="4"/>
  <c r="R32" i="4"/>
  <c r="Z32" i="4" s="1"/>
  <c r="U32" i="4"/>
  <c r="AP32" i="4" s="1"/>
  <c r="X32" i="4"/>
  <c r="AC32" i="4" s="1"/>
  <c r="W32" i="4"/>
  <c r="AB32" i="4" s="1"/>
  <c r="Q32" i="4"/>
  <c r="Y32" i="4" s="1"/>
  <c r="V32" i="4"/>
  <c r="AA32" i="4" s="1"/>
  <c r="AD28" i="4"/>
  <c r="AW30" i="4"/>
  <c r="AX30" i="4"/>
  <c r="P25" i="29" l="1"/>
  <c r="V25" i="29"/>
  <c r="W25" i="29" s="1"/>
  <c r="AB27" i="29"/>
  <c r="N26" i="29"/>
  <c r="Z26" i="29"/>
  <c r="AQ32" i="4"/>
  <c r="AQ29" i="4"/>
  <c r="AE32" i="4"/>
  <c r="AE29" i="4"/>
  <c r="AE28" i="29"/>
  <c r="AA28" i="29" s="1"/>
  <c r="AF28" i="29"/>
  <c r="O27" i="29"/>
  <c r="E28" i="29"/>
  <c r="S28" i="29"/>
  <c r="G28" i="29"/>
  <c r="Q28" i="29"/>
  <c r="R28" i="29"/>
  <c r="T28" i="29"/>
  <c r="U28" i="29"/>
  <c r="B29" i="29"/>
  <c r="AD30" i="29"/>
  <c r="AI29" i="29"/>
  <c r="I27" i="29"/>
  <c r="K27" i="29" s="1"/>
  <c r="J27" i="29"/>
  <c r="Y27" i="29" s="1"/>
  <c r="V26" i="29"/>
  <c r="W26" i="29" s="1"/>
  <c r="P26" i="29"/>
  <c r="Q30" i="4"/>
  <c r="Y30" i="4" s="1"/>
  <c r="R30" i="4"/>
  <c r="Z30" i="4" s="1"/>
  <c r="X30" i="4"/>
  <c r="AC30" i="4" s="1"/>
  <c r="V30" i="4"/>
  <c r="AA30" i="4" s="1"/>
  <c r="W30" i="4"/>
  <c r="AB30" i="4" s="1"/>
  <c r="U30" i="4"/>
  <c r="AP30" i="4" s="1"/>
  <c r="AD32" i="4"/>
  <c r="W33" i="4"/>
  <c r="AB33" i="4" s="1"/>
  <c r="R33" i="4"/>
  <c r="Z33" i="4" s="1"/>
  <c r="V33" i="4"/>
  <c r="AA33" i="4" s="1"/>
  <c r="U33" i="4"/>
  <c r="Q33" i="4"/>
  <c r="Y33" i="4" s="1"/>
  <c r="X33" i="4"/>
  <c r="AC33" i="4" s="1"/>
  <c r="K34" i="4"/>
  <c r="J34" i="4"/>
  <c r="P34" i="4"/>
  <c r="AM34" i="4"/>
  <c r="AH34" i="4"/>
  <c r="AL34" i="4"/>
  <c r="L34" i="4"/>
  <c r="AI34" i="4"/>
  <c r="M34" i="4"/>
  <c r="O34" i="4"/>
  <c r="F34" i="4"/>
  <c r="N34" i="4"/>
  <c r="AJ34" i="4"/>
  <c r="AK34" i="4"/>
  <c r="AW34" i="4"/>
  <c r="AX34" i="4"/>
  <c r="AF33" i="4"/>
  <c r="AN31" i="4"/>
  <c r="AO31" i="4" s="1"/>
  <c r="AG31" i="4"/>
  <c r="AG27" i="4"/>
  <c r="AN27" i="4"/>
  <c r="AO27" i="4" s="1"/>
  <c r="AY35" i="4"/>
  <c r="B35" i="4"/>
  <c r="AV36" i="4"/>
  <c r="AP33" i="4"/>
  <c r="AF30" i="4"/>
  <c r="AG28" i="4"/>
  <c r="AN28" i="4"/>
  <c r="AO28" i="4" s="1"/>
  <c r="AB28" i="29" l="1"/>
  <c r="N27" i="29"/>
  <c r="P27" i="29" s="1"/>
  <c r="AQ30" i="4"/>
  <c r="AQ33" i="4"/>
  <c r="AE33" i="4"/>
  <c r="AE30" i="4"/>
  <c r="O28" i="29"/>
  <c r="V27" i="29"/>
  <c r="W27" i="29" s="1"/>
  <c r="B30" i="29"/>
  <c r="AD31" i="29"/>
  <c r="AI30" i="29"/>
  <c r="Z27" i="29"/>
  <c r="E29" i="29"/>
  <c r="G29" i="29"/>
  <c r="R29" i="29"/>
  <c r="T29" i="29"/>
  <c r="Q29" i="29"/>
  <c r="U29" i="29"/>
  <c r="S29" i="29"/>
  <c r="I28" i="29"/>
  <c r="J28" i="29"/>
  <c r="Y28" i="29" s="1"/>
  <c r="Z28" i="29" s="1"/>
  <c r="AF29" i="29"/>
  <c r="AE29" i="29"/>
  <c r="AA29" i="29" s="1"/>
  <c r="AN29" i="4"/>
  <c r="AO29" i="4" s="1"/>
  <c r="AD29" i="4"/>
  <c r="AX35" i="4"/>
  <c r="AW35" i="4"/>
  <c r="AV37" i="4"/>
  <c r="B36" i="4"/>
  <c r="AY36" i="4"/>
  <c r="AH35" i="4"/>
  <c r="P35" i="4"/>
  <c r="AJ35" i="4"/>
  <c r="M35" i="4"/>
  <c r="K35" i="4"/>
  <c r="AM35" i="4"/>
  <c r="F35" i="4"/>
  <c r="AI35" i="4"/>
  <c r="AK35" i="4"/>
  <c r="AL35" i="4"/>
  <c r="J35" i="4"/>
  <c r="L35" i="4"/>
  <c r="O35" i="4"/>
  <c r="N35" i="4"/>
  <c r="V34" i="4"/>
  <c r="AA34" i="4" s="1"/>
  <c r="X34" i="4"/>
  <c r="AC34" i="4" s="1"/>
  <c r="W34" i="4"/>
  <c r="AB34" i="4" s="1"/>
  <c r="Q34" i="4"/>
  <c r="Y34" i="4" s="1"/>
  <c r="U34" i="4"/>
  <c r="AP34" i="4" s="1"/>
  <c r="R34" i="4"/>
  <c r="Z34" i="4" s="1"/>
  <c r="AG29" i="4"/>
  <c r="AF34" i="4"/>
  <c r="AD33" i="4"/>
  <c r="K28" i="29" l="1"/>
  <c r="N28" i="29" s="1"/>
  <c r="AQ34" i="4"/>
  <c r="AB29" i="29"/>
  <c r="AE34" i="4"/>
  <c r="O29" i="29"/>
  <c r="E30" i="29"/>
  <c r="U30" i="29"/>
  <c r="S30" i="29"/>
  <c r="R30" i="29"/>
  <c r="Q30" i="29"/>
  <c r="T30" i="29"/>
  <c r="G30" i="29"/>
  <c r="J29" i="29"/>
  <c r="Y29" i="29" s="1"/>
  <c r="Z29" i="29" s="1"/>
  <c r="I29" i="29"/>
  <c r="AE30" i="29"/>
  <c r="AA30" i="29" s="1"/>
  <c r="AF30" i="29"/>
  <c r="AD32" i="29"/>
  <c r="B31" i="29"/>
  <c r="AI31" i="29"/>
  <c r="AG30" i="4"/>
  <c r="AN30" i="4"/>
  <c r="AO30" i="4" s="1"/>
  <c r="AX36" i="4"/>
  <c r="AW36" i="4"/>
  <c r="AF35" i="4"/>
  <c r="N36" i="4"/>
  <c r="P36" i="4"/>
  <c r="AH36" i="4"/>
  <c r="O36" i="4"/>
  <c r="AM36" i="4"/>
  <c r="AI36" i="4"/>
  <c r="J36" i="4"/>
  <c r="M36" i="4"/>
  <c r="AK36" i="4"/>
  <c r="AJ36" i="4"/>
  <c r="F36" i="4"/>
  <c r="AL36" i="4"/>
  <c r="K36" i="4"/>
  <c r="L36" i="4"/>
  <c r="W35" i="4"/>
  <c r="AB35" i="4" s="1"/>
  <c r="U35" i="4"/>
  <c r="AP35" i="4" s="1"/>
  <c r="X35" i="4"/>
  <c r="AC35" i="4" s="1"/>
  <c r="Q35" i="4"/>
  <c r="Y35" i="4" s="1"/>
  <c r="R35" i="4"/>
  <c r="Z35" i="4" s="1"/>
  <c r="V35" i="4"/>
  <c r="AA35" i="4" s="1"/>
  <c r="AV38" i="4"/>
  <c r="B37" i="4"/>
  <c r="AY37" i="4"/>
  <c r="AN32" i="4"/>
  <c r="AO32" i="4" s="1"/>
  <c r="AG32" i="4"/>
  <c r="AD30" i="4"/>
  <c r="P28" i="29" l="1"/>
  <c r="V28" i="29"/>
  <c r="W28" i="29" s="1"/>
  <c r="K29" i="29"/>
  <c r="N29" i="29" s="1"/>
  <c r="AQ35" i="4"/>
  <c r="AB30" i="29"/>
  <c r="AE35" i="4"/>
  <c r="AD33" i="29"/>
  <c r="B32" i="29"/>
  <c r="AI32" i="29"/>
  <c r="I30" i="29"/>
  <c r="J30" i="29"/>
  <c r="Y30" i="29" s="1"/>
  <c r="AE31" i="29"/>
  <c r="AA31" i="29" s="1"/>
  <c r="AF31" i="29"/>
  <c r="E31" i="29"/>
  <c r="T31" i="29"/>
  <c r="U31" i="29"/>
  <c r="Q31" i="29"/>
  <c r="S31" i="29"/>
  <c r="R31" i="29"/>
  <c r="G31" i="29"/>
  <c r="O30" i="29"/>
  <c r="AD34" i="4"/>
  <c r="AV39" i="4"/>
  <c r="B38" i="4"/>
  <c r="AY38" i="4"/>
  <c r="AF36" i="4"/>
  <c r="AN33" i="4"/>
  <c r="AO33" i="4" s="1"/>
  <c r="AG33" i="4"/>
  <c r="AG34" i="4"/>
  <c r="AN34" i="4"/>
  <c r="AO34" i="4" s="1"/>
  <c r="AW37" i="4"/>
  <c r="AX37" i="4"/>
  <c r="V36" i="4"/>
  <c r="AA36" i="4" s="1"/>
  <c r="U36" i="4"/>
  <c r="AP36" i="4" s="1"/>
  <c r="X36" i="4"/>
  <c r="AC36" i="4" s="1"/>
  <c r="Q36" i="4"/>
  <c r="Y36" i="4" s="1"/>
  <c r="W36" i="4"/>
  <c r="AB36" i="4" s="1"/>
  <c r="R36" i="4"/>
  <c r="Z36" i="4" s="1"/>
  <c r="AQ36" i="4" s="1"/>
  <c r="AK37" i="4"/>
  <c r="AM37" i="4"/>
  <c r="K37" i="4"/>
  <c r="L37" i="4"/>
  <c r="N37" i="4"/>
  <c r="O37" i="4"/>
  <c r="AH37" i="4"/>
  <c r="AI37" i="4"/>
  <c r="M37" i="4"/>
  <c r="J37" i="4"/>
  <c r="F37" i="4"/>
  <c r="AJ37" i="4"/>
  <c r="AL37" i="4"/>
  <c r="P37" i="4"/>
  <c r="P29" i="29" l="1"/>
  <c r="V29" i="29"/>
  <c r="W29" i="29" s="1"/>
  <c r="K30" i="29"/>
  <c r="N30" i="29" s="1"/>
  <c r="AB31" i="29"/>
  <c r="AE36" i="4"/>
  <c r="Z30" i="29"/>
  <c r="O31" i="29"/>
  <c r="AF32" i="29"/>
  <c r="AE32" i="29"/>
  <c r="AA32" i="29" s="1"/>
  <c r="J31" i="29"/>
  <c r="I31" i="29"/>
  <c r="E32" i="29"/>
  <c r="G32" i="29"/>
  <c r="T32" i="29"/>
  <c r="Q32" i="29"/>
  <c r="R32" i="29"/>
  <c r="S32" i="29"/>
  <c r="U32" i="29"/>
  <c r="Y31" i="29"/>
  <c r="B33" i="29"/>
  <c r="AD34" i="29"/>
  <c r="AI33" i="29"/>
  <c r="AD35" i="4"/>
  <c r="AF37" i="4"/>
  <c r="AN35" i="4"/>
  <c r="AO35" i="4" s="1"/>
  <c r="AG35" i="4"/>
  <c r="F38" i="4"/>
  <c r="M38" i="4"/>
  <c r="AJ38" i="4"/>
  <c r="K38" i="4"/>
  <c r="O38" i="4"/>
  <c r="N38" i="4"/>
  <c r="AK38" i="4"/>
  <c r="AH38" i="4"/>
  <c r="AI38" i="4"/>
  <c r="P38" i="4"/>
  <c r="AM38" i="4"/>
  <c r="AL38" i="4"/>
  <c r="J38" i="4"/>
  <c r="L38" i="4"/>
  <c r="AY39" i="4"/>
  <c r="AV40" i="4"/>
  <c r="B39" i="4"/>
  <c r="R37" i="4"/>
  <c r="Z37" i="4" s="1"/>
  <c r="X37" i="4"/>
  <c r="AC37" i="4" s="1"/>
  <c r="W37" i="4"/>
  <c r="AB37" i="4" s="1"/>
  <c r="U37" i="4"/>
  <c r="AP37" i="4" s="1"/>
  <c r="Q37" i="4"/>
  <c r="Y37" i="4" s="1"/>
  <c r="V37" i="4"/>
  <c r="AA37" i="4" s="1"/>
  <c r="AX38" i="4"/>
  <c r="AW38" i="4"/>
  <c r="P30" i="29" l="1"/>
  <c r="V30" i="29"/>
  <c r="W30" i="29" s="1"/>
  <c r="AB32" i="29"/>
  <c r="K31" i="29"/>
  <c r="N31" i="29" s="1"/>
  <c r="AQ37" i="4"/>
  <c r="AE37" i="4"/>
  <c r="B34" i="29"/>
  <c r="AD35" i="29"/>
  <c r="AI34" i="29"/>
  <c r="O32" i="29"/>
  <c r="E33" i="29"/>
  <c r="G33" i="29"/>
  <c r="T33" i="29"/>
  <c r="S33" i="29"/>
  <c r="Q33" i="29"/>
  <c r="R33" i="29"/>
  <c r="U33" i="29"/>
  <c r="J32" i="29"/>
  <c r="Y32" i="29" s="1"/>
  <c r="I32" i="29"/>
  <c r="K32" i="29" s="1"/>
  <c r="Z31" i="29"/>
  <c r="AF33" i="29"/>
  <c r="AE33" i="29"/>
  <c r="AA33" i="29" s="1"/>
  <c r="AN36" i="4"/>
  <c r="AO36" i="4" s="1"/>
  <c r="AG36" i="4"/>
  <c r="V38" i="4"/>
  <c r="AA38" i="4" s="1"/>
  <c r="Q38" i="4"/>
  <c r="Y38" i="4" s="1"/>
  <c r="W38" i="4"/>
  <c r="AB38" i="4" s="1"/>
  <c r="X38" i="4"/>
  <c r="AC38" i="4" s="1"/>
  <c r="R38" i="4"/>
  <c r="Z38" i="4" s="1"/>
  <c r="U38" i="4"/>
  <c r="AP38" i="4" s="1"/>
  <c r="AD36" i="4"/>
  <c r="B40" i="4"/>
  <c r="AY40" i="4"/>
  <c r="AV41" i="4"/>
  <c r="AX39" i="4"/>
  <c r="AW39" i="4"/>
  <c r="AK39" i="4"/>
  <c r="K39" i="4"/>
  <c r="AJ39" i="4"/>
  <c r="L39" i="4"/>
  <c r="N39" i="4"/>
  <c r="O39" i="4"/>
  <c r="AL39" i="4"/>
  <c r="F39" i="4"/>
  <c r="AM39" i="4"/>
  <c r="AI39" i="4"/>
  <c r="AH39" i="4"/>
  <c r="J39" i="4"/>
  <c r="P39" i="4"/>
  <c r="M39" i="4"/>
  <c r="AF38" i="4"/>
  <c r="P31" i="29" l="1"/>
  <c r="V31" i="29"/>
  <c r="W31" i="29" s="1"/>
  <c r="N32" i="29"/>
  <c r="V32" i="29" s="1"/>
  <c r="W32" i="29" s="1"/>
  <c r="AQ38" i="4"/>
  <c r="AB33" i="29"/>
  <c r="AE38" i="4"/>
  <c r="P32" i="29"/>
  <c r="Z32" i="29"/>
  <c r="O33" i="29"/>
  <c r="AE34" i="29"/>
  <c r="AA34" i="29" s="1"/>
  <c r="AF34" i="29"/>
  <c r="J33" i="29"/>
  <c r="Y33" i="29" s="1"/>
  <c r="I33" i="29"/>
  <c r="AD36" i="29"/>
  <c r="B35" i="29"/>
  <c r="AI35" i="29"/>
  <c r="E34" i="29"/>
  <c r="R34" i="29"/>
  <c r="Q34" i="29"/>
  <c r="U34" i="29"/>
  <c r="S34" i="29"/>
  <c r="G34" i="29"/>
  <c r="T34" i="29"/>
  <c r="AD37" i="4"/>
  <c r="AF39" i="4"/>
  <c r="AX40" i="4"/>
  <c r="AW40" i="4"/>
  <c r="I40" i="4"/>
  <c r="AI40" i="4"/>
  <c r="AJ40" i="4"/>
  <c r="AK40" i="4"/>
  <c r="AH40" i="4"/>
  <c r="J40" i="4"/>
  <c r="O40" i="4"/>
  <c r="F40" i="4"/>
  <c r="L40" i="4"/>
  <c r="N40" i="4"/>
  <c r="K40" i="4"/>
  <c r="AL40" i="4"/>
  <c r="M40" i="4"/>
  <c r="P40" i="4"/>
  <c r="AM40" i="4"/>
  <c r="H40" i="4"/>
  <c r="G40" i="4"/>
  <c r="U39" i="4"/>
  <c r="AP39" i="4" s="1"/>
  <c r="W39" i="4"/>
  <c r="AB39" i="4" s="1"/>
  <c r="X39" i="4"/>
  <c r="AC39" i="4" s="1"/>
  <c r="V39" i="4"/>
  <c r="AA39" i="4" s="1"/>
  <c r="R39" i="4"/>
  <c r="Q39" i="4"/>
  <c r="Y39" i="4" s="1"/>
  <c r="AV42" i="4"/>
  <c r="B41" i="4"/>
  <c r="AY41" i="4"/>
  <c r="AB34" i="29" l="1"/>
  <c r="K33" i="29"/>
  <c r="N33" i="29" s="1"/>
  <c r="Z39" i="4"/>
  <c r="O34" i="29"/>
  <c r="Z33" i="29"/>
  <c r="AF35" i="29"/>
  <c r="AE35" i="29"/>
  <c r="AA35" i="29" s="1"/>
  <c r="E35" i="29"/>
  <c r="R35" i="29"/>
  <c r="U35" i="29"/>
  <c r="Q35" i="29"/>
  <c r="T35" i="29"/>
  <c r="S35" i="29"/>
  <c r="G35" i="29"/>
  <c r="AD37" i="29"/>
  <c r="B36" i="29"/>
  <c r="AI36" i="29"/>
  <c r="I34" i="29"/>
  <c r="J34" i="29"/>
  <c r="Y34" i="29" s="1"/>
  <c r="AN38" i="4"/>
  <c r="AO38" i="4" s="1"/>
  <c r="AG38" i="4"/>
  <c r="AF40" i="4"/>
  <c r="R40" i="4"/>
  <c r="Q40" i="4"/>
  <c r="Y40" i="4" s="1"/>
  <c r="T40" i="4"/>
  <c r="S40" i="4"/>
  <c r="V40" i="4"/>
  <c r="AA40" i="4" s="1"/>
  <c r="U40" i="4"/>
  <c r="AP40" i="4" s="1"/>
  <c r="W40" i="4"/>
  <c r="AB40" i="4" s="1"/>
  <c r="X40" i="4"/>
  <c r="AC40" i="4" s="1"/>
  <c r="AD38" i="4"/>
  <c r="B42" i="4"/>
  <c r="AV43" i="4"/>
  <c r="AY42" i="4"/>
  <c r="AN37" i="4"/>
  <c r="AO37" i="4" s="1"/>
  <c r="AG37" i="4"/>
  <c r="P41" i="4"/>
  <c r="AJ41" i="4"/>
  <c r="M41" i="4"/>
  <c r="AK41" i="4"/>
  <c r="K41" i="4"/>
  <c r="N41" i="4"/>
  <c r="AM41" i="4"/>
  <c r="AI41" i="4"/>
  <c r="L41" i="4"/>
  <c r="J41" i="4"/>
  <c r="F41" i="4"/>
  <c r="AL41" i="4"/>
  <c r="AH41" i="4"/>
  <c r="O41" i="4"/>
  <c r="AX41" i="4"/>
  <c r="AW41" i="4"/>
  <c r="AD39" i="4"/>
  <c r="V33" i="29" l="1"/>
  <c r="W33" i="29" s="1"/>
  <c r="P33" i="29"/>
  <c r="K34" i="29"/>
  <c r="N34" i="29" s="1"/>
  <c r="AB35" i="29"/>
  <c r="AE39" i="4"/>
  <c r="AQ39" i="4"/>
  <c r="Z40" i="4"/>
  <c r="B37" i="29"/>
  <c r="AD38" i="29"/>
  <c r="AI37" i="29"/>
  <c r="AF36" i="29"/>
  <c r="AE36" i="29"/>
  <c r="AA36" i="29" s="1"/>
  <c r="I35" i="29"/>
  <c r="J35" i="29"/>
  <c r="Y35" i="29" s="1"/>
  <c r="Z34" i="29"/>
  <c r="E36" i="29"/>
  <c r="U36" i="29"/>
  <c r="T36" i="29"/>
  <c r="G36" i="29"/>
  <c r="R36" i="29"/>
  <c r="S36" i="29"/>
  <c r="Q36" i="29"/>
  <c r="O35" i="29"/>
  <c r="U41" i="4"/>
  <c r="AP41" i="4" s="1"/>
  <c r="Q41" i="4"/>
  <c r="Y41" i="4" s="1"/>
  <c r="X41" i="4"/>
  <c r="AC41" i="4" s="1"/>
  <c r="W41" i="4"/>
  <c r="AB41" i="4" s="1"/>
  <c r="R41" i="4"/>
  <c r="Z41" i="4" s="1"/>
  <c r="AQ41" i="4" s="1"/>
  <c r="V41" i="4"/>
  <c r="AA41" i="4" s="1"/>
  <c r="AF41" i="4"/>
  <c r="AX42" i="4"/>
  <c r="AW42" i="4"/>
  <c r="AY43" i="4"/>
  <c r="AV44" i="4"/>
  <c r="B43" i="4"/>
  <c r="K42" i="4"/>
  <c r="AJ42" i="4"/>
  <c r="AK42" i="4"/>
  <c r="M42" i="4"/>
  <c r="J42" i="4"/>
  <c r="F42" i="4"/>
  <c r="AH42" i="4"/>
  <c r="N42" i="4"/>
  <c r="AI42" i="4"/>
  <c r="L42" i="4"/>
  <c r="AM42" i="4"/>
  <c r="O42" i="4"/>
  <c r="P42" i="4"/>
  <c r="AL42" i="4"/>
  <c r="AD40" i="4"/>
  <c r="V34" i="29" l="1"/>
  <c r="W34" i="29" s="1"/>
  <c r="P34" i="29"/>
  <c r="AB36" i="29"/>
  <c r="K35" i="29"/>
  <c r="N35" i="29" s="1"/>
  <c r="AE40" i="4"/>
  <c r="AQ40" i="4"/>
  <c r="AE41" i="4"/>
  <c r="Z35" i="29"/>
  <c r="O36" i="29"/>
  <c r="J36" i="29"/>
  <c r="Y36" i="29" s="1"/>
  <c r="I36" i="29"/>
  <c r="K36" i="29" s="1"/>
  <c r="AE37" i="29"/>
  <c r="AA37" i="29" s="1"/>
  <c r="AF37" i="29"/>
  <c r="B38" i="29"/>
  <c r="AD39" i="29"/>
  <c r="AI38" i="29"/>
  <c r="E37" i="29"/>
  <c r="U37" i="29"/>
  <c r="R37" i="29"/>
  <c r="Q37" i="29"/>
  <c r="T37" i="29"/>
  <c r="S37" i="29"/>
  <c r="G37" i="29"/>
  <c r="AN39" i="4"/>
  <c r="AO39" i="4" s="1"/>
  <c r="AG39" i="4"/>
  <c r="AD41" i="4"/>
  <c r="P43" i="4"/>
  <c r="AK43" i="4"/>
  <c r="AL43" i="4"/>
  <c r="AJ43" i="4"/>
  <c r="F43" i="4"/>
  <c r="AM43" i="4"/>
  <c r="K43" i="4"/>
  <c r="AI43" i="4"/>
  <c r="L43" i="4"/>
  <c r="N43" i="4"/>
  <c r="J43" i="4"/>
  <c r="AH43" i="4"/>
  <c r="O43" i="4"/>
  <c r="M43" i="4"/>
  <c r="AV45" i="4"/>
  <c r="B44" i="4"/>
  <c r="AY44" i="4"/>
  <c r="AF42" i="4"/>
  <c r="AX43" i="4"/>
  <c r="AW43" i="4"/>
  <c r="Q42" i="4"/>
  <c r="Y42" i="4" s="1"/>
  <c r="X42" i="4"/>
  <c r="AC42" i="4" s="1"/>
  <c r="W42" i="4"/>
  <c r="AB42" i="4" s="1"/>
  <c r="R42" i="4"/>
  <c r="Z42" i="4" s="1"/>
  <c r="V42" i="4"/>
  <c r="AA42" i="4" s="1"/>
  <c r="U42" i="4"/>
  <c r="AP42" i="4" s="1"/>
  <c r="V35" i="29" l="1"/>
  <c r="W35" i="29" s="1"/>
  <c r="P35" i="29"/>
  <c r="N36" i="29"/>
  <c r="P36" i="29" s="1"/>
  <c r="AB37" i="29"/>
  <c r="AQ42" i="4"/>
  <c r="AE42" i="4"/>
  <c r="V36" i="29"/>
  <c r="W36" i="29" s="1"/>
  <c r="AF38" i="29"/>
  <c r="AE38" i="29"/>
  <c r="AA38" i="29" s="1"/>
  <c r="J37" i="29"/>
  <c r="Y37" i="29" s="1"/>
  <c r="I37" i="29"/>
  <c r="K37" i="29" s="1"/>
  <c r="AD40" i="29"/>
  <c r="B39" i="29"/>
  <c r="AI39" i="29"/>
  <c r="Z36" i="29"/>
  <c r="O37" i="29"/>
  <c r="E38" i="29"/>
  <c r="G38" i="29"/>
  <c r="U38" i="29"/>
  <c r="R38" i="29"/>
  <c r="Q38" i="29"/>
  <c r="T38" i="29"/>
  <c r="S38" i="29"/>
  <c r="AF43" i="4"/>
  <c r="B45" i="4"/>
  <c r="AV46" i="4"/>
  <c r="AY45" i="4"/>
  <c r="AG40" i="4"/>
  <c r="AN40" i="4"/>
  <c r="AO40" i="4" s="1"/>
  <c r="U43" i="4"/>
  <c r="Q43" i="4"/>
  <c r="Y43" i="4" s="1"/>
  <c r="X43" i="4"/>
  <c r="AC43" i="4" s="1"/>
  <c r="R43" i="4"/>
  <c r="Z43" i="4" s="1"/>
  <c r="W43" i="4"/>
  <c r="AB43" i="4" s="1"/>
  <c r="V43" i="4"/>
  <c r="AA43" i="4" s="1"/>
  <c r="AD42" i="4"/>
  <c r="AW44" i="4"/>
  <c r="AX44" i="4"/>
  <c r="AG41" i="4"/>
  <c r="AN41" i="4"/>
  <c r="AO41" i="4" s="1"/>
  <c r="O44" i="4"/>
  <c r="J44" i="4"/>
  <c r="M44" i="4"/>
  <c r="AM44" i="4"/>
  <c r="K44" i="4"/>
  <c r="AL44" i="4"/>
  <c r="AK44" i="4"/>
  <c r="AH44" i="4"/>
  <c r="N44" i="4"/>
  <c r="L44" i="4"/>
  <c r="AJ44" i="4"/>
  <c r="F44" i="4"/>
  <c r="P44" i="4"/>
  <c r="AI44" i="4"/>
  <c r="AP43" i="4"/>
  <c r="AB38" i="29" l="1"/>
  <c r="N37" i="29"/>
  <c r="V37" i="29" s="1"/>
  <c r="W37" i="29" s="1"/>
  <c r="AQ43" i="4"/>
  <c r="AE43" i="4"/>
  <c r="AD41" i="29"/>
  <c r="B40" i="29"/>
  <c r="AI40" i="29"/>
  <c r="I38" i="29"/>
  <c r="K38" i="29" s="1"/>
  <c r="J38" i="29"/>
  <c r="Y38" i="29" s="1"/>
  <c r="Z37" i="29"/>
  <c r="O38" i="29"/>
  <c r="AF39" i="29"/>
  <c r="AE39" i="29"/>
  <c r="AA39" i="29" s="1"/>
  <c r="E39" i="29"/>
  <c r="U39" i="29"/>
  <c r="S39" i="29"/>
  <c r="R39" i="29"/>
  <c r="T39" i="29"/>
  <c r="G39" i="29"/>
  <c r="Q39" i="29"/>
  <c r="AG42" i="4"/>
  <c r="AL45" i="4"/>
  <c r="F45" i="4"/>
  <c r="J45" i="4"/>
  <c r="AJ45" i="4"/>
  <c r="O45" i="4"/>
  <c r="P45" i="4"/>
  <c r="N45" i="4"/>
  <c r="M45" i="4"/>
  <c r="AM45" i="4"/>
  <c r="AH45" i="4"/>
  <c r="AI45" i="4"/>
  <c r="L45" i="4"/>
  <c r="K45" i="4"/>
  <c r="AK45" i="4"/>
  <c r="AF44" i="4"/>
  <c r="AW45" i="4"/>
  <c r="AX45" i="4"/>
  <c r="W44" i="4"/>
  <c r="AB44" i="4" s="1"/>
  <c r="X44" i="4"/>
  <c r="AC44" i="4" s="1"/>
  <c r="R44" i="4"/>
  <c r="Z44" i="4" s="1"/>
  <c r="V44" i="4"/>
  <c r="AA44" i="4" s="1"/>
  <c r="Q44" i="4"/>
  <c r="Y44" i="4" s="1"/>
  <c r="U44" i="4"/>
  <c r="AP44" i="4" s="1"/>
  <c r="B46" i="4"/>
  <c r="AV47" i="4"/>
  <c r="AY46" i="4"/>
  <c r="P37" i="29" l="1"/>
  <c r="AB39" i="29"/>
  <c r="N38" i="29"/>
  <c r="AQ44" i="4"/>
  <c r="AE44" i="4"/>
  <c r="Z38" i="29"/>
  <c r="B41" i="29"/>
  <c r="AD42" i="29"/>
  <c r="AI41" i="29"/>
  <c r="O39" i="29"/>
  <c r="I39" i="29"/>
  <c r="K39" i="29" s="1"/>
  <c r="J39" i="29"/>
  <c r="Y39" i="29" s="1"/>
  <c r="AE40" i="29"/>
  <c r="AA40" i="29" s="1"/>
  <c r="AF40" i="29"/>
  <c r="V38" i="29"/>
  <c r="W38" i="29" s="1"/>
  <c r="P38" i="29"/>
  <c r="E40" i="29"/>
  <c r="T40" i="29"/>
  <c r="Q40" i="29"/>
  <c r="S40" i="29"/>
  <c r="G40" i="29"/>
  <c r="R40" i="29"/>
  <c r="U40" i="29"/>
  <c r="AN42" i="4"/>
  <c r="AO42" i="4" s="1"/>
  <c r="AN43" i="4"/>
  <c r="AO43" i="4" s="1"/>
  <c r="AG43" i="4"/>
  <c r="AF45" i="4"/>
  <c r="AK46" i="4"/>
  <c r="L46" i="4"/>
  <c r="M46" i="4"/>
  <c r="O46" i="4"/>
  <c r="N46" i="4"/>
  <c r="P46" i="4"/>
  <c r="J46" i="4"/>
  <c r="AI46" i="4"/>
  <c r="AH46" i="4"/>
  <c r="AM46" i="4"/>
  <c r="AJ46" i="4"/>
  <c r="F46" i="4"/>
  <c r="K46" i="4"/>
  <c r="AL46" i="4"/>
  <c r="U45" i="4"/>
  <c r="AP45" i="4" s="1"/>
  <c r="Q45" i="4"/>
  <c r="Y45" i="4" s="1"/>
  <c r="X45" i="4"/>
  <c r="AC45" i="4" s="1"/>
  <c r="R45" i="4"/>
  <c r="Z45" i="4" s="1"/>
  <c r="V45" i="4"/>
  <c r="AA45" i="4" s="1"/>
  <c r="W45" i="4"/>
  <c r="AB45" i="4" s="1"/>
  <c r="AD43" i="4"/>
  <c r="AX46" i="4"/>
  <c r="AW46" i="4"/>
  <c r="AD44" i="4"/>
  <c r="AY47" i="4"/>
  <c r="B47" i="4"/>
  <c r="AV48" i="4"/>
  <c r="AB40" i="29" l="1"/>
  <c r="N39" i="29"/>
  <c r="P39" i="29" s="1"/>
  <c r="AQ45" i="4"/>
  <c r="AE45" i="4"/>
  <c r="I40" i="29"/>
  <c r="J40" i="29"/>
  <c r="Y40" i="29" s="1"/>
  <c r="Z39" i="29"/>
  <c r="AF41" i="29"/>
  <c r="AE41" i="29"/>
  <c r="AA41" i="29" s="1"/>
  <c r="V39" i="29"/>
  <c r="W39" i="29" s="1"/>
  <c r="B42" i="29"/>
  <c r="AD43" i="29"/>
  <c r="AI42" i="29"/>
  <c r="O40" i="29"/>
  <c r="E41" i="29"/>
  <c r="T41" i="29"/>
  <c r="R41" i="29"/>
  <c r="Q41" i="29"/>
  <c r="U41" i="29"/>
  <c r="G41" i="29"/>
  <c r="S41" i="29"/>
  <c r="AN44" i="4"/>
  <c r="AO44" i="4" s="1"/>
  <c r="AW47" i="4"/>
  <c r="AX47" i="4"/>
  <c r="X46" i="4"/>
  <c r="AC46" i="4" s="1"/>
  <c r="R46" i="4"/>
  <c r="Z46" i="4" s="1"/>
  <c r="V46" i="4"/>
  <c r="AA46" i="4" s="1"/>
  <c r="Q46" i="4"/>
  <c r="Y46" i="4" s="1"/>
  <c r="U46" i="4"/>
  <c r="AP46" i="4" s="1"/>
  <c r="W46" i="4"/>
  <c r="AB46" i="4" s="1"/>
  <c r="AD45" i="4"/>
  <c r="AF46" i="4"/>
  <c r="O47" i="4"/>
  <c r="J47" i="4"/>
  <c r="K47" i="4"/>
  <c r="P47" i="4"/>
  <c r="AH47" i="4"/>
  <c r="M47" i="4"/>
  <c r="F47" i="4"/>
  <c r="AI47" i="4"/>
  <c r="AJ47" i="4"/>
  <c r="AK47" i="4"/>
  <c r="AL47" i="4"/>
  <c r="AM47" i="4"/>
  <c r="N47" i="4"/>
  <c r="L47" i="4"/>
  <c r="AV49" i="4"/>
  <c r="B48" i="4"/>
  <c r="AY48" i="4"/>
  <c r="AB41" i="29" l="1"/>
  <c r="K40" i="29"/>
  <c r="N40" i="29" s="1"/>
  <c r="AQ46" i="4"/>
  <c r="AE46" i="4"/>
  <c r="AE42" i="29"/>
  <c r="AA42" i="29" s="1"/>
  <c r="AF42" i="29"/>
  <c r="AD44" i="29"/>
  <c r="B43" i="29"/>
  <c r="AI43" i="29"/>
  <c r="O41" i="29"/>
  <c r="E42" i="29"/>
  <c r="T42" i="29"/>
  <c r="G42" i="29"/>
  <c r="R42" i="29"/>
  <c r="Q42" i="29"/>
  <c r="U42" i="29"/>
  <c r="S42" i="29"/>
  <c r="Z40" i="29"/>
  <c r="I41" i="29"/>
  <c r="K41" i="29" s="1"/>
  <c r="J41" i="29"/>
  <c r="Y41" i="29" s="1"/>
  <c r="AG45" i="4"/>
  <c r="AG44" i="4"/>
  <c r="O48" i="4"/>
  <c r="AJ48" i="4"/>
  <c r="F48" i="4"/>
  <c r="AK48" i="4"/>
  <c r="AL48" i="4"/>
  <c r="N48" i="4"/>
  <c r="J48" i="4"/>
  <c r="AH48" i="4"/>
  <c r="AI48" i="4"/>
  <c r="L48" i="4"/>
  <c r="K48" i="4"/>
  <c r="AM48" i="4"/>
  <c r="M48" i="4"/>
  <c r="P48" i="4"/>
  <c r="AF47" i="4"/>
  <c r="Q47" i="4"/>
  <c r="Y47" i="4" s="1"/>
  <c r="R47" i="4"/>
  <c r="Z47" i="4" s="1"/>
  <c r="X47" i="4"/>
  <c r="AC47" i="4" s="1"/>
  <c r="W47" i="4"/>
  <c r="AB47" i="4" s="1"/>
  <c r="U47" i="4"/>
  <c r="AP47" i="4" s="1"/>
  <c r="V47" i="4"/>
  <c r="AA47" i="4" s="1"/>
  <c r="AY49" i="4"/>
  <c r="AV50" i="4"/>
  <c r="B49" i="4"/>
  <c r="AW48" i="4"/>
  <c r="AX48" i="4"/>
  <c r="AD46" i="4"/>
  <c r="P40" i="29" l="1"/>
  <c r="V40" i="29"/>
  <c r="W40" i="29" s="1"/>
  <c r="N41" i="29"/>
  <c r="AB42" i="29"/>
  <c r="AQ47" i="4"/>
  <c r="AE47" i="4"/>
  <c r="O42" i="29"/>
  <c r="AF43" i="29"/>
  <c r="AE43" i="29"/>
  <c r="AA43" i="29" s="1"/>
  <c r="Z41" i="29"/>
  <c r="E43" i="29"/>
  <c r="G43" i="29"/>
  <c r="T43" i="29"/>
  <c r="U43" i="29"/>
  <c r="S43" i="29"/>
  <c r="Q43" i="29"/>
  <c r="R43" i="29"/>
  <c r="J42" i="29"/>
  <c r="Y42" i="29" s="1"/>
  <c r="I42" i="29"/>
  <c r="P41" i="29"/>
  <c r="V41" i="29"/>
  <c r="W41" i="29" s="1"/>
  <c r="AD45" i="29"/>
  <c r="B44" i="29"/>
  <c r="AI44" i="29"/>
  <c r="AN45" i="4"/>
  <c r="AO45" i="4" s="1"/>
  <c r="Q48" i="4"/>
  <c r="Y48" i="4" s="1"/>
  <c r="R48" i="4"/>
  <c r="Z48" i="4" s="1"/>
  <c r="W48" i="4"/>
  <c r="AB48" i="4" s="1"/>
  <c r="V48" i="4"/>
  <c r="AA48" i="4" s="1"/>
  <c r="U48" i="4"/>
  <c r="AP48" i="4" s="1"/>
  <c r="X48" i="4"/>
  <c r="AC48" i="4" s="1"/>
  <c r="AX49" i="4"/>
  <c r="AW49" i="4"/>
  <c r="AJ49" i="4"/>
  <c r="P49" i="4"/>
  <c r="O49" i="4"/>
  <c r="AH49" i="4"/>
  <c r="F49" i="4"/>
  <c r="AK49" i="4"/>
  <c r="M49" i="4"/>
  <c r="J49" i="4"/>
  <c r="AM49" i="4"/>
  <c r="N49" i="4"/>
  <c r="L49" i="4"/>
  <c r="K49" i="4"/>
  <c r="AL49" i="4"/>
  <c r="AI49" i="4"/>
  <c r="AV51" i="4"/>
  <c r="B50" i="4"/>
  <c r="AY50" i="4"/>
  <c r="AF48" i="4"/>
  <c r="AB43" i="29" l="1"/>
  <c r="K42" i="29"/>
  <c r="N42" i="29" s="1"/>
  <c r="Z42" i="29"/>
  <c r="AQ48" i="4"/>
  <c r="AE48" i="4"/>
  <c r="AG47" i="4"/>
  <c r="AE44" i="29"/>
  <c r="AA44" i="29" s="1"/>
  <c r="AF44" i="29"/>
  <c r="O43" i="29"/>
  <c r="E44" i="29"/>
  <c r="S44" i="29"/>
  <c r="U44" i="29"/>
  <c r="G44" i="29"/>
  <c r="T44" i="29"/>
  <c r="R44" i="29"/>
  <c r="Q44" i="29"/>
  <c r="I43" i="29"/>
  <c r="J43" i="29"/>
  <c r="Y43" i="29" s="1"/>
  <c r="B45" i="29"/>
  <c r="AD46" i="29"/>
  <c r="AI45" i="29"/>
  <c r="AD47" i="4"/>
  <c r="AX50" i="4"/>
  <c r="AW50" i="4"/>
  <c r="AL50" i="4"/>
  <c r="P50" i="4"/>
  <c r="AM50" i="4"/>
  <c r="AH50" i="4"/>
  <c r="F50" i="4"/>
  <c r="J50" i="4"/>
  <c r="AK50" i="4"/>
  <c r="AI50" i="4"/>
  <c r="L50" i="4"/>
  <c r="AJ50" i="4"/>
  <c r="N50" i="4"/>
  <c r="K50" i="4"/>
  <c r="O50" i="4"/>
  <c r="M50" i="4"/>
  <c r="AN46" i="4"/>
  <c r="AO46" i="4" s="1"/>
  <c r="AG46" i="4"/>
  <c r="AY51" i="4"/>
  <c r="B51" i="4"/>
  <c r="AV52" i="4"/>
  <c r="AF49" i="4"/>
  <c r="AD48" i="4"/>
  <c r="V49" i="4"/>
  <c r="AA49" i="4" s="1"/>
  <c r="U49" i="4"/>
  <c r="AP49" i="4" s="1"/>
  <c r="Q49" i="4"/>
  <c r="Y49" i="4" s="1"/>
  <c r="W49" i="4"/>
  <c r="AB49" i="4" s="1"/>
  <c r="X49" i="4"/>
  <c r="AC49" i="4" s="1"/>
  <c r="R49" i="4"/>
  <c r="P42" i="29" l="1"/>
  <c r="V42" i="29"/>
  <c r="W42" i="29" s="1"/>
  <c r="K43" i="29"/>
  <c r="N43" i="29" s="1"/>
  <c r="AB44" i="29"/>
  <c r="Z49" i="4"/>
  <c r="AN47" i="4"/>
  <c r="AO47" i="4" s="1"/>
  <c r="AF45" i="29"/>
  <c r="AE45" i="29"/>
  <c r="AA45" i="29" s="1"/>
  <c r="B46" i="29"/>
  <c r="AD47" i="29"/>
  <c r="AI46" i="29"/>
  <c r="E45" i="29"/>
  <c r="U45" i="29"/>
  <c r="S45" i="29"/>
  <c r="Q45" i="29"/>
  <c r="T45" i="29"/>
  <c r="G45" i="29"/>
  <c r="R45" i="29"/>
  <c r="O44" i="29"/>
  <c r="Z43" i="29"/>
  <c r="I44" i="29"/>
  <c r="J44" i="29"/>
  <c r="Y44" i="29" s="1"/>
  <c r="AF50" i="4"/>
  <c r="J51" i="4"/>
  <c r="F51" i="4"/>
  <c r="AI51" i="4"/>
  <c r="M51" i="4"/>
  <c r="AK51" i="4"/>
  <c r="O51" i="4"/>
  <c r="L51" i="4"/>
  <c r="K51" i="4"/>
  <c r="P51" i="4"/>
  <c r="AH51" i="4"/>
  <c r="AJ51" i="4"/>
  <c r="N51" i="4"/>
  <c r="AM51" i="4"/>
  <c r="AL51" i="4"/>
  <c r="AG48" i="4"/>
  <c r="AN48" i="4"/>
  <c r="AO48" i="4" s="1"/>
  <c r="R50" i="4"/>
  <c r="Z50" i="4" s="1"/>
  <c r="W50" i="4"/>
  <c r="AB50" i="4" s="1"/>
  <c r="V50" i="4"/>
  <c r="AA50" i="4" s="1"/>
  <c r="U50" i="4"/>
  <c r="AP50" i="4" s="1"/>
  <c r="Q50" i="4"/>
  <c r="Y50" i="4" s="1"/>
  <c r="X50" i="4"/>
  <c r="AC50" i="4" s="1"/>
  <c r="AY52" i="4"/>
  <c r="AV53" i="4"/>
  <c r="B52" i="4"/>
  <c r="AX51" i="4"/>
  <c r="AW51" i="4"/>
  <c r="AJ52" i="4" l="1"/>
  <c r="O52" i="4"/>
  <c r="K52" i="4"/>
  <c r="AM52" i="4"/>
  <c r="AI52" i="4"/>
  <c r="N52" i="4"/>
  <c r="J52" i="4"/>
  <c r="P52" i="4"/>
  <c r="L52" i="4"/>
  <c r="F52" i="4"/>
  <c r="AL52" i="4"/>
  <c r="M52" i="4"/>
  <c r="AK52" i="4"/>
  <c r="AH52" i="4"/>
  <c r="V43" i="29"/>
  <c r="W43" i="29" s="1"/>
  <c r="P43" i="29"/>
  <c r="N44" i="29"/>
  <c r="P44" i="29" s="1"/>
  <c r="K44" i="29"/>
  <c r="AB45" i="29"/>
  <c r="AQ50" i="4"/>
  <c r="AE49" i="4"/>
  <c r="AN49" i="4" s="1"/>
  <c r="AO49" i="4" s="1"/>
  <c r="AQ49" i="4"/>
  <c r="AE50" i="4"/>
  <c r="AE46" i="29"/>
  <c r="AA46" i="29" s="1"/>
  <c r="AF46" i="29"/>
  <c r="Z44" i="29"/>
  <c r="AD48" i="29"/>
  <c r="B47" i="29"/>
  <c r="AI47" i="29"/>
  <c r="E46" i="29"/>
  <c r="G46" i="29"/>
  <c r="U46" i="29"/>
  <c r="R46" i="29"/>
  <c r="T46" i="29"/>
  <c r="S46" i="29"/>
  <c r="Q46" i="29"/>
  <c r="I45" i="29"/>
  <c r="J45" i="29"/>
  <c r="Y45" i="29" s="1"/>
  <c r="O45" i="29"/>
  <c r="W51" i="4"/>
  <c r="AB51" i="4" s="1"/>
  <c r="Q51" i="4"/>
  <c r="Y51" i="4" s="1"/>
  <c r="X51" i="4"/>
  <c r="AC51" i="4" s="1"/>
  <c r="R51" i="4"/>
  <c r="Z51" i="4" s="1"/>
  <c r="U51" i="4"/>
  <c r="AP51" i="4" s="1"/>
  <c r="V51" i="4"/>
  <c r="AA51" i="4" s="1"/>
  <c r="AW52" i="4"/>
  <c r="AX52" i="4"/>
  <c r="AF51" i="4"/>
  <c r="AD49" i="4"/>
  <c r="AV54" i="4"/>
  <c r="AY53" i="4"/>
  <c r="B53" i="4"/>
  <c r="AD50" i="4"/>
  <c r="V44" i="29" l="1"/>
  <c r="W44" i="29" s="1"/>
  <c r="AL53" i="4"/>
  <c r="AH53" i="4"/>
  <c r="M53" i="4"/>
  <c r="F53" i="4"/>
  <c r="AK53" i="4"/>
  <c r="P53" i="4"/>
  <c r="L53" i="4"/>
  <c r="AI53" i="4"/>
  <c r="J53" i="4"/>
  <c r="N53" i="4"/>
  <c r="K53" i="4"/>
  <c r="O53" i="4"/>
  <c r="AM53" i="4"/>
  <c r="AJ53" i="4"/>
  <c r="K45" i="29"/>
  <c r="N45" i="29" s="1"/>
  <c r="AB46" i="29"/>
  <c r="AG49" i="4"/>
  <c r="AQ51" i="4"/>
  <c r="AE51" i="4"/>
  <c r="Z45" i="29"/>
  <c r="AE47" i="29"/>
  <c r="AA47" i="29" s="1"/>
  <c r="AF47" i="29"/>
  <c r="J46" i="29"/>
  <c r="Y46" i="29" s="1"/>
  <c r="I46" i="29"/>
  <c r="E47" i="29"/>
  <c r="S47" i="29"/>
  <c r="Q47" i="29"/>
  <c r="G47" i="29"/>
  <c r="R47" i="29"/>
  <c r="T47" i="29"/>
  <c r="U47" i="29"/>
  <c r="O46" i="29"/>
  <c r="AD49" i="29"/>
  <c r="B48" i="29"/>
  <c r="AI48" i="29"/>
  <c r="AW53" i="4"/>
  <c r="AX53" i="4"/>
  <c r="R52" i="4"/>
  <c r="Z52" i="4" s="1"/>
  <c r="Q52" i="4"/>
  <c r="Y52" i="4" s="1"/>
  <c r="V52" i="4"/>
  <c r="AA52" i="4" s="1"/>
  <c r="W52" i="4"/>
  <c r="AB52" i="4" s="1"/>
  <c r="U52" i="4"/>
  <c r="AP52" i="4" s="1"/>
  <c r="X52" i="4"/>
  <c r="AC52" i="4" s="1"/>
  <c r="AD51" i="4"/>
  <c r="AV55" i="4"/>
  <c r="B54" i="4"/>
  <c r="AY54" i="4"/>
  <c r="AF52" i="4"/>
  <c r="AJ54" i="4" l="1"/>
  <c r="O54" i="4"/>
  <c r="K54" i="4"/>
  <c r="AM54" i="4"/>
  <c r="AI54" i="4"/>
  <c r="N54" i="4"/>
  <c r="J54" i="4"/>
  <c r="AK54" i="4"/>
  <c r="L54" i="4"/>
  <c r="P54" i="4"/>
  <c r="M54" i="4"/>
  <c r="AH54" i="4"/>
  <c r="F54" i="4"/>
  <c r="AL54" i="4"/>
  <c r="V45" i="29"/>
  <c r="W45" i="29" s="1"/>
  <c r="P45" i="29"/>
  <c r="AB47" i="29"/>
  <c r="K46" i="29"/>
  <c r="N46" i="29" s="1"/>
  <c r="AQ52" i="4"/>
  <c r="AE52" i="4"/>
  <c r="O47" i="29"/>
  <c r="AF48" i="29"/>
  <c r="AE48" i="29"/>
  <c r="AA48" i="29" s="1"/>
  <c r="I47" i="29"/>
  <c r="J47" i="29"/>
  <c r="Y47" i="29" s="1"/>
  <c r="E48" i="29"/>
  <c r="R48" i="29"/>
  <c r="U48" i="29"/>
  <c r="Q48" i="29"/>
  <c r="G48" i="29"/>
  <c r="T48" i="29"/>
  <c r="S48" i="29"/>
  <c r="B49" i="29"/>
  <c r="AD50" i="29"/>
  <c r="AI49" i="29"/>
  <c r="Z46" i="29"/>
  <c r="AV56" i="4"/>
  <c r="AY55" i="4"/>
  <c r="B55" i="4"/>
  <c r="AD52" i="4"/>
  <c r="AF53" i="4"/>
  <c r="AN50" i="4"/>
  <c r="AO50" i="4" s="1"/>
  <c r="AG50" i="4"/>
  <c r="AX54" i="4"/>
  <c r="AW54" i="4"/>
  <c r="Q53" i="4"/>
  <c r="Y53" i="4" s="1"/>
  <c r="V53" i="4"/>
  <c r="AA53" i="4" s="1"/>
  <c r="R53" i="4"/>
  <c r="Z53" i="4" s="1"/>
  <c r="X53" i="4"/>
  <c r="AC53" i="4" s="1"/>
  <c r="U53" i="4"/>
  <c r="AP53" i="4" s="1"/>
  <c r="W53" i="4"/>
  <c r="AB53" i="4" s="1"/>
  <c r="P46" i="29" l="1"/>
  <c r="V46" i="29"/>
  <c r="W46" i="29" s="1"/>
  <c r="AB48" i="29"/>
  <c r="Z47" i="29"/>
  <c r="K47" i="29"/>
  <c r="N47" i="29" s="1"/>
  <c r="AQ53" i="4"/>
  <c r="AE53" i="4"/>
  <c r="B50" i="29"/>
  <c r="AD51" i="29"/>
  <c r="AI50" i="29"/>
  <c r="E49" i="29"/>
  <c r="R49" i="29"/>
  <c r="U49" i="29"/>
  <c r="G49" i="29"/>
  <c r="S49" i="29"/>
  <c r="T49" i="29"/>
  <c r="Q49" i="29"/>
  <c r="O48" i="29"/>
  <c r="J48" i="29"/>
  <c r="Y48" i="29" s="1"/>
  <c r="I48" i="29"/>
  <c r="K48" i="29" s="1"/>
  <c r="AF49" i="29"/>
  <c r="AE49" i="29"/>
  <c r="AA49" i="29" s="1"/>
  <c r="AF54" i="4"/>
  <c r="B56" i="4"/>
  <c r="AV57" i="4"/>
  <c r="AY56" i="4"/>
  <c r="AD53" i="4"/>
  <c r="X54" i="4"/>
  <c r="AC54" i="4" s="1"/>
  <c r="U54" i="4"/>
  <c r="AP54" i="4" s="1"/>
  <c r="R54" i="4"/>
  <c r="Z54" i="4" s="1"/>
  <c r="W54" i="4"/>
  <c r="AB54" i="4" s="1"/>
  <c r="Q54" i="4"/>
  <c r="Y54" i="4" s="1"/>
  <c r="V54" i="4"/>
  <c r="AA54" i="4" s="1"/>
  <c r="AM55" i="4"/>
  <c r="O55" i="4"/>
  <c r="AH55" i="4"/>
  <c r="K55" i="4"/>
  <c r="AK55" i="4"/>
  <c r="L55" i="4"/>
  <c r="M55" i="4"/>
  <c r="P55" i="4"/>
  <c r="N55" i="4"/>
  <c r="AI55" i="4"/>
  <c r="AJ55" i="4"/>
  <c r="J55" i="4"/>
  <c r="AL55" i="4"/>
  <c r="F55" i="4"/>
  <c r="AW55" i="4"/>
  <c r="AX55" i="4"/>
  <c r="AG51" i="4"/>
  <c r="AN51" i="4"/>
  <c r="AO51" i="4" s="1"/>
  <c r="V47" i="29" l="1"/>
  <c r="W47" i="29" s="1"/>
  <c r="P47" i="29"/>
  <c r="N48" i="29"/>
  <c r="AQ54" i="4"/>
  <c r="AB49" i="29"/>
  <c r="AE54" i="4"/>
  <c r="AD52" i="29"/>
  <c r="B51" i="29"/>
  <c r="AI51" i="29"/>
  <c r="Z48" i="29"/>
  <c r="E50" i="29"/>
  <c r="Q50" i="29"/>
  <c r="U50" i="29"/>
  <c r="S50" i="29"/>
  <c r="R50" i="29"/>
  <c r="G50" i="29"/>
  <c r="T50" i="29"/>
  <c r="J49" i="29"/>
  <c r="Y49" i="29" s="1"/>
  <c r="I49" i="29"/>
  <c r="K49" i="29" s="1"/>
  <c r="O49" i="29"/>
  <c r="P48" i="29"/>
  <c r="V48" i="29"/>
  <c r="W48" i="29" s="1"/>
  <c r="AF50" i="29"/>
  <c r="AE50" i="29"/>
  <c r="AA50" i="29" s="1"/>
  <c r="R55" i="4"/>
  <c r="Z55" i="4" s="1"/>
  <c r="U55" i="4"/>
  <c r="AP55" i="4" s="1"/>
  <c r="Q55" i="4"/>
  <c r="Y55" i="4" s="1"/>
  <c r="W55" i="4"/>
  <c r="AB55" i="4" s="1"/>
  <c r="V55" i="4"/>
  <c r="AA55" i="4" s="1"/>
  <c r="X55" i="4"/>
  <c r="AC55" i="4" s="1"/>
  <c r="AF55" i="4"/>
  <c r="AX56" i="4"/>
  <c r="AW56" i="4"/>
  <c r="AV58" i="4"/>
  <c r="AY57" i="4"/>
  <c r="B57" i="4"/>
  <c r="AN52" i="4"/>
  <c r="AO52" i="4" s="1"/>
  <c r="AG52" i="4"/>
  <c r="F56" i="4"/>
  <c r="M56" i="4"/>
  <c r="O56" i="4"/>
  <c r="K56" i="4"/>
  <c r="L56" i="4"/>
  <c r="N56" i="4"/>
  <c r="AL56" i="4"/>
  <c r="AH56" i="4"/>
  <c r="P56" i="4"/>
  <c r="J56" i="4"/>
  <c r="AI56" i="4"/>
  <c r="AK56" i="4"/>
  <c r="AM56" i="4"/>
  <c r="AJ56" i="4"/>
  <c r="N49" i="29" l="1"/>
  <c r="AQ55" i="4"/>
  <c r="AB50" i="29"/>
  <c r="AE55" i="4"/>
  <c r="I50" i="29"/>
  <c r="J50" i="29"/>
  <c r="Y50" i="29" s="1"/>
  <c r="P49" i="29"/>
  <c r="V49" i="29"/>
  <c r="W49" i="29" s="1"/>
  <c r="O50" i="29"/>
  <c r="AE51" i="29"/>
  <c r="AA51" i="29" s="1"/>
  <c r="AF51" i="29"/>
  <c r="E51" i="29"/>
  <c r="U51" i="29"/>
  <c r="G51" i="29"/>
  <c r="T51" i="29"/>
  <c r="Q51" i="29"/>
  <c r="R51" i="29"/>
  <c r="S51" i="29"/>
  <c r="Z49" i="29"/>
  <c r="AD53" i="29"/>
  <c r="B52" i="29"/>
  <c r="AI52" i="29"/>
  <c r="AD54" i="4"/>
  <c r="AG54" i="4"/>
  <c r="AN54" i="4"/>
  <c r="AO54" i="4" s="1"/>
  <c r="AV59" i="4"/>
  <c r="AY58" i="4"/>
  <c r="B58" i="4"/>
  <c r="W56" i="4"/>
  <c r="AB56" i="4" s="1"/>
  <c r="V56" i="4"/>
  <c r="AA56" i="4" s="1"/>
  <c r="Q56" i="4"/>
  <c r="Y56" i="4" s="1"/>
  <c r="U56" i="4"/>
  <c r="AP56" i="4" s="1"/>
  <c r="R56" i="4"/>
  <c r="Z56" i="4" s="1"/>
  <c r="X56" i="4"/>
  <c r="AC56" i="4" s="1"/>
  <c r="AG53" i="4"/>
  <c r="AN53" i="4"/>
  <c r="AO53" i="4" s="1"/>
  <c r="AF56" i="4"/>
  <c r="K57" i="4"/>
  <c r="AJ57" i="4"/>
  <c r="F57" i="4"/>
  <c r="AK57" i="4"/>
  <c r="AM57" i="4"/>
  <c r="M57" i="4"/>
  <c r="AH57" i="4"/>
  <c r="J57" i="4"/>
  <c r="AI57" i="4"/>
  <c r="L57" i="4"/>
  <c r="P57" i="4"/>
  <c r="O57" i="4"/>
  <c r="N57" i="4"/>
  <c r="AL57" i="4"/>
  <c r="AW57" i="4"/>
  <c r="AX57" i="4"/>
  <c r="AB51" i="29" l="1"/>
  <c r="K50" i="29"/>
  <c r="N50" i="29" s="1"/>
  <c r="AQ56" i="4"/>
  <c r="AE56" i="4"/>
  <c r="AF52" i="29"/>
  <c r="AE52" i="29"/>
  <c r="AA52" i="29" s="1"/>
  <c r="I51" i="29"/>
  <c r="K51" i="29" s="1"/>
  <c r="J51" i="29"/>
  <c r="Y51" i="29" s="1"/>
  <c r="E52" i="29"/>
  <c r="S52" i="29"/>
  <c r="R52" i="29"/>
  <c r="G52" i="29"/>
  <c r="U52" i="29"/>
  <c r="Q52" i="29"/>
  <c r="T52" i="29"/>
  <c r="Z50" i="29"/>
  <c r="AD54" i="29"/>
  <c r="B53" i="29"/>
  <c r="AI53" i="29"/>
  <c r="O51" i="29"/>
  <c r="AN55" i="4"/>
  <c r="AO55" i="4" s="1"/>
  <c r="AG55" i="4"/>
  <c r="AF57" i="4"/>
  <c r="AD55" i="4"/>
  <c r="L58" i="4"/>
  <c r="N58" i="4"/>
  <c r="O58" i="4"/>
  <c r="AK58" i="4"/>
  <c r="K58" i="4"/>
  <c r="AI58" i="4"/>
  <c r="AH58" i="4"/>
  <c r="P58" i="4"/>
  <c r="F58" i="4"/>
  <c r="AL58" i="4"/>
  <c r="M58" i="4"/>
  <c r="J58" i="4"/>
  <c r="AJ58" i="4"/>
  <c r="AM58" i="4"/>
  <c r="AX58" i="4"/>
  <c r="AW58" i="4"/>
  <c r="U57" i="4"/>
  <c r="AP57" i="4" s="1"/>
  <c r="Q57" i="4"/>
  <c r="Y57" i="4" s="1"/>
  <c r="R57" i="4"/>
  <c r="Z57" i="4" s="1"/>
  <c r="V57" i="4"/>
  <c r="AA57" i="4" s="1"/>
  <c r="W57" i="4"/>
  <c r="AB57" i="4" s="1"/>
  <c r="X57" i="4"/>
  <c r="AC57" i="4" s="1"/>
  <c r="AY59" i="4"/>
  <c r="B59" i="4"/>
  <c r="AV60" i="4"/>
  <c r="V50" i="29" l="1"/>
  <c r="W50" i="29" s="1"/>
  <c r="P50" i="29"/>
  <c r="AB52" i="29"/>
  <c r="N51" i="29"/>
  <c r="V51" i="29" s="1"/>
  <c r="W51" i="29" s="1"/>
  <c r="AQ57" i="4"/>
  <c r="AE57" i="4"/>
  <c r="AF53" i="29"/>
  <c r="AE53" i="29"/>
  <c r="AA53" i="29" s="1"/>
  <c r="P51" i="29"/>
  <c r="E53" i="29"/>
  <c r="U53" i="29"/>
  <c r="Q53" i="29"/>
  <c r="G53" i="29"/>
  <c r="R53" i="29"/>
  <c r="T53" i="29"/>
  <c r="S53" i="29"/>
  <c r="O52" i="29"/>
  <c r="I52" i="29"/>
  <c r="K52" i="29" s="1"/>
  <c r="J52" i="29"/>
  <c r="Y52" i="29" s="1"/>
  <c r="AD55" i="29"/>
  <c r="B54" i="29"/>
  <c r="AI54" i="29"/>
  <c r="Z51" i="29"/>
  <c r="AD56" i="4"/>
  <c r="AN56" i="4"/>
  <c r="AO56" i="4" s="1"/>
  <c r="AG56" i="4"/>
  <c r="AW59" i="4"/>
  <c r="AX59" i="4"/>
  <c r="AI59" i="4"/>
  <c r="M59" i="4"/>
  <c r="F59" i="4"/>
  <c r="L59" i="4"/>
  <c r="J59" i="4"/>
  <c r="AJ59" i="4"/>
  <c r="AK59" i="4"/>
  <c r="AH59" i="4"/>
  <c r="AM59" i="4"/>
  <c r="P59" i="4"/>
  <c r="N59" i="4"/>
  <c r="O59" i="4"/>
  <c r="AL59" i="4"/>
  <c r="K59" i="4"/>
  <c r="U58" i="4"/>
  <c r="AP58" i="4" s="1"/>
  <c r="R58" i="4"/>
  <c r="Z58" i="4" s="1"/>
  <c r="V58" i="4"/>
  <c r="AA58" i="4" s="1"/>
  <c r="Q58" i="4"/>
  <c r="Y58" i="4" s="1"/>
  <c r="W58" i="4"/>
  <c r="AB58" i="4" s="1"/>
  <c r="X58" i="4"/>
  <c r="AC58" i="4" s="1"/>
  <c r="AV61" i="4"/>
  <c r="B60" i="4"/>
  <c r="AY60" i="4"/>
  <c r="AD57" i="4"/>
  <c r="AF58" i="4"/>
  <c r="N52" i="29" l="1"/>
  <c r="P52" i="29" s="1"/>
  <c r="AB53" i="29"/>
  <c r="AQ58" i="4"/>
  <c r="AE58" i="4"/>
  <c r="AF54" i="29"/>
  <c r="AE54" i="29"/>
  <c r="AA54" i="29" s="1"/>
  <c r="V52" i="29"/>
  <c r="W52" i="29" s="1"/>
  <c r="E54" i="29"/>
  <c r="S54" i="29"/>
  <c r="Q54" i="29"/>
  <c r="T54" i="29"/>
  <c r="R54" i="29"/>
  <c r="G54" i="29"/>
  <c r="U54" i="29"/>
  <c r="O53" i="29"/>
  <c r="I53" i="29"/>
  <c r="J53" i="29"/>
  <c r="Y53" i="29" s="1"/>
  <c r="AD56" i="29"/>
  <c r="B55" i="29"/>
  <c r="AI55" i="29"/>
  <c r="Z52" i="29"/>
  <c r="V59" i="4"/>
  <c r="AA59" i="4" s="1"/>
  <c r="X59" i="4"/>
  <c r="AC59" i="4" s="1"/>
  <c r="R59" i="4"/>
  <c r="Z59" i="4" s="1"/>
  <c r="Q59" i="4"/>
  <c r="Y59" i="4" s="1"/>
  <c r="U59" i="4"/>
  <c r="W59" i="4"/>
  <c r="AB59" i="4" s="1"/>
  <c r="B61" i="4"/>
  <c r="AY61" i="4"/>
  <c r="AV62" i="4"/>
  <c r="O60" i="4"/>
  <c r="AL60" i="4"/>
  <c r="AJ60" i="4"/>
  <c r="J60" i="4"/>
  <c r="AK60" i="4"/>
  <c r="M60" i="4"/>
  <c r="L60" i="4"/>
  <c r="AI60" i="4"/>
  <c r="P60" i="4"/>
  <c r="F60" i="4"/>
  <c r="AH60" i="4"/>
  <c r="AM60" i="4"/>
  <c r="K60" i="4"/>
  <c r="N60" i="4"/>
  <c r="AD58" i="4"/>
  <c r="AX60" i="4"/>
  <c r="AW60" i="4"/>
  <c r="AF59" i="4"/>
  <c r="AP59" i="4"/>
  <c r="AB54" i="29" l="1"/>
  <c r="K53" i="29"/>
  <c r="N53" i="29" s="1"/>
  <c r="AQ59" i="4"/>
  <c r="O54" i="29"/>
  <c r="AE59" i="4"/>
  <c r="J54" i="29"/>
  <c r="Y54" i="29" s="1"/>
  <c r="I54" i="29"/>
  <c r="K54" i="29" s="1"/>
  <c r="AE55" i="29"/>
  <c r="AA55" i="29" s="1"/>
  <c r="AF55" i="29"/>
  <c r="E55" i="29"/>
  <c r="S55" i="29"/>
  <c r="R55" i="29"/>
  <c r="Q55" i="29"/>
  <c r="U55" i="29"/>
  <c r="G55" i="29"/>
  <c r="T55" i="29"/>
  <c r="AD57" i="29"/>
  <c r="B56" i="29"/>
  <c r="AI56" i="29"/>
  <c r="Z53" i="29"/>
  <c r="AN58" i="4"/>
  <c r="AO58" i="4" s="1"/>
  <c r="AG58" i="4"/>
  <c r="AW61" i="4"/>
  <c r="AX61" i="4"/>
  <c r="AM61" i="4"/>
  <c r="AK61" i="4"/>
  <c r="L61" i="4"/>
  <c r="AI61" i="4"/>
  <c r="F61" i="4"/>
  <c r="J61" i="4"/>
  <c r="AJ61" i="4"/>
  <c r="O61" i="4"/>
  <c r="M61" i="4"/>
  <c r="P61" i="4"/>
  <c r="N61" i="4"/>
  <c r="K61" i="4"/>
  <c r="AH61" i="4"/>
  <c r="AL61" i="4"/>
  <c r="AD59" i="4"/>
  <c r="U60" i="4"/>
  <c r="AP60" i="4" s="1"/>
  <c r="W60" i="4"/>
  <c r="AB60" i="4" s="1"/>
  <c r="R60" i="4"/>
  <c r="Z60" i="4" s="1"/>
  <c r="V60" i="4"/>
  <c r="AA60" i="4" s="1"/>
  <c r="Q60" i="4"/>
  <c r="Y60" i="4" s="1"/>
  <c r="X60" i="4"/>
  <c r="AC60" i="4" s="1"/>
  <c r="AN57" i="4"/>
  <c r="AO57" i="4" s="1"/>
  <c r="AG57" i="4"/>
  <c r="AF60" i="4"/>
  <c r="AY62" i="4"/>
  <c r="B62" i="4"/>
  <c r="AV63" i="4"/>
  <c r="P53" i="29" l="1"/>
  <c r="V53" i="29"/>
  <c r="W53" i="29" s="1"/>
  <c r="N54" i="29"/>
  <c r="AB55" i="29"/>
  <c r="Z54" i="29"/>
  <c r="AQ60" i="4"/>
  <c r="AE60" i="4"/>
  <c r="AF56" i="29"/>
  <c r="AE56" i="29"/>
  <c r="AA56" i="29" s="1"/>
  <c r="E56" i="29"/>
  <c r="Q56" i="29"/>
  <c r="G56" i="29"/>
  <c r="U56" i="29"/>
  <c r="S56" i="29"/>
  <c r="R56" i="29"/>
  <c r="T56" i="29"/>
  <c r="J55" i="29"/>
  <c r="Y55" i="29" s="1"/>
  <c r="I55" i="29"/>
  <c r="AD58" i="29"/>
  <c r="B57" i="29"/>
  <c r="AI57" i="29"/>
  <c r="O55" i="29"/>
  <c r="P54" i="29"/>
  <c r="V54" i="29"/>
  <c r="W54" i="29" s="1"/>
  <c r="AN59" i="4"/>
  <c r="AO59" i="4" s="1"/>
  <c r="V61" i="4"/>
  <c r="AA61" i="4" s="1"/>
  <c r="R61" i="4"/>
  <c r="Z61" i="4" s="1"/>
  <c r="Q61" i="4"/>
  <c r="Y61" i="4" s="1"/>
  <c r="X61" i="4"/>
  <c r="AC61" i="4" s="1"/>
  <c r="W61" i="4"/>
  <c r="AB61" i="4" s="1"/>
  <c r="U61" i="4"/>
  <c r="AP61" i="4" s="1"/>
  <c r="AW62" i="4"/>
  <c r="AX62" i="4"/>
  <c r="AY63" i="4"/>
  <c r="AV64" i="4"/>
  <c r="B63" i="4"/>
  <c r="P62" i="4"/>
  <c r="M62" i="4"/>
  <c r="AI62" i="4"/>
  <c r="L62" i="4"/>
  <c r="J62" i="4"/>
  <c r="AL62" i="4"/>
  <c r="AM62" i="4"/>
  <c r="AJ62" i="4"/>
  <c r="K62" i="4"/>
  <c r="O62" i="4"/>
  <c r="N62" i="4"/>
  <c r="AH62" i="4"/>
  <c r="AK62" i="4"/>
  <c r="F62" i="4"/>
  <c r="AD60" i="4"/>
  <c r="AF61" i="4"/>
  <c r="AB56" i="29" l="1"/>
  <c r="K55" i="29"/>
  <c r="N55" i="29" s="1"/>
  <c r="AQ61" i="4"/>
  <c r="AE61" i="4"/>
  <c r="AG59" i="4"/>
  <c r="Z55" i="29"/>
  <c r="AE57" i="29"/>
  <c r="AA57" i="29" s="1"/>
  <c r="AF57" i="29"/>
  <c r="O56" i="29"/>
  <c r="I56" i="29"/>
  <c r="J56" i="29"/>
  <c r="Y56" i="29" s="1"/>
  <c r="E57" i="29"/>
  <c r="R57" i="29"/>
  <c r="U57" i="29"/>
  <c r="Q57" i="29"/>
  <c r="S57" i="29"/>
  <c r="G57" i="29"/>
  <c r="T57" i="29"/>
  <c r="AD59" i="29"/>
  <c r="B58" i="29"/>
  <c r="AI58" i="29"/>
  <c r="AX63" i="4"/>
  <c r="AW63" i="4"/>
  <c r="L63" i="4"/>
  <c r="AI63" i="4"/>
  <c r="O63" i="4"/>
  <c r="AH63" i="4"/>
  <c r="AM63" i="4"/>
  <c r="K63" i="4"/>
  <c r="AL63" i="4"/>
  <c r="AJ63" i="4"/>
  <c r="F63" i="4"/>
  <c r="J63" i="4"/>
  <c r="AK63" i="4"/>
  <c r="N63" i="4"/>
  <c r="P63" i="4"/>
  <c r="M63" i="4"/>
  <c r="X62" i="4"/>
  <c r="AC62" i="4" s="1"/>
  <c r="R62" i="4"/>
  <c r="Z62" i="4" s="1"/>
  <c r="Q62" i="4"/>
  <c r="Y62" i="4" s="1"/>
  <c r="U62" i="4"/>
  <c r="AP62" i="4" s="1"/>
  <c r="V62" i="4"/>
  <c r="AA62" i="4" s="1"/>
  <c r="W62" i="4"/>
  <c r="AB62" i="4" s="1"/>
  <c r="AD61" i="4"/>
  <c r="AF62" i="4"/>
  <c r="AV65" i="4"/>
  <c r="B64" i="4"/>
  <c r="AY64" i="4"/>
  <c r="V55" i="29" l="1"/>
  <c r="W55" i="29" s="1"/>
  <c r="P55" i="29"/>
  <c r="AB57" i="29"/>
  <c r="K56" i="29"/>
  <c r="N56" i="29" s="1"/>
  <c r="AQ62" i="4"/>
  <c r="AE62" i="4"/>
  <c r="E58" i="29"/>
  <c r="R58" i="29"/>
  <c r="Q58" i="29"/>
  <c r="T58" i="29"/>
  <c r="S58" i="29"/>
  <c r="G58" i="29"/>
  <c r="U58" i="29"/>
  <c r="O57" i="29"/>
  <c r="J57" i="29"/>
  <c r="Y57" i="29" s="1"/>
  <c r="I57" i="29"/>
  <c r="K57" i="29" s="1"/>
  <c r="AD60" i="29"/>
  <c r="B59" i="29"/>
  <c r="AI59" i="29"/>
  <c r="Z56" i="29"/>
  <c r="AE58" i="29"/>
  <c r="AA58" i="29" s="1"/>
  <c r="AF58" i="29"/>
  <c r="P64" i="4"/>
  <c r="K64" i="4"/>
  <c r="AJ64" i="4"/>
  <c r="AH64" i="4"/>
  <c r="AK64" i="4"/>
  <c r="O64" i="4"/>
  <c r="N64" i="4"/>
  <c r="F64" i="4"/>
  <c r="M64" i="4"/>
  <c r="AM64" i="4"/>
  <c r="L64" i="4"/>
  <c r="AI64" i="4"/>
  <c r="AL64" i="4"/>
  <c r="J64" i="4"/>
  <c r="AN60" i="4"/>
  <c r="AO60" i="4" s="1"/>
  <c r="AG60" i="4"/>
  <c r="AW64" i="4"/>
  <c r="AX64" i="4"/>
  <c r="AG61" i="4"/>
  <c r="AN61" i="4"/>
  <c r="AO61" i="4" s="1"/>
  <c r="AF63" i="4"/>
  <c r="L90" i="7"/>
  <c r="AV66" i="4"/>
  <c r="B65" i="4"/>
  <c r="AY65" i="4"/>
  <c r="W63" i="4"/>
  <c r="AB63" i="4" s="1"/>
  <c r="V63" i="4"/>
  <c r="AA63" i="4" s="1"/>
  <c r="X63" i="4"/>
  <c r="AC63" i="4" s="1"/>
  <c r="U63" i="4"/>
  <c r="AP63" i="4" s="1"/>
  <c r="Q63" i="4"/>
  <c r="Y63" i="4" s="1"/>
  <c r="R63" i="4"/>
  <c r="Z63" i="4" s="1"/>
  <c r="V56" i="29" l="1"/>
  <c r="W56" i="29" s="1"/>
  <c r="P56" i="29"/>
  <c r="N57" i="29"/>
  <c r="V57" i="29" s="1"/>
  <c r="W57" i="29" s="1"/>
  <c r="AQ63" i="4"/>
  <c r="AB58" i="29"/>
  <c r="AE63" i="4"/>
  <c r="O58" i="29"/>
  <c r="AF59" i="29"/>
  <c r="AE59" i="29"/>
  <c r="AA59" i="29" s="1"/>
  <c r="E59" i="29"/>
  <c r="G59" i="29"/>
  <c r="R59" i="29"/>
  <c r="S59" i="29"/>
  <c r="Q59" i="29"/>
  <c r="T59" i="29"/>
  <c r="U59" i="29"/>
  <c r="Z57" i="29"/>
  <c r="J58" i="29"/>
  <c r="Y58" i="29" s="1"/>
  <c r="I58" i="29"/>
  <c r="AD61" i="29"/>
  <c r="B60" i="29"/>
  <c r="AI60" i="29"/>
  <c r="AG62" i="4"/>
  <c r="AN62" i="4"/>
  <c r="AO62" i="4" s="1"/>
  <c r="O65" i="4"/>
  <c r="J65" i="4"/>
  <c r="AL65" i="4"/>
  <c r="AI65" i="4"/>
  <c r="AJ65" i="4"/>
  <c r="N65" i="4"/>
  <c r="P65" i="4"/>
  <c r="AH65" i="4"/>
  <c r="F65" i="4"/>
  <c r="M65" i="4"/>
  <c r="AK65" i="4"/>
  <c r="K65" i="4"/>
  <c r="AM65" i="4"/>
  <c r="L65" i="4"/>
  <c r="AV67" i="4"/>
  <c r="AV70" i="4"/>
  <c r="AY66" i="4"/>
  <c r="B66" i="4"/>
  <c r="AD63" i="4"/>
  <c r="R64" i="4"/>
  <c r="Z64" i="4" s="1"/>
  <c r="W64" i="4"/>
  <c r="AB64" i="4" s="1"/>
  <c r="X64" i="4"/>
  <c r="AC64" i="4" s="1"/>
  <c r="U64" i="4"/>
  <c r="AP64" i="4" s="1"/>
  <c r="V64" i="4"/>
  <c r="AA64" i="4" s="1"/>
  <c r="Q64" i="4"/>
  <c r="Y64" i="4" s="1"/>
  <c r="AD62" i="4"/>
  <c r="AF64" i="4"/>
  <c r="AW65" i="4"/>
  <c r="AX65" i="4"/>
  <c r="AB59" i="29" l="1"/>
  <c r="P57" i="29"/>
  <c r="K58" i="29"/>
  <c r="N58" i="29" s="1"/>
  <c r="Z58" i="29"/>
  <c r="AQ64" i="4"/>
  <c r="AE64" i="4"/>
  <c r="O59" i="29"/>
  <c r="AF60" i="29"/>
  <c r="AE60" i="29"/>
  <c r="AA60" i="29" s="1"/>
  <c r="E60" i="29"/>
  <c r="S60" i="29"/>
  <c r="R60" i="29"/>
  <c r="Q60" i="29"/>
  <c r="T60" i="29"/>
  <c r="G60" i="29"/>
  <c r="U60" i="29"/>
  <c r="J59" i="29"/>
  <c r="Y59" i="29" s="1"/>
  <c r="Z59" i="29" s="1"/>
  <c r="I59" i="29"/>
  <c r="AD62" i="29"/>
  <c r="B61" i="29"/>
  <c r="AI61" i="29"/>
  <c r="B70" i="4"/>
  <c r="AY70" i="4"/>
  <c r="AW66" i="4"/>
  <c r="AX66" i="4"/>
  <c r="AF65" i="4"/>
  <c r="Q65" i="4"/>
  <c r="Y65" i="4" s="1"/>
  <c r="X65" i="4"/>
  <c r="AC65" i="4" s="1"/>
  <c r="R65" i="4"/>
  <c r="Z65" i="4" s="1"/>
  <c r="W65" i="4"/>
  <c r="AB65" i="4" s="1"/>
  <c r="V65" i="4"/>
  <c r="AA65" i="4" s="1"/>
  <c r="U65" i="4"/>
  <c r="AP65" i="4" s="1"/>
  <c r="AV71" i="4"/>
  <c r="AY67" i="4"/>
  <c r="AV68" i="4"/>
  <c r="B67" i="4"/>
  <c r="O66" i="4"/>
  <c r="AL66" i="4"/>
  <c r="AI66" i="4"/>
  <c r="AK66" i="4"/>
  <c r="AJ66" i="4"/>
  <c r="F66" i="4"/>
  <c r="K66" i="4"/>
  <c r="J66" i="4"/>
  <c r="N66" i="4"/>
  <c r="L66" i="4"/>
  <c r="AM66" i="4"/>
  <c r="M66" i="4"/>
  <c r="P66" i="4"/>
  <c r="AH66" i="4"/>
  <c r="P58" i="29" l="1"/>
  <c r="V58" i="29"/>
  <c r="W58" i="29" s="1"/>
  <c r="K59" i="29"/>
  <c r="N59" i="29" s="1"/>
  <c r="AB60" i="29"/>
  <c r="O60" i="29"/>
  <c r="AQ65" i="4"/>
  <c r="AE65" i="4"/>
  <c r="L91" i="7"/>
  <c r="AD64" i="4"/>
  <c r="AF61" i="29"/>
  <c r="AE61" i="29"/>
  <c r="AA61" i="29" s="1"/>
  <c r="E61" i="29"/>
  <c r="Q61" i="29"/>
  <c r="S61" i="29"/>
  <c r="T61" i="29"/>
  <c r="U61" i="29"/>
  <c r="R61" i="29"/>
  <c r="G61" i="29"/>
  <c r="J60" i="29"/>
  <c r="Y60" i="29" s="1"/>
  <c r="Z60" i="29" s="1"/>
  <c r="I60" i="29"/>
  <c r="AD63" i="29"/>
  <c r="B62" i="29"/>
  <c r="AI62" i="29"/>
  <c r="AG64" i="4"/>
  <c r="AN64" i="4"/>
  <c r="AO64" i="4" s="1"/>
  <c r="B68" i="4"/>
  <c r="AV72" i="4"/>
  <c r="AV69" i="4"/>
  <c r="AY68" i="4"/>
  <c r="AJ70" i="4"/>
  <c r="J70" i="4"/>
  <c r="AL70" i="4"/>
  <c r="O70" i="4"/>
  <c r="K70" i="4"/>
  <c r="M70" i="4"/>
  <c r="AK70" i="4"/>
  <c r="AM70" i="4"/>
  <c r="P70" i="4"/>
  <c r="AI70" i="4"/>
  <c r="F70" i="4"/>
  <c r="AH70" i="4"/>
  <c r="L70" i="4"/>
  <c r="N70" i="4"/>
  <c r="AX67" i="4"/>
  <c r="AW67" i="4"/>
  <c r="AD65" i="4"/>
  <c r="W66" i="4"/>
  <c r="AB66" i="4" s="1"/>
  <c r="V66" i="4"/>
  <c r="AA66" i="4" s="1"/>
  <c r="U66" i="4"/>
  <c r="AP66" i="4" s="1"/>
  <c r="R66" i="4"/>
  <c r="Z66" i="4" s="1"/>
  <c r="Q66" i="4"/>
  <c r="Y66" i="4" s="1"/>
  <c r="X66" i="4"/>
  <c r="AC66" i="4" s="1"/>
  <c r="AY71" i="4"/>
  <c r="B71" i="4"/>
  <c r="AN63" i="4"/>
  <c r="AO63" i="4" s="1"/>
  <c r="AG63" i="4"/>
  <c r="AF66" i="4"/>
  <c r="O67" i="4"/>
  <c r="P67" i="4"/>
  <c r="F67" i="4"/>
  <c r="AM67" i="4"/>
  <c r="AK67" i="4"/>
  <c r="AH67" i="4"/>
  <c r="AL67" i="4"/>
  <c r="N67" i="4"/>
  <c r="K67" i="4"/>
  <c r="L67" i="4"/>
  <c r="J67" i="4"/>
  <c r="AI67" i="4"/>
  <c r="AJ67" i="4"/>
  <c r="M67" i="4"/>
  <c r="AW70" i="4"/>
  <c r="AX70" i="4"/>
  <c r="AL68" i="4" l="1"/>
  <c r="AH68" i="4"/>
  <c r="M68" i="4"/>
  <c r="F68" i="4"/>
  <c r="AK68" i="4"/>
  <c r="P68" i="4"/>
  <c r="L68" i="4"/>
  <c r="AM68" i="4"/>
  <c r="N68" i="4"/>
  <c r="AI68" i="4"/>
  <c r="O68" i="4"/>
  <c r="AJ68" i="4"/>
  <c r="K68" i="4"/>
  <c r="J68" i="4"/>
  <c r="V59" i="29"/>
  <c r="W59" i="29" s="1"/>
  <c r="P59" i="29"/>
  <c r="AB61" i="29"/>
  <c r="K60" i="29"/>
  <c r="N60" i="29" s="1"/>
  <c r="AQ66" i="4"/>
  <c r="AE66" i="4"/>
  <c r="AE62" i="29"/>
  <c r="AA62" i="29" s="1"/>
  <c r="AF62" i="29"/>
  <c r="I61" i="29"/>
  <c r="J61" i="29"/>
  <c r="Y61" i="29" s="1"/>
  <c r="E62" i="29"/>
  <c r="R62" i="29"/>
  <c r="T62" i="29"/>
  <c r="G62" i="29"/>
  <c r="U62" i="29"/>
  <c r="S62" i="29"/>
  <c r="Q62" i="29"/>
  <c r="AD64" i="29"/>
  <c r="B63" i="29"/>
  <c r="AI63" i="29"/>
  <c r="O61" i="29"/>
  <c r="X70" i="4"/>
  <c r="AC70" i="4" s="1"/>
  <c r="Q70" i="4"/>
  <c r="Y70" i="4" s="1"/>
  <c r="U70" i="4"/>
  <c r="AP70" i="4" s="1"/>
  <c r="V70" i="4"/>
  <c r="AA70" i="4" s="1"/>
  <c r="W70" i="4"/>
  <c r="AB70" i="4" s="1"/>
  <c r="R70" i="4"/>
  <c r="Z70" i="4" s="1"/>
  <c r="K71" i="4"/>
  <c r="J71" i="4"/>
  <c r="P71" i="4"/>
  <c r="F71" i="4"/>
  <c r="AM71" i="4"/>
  <c r="N71" i="4"/>
  <c r="AH71" i="4"/>
  <c r="AK71" i="4"/>
  <c r="L71" i="4"/>
  <c r="AJ71" i="4"/>
  <c r="M71" i="4"/>
  <c r="AL71" i="4"/>
  <c r="O71" i="4"/>
  <c r="AI71" i="4"/>
  <c r="AW68" i="4"/>
  <c r="AX68" i="4"/>
  <c r="AF67" i="4"/>
  <c r="AW71" i="4"/>
  <c r="AX71" i="4"/>
  <c r="AV73" i="4"/>
  <c r="AY69" i="4"/>
  <c r="B69" i="4"/>
  <c r="W67" i="4"/>
  <c r="AB67" i="4" s="1"/>
  <c r="X67" i="4"/>
  <c r="AC67" i="4" s="1"/>
  <c r="U67" i="4"/>
  <c r="AP67" i="4" s="1"/>
  <c r="Q67" i="4"/>
  <c r="Y67" i="4" s="1"/>
  <c r="V67" i="4"/>
  <c r="AA67" i="4" s="1"/>
  <c r="R67" i="4"/>
  <c r="Z67" i="4" s="1"/>
  <c r="AF70" i="4"/>
  <c r="AY72" i="4"/>
  <c r="B72" i="4"/>
  <c r="AJ69" i="4" l="1"/>
  <c r="O69" i="4"/>
  <c r="K69" i="4"/>
  <c r="AM69" i="4"/>
  <c r="AI69" i="4"/>
  <c r="N69" i="4"/>
  <c r="J69" i="4"/>
  <c r="P69" i="4"/>
  <c r="AK69" i="4"/>
  <c r="AH69" i="4"/>
  <c r="AL69" i="4"/>
  <c r="M69" i="4"/>
  <c r="L69" i="4"/>
  <c r="F69" i="4"/>
  <c r="P60" i="29"/>
  <c r="V60" i="29"/>
  <c r="W60" i="29" s="1"/>
  <c r="K61" i="29"/>
  <c r="N61" i="29" s="1"/>
  <c r="AB62" i="29"/>
  <c r="AQ70" i="4"/>
  <c r="AQ67" i="4"/>
  <c r="AE67" i="4"/>
  <c r="AE70" i="4"/>
  <c r="AD65" i="29"/>
  <c r="B64" i="29"/>
  <c r="AI64" i="29"/>
  <c r="O62" i="29"/>
  <c r="AD66" i="4"/>
  <c r="AF63" i="29"/>
  <c r="AE63" i="29"/>
  <c r="AA63" i="29" s="1"/>
  <c r="I62" i="29"/>
  <c r="K62" i="29" s="1"/>
  <c r="J62" i="29"/>
  <c r="Y62" i="29" s="1"/>
  <c r="E63" i="29"/>
  <c r="G63" i="29"/>
  <c r="R63" i="29"/>
  <c r="T63" i="29"/>
  <c r="S63" i="29"/>
  <c r="Q63" i="29"/>
  <c r="U63" i="29"/>
  <c r="Z61" i="29"/>
  <c r="AX69" i="4"/>
  <c r="AW69" i="4"/>
  <c r="AN65" i="4"/>
  <c r="AO65" i="4" s="1"/>
  <c r="AG65" i="4"/>
  <c r="AI72" i="4"/>
  <c r="AM72" i="4"/>
  <c r="N72" i="4"/>
  <c r="M72" i="4"/>
  <c r="L72" i="4"/>
  <c r="AH72" i="4"/>
  <c r="AL72" i="4"/>
  <c r="P72" i="4"/>
  <c r="J72" i="4"/>
  <c r="K72" i="4"/>
  <c r="O72" i="4"/>
  <c r="AK72" i="4"/>
  <c r="F72" i="4"/>
  <c r="AJ72" i="4"/>
  <c r="B73" i="4"/>
  <c r="AY73" i="4"/>
  <c r="AV74" i="4"/>
  <c r="AD70" i="4"/>
  <c r="AF68" i="4"/>
  <c r="AN66" i="4"/>
  <c r="AO66" i="4" s="1"/>
  <c r="AG66" i="4"/>
  <c r="AW72" i="4"/>
  <c r="AX72" i="4"/>
  <c r="R71" i="4"/>
  <c r="Z71" i="4" s="1"/>
  <c r="Q71" i="4"/>
  <c r="Y71" i="4" s="1"/>
  <c r="U71" i="4"/>
  <c r="AP71" i="4" s="1"/>
  <c r="V71" i="4"/>
  <c r="AA71" i="4" s="1"/>
  <c r="W71" i="4"/>
  <c r="AB71" i="4" s="1"/>
  <c r="X71" i="4"/>
  <c r="AC71" i="4" s="1"/>
  <c r="Q68" i="4"/>
  <c r="Y68" i="4" s="1"/>
  <c r="X68" i="4"/>
  <c r="AC68" i="4" s="1"/>
  <c r="V68" i="4"/>
  <c r="AA68" i="4" s="1"/>
  <c r="U68" i="4"/>
  <c r="AP68" i="4" s="1"/>
  <c r="W68" i="4"/>
  <c r="AB68" i="4" s="1"/>
  <c r="R68" i="4"/>
  <c r="Z68" i="4" s="1"/>
  <c r="AF71" i="4"/>
  <c r="P61" i="29" l="1"/>
  <c r="V61" i="29"/>
  <c r="W61" i="29" s="1"/>
  <c r="AB63" i="29"/>
  <c r="N62" i="29"/>
  <c r="AQ68" i="4"/>
  <c r="AQ71" i="4"/>
  <c r="AE71" i="4"/>
  <c r="AE68" i="4"/>
  <c r="O63" i="29"/>
  <c r="AF64" i="29"/>
  <c r="AE64" i="29"/>
  <c r="AA64" i="29" s="1"/>
  <c r="J63" i="29"/>
  <c r="I63" i="29"/>
  <c r="K63" i="29" s="1"/>
  <c r="Z62" i="29"/>
  <c r="E64" i="29"/>
  <c r="R64" i="29"/>
  <c r="T64" i="29"/>
  <c r="Q64" i="29"/>
  <c r="S64" i="29"/>
  <c r="U64" i="29"/>
  <c r="G64" i="29"/>
  <c r="Y63" i="29"/>
  <c r="P62" i="29"/>
  <c r="V62" i="29"/>
  <c r="W62" i="29" s="1"/>
  <c r="AD66" i="29"/>
  <c r="B65" i="29"/>
  <c r="AI65" i="29"/>
  <c r="AG67" i="4"/>
  <c r="AN67" i="4"/>
  <c r="AO67" i="4" s="1"/>
  <c r="AN70" i="4"/>
  <c r="AO70" i="4" s="1"/>
  <c r="AG70" i="4"/>
  <c r="AF69" i="4"/>
  <c r="AX73" i="4"/>
  <c r="AW73" i="4"/>
  <c r="AD67" i="4"/>
  <c r="W72" i="4"/>
  <c r="AB72" i="4" s="1"/>
  <c r="R72" i="4"/>
  <c r="Z72" i="4" s="1"/>
  <c r="X72" i="4"/>
  <c r="AC72" i="4" s="1"/>
  <c r="Q72" i="4"/>
  <c r="Y72" i="4" s="1"/>
  <c r="V72" i="4"/>
  <c r="AA72" i="4" s="1"/>
  <c r="U72" i="4"/>
  <c r="AM73" i="4"/>
  <c r="AL73" i="4"/>
  <c r="K73" i="4"/>
  <c r="F73" i="4"/>
  <c r="L73" i="4"/>
  <c r="J73" i="4"/>
  <c r="AJ73" i="4"/>
  <c r="AK73" i="4"/>
  <c r="AI73" i="4"/>
  <c r="P73" i="4"/>
  <c r="M73" i="4"/>
  <c r="O73" i="4"/>
  <c r="N73" i="4"/>
  <c r="AH73" i="4"/>
  <c r="AF72" i="4"/>
  <c r="AP72" i="4"/>
  <c r="B74" i="4"/>
  <c r="AY74" i="4"/>
  <c r="AV75" i="4"/>
  <c r="X69" i="4"/>
  <c r="AC69" i="4" s="1"/>
  <c r="U69" i="4"/>
  <c r="AP69" i="4" s="1"/>
  <c r="R69" i="4"/>
  <c r="Z69" i="4" s="1"/>
  <c r="W69" i="4"/>
  <c r="AB69" i="4" s="1"/>
  <c r="V69" i="4"/>
  <c r="AA69" i="4" s="1"/>
  <c r="Q69" i="4"/>
  <c r="Y69" i="4" s="1"/>
  <c r="N63" i="29" l="1"/>
  <c r="AB64" i="29"/>
  <c r="AQ69" i="4"/>
  <c r="AQ72" i="4"/>
  <c r="AE69" i="4"/>
  <c r="AE72" i="4"/>
  <c r="O64" i="29"/>
  <c r="E65" i="29"/>
  <c r="U65" i="29"/>
  <c r="R65" i="29"/>
  <c r="S65" i="29"/>
  <c r="T65" i="29"/>
  <c r="G65" i="29"/>
  <c r="Q65" i="29"/>
  <c r="AD67" i="29"/>
  <c r="B66" i="29"/>
  <c r="AI66" i="29"/>
  <c r="AE65" i="29"/>
  <c r="AA65" i="29" s="1"/>
  <c r="AF65" i="29"/>
  <c r="P63" i="29"/>
  <c r="V63" i="29"/>
  <c r="W63" i="29" s="1"/>
  <c r="J64" i="29"/>
  <c r="Y64" i="29" s="1"/>
  <c r="I64" i="29"/>
  <c r="K64" i="29" s="1"/>
  <c r="Z63" i="29"/>
  <c r="AG71" i="4"/>
  <c r="AD71" i="4"/>
  <c r="AG68" i="4"/>
  <c r="AN68" i="4"/>
  <c r="AO68" i="4" s="1"/>
  <c r="B75" i="4"/>
  <c r="AV76" i="4"/>
  <c r="AY75" i="4"/>
  <c r="AH74" i="4"/>
  <c r="L74" i="4"/>
  <c r="N74" i="4"/>
  <c r="J74" i="4"/>
  <c r="O74" i="4"/>
  <c r="AM74" i="4"/>
  <c r="F74" i="4"/>
  <c r="AJ74" i="4"/>
  <c r="K74" i="4"/>
  <c r="P74" i="4"/>
  <c r="AI74" i="4"/>
  <c r="M74" i="4"/>
  <c r="AL74" i="4"/>
  <c r="AK74" i="4"/>
  <c r="AW74" i="4"/>
  <c r="AX74" i="4"/>
  <c r="AD68" i="4"/>
  <c r="AD72" i="4"/>
  <c r="AF73" i="4"/>
  <c r="X73" i="4"/>
  <c r="AC73" i="4" s="1"/>
  <c r="Q73" i="4"/>
  <c r="Y73" i="4" s="1"/>
  <c r="U73" i="4"/>
  <c r="AP73" i="4" s="1"/>
  <c r="R73" i="4"/>
  <c r="Z73" i="4" s="1"/>
  <c r="V73" i="4"/>
  <c r="AA73" i="4" s="1"/>
  <c r="W73" i="4"/>
  <c r="AB73" i="4" s="1"/>
  <c r="N64" i="29" l="1"/>
  <c r="Z64" i="29"/>
  <c r="AQ73" i="4"/>
  <c r="AB65" i="29"/>
  <c r="AE73" i="4"/>
  <c r="AN71" i="4"/>
  <c r="AO71" i="4" s="1"/>
  <c r="AF66" i="29"/>
  <c r="AE66" i="29"/>
  <c r="AA66" i="29" s="1"/>
  <c r="E66" i="29"/>
  <c r="G66" i="29"/>
  <c r="R66" i="29"/>
  <c r="U66" i="29"/>
  <c r="S66" i="29"/>
  <c r="Q66" i="29"/>
  <c r="T66" i="29"/>
  <c r="O65" i="29"/>
  <c r="I65" i="29"/>
  <c r="J65" i="29"/>
  <c r="Y65" i="29" s="1"/>
  <c r="AD68" i="29"/>
  <c r="B67" i="29"/>
  <c r="AI67" i="29"/>
  <c r="V64" i="29"/>
  <c r="W64" i="29" s="1"/>
  <c r="P64" i="29"/>
  <c r="AD69" i="4"/>
  <c r="AG69" i="4"/>
  <c r="AG72" i="4"/>
  <c r="AN72" i="4"/>
  <c r="AO72" i="4" s="1"/>
  <c r="U74" i="4"/>
  <c r="AP74" i="4" s="1"/>
  <c r="V74" i="4"/>
  <c r="AA74" i="4" s="1"/>
  <c r="Q74" i="4"/>
  <c r="Y74" i="4" s="1"/>
  <c r="R74" i="4"/>
  <c r="Z74" i="4" s="1"/>
  <c r="W74" i="4"/>
  <c r="AB74" i="4" s="1"/>
  <c r="X74" i="4"/>
  <c r="AC74" i="4" s="1"/>
  <c r="AW75" i="4"/>
  <c r="AX75" i="4"/>
  <c r="AF74" i="4"/>
  <c r="B76" i="4"/>
  <c r="AV77" i="4"/>
  <c r="AY76" i="4"/>
  <c r="AL75" i="4"/>
  <c r="AI75" i="4"/>
  <c r="AK75" i="4"/>
  <c r="K75" i="4"/>
  <c r="AH75" i="4"/>
  <c r="P75" i="4"/>
  <c r="N75" i="4"/>
  <c r="L75" i="4"/>
  <c r="F75" i="4"/>
  <c r="J75" i="4"/>
  <c r="AM75" i="4"/>
  <c r="O75" i="4"/>
  <c r="AJ75" i="4"/>
  <c r="M75" i="4"/>
  <c r="AB66" i="29" l="1"/>
  <c r="K65" i="29"/>
  <c r="N65" i="29" s="1"/>
  <c r="AQ74" i="4"/>
  <c r="AE74" i="4"/>
  <c r="O66" i="29"/>
  <c r="I66" i="29"/>
  <c r="J66" i="29"/>
  <c r="Y66" i="29" s="1"/>
  <c r="AE67" i="29"/>
  <c r="AA67" i="29" s="1"/>
  <c r="AF67" i="29"/>
  <c r="E67" i="29"/>
  <c r="S67" i="29"/>
  <c r="Q67" i="29"/>
  <c r="U67" i="29"/>
  <c r="R67" i="29"/>
  <c r="T67" i="29"/>
  <c r="G67" i="29"/>
  <c r="Z65" i="29"/>
  <c r="AD69" i="29"/>
  <c r="B68" i="29"/>
  <c r="AI68" i="29"/>
  <c r="AN69" i="4"/>
  <c r="AO69" i="4" s="1"/>
  <c r="AG73" i="4"/>
  <c r="AN73" i="4"/>
  <c r="AO73" i="4" s="1"/>
  <c r="W75" i="4"/>
  <c r="AB75" i="4" s="1"/>
  <c r="R75" i="4"/>
  <c r="Z75" i="4" s="1"/>
  <c r="V75" i="4"/>
  <c r="AA75" i="4" s="1"/>
  <c r="U75" i="4"/>
  <c r="AP75" i="4" s="1"/>
  <c r="X75" i="4"/>
  <c r="AC75" i="4" s="1"/>
  <c r="Q75" i="4"/>
  <c r="Y75" i="4" s="1"/>
  <c r="AF75" i="4"/>
  <c r="AX76" i="4"/>
  <c r="AW76" i="4"/>
  <c r="AD74" i="4"/>
  <c r="B77" i="4"/>
  <c r="AV78" i="4"/>
  <c r="AY77" i="4"/>
  <c r="AM76" i="4"/>
  <c r="AK76" i="4"/>
  <c r="AI76" i="4"/>
  <c r="P76" i="4"/>
  <c r="N76" i="4"/>
  <c r="F76" i="4"/>
  <c r="AL76" i="4"/>
  <c r="M76" i="4"/>
  <c r="J76" i="4"/>
  <c r="AH76" i="4"/>
  <c r="L76" i="4"/>
  <c r="K76" i="4"/>
  <c r="O76" i="4"/>
  <c r="AJ76" i="4"/>
  <c r="AD73" i="4"/>
  <c r="V65" i="29" l="1"/>
  <c r="W65" i="29" s="1"/>
  <c r="P65" i="29"/>
  <c r="K66" i="29"/>
  <c r="N66" i="29" s="1"/>
  <c r="AB67" i="29"/>
  <c r="AQ75" i="4"/>
  <c r="AE75" i="4"/>
  <c r="Z66" i="29"/>
  <c r="E68" i="29"/>
  <c r="R68" i="29"/>
  <c r="S68" i="29"/>
  <c r="G68" i="29"/>
  <c r="U68" i="29"/>
  <c r="Q68" i="29"/>
  <c r="T68" i="29"/>
  <c r="AD70" i="29"/>
  <c r="B69" i="29"/>
  <c r="AI69" i="29"/>
  <c r="O67" i="29"/>
  <c r="J67" i="29"/>
  <c r="Y67" i="29" s="1"/>
  <c r="I67" i="29"/>
  <c r="K67" i="29" s="1"/>
  <c r="AF68" i="29"/>
  <c r="AE68" i="29"/>
  <c r="AA68" i="29" s="1"/>
  <c r="AV79" i="4"/>
  <c r="B78" i="4"/>
  <c r="AY78" i="4"/>
  <c r="N77" i="4"/>
  <c r="J77" i="4"/>
  <c r="L77" i="4"/>
  <c r="AH77" i="4"/>
  <c r="AL77" i="4"/>
  <c r="O77" i="4"/>
  <c r="M77" i="4"/>
  <c r="K77" i="4"/>
  <c r="AM77" i="4"/>
  <c r="F77" i="4"/>
  <c r="AI77" i="4"/>
  <c r="AK77" i="4"/>
  <c r="AJ77" i="4"/>
  <c r="P77" i="4"/>
  <c r="V76" i="4"/>
  <c r="AA76" i="4" s="1"/>
  <c r="X76" i="4"/>
  <c r="AC76" i="4" s="1"/>
  <c r="Q76" i="4"/>
  <c r="Y76" i="4" s="1"/>
  <c r="R76" i="4"/>
  <c r="Z76" i="4" s="1"/>
  <c r="W76" i="4"/>
  <c r="AB76" i="4" s="1"/>
  <c r="U76" i="4"/>
  <c r="AP76" i="4" s="1"/>
  <c r="AD75" i="4"/>
  <c r="AF76" i="4"/>
  <c r="AX77" i="4"/>
  <c r="AW77" i="4"/>
  <c r="V66" i="29" l="1"/>
  <c r="W66" i="29" s="1"/>
  <c r="P66" i="29"/>
  <c r="N67" i="29"/>
  <c r="AQ76" i="4"/>
  <c r="AB68" i="29"/>
  <c r="AE76" i="4"/>
  <c r="P67" i="29"/>
  <c r="V67" i="29"/>
  <c r="W67" i="29" s="1"/>
  <c r="AD71" i="29"/>
  <c r="B70" i="29"/>
  <c r="AI70" i="29"/>
  <c r="J68" i="29"/>
  <c r="Y68" i="29" s="1"/>
  <c r="I68" i="29"/>
  <c r="Z67" i="29"/>
  <c r="AE69" i="29"/>
  <c r="AA69" i="29" s="1"/>
  <c r="AF69" i="29"/>
  <c r="E69" i="29"/>
  <c r="Q69" i="29"/>
  <c r="T69" i="29"/>
  <c r="G69" i="29"/>
  <c r="S69" i="29"/>
  <c r="R69" i="29"/>
  <c r="U69" i="29"/>
  <c r="O68" i="29"/>
  <c r="AD76" i="4"/>
  <c r="AW78" i="4"/>
  <c r="AX78" i="4"/>
  <c r="X77" i="4"/>
  <c r="AC77" i="4" s="1"/>
  <c r="V77" i="4"/>
  <c r="AA77" i="4" s="1"/>
  <c r="Q77" i="4"/>
  <c r="Y77" i="4" s="1"/>
  <c r="W77" i="4"/>
  <c r="AB77" i="4" s="1"/>
  <c r="U77" i="4"/>
  <c r="R77" i="4"/>
  <c r="Z77" i="4" s="1"/>
  <c r="AK78" i="4"/>
  <c r="F78" i="4"/>
  <c r="P78" i="4"/>
  <c r="J78" i="4"/>
  <c r="AI78" i="4"/>
  <c r="K78" i="4"/>
  <c r="N78" i="4"/>
  <c r="M78" i="4"/>
  <c r="L78" i="4"/>
  <c r="AM78" i="4"/>
  <c r="AJ78" i="4"/>
  <c r="AH78" i="4"/>
  <c r="AL78" i="4"/>
  <c r="O78" i="4"/>
  <c r="AF77" i="4"/>
  <c r="AG74" i="4"/>
  <c r="AN74" i="4"/>
  <c r="AO74" i="4" s="1"/>
  <c r="AV80" i="4"/>
  <c r="B79" i="4"/>
  <c r="AY79" i="4"/>
  <c r="AP77" i="4"/>
  <c r="AN75" i="4"/>
  <c r="AO75" i="4" s="1"/>
  <c r="AG75" i="4"/>
  <c r="AB69" i="29" l="1"/>
  <c r="K68" i="29"/>
  <c r="N68" i="29" s="1"/>
  <c r="AQ77" i="4"/>
  <c r="AE77" i="4"/>
  <c r="O69" i="29"/>
  <c r="AG76" i="4"/>
  <c r="I69" i="29"/>
  <c r="J69" i="29"/>
  <c r="Y69" i="29" s="1"/>
  <c r="E70" i="29"/>
  <c r="U70" i="29"/>
  <c r="R70" i="29"/>
  <c r="T70" i="29"/>
  <c r="Q70" i="29"/>
  <c r="S70" i="29"/>
  <c r="G70" i="29"/>
  <c r="Z68" i="29"/>
  <c r="AD72" i="29"/>
  <c r="B71" i="29"/>
  <c r="AI71" i="29"/>
  <c r="AF70" i="29"/>
  <c r="AE70" i="29"/>
  <c r="AA70" i="29" s="1"/>
  <c r="AX79" i="4"/>
  <c r="AW79" i="4"/>
  <c r="AF78" i="4"/>
  <c r="Q78" i="4"/>
  <c r="Y78" i="4" s="1"/>
  <c r="U78" i="4"/>
  <c r="AP78" i="4" s="1"/>
  <c r="W78" i="4"/>
  <c r="AB78" i="4" s="1"/>
  <c r="V78" i="4"/>
  <c r="AA78" i="4" s="1"/>
  <c r="R78" i="4"/>
  <c r="Z78" i="4" s="1"/>
  <c r="X78" i="4"/>
  <c r="AC78" i="4" s="1"/>
  <c r="AI79" i="4"/>
  <c r="G79" i="4"/>
  <c r="AJ79" i="4"/>
  <c r="P79" i="4"/>
  <c r="AL79" i="4"/>
  <c r="L79" i="4"/>
  <c r="M79" i="4"/>
  <c r="AM79" i="4"/>
  <c r="H79" i="4"/>
  <c r="J79" i="4"/>
  <c r="K79" i="4"/>
  <c r="AH79" i="4"/>
  <c r="I79" i="4"/>
  <c r="N79" i="4"/>
  <c r="AK79" i="4"/>
  <c r="O79" i="4"/>
  <c r="F79" i="4"/>
  <c r="AY80" i="4"/>
  <c r="B80" i="4"/>
  <c r="AV81" i="4"/>
  <c r="P68" i="29" l="1"/>
  <c r="V68" i="29"/>
  <c r="W68" i="29" s="1"/>
  <c r="K69" i="29"/>
  <c r="N69" i="29" s="1"/>
  <c r="AQ78" i="4"/>
  <c r="AB70" i="29"/>
  <c r="AE78" i="4"/>
  <c r="AN76" i="4"/>
  <c r="AO76" i="4" s="1"/>
  <c r="Z69" i="29"/>
  <c r="E71" i="29"/>
  <c r="G71" i="29"/>
  <c r="R71" i="29"/>
  <c r="U71" i="29"/>
  <c r="Q71" i="29"/>
  <c r="T71" i="29"/>
  <c r="S71" i="29"/>
  <c r="AD73" i="29"/>
  <c r="B72" i="29"/>
  <c r="AI72" i="29"/>
  <c r="O70" i="29"/>
  <c r="J70" i="29"/>
  <c r="Y70" i="29" s="1"/>
  <c r="I70" i="29"/>
  <c r="AE71" i="29"/>
  <c r="AA71" i="29" s="1"/>
  <c r="AF71" i="29"/>
  <c r="AG77" i="4"/>
  <c r="AN77" i="4"/>
  <c r="AO77" i="4" s="1"/>
  <c r="AD77" i="4"/>
  <c r="AX80" i="4"/>
  <c r="AW80" i="4"/>
  <c r="AV82" i="4"/>
  <c r="AY81" i="4"/>
  <c r="B81" i="4"/>
  <c r="AF79" i="4"/>
  <c r="F80" i="4"/>
  <c r="AL80" i="4"/>
  <c r="AJ80" i="4"/>
  <c r="M80" i="4"/>
  <c r="J80" i="4"/>
  <c r="AK80" i="4"/>
  <c r="L80" i="4"/>
  <c r="O80" i="4"/>
  <c r="N80" i="4"/>
  <c r="AH80" i="4"/>
  <c r="AM80" i="4"/>
  <c r="AI80" i="4"/>
  <c r="K80" i="4"/>
  <c r="P80" i="4"/>
  <c r="T79" i="4"/>
  <c r="Q79" i="4"/>
  <c r="Y79" i="4" s="1"/>
  <c r="U79" i="4"/>
  <c r="AP79" i="4" s="1"/>
  <c r="S79" i="4"/>
  <c r="X79" i="4"/>
  <c r="AC79" i="4" s="1"/>
  <c r="W79" i="4"/>
  <c r="AB79" i="4" s="1"/>
  <c r="R79" i="4"/>
  <c r="V79" i="4"/>
  <c r="AA79" i="4" s="1"/>
  <c r="P69" i="29" l="1"/>
  <c r="V69" i="29"/>
  <c r="W69" i="29" s="1"/>
  <c r="K70" i="29"/>
  <c r="N70" i="29" s="1"/>
  <c r="AB71" i="29"/>
  <c r="Z79" i="4"/>
  <c r="AD78" i="4"/>
  <c r="AD74" i="29"/>
  <c r="B73" i="29"/>
  <c r="AI73" i="29"/>
  <c r="O71" i="29"/>
  <c r="Z70" i="29"/>
  <c r="AF72" i="29"/>
  <c r="AE72" i="29"/>
  <c r="AA72" i="29" s="1"/>
  <c r="I71" i="29"/>
  <c r="K71" i="29" s="1"/>
  <c r="J71" i="29"/>
  <c r="Y71" i="29" s="1"/>
  <c r="E72" i="29"/>
  <c r="U72" i="29"/>
  <c r="G72" i="29"/>
  <c r="Q72" i="29"/>
  <c r="T72" i="29"/>
  <c r="S72" i="29"/>
  <c r="R72" i="29"/>
  <c r="AG78" i="4"/>
  <c r="AN78" i="4"/>
  <c r="AO78" i="4" s="1"/>
  <c r="K81" i="4"/>
  <c r="AJ81" i="4"/>
  <c r="M81" i="4"/>
  <c r="AM81" i="4"/>
  <c r="AK81" i="4"/>
  <c r="L81" i="4"/>
  <c r="AL81" i="4"/>
  <c r="J81" i="4"/>
  <c r="N81" i="4"/>
  <c r="O81" i="4"/>
  <c r="AI81" i="4"/>
  <c r="P81" i="4"/>
  <c r="AH81" i="4"/>
  <c r="F81" i="4"/>
  <c r="Q80" i="4"/>
  <c r="Y80" i="4" s="1"/>
  <c r="R80" i="4"/>
  <c r="Z80" i="4" s="1"/>
  <c r="V80" i="4"/>
  <c r="AA80" i="4" s="1"/>
  <c r="U80" i="4"/>
  <c r="AP80" i="4" s="1"/>
  <c r="W80" i="4"/>
  <c r="AB80" i="4" s="1"/>
  <c r="X80" i="4"/>
  <c r="AC80" i="4" s="1"/>
  <c r="AX81" i="4"/>
  <c r="AW81" i="4"/>
  <c r="AD79" i="4"/>
  <c r="AF80" i="4"/>
  <c r="B82" i="4"/>
  <c r="AY82" i="4"/>
  <c r="AV83" i="4"/>
  <c r="V70" i="29" l="1"/>
  <c r="W70" i="29" s="1"/>
  <c r="P70" i="29"/>
  <c r="N71" i="29"/>
  <c r="AB72" i="29"/>
  <c r="AQ80" i="4"/>
  <c r="AE79" i="4"/>
  <c r="AN79" i="4" s="1"/>
  <c r="AO79" i="4" s="1"/>
  <c r="AQ79" i="4"/>
  <c r="AE80" i="4"/>
  <c r="Z71" i="29"/>
  <c r="O72" i="29"/>
  <c r="AD75" i="29"/>
  <c r="B74" i="29"/>
  <c r="AI74" i="29"/>
  <c r="I72" i="29"/>
  <c r="J72" i="29"/>
  <c r="Y72" i="29" s="1"/>
  <c r="AE73" i="29"/>
  <c r="AA73" i="29" s="1"/>
  <c r="AF73" i="29"/>
  <c r="P71" i="29"/>
  <c r="V71" i="29"/>
  <c r="W71" i="29" s="1"/>
  <c r="E73" i="29"/>
  <c r="S73" i="29"/>
  <c r="Q73" i="29"/>
  <c r="U73" i="29"/>
  <c r="T73" i="29"/>
  <c r="G73" i="29"/>
  <c r="R73" i="29"/>
  <c r="AF81" i="4"/>
  <c r="AW82" i="4"/>
  <c r="AX82" i="4"/>
  <c r="F82" i="4"/>
  <c r="AL82" i="4"/>
  <c r="AJ82" i="4"/>
  <c r="L82" i="4"/>
  <c r="O82" i="4"/>
  <c r="N82" i="4"/>
  <c r="J82" i="4"/>
  <c r="AH82" i="4"/>
  <c r="K82" i="4"/>
  <c r="P82" i="4"/>
  <c r="AK82" i="4"/>
  <c r="AM82" i="4"/>
  <c r="M82" i="4"/>
  <c r="AI82" i="4"/>
  <c r="AV84" i="4"/>
  <c r="B83" i="4"/>
  <c r="AY83" i="4"/>
  <c r="AD80" i="4"/>
  <c r="U81" i="4"/>
  <c r="AP81" i="4" s="1"/>
  <c r="W81" i="4"/>
  <c r="AB81" i="4" s="1"/>
  <c r="X81" i="4"/>
  <c r="AC81" i="4" s="1"/>
  <c r="Q81" i="4"/>
  <c r="Y81" i="4" s="1"/>
  <c r="R81" i="4"/>
  <c r="Z81" i="4" s="1"/>
  <c r="AQ81" i="4" s="1"/>
  <c r="V81" i="4"/>
  <c r="AA81" i="4" s="1"/>
  <c r="AB73" i="29" l="1"/>
  <c r="K72" i="29"/>
  <c r="N72" i="29" s="1"/>
  <c r="AE81" i="4"/>
  <c r="AG79" i="4"/>
  <c r="O73" i="29"/>
  <c r="E74" i="29"/>
  <c r="G74" i="29"/>
  <c r="S74" i="29"/>
  <c r="R74" i="29"/>
  <c r="Q74" i="29"/>
  <c r="U74" i="29"/>
  <c r="T74" i="29"/>
  <c r="AD76" i="29"/>
  <c r="B75" i="29"/>
  <c r="AI75" i="29"/>
  <c r="Z72" i="29"/>
  <c r="J73" i="29"/>
  <c r="Y73" i="29" s="1"/>
  <c r="I73" i="29"/>
  <c r="K73" i="29" s="1"/>
  <c r="AF74" i="29"/>
  <c r="AE74" i="29"/>
  <c r="AA74" i="29" s="1"/>
  <c r="AW83" i="4"/>
  <c r="AX83" i="4"/>
  <c r="L83" i="4"/>
  <c r="F83" i="4"/>
  <c r="M83" i="4"/>
  <c r="K83" i="4"/>
  <c r="AL83" i="4"/>
  <c r="AM83" i="4"/>
  <c r="AI83" i="4"/>
  <c r="AJ83" i="4"/>
  <c r="P83" i="4"/>
  <c r="J83" i="4"/>
  <c r="AH83" i="4"/>
  <c r="N83" i="4"/>
  <c r="AK83" i="4"/>
  <c r="O83" i="4"/>
  <c r="B84" i="4"/>
  <c r="AV85" i="4"/>
  <c r="AY84" i="4"/>
  <c r="AF82" i="4"/>
  <c r="R82" i="4"/>
  <c r="Z82" i="4" s="1"/>
  <c r="U82" i="4"/>
  <c r="AP82" i="4" s="1"/>
  <c r="V82" i="4"/>
  <c r="AA82" i="4" s="1"/>
  <c r="X82" i="4"/>
  <c r="AC82" i="4" s="1"/>
  <c r="Q82" i="4"/>
  <c r="Y82" i="4" s="1"/>
  <c r="W82" i="4"/>
  <c r="AB82" i="4" s="1"/>
  <c r="V72" i="29" l="1"/>
  <c r="W72" i="29" s="1"/>
  <c r="P72" i="29"/>
  <c r="N73" i="29"/>
  <c r="AQ82" i="4"/>
  <c r="AB74" i="29"/>
  <c r="AE82" i="4"/>
  <c r="AD81" i="4"/>
  <c r="AE75" i="29"/>
  <c r="AA75" i="29" s="1"/>
  <c r="AF75" i="29"/>
  <c r="E75" i="29"/>
  <c r="G75" i="29"/>
  <c r="Q75" i="29"/>
  <c r="U75" i="29"/>
  <c r="S75" i="29"/>
  <c r="R75" i="29"/>
  <c r="T75" i="29"/>
  <c r="J74" i="29"/>
  <c r="Y74" i="29" s="1"/>
  <c r="I74" i="29"/>
  <c r="K74" i="29" s="1"/>
  <c r="P73" i="29"/>
  <c r="V73" i="29"/>
  <c r="W73" i="29" s="1"/>
  <c r="AD77" i="29"/>
  <c r="B76" i="29"/>
  <c r="AI76" i="29"/>
  <c r="O74" i="29"/>
  <c r="Z73" i="29"/>
  <c r="AF83" i="4"/>
  <c r="AV86" i="4"/>
  <c r="AY85" i="4"/>
  <c r="B85" i="4"/>
  <c r="AK84" i="4"/>
  <c r="AL84" i="4"/>
  <c r="AH84" i="4"/>
  <c r="AJ84" i="4"/>
  <c r="K84" i="4"/>
  <c r="P84" i="4"/>
  <c r="AI84" i="4"/>
  <c r="L84" i="4"/>
  <c r="F84" i="4"/>
  <c r="AM84" i="4"/>
  <c r="O84" i="4"/>
  <c r="N84" i="4"/>
  <c r="J84" i="4"/>
  <c r="M84" i="4"/>
  <c r="AD82" i="4"/>
  <c r="W83" i="4"/>
  <c r="AB83" i="4" s="1"/>
  <c r="R83" i="4"/>
  <c r="Z83" i="4" s="1"/>
  <c r="U83" i="4"/>
  <c r="AP83" i="4" s="1"/>
  <c r="V83" i="4"/>
  <c r="AA83" i="4" s="1"/>
  <c r="Q83" i="4"/>
  <c r="Y83" i="4" s="1"/>
  <c r="X83" i="4"/>
  <c r="AC83" i="4" s="1"/>
  <c r="AX84" i="4"/>
  <c r="AW84" i="4"/>
  <c r="AG80" i="4"/>
  <c r="AN80" i="4"/>
  <c r="AO80" i="4" s="1"/>
  <c r="N74" i="29" l="1"/>
  <c r="P74" i="29" s="1"/>
  <c r="AB75" i="29"/>
  <c r="AQ83" i="4"/>
  <c r="AE83" i="4"/>
  <c r="V74" i="29"/>
  <c r="W74" i="29" s="1"/>
  <c r="AF76" i="29"/>
  <c r="AE76" i="29"/>
  <c r="AA76" i="29" s="1"/>
  <c r="O75" i="29"/>
  <c r="E76" i="29"/>
  <c r="U76" i="29"/>
  <c r="R76" i="29"/>
  <c r="T76" i="29"/>
  <c r="Q76" i="29"/>
  <c r="G76" i="29"/>
  <c r="S76" i="29"/>
  <c r="AD78" i="29"/>
  <c r="B77" i="29"/>
  <c r="AI77" i="29"/>
  <c r="Z74" i="29"/>
  <c r="I75" i="29"/>
  <c r="J75" i="29"/>
  <c r="Y75" i="29" s="1"/>
  <c r="R84" i="4"/>
  <c r="Z84" i="4" s="1"/>
  <c r="X84" i="4"/>
  <c r="AC84" i="4" s="1"/>
  <c r="Q84" i="4"/>
  <c r="Y84" i="4" s="1"/>
  <c r="W84" i="4"/>
  <c r="AB84" i="4" s="1"/>
  <c r="V84" i="4"/>
  <c r="AA84" i="4" s="1"/>
  <c r="U84" i="4"/>
  <c r="AP84" i="4" s="1"/>
  <c r="AM85" i="4"/>
  <c r="AL85" i="4"/>
  <c r="L85" i="4"/>
  <c r="F85" i="4"/>
  <c r="M85" i="4"/>
  <c r="AJ85" i="4"/>
  <c r="AI85" i="4"/>
  <c r="K85" i="4"/>
  <c r="AK85" i="4"/>
  <c r="O85" i="4"/>
  <c r="J85" i="4"/>
  <c r="AH85" i="4"/>
  <c r="N85" i="4"/>
  <c r="P85" i="4"/>
  <c r="AF84" i="4"/>
  <c r="AD83" i="4"/>
  <c r="AW85" i="4"/>
  <c r="AX85" i="4"/>
  <c r="B86" i="4"/>
  <c r="AV87" i="4"/>
  <c r="AY86" i="4"/>
  <c r="AG81" i="4"/>
  <c r="AN81" i="4"/>
  <c r="AO81" i="4" s="1"/>
  <c r="AB76" i="29" l="1"/>
  <c r="K75" i="29"/>
  <c r="N75" i="29" s="1"/>
  <c r="AQ84" i="4"/>
  <c r="AE84" i="4"/>
  <c r="E77" i="29"/>
  <c r="S77" i="29"/>
  <c r="R77" i="29"/>
  <c r="Q77" i="29"/>
  <c r="T77" i="29"/>
  <c r="G77" i="29"/>
  <c r="U77" i="29"/>
  <c r="Z75" i="29"/>
  <c r="AD79" i="29"/>
  <c r="B78" i="29"/>
  <c r="AI78" i="29"/>
  <c r="J76" i="29"/>
  <c r="Y76" i="29" s="1"/>
  <c r="I76" i="29"/>
  <c r="O76" i="29"/>
  <c r="AF77" i="29"/>
  <c r="AE77" i="29"/>
  <c r="AA77" i="29" s="1"/>
  <c r="AX86" i="4"/>
  <c r="AW86" i="4"/>
  <c r="M86" i="4"/>
  <c r="N86" i="4"/>
  <c r="J86" i="4"/>
  <c r="AH86" i="4"/>
  <c r="K86" i="4"/>
  <c r="AJ86" i="4"/>
  <c r="P86" i="4"/>
  <c r="AI86" i="4"/>
  <c r="F86" i="4"/>
  <c r="AK86" i="4"/>
  <c r="L86" i="4"/>
  <c r="O86" i="4"/>
  <c r="AL86" i="4"/>
  <c r="AM86" i="4"/>
  <c r="B87" i="4"/>
  <c r="AY87" i="4"/>
  <c r="AV88" i="4"/>
  <c r="W85" i="4"/>
  <c r="AB85" i="4" s="1"/>
  <c r="R85" i="4"/>
  <c r="Z85" i="4" s="1"/>
  <c r="X85" i="4"/>
  <c r="AC85" i="4" s="1"/>
  <c r="V85" i="4"/>
  <c r="AA85" i="4" s="1"/>
  <c r="Q85" i="4"/>
  <c r="Y85" i="4" s="1"/>
  <c r="U85" i="4"/>
  <c r="AP85" i="4" s="1"/>
  <c r="AF85" i="4"/>
  <c r="AD84" i="4"/>
  <c r="AN82" i="4"/>
  <c r="AO82" i="4" s="1"/>
  <c r="AG82" i="4"/>
  <c r="P75" i="29" l="1"/>
  <c r="V75" i="29"/>
  <c r="W75" i="29" s="1"/>
  <c r="K76" i="29"/>
  <c r="N76" i="29" s="1"/>
  <c r="AQ85" i="4"/>
  <c r="AB77" i="29"/>
  <c r="AE85" i="4"/>
  <c r="AE78" i="29"/>
  <c r="AA78" i="29" s="1"/>
  <c r="AF78" i="29"/>
  <c r="O77" i="29"/>
  <c r="E78" i="29"/>
  <c r="S78" i="29"/>
  <c r="T78" i="29"/>
  <c r="U78" i="29"/>
  <c r="R78" i="29"/>
  <c r="G78" i="29"/>
  <c r="Q78" i="29"/>
  <c r="I77" i="29"/>
  <c r="J77" i="29"/>
  <c r="Y77" i="29" s="1"/>
  <c r="Z76" i="29"/>
  <c r="AD80" i="29"/>
  <c r="B79" i="29"/>
  <c r="AI79" i="29"/>
  <c r="M87" i="4"/>
  <c r="O87" i="4"/>
  <c r="AH87" i="4"/>
  <c r="AL87" i="4"/>
  <c r="K87" i="4"/>
  <c r="P87" i="4"/>
  <c r="AI87" i="4"/>
  <c r="J87" i="4"/>
  <c r="AK87" i="4"/>
  <c r="AJ87" i="4"/>
  <c r="N87" i="4"/>
  <c r="AM87" i="4"/>
  <c r="F87" i="4"/>
  <c r="L87" i="4"/>
  <c r="AF86" i="4"/>
  <c r="AG83" i="4"/>
  <c r="AN83" i="4"/>
  <c r="AO83" i="4" s="1"/>
  <c r="AV89" i="4"/>
  <c r="AY88" i="4"/>
  <c r="B88" i="4"/>
  <c r="X86" i="4"/>
  <c r="AC86" i="4" s="1"/>
  <c r="W86" i="4"/>
  <c r="AB86" i="4" s="1"/>
  <c r="U86" i="4"/>
  <c r="AP86" i="4" s="1"/>
  <c r="V86" i="4"/>
  <c r="AA86" i="4" s="1"/>
  <c r="R86" i="4"/>
  <c r="Z86" i="4" s="1"/>
  <c r="Q86" i="4"/>
  <c r="Y86" i="4" s="1"/>
  <c r="AX87" i="4"/>
  <c r="AW87" i="4"/>
  <c r="P76" i="29" l="1"/>
  <c r="V76" i="29"/>
  <c r="W76" i="29" s="1"/>
  <c r="K77" i="29"/>
  <c r="N77" i="29" s="1"/>
  <c r="AB78" i="29"/>
  <c r="AQ86" i="4"/>
  <c r="AE86" i="4"/>
  <c r="E79" i="29"/>
  <c r="T79" i="29"/>
  <c r="G79" i="29"/>
  <c r="Q79" i="29"/>
  <c r="U79" i="29"/>
  <c r="S79" i="29"/>
  <c r="R79" i="29"/>
  <c r="O78" i="29"/>
  <c r="AD81" i="29"/>
  <c r="B80" i="29"/>
  <c r="AI80" i="29"/>
  <c r="I78" i="29"/>
  <c r="J78" i="29"/>
  <c r="Y78" i="29" s="1"/>
  <c r="AE79" i="29"/>
  <c r="AA79" i="29" s="1"/>
  <c r="AF79" i="29"/>
  <c r="Z77" i="29"/>
  <c r="AG85" i="4"/>
  <c r="AN85" i="4"/>
  <c r="AO85" i="4" s="1"/>
  <c r="AY89" i="4"/>
  <c r="AV90" i="4"/>
  <c r="B89" i="4"/>
  <c r="AD85" i="4"/>
  <c r="R87" i="4"/>
  <c r="Z87" i="4" s="1"/>
  <c r="U87" i="4"/>
  <c r="V87" i="4"/>
  <c r="AA87" i="4" s="1"/>
  <c r="W87" i="4"/>
  <c r="AB87" i="4" s="1"/>
  <c r="Q87" i="4"/>
  <c r="Y87" i="4" s="1"/>
  <c r="X87" i="4"/>
  <c r="AC87" i="4" s="1"/>
  <c r="O88" i="4"/>
  <c r="F88" i="4"/>
  <c r="AM88" i="4"/>
  <c r="M88" i="4"/>
  <c r="K88" i="4"/>
  <c r="AI88" i="4"/>
  <c r="AL88" i="4"/>
  <c r="AJ88" i="4"/>
  <c r="P88" i="4"/>
  <c r="J88" i="4"/>
  <c r="AK88" i="4"/>
  <c r="AH88" i="4"/>
  <c r="L88" i="4"/>
  <c r="N88" i="4"/>
  <c r="AX88" i="4"/>
  <c r="AW88" i="4"/>
  <c r="AN84" i="4"/>
  <c r="AO84" i="4" s="1"/>
  <c r="AG84" i="4"/>
  <c r="AF87" i="4"/>
  <c r="AP87" i="4"/>
  <c r="V77" i="29" l="1"/>
  <c r="W77" i="29" s="1"/>
  <c r="P77" i="29"/>
  <c r="K78" i="29"/>
  <c r="N78" i="29" s="1"/>
  <c r="AQ87" i="4"/>
  <c r="AB79" i="29"/>
  <c r="AE87" i="4"/>
  <c r="O79" i="29"/>
  <c r="AD82" i="29"/>
  <c r="B81" i="29"/>
  <c r="AI81" i="29"/>
  <c r="Z78" i="29"/>
  <c r="AF80" i="29"/>
  <c r="AE80" i="29"/>
  <c r="AA80" i="29" s="1"/>
  <c r="I79" i="29"/>
  <c r="K79" i="29" s="1"/>
  <c r="J79" i="29"/>
  <c r="Y79" i="29" s="1"/>
  <c r="E80" i="29"/>
  <c r="G80" i="29"/>
  <c r="S80" i="29"/>
  <c r="Q80" i="29"/>
  <c r="U80" i="29"/>
  <c r="R80" i="29"/>
  <c r="T80" i="29"/>
  <c r="AG86" i="4"/>
  <c r="AN86" i="4"/>
  <c r="AO86" i="4" s="1"/>
  <c r="AM89" i="4"/>
  <c r="AH89" i="4"/>
  <c r="L89" i="4"/>
  <c r="M89" i="4"/>
  <c r="AI89" i="4"/>
  <c r="P89" i="4"/>
  <c r="J89" i="4"/>
  <c r="AL89" i="4"/>
  <c r="AK89" i="4"/>
  <c r="O89" i="4"/>
  <c r="K89" i="4"/>
  <c r="N89" i="4"/>
  <c r="AJ89" i="4"/>
  <c r="F89" i="4"/>
  <c r="AD86" i="4"/>
  <c r="AD87" i="4"/>
  <c r="V88" i="4"/>
  <c r="AA88" i="4" s="1"/>
  <c r="U88" i="4"/>
  <c r="X88" i="4"/>
  <c r="AC88" i="4" s="1"/>
  <c r="R88" i="4"/>
  <c r="Z88" i="4" s="1"/>
  <c r="W88" i="4"/>
  <c r="AB88" i="4" s="1"/>
  <c r="Q88" i="4"/>
  <c r="Y88" i="4" s="1"/>
  <c r="AV91" i="4"/>
  <c r="B90" i="4"/>
  <c r="AY90" i="4"/>
  <c r="AP88" i="4"/>
  <c r="AF88" i="4"/>
  <c r="AX89" i="4"/>
  <c r="AW89" i="4"/>
  <c r="V78" i="29" l="1"/>
  <c r="W78" i="29" s="1"/>
  <c r="P78" i="29"/>
  <c r="N79" i="29"/>
  <c r="V79" i="29" s="1"/>
  <c r="W79" i="29" s="1"/>
  <c r="AB80" i="29"/>
  <c r="Z79" i="29"/>
  <c r="AQ88" i="4"/>
  <c r="AE88" i="4"/>
  <c r="O80" i="29"/>
  <c r="AF81" i="29"/>
  <c r="AE81" i="29"/>
  <c r="AA81" i="29" s="1"/>
  <c r="P79" i="29"/>
  <c r="J80" i="29"/>
  <c r="Y80" i="29" s="1"/>
  <c r="I80" i="29"/>
  <c r="E81" i="29"/>
  <c r="Q81" i="29"/>
  <c r="T81" i="29"/>
  <c r="G81" i="29"/>
  <c r="S81" i="29"/>
  <c r="U81" i="29"/>
  <c r="R81" i="29"/>
  <c r="AD83" i="29"/>
  <c r="B82" i="29"/>
  <c r="AI82" i="29"/>
  <c r="J90" i="4"/>
  <c r="AM90" i="4"/>
  <c r="F90" i="4"/>
  <c r="K90" i="4"/>
  <c r="L90" i="4"/>
  <c r="N90" i="4"/>
  <c r="AH90" i="4"/>
  <c r="AI90" i="4"/>
  <c r="AJ90" i="4"/>
  <c r="P90" i="4"/>
  <c r="O90" i="4"/>
  <c r="M90" i="4"/>
  <c r="AL90" i="4"/>
  <c r="AK90" i="4"/>
  <c r="AD88" i="4"/>
  <c r="AV92" i="4"/>
  <c r="B91" i="4"/>
  <c r="AY91" i="4"/>
  <c r="U89" i="4"/>
  <c r="AP89" i="4" s="1"/>
  <c r="V89" i="4"/>
  <c r="AA89" i="4" s="1"/>
  <c r="R89" i="4"/>
  <c r="Z89" i="4" s="1"/>
  <c r="W89" i="4"/>
  <c r="AB89" i="4" s="1"/>
  <c r="Q89" i="4"/>
  <c r="Y89" i="4" s="1"/>
  <c r="X89" i="4"/>
  <c r="AC89" i="4" s="1"/>
  <c r="AG87" i="4"/>
  <c r="AN87" i="4"/>
  <c r="AO87" i="4" s="1"/>
  <c r="AW90" i="4"/>
  <c r="AX90" i="4"/>
  <c r="AF89" i="4"/>
  <c r="AL91" i="4" l="1"/>
  <c r="AH91" i="4"/>
  <c r="M91" i="4"/>
  <c r="F91" i="4"/>
  <c r="AK91" i="4"/>
  <c r="P91" i="4"/>
  <c r="L91" i="4"/>
  <c r="AI91" i="4"/>
  <c r="J91" i="4"/>
  <c r="AM91" i="4"/>
  <c r="AJ91" i="4"/>
  <c r="O91" i="4"/>
  <c r="N91" i="4"/>
  <c r="K91" i="4"/>
  <c r="AB81" i="29"/>
  <c r="K80" i="29"/>
  <c r="N80" i="29" s="1"/>
  <c r="AQ89" i="4"/>
  <c r="AE89" i="4"/>
  <c r="E82" i="29"/>
  <c r="T82" i="29"/>
  <c r="G82" i="29"/>
  <c r="S82" i="29"/>
  <c r="Q82" i="29"/>
  <c r="U82" i="29"/>
  <c r="R82" i="29"/>
  <c r="AD84" i="29"/>
  <c r="B83" i="29"/>
  <c r="AI83" i="29"/>
  <c r="O81" i="29"/>
  <c r="AE82" i="29"/>
  <c r="AA82" i="29" s="1"/>
  <c r="AF82" i="29"/>
  <c r="J81" i="29"/>
  <c r="Y81" i="29" s="1"/>
  <c r="I81" i="29"/>
  <c r="Z80" i="29"/>
  <c r="AG88" i="4"/>
  <c r="AF90" i="4"/>
  <c r="V90" i="4"/>
  <c r="AA90" i="4" s="1"/>
  <c r="W90" i="4"/>
  <c r="AB90" i="4" s="1"/>
  <c r="X90" i="4"/>
  <c r="AC90" i="4" s="1"/>
  <c r="R90" i="4"/>
  <c r="Z90" i="4" s="1"/>
  <c r="U90" i="4"/>
  <c r="AP90" i="4" s="1"/>
  <c r="Q90" i="4"/>
  <c r="Y90" i="4" s="1"/>
  <c r="AW91" i="4"/>
  <c r="AX91" i="4"/>
  <c r="AV93" i="4"/>
  <c r="AY92" i="4"/>
  <c r="B92" i="4"/>
  <c r="AJ92" i="4" l="1"/>
  <c r="O92" i="4"/>
  <c r="K92" i="4"/>
  <c r="AM92" i="4"/>
  <c r="AI92" i="4"/>
  <c r="N92" i="4"/>
  <c r="J92" i="4"/>
  <c r="AK92" i="4"/>
  <c r="L92" i="4"/>
  <c r="AL92" i="4"/>
  <c r="AH92" i="4"/>
  <c r="F92" i="4"/>
  <c r="P92" i="4"/>
  <c r="M92" i="4"/>
  <c r="P80" i="29"/>
  <c r="V80" i="29"/>
  <c r="W80" i="29" s="1"/>
  <c r="K81" i="29"/>
  <c r="N81" i="29" s="1"/>
  <c r="AQ90" i="4"/>
  <c r="AB82" i="29"/>
  <c r="AE90" i="4"/>
  <c r="O82" i="29"/>
  <c r="J82" i="29"/>
  <c r="Y82" i="29" s="1"/>
  <c r="I82" i="29"/>
  <c r="K82" i="29" s="1"/>
  <c r="AD85" i="29"/>
  <c r="B84" i="29"/>
  <c r="AI84" i="29"/>
  <c r="AE83" i="29"/>
  <c r="AA83" i="29" s="1"/>
  <c r="AF83" i="29"/>
  <c r="Z81" i="29"/>
  <c r="E83" i="29"/>
  <c r="U83" i="29"/>
  <c r="Q83" i="29"/>
  <c r="G83" i="29"/>
  <c r="S83" i="29"/>
  <c r="T83" i="29"/>
  <c r="R83" i="29"/>
  <c r="AN88" i="4"/>
  <c r="AO88" i="4" s="1"/>
  <c r="AN89" i="4"/>
  <c r="AO89" i="4" s="1"/>
  <c r="AG89" i="4"/>
  <c r="AW92" i="4"/>
  <c r="AX92" i="4"/>
  <c r="B93" i="4"/>
  <c r="AV94" i="4"/>
  <c r="AY93" i="4"/>
  <c r="AF91" i="4"/>
  <c r="Q91" i="4"/>
  <c r="Y91" i="4" s="1"/>
  <c r="U91" i="4"/>
  <c r="AP91" i="4" s="1"/>
  <c r="R91" i="4"/>
  <c r="Z91" i="4" s="1"/>
  <c r="V91" i="4"/>
  <c r="AA91" i="4" s="1"/>
  <c r="W91" i="4"/>
  <c r="AB91" i="4" s="1"/>
  <c r="X91" i="4"/>
  <c r="AC91" i="4" s="1"/>
  <c r="AD89" i="4"/>
  <c r="AD90" i="4"/>
  <c r="AL93" i="4" l="1"/>
  <c r="AH93" i="4"/>
  <c r="M93" i="4"/>
  <c r="F93" i="4"/>
  <c r="AK93" i="4"/>
  <c r="P93" i="4"/>
  <c r="L93" i="4"/>
  <c r="AM93" i="4"/>
  <c r="N93" i="4"/>
  <c r="J93" i="4"/>
  <c r="AJ93" i="4"/>
  <c r="K93" i="4"/>
  <c r="AI93" i="4"/>
  <c r="O93" i="4"/>
  <c r="V81" i="29"/>
  <c r="W81" i="29" s="1"/>
  <c r="P81" i="29"/>
  <c r="AB83" i="29"/>
  <c r="N82" i="29"/>
  <c r="Z82" i="29"/>
  <c r="AQ91" i="4"/>
  <c r="AE91" i="4"/>
  <c r="AD86" i="29"/>
  <c r="B85" i="29"/>
  <c r="AI85" i="29"/>
  <c r="P82" i="29"/>
  <c r="V82" i="29"/>
  <c r="W82" i="29" s="1"/>
  <c r="O83" i="29"/>
  <c r="J83" i="29"/>
  <c r="Y83" i="29" s="1"/>
  <c r="I83" i="29"/>
  <c r="K83" i="29" s="1"/>
  <c r="AF84" i="29"/>
  <c r="AE84" i="29"/>
  <c r="AA84" i="29" s="1"/>
  <c r="E84" i="29"/>
  <c r="S84" i="29"/>
  <c r="Q84" i="29"/>
  <c r="U84" i="29"/>
  <c r="T84" i="29"/>
  <c r="R84" i="29"/>
  <c r="G84" i="29"/>
  <c r="V92" i="4"/>
  <c r="AA92" i="4" s="1"/>
  <c r="R92" i="4"/>
  <c r="Z92" i="4" s="1"/>
  <c r="Q92" i="4"/>
  <c r="Y92" i="4" s="1"/>
  <c r="U92" i="4"/>
  <c r="AP92" i="4" s="1"/>
  <c r="W92" i="4"/>
  <c r="AB92" i="4" s="1"/>
  <c r="X92" i="4"/>
  <c r="AC92" i="4" s="1"/>
  <c r="AN90" i="4"/>
  <c r="AO90" i="4" s="1"/>
  <c r="AG90" i="4"/>
  <c r="AF92" i="4"/>
  <c r="AW93" i="4"/>
  <c r="AX93" i="4"/>
  <c r="AY94" i="4"/>
  <c r="AV95" i="4"/>
  <c r="B94" i="4"/>
  <c r="AB84" i="29" l="1"/>
  <c r="N83" i="29"/>
  <c r="V83" i="29" s="1"/>
  <c r="W83" i="29" s="1"/>
  <c r="AQ92" i="4"/>
  <c r="AE92" i="4"/>
  <c r="AD87" i="29"/>
  <c r="B86" i="29"/>
  <c r="AI86" i="29"/>
  <c r="P83" i="29"/>
  <c r="AE85" i="29"/>
  <c r="AA85" i="29" s="1"/>
  <c r="AF85" i="29"/>
  <c r="O84" i="29"/>
  <c r="I84" i="29"/>
  <c r="J84" i="29"/>
  <c r="Y84" i="29" s="1"/>
  <c r="Z83" i="29"/>
  <c r="E85" i="29"/>
  <c r="U85" i="29"/>
  <c r="R85" i="29"/>
  <c r="T85" i="29"/>
  <c r="S85" i="29"/>
  <c r="G85" i="29"/>
  <c r="Q85" i="29"/>
  <c r="AG91" i="4"/>
  <c r="AN91" i="4"/>
  <c r="AO91" i="4" s="1"/>
  <c r="AD91" i="4"/>
  <c r="AF93" i="4"/>
  <c r="L94" i="4"/>
  <c r="O94" i="4"/>
  <c r="N94" i="4"/>
  <c r="F94" i="4"/>
  <c r="J94" i="4"/>
  <c r="AK94" i="4"/>
  <c r="P94" i="4"/>
  <c r="AH94" i="4"/>
  <c r="K94" i="4"/>
  <c r="M94" i="4"/>
  <c r="AM94" i="4"/>
  <c r="AI94" i="4"/>
  <c r="AJ94" i="4"/>
  <c r="AL94" i="4"/>
  <c r="AV96" i="4"/>
  <c r="B95" i="4"/>
  <c r="AY95" i="4"/>
  <c r="Q93" i="4"/>
  <c r="Y93" i="4" s="1"/>
  <c r="W93" i="4"/>
  <c r="AB93" i="4" s="1"/>
  <c r="X93" i="4"/>
  <c r="AC93" i="4" s="1"/>
  <c r="R93" i="4"/>
  <c r="Z93" i="4" s="1"/>
  <c r="V93" i="4"/>
  <c r="AA93" i="4" s="1"/>
  <c r="U93" i="4"/>
  <c r="AP93" i="4" s="1"/>
  <c r="AX94" i="4"/>
  <c r="AW94" i="4"/>
  <c r="AD92" i="4"/>
  <c r="AB85" i="29" l="1"/>
  <c r="K84" i="29"/>
  <c r="N84" i="29" s="1"/>
  <c r="Z84" i="29"/>
  <c r="AQ93" i="4"/>
  <c r="AE93" i="4"/>
  <c r="I85" i="29"/>
  <c r="J85" i="29"/>
  <c r="Y85" i="29" s="1"/>
  <c r="E86" i="29"/>
  <c r="R86" i="29"/>
  <c r="S86" i="29"/>
  <c r="G86" i="29"/>
  <c r="Q86" i="29"/>
  <c r="U86" i="29"/>
  <c r="T86" i="29"/>
  <c r="AD88" i="29"/>
  <c r="B87" i="29"/>
  <c r="AI87" i="29"/>
  <c r="O85" i="29"/>
  <c r="AE86" i="29"/>
  <c r="AA86" i="29" s="1"/>
  <c r="AF86" i="29"/>
  <c r="AY96" i="4"/>
  <c r="B96" i="4"/>
  <c r="AV97" i="4"/>
  <c r="AF94" i="4"/>
  <c r="AX95" i="4"/>
  <c r="AW95" i="4"/>
  <c r="AG92" i="4"/>
  <c r="AN92" i="4"/>
  <c r="AO92" i="4" s="1"/>
  <c r="U94" i="4"/>
  <c r="AP94" i="4" s="1"/>
  <c r="W94" i="4"/>
  <c r="AB94" i="4" s="1"/>
  <c r="R94" i="4"/>
  <c r="Z94" i="4" s="1"/>
  <c r="V94" i="4"/>
  <c r="AA94" i="4" s="1"/>
  <c r="X94" i="4"/>
  <c r="AC94" i="4" s="1"/>
  <c r="Q94" i="4"/>
  <c r="Y94" i="4" s="1"/>
  <c r="J95" i="4"/>
  <c r="O95" i="4"/>
  <c r="AL95" i="4"/>
  <c r="AH95" i="4"/>
  <c r="AI95" i="4"/>
  <c r="P95" i="4"/>
  <c r="N95" i="4"/>
  <c r="AK95" i="4"/>
  <c r="K95" i="4"/>
  <c r="M95" i="4"/>
  <c r="F95" i="4"/>
  <c r="AM95" i="4"/>
  <c r="AJ95" i="4"/>
  <c r="L95" i="4"/>
  <c r="AD93" i="4"/>
  <c r="V84" i="29" l="1"/>
  <c r="W84" i="29" s="1"/>
  <c r="P84" i="29"/>
  <c r="K85" i="29"/>
  <c r="N85" i="29" s="1"/>
  <c r="AQ94" i="4"/>
  <c r="AB86" i="29"/>
  <c r="AE94" i="4"/>
  <c r="O86" i="29"/>
  <c r="AF87" i="29"/>
  <c r="AE87" i="29"/>
  <c r="AA87" i="29" s="1"/>
  <c r="Z85" i="29"/>
  <c r="E87" i="29"/>
  <c r="T87" i="29"/>
  <c r="U87" i="29"/>
  <c r="G87" i="29"/>
  <c r="R87" i="29"/>
  <c r="Q87" i="29"/>
  <c r="S87" i="29"/>
  <c r="J86" i="29"/>
  <c r="Y86" i="29" s="1"/>
  <c r="I86" i="29"/>
  <c r="AD89" i="29"/>
  <c r="B88" i="29"/>
  <c r="AI88" i="29"/>
  <c r="AW96" i="4"/>
  <c r="AX96" i="4"/>
  <c r="U95" i="4"/>
  <c r="AP95" i="4" s="1"/>
  <c r="Q95" i="4"/>
  <c r="Y95" i="4" s="1"/>
  <c r="R95" i="4"/>
  <c r="Z95" i="4" s="1"/>
  <c r="X95" i="4"/>
  <c r="AC95" i="4" s="1"/>
  <c r="W95" i="4"/>
  <c r="AB95" i="4" s="1"/>
  <c r="V95" i="4"/>
  <c r="AA95" i="4" s="1"/>
  <c r="AY97" i="4"/>
  <c r="B97" i="4"/>
  <c r="AV98" i="4"/>
  <c r="AF95" i="4"/>
  <c r="M96" i="4"/>
  <c r="AH96" i="4"/>
  <c r="L96" i="4"/>
  <c r="N96" i="4"/>
  <c r="AI96" i="4"/>
  <c r="AL96" i="4"/>
  <c r="O96" i="4"/>
  <c r="AJ96" i="4"/>
  <c r="F96" i="4"/>
  <c r="P96" i="4"/>
  <c r="AK96" i="4"/>
  <c r="AM96" i="4"/>
  <c r="K96" i="4"/>
  <c r="J96" i="4"/>
  <c r="P85" i="29" l="1"/>
  <c r="V85" i="29"/>
  <c r="W85" i="29" s="1"/>
  <c r="AB87" i="29"/>
  <c r="K86" i="29"/>
  <c r="N86" i="29" s="1"/>
  <c r="Z86" i="29"/>
  <c r="AQ95" i="4"/>
  <c r="AE95" i="4"/>
  <c r="J87" i="29"/>
  <c r="Y87" i="29" s="1"/>
  <c r="I87" i="29"/>
  <c r="AF88" i="29"/>
  <c r="AE88" i="29"/>
  <c r="AA88" i="29" s="1"/>
  <c r="E88" i="29"/>
  <c r="G88" i="29"/>
  <c r="U88" i="29"/>
  <c r="S88" i="29"/>
  <c r="T88" i="29"/>
  <c r="R88" i="29"/>
  <c r="Q88" i="29"/>
  <c r="AD90" i="29"/>
  <c r="B89" i="29"/>
  <c r="AI89" i="29"/>
  <c r="O87" i="29"/>
  <c r="AG94" i="4"/>
  <c r="AN94" i="4"/>
  <c r="AO94" i="4" s="1"/>
  <c r="AH97" i="4"/>
  <c r="L97" i="4"/>
  <c r="AK97" i="4"/>
  <c r="K97" i="4"/>
  <c r="AJ97" i="4"/>
  <c r="AI97" i="4"/>
  <c r="AL97" i="4"/>
  <c r="M97" i="4"/>
  <c r="F97" i="4"/>
  <c r="N97" i="4"/>
  <c r="O97" i="4"/>
  <c r="AM97" i="4"/>
  <c r="J97" i="4"/>
  <c r="P97" i="4"/>
  <c r="AF96" i="4"/>
  <c r="AX97" i="4"/>
  <c r="AW97" i="4"/>
  <c r="AD94" i="4"/>
  <c r="AN93" i="4"/>
  <c r="AO93" i="4" s="1"/>
  <c r="AG93" i="4"/>
  <c r="AY98" i="4"/>
  <c r="AV99" i="4"/>
  <c r="B98" i="4"/>
  <c r="X96" i="4"/>
  <c r="AC96" i="4" s="1"/>
  <c r="V96" i="4"/>
  <c r="AA96" i="4" s="1"/>
  <c r="U96" i="4"/>
  <c r="AP96" i="4" s="1"/>
  <c r="W96" i="4"/>
  <c r="AB96" i="4" s="1"/>
  <c r="R96" i="4"/>
  <c r="Z96" i="4" s="1"/>
  <c r="Q96" i="4"/>
  <c r="Y96" i="4" s="1"/>
  <c r="V86" i="29" l="1"/>
  <c r="W86" i="29" s="1"/>
  <c r="P86" i="29"/>
  <c r="AB88" i="29"/>
  <c r="K87" i="29"/>
  <c r="N87" i="29" s="1"/>
  <c r="AQ96" i="4"/>
  <c r="AE96" i="4"/>
  <c r="E89" i="29"/>
  <c r="T89" i="29"/>
  <c r="S89" i="29"/>
  <c r="U89" i="29"/>
  <c r="G89" i="29"/>
  <c r="Q89" i="29"/>
  <c r="R89" i="29"/>
  <c r="AD91" i="29"/>
  <c r="B90" i="29"/>
  <c r="AI90" i="29"/>
  <c r="Z87" i="29"/>
  <c r="O88" i="29"/>
  <c r="I88" i="29"/>
  <c r="J88" i="29"/>
  <c r="Y88" i="29" s="1"/>
  <c r="AE89" i="29"/>
  <c r="AA89" i="29" s="1"/>
  <c r="AF89" i="29"/>
  <c r="AD95" i="4"/>
  <c r="AN95" i="4"/>
  <c r="AO95" i="4" s="1"/>
  <c r="AG95" i="4"/>
  <c r="M98" i="4"/>
  <c r="AL98" i="4"/>
  <c r="N98" i="4"/>
  <c r="AJ98" i="4"/>
  <c r="F98" i="4"/>
  <c r="K98" i="4"/>
  <c r="AH98" i="4"/>
  <c r="AK98" i="4"/>
  <c r="AM98" i="4"/>
  <c r="P98" i="4"/>
  <c r="AI98" i="4"/>
  <c r="O98" i="4"/>
  <c r="J98" i="4"/>
  <c r="L98" i="4"/>
  <c r="B99" i="4"/>
  <c r="AV100" i="4"/>
  <c r="AY99" i="4"/>
  <c r="AW98" i="4"/>
  <c r="AX98" i="4"/>
  <c r="R97" i="4"/>
  <c r="Z97" i="4" s="1"/>
  <c r="W97" i="4"/>
  <c r="AB97" i="4" s="1"/>
  <c r="Q97" i="4"/>
  <c r="Y97" i="4" s="1"/>
  <c r="U97" i="4"/>
  <c r="AP97" i="4" s="1"/>
  <c r="V97" i="4"/>
  <c r="AA97" i="4" s="1"/>
  <c r="X97" i="4"/>
  <c r="AC97" i="4" s="1"/>
  <c r="AF97" i="4"/>
  <c r="P87" i="29" l="1"/>
  <c r="V87" i="29"/>
  <c r="W87" i="29" s="1"/>
  <c r="K88" i="29"/>
  <c r="N88" i="29" s="1"/>
  <c r="AQ97" i="4"/>
  <c r="AB89" i="29"/>
  <c r="AE97" i="4"/>
  <c r="Z88" i="29"/>
  <c r="AE90" i="29"/>
  <c r="AA90" i="29" s="1"/>
  <c r="AF90" i="29"/>
  <c r="J89" i="29"/>
  <c r="Y89" i="29" s="1"/>
  <c r="I89" i="29"/>
  <c r="K89" i="29" s="1"/>
  <c r="E90" i="29"/>
  <c r="S90" i="29"/>
  <c r="G90" i="29"/>
  <c r="R90" i="29"/>
  <c r="U90" i="29"/>
  <c r="Q90" i="29"/>
  <c r="T90" i="29"/>
  <c r="AG96" i="4"/>
  <c r="AD92" i="29"/>
  <c r="B91" i="29"/>
  <c r="AI91" i="29"/>
  <c r="O89" i="29"/>
  <c r="U98" i="4"/>
  <c r="Q98" i="4"/>
  <c r="Y98" i="4" s="1"/>
  <c r="X98" i="4"/>
  <c r="AC98" i="4" s="1"/>
  <c r="W98" i="4"/>
  <c r="AB98" i="4" s="1"/>
  <c r="V98" i="4"/>
  <c r="AA98" i="4" s="1"/>
  <c r="R98" i="4"/>
  <c r="Z98" i="4" s="1"/>
  <c r="AW99" i="4"/>
  <c r="AX99" i="4"/>
  <c r="AD96" i="4"/>
  <c r="B100" i="4"/>
  <c r="AY100" i="4"/>
  <c r="AV101" i="4"/>
  <c r="AP98" i="4"/>
  <c r="AF98" i="4"/>
  <c r="AD97" i="4"/>
  <c r="AL99" i="4"/>
  <c r="AJ99" i="4"/>
  <c r="AK99" i="4"/>
  <c r="O99" i="4"/>
  <c r="M99" i="4"/>
  <c r="N99" i="4"/>
  <c r="F99" i="4"/>
  <c r="AI99" i="4"/>
  <c r="J99" i="4"/>
  <c r="AH99" i="4"/>
  <c r="K99" i="4"/>
  <c r="P99" i="4"/>
  <c r="L99" i="4"/>
  <c r="AM99" i="4"/>
  <c r="V88" i="29" l="1"/>
  <c r="W88" i="29" s="1"/>
  <c r="P88" i="29"/>
  <c r="AB90" i="29"/>
  <c r="N89" i="29"/>
  <c r="P89" i="29" s="1"/>
  <c r="AQ98" i="4"/>
  <c r="AE98" i="4"/>
  <c r="L3" i="7"/>
  <c r="AN96" i="4"/>
  <c r="AO96" i="4" s="1"/>
  <c r="V89" i="29"/>
  <c r="W89" i="29" s="1"/>
  <c r="AE91" i="29"/>
  <c r="AA91" i="29" s="1"/>
  <c r="AF91" i="29"/>
  <c r="Z89" i="29"/>
  <c r="E91" i="29"/>
  <c r="G91" i="29"/>
  <c r="U91" i="29"/>
  <c r="S91" i="29"/>
  <c r="Q91" i="29"/>
  <c r="T91" i="29"/>
  <c r="R91" i="29"/>
  <c r="I90" i="29"/>
  <c r="K90" i="29" s="1"/>
  <c r="J90" i="29"/>
  <c r="Y90" i="29" s="1"/>
  <c r="AD93" i="29"/>
  <c r="B92" i="29"/>
  <c r="AI92" i="29"/>
  <c r="O90" i="29"/>
  <c r="AD98" i="4"/>
  <c r="AV102" i="4"/>
  <c r="AY101" i="4"/>
  <c r="B101" i="4"/>
  <c r="AF99" i="4"/>
  <c r="AN97" i="4"/>
  <c r="AO97" i="4" s="1"/>
  <c r="AG97" i="4"/>
  <c r="AW100" i="4"/>
  <c r="AX100" i="4"/>
  <c r="F100" i="4"/>
  <c r="AK100" i="4"/>
  <c r="AL100" i="4"/>
  <c r="K100" i="4"/>
  <c r="AM100" i="4"/>
  <c r="AI100" i="4"/>
  <c r="L100" i="4"/>
  <c r="N100" i="4"/>
  <c r="J100" i="4"/>
  <c r="AH100" i="4"/>
  <c r="M100" i="4"/>
  <c r="O100" i="4"/>
  <c r="P100" i="4"/>
  <c r="AJ100" i="4"/>
  <c r="W99" i="4"/>
  <c r="AB99" i="4" s="1"/>
  <c r="V99" i="4"/>
  <c r="AA99" i="4" s="1"/>
  <c r="X99" i="4"/>
  <c r="AC99" i="4" s="1"/>
  <c r="R99" i="4"/>
  <c r="Z99" i="4" s="1"/>
  <c r="Q99" i="4"/>
  <c r="Y99" i="4" s="1"/>
  <c r="U99" i="4"/>
  <c r="AP99" i="4" s="1"/>
  <c r="AB91" i="29" l="1"/>
  <c r="N90" i="29"/>
  <c r="AQ99" i="4"/>
  <c r="L6" i="7"/>
  <c r="L8" i="7" s="1"/>
  <c r="AE99" i="4"/>
  <c r="Z90" i="29"/>
  <c r="AF92" i="29"/>
  <c r="AE92" i="29"/>
  <c r="AA92" i="29" s="1"/>
  <c r="AN98" i="4"/>
  <c r="AO98" i="4" s="1"/>
  <c r="E92" i="29"/>
  <c r="T92" i="29"/>
  <c r="R92" i="29"/>
  <c r="Q92" i="29"/>
  <c r="G92" i="29"/>
  <c r="U92" i="29"/>
  <c r="S92" i="29"/>
  <c r="V90" i="29"/>
  <c r="W90" i="29" s="1"/>
  <c r="P90" i="29"/>
  <c r="J91" i="29"/>
  <c r="Y91" i="29" s="1"/>
  <c r="I91" i="29"/>
  <c r="AD94" i="29"/>
  <c r="B93" i="29"/>
  <c r="AI93" i="29"/>
  <c r="O91" i="29"/>
  <c r="AF100" i="4"/>
  <c r="V100" i="4"/>
  <c r="AA100" i="4" s="1"/>
  <c r="U100" i="4"/>
  <c r="W100" i="4"/>
  <c r="AB100" i="4" s="1"/>
  <c r="Q100" i="4"/>
  <c r="Y100" i="4" s="1"/>
  <c r="X100" i="4"/>
  <c r="AC100" i="4" s="1"/>
  <c r="R100" i="4"/>
  <c r="Z100" i="4" s="1"/>
  <c r="AM101" i="4"/>
  <c r="AH101" i="4"/>
  <c r="AK101" i="4"/>
  <c r="AL101" i="4"/>
  <c r="AI101" i="4"/>
  <c r="J101" i="4"/>
  <c r="O101" i="4"/>
  <c r="K101" i="4"/>
  <c r="M101" i="4"/>
  <c r="L101" i="4"/>
  <c r="P101" i="4"/>
  <c r="F101" i="4"/>
  <c r="N101" i="4"/>
  <c r="AJ101" i="4"/>
  <c r="AX101" i="4"/>
  <c r="AW101" i="4"/>
  <c r="AP100" i="4"/>
  <c r="AV103" i="4"/>
  <c r="B102" i="4"/>
  <c r="AY102" i="4"/>
  <c r="AB92" i="29" l="1"/>
  <c r="K91" i="29"/>
  <c r="N91" i="29" s="1"/>
  <c r="K29" i="7"/>
  <c r="I44" i="7"/>
  <c r="J44" i="7" s="1"/>
  <c r="K42" i="7"/>
  <c r="I83" i="7"/>
  <c r="J83" i="7" s="1"/>
  <c r="I60" i="7"/>
  <c r="J60" i="7" s="1"/>
  <c r="K69" i="7"/>
  <c r="K23" i="7"/>
  <c r="K48" i="7"/>
  <c r="I14" i="7"/>
  <c r="J14" i="7" s="1"/>
  <c r="I62" i="7"/>
  <c r="J62" i="7" s="1"/>
  <c r="K81" i="7"/>
  <c r="K35" i="7"/>
  <c r="K20" i="7"/>
  <c r="I42" i="7"/>
  <c r="J42" i="7" s="1"/>
  <c r="I56" i="7"/>
  <c r="J56" i="7" s="1"/>
  <c r="I23" i="7"/>
  <c r="J23" i="7" s="1"/>
  <c r="K73" i="7"/>
  <c r="K64" i="7"/>
  <c r="I58" i="7"/>
  <c r="J58" i="7" s="1"/>
  <c r="I40" i="7"/>
  <c r="J40" i="7" s="1"/>
  <c r="K21" i="7"/>
  <c r="K54" i="7"/>
  <c r="K8" i="7"/>
  <c r="I29" i="7"/>
  <c r="J29" i="7" s="1"/>
  <c r="I39" i="7"/>
  <c r="J39" i="7" s="1"/>
  <c r="K33" i="7"/>
  <c r="K66" i="7"/>
  <c r="K56" i="7"/>
  <c r="I72" i="7"/>
  <c r="J72" i="7" s="1"/>
  <c r="I75" i="7"/>
  <c r="J75" i="7" s="1"/>
  <c r="I68" i="7"/>
  <c r="J68" i="7" s="1"/>
  <c r="K27" i="7"/>
  <c r="K76" i="7"/>
  <c r="I20" i="7"/>
  <c r="J20" i="7" s="1"/>
  <c r="I31" i="7"/>
  <c r="J31" i="7" s="1"/>
  <c r="K5" i="7"/>
  <c r="K38" i="7"/>
  <c r="I13" i="7"/>
  <c r="J13" i="7" s="1"/>
  <c r="I35" i="7"/>
  <c r="J35" i="7" s="1"/>
  <c r="I36" i="7"/>
  <c r="J36" i="7" s="1"/>
  <c r="K17" i="7"/>
  <c r="K50" i="7"/>
  <c r="I30" i="7"/>
  <c r="J30" i="7" s="1"/>
  <c r="I84" i="7"/>
  <c r="J84" i="7" s="1"/>
  <c r="I10" i="7"/>
  <c r="J10" i="7" s="1"/>
  <c r="I41" i="7"/>
  <c r="J41" i="7" s="1"/>
  <c r="K11" i="7"/>
  <c r="I67" i="7"/>
  <c r="J67" i="7" s="1"/>
  <c r="I50" i="7"/>
  <c r="J50" i="7" s="1"/>
  <c r="I85" i="7"/>
  <c r="J85" i="7" s="1"/>
  <c r="K39" i="7"/>
  <c r="K36" i="7"/>
  <c r="I61" i="7"/>
  <c r="J61" i="7" s="1"/>
  <c r="I48" i="7"/>
  <c r="J48" i="7" s="1"/>
  <c r="I53" i="7"/>
  <c r="J53" i="7" s="1"/>
  <c r="K51" i="7"/>
  <c r="K84" i="7"/>
  <c r="I43" i="7"/>
  <c r="J43" i="7" s="1"/>
  <c r="I66" i="7"/>
  <c r="J66" i="7" s="1"/>
  <c r="I17" i="7"/>
  <c r="J17" i="7" s="1"/>
  <c r="K14" i="7"/>
  <c r="I9" i="7"/>
  <c r="J9" i="7" s="1"/>
  <c r="I25" i="7"/>
  <c r="J25" i="7" s="1"/>
  <c r="K26" i="7"/>
  <c r="K9" i="7"/>
  <c r="I34" i="7"/>
  <c r="J34" i="7" s="1"/>
  <c r="AQ100" i="4"/>
  <c r="K63" i="7"/>
  <c r="K57" i="7"/>
  <c r="I19" i="7"/>
  <c r="J19" i="7" s="1"/>
  <c r="I76" i="7"/>
  <c r="J76" i="7" s="1"/>
  <c r="K28" i="7"/>
  <c r="K45" i="7"/>
  <c r="K75" i="7"/>
  <c r="I51" i="7"/>
  <c r="J51" i="7" s="1"/>
  <c r="I71" i="7"/>
  <c r="J71" i="7" s="1"/>
  <c r="I80" i="7"/>
  <c r="J80" i="7" s="1"/>
  <c r="K78" i="7"/>
  <c r="I11" i="7"/>
  <c r="J11" i="7" s="1"/>
  <c r="I77" i="7"/>
  <c r="J77" i="7" s="1"/>
  <c r="I78" i="7"/>
  <c r="J78" i="7" s="1"/>
  <c r="I26" i="7"/>
  <c r="J26" i="7" s="1"/>
  <c r="I74" i="7"/>
  <c r="J74" i="7" s="1"/>
  <c r="K44" i="7"/>
  <c r="K18" i="7"/>
  <c r="K82" i="7"/>
  <c r="K67" i="7"/>
  <c r="K49" i="7"/>
  <c r="I37" i="7"/>
  <c r="J37" i="7" s="1"/>
  <c r="I65" i="7"/>
  <c r="J65" i="7" s="1"/>
  <c r="I38" i="7"/>
  <c r="J38" i="7" s="1"/>
  <c r="I64" i="7"/>
  <c r="J64" i="7" s="1"/>
  <c r="I12" i="7"/>
  <c r="J12" i="7" s="1"/>
  <c r="K72" i="7"/>
  <c r="K6" i="7"/>
  <c r="K70" i="7"/>
  <c r="K55" i="7"/>
  <c r="K37" i="7"/>
  <c r="I73" i="7"/>
  <c r="J73" i="7" s="1"/>
  <c r="I49" i="7"/>
  <c r="J49" i="7" s="1"/>
  <c r="I18" i="7"/>
  <c r="J18" i="7" s="1"/>
  <c r="I27" i="7"/>
  <c r="J27" i="7" s="1"/>
  <c r="I52" i="7"/>
  <c r="J52" i="7" s="1"/>
  <c r="K24" i="7"/>
  <c r="K52" i="7"/>
  <c r="K58" i="7"/>
  <c r="K43" i="7"/>
  <c r="K25" i="7"/>
  <c r="K85" i="7"/>
  <c r="I8" i="7"/>
  <c r="J8" i="7" s="1"/>
  <c r="I28" i="7"/>
  <c r="J28" i="7" s="1"/>
  <c r="I22" i="7"/>
  <c r="J22" i="7" s="1"/>
  <c r="I81" i="7"/>
  <c r="J81" i="7" s="1"/>
  <c r="I21" i="7"/>
  <c r="J21" i="7" s="1"/>
  <c r="K80" i="7"/>
  <c r="K46" i="7"/>
  <c r="K31" i="7"/>
  <c r="K13" i="7"/>
  <c r="K77" i="7"/>
  <c r="K16" i="7"/>
  <c r="K30" i="7"/>
  <c r="K15" i="7"/>
  <c r="K79" i="7"/>
  <c r="K61" i="7"/>
  <c r="I5" i="7"/>
  <c r="J5" i="7" s="1"/>
  <c r="I57" i="7"/>
  <c r="J57" i="7" s="1"/>
  <c r="I45" i="7"/>
  <c r="J45" i="7" s="1"/>
  <c r="I82" i="7"/>
  <c r="J82" i="7" s="1"/>
  <c r="I79" i="7"/>
  <c r="J79" i="7" s="1"/>
  <c r="K32" i="7"/>
  <c r="K34" i="7"/>
  <c r="K19" i="7"/>
  <c r="K83" i="7"/>
  <c r="K65" i="7"/>
  <c r="I69" i="7"/>
  <c r="J69" i="7" s="1"/>
  <c r="I7" i="7"/>
  <c r="J7" i="7" s="1"/>
  <c r="I15" i="7"/>
  <c r="J15" i="7" s="1"/>
  <c r="I63" i="7"/>
  <c r="J63" i="7" s="1"/>
  <c r="I47" i="7"/>
  <c r="J47" i="7" s="1"/>
  <c r="K60" i="7"/>
  <c r="K22" i="7"/>
  <c r="K7" i="7"/>
  <c r="K71" i="7"/>
  <c r="K53" i="7"/>
  <c r="I24" i="7"/>
  <c r="J24" i="7" s="1"/>
  <c r="I55" i="7"/>
  <c r="J55" i="7" s="1"/>
  <c r="I54" i="7"/>
  <c r="J54" i="7" s="1"/>
  <c r="I46" i="7"/>
  <c r="J46" i="7" s="1"/>
  <c r="I6" i="7"/>
  <c r="J6" i="7" s="1"/>
  <c r="K12" i="7"/>
  <c r="K10" i="7"/>
  <c r="K74" i="7"/>
  <c r="K59" i="7"/>
  <c r="K41" i="7"/>
  <c r="I33" i="7"/>
  <c r="J33" i="7" s="1"/>
  <c r="I70" i="7"/>
  <c r="J70" i="7" s="1"/>
  <c r="I32" i="7"/>
  <c r="J32" i="7" s="1"/>
  <c r="I16" i="7"/>
  <c r="J16" i="7" s="1"/>
  <c r="I59" i="7"/>
  <c r="J59" i="7" s="1"/>
  <c r="K40" i="7"/>
  <c r="K68" i="7"/>
  <c r="K62" i="7"/>
  <c r="K47" i="7"/>
  <c r="AE100" i="4"/>
  <c r="AG98" i="4"/>
  <c r="Z91" i="29"/>
  <c r="J92" i="29"/>
  <c r="Y92" i="29" s="1"/>
  <c r="I92" i="29"/>
  <c r="AE93" i="29"/>
  <c r="AA93" i="29" s="1"/>
  <c r="AF93" i="29"/>
  <c r="O92" i="29"/>
  <c r="E93" i="29"/>
  <c r="T93" i="29"/>
  <c r="R93" i="29"/>
  <c r="S93" i="29"/>
  <c r="Q93" i="29"/>
  <c r="G93" i="29"/>
  <c r="U93" i="29"/>
  <c r="AD95" i="29"/>
  <c r="B94" i="29"/>
  <c r="AI94" i="29"/>
  <c r="AG99" i="4"/>
  <c r="AN99" i="4"/>
  <c r="AO99" i="4" s="1"/>
  <c r="AX102" i="4"/>
  <c r="AW102" i="4"/>
  <c r="AD99" i="4"/>
  <c r="V101" i="4"/>
  <c r="AA101" i="4" s="1"/>
  <c r="W101" i="4"/>
  <c r="AB101" i="4" s="1"/>
  <c r="X101" i="4"/>
  <c r="AC101" i="4" s="1"/>
  <c r="R101" i="4"/>
  <c r="Z101" i="4" s="1"/>
  <c r="Q101" i="4"/>
  <c r="Y101" i="4" s="1"/>
  <c r="U101" i="4"/>
  <c r="AF101" i="4"/>
  <c r="AJ102" i="4"/>
  <c r="AM102" i="4"/>
  <c r="AK102" i="4"/>
  <c r="J102" i="4"/>
  <c r="AI102" i="4"/>
  <c r="M102" i="4"/>
  <c r="L102" i="4"/>
  <c r="N102" i="4"/>
  <c r="K102" i="4"/>
  <c r="O102" i="4"/>
  <c r="F102" i="4"/>
  <c r="AH102" i="4"/>
  <c r="P102" i="4"/>
  <c r="AL102" i="4"/>
  <c r="AY103" i="4"/>
  <c r="B103" i="4"/>
  <c r="AV104" i="4"/>
  <c r="AP101" i="4"/>
  <c r="V91" i="29" l="1"/>
  <c r="W91" i="29" s="1"/>
  <c r="P91" i="29"/>
  <c r="AB93" i="29"/>
  <c r="K92" i="29"/>
  <c r="N92" i="29" s="1"/>
  <c r="O93" i="29"/>
  <c r="AQ101" i="4"/>
  <c r="J86" i="7"/>
  <c r="AE101" i="4"/>
  <c r="AD96" i="29"/>
  <c r="B95" i="29"/>
  <c r="AI95" i="29"/>
  <c r="Z92" i="29"/>
  <c r="AF94" i="29"/>
  <c r="AE94" i="29"/>
  <c r="AA94" i="29" s="1"/>
  <c r="E94" i="29"/>
  <c r="T94" i="29"/>
  <c r="G94" i="29"/>
  <c r="Q94" i="29"/>
  <c r="R94" i="29"/>
  <c r="S94" i="29"/>
  <c r="U94" i="29"/>
  <c r="I93" i="29"/>
  <c r="K93" i="29" s="1"/>
  <c r="J93" i="29"/>
  <c r="Y93" i="29" s="1"/>
  <c r="Z93" i="29" s="1"/>
  <c r="AD100" i="4"/>
  <c r="AV105" i="4"/>
  <c r="B104" i="4"/>
  <c r="AY104" i="4"/>
  <c r="W102" i="4"/>
  <c r="AB102" i="4" s="1"/>
  <c r="X102" i="4"/>
  <c r="AC102" i="4" s="1"/>
  <c r="V102" i="4"/>
  <c r="AA102" i="4" s="1"/>
  <c r="U102" i="4"/>
  <c r="AP102" i="4" s="1"/>
  <c r="R102" i="4"/>
  <c r="Z102" i="4" s="1"/>
  <c r="AQ102" i="4" s="1"/>
  <c r="Q102" i="4"/>
  <c r="Y102" i="4" s="1"/>
  <c r="AF102" i="4"/>
  <c r="L103" i="4"/>
  <c r="M103" i="4"/>
  <c r="AH103" i="4"/>
  <c r="O103" i="4"/>
  <c r="AL103" i="4"/>
  <c r="F103" i="4"/>
  <c r="AK103" i="4"/>
  <c r="P103" i="4"/>
  <c r="N103" i="4"/>
  <c r="AM103" i="4"/>
  <c r="AJ103" i="4"/>
  <c r="J103" i="4"/>
  <c r="AI103" i="4"/>
  <c r="K103" i="4"/>
  <c r="AD101" i="4"/>
  <c r="AG100" i="4"/>
  <c r="AN100" i="4"/>
  <c r="AO100" i="4" s="1"/>
  <c r="AX103" i="4"/>
  <c r="AW103" i="4"/>
  <c r="V92" i="29" l="1"/>
  <c r="W92" i="29" s="1"/>
  <c r="P92" i="29"/>
  <c r="AB94" i="29"/>
  <c r="N93" i="29"/>
  <c r="AE102" i="4"/>
  <c r="O94" i="29"/>
  <c r="V93" i="29"/>
  <c r="W93" i="29" s="1"/>
  <c r="P93" i="29"/>
  <c r="AE95" i="29"/>
  <c r="AA95" i="29" s="1"/>
  <c r="AF95" i="29"/>
  <c r="L176" i="7"/>
  <c r="J94" i="29"/>
  <c r="Y94" i="29" s="1"/>
  <c r="I94" i="29"/>
  <c r="K94" i="29" s="1"/>
  <c r="E95" i="29"/>
  <c r="T95" i="29"/>
  <c r="S95" i="29"/>
  <c r="Q95" i="29"/>
  <c r="U95" i="29"/>
  <c r="R95" i="29"/>
  <c r="G95" i="29"/>
  <c r="AD97" i="29"/>
  <c r="B96" i="29"/>
  <c r="AI96" i="29"/>
  <c r="AF103" i="4"/>
  <c r="AD102" i="4"/>
  <c r="AW104" i="4"/>
  <c r="AX104" i="4"/>
  <c r="O104" i="4"/>
  <c r="K104" i="4"/>
  <c r="AM104" i="4"/>
  <c r="N104" i="4"/>
  <c r="F104" i="4"/>
  <c r="AI104" i="4"/>
  <c r="AJ104" i="4"/>
  <c r="AH104" i="4"/>
  <c r="L104" i="4"/>
  <c r="AK104" i="4"/>
  <c r="P104" i="4"/>
  <c r="M104" i="4"/>
  <c r="J104" i="4"/>
  <c r="AL104" i="4"/>
  <c r="AN101" i="4"/>
  <c r="AO101" i="4" s="1"/>
  <c r="AG101" i="4"/>
  <c r="W103" i="4"/>
  <c r="AB103" i="4" s="1"/>
  <c r="V103" i="4"/>
  <c r="AA103" i="4" s="1"/>
  <c r="Q103" i="4"/>
  <c r="Y103" i="4" s="1"/>
  <c r="X103" i="4"/>
  <c r="AC103" i="4" s="1"/>
  <c r="U103" i="4"/>
  <c r="AP103" i="4" s="1"/>
  <c r="R103" i="4"/>
  <c r="Z103" i="4" s="1"/>
  <c r="B105" i="4"/>
  <c r="AV106" i="4"/>
  <c r="AY105" i="4"/>
  <c r="AV109" i="4"/>
  <c r="AB95" i="29" l="1"/>
  <c r="N94" i="29"/>
  <c r="AQ103" i="4"/>
  <c r="Z94" i="29"/>
  <c r="AE103" i="4"/>
  <c r="L177" i="7" s="1"/>
  <c r="AD98" i="29"/>
  <c r="B97" i="29"/>
  <c r="AI97" i="29"/>
  <c r="P94" i="29"/>
  <c r="V94" i="29"/>
  <c r="W94" i="29" s="1"/>
  <c r="J95" i="29"/>
  <c r="Y95" i="29" s="1"/>
  <c r="I95" i="29"/>
  <c r="K95" i="29" s="1"/>
  <c r="AE96" i="29"/>
  <c r="AA96" i="29" s="1"/>
  <c r="AF96" i="29"/>
  <c r="E96" i="29"/>
  <c r="R96" i="29"/>
  <c r="S96" i="29"/>
  <c r="Q96" i="29"/>
  <c r="G96" i="29"/>
  <c r="T96" i="29"/>
  <c r="U96" i="29"/>
  <c r="O95" i="29"/>
  <c r="AN102" i="4"/>
  <c r="AO102" i="4" s="1"/>
  <c r="AF104" i="4"/>
  <c r="B109" i="4"/>
  <c r="AY109" i="4"/>
  <c r="R104" i="4"/>
  <c r="Z104" i="4" s="1"/>
  <c r="U104" i="4"/>
  <c r="AP104" i="4" s="1"/>
  <c r="Q104" i="4"/>
  <c r="Y104" i="4" s="1"/>
  <c r="V104" i="4"/>
  <c r="AA104" i="4" s="1"/>
  <c r="X104" i="4"/>
  <c r="AC104" i="4" s="1"/>
  <c r="W104" i="4"/>
  <c r="AB104" i="4" s="1"/>
  <c r="AG102" i="4"/>
  <c r="AX105" i="4"/>
  <c r="AW105" i="4"/>
  <c r="AV107" i="4"/>
  <c r="AY106" i="4"/>
  <c r="B106" i="4"/>
  <c r="AV110" i="4"/>
  <c r="AJ105" i="4"/>
  <c r="AL105" i="4"/>
  <c r="F105" i="4"/>
  <c r="AI105" i="4"/>
  <c r="AK105" i="4"/>
  <c r="P105" i="4"/>
  <c r="AH105" i="4"/>
  <c r="K105" i="4"/>
  <c r="N105" i="4"/>
  <c r="J105" i="4"/>
  <c r="O105" i="4"/>
  <c r="M105" i="4"/>
  <c r="AM105" i="4"/>
  <c r="L105" i="4"/>
  <c r="AB96" i="29" l="1"/>
  <c r="N95" i="29"/>
  <c r="AQ104" i="4"/>
  <c r="AE104" i="4"/>
  <c r="O96" i="29"/>
  <c r="E97" i="29"/>
  <c r="Q97" i="29"/>
  <c r="G97" i="29"/>
  <c r="S97" i="29"/>
  <c r="U97" i="29"/>
  <c r="T97" i="29"/>
  <c r="R97" i="29"/>
  <c r="P95" i="29"/>
  <c r="V95" i="29"/>
  <c r="W95" i="29" s="1"/>
  <c r="AD99" i="29"/>
  <c r="B98" i="29"/>
  <c r="AI98" i="29"/>
  <c r="J96" i="29"/>
  <c r="Y96" i="29" s="1"/>
  <c r="I96" i="29"/>
  <c r="Z95" i="29"/>
  <c r="AF97" i="29"/>
  <c r="AE97" i="29"/>
  <c r="AA97" i="29" s="1"/>
  <c r="AN103" i="4"/>
  <c r="AO103" i="4" s="1"/>
  <c r="AG103" i="4"/>
  <c r="AY110" i="4"/>
  <c r="B110" i="4"/>
  <c r="AH106" i="4"/>
  <c r="AM106" i="4"/>
  <c r="N106" i="4"/>
  <c r="O106" i="4"/>
  <c r="F106" i="4"/>
  <c r="AJ106" i="4"/>
  <c r="K106" i="4"/>
  <c r="L106" i="4"/>
  <c r="AL106" i="4"/>
  <c r="AK106" i="4"/>
  <c r="AI106" i="4"/>
  <c r="M106" i="4"/>
  <c r="P106" i="4"/>
  <c r="J106" i="4"/>
  <c r="AX106" i="4"/>
  <c r="AW106" i="4"/>
  <c r="AW109" i="4"/>
  <c r="AX109" i="4"/>
  <c r="AF105" i="4"/>
  <c r="AV111" i="4"/>
  <c r="AY107" i="4"/>
  <c r="B107" i="4"/>
  <c r="AV108" i="4"/>
  <c r="Q105" i="4"/>
  <c r="Y105" i="4" s="1"/>
  <c r="W105" i="4"/>
  <c r="AB105" i="4" s="1"/>
  <c r="R105" i="4"/>
  <c r="Z105" i="4" s="1"/>
  <c r="V105" i="4"/>
  <c r="AA105" i="4" s="1"/>
  <c r="U105" i="4"/>
  <c r="AP105" i="4" s="1"/>
  <c r="X105" i="4"/>
  <c r="AC105" i="4" s="1"/>
  <c r="AD104" i="4"/>
  <c r="AJ109" i="4"/>
  <c r="N109" i="4"/>
  <c r="AH109" i="4"/>
  <c r="J109" i="4"/>
  <c r="L109" i="4"/>
  <c r="O109" i="4"/>
  <c r="AI109" i="4"/>
  <c r="AL109" i="4"/>
  <c r="P109" i="4"/>
  <c r="AM109" i="4"/>
  <c r="K109" i="4"/>
  <c r="F109" i="4"/>
  <c r="M109" i="4"/>
  <c r="AK109" i="4"/>
  <c r="AD103" i="4"/>
  <c r="AJ107" i="4" l="1"/>
  <c r="O107" i="4"/>
  <c r="K107" i="4"/>
  <c r="AM107" i="4"/>
  <c r="AI107" i="4"/>
  <c r="N107" i="4"/>
  <c r="J107" i="4"/>
  <c r="P107" i="4"/>
  <c r="L107" i="4"/>
  <c r="F107" i="4"/>
  <c r="AL107" i="4"/>
  <c r="M107" i="4"/>
  <c r="AK107" i="4"/>
  <c r="AH107" i="4"/>
  <c r="Z96" i="29"/>
  <c r="K96" i="29"/>
  <c r="N96" i="29" s="1"/>
  <c r="AQ105" i="4"/>
  <c r="AB97" i="29"/>
  <c r="AE105" i="4"/>
  <c r="I97" i="29"/>
  <c r="J97" i="29"/>
  <c r="Y97" i="29" s="1"/>
  <c r="AD100" i="29"/>
  <c r="B99" i="29"/>
  <c r="AI99" i="29"/>
  <c r="AF98" i="29"/>
  <c r="AE98" i="29"/>
  <c r="AA98" i="29" s="1"/>
  <c r="E98" i="29"/>
  <c r="U98" i="29"/>
  <c r="S98" i="29"/>
  <c r="R98" i="29"/>
  <c r="G98" i="29"/>
  <c r="T98" i="29"/>
  <c r="Q98" i="29"/>
  <c r="O97" i="29"/>
  <c r="AG104" i="4"/>
  <c r="AX107" i="4"/>
  <c r="AW107" i="4"/>
  <c r="AX110" i="4"/>
  <c r="AW110" i="4"/>
  <c r="AF109" i="4"/>
  <c r="AY111" i="4"/>
  <c r="B111" i="4"/>
  <c r="U109" i="4"/>
  <c r="AP109" i="4" s="1"/>
  <c r="R109" i="4"/>
  <c r="Z109" i="4" s="1"/>
  <c r="X109" i="4"/>
  <c r="AC109" i="4" s="1"/>
  <c r="W109" i="4"/>
  <c r="AB109" i="4" s="1"/>
  <c r="V109" i="4"/>
  <c r="AA109" i="4" s="1"/>
  <c r="Q109" i="4"/>
  <c r="Y109" i="4" s="1"/>
  <c r="Q106" i="4"/>
  <c r="Y106" i="4" s="1"/>
  <c r="W106" i="4"/>
  <c r="AB106" i="4" s="1"/>
  <c r="U106" i="4"/>
  <c r="AP106" i="4" s="1"/>
  <c r="V106" i="4"/>
  <c r="AA106" i="4" s="1"/>
  <c r="X106" i="4"/>
  <c r="AC106" i="4" s="1"/>
  <c r="R106" i="4"/>
  <c r="Z106" i="4" s="1"/>
  <c r="AF106" i="4"/>
  <c r="AY108" i="4"/>
  <c r="B108" i="4"/>
  <c r="AV112" i="4"/>
  <c r="N110" i="4"/>
  <c r="AK110" i="4"/>
  <c r="J110" i="4"/>
  <c r="K110" i="4"/>
  <c r="P110" i="4"/>
  <c r="AH110" i="4"/>
  <c r="AL110" i="4"/>
  <c r="O110" i="4"/>
  <c r="AJ110" i="4"/>
  <c r="L110" i="4"/>
  <c r="F110" i="4"/>
  <c r="M110" i="4"/>
  <c r="AI110" i="4"/>
  <c r="AM110" i="4"/>
  <c r="AL108" i="4" l="1"/>
  <c r="AH108" i="4"/>
  <c r="M108" i="4"/>
  <c r="F108" i="4"/>
  <c r="AK108" i="4"/>
  <c r="P108" i="4"/>
  <c r="L108" i="4"/>
  <c r="AI108" i="4"/>
  <c r="J108" i="4"/>
  <c r="N108" i="4"/>
  <c r="K108" i="4"/>
  <c r="O108" i="4"/>
  <c r="AM108" i="4"/>
  <c r="AJ108" i="4"/>
  <c r="P96" i="29"/>
  <c r="V96" i="29"/>
  <c r="W96" i="29" s="1"/>
  <c r="K97" i="29"/>
  <c r="N97" i="29" s="1"/>
  <c r="AB98" i="29"/>
  <c r="AQ106" i="4"/>
  <c r="AQ109" i="4"/>
  <c r="AE109" i="4"/>
  <c r="AE106" i="4"/>
  <c r="AN104" i="4"/>
  <c r="AO104" i="4" s="1"/>
  <c r="AG105" i="4"/>
  <c r="AE99" i="29"/>
  <c r="AA99" i="29" s="1"/>
  <c r="AF99" i="29"/>
  <c r="E99" i="29"/>
  <c r="U99" i="29"/>
  <c r="R99" i="29"/>
  <c r="S99" i="29"/>
  <c r="Q99" i="29"/>
  <c r="G99" i="29"/>
  <c r="T99" i="29"/>
  <c r="Z97" i="29"/>
  <c r="O98" i="29"/>
  <c r="J98" i="29"/>
  <c r="Y98" i="29" s="1"/>
  <c r="I98" i="29"/>
  <c r="K98" i="29" s="1"/>
  <c r="AD101" i="29"/>
  <c r="B100" i="29"/>
  <c r="AI100" i="29"/>
  <c r="AN105" i="4"/>
  <c r="AO105" i="4" s="1"/>
  <c r="AX108" i="4"/>
  <c r="AW108" i="4"/>
  <c r="AD105" i="4"/>
  <c r="AF110" i="4"/>
  <c r="AY112" i="4"/>
  <c r="AV113" i="4"/>
  <c r="B112" i="4"/>
  <c r="N111" i="4"/>
  <c r="AM111" i="4"/>
  <c r="AI111" i="4"/>
  <c r="AK111" i="4"/>
  <c r="O111" i="4"/>
  <c r="K111" i="4"/>
  <c r="M111" i="4"/>
  <c r="AH111" i="4"/>
  <c r="L111" i="4"/>
  <c r="F111" i="4"/>
  <c r="AJ111" i="4"/>
  <c r="P111" i="4"/>
  <c r="AL111" i="4"/>
  <c r="J111" i="4"/>
  <c r="Q110" i="4"/>
  <c r="Y110" i="4" s="1"/>
  <c r="V110" i="4"/>
  <c r="AA110" i="4" s="1"/>
  <c r="U110" i="4"/>
  <c r="AP110" i="4" s="1"/>
  <c r="W110" i="4"/>
  <c r="AB110" i="4" s="1"/>
  <c r="R110" i="4"/>
  <c r="Z110" i="4" s="1"/>
  <c r="X110" i="4"/>
  <c r="AC110" i="4" s="1"/>
  <c r="AF107" i="4"/>
  <c r="AX111" i="4"/>
  <c r="AW111" i="4"/>
  <c r="Q107" i="4"/>
  <c r="Y107" i="4" s="1"/>
  <c r="W107" i="4"/>
  <c r="AB107" i="4" s="1"/>
  <c r="R107" i="4"/>
  <c r="Z107" i="4" s="1"/>
  <c r="X107" i="4"/>
  <c r="AC107" i="4" s="1"/>
  <c r="V107" i="4"/>
  <c r="AA107" i="4" s="1"/>
  <c r="U107" i="4"/>
  <c r="AP107" i="4" s="1"/>
  <c r="P97" i="29" l="1"/>
  <c r="V97" i="29"/>
  <c r="W97" i="29" s="1"/>
  <c r="AB99" i="29"/>
  <c r="N98" i="29"/>
  <c r="AQ107" i="4"/>
  <c r="AQ110" i="4"/>
  <c r="AE107" i="4"/>
  <c r="AE110" i="4"/>
  <c r="P98" i="29"/>
  <c r="V98" i="29"/>
  <c r="W98" i="29" s="1"/>
  <c r="AD106" i="4"/>
  <c r="AE100" i="29"/>
  <c r="AA100" i="29" s="1"/>
  <c r="AF100" i="29"/>
  <c r="E100" i="29"/>
  <c r="Q100" i="29"/>
  <c r="G100" i="29"/>
  <c r="R100" i="29"/>
  <c r="S100" i="29"/>
  <c r="U100" i="29"/>
  <c r="T100" i="29"/>
  <c r="Z98" i="29"/>
  <c r="AD102" i="29"/>
  <c r="B101" i="29"/>
  <c r="AI101" i="29"/>
  <c r="O99" i="29"/>
  <c r="J99" i="29"/>
  <c r="Y99" i="29" s="1"/>
  <c r="I99" i="29"/>
  <c r="AG109" i="4"/>
  <c r="AD109" i="4"/>
  <c r="AV114" i="4"/>
  <c r="AY113" i="4"/>
  <c r="B113" i="4"/>
  <c r="U111" i="4"/>
  <c r="AP111" i="4" s="1"/>
  <c r="R111" i="4"/>
  <c r="Z111" i="4" s="1"/>
  <c r="X111" i="4"/>
  <c r="AC111" i="4" s="1"/>
  <c r="W111" i="4"/>
  <c r="AB111" i="4" s="1"/>
  <c r="V111" i="4"/>
  <c r="AA111" i="4" s="1"/>
  <c r="Q111" i="4"/>
  <c r="Y111" i="4" s="1"/>
  <c r="AX112" i="4"/>
  <c r="AW112" i="4"/>
  <c r="AF108" i="4"/>
  <c r="AF111" i="4"/>
  <c r="AD110" i="4"/>
  <c r="AK112" i="4"/>
  <c r="M112" i="4"/>
  <c r="J112" i="4"/>
  <c r="AJ112" i="4"/>
  <c r="AM112" i="4"/>
  <c r="AH112" i="4"/>
  <c r="N112" i="4"/>
  <c r="L112" i="4"/>
  <c r="P112" i="4"/>
  <c r="O112" i="4"/>
  <c r="AI112" i="4"/>
  <c r="AL112" i="4"/>
  <c r="F112" i="4"/>
  <c r="K112" i="4"/>
  <c r="V108" i="4"/>
  <c r="AA108" i="4" s="1"/>
  <c r="W108" i="4"/>
  <c r="AB108" i="4" s="1"/>
  <c r="R108" i="4"/>
  <c r="Z108" i="4" s="1"/>
  <c r="U108" i="4"/>
  <c r="AP108" i="4" s="1"/>
  <c r="Q108" i="4"/>
  <c r="Y108" i="4" s="1"/>
  <c r="X108" i="4"/>
  <c r="AC108" i="4" s="1"/>
  <c r="AN106" i="4"/>
  <c r="AO106" i="4" s="1"/>
  <c r="AG106" i="4"/>
  <c r="K99" i="29" l="1"/>
  <c r="N99" i="29" s="1"/>
  <c r="AB100" i="29"/>
  <c r="AQ111" i="4"/>
  <c r="AQ108" i="4"/>
  <c r="AE108" i="4"/>
  <c r="AE111" i="4"/>
  <c r="Z99" i="29"/>
  <c r="AN109" i="4"/>
  <c r="AO109" i="4" s="1"/>
  <c r="O100" i="29"/>
  <c r="AE101" i="29"/>
  <c r="AA101" i="29" s="1"/>
  <c r="AF101" i="29"/>
  <c r="I100" i="29"/>
  <c r="J100" i="29"/>
  <c r="Y100" i="29" s="1"/>
  <c r="E101" i="29"/>
  <c r="S101" i="29"/>
  <c r="R101" i="29"/>
  <c r="T101" i="29"/>
  <c r="U101" i="29"/>
  <c r="G101" i="29"/>
  <c r="Q101" i="29"/>
  <c r="AD103" i="29"/>
  <c r="B102" i="29"/>
  <c r="AI102" i="29"/>
  <c r="AD107" i="4"/>
  <c r="AF112" i="4"/>
  <c r="AD111" i="4"/>
  <c r="L113" i="4"/>
  <c r="O113" i="4"/>
  <c r="AL113" i="4"/>
  <c r="J113" i="4"/>
  <c r="AK113" i="4"/>
  <c r="K113" i="4"/>
  <c r="F113" i="4"/>
  <c r="AI113" i="4"/>
  <c r="AJ113" i="4"/>
  <c r="M113" i="4"/>
  <c r="AH113" i="4"/>
  <c r="P113" i="4"/>
  <c r="N113" i="4"/>
  <c r="AM113" i="4"/>
  <c r="U112" i="4"/>
  <c r="AP112" i="4" s="1"/>
  <c r="W112" i="4"/>
  <c r="AB112" i="4" s="1"/>
  <c r="Q112" i="4"/>
  <c r="Y112" i="4" s="1"/>
  <c r="V112" i="4"/>
  <c r="AA112" i="4" s="1"/>
  <c r="R112" i="4"/>
  <c r="X112" i="4"/>
  <c r="AC112" i="4" s="1"/>
  <c r="AX113" i="4"/>
  <c r="AW113" i="4"/>
  <c r="AV115" i="4"/>
  <c r="B114" i="4"/>
  <c r="AY114" i="4"/>
  <c r="P99" i="29" l="1"/>
  <c r="V99" i="29"/>
  <c r="W99" i="29" s="1"/>
  <c r="K100" i="29"/>
  <c r="N100" i="29" s="1"/>
  <c r="AB101" i="29"/>
  <c r="Z112" i="4"/>
  <c r="Z100" i="29"/>
  <c r="E102" i="29"/>
  <c r="S102" i="29"/>
  <c r="G102" i="29"/>
  <c r="R102" i="29"/>
  <c r="Q102" i="29"/>
  <c r="U102" i="29"/>
  <c r="T102" i="29"/>
  <c r="O101" i="29"/>
  <c r="I101" i="29"/>
  <c r="J101" i="29"/>
  <c r="Y101" i="29" s="1"/>
  <c r="Z101" i="29" s="1"/>
  <c r="AD104" i="29"/>
  <c r="B103" i="29"/>
  <c r="AI103" i="29"/>
  <c r="AF102" i="29"/>
  <c r="AE102" i="29"/>
  <c r="AA102" i="29" s="1"/>
  <c r="AG108" i="4"/>
  <c r="AN108" i="4"/>
  <c r="AO108" i="4" s="1"/>
  <c r="AG111" i="4"/>
  <c r="AN111" i="4"/>
  <c r="AO111" i="4" s="1"/>
  <c r="AN110" i="4"/>
  <c r="AO110" i="4" s="1"/>
  <c r="AG110" i="4"/>
  <c r="AD108" i="4"/>
  <c r="AX114" i="4"/>
  <c r="AW114" i="4"/>
  <c r="B115" i="4"/>
  <c r="AY115" i="4"/>
  <c r="AV116" i="4"/>
  <c r="AD112" i="4"/>
  <c r="AN107" i="4"/>
  <c r="AO107" i="4" s="1"/>
  <c r="AG107" i="4"/>
  <c r="W113" i="4"/>
  <c r="AB113" i="4" s="1"/>
  <c r="V113" i="4"/>
  <c r="AA113" i="4" s="1"/>
  <c r="X113" i="4"/>
  <c r="AC113" i="4" s="1"/>
  <c r="R113" i="4"/>
  <c r="Z113" i="4" s="1"/>
  <c r="Q113" i="4"/>
  <c r="Y113" i="4" s="1"/>
  <c r="U113" i="4"/>
  <c r="N114" i="4"/>
  <c r="P114" i="4"/>
  <c r="AM114" i="4"/>
  <c r="AK114" i="4"/>
  <c r="AI114" i="4"/>
  <c r="O114" i="4"/>
  <c r="K114" i="4"/>
  <c r="J114" i="4"/>
  <c r="F114" i="4"/>
  <c r="L114" i="4"/>
  <c r="AH114" i="4"/>
  <c r="M114" i="4"/>
  <c r="AJ114" i="4"/>
  <c r="AL114" i="4"/>
  <c r="AF113" i="4"/>
  <c r="AP113" i="4"/>
  <c r="V100" i="29" l="1"/>
  <c r="W100" i="29" s="1"/>
  <c r="P100" i="29"/>
  <c r="K101" i="29"/>
  <c r="N101" i="29" s="1"/>
  <c r="AQ113" i="4"/>
  <c r="AE112" i="4"/>
  <c r="AN112" i="4" s="1"/>
  <c r="AO112" i="4" s="1"/>
  <c r="AQ112" i="4"/>
  <c r="AB102" i="29"/>
  <c r="AE113" i="4"/>
  <c r="O102" i="29"/>
  <c r="AD105" i="29"/>
  <c r="B104" i="29"/>
  <c r="AI104" i="29"/>
  <c r="I102" i="29"/>
  <c r="K102" i="29" s="1"/>
  <c r="J102" i="29"/>
  <c r="Y102" i="29" s="1"/>
  <c r="AE103" i="29"/>
  <c r="AA103" i="29" s="1"/>
  <c r="AF103" i="29"/>
  <c r="E103" i="29"/>
  <c r="G103" i="29"/>
  <c r="U103" i="29"/>
  <c r="R103" i="29"/>
  <c r="T103" i="29"/>
  <c r="S103" i="29"/>
  <c r="Q103" i="29"/>
  <c r="AF114" i="4"/>
  <c r="B116" i="4"/>
  <c r="AV117" i="4"/>
  <c r="AY116" i="4"/>
  <c r="AX115" i="4"/>
  <c r="AW115" i="4"/>
  <c r="AD113" i="4"/>
  <c r="K115" i="4"/>
  <c r="O115" i="4"/>
  <c r="AI115" i="4"/>
  <c r="AM115" i="4"/>
  <c r="J115" i="4"/>
  <c r="AH115" i="4"/>
  <c r="F115" i="4"/>
  <c r="P115" i="4"/>
  <c r="AL115" i="4"/>
  <c r="AJ115" i="4"/>
  <c r="M115" i="4"/>
  <c r="N115" i="4"/>
  <c r="AK115" i="4"/>
  <c r="L115" i="4"/>
  <c r="U114" i="4"/>
  <c r="AP114" i="4" s="1"/>
  <c r="W114" i="4"/>
  <c r="AB114" i="4" s="1"/>
  <c r="X114" i="4"/>
  <c r="AC114" i="4" s="1"/>
  <c r="Q114" i="4"/>
  <c r="Y114" i="4" s="1"/>
  <c r="V114" i="4"/>
  <c r="AA114" i="4" s="1"/>
  <c r="R114" i="4"/>
  <c r="Z114" i="4" s="1"/>
  <c r="P101" i="29" l="1"/>
  <c r="V101" i="29"/>
  <c r="W101" i="29" s="1"/>
  <c r="AB103" i="29"/>
  <c r="N102" i="29"/>
  <c r="AG112" i="4"/>
  <c r="AQ114" i="4"/>
  <c r="AE114" i="4"/>
  <c r="Z102" i="29"/>
  <c r="J103" i="29"/>
  <c r="Y103" i="29" s="1"/>
  <c r="I103" i="29"/>
  <c r="AF104" i="29"/>
  <c r="AE104" i="29"/>
  <c r="AA104" i="29" s="1"/>
  <c r="O103" i="29"/>
  <c r="P102" i="29"/>
  <c r="V102" i="29"/>
  <c r="W102" i="29" s="1"/>
  <c r="E104" i="29"/>
  <c r="T104" i="29"/>
  <c r="G104" i="29"/>
  <c r="U104" i="29"/>
  <c r="R104" i="29"/>
  <c r="Q104" i="29"/>
  <c r="S104" i="29"/>
  <c r="AD106" i="29"/>
  <c r="B105" i="29"/>
  <c r="AI105" i="29"/>
  <c r="W115" i="4"/>
  <c r="AB115" i="4" s="1"/>
  <c r="V115" i="4"/>
  <c r="AA115" i="4" s="1"/>
  <c r="R115" i="4"/>
  <c r="Z115" i="4" s="1"/>
  <c r="U115" i="4"/>
  <c r="AP115" i="4" s="1"/>
  <c r="Q115" i="4"/>
  <c r="Y115" i="4" s="1"/>
  <c r="X115" i="4"/>
  <c r="AC115" i="4" s="1"/>
  <c r="AD114" i="4"/>
  <c r="AX116" i="4"/>
  <c r="AW116" i="4"/>
  <c r="B117" i="4"/>
  <c r="AY117" i="4"/>
  <c r="AV118" i="4"/>
  <c r="AF115" i="4"/>
  <c r="AL116" i="4"/>
  <c r="AK116" i="4"/>
  <c r="AH116" i="4"/>
  <c r="J116" i="4"/>
  <c r="AI116" i="4"/>
  <c r="M116" i="4"/>
  <c r="AM116" i="4"/>
  <c r="N116" i="4"/>
  <c r="F116" i="4"/>
  <c r="AJ116" i="4"/>
  <c r="L116" i="4"/>
  <c r="P116" i="4"/>
  <c r="K116" i="4"/>
  <c r="O116" i="4"/>
  <c r="K103" i="29" l="1"/>
  <c r="N103" i="29" s="1"/>
  <c r="AB104" i="29"/>
  <c r="AQ115" i="4"/>
  <c r="AE115" i="4"/>
  <c r="Z103" i="29"/>
  <c r="AD107" i="29"/>
  <c r="B106" i="29"/>
  <c r="AI106" i="29"/>
  <c r="I104" i="29"/>
  <c r="J104" i="29"/>
  <c r="Y104" i="29" s="1"/>
  <c r="O104" i="29"/>
  <c r="AF105" i="29"/>
  <c r="AE105" i="29"/>
  <c r="AA105" i="29" s="1"/>
  <c r="E105" i="29"/>
  <c r="R105" i="29"/>
  <c r="Q105" i="29"/>
  <c r="G105" i="29"/>
  <c r="S105" i="29"/>
  <c r="T105" i="29"/>
  <c r="U105" i="29"/>
  <c r="B118" i="4"/>
  <c r="AV119" i="4"/>
  <c r="AY118" i="4"/>
  <c r="AX117" i="4"/>
  <c r="AW117" i="4"/>
  <c r="W116" i="4"/>
  <c r="AB116" i="4" s="1"/>
  <c r="U116" i="4"/>
  <c r="AP116" i="4" s="1"/>
  <c r="X116" i="4"/>
  <c r="AC116" i="4" s="1"/>
  <c r="Q116" i="4"/>
  <c r="Y116" i="4" s="1"/>
  <c r="V116" i="4"/>
  <c r="AA116" i="4" s="1"/>
  <c r="R116" i="4"/>
  <c r="Z116" i="4" s="1"/>
  <c r="AQ116" i="4" s="1"/>
  <c r="AF116" i="4"/>
  <c r="O117" i="4"/>
  <c r="J117" i="4"/>
  <c r="AH117" i="4"/>
  <c r="AI117" i="4"/>
  <c r="M117" i="4"/>
  <c r="N117" i="4"/>
  <c r="L117" i="4"/>
  <c r="P117" i="4"/>
  <c r="AK117" i="4"/>
  <c r="AM117" i="4"/>
  <c r="K117" i="4"/>
  <c r="F117" i="4"/>
  <c r="AL117" i="4"/>
  <c r="AJ117" i="4"/>
  <c r="AD115" i="4"/>
  <c r="AN113" i="4"/>
  <c r="AO113" i="4" s="1"/>
  <c r="AG113" i="4"/>
  <c r="V103" i="29" l="1"/>
  <c r="W103" i="29" s="1"/>
  <c r="P103" i="29"/>
  <c r="K104" i="29"/>
  <c r="N104" i="29" s="1"/>
  <c r="AB105" i="29"/>
  <c r="AE116" i="4"/>
  <c r="Z104" i="29"/>
  <c r="O105" i="29"/>
  <c r="J105" i="29"/>
  <c r="Y105" i="29" s="1"/>
  <c r="I105" i="29"/>
  <c r="AF106" i="29"/>
  <c r="AE106" i="29"/>
  <c r="AA106" i="29" s="1"/>
  <c r="E106" i="29"/>
  <c r="R106" i="29"/>
  <c r="G106" i="29"/>
  <c r="U106" i="29"/>
  <c r="S106" i="29"/>
  <c r="T106" i="29"/>
  <c r="Q106" i="29"/>
  <c r="AD108" i="29"/>
  <c r="B107" i="29"/>
  <c r="AI107" i="29"/>
  <c r="AG115" i="4"/>
  <c r="AN115" i="4"/>
  <c r="AO115" i="4" s="1"/>
  <c r="AG114" i="4"/>
  <c r="AN114" i="4"/>
  <c r="AO114" i="4" s="1"/>
  <c r="AF117" i="4"/>
  <c r="AX118" i="4"/>
  <c r="AW118" i="4"/>
  <c r="AD116" i="4"/>
  <c r="B119" i="4"/>
  <c r="AV120" i="4"/>
  <c r="AY119" i="4"/>
  <c r="F118" i="4"/>
  <c r="AJ118" i="4"/>
  <c r="AH118" i="4"/>
  <c r="AL118" i="4"/>
  <c r="J118" i="4"/>
  <c r="L118" i="4"/>
  <c r="H118" i="4"/>
  <c r="M118" i="4"/>
  <c r="K118" i="4"/>
  <c r="AK118" i="4"/>
  <c r="P118" i="4"/>
  <c r="G118" i="4"/>
  <c r="O118" i="4"/>
  <c r="AM118" i="4"/>
  <c r="I118" i="4"/>
  <c r="AI118" i="4"/>
  <c r="N118" i="4"/>
  <c r="Q117" i="4"/>
  <c r="Y117" i="4" s="1"/>
  <c r="W117" i="4"/>
  <c r="AB117" i="4" s="1"/>
  <c r="X117" i="4"/>
  <c r="AC117" i="4" s="1"/>
  <c r="R117" i="4"/>
  <c r="Z117" i="4" s="1"/>
  <c r="U117" i="4"/>
  <c r="AP117" i="4" s="1"/>
  <c r="V117" i="4"/>
  <c r="AA117" i="4" s="1"/>
  <c r="P104" i="29" l="1"/>
  <c r="V104" i="29"/>
  <c r="W104" i="29" s="1"/>
  <c r="AB106" i="29"/>
  <c r="K105" i="29"/>
  <c r="N105" i="29" s="1"/>
  <c r="AQ117" i="4"/>
  <c r="AE117" i="4"/>
  <c r="AF107" i="29"/>
  <c r="AE107" i="29"/>
  <c r="AA107" i="29" s="1"/>
  <c r="I106" i="29"/>
  <c r="K106" i="29" s="1"/>
  <c r="J106" i="29"/>
  <c r="Y106" i="29" s="1"/>
  <c r="E107" i="29"/>
  <c r="S107" i="29"/>
  <c r="U107" i="29"/>
  <c r="T107" i="29"/>
  <c r="G107" i="29"/>
  <c r="Q107" i="29"/>
  <c r="R107" i="29"/>
  <c r="AD109" i="29"/>
  <c r="B108" i="29"/>
  <c r="AI108" i="29"/>
  <c r="O106" i="29"/>
  <c r="Z105" i="29"/>
  <c r="AY120" i="4"/>
  <c r="B120" i="4"/>
  <c r="AV121" i="4"/>
  <c r="X118" i="4"/>
  <c r="AC118" i="4" s="1"/>
  <c r="W118" i="4"/>
  <c r="AB118" i="4" s="1"/>
  <c r="S118" i="4"/>
  <c r="U118" i="4"/>
  <c r="R118" i="4"/>
  <c r="T118" i="4"/>
  <c r="V118" i="4"/>
  <c r="AA118" i="4" s="1"/>
  <c r="Q118" i="4"/>
  <c r="Y118" i="4" s="1"/>
  <c r="AF118" i="4"/>
  <c r="F119" i="4"/>
  <c r="AM119" i="4"/>
  <c r="AL119" i="4"/>
  <c r="AJ119" i="4"/>
  <c r="K119" i="4"/>
  <c r="J119" i="4"/>
  <c r="AH119" i="4"/>
  <c r="AK119" i="4"/>
  <c r="AI119" i="4"/>
  <c r="N119" i="4"/>
  <c r="P119" i="4"/>
  <c r="O119" i="4"/>
  <c r="L119" i="4"/>
  <c r="M119" i="4"/>
  <c r="AD117" i="4"/>
  <c r="Z478" i="4"/>
  <c r="AP118" i="4"/>
  <c r="AX119" i="4"/>
  <c r="AW119" i="4"/>
  <c r="P105" i="29" l="1"/>
  <c r="V105" i="29"/>
  <c r="W105" i="29" s="1"/>
  <c r="AB107" i="29"/>
  <c r="N106" i="29"/>
  <c r="Z118" i="4"/>
  <c r="AQ118" i="4" s="1"/>
  <c r="AF108" i="29"/>
  <c r="AE108" i="29"/>
  <c r="AA108" i="29" s="1"/>
  <c r="P106" i="29"/>
  <c r="V106" i="29"/>
  <c r="W106" i="29" s="1"/>
  <c r="E108" i="29"/>
  <c r="R108" i="29"/>
  <c r="Q108" i="29"/>
  <c r="G108" i="29"/>
  <c r="T108" i="29"/>
  <c r="S108" i="29"/>
  <c r="U108" i="29"/>
  <c r="J107" i="29"/>
  <c r="Y107" i="29" s="1"/>
  <c r="I107" i="29"/>
  <c r="K107" i="29" s="1"/>
  <c r="AD110" i="29"/>
  <c r="B109" i="29"/>
  <c r="AI109" i="29"/>
  <c r="O107" i="29"/>
  <c r="Z106" i="29"/>
  <c r="AG116" i="4"/>
  <c r="AN116" i="4"/>
  <c r="AO116" i="4" s="1"/>
  <c r="AW120" i="4"/>
  <c r="AX120" i="4"/>
  <c r="AF119" i="4"/>
  <c r="U119" i="4"/>
  <c r="AP119" i="4" s="1"/>
  <c r="Q119" i="4"/>
  <c r="Y119" i="4" s="1"/>
  <c r="X119" i="4"/>
  <c r="AC119" i="4" s="1"/>
  <c r="V119" i="4"/>
  <c r="AA119" i="4" s="1"/>
  <c r="W119" i="4"/>
  <c r="AB119" i="4" s="1"/>
  <c r="R119" i="4"/>
  <c r="Z119" i="4" s="1"/>
  <c r="B121" i="4"/>
  <c r="AV122" i="4"/>
  <c r="AY121" i="4"/>
  <c r="AM120" i="4"/>
  <c r="AK120" i="4"/>
  <c r="AJ120" i="4"/>
  <c r="L120" i="4"/>
  <c r="K120" i="4"/>
  <c r="AH120" i="4"/>
  <c r="O120" i="4"/>
  <c r="AI120" i="4"/>
  <c r="AL120" i="4"/>
  <c r="F120" i="4"/>
  <c r="N120" i="4"/>
  <c r="P120" i="4"/>
  <c r="M120" i="4"/>
  <c r="J120" i="4"/>
  <c r="N107" i="29" l="1"/>
  <c r="AB108" i="29"/>
  <c r="AQ119" i="4"/>
  <c r="AE118" i="4"/>
  <c r="AN118" i="4" s="1"/>
  <c r="AO118" i="4" s="1"/>
  <c r="AE119" i="4"/>
  <c r="O108" i="29"/>
  <c r="V107" i="29"/>
  <c r="W107" i="29" s="1"/>
  <c r="P107" i="29"/>
  <c r="E109" i="29"/>
  <c r="S109" i="29"/>
  <c r="U109" i="29"/>
  <c r="R109" i="29"/>
  <c r="T109" i="29"/>
  <c r="G109" i="29"/>
  <c r="Q109" i="29"/>
  <c r="AD111" i="29"/>
  <c r="B110" i="29"/>
  <c r="AI110" i="29"/>
  <c r="Z107" i="29"/>
  <c r="I108" i="29"/>
  <c r="K108" i="29" s="1"/>
  <c r="J108" i="29"/>
  <c r="Y108" i="29" s="1"/>
  <c r="AE109" i="29"/>
  <c r="AA109" i="29" s="1"/>
  <c r="AF109" i="29"/>
  <c r="AV123" i="4"/>
  <c r="B122" i="4"/>
  <c r="AY122" i="4"/>
  <c r="AD118" i="4"/>
  <c r="L121" i="4"/>
  <c r="P121" i="4"/>
  <c r="AM121" i="4"/>
  <c r="AH121" i="4"/>
  <c r="M121" i="4"/>
  <c r="AI121" i="4"/>
  <c r="F121" i="4"/>
  <c r="AK121" i="4"/>
  <c r="AJ121" i="4"/>
  <c r="K121" i="4"/>
  <c r="N121" i="4"/>
  <c r="O121" i="4"/>
  <c r="J121" i="4"/>
  <c r="AL121" i="4"/>
  <c r="AD119" i="4"/>
  <c r="AF120" i="4"/>
  <c r="AW121" i="4"/>
  <c r="AX121" i="4"/>
  <c r="AN117" i="4"/>
  <c r="AO117" i="4" s="1"/>
  <c r="AG117" i="4"/>
  <c r="Q120" i="4"/>
  <c r="Y120" i="4" s="1"/>
  <c r="W120" i="4"/>
  <c r="AB120" i="4" s="1"/>
  <c r="X120" i="4"/>
  <c r="AC120" i="4" s="1"/>
  <c r="V120" i="4"/>
  <c r="AA120" i="4" s="1"/>
  <c r="U120" i="4"/>
  <c r="AP120" i="4" s="1"/>
  <c r="R120" i="4"/>
  <c r="Z120" i="4" s="1"/>
  <c r="N108" i="29" l="1"/>
  <c r="V108" i="29" s="1"/>
  <c r="W108" i="29" s="1"/>
  <c r="AG118" i="4"/>
  <c r="Z108" i="29"/>
  <c r="AQ120" i="4"/>
  <c r="AB109" i="29"/>
  <c r="AE120" i="4"/>
  <c r="P108" i="29"/>
  <c r="J109" i="29"/>
  <c r="Y109" i="29" s="1"/>
  <c r="I109" i="29"/>
  <c r="AE110" i="29"/>
  <c r="AA110" i="29" s="1"/>
  <c r="AF110" i="29"/>
  <c r="E110" i="29"/>
  <c r="Q110" i="29"/>
  <c r="G110" i="29"/>
  <c r="R110" i="29"/>
  <c r="S110" i="29"/>
  <c r="U110" i="29"/>
  <c r="T110" i="29"/>
  <c r="O109" i="29"/>
  <c r="AD112" i="29"/>
  <c r="B111" i="29"/>
  <c r="AI111" i="29"/>
  <c r="AF121" i="4"/>
  <c r="AN119" i="4"/>
  <c r="AO119" i="4" s="1"/>
  <c r="AG119" i="4"/>
  <c r="AD120" i="4"/>
  <c r="AX122" i="4"/>
  <c r="AW122" i="4"/>
  <c r="Q121" i="4"/>
  <c r="Y121" i="4" s="1"/>
  <c r="V121" i="4"/>
  <c r="AA121" i="4" s="1"/>
  <c r="U121" i="4"/>
  <c r="AP121" i="4" s="1"/>
  <c r="W121" i="4"/>
  <c r="AB121" i="4" s="1"/>
  <c r="R121" i="4"/>
  <c r="Z121" i="4" s="1"/>
  <c r="X121" i="4"/>
  <c r="AC121" i="4" s="1"/>
  <c r="AK122" i="4"/>
  <c r="AI122" i="4"/>
  <c r="F122" i="4"/>
  <c r="J122" i="4"/>
  <c r="P122" i="4"/>
  <c r="L122" i="4"/>
  <c r="N122" i="4"/>
  <c r="AL122" i="4"/>
  <c r="K122" i="4"/>
  <c r="O122" i="4"/>
  <c r="AH122" i="4"/>
  <c r="AJ122" i="4"/>
  <c r="M122" i="4"/>
  <c r="AM122" i="4"/>
  <c r="AY123" i="4"/>
  <c r="B123" i="4"/>
  <c r="AV124" i="4"/>
  <c r="AB110" i="29" l="1"/>
  <c r="K109" i="29"/>
  <c r="N109" i="29" s="1"/>
  <c r="AQ121" i="4"/>
  <c r="AE121" i="4"/>
  <c r="E111" i="29"/>
  <c r="T111" i="29"/>
  <c r="U111" i="29"/>
  <c r="S111" i="29"/>
  <c r="R111" i="29"/>
  <c r="Q111" i="29"/>
  <c r="G111" i="29"/>
  <c r="AD113" i="29"/>
  <c r="B112" i="29"/>
  <c r="AI112" i="29"/>
  <c r="Z109" i="29"/>
  <c r="O110" i="29"/>
  <c r="AF111" i="29"/>
  <c r="AE111" i="29"/>
  <c r="AA111" i="29" s="1"/>
  <c r="J110" i="29"/>
  <c r="Y110" i="29" s="1"/>
  <c r="I110" i="29"/>
  <c r="K110" i="29" s="1"/>
  <c r="AG120" i="4"/>
  <c r="AL123" i="4"/>
  <c r="K123" i="4"/>
  <c r="M123" i="4"/>
  <c r="N123" i="4"/>
  <c r="O123" i="4"/>
  <c r="AM123" i="4"/>
  <c r="F123" i="4"/>
  <c r="AH123" i="4"/>
  <c r="AI123" i="4"/>
  <c r="L123" i="4"/>
  <c r="P123" i="4"/>
  <c r="AK123" i="4"/>
  <c r="AJ123" i="4"/>
  <c r="J123" i="4"/>
  <c r="AD121" i="4"/>
  <c r="AX123" i="4"/>
  <c r="AW123" i="4"/>
  <c r="AF122" i="4"/>
  <c r="AV125" i="4"/>
  <c r="AY124" i="4"/>
  <c r="B124" i="4"/>
  <c r="Q122" i="4"/>
  <c r="Y122" i="4" s="1"/>
  <c r="X122" i="4"/>
  <c r="AC122" i="4" s="1"/>
  <c r="R122" i="4"/>
  <c r="Z122" i="4" s="1"/>
  <c r="U122" i="4"/>
  <c r="AP122" i="4" s="1"/>
  <c r="W122" i="4"/>
  <c r="AB122" i="4" s="1"/>
  <c r="V122" i="4"/>
  <c r="AA122" i="4" s="1"/>
  <c r="P109" i="29" l="1"/>
  <c r="V109" i="29"/>
  <c r="W109" i="29" s="1"/>
  <c r="N110" i="29"/>
  <c r="AQ122" i="4"/>
  <c r="AB111" i="29"/>
  <c r="AE122" i="4"/>
  <c r="AN120" i="4"/>
  <c r="AO120" i="4" s="1"/>
  <c r="P110" i="29"/>
  <c r="V110" i="29"/>
  <c r="W110" i="29" s="1"/>
  <c r="I111" i="29"/>
  <c r="K111" i="29" s="1"/>
  <c r="N111" i="29" s="1"/>
  <c r="J111" i="29"/>
  <c r="Y111" i="29" s="1"/>
  <c r="Z110" i="29"/>
  <c r="AF112" i="29"/>
  <c r="AE112" i="29"/>
  <c r="AA112" i="29" s="1"/>
  <c r="O111" i="29"/>
  <c r="E112" i="29"/>
  <c r="R112" i="29"/>
  <c r="Q112" i="29"/>
  <c r="S112" i="29"/>
  <c r="T112" i="29"/>
  <c r="G112" i="29"/>
  <c r="U112" i="29"/>
  <c r="AD114" i="29"/>
  <c r="B113" i="29"/>
  <c r="AI113" i="29"/>
  <c r="AG121" i="4"/>
  <c r="AX124" i="4"/>
  <c r="AW124" i="4"/>
  <c r="AF123" i="4"/>
  <c r="AY125" i="4"/>
  <c r="B125" i="4"/>
  <c r="AV126" i="4"/>
  <c r="W123" i="4"/>
  <c r="AB123" i="4" s="1"/>
  <c r="Q123" i="4"/>
  <c r="Y123" i="4" s="1"/>
  <c r="R123" i="4"/>
  <c r="Z123" i="4" s="1"/>
  <c r="V123" i="4"/>
  <c r="AA123" i="4" s="1"/>
  <c r="U123" i="4"/>
  <c r="AP123" i="4" s="1"/>
  <c r="X123" i="4"/>
  <c r="AC123" i="4" s="1"/>
  <c r="N124" i="4"/>
  <c r="P124" i="4"/>
  <c r="J124" i="4"/>
  <c r="O124" i="4"/>
  <c r="K124" i="4"/>
  <c r="AL124" i="4"/>
  <c r="M124" i="4"/>
  <c r="F124" i="4"/>
  <c r="L124" i="4"/>
  <c r="AM124" i="4"/>
  <c r="AI124" i="4"/>
  <c r="AJ124" i="4"/>
  <c r="AK124" i="4"/>
  <c r="AH124" i="4"/>
  <c r="AB112" i="29" l="1"/>
  <c r="AQ123" i="4"/>
  <c r="AE123" i="4"/>
  <c r="O112" i="29"/>
  <c r="AF113" i="29"/>
  <c r="AE113" i="29"/>
  <c r="AA113" i="29" s="1"/>
  <c r="E113" i="29"/>
  <c r="S113" i="29"/>
  <c r="R113" i="29"/>
  <c r="U113" i="29"/>
  <c r="Q113" i="29"/>
  <c r="G113" i="29"/>
  <c r="T113" i="29"/>
  <c r="I112" i="29"/>
  <c r="J112" i="29"/>
  <c r="Y112" i="29" s="1"/>
  <c r="AD122" i="4"/>
  <c r="P111" i="29"/>
  <c r="V111" i="29"/>
  <c r="W111" i="29" s="1"/>
  <c r="AD115" i="29"/>
  <c r="B114" i="29"/>
  <c r="AI114" i="29"/>
  <c r="Z111" i="29"/>
  <c r="AN121" i="4"/>
  <c r="AO121" i="4" s="1"/>
  <c r="AD123" i="4"/>
  <c r="AY126" i="4"/>
  <c r="AV127" i="4"/>
  <c r="B126" i="4"/>
  <c r="V124" i="4"/>
  <c r="AA124" i="4" s="1"/>
  <c r="R124" i="4"/>
  <c r="Z124" i="4" s="1"/>
  <c r="X124" i="4"/>
  <c r="AC124" i="4" s="1"/>
  <c r="U124" i="4"/>
  <c r="W124" i="4"/>
  <c r="AB124" i="4" s="1"/>
  <c r="Q124" i="4"/>
  <c r="Y124" i="4" s="1"/>
  <c r="AF124" i="4"/>
  <c r="AJ125" i="4"/>
  <c r="AK125" i="4"/>
  <c r="AL125" i="4"/>
  <c r="P125" i="4"/>
  <c r="N125" i="4"/>
  <c r="J125" i="4"/>
  <c r="AM125" i="4"/>
  <c r="AH125" i="4"/>
  <c r="L125" i="4"/>
  <c r="O125" i="4"/>
  <c r="F125" i="4"/>
  <c r="M125" i="4"/>
  <c r="K125" i="4"/>
  <c r="AI125" i="4"/>
  <c r="AP124" i="4"/>
  <c r="AW125" i="4"/>
  <c r="AX125" i="4"/>
  <c r="AB113" i="29" l="1"/>
  <c r="K112" i="29"/>
  <c r="N112" i="29" s="1"/>
  <c r="Z112" i="29"/>
  <c r="AQ124" i="4"/>
  <c r="AE124" i="4"/>
  <c r="E114" i="29"/>
  <c r="G114" i="29"/>
  <c r="U114" i="29"/>
  <c r="S114" i="29"/>
  <c r="T114" i="29"/>
  <c r="Q114" i="29"/>
  <c r="R114" i="29"/>
  <c r="AD116" i="29"/>
  <c r="B115" i="29"/>
  <c r="AI115" i="29"/>
  <c r="AE114" i="29"/>
  <c r="AA114" i="29" s="1"/>
  <c r="AF114" i="29"/>
  <c r="O113" i="29"/>
  <c r="J113" i="29"/>
  <c r="Y113" i="29" s="1"/>
  <c r="I113" i="29"/>
  <c r="K113" i="29" s="1"/>
  <c r="AV128" i="4"/>
  <c r="AY127" i="4"/>
  <c r="B127" i="4"/>
  <c r="AF125" i="4"/>
  <c r="AW126" i="4"/>
  <c r="AX126" i="4"/>
  <c r="Q125" i="4"/>
  <c r="Y125" i="4" s="1"/>
  <c r="V125" i="4"/>
  <c r="AA125" i="4" s="1"/>
  <c r="W125" i="4"/>
  <c r="AB125" i="4" s="1"/>
  <c r="X125" i="4"/>
  <c r="AC125" i="4" s="1"/>
  <c r="U125" i="4"/>
  <c r="AP125" i="4" s="1"/>
  <c r="R125" i="4"/>
  <c r="Z125" i="4" s="1"/>
  <c r="AN122" i="4"/>
  <c r="AO122" i="4" s="1"/>
  <c r="AG122" i="4"/>
  <c r="F126" i="4"/>
  <c r="O126" i="4"/>
  <c r="AJ126" i="4"/>
  <c r="M126" i="4"/>
  <c r="K126" i="4"/>
  <c r="AL126" i="4"/>
  <c r="N126" i="4"/>
  <c r="AM126" i="4"/>
  <c r="AK126" i="4"/>
  <c r="AI126" i="4"/>
  <c r="P126" i="4"/>
  <c r="AH126" i="4"/>
  <c r="L126" i="4"/>
  <c r="J126" i="4"/>
  <c r="AN123" i="4"/>
  <c r="AO123" i="4" s="1"/>
  <c r="AG123" i="4"/>
  <c r="P112" i="29" l="1"/>
  <c r="V112" i="29"/>
  <c r="W112" i="29" s="1"/>
  <c r="N113" i="29"/>
  <c r="AQ125" i="4"/>
  <c r="AB114" i="29"/>
  <c r="Z113" i="29"/>
  <c r="AE125" i="4"/>
  <c r="AD124" i="4"/>
  <c r="V113" i="29"/>
  <c r="W113" i="29" s="1"/>
  <c r="P113" i="29"/>
  <c r="J114" i="29"/>
  <c r="Y114" i="29" s="1"/>
  <c r="I114" i="29"/>
  <c r="K114" i="29" s="1"/>
  <c r="O114" i="29"/>
  <c r="AE115" i="29"/>
  <c r="AA115" i="29" s="1"/>
  <c r="AF115" i="29"/>
  <c r="E115" i="29"/>
  <c r="R115" i="29"/>
  <c r="U115" i="29"/>
  <c r="T115" i="29"/>
  <c r="S115" i="29"/>
  <c r="G115" i="29"/>
  <c r="Q115" i="29"/>
  <c r="AD117" i="29"/>
  <c r="B116" i="29"/>
  <c r="AI116" i="29"/>
  <c r="AG124" i="4"/>
  <c r="Q126" i="4"/>
  <c r="Y126" i="4" s="1"/>
  <c r="R126" i="4"/>
  <c r="Z126" i="4" s="1"/>
  <c r="U126" i="4"/>
  <c r="AP126" i="4" s="1"/>
  <c r="W126" i="4"/>
  <c r="AB126" i="4" s="1"/>
  <c r="V126" i="4"/>
  <c r="AA126" i="4" s="1"/>
  <c r="X126" i="4"/>
  <c r="AC126" i="4" s="1"/>
  <c r="AX127" i="4"/>
  <c r="AW127" i="4"/>
  <c r="AF126" i="4"/>
  <c r="AV129" i="4"/>
  <c r="AY128" i="4"/>
  <c r="B128" i="4"/>
  <c r="M127" i="4"/>
  <c r="O127" i="4"/>
  <c r="K127" i="4"/>
  <c r="N127" i="4"/>
  <c r="AH127" i="4"/>
  <c r="AI127" i="4"/>
  <c r="AJ127" i="4"/>
  <c r="AK127" i="4"/>
  <c r="AL127" i="4"/>
  <c r="L127" i="4"/>
  <c r="F127" i="4"/>
  <c r="P127" i="4"/>
  <c r="AM127" i="4"/>
  <c r="J127" i="4"/>
  <c r="AB115" i="29" l="1"/>
  <c r="N114" i="29"/>
  <c r="V114" i="29" s="1"/>
  <c r="W114" i="29" s="1"/>
  <c r="AQ126" i="4"/>
  <c r="AE126" i="4"/>
  <c r="AN124" i="4"/>
  <c r="AO124" i="4" s="1"/>
  <c r="AE116" i="29"/>
  <c r="AA116" i="29" s="1"/>
  <c r="AF116" i="29"/>
  <c r="I115" i="29"/>
  <c r="J115" i="29"/>
  <c r="Y115" i="29" s="1"/>
  <c r="P114" i="29"/>
  <c r="E116" i="29"/>
  <c r="G116" i="29"/>
  <c r="S116" i="29"/>
  <c r="T116" i="29"/>
  <c r="R116" i="29"/>
  <c r="U116" i="29"/>
  <c r="Q116" i="29"/>
  <c r="O115" i="29"/>
  <c r="AD118" i="29"/>
  <c r="B117" i="29"/>
  <c r="AI117" i="29"/>
  <c r="Z114" i="29"/>
  <c r="AG125" i="4"/>
  <c r="AN125" i="4"/>
  <c r="AO125" i="4" s="1"/>
  <c r="AD125" i="4"/>
  <c r="B129" i="4"/>
  <c r="AV130" i="4"/>
  <c r="AY129" i="4"/>
  <c r="AF127" i="4"/>
  <c r="X127" i="4"/>
  <c r="AC127" i="4" s="1"/>
  <c r="U127" i="4"/>
  <c r="AP127" i="4" s="1"/>
  <c r="Q127" i="4"/>
  <c r="Y127" i="4" s="1"/>
  <c r="W127" i="4"/>
  <c r="AB127" i="4" s="1"/>
  <c r="R127" i="4"/>
  <c r="Z127" i="4" s="1"/>
  <c r="V127" i="4"/>
  <c r="AA127" i="4" s="1"/>
  <c r="P128" i="4"/>
  <c r="F128" i="4"/>
  <c r="L128" i="4"/>
  <c r="AL128" i="4"/>
  <c r="K128" i="4"/>
  <c r="AM128" i="4"/>
  <c r="J128" i="4"/>
  <c r="AH128" i="4"/>
  <c r="AJ128" i="4"/>
  <c r="M128" i="4"/>
  <c r="N128" i="4"/>
  <c r="O128" i="4"/>
  <c r="AI128" i="4"/>
  <c r="AK128" i="4"/>
  <c r="AX128" i="4"/>
  <c r="AW128" i="4"/>
  <c r="AB116" i="29" l="1"/>
  <c r="K115" i="29"/>
  <c r="N115" i="29" s="1"/>
  <c r="V115" i="29" s="1"/>
  <c r="W115" i="29" s="1"/>
  <c r="AQ127" i="4"/>
  <c r="AE127" i="4"/>
  <c r="O116" i="29"/>
  <c r="AD119" i="29"/>
  <c r="B118" i="29"/>
  <c r="AI118" i="29"/>
  <c r="Z115" i="29"/>
  <c r="J116" i="29"/>
  <c r="Y116" i="29" s="1"/>
  <c r="I116" i="29"/>
  <c r="AE117" i="29"/>
  <c r="AA117" i="29" s="1"/>
  <c r="AF117" i="29"/>
  <c r="E117" i="29"/>
  <c r="U117" i="29"/>
  <c r="G117" i="29"/>
  <c r="Q117" i="29"/>
  <c r="S117" i="29"/>
  <c r="R117" i="29"/>
  <c r="T117" i="29"/>
  <c r="AG126" i="4"/>
  <c r="AN126" i="4"/>
  <c r="AO126" i="4" s="1"/>
  <c r="O129" i="4"/>
  <c r="AI129" i="4"/>
  <c r="M129" i="4"/>
  <c r="J129" i="4"/>
  <c r="L129" i="4"/>
  <c r="AK129" i="4"/>
  <c r="AH129" i="4"/>
  <c r="K129" i="4"/>
  <c r="AL129" i="4"/>
  <c r="AM129" i="4"/>
  <c r="F129" i="4"/>
  <c r="N129" i="4"/>
  <c r="AJ129" i="4"/>
  <c r="P129" i="4"/>
  <c r="AD127" i="4"/>
  <c r="AD126" i="4"/>
  <c r="AX129" i="4"/>
  <c r="AW129" i="4"/>
  <c r="W128" i="4"/>
  <c r="AB128" i="4" s="1"/>
  <c r="Q128" i="4"/>
  <c r="Y128" i="4" s="1"/>
  <c r="X128" i="4"/>
  <c r="AC128" i="4" s="1"/>
  <c r="V128" i="4"/>
  <c r="AA128" i="4" s="1"/>
  <c r="U128" i="4"/>
  <c r="AP128" i="4" s="1"/>
  <c r="R128" i="4"/>
  <c r="Z128" i="4" s="1"/>
  <c r="AF128" i="4"/>
  <c r="AV131" i="4"/>
  <c r="AY130" i="4"/>
  <c r="B130" i="4"/>
  <c r="AJ130" i="4" l="1"/>
  <c r="O130" i="4"/>
  <c r="K130" i="4"/>
  <c r="AM130" i="4"/>
  <c r="AI130" i="4"/>
  <c r="N130" i="4"/>
  <c r="J130" i="4"/>
  <c r="AK130" i="4"/>
  <c r="L130" i="4"/>
  <c r="P130" i="4"/>
  <c r="M130" i="4"/>
  <c r="AH130" i="4"/>
  <c r="F130" i="4"/>
  <c r="AL130" i="4"/>
  <c r="P115" i="29"/>
  <c r="AB117" i="29"/>
  <c r="K116" i="29"/>
  <c r="N116" i="29" s="1"/>
  <c r="Z116" i="29"/>
  <c r="AQ128" i="4"/>
  <c r="AE128" i="4"/>
  <c r="J117" i="29"/>
  <c r="Y117" i="29" s="1"/>
  <c r="I117" i="29"/>
  <c r="E118" i="29"/>
  <c r="S118" i="29"/>
  <c r="Q118" i="29"/>
  <c r="U118" i="29"/>
  <c r="G118" i="29"/>
  <c r="T118" i="29"/>
  <c r="R118" i="29"/>
  <c r="AD120" i="29"/>
  <c r="B119" i="29"/>
  <c r="AI119" i="29"/>
  <c r="O117" i="29"/>
  <c r="AE118" i="29"/>
  <c r="AA118" i="29" s="1"/>
  <c r="AF118" i="29"/>
  <c r="AX130" i="4"/>
  <c r="AW130" i="4"/>
  <c r="AG127" i="4"/>
  <c r="AN127" i="4"/>
  <c r="AO127" i="4" s="1"/>
  <c r="AF129" i="4"/>
  <c r="AY131" i="4"/>
  <c r="AV132" i="4"/>
  <c r="B131" i="4"/>
  <c r="Q129" i="4"/>
  <c r="Y129" i="4" s="1"/>
  <c r="R129" i="4"/>
  <c r="Z129" i="4" s="1"/>
  <c r="V129" i="4"/>
  <c r="AA129" i="4" s="1"/>
  <c r="W129" i="4"/>
  <c r="AB129" i="4" s="1"/>
  <c r="U129" i="4"/>
  <c r="AP129" i="4" s="1"/>
  <c r="X129" i="4"/>
  <c r="AC129" i="4" s="1"/>
  <c r="AL131" i="4" l="1"/>
  <c r="AH131" i="4"/>
  <c r="M131" i="4"/>
  <c r="F131" i="4"/>
  <c r="AK131" i="4"/>
  <c r="P131" i="4"/>
  <c r="L131" i="4"/>
  <c r="AM131" i="4"/>
  <c r="N131" i="4"/>
  <c r="AI131" i="4"/>
  <c r="O131" i="4"/>
  <c r="AJ131" i="4"/>
  <c r="K131" i="4"/>
  <c r="J131" i="4"/>
  <c r="V116" i="29"/>
  <c r="W116" i="29" s="1"/>
  <c r="P116" i="29"/>
  <c r="K117" i="29"/>
  <c r="N117" i="29" s="1"/>
  <c r="AQ129" i="4"/>
  <c r="AB118" i="29"/>
  <c r="AE129" i="4"/>
  <c r="AD128" i="4"/>
  <c r="J118" i="29"/>
  <c r="Y118" i="29" s="1"/>
  <c r="I118" i="29"/>
  <c r="AD121" i="29"/>
  <c r="B120" i="29"/>
  <c r="AI120" i="29"/>
  <c r="O118" i="29"/>
  <c r="AF119" i="29"/>
  <c r="AE119" i="29"/>
  <c r="AA119" i="29" s="1"/>
  <c r="Z117" i="29"/>
  <c r="E119" i="29"/>
  <c r="R119" i="29"/>
  <c r="G119" i="29"/>
  <c r="T119" i="29"/>
  <c r="Q119" i="29"/>
  <c r="U119" i="29"/>
  <c r="S119" i="29"/>
  <c r="AV133" i="4"/>
  <c r="AY132" i="4"/>
  <c r="B132" i="4"/>
  <c r="X130" i="4"/>
  <c r="AC130" i="4" s="1"/>
  <c r="R130" i="4"/>
  <c r="Z130" i="4" s="1"/>
  <c r="U130" i="4"/>
  <c r="AP130" i="4" s="1"/>
  <c r="Q130" i="4"/>
  <c r="Y130" i="4" s="1"/>
  <c r="V130" i="4"/>
  <c r="AA130" i="4" s="1"/>
  <c r="W130" i="4"/>
  <c r="AB130" i="4" s="1"/>
  <c r="AF130" i="4"/>
  <c r="AW131" i="4"/>
  <c r="AX131" i="4"/>
  <c r="AN128" i="4"/>
  <c r="AO128" i="4" s="1"/>
  <c r="AG128" i="4"/>
  <c r="AJ132" i="4" l="1"/>
  <c r="O132" i="4"/>
  <c r="K132" i="4"/>
  <c r="AM132" i="4"/>
  <c r="AI132" i="4"/>
  <c r="N132" i="4"/>
  <c r="J132" i="4"/>
  <c r="P132" i="4"/>
  <c r="AK132" i="4"/>
  <c r="AH132" i="4"/>
  <c r="AL132" i="4"/>
  <c r="M132" i="4"/>
  <c r="L132" i="4"/>
  <c r="F132" i="4"/>
  <c r="V117" i="29"/>
  <c r="W117" i="29" s="1"/>
  <c r="P117" i="29"/>
  <c r="AB119" i="29"/>
  <c r="K118" i="29"/>
  <c r="N118" i="29" s="1"/>
  <c r="AQ130" i="4"/>
  <c r="AE130" i="4"/>
  <c r="O119" i="29"/>
  <c r="J119" i="29"/>
  <c r="Y119" i="29" s="1"/>
  <c r="I119" i="29"/>
  <c r="AD122" i="29"/>
  <c r="B121" i="29"/>
  <c r="AI121" i="29"/>
  <c r="Z118" i="29"/>
  <c r="AF120" i="29"/>
  <c r="AE120" i="29"/>
  <c r="AA120" i="29" s="1"/>
  <c r="E120" i="29"/>
  <c r="S120" i="29"/>
  <c r="U120" i="29"/>
  <c r="T120" i="29"/>
  <c r="R120" i="29"/>
  <c r="Q120" i="29"/>
  <c r="G120" i="29"/>
  <c r="AN129" i="4"/>
  <c r="AO129" i="4" s="1"/>
  <c r="AG129" i="4"/>
  <c r="AY133" i="4"/>
  <c r="B133" i="4"/>
  <c r="AV134" i="4"/>
  <c r="AD129" i="4"/>
  <c r="AF131" i="4"/>
  <c r="Q131" i="4"/>
  <c r="Y131" i="4" s="1"/>
  <c r="X131" i="4"/>
  <c r="AC131" i="4" s="1"/>
  <c r="V131" i="4"/>
  <c r="AA131" i="4" s="1"/>
  <c r="W131" i="4"/>
  <c r="AB131" i="4" s="1"/>
  <c r="U131" i="4"/>
  <c r="AP131" i="4" s="1"/>
  <c r="R131" i="4"/>
  <c r="Z131" i="4" s="1"/>
  <c r="AW132" i="4"/>
  <c r="AX132" i="4"/>
  <c r="AD130" i="4"/>
  <c r="V118" i="29" l="1"/>
  <c r="W118" i="29" s="1"/>
  <c r="P118" i="29"/>
  <c r="AB120" i="29"/>
  <c r="K119" i="29"/>
  <c r="N119" i="29" s="1"/>
  <c r="AQ131" i="4"/>
  <c r="AE131" i="4"/>
  <c r="AE121" i="29"/>
  <c r="AA121" i="29" s="1"/>
  <c r="AF121" i="29"/>
  <c r="I120" i="29"/>
  <c r="J120" i="29"/>
  <c r="Y120" i="29" s="1"/>
  <c r="E121" i="29"/>
  <c r="S121" i="29"/>
  <c r="R121" i="29"/>
  <c r="T121" i="29"/>
  <c r="U121" i="29"/>
  <c r="G121" i="29"/>
  <c r="Q121" i="29"/>
  <c r="Z119" i="29"/>
  <c r="O120" i="29"/>
  <c r="AD123" i="29"/>
  <c r="B122" i="29"/>
  <c r="AI122" i="29"/>
  <c r="R132" i="4"/>
  <c r="Z132" i="4" s="1"/>
  <c r="V132" i="4"/>
  <c r="AA132" i="4" s="1"/>
  <c r="X132" i="4"/>
  <c r="AC132" i="4" s="1"/>
  <c r="Q132" i="4"/>
  <c r="Y132" i="4" s="1"/>
  <c r="W132" i="4"/>
  <c r="AB132" i="4" s="1"/>
  <c r="U132" i="4"/>
  <c r="AV135" i="4"/>
  <c r="B134" i="4"/>
  <c r="AY134" i="4"/>
  <c r="AF132" i="4"/>
  <c r="N133" i="4"/>
  <c r="AL133" i="4"/>
  <c r="AI133" i="4"/>
  <c r="J133" i="4"/>
  <c r="P133" i="4"/>
  <c r="AK133" i="4"/>
  <c r="M133" i="4"/>
  <c r="K133" i="4"/>
  <c r="AM133" i="4"/>
  <c r="AH133" i="4"/>
  <c r="AJ133" i="4"/>
  <c r="L133" i="4"/>
  <c r="F133" i="4"/>
  <c r="O133" i="4"/>
  <c r="AX133" i="4"/>
  <c r="AW133" i="4"/>
  <c r="AP132" i="4"/>
  <c r="P119" i="29" l="1"/>
  <c r="V119" i="29"/>
  <c r="W119" i="29" s="1"/>
  <c r="AB121" i="29"/>
  <c r="K120" i="29"/>
  <c r="N120" i="29" s="1"/>
  <c r="AQ132" i="4"/>
  <c r="AE132" i="4"/>
  <c r="AE122" i="29"/>
  <c r="AA122" i="29" s="1"/>
  <c r="AF122" i="29"/>
  <c r="I121" i="29"/>
  <c r="J121" i="29"/>
  <c r="Y121" i="29" s="1"/>
  <c r="E122" i="29"/>
  <c r="R122" i="29"/>
  <c r="S122" i="29"/>
  <c r="T122" i="29"/>
  <c r="Q122" i="29"/>
  <c r="U122" i="29"/>
  <c r="G122" i="29"/>
  <c r="AD124" i="29"/>
  <c r="B123" i="29"/>
  <c r="AI123" i="29"/>
  <c r="Z120" i="29"/>
  <c r="O121" i="29"/>
  <c r="AN131" i="4"/>
  <c r="AO131" i="4" s="1"/>
  <c r="AG131" i="4"/>
  <c r="V133" i="4"/>
  <c r="AA133" i="4" s="1"/>
  <c r="Q133" i="4"/>
  <c r="Y133" i="4" s="1"/>
  <c r="X133" i="4"/>
  <c r="AC133" i="4" s="1"/>
  <c r="R133" i="4"/>
  <c r="Z133" i="4" s="1"/>
  <c r="W133" i="4"/>
  <c r="AB133" i="4" s="1"/>
  <c r="U133" i="4"/>
  <c r="AN130" i="4"/>
  <c r="AO130" i="4" s="1"/>
  <c r="AG130" i="4"/>
  <c r="AW134" i="4"/>
  <c r="AX134" i="4"/>
  <c r="F134" i="4"/>
  <c r="K134" i="4"/>
  <c r="AJ134" i="4"/>
  <c r="AM134" i="4"/>
  <c r="AH134" i="4"/>
  <c r="M134" i="4"/>
  <c r="O134" i="4"/>
  <c r="AI134" i="4"/>
  <c r="J134" i="4"/>
  <c r="AL134" i="4"/>
  <c r="P134" i="4"/>
  <c r="AK134" i="4"/>
  <c r="L134" i="4"/>
  <c r="N134" i="4"/>
  <c r="AD131" i="4"/>
  <c r="AF133" i="4"/>
  <c r="AV136" i="4"/>
  <c r="AY135" i="4"/>
  <c r="B135" i="4"/>
  <c r="AD132" i="4"/>
  <c r="AP133" i="4"/>
  <c r="P120" i="29" l="1"/>
  <c r="V120" i="29"/>
  <c r="W120" i="29" s="1"/>
  <c r="K121" i="29"/>
  <c r="N121" i="29" s="1"/>
  <c r="AB122" i="29"/>
  <c r="AQ133" i="4"/>
  <c r="AE133" i="4"/>
  <c r="O122" i="29"/>
  <c r="AE123" i="29"/>
  <c r="AA123" i="29" s="1"/>
  <c r="AF123" i="29"/>
  <c r="E123" i="29"/>
  <c r="U123" i="29"/>
  <c r="S123" i="29"/>
  <c r="Q123" i="29"/>
  <c r="R123" i="29"/>
  <c r="G123" i="29"/>
  <c r="T123" i="29"/>
  <c r="J122" i="29"/>
  <c r="Y122" i="29" s="1"/>
  <c r="Z122" i="29" s="1"/>
  <c r="I122" i="29"/>
  <c r="AD125" i="29"/>
  <c r="B124" i="29"/>
  <c r="AI124" i="29"/>
  <c r="Z121" i="29"/>
  <c r="R134" i="4"/>
  <c r="Z134" i="4" s="1"/>
  <c r="U134" i="4"/>
  <c r="AP134" i="4" s="1"/>
  <c r="V134" i="4"/>
  <c r="AA134" i="4" s="1"/>
  <c r="X134" i="4"/>
  <c r="AC134" i="4" s="1"/>
  <c r="Q134" i="4"/>
  <c r="Y134" i="4" s="1"/>
  <c r="W134" i="4"/>
  <c r="AB134" i="4" s="1"/>
  <c r="AW135" i="4"/>
  <c r="AX135" i="4"/>
  <c r="AF134" i="4"/>
  <c r="AY136" i="4"/>
  <c r="AV137" i="4"/>
  <c r="B136" i="4"/>
  <c r="O135" i="4"/>
  <c r="AL135" i="4"/>
  <c r="K135" i="4"/>
  <c r="J135" i="4"/>
  <c r="N135" i="4"/>
  <c r="AI135" i="4"/>
  <c r="L135" i="4"/>
  <c r="AH135" i="4"/>
  <c r="AM135" i="4"/>
  <c r="P135" i="4"/>
  <c r="AJ135" i="4"/>
  <c r="AK135" i="4"/>
  <c r="M135" i="4"/>
  <c r="F135" i="4"/>
  <c r="AD133" i="4"/>
  <c r="P121" i="29" l="1"/>
  <c r="V121" i="29"/>
  <c r="W121" i="29" s="1"/>
  <c r="AB123" i="29"/>
  <c r="K122" i="29"/>
  <c r="N122" i="29" s="1"/>
  <c r="AQ134" i="4"/>
  <c r="AE134" i="4"/>
  <c r="O123" i="29"/>
  <c r="AF124" i="29"/>
  <c r="AE124" i="29"/>
  <c r="AA124" i="29" s="1"/>
  <c r="E124" i="29"/>
  <c r="U124" i="29"/>
  <c r="S124" i="29"/>
  <c r="R124" i="29"/>
  <c r="G124" i="29"/>
  <c r="Q124" i="29"/>
  <c r="T124" i="29"/>
  <c r="J123" i="29"/>
  <c r="Y123" i="29" s="1"/>
  <c r="I123" i="29"/>
  <c r="AD126" i="29"/>
  <c r="B125" i="29"/>
  <c r="AI125" i="29"/>
  <c r="AK136" i="4"/>
  <c r="F136" i="4"/>
  <c r="AL136" i="4"/>
  <c r="J136" i="4"/>
  <c r="O136" i="4"/>
  <c r="N136" i="4"/>
  <c r="P136" i="4"/>
  <c r="AJ136" i="4"/>
  <c r="AH136" i="4"/>
  <c r="M136" i="4"/>
  <c r="L136" i="4"/>
  <c r="AM136" i="4"/>
  <c r="AI136" i="4"/>
  <c r="K136" i="4"/>
  <c r="AF135" i="4"/>
  <c r="AV138" i="4"/>
  <c r="B137" i="4"/>
  <c r="AY137" i="4"/>
  <c r="AX136" i="4"/>
  <c r="AW136" i="4"/>
  <c r="AG132" i="4"/>
  <c r="AN132" i="4"/>
  <c r="AO132" i="4" s="1"/>
  <c r="U135" i="4"/>
  <c r="AP135" i="4" s="1"/>
  <c r="R135" i="4"/>
  <c r="Z135" i="4" s="1"/>
  <c r="V135" i="4"/>
  <c r="AA135" i="4" s="1"/>
  <c r="X135" i="4"/>
  <c r="AC135" i="4" s="1"/>
  <c r="W135" i="4"/>
  <c r="AB135" i="4" s="1"/>
  <c r="Q135" i="4"/>
  <c r="Y135" i="4" s="1"/>
  <c r="AD134" i="4"/>
  <c r="V122" i="29" l="1"/>
  <c r="W122" i="29" s="1"/>
  <c r="P122" i="29"/>
  <c r="AB124" i="29"/>
  <c r="K123" i="29"/>
  <c r="N123" i="29" s="1"/>
  <c r="AQ135" i="4"/>
  <c r="AE135" i="4"/>
  <c r="AD127" i="29"/>
  <c r="B126" i="29"/>
  <c r="AI126" i="29"/>
  <c r="O124" i="29"/>
  <c r="I124" i="29"/>
  <c r="J124" i="29"/>
  <c r="Y124" i="29" s="1"/>
  <c r="Z123" i="29"/>
  <c r="AE125" i="29"/>
  <c r="AA125" i="29" s="1"/>
  <c r="AF125" i="29"/>
  <c r="E125" i="29"/>
  <c r="R125" i="29"/>
  <c r="Q125" i="29"/>
  <c r="U125" i="29"/>
  <c r="S125" i="29"/>
  <c r="T125" i="29"/>
  <c r="G125" i="29"/>
  <c r="U136" i="4"/>
  <c r="AP136" i="4" s="1"/>
  <c r="W136" i="4"/>
  <c r="AB136" i="4" s="1"/>
  <c r="Q136" i="4"/>
  <c r="Y136" i="4" s="1"/>
  <c r="R136" i="4"/>
  <c r="Z136" i="4" s="1"/>
  <c r="V136" i="4"/>
  <c r="AA136" i="4" s="1"/>
  <c r="X136" i="4"/>
  <c r="AC136" i="4" s="1"/>
  <c r="AN133" i="4"/>
  <c r="AO133" i="4" s="1"/>
  <c r="AG133" i="4"/>
  <c r="AN134" i="4"/>
  <c r="AO134" i="4" s="1"/>
  <c r="AG134" i="4"/>
  <c r="AW137" i="4"/>
  <c r="AX137" i="4"/>
  <c r="AK137" i="4"/>
  <c r="N137" i="4"/>
  <c r="AH137" i="4"/>
  <c r="M137" i="4"/>
  <c r="L137" i="4"/>
  <c r="F137" i="4"/>
  <c r="AI137" i="4"/>
  <c r="K137" i="4"/>
  <c r="AL137" i="4"/>
  <c r="AM137" i="4"/>
  <c r="P137" i="4"/>
  <c r="AJ137" i="4"/>
  <c r="J137" i="4"/>
  <c r="O137" i="4"/>
  <c r="AY138" i="4"/>
  <c r="AV139" i="4"/>
  <c r="B138" i="4"/>
  <c r="AF136" i="4"/>
  <c r="V123" i="29" l="1"/>
  <c r="W123" i="29" s="1"/>
  <c r="P123" i="29"/>
  <c r="AB125" i="29"/>
  <c r="K124" i="29"/>
  <c r="N124" i="29" s="1"/>
  <c r="Z124" i="29"/>
  <c r="AQ136" i="4"/>
  <c r="AE136" i="4"/>
  <c r="J125" i="29"/>
  <c r="Y125" i="29" s="1"/>
  <c r="I125" i="29"/>
  <c r="AF126" i="29"/>
  <c r="AE126" i="29"/>
  <c r="AA126" i="29" s="1"/>
  <c r="E126" i="29"/>
  <c r="T126" i="29"/>
  <c r="U126" i="29"/>
  <c r="G126" i="29"/>
  <c r="R126" i="29"/>
  <c r="S126" i="29"/>
  <c r="Q126" i="29"/>
  <c r="O125" i="29"/>
  <c r="AD128" i="29"/>
  <c r="B127" i="29"/>
  <c r="AI127" i="29"/>
  <c r="AG135" i="4"/>
  <c r="AI138" i="4"/>
  <c r="K138" i="4"/>
  <c r="P138" i="4"/>
  <c r="AL138" i="4"/>
  <c r="AJ138" i="4"/>
  <c r="F138" i="4"/>
  <c r="N138" i="4"/>
  <c r="AH138" i="4"/>
  <c r="O138" i="4"/>
  <c r="M138" i="4"/>
  <c r="L138" i="4"/>
  <c r="AM138" i="4"/>
  <c r="J138" i="4"/>
  <c r="AK138" i="4"/>
  <c r="AV140" i="4"/>
  <c r="B139" i="4"/>
  <c r="AY139" i="4"/>
  <c r="AX138" i="4"/>
  <c r="AW138" i="4"/>
  <c r="AD135" i="4"/>
  <c r="W137" i="4"/>
  <c r="AB137" i="4" s="1"/>
  <c r="V137" i="4"/>
  <c r="AA137" i="4" s="1"/>
  <c r="X137" i="4"/>
  <c r="AC137" i="4" s="1"/>
  <c r="R137" i="4"/>
  <c r="Z137" i="4" s="1"/>
  <c r="Q137" i="4"/>
  <c r="Y137" i="4" s="1"/>
  <c r="U137" i="4"/>
  <c r="AP137" i="4" s="1"/>
  <c r="AF137" i="4"/>
  <c r="P124" i="29" l="1"/>
  <c r="V124" i="29"/>
  <c r="W124" i="29" s="1"/>
  <c r="K125" i="29"/>
  <c r="N125" i="29" s="1"/>
  <c r="AB126" i="29"/>
  <c r="AQ137" i="4"/>
  <c r="AE137" i="4"/>
  <c r="AN135" i="4"/>
  <c r="AO135" i="4" s="1"/>
  <c r="AE127" i="29"/>
  <c r="AA127" i="29" s="1"/>
  <c r="AF127" i="29"/>
  <c r="I126" i="29"/>
  <c r="J126" i="29"/>
  <c r="Y126" i="29" s="1"/>
  <c r="E127" i="29"/>
  <c r="T127" i="29"/>
  <c r="U127" i="29"/>
  <c r="R127" i="29"/>
  <c r="G127" i="29"/>
  <c r="Q127" i="29"/>
  <c r="S127" i="29"/>
  <c r="Z125" i="29"/>
  <c r="O126" i="29"/>
  <c r="AD129" i="29"/>
  <c r="B128" i="29"/>
  <c r="AI128" i="29"/>
  <c r="AG136" i="4"/>
  <c r="AN136" i="4"/>
  <c r="AO136" i="4" s="1"/>
  <c r="AF138" i="4"/>
  <c r="AX139" i="4"/>
  <c r="AW139" i="4"/>
  <c r="AL139" i="4"/>
  <c r="M139" i="4"/>
  <c r="AM139" i="4"/>
  <c r="AI139" i="4"/>
  <c r="K139" i="4"/>
  <c r="L139" i="4"/>
  <c r="P139" i="4"/>
  <c r="O139" i="4"/>
  <c r="F139" i="4"/>
  <c r="AJ139" i="4"/>
  <c r="AK139" i="4"/>
  <c r="N139" i="4"/>
  <c r="J139" i="4"/>
  <c r="AH139" i="4"/>
  <c r="AD137" i="4"/>
  <c r="AD136" i="4"/>
  <c r="Q138" i="4"/>
  <c r="Y138" i="4" s="1"/>
  <c r="R138" i="4"/>
  <c r="Z138" i="4" s="1"/>
  <c r="V138" i="4"/>
  <c r="AA138" i="4" s="1"/>
  <c r="U138" i="4"/>
  <c r="AP138" i="4" s="1"/>
  <c r="W138" i="4"/>
  <c r="AB138" i="4" s="1"/>
  <c r="X138" i="4"/>
  <c r="AC138" i="4" s="1"/>
  <c r="AV141" i="4"/>
  <c r="AY140" i="4"/>
  <c r="B140" i="4"/>
  <c r="P125" i="29" l="1"/>
  <c r="V125" i="29"/>
  <c r="W125" i="29" s="1"/>
  <c r="K126" i="29"/>
  <c r="N126" i="29" s="1"/>
  <c r="AB127" i="29"/>
  <c r="AQ138" i="4"/>
  <c r="AE138" i="4"/>
  <c r="AE128" i="29"/>
  <c r="AA128" i="29" s="1"/>
  <c r="AF128" i="29"/>
  <c r="Z126" i="29"/>
  <c r="O127" i="29"/>
  <c r="E128" i="29"/>
  <c r="G128" i="29"/>
  <c r="U128" i="29"/>
  <c r="S128" i="29"/>
  <c r="R128" i="29"/>
  <c r="Q128" i="29"/>
  <c r="T128" i="29"/>
  <c r="AD130" i="29"/>
  <c r="B129" i="29"/>
  <c r="AI129" i="29"/>
  <c r="J127" i="29"/>
  <c r="Y127" i="29" s="1"/>
  <c r="Z127" i="29" s="1"/>
  <c r="I127" i="29"/>
  <c r="AF139" i="4"/>
  <c r="P140" i="4"/>
  <c r="K140" i="4"/>
  <c r="AK140" i="4"/>
  <c r="J140" i="4"/>
  <c r="AL140" i="4"/>
  <c r="L140" i="4"/>
  <c r="F140" i="4"/>
  <c r="AM140" i="4"/>
  <c r="AJ140" i="4"/>
  <c r="N140" i="4"/>
  <c r="O140" i="4"/>
  <c r="M140" i="4"/>
  <c r="AI140" i="4"/>
  <c r="AH140" i="4"/>
  <c r="AX140" i="4"/>
  <c r="AW140" i="4"/>
  <c r="AD138" i="4"/>
  <c r="AV142" i="4"/>
  <c r="B141" i="4"/>
  <c r="AY141" i="4"/>
  <c r="W139" i="4"/>
  <c r="AB139" i="4" s="1"/>
  <c r="U139" i="4"/>
  <c r="AP139" i="4" s="1"/>
  <c r="X139" i="4"/>
  <c r="AC139" i="4" s="1"/>
  <c r="V139" i="4"/>
  <c r="AA139" i="4" s="1"/>
  <c r="Q139" i="4"/>
  <c r="Y139" i="4" s="1"/>
  <c r="R139" i="4"/>
  <c r="Z139" i="4" s="1"/>
  <c r="AQ139" i="4" s="1"/>
  <c r="V126" i="29" l="1"/>
  <c r="W126" i="29" s="1"/>
  <c r="P126" i="29"/>
  <c r="AB128" i="29"/>
  <c r="K127" i="29"/>
  <c r="N127" i="29" s="1"/>
  <c r="AE139" i="4"/>
  <c r="AE129" i="29"/>
  <c r="AA129" i="29" s="1"/>
  <c r="AF129" i="29"/>
  <c r="E129" i="29"/>
  <c r="G129" i="29"/>
  <c r="Q129" i="29"/>
  <c r="S129" i="29"/>
  <c r="U129" i="29"/>
  <c r="T129" i="29"/>
  <c r="R129" i="29"/>
  <c r="AD131" i="29"/>
  <c r="B130" i="29"/>
  <c r="AI130" i="29"/>
  <c r="O128" i="29"/>
  <c r="J128" i="29"/>
  <c r="Y128" i="29" s="1"/>
  <c r="I128" i="29"/>
  <c r="K128" i="29" s="1"/>
  <c r="AX141" i="4"/>
  <c r="AW141" i="4"/>
  <c r="O141" i="4"/>
  <c r="F141" i="4"/>
  <c r="AJ141" i="4"/>
  <c r="K141" i="4"/>
  <c r="L141" i="4"/>
  <c r="J141" i="4"/>
  <c r="AL141" i="4"/>
  <c r="M141" i="4"/>
  <c r="P141" i="4"/>
  <c r="AI141" i="4"/>
  <c r="N141" i="4"/>
  <c r="AM141" i="4"/>
  <c r="AH141" i="4"/>
  <c r="AK141" i="4"/>
  <c r="V140" i="4"/>
  <c r="AA140" i="4" s="1"/>
  <c r="U140" i="4"/>
  <c r="AP140" i="4" s="1"/>
  <c r="X140" i="4"/>
  <c r="AC140" i="4" s="1"/>
  <c r="Q140" i="4"/>
  <c r="Y140" i="4" s="1"/>
  <c r="W140" i="4"/>
  <c r="AB140" i="4" s="1"/>
  <c r="R140" i="4"/>
  <c r="Z140" i="4" s="1"/>
  <c r="AQ140" i="4" s="1"/>
  <c r="AF140" i="4"/>
  <c r="AG137" i="4"/>
  <c r="AN137" i="4"/>
  <c r="AO137" i="4" s="1"/>
  <c r="AY142" i="4"/>
  <c r="AV143" i="4"/>
  <c r="B142" i="4"/>
  <c r="P127" i="29" l="1"/>
  <c r="V127" i="29"/>
  <c r="W127" i="29" s="1"/>
  <c r="AB129" i="29"/>
  <c r="N128" i="29"/>
  <c r="V128" i="29" s="1"/>
  <c r="W128" i="29" s="1"/>
  <c r="AE140" i="4"/>
  <c r="Z128" i="29"/>
  <c r="AF130" i="29"/>
  <c r="AE130" i="29"/>
  <c r="AA130" i="29" s="1"/>
  <c r="O129" i="29"/>
  <c r="E130" i="29"/>
  <c r="U130" i="29"/>
  <c r="G130" i="29"/>
  <c r="Q130" i="29"/>
  <c r="S130" i="29"/>
  <c r="R130" i="29"/>
  <c r="T130" i="29"/>
  <c r="AD132" i="29"/>
  <c r="B131" i="29"/>
  <c r="AI131" i="29"/>
  <c r="J129" i="29"/>
  <c r="Y129" i="29" s="1"/>
  <c r="I129" i="29"/>
  <c r="K129" i="29" s="1"/>
  <c r="AG139" i="4"/>
  <c r="AN139" i="4"/>
  <c r="AO139" i="4" s="1"/>
  <c r="AW142" i="4"/>
  <c r="AX142" i="4"/>
  <c r="AF141" i="4"/>
  <c r="Q141" i="4"/>
  <c r="Y141" i="4" s="1"/>
  <c r="U141" i="4"/>
  <c r="W141" i="4"/>
  <c r="AB141" i="4" s="1"/>
  <c r="X141" i="4"/>
  <c r="AC141" i="4" s="1"/>
  <c r="V141" i="4"/>
  <c r="AA141" i="4" s="1"/>
  <c r="R141" i="4"/>
  <c r="Z141" i="4" s="1"/>
  <c r="AG138" i="4"/>
  <c r="AN138" i="4"/>
  <c r="AO138" i="4" s="1"/>
  <c r="AM142" i="4"/>
  <c r="M142" i="4"/>
  <c r="L142" i="4"/>
  <c r="P142" i="4"/>
  <c r="J142" i="4"/>
  <c r="AL142" i="4"/>
  <c r="AK142" i="4"/>
  <c r="AI142" i="4"/>
  <c r="AJ142" i="4"/>
  <c r="N142" i="4"/>
  <c r="AH142" i="4"/>
  <c r="O142" i="4"/>
  <c r="F142" i="4"/>
  <c r="K142" i="4"/>
  <c r="AP141" i="4"/>
  <c r="AD140" i="4"/>
  <c r="AD139" i="4"/>
  <c r="AY143" i="4"/>
  <c r="AV144" i="4"/>
  <c r="B143" i="4"/>
  <c r="P128" i="29" l="1"/>
  <c r="AB130" i="29"/>
  <c r="N129" i="29"/>
  <c r="AQ141" i="4"/>
  <c r="AE141" i="4"/>
  <c r="V129" i="29"/>
  <c r="W129" i="29" s="1"/>
  <c r="P129" i="29"/>
  <c r="AD133" i="29"/>
  <c r="B132" i="29"/>
  <c r="AI132" i="29"/>
  <c r="AE131" i="29"/>
  <c r="AA131" i="29" s="1"/>
  <c r="AF131" i="29"/>
  <c r="O130" i="29"/>
  <c r="Z129" i="29"/>
  <c r="E131" i="29"/>
  <c r="T131" i="29"/>
  <c r="G131" i="29"/>
  <c r="S131" i="29"/>
  <c r="Q131" i="29"/>
  <c r="U131" i="29"/>
  <c r="R131" i="29"/>
  <c r="J130" i="29"/>
  <c r="Y130" i="29" s="1"/>
  <c r="Z130" i="29" s="1"/>
  <c r="I130" i="29"/>
  <c r="L262" i="7"/>
  <c r="X142" i="4"/>
  <c r="AC142" i="4" s="1"/>
  <c r="V142" i="4"/>
  <c r="AA142" i="4" s="1"/>
  <c r="U142" i="4"/>
  <c r="AP142" i="4" s="1"/>
  <c r="R142" i="4"/>
  <c r="Z142" i="4" s="1"/>
  <c r="Q142" i="4"/>
  <c r="Y142" i="4" s="1"/>
  <c r="W142" i="4"/>
  <c r="AB142" i="4" s="1"/>
  <c r="AJ143" i="4"/>
  <c r="N143" i="4"/>
  <c r="AM143" i="4"/>
  <c r="F143" i="4"/>
  <c r="L143" i="4"/>
  <c r="AH143" i="4"/>
  <c r="AL143" i="4"/>
  <c r="K143" i="4"/>
  <c r="P143" i="4"/>
  <c r="AK143" i="4"/>
  <c r="J143" i="4"/>
  <c r="AI143" i="4"/>
  <c r="O143" i="4"/>
  <c r="M143" i="4"/>
  <c r="AV145" i="4"/>
  <c r="B144" i="4"/>
  <c r="AY144" i="4"/>
  <c r="AV148" i="4"/>
  <c r="AF142" i="4"/>
  <c r="AX143" i="4"/>
  <c r="AW143" i="4"/>
  <c r="AB131" i="29" l="1"/>
  <c r="K130" i="29"/>
  <c r="N130" i="29" s="1"/>
  <c r="AQ142" i="4"/>
  <c r="AE142" i="4"/>
  <c r="AD134" i="29"/>
  <c r="B133" i="29"/>
  <c r="AI133" i="29"/>
  <c r="J131" i="29"/>
  <c r="Y131" i="29" s="1"/>
  <c r="I131" i="29"/>
  <c r="K131" i="29" s="1"/>
  <c r="O131" i="29"/>
  <c r="AE132" i="29"/>
  <c r="AA132" i="29" s="1"/>
  <c r="AF132" i="29"/>
  <c r="E132" i="29"/>
  <c r="T132" i="29"/>
  <c r="U132" i="29"/>
  <c r="G132" i="29"/>
  <c r="S132" i="29"/>
  <c r="Q132" i="29"/>
  <c r="R132" i="29"/>
  <c r="AN141" i="4"/>
  <c r="AO141" i="4" s="1"/>
  <c r="AG141" i="4"/>
  <c r="P144" i="4"/>
  <c r="F144" i="4"/>
  <c r="K144" i="4"/>
  <c r="M144" i="4"/>
  <c r="AL144" i="4"/>
  <c r="AM144" i="4"/>
  <c r="AJ144" i="4"/>
  <c r="L144" i="4"/>
  <c r="N144" i="4"/>
  <c r="J144" i="4"/>
  <c r="AH144" i="4"/>
  <c r="AI144" i="4"/>
  <c r="AK144" i="4"/>
  <c r="O144" i="4"/>
  <c r="AG140" i="4"/>
  <c r="AN140" i="4"/>
  <c r="AO140" i="4" s="1"/>
  <c r="AF143" i="4"/>
  <c r="R143" i="4"/>
  <c r="Z143" i="4" s="1"/>
  <c r="W143" i="4"/>
  <c r="AB143" i="4" s="1"/>
  <c r="U143" i="4"/>
  <c r="AP143" i="4" s="1"/>
  <c r="Q143" i="4"/>
  <c r="Y143" i="4" s="1"/>
  <c r="V143" i="4"/>
  <c r="AA143" i="4" s="1"/>
  <c r="X143" i="4"/>
  <c r="AC143" i="4" s="1"/>
  <c r="B145" i="4"/>
  <c r="AV146" i="4"/>
  <c r="AV149" i="4"/>
  <c r="AY145" i="4"/>
  <c r="AY148" i="4"/>
  <c r="B148" i="4"/>
  <c r="AW144" i="4"/>
  <c r="AX144" i="4"/>
  <c r="AD141" i="4"/>
  <c r="L263" i="7"/>
  <c r="P130" i="29" l="1"/>
  <c r="V130" i="29"/>
  <c r="W130" i="29" s="1"/>
  <c r="AB132" i="29"/>
  <c r="N131" i="29"/>
  <c r="P131" i="29" s="1"/>
  <c r="AQ143" i="4"/>
  <c r="AE143" i="4"/>
  <c r="V131" i="29"/>
  <c r="W131" i="29" s="1"/>
  <c r="AF133" i="29"/>
  <c r="AE133" i="29"/>
  <c r="AA133" i="29" s="1"/>
  <c r="Z131" i="29"/>
  <c r="E133" i="29"/>
  <c r="T133" i="29"/>
  <c r="G133" i="29"/>
  <c r="R133" i="29"/>
  <c r="Q133" i="29"/>
  <c r="U133" i="29"/>
  <c r="S133" i="29"/>
  <c r="AD135" i="29"/>
  <c r="B134" i="29"/>
  <c r="AI134" i="29"/>
  <c r="O132" i="29"/>
  <c r="I132" i="29"/>
  <c r="K132" i="29" s="1"/>
  <c r="J132" i="29"/>
  <c r="Y132" i="29" s="1"/>
  <c r="AN142" i="4"/>
  <c r="AO142" i="4" s="1"/>
  <c r="AG142" i="4"/>
  <c r="V144" i="4"/>
  <c r="AA144" i="4" s="1"/>
  <c r="W144" i="4"/>
  <c r="AB144" i="4" s="1"/>
  <c r="U144" i="4"/>
  <c r="AP144" i="4" s="1"/>
  <c r="X144" i="4"/>
  <c r="AC144" i="4" s="1"/>
  <c r="R144" i="4"/>
  <c r="Z144" i="4" s="1"/>
  <c r="Q144" i="4"/>
  <c r="Y144" i="4" s="1"/>
  <c r="AD142" i="4"/>
  <c r="AM145" i="4"/>
  <c r="F145" i="4"/>
  <c r="AJ145" i="4"/>
  <c r="AK145" i="4"/>
  <c r="AL145" i="4"/>
  <c r="J145" i="4"/>
  <c r="AH145" i="4"/>
  <c r="M145" i="4"/>
  <c r="N145" i="4"/>
  <c r="K145" i="4"/>
  <c r="AI145" i="4"/>
  <c r="P145" i="4"/>
  <c r="O145" i="4"/>
  <c r="L145" i="4"/>
  <c r="AX145" i="4"/>
  <c r="AW145" i="4"/>
  <c r="AM148" i="4"/>
  <c r="L148" i="4"/>
  <c r="AL148" i="4"/>
  <c r="AJ148" i="4"/>
  <c r="P148" i="4"/>
  <c r="AK148" i="4"/>
  <c r="O148" i="4"/>
  <c r="F148" i="4"/>
  <c r="M148" i="4"/>
  <c r="K148" i="4"/>
  <c r="N148" i="4"/>
  <c r="AH148" i="4"/>
  <c r="AI148" i="4"/>
  <c r="J148" i="4"/>
  <c r="AY149" i="4"/>
  <c r="B149" i="4"/>
  <c r="AX148" i="4"/>
  <c r="AW148" i="4"/>
  <c r="AV147" i="4"/>
  <c r="AV150" i="4"/>
  <c r="B146" i="4"/>
  <c r="AY146" i="4"/>
  <c r="AF144" i="4"/>
  <c r="AL146" i="4" l="1"/>
  <c r="AH146" i="4"/>
  <c r="M146" i="4"/>
  <c r="F146" i="4"/>
  <c r="AK146" i="4"/>
  <c r="P146" i="4"/>
  <c r="L146" i="4"/>
  <c r="AI146" i="4"/>
  <c r="J146" i="4"/>
  <c r="AM146" i="4"/>
  <c r="AJ146" i="4"/>
  <c r="O146" i="4"/>
  <c r="N146" i="4"/>
  <c r="K146" i="4"/>
  <c r="AB133" i="29"/>
  <c r="N132" i="29"/>
  <c r="P132" i="29" s="1"/>
  <c r="AQ144" i="4"/>
  <c r="AE144" i="4"/>
  <c r="AD143" i="4"/>
  <c r="V132" i="29"/>
  <c r="W132" i="29" s="1"/>
  <c r="AD136" i="29"/>
  <c r="B135" i="29"/>
  <c r="AI135" i="29"/>
  <c r="I133" i="29"/>
  <c r="K133" i="29" s="1"/>
  <c r="J133" i="29"/>
  <c r="Y133" i="29" s="1"/>
  <c r="Z132" i="29"/>
  <c r="AF134" i="29"/>
  <c r="AE134" i="29"/>
  <c r="AA134" i="29" s="1"/>
  <c r="E134" i="29"/>
  <c r="U134" i="29"/>
  <c r="S134" i="29"/>
  <c r="R134" i="29"/>
  <c r="Q134" i="29"/>
  <c r="G134" i="29"/>
  <c r="T134" i="29"/>
  <c r="O133" i="29"/>
  <c r="AY147" i="4"/>
  <c r="AV151" i="4"/>
  <c r="B147" i="4"/>
  <c r="AW146" i="4"/>
  <c r="AX146" i="4"/>
  <c r="AM149" i="4"/>
  <c r="L149" i="4"/>
  <c r="AI149" i="4"/>
  <c r="O149" i="4"/>
  <c r="M149" i="4"/>
  <c r="N149" i="4"/>
  <c r="P149" i="4"/>
  <c r="K149" i="4"/>
  <c r="AK149" i="4"/>
  <c r="AJ149" i="4"/>
  <c r="J149" i="4"/>
  <c r="F149" i="4"/>
  <c r="AL149" i="4"/>
  <c r="AH149" i="4"/>
  <c r="AF148" i="4"/>
  <c r="AF145" i="4"/>
  <c r="AG143" i="4"/>
  <c r="AN143" i="4"/>
  <c r="AO143" i="4" s="1"/>
  <c r="AX149" i="4"/>
  <c r="AW149" i="4"/>
  <c r="AD144" i="4"/>
  <c r="AY150" i="4"/>
  <c r="B150" i="4"/>
  <c r="U148" i="4"/>
  <c r="AP148" i="4" s="1"/>
  <c r="X148" i="4"/>
  <c r="AC148" i="4" s="1"/>
  <c r="R148" i="4"/>
  <c r="Z148" i="4" s="1"/>
  <c r="W148" i="4"/>
  <c r="AB148" i="4" s="1"/>
  <c r="V148" i="4"/>
  <c r="AA148" i="4" s="1"/>
  <c r="Q148" i="4"/>
  <c r="Y148" i="4" s="1"/>
  <c r="V145" i="4"/>
  <c r="AA145" i="4" s="1"/>
  <c r="R145" i="4"/>
  <c r="Z145" i="4" s="1"/>
  <c r="X145" i="4"/>
  <c r="AC145" i="4" s="1"/>
  <c r="U145" i="4"/>
  <c r="AP145" i="4" s="1"/>
  <c r="Q145" i="4"/>
  <c r="Y145" i="4" s="1"/>
  <c r="W145" i="4"/>
  <c r="AB145" i="4" s="1"/>
  <c r="AJ147" i="4" l="1"/>
  <c r="O147" i="4"/>
  <c r="K147" i="4"/>
  <c r="AM147" i="4"/>
  <c r="AI147" i="4"/>
  <c r="N147" i="4"/>
  <c r="J147" i="4"/>
  <c r="AK147" i="4"/>
  <c r="L147" i="4"/>
  <c r="AL147" i="4"/>
  <c r="AH147" i="4"/>
  <c r="F147" i="4"/>
  <c r="P147" i="4"/>
  <c r="M147" i="4"/>
  <c r="AB134" i="29"/>
  <c r="N133" i="29"/>
  <c r="V133" i="29" s="1"/>
  <c r="W133" i="29" s="1"/>
  <c r="AQ145" i="4"/>
  <c r="AQ148" i="4"/>
  <c r="AE148" i="4"/>
  <c r="AE145" i="4"/>
  <c r="O134" i="29"/>
  <c r="AF135" i="29"/>
  <c r="AE135" i="29"/>
  <c r="AA135" i="29" s="1"/>
  <c r="E135" i="29"/>
  <c r="G135" i="29"/>
  <c r="S135" i="29"/>
  <c r="R135" i="29"/>
  <c r="Q135" i="29"/>
  <c r="U135" i="29"/>
  <c r="T135" i="29"/>
  <c r="Z133" i="29"/>
  <c r="J134" i="29"/>
  <c r="Y134" i="29" s="1"/>
  <c r="I134" i="29"/>
  <c r="AD137" i="29"/>
  <c r="B136" i="29"/>
  <c r="AI136" i="29"/>
  <c r="AH150" i="4"/>
  <c r="AJ150" i="4"/>
  <c r="M150" i="4"/>
  <c r="N150" i="4"/>
  <c r="AI150" i="4"/>
  <c r="J150" i="4"/>
  <c r="L150" i="4"/>
  <c r="AK150" i="4"/>
  <c r="AL150" i="4"/>
  <c r="P150" i="4"/>
  <c r="AM150" i="4"/>
  <c r="O150" i="4"/>
  <c r="K150" i="4"/>
  <c r="F150" i="4"/>
  <c r="AV152" i="4"/>
  <c r="AY151" i="4"/>
  <c r="B151" i="4"/>
  <c r="AD145" i="4"/>
  <c r="AW150" i="4"/>
  <c r="AX150" i="4"/>
  <c r="AF146" i="4"/>
  <c r="AF149" i="4"/>
  <c r="AW147" i="4"/>
  <c r="AX147" i="4"/>
  <c r="AN144" i="4"/>
  <c r="AO144" i="4" s="1"/>
  <c r="AG144" i="4"/>
  <c r="Q149" i="4"/>
  <c r="Y149" i="4" s="1"/>
  <c r="W149" i="4"/>
  <c r="AB149" i="4" s="1"/>
  <c r="X149" i="4"/>
  <c r="AC149" i="4" s="1"/>
  <c r="V149" i="4"/>
  <c r="AA149" i="4" s="1"/>
  <c r="R149" i="4"/>
  <c r="Z149" i="4" s="1"/>
  <c r="U149" i="4"/>
  <c r="AP149" i="4" s="1"/>
  <c r="W146" i="4"/>
  <c r="AB146" i="4" s="1"/>
  <c r="R146" i="4"/>
  <c r="Z146" i="4" s="1"/>
  <c r="X146" i="4"/>
  <c r="AC146" i="4" s="1"/>
  <c r="U146" i="4"/>
  <c r="AP146" i="4" s="1"/>
  <c r="Q146" i="4"/>
  <c r="Y146" i="4" s="1"/>
  <c r="V146" i="4"/>
  <c r="AA146" i="4" s="1"/>
  <c r="AB135" i="29" l="1"/>
  <c r="P133" i="29"/>
  <c r="K134" i="29"/>
  <c r="N134" i="29" s="1"/>
  <c r="AQ146" i="4"/>
  <c r="AQ149" i="4"/>
  <c r="AE146" i="4"/>
  <c r="AE149" i="4"/>
  <c r="E136" i="29"/>
  <c r="Q136" i="29"/>
  <c r="S136" i="29"/>
  <c r="R136" i="29"/>
  <c r="U136" i="29"/>
  <c r="T136" i="29"/>
  <c r="G136" i="29"/>
  <c r="O135" i="29"/>
  <c r="AD138" i="29"/>
  <c r="B137" i="29"/>
  <c r="AI137" i="29"/>
  <c r="I135" i="29"/>
  <c r="J135" i="29"/>
  <c r="Y135" i="29" s="1"/>
  <c r="Z135" i="29" s="1"/>
  <c r="Z134" i="29"/>
  <c r="AE136" i="29"/>
  <c r="AA136" i="29" s="1"/>
  <c r="AF136" i="29"/>
  <c r="AD148" i="4"/>
  <c r="AY152" i="4"/>
  <c r="AV153" i="4"/>
  <c r="B152" i="4"/>
  <c r="AF147" i="4"/>
  <c r="AF150" i="4"/>
  <c r="AJ151" i="4"/>
  <c r="N151" i="4"/>
  <c r="L151" i="4"/>
  <c r="F151" i="4"/>
  <c r="AK151" i="4"/>
  <c r="AH151" i="4"/>
  <c r="AI151" i="4"/>
  <c r="J151" i="4"/>
  <c r="AL151" i="4"/>
  <c r="M151" i="4"/>
  <c r="K151" i="4"/>
  <c r="P151" i="4"/>
  <c r="O151" i="4"/>
  <c r="AM151" i="4"/>
  <c r="V147" i="4"/>
  <c r="AA147" i="4" s="1"/>
  <c r="R147" i="4"/>
  <c r="Z147" i="4" s="1"/>
  <c r="X147" i="4"/>
  <c r="AC147" i="4" s="1"/>
  <c r="U147" i="4"/>
  <c r="AP147" i="4" s="1"/>
  <c r="Q147" i="4"/>
  <c r="Y147" i="4" s="1"/>
  <c r="W147" i="4"/>
  <c r="AB147" i="4" s="1"/>
  <c r="W150" i="4"/>
  <c r="AB150" i="4" s="1"/>
  <c r="R150" i="4"/>
  <c r="Z150" i="4" s="1"/>
  <c r="X150" i="4"/>
  <c r="AC150" i="4" s="1"/>
  <c r="Q150" i="4"/>
  <c r="Y150" i="4" s="1"/>
  <c r="U150" i="4"/>
  <c r="AP150" i="4" s="1"/>
  <c r="V150" i="4"/>
  <c r="AA150" i="4" s="1"/>
  <c r="AX151" i="4"/>
  <c r="AW151" i="4"/>
  <c r="V134" i="29" l="1"/>
  <c r="W134" i="29" s="1"/>
  <c r="P134" i="29"/>
  <c r="K135" i="29"/>
  <c r="N135" i="29" s="1"/>
  <c r="AQ150" i="4"/>
  <c r="AQ147" i="4"/>
  <c r="AB136" i="29"/>
  <c r="AE150" i="4"/>
  <c r="AE147" i="4"/>
  <c r="I136" i="29"/>
  <c r="J136" i="29"/>
  <c r="Y136" i="29" s="1"/>
  <c r="E137" i="29"/>
  <c r="R137" i="29"/>
  <c r="Q137" i="29"/>
  <c r="S137" i="29"/>
  <c r="T137" i="29"/>
  <c r="U137" i="29"/>
  <c r="G137" i="29"/>
  <c r="AD139" i="29"/>
  <c r="B138" i="29"/>
  <c r="AI138" i="29"/>
  <c r="O136" i="29"/>
  <c r="AF137" i="29"/>
  <c r="AE137" i="29"/>
  <c r="AA137" i="29" s="1"/>
  <c r="AN149" i="4"/>
  <c r="AO149" i="4" s="1"/>
  <c r="AG149" i="4"/>
  <c r="AG146" i="4"/>
  <c r="AN146" i="4"/>
  <c r="AO146" i="4" s="1"/>
  <c r="AG145" i="4"/>
  <c r="AN145" i="4"/>
  <c r="AO145" i="4" s="1"/>
  <c r="AY153" i="4"/>
  <c r="B153" i="4"/>
  <c r="AV154" i="4"/>
  <c r="AD149" i="4"/>
  <c r="AW152" i="4"/>
  <c r="AX152" i="4"/>
  <c r="V151" i="4"/>
  <c r="AA151" i="4" s="1"/>
  <c r="R151" i="4"/>
  <c r="Z151" i="4" s="1"/>
  <c r="X151" i="4"/>
  <c r="AC151" i="4" s="1"/>
  <c r="W151" i="4"/>
  <c r="AB151" i="4" s="1"/>
  <c r="U151" i="4"/>
  <c r="AP151" i="4" s="1"/>
  <c r="Q151" i="4"/>
  <c r="Y151" i="4" s="1"/>
  <c r="AF151" i="4"/>
  <c r="AN148" i="4"/>
  <c r="AO148" i="4" s="1"/>
  <c r="AG148" i="4"/>
  <c r="AM152" i="4"/>
  <c r="O152" i="4"/>
  <c r="AL152" i="4"/>
  <c r="AJ152" i="4"/>
  <c r="F152" i="4"/>
  <c r="P152" i="4"/>
  <c r="N152" i="4"/>
  <c r="J152" i="4"/>
  <c r="M152" i="4"/>
  <c r="AI152" i="4"/>
  <c r="L152" i="4"/>
  <c r="K152" i="4"/>
  <c r="AK152" i="4"/>
  <c r="AH152" i="4"/>
  <c r="AD146" i="4"/>
  <c r="P135" i="29" l="1"/>
  <c r="V135" i="29"/>
  <c r="W135" i="29" s="1"/>
  <c r="K136" i="29"/>
  <c r="N136" i="29" s="1"/>
  <c r="O137" i="29"/>
  <c r="AQ151" i="4"/>
  <c r="AB137" i="29"/>
  <c r="AE151" i="4"/>
  <c r="J137" i="29"/>
  <c r="Y137" i="29" s="1"/>
  <c r="Z137" i="29" s="1"/>
  <c r="I137" i="29"/>
  <c r="Z136" i="29"/>
  <c r="AD140" i="29"/>
  <c r="B139" i="29"/>
  <c r="AI139" i="29"/>
  <c r="AF138" i="29"/>
  <c r="AE138" i="29"/>
  <c r="AA138" i="29" s="1"/>
  <c r="E138" i="29"/>
  <c r="Q138" i="29"/>
  <c r="T138" i="29"/>
  <c r="G138" i="29"/>
  <c r="R138" i="29"/>
  <c r="U138" i="29"/>
  <c r="S138" i="29"/>
  <c r="AN150" i="4"/>
  <c r="AO150" i="4" s="1"/>
  <c r="AG150" i="4"/>
  <c r="AN147" i="4"/>
  <c r="AO147" i="4" s="1"/>
  <c r="AG147" i="4"/>
  <c r="AD150" i="4"/>
  <c r="Q152" i="4"/>
  <c r="Y152" i="4" s="1"/>
  <c r="W152" i="4"/>
  <c r="AB152" i="4" s="1"/>
  <c r="R152" i="4"/>
  <c r="Z152" i="4" s="1"/>
  <c r="V152" i="4"/>
  <c r="AA152" i="4" s="1"/>
  <c r="U152" i="4"/>
  <c r="AP152" i="4" s="1"/>
  <c r="X152" i="4"/>
  <c r="AC152" i="4" s="1"/>
  <c r="AX153" i="4"/>
  <c r="AW153" i="4"/>
  <c r="AD147" i="4"/>
  <c r="AF152" i="4"/>
  <c r="AY154" i="4"/>
  <c r="AV155" i="4"/>
  <c r="B154" i="4"/>
  <c r="J153" i="4"/>
  <c r="AH153" i="4"/>
  <c r="AM153" i="4"/>
  <c r="K153" i="4"/>
  <c r="N153" i="4"/>
  <c r="L153" i="4"/>
  <c r="F153" i="4"/>
  <c r="O153" i="4"/>
  <c r="AL153" i="4"/>
  <c r="AJ153" i="4"/>
  <c r="M153" i="4"/>
  <c r="AK153" i="4"/>
  <c r="P153" i="4"/>
  <c r="AI153" i="4"/>
  <c r="P136" i="29" l="1"/>
  <c r="V136" i="29"/>
  <c r="W136" i="29" s="1"/>
  <c r="AB138" i="29"/>
  <c r="K137" i="29"/>
  <c r="N137" i="29" s="1"/>
  <c r="AQ152" i="4"/>
  <c r="AE152" i="4"/>
  <c r="O138" i="29"/>
  <c r="E139" i="29"/>
  <c r="Q139" i="29"/>
  <c r="G139" i="29"/>
  <c r="U139" i="29"/>
  <c r="R139" i="29"/>
  <c r="T139" i="29"/>
  <c r="S139" i="29"/>
  <c r="I138" i="29"/>
  <c r="J138" i="29"/>
  <c r="Y138" i="29" s="1"/>
  <c r="Z138" i="29" s="1"/>
  <c r="AD141" i="29"/>
  <c r="B140" i="29"/>
  <c r="AI140" i="29"/>
  <c r="AD151" i="4"/>
  <c r="AF139" i="29"/>
  <c r="AE139" i="29"/>
  <c r="AA139" i="29" s="1"/>
  <c r="AG151" i="4"/>
  <c r="AF153" i="4"/>
  <c r="AD152" i="4"/>
  <c r="AI154" i="4"/>
  <c r="AJ154" i="4"/>
  <c r="F154" i="4"/>
  <c r="AL154" i="4"/>
  <c r="P154" i="4"/>
  <c r="J154" i="4"/>
  <c r="O154" i="4"/>
  <c r="AM154" i="4"/>
  <c r="N154" i="4"/>
  <c r="AH154" i="4"/>
  <c r="K154" i="4"/>
  <c r="L154" i="4"/>
  <c r="AK154" i="4"/>
  <c r="M154" i="4"/>
  <c r="AY155" i="4"/>
  <c r="B155" i="4"/>
  <c r="AV156" i="4"/>
  <c r="Q153" i="4"/>
  <c r="Y153" i="4" s="1"/>
  <c r="R153" i="4"/>
  <c r="Z153" i="4" s="1"/>
  <c r="W153" i="4"/>
  <c r="AB153" i="4" s="1"/>
  <c r="V153" i="4"/>
  <c r="AA153" i="4" s="1"/>
  <c r="U153" i="4"/>
  <c r="AP153" i="4" s="1"/>
  <c r="X153" i="4"/>
  <c r="AC153" i="4" s="1"/>
  <c r="AW154" i="4"/>
  <c r="AX154" i="4"/>
  <c r="V137" i="29" l="1"/>
  <c r="W137" i="29" s="1"/>
  <c r="P137" i="29"/>
  <c r="K138" i="29"/>
  <c r="N138" i="29" s="1"/>
  <c r="AQ153" i="4"/>
  <c r="AB139" i="29"/>
  <c r="AE153" i="4"/>
  <c r="AD142" i="29"/>
  <c r="B141" i="29"/>
  <c r="AI141" i="29"/>
  <c r="AE140" i="29"/>
  <c r="AA140" i="29" s="1"/>
  <c r="AF140" i="29"/>
  <c r="I139" i="29"/>
  <c r="K139" i="29" s="1"/>
  <c r="J139" i="29"/>
  <c r="Y139" i="29" s="1"/>
  <c r="E140" i="29"/>
  <c r="Q140" i="29"/>
  <c r="R140" i="29"/>
  <c r="G140" i="29"/>
  <c r="S140" i="29"/>
  <c r="T140" i="29"/>
  <c r="U140" i="29"/>
  <c r="O139" i="29"/>
  <c r="AN151" i="4"/>
  <c r="AO151" i="4" s="1"/>
  <c r="AG152" i="4"/>
  <c r="AW155" i="4"/>
  <c r="AX155" i="4"/>
  <c r="V154" i="4"/>
  <c r="AA154" i="4" s="1"/>
  <c r="R154" i="4"/>
  <c r="Z154" i="4" s="1"/>
  <c r="Q154" i="4"/>
  <c r="Y154" i="4" s="1"/>
  <c r="W154" i="4"/>
  <c r="AB154" i="4" s="1"/>
  <c r="X154" i="4"/>
  <c r="AC154" i="4" s="1"/>
  <c r="U154" i="4"/>
  <c r="AP154" i="4" s="1"/>
  <c r="AV157" i="4"/>
  <c r="AY156" i="4"/>
  <c r="B156" i="4"/>
  <c r="AF154" i="4"/>
  <c r="N155" i="4"/>
  <c r="AK155" i="4"/>
  <c r="J155" i="4"/>
  <c r="AL155" i="4"/>
  <c r="AH155" i="4"/>
  <c r="L155" i="4"/>
  <c r="K155" i="4"/>
  <c r="M155" i="4"/>
  <c r="AJ155" i="4"/>
  <c r="O155" i="4"/>
  <c r="AM155" i="4"/>
  <c r="P155" i="4"/>
  <c r="AI155" i="4"/>
  <c r="F155" i="4"/>
  <c r="P138" i="29" l="1"/>
  <c r="V138" i="29"/>
  <c r="W138" i="29" s="1"/>
  <c r="AB140" i="29"/>
  <c r="N139" i="29"/>
  <c r="V139" i="29" s="1"/>
  <c r="W139" i="29" s="1"/>
  <c r="AQ154" i="4"/>
  <c r="AE154" i="4"/>
  <c r="AD153" i="4"/>
  <c r="O140" i="29"/>
  <c r="E141" i="29"/>
  <c r="R141" i="29"/>
  <c r="G141" i="29"/>
  <c r="U141" i="29"/>
  <c r="Q141" i="29"/>
  <c r="S141" i="29"/>
  <c r="T141" i="29"/>
  <c r="I140" i="29"/>
  <c r="K140" i="29" s="1"/>
  <c r="J140" i="29"/>
  <c r="Y140" i="29" s="1"/>
  <c r="AD143" i="29"/>
  <c r="B142" i="29"/>
  <c r="AI142" i="29"/>
  <c r="Z139" i="29"/>
  <c r="AF141" i="29"/>
  <c r="AE141" i="29"/>
  <c r="AA141" i="29" s="1"/>
  <c r="AN152" i="4"/>
  <c r="AO152" i="4" s="1"/>
  <c r="AL156" i="4"/>
  <c r="AH156" i="4"/>
  <c r="N156" i="4"/>
  <c r="K156" i="4"/>
  <c r="L156" i="4"/>
  <c r="F156" i="4"/>
  <c r="O156" i="4"/>
  <c r="AK156" i="4"/>
  <c r="P156" i="4"/>
  <c r="AJ156" i="4"/>
  <c r="AI156" i="4"/>
  <c r="M156" i="4"/>
  <c r="AM156" i="4"/>
  <c r="J156" i="4"/>
  <c r="AF155" i="4"/>
  <c r="AW156" i="4"/>
  <c r="AX156" i="4"/>
  <c r="U155" i="4"/>
  <c r="AP155" i="4" s="1"/>
  <c r="V155" i="4"/>
  <c r="AA155" i="4" s="1"/>
  <c r="Q155" i="4"/>
  <c r="Y155" i="4" s="1"/>
  <c r="W155" i="4"/>
  <c r="AB155" i="4" s="1"/>
  <c r="R155" i="4"/>
  <c r="X155" i="4"/>
  <c r="AC155" i="4" s="1"/>
  <c r="B157" i="4"/>
  <c r="AV158" i="4"/>
  <c r="AY157" i="4"/>
  <c r="P139" i="29" l="1"/>
  <c r="N140" i="29"/>
  <c r="Z140" i="29"/>
  <c r="AB141" i="29"/>
  <c r="Z155" i="4"/>
  <c r="J141" i="29"/>
  <c r="Y141" i="29" s="1"/>
  <c r="I141" i="29"/>
  <c r="E142" i="29"/>
  <c r="U142" i="29"/>
  <c r="S142" i="29"/>
  <c r="R142" i="29"/>
  <c r="Q142" i="29"/>
  <c r="T142" i="29"/>
  <c r="G142" i="29"/>
  <c r="AD144" i="29"/>
  <c r="B143" i="29"/>
  <c r="AI143" i="29"/>
  <c r="AE142" i="29"/>
  <c r="AA142" i="29" s="1"/>
  <c r="AF142" i="29"/>
  <c r="P140" i="29"/>
  <c r="V140" i="29"/>
  <c r="W140" i="29" s="1"/>
  <c r="O141" i="29"/>
  <c r="AN154" i="4"/>
  <c r="AO154" i="4" s="1"/>
  <c r="AD154" i="4"/>
  <c r="N157" i="4"/>
  <c r="AJ157" i="4"/>
  <c r="AK157" i="4"/>
  <c r="H157" i="4"/>
  <c r="L157" i="4"/>
  <c r="AH157" i="4"/>
  <c r="J157" i="4"/>
  <c r="AI157" i="4"/>
  <c r="AM157" i="4"/>
  <c r="AL157" i="4"/>
  <c r="O157" i="4"/>
  <c r="K157" i="4"/>
  <c r="I157" i="4"/>
  <c r="P157" i="4"/>
  <c r="F157" i="4"/>
  <c r="M157" i="4"/>
  <c r="G157" i="4"/>
  <c r="AG153" i="4"/>
  <c r="AN153" i="4"/>
  <c r="AO153" i="4" s="1"/>
  <c r="AW157" i="4"/>
  <c r="AX157" i="4"/>
  <c r="AY158" i="4"/>
  <c r="AV159" i="4"/>
  <c r="B158" i="4"/>
  <c r="U156" i="4"/>
  <c r="AP156" i="4" s="1"/>
  <c r="R156" i="4"/>
  <c r="Z156" i="4" s="1"/>
  <c r="X156" i="4"/>
  <c r="AC156" i="4" s="1"/>
  <c r="V156" i="4"/>
  <c r="AA156" i="4" s="1"/>
  <c r="W156" i="4"/>
  <c r="AB156" i="4" s="1"/>
  <c r="Q156" i="4"/>
  <c r="Y156" i="4" s="1"/>
  <c r="AF156" i="4"/>
  <c r="AD155" i="4"/>
  <c r="K141" i="29" l="1"/>
  <c r="N141" i="29" s="1"/>
  <c r="AQ156" i="4"/>
  <c r="AE155" i="4"/>
  <c r="AQ155" i="4"/>
  <c r="AB142" i="29"/>
  <c r="AE156" i="4"/>
  <c r="AG154" i="4"/>
  <c r="J142" i="29"/>
  <c r="Y142" i="29" s="1"/>
  <c r="I142" i="29"/>
  <c r="O142" i="29"/>
  <c r="AE143" i="29"/>
  <c r="AA143" i="29" s="1"/>
  <c r="AF143" i="29"/>
  <c r="E143" i="29"/>
  <c r="U143" i="29"/>
  <c r="G143" i="29"/>
  <c r="Q143" i="29"/>
  <c r="R143" i="29"/>
  <c r="T143" i="29"/>
  <c r="S143" i="29"/>
  <c r="AD145" i="29"/>
  <c r="B144" i="29"/>
  <c r="AI144" i="29"/>
  <c r="Z141" i="29"/>
  <c r="AV160" i="4"/>
  <c r="AY159" i="4"/>
  <c r="B159" i="4"/>
  <c r="Q157" i="4"/>
  <c r="Y157" i="4" s="1"/>
  <c r="T157" i="4"/>
  <c r="U157" i="4"/>
  <c r="V157" i="4"/>
  <c r="AA157" i="4" s="1"/>
  <c r="S157" i="4"/>
  <c r="R157" i="4"/>
  <c r="W157" i="4"/>
  <c r="AB157" i="4" s="1"/>
  <c r="X157" i="4"/>
  <c r="AC157" i="4" s="1"/>
  <c r="AX158" i="4"/>
  <c r="AW158" i="4"/>
  <c r="AP157" i="4"/>
  <c r="F158" i="4"/>
  <c r="AJ158" i="4"/>
  <c r="AK158" i="4"/>
  <c r="N158" i="4"/>
  <c r="K158" i="4"/>
  <c r="J158" i="4"/>
  <c r="AM158" i="4"/>
  <c r="O158" i="4"/>
  <c r="AI158" i="4"/>
  <c r="AH158" i="4"/>
  <c r="M158" i="4"/>
  <c r="L158" i="4"/>
  <c r="P158" i="4"/>
  <c r="AL158" i="4"/>
  <c r="AF157" i="4"/>
  <c r="P141" i="29" l="1"/>
  <c r="V141" i="29"/>
  <c r="W141" i="29" s="1"/>
  <c r="AB143" i="29"/>
  <c r="K142" i="29"/>
  <c r="N142" i="29" s="1"/>
  <c r="Z157" i="4"/>
  <c r="AF144" i="29"/>
  <c r="AE144" i="29"/>
  <c r="AA144" i="29" s="1"/>
  <c r="E144" i="29"/>
  <c r="G144" i="29"/>
  <c r="U144" i="29"/>
  <c r="Q144" i="29"/>
  <c r="S144" i="29"/>
  <c r="T144" i="29"/>
  <c r="R144" i="29"/>
  <c r="Z142" i="29"/>
  <c r="AD146" i="29"/>
  <c r="B145" i="29"/>
  <c r="AI145" i="29"/>
  <c r="O143" i="29"/>
  <c r="J143" i="29"/>
  <c r="Y143" i="29" s="1"/>
  <c r="I143" i="29"/>
  <c r="K143" i="29" s="1"/>
  <c r="AG156" i="4"/>
  <c r="AN156" i="4"/>
  <c r="AO156" i="4" s="1"/>
  <c r="AD157" i="4"/>
  <c r="AI159" i="4"/>
  <c r="F159" i="4"/>
  <c r="AK159" i="4"/>
  <c r="AL159" i="4"/>
  <c r="P159" i="4"/>
  <c r="J159" i="4"/>
  <c r="AM159" i="4"/>
  <c r="O159" i="4"/>
  <c r="N159" i="4"/>
  <c r="M159" i="4"/>
  <c r="AH159" i="4"/>
  <c r="AJ159" i="4"/>
  <c r="L159" i="4"/>
  <c r="K159" i="4"/>
  <c r="AD156" i="4"/>
  <c r="AG155" i="4"/>
  <c r="AN155" i="4"/>
  <c r="AO155" i="4" s="1"/>
  <c r="R158" i="4"/>
  <c r="Z158" i="4" s="1"/>
  <c r="W158" i="4"/>
  <c r="AB158" i="4" s="1"/>
  <c r="V158" i="4"/>
  <c r="AA158" i="4" s="1"/>
  <c r="Q158" i="4"/>
  <c r="Y158" i="4" s="1"/>
  <c r="X158" i="4"/>
  <c r="AC158" i="4" s="1"/>
  <c r="U158" i="4"/>
  <c r="AP158" i="4" s="1"/>
  <c r="AW159" i="4"/>
  <c r="AX159" i="4"/>
  <c r="AF158" i="4"/>
  <c r="B160" i="4"/>
  <c r="AV161" i="4"/>
  <c r="AY160" i="4"/>
  <c r="V142" i="29" l="1"/>
  <c r="W142" i="29" s="1"/>
  <c r="P142" i="29"/>
  <c r="N143" i="29"/>
  <c r="V143" i="29" s="1"/>
  <c r="W143" i="29" s="1"/>
  <c r="AB144" i="29"/>
  <c r="AQ158" i="4"/>
  <c r="AE157" i="4"/>
  <c r="AG157" i="4" s="1"/>
  <c r="AQ157" i="4"/>
  <c r="AE158" i="4"/>
  <c r="Z143" i="29"/>
  <c r="AD147" i="29"/>
  <c r="B146" i="29"/>
  <c r="AI146" i="29"/>
  <c r="J144" i="29"/>
  <c r="Y144" i="29" s="1"/>
  <c r="I144" i="29"/>
  <c r="K144" i="29" s="1"/>
  <c r="AF145" i="29"/>
  <c r="AE145" i="29"/>
  <c r="AA145" i="29" s="1"/>
  <c r="E145" i="29"/>
  <c r="R145" i="29"/>
  <c r="U145" i="29"/>
  <c r="Q145" i="29"/>
  <c r="G145" i="29"/>
  <c r="T145" i="29"/>
  <c r="S145" i="29"/>
  <c r="O144" i="29"/>
  <c r="AF159" i="4"/>
  <c r="AY161" i="4"/>
  <c r="AV162" i="4"/>
  <c r="B161" i="4"/>
  <c r="AL160" i="4"/>
  <c r="N160" i="4"/>
  <c r="F160" i="4"/>
  <c r="L160" i="4"/>
  <c r="K160" i="4"/>
  <c r="O160" i="4"/>
  <c r="AI160" i="4"/>
  <c r="J160" i="4"/>
  <c r="AK160" i="4"/>
  <c r="M160" i="4"/>
  <c r="AJ160" i="4"/>
  <c r="P160" i="4"/>
  <c r="AM160" i="4"/>
  <c r="AH160" i="4"/>
  <c r="R159" i="4"/>
  <c r="Z159" i="4" s="1"/>
  <c r="Q159" i="4"/>
  <c r="Y159" i="4" s="1"/>
  <c r="W159" i="4"/>
  <c r="AB159" i="4" s="1"/>
  <c r="U159" i="4"/>
  <c r="AP159" i="4" s="1"/>
  <c r="X159" i="4"/>
  <c r="AC159" i="4" s="1"/>
  <c r="V159" i="4"/>
  <c r="AA159" i="4" s="1"/>
  <c r="AX160" i="4"/>
  <c r="AW160" i="4"/>
  <c r="P143" i="29" l="1"/>
  <c r="AB145" i="29"/>
  <c r="N144" i="29"/>
  <c r="P144" i="29" s="1"/>
  <c r="AN157" i="4"/>
  <c r="AO157" i="4" s="1"/>
  <c r="AQ159" i="4"/>
  <c r="AE159" i="4"/>
  <c r="J145" i="29"/>
  <c r="Y145" i="29" s="1"/>
  <c r="I145" i="29"/>
  <c r="K145" i="29" s="1"/>
  <c r="Z144" i="29"/>
  <c r="V144" i="29"/>
  <c r="W144" i="29" s="1"/>
  <c r="AE146" i="29"/>
  <c r="AA146" i="29" s="1"/>
  <c r="AF146" i="29"/>
  <c r="O145" i="29"/>
  <c r="E146" i="29"/>
  <c r="U146" i="29"/>
  <c r="Q146" i="29"/>
  <c r="G146" i="29"/>
  <c r="S146" i="29"/>
  <c r="R146" i="29"/>
  <c r="T146" i="29"/>
  <c r="AD148" i="29"/>
  <c r="B147" i="29"/>
  <c r="AI147" i="29"/>
  <c r="AG158" i="4"/>
  <c r="AN158" i="4"/>
  <c r="AO158" i="4" s="1"/>
  <c r="R160" i="4"/>
  <c r="Z160" i="4" s="1"/>
  <c r="Q160" i="4"/>
  <c r="Y160" i="4" s="1"/>
  <c r="X160" i="4"/>
  <c r="AC160" i="4" s="1"/>
  <c r="U160" i="4"/>
  <c r="V160" i="4"/>
  <c r="AA160" i="4" s="1"/>
  <c r="W160" i="4"/>
  <c r="AB160" i="4" s="1"/>
  <c r="AF160" i="4"/>
  <c r="AI161" i="4"/>
  <c r="O161" i="4"/>
  <c r="AK161" i="4"/>
  <c r="AL161" i="4"/>
  <c r="L161" i="4"/>
  <c r="P161" i="4"/>
  <c r="J161" i="4"/>
  <c r="K161" i="4"/>
  <c r="AJ161" i="4"/>
  <c r="AM161" i="4"/>
  <c r="N161" i="4"/>
  <c r="AH161" i="4"/>
  <c r="F161" i="4"/>
  <c r="M161" i="4"/>
  <c r="AP160" i="4"/>
  <c r="B162" i="4"/>
  <c r="AY162" i="4"/>
  <c r="AV163" i="4"/>
  <c r="AX161" i="4"/>
  <c r="AW161" i="4"/>
  <c r="AD158" i="4"/>
  <c r="AB146" i="29" l="1"/>
  <c r="N145" i="29"/>
  <c r="AQ160" i="4"/>
  <c r="AE160" i="4"/>
  <c r="Z145" i="29"/>
  <c r="AE147" i="29"/>
  <c r="AA147" i="29" s="1"/>
  <c r="AF147" i="29"/>
  <c r="O146" i="29"/>
  <c r="J146" i="29"/>
  <c r="Y146" i="29" s="1"/>
  <c r="I146" i="29"/>
  <c r="E147" i="29"/>
  <c r="U147" i="29"/>
  <c r="T147" i="29"/>
  <c r="G147" i="29"/>
  <c r="S147" i="29"/>
  <c r="Q147" i="29"/>
  <c r="R147" i="29"/>
  <c r="AD149" i="29"/>
  <c r="B148" i="29"/>
  <c r="AI148" i="29"/>
  <c r="P145" i="29"/>
  <c r="V145" i="29"/>
  <c r="W145" i="29" s="1"/>
  <c r="AD159" i="4"/>
  <c r="AD160" i="4"/>
  <c r="AK162" i="4"/>
  <c r="N162" i="4"/>
  <c r="P162" i="4"/>
  <c r="AI162" i="4"/>
  <c r="AL162" i="4"/>
  <c r="M162" i="4"/>
  <c r="O162" i="4"/>
  <c r="F162" i="4"/>
  <c r="L162" i="4"/>
  <c r="J162" i="4"/>
  <c r="AH162" i="4"/>
  <c r="AM162" i="4"/>
  <c r="K162" i="4"/>
  <c r="AJ162" i="4"/>
  <c r="B163" i="4"/>
  <c r="AV164" i="4"/>
  <c r="AY163" i="4"/>
  <c r="AX162" i="4"/>
  <c r="AW162" i="4"/>
  <c r="U161" i="4"/>
  <c r="AP161" i="4" s="1"/>
  <c r="W161" i="4"/>
  <c r="AB161" i="4" s="1"/>
  <c r="R161" i="4"/>
  <c r="Z161" i="4" s="1"/>
  <c r="Q161" i="4"/>
  <c r="Y161" i="4" s="1"/>
  <c r="V161" i="4"/>
  <c r="AA161" i="4" s="1"/>
  <c r="X161" i="4"/>
  <c r="AC161" i="4" s="1"/>
  <c r="AF161" i="4"/>
  <c r="K146" i="29" l="1"/>
  <c r="N146" i="29" s="1"/>
  <c r="AB147" i="29"/>
  <c r="AQ161" i="4"/>
  <c r="AE161" i="4"/>
  <c r="AD150" i="29"/>
  <c r="B149" i="29"/>
  <c r="AI149" i="29"/>
  <c r="Z146" i="29"/>
  <c r="AF148" i="29"/>
  <c r="AE148" i="29"/>
  <c r="AA148" i="29" s="1"/>
  <c r="E148" i="29"/>
  <c r="T148" i="29"/>
  <c r="U148" i="29"/>
  <c r="G148" i="29"/>
  <c r="Q148" i="29"/>
  <c r="R148" i="29"/>
  <c r="S148" i="29"/>
  <c r="O147" i="29"/>
  <c r="J147" i="29"/>
  <c r="Y147" i="29" s="1"/>
  <c r="I147" i="29"/>
  <c r="K147" i="29" s="1"/>
  <c r="AF162" i="4"/>
  <c r="AG160" i="4"/>
  <c r="AN160" i="4"/>
  <c r="AO160" i="4" s="1"/>
  <c r="Q162" i="4"/>
  <c r="Y162" i="4" s="1"/>
  <c r="R162" i="4"/>
  <c r="Z162" i="4" s="1"/>
  <c r="W162" i="4"/>
  <c r="AB162" i="4" s="1"/>
  <c r="V162" i="4"/>
  <c r="AA162" i="4" s="1"/>
  <c r="U162" i="4"/>
  <c r="AP162" i="4" s="1"/>
  <c r="X162" i="4"/>
  <c r="AC162" i="4" s="1"/>
  <c r="AX163" i="4"/>
  <c r="AW163" i="4"/>
  <c r="AG159" i="4"/>
  <c r="AN159" i="4"/>
  <c r="AO159" i="4" s="1"/>
  <c r="AD161" i="4"/>
  <c r="B164" i="4"/>
  <c r="AV165" i="4"/>
  <c r="AY164" i="4"/>
  <c r="P163" i="4"/>
  <c r="J163" i="4"/>
  <c r="AK163" i="4"/>
  <c r="M163" i="4"/>
  <c r="N163" i="4"/>
  <c r="F163" i="4"/>
  <c r="AI163" i="4"/>
  <c r="K163" i="4"/>
  <c r="AM163" i="4"/>
  <c r="O163" i="4"/>
  <c r="AH163" i="4"/>
  <c r="AJ163" i="4"/>
  <c r="AL163" i="4"/>
  <c r="L163" i="4"/>
  <c r="P146" i="29" l="1"/>
  <c r="V146" i="29"/>
  <c r="W146" i="29" s="1"/>
  <c r="AB148" i="29"/>
  <c r="N147" i="29"/>
  <c r="P147" i="29" s="1"/>
  <c r="AQ162" i="4"/>
  <c r="AE162" i="4"/>
  <c r="V147" i="29"/>
  <c r="W147" i="29" s="1"/>
  <c r="Z147" i="29"/>
  <c r="AF149" i="29"/>
  <c r="AE149" i="29"/>
  <c r="AA149" i="29" s="1"/>
  <c r="O148" i="29"/>
  <c r="J148" i="29"/>
  <c r="Y148" i="29" s="1"/>
  <c r="I148" i="29"/>
  <c r="E149" i="29"/>
  <c r="G149" i="29"/>
  <c r="T149" i="29"/>
  <c r="R149" i="29"/>
  <c r="Q149" i="29"/>
  <c r="S149" i="29"/>
  <c r="U149" i="29"/>
  <c r="AD151" i="29"/>
  <c r="B150" i="29"/>
  <c r="AI150" i="29"/>
  <c r="B165" i="4"/>
  <c r="AY165" i="4"/>
  <c r="AV166" i="4"/>
  <c r="R163" i="4"/>
  <c r="Z163" i="4" s="1"/>
  <c r="U163" i="4"/>
  <c r="AP163" i="4" s="1"/>
  <c r="W163" i="4"/>
  <c r="AB163" i="4" s="1"/>
  <c r="V163" i="4"/>
  <c r="AA163" i="4" s="1"/>
  <c r="X163" i="4"/>
  <c r="AC163" i="4" s="1"/>
  <c r="Q163" i="4"/>
  <c r="Y163" i="4" s="1"/>
  <c r="K164" i="4"/>
  <c r="AM164" i="4"/>
  <c r="N164" i="4"/>
  <c r="F164" i="4"/>
  <c r="AK164" i="4"/>
  <c r="AI164" i="4"/>
  <c r="L164" i="4"/>
  <c r="O164" i="4"/>
  <c r="J164" i="4"/>
  <c r="AL164" i="4"/>
  <c r="M164" i="4"/>
  <c r="P164" i="4"/>
  <c r="AJ164" i="4"/>
  <c r="AH164" i="4"/>
  <c r="AF163" i="4"/>
  <c r="AW164" i="4"/>
  <c r="AX164" i="4"/>
  <c r="K148" i="29" l="1"/>
  <c r="N148" i="29" s="1"/>
  <c r="AB149" i="29"/>
  <c r="AQ163" i="4"/>
  <c r="AE163" i="4"/>
  <c r="E150" i="29"/>
  <c r="S150" i="29"/>
  <c r="Q150" i="29"/>
  <c r="U150" i="29"/>
  <c r="G150" i="29"/>
  <c r="T150" i="29"/>
  <c r="R150" i="29"/>
  <c r="AD162" i="4"/>
  <c r="AD152" i="29"/>
  <c r="B151" i="29"/>
  <c r="AI151" i="29"/>
  <c r="Z148" i="29"/>
  <c r="O149" i="29"/>
  <c r="AE150" i="29"/>
  <c r="AA150" i="29" s="1"/>
  <c r="AF150" i="29"/>
  <c r="I149" i="29"/>
  <c r="K149" i="29" s="1"/>
  <c r="J149" i="29"/>
  <c r="Y149" i="29" s="1"/>
  <c r="AG162" i="4"/>
  <c r="AN162" i="4"/>
  <c r="AO162" i="4" s="1"/>
  <c r="P165" i="4"/>
  <c r="AL165" i="4"/>
  <c r="N165" i="4"/>
  <c r="AM165" i="4"/>
  <c r="O165" i="4"/>
  <c r="K165" i="4"/>
  <c r="AK165" i="4"/>
  <c r="F165" i="4"/>
  <c r="AJ165" i="4"/>
  <c r="M165" i="4"/>
  <c r="AI165" i="4"/>
  <c r="L165" i="4"/>
  <c r="AH165" i="4"/>
  <c r="J165" i="4"/>
  <c r="AF164" i="4"/>
  <c r="AD163" i="4"/>
  <c r="AG161" i="4"/>
  <c r="AN161" i="4"/>
  <c r="AO161" i="4" s="1"/>
  <c r="B166" i="4"/>
  <c r="AV167" i="4"/>
  <c r="AY166" i="4"/>
  <c r="U164" i="4"/>
  <c r="AP164" i="4" s="1"/>
  <c r="R164" i="4"/>
  <c r="Z164" i="4" s="1"/>
  <c r="X164" i="4"/>
  <c r="AC164" i="4" s="1"/>
  <c r="Q164" i="4"/>
  <c r="Y164" i="4" s="1"/>
  <c r="V164" i="4"/>
  <c r="AA164" i="4" s="1"/>
  <c r="W164" i="4"/>
  <c r="AB164" i="4" s="1"/>
  <c r="AW165" i="4"/>
  <c r="AX165" i="4"/>
  <c r="P148" i="29" l="1"/>
  <c r="V148" i="29"/>
  <c r="W148" i="29" s="1"/>
  <c r="N149" i="29"/>
  <c r="AQ164" i="4"/>
  <c r="AB150" i="29"/>
  <c r="AE164" i="4"/>
  <c r="AF151" i="29"/>
  <c r="AE151" i="29"/>
  <c r="AA151" i="29" s="1"/>
  <c r="O150" i="29"/>
  <c r="E151" i="29"/>
  <c r="S151" i="29"/>
  <c r="T151" i="29"/>
  <c r="Q151" i="29"/>
  <c r="U151" i="29"/>
  <c r="R151" i="29"/>
  <c r="G151" i="29"/>
  <c r="P149" i="29"/>
  <c r="V149" i="29"/>
  <c r="W149" i="29" s="1"/>
  <c r="J150" i="29"/>
  <c r="Y150" i="29" s="1"/>
  <c r="I150" i="29"/>
  <c r="K150" i="29" s="1"/>
  <c r="AD153" i="29"/>
  <c r="B152" i="29"/>
  <c r="AI152" i="29"/>
  <c r="Z149" i="29"/>
  <c r="R165" i="4"/>
  <c r="Z165" i="4" s="1"/>
  <c r="Q165" i="4"/>
  <c r="Y165" i="4" s="1"/>
  <c r="V165" i="4"/>
  <c r="AA165" i="4" s="1"/>
  <c r="U165" i="4"/>
  <c r="AP165" i="4" s="1"/>
  <c r="X165" i="4"/>
  <c r="AC165" i="4" s="1"/>
  <c r="W165" i="4"/>
  <c r="AB165" i="4" s="1"/>
  <c r="AX166" i="4"/>
  <c r="AW166" i="4"/>
  <c r="AD164" i="4"/>
  <c r="B167" i="4"/>
  <c r="AY167" i="4"/>
  <c r="AV168" i="4"/>
  <c r="O166" i="4"/>
  <c r="AJ166" i="4"/>
  <c r="AI166" i="4"/>
  <c r="K166" i="4"/>
  <c r="AK166" i="4"/>
  <c r="N166" i="4"/>
  <c r="J166" i="4"/>
  <c r="AL166" i="4"/>
  <c r="AM166" i="4"/>
  <c r="AH166" i="4"/>
  <c r="P166" i="4"/>
  <c r="F166" i="4"/>
  <c r="M166" i="4"/>
  <c r="L166" i="4"/>
  <c r="AF165" i="4"/>
  <c r="AB151" i="29" l="1"/>
  <c r="N150" i="29"/>
  <c r="P150" i="29" s="1"/>
  <c r="AQ165" i="4"/>
  <c r="AE165" i="4"/>
  <c r="V150" i="29"/>
  <c r="W150" i="29" s="1"/>
  <c r="O151" i="29"/>
  <c r="J151" i="29"/>
  <c r="Y151" i="29" s="1"/>
  <c r="I151" i="29"/>
  <c r="AF152" i="29"/>
  <c r="AE152" i="29"/>
  <c r="AA152" i="29" s="1"/>
  <c r="Z150" i="29"/>
  <c r="E152" i="29"/>
  <c r="G152" i="29"/>
  <c r="R152" i="29"/>
  <c r="T152" i="29"/>
  <c r="U152" i="29"/>
  <c r="S152" i="29"/>
  <c r="Q152" i="29"/>
  <c r="AD154" i="29"/>
  <c r="B153" i="29"/>
  <c r="AI153" i="29"/>
  <c r="AN164" i="4"/>
  <c r="AO164" i="4" s="1"/>
  <c r="AF166" i="4"/>
  <c r="AN163" i="4"/>
  <c r="AO163" i="4" s="1"/>
  <c r="AG163" i="4"/>
  <c r="N167" i="4"/>
  <c r="J167" i="4"/>
  <c r="AK167" i="4"/>
  <c r="M167" i="4"/>
  <c r="AI167" i="4"/>
  <c r="P167" i="4"/>
  <c r="AH167" i="4"/>
  <c r="F167" i="4"/>
  <c r="L167" i="4"/>
  <c r="AJ167" i="4"/>
  <c r="O167" i="4"/>
  <c r="AL167" i="4"/>
  <c r="AM167" i="4"/>
  <c r="K167" i="4"/>
  <c r="R166" i="4"/>
  <c r="Z166" i="4" s="1"/>
  <c r="V166" i="4"/>
  <c r="AA166" i="4" s="1"/>
  <c r="Q166" i="4"/>
  <c r="Y166" i="4" s="1"/>
  <c r="U166" i="4"/>
  <c r="AP166" i="4" s="1"/>
  <c r="W166" i="4"/>
  <c r="AB166" i="4" s="1"/>
  <c r="X166" i="4"/>
  <c r="AC166" i="4" s="1"/>
  <c r="AD165" i="4"/>
  <c r="AY168" i="4"/>
  <c r="B168" i="4"/>
  <c r="AV169" i="4"/>
  <c r="AG164" i="4"/>
  <c r="AX167" i="4"/>
  <c r="AW167" i="4"/>
  <c r="AB152" i="29" l="1"/>
  <c r="K151" i="29"/>
  <c r="N151" i="29" s="1"/>
  <c r="AQ166" i="4"/>
  <c r="Z151" i="29"/>
  <c r="AE166" i="4"/>
  <c r="AF153" i="29"/>
  <c r="AE153" i="29"/>
  <c r="AA153" i="29" s="1"/>
  <c r="E153" i="29"/>
  <c r="G153" i="29"/>
  <c r="Q153" i="29"/>
  <c r="R153" i="29"/>
  <c r="S153" i="29"/>
  <c r="U153" i="29"/>
  <c r="T153" i="29"/>
  <c r="O152" i="29"/>
  <c r="J152" i="29"/>
  <c r="Y152" i="29" s="1"/>
  <c r="I152" i="29"/>
  <c r="AD155" i="29"/>
  <c r="B154" i="29"/>
  <c r="AI154" i="29"/>
  <c r="AG165" i="4"/>
  <c r="AF167" i="4"/>
  <c r="B169" i="4"/>
  <c r="AY169" i="4"/>
  <c r="AV170" i="4"/>
  <c r="V167" i="4"/>
  <c r="AA167" i="4" s="1"/>
  <c r="W167" i="4"/>
  <c r="AB167" i="4" s="1"/>
  <c r="X167" i="4"/>
  <c r="AC167" i="4" s="1"/>
  <c r="R167" i="4"/>
  <c r="Z167" i="4" s="1"/>
  <c r="Q167" i="4"/>
  <c r="Y167" i="4" s="1"/>
  <c r="U167" i="4"/>
  <c r="AP167" i="4" s="1"/>
  <c r="AL168" i="4"/>
  <c r="O168" i="4"/>
  <c r="K168" i="4"/>
  <c r="J168" i="4"/>
  <c r="AK168" i="4"/>
  <c r="AI168" i="4"/>
  <c r="N168" i="4"/>
  <c r="AJ168" i="4"/>
  <c r="AH168" i="4"/>
  <c r="L168" i="4"/>
  <c r="P168" i="4"/>
  <c r="M168" i="4"/>
  <c r="F168" i="4"/>
  <c r="AM168" i="4"/>
  <c r="AD166" i="4"/>
  <c r="AW168" i="4"/>
  <c r="AX168" i="4"/>
  <c r="P151" i="29" l="1"/>
  <c r="V151" i="29"/>
  <c r="W151" i="29" s="1"/>
  <c r="AL169" i="4"/>
  <c r="AH169" i="4"/>
  <c r="M169" i="4"/>
  <c r="F169" i="4"/>
  <c r="AK169" i="4"/>
  <c r="P169" i="4"/>
  <c r="L169" i="4"/>
  <c r="AM169" i="4"/>
  <c r="N169" i="4"/>
  <c r="J169" i="4"/>
  <c r="AJ169" i="4"/>
  <c r="K169" i="4"/>
  <c r="AI169" i="4"/>
  <c r="O169" i="4"/>
  <c r="AB153" i="29"/>
  <c r="K152" i="29"/>
  <c r="N152" i="29" s="1"/>
  <c r="Z152" i="29"/>
  <c r="AQ167" i="4"/>
  <c r="AE167" i="4"/>
  <c r="O153" i="29"/>
  <c r="J153" i="29"/>
  <c r="Y153" i="29" s="1"/>
  <c r="I153" i="29"/>
  <c r="AN165" i="4"/>
  <c r="AO165" i="4" s="1"/>
  <c r="AF154" i="29"/>
  <c r="AE154" i="29"/>
  <c r="AA154" i="29" s="1"/>
  <c r="E154" i="29"/>
  <c r="G154" i="29"/>
  <c r="S154" i="29"/>
  <c r="T154" i="29"/>
  <c r="U154" i="29"/>
  <c r="R154" i="29"/>
  <c r="Q154" i="29"/>
  <c r="AD156" i="29"/>
  <c r="B155" i="29"/>
  <c r="AI155" i="29"/>
  <c r="AD167" i="4"/>
  <c r="V168" i="4"/>
  <c r="AA168" i="4" s="1"/>
  <c r="Q168" i="4"/>
  <c r="Y168" i="4" s="1"/>
  <c r="X168" i="4"/>
  <c r="AC168" i="4" s="1"/>
  <c r="R168" i="4"/>
  <c r="Z168" i="4" s="1"/>
  <c r="W168" i="4"/>
  <c r="AB168" i="4" s="1"/>
  <c r="U168" i="4"/>
  <c r="AP168" i="4" s="1"/>
  <c r="AV171" i="4"/>
  <c r="AY170" i="4"/>
  <c r="B170" i="4"/>
  <c r="AX169" i="4"/>
  <c r="AW169" i="4"/>
  <c r="AF168" i="4"/>
  <c r="AJ170" i="4" l="1"/>
  <c r="O170" i="4"/>
  <c r="K170" i="4"/>
  <c r="AM170" i="4"/>
  <c r="AI170" i="4"/>
  <c r="N170" i="4"/>
  <c r="J170" i="4"/>
  <c r="P170" i="4"/>
  <c r="L170" i="4"/>
  <c r="AH170" i="4"/>
  <c r="F170" i="4"/>
  <c r="AL170" i="4"/>
  <c r="M170" i="4"/>
  <c r="AK170" i="4"/>
  <c r="P152" i="29"/>
  <c r="V152" i="29"/>
  <c r="W152" i="29" s="1"/>
  <c r="AB154" i="29"/>
  <c r="N153" i="29"/>
  <c r="V153" i="29" s="1"/>
  <c r="W153" i="29" s="1"/>
  <c r="K153" i="29"/>
  <c r="AQ168" i="4"/>
  <c r="AE168" i="4"/>
  <c r="Z153" i="29"/>
  <c r="O154" i="29"/>
  <c r="J154" i="29"/>
  <c r="Y154" i="29" s="1"/>
  <c r="I154" i="29"/>
  <c r="K154" i="29" s="1"/>
  <c r="AF155" i="29"/>
  <c r="AE155" i="29"/>
  <c r="AA155" i="29" s="1"/>
  <c r="E155" i="29"/>
  <c r="Q155" i="29"/>
  <c r="U155" i="29"/>
  <c r="T155" i="29"/>
  <c r="G155" i="29"/>
  <c r="R155" i="29"/>
  <c r="S155" i="29"/>
  <c r="AD157" i="29"/>
  <c r="B156" i="29"/>
  <c r="AI156" i="29"/>
  <c r="AF169" i="4"/>
  <c r="AG167" i="4"/>
  <c r="AN167" i="4"/>
  <c r="AO167" i="4" s="1"/>
  <c r="B171" i="4"/>
  <c r="AV172" i="4"/>
  <c r="AY171" i="4"/>
  <c r="AN166" i="4"/>
  <c r="AO166" i="4" s="1"/>
  <c r="AG166" i="4"/>
  <c r="U169" i="4"/>
  <c r="AP169" i="4" s="1"/>
  <c r="R169" i="4"/>
  <c r="Z169" i="4" s="1"/>
  <c r="W169" i="4"/>
  <c r="AB169" i="4" s="1"/>
  <c r="V169" i="4"/>
  <c r="AA169" i="4" s="1"/>
  <c r="Q169" i="4"/>
  <c r="Y169" i="4" s="1"/>
  <c r="X169" i="4"/>
  <c r="AC169" i="4" s="1"/>
  <c r="AX170" i="4"/>
  <c r="AW170" i="4"/>
  <c r="AK171" i="4" l="1"/>
  <c r="AM171" i="4"/>
  <c r="AH171" i="4"/>
  <c r="M171" i="4"/>
  <c r="F171" i="4"/>
  <c r="AL171" i="4"/>
  <c r="P171" i="4"/>
  <c r="L171" i="4"/>
  <c r="AJ171" i="4"/>
  <c r="O171" i="4"/>
  <c r="K171" i="4"/>
  <c r="J171" i="4"/>
  <c r="AI171" i="4"/>
  <c r="N171" i="4"/>
  <c r="P153" i="29"/>
  <c r="N154" i="29"/>
  <c r="AB155" i="29"/>
  <c r="AQ169" i="4"/>
  <c r="AE169" i="4"/>
  <c r="E156" i="29"/>
  <c r="T156" i="29"/>
  <c r="U156" i="29"/>
  <c r="R156" i="29"/>
  <c r="Q156" i="29"/>
  <c r="S156" i="29"/>
  <c r="G156" i="29"/>
  <c r="AD158" i="29"/>
  <c r="B157" i="29"/>
  <c r="AI157" i="29"/>
  <c r="Z154" i="29"/>
  <c r="O155" i="29"/>
  <c r="P154" i="29"/>
  <c r="V154" i="29"/>
  <c r="W154" i="29" s="1"/>
  <c r="AF156" i="29"/>
  <c r="AE156" i="29"/>
  <c r="AA156" i="29" s="1"/>
  <c r="I155" i="29"/>
  <c r="K155" i="29" s="1"/>
  <c r="J155" i="29"/>
  <c r="Y155" i="29" s="1"/>
  <c r="AN168" i="4"/>
  <c r="AO168" i="4" s="1"/>
  <c r="AG168" i="4"/>
  <c r="AD168" i="4"/>
  <c r="AX171" i="4"/>
  <c r="AW171" i="4"/>
  <c r="AF170" i="4"/>
  <c r="AV173" i="4"/>
  <c r="AY172" i="4"/>
  <c r="B172" i="4"/>
  <c r="AD169" i="4"/>
  <c r="X170" i="4"/>
  <c r="AC170" i="4" s="1"/>
  <c r="V170" i="4"/>
  <c r="AA170" i="4" s="1"/>
  <c r="U170" i="4"/>
  <c r="AP170" i="4" s="1"/>
  <c r="W170" i="4"/>
  <c r="AB170" i="4" s="1"/>
  <c r="Q170" i="4"/>
  <c r="Y170" i="4" s="1"/>
  <c r="R170" i="4"/>
  <c r="Z170" i="4" s="1"/>
  <c r="N155" i="29" l="1"/>
  <c r="P155" i="29" s="1"/>
  <c r="AQ170" i="4"/>
  <c r="AB156" i="29"/>
  <c r="AE170" i="4"/>
  <c r="I156" i="29"/>
  <c r="J156" i="29"/>
  <c r="Y156" i="29" s="1"/>
  <c r="AD159" i="29"/>
  <c r="B158" i="29"/>
  <c r="AI158" i="29"/>
  <c r="O156" i="29"/>
  <c r="Z155" i="29"/>
  <c r="AE157" i="29"/>
  <c r="AA157" i="29" s="1"/>
  <c r="AF157" i="29"/>
  <c r="V155" i="29"/>
  <c r="W155" i="29" s="1"/>
  <c r="E157" i="29"/>
  <c r="G157" i="29"/>
  <c r="T157" i="29"/>
  <c r="U157" i="29"/>
  <c r="S157" i="29"/>
  <c r="R157" i="29"/>
  <c r="Q157" i="29"/>
  <c r="AF171" i="4"/>
  <c r="AY173" i="4"/>
  <c r="AV174" i="4"/>
  <c r="B173" i="4"/>
  <c r="L172" i="4"/>
  <c r="O172" i="4"/>
  <c r="AI172" i="4"/>
  <c r="AM172" i="4"/>
  <c r="J172" i="4"/>
  <c r="AJ172" i="4"/>
  <c r="F172" i="4"/>
  <c r="AL172" i="4"/>
  <c r="AK172" i="4"/>
  <c r="K172" i="4"/>
  <c r="AH172" i="4"/>
  <c r="M172" i="4"/>
  <c r="N172" i="4"/>
  <c r="P172" i="4"/>
  <c r="V171" i="4"/>
  <c r="AA171" i="4" s="1"/>
  <c r="R171" i="4"/>
  <c r="Z171" i="4" s="1"/>
  <c r="W171" i="4"/>
  <c r="AB171" i="4" s="1"/>
  <c r="Q171" i="4"/>
  <c r="Y171" i="4" s="1"/>
  <c r="X171" i="4"/>
  <c r="AC171" i="4" s="1"/>
  <c r="U171" i="4"/>
  <c r="AP171" i="4" s="1"/>
  <c r="AW172" i="4"/>
  <c r="AX172" i="4"/>
  <c r="AD170" i="4"/>
  <c r="AB157" i="29" l="1"/>
  <c r="K156" i="29"/>
  <c r="N156" i="29" s="1"/>
  <c r="AQ171" i="4"/>
  <c r="AE171" i="4"/>
  <c r="E158" i="29"/>
  <c r="G158" i="29"/>
  <c r="R158" i="29"/>
  <c r="Q158" i="29"/>
  <c r="U158" i="29"/>
  <c r="T158" i="29"/>
  <c r="S158" i="29"/>
  <c r="AD160" i="29"/>
  <c r="B159" i="29"/>
  <c r="AI159" i="29"/>
  <c r="J157" i="29"/>
  <c r="Y157" i="29" s="1"/>
  <c r="I157" i="29"/>
  <c r="Z156" i="29"/>
  <c r="O157" i="29"/>
  <c r="AF158" i="29"/>
  <c r="AE158" i="29"/>
  <c r="AA158" i="29" s="1"/>
  <c r="W172" i="4"/>
  <c r="AB172" i="4" s="1"/>
  <c r="U172" i="4"/>
  <c r="R172" i="4"/>
  <c r="Z172" i="4" s="1"/>
  <c r="Q172" i="4"/>
  <c r="Y172" i="4" s="1"/>
  <c r="X172" i="4"/>
  <c r="AC172" i="4" s="1"/>
  <c r="V172" i="4"/>
  <c r="AA172" i="4" s="1"/>
  <c r="AF172" i="4"/>
  <c r="J173" i="4"/>
  <c r="M173" i="4"/>
  <c r="AJ173" i="4"/>
  <c r="L173" i="4"/>
  <c r="N173" i="4"/>
  <c r="AM173" i="4"/>
  <c r="K173" i="4"/>
  <c r="AL173" i="4"/>
  <c r="AH173" i="4"/>
  <c r="F173" i="4"/>
  <c r="P173" i="4"/>
  <c r="AK173" i="4"/>
  <c r="O173" i="4"/>
  <c r="AI173" i="4"/>
  <c r="AP172" i="4"/>
  <c r="AY174" i="4"/>
  <c r="B174" i="4"/>
  <c r="AV175" i="4"/>
  <c r="AW173" i="4"/>
  <c r="AX173" i="4"/>
  <c r="AN169" i="4"/>
  <c r="AO169" i="4" s="1"/>
  <c r="AG169" i="4"/>
  <c r="V156" i="29" l="1"/>
  <c r="W156" i="29" s="1"/>
  <c r="P156" i="29"/>
  <c r="K157" i="29"/>
  <c r="N157" i="29" s="1"/>
  <c r="AQ172" i="4"/>
  <c r="AB158" i="29"/>
  <c r="AE172" i="4"/>
  <c r="O158" i="29"/>
  <c r="AE159" i="29"/>
  <c r="AA159" i="29" s="1"/>
  <c r="AF159" i="29"/>
  <c r="I158" i="29"/>
  <c r="K158" i="29" s="1"/>
  <c r="J158" i="29"/>
  <c r="Y158" i="29" s="1"/>
  <c r="Z158" i="29" s="1"/>
  <c r="Z157" i="29"/>
  <c r="E159" i="29"/>
  <c r="Q159" i="29"/>
  <c r="G159" i="29"/>
  <c r="U159" i="29"/>
  <c r="R159" i="29"/>
  <c r="S159" i="29"/>
  <c r="T159" i="29"/>
  <c r="AD161" i="29"/>
  <c r="B160" i="29"/>
  <c r="AI160" i="29"/>
  <c r="AG171" i="4"/>
  <c r="AN171" i="4"/>
  <c r="AO171" i="4" s="1"/>
  <c r="AG170" i="4"/>
  <c r="AN170" i="4"/>
  <c r="AO170" i="4" s="1"/>
  <c r="U173" i="4"/>
  <c r="W173" i="4"/>
  <c r="AB173" i="4" s="1"/>
  <c r="R173" i="4"/>
  <c r="Z173" i="4" s="1"/>
  <c r="Q173" i="4"/>
  <c r="Y173" i="4" s="1"/>
  <c r="X173" i="4"/>
  <c r="AC173" i="4" s="1"/>
  <c r="V173" i="4"/>
  <c r="AA173" i="4" s="1"/>
  <c r="B175" i="4"/>
  <c r="AY175" i="4"/>
  <c r="AV176" i="4"/>
  <c r="O174" i="4"/>
  <c r="F174" i="4"/>
  <c r="N174" i="4"/>
  <c r="P174" i="4"/>
  <c r="AK174" i="4"/>
  <c r="K174" i="4"/>
  <c r="AH174" i="4"/>
  <c r="M174" i="4"/>
  <c r="AM174" i="4"/>
  <c r="L174" i="4"/>
  <c r="AJ174" i="4"/>
  <c r="AL174" i="4"/>
  <c r="J174" i="4"/>
  <c r="AI174" i="4"/>
  <c r="AX174" i="4"/>
  <c r="AW174" i="4"/>
  <c r="AP173" i="4"/>
  <c r="AD171" i="4"/>
  <c r="AF173" i="4"/>
  <c r="P157" i="29" l="1"/>
  <c r="V157" i="29"/>
  <c r="W157" i="29" s="1"/>
  <c r="AB159" i="29"/>
  <c r="N158" i="29"/>
  <c r="P158" i="29" s="1"/>
  <c r="AQ173" i="4"/>
  <c r="AE173" i="4"/>
  <c r="AD162" i="29"/>
  <c r="B161" i="29"/>
  <c r="AI161" i="29"/>
  <c r="I159" i="29"/>
  <c r="J159" i="29"/>
  <c r="Y159" i="29" s="1"/>
  <c r="V158" i="29"/>
  <c r="W158" i="29" s="1"/>
  <c r="AF160" i="29"/>
  <c r="AE160" i="29"/>
  <c r="AA160" i="29" s="1"/>
  <c r="E160" i="29"/>
  <c r="T160" i="29"/>
  <c r="R160" i="29"/>
  <c r="S160" i="29"/>
  <c r="U160" i="29"/>
  <c r="Q160" i="29"/>
  <c r="G160" i="29"/>
  <c r="O159" i="29"/>
  <c r="AD173" i="4"/>
  <c r="AG172" i="4"/>
  <c r="AN172" i="4"/>
  <c r="AO172" i="4" s="1"/>
  <c r="AF174" i="4"/>
  <c r="AY176" i="4"/>
  <c r="AV177" i="4"/>
  <c r="B176" i="4"/>
  <c r="AW175" i="4"/>
  <c r="AX175" i="4"/>
  <c r="AD172" i="4"/>
  <c r="F175" i="4"/>
  <c r="AJ175" i="4"/>
  <c r="AM175" i="4"/>
  <c r="K175" i="4"/>
  <c r="AL175" i="4"/>
  <c r="P175" i="4"/>
  <c r="AK175" i="4"/>
  <c r="J175" i="4"/>
  <c r="N175" i="4"/>
  <c r="AH175" i="4"/>
  <c r="L175" i="4"/>
  <c r="M175" i="4"/>
  <c r="AI175" i="4"/>
  <c r="O175" i="4"/>
  <c r="R174" i="4"/>
  <c r="Z174" i="4" s="1"/>
  <c r="V174" i="4"/>
  <c r="AA174" i="4" s="1"/>
  <c r="X174" i="4"/>
  <c r="AC174" i="4" s="1"/>
  <c r="U174" i="4"/>
  <c r="AP174" i="4" s="1"/>
  <c r="W174" i="4"/>
  <c r="AB174" i="4" s="1"/>
  <c r="Q174" i="4"/>
  <c r="Y174" i="4" s="1"/>
  <c r="K159" i="29" l="1"/>
  <c r="N159" i="29" s="1"/>
  <c r="AB160" i="29"/>
  <c r="AQ174" i="4"/>
  <c r="AE174" i="4"/>
  <c r="AE161" i="29"/>
  <c r="AA161" i="29" s="1"/>
  <c r="AF161" i="29"/>
  <c r="O160" i="29"/>
  <c r="E161" i="29"/>
  <c r="U161" i="29"/>
  <c r="Q161" i="29"/>
  <c r="S161" i="29"/>
  <c r="G161" i="29"/>
  <c r="R161" i="29"/>
  <c r="T161" i="29"/>
  <c r="Z159" i="29"/>
  <c r="I160" i="29"/>
  <c r="K160" i="29" s="1"/>
  <c r="J160" i="29"/>
  <c r="Y160" i="29" s="1"/>
  <c r="Z160" i="29" s="1"/>
  <c r="AD163" i="29"/>
  <c r="B162" i="29"/>
  <c r="AI162" i="29"/>
  <c r="AV178" i="4"/>
  <c r="AY177" i="4"/>
  <c r="B177" i="4"/>
  <c r="AG173" i="4"/>
  <c r="AN173" i="4"/>
  <c r="AO173" i="4" s="1"/>
  <c r="AW176" i="4"/>
  <c r="AX176" i="4"/>
  <c r="AF175" i="4"/>
  <c r="V175" i="4"/>
  <c r="AA175" i="4" s="1"/>
  <c r="Q175" i="4"/>
  <c r="Y175" i="4" s="1"/>
  <c r="W175" i="4"/>
  <c r="AB175" i="4" s="1"/>
  <c r="U175" i="4"/>
  <c r="AP175" i="4" s="1"/>
  <c r="R175" i="4"/>
  <c r="Z175" i="4" s="1"/>
  <c r="X175" i="4"/>
  <c r="AC175" i="4" s="1"/>
  <c r="AM176" i="4"/>
  <c r="L176" i="4"/>
  <c r="N176" i="4"/>
  <c r="AI176" i="4"/>
  <c r="P176" i="4"/>
  <c r="AK176" i="4"/>
  <c r="F176" i="4"/>
  <c r="K176" i="4"/>
  <c r="AH176" i="4"/>
  <c r="O176" i="4"/>
  <c r="M176" i="4"/>
  <c r="J176" i="4"/>
  <c r="AJ176" i="4"/>
  <c r="AL176" i="4"/>
  <c r="V159" i="29" l="1"/>
  <c r="W159" i="29" s="1"/>
  <c r="P159" i="29"/>
  <c r="N160" i="29"/>
  <c r="P160" i="29" s="1"/>
  <c r="AB161" i="29"/>
  <c r="AQ175" i="4"/>
  <c r="AE175" i="4"/>
  <c r="V160" i="29"/>
  <c r="W160" i="29" s="1"/>
  <c r="E162" i="29"/>
  <c r="G162" i="29"/>
  <c r="S162" i="29"/>
  <c r="T162" i="29"/>
  <c r="U162" i="29"/>
  <c r="Q162" i="29"/>
  <c r="R162" i="29"/>
  <c r="AD164" i="29"/>
  <c r="B163" i="29"/>
  <c r="AI163" i="29"/>
  <c r="I161" i="29"/>
  <c r="J161" i="29"/>
  <c r="Y161" i="29" s="1"/>
  <c r="AF162" i="29"/>
  <c r="AE162" i="29"/>
  <c r="AA162" i="29" s="1"/>
  <c r="O161" i="29"/>
  <c r="AN174" i="4"/>
  <c r="AO174" i="4" s="1"/>
  <c r="AF176" i="4"/>
  <c r="AM177" i="4"/>
  <c r="AH177" i="4"/>
  <c r="AJ177" i="4"/>
  <c r="J177" i="4"/>
  <c r="AI177" i="4"/>
  <c r="O177" i="4"/>
  <c r="P177" i="4"/>
  <c r="N177" i="4"/>
  <c r="M177" i="4"/>
  <c r="AL177" i="4"/>
  <c r="F177" i="4"/>
  <c r="K177" i="4"/>
  <c r="AK177" i="4"/>
  <c r="L177" i="4"/>
  <c r="AD174" i="4"/>
  <c r="R176" i="4"/>
  <c r="Z176" i="4" s="1"/>
  <c r="Q176" i="4"/>
  <c r="Y176" i="4" s="1"/>
  <c r="V176" i="4"/>
  <c r="AA176" i="4" s="1"/>
  <c r="U176" i="4"/>
  <c r="AP176" i="4" s="1"/>
  <c r="W176" i="4"/>
  <c r="AB176" i="4" s="1"/>
  <c r="X176" i="4"/>
  <c r="AC176" i="4" s="1"/>
  <c r="AX177" i="4"/>
  <c r="AW177" i="4"/>
  <c r="AV179" i="4"/>
  <c r="B178" i="4"/>
  <c r="AY178" i="4"/>
  <c r="K161" i="29" l="1"/>
  <c r="N161" i="29" s="1"/>
  <c r="AQ176" i="4"/>
  <c r="AB162" i="29"/>
  <c r="AE176" i="4"/>
  <c r="I162" i="29"/>
  <c r="J162" i="29"/>
  <c r="Y162" i="29" s="1"/>
  <c r="AF163" i="29"/>
  <c r="AE163" i="29"/>
  <c r="AA163" i="29" s="1"/>
  <c r="E163" i="29"/>
  <c r="G163" i="29"/>
  <c r="Q163" i="29"/>
  <c r="S163" i="29"/>
  <c r="T163" i="29"/>
  <c r="R163" i="29"/>
  <c r="U163" i="29"/>
  <c r="AD165" i="29"/>
  <c r="B164" i="29"/>
  <c r="AI164" i="29"/>
  <c r="Z161" i="29"/>
  <c r="O162" i="29"/>
  <c r="AG174" i="4"/>
  <c r="AG175" i="4"/>
  <c r="AN175" i="4"/>
  <c r="AO175" i="4" s="1"/>
  <c r="AV180" i="4"/>
  <c r="AY179" i="4"/>
  <c r="B179" i="4"/>
  <c r="Q177" i="4"/>
  <c r="Y177" i="4" s="1"/>
  <c r="R177" i="4"/>
  <c r="Z177" i="4" s="1"/>
  <c r="X177" i="4"/>
  <c r="AC177" i="4" s="1"/>
  <c r="U177" i="4"/>
  <c r="W177" i="4"/>
  <c r="AB177" i="4" s="1"/>
  <c r="V177" i="4"/>
  <c r="AA177" i="4" s="1"/>
  <c r="AD175" i="4"/>
  <c r="N178" i="4"/>
  <c r="AH178" i="4"/>
  <c r="AM178" i="4"/>
  <c r="AJ178" i="4"/>
  <c r="F178" i="4"/>
  <c r="O178" i="4"/>
  <c r="AI178" i="4"/>
  <c r="K178" i="4"/>
  <c r="J178" i="4"/>
  <c r="AK178" i="4"/>
  <c r="AL178" i="4"/>
  <c r="P178" i="4"/>
  <c r="L178" i="4"/>
  <c r="M178" i="4"/>
  <c r="AF177" i="4"/>
  <c r="AX178" i="4"/>
  <c r="AW178" i="4"/>
  <c r="AP177" i="4"/>
  <c r="V161" i="29" l="1"/>
  <c r="W161" i="29" s="1"/>
  <c r="P161" i="29"/>
  <c r="AB163" i="29"/>
  <c r="K162" i="29"/>
  <c r="N162" i="29" s="1"/>
  <c r="AQ177" i="4"/>
  <c r="AE177" i="4"/>
  <c r="AE164" i="29"/>
  <c r="AA164" i="29" s="1"/>
  <c r="AF164" i="29"/>
  <c r="E164" i="29"/>
  <c r="S164" i="29"/>
  <c r="U164" i="29"/>
  <c r="G164" i="29"/>
  <c r="Q164" i="29"/>
  <c r="T164" i="29"/>
  <c r="R164" i="29"/>
  <c r="O163" i="29"/>
  <c r="AD166" i="29"/>
  <c r="B165" i="29"/>
  <c r="AI165" i="29"/>
  <c r="J163" i="29"/>
  <c r="I163" i="29"/>
  <c r="Z162" i="29"/>
  <c r="Y163" i="29"/>
  <c r="AN176" i="4"/>
  <c r="AO176" i="4" s="1"/>
  <c r="AW179" i="4"/>
  <c r="AX179" i="4"/>
  <c r="AF178" i="4"/>
  <c r="AV181" i="4"/>
  <c r="AY180" i="4"/>
  <c r="B180" i="4"/>
  <c r="U178" i="4"/>
  <c r="AP178" i="4" s="1"/>
  <c r="R178" i="4"/>
  <c r="Z178" i="4" s="1"/>
  <c r="Q178" i="4"/>
  <c r="Y178" i="4" s="1"/>
  <c r="V178" i="4"/>
  <c r="AA178" i="4" s="1"/>
  <c r="X178" i="4"/>
  <c r="AC178" i="4" s="1"/>
  <c r="W178" i="4"/>
  <c r="AB178" i="4" s="1"/>
  <c r="AD177" i="4"/>
  <c r="AD176" i="4"/>
  <c r="O179" i="4"/>
  <c r="J179" i="4"/>
  <c r="AK179" i="4"/>
  <c r="L179" i="4"/>
  <c r="AM179" i="4"/>
  <c r="P179" i="4"/>
  <c r="F179" i="4"/>
  <c r="AL179" i="4"/>
  <c r="AI179" i="4"/>
  <c r="M179" i="4"/>
  <c r="N179" i="4"/>
  <c r="AH179" i="4"/>
  <c r="AJ179" i="4"/>
  <c r="K179" i="4"/>
  <c r="P162" i="29" l="1"/>
  <c r="V162" i="29"/>
  <c r="W162" i="29" s="1"/>
  <c r="AB164" i="29"/>
  <c r="K163" i="29"/>
  <c r="N163" i="29" s="1"/>
  <c r="AQ178" i="4"/>
  <c r="AE178" i="4"/>
  <c r="E165" i="29"/>
  <c r="S165" i="29"/>
  <c r="G165" i="29"/>
  <c r="R165" i="29"/>
  <c r="T165" i="29"/>
  <c r="U165" i="29"/>
  <c r="Q165" i="29"/>
  <c r="Z163" i="29"/>
  <c r="AD167" i="29"/>
  <c r="B166" i="29"/>
  <c r="AI166" i="29"/>
  <c r="O164" i="29"/>
  <c r="J164" i="29"/>
  <c r="Y164" i="29" s="1"/>
  <c r="I164" i="29"/>
  <c r="AF165" i="29"/>
  <c r="AE165" i="29"/>
  <c r="AA165" i="29" s="1"/>
  <c r="AG176" i="4"/>
  <c r="AF179" i="4"/>
  <c r="L180" i="4"/>
  <c r="K180" i="4"/>
  <c r="AJ180" i="4"/>
  <c r="M180" i="4"/>
  <c r="P180" i="4"/>
  <c r="AK180" i="4"/>
  <c r="AM180" i="4"/>
  <c r="AH180" i="4"/>
  <c r="AL180" i="4"/>
  <c r="O180" i="4"/>
  <c r="F180" i="4"/>
  <c r="N180" i="4"/>
  <c r="J180" i="4"/>
  <c r="AI180" i="4"/>
  <c r="AN177" i="4"/>
  <c r="AO177" i="4" s="1"/>
  <c r="AG177" i="4"/>
  <c r="AX180" i="4"/>
  <c r="AW180" i="4"/>
  <c r="Q179" i="4"/>
  <c r="Y179" i="4" s="1"/>
  <c r="X179" i="4"/>
  <c r="AC179" i="4" s="1"/>
  <c r="V179" i="4"/>
  <c r="AA179" i="4" s="1"/>
  <c r="W179" i="4"/>
  <c r="AB179" i="4" s="1"/>
  <c r="R179" i="4"/>
  <c r="Z179" i="4" s="1"/>
  <c r="U179" i="4"/>
  <c r="AP179" i="4" s="1"/>
  <c r="AV182" i="4"/>
  <c r="AY181" i="4"/>
  <c r="B181" i="4"/>
  <c r="V163" i="29" l="1"/>
  <c r="W163" i="29" s="1"/>
  <c r="P163" i="29"/>
  <c r="K164" i="29"/>
  <c r="N164" i="29" s="1"/>
  <c r="AQ179" i="4"/>
  <c r="AB165" i="29"/>
  <c r="AE179" i="4"/>
  <c r="L348" i="7" s="1"/>
  <c r="J165" i="29"/>
  <c r="Y165" i="29" s="1"/>
  <c r="I165" i="29"/>
  <c r="K165" i="29" s="1"/>
  <c r="E166" i="29"/>
  <c r="G166" i="29"/>
  <c r="U166" i="29"/>
  <c r="Q166" i="29"/>
  <c r="S166" i="29"/>
  <c r="R166" i="29"/>
  <c r="T166" i="29"/>
  <c r="Z164" i="29"/>
  <c r="AD168" i="29"/>
  <c r="B167" i="29"/>
  <c r="AI167" i="29"/>
  <c r="AE166" i="29"/>
  <c r="AA166" i="29" s="1"/>
  <c r="AF166" i="29"/>
  <c r="O165" i="29"/>
  <c r="AG178" i="4"/>
  <c r="AN178" i="4"/>
  <c r="AO178" i="4" s="1"/>
  <c r="AW181" i="4"/>
  <c r="AX181" i="4"/>
  <c r="U180" i="4"/>
  <c r="AP180" i="4" s="1"/>
  <c r="V180" i="4"/>
  <c r="AA180" i="4" s="1"/>
  <c r="W180" i="4"/>
  <c r="AB180" i="4" s="1"/>
  <c r="Q180" i="4"/>
  <c r="Y180" i="4" s="1"/>
  <c r="R180" i="4"/>
  <c r="Z180" i="4" s="1"/>
  <c r="AQ180" i="4" s="1"/>
  <c r="X180" i="4"/>
  <c r="AC180" i="4" s="1"/>
  <c r="AD178" i="4"/>
  <c r="P181" i="4"/>
  <c r="J181" i="4"/>
  <c r="AL181" i="4"/>
  <c r="AJ181" i="4"/>
  <c r="L181" i="4"/>
  <c r="O181" i="4"/>
  <c r="F181" i="4"/>
  <c r="AM181" i="4"/>
  <c r="M181" i="4"/>
  <c r="AH181" i="4"/>
  <c r="AI181" i="4"/>
  <c r="AK181" i="4"/>
  <c r="K181" i="4"/>
  <c r="N181" i="4"/>
  <c r="AV183" i="4"/>
  <c r="AY182" i="4"/>
  <c r="B182" i="4"/>
  <c r="AF180" i="4"/>
  <c r="V164" i="29" l="1"/>
  <c r="W164" i="29" s="1"/>
  <c r="P164" i="29"/>
  <c r="N165" i="29"/>
  <c r="AB166" i="29"/>
  <c r="AE180" i="4"/>
  <c r="V165" i="29"/>
  <c r="W165" i="29" s="1"/>
  <c r="P165" i="29"/>
  <c r="AF167" i="29"/>
  <c r="AE167" i="29"/>
  <c r="AA167" i="29" s="1"/>
  <c r="Z165" i="29"/>
  <c r="J166" i="29"/>
  <c r="Y166" i="29" s="1"/>
  <c r="I166" i="29"/>
  <c r="K166" i="29" s="1"/>
  <c r="E167" i="29"/>
  <c r="S167" i="29"/>
  <c r="R167" i="29"/>
  <c r="T167" i="29"/>
  <c r="Q167" i="29"/>
  <c r="G167" i="29"/>
  <c r="U167" i="29"/>
  <c r="AD169" i="29"/>
  <c r="B168" i="29"/>
  <c r="AI168" i="29"/>
  <c r="O166" i="29"/>
  <c r="AN179" i="4"/>
  <c r="AO179" i="4" s="1"/>
  <c r="AG179" i="4"/>
  <c r="AF181" i="4"/>
  <c r="W181" i="4"/>
  <c r="AB181" i="4" s="1"/>
  <c r="V181" i="4"/>
  <c r="AA181" i="4" s="1"/>
  <c r="X181" i="4"/>
  <c r="AC181" i="4" s="1"/>
  <c r="U181" i="4"/>
  <c r="R181" i="4"/>
  <c r="Z181" i="4" s="1"/>
  <c r="Q181" i="4"/>
  <c r="Y181" i="4" s="1"/>
  <c r="L182" i="4"/>
  <c r="AI182" i="4"/>
  <c r="AK182" i="4"/>
  <c r="AL182" i="4"/>
  <c r="F182" i="4"/>
  <c r="AM182" i="4"/>
  <c r="AJ182" i="4"/>
  <c r="N182" i="4"/>
  <c r="K182" i="4"/>
  <c r="M182" i="4"/>
  <c r="O182" i="4"/>
  <c r="P182" i="4"/>
  <c r="J182" i="4"/>
  <c r="AH182" i="4"/>
  <c r="AX182" i="4"/>
  <c r="AW182" i="4"/>
  <c r="B183" i="4"/>
  <c r="AV184" i="4"/>
  <c r="AY183" i="4"/>
  <c r="AD179" i="4"/>
  <c r="AD180" i="4"/>
  <c r="AP181" i="4"/>
  <c r="AB167" i="29" l="1"/>
  <c r="N166" i="29"/>
  <c r="AQ181" i="4"/>
  <c r="AE181" i="4"/>
  <c r="L349" i="7" s="1"/>
  <c r="O167" i="29"/>
  <c r="Z166" i="29"/>
  <c r="AE168" i="29"/>
  <c r="AA168" i="29" s="1"/>
  <c r="AF168" i="29"/>
  <c r="V166" i="29"/>
  <c r="W166" i="29" s="1"/>
  <c r="P166" i="29"/>
  <c r="J167" i="29"/>
  <c r="Y167" i="29" s="1"/>
  <c r="I167" i="29"/>
  <c r="E168" i="29"/>
  <c r="U168" i="29"/>
  <c r="S168" i="29"/>
  <c r="Q168" i="29"/>
  <c r="G168" i="29"/>
  <c r="R168" i="29"/>
  <c r="T168" i="29"/>
  <c r="AD170" i="29"/>
  <c r="B169" i="29"/>
  <c r="AI169" i="29"/>
  <c r="AX183" i="4"/>
  <c r="AW183" i="4"/>
  <c r="AV185" i="4"/>
  <c r="AY184" i="4"/>
  <c r="B184" i="4"/>
  <c r="AV188" i="4"/>
  <c r="AF182" i="4"/>
  <c r="AD181" i="4"/>
  <c r="N183" i="4"/>
  <c r="AI183" i="4"/>
  <c r="P183" i="4"/>
  <c r="F183" i="4"/>
  <c r="K183" i="4"/>
  <c r="M183" i="4"/>
  <c r="AJ183" i="4"/>
  <c r="AM183" i="4"/>
  <c r="AK183" i="4"/>
  <c r="AL183" i="4"/>
  <c r="L183" i="4"/>
  <c r="O183" i="4"/>
  <c r="J183" i="4"/>
  <c r="AH183" i="4"/>
  <c r="V182" i="4"/>
  <c r="AA182" i="4" s="1"/>
  <c r="R182" i="4"/>
  <c r="Z182" i="4" s="1"/>
  <c r="X182" i="4"/>
  <c r="AC182" i="4" s="1"/>
  <c r="Q182" i="4"/>
  <c r="Y182" i="4" s="1"/>
  <c r="U182" i="4"/>
  <c r="AP182" i="4" s="1"/>
  <c r="W182" i="4"/>
  <c r="AB182" i="4" s="1"/>
  <c r="AG180" i="4"/>
  <c r="AN180" i="4"/>
  <c r="AO180" i="4" s="1"/>
  <c r="AB168" i="29" l="1"/>
  <c r="K167" i="29"/>
  <c r="N167" i="29" s="1"/>
  <c r="AQ182" i="4"/>
  <c r="AE182" i="4"/>
  <c r="Z167" i="29"/>
  <c r="J168" i="29"/>
  <c r="Y168" i="29" s="1"/>
  <c r="I168" i="29"/>
  <c r="AE169" i="29"/>
  <c r="AA169" i="29" s="1"/>
  <c r="AF169" i="29"/>
  <c r="E169" i="29"/>
  <c r="S169" i="29"/>
  <c r="R169" i="29"/>
  <c r="Q169" i="29"/>
  <c r="U169" i="29"/>
  <c r="G169" i="29"/>
  <c r="T169" i="29"/>
  <c r="AD171" i="29"/>
  <c r="B170" i="29"/>
  <c r="AI170" i="29"/>
  <c r="O168" i="29"/>
  <c r="AF183" i="4"/>
  <c r="AY188" i="4"/>
  <c r="B188" i="4"/>
  <c r="AH184" i="4"/>
  <c r="K184" i="4"/>
  <c r="J184" i="4"/>
  <c r="AJ184" i="4"/>
  <c r="M184" i="4"/>
  <c r="N184" i="4"/>
  <c r="P184" i="4"/>
  <c r="L184" i="4"/>
  <c r="O184" i="4"/>
  <c r="AK184" i="4"/>
  <c r="AI184" i="4"/>
  <c r="AL184" i="4"/>
  <c r="F184" i="4"/>
  <c r="AM184" i="4"/>
  <c r="AX184" i="4"/>
  <c r="AW184" i="4"/>
  <c r="Q183" i="4"/>
  <c r="Y183" i="4" s="1"/>
  <c r="R183" i="4"/>
  <c r="Z183" i="4" s="1"/>
  <c r="X183" i="4"/>
  <c r="AC183" i="4" s="1"/>
  <c r="U183" i="4"/>
  <c r="AP183" i="4" s="1"/>
  <c r="V183" i="4"/>
  <c r="AA183" i="4" s="1"/>
  <c r="W183" i="4"/>
  <c r="AB183" i="4" s="1"/>
  <c r="AD182" i="4"/>
  <c r="AG181" i="4"/>
  <c r="AN181" i="4"/>
  <c r="AO181" i="4" s="1"/>
  <c r="AY185" i="4"/>
  <c r="B185" i="4"/>
  <c r="AV186" i="4"/>
  <c r="AV189" i="4"/>
  <c r="P167" i="29" l="1"/>
  <c r="V167" i="29"/>
  <c r="W167" i="29" s="1"/>
  <c r="AM185" i="4"/>
  <c r="AI185" i="4"/>
  <c r="N185" i="4"/>
  <c r="J185" i="4"/>
  <c r="AL185" i="4"/>
  <c r="AH185" i="4"/>
  <c r="M185" i="4"/>
  <c r="F185" i="4"/>
  <c r="P185" i="4"/>
  <c r="O185" i="4"/>
  <c r="AK185" i="4"/>
  <c r="L185" i="4"/>
  <c r="AJ185" i="4"/>
  <c r="K185" i="4"/>
  <c r="AB169" i="29"/>
  <c r="K168" i="29"/>
  <c r="N168" i="29" s="1"/>
  <c r="AQ183" i="4"/>
  <c r="AE183" i="4"/>
  <c r="Z168" i="29"/>
  <c r="AE170" i="29"/>
  <c r="AA170" i="29" s="1"/>
  <c r="AF170" i="29"/>
  <c r="E170" i="29"/>
  <c r="S170" i="29"/>
  <c r="R170" i="29"/>
  <c r="Q170" i="29"/>
  <c r="U170" i="29"/>
  <c r="G170" i="29"/>
  <c r="T170" i="29"/>
  <c r="O169" i="29"/>
  <c r="AD172" i="29"/>
  <c r="B171" i="29"/>
  <c r="AI171" i="29"/>
  <c r="I169" i="29"/>
  <c r="J169" i="29"/>
  <c r="Y169" i="29" s="1"/>
  <c r="AW185" i="4"/>
  <c r="AX185" i="4"/>
  <c r="AF184" i="4"/>
  <c r="B189" i="4"/>
  <c r="AY189" i="4"/>
  <c r="Q184" i="4"/>
  <c r="Y184" i="4" s="1"/>
  <c r="R184" i="4"/>
  <c r="Z184" i="4" s="1"/>
  <c r="U184" i="4"/>
  <c r="AP184" i="4" s="1"/>
  <c r="X184" i="4"/>
  <c r="AC184" i="4" s="1"/>
  <c r="W184" i="4"/>
  <c r="AB184" i="4" s="1"/>
  <c r="V184" i="4"/>
  <c r="AA184" i="4" s="1"/>
  <c r="B186" i="4"/>
  <c r="AY186" i="4"/>
  <c r="AV187" i="4"/>
  <c r="AV190" i="4"/>
  <c r="O188" i="4"/>
  <c r="L188" i="4"/>
  <c r="AL188" i="4"/>
  <c r="M188" i="4"/>
  <c r="AH188" i="4"/>
  <c r="AI188" i="4"/>
  <c r="N188" i="4"/>
  <c r="P188" i="4"/>
  <c r="AK188" i="4"/>
  <c r="AM188" i="4"/>
  <c r="J188" i="4"/>
  <c r="AJ188" i="4"/>
  <c r="K188" i="4"/>
  <c r="F188" i="4"/>
  <c r="AW188" i="4"/>
  <c r="AX188" i="4"/>
  <c r="AK186" i="4" l="1"/>
  <c r="P186" i="4"/>
  <c r="L186" i="4"/>
  <c r="AJ186" i="4"/>
  <c r="O186" i="4"/>
  <c r="K186" i="4"/>
  <c r="AI186" i="4"/>
  <c r="J186" i="4"/>
  <c r="AH186" i="4"/>
  <c r="F186" i="4"/>
  <c r="AM186" i="4"/>
  <c r="N186" i="4"/>
  <c r="M186" i="4"/>
  <c r="AL186" i="4"/>
  <c r="P168" i="29"/>
  <c r="V168" i="29"/>
  <c r="W168" i="29" s="1"/>
  <c r="AB170" i="29"/>
  <c r="K169" i="29"/>
  <c r="N169" i="29" s="1"/>
  <c r="AQ184" i="4"/>
  <c r="AE184" i="4"/>
  <c r="AD173" i="29"/>
  <c r="B172" i="29"/>
  <c r="AI172" i="29"/>
  <c r="O170" i="29"/>
  <c r="AF171" i="29"/>
  <c r="AE171" i="29"/>
  <c r="AA171" i="29" s="1"/>
  <c r="Z169" i="29"/>
  <c r="J170" i="29"/>
  <c r="Y170" i="29" s="1"/>
  <c r="I170" i="29"/>
  <c r="E171" i="29"/>
  <c r="R171" i="29"/>
  <c r="T171" i="29"/>
  <c r="S171" i="29"/>
  <c r="Q171" i="29"/>
  <c r="U171" i="29"/>
  <c r="G171" i="29"/>
  <c r="AG183" i="4"/>
  <c r="AN183" i="4"/>
  <c r="AO183" i="4" s="1"/>
  <c r="AW186" i="4"/>
  <c r="AX186" i="4"/>
  <c r="AK189" i="4"/>
  <c r="J189" i="4"/>
  <c r="L189" i="4"/>
  <c r="O189" i="4"/>
  <c r="AI189" i="4"/>
  <c r="AJ189" i="4"/>
  <c r="M189" i="4"/>
  <c r="F189" i="4"/>
  <c r="AH189" i="4"/>
  <c r="AL189" i="4"/>
  <c r="K189" i="4"/>
  <c r="N189" i="4"/>
  <c r="AM189" i="4"/>
  <c r="P189" i="4"/>
  <c r="AF185" i="4"/>
  <c r="AF188" i="4"/>
  <c r="AD183" i="4"/>
  <c r="B190" i="4"/>
  <c r="AY190" i="4"/>
  <c r="AG182" i="4"/>
  <c r="AN182" i="4"/>
  <c r="AO182" i="4" s="1"/>
  <c r="Q188" i="4"/>
  <c r="Y188" i="4" s="1"/>
  <c r="W188" i="4"/>
  <c r="AB188" i="4" s="1"/>
  <c r="R188" i="4"/>
  <c r="Z188" i="4" s="1"/>
  <c r="U188" i="4"/>
  <c r="AP188" i="4" s="1"/>
  <c r="X188" i="4"/>
  <c r="AC188" i="4" s="1"/>
  <c r="V188" i="4"/>
  <c r="AA188" i="4" s="1"/>
  <c r="B187" i="4"/>
  <c r="AV191" i="4"/>
  <c r="AY187" i="4"/>
  <c r="AX189" i="4"/>
  <c r="AW189" i="4"/>
  <c r="R185" i="4"/>
  <c r="Z185" i="4" s="1"/>
  <c r="Q185" i="4"/>
  <c r="Y185" i="4" s="1"/>
  <c r="V185" i="4"/>
  <c r="AA185" i="4" s="1"/>
  <c r="X185" i="4"/>
  <c r="AC185" i="4" s="1"/>
  <c r="W185" i="4"/>
  <c r="AB185" i="4" s="1"/>
  <c r="U185" i="4"/>
  <c r="AP185" i="4" s="1"/>
  <c r="P169" i="29" l="1"/>
  <c r="V169" i="29"/>
  <c r="W169" i="29" s="1"/>
  <c r="K170" i="29"/>
  <c r="N170" i="29" s="1"/>
  <c r="AB171" i="29"/>
  <c r="O171" i="29"/>
  <c r="AQ185" i="4"/>
  <c r="AQ188" i="4"/>
  <c r="AE185" i="4"/>
  <c r="AE188" i="4"/>
  <c r="I171" i="29"/>
  <c r="J171" i="29"/>
  <c r="Y171" i="29" s="1"/>
  <c r="Z171" i="29" s="1"/>
  <c r="AF172" i="29"/>
  <c r="AE172" i="29"/>
  <c r="AA172" i="29" s="1"/>
  <c r="E172" i="29"/>
  <c r="G172" i="29"/>
  <c r="T172" i="29"/>
  <c r="U172" i="29"/>
  <c r="Q172" i="29"/>
  <c r="R172" i="29"/>
  <c r="S172" i="29"/>
  <c r="Z170" i="29"/>
  <c r="AD174" i="29"/>
  <c r="B173" i="29"/>
  <c r="AI173" i="29"/>
  <c r="AD184" i="4"/>
  <c r="AF189" i="4"/>
  <c r="AH190" i="4"/>
  <c r="J190" i="4"/>
  <c r="K190" i="4"/>
  <c r="F190" i="4"/>
  <c r="AM190" i="4"/>
  <c r="M190" i="4"/>
  <c r="AJ190" i="4"/>
  <c r="AI190" i="4"/>
  <c r="L190" i="4"/>
  <c r="P190" i="4"/>
  <c r="AK190" i="4"/>
  <c r="O190" i="4"/>
  <c r="AL190" i="4"/>
  <c r="N190" i="4"/>
  <c r="V189" i="4"/>
  <c r="AA189" i="4" s="1"/>
  <c r="U189" i="4"/>
  <c r="AP189" i="4" s="1"/>
  <c r="X189" i="4"/>
  <c r="AC189" i="4" s="1"/>
  <c r="W189" i="4"/>
  <c r="AB189" i="4" s="1"/>
  <c r="R189" i="4"/>
  <c r="Z189" i="4" s="1"/>
  <c r="Q189" i="4"/>
  <c r="Y189" i="4" s="1"/>
  <c r="O187" i="4"/>
  <c r="F187" i="4"/>
  <c r="K187" i="4"/>
  <c r="AI187" i="4"/>
  <c r="AK187" i="4"/>
  <c r="AJ187" i="4"/>
  <c r="AL187" i="4"/>
  <c r="AH187" i="4"/>
  <c r="J187" i="4"/>
  <c r="N187" i="4"/>
  <c r="P187" i="4"/>
  <c r="M187" i="4"/>
  <c r="L187" i="4"/>
  <c r="AM187" i="4"/>
  <c r="AX187" i="4"/>
  <c r="AW187" i="4"/>
  <c r="AD188" i="4"/>
  <c r="AG184" i="4"/>
  <c r="AN184" i="4"/>
  <c r="AO184" i="4" s="1"/>
  <c r="AY191" i="4"/>
  <c r="AV192" i="4"/>
  <c r="B191" i="4"/>
  <c r="AW190" i="4"/>
  <c r="AX190" i="4"/>
  <c r="AF186" i="4"/>
  <c r="U186" i="4"/>
  <c r="AP186" i="4" s="1"/>
  <c r="W186" i="4"/>
  <c r="AB186" i="4" s="1"/>
  <c r="V186" i="4"/>
  <c r="AA186" i="4" s="1"/>
  <c r="X186" i="4"/>
  <c r="AC186" i="4" s="1"/>
  <c r="Q186" i="4"/>
  <c r="Y186" i="4" s="1"/>
  <c r="R186" i="4"/>
  <c r="Z186" i="4" s="1"/>
  <c r="P170" i="29" l="1"/>
  <c r="V170" i="29"/>
  <c r="W170" i="29" s="1"/>
  <c r="AB172" i="29"/>
  <c r="K171" i="29"/>
  <c r="N171" i="29" s="1"/>
  <c r="AQ186" i="4"/>
  <c r="AQ189" i="4"/>
  <c r="AE189" i="4"/>
  <c r="AE186" i="4"/>
  <c r="AD175" i="29"/>
  <c r="B174" i="29"/>
  <c r="AI174" i="29"/>
  <c r="O172" i="29"/>
  <c r="AE173" i="29"/>
  <c r="AA173" i="29" s="1"/>
  <c r="AF173" i="29"/>
  <c r="J172" i="29"/>
  <c r="Y172" i="29" s="1"/>
  <c r="I172" i="29"/>
  <c r="K172" i="29" s="1"/>
  <c r="E173" i="29"/>
  <c r="T173" i="29"/>
  <c r="Q173" i="29"/>
  <c r="U173" i="29"/>
  <c r="S173" i="29"/>
  <c r="G173" i="29"/>
  <c r="R173" i="29"/>
  <c r="AN188" i="4"/>
  <c r="AO188" i="4" s="1"/>
  <c r="AD185" i="4"/>
  <c r="AN185" i="4"/>
  <c r="AO185" i="4" s="1"/>
  <c r="AX191" i="4"/>
  <c r="AW191" i="4"/>
  <c r="AD186" i="4"/>
  <c r="Q190" i="4"/>
  <c r="Y190" i="4" s="1"/>
  <c r="U190" i="4"/>
  <c r="V190" i="4"/>
  <c r="AA190" i="4" s="1"/>
  <c r="W190" i="4"/>
  <c r="AB190" i="4" s="1"/>
  <c r="X190" i="4"/>
  <c r="AC190" i="4" s="1"/>
  <c r="R190" i="4"/>
  <c r="Z190" i="4" s="1"/>
  <c r="M191" i="4"/>
  <c r="L191" i="4"/>
  <c r="F191" i="4"/>
  <c r="AL191" i="4"/>
  <c r="AJ191" i="4"/>
  <c r="N191" i="4"/>
  <c r="P191" i="4"/>
  <c r="AK191" i="4"/>
  <c r="K191" i="4"/>
  <c r="J191" i="4"/>
  <c r="AI191" i="4"/>
  <c r="AH191" i="4"/>
  <c r="O191" i="4"/>
  <c r="AM191" i="4"/>
  <c r="AF187" i="4"/>
  <c r="AY192" i="4"/>
  <c r="B192" i="4"/>
  <c r="AV193" i="4"/>
  <c r="AD189" i="4"/>
  <c r="V187" i="4"/>
  <c r="AA187" i="4" s="1"/>
  <c r="Q187" i="4"/>
  <c r="Y187" i="4" s="1"/>
  <c r="R187" i="4"/>
  <c r="Z187" i="4" s="1"/>
  <c r="X187" i="4"/>
  <c r="AC187" i="4" s="1"/>
  <c r="W187" i="4"/>
  <c r="AB187" i="4" s="1"/>
  <c r="U187" i="4"/>
  <c r="AP187" i="4" s="1"/>
  <c r="AP190" i="4"/>
  <c r="AF190" i="4"/>
  <c r="P171" i="29" l="1"/>
  <c r="V171" i="29"/>
  <c r="W171" i="29" s="1"/>
  <c r="AB173" i="29"/>
  <c r="N172" i="29"/>
  <c r="Z172" i="29"/>
  <c r="AQ190" i="4"/>
  <c r="AQ187" i="4"/>
  <c r="AE187" i="4"/>
  <c r="AE190" i="4"/>
  <c r="AG190" i="4" s="1"/>
  <c r="AG188" i="4"/>
  <c r="E174" i="29"/>
  <c r="R174" i="29"/>
  <c r="T174" i="29"/>
  <c r="G174" i="29"/>
  <c r="Q174" i="29"/>
  <c r="U174" i="29"/>
  <c r="S174" i="29"/>
  <c r="AD176" i="29"/>
  <c r="B175" i="29"/>
  <c r="AI175" i="29"/>
  <c r="I173" i="29"/>
  <c r="K173" i="29" s="1"/>
  <c r="J173" i="29"/>
  <c r="Y173" i="29" s="1"/>
  <c r="O173" i="29"/>
  <c r="P172" i="29"/>
  <c r="V172" i="29"/>
  <c r="W172" i="29" s="1"/>
  <c r="AE174" i="29"/>
  <c r="AA174" i="29" s="1"/>
  <c r="AF174" i="29"/>
  <c r="AG185" i="4"/>
  <c r="AG189" i="4"/>
  <c r="AN189" i="4"/>
  <c r="AO189" i="4" s="1"/>
  <c r="AW192" i="4"/>
  <c r="AX192" i="4"/>
  <c r="AV194" i="4"/>
  <c r="B193" i="4"/>
  <c r="AY193" i="4"/>
  <c r="AD190" i="4"/>
  <c r="AH192" i="4"/>
  <c r="AJ192" i="4"/>
  <c r="N192" i="4"/>
  <c r="O192" i="4"/>
  <c r="J192" i="4"/>
  <c r="P192" i="4"/>
  <c r="AK192" i="4"/>
  <c r="L192" i="4"/>
  <c r="K192" i="4"/>
  <c r="M192" i="4"/>
  <c r="AM192" i="4"/>
  <c r="F192" i="4"/>
  <c r="AI192" i="4"/>
  <c r="AL192" i="4"/>
  <c r="AF191" i="4"/>
  <c r="X191" i="4"/>
  <c r="AC191" i="4" s="1"/>
  <c r="U191" i="4"/>
  <c r="AP191" i="4" s="1"/>
  <c r="Q191" i="4"/>
  <c r="Y191" i="4" s="1"/>
  <c r="V191" i="4"/>
  <c r="AA191" i="4" s="1"/>
  <c r="R191" i="4"/>
  <c r="Z191" i="4" s="1"/>
  <c r="W191" i="4"/>
  <c r="AB191" i="4" s="1"/>
  <c r="N173" i="29" l="1"/>
  <c r="V173" i="29" s="1"/>
  <c r="W173" i="29" s="1"/>
  <c r="AQ191" i="4"/>
  <c r="AB174" i="29"/>
  <c r="AE191" i="4"/>
  <c r="AD187" i="4"/>
  <c r="E175" i="29"/>
  <c r="U175" i="29"/>
  <c r="T175" i="29"/>
  <c r="G175" i="29"/>
  <c r="S175" i="29"/>
  <c r="R175" i="29"/>
  <c r="Q175" i="29"/>
  <c r="P173" i="29"/>
  <c r="AD177" i="29"/>
  <c r="B176" i="29"/>
  <c r="AI176" i="29"/>
  <c r="O174" i="29"/>
  <c r="AG187" i="4"/>
  <c r="J174" i="29"/>
  <c r="Y174" i="29" s="1"/>
  <c r="I174" i="29"/>
  <c r="Z173" i="29"/>
  <c r="AE175" i="29"/>
  <c r="AA175" i="29" s="1"/>
  <c r="AF175" i="29"/>
  <c r="AN190" i="4"/>
  <c r="AO190" i="4" s="1"/>
  <c r="AW193" i="4"/>
  <c r="AX193" i="4"/>
  <c r="AG186" i="4"/>
  <c r="AN186" i="4"/>
  <c r="AO186" i="4" s="1"/>
  <c r="AF192" i="4"/>
  <c r="J193" i="4"/>
  <c r="AH193" i="4"/>
  <c r="O193" i="4"/>
  <c r="AL193" i="4"/>
  <c r="P193" i="4"/>
  <c r="L193" i="4"/>
  <c r="AJ193" i="4"/>
  <c r="AI193" i="4"/>
  <c r="K193" i="4"/>
  <c r="AK193" i="4"/>
  <c r="F193" i="4"/>
  <c r="N193" i="4"/>
  <c r="AM193" i="4"/>
  <c r="M193" i="4"/>
  <c r="W192" i="4"/>
  <c r="AB192" i="4" s="1"/>
  <c r="U192" i="4"/>
  <c r="AP192" i="4" s="1"/>
  <c r="Q192" i="4"/>
  <c r="Y192" i="4" s="1"/>
  <c r="X192" i="4"/>
  <c r="AC192" i="4" s="1"/>
  <c r="V192" i="4"/>
  <c r="AA192" i="4" s="1"/>
  <c r="R192" i="4"/>
  <c r="Z192" i="4" s="1"/>
  <c r="AQ192" i="4" s="1"/>
  <c r="AV195" i="4"/>
  <c r="B194" i="4"/>
  <c r="AY194" i="4"/>
  <c r="AD191" i="4"/>
  <c r="K174" i="29" l="1"/>
  <c r="N174" i="29" s="1"/>
  <c r="AB175" i="29"/>
  <c r="AE192" i="4"/>
  <c r="AN187" i="4"/>
  <c r="AO187" i="4" s="1"/>
  <c r="Z174" i="29"/>
  <c r="I175" i="29"/>
  <c r="J175" i="29"/>
  <c r="Y175" i="29" s="1"/>
  <c r="AE176" i="29"/>
  <c r="AA176" i="29" s="1"/>
  <c r="AF176" i="29"/>
  <c r="E176" i="29"/>
  <c r="G176" i="29"/>
  <c r="R176" i="29"/>
  <c r="U176" i="29"/>
  <c r="Q176" i="29"/>
  <c r="T176" i="29"/>
  <c r="S176" i="29"/>
  <c r="O175" i="29"/>
  <c r="AD178" i="29"/>
  <c r="B177" i="29"/>
  <c r="AI177" i="29"/>
  <c r="X193" i="4"/>
  <c r="AC193" i="4" s="1"/>
  <c r="R193" i="4"/>
  <c r="Z193" i="4" s="1"/>
  <c r="U193" i="4"/>
  <c r="AP193" i="4" s="1"/>
  <c r="V193" i="4"/>
  <c r="AA193" i="4" s="1"/>
  <c r="Q193" i="4"/>
  <c r="Y193" i="4" s="1"/>
  <c r="W193" i="4"/>
  <c r="AB193" i="4" s="1"/>
  <c r="AF193" i="4"/>
  <c r="AX194" i="4"/>
  <c r="AW194" i="4"/>
  <c r="N194" i="4"/>
  <c r="J194" i="4"/>
  <c r="AH194" i="4"/>
  <c r="F194" i="4"/>
  <c r="K194" i="4"/>
  <c r="L194" i="4"/>
  <c r="AM194" i="4"/>
  <c r="AK194" i="4"/>
  <c r="AI194" i="4"/>
  <c r="P194" i="4"/>
  <c r="O194" i="4"/>
  <c r="AJ194" i="4"/>
  <c r="M194" i="4"/>
  <c r="AL194" i="4"/>
  <c r="AV196" i="4"/>
  <c r="AY195" i="4"/>
  <c r="B195" i="4"/>
  <c r="V174" i="29" l="1"/>
  <c r="W174" i="29" s="1"/>
  <c r="P174" i="29"/>
  <c r="AB176" i="29"/>
  <c r="K175" i="29"/>
  <c r="N175" i="29" s="1"/>
  <c r="AQ193" i="4"/>
  <c r="AE193" i="4"/>
  <c r="AD192" i="4"/>
  <c r="AD179" i="29"/>
  <c r="B178" i="29"/>
  <c r="AI178" i="29"/>
  <c r="AF177" i="29"/>
  <c r="AE177" i="29"/>
  <c r="AA177" i="29" s="1"/>
  <c r="Z175" i="29"/>
  <c r="O176" i="29"/>
  <c r="E177" i="29"/>
  <c r="R177" i="29"/>
  <c r="Q177" i="29"/>
  <c r="U177" i="29"/>
  <c r="S177" i="29"/>
  <c r="G177" i="29"/>
  <c r="T177" i="29"/>
  <c r="I176" i="29"/>
  <c r="K176" i="29" s="1"/>
  <c r="J176" i="29"/>
  <c r="Y176" i="29" s="1"/>
  <c r="AG192" i="4"/>
  <c r="AN192" i="4"/>
  <c r="AO192" i="4" s="1"/>
  <c r="J195" i="4"/>
  <c r="AL195" i="4"/>
  <c r="AI195" i="4"/>
  <c r="O195" i="4"/>
  <c r="AJ195" i="4"/>
  <c r="AK195" i="4"/>
  <c r="AM195" i="4"/>
  <c r="M195" i="4"/>
  <c r="P195" i="4"/>
  <c r="F195" i="4"/>
  <c r="N195" i="4"/>
  <c r="AH195" i="4"/>
  <c r="K195" i="4"/>
  <c r="L195" i="4"/>
  <c r="AG191" i="4"/>
  <c r="AN191" i="4"/>
  <c r="AO191" i="4" s="1"/>
  <c r="AX195" i="4"/>
  <c r="AW195" i="4"/>
  <c r="AF194" i="4"/>
  <c r="U194" i="4"/>
  <c r="AP194" i="4" s="1"/>
  <c r="Q194" i="4"/>
  <c r="Y194" i="4" s="1"/>
  <c r="V194" i="4"/>
  <c r="AA194" i="4" s="1"/>
  <c r="W194" i="4"/>
  <c r="AB194" i="4" s="1"/>
  <c r="X194" i="4"/>
  <c r="AC194" i="4" s="1"/>
  <c r="R194" i="4"/>
  <c r="Z194" i="4" s="1"/>
  <c r="AQ194" i="4" s="1"/>
  <c r="B196" i="4"/>
  <c r="AY196" i="4"/>
  <c r="AV197" i="4"/>
  <c r="P175" i="29" l="1"/>
  <c r="V175" i="29"/>
  <c r="W175" i="29" s="1"/>
  <c r="AB177" i="29"/>
  <c r="N176" i="29"/>
  <c r="V176" i="29" s="1"/>
  <c r="W176" i="29" s="1"/>
  <c r="AE194" i="4"/>
  <c r="AD193" i="4"/>
  <c r="P176" i="29"/>
  <c r="Z176" i="29"/>
  <c r="E178" i="29"/>
  <c r="S178" i="29"/>
  <c r="Q178" i="29"/>
  <c r="T178" i="29"/>
  <c r="R178" i="29"/>
  <c r="U178" i="29"/>
  <c r="G178" i="29"/>
  <c r="I177" i="29"/>
  <c r="J177" i="29"/>
  <c r="Y177" i="29" s="1"/>
  <c r="AD180" i="29"/>
  <c r="B179" i="29"/>
  <c r="AI179" i="29"/>
  <c r="O177" i="29"/>
  <c r="AE178" i="29"/>
  <c r="AA178" i="29" s="1"/>
  <c r="AF178" i="29"/>
  <c r="AW196" i="4"/>
  <c r="AX196" i="4"/>
  <c r="R195" i="4"/>
  <c r="Z195" i="4" s="1"/>
  <c r="X195" i="4"/>
  <c r="AC195" i="4" s="1"/>
  <c r="U195" i="4"/>
  <c r="V195" i="4"/>
  <c r="AA195" i="4" s="1"/>
  <c r="Q195" i="4"/>
  <c r="Y195" i="4" s="1"/>
  <c r="W195" i="4"/>
  <c r="AB195" i="4" s="1"/>
  <c r="P196" i="4"/>
  <c r="AI196" i="4"/>
  <c r="AH196" i="4"/>
  <c r="K196" i="4"/>
  <c r="H196" i="4"/>
  <c r="J196" i="4"/>
  <c r="F196" i="4"/>
  <c r="I196" i="4"/>
  <c r="AK196" i="4"/>
  <c r="M196" i="4"/>
  <c r="N196" i="4"/>
  <c r="AL196" i="4"/>
  <c r="AM196" i="4"/>
  <c r="G196" i="4"/>
  <c r="O196" i="4"/>
  <c r="L196" i="4"/>
  <c r="AJ196" i="4"/>
  <c r="AP195" i="4"/>
  <c r="AG193" i="4"/>
  <c r="AN193" i="4"/>
  <c r="AO193" i="4" s="1"/>
  <c r="AD194" i="4"/>
  <c r="AF195" i="4"/>
  <c r="AV198" i="4"/>
  <c r="AY197" i="4"/>
  <c r="B197" i="4"/>
  <c r="K177" i="29" l="1"/>
  <c r="N177" i="29" s="1"/>
  <c r="AQ195" i="4"/>
  <c r="AB178" i="29"/>
  <c r="AE195" i="4"/>
  <c r="L89" i="7"/>
  <c r="AE179" i="29"/>
  <c r="AA179" i="29" s="1"/>
  <c r="AF179" i="29"/>
  <c r="E179" i="29"/>
  <c r="T179" i="29"/>
  <c r="R179" i="29"/>
  <c r="U179" i="29"/>
  <c r="S179" i="29"/>
  <c r="G179" i="29"/>
  <c r="Q179" i="29"/>
  <c r="Z177" i="29"/>
  <c r="AD181" i="29"/>
  <c r="B180" i="29"/>
  <c r="AI180" i="29"/>
  <c r="I178" i="29"/>
  <c r="J178" i="29"/>
  <c r="Y178" i="29" s="1"/>
  <c r="O178" i="29"/>
  <c r="AW197" i="4"/>
  <c r="AX197" i="4"/>
  <c r="AV199" i="4"/>
  <c r="B198" i="4"/>
  <c r="AY198" i="4"/>
  <c r="AJ197" i="4"/>
  <c r="AK197" i="4"/>
  <c r="AH197" i="4"/>
  <c r="O197" i="4"/>
  <c r="M197" i="4"/>
  <c r="F197" i="4"/>
  <c r="AL197" i="4"/>
  <c r="N197" i="4"/>
  <c r="AM197" i="4"/>
  <c r="K197" i="4"/>
  <c r="J197" i="4"/>
  <c r="AI197" i="4"/>
  <c r="P197" i="4"/>
  <c r="L197" i="4"/>
  <c r="AF196" i="4"/>
  <c r="Q196" i="4"/>
  <c r="Y196" i="4" s="1"/>
  <c r="S196" i="4"/>
  <c r="R196" i="4"/>
  <c r="V196" i="4"/>
  <c r="AA196" i="4" s="1"/>
  <c r="T196" i="4"/>
  <c r="X196" i="4"/>
  <c r="AC196" i="4" s="1"/>
  <c r="W196" i="4"/>
  <c r="AB196" i="4" s="1"/>
  <c r="U196" i="4"/>
  <c r="AP196" i="4" s="1"/>
  <c r="V177" i="29" l="1"/>
  <c r="W177" i="29" s="1"/>
  <c r="P177" i="29"/>
  <c r="AB179" i="29"/>
  <c r="K178" i="29"/>
  <c r="N178" i="29" s="1"/>
  <c r="L92" i="7"/>
  <c r="L94" i="7" s="1"/>
  <c r="Z196" i="4"/>
  <c r="Z178" i="29"/>
  <c r="AF180" i="29"/>
  <c r="AE180" i="29"/>
  <c r="AA180" i="29" s="1"/>
  <c r="E180" i="29"/>
  <c r="T180" i="29"/>
  <c r="S180" i="29"/>
  <c r="U180" i="29"/>
  <c r="G180" i="29"/>
  <c r="Q180" i="29"/>
  <c r="R180" i="29"/>
  <c r="O179" i="29"/>
  <c r="AD182" i="29"/>
  <c r="B181" i="29"/>
  <c r="AI181" i="29"/>
  <c r="J179" i="29"/>
  <c r="Y179" i="29" s="1"/>
  <c r="I179" i="29"/>
  <c r="AD195" i="4"/>
  <c r="AN194" i="4"/>
  <c r="AO194" i="4" s="1"/>
  <c r="AG194" i="4"/>
  <c r="AX198" i="4"/>
  <c r="AW198" i="4"/>
  <c r="AF197" i="4"/>
  <c r="AG195" i="4"/>
  <c r="AN195" i="4"/>
  <c r="AO195" i="4" s="1"/>
  <c r="AJ198" i="4"/>
  <c r="AH198" i="4"/>
  <c r="M198" i="4"/>
  <c r="AK198" i="4"/>
  <c r="L198" i="4"/>
  <c r="K198" i="4"/>
  <c r="AM198" i="4"/>
  <c r="AI198" i="4"/>
  <c r="P198" i="4"/>
  <c r="F198" i="4"/>
  <c r="O198" i="4"/>
  <c r="N198" i="4"/>
  <c r="J198" i="4"/>
  <c r="AL198" i="4"/>
  <c r="Q197" i="4"/>
  <c r="Y197" i="4" s="1"/>
  <c r="U197" i="4"/>
  <c r="AP197" i="4" s="1"/>
  <c r="R197" i="4"/>
  <c r="Z197" i="4" s="1"/>
  <c r="V197" i="4"/>
  <c r="AA197" i="4" s="1"/>
  <c r="X197" i="4"/>
  <c r="AC197" i="4" s="1"/>
  <c r="W197" i="4"/>
  <c r="AB197" i="4" s="1"/>
  <c r="B199" i="4"/>
  <c r="AY199" i="4"/>
  <c r="AV200" i="4"/>
  <c r="P178" i="29" l="1"/>
  <c r="V178" i="29"/>
  <c r="W178" i="29" s="1"/>
  <c r="AB180" i="29"/>
  <c r="K179" i="29"/>
  <c r="N179" i="29" s="1"/>
  <c r="AQ197" i="4"/>
  <c r="K96" i="7"/>
  <c r="K143" i="7"/>
  <c r="K91" i="7"/>
  <c r="I137" i="7"/>
  <c r="J137" i="7" s="1"/>
  <c r="K107" i="7"/>
  <c r="I125" i="7"/>
  <c r="J125" i="7" s="1"/>
  <c r="I118" i="7"/>
  <c r="J118" i="7" s="1"/>
  <c r="I143" i="7"/>
  <c r="J143" i="7" s="1"/>
  <c r="I114" i="7"/>
  <c r="J114" i="7" s="1"/>
  <c r="I139" i="7"/>
  <c r="J139" i="7" s="1"/>
  <c r="I116" i="7"/>
  <c r="J116" i="7" s="1"/>
  <c r="K156" i="7"/>
  <c r="I158" i="7"/>
  <c r="J158" i="7" s="1"/>
  <c r="I157" i="7"/>
  <c r="J157" i="7" s="1"/>
  <c r="I130" i="7"/>
  <c r="J130" i="7" s="1"/>
  <c r="K116" i="7"/>
  <c r="K94" i="7"/>
  <c r="K142" i="7"/>
  <c r="I151" i="7"/>
  <c r="J151" i="7" s="1"/>
  <c r="K168" i="7"/>
  <c r="K160" i="7"/>
  <c r="I100" i="7"/>
  <c r="J100" i="7" s="1"/>
  <c r="K149" i="7"/>
  <c r="I163" i="7"/>
  <c r="J163" i="7" s="1"/>
  <c r="K113" i="7"/>
  <c r="K123" i="7"/>
  <c r="I171" i="7"/>
  <c r="J171" i="7" s="1"/>
  <c r="I123" i="7"/>
  <c r="J123" i="7" s="1"/>
  <c r="K130" i="7"/>
  <c r="I109" i="7"/>
  <c r="J109" i="7" s="1"/>
  <c r="K111" i="7"/>
  <c r="I108" i="7"/>
  <c r="J108" i="7" s="1"/>
  <c r="K125" i="7"/>
  <c r="K151" i="7"/>
  <c r="I105" i="7"/>
  <c r="J105" i="7" s="1"/>
  <c r="K103" i="7"/>
  <c r="K144" i="7"/>
  <c r="I169" i="7"/>
  <c r="J169" i="7" s="1"/>
  <c r="Z179" i="29"/>
  <c r="K122" i="7"/>
  <c r="I170" i="7"/>
  <c r="J170" i="7" s="1"/>
  <c r="I103" i="7"/>
  <c r="J103" i="7" s="1"/>
  <c r="I94" i="7"/>
  <c r="J94" i="7" s="1"/>
  <c r="K162" i="7"/>
  <c r="I119" i="7"/>
  <c r="J119" i="7" s="1"/>
  <c r="K124" i="7"/>
  <c r="I164" i="7"/>
  <c r="J164" i="7" s="1"/>
  <c r="I160" i="7"/>
  <c r="J160" i="7" s="1"/>
  <c r="I136" i="7"/>
  <c r="J136" i="7" s="1"/>
  <c r="I101" i="7"/>
  <c r="J101" i="7" s="1"/>
  <c r="I146" i="7"/>
  <c r="J146" i="7" s="1"/>
  <c r="K138" i="7"/>
  <c r="I110" i="7"/>
  <c r="J110" i="7" s="1"/>
  <c r="I148" i="7"/>
  <c r="J148" i="7" s="1"/>
  <c r="I106" i="7"/>
  <c r="J106" i="7" s="1"/>
  <c r="I133" i="7"/>
  <c r="J133" i="7" s="1"/>
  <c r="I141" i="7"/>
  <c r="J141" i="7" s="1"/>
  <c r="K163" i="7"/>
  <c r="I98" i="7"/>
  <c r="J98" i="7" s="1"/>
  <c r="K147" i="7"/>
  <c r="K155" i="7"/>
  <c r="K115" i="7"/>
  <c r="I112" i="7"/>
  <c r="J112" i="7" s="1"/>
  <c r="I150" i="7"/>
  <c r="J150" i="7" s="1"/>
  <c r="K101" i="7"/>
  <c r="K100" i="7"/>
  <c r="I144" i="7"/>
  <c r="J144" i="7" s="1"/>
  <c r="I154" i="7"/>
  <c r="J154" i="7" s="1"/>
  <c r="I97" i="7"/>
  <c r="J97" i="7" s="1"/>
  <c r="K136" i="7"/>
  <c r="I138" i="7"/>
  <c r="J138" i="7" s="1"/>
  <c r="K99" i="7"/>
  <c r="I122" i="7"/>
  <c r="J122" i="7" s="1"/>
  <c r="I165" i="7"/>
  <c r="J165" i="7" s="1"/>
  <c r="K127" i="7"/>
  <c r="I142" i="7"/>
  <c r="J142" i="7" s="1"/>
  <c r="I104" i="7"/>
  <c r="J104" i="7" s="1"/>
  <c r="I155" i="7"/>
  <c r="J155" i="7" s="1"/>
  <c r="K131" i="7"/>
  <c r="I92" i="7"/>
  <c r="J92" i="7" s="1"/>
  <c r="K132" i="7"/>
  <c r="I113" i="7"/>
  <c r="J113" i="7" s="1"/>
  <c r="K139" i="7"/>
  <c r="K146" i="7"/>
  <c r="K102" i="7"/>
  <c r="I167" i="7"/>
  <c r="J167" i="7" s="1"/>
  <c r="K171" i="7"/>
  <c r="I126" i="7"/>
  <c r="J126" i="7" s="1"/>
  <c r="I147" i="7"/>
  <c r="J147" i="7" s="1"/>
  <c r="I129" i="7"/>
  <c r="J129" i="7" s="1"/>
  <c r="I124" i="7"/>
  <c r="J124" i="7" s="1"/>
  <c r="K114" i="7"/>
  <c r="K105" i="7"/>
  <c r="I107" i="7"/>
  <c r="J107" i="7" s="1"/>
  <c r="K112" i="7"/>
  <c r="I91" i="7"/>
  <c r="J91" i="7" s="1"/>
  <c r="K93" i="7"/>
  <c r="K134" i="7"/>
  <c r="K166" i="7"/>
  <c r="I131" i="7"/>
  <c r="J131" i="7" s="1"/>
  <c r="I132" i="7"/>
  <c r="J132" i="7" s="1"/>
  <c r="I162" i="7"/>
  <c r="J162" i="7" s="1"/>
  <c r="K129" i="7"/>
  <c r="I135" i="7"/>
  <c r="J135" i="7" s="1"/>
  <c r="K133" i="7"/>
  <c r="I99" i="7"/>
  <c r="J99" i="7" s="1"/>
  <c r="K106" i="7"/>
  <c r="K159" i="7"/>
  <c r="K119" i="7"/>
  <c r="K128" i="7"/>
  <c r="K92" i="7"/>
  <c r="K108" i="7"/>
  <c r="I117" i="7"/>
  <c r="J117" i="7" s="1"/>
  <c r="I115" i="7"/>
  <c r="J115" i="7" s="1"/>
  <c r="K126" i="7"/>
  <c r="I102" i="7"/>
  <c r="J102" i="7" s="1"/>
  <c r="K141" i="7"/>
  <c r="K117" i="7"/>
  <c r="K140" i="7"/>
  <c r="K145" i="7"/>
  <c r="I111" i="7"/>
  <c r="J111" i="7" s="1"/>
  <c r="I134" i="7"/>
  <c r="J134" i="7" s="1"/>
  <c r="K97" i="7"/>
  <c r="K167" i="7"/>
  <c r="K148" i="7"/>
  <c r="K137" i="7"/>
  <c r="K169" i="7"/>
  <c r="K170" i="7"/>
  <c r="K150" i="7"/>
  <c r="K161" i="7"/>
  <c r="I166" i="7"/>
  <c r="J166" i="7" s="1"/>
  <c r="K158" i="7"/>
  <c r="K164" i="7"/>
  <c r="K135" i="7"/>
  <c r="I120" i="7"/>
  <c r="J120" i="7" s="1"/>
  <c r="K165" i="7"/>
  <c r="K121" i="7"/>
  <c r="I127" i="7"/>
  <c r="J127" i="7" s="1"/>
  <c r="K98" i="7"/>
  <c r="I149" i="7"/>
  <c r="J149" i="7" s="1"/>
  <c r="K109" i="7"/>
  <c r="I95" i="7"/>
  <c r="J95" i="7" s="1"/>
  <c r="I152" i="7"/>
  <c r="J152" i="7" s="1"/>
  <c r="K153" i="7"/>
  <c r="I140" i="7"/>
  <c r="J140" i="7" s="1"/>
  <c r="I145" i="7"/>
  <c r="J145" i="7" s="1"/>
  <c r="K157" i="7"/>
  <c r="I168" i="7"/>
  <c r="J168" i="7" s="1"/>
  <c r="I93" i="7"/>
  <c r="J93" i="7" s="1"/>
  <c r="I159" i="7"/>
  <c r="J159" i="7" s="1"/>
  <c r="I121" i="7"/>
  <c r="J121" i="7" s="1"/>
  <c r="I161" i="7"/>
  <c r="J161" i="7" s="1"/>
  <c r="I156" i="7"/>
  <c r="J156" i="7" s="1"/>
  <c r="I128" i="7"/>
  <c r="J128" i="7" s="1"/>
  <c r="I153" i="7"/>
  <c r="J153" i="7" s="1"/>
  <c r="K118" i="7"/>
  <c r="K104" i="7"/>
  <c r="AE196" i="4"/>
  <c r="AN196" i="4" s="1"/>
  <c r="AO196" i="4" s="1"/>
  <c r="AQ196" i="4"/>
  <c r="K152" i="7"/>
  <c r="K95" i="7"/>
  <c r="K110" i="7"/>
  <c r="K120" i="7"/>
  <c r="I96" i="7"/>
  <c r="J96" i="7" s="1"/>
  <c r="K154" i="7"/>
  <c r="AE197" i="4"/>
  <c r="O180" i="29"/>
  <c r="AF181" i="29"/>
  <c r="AE181" i="29"/>
  <c r="AA181" i="29" s="1"/>
  <c r="E181" i="29"/>
  <c r="T181" i="29"/>
  <c r="Q181" i="29"/>
  <c r="S181" i="29"/>
  <c r="G181" i="29"/>
  <c r="R181" i="29"/>
  <c r="U181" i="29"/>
  <c r="J180" i="29"/>
  <c r="I180" i="29"/>
  <c r="AD183" i="29"/>
  <c r="B182" i="29"/>
  <c r="AI182" i="29"/>
  <c r="Y180" i="29"/>
  <c r="AV201" i="4"/>
  <c r="B200" i="4"/>
  <c r="AY200" i="4"/>
  <c r="AF198" i="4"/>
  <c r="AX199" i="4"/>
  <c r="AW199" i="4"/>
  <c r="J199" i="4"/>
  <c r="AI199" i="4"/>
  <c r="AL199" i="4"/>
  <c r="M199" i="4"/>
  <c r="N199" i="4"/>
  <c r="O199" i="4"/>
  <c r="AJ199" i="4"/>
  <c r="AH199" i="4"/>
  <c r="AM199" i="4"/>
  <c r="K199" i="4"/>
  <c r="F199" i="4"/>
  <c r="AK199" i="4"/>
  <c r="L199" i="4"/>
  <c r="P199" i="4"/>
  <c r="AD197" i="4"/>
  <c r="U198" i="4"/>
  <c r="AP198" i="4" s="1"/>
  <c r="W198" i="4"/>
  <c r="AB198" i="4" s="1"/>
  <c r="X198" i="4"/>
  <c r="AC198" i="4" s="1"/>
  <c r="Q198" i="4"/>
  <c r="Y198" i="4" s="1"/>
  <c r="V198" i="4"/>
  <c r="AA198" i="4" s="1"/>
  <c r="R198" i="4"/>
  <c r="Z198" i="4" s="1"/>
  <c r="AD196" i="4"/>
  <c r="V179" i="29" l="1"/>
  <c r="W179" i="29" s="1"/>
  <c r="P179" i="29"/>
  <c r="AB181" i="29"/>
  <c r="K180" i="29"/>
  <c r="N180" i="29" s="1"/>
  <c r="J172" i="7"/>
  <c r="AQ198" i="4"/>
  <c r="AE198" i="4"/>
  <c r="AG196" i="4"/>
  <c r="O181" i="29"/>
  <c r="E182" i="29"/>
  <c r="R182" i="29"/>
  <c r="U182" i="29"/>
  <c r="S182" i="29"/>
  <c r="Q182" i="29"/>
  <c r="G182" i="29"/>
  <c r="T182" i="29"/>
  <c r="Z180" i="29"/>
  <c r="AD184" i="29"/>
  <c r="B183" i="29"/>
  <c r="AI183" i="29"/>
  <c r="I181" i="29"/>
  <c r="J181" i="29"/>
  <c r="Y181" i="29" s="1"/>
  <c r="AF182" i="29"/>
  <c r="AE182" i="29"/>
  <c r="AA182" i="29" s="1"/>
  <c r="AH200" i="4"/>
  <c r="M200" i="4"/>
  <c r="L200" i="4"/>
  <c r="AM200" i="4"/>
  <c r="AI200" i="4"/>
  <c r="P200" i="4"/>
  <c r="AJ200" i="4"/>
  <c r="AK200" i="4"/>
  <c r="K200" i="4"/>
  <c r="O200" i="4"/>
  <c r="N200" i="4"/>
  <c r="AL200" i="4"/>
  <c r="J200" i="4"/>
  <c r="F200" i="4"/>
  <c r="AY201" i="4"/>
  <c r="AV202" i="4"/>
  <c r="B201" i="4"/>
  <c r="AF199" i="4"/>
  <c r="Q199" i="4"/>
  <c r="Y199" i="4" s="1"/>
  <c r="U199" i="4"/>
  <c r="AP199" i="4" s="1"/>
  <c r="V199" i="4"/>
  <c r="AA199" i="4" s="1"/>
  <c r="R199" i="4"/>
  <c r="Z199" i="4" s="1"/>
  <c r="W199" i="4"/>
  <c r="AB199" i="4" s="1"/>
  <c r="X199" i="4"/>
  <c r="AC199" i="4" s="1"/>
  <c r="AD198" i="4"/>
  <c r="AX200" i="4"/>
  <c r="AW200" i="4"/>
  <c r="Z181" i="29" l="1"/>
  <c r="V180" i="29"/>
  <c r="W180" i="29" s="1"/>
  <c r="P180" i="29"/>
  <c r="K181" i="29"/>
  <c r="N181" i="29" s="1"/>
  <c r="AQ199" i="4"/>
  <c r="AB182" i="29"/>
  <c r="AE199" i="4"/>
  <c r="AD185" i="29"/>
  <c r="B184" i="29"/>
  <c r="AI184" i="29"/>
  <c r="I182" i="29"/>
  <c r="J182" i="29"/>
  <c r="Y182" i="29" s="1"/>
  <c r="AF183" i="29"/>
  <c r="AE183" i="29"/>
  <c r="AA183" i="29" s="1"/>
  <c r="E183" i="29"/>
  <c r="S183" i="29"/>
  <c r="T183" i="29"/>
  <c r="G183" i="29"/>
  <c r="Q183" i="29"/>
  <c r="U183" i="29"/>
  <c r="R183" i="29"/>
  <c r="O182" i="29"/>
  <c r="AG197" i="4"/>
  <c r="AN197" i="4"/>
  <c r="AO197" i="4" s="1"/>
  <c r="B202" i="4"/>
  <c r="AY202" i="4"/>
  <c r="AV203" i="4"/>
  <c r="U200" i="4"/>
  <c r="X200" i="4"/>
  <c r="AC200" i="4" s="1"/>
  <c r="Q200" i="4"/>
  <c r="Y200" i="4" s="1"/>
  <c r="W200" i="4"/>
  <c r="AB200" i="4" s="1"/>
  <c r="R200" i="4"/>
  <c r="Z200" i="4" s="1"/>
  <c r="V200" i="4"/>
  <c r="AA200" i="4" s="1"/>
  <c r="AX201" i="4"/>
  <c r="AW201" i="4"/>
  <c r="AI201" i="4"/>
  <c r="M201" i="4"/>
  <c r="K201" i="4"/>
  <c r="P201" i="4"/>
  <c r="J201" i="4"/>
  <c r="AL201" i="4"/>
  <c r="AK201" i="4"/>
  <c r="AM201" i="4"/>
  <c r="N201" i="4"/>
  <c r="AJ201" i="4"/>
  <c r="AH201" i="4"/>
  <c r="O201" i="4"/>
  <c r="F201" i="4"/>
  <c r="L201" i="4"/>
  <c r="AP200" i="4"/>
  <c r="AF200" i="4"/>
  <c r="V181" i="29" l="1"/>
  <c r="W181" i="29" s="1"/>
  <c r="P181" i="29"/>
  <c r="K182" i="29"/>
  <c r="N182" i="29" s="1"/>
  <c r="AB183" i="29"/>
  <c r="AQ200" i="4"/>
  <c r="AE200" i="4"/>
  <c r="AD186" i="29"/>
  <c r="B185" i="29"/>
  <c r="AI185" i="29"/>
  <c r="O183" i="29"/>
  <c r="I183" i="29"/>
  <c r="K183" i="29" s="1"/>
  <c r="J183" i="29"/>
  <c r="Y183" i="29" s="1"/>
  <c r="AF184" i="29"/>
  <c r="AE184" i="29"/>
  <c r="AA184" i="29" s="1"/>
  <c r="Z182" i="29"/>
  <c r="E184" i="29"/>
  <c r="R184" i="29"/>
  <c r="U184" i="29"/>
  <c r="T184" i="29"/>
  <c r="G184" i="29"/>
  <c r="S184" i="29"/>
  <c r="Q184" i="29"/>
  <c r="AN199" i="4"/>
  <c r="AO199" i="4" s="1"/>
  <c r="AG199" i="4"/>
  <c r="AW202" i="4"/>
  <c r="AX202" i="4"/>
  <c r="AN198" i="4"/>
  <c r="AO198" i="4" s="1"/>
  <c r="AG198" i="4"/>
  <c r="AD199" i="4"/>
  <c r="AF201" i="4"/>
  <c r="J202" i="4"/>
  <c r="P202" i="4"/>
  <c r="AL202" i="4"/>
  <c r="L202" i="4"/>
  <c r="N202" i="4"/>
  <c r="AK202" i="4"/>
  <c r="AI202" i="4"/>
  <c r="AH202" i="4"/>
  <c r="M202" i="4"/>
  <c r="K202" i="4"/>
  <c r="O202" i="4"/>
  <c r="F202" i="4"/>
  <c r="AM202" i="4"/>
  <c r="AJ202" i="4"/>
  <c r="U201" i="4"/>
  <c r="AP201" i="4" s="1"/>
  <c r="V201" i="4"/>
  <c r="AA201" i="4" s="1"/>
  <c r="R201" i="4"/>
  <c r="Z201" i="4" s="1"/>
  <c r="W201" i="4"/>
  <c r="AB201" i="4" s="1"/>
  <c r="X201" i="4"/>
  <c r="AC201" i="4" s="1"/>
  <c r="Q201" i="4"/>
  <c r="Y201" i="4" s="1"/>
  <c r="B203" i="4"/>
  <c r="AY203" i="4"/>
  <c r="AV204" i="4"/>
  <c r="P182" i="29" l="1"/>
  <c r="V182" i="29"/>
  <c r="W182" i="29" s="1"/>
  <c r="AB184" i="29"/>
  <c r="N183" i="29"/>
  <c r="AQ201" i="4"/>
  <c r="AE201" i="4"/>
  <c r="O184" i="29"/>
  <c r="Z183" i="29"/>
  <c r="J184" i="29"/>
  <c r="Y184" i="29" s="1"/>
  <c r="I184" i="29"/>
  <c r="K184" i="29" s="1"/>
  <c r="AF185" i="29"/>
  <c r="AE185" i="29"/>
  <c r="AA185" i="29" s="1"/>
  <c r="E185" i="29"/>
  <c r="R185" i="29"/>
  <c r="T185" i="29"/>
  <c r="Q185" i="29"/>
  <c r="U185" i="29"/>
  <c r="G185" i="29"/>
  <c r="S185" i="29"/>
  <c r="V183" i="29"/>
  <c r="W183" i="29" s="1"/>
  <c r="P183" i="29"/>
  <c r="AD187" i="29"/>
  <c r="B186" i="29"/>
  <c r="AI186" i="29"/>
  <c r="AN200" i="4"/>
  <c r="AO200" i="4" s="1"/>
  <c r="AG200" i="4"/>
  <c r="W202" i="4"/>
  <c r="AB202" i="4" s="1"/>
  <c r="Q202" i="4"/>
  <c r="Y202" i="4" s="1"/>
  <c r="X202" i="4"/>
  <c r="AC202" i="4" s="1"/>
  <c r="R202" i="4"/>
  <c r="Z202" i="4" s="1"/>
  <c r="V202" i="4"/>
  <c r="AA202" i="4" s="1"/>
  <c r="U202" i="4"/>
  <c r="AP202" i="4" s="1"/>
  <c r="AF202" i="4"/>
  <c r="AD200" i="4"/>
  <c r="AY204" i="4"/>
  <c r="AV205" i="4"/>
  <c r="B204" i="4"/>
  <c r="AX203" i="4"/>
  <c r="AW203" i="4"/>
  <c r="AM203" i="4"/>
  <c r="AK203" i="4"/>
  <c r="K203" i="4"/>
  <c r="O203" i="4"/>
  <c r="F203" i="4"/>
  <c r="P203" i="4"/>
  <c r="AJ203" i="4"/>
  <c r="AL203" i="4"/>
  <c r="N203" i="4"/>
  <c r="J203" i="4"/>
  <c r="M203" i="4"/>
  <c r="AI203" i="4"/>
  <c r="L203" i="4"/>
  <c r="AH203" i="4"/>
  <c r="N184" i="29" l="1"/>
  <c r="AB185" i="29"/>
  <c r="Z184" i="29"/>
  <c r="AQ202" i="4"/>
  <c r="AE202" i="4"/>
  <c r="AD201" i="4"/>
  <c r="AE186" i="29"/>
  <c r="AA186" i="29" s="1"/>
  <c r="AF186" i="29"/>
  <c r="E186" i="29"/>
  <c r="G186" i="29"/>
  <c r="Q186" i="29"/>
  <c r="R186" i="29"/>
  <c r="U186" i="29"/>
  <c r="S186" i="29"/>
  <c r="T186" i="29"/>
  <c r="V184" i="29"/>
  <c r="W184" i="29" s="1"/>
  <c r="P184" i="29"/>
  <c r="AD188" i="29"/>
  <c r="B187" i="29"/>
  <c r="AI187" i="29"/>
  <c r="O185" i="29"/>
  <c r="J185" i="29"/>
  <c r="Y185" i="29" s="1"/>
  <c r="I185" i="29"/>
  <c r="U203" i="4"/>
  <c r="AP203" i="4" s="1"/>
  <c r="V203" i="4"/>
  <c r="AA203" i="4" s="1"/>
  <c r="W203" i="4"/>
  <c r="AB203" i="4" s="1"/>
  <c r="X203" i="4"/>
  <c r="AC203" i="4" s="1"/>
  <c r="Q203" i="4"/>
  <c r="Y203" i="4" s="1"/>
  <c r="R203" i="4"/>
  <c r="Z203" i="4" s="1"/>
  <c r="AW204" i="4"/>
  <c r="AX204" i="4"/>
  <c r="AJ204" i="4"/>
  <c r="M204" i="4"/>
  <c r="K204" i="4"/>
  <c r="O204" i="4"/>
  <c r="AH204" i="4"/>
  <c r="AK204" i="4"/>
  <c r="AI204" i="4"/>
  <c r="AM204" i="4"/>
  <c r="P204" i="4"/>
  <c r="J204" i="4"/>
  <c r="AL204" i="4"/>
  <c r="F204" i="4"/>
  <c r="L204" i="4"/>
  <c r="N204" i="4"/>
  <c r="AF203" i="4"/>
  <c r="AY205" i="4"/>
  <c r="AV206" i="4"/>
  <c r="B205" i="4"/>
  <c r="K185" i="29" l="1"/>
  <c r="N185" i="29" s="1"/>
  <c r="AB186" i="29"/>
  <c r="Z185" i="29"/>
  <c r="AQ203" i="4"/>
  <c r="AE203" i="4"/>
  <c r="E187" i="29"/>
  <c r="T187" i="29"/>
  <c r="S187" i="29"/>
  <c r="R187" i="29"/>
  <c r="Q187" i="29"/>
  <c r="U187" i="29"/>
  <c r="G187" i="29"/>
  <c r="AD189" i="29"/>
  <c r="B188" i="29"/>
  <c r="AI188" i="29"/>
  <c r="O186" i="29"/>
  <c r="J186" i="29"/>
  <c r="Y186" i="29" s="1"/>
  <c r="I186" i="29"/>
  <c r="K186" i="29" s="1"/>
  <c r="AE187" i="29"/>
  <c r="AA187" i="29" s="1"/>
  <c r="AF187" i="29"/>
  <c r="AG202" i="4"/>
  <c r="AN202" i="4"/>
  <c r="AO202" i="4" s="1"/>
  <c r="AX205" i="4"/>
  <c r="AW205" i="4"/>
  <c r="AK205" i="4"/>
  <c r="L205" i="4"/>
  <c r="AJ205" i="4"/>
  <c r="O205" i="4"/>
  <c r="AM205" i="4"/>
  <c r="N205" i="4"/>
  <c r="P205" i="4"/>
  <c r="AH205" i="4"/>
  <c r="K205" i="4"/>
  <c r="F205" i="4"/>
  <c r="M205" i="4"/>
  <c r="AL205" i="4"/>
  <c r="J205" i="4"/>
  <c r="AI205" i="4"/>
  <c r="AG201" i="4"/>
  <c r="AN201" i="4"/>
  <c r="AO201" i="4" s="1"/>
  <c r="AV207" i="4"/>
  <c r="B206" i="4"/>
  <c r="AY206" i="4"/>
  <c r="AF204" i="4"/>
  <c r="AD202" i="4"/>
  <c r="Q204" i="4"/>
  <c r="Y204" i="4" s="1"/>
  <c r="V204" i="4"/>
  <c r="AA204" i="4" s="1"/>
  <c r="X204" i="4"/>
  <c r="AC204" i="4" s="1"/>
  <c r="R204" i="4"/>
  <c r="Z204" i="4" s="1"/>
  <c r="W204" i="4"/>
  <c r="AB204" i="4" s="1"/>
  <c r="U204" i="4"/>
  <c r="AP204" i="4" s="1"/>
  <c r="AD203" i="4"/>
  <c r="V185" i="29" l="1"/>
  <c r="W185" i="29" s="1"/>
  <c r="P185" i="29"/>
  <c r="N186" i="29"/>
  <c r="AQ204" i="4"/>
  <c r="AB187" i="29"/>
  <c r="AE204" i="4"/>
  <c r="O187" i="29"/>
  <c r="Z186" i="29"/>
  <c r="E188" i="29"/>
  <c r="Q188" i="29"/>
  <c r="T188" i="29"/>
  <c r="S188" i="29"/>
  <c r="U188" i="29"/>
  <c r="G188" i="29"/>
  <c r="R188" i="29"/>
  <c r="AD190" i="29"/>
  <c r="B189" i="29"/>
  <c r="AI189" i="29"/>
  <c r="J187" i="29"/>
  <c r="Y187" i="29" s="1"/>
  <c r="Z187" i="29" s="1"/>
  <c r="I187" i="29"/>
  <c r="K187" i="29" s="1"/>
  <c r="V186" i="29"/>
  <c r="W186" i="29" s="1"/>
  <c r="P186" i="29"/>
  <c r="AF188" i="29"/>
  <c r="AE188" i="29"/>
  <c r="AA188" i="29" s="1"/>
  <c r="B207" i="4"/>
  <c r="AY207" i="4"/>
  <c r="AV208" i="4"/>
  <c r="AF205" i="4"/>
  <c r="AD204" i="4"/>
  <c r="AW206" i="4"/>
  <c r="AX206" i="4"/>
  <c r="P206" i="4"/>
  <c r="AL206" i="4"/>
  <c r="J206" i="4"/>
  <c r="M206" i="4"/>
  <c r="N206" i="4"/>
  <c r="K206" i="4"/>
  <c r="AM206" i="4"/>
  <c r="AH206" i="4"/>
  <c r="AI206" i="4"/>
  <c r="AJ206" i="4"/>
  <c r="AK206" i="4"/>
  <c r="O206" i="4"/>
  <c r="F206" i="4"/>
  <c r="L206" i="4"/>
  <c r="V205" i="4"/>
  <c r="AA205" i="4" s="1"/>
  <c r="W205" i="4"/>
  <c r="AB205" i="4" s="1"/>
  <c r="U205" i="4"/>
  <c r="AP205" i="4" s="1"/>
  <c r="Q205" i="4"/>
  <c r="Y205" i="4" s="1"/>
  <c r="R205" i="4"/>
  <c r="Z205" i="4" s="1"/>
  <c r="X205" i="4"/>
  <c r="AC205" i="4" s="1"/>
  <c r="N187" i="29" l="1"/>
  <c r="AQ205" i="4"/>
  <c r="AB188" i="29"/>
  <c r="AE205" i="4"/>
  <c r="P187" i="29"/>
  <c r="V187" i="29"/>
  <c r="W187" i="29" s="1"/>
  <c r="J188" i="29"/>
  <c r="I188" i="29"/>
  <c r="AE189" i="29"/>
  <c r="AA189" i="29" s="1"/>
  <c r="AF189" i="29"/>
  <c r="E189" i="29"/>
  <c r="Q189" i="29"/>
  <c r="S189" i="29"/>
  <c r="R189" i="29"/>
  <c r="U189" i="29"/>
  <c r="G189" i="29"/>
  <c r="T189" i="29"/>
  <c r="AD191" i="29"/>
  <c r="B190" i="29"/>
  <c r="AI190" i="29"/>
  <c r="O188" i="29"/>
  <c r="Y188" i="29"/>
  <c r="AN203" i="4"/>
  <c r="AO203" i="4" s="1"/>
  <c r="AG203" i="4"/>
  <c r="X206" i="4"/>
  <c r="AC206" i="4" s="1"/>
  <c r="Q206" i="4"/>
  <c r="Y206" i="4" s="1"/>
  <c r="R206" i="4"/>
  <c r="Z206" i="4" s="1"/>
  <c r="U206" i="4"/>
  <c r="AP206" i="4" s="1"/>
  <c r="W206" i="4"/>
  <c r="AB206" i="4" s="1"/>
  <c r="V206" i="4"/>
  <c r="AA206" i="4" s="1"/>
  <c r="B208" i="4"/>
  <c r="AY208" i="4"/>
  <c r="AV209" i="4"/>
  <c r="AW207" i="4"/>
  <c r="AX207" i="4"/>
  <c r="AF206" i="4"/>
  <c r="AH207" i="4"/>
  <c r="J207" i="4"/>
  <c r="AM207" i="4"/>
  <c r="L207" i="4"/>
  <c r="F207" i="4"/>
  <c r="M207" i="4"/>
  <c r="P207" i="4"/>
  <c r="AJ207" i="4"/>
  <c r="AI207" i="4"/>
  <c r="AL207" i="4"/>
  <c r="N207" i="4"/>
  <c r="O207" i="4"/>
  <c r="AK207" i="4"/>
  <c r="K207" i="4"/>
  <c r="AM208" i="4" l="1"/>
  <c r="AI208" i="4"/>
  <c r="N208" i="4"/>
  <c r="J208" i="4"/>
  <c r="AL208" i="4"/>
  <c r="AH208" i="4"/>
  <c r="M208" i="4"/>
  <c r="F208" i="4"/>
  <c r="AK208" i="4"/>
  <c r="L208" i="4"/>
  <c r="AJ208" i="4"/>
  <c r="K208" i="4"/>
  <c r="P208" i="4"/>
  <c r="O208" i="4"/>
  <c r="AB189" i="29"/>
  <c r="K188" i="29"/>
  <c r="N188" i="29" s="1"/>
  <c r="AQ206" i="4"/>
  <c r="AE206" i="4"/>
  <c r="AD205" i="4"/>
  <c r="Z188" i="29"/>
  <c r="E190" i="29"/>
  <c r="S190" i="29"/>
  <c r="T190" i="29"/>
  <c r="Q190" i="29"/>
  <c r="R190" i="29"/>
  <c r="U190" i="29"/>
  <c r="G190" i="29"/>
  <c r="AD192" i="29"/>
  <c r="B191" i="29"/>
  <c r="AI191" i="29"/>
  <c r="J189" i="29"/>
  <c r="Y189" i="29" s="1"/>
  <c r="I189" i="29"/>
  <c r="AE190" i="29"/>
  <c r="AA190" i="29" s="1"/>
  <c r="AF190" i="29"/>
  <c r="O189" i="29"/>
  <c r="AF207" i="4"/>
  <c r="AG204" i="4"/>
  <c r="AN204" i="4"/>
  <c r="AO204" i="4" s="1"/>
  <c r="V207" i="4"/>
  <c r="AA207" i="4" s="1"/>
  <c r="W207" i="4"/>
  <c r="AB207" i="4" s="1"/>
  <c r="U207" i="4"/>
  <c r="AP207" i="4" s="1"/>
  <c r="R207" i="4"/>
  <c r="Z207" i="4" s="1"/>
  <c r="X207" i="4"/>
  <c r="AC207" i="4" s="1"/>
  <c r="Q207" i="4"/>
  <c r="Y207" i="4" s="1"/>
  <c r="B209" i="4"/>
  <c r="AY209" i="4"/>
  <c r="AV210" i="4"/>
  <c r="AW208" i="4"/>
  <c r="AX208" i="4"/>
  <c r="AK209" i="4" l="1"/>
  <c r="P209" i="4"/>
  <c r="L209" i="4"/>
  <c r="AJ209" i="4"/>
  <c r="O209" i="4"/>
  <c r="K209" i="4"/>
  <c r="AM209" i="4"/>
  <c r="N209" i="4"/>
  <c r="AL209" i="4"/>
  <c r="M209" i="4"/>
  <c r="AI209" i="4"/>
  <c r="J209" i="4"/>
  <c r="F209" i="4"/>
  <c r="AH209" i="4"/>
  <c r="V188" i="29"/>
  <c r="W188" i="29" s="1"/>
  <c r="P188" i="29"/>
  <c r="K189" i="29"/>
  <c r="N189" i="29" s="1"/>
  <c r="AQ207" i="4"/>
  <c r="AB190" i="29"/>
  <c r="O190" i="29"/>
  <c r="AE207" i="4"/>
  <c r="AE191" i="29"/>
  <c r="AA191" i="29" s="1"/>
  <c r="AF191" i="29"/>
  <c r="J190" i="29"/>
  <c r="Y190" i="29" s="1"/>
  <c r="Z190" i="29" s="1"/>
  <c r="I190" i="29"/>
  <c r="E191" i="29"/>
  <c r="Q191" i="29"/>
  <c r="S191" i="29"/>
  <c r="T191" i="29"/>
  <c r="R191" i="29"/>
  <c r="G191" i="29"/>
  <c r="U191" i="29"/>
  <c r="AD193" i="29"/>
  <c r="B192" i="29"/>
  <c r="AI192" i="29"/>
  <c r="Z189" i="29"/>
  <c r="AN206" i="4"/>
  <c r="AO206" i="4" s="1"/>
  <c r="AG206" i="4"/>
  <c r="AV211" i="4"/>
  <c r="B210" i="4"/>
  <c r="AY210" i="4"/>
  <c r="AF208" i="4"/>
  <c r="AD206" i="4"/>
  <c r="AW209" i="4"/>
  <c r="AX209" i="4"/>
  <c r="W208" i="4"/>
  <c r="AB208" i="4" s="1"/>
  <c r="Q208" i="4"/>
  <c r="Y208" i="4" s="1"/>
  <c r="R208" i="4"/>
  <c r="Z208" i="4" s="1"/>
  <c r="V208" i="4"/>
  <c r="AA208" i="4" s="1"/>
  <c r="U208" i="4"/>
  <c r="AP208" i="4" s="1"/>
  <c r="X208" i="4"/>
  <c r="AC208" i="4" s="1"/>
  <c r="AG205" i="4"/>
  <c r="AN205" i="4"/>
  <c r="AO205" i="4" s="1"/>
  <c r="AM210" i="4" l="1"/>
  <c r="AI210" i="4"/>
  <c r="N210" i="4"/>
  <c r="J210" i="4"/>
  <c r="AL210" i="4"/>
  <c r="AH210" i="4"/>
  <c r="M210" i="4"/>
  <c r="F210" i="4"/>
  <c r="P210" i="4"/>
  <c r="O210" i="4"/>
  <c r="AK210" i="4"/>
  <c r="L210" i="4"/>
  <c r="K210" i="4"/>
  <c r="AJ210" i="4"/>
  <c r="V189" i="29"/>
  <c r="W189" i="29" s="1"/>
  <c r="P189" i="29"/>
  <c r="AB191" i="29"/>
  <c r="K190" i="29"/>
  <c r="N190" i="29" s="1"/>
  <c r="O191" i="29"/>
  <c r="AQ208" i="4"/>
  <c r="AE208" i="4"/>
  <c r="E192" i="29"/>
  <c r="U192" i="29"/>
  <c r="S192" i="29"/>
  <c r="G192" i="29"/>
  <c r="T192" i="29"/>
  <c r="Q192" i="29"/>
  <c r="R192" i="29"/>
  <c r="AD194" i="29"/>
  <c r="B193" i="29"/>
  <c r="AI193" i="29"/>
  <c r="I191" i="29"/>
  <c r="K191" i="29" s="1"/>
  <c r="J191" i="29"/>
  <c r="Y191" i="29" s="1"/>
  <c r="Z191" i="29" s="1"/>
  <c r="AE192" i="29"/>
  <c r="AA192" i="29" s="1"/>
  <c r="AF192" i="29"/>
  <c r="AN207" i="4"/>
  <c r="AO207" i="4" s="1"/>
  <c r="AG207" i="4"/>
  <c r="AW210" i="4"/>
  <c r="AX210" i="4"/>
  <c r="AF209" i="4"/>
  <c r="AD207" i="4"/>
  <c r="B211" i="4"/>
  <c r="AY211" i="4"/>
  <c r="AV212" i="4"/>
  <c r="V209" i="4"/>
  <c r="AA209" i="4" s="1"/>
  <c r="U209" i="4"/>
  <c r="AP209" i="4" s="1"/>
  <c r="Q209" i="4"/>
  <c r="Y209" i="4" s="1"/>
  <c r="W209" i="4"/>
  <c r="AB209" i="4" s="1"/>
  <c r="R209" i="4"/>
  <c r="Z209" i="4" s="1"/>
  <c r="X209" i="4"/>
  <c r="AC209" i="4" s="1"/>
  <c r="V190" i="29" l="1"/>
  <c r="W190" i="29" s="1"/>
  <c r="P190" i="29"/>
  <c r="N191" i="29"/>
  <c r="AQ209" i="4"/>
  <c r="AB192" i="29"/>
  <c r="AE209" i="4"/>
  <c r="AF193" i="29"/>
  <c r="AE193" i="29"/>
  <c r="AA193" i="29" s="1"/>
  <c r="O192" i="29"/>
  <c r="J192" i="29"/>
  <c r="Y192" i="29" s="1"/>
  <c r="I192" i="29"/>
  <c r="P191" i="29"/>
  <c r="V191" i="29"/>
  <c r="W191" i="29" s="1"/>
  <c r="E193" i="29"/>
  <c r="S193" i="29"/>
  <c r="Q193" i="29"/>
  <c r="U193" i="29"/>
  <c r="R193" i="29"/>
  <c r="T193" i="29"/>
  <c r="G193" i="29"/>
  <c r="AD195" i="29"/>
  <c r="B194" i="29"/>
  <c r="AI194" i="29"/>
  <c r="AN208" i="4"/>
  <c r="AO208" i="4" s="1"/>
  <c r="AG208" i="4"/>
  <c r="AK211" i="4"/>
  <c r="AL211" i="4"/>
  <c r="F211" i="4"/>
  <c r="M211" i="4"/>
  <c r="K211" i="4"/>
  <c r="L211" i="4"/>
  <c r="P211" i="4"/>
  <c r="AH211" i="4"/>
  <c r="AJ211" i="4"/>
  <c r="AI211" i="4"/>
  <c r="N211" i="4"/>
  <c r="O211" i="4"/>
  <c r="J211" i="4"/>
  <c r="AM211" i="4"/>
  <c r="AV213" i="4"/>
  <c r="AY212" i="4"/>
  <c r="B212" i="4"/>
  <c r="Q210" i="4"/>
  <c r="Y210" i="4" s="1"/>
  <c r="R210" i="4"/>
  <c r="Z210" i="4" s="1"/>
  <c r="V210" i="4"/>
  <c r="AA210" i="4" s="1"/>
  <c r="W210" i="4"/>
  <c r="AB210" i="4" s="1"/>
  <c r="U210" i="4"/>
  <c r="AP210" i="4" s="1"/>
  <c r="X210" i="4"/>
  <c r="AC210" i="4" s="1"/>
  <c r="AW211" i="4"/>
  <c r="AX211" i="4"/>
  <c r="AF210" i="4"/>
  <c r="AD208" i="4"/>
  <c r="AD209" i="4"/>
  <c r="AB193" i="29" l="1"/>
  <c r="K192" i="29"/>
  <c r="N192" i="29" s="1"/>
  <c r="AQ210" i="4"/>
  <c r="AE210" i="4"/>
  <c r="Z192" i="29"/>
  <c r="AE194" i="29"/>
  <c r="AA194" i="29" s="1"/>
  <c r="AF194" i="29"/>
  <c r="O193" i="29"/>
  <c r="J193" i="29"/>
  <c r="Y193" i="29" s="1"/>
  <c r="I193" i="29"/>
  <c r="K193" i="29" s="1"/>
  <c r="E194" i="29"/>
  <c r="Q194" i="29"/>
  <c r="R194" i="29"/>
  <c r="G194" i="29"/>
  <c r="S194" i="29"/>
  <c r="T194" i="29"/>
  <c r="U194" i="29"/>
  <c r="AD196" i="29"/>
  <c r="B195" i="29"/>
  <c r="AI195" i="29"/>
  <c r="AF211" i="4"/>
  <c r="U211" i="4"/>
  <c r="Q211" i="4"/>
  <c r="Y211" i="4" s="1"/>
  <c r="R211" i="4"/>
  <c r="Z211" i="4" s="1"/>
  <c r="V211" i="4"/>
  <c r="AA211" i="4" s="1"/>
  <c r="W211" i="4"/>
  <c r="AB211" i="4" s="1"/>
  <c r="X211" i="4"/>
  <c r="AC211" i="4" s="1"/>
  <c r="N212" i="4"/>
  <c r="AH212" i="4"/>
  <c r="AM212" i="4"/>
  <c r="AI212" i="4"/>
  <c r="O212" i="4"/>
  <c r="F212" i="4"/>
  <c r="M212" i="4"/>
  <c r="AL212" i="4"/>
  <c r="L212" i="4"/>
  <c r="AK212" i="4"/>
  <c r="AJ212" i="4"/>
  <c r="K212" i="4"/>
  <c r="P212" i="4"/>
  <c r="J212" i="4"/>
  <c r="AP211" i="4"/>
  <c r="AW212" i="4"/>
  <c r="AX212" i="4"/>
  <c r="B213" i="4"/>
  <c r="AV214" i="4"/>
  <c r="AY213" i="4"/>
  <c r="P192" i="29" l="1"/>
  <c r="V192" i="29"/>
  <c r="W192" i="29" s="1"/>
  <c r="AB194" i="29"/>
  <c r="N193" i="29"/>
  <c r="AQ211" i="4"/>
  <c r="AE211" i="4"/>
  <c r="O194" i="29"/>
  <c r="AF195" i="29"/>
  <c r="AE195" i="29"/>
  <c r="AA195" i="29" s="1"/>
  <c r="P193" i="29"/>
  <c r="V193" i="29"/>
  <c r="W193" i="29" s="1"/>
  <c r="Z193" i="29"/>
  <c r="I194" i="29"/>
  <c r="K194" i="29" s="1"/>
  <c r="N194" i="29" s="1"/>
  <c r="J194" i="29"/>
  <c r="Y194" i="29" s="1"/>
  <c r="E195" i="29"/>
  <c r="S195" i="29"/>
  <c r="G195" i="29"/>
  <c r="U195" i="29"/>
  <c r="T195" i="29"/>
  <c r="R195" i="29"/>
  <c r="Q195" i="29"/>
  <c r="AD197" i="29"/>
  <c r="B196" i="29"/>
  <c r="AI196" i="29"/>
  <c r="AG210" i="4"/>
  <c r="AN210" i="4"/>
  <c r="AO210" i="4" s="1"/>
  <c r="AD210" i="4"/>
  <c r="AF212" i="4"/>
  <c r="AX213" i="4"/>
  <c r="AW213" i="4"/>
  <c r="AY214" i="4"/>
  <c r="B214" i="4"/>
  <c r="AV215" i="4"/>
  <c r="X212" i="4"/>
  <c r="AC212" i="4" s="1"/>
  <c r="R212" i="4"/>
  <c r="Z212" i="4" s="1"/>
  <c r="Q212" i="4"/>
  <c r="Y212" i="4" s="1"/>
  <c r="W212" i="4"/>
  <c r="AB212" i="4" s="1"/>
  <c r="U212" i="4"/>
  <c r="AP212" i="4" s="1"/>
  <c r="V212" i="4"/>
  <c r="AA212" i="4" s="1"/>
  <c r="P213" i="4"/>
  <c r="M213" i="4"/>
  <c r="J213" i="4"/>
  <c r="L213" i="4"/>
  <c r="AJ213" i="4"/>
  <c r="AK213" i="4"/>
  <c r="F213" i="4"/>
  <c r="N213" i="4"/>
  <c r="AI213" i="4"/>
  <c r="K213" i="4"/>
  <c r="AH213" i="4"/>
  <c r="O213" i="4"/>
  <c r="AL213" i="4"/>
  <c r="AM213" i="4"/>
  <c r="AN209" i="4"/>
  <c r="AO209" i="4" s="1"/>
  <c r="AG209" i="4"/>
  <c r="AD211" i="4"/>
  <c r="AB195" i="29" l="1"/>
  <c r="Z194" i="29"/>
  <c r="AQ212" i="4"/>
  <c r="AE212" i="4"/>
  <c r="AD198" i="29"/>
  <c r="B197" i="29"/>
  <c r="AI197" i="29"/>
  <c r="O195" i="29"/>
  <c r="V194" i="29"/>
  <c r="W194" i="29" s="1"/>
  <c r="P194" i="29"/>
  <c r="AF196" i="29"/>
  <c r="AE196" i="29"/>
  <c r="AA196" i="29" s="1"/>
  <c r="I195" i="29"/>
  <c r="K195" i="29" s="1"/>
  <c r="N195" i="29" s="1"/>
  <c r="J195" i="29"/>
  <c r="E196" i="29"/>
  <c r="Q196" i="29"/>
  <c r="U196" i="29"/>
  <c r="S196" i="29"/>
  <c r="T196" i="29"/>
  <c r="G196" i="29"/>
  <c r="R196" i="29"/>
  <c r="Y195" i="29"/>
  <c r="AF213" i="4"/>
  <c r="AV216" i="4"/>
  <c r="B215" i="4"/>
  <c r="AY215" i="4"/>
  <c r="AN211" i="4"/>
  <c r="AO211" i="4" s="1"/>
  <c r="AG211" i="4"/>
  <c r="AD212" i="4"/>
  <c r="K214" i="4"/>
  <c r="J214" i="4"/>
  <c r="L214" i="4"/>
  <c r="P214" i="4"/>
  <c r="AM214" i="4"/>
  <c r="M214" i="4"/>
  <c r="AK214" i="4"/>
  <c r="AL214" i="4"/>
  <c r="AI214" i="4"/>
  <c r="N214" i="4"/>
  <c r="F214" i="4"/>
  <c r="AJ214" i="4"/>
  <c r="O214" i="4"/>
  <c r="AH214" i="4"/>
  <c r="AX214" i="4"/>
  <c r="AW214" i="4"/>
  <c r="V213" i="4"/>
  <c r="AA213" i="4" s="1"/>
  <c r="W213" i="4"/>
  <c r="AB213" i="4" s="1"/>
  <c r="Q213" i="4"/>
  <c r="Y213" i="4" s="1"/>
  <c r="R213" i="4"/>
  <c r="Z213" i="4" s="1"/>
  <c r="U213" i="4"/>
  <c r="AP213" i="4" s="1"/>
  <c r="X213" i="4"/>
  <c r="AC213" i="4" s="1"/>
  <c r="AB196" i="29" l="1"/>
  <c r="AQ213" i="4"/>
  <c r="AE213" i="4"/>
  <c r="Z195" i="29"/>
  <c r="AE197" i="29"/>
  <c r="AA197" i="29" s="1"/>
  <c r="AF197" i="29"/>
  <c r="V195" i="29"/>
  <c r="W195" i="29" s="1"/>
  <c r="P195" i="29"/>
  <c r="O196" i="29"/>
  <c r="E197" i="29"/>
  <c r="T197" i="29"/>
  <c r="U197" i="29"/>
  <c r="Q197" i="29"/>
  <c r="S197" i="29"/>
  <c r="G197" i="29"/>
  <c r="R197" i="29"/>
  <c r="J196" i="29"/>
  <c r="Y196" i="29" s="1"/>
  <c r="I196" i="29"/>
  <c r="AD199" i="29"/>
  <c r="B198" i="29"/>
  <c r="AI198" i="29"/>
  <c r="R214" i="4"/>
  <c r="Z214" i="4" s="1"/>
  <c r="U214" i="4"/>
  <c r="AP214" i="4" s="1"/>
  <c r="W214" i="4"/>
  <c r="AB214" i="4" s="1"/>
  <c r="V214" i="4"/>
  <c r="AA214" i="4" s="1"/>
  <c r="Q214" i="4"/>
  <c r="Y214" i="4" s="1"/>
  <c r="X214" i="4"/>
  <c r="AC214" i="4" s="1"/>
  <c r="AW215" i="4"/>
  <c r="AX215" i="4"/>
  <c r="AF214" i="4"/>
  <c r="K215" i="4"/>
  <c r="AL215" i="4"/>
  <c r="N215" i="4"/>
  <c r="P215" i="4"/>
  <c r="O215" i="4"/>
  <c r="AM215" i="4"/>
  <c r="AH215" i="4"/>
  <c r="AK215" i="4"/>
  <c r="L215" i="4"/>
  <c r="J215" i="4"/>
  <c r="AI215" i="4"/>
  <c r="M215" i="4"/>
  <c r="F215" i="4"/>
  <c r="AJ215" i="4"/>
  <c r="AY216" i="4"/>
  <c r="AV217" i="4"/>
  <c r="B216" i="4"/>
  <c r="AD213" i="4"/>
  <c r="AB197" i="29" l="1"/>
  <c r="K196" i="29"/>
  <c r="N196" i="29" s="1"/>
  <c r="AQ214" i="4"/>
  <c r="AE214" i="4"/>
  <c r="AD200" i="29"/>
  <c r="B199" i="29"/>
  <c r="AI199" i="29"/>
  <c r="Z196" i="29"/>
  <c r="O197" i="29"/>
  <c r="I197" i="29"/>
  <c r="J197" i="29"/>
  <c r="Y197" i="29" s="1"/>
  <c r="AF198" i="29"/>
  <c r="AE198" i="29"/>
  <c r="AA198" i="29" s="1"/>
  <c r="E198" i="29"/>
  <c r="G198" i="29"/>
  <c r="R198" i="29"/>
  <c r="T198" i="29"/>
  <c r="U198" i="29"/>
  <c r="S198" i="29"/>
  <c r="Q198" i="29"/>
  <c r="AH216" i="4"/>
  <c r="AM216" i="4"/>
  <c r="O216" i="4"/>
  <c r="P216" i="4"/>
  <c r="F216" i="4"/>
  <c r="K216" i="4"/>
  <c r="AK216" i="4"/>
  <c r="AJ216" i="4"/>
  <c r="M216" i="4"/>
  <c r="AL216" i="4"/>
  <c r="L216" i="4"/>
  <c r="N216" i="4"/>
  <c r="J216" i="4"/>
  <c r="AI216" i="4"/>
  <c r="B217" i="4"/>
  <c r="AV218" i="4"/>
  <c r="AY217" i="4"/>
  <c r="AN212" i="4"/>
  <c r="AO212" i="4" s="1"/>
  <c r="AG212" i="4"/>
  <c r="AF215" i="4"/>
  <c r="W215" i="4"/>
  <c r="AB215" i="4" s="1"/>
  <c r="V215" i="4"/>
  <c r="AA215" i="4" s="1"/>
  <c r="R215" i="4"/>
  <c r="Z215" i="4" s="1"/>
  <c r="Q215" i="4"/>
  <c r="Y215" i="4" s="1"/>
  <c r="X215" i="4"/>
  <c r="AC215" i="4" s="1"/>
  <c r="U215" i="4"/>
  <c r="AP215" i="4" s="1"/>
  <c r="AD214" i="4"/>
  <c r="AW216" i="4"/>
  <c r="AX216" i="4"/>
  <c r="P196" i="29" l="1"/>
  <c r="V196" i="29"/>
  <c r="W196" i="29" s="1"/>
  <c r="AB198" i="29"/>
  <c r="K197" i="29"/>
  <c r="N197" i="29" s="1"/>
  <c r="AQ215" i="4"/>
  <c r="AE215" i="4"/>
  <c r="AF199" i="29"/>
  <c r="AE199" i="29"/>
  <c r="AA199" i="29" s="1"/>
  <c r="E199" i="29"/>
  <c r="R199" i="29"/>
  <c r="U199" i="29"/>
  <c r="T199" i="29"/>
  <c r="G199" i="29"/>
  <c r="Q199" i="29"/>
  <c r="S199" i="29"/>
  <c r="J198" i="29"/>
  <c r="Y198" i="29" s="1"/>
  <c r="I198" i="29"/>
  <c r="K198" i="29" s="1"/>
  <c r="Z197" i="29"/>
  <c r="AD201" i="29"/>
  <c r="B200" i="29"/>
  <c r="AI200" i="29"/>
  <c r="O198" i="29"/>
  <c r="AG214" i="4"/>
  <c r="AY218" i="4"/>
  <c r="AV219" i="4"/>
  <c r="B218" i="4"/>
  <c r="AF216" i="4"/>
  <c r="AM217" i="4"/>
  <c r="K217" i="4"/>
  <c r="J217" i="4"/>
  <c r="F217" i="4"/>
  <c r="AK217" i="4"/>
  <c r="AL217" i="4"/>
  <c r="AH217" i="4"/>
  <c r="L217" i="4"/>
  <c r="AI217" i="4"/>
  <c r="O217" i="4"/>
  <c r="AJ217" i="4"/>
  <c r="P217" i="4"/>
  <c r="N217" i="4"/>
  <c r="M217" i="4"/>
  <c r="AG213" i="4"/>
  <c r="AN213" i="4"/>
  <c r="AO213" i="4" s="1"/>
  <c r="AD215" i="4"/>
  <c r="W216" i="4"/>
  <c r="AB216" i="4" s="1"/>
  <c r="U216" i="4"/>
  <c r="AP216" i="4" s="1"/>
  <c r="X216" i="4"/>
  <c r="AC216" i="4" s="1"/>
  <c r="R216" i="4"/>
  <c r="Z216" i="4" s="1"/>
  <c r="V216" i="4"/>
  <c r="AA216" i="4" s="1"/>
  <c r="Q216" i="4"/>
  <c r="Y216" i="4" s="1"/>
  <c r="AX217" i="4"/>
  <c r="AW217" i="4"/>
  <c r="V197" i="29" l="1"/>
  <c r="W197" i="29" s="1"/>
  <c r="P197" i="29"/>
  <c r="N198" i="29"/>
  <c r="AB199" i="29"/>
  <c r="AQ216" i="4"/>
  <c r="AE216" i="4"/>
  <c r="AE200" i="29"/>
  <c r="AA200" i="29" s="1"/>
  <c r="AF200" i="29"/>
  <c r="O199" i="29"/>
  <c r="Z198" i="29"/>
  <c r="E200" i="29"/>
  <c r="T200" i="29"/>
  <c r="Q200" i="29"/>
  <c r="S200" i="29"/>
  <c r="G200" i="29"/>
  <c r="U200" i="29"/>
  <c r="R200" i="29"/>
  <c r="I199" i="29"/>
  <c r="J199" i="29"/>
  <c r="Y199" i="29" s="1"/>
  <c r="AD202" i="29"/>
  <c r="B201" i="29"/>
  <c r="AI201" i="29"/>
  <c r="P198" i="29"/>
  <c r="V198" i="29"/>
  <c r="W198" i="29" s="1"/>
  <c r="AN214" i="4"/>
  <c r="AO214" i="4" s="1"/>
  <c r="AF217" i="4"/>
  <c r="AY219" i="4"/>
  <c r="B219" i="4"/>
  <c r="AV220" i="4"/>
  <c r="U217" i="4"/>
  <c r="AP217" i="4" s="1"/>
  <c r="X217" i="4"/>
  <c r="AC217" i="4" s="1"/>
  <c r="Q217" i="4"/>
  <c r="Y217" i="4" s="1"/>
  <c r="V217" i="4"/>
  <c r="AA217" i="4" s="1"/>
  <c r="R217" i="4"/>
  <c r="Z217" i="4" s="1"/>
  <c r="AQ217" i="4" s="1"/>
  <c r="W217" i="4"/>
  <c r="AB217" i="4" s="1"/>
  <c r="AX218" i="4"/>
  <c r="AW218" i="4"/>
  <c r="AD216" i="4"/>
  <c r="N218" i="4"/>
  <c r="AM218" i="4"/>
  <c r="K218" i="4"/>
  <c r="O218" i="4"/>
  <c r="J218" i="4"/>
  <c r="F218" i="4"/>
  <c r="L218" i="4"/>
  <c r="P218" i="4"/>
  <c r="M218" i="4"/>
  <c r="AJ218" i="4"/>
  <c r="AI218" i="4"/>
  <c r="AK218" i="4"/>
  <c r="AH218" i="4"/>
  <c r="AL218" i="4"/>
  <c r="AB200" i="29" l="1"/>
  <c r="K199" i="29"/>
  <c r="N199" i="29" s="1"/>
  <c r="Z199" i="29"/>
  <c r="AE217" i="4"/>
  <c r="O200" i="29"/>
  <c r="AE201" i="29"/>
  <c r="AA201" i="29" s="1"/>
  <c r="AF201" i="29"/>
  <c r="E201" i="29"/>
  <c r="R201" i="29"/>
  <c r="S201" i="29"/>
  <c r="T201" i="29"/>
  <c r="G201" i="29"/>
  <c r="U201" i="29"/>
  <c r="Q201" i="29"/>
  <c r="J200" i="29"/>
  <c r="Y200" i="29" s="1"/>
  <c r="I200" i="29"/>
  <c r="AD203" i="29"/>
  <c r="B202" i="29"/>
  <c r="AI202" i="29"/>
  <c r="Z200" i="29"/>
  <c r="R218" i="4"/>
  <c r="Z218" i="4" s="1"/>
  <c r="Q218" i="4"/>
  <c r="Y218" i="4" s="1"/>
  <c r="U218" i="4"/>
  <c r="AP218" i="4" s="1"/>
  <c r="W218" i="4"/>
  <c r="AB218" i="4" s="1"/>
  <c r="X218" i="4"/>
  <c r="AC218" i="4" s="1"/>
  <c r="V218" i="4"/>
  <c r="AA218" i="4" s="1"/>
  <c r="AX219" i="4"/>
  <c r="AW219" i="4"/>
  <c r="AN215" i="4"/>
  <c r="AO215" i="4" s="1"/>
  <c r="AG215" i="4"/>
  <c r="B220" i="4"/>
  <c r="AV221" i="4"/>
  <c r="AY220" i="4"/>
  <c r="AF218" i="4"/>
  <c r="AH219" i="4"/>
  <c r="N219" i="4"/>
  <c r="J219" i="4"/>
  <c r="O219" i="4"/>
  <c r="F219" i="4"/>
  <c r="L219" i="4"/>
  <c r="AK219" i="4"/>
  <c r="K219" i="4"/>
  <c r="AI219" i="4"/>
  <c r="M219" i="4"/>
  <c r="P219" i="4"/>
  <c r="AJ219" i="4"/>
  <c r="AL219" i="4"/>
  <c r="AM219" i="4"/>
  <c r="P199" i="29" l="1"/>
  <c r="V199" i="29"/>
  <c r="W199" i="29" s="1"/>
  <c r="AB201" i="29"/>
  <c r="K200" i="29"/>
  <c r="N200" i="29" s="1"/>
  <c r="AQ218" i="4"/>
  <c r="AE218" i="4"/>
  <c r="L434" i="7" s="1"/>
  <c r="E202" i="29"/>
  <c r="T202" i="29"/>
  <c r="G202" i="29"/>
  <c r="R202" i="29"/>
  <c r="S202" i="29"/>
  <c r="U202" i="29"/>
  <c r="Q202" i="29"/>
  <c r="AD204" i="29"/>
  <c r="B203" i="29"/>
  <c r="AI203" i="29"/>
  <c r="I201" i="29"/>
  <c r="J201" i="29"/>
  <c r="Y201" i="29" s="1"/>
  <c r="AE202" i="29"/>
  <c r="AA202" i="29" s="1"/>
  <c r="AF202" i="29"/>
  <c r="O201" i="29"/>
  <c r="AG217" i="4"/>
  <c r="AN217" i="4"/>
  <c r="AO217" i="4" s="1"/>
  <c r="AW220" i="4"/>
  <c r="AX220" i="4"/>
  <c r="AV222" i="4"/>
  <c r="AY221" i="4"/>
  <c r="B221" i="4"/>
  <c r="AD217" i="4"/>
  <c r="L220" i="4"/>
  <c r="AM220" i="4"/>
  <c r="AK220" i="4"/>
  <c r="AH220" i="4"/>
  <c r="AI220" i="4"/>
  <c r="AJ220" i="4"/>
  <c r="O220" i="4"/>
  <c r="J220" i="4"/>
  <c r="K220" i="4"/>
  <c r="AL220" i="4"/>
  <c r="P220" i="4"/>
  <c r="N220" i="4"/>
  <c r="F220" i="4"/>
  <c r="M220" i="4"/>
  <c r="W219" i="4"/>
  <c r="AB219" i="4" s="1"/>
  <c r="X219" i="4"/>
  <c r="AC219" i="4" s="1"/>
  <c r="R219" i="4"/>
  <c r="Z219" i="4" s="1"/>
  <c r="U219" i="4"/>
  <c r="AP219" i="4" s="1"/>
  <c r="V219" i="4"/>
  <c r="AA219" i="4" s="1"/>
  <c r="Q219" i="4"/>
  <c r="Y219" i="4" s="1"/>
  <c r="AF219" i="4"/>
  <c r="AD218" i="4"/>
  <c r="AG216" i="4"/>
  <c r="AN216" i="4"/>
  <c r="AO216" i="4" s="1"/>
  <c r="V200" i="29" l="1"/>
  <c r="W200" i="29" s="1"/>
  <c r="P200" i="29"/>
  <c r="K201" i="29"/>
  <c r="N201" i="29" s="1"/>
  <c r="AQ219" i="4"/>
  <c r="AB202" i="29"/>
  <c r="AE219" i="4"/>
  <c r="O202" i="29"/>
  <c r="I202" i="29"/>
  <c r="K202" i="29" s="1"/>
  <c r="J202" i="29"/>
  <c r="Y202" i="29" s="1"/>
  <c r="AD205" i="29"/>
  <c r="B204" i="29"/>
  <c r="AI204" i="29"/>
  <c r="Z201" i="29"/>
  <c r="AF203" i="29"/>
  <c r="AE203" i="29"/>
  <c r="AA203" i="29" s="1"/>
  <c r="E203" i="29"/>
  <c r="G203" i="29"/>
  <c r="S203" i="29"/>
  <c r="T203" i="29"/>
  <c r="Q203" i="29"/>
  <c r="U203" i="29"/>
  <c r="R203" i="29"/>
  <c r="AD219" i="4"/>
  <c r="AG218" i="4"/>
  <c r="AN218" i="4"/>
  <c r="AO218" i="4" s="1"/>
  <c r="AV226" i="4"/>
  <c r="AY222" i="4"/>
  <c r="AV223" i="4"/>
  <c r="B222" i="4"/>
  <c r="X220" i="4"/>
  <c r="AC220" i="4" s="1"/>
  <c r="Q220" i="4"/>
  <c r="Y220" i="4" s="1"/>
  <c r="V220" i="4"/>
  <c r="AA220" i="4" s="1"/>
  <c r="W220" i="4"/>
  <c r="AB220" i="4" s="1"/>
  <c r="U220" i="4"/>
  <c r="AP220" i="4" s="1"/>
  <c r="R220" i="4"/>
  <c r="Z220" i="4" s="1"/>
  <c r="AL221" i="4"/>
  <c r="AK221" i="4"/>
  <c r="L221" i="4"/>
  <c r="AM221" i="4"/>
  <c r="P221" i="4"/>
  <c r="AH221" i="4"/>
  <c r="K221" i="4"/>
  <c r="AJ221" i="4"/>
  <c r="AI221" i="4"/>
  <c r="N221" i="4"/>
  <c r="O221" i="4"/>
  <c r="M221" i="4"/>
  <c r="F221" i="4"/>
  <c r="J221" i="4"/>
  <c r="AF220" i="4"/>
  <c r="AX221" i="4"/>
  <c r="AW221" i="4"/>
  <c r="V201" i="29" l="1"/>
  <c r="W201" i="29" s="1"/>
  <c r="P201" i="29"/>
  <c r="N202" i="29"/>
  <c r="AB203" i="29"/>
  <c r="AQ220" i="4"/>
  <c r="AE220" i="4"/>
  <c r="Z202" i="29"/>
  <c r="AD206" i="29"/>
  <c r="B205" i="29"/>
  <c r="AI205" i="29"/>
  <c r="AF204" i="29"/>
  <c r="AE204" i="29"/>
  <c r="AA204" i="29" s="1"/>
  <c r="P202" i="29"/>
  <c r="V202" i="29"/>
  <c r="W202" i="29" s="1"/>
  <c r="O203" i="29"/>
  <c r="I203" i="29"/>
  <c r="J203" i="29"/>
  <c r="Y203" i="29" s="1"/>
  <c r="E204" i="29"/>
  <c r="Q204" i="29"/>
  <c r="R204" i="29"/>
  <c r="T204" i="29"/>
  <c r="G204" i="29"/>
  <c r="S204" i="29"/>
  <c r="U204" i="29"/>
  <c r="Q221" i="4"/>
  <c r="Y221" i="4" s="1"/>
  <c r="X221" i="4"/>
  <c r="AC221" i="4" s="1"/>
  <c r="V221" i="4"/>
  <c r="AA221" i="4" s="1"/>
  <c r="W221" i="4"/>
  <c r="AB221" i="4" s="1"/>
  <c r="U221" i="4"/>
  <c r="R221" i="4"/>
  <c r="Z221" i="4" s="1"/>
  <c r="AW222" i="4"/>
  <c r="AX222" i="4"/>
  <c r="AN219" i="4"/>
  <c r="AO219" i="4" s="1"/>
  <c r="AG219" i="4"/>
  <c r="AF221" i="4"/>
  <c r="AD220" i="4"/>
  <c r="AY226" i="4"/>
  <c r="B226" i="4"/>
  <c r="M222" i="4"/>
  <c r="AI222" i="4"/>
  <c r="AL222" i="4"/>
  <c r="N222" i="4"/>
  <c r="J222" i="4"/>
  <c r="AH222" i="4"/>
  <c r="AM222" i="4"/>
  <c r="L222" i="4"/>
  <c r="P222" i="4"/>
  <c r="O222" i="4"/>
  <c r="F222" i="4"/>
  <c r="AK222" i="4"/>
  <c r="K222" i="4"/>
  <c r="AJ222" i="4"/>
  <c r="AP221" i="4"/>
  <c r="AY223" i="4"/>
  <c r="AV224" i="4"/>
  <c r="AV227" i="4"/>
  <c r="B223" i="4"/>
  <c r="AB204" i="29" l="1"/>
  <c r="K203" i="29"/>
  <c r="N203" i="29" s="1"/>
  <c r="AQ221" i="4"/>
  <c r="AE221" i="4"/>
  <c r="O204" i="29"/>
  <c r="AD207" i="29"/>
  <c r="B206" i="29"/>
  <c r="AI206" i="29"/>
  <c r="Z203" i="29"/>
  <c r="J204" i="29"/>
  <c r="Y204" i="29" s="1"/>
  <c r="I204" i="29"/>
  <c r="AF205" i="29"/>
  <c r="AE205" i="29"/>
  <c r="AA205" i="29" s="1"/>
  <c r="E205" i="29"/>
  <c r="Q205" i="29"/>
  <c r="R205" i="29"/>
  <c r="T205" i="29"/>
  <c r="G205" i="29"/>
  <c r="S205" i="29"/>
  <c r="U205" i="29"/>
  <c r="AD221" i="4"/>
  <c r="AF222" i="4"/>
  <c r="J226" i="4"/>
  <c r="K226" i="4"/>
  <c r="P226" i="4"/>
  <c r="O226" i="4"/>
  <c r="AI226" i="4"/>
  <c r="AJ226" i="4"/>
  <c r="L226" i="4"/>
  <c r="F226" i="4"/>
  <c r="M226" i="4"/>
  <c r="AK226" i="4"/>
  <c r="AM226" i="4"/>
  <c r="N226" i="4"/>
  <c r="AH226" i="4"/>
  <c r="AL226" i="4"/>
  <c r="AX223" i="4"/>
  <c r="AW223" i="4"/>
  <c r="AX226" i="4"/>
  <c r="AW226" i="4"/>
  <c r="L435" i="7"/>
  <c r="AV225" i="4"/>
  <c r="B224" i="4"/>
  <c r="AY224" i="4"/>
  <c r="AV228" i="4"/>
  <c r="O223" i="4"/>
  <c r="P223" i="4"/>
  <c r="N223" i="4"/>
  <c r="M223" i="4"/>
  <c r="AL223" i="4"/>
  <c r="AJ223" i="4"/>
  <c r="AK223" i="4"/>
  <c r="K223" i="4"/>
  <c r="L223" i="4"/>
  <c r="AI223" i="4"/>
  <c r="AH223" i="4"/>
  <c r="J223" i="4"/>
  <c r="AM223" i="4"/>
  <c r="F223" i="4"/>
  <c r="B227" i="4"/>
  <c r="AY227" i="4"/>
  <c r="V222" i="4"/>
  <c r="AA222" i="4" s="1"/>
  <c r="W222" i="4"/>
  <c r="AB222" i="4" s="1"/>
  <c r="R222" i="4"/>
  <c r="Z222" i="4" s="1"/>
  <c r="Q222" i="4"/>
  <c r="Y222" i="4" s="1"/>
  <c r="X222" i="4"/>
  <c r="AC222" i="4" s="1"/>
  <c r="U222" i="4"/>
  <c r="AP222" i="4" s="1"/>
  <c r="P203" i="29" l="1"/>
  <c r="V203" i="29"/>
  <c r="W203" i="29" s="1"/>
  <c r="AK224" i="4"/>
  <c r="P224" i="4"/>
  <c r="L224" i="4"/>
  <c r="AJ224" i="4"/>
  <c r="O224" i="4"/>
  <c r="K224" i="4"/>
  <c r="AI224" i="4"/>
  <c r="J224" i="4"/>
  <c r="AH224" i="4"/>
  <c r="F224" i="4"/>
  <c r="AM224" i="4"/>
  <c r="N224" i="4"/>
  <c r="M224" i="4"/>
  <c r="AL224" i="4"/>
  <c r="AB205" i="29"/>
  <c r="K204" i="29"/>
  <c r="N204" i="29" s="1"/>
  <c r="AQ222" i="4"/>
  <c r="Z204" i="29"/>
  <c r="AE222" i="4"/>
  <c r="O205" i="29"/>
  <c r="E206" i="29"/>
  <c r="U206" i="29"/>
  <c r="Q206" i="29"/>
  <c r="T206" i="29"/>
  <c r="S206" i="29"/>
  <c r="R206" i="29"/>
  <c r="G206" i="29"/>
  <c r="AD208" i="29"/>
  <c r="B207" i="29"/>
  <c r="AI207" i="29"/>
  <c r="I205" i="29"/>
  <c r="K205" i="29" s="1"/>
  <c r="J205" i="29"/>
  <c r="Y205" i="29" s="1"/>
  <c r="AF206" i="29"/>
  <c r="AE206" i="29"/>
  <c r="AA206" i="29" s="1"/>
  <c r="AL227" i="4"/>
  <c r="M227" i="4"/>
  <c r="F227" i="4"/>
  <c r="AH227" i="4"/>
  <c r="L227" i="4"/>
  <c r="K227" i="4"/>
  <c r="N227" i="4"/>
  <c r="AI227" i="4"/>
  <c r="AM227" i="4"/>
  <c r="AJ227" i="4"/>
  <c r="J227" i="4"/>
  <c r="P227" i="4"/>
  <c r="O227" i="4"/>
  <c r="AK227" i="4"/>
  <c r="AW227" i="4"/>
  <c r="AX227" i="4"/>
  <c r="AY225" i="4"/>
  <c r="B225" i="4"/>
  <c r="AV229" i="4"/>
  <c r="AG221" i="4"/>
  <c r="AN221" i="4"/>
  <c r="AO221" i="4" s="1"/>
  <c r="AF226" i="4"/>
  <c r="AY228" i="4"/>
  <c r="B228" i="4"/>
  <c r="U226" i="4"/>
  <c r="AP226" i="4" s="1"/>
  <c r="V226" i="4"/>
  <c r="AA226" i="4" s="1"/>
  <c r="X226" i="4"/>
  <c r="AC226" i="4" s="1"/>
  <c r="W226" i="4"/>
  <c r="AB226" i="4" s="1"/>
  <c r="Q226" i="4"/>
  <c r="Y226" i="4" s="1"/>
  <c r="R226" i="4"/>
  <c r="Z226" i="4" s="1"/>
  <c r="AD222" i="4"/>
  <c r="AW224" i="4"/>
  <c r="AX224" i="4"/>
  <c r="AG220" i="4"/>
  <c r="AN220" i="4"/>
  <c r="AO220" i="4" s="1"/>
  <c r="AF223" i="4"/>
  <c r="Q223" i="4"/>
  <c r="Y223" i="4" s="1"/>
  <c r="X223" i="4"/>
  <c r="AC223" i="4" s="1"/>
  <c r="U223" i="4"/>
  <c r="AP223" i="4" s="1"/>
  <c r="V223" i="4"/>
  <c r="AA223" i="4" s="1"/>
  <c r="R223" i="4"/>
  <c r="Z223" i="4" s="1"/>
  <c r="W223" i="4"/>
  <c r="AB223" i="4" s="1"/>
  <c r="AM225" i="4" l="1"/>
  <c r="AI225" i="4"/>
  <c r="N225" i="4"/>
  <c r="J225" i="4"/>
  <c r="AL225" i="4"/>
  <c r="AH225" i="4"/>
  <c r="M225" i="4"/>
  <c r="F225" i="4"/>
  <c r="AK225" i="4"/>
  <c r="L225" i="4"/>
  <c r="AJ225" i="4"/>
  <c r="K225" i="4"/>
  <c r="P225" i="4"/>
  <c r="O225" i="4"/>
  <c r="V204" i="29"/>
  <c r="W204" i="29" s="1"/>
  <c r="P204" i="29"/>
  <c r="N205" i="29"/>
  <c r="V205" i="29" s="1"/>
  <c r="W205" i="29" s="1"/>
  <c r="Z205" i="29"/>
  <c r="AQ226" i="4"/>
  <c r="AQ223" i="4"/>
  <c r="AB206" i="29"/>
  <c r="AE223" i="4"/>
  <c r="AE226" i="4"/>
  <c r="AD209" i="29"/>
  <c r="B208" i="29"/>
  <c r="AI208" i="29"/>
  <c r="AE207" i="29"/>
  <c r="AA207" i="29" s="1"/>
  <c r="AF207" i="29"/>
  <c r="J206" i="29"/>
  <c r="Y206" i="29" s="1"/>
  <c r="I206" i="29"/>
  <c r="E207" i="29"/>
  <c r="S207" i="29"/>
  <c r="R207" i="29"/>
  <c r="T207" i="29"/>
  <c r="Q207" i="29"/>
  <c r="U207" i="29"/>
  <c r="G207" i="29"/>
  <c r="O206" i="29"/>
  <c r="AD226" i="4"/>
  <c r="AH228" i="4"/>
  <c r="AL228" i="4"/>
  <c r="O228" i="4"/>
  <c r="AI228" i="4"/>
  <c r="AM228" i="4"/>
  <c r="K228" i="4"/>
  <c r="F228" i="4"/>
  <c r="P228" i="4"/>
  <c r="AJ228" i="4"/>
  <c r="N228" i="4"/>
  <c r="M228" i="4"/>
  <c r="AK228" i="4"/>
  <c r="J228" i="4"/>
  <c r="L228" i="4"/>
  <c r="V224" i="4"/>
  <c r="AA224" i="4" s="1"/>
  <c r="R224" i="4"/>
  <c r="Z224" i="4" s="1"/>
  <c r="X224" i="4"/>
  <c r="AC224" i="4" s="1"/>
  <c r="W224" i="4"/>
  <c r="AB224" i="4" s="1"/>
  <c r="Q224" i="4"/>
  <c r="Y224" i="4" s="1"/>
  <c r="U224" i="4"/>
  <c r="AP224" i="4" s="1"/>
  <c r="AX228" i="4"/>
  <c r="AW228" i="4"/>
  <c r="B229" i="4"/>
  <c r="AY229" i="4"/>
  <c r="AV230" i="4"/>
  <c r="AF227" i="4"/>
  <c r="W227" i="4"/>
  <c r="AB227" i="4" s="1"/>
  <c r="V227" i="4"/>
  <c r="AA227" i="4" s="1"/>
  <c r="Q227" i="4"/>
  <c r="Y227" i="4" s="1"/>
  <c r="U227" i="4"/>
  <c r="AP227" i="4" s="1"/>
  <c r="R227" i="4"/>
  <c r="Z227" i="4" s="1"/>
  <c r="X227" i="4"/>
  <c r="AC227" i="4" s="1"/>
  <c r="AF224" i="4"/>
  <c r="AW225" i="4"/>
  <c r="AX225" i="4"/>
  <c r="P205" i="29" l="1"/>
  <c r="K206" i="29"/>
  <c r="N206" i="29" s="1"/>
  <c r="AB207" i="29"/>
  <c r="AQ227" i="4"/>
  <c r="O207" i="29"/>
  <c r="AQ224" i="4"/>
  <c r="AE227" i="4"/>
  <c r="AE224" i="4"/>
  <c r="Z206" i="29"/>
  <c r="J207" i="29"/>
  <c r="Y207" i="29" s="1"/>
  <c r="I207" i="29"/>
  <c r="K207" i="29" s="1"/>
  <c r="AF208" i="29"/>
  <c r="AE208" i="29"/>
  <c r="AA208" i="29" s="1"/>
  <c r="E208" i="29"/>
  <c r="R208" i="29"/>
  <c r="U208" i="29"/>
  <c r="S208" i="29"/>
  <c r="Q208" i="29"/>
  <c r="G208" i="29"/>
  <c r="T208" i="29"/>
  <c r="AD210" i="29"/>
  <c r="B209" i="29"/>
  <c r="AI209" i="29"/>
  <c r="AG223" i="4"/>
  <c r="AN223" i="4"/>
  <c r="AO223" i="4" s="1"/>
  <c r="AW229" i="4"/>
  <c r="AX229" i="4"/>
  <c r="X228" i="4"/>
  <c r="AC228" i="4" s="1"/>
  <c r="Q228" i="4"/>
  <c r="Y228" i="4" s="1"/>
  <c r="U228" i="4"/>
  <c r="V228" i="4"/>
  <c r="AA228" i="4" s="1"/>
  <c r="W228" i="4"/>
  <c r="AB228" i="4" s="1"/>
  <c r="R228" i="4"/>
  <c r="Z228" i="4" s="1"/>
  <c r="AG226" i="4"/>
  <c r="AN226" i="4"/>
  <c r="AO226" i="4" s="1"/>
  <c r="V225" i="4"/>
  <c r="AA225" i="4" s="1"/>
  <c r="U225" i="4"/>
  <c r="W225" i="4"/>
  <c r="AB225" i="4" s="1"/>
  <c r="X225" i="4"/>
  <c r="AC225" i="4" s="1"/>
  <c r="Q225" i="4"/>
  <c r="Y225" i="4" s="1"/>
  <c r="R225" i="4"/>
  <c r="Z225" i="4" s="1"/>
  <c r="AG222" i="4"/>
  <c r="AN222" i="4"/>
  <c r="AO222" i="4" s="1"/>
  <c r="AF225" i="4"/>
  <c r="AP225" i="4"/>
  <c r="AJ229" i="4"/>
  <c r="AM229" i="4"/>
  <c r="AI229" i="4"/>
  <c r="AK229" i="4"/>
  <c r="AL229" i="4"/>
  <c r="AH229" i="4"/>
  <c r="P229" i="4"/>
  <c r="F229" i="4"/>
  <c r="K229" i="4"/>
  <c r="O229" i="4"/>
  <c r="J229" i="4"/>
  <c r="M229" i="4"/>
  <c r="L229" i="4"/>
  <c r="N229" i="4"/>
  <c r="AD223" i="4"/>
  <c r="AD227" i="4"/>
  <c r="AP228" i="4"/>
  <c r="AV231" i="4"/>
  <c r="AY230" i="4"/>
  <c r="B230" i="4"/>
  <c r="AF228" i="4"/>
  <c r="P206" i="29" l="1"/>
  <c r="V206" i="29"/>
  <c r="W206" i="29" s="1"/>
  <c r="AB208" i="29"/>
  <c r="N207" i="29"/>
  <c r="P207" i="29" s="1"/>
  <c r="Z207" i="29"/>
  <c r="AQ225" i="4"/>
  <c r="AQ228" i="4"/>
  <c r="AE225" i="4"/>
  <c r="AE228" i="4"/>
  <c r="AD211" i="29"/>
  <c r="B210" i="29"/>
  <c r="AI210" i="29"/>
  <c r="AF209" i="29"/>
  <c r="AE209" i="29"/>
  <c r="AA209" i="29" s="1"/>
  <c r="O208" i="29"/>
  <c r="I208" i="29"/>
  <c r="J208" i="29"/>
  <c r="Y208" i="29" s="1"/>
  <c r="E209" i="29"/>
  <c r="Q209" i="29"/>
  <c r="U209" i="29"/>
  <c r="G209" i="29"/>
  <c r="T209" i="29"/>
  <c r="S209" i="29"/>
  <c r="R209" i="29"/>
  <c r="AN224" i="4"/>
  <c r="AO224" i="4" s="1"/>
  <c r="B231" i="4"/>
  <c r="AY231" i="4"/>
  <c r="AV232" i="4"/>
  <c r="AH230" i="4"/>
  <c r="N230" i="4"/>
  <c r="J230" i="4"/>
  <c r="AK230" i="4"/>
  <c r="AI230" i="4"/>
  <c r="M230" i="4"/>
  <c r="O230" i="4"/>
  <c r="AJ230" i="4"/>
  <c r="AM230" i="4"/>
  <c r="F230" i="4"/>
  <c r="K230" i="4"/>
  <c r="P230" i="4"/>
  <c r="AL230" i="4"/>
  <c r="L230" i="4"/>
  <c r="AD225" i="4"/>
  <c r="AW230" i="4"/>
  <c r="AX230" i="4"/>
  <c r="AD224" i="4"/>
  <c r="AF229" i="4"/>
  <c r="Q229" i="4"/>
  <c r="Y229" i="4" s="1"/>
  <c r="V229" i="4"/>
  <c r="AA229" i="4" s="1"/>
  <c r="X229" i="4"/>
  <c r="AC229" i="4" s="1"/>
  <c r="W229" i="4"/>
  <c r="AB229" i="4" s="1"/>
  <c r="U229" i="4"/>
  <c r="AP229" i="4" s="1"/>
  <c r="R229" i="4"/>
  <c r="Z229" i="4" s="1"/>
  <c r="V207" i="29" l="1"/>
  <c r="W207" i="29" s="1"/>
  <c r="K208" i="29"/>
  <c r="N208" i="29" s="1"/>
  <c r="AB209" i="29"/>
  <c r="AQ229" i="4"/>
  <c r="Z208" i="29"/>
  <c r="AE229" i="4"/>
  <c r="AD228" i="4"/>
  <c r="E210" i="29"/>
  <c r="Q210" i="29"/>
  <c r="T210" i="29"/>
  <c r="S210" i="29"/>
  <c r="U210" i="29"/>
  <c r="R210" i="29"/>
  <c r="G210" i="29"/>
  <c r="AD212" i="29"/>
  <c r="B211" i="29"/>
  <c r="AI211" i="29"/>
  <c r="O209" i="29"/>
  <c r="J209" i="29"/>
  <c r="Y209" i="29" s="1"/>
  <c r="I209" i="29"/>
  <c r="AE210" i="29"/>
  <c r="AA210" i="29" s="1"/>
  <c r="AF210" i="29"/>
  <c r="AG224" i="4"/>
  <c r="AG228" i="4"/>
  <c r="AG225" i="4"/>
  <c r="AG227" i="4"/>
  <c r="AN227" i="4"/>
  <c r="AO227" i="4" s="1"/>
  <c r="AY232" i="4"/>
  <c r="AV233" i="4"/>
  <c r="B232" i="4"/>
  <c r="AN225" i="4"/>
  <c r="AO225" i="4" s="1"/>
  <c r="U230" i="4"/>
  <c r="AP230" i="4" s="1"/>
  <c r="W230" i="4"/>
  <c r="AB230" i="4" s="1"/>
  <c r="X230" i="4"/>
  <c r="AC230" i="4" s="1"/>
  <c r="V230" i="4"/>
  <c r="AA230" i="4" s="1"/>
  <c r="R230" i="4"/>
  <c r="Q230" i="4"/>
  <c r="Y230" i="4" s="1"/>
  <c r="AX231" i="4"/>
  <c r="AW231" i="4"/>
  <c r="AF230" i="4"/>
  <c r="AI231" i="4"/>
  <c r="P231" i="4"/>
  <c r="J231" i="4"/>
  <c r="AM231" i="4"/>
  <c r="AL231" i="4"/>
  <c r="L231" i="4"/>
  <c r="O231" i="4"/>
  <c r="F231" i="4"/>
  <c r="AJ231" i="4"/>
  <c r="M231" i="4"/>
  <c r="N231" i="4"/>
  <c r="AH231" i="4"/>
  <c r="AK231" i="4"/>
  <c r="K231" i="4"/>
  <c r="P208" i="29" l="1"/>
  <c r="V208" i="29"/>
  <c r="W208" i="29" s="1"/>
  <c r="K209" i="29"/>
  <c r="N209" i="29" s="1"/>
  <c r="AB210" i="29"/>
  <c r="Z230" i="4"/>
  <c r="AN228" i="4"/>
  <c r="AO228" i="4" s="1"/>
  <c r="AD213" i="29"/>
  <c r="B212" i="29"/>
  <c r="AI212" i="29"/>
  <c r="Z209" i="29"/>
  <c r="AE211" i="29"/>
  <c r="AA211" i="29" s="1"/>
  <c r="AF211" i="29"/>
  <c r="O210" i="29"/>
  <c r="J210" i="29"/>
  <c r="Y210" i="29" s="1"/>
  <c r="I210" i="29"/>
  <c r="K210" i="29" s="1"/>
  <c r="E211" i="29"/>
  <c r="R211" i="29"/>
  <c r="Q211" i="29"/>
  <c r="G211" i="29"/>
  <c r="S211" i="29"/>
  <c r="T211" i="29"/>
  <c r="U211" i="29"/>
  <c r="AN229" i="4"/>
  <c r="AO229" i="4" s="1"/>
  <c r="AG229" i="4"/>
  <c r="AF231" i="4"/>
  <c r="L232" i="4"/>
  <c r="AJ232" i="4"/>
  <c r="AL232" i="4"/>
  <c r="AH232" i="4"/>
  <c r="AM232" i="4"/>
  <c r="O232" i="4"/>
  <c r="F232" i="4"/>
  <c r="AK232" i="4"/>
  <c r="J232" i="4"/>
  <c r="M232" i="4"/>
  <c r="N232" i="4"/>
  <c r="AI232" i="4"/>
  <c r="K232" i="4"/>
  <c r="P232" i="4"/>
  <c r="W231" i="4"/>
  <c r="AB231" i="4" s="1"/>
  <c r="R231" i="4"/>
  <c r="Z231" i="4" s="1"/>
  <c r="V231" i="4"/>
  <c r="AA231" i="4" s="1"/>
  <c r="U231" i="4"/>
  <c r="AP231" i="4" s="1"/>
  <c r="X231" i="4"/>
  <c r="AC231" i="4" s="1"/>
  <c r="Q231" i="4"/>
  <c r="Y231" i="4" s="1"/>
  <c r="B233" i="4"/>
  <c r="AY233" i="4"/>
  <c r="AV234" i="4"/>
  <c r="AD229" i="4"/>
  <c r="AX232" i="4"/>
  <c r="AW232" i="4"/>
  <c r="P209" i="29" l="1"/>
  <c r="V209" i="29"/>
  <c r="W209" i="29" s="1"/>
  <c r="N210" i="29"/>
  <c r="AB211" i="29"/>
  <c r="AQ231" i="4"/>
  <c r="AE230" i="4"/>
  <c r="AN230" i="4" s="1"/>
  <c r="AO230" i="4" s="1"/>
  <c r="AQ230" i="4"/>
  <c r="AE231" i="4"/>
  <c r="Z210" i="29"/>
  <c r="P210" i="29"/>
  <c r="V210" i="29"/>
  <c r="W210" i="29" s="1"/>
  <c r="E212" i="29"/>
  <c r="S212" i="29"/>
  <c r="G212" i="29"/>
  <c r="Q212" i="29"/>
  <c r="R212" i="29"/>
  <c r="U212" i="29"/>
  <c r="T212" i="29"/>
  <c r="AD214" i="29"/>
  <c r="B213" i="29"/>
  <c r="AI213" i="29"/>
  <c r="I211" i="29"/>
  <c r="J211" i="29"/>
  <c r="Y211" i="29" s="1"/>
  <c r="O211" i="29"/>
  <c r="AE212" i="29"/>
  <c r="AA212" i="29" s="1"/>
  <c r="AF212" i="29"/>
  <c r="AY234" i="4"/>
  <c r="B234" i="4"/>
  <c r="AV235" i="4"/>
  <c r="AX233" i="4"/>
  <c r="AW233" i="4"/>
  <c r="V232" i="4"/>
  <c r="AA232" i="4" s="1"/>
  <c r="W232" i="4"/>
  <c r="AB232" i="4" s="1"/>
  <c r="Q232" i="4"/>
  <c r="Y232" i="4" s="1"/>
  <c r="X232" i="4"/>
  <c r="AC232" i="4" s="1"/>
  <c r="U232" i="4"/>
  <c r="R232" i="4"/>
  <c r="Z232" i="4" s="1"/>
  <c r="AM233" i="4"/>
  <c r="AJ233" i="4"/>
  <c r="AI233" i="4"/>
  <c r="AL233" i="4"/>
  <c r="L233" i="4"/>
  <c r="N233" i="4"/>
  <c r="J233" i="4"/>
  <c r="AH233" i="4"/>
  <c r="AK233" i="4"/>
  <c r="P233" i="4"/>
  <c r="M233" i="4"/>
  <c r="F233" i="4"/>
  <c r="K233" i="4"/>
  <c r="O233" i="4"/>
  <c r="AD231" i="4"/>
  <c r="AD230" i="4"/>
  <c r="AP232" i="4"/>
  <c r="AF232" i="4"/>
  <c r="K211" i="29" l="1"/>
  <c r="N211" i="29" s="1"/>
  <c r="AG230" i="4"/>
  <c r="AQ232" i="4"/>
  <c r="AB212" i="29"/>
  <c r="AE232" i="4"/>
  <c r="E213" i="29"/>
  <c r="R213" i="29"/>
  <c r="Q213" i="29"/>
  <c r="T213" i="29"/>
  <c r="G213" i="29"/>
  <c r="U213" i="29"/>
  <c r="S213" i="29"/>
  <c r="AD215" i="29"/>
  <c r="B214" i="29"/>
  <c r="AI214" i="29"/>
  <c r="O212" i="29"/>
  <c r="Z211" i="29"/>
  <c r="I212" i="29"/>
  <c r="J212" i="29"/>
  <c r="Y212" i="29" s="1"/>
  <c r="AF213" i="29"/>
  <c r="AE213" i="29"/>
  <c r="AA213" i="29" s="1"/>
  <c r="B235" i="4"/>
  <c r="AV236" i="4"/>
  <c r="AY235" i="4"/>
  <c r="AF233" i="4"/>
  <c r="U233" i="4"/>
  <c r="AP233" i="4" s="1"/>
  <c r="X233" i="4"/>
  <c r="AC233" i="4" s="1"/>
  <c r="W233" i="4"/>
  <c r="AB233" i="4" s="1"/>
  <c r="Q233" i="4"/>
  <c r="Y233" i="4" s="1"/>
  <c r="R233" i="4"/>
  <c r="V233" i="4"/>
  <c r="AA233" i="4" s="1"/>
  <c r="P234" i="4"/>
  <c r="F234" i="4"/>
  <c r="AM234" i="4"/>
  <c r="K234" i="4"/>
  <c r="L234" i="4"/>
  <c r="AI234" i="4"/>
  <c r="AK234" i="4"/>
  <c r="AL234" i="4"/>
  <c r="M234" i="4"/>
  <c r="N234" i="4"/>
  <c r="J234" i="4"/>
  <c r="AJ234" i="4"/>
  <c r="AH234" i="4"/>
  <c r="O234" i="4"/>
  <c r="AX234" i="4"/>
  <c r="AW234" i="4"/>
  <c r="P211" i="29" l="1"/>
  <c r="V211" i="29"/>
  <c r="W211" i="29" s="1"/>
  <c r="K212" i="29"/>
  <c r="N212" i="29" s="1"/>
  <c r="AB213" i="29"/>
  <c r="Z233" i="4"/>
  <c r="AF214" i="29"/>
  <c r="AE214" i="29"/>
  <c r="AA214" i="29" s="1"/>
  <c r="E214" i="29"/>
  <c r="T214" i="29"/>
  <c r="U214" i="29"/>
  <c r="Q214" i="29"/>
  <c r="R214" i="29"/>
  <c r="S214" i="29"/>
  <c r="G214" i="29"/>
  <c r="I213" i="29"/>
  <c r="J213" i="29"/>
  <c r="Y213" i="29" s="1"/>
  <c r="AD216" i="29"/>
  <c r="B215" i="29"/>
  <c r="AI215" i="29"/>
  <c r="Z212" i="29"/>
  <c r="O213" i="29"/>
  <c r="AN232" i="4"/>
  <c r="AO232" i="4" s="1"/>
  <c r="AG232" i="4"/>
  <c r="W234" i="4"/>
  <c r="AB234" i="4" s="1"/>
  <c r="R234" i="4"/>
  <c r="Z234" i="4" s="1"/>
  <c r="X234" i="4"/>
  <c r="AC234" i="4" s="1"/>
  <c r="V234" i="4"/>
  <c r="AA234" i="4" s="1"/>
  <c r="U234" i="4"/>
  <c r="AP234" i="4" s="1"/>
  <c r="Q234" i="4"/>
  <c r="Y234" i="4" s="1"/>
  <c r="AH235" i="4"/>
  <c r="K235" i="4"/>
  <c r="M235" i="4"/>
  <c r="AJ235" i="4"/>
  <c r="L235" i="4"/>
  <c r="H235" i="4"/>
  <c r="O235" i="4"/>
  <c r="I235" i="4"/>
  <c r="AL235" i="4"/>
  <c r="N235" i="4"/>
  <c r="AK235" i="4"/>
  <c r="AM235" i="4"/>
  <c r="P235" i="4"/>
  <c r="G235" i="4"/>
  <c r="J235" i="4"/>
  <c r="F235" i="4"/>
  <c r="AI235" i="4"/>
  <c r="AF234" i="4"/>
  <c r="AX235" i="4"/>
  <c r="AW235" i="4"/>
  <c r="AN231" i="4"/>
  <c r="AO231" i="4" s="1"/>
  <c r="AG231" i="4"/>
  <c r="AD232" i="4"/>
  <c r="B236" i="4"/>
  <c r="AV237" i="4"/>
  <c r="AY236" i="4"/>
  <c r="V212" i="29" l="1"/>
  <c r="W212" i="29" s="1"/>
  <c r="P212" i="29"/>
  <c r="K213" i="29"/>
  <c r="N213" i="29" s="1"/>
  <c r="AB214" i="29"/>
  <c r="AQ234" i="4"/>
  <c r="AE233" i="4"/>
  <c r="AQ233" i="4"/>
  <c r="AE234" i="4"/>
  <c r="AD233" i="4"/>
  <c r="Z213" i="29"/>
  <c r="AD217" i="29"/>
  <c r="B216" i="29"/>
  <c r="AI216" i="29"/>
  <c r="O214" i="29"/>
  <c r="AE215" i="29"/>
  <c r="AA215" i="29" s="1"/>
  <c r="AF215" i="29"/>
  <c r="E215" i="29"/>
  <c r="R215" i="29"/>
  <c r="G215" i="29"/>
  <c r="S215" i="29"/>
  <c r="U215" i="29"/>
  <c r="Q215" i="29"/>
  <c r="T215" i="29"/>
  <c r="I214" i="29"/>
  <c r="K214" i="29" s="1"/>
  <c r="J214" i="29"/>
  <c r="Y214" i="29" s="1"/>
  <c r="AD234" i="4"/>
  <c r="X235" i="4"/>
  <c r="AC235" i="4" s="1"/>
  <c r="Q235" i="4"/>
  <c r="Y235" i="4" s="1"/>
  <c r="U235" i="4"/>
  <c r="AP235" i="4" s="1"/>
  <c r="S235" i="4"/>
  <c r="W235" i="4"/>
  <c r="AB235" i="4" s="1"/>
  <c r="T235" i="4"/>
  <c r="V235" i="4"/>
  <c r="AA235" i="4" s="1"/>
  <c r="R235" i="4"/>
  <c r="Z235" i="4" s="1"/>
  <c r="AY237" i="4"/>
  <c r="B237" i="4"/>
  <c r="AV238" i="4"/>
  <c r="AI236" i="4"/>
  <c r="L236" i="4"/>
  <c r="AK236" i="4"/>
  <c r="P236" i="4"/>
  <c r="AJ236" i="4"/>
  <c r="J236" i="4"/>
  <c r="AH236" i="4"/>
  <c r="AM236" i="4"/>
  <c r="O236" i="4"/>
  <c r="N236" i="4"/>
  <c r="F236" i="4"/>
  <c r="K236" i="4"/>
  <c r="AL236" i="4"/>
  <c r="M236" i="4"/>
  <c r="AW236" i="4"/>
  <c r="AX236" i="4"/>
  <c r="AF235" i="4"/>
  <c r="P213" i="29" l="1"/>
  <c r="V213" i="29"/>
  <c r="W213" i="29" s="1"/>
  <c r="AB215" i="29"/>
  <c r="N214" i="29"/>
  <c r="V214" i="29" s="1"/>
  <c r="W214" i="29" s="1"/>
  <c r="AQ235" i="4"/>
  <c r="AE235" i="4"/>
  <c r="I215" i="29"/>
  <c r="K215" i="29" s="1"/>
  <c r="N215" i="29" s="1"/>
  <c r="J215" i="29"/>
  <c r="Y215" i="29" s="1"/>
  <c r="E216" i="29"/>
  <c r="Q216" i="29"/>
  <c r="G216" i="29"/>
  <c r="R216" i="29"/>
  <c r="U216" i="29"/>
  <c r="T216" i="29"/>
  <c r="S216" i="29"/>
  <c r="O215" i="29"/>
  <c r="AD218" i="29"/>
  <c r="B217" i="29"/>
  <c r="AI217" i="29"/>
  <c r="P214" i="29"/>
  <c r="Z214" i="29"/>
  <c r="AF216" i="29"/>
  <c r="AE216" i="29"/>
  <c r="AA216" i="29" s="1"/>
  <c r="AY238" i="4"/>
  <c r="B238" i="4"/>
  <c r="AV239" i="4"/>
  <c r="AF236" i="4"/>
  <c r="AI237" i="4"/>
  <c r="N237" i="4"/>
  <c r="K237" i="4"/>
  <c r="AH237" i="4"/>
  <c r="F237" i="4"/>
  <c r="P237" i="4"/>
  <c r="AJ237" i="4"/>
  <c r="M237" i="4"/>
  <c r="AM237" i="4"/>
  <c r="O237" i="4"/>
  <c r="L237" i="4"/>
  <c r="J237" i="4"/>
  <c r="AL237" i="4"/>
  <c r="AK237" i="4"/>
  <c r="AX237" i="4"/>
  <c r="AW237" i="4"/>
  <c r="AG234" i="4"/>
  <c r="AN234" i="4"/>
  <c r="AO234" i="4" s="1"/>
  <c r="W236" i="4"/>
  <c r="AB236" i="4" s="1"/>
  <c r="V236" i="4"/>
  <c r="AA236" i="4" s="1"/>
  <c r="X236" i="4"/>
  <c r="AC236" i="4" s="1"/>
  <c r="U236" i="4"/>
  <c r="AP236" i="4" s="1"/>
  <c r="R236" i="4"/>
  <c r="Z236" i="4" s="1"/>
  <c r="Q236" i="4"/>
  <c r="Y236" i="4" s="1"/>
  <c r="AG233" i="4"/>
  <c r="AN233" i="4"/>
  <c r="AO233" i="4" s="1"/>
  <c r="AD235" i="4"/>
  <c r="AQ236" i="4" l="1"/>
  <c r="AB216" i="29"/>
  <c r="AE236" i="4"/>
  <c r="J216" i="29"/>
  <c r="Y216" i="29" s="1"/>
  <c r="I216" i="29"/>
  <c r="AD219" i="29"/>
  <c r="B218" i="29"/>
  <c r="AI218" i="29"/>
  <c r="V215" i="29"/>
  <c r="W215" i="29" s="1"/>
  <c r="P215" i="29"/>
  <c r="O216" i="29"/>
  <c r="AE217" i="29"/>
  <c r="AA217" i="29" s="1"/>
  <c r="AF217" i="29"/>
  <c r="Z215" i="29"/>
  <c r="E217" i="29"/>
  <c r="U217" i="29"/>
  <c r="S217" i="29"/>
  <c r="R217" i="29"/>
  <c r="G217" i="29"/>
  <c r="Q217" i="29"/>
  <c r="T217" i="29"/>
  <c r="B239" i="4"/>
  <c r="AY239" i="4"/>
  <c r="AV240" i="4"/>
  <c r="V237" i="4"/>
  <c r="AA237" i="4" s="1"/>
  <c r="U237" i="4"/>
  <c r="AP237" i="4" s="1"/>
  <c r="X237" i="4"/>
  <c r="AC237" i="4" s="1"/>
  <c r="W237" i="4"/>
  <c r="AB237" i="4" s="1"/>
  <c r="R237" i="4"/>
  <c r="Z237" i="4" s="1"/>
  <c r="Q237" i="4"/>
  <c r="Y237" i="4" s="1"/>
  <c r="AF237" i="4"/>
  <c r="O238" i="4"/>
  <c r="AM238" i="4"/>
  <c r="K238" i="4"/>
  <c r="P238" i="4"/>
  <c r="AI238" i="4"/>
  <c r="F238" i="4"/>
  <c r="AL238" i="4"/>
  <c r="J238" i="4"/>
  <c r="L238" i="4"/>
  <c r="AK238" i="4"/>
  <c r="M238" i="4"/>
  <c r="N238" i="4"/>
  <c r="AH238" i="4"/>
  <c r="AJ238" i="4"/>
  <c r="AW238" i="4"/>
  <c r="AX238" i="4"/>
  <c r="AB217" i="29" l="1"/>
  <c r="K216" i="29"/>
  <c r="N216" i="29" s="1"/>
  <c r="AQ237" i="4"/>
  <c r="AE237" i="4"/>
  <c r="Z216" i="29"/>
  <c r="J217" i="29"/>
  <c r="Y217" i="29" s="1"/>
  <c r="I217" i="29"/>
  <c r="K217" i="29" s="1"/>
  <c r="O217" i="29"/>
  <c r="AF218" i="29"/>
  <c r="AE218" i="29"/>
  <c r="AA218" i="29" s="1"/>
  <c r="E218" i="29"/>
  <c r="T218" i="29"/>
  <c r="R218" i="29"/>
  <c r="Q218" i="29"/>
  <c r="S218" i="29"/>
  <c r="U218" i="29"/>
  <c r="G218" i="29"/>
  <c r="AD220" i="29"/>
  <c r="B219" i="29"/>
  <c r="AI219" i="29"/>
  <c r="AN236" i="4"/>
  <c r="AO236" i="4" s="1"/>
  <c r="AG236" i="4"/>
  <c r="P239" i="4"/>
  <c r="AH239" i="4"/>
  <c r="AM239" i="4"/>
  <c r="O239" i="4"/>
  <c r="F239" i="4"/>
  <c r="M239" i="4"/>
  <c r="L239" i="4"/>
  <c r="AI239" i="4"/>
  <c r="AK239" i="4"/>
  <c r="AJ239" i="4"/>
  <c r="AL239" i="4"/>
  <c r="K239" i="4"/>
  <c r="N239" i="4"/>
  <c r="J239" i="4"/>
  <c r="AD236" i="4"/>
  <c r="AF238" i="4"/>
  <c r="AV241" i="4"/>
  <c r="B240" i="4"/>
  <c r="AY240" i="4"/>
  <c r="X238" i="4"/>
  <c r="AC238" i="4" s="1"/>
  <c r="U238" i="4"/>
  <c r="AP238" i="4" s="1"/>
  <c r="R238" i="4"/>
  <c r="Z238" i="4" s="1"/>
  <c r="Q238" i="4"/>
  <c r="Y238" i="4" s="1"/>
  <c r="W238" i="4"/>
  <c r="AB238" i="4" s="1"/>
  <c r="V238" i="4"/>
  <c r="AA238" i="4" s="1"/>
  <c r="AG235" i="4"/>
  <c r="AN235" i="4"/>
  <c r="AO235" i="4" s="1"/>
  <c r="AD237" i="4"/>
  <c r="AX239" i="4"/>
  <c r="AW239" i="4"/>
  <c r="V216" i="29" l="1"/>
  <c r="W216" i="29" s="1"/>
  <c r="P216" i="29"/>
  <c r="AB218" i="29"/>
  <c r="N217" i="29"/>
  <c r="P217" i="29" s="1"/>
  <c r="AQ238" i="4"/>
  <c r="AE238" i="4"/>
  <c r="O218" i="29"/>
  <c r="AD221" i="29"/>
  <c r="B220" i="29"/>
  <c r="AI220" i="29"/>
  <c r="V217" i="29"/>
  <c r="W217" i="29" s="1"/>
  <c r="J218" i="29"/>
  <c r="Y218" i="29" s="1"/>
  <c r="I218" i="29"/>
  <c r="Z217" i="29"/>
  <c r="AF219" i="29"/>
  <c r="AE219" i="29"/>
  <c r="AA219" i="29" s="1"/>
  <c r="E219" i="29"/>
  <c r="U219" i="29"/>
  <c r="R219" i="29"/>
  <c r="G219" i="29"/>
  <c r="S219" i="29"/>
  <c r="T219" i="29"/>
  <c r="Q219" i="29"/>
  <c r="AV242" i="4"/>
  <c r="AY241" i="4"/>
  <c r="B241" i="4"/>
  <c r="W239" i="4"/>
  <c r="AB239" i="4" s="1"/>
  <c r="R239" i="4"/>
  <c r="Z239" i="4" s="1"/>
  <c r="X239" i="4"/>
  <c r="AC239" i="4" s="1"/>
  <c r="V239" i="4"/>
  <c r="AA239" i="4" s="1"/>
  <c r="Q239" i="4"/>
  <c r="Y239" i="4" s="1"/>
  <c r="U239" i="4"/>
  <c r="AP239" i="4" s="1"/>
  <c r="AW240" i="4"/>
  <c r="AX240" i="4"/>
  <c r="K240" i="4"/>
  <c r="N240" i="4"/>
  <c r="AJ240" i="4"/>
  <c r="AL240" i="4"/>
  <c r="F240" i="4"/>
  <c r="AH240" i="4"/>
  <c r="J240" i="4"/>
  <c r="AM240" i="4"/>
  <c r="O240" i="4"/>
  <c r="M240" i="4"/>
  <c r="AI240" i="4"/>
  <c r="L240" i="4"/>
  <c r="P240" i="4"/>
  <c r="AK240" i="4"/>
  <c r="AF239" i="4"/>
  <c r="AB219" i="29" l="1"/>
  <c r="K218" i="29"/>
  <c r="N218" i="29" s="1"/>
  <c r="Z218" i="29"/>
  <c r="AQ239" i="4"/>
  <c r="AE239" i="4"/>
  <c r="J219" i="29"/>
  <c r="Y219" i="29" s="1"/>
  <c r="I219" i="29"/>
  <c r="AE220" i="29"/>
  <c r="AA220" i="29" s="1"/>
  <c r="AF220" i="29"/>
  <c r="E220" i="29"/>
  <c r="R220" i="29"/>
  <c r="G220" i="29"/>
  <c r="Q220" i="29"/>
  <c r="T220" i="29"/>
  <c r="U220" i="29"/>
  <c r="S220" i="29"/>
  <c r="O219" i="29"/>
  <c r="AD222" i="29"/>
  <c r="B221" i="29"/>
  <c r="AI221" i="29"/>
  <c r="AD239" i="4"/>
  <c r="AN238" i="4"/>
  <c r="AO238" i="4" s="1"/>
  <c r="AG238" i="4"/>
  <c r="AW241" i="4"/>
  <c r="AX241" i="4"/>
  <c r="B242" i="4"/>
  <c r="AY242" i="4"/>
  <c r="AV243" i="4"/>
  <c r="AD238" i="4"/>
  <c r="AF240" i="4"/>
  <c r="AN237" i="4"/>
  <c r="AO237" i="4" s="1"/>
  <c r="AG237" i="4"/>
  <c r="W240" i="4"/>
  <c r="AB240" i="4" s="1"/>
  <c r="U240" i="4"/>
  <c r="AP240" i="4" s="1"/>
  <c r="Q240" i="4"/>
  <c r="Y240" i="4" s="1"/>
  <c r="V240" i="4"/>
  <c r="AA240" i="4" s="1"/>
  <c r="R240" i="4"/>
  <c r="Z240" i="4" s="1"/>
  <c r="X240" i="4"/>
  <c r="AC240" i="4" s="1"/>
  <c r="F241" i="4"/>
  <c r="L241" i="4"/>
  <c r="K241" i="4"/>
  <c r="AK241" i="4"/>
  <c r="M241" i="4"/>
  <c r="J241" i="4"/>
  <c r="AJ241" i="4"/>
  <c r="AM241" i="4"/>
  <c r="N241" i="4"/>
  <c r="AH241" i="4"/>
  <c r="AI241" i="4"/>
  <c r="P241" i="4"/>
  <c r="AL241" i="4"/>
  <c r="O241" i="4"/>
  <c r="P218" i="29" l="1"/>
  <c r="V218" i="29"/>
  <c r="W218" i="29" s="1"/>
  <c r="AB220" i="29"/>
  <c r="K219" i="29"/>
  <c r="N219" i="29" s="1"/>
  <c r="AQ240" i="4"/>
  <c r="AE240" i="4"/>
  <c r="E221" i="29"/>
  <c r="R221" i="29"/>
  <c r="G221" i="29"/>
  <c r="T221" i="29"/>
  <c r="S221" i="29"/>
  <c r="Q221" i="29"/>
  <c r="U221" i="29"/>
  <c r="Z219" i="29"/>
  <c r="AD223" i="29"/>
  <c r="B222" i="29"/>
  <c r="AI222" i="29"/>
  <c r="I220" i="29"/>
  <c r="K220" i="29" s="1"/>
  <c r="J220" i="29"/>
  <c r="Y220" i="29" s="1"/>
  <c r="AE221" i="29"/>
  <c r="AA221" i="29" s="1"/>
  <c r="AF221" i="29"/>
  <c r="O220" i="29"/>
  <c r="AX242" i="4"/>
  <c r="AW242" i="4"/>
  <c r="AK242" i="4"/>
  <c r="M242" i="4"/>
  <c r="AH242" i="4"/>
  <c r="O242" i="4"/>
  <c r="N242" i="4"/>
  <c r="F242" i="4"/>
  <c r="AJ242" i="4"/>
  <c r="L242" i="4"/>
  <c r="AM242" i="4"/>
  <c r="AI242" i="4"/>
  <c r="AL242" i="4"/>
  <c r="J242" i="4"/>
  <c r="P242" i="4"/>
  <c r="K242" i="4"/>
  <c r="U241" i="4"/>
  <c r="AP241" i="4" s="1"/>
  <c r="R241" i="4"/>
  <c r="Z241" i="4" s="1"/>
  <c r="X241" i="4"/>
  <c r="AC241" i="4" s="1"/>
  <c r="V241" i="4"/>
  <c r="AA241" i="4" s="1"/>
  <c r="Q241" i="4"/>
  <c r="Y241" i="4" s="1"/>
  <c r="W241" i="4"/>
  <c r="AB241" i="4" s="1"/>
  <c r="AF241" i="4"/>
  <c r="AN239" i="4"/>
  <c r="AO239" i="4" s="1"/>
  <c r="AG239" i="4"/>
  <c r="AV244" i="4"/>
  <c r="B243" i="4"/>
  <c r="AY243" i="4"/>
  <c r="V219" i="29" l="1"/>
  <c r="W219" i="29" s="1"/>
  <c r="P219" i="29"/>
  <c r="N220" i="29"/>
  <c r="AQ241" i="4"/>
  <c r="AB221" i="29"/>
  <c r="AE241" i="4"/>
  <c r="Z220" i="29"/>
  <c r="AD224" i="29"/>
  <c r="B223" i="29"/>
  <c r="AI223" i="29"/>
  <c r="P220" i="29"/>
  <c r="V220" i="29"/>
  <c r="W220" i="29" s="1"/>
  <c r="I221" i="29"/>
  <c r="J221" i="29"/>
  <c r="Y221" i="29" s="1"/>
  <c r="AE222" i="29"/>
  <c r="AA222" i="29" s="1"/>
  <c r="AF222" i="29"/>
  <c r="E222" i="29"/>
  <c r="S222" i="29"/>
  <c r="U222" i="29"/>
  <c r="R222" i="29"/>
  <c r="Q222" i="29"/>
  <c r="G222" i="29"/>
  <c r="T222" i="29"/>
  <c r="O221" i="29"/>
  <c r="AN240" i="4"/>
  <c r="AO240" i="4" s="1"/>
  <c r="AG240" i="4"/>
  <c r="AX243" i="4"/>
  <c r="AW243" i="4"/>
  <c r="P243" i="4"/>
  <c r="J243" i="4"/>
  <c r="AI243" i="4"/>
  <c r="L243" i="4"/>
  <c r="N243" i="4"/>
  <c r="AK243" i="4"/>
  <c r="AM243" i="4"/>
  <c r="K243" i="4"/>
  <c r="F243" i="4"/>
  <c r="AL243" i="4"/>
  <c r="O243" i="4"/>
  <c r="AH243" i="4"/>
  <c r="AJ243" i="4"/>
  <c r="M243" i="4"/>
  <c r="X242" i="4"/>
  <c r="AC242" i="4" s="1"/>
  <c r="R242" i="4"/>
  <c r="Z242" i="4" s="1"/>
  <c r="V242" i="4"/>
  <c r="AA242" i="4" s="1"/>
  <c r="Q242" i="4"/>
  <c r="Y242" i="4" s="1"/>
  <c r="W242" i="4"/>
  <c r="AB242" i="4" s="1"/>
  <c r="U242" i="4"/>
  <c r="AP242" i="4" s="1"/>
  <c r="AD240" i="4"/>
  <c r="AV245" i="4"/>
  <c r="AY244" i="4"/>
  <c r="B244" i="4"/>
  <c r="AF242" i="4"/>
  <c r="AB222" i="29" l="1"/>
  <c r="K221" i="29"/>
  <c r="N221" i="29" s="1"/>
  <c r="AQ242" i="4"/>
  <c r="AE242" i="4"/>
  <c r="I222" i="29"/>
  <c r="J222" i="29"/>
  <c r="Y222" i="29" s="1"/>
  <c r="Z221" i="29"/>
  <c r="AE223" i="29"/>
  <c r="AA223" i="29" s="1"/>
  <c r="AF223" i="29"/>
  <c r="O222" i="29"/>
  <c r="E223" i="29"/>
  <c r="T223" i="29"/>
  <c r="G223" i="29"/>
  <c r="R223" i="29"/>
  <c r="S223" i="29"/>
  <c r="Q223" i="29"/>
  <c r="U223" i="29"/>
  <c r="AD225" i="29"/>
  <c r="B224" i="29"/>
  <c r="AI224" i="29"/>
  <c r="AG241" i="4"/>
  <c r="AN241" i="4"/>
  <c r="AO241" i="4" s="1"/>
  <c r="AY245" i="4"/>
  <c r="B245" i="4"/>
  <c r="AV246" i="4"/>
  <c r="AX244" i="4"/>
  <c r="AW244" i="4"/>
  <c r="AD241" i="4"/>
  <c r="AH244" i="4"/>
  <c r="L244" i="4"/>
  <c r="AM244" i="4"/>
  <c r="AK244" i="4"/>
  <c r="F244" i="4"/>
  <c r="AJ244" i="4"/>
  <c r="AI244" i="4"/>
  <c r="N244" i="4"/>
  <c r="AL244" i="4"/>
  <c r="J244" i="4"/>
  <c r="P244" i="4"/>
  <c r="O244" i="4"/>
  <c r="M244" i="4"/>
  <c r="K244" i="4"/>
  <c r="AF243" i="4"/>
  <c r="R243" i="4"/>
  <c r="Z243" i="4" s="1"/>
  <c r="W243" i="4"/>
  <c r="AB243" i="4" s="1"/>
  <c r="U243" i="4"/>
  <c r="AP243" i="4" s="1"/>
  <c r="Q243" i="4"/>
  <c r="Y243" i="4" s="1"/>
  <c r="V243" i="4"/>
  <c r="AA243" i="4" s="1"/>
  <c r="X243" i="4"/>
  <c r="AC243" i="4" s="1"/>
  <c r="P221" i="29" l="1"/>
  <c r="V221" i="29"/>
  <c r="W221" i="29" s="1"/>
  <c r="AB223" i="29"/>
  <c r="K222" i="29"/>
  <c r="N222" i="29" s="1"/>
  <c r="AQ243" i="4"/>
  <c r="AE243" i="4"/>
  <c r="O223" i="29"/>
  <c r="E224" i="29"/>
  <c r="Q224" i="29"/>
  <c r="G224" i="29"/>
  <c r="T224" i="29"/>
  <c r="S224" i="29"/>
  <c r="R224" i="29"/>
  <c r="U224" i="29"/>
  <c r="J223" i="29"/>
  <c r="Y223" i="29" s="1"/>
  <c r="Z223" i="29" s="1"/>
  <c r="I223" i="29"/>
  <c r="K223" i="29" s="1"/>
  <c r="Z222" i="29"/>
  <c r="AD226" i="29"/>
  <c r="B225" i="29"/>
  <c r="AI225" i="29"/>
  <c r="AF224" i="29"/>
  <c r="AE224" i="29"/>
  <c r="AA224" i="29" s="1"/>
  <c r="AN242" i="4"/>
  <c r="AO242" i="4" s="1"/>
  <c r="AG242" i="4"/>
  <c r="AD243" i="4"/>
  <c r="U244" i="4"/>
  <c r="AP244" i="4" s="1"/>
  <c r="X244" i="4"/>
  <c r="AC244" i="4" s="1"/>
  <c r="R244" i="4"/>
  <c r="Z244" i="4" s="1"/>
  <c r="Q244" i="4"/>
  <c r="Y244" i="4" s="1"/>
  <c r="W244" i="4"/>
  <c r="AB244" i="4" s="1"/>
  <c r="V244" i="4"/>
  <c r="AA244" i="4" s="1"/>
  <c r="AY246" i="4"/>
  <c r="B246" i="4"/>
  <c r="AV247" i="4"/>
  <c r="AF244" i="4"/>
  <c r="AL245" i="4"/>
  <c r="O245" i="4"/>
  <c r="J245" i="4"/>
  <c r="L245" i="4"/>
  <c r="AI245" i="4"/>
  <c r="K245" i="4"/>
  <c r="F245" i="4"/>
  <c r="AK245" i="4"/>
  <c r="AH245" i="4"/>
  <c r="M245" i="4"/>
  <c r="AM245" i="4"/>
  <c r="P245" i="4"/>
  <c r="AJ245" i="4"/>
  <c r="N245" i="4"/>
  <c r="AX245" i="4"/>
  <c r="AW245" i="4"/>
  <c r="AD242" i="4"/>
  <c r="P222" i="29" l="1"/>
  <c r="V222" i="29"/>
  <c r="W222" i="29" s="1"/>
  <c r="N223" i="29"/>
  <c r="AQ244" i="4"/>
  <c r="AB224" i="29"/>
  <c r="AE244" i="4"/>
  <c r="O224" i="29"/>
  <c r="J224" i="29"/>
  <c r="Y224" i="29" s="1"/>
  <c r="I224" i="29"/>
  <c r="K224" i="29" s="1"/>
  <c r="AD227" i="29"/>
  <c r="B226" i="29"/>
  <c r="AI226" i="29"/>
  <c r="P223" i="29"/>
  <c r="V223" i="29"/>
  <c r="W223" i="29" s="1"/>
  <c r="AF225" i="29"/>
  <c r="AE225" i="29"/>
  <c r="AA225" i="29" s="1"/>
  <c r="E225" i="29"/>
  <c r="T225" i="29"/>
  <c r="G225" i="29"/>
  <c r="R225" i="29"/>
  <c r="U225" i="29"/>
  <c r="S225" i="29"/>
  <c r="Q225" i="29"/>
  <c r="AF245" i="4"/>
  <c r="R245" i="4"/>
  <c r="Z245" i="4" s="1"/>
  <c r="V245" i="4"/>
  <c r="AA245" i="4" s="1"/>
  <c r="X245" i="4"/>
  <c r="AC245" i="4" s="1"/>
  <c r="U245" i="4"/>
  <c r="AP245" i="4" s="1"/>
  <c r="Q245" i="4"/>
  <c r="Y245" i="4" s="1"/>
  <c r="W245" i="4"/>
  <c r="AB245" i="4" s="1"/>
  <c r="AV248" i="4"/>
  <c r="B247" i="4"/>
  <c r="AY247" i="4"/>
  <c r="AD244" i="4"/>
  <c r="N246" i="4"/>
  <c r="F246" i="4"/>
  <c r="AH246" i="4"/>
  <c r="AI246" i="4"/>
  <c r="P246" i="4"/>
  <c r="AL246" i="4"/>
  <c r="M246" i="4"/>
  <c r="K246" i="4"/>
  <c r="AJ246" i="4"/>
  <c r="L246" i="4"/>
  <c r="J246" i="4"/>
  <c r="AK246" i="4"/>
  <c r="O246" i="4"/>
  <c r="AM246" i="4"/>
  <c r="AX246" i="4"/>
  <c r="AW246" i="4"/>
  <c r="AK247" i="4" l="1"/>
  <c r="P247" i="4"/>
  <c r="L247" i="4"/>
  <c r="AJ247" i="4"/>
  <c r="O247" i="4"/>
  <c r="K247" i="4"/>
  <c r="AM247" i="4"/>
  <c r="N247" i="4"/>
  <c r="AL247" i="4"/>
  <c r="M247" i="4"/>
  <c r="AI247" i="4"/>
  <c r="J247" i="4"/>
  <c r="AH247" i="4"/>
  <c r="F247" i="4"/>
  <c r="AB225" i="29"/>
  <c r="N224" i="29"/>
  <c r="P224" i="29" s="1"/>
  <c r="Z224" i="29"/>
  <c r="AQ245" i="4"/>
  <c r="AE245" i="4"/>
  <c r="J225" i="29"/>
  <c r="Y225" i="29" s="1"/>
  <c r="I225" i="29"/>
  <c r="K225" i="29" s="1"/>
  <c r="O225" i="29"/>
  <c r="AF226" i="29"/>
  <c r="AE226" i="29"/>
  <c r="AA226" i="29" s="1"/>
  <c r="E226" i="29"/>
  <c r="Q226" i="29"/>
  <c r="U226" i="29"/>
  <c r="G226" i="29"/>
  <c r="T226" i="29"/>
  <c r="R226" i="29"/>
  <c r="S226" i="29"/>
  <c r="AD228" i="29"/>
  <c r="B227" i="29"/>
  <c r="AI227" i="29"/>
  <c r="AN243" i="4"/>
  <c r="AO243" i="4" s="1"/>
  <c r="AG243" i="4"/>
  <c r="AX247" i="4"/>
  <c r="AW247" i="4"/>
  <c r="W246" i="4"/>
  <c r="AB246" i="4" s="1"/>
  <c r="U246" i="4"/>
  <c r="AP246" i="4" s="1"/>
  <c r="V246" i="4"/>
  <c r="AA246" i="4" s="1"/>
  <c r="Q246" i="4"/>
  <c r="Y246" i="4" s="1"/>
  <c r="X246" i="4"/>
  <c r="AC246" i="4" s="1"/>
  <c r="R246" i="4"/>
  <c r="Z246" i="4" s="1"/>
  <c r="AQ246" i="4" s="1"/>
  <c r="AF246" i="4"/>
  <c r="AD245" i="4"/>
  <c r="AY248" i="4"/>
  <c r="B248" i="4"/>
  <c r="AV249" i="4"/>
  <c r="AM248" i="4" l="1"/>
  <c r="AI248" i="4"/>
  <c r="N248" i="4"/>
  <c r="J248" i="4"/>
  <c r="AL248" i="4"/>
  <c r="AH248" i="4"/>
  <c r="M248" i="4"/>
  <c r="F248" i="4"/>
  <c r="P248" i="4"/>
  <c r="O248" i="4"/>
  <c r="AK248" i="4"/>
  <c r="L248" i="4"/>
  <c r="AJ248" i="4"/>
  <c r="K248" i="4"/>
  <c r="AB226" i="29"/>
  <c r="V224" i="29"/>
  <c r="W224" i="29" s="1"/>
  <c r="N225" i="29"/>
  <c r="P225" i="29" s="1"/>
  <c r="AE246" i="4"/>
  <c r="AF227" i="29"/>
  <c r="AE227" i="29"/>
  <c r="AA227" i="29" s="1"/>
  <c r="Z225" i="29"/>
  <c r="E227" i="29"/>
  <c r="Q227" i="29"/>
  <c r="R227" i="29"/>
  <c r="G227" i="29"/>
  <c r="S227" i="29"/>
  <c r="T227" i="29"/>
  <c r="U227" i="29"/>
  <c r="O226" i="29"/>
  <c r="I226" i="29"/>
  <c r="K226" i="29" s="1"/>
  <c r="J226" i="29"/>
  <c r="Y226" i="29" s="1"/>
  <c r="AD229" i="29"/>
  <c r="B228" i="29"/>
  <c r="AI228" i="29"/>
  <c r="V225" i="29"/>
  <c r="W225" i="29" s="1"/>
  <c r="AD246" i="4"/>
  <c r="AG245" i="4"/>
  <c r="AN245" i="4"/>
  <c r="AO245" i="4" s="1"/>
  <c r="R247" i="4"/>
  <c r="Z247" i="4" s="1"/>
  <c r="W247" i="4"/>
  <c r="AB247" i="4" s="1"/>
  <c r="X247" i="4"/>
  <c r="AC247" i="4" s="1"/>
  <c r="Q247" i="4"/>
  <c r="Y247" i="4" s="1"/>
  <c r="V247" i="4"/>
  <c r="AA247" i="4" s="1"/>
  <c r="U247" i="4"/>
  <c r="AP247" i="4" s="1"/>
  <c r="B249" i="4"/>
  <c r="AY249" i="4"/>
  <c r="AV250" i="4"/>
  <c r="AX248" i="4"/>
  <c r="AW248" i="4"/>
  <c r="AG244" i="4"/>
  <c r="AN244" i="4"/>
  <c r="AO244" i="4" s="1"/>
  <c r="AF247" i="4"/>
  <c r="AK249" i="4" l="1"/>
  <c r="P249" i="4"/>
  <c r="L249" i="4"/>
  <c r="AJ249" i="4"/>
  <c r="O249" i="4"/>
  <c r="K249" i="4"/>
  <c r="AI249" i="4"/>
  <c r="J249" i="4"/>
  <c r="AH249" i="4"/>
  <c r="F249" i="4"/>
  <c r="AM249" i="4"/>
  <c r="N249" i="4"/>
  <c r="AL249" i="4"/>
  <c r="M249" i="4"/>
  <c r="AB227" i="29"/>
  <c r="N226" i="29"/>
  <c r="V226" i="29" s="1"/>
  <c r="W226" i="29" s="1"/>
  <c r="AQ247" i="4"/>
  <c r="AE247" i="4"/>
  <c r="E228" i="29"/>
  <c r="G228" i="29"/>
  <c r="Q228" i="29"/>
  <c r="R228" i="29"/>
  <c r="S228" i="29"/>
  <c r="T228" i="29"/>
  <c r="U228" i="29"/>
  <c r="Z226" i="29"/>
  <c r="AD230" i="29"/>
  <c r="B229" i="29"/>
  <c r="AI229" i="29"/>
  <c r="O227" i="29"/>
  <c r="I227" i="29"/>
  <c r="J227" i="29"/>
  <c r="Y227" i="29" s="1"/>
  <c r="AF228" i="29"/>
  <c r="AE228" i="29"/>
  <c r="AA228" i="29" s="1"/>
  <c r="AF248" i="4"/>
  <c r="AX249" i="4"/>
  <c r="AW249" i="4"/>
  <c r="V248" i="4"/>
  <c r="AA248" i="4" s="1"/>
  <c r="W248" i="4"/>
  <c r="AB248" i="4" s="1"/>
  <c r="X248" i="4"/>
  <c r="AC248" i="4" s="1"/>
  <c r="U248" i="4"/>
  <c r="AP248" i="4" s="1"/>
  <c r="Q248" i="4"/>
  <c r="Y248" i="4" s="1"/>
  <c r="R248" i="4"/>
  <c r="Z248" i="4" s="1"/>
  <c r="AN246" i="4"/>
  <c r="AO246" i="4" s="1"/>
  <c r="AG246" i="4"/>
  <c r="AD247" i="4"/>
  <c r="AY250" i="4"/>
  <c r="B250" i="4"/>
  <c r="AV251" i="4"/>
  <c r="P226" i="29" l="1"/>
  <c r="K227" i="29"/>
  <c r="N227" i="29" s="1"/>
  <c r="AQ248" i="4"/>
  <c r="AB228" i="29"/>
  <c r="AE248" i="4"/>
  <c r="Z227" i="29"/>
  <c r="E229" i="29"/>
  <c r="G229" i="29"/>
  <c r="R229" i="29"/>
  <c r="Q229" i="29"/>
  <c r="S229" i="29"/>
  <c r="U229" i="29"/>
  <c r="T229" i="29"/>
  <c r="AD231" i="29"/>
  <c r="B230" i="29"/>
  <c r="AI230" i="29"/>
  <c r="J228" i="29"/>
  <c r="Y228" i="29" s="1"/>
  <c r="I228" i="29"/>
  <c r="AF229" i="29"/>
  <c r="AE229" i="29"/>
  <c r="AA229" i="29" s="1"/>
  <c r="O228" i="29"/>
  <c r="AN247" i="4"/>
  <c r="AO247" i="4" s="1"/>
  <c r="AG247" i="4"/>
  <c r="B251" i="4"/>
  <c r="AY251" i="4"/>
  <c r="AV252" i="4"/>
  <c r="AK250" i="4"/>
  <c r="N250" i="4"/>
  <c r="J250" i="4"/>
  <c r="K250" i="4"/>
  <c r="AM250" i="4"/>
  <c r="AI250" i="4"/>
  <c r="F250" i="4"/>
  <c r="M250" i="4"/>
  <c r="P250" i="4"/>
  <c r="O250" i="4"/>
  <c r="AJ250" i="4"/>
  <c r="L250" i="4"/>
  <c r="AL250" i="4"/>
  <c r="AH250" i="4"/>
  <c r="AF249" i="4"/>
  <c r="AD248" i="4"/>
  <c r="AX250" i="4"/>
  <c r="AW250" i="4"/>
  <c r="R249" i="4"/>
  <c r="Z249" i="4" s="1"/>
  <c r="V249" i="4"/>
  <c r="AA249" i="4" s="1"/>
  <c r="Q249" i="4"/>
  <c r="Y249" i="4" s="1"/>
  <c r="W249" i="4"/>
  <c r="AB249" i="4" s="1"/>
  <c r="U249" i="4"/>
  <c r="AP249" i="4" s="1"/>
  <c r="X249" i="4"/>
  <c r="AC249" i="4" s="1"/>
  <c r="P227" i="29" l="1"/>
  <c r="V227" i="29"/>
  <c r="W227" i="29" s="1"/>
  <c r="K228" i="29"/>
  <c r="N228" i="29" s="1"/>
  <c r="AQ249" i="4"/>
  <c r="AB229" i="29"/>
  <c r="AE249" i="4"/>
  <c r="AE230" i="29"/>
  <c r="AA230" i="29" s="1"/>
  <c r="AF230" i="29"/>
  <c r="O229" i="29"/>
  <c r="E230" i="29"/>
  <c r="S230" i="29"/>
  <c r="R230" i="29"/>
  <c r="U230" i="29"/>
  <c r="G230" i="29"/>
  <c r="T230" i="29"/>
  <c r="Q230" i="29"/>
  <c r="Z228" i="29"/>
  <c r="B231" i="29"/>
  <c r="AD232" i="29"/>
  <c r="AI231" i="29"/>
  <c r="J229" i="29"/>
  <c r="Y229" i="29" s="1"/>
  <c r="I229" i="29"/>
  <c r="AG248" i="4"/>
  <c r="AN248" i="4"/>
  <c r="AO248" i="4" s="1"/>
  <c r="V250" i="4"/>
  <c r="AA250" i="4" s="1"/>
  <c r="W250" i="4"/>
  <c r="AB250" i="4" s="1"/>
  <c r="U250" i="4"/>
  <c r="AP250" i="4" s="1"/>
  <c r="X250" i="4"/>
  <c r="AC250" i="4" s="1"/>
  <c r="Q250" i="4"/>
  <c r="Y250" i="4" s="1"/>
  <c r="R250" i="4"/>
  <c r="Z250" i="4" s="1"/>
  <c r="AV253" i="4"/>
  <c r="B252" i="4"/>
  <c r="AY252" i="4"/>
  <c r="AX251" i="4"/>
  <c r="AW251" i="4"/>
  <c r="AF250" i="4"/>
  <c r="AL251" i="4"/>
  <c r="P251" i="4"/>
  <c r="J251" i="4"/>
  <c r="AK251" i="4"/>
  <c r="N251" i="4"/>
  <c r="K251" i="4"/>
  <c r="L251" i="4"/>
  <c r="M251" i="4"/>
  <c r="AI251" i="4"/>
  <c r="F251" i="4"/>
  <c r="AJ251" i="4"/>
  <c r="AH251" i="4"/>
  <c r="AM251" i="4"/>
  <c r="O251" i="4"/>
  <c r="V228" i="29" l="1"/>
  <c r="W228" i="29" s="1"/>
  <c r="P228" i="29"/>
  <c r="AB230" i="29"/>
  <c r="K229" i="29"/>
  <c r="N229" i="29" s="1"/>
  <c r="AQ250" i="4"/>
  <c r="AE250" i="4"/>
  <c r="AE231" i="29"/>
  <c r="AA231" i="29" s="1"/>
  <c r="AF231" i="29"/>
  <c r="O230" i="29"/>
  <c r="AD233" i="29"/>
  <c r="B232" i="29"/>
  <c r="AI232" i="29"/>
  <c r="Z229" i="29"/>
  <c r="E231" i="29"/>
  <c r="U231" i="29"/>
  <c r="Q231" i="29"/>
  <c r="S231" i="29"/>
  <c r="G231" i="29"/>
  <c r="R231" i="29"/>
  <c r="T231" i="29"/>
  <c r="J230" i="29"/>
  <c r="Y230" i="29" s="1"/>
  <c r="I230" i="29"/>
  <c r="AN249" i="4"/>
  <c r="AO249" i="4" s="1"/>
  <c r="AF251" i="4"/>
  <c r="L252" i="4"/>
  <c r="AM252" i="4"/>
  <c r="J252" i="4"/>
  <c r="P252" i="4"/>
  <c r="AK252" i="4"/>
  <c r="M252" i="4"/>
  <c r="F252" i="4"/>
  <c r="K252" i="4"/>
  <c r="AI252" i="4"/>
  <c r="N252" i="4"/>
  <c r="AH252" i="4"/>
  <c r="O252" i="4"/>
  <c r="AL252" i="4"/>
  <c r="AJ252" i="4"/>
  <c r="AY253" i="4"/>
  <c r="AV254" i="4"/>
  <c r="B253" i="4"/>
  <c r="AD249" i="4"/>
  <c r="X251" i="4"/>
  <c r="AC251" i="4" s="1"/>
  <c r="W251" i="4"/>
  <c r="AB251" i="4" s="1"/>
  <c r="Q251" i="4"/>
  <c r="Y251" i="4" s="1"/>
  <c r="U251" i="4"/>
  <c r="AP251" i="4" s="1"/>
  <c r="R251" i="4"/>
  <c r="Z251" i="4" s="1"/>
  <c r="V251" i="4"/>
  <c r="AA251" i="4" s="1"/>
  <c r="AD250" i="4"/>
  <c r="AX252" i="4"/>
  <c r="AW252" i="4"/>
  <c r="V229" i="29" l="1"/>
  <c r="W229" i="29" s="1"/>
  <c r="P229" i="29"/>
  <c r="AB231" i="29"/>
  <c r="K230" i="29"/>
  <c r="N230" i="29" s="1"/>
  <c r="AQ251" i="4"/>
  <c r="AE251" i="4"/>
  <c r="O231" i="29"/>
  <c r="B233" i="29"/>
  <c r="AD234" i="29"/>
  <c r="AI233" i="29"/>
  <c r="Z230" i="29"/>
  <c r="J231" i="29"/>
  <c r="Y231" i="29" s="1"/>
  <c r="I231" i="29"/>
  <c r="AE232" i="29"/>
  <c r="AA232" i="29" s="1"/>
  <c r="AF232" i="29"/>
  <c r="E232" i="29"/>
  <c r="R232" i="29"/>
  <c r="Q232" i="29"/>
  <c r="S232" i="29"/>
  <c r="T232" i="29"/>
  <c r="U232" i="29"/>
  <c r="G232" i="29"/>
  <c r="AG249" i="4"/>
  <c r="AG250" i="4"/>
  <c r="M253" i="4"/>
  <c r="AH253" i="4"/>
  <c r="AK253" i="4"/>
  <c r="L253" i="4"/>
  <c r="AI253" i="4"/>
  <c r="AJ253" i="4"/>
  <c r="AL253" i="4"/>
  <c r="K253" i="4"/>
  <c r="AM253" i="4"/>
  <c r="F253" i="4"/>
  <c r="J253" i="4"/>
  <c r="O253" i="4"/>
  <c r="N253" i="4"/>
  <c r="P253" i="4"/>
  <c r="B254" i="4"/>
  <c r="AY254" i="4"/>
  <c r="AV255" i="4"/>
  <c r="W252" i="4"/>
  <c r="AB252" i="4" s="1"/>
  <c r="Q252" i="4"/>
  <c r="Y252" i="4" s="1"/>
  <c r="X252" i="4"/>
  <c r="AC252" i="4" s="1"/>
  <c r="U252" i="4"/>
  <c r="AP252" i="4" s="1"/>
  <c r="V252" i="4"/>
  <c r="AA252" i="4" s="1"/>
  <c r="R252" i="4"/>
  <c r="Z252" i="4" s="1"/>
  <c r="AD251" i="4"/>
  <c r="AW253" i="4"/>
  <c r="AX253" i="4"/>
  <c r="AF252" i="4"/>
  <c r="P230" i="29" l="1"/>
  <c r="V230" i="29"/>
  <c r="W230" i="29" s="1"/>
  <c r="AB232" i="29"/>
  <c r="K231" i="29"/>
  <c r="N231" i="29" s="1"/>
  <c r="AQ252" i="4"/>
  <c r="AE252" i="4"/>
  <c r="O232" i="29"/>
  <c r="AE233" i="29"/>
  <c r="AA233" i="29" s="1"/>
  <c r="AF233" i="29"/>
  <c r="B234" i="29"/>
  <c r="AD235" i="29"/>
  <c r="AI234" i="29"/>
  <c r="I232" i="29"/>
  <c r="J232" i="29"/>
  <c r="Y232" i="29" s="1"/>
  <c r="E233" i="29"/>
  <c r="Q233" i="29"/>
  <c r="G233" i="29"/>
  <c r="T233" i="29"/>
  <c r="S233" i="29"/>
  <c r="U233" i="29"/>
  <c r="R233" i="29"/>
  <c r="Z231" i="29"/>
  <c r="AN250" i="4"/>
  <c r="AO250" i="4" s="1"/>
  <c r="AF253" i="4"/>
  <c r="AW254" i="4"/>
  <c r="AX254" i="4"/>
  <c r="AD252" i="4"/>
  <c r="M254" i="4"/>
  <c r="K254" i="4"/>
  <c r="AL254" i="4"/>
  <c r="AM254" i="4"/>
  <c r="AK254" i="4"/>
  <c r="P254" i="4"/>
  <c r="AI254" i="4"/>
  <c r="O254" i="4"/>
  <c r="J254" i="4"/>
  <c r="AH254" i="4"/>
  <c r="F254" i="4"/>
  <c r="N254" i="4"/>
  <c r="L254" i="4"/>
  <c r="AJ254" i="4"/>
  <c r="R253" i="4"/>
  <c r="Z253" i="4" s="1"/>
  <c r="U253" i="4"/>
  <c r="AP253" i="4" s="1"/>
  <c r="X253" i="4"/>
  <c r="AC253" i="4" s="1"/>
  <c r="Q253" i="4"/>
  <c r="Y253" i="4" s="1"/>
  <c r="W253" i="4"/>
  <c r="AB253" i="4" s="1"/>
  <c r="V253" i="4"/>
  <c r="AA253" i="4" s="1"/>
  <c r="AY255" i="4"/>
  <c r="B255" i="4"/>
  <c r="AV256" i="4"/>
  <c r="P231" i="29" l="1"/>
  <c r="V231" i="29"/>
  <c r="W231" i="29" s="1"/>
  <c r="AB233" i="29"/>
  <c r="K232" i="29"/>
  <c r="N232" i="29" s="1"/>
  <c r="AQ253" i="4"/>
  <c r="AE253" i="4"/>
  <c r="Z232" i="29"/>
  <c r="AE234" i="29"/>
  <c r="AA234" i="29" s="1"/>
  <c r="AF234" i="29"/>
  <c r="I233" i="29"/>
  <c r="J233" i="29"/>
  <c r="Y233" i="29" s="1"/>
  <c r="AD236" i="29"/>
  <c r="B235" i="29"/>
  <c r="AI235" i="29"/>
  <c r="E234" i="29"/>
  <c r="U234" i="29"/>
  <c r="T234" i="29"/>
  <c r="S234" i="29"/>
  <c r="Q234" i="29"/>
  <c r="R234" i="29"/>
  <c r="G234" i="29"/>
  <c r="O233" i="29"/>
  <c r="AV257" i="4"/>
  <c r="B256" i="4"/>
  <c r="AY256" i="4"/>
  <c r="AN252" i="4"/>
  <c r="AO252" i="4" s="1"/>
  <c r="AG252" i="4"/>
  <c r="O255" i="4"/>
  <c r="M255" i="4"/>
  <c r="J255" i="4"/>
  <c r="AJ255" i="4"/>
  <c r="AL255" i="4"/>
  <c r="AH255" i="4"/>
  <c r="AK255" i="4"/>
  <c r="P255" i="4"/>
  <c r="N255" i="4"/>
  <c r="AM255" i="4"/>
  <c r="F255" i="4"/>
  <c r="L255" i="4"/>
  <c r="K255" i="4"/>
  <c r="AI255" i="4"/>
  <c r="W254" i="4"/>
  <c r="AB254" i="4" s="1"/>
  <c r="R254" i="4"/>
  <c r="Z254" i="4" s="1"/>
  <c r="Q254" i="4"/>
  <c r="Y254" i="4" s="1"/>
  <c r="U254" i="4"/>
  <c r="AP254" i="4" s="1"/>
  <c r="X254" i="4"/>
  <c r="AC254" i="4" s="1"/>
  <c r="V254" i="4"/>
  <c r="AA254" i="4" s="1"/>
  <c r="AW255" i="4"/>
  <c r="AX255" i="4"/>
  <c r="AG251" i="4"/>
  <c r="AN251" i="4"/>
  <c r="AO251" i="4" s="1"/>
  <c r="AF254" i="4"/>
  <c r="V232" i="29" l="1"/>
  <c r="W232" i="29" s="1"/>
  <c r="P232" i="29"/>
  <c r="AB234" i="29"/>
  <c r="K233" i="29"/>
  <c r="N233" i="29" s="1"/>
  <c r="V233" i="29" s="1"/>
  <c r="W233" i="29" s="1"/>
  <c r="AQ254" i="4"/>
  <c r="AE254" i="4"/>
  <c r="AF235" i="29"/>
  <c r="AE235" i="29"/>
  <c r="AA235" i="29" s="1"/>
  <c r="Z233" i="29"/>
  <c r="O234" i="29"/>
  <c r="E235" i="29"/>
  <c r="U235" i="29"/>
  <c r="R235" i="29"/>
  <c r="Q235" i="29"/>
  <c r="G235" i="29"/>
  <c r="S235" i="29"/>
  <c r="T235" i="29"/>
  <c r="AD237" i="29"/>
  <c r="B236" i="29"/>
  <c r="AI236" i="29"/>
  <c r="I234" i="29"/>
  <c r="K234" i="29" s="1"/>
  <c r="J234" i="29"/>
  <c r="Y234" i="29" s="1"/>
  <c r="AN253" i="4"/>
  <c r="AO253" i="4" s="1"/>
  <c r="AG253" i="4"/>
  <c r="Q255" i="4"/>
  <c r="Y255" i="4" s="1"/>
  <c r="U255" i="4"/>
  <c r="AP255" i="4" s="1"/>
  <c r="W255" i="4"/>
  <c r="AB255" i="4" s="1"/>
  <c r="X255" i="4"/>
  <c r="AC255" i="4" s="1"/>
  <c r="V255" i="4"/>
  <c r="AA255" i="4" s="1"/>
  <c r="R255" i="4"/>
  <c r="Z255" i="4" s="1"/>
  <c r="AQ255" i="4" s="1"/>
  <c r="AD253" i="4"/>
  <c r="AF255" i="4"/>
  <c r="AX256" i="4"/>
  <c r="AW256" i="4"/>
  <c r="P256" i="4"/>
  <c r="AI256" i="4"/>
  <c r="F256" i="4"/>
  <c r="L256" i="4"/>
  <c r="AM256" i="4"/>
  <c r="J256" i="4"/>
  <c r="AL256" i="4"/>
  <c r="AK256" i="4"/>
  <c r="N256" i="4"/>
  <c r="M256" i="4"/>
  <c r="AJ256" i="4"/>
  <c r="O256" i="4"/>
  <c r="K256" i="4"/>
  <c r="AH256" i="4"/>
  <c r="AD254" i="4"/>
  <c r="AV258" i="4"/>
  <c r="B257" i="4"/>
  <c r="AY257" i="4"/>
  <c r="AB235" i="29" l="1"/>
  <c r="P233" i="29"/>
  <c r="N234" i="29"/>
  <c r="V234" i="29" s="1"/>
  <c r="W234" i="29" s="1"/>
  <c r="AE255" i="4"/>
  <c r="B237" i="29"/>
  <c r="AD238" i="29"/>
  <c r="AI237" i="29"/>
  <c r="O235" i="29"/>
  <c r="P234" i="29"/>
  <c r="AF236" i="29"/>
  <c r="AE236" i="29"/>
  <c r="AA236" i="29" s="1"/>
  <c r="Z234" i="29"/>
  <c r="I235" i="29"/>
  <c r="J235" i="29"/>
  <c r="Y235" i="29" s="1"/>
  <c r="E236" i="29"/>
  <c r="G236" i="29"/>
  <c r="T236" i="29"/>
  <c r="Q236" i="29"/>
  <c r="U236" i="29"/>
  <c r="R236" i="29"/>
  <c r="S236" i="29"/>
  <c r="AF256" i="4"/>
  <c r="AY258" i="4"/>
  <c r="AV259" i="4"/>
  <c r="B258" i="4"/>
  <c r="AX257" i="4"/>
  <c r="AW257" i="4"/>
  <c r="U256" i="4"/>
  <c r="W256" i="4"/>
  <c r="AB256" i="4" s="1"/>
  <c r="V256" i="4"/>
  <c r="AA256" i="4" s="1"/>
  <c r="R256" i="4"/>
  <c r="Z256" i="4" s="1"/>
  <c r="Q256" i="4"/>
  <c r="Y256" i="4" s="1"/>
  <c r="X256" i="4"/>
  <c r="AC256" i="4" s="1"/>
  <c r="M257" i="4"/>
  <c r="AL257" i="4"/>
  <c r="J257" i="4"/>
  <c r="AJ257" i="4"/>
  <c r="AI257" i="4"/>
  <c r="N257" i="4"/>
  <c r="AH257" i="4"/>
  <c r="L257" i="4"/>
  <c r="K257" i="4"/>
  <c r="F257" i="4"/>
  <c r="P257" i="4"/>
  <c r="O257" i="4"/>
  <c r="AM257" i="4"/>
  <c r="AK257" i="4"/>
  <c r="AP256" i="4"/>
  <c r="AD255" i="4"/>
  <c r="AB236" i="29" l="1"/>
  <c r="K235" i="29"/>
  <c r="N235" i="29" s="1"/>
  <c r="AQ256" i="4"/>
  <c r="AE256" i="4"/>
  <c r="O236" i="29"/>
  <c r="J236" i="29"/>
  <c r="Y236" i="29" s="1"/>
  <c r="I236" i="29"/>
  <c r="AE237" i="29"/>
  <c r="AA237" i="29" s="1"/>
  <c r="AF237" i="29"/>
  <c r="B238" i="29"/>
  <c r="AD239" i="29"/>
  <c r="AI238" i="29"/>
  <c r="E237" i="29"/>
  <c r="Q237" i="29"/>
  <c r="U237" i="29"/>
  <c r="G237" i="29"/>
  <c r="S237" i="29"/>
  <c r="T237" i="29"/>
  <c r="R237" i="29"/>
  <c r="Z235" i="29"/>
  <c r="AN254" i="4"/>
  <c r="AO254" i="4" s="1"/>
  <c r="AG254" i="4"/>
  <c r="AL258" i="4"/>
  <c r="L258" i="4"/>
  <c r="N258" i="4"/>
  <c r="J258" i="4"/>
  <c r="F258" i="4"/>
  <c r="AJ258" i="4"/>
  <c r="AI258" i="4"/>
  <c r="P258" i="4"/>
  <c r="O258" i="4"/>
  <c r="AM258" i="4"/>
  <c r="K258" i="4"/>
  <c r="M258" i="4"/>
  <c r="AK258" i="4"/>
  <c r="AH258" i="4"/>
  <c r="AY259" i="4"/>
  <c r="B259" i="4"/>
  <c r="AV260" i="4"/>
  <c r="AF257" i="4"/>
  <c r="W257" i="4"/>
  <c r="AB257" i="4" s="1"/>
  <c r="V257" i="4"/>
  <c r="AA257" i="4" s="1"/>
  <c r="U257" i="4"/>
  <c r="AP257" i="4" s="1"/>
  <c r="Q257" i="4"/>
  <c r="Y257" i="4" s="1"/>
  <c r="X257" i="4"/>
  <c r="AC257" i="4" s="1"/>
  <c r="R257" i="4"/>
  <c r="Z257" i="4" s="1"/>
  <c r="AX258" i="4"/>
  <c r="AW258" i="4"/>
  <c r="V235" i="29" l="1"/>
  <c r="W235" i="29" s="1"/>
  <c r="P235" i="29"/>
  <c r="K236" i="29"/>
  <c r="N236" i="29" s="1"/>
  <c r="AB237" i="29"/>
  <c r="AQ257" i="4"/>
  <c r="AE257" i="4"/>
  <c r="O237" i="29"/>
  <c r="E238" i="29"/>
  <c r="U238" i="29"/>
  <c r="Q238" i="29"/>
  <c r="T238" i="29"/>
  <c r="G238" i="29"/>
  <c r="R238" i="29"/>
  <c r="S238" i="29"/>
  <c r="Z236" i="29"/>
  <c r="AE238" i="29"/>
  <c r="AA238" i="29" s="1"/>
  <c r="AF238" i="29"/>
  <c r="AD240" i="29"/>
  <c r="B239" i="29"/>
  <c r="AI239" i="29"/>
  <c r="I237" i="29"/>
  <c r="J237" i="29"/>
  <c r="Y237" i="29" s="1"/>
  <c r="AN256" i="4"/>
  <c r="AO256" i="4" s="1"/>
  <c r="AG256" i="4"/>
  <c r="AF258" i="4"/>
  <c r="AX259" i="4"/>
  <c r="AW259" i="4"/>
  <c r="AN255" i="4"/>
  <c r="AO255" i="4" s="1"/>
  <c r="AG255" i="4"/>
  <c r="AD257" i="4"/>
  <c r="AD256" i="4"/>
  <c r="W258" i="4"/>
  <c r="AB258" i="4" s="1"/>
  <c r="R258" i="4"/>
  <c r="Z258" i="4" s="1"/>
  <c r="X258" i="4"/>
  <c r="AC258" i="4" s="1"/>
  <c r="U258" i="4"/>
  <c r="AP258" i="4" s="1"/>
  <c r="Q258" i="4"/>
  <c r="Y258" i="4" s="1"/>
  <c r="V258" i="4"/>
  <c r="AA258" i="4" s="1"/>
  <c r="AV261" i="4"/>
  <c r="AY260" i="4"/>
  <c r="B260" i="4"/>
  <c r="AJ259" i="4"/>
  <c r="AI259" i="4"/>
  <c r="L259" i="4"/>
  <c r="M259" i="4"/>
  <c r="AM259" i="4"/>
  <c r="K259" i="4"/>
  <c r="O259" i="4"/>
  <c r="J259" i="4"/>
  <c r="P259" i="4"/>
  <c r="AL259" i="4"/>
  <c r="AH259" i="4"/>
  <c r="N259" i="4"/>
  <c r="F259" i="4"/>
  <c r="AK259" i="4"/>
  <c r="V236" i="29" l="1"/>
  <c r="W236" i="29" s="1"/>
  <c r="P236" i="29"/>
  <c r="K237" i="29"/>
  <c r="N237" i="29" s="1"/>
  <c r="AQ258" i="4"/>
  <c r="AB238" i="29"/>
  <c r="AE258" i="4"/>
  <c r="AD241" i="29"/>
  <c r="B240" i="29"/>
  <c r="AI240" i="29"/>
  <c r="I238" i="29"/>
  <c r="K238" i="29" s="1"/>
  <c r="J238" i="29"/>
  <c r="Y238" i="29" s="1"/>
  <c r="Z237" i="29"/>
  <c r="AF239" i="29"/>
  <c r="AE239" i="29"/>
  <c r="AA239" i="29" s="1"/>
  <c r="E239" i="29"/>
  <c r="Q239" i="29"/>
  <c r="G239" i="29"/>
  <c r="R239" i="29"/>
  <c r="U239" i="29"/>
  <c r="S239" i="29"/>
  <c r="T239" i="29"/>
  <c r="O238" i="29"/>
  <c r="AF259" i="4"/>
  <c r="AM260" i="4"/>
  <c r="N260" i="4"/>
  <c r="AJ260" i="4"/>
  <c r="F260" i="4"/>
  <c r="AL260" i="4"/>
  <c r="AI260" i="4"/>
  <c r="L260" i="4"/>
  <c r="J260" i="4"/>
  <c r="O260" i="4"/>
  <c r="P260" i="4"/>
  <c r="M260" i="4"/>
  <c r="K260" i="4"/>
  <c r="AH260" i="4"/>
  <c r="AK260" i="4"/>
  <c r="L519" i="7"/>
  <c r="AW260" i="4"/>
  <c r="AX260" i="4"/>
  <c r="V259" i="4"/>
  <c r="AA259" i="4" s="1"/>
  <c r="R259" i="4"/>
  <c r="Z259" i="4" s="1"/>
  <c r="U259" i="4"/>
  <c r="AP259" i="4" s="1"/>
  <c r="W259" i="4"/>
  <c r="AB259" i="4" s="1"/>
  <c r="Q259" i="4"/>
  <c r="Y259" i="4" s="1"/>
  <c r="X259" i="4"/>
  <c r="AC259" i="4" s="1"/>
  <c r="AY261" i="4"/>
  <c r="AV262" i="4"/>
  <c r="B261" i="4"/>
  <c r="V237" i="29" l="1"/>
  <c r="W237" i="29" s="1"/>
  <c r="P237" i="29"/>
  <c r="AB239" i="29"/>
  <c r="N238" i="29"/>
  <c r="V238" i="29" s="1"/>
  <c r="W238" i="29" s="1"/>
  <c r="AQ259" i="4"/>
  <c r="AE259" i="4"/>
  <c r="L520" i="7" s="1"/>
  <c r="O239" i="29"/>
  <c r="E240" i="29"/>
  <c r="R240" i="29"/>
  <c r="S240" i="29"/>
  <c r="Q240" i="29"/>
  <c r="U240" i="29"/>
  <c r="G240" i="29"/>
  <c r="T240" i="29"/>
  <c r="B241" i="29"/>
  <c r="AD242" i="29"/>
  <c r="AI241" i="29"/>
  <c r="P238" i="29"/>
  <c r="Z238" i="29"/>
  <c r="J239" i="29"/>
  <c r="Y239" i="29" s="1"/>
  <c r="I239" i="29"/>
  <c r="K239" i="29" s="1"/>
  <c r="AF240" i="29"/>
  <c r="AE240" i="29"/>
  <c r="AA240" i="29" s="1"/>
  <c r="AG258" i="4"/>
  <c r="B262" i="4"/>
  <c r="AV263" i="4"/>
  <c r="AV266" i="4"/>
  <c r="AY262" i="4"/>
  <c r="AD258" i="4"/>
  <c r="AW261" i="4"/>
  <c r="AX261" i="4"/>
  <c r="V260" i="4"/>
  <c r="AA260" i="4" s="1"/>
  <c r="X260" i="4"/>
  <c r="AC260" i="4" s="1"/>
  <c r="U260" i="4"/>
  <c r="Q260" i="4"/>
  <c r="Y260" i="4" s="1"/>
  <c r="R260" i="4"/>
  <c r="Z260" i="4" s="1"/>
  <c r="W260" i="4"/>
  <c r="AB260" i="4" s="1"/>
  <c r="AG257" i="4"/>
  <c r="AN257" i="4"/>
  <c r="AO257" i="4" s="1"/>
  <c r="AL261" i="4"/>
  <c r="AK261" i="4"/>
  <c r="AM261" i="4"/>
  <c r="J261" i="4"/>
  <c r="O261" i="4"/>
  <c r="AJ261" i="4"/>
  <c r="P261" i="4"/>
  <c r="M261" i="4"/>
  <c r="F261" i="4"/>
  <c r="K261" i="4"/>
  <c r="N261" i="4"/>
  <c r="AI261" i="4"/>
  <c r="L261" i="4"/>
  <c r="AH261" i="4"/>
  <c r="AP260" i="4"/>
  <c r="AF260" i="4"/>
  <c r="N239" i="29" l="1"/>
  <c r="AQ260" i="4"/>
  <c r="AB240" i="29"/>
  <c r="AE260" i="4"/>
  <c r="AE241" i="29"/>
  <c r="AA241" i="29" s="1"/>
  <c r="AF241" i="29"/>
  <c r="J240" i="29"/>
  <c r="I240" i="29"/>
  <c r="K240" i="29" s="1"/>
  <c r="N240" i="29" s="1"/>
  <c r="B242" i="29"/>
  <c r="AD243" i="29"/>
  <c r="AI242" i="29"/>
  <c r="E241" i="29"/>
  <c r="G241" i="29"/>
  <c r="T241" i="29"/>
  <c r="S241" i="29"/>
  <c r="U241" i="29"/>
  <c r="Q241" i="29"/>
  <c r="R241" i="29"/>
  <c r="P239" i="29"/>
  <c r="V239" i="29"/>
  <c r="W239" i="29" s="1"/>
  <c r="O240" i="29"/>
  <c r="Y240" i="29"/>
  <c r="Z239" i="29"/>
  <c r="AN258" i="4"/>
  <c r="AO258" i="4" s="1"/>
  <c r="AN259" i="4"/>
  <c r="AO259" i="4" s="1"/>
  <c r="AG259" i="4"/>
  <c r="AF261" i="4"/>
  <c r="AY266" i="4"/>
  <c r="B266" i="4"/>
  <c r="AV267" i="4"/>
  <c r="AY263" i="4"/>
  <c r="AV264" i="4"/>
  <c r="B263" i="4"/>
  <c r="AD259" i="4"/>
  <c r="AD260" i="4"/>
  <c r="AL262" i="4"/>
  <c r="O262" i="4"/>
  <c r="AI262" i="4"/>
  <c r="N262" i="4"/>
  <c r="K262" i="4"/>
  <c r="L262" i="4"/>
  <c r="M262" i="4"/>
  <c r="AK262" i="4"/>
  <c r="AH262" i="4"/>
  <c r="AM262" i="4"/>
  <c r="F262" i="4"/>
  <c r="AJ262" i="4"/>
  <c r="J262" i="4"/>
  <c r="P262" i="4"/>
  <c r="Q261" i="4"/>
  <c r="Y261" i="4" s="1"/>
  <c r="W261" i="4"/>
  <c r="AB261" i="4" s="1"/>
  <c r="R261" i="4"/>
  <c r="Z261" i="4" s="1"/>
  <c r="U261" i="4"/>
  <c r="AP261" i="4" s="1"/>
  <c r="V261" i="4"/>
  <c r="AA261" i="4" s="1"/>
  <c r="X261" i="4"/>
  <c r="AC261" i="4" s="1"/>
  <c r="AX262" i="4"/>
  <c r="AW262" i="4"/>
  <c r="AM263" i="4" l="1"/>
  <c r="AI263" i="4"/>
  <c r="N263" i="4"/>
  <c r="J263" i="4"/>
  <c r="AL263" i="4"/>
  <c r="AH263" i="4"/>
  <c r="M263" i="4"/>
  <c r="F263" i="4"/>
  <c r="AK263" i="4"/>
  <c r="L263" i="4"/>
  <c r="AJ263" i="4"/>
  <c r="K263" i="4"/>
  <c r="P263" i="4"/>
  <c r="O263" i="4"/>
  <c r="AB241" i="29"/>
  <c r="AQ261" i="4"/>
  <c r="AE261" i="4"/>
  <c r="E242" i="29"/>
  <c r="R242" i="29"/>
  <c r="S242" i="29"/>
  <c r="T242" i="29"/>
  <c r="G242" i="29"/>
  <c r="Q242" i="29"/>
  <c r="U242" i="29"/>
  <c r="V240" i="29"/>
  <c r="W240" i="29" s="1"/>
  <c r="P240" i="29"/>
  <c r="Z240" i="29"/>
  <c r="J241" i="29"/>
  <c r="Y241" i="29" s="1"/>
  <c r="I241" i="29"/>
  <c r="K241" i="29" s="1"/>
  <c r="O241" i="29"/>
  <c r="AF242" i="29"/>
  <c r="AE242" i="29"/>
  <c r="AA242" i="29" s="1"/>
  <c r="AD244" i="29"/>
  <c r="B243" i="29"/>
  <c r="AI243" i="29"/>
  <c r="AG260" i="4"/>
  <c r="AX263" i="4"/>
  <c r="AW263" i="4"/>
  <c r="R262" i="4"/>
  <c r="Z262" i="4" s="1"/>
  <c r="V262" i="4"/>
  <c r="AA262" i="4" s="1"/>
  <c r="U262" i="4"/>
  <c r="AP262" i="4" s="1"/>
  <c r="X262" i="4"/>
  <c r="AC262" i="4" s="1"/>
  <c r="Q262" i="4"/>
  <c r="Y262" i="4" s="1"/>
  <c r="W262" i="4"/>
  <c r="AB262" i="4" s="1"/>
  <c r="AF262" i="4"/>
  <c r="AD261" i="4"/>
  <c r="AY267" i="4"/>
  <c r="B267" i="4"/>
  <c r="AM266" i="4"/>
  <c r="L266" i="4"/>
  <c r="M266" i="4"/>
  <c r="AL266" i="4"/>
  <c r="K266" i="4"/>
  <c r="N266" i="4"/>
  <c r="O266" i="4"/>
  <c r="AJ266" i="4"/>
  <c r="F266" i="4"/>
  <c r="P266" i="4"/>
  <c r="AK266" i="4"/>
  <c r="AI266" i="4"/>
  <c r="J266" i="4"/>
  <c r="AH266" i="4"/>
  <c r="AY264" i="4"/>
  <c r="AV268" i="4"/>
  <c r="AV265" i="4"/>
  <c r="B264" i="4"/>
  <c r="AW266" i="4"/>
  <c r="AX266" i="4"/>
  <c r="AK264" i="4" l="1"/>
  <c r="P264" i="4"/>
  <c r="L264" i="4"/>
  <c r="AJ264" i="4"/>
  <c r="O264" i="4"/>
  <c r="K264" i="4"/>
  <c r="AM264" i="4"/>
  <c r="N264" i="4"/>
  <c r="AL264" i="4"/>
  <c r="M264" i="4"/>
  <c r="AI264" i="4"/>
  <c r="J264" i="4"/>
  <c r="AH264" i="4"/>
  <c r="F264" i="4"/>
  <c r="N241" i="29"/>
  <c r="P241" i="29" s="1"/>
  <c r="AQ262" i="4"/>
  <c r="AB242" i="29"/>
  <c r="AE262" i="4"/>
  <c r="AN260" i="4"/>
  <c r="AO260" i="4" s="1"/>
  <c r="O242" i="29"/>
  <c r="V241" i="29"/>
  <c r="W241" i="29" s="1"/>
  <c r="I242" i="29"/>
  <c r="J242" i="29"/>
  <c r="Y242" i="29" s="1"/>
  <c r="Z242" i="29" s="1"/>
  <c r="AE243" i="29"/>
  <c r="AA243" i="29" s="1"/>
  <c r="AF243" i="29"/>
  <c r="E243" i="29"/>
  <c r="R243" i="29"/>
  <c r="S243" i="29"/>
  <c r="T243" i="29"/>
  <c r="U243" i="29"/>
  <c r="Q243" i="29"/>
  <c r="G243" i="29"/>
  <c r="Z241" i="29"/>
  <c r="AD245" i="29"/>
  <c r="B244" i="29"/>
  <c r="AI244" i="29"/>
  <c r="AF266" i="4"/>
  <c r="AW267" i="4"/>
  <c r="AX267" i="4"/>
  <c r="AV269" i="4"/>
  <c r="AY265" i="4"/>
  <c r="B265" i="4"/>
  <c r="W266" i="4"/>
  <c r="AB266" i="4" s="1"/>
  <c r="R266" i="4"/>
  <c r="Z266" i="4" s="1"/>
  <c r="X266" i="4"/>
  <c r="AC266" i="4" s="1"/>
  <c r="V266" i="4"/>
  <c r="AA266" i="4" s="1"/>
  <c r="Q266" i="4"/>
  <c r="Y266" i="4" s="1"/>
  <c r="U266" i="4"/>
  <c r="AP266" i="4" s="1"/>
  <c r="B268" i="4"/>
  <c r="AY268" i="4"/>
  <c r="AF263" i="4"/>
  <c r="R263" i="4"/>
  <c r="Z263" i="4" s="1"/>
  <c r="W263" i="4"/>
  <c r="AB263" i="4" s="1"/>
  <c r="V263" i="4"/>
  <c r="AA263" i="4" s="1"/>
  <c r="X263" i="4"/>
  <c r="AC263" i="4" s="1"/>
  <c r="Q263" i="4"/>
  <c r="Y263" i="4" s="1"/>
  <c r="U263" i="4"/>
  <c r="AP263" i="4" s="1"/>
  <c r="AX264" i="4"/>
  <c r="AW264" i="4"/>
  <c r="AM267" i="4"/>
  <c r="F267" i="4"/>
  <c r="AL267" i="4"/>
  <c r="AI267" i="4"/>
  <c r="N267" i="4"/>
  <c r="M267" i="4"/>
  <c r="K267" i="4"/>
  <c r="AJ267" i="4"/>
  <c r="J267" i="4"/>
  <c r="AH267" i="4"/>
  <c r="AK267" i="4"/>
  <c r="O267" i="4"/>
  <c r="P267" i="4"/>
  <c r="L267" i="4"/>
  <c r="AB243" i="29" l="1"/>
  <c r="K242" i="29"/>
  <c r="N242" i="29" s="1"/>
  <c r="AQ263" i="4"/>
  <c r="AQ266" i="4"/>
  <c r="AE263" i="4"/>
  <c r="AE266" i="4"/>
  <c r="AE244" i="29"/>
  <c r="AA244" i="29" s="1"/>
  <c r="AF244" i="29"/>
  <c r="E244" i="29"/>
  <c r="T244" i="29"/>
  <c r="U244" i="29"/>
  <c r="G244" i="29"/>
  <c r="Q244" i="29"/>
  <c r="R244" i="29"/>
  <c r="S244" i="29"/>
  <c r="B245" i="29"/>
  <c r="AD246" i="29"/>
  <c r="AI245" i="29"/>
  <c r="O243" i="29"/>
  <c r="J243" i="29"/>
  <c r="Y243" i="29" s="1"/>
  <c r="I243" i="29"/>
  <c r="AG262" i="4"/>
  <c r="AN262" i="4"/>
  <c r="AO262" i="4" s="1"/>
  <c r="AN261" i="4"/>
  <c r="AO261" i="4" s="1"/>
  <c r="AG261" i="4"/>
  <c r="M268" i="4"/>
  <c r="AK268" i="4"/>
  <c r="AL268" i="4"/>
  <c r="L268" i="4"/>
  <c r="AI268" i="4"/>
  <c r="J268" i="4"/>
  <c r="AJ268" i="4"/>
  <c r="AH268" i="4"/>
  <c r="N268" i="4"/>
  <c r="AM268" i="4"/>
  <c r="K268" i="4"/>
  <c r="O268" i="4"/>
  <c r="P268" i="4"/>
  <c r="F268" i="4"/>
  <c r="AI265" i="4"/>
  <c r="AL265" i="4"/>
  <c r="K265" i="4"/>
  <c r="O265" i="4"/>
  <c r="N265" i="4"/>
  <c r="P265" i="4"/>
  <c r="M265" i="4"/>
  <c r="AK265" i="4"/>
  <c r="AJ265" i="4"/>
  <c r="L265" i="4"/>
  <c r="AH265" i="4"/>
  <c r="AM265" i="4"/>
  <c r="F265" i="4"/>
  <c r="J265" i="4"/>
  <c r="AF267" i="4"/>
  <c r="AW265" i="4"/>
  <c r="AX265" i="4"/>
  <c r="AD262" i="4"/>
  <c r="AF264" i="4"/>
  <c r="AY269" i="4"/>
  <c r="AV270" i="4"/>
  <c r="B269" i="4"/>
  <c r="W267" i="4"/>
  <c r="AB267" i="4" s="1"/>
  <c r="Q267" i="4"/>
  <c r="Y267" i="4" s="1"/>
  <c r="V267" i="4"/>
  <c r="AA267" i="4" s="1"/>
  <c r="R267" i="4"/>
  <c r="Z267" i="4" s="1"/>
  <c r="X267" i="4"/>
  <c r="AC267" i="4" s="1"/>
  <c r="U267" i="4"/>
  <c r="AP267" i="4" s="1"/>
  <c r="R264" i="4"/>
  <c r="Z264" i="4" s="1"/>
  <c r="V264" i="4"/>
  <c r="AA264" i="4" s="1"/>
  <c r="U264" i="4"/>
  <c r="AP264" i="4" s="1"/>
  <c r="X264" i="4"/>
  <c r="AC264" i="4" s="1"/>
  <c r="Q264" i="4"/>
  <c r="Y264" i="4" s="1"/>
  <c r="W264" i="4"/>
  <c r="AB264" i="4" s="1"/>
  <c r="AD266" i="4"/>
  <c r="AX268" i="4"/>
  <c r="AW268" i="4"/>
  <c r="V242" i="29" l="1"/>
  <c r="W242" i="29" s="1"/>
  <c r="P242" i="29"/>
  <c r="AB244" i="29"/>
  <c r="K243" i="29"/>
  <c r="N243" i="29" s="1"/>
  <c r="AQ264" i="4"/>
  <c r="AQ267" i="4"/>
  <c r="AE267" i="4"/>
  <c r="AE264" i="4"/>
  <c r="AE245" i="29"/>
  <c r="AA245" i="29" s="1"/>
  <c r="AF245" i="29"/>
  <c r="O244" i="29"/>
  <c r="B246" i="29"/>
  <c r="AD247" i="29"/>
  <c r="AI246" i="29"/>
  <c r="J244" i="29"/>
  <c r="Y244" i="29" s="1"/>
  <c r="I244" i="29"/>
  <c r="K244" i="29" s="1"/>
  <c r="E245" i="29"/>
  <c r="R245" i="29"/>
  <c r="G245" i="29"/>
  <c r="U245" i="29"/>
  <c r="T245" i="29"/>
  <c r="Q245" i="29"/>
  <c r="S245" i="29"/>
  <c r="Z243" i="29"/>
  <c r="AN263" i="4"/>
  <c r="AO263" i="4" s="1"/>
  <c r="AG263" i="4"/>
  <c r="AF265" i="4"/>
  <c r="AD263" i="4"/>
  <c r="L269" i="4"/>
  <c r="F269" i="4"/>
  <c r="J269" i="4"/>
  <c r="P269" i="4"/>
  <c r="AJ269" i="4"/>
  <c r="K269" i="4"/>
  <c r="AK269" i="4"/>
  <c r="M269" i="4"/>
  <c r="O269" i="4"/>
  <c r="AI269" i="4"/>
  <c r="N269" i="4"/>
  <c r="AM269" i="4"/>
  <c r="AL269" i="4"/>
  <c r="AH269" i="4"/>
  <c r="R268" i="4"/>
  <c r="Z268" i="4" s="1"/>
  <c r="X268" i="4"/>
  <c r="AC268" i="4" s="1"/>
  <c r="U268" i="4"/>
  <c r="AP268" i="4" s="1"/>
  <c r="Q268" i="4"/>
  <c r="Y268" i="4" s="1"/>
  <c r="V268" i="4"/>
  <c r="AA268" i="4" s="1"/>
  <c r="W268" i="4"/>
  <c r="AB268" i="4" s="1"/>
  <c r="AY270" i="4"/>
  <c r="B270" i="4"/>
  <c r="AV271" i="4"/>
  <c r="W265" i="4"/>
  <c r="AB265" i="4" s="1"/>
  <c r="U265" i="4"/>
  <c r="AP265" i="4" s="1"/>
  <c r="Q265" i="4"/>
  <c r="Y265" i="4" s="1"/>
  <c r="V265" i="4"/>
  <c r="AA265" i="4" s="1"/>
  <c r="X265" i="4"/>
  <c r="AC265" i="4" s="1"/>
  <c r="R265" i="4"/>
  <c r="Z265" i="4" s="1"/>
  <c r="AQ265" i="4" s="1"/>
  <c r="AW269" i="4"/>
  <c r="AX269" i="4"/>
  <c r="AF268" i="4"/>
  <c r="P243" i="29" l="1"/>
  <c r="V243" i="29"/>
  <c r="W243" i="29" s="1"/>
  <c r="N244" i="29"/>
  <c r="AB245" i="29"/>
  <c r="AQ268" i="4"/>
  <c r="AE265" i="4"/>
  <c r="AE268" i="4"/>
  <c r="AF246" i="29"/>
  <c r="AE246" i="29"/>
  <c r="AA246" i="29" s="1"/>
  <c r="J245" i="29"/>
  <c r="Y245" i="29" s="1"/>
  <c r="I245" i="29"/>
  <c r="O245" i="29"/>
  <c r="AD248" i="29"/>
  <c r="B247" i="29"/>
  <c r="AI247" i="29"/>
  <c r="V244" i="29"/>
  <c r="W244" i="29" s="1"/>
  <c r="P244" i="29"/>
  <c r="E246" i="29"/>
  <c r="T246" i="29"/>
  <c r="S246" i="29"/>
  <c r="U246" i="29"/>
  <c r="G246" i="29"/>
  <c r="Q246" i="29"/>
  <c r="R246" i="29"/>
  <c r="Z244" i="29"/>
  <c r="AD264" i="4"/>
  <c r="AD265" i="4"/>
  <c r="AG267" i="4"/>
  <c r="AN267" i="4"/>
  <c r="AO267" i="4" s="1"/>
  <c r="L270" i="4"/>
  <c r="N270" i="4"/>
  <c r="AI270" i="4"/>
  <c r="O270" i="4"/>
  <c r="AJ270" i="4"/>
  <c r="AL270" i="4"/>
  <c r="AM270" i="4"/>
  <c r="F270" i="4"/>
  <c r="AH270" i="4"/>
  <c r="AK270" i="4"/>
  <c r="J270" i="4"/>
  <c r="P270" i="4"/>
  <c r="K270" i="4"/>
  <c r="M270" i="4"/>
  <c r="AG266" i="4"/>
  <c r="AN266" i="4"/>
  <c r="AO266" i="4" s="1"/>
  <c r="AX270" i="4"/>
  <c r="AW270" i="4"/>
  <c r="AD267" i="4"/>
  <c r="Q269" i="4"/>
  <c r="Y269" i="4" s="1"/>
  <c r="W269" i="4"/>
  <c r="AB269" i="4" s="1"/>
  <c r="U269" i="4"/>
  <c r="AP269" i="4" s="1"/>
  <c r="R269" i="4"/>
  <c r="Z269" i="4" s="1"/>
  <c r="V269" i="4"/>
  <c r="AA269" i="4" s="1"/>
  <c r="X269" i="4"/>
  <c r="AC269" i="4" s="1"/>
  <c r="AY271" i="4"/>
  <c r="AV272" i="4"/>
  <c r="B271" i="4"/>
  <c r="AD268" i="4"/>
  <c r="AF269" i="4"/>
  <c r="AB246" i="29" l="1"/>
  <c r="K245" i="29"/>
  <c r="N245" i="29" s="1"/>
  <c r="AQ269" i="4"/>
  <c r="AE269" i="4"/>
  <c r="AD249" i="29"/>
  <c r="B248" i="29"/>
  <c r="AI248" i="29"/>
  <c r="Z245" i="29"/>
  <c r="O246" i="29"/>
  <c r="AE247" i="29"/>
  <c r="AA247" i="29" s="1"/>
  <c r="AF247" i="29"/>
  <c r="E247" i="29"/>
  <c r="S247" i="29"/>
  <c r="Q247" i="29"/>
  <c r="R247" i="29"/>
  <c r="G247" i="29"/>
  <c r="T247" i="29"/>
  <c r="U247" i="29"/>
  <c r="I246" i="29"/>
  <c r="J246" i="29"/>
  <c r="Y246" i="29" s="1"/>
  <c r="B272" i="4"/>
  <c r="AV273" i="4"/>
  <c r="AY272" i="4"/>
  <c r="AD269" i="4"/>
  <c r="AX271" i="4"/>
  <c r="AW271" i="4"/>
  <c r="AF270" i="4"/>
  <c r="K271" i="4"/>
  <c r="AL271" i="4"/>
  <c r="AM271" i="4"/>
  <c r="F271" i="4"/>
  <c r="L271" i="4"/>
  <c r="O271" i="4"/>
  <c r="AI271" i="4"/>
  <c r="AK271" i="4"/>
  <c r="AH271" i="4"/>
  <c r="P271" i="4"/>
  <c r="AJ271" i="4"/>
  <c r="M271" i="4"/>
  <c r="N271" i="4"/>
  <c r="J271" i="4"/>
  <c r="V270" i="4"/>
  <c r="AA270" i="4" s="1"/>
  <c r="R270" i="4"/>
  <c r="Z270" i="4" s="1"/>
  <c r="U270" i="4"/>
  <c r="AP270" i="4" s="1"/>
  <c r="Q270" i="4"/>
  <c r="Y270" i="4" s="1"/>
  <c r="X270" i="4"/>
  <c r="AC270" i="4" s="1"/>
  <c r="W270" i="4"/>
  <c r="AB270" i="4" s="1"/>
  <c r="AN264" i="4"/>
  <c r="AO264" i="4" s="1"/>
  <c r="AG264" i="4"/>
  <c r="AN265" i="4"/>
  <c r="AO265" i="4" s="1"/>
  <c r="AG265" i="4"/>
  <c r="V245" i="29" l="1"/>
  <c r="W245" i="29" s="1"/>
  <c r="P245" i="29"/>
  <c r="K246" i="29"/>
  <c r="N246" i="29" s="1"/>
  <c r="AB247" i="29"/>
  <c r="AQ270" i="4"/>
  <c r="AE270" i="4"/>
  <c r="O247" i="29"/>
  <c r="AE248" i="29"/>
  <c r="AA248" i="29" s="1"/>
  <c r="AF248" i="29"/>
  <c r="J247" i="29"/>
  <c r="Y247" i="29" s="1"/>
  <c r="I247" i="29"/>
  <c r="E248" i="29"/>
  <c r="G248" i="29"/>
  <c r="S248" i="29"/>
  <c r="R248" i="29"/>
  <c r="Q248" i="29"/>
  <c r="U248" i="29"/>
  <c r="T248" i="29"/>
  <c r="Z246" i="29"/>
  <c r="B249" i="29"/>
  <c r="AD250" i="29"/>
  <c r="AI249" i="29"/>
  <c r="AX272" i="4"/>
  <c r="AW272" i="4"/>
  <c r="AF271" i="4"/>
  <c r="W271" i="4"/>
  <c r="AB271" i="4" s="1"/>
  <c r="Q271" i="4"/>
  <c r="Y271" i="4" s="1"/>
  <c r="X271" i="4"/>
  <c r="AC271" i="4" s="1"/>
  <c r="U271" i="4"/>
  <c r="AP271" i="4" s="1"/>
  <c r="V271" i="4"/>
  <c r="AA271" i="4" s="1"/>
  <c r="R271" i="4"/>
  <c r="Z271" i="4" s="1"/>
  <c r="AY273" i="4"/>
  <c r="B273" i="4"/>
  <c r="AV274" i="4"/>
  <c r="AG269" i="4"/>
  <c r="AN269" i="4"/>
  <c r="AO269" i="4" s="1"/>
  <c r="K272" i="4"/>
  <c r="AH272" i="4"/>
  <c r="AL272" i="4"/>
  <c r="AJ272" i="4"/>
  <c r="P272" i="4"/>
  <c r="M272" i="4"/>
  <c r="N272" i="4"/>
  <c r="J272" i="4"/>
  <c r="F272" i="4"/>
  <c r="AM272" i="4"/>
  <c r="O272" i="4"/>
  <c r="AI272" i="4"/>
  <c r="AK272" i="4"/>
  <c r="L272" i="4"/>
  <c r="AG268" i="4"/>
  <c r="AN268" i="4"/>
  <c r="AO268" i="4" s="1"/>
  <c r="V246" i="29" l="1"/>
  <c r="W246" i="29" s="1"/>
  <c r="P246" i="29"/>
  <c r="K247" i="29"/>
  <c r="N247" i="29" s="1"/>
  <c r="AB248" i="29"/>
  <c r="AQ271" i="4"/>
  <c r="AE271" i="4"/>
  <c r="O248" i="29"/>
  <c r="E249" i="29"/>
  <c r="S249" i="29"/>
  <c r="T249" i="29"/>
  <c r="U249" i="29"/>
  <c r="Q249" i="29"/>
  <c r="G249" i="29"/>
  <c r="R249" i="29"/>
  <c r="I248" i="29"/>
  <c r="J248" i="29"/>
  <c r="Y248" i="29" s="1"/>
  <c r="AF249" i="29"/>
  <c r="AE249" i="29"/>
  <c r="AA249" i="29" s="1"/>
  <c r="B250" i="29"/>
  <c r="AD251" i="29"/>
  <c r="AI250" i="29"/>
  <c r="Z247" i="29"/>
  <c r="AG270" i="4"/>
  <c r="AN270" i="4"/>
  <c r="AO270" i="4" s="1"/>
  <c r="AD270" i="4"/>
  <c r="AF272" i="4"/>
  <c r="B274" i="4"/>
  <c r="AV275" i="4"/>
  <c r="AY274" i="4"/>
  <c r="U272" i="4"/>
  <c r="AP272" i="4" s="1"/>
  <c r="V272" i="4"/>
  <c r="AA272" i="4" s="1"/>
  <c r="X272" i="4"/>
  <c r="AC272" i="4" s="1"/>
  <c r="R272" i="4"/>
  <c r="Z272" i="4" s="1"/>
  <c r="W272" i="4"/>
  <c r="AB272" i="4" s="1"/>
  <c r="Q272" i="4"/>
  <c r="Y272" i="4" s="1"/>
  <c r="AI273" i="4"/>
  <c r="AL273" i="4"/>
  <c r="N273" i="4"/>
  <c r="P273" i="4"/>
  <c r="F273" i="4"/>
  <c r="K273" i="4"/>
  <c r="L273" i="4"/>
  <c r="AH273" i="4"/>
  <c r="AK273" i="4"/>
  <c r="J273" i="4"/>
  <c r="AM273" i="4"/>
  <c r="AJ273" i="4"/>
  <c r="M273" i="4"/>
  <c r="O273" i="4"/>
  <c r="AX273" i="4"/>
  <c r="AW273" i="4"/>
  <c r="P247" i="29" l="1"/>
  <c r="V247" i="29"/>
  <c r="W247" i="29" s="1"/>
  <c r="K248" i="29"/>
  <c r="N248" i="29" s="1"/>
  <c r="AQ272" i="4"/>
  <c r="Z248" i="29"/>
  <c r="AB249" i="29"/>
  <c r="AE272" i="4"/>
  <c r="AD252" i="29"/>
  <c r="B251" i="29"/>
  <c r="AI251" i="29"/>
  <c r="E250" i="29"/>
  <c r="S250" i="29"/>
  <c r="G250" i="29"/>
  <c r="Q250" i="29"/>
  <c r="T250" i="29"/>
  <c r="R250" i="29"/>
  <c r="U250" i="29"/>
  <c r="AD271" i="4"/>
  <c r="AF250" i="29"/>
  <c r="AE250" i="29"/>
  <c r="AA250" i="29" s="1"/>
  <c r="I249" i="29"/>
  <c r="J249" i="29"/>
  <c r="Y249" i="29" s="1"/>
  <c r="O249" i="29"/>
  <c r="Q273" i="4"/>
  <c r="Y273" i="4" s="1"/>
  <c r="V273" i="4"/>
  <c r="AA273" i="4" s="1"/>
  <c r="W273" i="4"/>
  <c r="AB273" i="4" s="1"/>
  <c r="R273" i="4"/>
  <c r="Z273" i="4" s="1"/>
  <c r="U273" i="4"/>
  <c r="AP273" i="4" s="1"/>
  <c r="X273" i="4"/>
  <c r="AC273" i="4" s="1"/>
  <c r="AV276" i="4"/>
  <c r="B275" i="4"/>
  <c r="AY275" i="4"/>
  <c r="N274" i="4"/>
  <c r="G274" i="4"/>
  <c r="AH274" i="4"/>
  <c r="H274" i="4"/>
  <c r="AL274" i="4"/>
  <c r="M274" i="4"/>
  <c r="L274" i="4"/>
  <c r="AI274" i="4"/>
  <c r="I274" i="4"/>
  <c r="AM274" i="4"/>
  <c r="F274" i="4"/>
  <c r="AJ274" i="4"/>
  <c r="J274" i="4"/>
  <c r="P274" i="4"/>
  <c r="K274" i="4"/>
  <c r="AK274" i="4"/>
  <c r="O274" i="4"/>
  <c r="AG271" i="4"/>
  <c r="AN271" i="4"/>
  <c r="AO271" i="4" s="1"/>
  <c r="AF273" i="4"/>
  <c r="AX274" i="4"/>
  <c r="AW274" i="4"/>
  <c r="V248" i="29" l="1"/>
  <c r="W248" i="29" s="1"/>
  <c r="P248" i="29"/>
  <c r="K249" i="29"/>
  <c r="N249" i="29" s="1"/>
  <c r="AQ273" i="4"/>
  <c r="AB250" i="29"/>
  <c r="AE273" i="4"/>
  <c r="Z249" i="29"/>
  <c r="AF251" i="29"/>
  <c r="AE251" i="29"/>
  <c r="AA251" i="29" s="1"/>
  <c r="O250" i="29"/>
  <c r="E251" i="29"/>
  <c r="R251" i="29"/>
  <c r="G251" i="29"/>
  <c r="T251" i="29"/>
  <c r="S251" i="29"/>
  <c r="Q251" i="29"/>
  <c r="U251" i="29"/>
  <c r="AD253" i="29"/>
  <c r="B252" i="29"/>
  <c r="AI252" i="29"/>
  <c r="I250" i="29"/>
  <c r="J250" i="29"/>
  <c r="Y250" i="29" s="1"/>
  <c r="Z250" i="29" s="1"/>
  <c r="AD273" i="4"/>
  <c r="AN272" i="4"/>
  <c r="AO272" i="4" s="1"/>
  <c r="AG272" i="4"/>
  <c r="U274" i="4"/>
  <c r="AP274" i="4" s="1"/>
  <c r="S274" i="4"/>
  <c r="Q274" i="4"/>
  <c r="Y274" i="4" s="1"/>
  <c r="X274" i="4"/>
  <c r="AC274" i="4" s="1"/>
  <c r="V274" i="4"/>
  <c r="AA274" i="4" s="1"/>
  <c r="R274" i="4"/>
  <c r="T274" i="4"/>
  <c r="W274" i="4"/>
  <c r="AB274" i="4" s="1"/>
  <c r="AY276" i="4"/>
  <c r="AV277" i="4"/>
  <c r="B276" i="4"/>
  <c r="AD272" i="4"/>
  <c r="AF274" i="4"/>
  <c r="AW275" i="4"/>
  <c r="AX275" i="4"/>
  <c r="K275" i="4"/>
  <c r="N275" i="4"/>
  <c r="F275" i="4"/>
  <c r="L275" i="4"/>
  <c r="AL275" i="4"/>
  <c r="M275" i="4"/>
  <c r="AH275" i="4"/>
  <c r="AM275" i="4"/>
  <c r="AK275" i="4"/>
  <c r="O275" i="4"/>
  <c r="J275" i="4"/>
  <c r="P275" i="4"/>
  <c r="AI275" i="4"/>
  <c r="AJ275" i="4"/>
  <c r="V249" i="29" l="1"/>
  <c r="W249" i="29" s="1"/>
  <c r="P249" i="29"/>
  <c r="AB251" i="29"/>
  <c r="K250" i="29"/>
  <c r="N250" i="29" s="1"/>
  <c r="Z274" i="4"/>
  <c r="AQ274" i="4" s="1"/>
  <c r="E252" i="29"/>
  <c r="R252" i="29"/>
  <c r="Q252" i="29"/>
  <c r="G252" i="29"/>
  <c r="T252" i="29"/>
  <c r="S252" i="29"/>
  <c r="U252" i="29"/>
  <c r="O251" i="29"/>
  <c r="B253" i="29"/>
  <c r="AD254" i="29"/>
  <c r="AI253" i="29"/>
  <c r="J251" i="29"/>
  <c r="Y251" i="29" s="1"/>
  <c r="I251" i="29"/>
  <c r="K251" i="29" s="1"/>
  <c r="AE252" i="29"/>
  <c r="AA252" i="29" s="1"/>
  <c r="AF252" i="29"/>
  <c r="AW276" i="4"/>
  <c r="AX276" i="4"/>
  <c r="AD274" i="4"/>
  <c r="AF275" i="4"/>
  <c r="U275" i="4"/>
  <c r="AP275" i="4" s="1"/>
  <c r="R275" i="4"/>
  <c r="Z275" i="4" s="1"/>
  <c r="X275" i="4"/>
  <c r="AC275" i="4" s="1"/>
  <c r="V275" i="4"/>
  <c r="AA275" i="4" s="1"/>
  <c r="Q275" i="4"/>
  <c r="Y275" i="4" s="1"/>
  <c r="W275" i="4"/>
  <c r="AB275" i="4" s="1"/>
  <c r="M276" i="4"/>
  <c r="AL276" i="4"/>
  <c r="J276" i="4"/>
  <c r="AI276" i="4"/>
  <c r="AM276" i="4"/>
  <c r="L276" i="4"/>
  <c r="N276" i="4"/>
  <c r="AH276" i="4"/>
  <c r="AJ276" i="4"/>
  <c r="F276" i="4"/>
  <c r="P276" i="4"/>
  <c r="AK276" i="4"/>
  <c r="O276" i="4"/>
  <c r="K276" i="4"/>
  <c r="AG273" i="4"/>
  <c r="AN273" i="4"/>
  <c r="AO273" i="4" s="1"/>
  <c r="AV278" i="4"/>
  <c r="AY277" i="4"/>
  <c r="B277" i="4"/>
  <c r="P250" i="29" l="1"/>
  <c r="V250" i="29"/>
  <c r="W250" i="29" s="1"/>
  <c r="N251" i="29"/>
  <c r="AE274" i="4"/>
  <c r="AQ275" i="4"/>
  <c r="AB252" i="29"/>
  <c r="AE275" i="4"/>
  <c r="V251" i="29"/>
  <c r="W251" i="29" s="1"/>
  <c r="P251" i="29"/>
  <c r="AE253" i="29"/>
  <c r="AA253" i="29" s="1"/>
  <c r="AF253" i="29"/>
  <c r="Z251" i="29"/>
  <c r="B254" i="29"/>
  <c r="AD255" i="29"/>
  <c r="AI254" i="29"/>
  <c r="O252" i="29"/>
  <c r="E253" i="29"/>
  <c r="T253" i="29"/>
  <c r="Q253" i="29"/>
  <c r="S253" i="29"/>
  <c r="U253" i="29"/>
  <c r="R253" i="29"/>
  <c r="G253" i="29"/>
  <c r="I252" i="29"/>
  <c r="K252" i="29" s="1"/>
  <c r="J252" i="29"/>
  <c r="Y252" i="29" s="1"/>
  <c r="M277" i="4"/>
  <c r="AI277" i="4"/>
  <c r="AH277" i="4"/>
  <c r="F277" i="4"/>
  <c r="AL277" i="4"/>
  <c r="K277" i="4"/>
  <c r="N277" i="4"/>
  <c r="O277" i="4"/>
  <c r="J277" i="4"/>
  <c r="AK277" i="4"/>
  <c r="P277" i="4"/>
  <c r="AJ277" i="4"/>
  <c r="L277" i="4"/>
  <c r="AM277" i="4"/>
  <c r="AF276" i="4"/>
  <c r="V276" i="4"/>
  <c r="AA276" i="4" s="1"/>
  <c r="U276" i="4"/>
  <c r="AP276" i="4" s="1"/>
  <c r="Q276" i="4"/>
  <c r="Y276" i="4" s="1"/>
  <c r="R276" i="4"/>
  <c r="Z276" i="4" s="1"/>
  <c r="W276" i="4"/>
  <c r="AB276" i="4" s="1"/>
  <c r="X276" i="4"/>
  <c r="AC276" i="4" s="1"/>
  <c r="AN274" i="4"/>
  <c r="AO274" i="4" s="1"/>
  <c r="AG274" i="4"/>
  <c r="AX277" i="4"/>
  <c r="AW277" i="4"/>
  <c r="AY278" i="4"/>
  <c r="AV279" i="4"/>
  <c r="B278" i="4"/>
  <c r="AB253" i="29" l="1"/>
  <c r="N252" i="29"/>
  <c r="AQ276" i="4"/>
  <c r="AE276" i="4"/>
  <c r="V252" i="29"/>
  <c r="W252" i="29" s="1"/>
  <c r="P252" i="29"/>
  <c r="E254" i="29"/>
  <c r="G254" i="29"/>
  <c r="S254" i="29"/>
  <c r="R254" i="29"/>
  <c r="U254" i="29"/>
  <c r="T254" i="29"/>
  <c r="Q254" i="29"/>
  <c r="J253" i="29"/>
  <c r="Y253" i="29" s="1"/>
  <c r="I253" i="29"/>
  <c r="K253" i="29" s="1"/>
  <c r="Z252" i="29"/>
  <c r="O253" i="29"/>
  <c r="AF254" i="29"/>
  <c r="AE254" i="29"/>
  <c r="AA254" i="29" s="1"/>
  <c r="AD256" i="29"/>
  <c r="B255" i="29"/>
  <c r="AI255" i="29"/>
  <c r="AG275" i="4"/>
  <c r="AN275" i="4"/>
  <c r="AO275" i="4" s="1"/>
  <c r="AF277" i="4"/>
  <c r="J278" i="4"/>
  <c r="AK278" i="4"/>
  <c r="L278" i="4"/>
  <c r="N278" i="4"/>
  <c r="AJ278" i="4"/>
  <c r="K278" i="4"/>
  <c r="P278" i="4"/>
  <c r="M278" i="4"/>
  <c r="AM278" i="4"/>
  <c r="AL278" i="4"/>
  <c r="O278" i="4"/>
  <c r="AH278" i="4"/>
  <c r="F278" i="4"/>
  <c r="AI278" i="4"/>
  <c r="AV280" i="4"/>
  <c r="B279" i="4"/>
  <c r="AY279" i="4"/>
  <c r="AW278" i="4"/>
  <c r="AX278" i="4"/>
  <c r="X277" i="4"/>
  <c r="AC277" i="4" s="1"/>
  <c r="W277" i="4"/>
  <c r="AB277" i="4" s="1"/>
  <c r="U277" i="4"/>
  <c r="AP277" i="4" s="1"/>
  <c r="R277" i="4"/>
  <c r="Z277" i="4" s="1"/>
  <c r="V277" i="4"/>
  <c r="AA277" i="4" s="1"/>
  <c r="T277" i="4"/>
  <c r="Q277" i="4"/>
  <c r="Y277" i="4" s="1"/>
  <c r="S277" i="4"/>
  <c r="AD276" i="4"/>
  <c r="AD275" i="4"/>
  <c r="N253" i="29" l="1"/>
  <c r="AQ277" i="4"/>
  <c r="AB254" i="29"/>
  <c r="AE277" i="4"/>
  <c r="E255" i="29"/>
  <c r="S255" i="29"/>
  <c r="U255" i="29"/>
  <c r="T255" i="29"/>
  <c r="R255" i="29"/>
  <c r="Q255" i="29"/>
  <c r="G255" i="29"/>
  <c r="AD257" i="29"/>
  <c r="B256" i="29"/>
  <c r="AI256" i="29"/>
  <c r="I254" i="29"/>
  <c r="K254" i="29" s="1"/>
  <c r="J254" i="29"/>
  <c r="Y254" i="29" s="1"/>
  <c r="Z253" i="29"/>
  <c r="P253" i="29"/>
  <c r="V253" i="29"/>
  <c r="W253" i="29" s="1"/>
  <c r="O254" i="29"/>
  <c r="AF255" i="29"/>
  <c r="AE255" i="29"/>
  <c r="AA255" i="29" s="1"/>
  <c r="L279" i="4"/>
  <c r="K279" i="4"/>
  <c r="J279" i="4"/>
  <c r="AL279" i="4"/>
  <c r="AH279" i="4"/>
  <c r="M279" i="4"/>
  <c r="N279" i="4"/>
  <c r="F279" i="4"/>
  <c r="AI279" i="4"/>
  <c r="AK279" i="4"/>
  <c r="O279" i="4"/>
  <c r="AM279" i="4"/>
  <c r="AJ279" i="4"/>
  <c r="P279" i="4"/>
  <c r="U278" i="4"/>
  <c r="AP278" i="4" s="1"/>
  <c r="V278" i="4"/>
  <c r="AA278" i="4" s="1"/>
  <c r="X278" i="4"/>
  <c r="AC278" i="4" s="1"/>
  <c r="Q278" i="4"/>
  <c r="Y278" i="4" s="1"/>
  <c r="R278" i="4"/>
  <c r="W278" i="4"/>
  <c r="AB278" i="4" s="1"/>
  <c r="AV281" i="4"/>
  <c r="B280" i="4"/>
  <c r="AY280" i="4"/>
  <c r="AW279" i="4"/>
  <c r="AX279" i="4"/>
  <c r="AF278" i="4"/>
  <c r="N254" i="29" l="1"/>
  <c r="AB255" i="29"/>
  <c r="Z278" i="4"/>
  <c r="AE256" i="29"/>
  <c r="AA256" i="29" s="1"/>
  <c r="AF256" i="29"/>
  <c r="E256" i="29"/>
  <c r="U256" i="29"/>
  <c r="S256" i="29"/>
  <c r="G256" i="29"/>
  <c r="T256" i="29"/>
  <c r="R256" i="29"/>
  <c r="Q256" i="29"/>
  <c r="B257" i="29"/>
  <c r="AD258" i="29"/>
  <c r="AI257" i="29"/>
  <c r="I255" i="29"/>
  <c r="J255" i="29"/>
  <c r="Y255" i="29" s="1"/>
  <c r="Z254" i="29"/>
  <c r="V254" i="29"/>
  <c r="W254" i="29" s="1"/>
  <c r="P254" i="29"/>
  <c r="O255" i="29"/>
  <c r="AD278" i="4"/>
  <c r="AG277" i="4"/>
  <c r="AN277" i="4"/>
  <c r="AO277" i="4" s="1"/>
  <c r="AV282" i="4"/>
  <c r="B281" i="4"/>
  <c r="AY281" i="4"/>
  <c r="AD277" i="4"/>
  <c r="W279" i="4"/>
  <c r="AB279" i="4" s="1"/>
  <c r="V279" i="4"/>
  <c r="AA279" i="4" s="1"/>
  <c r="X279" i="4"/>
  <c r="AC279" i="4" s="1"/>
  <c r="U279" i="4"/>
  <c r="AP279" i="4" s="1"/>
  <c r="R279" i="4"/>
  <c r="Z279" i="4" s="1"/>
  <c r="Q279" i="4"/>
  <c r="Y279" i="4" s="1"/>
  <c r="AN276" i="4"/>
  <c r="AO276" i="4" s="1"/>
  <c r="AG276" i="4"/>
  <c r="AX280" i="4"/>
  <c r="AW280" i="4"/>
  <c r="AF279" i="4"/>
  <c r="P280" i="4"/>
  <c r="F280" i="4"/>
  <c r="L280" i="4"/>
  <c r="AI280" i="4"/>
  <c r="AJ280" i="4"/>
  <c r="M280" i="4"/>
  <c r="AK280" i="4"/>
  <c r="AM280" i="4"/>
  <c r="AH280" i="4"/>
  <c r="K280" i="4"/>
  <c r="N280" i="4"/>
  <c r="AL280" i="4"/>
  <c r="O280" i="4"/>
  <c r="J280" i="4"/>
  <c r="AB256" i="29" l="1"/>
  <c r="K255" i="29"/>
  <c r="N255" i="29" s="1"/>
  <c r="AQ279" i="4"/>
  <c r="AE278" i="4"/>
  <c r="AN278" i="4" s="1"/>
  <c r="AO278" i="4" s="1"/>
  <c r="AQ278" i="4"/>
  <c r="AE279" i="4"/>
  <c r="B258" i="29"/>
  <c r="AD259" i="29"/>
  <c r="AI258" i="29"/>
  <c r="I256" i="29"/>
  <c r="K256" i="29" s="1"/>
  <c r="J256" i="29"/>
  <c r="Y256" i="29" s="1"/>
  <c r="Z255" i="29"/>
  <c r="E257" i="29"/>
  <c r="Q257" i="29"/>
  <c r="U257" i="29"/>
  <c r="T257" i="29"/>
  <c r="R257" i="29"/>
  <c r="G257" i="29"/>
  <c r="S257" i="29"/>
  <c r="AE257" i="29"/>
  <c r="AA257" i="29" s="1"/>
  <c r="AF257" i="29"/>
  <c r="O256" i="29"/>
  <c r="AI281" i="4"/>
  <c r="L281" i="4"/>
  <c r="O281" i="4"/>
  <c r="P281" i="4"/>
  <c r="F281" i="4"/>
  <c r="AL281" i="4"/>
  <c r="AJ281" i="4"/>
  <c r="M281" i="4"/>
  <c r="AK281" i="4"/>
  <c r="AH281" i="4"/>
  <c r="N281" i="4"/>
  <c r="J281" i="4"/>
  <c r="AM281" i="4"/>
  <c r="K281" i="4"/>
  <c r="AD279" i="4"/>
  <c r="AY282" i="4"/>
  <c r="B282" i="4"/>
  <c r="AV283" i="4"/>
  <c r="W280" i="4"/>
  <c r="AB280" i="4" s="1"/>
  <c r="V280" i="4"/>
  <c r="AA280" i="4" s="1"/>
  <c r="U280" i="4"/>
  <c r="AP280" i="4" s="1"/>
  <c r="Q280" i="4"/>
  <c r="Y280" i="4" s="1"/>
  <c r="R280" i="4"/>
  <c r="Z280" i="4" s="1"/>
  <c r="X280" i="4"/>
  <c r="AC280" i="4" s="1"/>
  <c r="AF280" i="4"/>
  <c r="AW281" i="4"/>
  <c r="AX281" i="4"/>
  <c r="P255" i="29" l="1"/>
  <c r="V255" i="29"/>
  <c r="W255" i="29" s="1"/>
  <c r="N256" i="29"/>
  <c r="AQ280" i="4"/>
  <c r="AG278" i="4"/>
  <c r="AB257" i="29"/>
  <c r="AE280" i="4"/>
  <c r="AE258" i="29"/>
  <c r="AA258" i="29" s="1"/>
  <c r="AF258" i="29"/>
  <c r="J257" i="29"/>
  <c r="Y257" i="29" s="1"/>
  <c r="I257" i="29"/>
  <c r="AD260" i="29"/>
  <c r="B259" i="29"/>
  <c r="AI259" i="29"/>
  <c r="O257" i="29"/>
  <c r="E258" i="29"/>
  <c r="T258" i="29"/>
  <c r="S258" i="29"/>
  <c r="Q258" i="29"/>
  <c r="R258" i="29"/>
  <c r="U258" i="29"/>
  <c r="O258" i="29" s="1"/>
  <c r="G258" i="29"/>
  <c r="Z256" i="29"/>
  <c r="P256" i="29"/>
  <c r="V256" i="29"/>
  <c r="W256" i="29" s="1"/>
  <c r="U281" i="4"/>
  <c r="AP281" i="4" s="1"/>
  <c r="X281" i="4"/>
  <c r="AC281" i="4" s="1"/>
  <c r="Q281" i="4"/>
  <c r="Y281" i="4" s="1"/>
  <c r="V281" i="4"/>
  <c r="AA281" i="4" s="1"/>
  <c r="W281" i="4"/>
  <c r="AB281" i="4" s="1"/>
  <c r="R281" i="4"/>
  <c r="Z281" i="4" s="1"/>
  <c r="AV284" i="4"/>
  <c r="B283" i="4"/>
  <c r="AY283" i="4"/>
  <c r="J282" i="4"/>
  <c r="AL282" i="4"/>
  <c r="AJ282" i="4"/>
  <c r="L282" i="4"/>
  <c r="F282" i="4"/>
  <c r="AK282" i="4"/>
  <c r="P282" i="4"/>
  <c r="K282" i="4"/>
  <c r="AM282" i="4"/>
  <c r="N282" i="4"/>
  <c r="AH282" i="4"/>
  <c r="M282" i="4"/>
  <c r="AI282" i="4"/>
  <c r="O282" i="4"/>
  <c r="AF281" i="4"/>
  <c r="AX282" i="4"/>
  <c r="AW282" i="4"/>
  <c r="AB258" i="29" l="1"/>
  <c r="K257" i="29"/>
  <c r="N257" i="29" s="1"/>
  <c r="AQ281" i="4"/>
  <c r="AE281" i="4"/>
  <c r="AE259" i="29"/>
  <c r="AA259" i="29" s="1"/>
  <c r="AF259" i="29"/>
  <c r="E259" i="29"/>
  <c r="U259" i="29"/>
  <c r="Q259" i="29"/>
  <c r="T259" i="29"/>
  <c r="R259" i="29"/>
  <c r="G259" i="29"/>
  <c r="S259" i="29"/>
  <c r="I258" i="29"/>
  <c r="J258" i="29"/>
  <c r="Y258" i="29" s="1"/>
  <c r="Z258" i="29" s="1"/>
  <c r="Z257" i="29"/>
  <c r="AD261" i="29"/>
  <c r="B260" i="29"/>
  <c r="AI260" i="29"/>
  <c r="AN280" i="4"/>
  <c r="AO280" i="4" s="1"/>
  <c r="AG280" i="4"/>
  <c r="Q282" i="4"/>
  <c r="Y282" i="4" s="1"/>
  <c r="U282" i="4"/>
  <c r="AP282" i="4" s="1"/>
  <c r="R282" i="4"/>
  <c r="Z282" i="4" s="1"/>
  <c r="V282" i="4"/>
  <c r="AA282" i="4" s="1"/>
  <c r="W282" i="4"/>
  <c r="AB282" i="4" s="1"/>
  <c r="X282" i="4"/>
  <c r="AC282" i="4" s="1"/>
  <c r="J283" i="4"/>
  <c r="AM283" i="4"/>
  <c r="AJ283" i="4"/>
  <c r="O283" i="4"/>
  <c r="F283" i="4"/>
  <c r="N283" i="4"/>
  <c r="AI283" i="4"/>
  <c r="L283" i="4"/>
  <c r="M283" i="4"/>
  <c r="P283" i="4"/>
  <c r="K283" i="4"/>
  <c r="AK283" i="4"/>
  <c r="AH283" i="4"/>
  <c r="AL283" i="4"/>
  <c r="AD280" i="4"/>
  <c r="AV285" i="4"/>
  <c r="B284" i="4"/>
  <c r="AY284" i="4"/>
  <c r="AD281" i="4"/>
  <c r="AN279" i="4"/>
  <c r="AO279" i="4" s="1"/>
  <c r="AG279" i="4"/>
  <c r="AF282" i="4"/>
  <c r="AX283" i="4"/>
  <c r="AW283" i="4"/>
  <c r="P257" i="29" l="1"/>
  <c r="V257" i="29"/>
  <c r="W257" i="29" s="1"/>
  <c r="AB259" i="29"/>
  <c r="K258" i="29"/>
  <c r="N258" i="29" s="1"/>
  <c r="AQ282" i="4"/>
  <c r="AE282" i="4"/>
  <c r="B261" i="29"/>
  <c r="AD262" i="29"/>
  <c r="AI261" i="29"/>
  <c r="O259" i="29"/>
  <c r="I259" i="29"/>
  <c r="J259" i="29"/>
  <c r="Y259" i="29" s="1"/>
  <c r="AF260" i="29"/>
  <c r="AE260" i="29"/>
  <c r="AA260" i="29" s="1"/>
  <c r="E260" i="29"/>
  <c r="Q260" i="29"/>
  <c r="R260" i="29"/>
  <c r="T260" i="29"/>
  <c r="G260" i="29"/>
  <c r="S260" i="29"/>
  <c r="U260" i="29"/>
  <c r="B285" i="4"/>
  <c r="AY285" i="4"/>
  <c r="AV286" i="4"/>
  <c r="AF283" i="4"/>
  <c r="AG281" i="4"/>
  <c r="AN281" i="4"/>
  <c r="AO281" i="4" s="1"/>
  <c r="X283" i="4"/>
  <c r="AC283" i="4" s="1"/>
  <c r="W283" i="4"/>
  <c r="AB283" i="4" s="1"/>
  <c r="Q283" i="4"/>
  <c r="Y283" i="4" s="1"/>
  <c r="V283" i="4"/>
  <c r="AA283" i="4" s="1"/>
  <c r="U283" i="4"/>
  <c r="AP283" i="4" s="1"/>
  <c r="R283" i="4"/>
  <c r="Z283" i="4" s="1"/>
  <c r="AX284" i="4"/>
  <c r="AW284" i="4"/>
  <c r="AJ284" i="4"/>
  <c r="AM284" i="4"/>
  <c r="AL284" i="4"/>
  <c r="K284" i="4"/>
  <c r="AI284" i="4"/>
  <c r="M284" i="4"/>
  <c r="L284" i="4"/>
  <c r="J284" i="4"/>
  <c r="F284" i="4"/>
  <c r="AH284" i="4"/>
  <c r="N284" i="4"/>
  <c r="O284" i="4"/>
  <c r="P284" i="4"/>
  <c r="AK284" i="4"/>
  <c r="P258" i="29" l="1"/>
  <c r="V258" i="29"/>
  <c r="W258" i="29" s="1"/>
  <c r="AB260" i="29"/>
  <c r="K259" i="29"/>
  <c r="N259" i="29" s="1"/>
  <c r="AQ283" i="4"/>
  <c r="AE283" i="4"/>
  <c r="O260" i="29"/>
  <c r="I260" i="29"/>
  <c r="K260" i="29" s="1"/>
  <c r="J260" i="29"/>
  <c r="Y260" i="29" s="1"/>
  <c r="AF261" i="29"/>
  <c r="AE261" i="29"/>
  <c r="AA261" i="29" s="1"/>
  <c r="B262" i="29"/>
  <c r="AD263" i="29"/>
  <c r="AI262" i="29"/>
  <c r="E261" i="29"/>
  <c r="S261" i="29"/>
  <c r="Q261" i="29"/>
  <c r="T261" i="29"/>
  <c r="G261" i="29"/>
  <c r="U261" i="29"/>
  <c r="R261" i="29"/>
  <c r="Z259" i="29"/>
  <c r="AN282" i="4"/>
  <c r="AO282" i="4" s="1"/>
  <c r="AG282" i="4"/>
  <c r="K285" i="4"/>
  <c r="AM285" i="4"/>
  <c r="F285" i="4"/>
  <c r="P285" i="4"/>
  <c r="N285" i="4"/>
  <c r="AL285" i="4"/>
  <c r="J285" i="4"/>
  <c r="L285" i="4"/>
  <c r="AJ285" i="4"/>
  <c r="AK285" i="4"/>
  <c r="O285" i="4"/>
  <c r="AI285" i="4"/>
  <c r="M285" i="4"/>
  <c r="AH285" i="4"/>
  <c r="AF284" i="4"/>
  <c r="AD282" i="4"/>
  <c r="B286" i="4"/>
  <c r="AY286" i="4"/>
  <c r="AV287" i="4"/>
  <c r="R284" i="4"/>
  <c r="Z284" i="4" s="1"/>
  <c r="W284" i="4"/>
  <c r="AB284" i="4" s="1"/>
  <c r="X284" i="4"/>
  <c r="AC284" i="4" s="1"/>
  <c r="Q284" i="4"/>
  <c r="Y284" i="4" s="1"/>
  <c r="U284" i="4"/>
  <c r="AP284" i="4" s="1"/>
  <c r="V284" i="4"/>
  <c r="AA284" i="4" s="1"/>
  <c r="AX285" i="4"/>
  <c r="AW285" i="4"/>
  <c r="AK286" i="4" l="1"/>
  <c r="P286" i="4"/>
  <c r="L286" i="4"/>
  <c r="AM286" i="4"/>
  <c r="AI286" i="4"/>
  <c r="N286" i="4"/>
  <c r="J286" i="4"/>
  <c r="AJ286" i="4"/>
  <c r="K286" i="4"/>
  <c r="AH286" i="4"/>
  <c r="F286" i="4"/>
  <c r="AL286" i="4"/>
  <c r="O286" i="4"/>
  <c r="M286" i="4"/>
  <c r="P259" i="29"/>
  <c r="V259" i="29"/>
  <c r="W259" i="29" s="1"/>
  <c r="AB261" i="29"/>
  <c r="N260" i="29"/>
  <c r="Z260" i="29"/>
  <c r="AQ284" i="4"/>
  <c r="AE284" i="4"/>
  <c r="O261" i="29"/>
  <c r="AD264" i="29"/>
  <c r="B263" i="29"/>
  <c r="AI263" i="29"/>
  <c r="E262" i="29"/>
  <c r="Q262" i="29"/>
  <c r="R262" i="29"/>
  <c r="G262" i="29"/>
  <c r="T262" i="29"/>
  <c r="U262" i="29"/>
  <c r="S262" i="29"/>
  <c r="J261" i="29"/>
  <c r="Y261" i="29" s="1"/>
  <c r="I261" i="29"/>
  <c r="K261" i="29" s="1"/>
  <c r="V260" i="29"/>
  <c r="W260" i="29" s="1"/>
  <c r="P260" i="29"/>
  <c r="AF262" i="29"/>
  <c r="AE262" i="29"/>
  <c r="AA262" i="29" s="1"/>
  <c r="AG283" i="4"/>
  <c r="U285" i="4"/>
  <c r="AP285" i="4" s="1"/>
  <c r="V285" i="4"/>
  <c r="AA285" i="4" s="1"/>
  <c r="X285" i="4"/>
  <c r="AC285" i="4" s="1"/>
  <c r="R285" i="4"/>
  <c r="Z285" i="4" s="1"/>
  <c r="W285" i="4"/>
  <c r="AB285" i="4" s="1"/>
  <c r="Q285" i="4"/>
  <c r="Y285" i="4" s="1"/>
  <c r="AF285" i="4"/>
  <c r="AY287" i="4"/>
  <c r="B287" i="4"/>
  <c r="AV288" i="4"/>
  <c r="AD283" i="4"/>
  <c r="AD284" i="4"/>
  <c r="AX286" i="4"/>
  <c r="AW286" i="4"/>
  <c r="AM287" i="4" l="1"/>
  <c r="AI287" i="4"/>
  <c r="N287" i="4"/>
  <c r="J287" i="4"/>
  <c r="AK287" i="4"/>
  <c r="P287" i="4"/>
  <c r="L287" i="4"/>
  <c r="AL287" i="4"/>
  <c r="M287" i="4"/>
  <c r="AJ287" i="4"/>
  <c r="K287" i="4"/>
  <c r="F287" i="4"/>
  <c r="AH287" i="4"/>
  <c r="O287" i="4"/>
  <c r="N261" i="29"/>
  <c r="Z261" i="29"/>
  <c r="AQ285" i="4"/>
  <c r="AB262" i="29"/>
  <c r="AE285" i="4"/>
  <c r="I262" i="29"/>
  <c r="J262" i="29"/>
  <c r="Y262" i="29" s="1"/>
  <c r="V261" i="29"/>
  <c r="W261" i="29" s="1"/>
  <c r="P261" i="29"/>
  <c r="AE263" i="29"/>
  <c r="AA263" i="29" s="1"/>
  <c r="AF263" i="29"/>
  <c r="E263" i="29"/>
  <c r="T263" i="29"/>
  <c r="R263" i="29"/>
  <c r="G263" i="29"/>
  <c r="Q263" i="29"/>
  <c r="S263" i="29"/>
  <c r="U263" i="29"/>
  <c r="O262" i="29"/>
  <c r="AD265" i="29"/>
  <c r="B264" i="29"/>
  <c r="AI264" i="29"/>
  <c r="AN283" i="4"/>
  <c r="AO283" i="4" s="1"/>
  <c r="AY288" i="4"/>
  <c r="B288" i="4"/>
  <c r="AV289" i="4"/>
  <c r="AD285" i="4"/>
  <c r="V286" i="4"/>
  <c r="AA286" i="4" s="1"/>
  <c r="U286" i="4"/>
  <c r="AP286" i="4" s="1"/>
  <c r="Q286" i="4"/>
  <c r="Y286" i="4" s="1"/>
  <c r="X286" i="4"/>
  <c r="AC286" i="4" s="1"/>
  <c r="W286" i="4"/>
  <c r="AB286" i="4" s="1"/>
  <c r="R286" i="4"/>
  <c r="Z286" i="4" s="1"/>
  <c r="AQ286" i="4" s="1"/>
  <c r="AW287" i="4"/>
  <c r="AX287" i="4"/>
  <c r="AF286" i="4"/>
  <c r="AK288" i="4" l="1"/>
  <c r="P288" i="4"/>
  <c r="L288" i="4"/>
  <c r="AM288" i="4"/>
  <c r="AI288" i="4"/>
  <c r="N288" i="4"/>
  <c r="J288" i="4"/>
  <c r="O288" i="4"/>
  <c r="AL288" i="4"/>
  <c r="M288" i="4"/>
  <c r="K288" i="4"/>
  <c r="F288" i="4"/>
  <c r="AJ288" i="4"/>
  <c r="AH288" i="4"/>
  <c r="AB263" i="29"/>
  <c r="K262" i="29"/>
  <c r="N262" i="29" s="1"/>
  <c r="AE286" i="4"/>
  <c r="E264" i="29"/>
  <c r="G264" i="29"/>
  <c r="U264" i="29"/>
  <c r="R264" i="29"/>
  <c r="T264" i="29"/>
  <c r="S264" i="29"/>
  <c r="Q264" i="29"/>
  <c r="O263" i="29"/>
  <c r="I263" i="29"/>
  <c r="K263" i="29" s="1"/>
  <c r="N263" i="29" s="1"/>
  <c r="V263" i="29" s="1"/>
  <c r="W263" i="29" s="1"/>
  <c r="J263" i="29"/>
  <c r="Y263" i="29" s="1"/>
  <c r="B265" i="29"/>
  <c r="AD266" i="29"/>
  <c r="AI265" i="29"/>
  <c r="Z262" i="29"/>
  <c r="AE264" i="29"/>
  <c r="AA264" i="29" s="1"/>
  <c r="AF264" i="29"/>
  <c r="AN284" i="4"/>
  <c r="AO284" i="4" s="1"/>
  <c r="AG284" i="4"/>
  <c r="R287" i="4"/>
  <c r="Z287" i="4" s="1"/>
  <c r="V287" i="4"/>
  <c r="AA287" i="4" s="1"/>
  <c r="X287" i="4"/>
  <c r="AC287" i="4" s="1"/>
  <c r="U287" i="4"/>
  <c r="W287" i="4"/>
  <c r="AB287" i="4" s="1"/>
  <c r="Q287" i="4"/>
  <c r="Y287" i="4" s="1"/>
  <c r="AV290" i="4"/>
  <c r="B289" i="4"/>
  <c r="AY289" i="4"/>
  <c r="AX288" i="4"/>
  <c r="AW288" i="4"/>
  <c r="AN285" i="4"/>
  <c r="AO285" i="4" s="1"/>
  <c r="AG285" i="4"/>
  <c r="AP287" i="4"/>
  <c r="AF287" i="4"/>
  <c r="AD286" i="4"/>
  <c r="V262" i="29" l="1"/>
  <c r="W262" i="29" s="1"/>
  <c r="P262" i="29"/>
  <c r="AQ287" i="4"/>
  <c r="AB264" i="29"/>
  <c r="AE287" i="4"/>
  <c r="B266" i="29"/>
  <c r="AD267" i="29"/>
  <c r="AI266" i="29"/>
  <c r="O264" i="29"/>
  <c r="E265" i="29"/>
  <c r="S265" i="29"/>
  <c r="G265" i="29"/>
  <c r="T265" i="29"/>
  <c r="Q265" i="29"/>
  <c r="U265" i="29"/>
  <c r="R265" i="29"/>
  <c r="I264" i="29"/>
  <c r="J264" i="29"/>
  <c r="Y264" i="29" s="1"/>
  <c r="Z264" i="29" s="1"/>
  <c r="AE265" i="29"/>
  <c r="AA265" i="29" s="1"/>
  <c r="AF265" i="29"/>
  <c r="P263" i="29"/>
  <c r="Z263" i="29"/>
  <c r="AF288" i="4"/>
  <c r="AX289" i="4"/>
  <c r="AW289" i="4"/>
  <c r="R288" i="4"/>
  <c r="Z288" i="4" s="1"/>
  <c r="U288" i="4"/>
  <c r="AP288" i="4" s="1"/>
  <c r="Q288" i="4"/>
  <c r="Y288" i="4" s="1"/>
  <c r="V288" i="4"/>
  <c r="AA288" i="4" s="1"/>
  <c r="W288" i="4"/>
  <c r="AB288" i="4" s="1"/>
  <c r="X288" i="4"/>
  <c r="AC288" i="4" s="1"/>
  <c r="AN286" i="4"/>
  <c r="AO286" i="4" s="1"/>
  <c r="AG286" i="4"/>
  <c r="AM289" i="4"/>
  <c r="AI289" i="4"/>
  <c r="O289" i="4"/>
  <c r="L289" i="4"/>
  <c r="N289" i="4"/>
  <c r="F289" i="4"/>
  <c r="M289" i="4"/>
  <c r="P289" i="4"/>
  <c r="AL289" i="4"/>
  <c r="J289" i="4"/>
  <c r="K289" i="4"/>
  <c r="AJ289" i="4"/>
  <c r="AH289" i="4"/>
  <c r="AK289" i="4"/>
  <c r="B290" i="4"/>
  <c r="AY290" i="4"/>
  <c r="AV291" i="4"/>
  <c r="K264" i="29" l="1"/>
  <c r="N264" i="29" s="1"/>
  <c r="AQ288" i="4"/>
  <c r="AB265" i="29"/>
  <c r="AE288" i="4"/>
  <c r="O265" i="29"/>
  <c r="E266" i="29"/>
  <c r="R266" i="29"/>
  <c r="T266" i="29"/>
  <c r="U266" i="29"/>
  <c r="G266" i="29"/>
  <c r="Q266" i="29"/>
  <c r="S266" i="29"/>
  <c r="I265" i="29"/>
  <c r="J265" i="29"/>
  <c r="Y265" i="29" s="1"/>
  <c r="Z265" i="29" s="1"/>
  <c r="AF266" i="29"/>
  <c r="AE266" i="29"/>
  <c r="AA266" i="29" s="1"/>
  <c r="AD268" i="29"/>
  <c r="B267" i="29"/>
  <c r="AI267" i="29"/>
  <c r="AN287" i="4"/>
  <c r="AO287" i="4" s="1"/>
  <c r="AG287" i="4"/>
  <c r="AD288" i="4"/>
  <c r="AD287" i="4"/>
  <c r="AV292" i="4"/>
  <c r="AY291" i="4"/>
  <c r="B291" i="4"/>
  <c r="AF289" i="4"/>
  <c r="AX290" i="4"/>
  <c r="AW290" i="4"/>
  <c r="U289" i="4"/>
  <c r="AP289" i="4" s="1"/>
  <c r="Q289" i="4"/>
  <c r="Y289" i="4" s="1"/>
  <c r="R289" i="4"/>
  <c r="Z289" i="4" s="1"/>
  <c r="V289" i="4"/>
  <c r="AA289" i="4" s="1"/>
  <c r="X289" i="4"/>
  <c r="AC289" i="4" s="1"/>
  <c r="W289" i="4"/>
  <c r="AB289" i="4" s="1"/>
  <c r="AJ290" i="4"/>
  <c r="AL290" i="4"/>
  <c r="K290" i="4"/>
  <c r="AI290" i="4"/>
  <c r="N290" i="4"/>
  <c r="J290" i="4"/>
  <c r="O290" i="4"/>
  <c r="L290" i="4"/>
  <c r="AM290" i="4"/>
  <c r="AK290" i="4"/>
  <c r="F290" i="4"/>
  <c r="M290" i="4"/>
  <c r="P290" i="4"/>
  <c r="AH290" i="4"/>
  <c r="P264" i="29" l="1"/>
  <c r="V264" i="29"/>
  <c r="W264" i="29" s="1"/>
  <c r="K265" i="29"/>
  <c r="N265" i="29" s="1"/>
  <c r="AQ289" i="4"/>
  <c r="AB266" i="29"/>
  <c r="AE289" i="4"/>
  <c r="L175" i="7"/>
  <c r="E267" i="29"/>
  <c r="R267" i="29"/>
  <c r="U267" i="29"/>
  <c r="T267" i="29"/>
  <c r="S267" i="29"/>
  <c r="G267" i="29"/>
  <c r="Q267" i="29"/>
  <c r="O266" i="29"/>
  <c r="AD269" i="29"/>
  <c r="B268" i="29"/>
  <c r="AI268" i="29"/>
  <c r="I266" i="29"/>
  <c r="J266" i="29"/>
  <c r="Y266" i="29" s="1"/>
  <c r="AF267" i="29"/>
  <c r="AE267" i="29"/>
  <c r="AA267" i="29" s="1"/>
  <c r="AF290" i="4"/>
  <c r="F291" i="4"/>
  <c r="AH291" i="4"/>
  <c r="L291" i="4"/>
  <c r="K291" i="4"/>
  <c r="AJ291" i="4"/>
  <c r="AM291" i="4"/>
  <c r="AL291" i="4"/>
  <c r="M291" i="4"/>
  <c r="P291" i="4"/>
  <c r="O291" i="4"/>
  <c r="AK291" i="4"/>
  <c r="J291" i="4"/>
  <c r="AI291" i="4"/>
  <c r="N291" i="4"/>
  <c r="AX291" i="4"/>
  <c r="AW291" i="4"/>
  <c r="W290" i="4"/>
  <c r="AB290" i="4" s="1"/>
  <c r="U290" i="4"/>
  <c r="AP290" i="4" s="1"/>
  <c r="R290" i="4"/>
  <c r="Z290" i="4" s="1"/>
  <c r="Q290" i="4"/>
  <c r="Y290" i="4" s="1"/>
  <c r="X290" i="4"/>
  <c r="AC290" i="4" s="1"/>
  <c r="V290" i="4"/>
  <c r="AA290" i="4" s="1"/>
  <c r="AD289" i="4"/>
  <c r="B292" i="4"/>
  <c r="AV293" i="4"/>
  <c r="AY292" i="4"/>
  <c r="V265" i="29" l="1"/>
  <c r="W265" i="29" s="1"/>
  <c r="P265" i="29"/>
  <c r="K266" i="29"/>
  <c r="N266" i="29" s="1"/>
  <c r="AQ290" i="4"/>
  <c r="Z266" i="29"/>
  <c r="L178" i="7"/>
  <c r="L180" i="7" s="1"/>
  <c r="AB267" i="29"/>
  <c r="AE290" i="4"/>
  <c r="E268" i="29"/>
  <c r="R268" i="29"/>
  <c r="S268" i="29"/>
  <c r="T268" i="29"/>
  <c r="G268" i="29"/>
  <c r="Q268" i="29"/>
  <c r="U268" i="29"/>
  <c r="B269" i="29"/>
  <c r="AD270" i="29"/>
  <c r="AI269" i="29"/>
  <c r="O267" i="29"/>
  <c r="J267" i="29"/>
  <c r="Y267" i="29" s="1"/>
  <c r="I267" i="29"/>
  <c r="AE268" i="29"/>
  <c r="AA268" i="29" s="1"/>
  <c r="AF268" i="29"/>
  <c r="AX292" i="4"/>
  <c r="AW292" i="4"/>
  <c r="AN288" i="4"/>
  <c r="AO288" i="4" s="1"/>
  <c r="AG288" i="4"/>
  <c r="V291" i="4"/>
  <c r="AA291" i="4" s="1"/>
  <c r="W291" i="4"/>
  <c r="AB291" i="4" s="1"/>
  <c r="R291" i="4"/>
  <c r="Z291" i="4" s="1"/>
  <c r="U291" i="4"/>
  <c r="Q291" i="4"/>
  <c r="Y291" i="4" s="1"/>
  <c r="X291" i="4"/>
  <c r="AC291" i="4" s="1"/>
  <c r="AF291" i="4"/>
  <c r="B293" i="4"/>
  <c r="AV294" i="4"/>
  <c r="AY293" i="4"/>
  <c r="AK292" i="4"/>
  <c r="L292" i="4"/>
  <c r="N292" i="4"/>
  <c r="O292" i="4"/>
  <c r="J292" i="4"/>
  <c r="AI292" i="4"/>
  <c r="AM292" i="4"/>
  <c r="AJ292" i="4"/>
  <c r="AH292" i="4"/>
  <c r="P292" i="4"/>
  <c r="M292" i="4"/>
  <c r="AL292" i="4"/>
  <c r="F292" i="4"/>
  <c r="K292" i="4"/>
  <c r="AP291" i="4"/>
  <c r="V266" i="29" l="1"/>
  <c r="W266" i="29" s="1"/>
  <c r="P266" i="29"/>
  <c r="K267" i="29"/>
  <c r="N267" i="29" s="1"/>
  <c r="K204" i="7"/>
  <c r="I197" i="7"/>
  <c r="J197" i="7" s="1"/>
  <c r="I210" i="7"/>
  <c r="J210" i="7" s="1"/>
  <c r="I245" i="7"/>
  <c r="J245" i="7" s="1"/>
  <c r="I231" i="7"/>
  <c r="J231" i="7" s="1"/>
  <c r="I255" i="7"/>
  <c r="J255" i="7" s="1"/>
  <c r="K194" i="7"/>
  <c r="I228" i="7"/>
  <c r="J228" i="7" s="1"/>
  <c r="I186" i="7"/>
  <c r="J186" i="7" s="1"/>
  <c r="K238" i="7"/>
  <c r="I251" i="7"/>
  <c r="J251" i="7" s="1"/>
  <c r="K209" i="7"/>
  <c r="K227" i="7"/>
  <c r="I180" i="7"/>
  <c r="J180" i="7" s="1"/>
  <c r="K241" i="7"/>
  <c r="I238" i="7"/>
  <c r="J238" i="7" s="1"/>
  <c r="K217" i="7"/>
  <c r="K235" i="7"/>
  <c r="K206" i="7"/>
  <c r="I227" i="7"/>
  <c r="J227" i="7" s="1"/>
  <c r="I220" i="7"/>
  <c r="J220" i="7" s="1"/>
  <c r="I240" i="7"/>
  <c r="J240" i="7" s="1"/>
  <c r="I190" i="7"/>
  <c r="J190" i="7" s="1"/>
  <c r="K252" i="7"/>
  <c r="K242" i="7"/>
  <c r="I184" i="7"/>
  <c r="J184" i="7" s="1"/>
  <c r="I256" i="7"/>
  <c r="J256" i="7" s="1"/>
  <c r="I209" i="7"/>
  <c r="J209" i="7" s="1"/>
  <c r="I253" i="7"/>
  <c r="J253" i="7" s="1"/>
  <c r="I181" i="7"/>
  <c r="J181" i="7" s="1"/>
  <c r="I207" i="7"/>
  <c r="J207" i="7" s="1"/>
  <c r="I218" i="7"/>
  <c r="J218" i="7" s="1"/>
  <c r="I188" i="7"/>
  <c r="J188" i="7" s="1"/>
  <c r="I189" i="7"/>
  <c r="J189" i="7" s="1"/>
  <c r="I203" i="7"/>
  <c r="J203" i="7" s="1"/>
  <c r="I257" i="7"/>
  <c r="J257" i="7" s="1"/>
  <c r="K186" i="7"/>
  <c r="K211" i="7"/>
  <c r="I211" i="7"/>
  <c r="J211" i="7" s="1"/>
  <c r="K215" i="7"/>
  <c r="I243" i="7"/>
  <c r="J243" i="7" s="1"/>
  <c r="I219" i="7"/>
  <c r="J219" i="7" s="1"/>
  <c r="K255" i="7"/>
  <c r="I230" i="7"/>
  <c r="J230" i="7" s="1"/>
  <c r="K253" i="7"/>
  <c r="K223" i="7"/>
  <c r="I226" i="7"/>
  <c r="J226" i="7" s="1"/>
  <c r="I195" i="7"/>
  <c r="J195" i="7" s="1"/>
  <c r="I234" i="7"/>
  <c r="J234" i="7" s="1"/>
  <c r="K248" i="7"/>
  <c r="K210" i="7"/>
  <c r="I208" i="7"/>
  <c r="J208" i="7" s="1"/>
  <c r="I246" i="7"/>
  <c r="J246" i="7" s="1"/>
  <c r="K249" i="7"/>
  <c r="K244" i="7"/>
  <c r="I213" i="7"/>
  <c r="J213" i="7" s="1"/>
  <c r="I254" i="7"/>
  <c r="J254" i="7" s="1"/>
  <c r="K201" i="7"/>
  <c r="K231" i="7"/>
  <c r="K251" i="7"/>
  <c r="K245" i="7"/>
  <c r="K219" i="7"/>
  <c r="I235" i="7"/>
  <c r="J235" i="7" s="1"/>
  <c r="K233" i="7"/>
  <c r="K247" i="7"/>
  <c r="I221" i="7"/>
  <c r="J221" i="7" s="1"/>
  <c r="K183" i="7"/>
  <c r="I192" i="7"/>
  <c r="J192" i="7" s="1"/>
  <c r="K178" i="7"/>
  <c r="K213" i="7"/>
  <c r="I215" i="7"/>
  <c r="J215" i="7" s="1"/>
  <c r="I239" i="7"/>
  <c r="J239" i="7" s="1"/>
  <c r="I199" i="7"/>
  <c r="J199" i="7" s="1"/>
  <c r="K185" i="7"/>
  <c r="K195" i="7"/>
  <c r="I196" i="7"/>
  <c r="J196" i="7" s="1"/>
  <c r="I214" i="7"/>
  <c r="J214" i="7" s="1"/>
  <c r="K180" i="7"/>
  <c r="K207" i="7"/>
  <c r="K228" i="7"/>
  <c r="K181" i="7"/>
  <c r="I223" i="7"/>
  <c r="J223" i="7" s="1"/>
  <c r="I200" i="7"/>
  <c r="J200" i="7" s="1"/>
  <c r="I206" i="7"/>
  <c r="J206" i="7" s="1"/>
  <c r="K203" i="7"/>
  <c r="I201" i="7"/>
  <c r="J201" i="7" s="1"/>
  <c r="I233" i="7"/>
  <c r="J233" i="7" s="1"/>
  <c r="I183" i="7"/>
  <c r="J183" i="7" s="1"/>
  <c r="K246" i="7"/>
  <c r="I205" i="7"/>
  <c r="J205" i="7" s="1"/>
  <c r="K177" i="7"/>
  <c r="I232" i="7"/>
  <c r="J232" i="7" s="1"/>
  <c r="I202" i="7"/>
  <c r="J202" i="7" s="1"/>
  <c r="I191" i="7"/>
  <c r="J191" i="7" s="1"/>
  <c r="K197" i="7"/>
  <c r="I247" i="7"/>
  <c r="J247" i="7" s="1"/>
  <c r="K234" i="7"/>
  <c r="I229" i="7"/>
  <c r="J229" i="7" s="1"/>
  <c r="K184" i="7"/>
  <c r="I237" i="7"/>
  <c r="J237" i="7" s="1"/>
  <c r="K199" i="7"/>
  <c r="K226" i="7"/>
  <c r="I248" i="7"/>
  <c r="J248" i="7" s="1"/>
  <c r="K208" i="7"/>
  <c r="K254" i="7"/>
  <c r="I222" i="7"/>
  <c r="J222" i="7" s="1"/>
  <c r="K212" i="7"/>
  <c r="I177" i="7"/>
  <c r="J177" i="7" s="1"/>
  <c r="K188" i="7"/>
  <c r="I224" i="7"/>
  <c r="J224" i="7" s="1"/>
  <c r="I250" i="7"/>
  <c r="J250" i="7" s="1"/>
  <c r="K182" i="7"/>
  <c r="K187" i="7"/>
  <c r="K216" i="7"/>
  <c r="K237" i="7"/>
  <c r="K240" i="7"/>
  <c r="K222" i="7"/>
  <c r="I236" i="7"/>
  <c r="J236" i="7" s="1"/>
  <c r="K196" i="7"/>
  <c r="I178" i="7"/>
  <c r="J178" i="7" s="1"/>
  <c r="I179" i="7"/>
  <c r="J179" i="7" s="1"/>
  <c r="I185" i="7"/>
  <c r="J185" i="7" s="1"/>
  <c r="K218" i="7"/>
  <c r="K229" i="7"/>
  <c r="I182" i="7"/>
  <c r="J182" i="7" s="1"/>
  <c r="K189" i="7"/>
  <c r="I242" i="7"/>
  <c r="J242" i="7" s="1"/>
  <c r="K232" i="7"/>
  <c r="I216" i="7"/>
  <c r="J216" i="7" s="1"/>
  <c r="K256" i="7"/>
  <c r="K220" i="7"/>
  <c r="I217" i="7"/>
  <c r="J217" i="7" s="1"/>
  <c r="K202" i="7"/>
  <c r="K225" i="7"/>
  <c r="K192" i="7"/>
  <c r="K198" i="7"/>
  <c r="I194" i="7"/>
  <c r="J194" i="7" s="1"/>
  <c r="K191" i="7"/>
  <c r="I204" i="7"/>
  <c r="J204" i="7" s="1"/>
  <c r="I241" i="7"/>
  <c r="J241" i="7" s="1"/>
  <c r="K214" i="7"/>
  <c r="K236" i="7"/>
  <c r="K190" i="7"/>
  <c r="I225" i="7"/>
  <c r="J225" i="7" s="1"/>
  <c r="K179" i="7"/>
  <c r="K230" i="7"/>
  <c r="I252" i="7"/>
  <c r="J252" i="7" s="1"/>
  <c r="K243" i="7"/>
  <c r="K250" i="7"/>
  <c r="I198" i="7"/>
  <c r="J198" i="7" s="1"/>
  <c r="K200" i="7"/>
  <c r="K221" i="7"/>
  <c r="K257" i="7"/>
  <c r="I212" i="7"/>
  <c r="J212" i="7" s="1"/>
  <c r="I249" i="7"/>
  <c r="J249" i="7" s="1"/>
  <c r="I187" i="7"/>
  <c r="J187" i="7" s="1"/>
  <c r="I193" i="7"/>
  <c r="J193" i="7" s="1"/>
  <c r="K193" i="7"/>
  <c r="K205" i="7"/>
  <c r="I244" i="7"/>
  <c r="J244" i="7" s="1"/>
  <c r="AQ291" i="4"/>
  <c r="K239" i="7"/>
  <c r="K224" i="7"/>
  <c r="AB268" i="29"/>
  <c r="AE291" i="4"/>
  <c r="O268" i="29"/>
  <c r="B270" i="29"/>
  <c r="AD271" i="29"/>
  <c r="AI270" i="29"/>
  <c r="J268" i="29"/>
  <c r="Y268" i="29" s="1"/>
  <c r="I268" i="29"/>
  <c r="K268" i="29" s="1"/>
  <c r="N268" i="29" s="1"/>
  <c r="E269" i="29"/>
  <c r="R269" i="29"/>
  <c r="Q269" i="29"/>
  <c r="S269" i="29"/>
  <c r="U269" i="29"/>
  <c r="T269" i="29"/>
  <c r="G269" i="29"/>
  <c r="Z267" i="29"/>
  <c r="AE269" i="29"/>
  <c r="AA269" i="29" s="1"/>
  <c r="AF269" i="29"/>
  <c r="AN290" i="4"/>
  <c r="AO290" i="4" s="1"/>
  <c r="AG290" i="4"/>
  <c r="AD291" i="4"/>
  <c r="AF292" i="4"/>
  <c r="AX293" i="4"/>
  <c r="AW293" i="4"/>
  <c r="AG289" i="4"/>
  <c r="AN289" i="4"/>
  <c r="AO289" i="4" s="1"/>
  <c r="AY294" i="4"/>
  <c r="B294" i="4"/>
  <c r="AV295" i="4"/>
  <c r="AD290" i="4"/>
  <c r="L293" i="4"/>
  <c r="F293" i="4"/>
  <c r="AM293" i="4"/>
  <c r="AI293" i="4"/>
  <c r="O293" i="4"/>
  <c r="J293" i="4"/>
  <c r="N293" i="4"/>
  <c r="AL293" i="4"/>
  <c r="K293" i="4"/>
  <c r="AH293" i="4"/>
  <c r="AK293" i="4"/>
  <c r="P293" i="4"/>
  <c r="AJ293" i="4"/>
  <c r="M293" i="4"/>
  <c r="U292" i="4"/>
  <c r="AP292" i="4" s="1"/>
  <c r="R292" i="4"/>
  <c r="Z292" i="4" s="1"/>
  <c r="V292" i="4"/>
  <c r="AA292" i="4" s="1"/>
  <c r="X292" i="4"/>
  <c r="AC292" i="4" s="1"/>
  <c r="W292" i="4"/>
  <c r="AB292" i="4" s="1"/>
  <c r="Q292" i="4"/>
  <c r="Y292" i="4" s="1"/>
  <c r="V267" i="29" l="1"/>
  <c r="W267" i="29" s="1"/>
  <c r="P267" i="29"/>
  <c r="J258" i="7"/>
  <c r="Z268" i="29"/>
  <c r="AQ292" i="4"/>
  <c r="AB269" i="29"/>
  <c r="AE292" i="4"/>
  <c r="I269" i="29"/>
  <c r="K269" i="29" s="1"/>
  <c r="J269" i="29"/>
  <c r="Y269" i="29" s="1"/>
  <c r="AE270" i="29"/>
  <c r="AA270" i="29" s="1"/>
  <c r="AF270" i="29"/>
  <c r="V268" i="29"/>
  <c r="W268" i="29" s="1"/>
  <c r="P268" i="29"/>
  <c r="O269" i="29"/>
  <c r="AD272" i="29"/>
  <c r="B271" i="29"/>
  <c r="AI271" i="29"/>
  <c r="E270" i="29"/>
  <c r="R270" i="29"/>
  <c r="G270" i="29"/>
  <c r="S270" i="29"/>
  <c r="T270" i="29"/>
  <c r="U270" i="29"/>
  <c r="Q270" i="29"/>
  <c r="AY295" i="4"/>
  <c r="AV296" i="4"/>
  <c r="B295" i="4"/>
  <c r="K294" i="4"/>
  <c r="AK294" i="4"/>
  <c r="P294" i="4"/>
  <c r="N294" i="4"/>
  <c r="AM294" i="4"/>
  <c r="AL294" i="4"/>
  <c r="J294" i="4"/>
  <c r="M294" i="4"/>
  <c r="L294" i="4"/>
  <c r="AH294" i="4"/>
  <c r="AI294" i="4"/>
  <c r="AJ294" i="4"/>
  <c r="O294" i="4"/>
  <c r="F294" i="4"/>
  <c r="AF293" i="4"/>
  <c r="AX294" i="4"/>
  <c r="AW294" i="4"/>
  <c r="AN291" i="4"/>
  <c r="AO291" i="4" s="1"/>
  <c r="AG291" i="4"/>
  <c r="R293" i="4"/>
  <c r="Z293" i="4" s="1"/>
  <c r="Q293" i="4"/>
  <c r="Y293" i="4" s="1"/>
  <c r="X293" i="4"/>
  <c r="AC293" i="4" s="1"/>
  <c r="V293" i="4"/>
  <c r="AA293" i="4" s="1"/>
  <c r="U293" i="4"/>
  <c r="AP293" i="4" s="1"/>
  <c r="W293" i="4"/>
  <c r="AB293" i="4" s="1"/>
  <c r="AB270" i="29" l="1"/>
  <c r="N269" i="29"/>
  <c r="AQ293" i="4"/>
  <c r="AE293" i="4"/>
  <c r="Z269" i="29"/>
  <c r="V269" i="29"/>
  <c r="W269" i="29" s="1"/>
  <c r="P269" i="29"/>
  <c r="AD273" i="29"/>
  <c r="B272" i="29"/>
  <c r="AI272" i="29"/>
  <c r="I270" i="29"/>
  <c r="J270" i="29"/>
  <c r="Y270" i="29" s="1"/>
  <c r="AE271" i="29"/>
  <c r="AA271" i="29" s="1"/>
  <c r="AF271" i="29"/>
  <c r="O270" i="29"/>
  <c r="E271" i="29"/>
  <c r="R271" i="29"/>
  <c r="Q271" i="29"/>
  <c r="T271" i="29"/>
  <c r="G271" i="29"/>
  <c r="U271" i="29"/>
  <c r="S271" i="29"/>
  <c r="AN292" i="4"/>
  <c r="AO292" i="4" s="1"/>
  <c r="AG292" i="4"/>
  <c r="O295" i="4"/>
  <c r="N295" i="4"/>
  <c r="P295" i="4"/>
  <c r="AI295" i="4"/>
  <c r="F295" i="4"/>
  <c r="J295" i="4"/>
  <c r="AL295" i="4"/>
  <c r="AJ295" i="4"/>
  <c r="K295" i="4"/>
  <c r="AM295" i="4"/>
  <c r="L295" i="4"/>
  <c r="M295" i="4"/>
  <c r="AH295" i="4"/>
  <c r="AK295" i="4"/>
  <c r="AY296" i="4"/>
  <c r="AV297" i="4"/>
  <c r="B296" i="4"/>
  <c r="AD292" i="4"/>
  <c r="AD293" i="4"/>
  <c r="R294" i="4"/>
  <c r="Z294" i="4" s="1"/>
  <c r="Q294" i="4"/>
  <c r="Y294" i="4" s="1"/>
  <c r="W294" i="4"/>
  <c r="AB294" i="4" s="1"/>
  <c r="V294" i="4"/>
  <c r="AA294" i="4" s="1"/>
  <c r="U294" i="4"/>
  <c r="AP294" i="4" s="1"/>
  <c r="X294" i="4"/>
  <c r="AC294" i="4" s="1"/>
  <c r="AF294" i="4"/>
  <c r="AX295" i="4"/>
  <c r="AW295" i="4"/>
  <c r="K270" i="29" l="1"/>
  <c r="N270" i="29" s="1"/>
  <c r="AB271" i="29"/>
  <c r="AQ294" i="4"/>
  <c r="AE294" i="4"/>
  <c r="Z270" i="29"/>
  <c r="J271" i="29"/>
  <c r="I271" i="29"/>
  <c r="K271" i="29" s="1"/>
  <c r="AF272" i="29"/>
  <c r="AE272" i="29"/>
  <c r="AA272" i="29" s="1"/>
  <c r="U272" i="29"/>
  <c r="G272" i="29"/>
  <c r="E272" i="29"/>
  <c r="R272" i="29"/>
  <c r="S272" i="29"/>
  <c r="T272" i="29"/>
  <c r="Q272" i="29"/>
  <c r="O271" i="29"/>
  <c r="B273" i="29"/>
  <c r="AD274" i="29"/>
  <c r="AI273" i="29"/>
  <c r="Y271" i="29"/>
  <c r="AF295" i="4"/>
  <c r="AL296" i="4"/>
  <c r="J296" i="4"/>
  <c r="AJ296" i="4"/>
  <c r="AK296" i="4"/>
  <c r="AH296" i="4"/>
  <c r="M296" i="4"/>
  <c r="F296" i="4"/>
  <c r="AI296" i="4"/>
  <c r="O296" i="4"/>
  <c r="P296" i="4"/>
  <c r="N296" i="4"/>
  <c r="AM296" i="4"/>
  <c r="K296" i="4"/>
  <c r="L296" i="4"/>
  <c r="AV298" i="4"/>
  <c r="B297" i="4"/>
  <c r="AY297" i="4"/>
  <c r="R295" i="4"/>
  <c r="Z295" i="4" s="1"/>
  <c r="Q295" i="4"/>
  <c r="Y295" i="4" s="1"/>
  <c r="W295" i="4"/>
  <c r="AB295" i="4" s="1"/>
  <c r="X295" i="4"/>
  <c r="AC295" i="4" s="1"/>
  <c r="V295" i="4"/>
  <c r="AA295" i="4" s="1"/>
  <c r="U295" i="4"/>
  <c r="AP295" i="4" s="1"/>
  <c r="AX296" i="4"/>
  <c r="AW296" i="4"/>
  <c r="P270" i="29" l="1"/>
  <c r="V270" i="29"/>
  <c r="W270" i="29" s="1"/>
  <c r="AB272" i="29"/>
  <c r="N271" i="29"/>
  <c r="AQ295" i="4"/>
  <c r="AE295" i="4"/>
  <c r="Z271" i="29"/>
  <c r="O272" i="29"/>
  <c r="AE273" i="29"/>
  <c r="AA273" i="29" s="1"/>
  <c r="AF273" i="29"/>
  <c r="I272" i="29"/>
  <c r="J272" i="29"/>
  <c r="Y272" i="29" s="1"/>
  <c r="B274" i="29"/>
  <c r="AD275" i="29"/>
  <c r="AI274" i="29"/>
  <c r="E273" i="29"/>
  <c r="T273" i="29"/>
  <c r="R273" i="29"/>
  <c r="S273" i="29"/>
  <c r="G273" i="29"/>
  <c r="U273" i="29"/>
  <c r="Q273" i="29"/>
  <c r="V271" i="29"/>
  <c r="W271" i="29" s="1"/>
  <c r="P271" i="29"/>
  <c r="AD294" i="4"/>
  <c r="AG294" i="4"/>
  <c r="AN294" i="4"/>
  <c r="AO294" i="4" s="1"/>
  <c r="P297" i="4"/>
  <c r="L297" i="4"/>
  <c r="F297" i="4"/>
  <c r="M297" i="4"/>
  <c r="AI297" i="4"/>
  <c r="O297" i="4"/>
  <c r="AJ297" i="4"/>
  <c r="J297" i="4"/>
  <c r="AK297" i="4"/>
  <c r="K297" i="4"/>
  <c r="AL297" i="4"/>
  <c r="AM297" i="4"/>
  <c r="N297" i="4"/>
  <c r="AH297" i="4"/>
  <c r="AN293" i="4"/>
  <c r="AO293" i="4" s="1"/>
  <c r="AG293" i="4"/>
  <c r="AD295" i="4"/>
  <c r="AY298" i="4"/>
  <c r="B298" i="4"/>
  <c r="AV299" i="4"/>
  <c r="AF296" i="4"/>
  <c r="R296" i="4"/>
  <c r="Z296" i="4" s="1"/>
  <c r="W296" i="4"/>
  <c r="AB296" i="4" s="1"/>
  <c r="V296" i="4"/>
  <c r="AA296" i="4" s="1"/>
  <c r="Q296" i="4"/>
  <c r="Y296" i="4" s="1"/>
  <c r="U296" i="4"/>
  <c r="AP296" i="4" s="1"/>
  <c r="X296" i="4"/>
  <c r="AC296" i="4" s="1"/>
  <c r="AW297" i="4"/>
  <c r="AX297" i="4"/>
  <c r="K272" i="29" l="1"/>
  <c r="N272" i="29" s="1"/>
  <c r="AB273" i="29"/>
  <c r="AQ296" i="4"/>
  <c r="AE296" i="4"/>
  <c r="Z272" i="29"/>
  <c r="O273" i="29"/>
  <c r="B275" i="29"/>
  <c r="AD276" i="29"/>
  <c r="AI275" i="29"/>
  <c r="E274" i="29"/>
  <c r="Q274" i="29"/>
  <c r="G274" i="29"/>
  <c r="R274" i="29"/>
  <c r="S274" i="29"/>
  <c r="U274" i="29"/>
  <c r="T274" i="29"/>
  <c r="I273" i="29"/>
  <c r="K273" i="29" s="1"/>
  <c r="N273" i="29" s="1"/>
  <c r="J273" i="29"/>
  <c r="Y273" i="29" s="1"/>
  <c r="Z273" i="29" s="1"/>
  <c r="AE274" i="29"/>
  <c r="AA274" i="29" s="1"/>
  <c r="AF274" i="29"/>
  <c r="AX298" i="4"/>
  <c r="AW298" i="4"/>
  <c r="R297" i="4"/>
  <c r="Z297" i="4" s="1"/>
  <c r="Q297" i="4"/>
  <c r="Y297" i="4" s="1"/>
  <c r="U297" i="4"/>
  <c r="AP297" i="4" s="1"/>
  <c r="X297" i="4"/>
  <c r="AC297" i="4" s="1"/>
  <c r="W297" i="4"/>
  <c r="AB297" i="4" s="1"/>
  <c r="V297" i="4"/>
  <c r="AA297" i="4" s="1"/>
  <c r="AD296" i="4"/>
  <c r="AV300" i="4"/>
  <c r="B299" i="4"/>
  <c r="AY299" i="4"/>
  <c r="AF297" i="4"/>
  <c r="P298" i="4"/>
  <c r="AM298" i="4"/>
  <c r="AL298" i="4"/>
  <c r="AK298" i="4"/>
  <c r="AH298" i="4"/>
  <c r="AJ298" i="4"/>
  <c r="K298" i="4"/>
  <c r="O298" i="4"/>
  <c r="AI298" i="4"/>
  <c r="F298" i="4"/>
  <c r="L298" i="4"/>
  <c r="N298" i="4"/>
  <c r="M298" i="4"/>
  <c r="J298" i="4"/>
  <c r="P272" i="29" l="1"/>
  <c r="V272" i="29"/>
  <c r="W272" i="29" s="1"/>
  <c r="AQ297" i="4"/>
  <c r="AB274" i="29"/>
  <c r="AE297" i="4"/>
  <c r="O274" i="29"/>
  <c r="B276" i="29"/>
  <c r="AI276" i="29"/>
  <c r="AD277" i="29"/>
  <c r="V273" i="29"/>
  <c r="W273" i="29" s="1"/>
  <c r="P273" i="29"/>
  <c r="I274" i="29"/>
  <c r="K274" i="29" s="1"/>
  <c r="J274" i="29"/>
  <c r="Y274" i="29" s="1"/>
  <c r="E275" i="29"/>
  <c r="T275" i="29"/>
  <c r="S275" i="29"/>
  <c r="Q275" i="29"/>
  <c r="U275" i="29"/>
  <c r="G275" i="29"/>
  <c r="R275" i="29"/>
  <c r="AF275" i="29"/>
  <c r="AE275" i="29"/>
  <c r="AA275" i="29" s="1"/>
  <c r="AX299" i="4"/>
  <c r="AW299" i="4"/>
  <c r="V298" i="4"/>
  <c r="AA298" i="4" s="1"/>
  <c r="Q298" i="4"/>
  <c r="Y298" i="4" s="1"/>
  <c r="U298" i="4"/>
  <c r="AP298" i="4" s="1"/>
  <c r="R298" i="4"/>
  <c r="Z298" i="4" s="1"/>
  <c r="X298" i="4"/>
  <c r="AC298" i="4" s="1"/>
  <c r="W298" i="4"/>
  <c r="AB298" i="4" s="1"/>
  <c r="AG295" i="4"/>
  <c r="AN295" i="4"/>
  <c r="AO295" i="4" s="1"/>
  <c r="AF298" i="4"/>
  <c r="AL299" i="4"/>
  <c r="AJ299" i="4"/>
  <c r="K299" i="4"/>
  <c r="L299" i="4"/>
  <c r="AK299" i="4"/>
  <c r="AI299" i="4"/>
  <c r="J299" i="4"/>
  <c r="M299" i="4"/>
  <c r="AM299" i="4"/>
  <c r="AH299" i="4"/>
  <c r="F299" i="4"/>
  <c r="O299" i="4"/>
  <c r="N299" i="4"/>
  <c r="P299" i="4"/>
  <c r="AD297" i="4"/>
  <c r="L603" i="7"/>
  <c r="B300" i="4"/>
  <c r="AV301" i="4"/>
  <c r="AY300" i="4"/>
  <c r="N274" i="29" l="1"/>
  <c r="AQ298" i="4"/>
  <c r="AB275" i="29"/>
  <c r="AE298" i="4"/>
  <c r="Z274" i="29"/>
  <c r="O275" i="29"/>
  <c r="AF276" i="29"/>
  <c r="AE276" i="29"/>
  <c r="AA276" i="29" s="1"/>
  <c r="T276" i="29"/>
  <c r="Q276" i="29"/>
  <c r="G276" i="29"/>
  <c r="E276" i="29"/>
  <c r="R276" i="29"/>
  <c r="S276" i="29"/>
  <c r="U276" i="29"/>
  <c r="J275" i="29"/>
  <c r="Y275" i="29" s="1"/>
  <c r="I275" i="29"/>
  <c r="P274" i="29"/>
  <c r="V274" i="29"/>
  <c r="W274" i="29" s="1"/>
  <c r="AI277" i="29"/>
  <c r="B277" i="29"/>
  <c r="AD278" i="29"/>
  <c r="AF299" i="4"/>
  <c r="X299" i="4"/>
  <c r="AC299" i="4" s="1"/>
  <c r="U299" i="4"/>
  <c r="AP299" i="4" s="1"/>
  <c r="V299" i="4"/>
  <c r="AA299" i="4" s="1"/>
  <c r="W299" i="4"/>
  <c r="AB299" i="4" s="1"/>
  <c r="Q299" i="4"/>
  <c r="Y299" i="4" s="1"/>
  <c r="R299" i="4"/>
  <c r="Z299" i="4" s="1"/>
  <c r="AQ299" i="4" s="1"/>
  <c r="AN296" i="4"/>
  <c r="AO296" i="4" s="1"/>
  <c r="AG296" i="4"/>
  <c r="N300" i="4"/>
  <c r="J300" i="4"/>
  <c r="AL300" i="4"/>
  <c r="F300" i="4"/>
  <c r="O300" i="4"/>
  <c r="AM300" i="4"/>
  <c r="AI300" i="4"/>
  <c r="P300" i="4"/>
  <c r="M300" i="4"/>
  <c r="AK300" i="4"/>
  <c r="AJ300" i="4"/>
  <c r="K300" i="4"/>
  <c r="L300" i="4"/>
  <c r="AH300" i="4"/>
  <c r="AX300" i="4"/>
  <c r="AW300" i="4"/>
  <c r="B301" i="4"/>
  <c r="AY301" i="4"/>
  <c r="AV302" i="4"/>
  <c r="AV305" i="4"/>
  <c r="AD298" i="4"/>
  <c r="AB276" i="29" l="1"/>
  <c r="K275" i="29"/>
  <c r="N275" i="29" s="1"/>
  <c r="AE299" i="4"/>
  <c r="AE277" i="29"/>
  <c r="AA277" i="29" s="1"/>
  <c r="AF277" i="29"/>
  <c r="AI278" i="29"/>
  <c r="B278" i="29"/>
  <c r="AD279" i="29"/>
  <c r="O276" i="29"/>
  <c r="I276" i="29"/>
  <c r="J276" i="29"/>
  <c r="Y276" i="29" s="1"/>
  <c r="Z275" i="29"/>
  <c r="U277" i="29"/>
  <c r="E277" i="29"/>
  <c r="G277" i="29"/>
  <c r="S277" i="29"/>
  <c r="T277" i="29"/>
  <c r="Q277" i="29"/>
  <c r="R277" i="29"/>
  <c r="AF300" i="4"/>
  <c r="P301" i="4"/>
  <c r="AI301" i="4"/>
  <c r="AL301" i="4"/>
  <c r="AK301" i="4"/>
  <c r="M301" i="4"/>
  <c r="O301" i="4"/>
  <c r="J301" i="4"/>
  <c r="N301" i="4"/>
  <c r="K301" i="4"/>
  <c r="AH301" i="4"/>
  <c r="F301" i="4"/>
  <c r="AM301" i="4"/>
  <c r="L301" i="4"/>
  <c r="AJ301" i="4"/>
  <c r="AV306" i="4"/>
  <c r="AV303" i="4"/>
  <c r="AY302" i="4"/>
  <c r="B302" i="4"/>
  <c r="L604" i="7"/>
  <c r="AD299" i="4"/>
  <c r="AN297" i="4"/>
  <c r="AO297" i="4" s="1"/>
  <c r="AG297" i="4"/>
  <c r="AY305" i="4"/>
  <c r="B305" i="4"/>
  <c r="AW301" i="4"/>
  <c r="AX301" i="4"/>
  <c r="R300" i="4"/>
  <c r="Z300" i="4" s="1"/>
  <c r="V300" i="4"/>
  <c r="AA300" i="4" s="1"/>
  <c r="Q300" i="4"/>
  <c r="Y300" i="4" s="1"/>
  <c r="U300" i="4"/>
  <c r="AP300" i="4" s="1"/>
  <c r="W300" i="4"/>
  <c r="AB300" i="4" s="1"/>
  <c r="X300" i="4"/>
  <c r="AC300" i="4" s="1"/>
  <c r="AM302" i="4" l="1"/>
  <c r="AI302" i="4"/>
  <c r="N302" i="4"/>
  <c r="J302" i="4"/>
  <c r="AK302" i="4"/>
  <c r="P302" i="4"/>
  <c r="L302" i="4"/>
  <c r="AH302" i="4"/>
  <c r="F302" i="4"/>
  <c r="O302" i="4"/>
  <c r="M302" i="4"/>
  <c r="K302" i="4"/>
  <c r="AL302" i="4"/>
  <c r="AJ302" i="4"/>
  <c r="P275" i="29"/>
  <c r="V275" i="29"/>
  <c r="W275" i="29" s="1"/>
  <c r="AB277" i="29"/>
  <c r="K276" i="29"/>
  <c r="N276" i="29" s="1"/>
  <c r="AQ300" i="4"/>
  <c r="AE300" i="4"/>
  <c r="Z276" i="29"/>
  <c r="AI279" i="29"/>
  <c r="AD280" i="29"/>
  <c r="B279" i="29"/>
  <c r="S278" i="29"/>
  <c r="E278" i="29"/>
  <c r="G278" i="29"/>
  <c r="Q278" i="29"/>
  <c r="U278" i="29"/>
  <c r="T278" i="29"/>
  <c r="R278" i="29"/>
  <c r="O277" i="29"/>
  <c r="AF278" i="29"/>
  <c r="AE278" i="29"/>
  <c r="AA278" i="29" s="1"/>
  <c r="J277" i="29"/>
  <c r="Y277" i="29" s="1"/>
  <c r="I277" i="29"/>
  <c r="K277" i="29" s="1"/>
  <c r="AM305" i="4"/>
  <c r="L305" i="4"/>
  <c r="AL305" i="4"/>
  <c r="K305" i="4"/>
  <c r="N305" i="4"/>
  <c r="AH305" i="4"/>
  <c r="AI305" i="4"/>
  <c r="J305" i="4"/>
  <c r="AJ305" i="4"/>
  <c r="P305" i="4"/>
  <c r="O305" i="4"/>
  <c r="M305" i="4"/>
  <c r="AK305" i="4"/>
  <c r="F305" i="4"/>
  <c r="AN298" i="4"/>
  <c r="AO298" i="4" s="1"/>
  <c r="AG298" i="4"/>
  <c r="AY306" i="4"/>
  <c r="B306" i="4"/>
  <c r="Q301" i="4"/>
  <c r="Y301" i="4" s="1"/>
  <c r="U301" i="4"/>
  <c r="AP301" i="4" s="1"/>
  <c r="R301" i="4"/>
  <c r="Z301" i="4" s="1"/>
  <c r="W301" i="4"/>
  <c r="AB301" i="4" s="1"/>
  <c r="V301" i="4"/>
  <c r="AA301" i="4" s="1"/>
  <c r="X301" i="4"/>
  <c r="AC301" i="4" s="1"/>
  <c r="AX305" i="4"/>
  <c r="AW305" i="4"/>
  <c r="AX302" i="4"/>
  <c r="AW302" i="4"/>
  <c r="AV307" i="4"/>
  <c r="AV304" i="4"/>
  <c r="B303" i="4"/>
  <c r="AY303" i="4"/>
  <c r="AF301" i="4"/>
  <c r="AK303" i="4" l="1"/>
  <c r="P303" i="4"/>
  <c r="L303" i="4"/>
  <c r="AM303" i="4"/>
  <c r="AI303" i="4"/>
  <c r="N303" i="4"/>
  <c r="J303" i="4"/>
  <c r="AJ303" i="4"/>
  <c r="K303" i="4"/>
  <c r="AH303" i="4"/>
  <c r="F303" i="4"/>
  <c r="O303" i="4"/>
  <c r="M303" i="4"/>
  <c r="AL303" i="4"/>
  <c r="P276" i="29"/>
  <c r="V276" i="29"/>
  <c r="W276" i="29" s="1"/>
  <c r="N277" i="29"/>
  <c r="P277" i="29" s="1"/>
  <c r="AQ301" i="4"/>
  <c r="AB278" i="29"/>
  <c r="AE301" i="4"/>
  <c r="AD300" i="4"/>
  <c r="E279" i="29"/>
  <c r="R279" i="29"/>
  <c r="T279" i="29"/>
  <c r="U279" i="29"/>
  <c r="Q279" i="29"/>
  <c r="S279" i="29"/>
  <c r="G279" i="29"/>
  <c r="Z277" i="29"/>
  <c r="B280" i="29"/>
  <c r="AD281" i="29"/>
  <c r="AI280" i="29"/>
  <c r="AF279" i="29"/>
  <c r="AE279" i="29"/>
  <c r="AA279" i="29" s="1"/>
  <c r="I278" i="29"/>
  <c r="K278" i="29" s="1"/>
  <c r="J278" i="29"/>
  <c r="Y278" i="29" s="1"/>
  <c r="O278" i="29"/>
  <c r="AL306" i="4"/>
  <c r="N306" i="4"/>
  <c r="F306" i="4"/>
  <c r="AH306" i="4"/>
  <c r="AJ306" i="4"/>
  <c r="J306" i="4"/>
  <c r="M306" i="4"/>
  <c r="AK306" i="4"/>
  <c r="O306" i="4"/>
  <c r="AI306" i="4"/>
  <c r="P306" i="4"/>
  <c r="L306" i="4"/>
  <c r="AM306" i="4"/>
  <c r="K306" i="4"/>
  <c r="AF305" i="4"/>
  <c r="U305" i="4"/>
  <c r="AP305" i="4" s="1"/>
  <c r="V305" i="4"/>
  <c r="AA305" i="4" s="1"/>
  <c r="Q305" i="4"/>
  <c r="Y305" i="4" s="1"/>
  <c r="X305" i="4"/>
  <c r="AC305" i="4" s="1"/>
  <c r="W305" i="4"/>
  <c r="AB305" i="4" s="1"/>
  <c r="R305" i="4"/>
  <c r="Z305" i="4" s="1"/>
  <c r="AD301" i="4"/>
  <c r="AW306" i="4"/>
  <c r="AX306" i="4"/>
  <c r="AG299" i="4"/>
  <c r="AN299" i="4"/>
  <c r="AO299" i="4" s="1"/>
  <c r="B307" i="4"/>
  <c r="AY307" i="4"/>
  <c r="AW303" i="4"/>
  <c r="AX303" i="4"/>
  <c r="AV308" i="4"/>
  <c r="B304" i="4"/>
  <c r="AY304" i="4"/>
  <c r="U302" i="4"/>
  <c r="AP302" i="4" s="1"/>
  <c r="W302" i="4"/>
  <c r="AB302" i="4" s="1"/>
  <c r="V302" i="4"/>
  <c r="AA302" i="4" s="1"/>
  <c r="X302" i="4"/>
  <c r="AC302" i="4" s="1"/>
  <c r="Q302" i="4"/>
  <c r="Y302" i="4" s="1"/>
  <c r="R302" i="4"/>
  <c r="Z302" i="4" s="1"/>
  <c r="AF302" i="4"/>
  <c r="N278" i="29" l="1"/>
  <c r="V278" i="29" s="1"/>
  <c r="W278" i="29" s="1"/>
  <c r="V277" i="29"/>
  <c r="W277" i="29" s="1"/>
  <c r="AQ302" i="4"/>
  <c r="AQ305" i="4"/>
  <c r="AB279" i="29"/>
  <c r="AE305" i="4"/>
  <c r="AE302" i="4"/>
  <c r="P278" i="29"/>
  <c r="AE280" i="29"/>
  <c r="AA280" i="29" s="1"/>
  <c r="AF280" i="29"/>
  <c r="AD282" i="29"/>
  <c r="B281" i="29"/>
  <c r="AI281" i="29"/>
  <c r="O279" i="29"/>
  <c r="Z278" i="29"/>
  <c r="I279" i="29"/>
  <c r="J279" i="29"/>
  <c r="Y279" i="29" s="1"/>
  <c r="Q280" i="29"/>
  <c r="E280" i="29"/>
  <c r="R280" i="29"/>
  <c r="S280" i="29"/>
  <c r="U280" i="29"/>
  <c r="O280" i="29" s="1"/>
  <c r="T280" i="29"/>
  <c r="G280" i="29"/>
  <c r="U303" i="4"/>
  <c r="AP303" i="4" s="1"/>
  <c r="W303" i="4"/>
  <c r="AB303" i="4" s="1"/>
  <c r="R303" i="4"/>
  <c r="Z303" i="4" s="1"/>
  <c r="X303" i="4"/>
  <c r="AC303" i="4" s="1"/>
  <c r="V303" i="4"/>
  <c r="AA303" i="4" s="1"/>
  <c r="Q303" i="4"/>
  <c r="Y303" i="4" s="1"/>
  <c r="AF306" i="4"/>
  <c r="AX304" i="4"/>
  <c r="AW304" i="4"/>
  <c r="AN301" i="4"/>
  <c r="AO301" i="4" s="1"/>
  <c r="AG301" i="4"/>
  <c r="O304" i="4"/>
  <c r="AM304" i="4"/>
  <c r="J304" i="4"/>
  <c r="AJ304" i="4"/>
  <c r="N304" i="4"/>
  <c r="F304" i="4"/>
  <c r="AI304" i="4"/>
  <c r="K304" i="4"/>
  <c r="AK304" i="4"/>
  <c r="AH304" i="4"/>
  <c r="P304" i="4"/>
  <c r="L304" i="4"/>
  <c r="M304" i="4"/>
  <c r="AL304" i="4"/>
  <c r="AY308" i="4"/>
  <c r="AV309" i="4"/>
  <c r="B308" i="4"/>
  <c r="AG300" i="4"/>
  <c r="AN300" i="4"/>
  <c r="AO300" i="4" s="1"/>
  <c r="AF303" i="4"/>
  <c r="AX307" i="4"/>
  <c r="AW307" i="4"/>
  <c r="O307" i="4"/>
  <c r="AK307" i="4"/>
  <c r="AJ307" i="4"/>
  <c r="M307" i="4"/>
  <c r="AL307" i="4"/>
  <c r="L307" i="4"/>
  <c r="P307" i="4"/>
  <c r="AM307" i="4"/>
  <c r="N307" i="4"/>
  <c r="AH307" i="4"/>
  <c r="J307" i="4"/>
  <c r="AI307" i="4"/>
  <c r="K307" i="4"/>
  <c r="F307" i="4"/>
  <c r="V306" i="4"/>
  <c r="AA306" i="4" s="1"/>
  <c r="Q306" i="4"/>
  <c r="Y306" i="4" s="1"/>
  <c r="W306" i="4"/>
  <c r="AB306" i="4" s="1"/>
  <c r="X306" i="4"/>
  <c r="AC306" i="4" s="1"/>
  <c r="U306" i="4"/>
  <c r="AP306" i="4" s="1"/>
  <c r="R306" i="4"/>
  <c r="Z306" i="4" s="1"/>
  <c r="AB280" i="29" l="1"/>
  <c r="K279" i="29"/>
  <c r="N279" i="29" s="1"/>
  <c r="AQ303" i="4"/>
  <c r="AQ306" i="4"/>
  <c r="AE303" i="4"/>
  <c r="AE306" i="4"/>
  <c r="Z279" i="29"/>
  <c r="AF281" i="29"/>
  <c r="AE281" i="29"/>
  <c r="AA281" i="29" s="1"/>
  <c r="R281" i="29"/>
  <c r="U281" i="29"/>
  <c r="T281" i="29"/>
  <c r="S281" i="29"/>
  <c r="Q281" i="29"/>
  <c r="E281" i="29"/>
  <c r="G281" i="29"/>
  <c r="AD283" i="29"/>
  <c r="B282" i="29"/>
  <c r="AI282" i="29"/>
  <c r="J280" i="29"/>
  <c r="Y280" i="29" s="1"/>
  <c r="Z280" i="29" s="1"/>
  <c r="I280" i="29"/>
  <c r="K280" i="29" s="1"/>
  <c r="AN305" i="4"/>
  <c r="AO305" i="4" s="1"/>
  <c r="AG305" i="4"/>
  <c r="AG302" i="4"/>
  <c r="AN302" i="4"/>
  <c r="AO302" i="4" s="1"/>
  <c r="AX308" i="4"/>
  <c r="AW308" i="4"/>
  <c r="AD305" i="4"/>
  <c r="V307" i="4"/>
  <c r="AA307" i="4" s="1"/>
  <c r="Q307" i="4"/>
  <c r="Y307" i="4" s="1"/>
  <c r="R307" i="4"/>
  <c r="Z307" i="4" s="1"/>
  <c r="X307" i="4"/>
  <c r="AC307" i="4" s="1"/>
  <c r="U307" i="4"/>
  <c r="W307" i="4"/>
  <c r="AB307" i="4" s="1"/>
  <c r="AF304" i="4"/>
  <c r="W304" i="4"/>
  <c r="AB304" i="4" s="1"/>
  <c r="V304" i="4"/>
  <c r="AA304" i="4" s="1"/>
  <c r="U304" i="4"/>
  <c r="AP304" i="4" s="1"/>
  <c r="X304" i="4"/>
  <c r="AC304" i="4" s="1"/>
  <c r="Q304" i="4"/>
  <c r="Y304" i="4" s="1"/>
  <c r="R304" i="4"/>
  <c r="Z304" i="4" s="1"/>
  <c r="AD303" i="4"/>
  <c r="AF307" i="4"/>
  <c r="AL308" i="4"/>
  <c r="AK308" i="4"/>
  <c r="M308" i="4"/>
  <c r="K308" i="4"/>
  <c r="P308" i="4"/>
  <c r="F308" i="4"/>
  <c r="AM308" i="4"/>
  <c r="L308" i="4"/>
  <c r="O308" i="4"/>
  <c r="N308" i="4"/>
  <c r="AI308" i="4"/>
  <c r="AJ308" i="4"/>
  <c r="J308" i="4"/>
  <c r="AH308" i="4"/>
  <c r="AD306" i="4"/>
  <c r="AP307" i="4"/>
  <c r="AV310" i="4"/>
  <c r="B309" i="4"/>
  <c r="AY309" i="4"/>
  <c r="AD302" i="4"/>
  <c r="V279" i="29" l="1"/>
  <c r="W279" i="29" s="1"/>
  <c r="P279" i="29"/>
  <c r="AB281" i="29"/>
  <c r="N280" i="29"/>
  <c r="AQ304" i="4"/>
  <c r="AQ307" i="4"/>
  <c r="AE304" i="4"/>
  <c r="AE307" i="4"/>
  <c r="AE282" i="29"/>
  <c r="AA282" i="29" s="1"/>
  <c r="AF282" i="29"/>
  <c r="E282" i="29"/>
  <c r="R282" i="29"/>
  <c r="G282" i="29"/>
  <c r="S282" i="29"/>
  <c r="U282" i="29"/>
  <c r="T282" i="29"/>
  <c r="Q282" i="29"/>
  <c r="O281" i="29"/>
  <c r="J281" i="29"/>
  <c r="Y281" i="29" s="1"/>
  <c r="I281" i="29"/>
  <c r="K281" i="29" s="1"/>
  <c r="V280" i="29"/>
  <c r="W280" i="29" s="1"/>
  <c r="P280" i="29"/>
  <c r="AD284" i="29"/>
  <c r="AI283" i="29"/>
  <c r="B283" i="29"/>
  <c r="AF308" i="4"/>
  <c r="Q308" i="4"/>
  <c r="Y308" i="4" s="1"/>
  <c r="V308" i="4"/>
  <c r="AA308" i="4" s="1"/>
  <c r="U308" i="4"/>
  <c r="AP308" i="4" s="1"/>
  <c r="R308" i="4"/>
  <c r="Z308" i="4" s="1"/>
  <c r="W308" i="4"/>
  <c r="AB308" i="4" s="1"/>
  <c r="X308" i="4"/>
  <c r="AC308" i="4" s="1"/>
  <c r="J309" i="4"/>
  <c r="AH309" i="4"/>
  <c r="AI309" i="4"/>
  <c r="AK309" i="4"/>
  <c r="L309" i="4"/>
  <c r="O309" i="4"/>
  <c r="M309" i="4"/>
  <c r="F309" i="4"/>
  <c r="AM309" i="4"/>
  <c r="AL309" i="4"/>
  <c r="P309" i="4"/>
  <c r="K309" i="4"/>
  <c r="N309" i="4"/>
  <c r="AJ309" i="4"/>
  <c r="B310" i="4"/>
  <c r="AY310" i="4"/>
  <c r="AV311" i="4"/>
  <c r="AW309" i="4"/>
  <c r="AX309" i="4"/>
  <c r="AN303" i="4"/>
  <c r="AO303" i="4" s="1"/>
  <c r="AG303" i="4"/>
  <c r="AB282" i="29" l="1"/>
  <c r="N281" i="29"/>
  <c r="V281" i="29" s="1"/>
  <c r="W281" i="29" s="1"/>
  <c r="AQ308" i="4"/>
  <c r="AE308" i="4"/>
  <c r="AF283" i="29"/>
  <c r="AE283" i="29"/>
  <c r="AA283" i="29" s="1"/>
  <c r="AI284" i="29"/>
  <c r="AD285" i="29"/>
  <c r="B284" i="29"/>
  <c r="O282" i="29"/>
  <c r="AD307" i="4"/>
  <c r="Z281" i="29"/>
  <c r="U283" i="29"/>
  <c r="T283" i="29"/>
  <c r="R283" i="29"/>
  <c r="E283" i="29"/>
  <c r="S283" i="29"/>
  <c r="Q283" i="29"/>
  <c r="G283" i="29"/>
  <c r="I282" i="29"/>
  <c r="J282" i="29"/>
  <c r="Y282" i="29" s="1"/>
  <c r="AN307" i="4"/>
  <c r="AO307" i="4" s="1"/>
  <c r="AG307" i="4"/>
  <c r="AG304" i="4"/>
  <c r="AN304" i="4"/>
  <c r="AO304" i="4" s="1"/>
  <c r="AX310" i="4"/>
  <c r="AW310" i="4"/>
  <c r="P310" i="4"/>
  <c r="F310" i="4"/>
  <c r="AH310" i="4"/>
  <c r="L310" i="4"/>
  <c r="AK310" i="4"/>
  <c r="AI310" i="4"/>
  <c r="AL310" i="4"/>
  <c r="K310" i="4"/>
  <c r="J310" i="4"/>
  <c r="M310" i="4"/>
  <c r="N310" i="4"/>
  <c r="O310" i="4"/>
  <c r="AJ310" i="4"/>
  <c r="AM310" i="4"/>
  <c r="AD304" i="4"/>
  <c r="AN306" i="4"/>
  <c r="AO306" i="4" s="1"/>
  <c r="AG306" i="4"/>
  <c r="R309" i="4"/>
  <c r="Z309" i="4" s="1"/>
  <c r="X309" i="4"/>
  <c r="AC309" i="4" s="1"/>
  <c r="U309" i="4"/>
  <c r="AP309" i="4" s="1"/>
  <c r="W309" i="4"/>
  <c r="AB309" i="4" s="1"/>
  <c r="Q309" i="4"/>
  <c r="Y309" i="4" s="1"/>
  <c r="V309" i="4"/>
  <c r="AA309" i="4" s="1"/>
  <c r="AV312" i="4"/>
  <c r="AY311" i="4"/>
  <c r="B311" i="4"/>
  <c r="AF309" i="4"/>
  <c r="AD308" i="4"/>
  <c r="P281" i="29" l="1"/>
  <c r="AB283" i="29"/>
  <c r="K282" i="29"/>
  <c r="N282" i="29" s="1"/>
  <c r="AQ309" i="4"/>
  <c r="AE309" i="4"/>
  <c r="O283" i="29"/>
  <c r="AF284" i="29"/>
  <c r="AE284" i="29"/>
  <c r="AA284" i="29" s="1"/>
  <c r="J283" i="29"/>
  <c r="Y283" i="29" s="1"/>
  <c r="I283" i="29"/>
  <c r="Z282" i="29"/>
  <c r="R284" i="29"/>
  <c r="U284" i="29"/>
  <c r="G284" i="29"/>
  <c r="E284" i="29"/>
  <c r="S284" i="29"/>
  <c r="T284" i="29"/>
  <c r="Q284" i="29"/>
  <c r="AD286" i="29"/>
  <c r="AI285" i="29"/>
  <c r="B285" i="29"/>
  <c r="AW311" i="4"/>
  <c r="AX311" i="4"/>
  <c r="AF310" i="4"/>
  <c r="AY312" i="4"/>
  <c r="B312" i="4"/>
  <c r="AV313" i="4"/>
  <c r="AL311" i="4"/>
  <c r="AM311" i="4"/>
  <c r="M311" i="4"/>
  <c r="F311" i="4"/>
  <c r="L311" i="4"/>
  <c r="AI311" i="4"/>
  <c r="P311" i="4"/>
  <c r="N311" i="4"/>
  <c r="AJ311" i="4"/>
  <c r="K311" i="4"/>
  <c r="O311" i="4"/>
  <c r="AK311" i="4"/>
  <c r="J311" i="4"/>
  <c r="AH311" i="4"/>
  <c r="AD309" i="4"/>
  <c r="W310" i="4"/>
  <c r="AB310" i="4" s="1"/>
  <c r="Q310" i="4"/>
  <c r="Y310" i="4" s="1"/>
  <c r="X310" i="4"/>
  <c r="AC310" i="4" s="1"/>
  <c r="U310" i="4"/>
  <c r="AP310" i="4" s="1"/>
  <c r="R310" i="4"/>
  <c r="Z310" i="4" s="1"/>
  <c r="V310" i="4"/>
  <c r="AA310" i="4" s="1"/>
  <c r="V282" i="29" l="1"/>
  <c r="W282" i="29" s="1"/>
  <c r="P282" i="29"/>
  <c r="K283" i="29"/>
  <c r="N283" i="29" s="1"/>
  <c r="AB284" i="29"/>
  <c r="AQ310" i="4"/>
  <c r="AE310" i="4"/>
  <c r="B286" i="29"/>
  <c r="AD287" i="29"/>
  <c r="AI286" i="29"/>
  <c r="O284" i="29"/>
  <c r="Z283" i="29"/>
  <c r="T285" i="29"/>
  <c r="R285" i="29"/>
  <c r="U285" i="29"/>
  <c r="S285" i="29"/>
  <c r="G285" i="29"/>
  <c r="E285" i="29"/>
  <c r="Q285" i="29"/>
  <c r="I284" i="29"/>
  <c r="J284" i="29"/>
  <c r="Y284" i="29" s="1"/>
  <c r="AF285" i="29"/>
  <c r="AE285" i="29"/>
  <c r="AA285" i="29" s="1"/>
  <c r="AV314" i="4"/>
  <c r="AY313" i="4"/>
  <c r="B313" i="4"/>
  <c r="AG308" i="4"/>
  <c r="AN308" i="4"/>
  <c r="AO308" i="4" s="1"/>
  <c r="L312" i="4"/>
  <c r="F312" i="4"/>
  <c r="K312" i="4"/>
  <c r="P312" i="4"/>
  <c r="AL312" i="4"/>
  <c r="N312" i="4"/>
  <c r="AI312" i="4"/>
  <c r="O312" i="4"/>
  <c r="AK312" i="4"/>
  <c r="J312" i="4"/>
  <c r="AH312" i="4"/>
  <c r="AM312" i="4"/>
  <c r="M312" i="4"/>
  <c r="AJ312" i="4"/>
  <c r="R311" i="4"/>
  <c r="Z311" i="4" s="1"/>
  <c r="W311" i="4"/>
  <c r="AB311" i="4" s="1"/>
  <c r="X311" i="4"/>
  <c r="AC311" i="4" s="1"/>
  <c r="Q311" i="4"/>
  <c r="Y311" i="4" s="1"/>
  <c r="V311" i="4"/>
  <c r="AA311" i="4" s="1"/>
  <c r="U311" i="4"/>
  <c r="AP311" i="4" s="1"/>
  <c r="AF311" i="4"/>
  <c r="AW312" i="4"/>
  <c r="AX312" i="4"/>
  <c r="P283" i="29" l="1"/>
  <c r="V283" i="29"/>
  <c r="W283" i="29" s="1"/>
  <c r="K284" i="29"/>
  <c r="N284" i="29" s="1"/>
  <c r="AB285" i="29"/>
  <c r="AQ311" i="4"/>
  <c r="AE311" i="4"/>
  <c r="AD310" i="4"/>
  <c r="E286" i="29"/>
  <c r="S286" i="29"/>
  <c r="G286" i="29"/>
  <c r="T286" i="29"/>
  <c r="U286" i="29"/>
  <c r="Q286" i="29"/>
  <c r="R286" i="29"/>
  <c r="I285" i="29"/>
  <c r="J285" i="29"/>
  <c r="Y285" i="29" s="1"/>
  <c r="Z284" i="29"/>
  <c r="AF286" i="29"/>
  <c r="AE286" i="29"/>
  <c r="AA286" i="29" s="1"/>
  <c r="O285" i="29"/>
  <c r="AD288" i="29"/>
  <c r="AI287" i="29"/>
  <c r="B287" i="29"/>
  <c r="AN309" i="4"/>
  <c r="AO309" i="4" s="1"/>
  <c r="AG309" i="4"/>
  <c r="U312" i="4"/>
  <c r="AP312" i="4" s="1"/>
  <c r="R312" i="4"/>
  <c r="Z312" i="4" s="1"/>
  <c r="W312" i="4"/>
  <c r="AB312" i="4" s="1"/>
  <c r="V312" i="4"/>
  <c r="AA312" i="4" s="1"/>
  <c r="X312" i="4"/>
  <c r="AC312" i="4" s="1"/>
  <c r="Q312" i="4"/>
  <c r="Y312" i="4" s="1"/>
  <c r="AF312" i="4"/>
  <c r="AK313" i="4"/>
  <c r="AH313" i="4"/>
  <c r="AL313" i="4"/>
  <c r="M313" i="4"/>
  <c r="AJ313" i="4"/>
  <c r="G313" i="4"/>
  <c r="L313" i="4"/>
  <c r="O313" i="4"/>
  <c r="P313" i="4"/>
  <c r="AM313" i="4"/>
  <c r="F313" i="4"/>
  <c r="H313" i="4"/>
  <c r="I313" i="4"/>
  <c r="AI313" i="4"/>
  <c r="K313" i="4"/>
  <c r="N313" i="4"/>
  <c r="J313" i="4"/>
  <c r="AW313" i="4"/>
  <c r="AX313" i="4"/>
  <c r="B314" i="4"/>
  <c r="AV315" i="4"/>
  <c r="AY314" i="4"/>
  <c r="P284" i="29" l="1"/>
  <c r="V284" i="29"/>
  <c r="W284" i="29" s="1"/>
  <c r="K285" i="29"/>
  <c r="N285" i="29" s="1"/>
  <c r="AQ312" i="4"/>
  <c r="AB286" i="29"/>
  <c r="AE312" i="4"/>
  <c r="Z285" i="29"/>
  <c r="AD311" i="4"/>
  <c r="R287" i="29"/>
  <c r="S287" i="29"/>
  <c r="U287" i="29"/>
  <c r="T287" i="29"/>
  <c r="Q287" i="29"/>
  <c r="E287" i="29"/>
  <c r="G287" i="29"/>
  <c r="I286" i="29"/>
  <c r="K286" i="29" s="1"/>
  <c r="N286" i="29" s="1"/>
  <c r="J286" i="29"/>
  <c r="Y286" i="29" s="1"/>
  <c r="O286" i="29"/>
  <c r="AF287" i="29"/>
  <c r="AE287" i="29"/>
  <c r="AA287" i="29" s="1"/>
  <c r="AD289" i="29"/>
  <c r="B288" i="29"/>
  <c r="AI288" i="29"/>
  <c r="AF313" i="4"/>
  <c r="M314" i="4"/>
  <c r="F314" i="4"/>
  <c r="N314" i="4"/>
  <c r="O314" i="4"/>
  <c r="AJ314" i="4"/>
  <c r="L314" i="4"/>
  <c r="P314" i="4"/>
  <c r="AI314" i="4"/>
  <c r="AK314" i="4"/>
  <c r="K314" i="4"/>
  <c r="AM314" i="4"/>
  <c r="AH314" i="4"/>
  <c r="J314" i="4"/>
  <c r="AL314" i="4"/>
  <c r="T313" i="4"/>
  <c r="V313" i="4"/>
  <c r="AA313" i="4" s="1"/>
  <c r="W313" i="4"/>
  <c r="AB313" i="4" s="1"/>
  <c r="S313" i="4"/>
  <c r="U313" i="4"/>
  <c r="AP313" i="4" s="1"/>
  <c r="Q313" i="4"/>
  <c r="Y313" i="4" s="1"/>
  <c r="R313" i="4"/>
  <c r="X313" i="4"/>
  <c r="AC313" i="4" s="1"/>
  <c r="AW314" i="4"/>
  <c r="AX314" i="4"/>
  <c r="B315" i="4"/>
  <c r="AV316" i="4"/>
  <c r="AY315" i="4"/>
  <c r="AN310" i="4"/>
  <c r="AO310" i="4" s="1"/>
  <c r="AG310" i="4"/>
  <c r="V285" i="29" l="1"/>
  <c r="W285" i="29" s="1"/>
  <c r="P285" i="29"/>
  <c r="AB287" i="29"/>
  <c r="Z313" i="4"/>
  <c r="AF288" i="29"/>
  <c r="AE288" i="29"/>
  <c r="AA288" i="29" s="1"/>
  <c r="Z286" i="29"/>
  <c r="R288" i="29"/>
  <c r="S288" i="29"/>
  <c r="T288" i="29"/>
  <c r="E288" i="29"/>
  <c r="Q288" i="29"/>
  <c r="U288" i="29"/>
  <c r="G288" i="29"/>
  <c r="J287" i="29"/>
  <c r="I287" i="29"/>
  <c r="K287" i="29" s="1"/>
  <c r="O287" i="29"/>
  <c r="B289" i="29"/>
  <c r="AD290" i="29"/>
  <c r="AI289" i="29"/>
  <c r="V286" i="29"/>
  <c r="W286" i="29" s="1"/>
  <c r="P286" i="29"/>
  <c r="Y287" i="29"/>
  <c r="AD312" i="4"/>
  <c r="AN312" i="4"/>
  <c r="AO312" i="4" s="1"/>
  <c r="AG312" i="4"/>
  <c r="AW315" i="4"/>
  <c r="AX315" i="4"/>
  <c r="B316" i="4"/>
  <c r="AY316" i="4"/>
  <c r="AV317" i="4"/>
  <c r="AG311" i="4"/>
  <c r="AN311" i="4"/>
  <c r="AO311" i="4" s="1"/>
  <c r="R314" i="4"/>
  <c r="Z314" i="4" s="1"/>
  <c r="W314" i="4"/>
  <c r="AB314" i="4" s="1"/>
  <c r="U314" i="4"/>
  <c r="X314" i="4"/>
  <c r="AC314" i="4" s="1"/>
  <c r="Q314" i="4"/>
  <c r="Y314" i="4" s="1"/>
  <c r="V314" i="4"/>
  <c r="AA314" i="4" s="1"/>
  <c r="AF314" i="4"/>
  <c r="AL315" i="4"/>
  <c r="AH315" i="4"/>
  <c r="AK315" i="4"/>
  <c r="O315" i="4"/>
  <c r="N315" i="4"/>
  <c r="K315" i="4"/>
  <c r="J315" i="4"/>
  <c r="M315" i="4"/>
  <c r="AI315" i="4"/>
  <c r="AJ315" i="4"/>
  <c r="F315" i="4"/>
  <c r="AM315" i="4"/>
  <c r="P315" i="4"/>
  <c r="L315" i="4"/>
  <c r="AP314" i="4"/>
  <c r="AB288" i="29" l="1"/>
  <c r="N287" i="29"/>
  <c r="AQ314" i="4"/>
  <c r="AE313" i="4"/>
  <c r="AG313" i="4" s="1"/>
  <c r="AQ313" i="4"/>
  <c r="AE314" i="4"/>
  <c r="AE289" i="29"/>
  <c r="AA289" i="29" s="1"/>
  <c r="AF289" i="29"/>
  <c r="I288" i="29"/>
  <c r="K288" i="29" s="1"/>
  <c r="N288" i="29" s="1"/>
  <c r="J288" i="29"/>
  <c r="Y288" i="29" s="1"/>
  <c r="AD291" i="29"/>
  <c r="B290" i="29"/>
  <c r="AI290" i="29"/>
  <c r="Z287" i="29"/>
  <c r="O288" i="29"/>
  <c r="V287" i="29"/>
  <c r="W287" i="29" s="1"/>
  <c r="P287" i="29"/>
  <c r="G289" i="29"/>
  <c r="S289" i="29"/>
  <c r="R289" i="29"/>
  <c r="Q289" i="29"/>
  <c r="U289" i="29"/>
  <c r="E289" i="29"/>
  <c r="T289" i="29"/>
  <c r="AF315" i="4"/>
  <c r="V315" i="4"/>
  <c r="AA315" i="4" s="1"/>
  <c r="Q315" i="4"/>
  <c r="Y315" i="4" s="1"/>
  <c r="U315" i="4"/>
  <c r="AP315" i="4" s="1"/>
  <c r="W315" i="4"/>
  <c r="AB315" i="4" s="1"/>
  <c r="X315" i="4"/>
  <c r="AC315" i="4" s="1"/>
  <c r="R315" i="4"/>
  <c r="Z315" i="4" s="1"/>
  <c r="AD313" i="4"/>
  <c r="B317" i="4"/>
  <c r="AV318" i="4"/>
  <c r="AY317" i="4"/>
  <c r="AW316" i="4"/>
  <c r="AX316" i="4"/>
  <c r="AM316" i="4"/>
  <c r="J316" i="4"/>
  <c r="AK316" i="4"/>
  <c r="M316" i="4"/>
  <c r="N316" i="4"/>
  <c r="AI316" i="4"/>
  <c r="K316" i="4"/>
  <c r="L316" i="4"/>
  <c r="AL316" i="4"/>
  <c r="AH316" i="4"/>
  <c r="F316" i="4"/>
  <c r="O316" i="4"/>
  <c r="P316" i="4"/>
  <c r="AJ316" i="4"/>
  <c r="AB289" i="29" l="1"/>
  <c r="AN313" i="4"/>
  <c r="AO313" i="4" s="1"/>
  <c r="AQ315" i="4"/>
  <c r="AE315" i="4"/>
  <c r="AD314" i="4"/>
  <c r="O289" i="29"/>
  <c r="Z288" i="29"/>
  <c r="AF290" i="29"/>
  <c r="AE290" i="29"/>
  <c r="AA290" i="29" s="1"/>
  <c r="P288" i="29"/>
  <c r="V288" i="29"/>
  <c r="W288" i="29" s="1"/>
  <c r="S290" i="29"/>
  <c r="E290" i="29"/>
  <c r="U290" i="29"/>
  <c r="R290" i="29"/>
  <c r="G290" i="29"/>
  <c r="Q290" i="29"/>
  <c r="T290" i="29"/>
  <c r="AI291" i="29"/>
  <c r="AD292" i="29"/>
  <c r="B291" i="29"/>
  <c r="I289" i="29"/>
  <c r="K289" i="29" s="1"/>
  <c r="J289" i="29"/>
  <c r="Y289" i="29" s="1"/>
  <c r="AF316" i="4"/>
  <c r="P317" i="4"/>
  <c r="AM317" i="4"/>
  <c r="AL317" i="4"/>
  <c r="J317" i="4"/>
  <c r="AK317" i="4"/>
  <c r="AJ317" i="4"/>
  <c r="K317" i="4"/>
  <c r="O317" i="4"/>
  <c r="N317" i="4"/>
  <c r="AI317" i="4"/>
  <c r="M317" i="4"/>
  <c r="F317" i="4"/>
  <c r="AH317" i="4"/>
  <c r="L317" i="4"/>
  <c r="AG314" i="4"/>
  <c r="AN314" i="4"/>
  <c r="AO314" i="4" s="1"/>
  <c r="AX317" i="4"/>
  <c r="AW317" i="4"/>
  <c r="AD315" i="4"/>
  <c r="R316" i="4"/>
  <c r="Z316" i="4" s="1"/>
  <c r="U316" i="4"/>
  <c r="AP316" i="4" s="1"/>
  <c r="X316" i="4"/>
  <c r="AC316" i="4" s="1"/>
  <c r="V316" i="4"/>
  <c r="AA316" i="4" s="1"/>
  <c r="W316" i="4"/>
  <c r="AB316" i="4" s="1"/>
  <c r="Q316" i="4"/>
  <c r="Y316" i="4" s="1"/>
  <c r="AV319" i="4"/>
  <c r="AY318" i="4"/>
  <c r="B318" i="4"/>
  <c r="AB290" i="29" l="1"/>
  <c r="N289" i="29"/>
  <c r="AQ316" i="4"/>
  <c r="AE316" i="4"/>
  <c r="AE291" i="29"/>
  <c r="AA291" i="29" s="1"/>
  <c r="AF291" i="29"/>
  <c r="J290" i="29"/>
  <c r="Y290" i="29" s="1"/>
  <c r="I290" i="29"/>
  <c r="K290" i="29" s="1"/>
  <c r="N290" i="29" s="1"/>
  <c r="P289" i="29"/>
  <c r="V289" i="29"/>
  <c r="W289" i="29" s="1"/>
  <c r="Z289" i="29"/>
  <c r="E291" i="29"/>
  <c r="U291" i="29"/>
  <c r="Q291" i="29"/>
  <c r="G291" i="29"/>
  <c r="T291" i="29"/>
  <c r="R291" i="29"/>
  <c r="S291" i="29"/>
  <c r="O290" i="29"/>
  <c r="B292" i="29"/>
  <c r="AI292" i="29"/>
  <c r="AD293" i="29"/>
  <c r="AF317" i="4"/>
  <c r="O318" i="4"/>
  <c r="F318" i="4"/>
  <c r="AJ318" i="4"/>
  <c r="AH318" i="4"/>
  <c r="L318" i="4"/>
  <c r="AI318" i="4"/>
  <c r="AL318" i="4"/>
  <c r="K318" i="4"/>
  <c r="AK318" i="4"/>
  <c r="M318" i="4"/>
  <c r="P318" i="4"/>
  <c r="J318" i="4"/>
  <c r="AM318" i="4"/>
  <c r="N318" i="4"/>
  <c r="AX318" i="4"/>
  <c r="AW318" i="4"/>
  <c r="AY319" i="4"/>
  <c r="B319" i="4"/>
  <c r="AV320" i="4"/>
  <c r="W317" i="4"/>
  <c r="AB317" i="4" s="1"/>
  <c r="R317" i="4"/>
  <c r="Z317" i="4" s="1"/>
  <c r="X317" i="4"/>
  <c r="AC317" i="4" s="1"/>
  <c r="Q317" i="4"/>
  <c r="Y317" i="4" s="1"/>
  <c r="U317" i="4"/>
  <c r="AP317" i="4" s="1"/>
  <c r="V317" i="4"/>
  <c r="AA317" i="4" s="1"/>
  <c r="AD316" i="4"/>
  <c r="AB291" i="29" l="1"/>
  <c r="AQ317" i="4"/>
  <c r="AE317" i="4"/>
  <c r="P290" i="29"/>
  <c r="V290" i="29"/>
  <c r="W290" i="29" s="1"/>
  <c r="Q292" i="29"/>
  <c r="G292" i="29"/>
  <c r="S292" i="29"/>
  <c r="R292" i="29"/>
  <c r="T292" i="29"/>
  <c r="E292" i="29"/>
  <c r="U292" i="29"/>
  <c r="J291" i="29"/>
  <c r="Y291" i="29" s="1"/>
  <c r="I291" i="29"/>
  <c r="Z290" i="29"/>
  <c r="O291" i="29"/>
  <c r="AI293" i="29"/>
  <c r="AD294" i="29"/>
  <c r="B293" i="29"/>
  <c r="AF292" i="29"/>
  <c r="AE292" i="29"/>
  <c r="AA292" i="29" s="1"/>
  <c r="AF318" i="4"/>
  <c r="L319" i="4"/>
  <c r="N319" i="4"/>
  <c r="J319" i="4"/>
  <c r="AJ319" i="4"/>
  <c r="AH319" i="4"/>
  <c r="AK319" i="4"/>
  <c r="M319" i="4"/>
  <c r="AL319" i="4"/>
  <c r="AM319" i="4"/>
  <c r="F319" i="4"/>
  <c r="AI319" i="4"/>
  <c r="O319" i="4"/>
  <c r="P319" i="4"/>
  <c r="K319" i="4"/>
  <c r="AV321" i="4"/>
  <c r="AY320" i="4"/>
  <c r="B320" i="4"/>
  <c r="AW319" i="4"/>
  <c r="AX319" i="4"/>
  <c r="AN315" i="4"/>
  <c r="AO315" i="4" s="1"/>
  <c r="AG315" i="4"/>
  <c r="X318" i="4"/>
  <c r="AC318" i="4" s="1"/>
  <c r="U318" i="4"/>
  <c r="AP318" i="4" s="1"/>
  <c r="W318" i="4"/>
  <c r="AB318" i="4" s="1"/>
  <c r="Q318" i="4"/>
  <c r="Y318" i="4" s="1"/>
  <c r="V318" i="4"/>
  <c r="AA318" i="4" s="1"/>
  <c r="R318" i="4"/>
  <c r="Z318" i="4" s="1"/>
  <c r="AQ318" i="4" s="1"/>
  <c r="K291" i="29" l="1"/>
  <c r="N291" i="29" s="1"/>
  <c r="AB292" i="29"/>
  <c r="AE318" i="4"/>
  <c r="U293" i="29"/>
  <c r="Q293" i="29"/>
  <c r="S293" i="29"/>
  <c r="G293" i="29"/>
  <c r="R293" i="29"/>
  <c r="E293" i="29"/>
  <c r="T293" i="29"/>
  <c r="I292" i="29"/>
  <c r="K292" i="29" s="1"/>
  <c r="J292" i="29"/>
  <c r="Y292" i="29" s="1"/>
  <c r="AD295" i="29"/>
  <c r="B294" i="29"/>
  <c r="AI294" i="29"/>
  <c r="AF293" i="29"/>
  <c r="AE293" i="29"/>
  <c r="AA293" i="29" s="1"/>
  <c r="Z291" i="29"/>
  <c r="O292" i="29"/>
  <c r="AN317" i="4"/>
  <c r="AO317" i="4" s="1"/>
  <c r="AG317" i="4"/>
  <c r="AF319" i="4"/>
  <c r="Q319" i="4"/>
  <c r="Y319" i="4" s="1"/>
  <c r="W319" i="4"/>
  <c r="AB319" i="4" s="1"/>
  <c r="X319" i="4"/>
  <c r="AC319" i="4" s="1"/>
  <c r="U319" i="4"/>
  <c r="AP319" i="4" s="1"/>
  <c r="V319" i="4"/>
  <c r="AA319" i="4" s="1"/>
  <c r="R319" i="4"/>
  <c r="Z319" i="4" s="1"/>
  <c r="AY321" i="4"/>
  <c r="B321" i="4"/>
  <c r="AV322" i="4"/>
  <c r="AG316" i="4"/>
  <c r="AN316" i="4"/>
  <c r="AO316" i="4" s="1"/>
  <c r="AD317" i="4"/>
  <c r="AK320" i="4"/>
  <c r="L320" i="4"/>
  <c r="N320" i="4"/>
  <c r="J320" i="4"/>
  <c r="AJ320" i="4"/>
  <c r="AH320" i="4"/>
  <c r="K320" i="4"/>
  <c r="AM320" i="4"/>
  <c r="AL320" i="4"/>
  <c r="O320" i="4"/>
  <c r="F320" i="4"/>
  <c r="AI320" i="4"/>
  <c r="P320" i="4"/>
  <c r="M320" i="4"/>
  <c r="AW320" i="4"/>
  <c r="AX320" i="4"/>
  <c r="P291" i="29" l="1"/>
  <c r="V291" i="29"/>
  <c r="W291" i="29" s="1"/>
  <c r="AB293" i="29"/>
  <c r="N292" i="29"/>
  <c r="V292" i="29" s="1"/>
  <c r="W292" i="29" s="1"/>
  <c r="AQ319" i="4"/>
  <c r="AE319" i="4"/>
  <c r="P292" i="29"/>
  <c r="I293" i="29"/>
  <c r="K293" i="29" s="1"/>
  <c r="J293" i="29"/>
  <c r="Y293" i="29" s="1"/>
  <c r="AE294" i="29"/>
  <c r="AA294" i="29" s="1"/>
  <c r="AF294" i="29"/>
  <c r="O293" i="29"/>
  <c r="Z292" i="29"/>
  <c r="G294" i="29"/>
  <c r="S294" i="29"/>
  <c r="T294" i="29"/>
  <c r="E294" i="29"/>
  <c r="R294" i="29"/>
  <c r="U294" i="29"/>
  <c r="Q294" i="29"/>
  <c r="AI295" i="29"/>
  <c r="B295" i="29"/>
  <c r="AD296" i="29"/>
  <c r="AN318" i="4"/>
  <c r="AO318" i="4" s="1"/>
  <c r="AG318" i="4"/>
  <c r="U320" i="4"/>
  <c r="AP320" i="4" s="1"/>
  <c r="V320" i="4"/>
  <c r="AA320" i="4" s="1"/>
  <c r="W320" i="4"/>
  <c r="AB320" i="4" s="1"/>
  <c r="X320" i="4"/>
  <c r="AC320" i="4" s="1"/>
  <c r="R320" i="4"/>
  <c r="Z320" i="4" s="1"/>
  <c r="AQ320" i="4" s="1"/>
  <c r="Q320" i="4"/>
  <c r="Y320" i="4" s="1"/>
  <c r="AW321" i="4"/>
  <c r="AX321" i="4"/>
  <c r="AD318" i="4"/>
  <c r="B322" i="4"/>
  <c r="AV323" i="4"/>
  <c r="AY322" i="4"/>
  <c r="AF320" i="4"/>
  <c r="N321" i="4"/>
  <c r="AK321" i="4"/>
  <c r="AH321" i="4"/>
  <c r="P321" i="4"/>
  <c r="AL321" i="4"/>
  <c r="AI321" i="4"/>
  <c r="M321" i="4"/>
  <c r="J321" i="4"/>
  <c r="L321" i="4"/>
  <c r="O321" i="4"/>
  <c r="AJ321" i="4"/>
  <c r="F321" i="4"/>
  <c r="AM321" i="4"/>
  <c r="K321" i="4"/>
  <c r="AB294" i="29" l="1"/>
  <c r="N293" i="29"/>
  <c r="AE320" i="4"/>
  <c r="Q295" i="29"/>
  <c r="T295" i="29"/>
  <c r="U295" i="29"/>
  <c r="R295" i="29"/>
  <c r="S295" i="29"/>
  <c r="E295" i="29"/>
  <c r="G295" i="29"/>
  <c r="V293" i="29"/>
  <c r="W293" i="29" s="1"/>
  <c r="P293" i="29"/>
  <c r="AF295" i="29"/>
  <c r="AE295" i="29"/>
  <c r="AA295" i="29" s="1"/>
  <c r="O294" i="29"/>
  <c r="B296" i="29"/>
  <c r="AD297" i="29"/>
  <c r="AI296" i="29"/>
  <c r="Z293" i="29"/>
  <c r="J294" i="29"/>
  <c r="Y294" i="29" s="1"/>
  <c r="I294" i="29"/>
  <c r="AG319" i="4"/>
  <c r="AN319" i="4"/>
  <c r="AO319" i="4" s="1"/>
  <c r="AF321" i="4"/>
  <c r="AD319" i="4"/>
  <c r="AK322" i="4"/>
  <c r="AH322" i="4"/>
  <c r="M322" i="4"/>
  <c r="P322" i="4"/>
  <c r="F322" i="4"/>
  <c r="L322" i="4"/>
  <c r="AJ322" i="4"/>
  <c r="N322" i="4"/>
  <c r="AM322" i="4"/>
  <c r="AI322" i="4"/>
  <c r="K322" i="4"/>
  <c r="J322" i="4"/>
  <c r="AL322" i="4"/>
  <c r="O322" i="4"/>
  <c r="U321" i="4"/>
  <c r="AP321" i="4" s="1"/>
  <c r="R321" i="4"/>
  <c r="Z321" i="4" s="1"/>
  <c r="Q321" i="4"/>
  <c r="Y321" i="4" s="1"/>
  <c r="X321" i="4"/>
  <c r="AC321" i="4" s="1"/>
  <c r="V321" i="4"/>
  <c r="AA321" i="4" s="1"/>
  <c r="W321" i="4"/>
  <c r="AB321" i="4" s="1"/>
  <c r="AX322" i="4"/>
  <c r="AW322" i="4"/>
  <c r="AD320" i="4"/>
  <c r="AY323" i="4"/>
  <c r="AV324" i="4"/>
  <c r="B323" i="4"/>
  <c r="AB295" i="29" l="1"/>
  <c r="K294" i="29"/>
  <c r="N294" i="29" s="1"/>
  <c r="AQ321" i="4"/>
  <c r="AE321" i="4"/>
  <c r="AF296" i="29"/>
  <c r="AE296" i="29"/>
  <c r="AA296" i="29" s="1"/>
  <c r="Z294" i="29"/>
  <c r="O295" i="29"/>
  <c r="B297" i="29"/>
  <c r="AD298" i="29"/>
  <c r="AI297" i="29"/>
  <c r="J295" i="29"/>
  <c r="Y295" i="29" s="1"/>
  <c r="I295" i="29"/>
  <c r="K295" i="29" s="1"/>
  <c r="S296" i="29"/>
  <c r="U296" i="29"/>
  <c r="T296" i="29"/>
  <c r="E296" i="29"/>
  <c r="G296" i="29"/>
  <c r="Q296" i="29"/>
  <c r="R296" i="29"/>
  <c r="F323" i="4"/>
  <c r="N323" i="4"/>
  <c r="AH323" i="4"/>
  <c r="AI323" i="4"/>
  <c r="M323" i="4"/>
  <c r="AL323" i="4"/>
  <c r="K323" i="4"/>
  <c r="AM323" i="4"/>
  <c r="P323" i="4"/>
  <c r="AJ323" i="4"/>
  <c r="L323" i="4"/>
  <c r="O323" i="4"/>
  <c r="AK323" i="4"/>
  <c r="J323" i="4"/>
  <c r="AY324" i="4"/>
  <c r="B324" i="4"/>
  <c r="AV325" i="4"/>
  <c r="AX323" i="4"/>
  <c r="AW323" i="4"/>
  <c r="R322" i="4"/>
  <c r="Z322" i="4" s="1"/>
  <c r="V322" i="4"/>
  <c r="AA322" i="4" s="1"/>
  <c r="X322" i="4"/>
  <c r="AC322" i="4" s="1"/>
  <c r="Q322" i="4"/>
  <c r="Y322" i="4" s="1"/>
  <c r="U322" i="4"/>
  <c r="AP322" i="4" s="1"/>
  <c r="W322" i="4"/>
  <c r="AB322" i="4" s="1"/>
  <c r="AF322" i="4"/>
  <c r="P294" i="29" l="1"/>
  <c r="V294" i="29"/>
  <c r="W294" i="29" s="1"/>
  <c r="AB296" i="29"/>
  <c r="N295" i="29"/>
  <c r="P295" i="29" s="1"/>
  <c r="AQ322" i="4"/>
  <c r="AE322" i="4"/>
  <c r="AE297" i="29"/>
  <c r="AA297" i="29" s="1"/>
  <c r="AF297" i="29"/>
  <c r="B298" i="29"/>
  <c r="AD299" i="29"/>
  <c r="AI298" i="29"/>
  <c r="I296" i="29"/>
  <c r="K296" i="29" s="1"/>
  <c r="J296" i="29"/>
  <c r="Y296" i="29" s="1"/>
  <c r="O296" i="29"/>
  <c r="S297" i="29"/>
  <c r="T297" i="29"/>
  <c r="U297" i="29"/>
  <c r="E297" i="29"/>
  <c r="Q297" i="29"/>
  <c r="R297" i="29"/>
  <c r="G297" i="29"/>
  <c r="Z295" i="29"/>
  <c r="AG321" i="4"/>
  <c r="AN321" i="4"/>
  <c r="AO321" i="4" s="1"/>
  <c r="AF323" i="4"/>
  <c r="AD322" i="4"/>
  <c r="U323" i="4"/>
  <c r="AP323" i="4" s="1"/>
  <c r="R323" i="4"/>
  <c r="Z323" i="4" s="1"/>
  <c r="X323" i="4"/>
  <c r="AC323" i="4" s="1"/>
  <c r="V323" i="4"/>
  <c r="AA323" i="4" s="1"/>
  <c r="Q323" i="4"/>
  <c r="Y323" i="4" s="1"/>
  <c r="W323" i="4"/>
  <c r="AB323" i="4" s="1"/>
  <c r="AW324" i="4"/>
  <c r="AX324" i="4"/>
  <c r="AN320" i="4"/>
  <c r="AO320" i="4" s="1"/>
  <c r="AG320" i="4"/>
  <c r="AV326" i="4"/>
  <c r="AY325" i="4"/>
  <c r="B325" i="4"/>
  <c r="L324" i="4"/>
  <c r="AH324" i="4"/>
  <c r="F324" i="4"/>
  <c r="K324" i="4"/>
  <c r="P324" i="4"/>
  <c r="M324" i="4"/>
  <c r="J324" i="4"/>
  <c r="AL324" i="4"/>
  <c r="N324" i="4"/>
  <c r="AK324" i="4"/>
  <c r="O324" i="4"/>
  <c r="AM324" i="4"/>
  <c r="AJ324" i="4"/>
  <c r="AI324" i="4"/>
  <c r="AD321" i="4"/>
  <c r="V295" i="29" l="1"/>
  <c r="W295" i="29" s="1"/>
  <c r="AM325" i="4"/>
  <c r="AI325" i="4"/>
  <c r="N325" i="4"/>
  <c r="J325" i="4"/>
  <c r="AK325" i="4"/>
  <c r="P325" i="4"/>
  <c r="L325" i="4"/>
  <c r="AL325" i="4"/>
  <c r="M325" i="4"/>
  <c r="AJ325" i="4"/>
  <c r="K325" i="4"/>
  <c r="AH325" i="4"/>
  <c r="O325" i="4"/>
  <c r="F325" i="4"/>
  <c r="AB297" i="29"/>
  <c r="N296" i="29"/>
  <c r="V296" i="29" s="1"/>
  <c r="W296" i="29" s="1"/>
  <c r="AQ323" i="4"/>
  <c r="AE323" i="4"/>
  <c r="T298" i="29"/>
  <c r="G298" i="29"/>
  <c r="S298" i="29"/>
  <c r="R298" i="29"/>
  <c r="U298" i="29"/>
  <c r="E298" i="29"/>
  <c r="Q298" i="29"/>
  <c r="I297" i="29"/>
  <c r="J297" i="29"/>
  <c r="Y297" i="29" s="1"/>
  <c r="O297" i="29"/>
  <c r="AF298" i="29"/>
  <c r="AE298" i="29"/>
  <c r="AA298" i="29" s="1"/>
  <c r="Z296" i="29"/>
  <c r="AD300" i="29"/>
  <c r="AI299" i="29"/>
  <c r="B299" i="29"/>
  <c r="AG322" i="4"/>
  <c r="U324" i="4"/>
  <c r="AP324" i="4" s="1"/>
  <c r="R324" i="4"/>
  <c r="Z324" i="4" s="1"/>
  <c r="W324" i="4"/>
  <c r="AB324" i="4" s="1"/>
  <c r="Q324" i="4"/>
  <c r="Y324" i="4" s="1"/>
  <c r="V324" i="4"/>
  <c r="AA324" i="4" s="1"/>
  <c r="X324" i="4"/>
  <c r="AC324" i="4" s="1"/>
  <c r="AX325" i="4"/>
  <c r="AW325" i="4"/>
  <c r="AD323" i="4"/>
  <c r="AF324" i="4"/>
  <c r="B326" i="4"/>
  <c r="AV327" i="4"/>
  <c r="AY326" i="4"/>
  <c r="P296" i="29" l="1"/>
  <c r="AK326" i="4"/>
  <c r="P326" i="4"/>
  <c r="L326" i="4"/>
  <c r="AM326" i="4"/>
  <c r="AI326" i="4"/>
  <c r="N326" i="4"/>
  <c r="J326" i="4"/>
  <c r="O326" i="4"/>
  <c r="AL326" i="4"/>
  <c r="M326" i="4"/>
  <c r="AJ326" i="4"/>
  <c r="AH326" i="4"/>
  <c r="K326" i="4"/>
  <c r="F326" i="4"/>
  <c r="AB298" i="29"/>
  <c r="K297" i="29"/>
  <c r="N297" i="29" s="1"/>
  <c r="AQ324" i="4"/>
  <c r="AE324" i="4"/>
  <c r="O298" i="29"/>
  <c r="AF299" i="29"/>
  <c r="AE299" i="29"/>
  <c r="AA299" i="29" s="1"/>
  <c r="J298" i="29"/>
  <c r="I298" i="29"/>
  <c r="AN322" i="4"/>
  <c r="AO322" i="4" s="1"/>
  <c r="B300" i="29"/>
  <c r="AD301" i="29"/>
  <c r="AI300" i="29"/>
  <c r="Z297" i="29"/>
  <c r="Q299" i="29"/>
  <c r="S299" i="29"/>
  <c r="T299" i="29"/>
  <c r="E299" i="29"/>
  <c r="U299" i="29"/>
  <c r="G299" i="29"/>
  <c r="R299" i="29"/>
  <c r="Y298" i="29"/>
  <c r="AX326" i="4"/>
  <c r="AW326" i="4"/>
  <c r="X325" i="4"/>
  <c r="AC325" i="4" s="1"/>
  <c r="U325" i="4"/>
  <c r="AP325" i="4" s="1"/>
  <c r="V325" i="4"/>
  <c r="AA325" i="4" s="1"/>
  <c r="R325" i="4"/>
  <c r="Z325" i="4" s="1"/>
  <c r="Q325" i="4"/>
  <c r="Y325" i="4" s="1"/>
  <c r="W325" i="4"/>
  <c r="AB325" i="4" s="1"/>
  <c r="AF325" i="4"/>
  <c r="B327" i="4"/>
  <c r="AV328" i="4"/>
  <c r="AY327" i="4"/>
  <c r="AD324" i="4"/>
  <c r="AM327" i="4" l="1"/>
  <c r="AI327" i="4"/>
  <c r="N327" i="4"/>
  <c r="J327" i="4"/>
  <c r="AK327" i="4"/>
  <c r="P327" i="4"/>
  <c r="L327" i="4"/>
  <c r="AH327" i="4"/>
  <c r="F327" i="4"/>
  <c r="O327" i="4"/>
  <c r="AL327" i="4"/>
  <c r="AJ327" i="4"/>
  <c r="M327" i="4"/>
  <c r="K327" i="4"/>
  <c r="V297" i="29"/>
  <c r="W297" i="29" s="1"/>
  <c r="P297" i="29"/>
  <c r="AB299" i="29"/>
  <c r="K298" i="29"/>
  <c r="N298" i="29" s="1"/>
  <c r="AQ325" i="4"/>
  <c r="AE325" i="4"/>
  <c r="O299" i="29"/>
  <c r="R300" i="29"/>
  <c r="Q300" i="29"/>
  <c r="T300" i="29"/>
  <c r="U300" i="29"/>
  <c r="G300" i="29"/>
  <c r="E300" i="29"/>
  <c r="S300" i="29"/>
  <c r="AE300" i="29"/>
  <c r="AA300" i="29" s="1"/>
  <c r="AF300" i="29"/>
  <c r="I299" i="29"/>
  <c r="J299" i="29"/>
  <c r="Y299" i="29" s="1"/>
  <c r="Z299" i="29" s="1"/>
  <c r="Z298" i="29"/>
  <c r="B301" i="29"/>
  <c r="AI301" i="29"/>
  <c r="AD302" i="29"/>
  <c r="AF326" i="4"/>
  <c r="AW327" i="4"/>
  <c r="AX327" i="4"/>
  <c r="V326" i="4"/>
  <c r="AA326" i="4" s="1"/>
  <c r="U326" i="4"/>
  <c r="Q326" i="4"/>
  <c r="Y326" i="4" s="1"/>
  <c r="X326" i="4"/>
  <c r="AC326" i="4" s="1"/>
  <c r="R326" i="4"/>
  <c r="Z326" i="4" s="1"/>
  <c r="W326" i="4"/>
  <c r="AB326" i="4" s="1"/>
  <c r="B328" i="4"/>
  <c r="AV329" i="4"/>
  <c r="AY328" i="4"/>
  <c r="AP326" i="4"/>
  <c r="AG323" i="4"/>
  <c r="AN323" i="4"/>
  <c r="AO323" i="4" s="1"/>
  <c r="P298" i="29" l="1"/>
  <c r="V298" i="29"/>
  <c r="W298" i="29" s="1"/>
  <c r="AB300" i="29"/>
  <c r="K299" i="29"/>
  <c r="N299" i="29" s="1"/>
  <c r="AQ326" i="4"/>
  <c r="AE326" i="4"/>
  <c r="S301" i="29"/>
  <c r="U301" i="29"/>
  <c r="G301" i="29"/>
  <c r="E301" i="29"/>
  <c r="T301" i="29"/>
  <c r="Q301" i="29"/>
  <c r="R301" i="29"/>
  <c r="I300" i="29"/>
  <c r="K300" i="29" s="1"/>
  <c r="J300" i="29"/>
  <c r="Y300" i="29" s="1"/>
  <c r="AD303" i="29"/>
  <c r="AI302" i="29"/>
  <c r="B302" i="29"/>
  <c r="O300" i="29"/>
  <c r="AF301" i="29"/>
  <c r="AE301" i="29"/>
  <c r="AA301" i="29" s="1"/>
  <c r="AN325" i="4"/>
  <c r="AO325" i="4" s="1"/>
  <c r="AG325" i="4"/>
  <c r="AF327" i="4"/>
  <c r="AD325" i="4"/>
  <c r="AW328" i="4"/>
  <c r="AX328" i="4"/>
  <c r="AD326" i="4"/>
  <c r="W327" i="4"/>
  <c r="AB327" i="4" s="1"/>
  <c r="Q327" i="4"/>
  <c r="Y327" i="4" s="1"/>
  <c r="U327" i="4"/>
  <c r="AP327" i="4" s="1"/>
  <c r="X327" i="4"/>
  <c r="AC327" i="4" s="1"/>
  <c r="V327" i="4"/>
  <c r="AA327" i="4" s="1"/>
  <c r="R327" i="4"/>
  <c r="Z327" i="4" s="1"/>
  <c r="AG324" i="4"/>
  <c r="AN324" i="4"/>
  <c r="AO324" i="4" s="1"/>
  <c r="AY329" i="4"/>
  <c r="AV330" i="4"/>
  <c r="B329" i="4"/>
  <c r="AH328" i="4"/>
  <c r="K328" i="4"/>
  <c r="F328" i="4"/>
  <c r="M328" i="4"/>
  <c r="N328" i="4"/>
  <c r="O328" i="4"/>
  <c r="AK328" i="4"/>
  <c r="AJ328" i="4"/>
  <c r="AI328" i="4"/>
  <c r="AM328" i="4"/>
  <c r="J328" i="4"/>
  <c r="L328" i="4"/>
  <c r="AL328" i="4"/>
  <c r="P328" i="4"/>
  <c r="V299" i="29" l="1"/>
  <c r="W299" i="29" s="1"/>
  <c r="P299" i="29"/>
  <c r="N300" i="29"/>
  <c r="AQ327" i="4"/>
  <c r="AB301" i="29"/>
  <c r="AE327" i="4"/>
  <c r="E302" i="29"/>
  <c r="T302" i="29"/>
  <c r="G302" i="29"/>
  <c r="S302" i="29"/>
  <c r="R302" i="29"/>
  <c r="Q302" i="29"/>
  <c r="U302" i="29"/>
  <c r="AF302" i="29"/>
  <c r="AE302" i="29"/>
  <c r="AA302" i="29" s="1"/>
  <c r="P300" i="29"/>
  <c r="V300" i="29"/>
  <c r="W300" i="29" s="1"/>
  <c r="B303" i="29"/>
  <c r="AD304" i="29"/>
  <c r="AI303" i="29"/>
  <c r="J301" i="29"/>
  <c r="Y301" i="29" s="1"/>
  <c r="I301" i="29"/>
  <c r="Z300" i="29"/>
  <c r="O301" i="29"/>
  <c r="AW329" i="4"/>
  <c r="AX329" i="4"/>
  <c r="Q328" i="4"/>
  <c r="Y328" i="4" s="1"/>
  <c r="R328" i="4"/>
  <c r="Z328" i="4" s="1"/>
  <c r="X328" i="4"/>
  <c r="AC328" i="4" s="1"/>
  <c r="W328" i="4"/>
  <c r="AB328" i="4" s="1"/>
  <c r="V328" i="4"/>
  <c r="AA328" i="4" s="1"/>
  <c r="U328" i="4"/>
  <c r="AP328" i="4" s="1"/>
  <c r="AD327" i="4"/>
  <c r="N329" i="4"/>
  <c r="AM329" i="4"/>
  <c r="AK329" i="4"/>
  <c r="AL329" i="4"/>
  <c r="J329" i="4"/>
  <c r="AJ329" i="4"/>
  <c r="AI329" i="4"/>
  <c r="K329" i="4"/>
  <c r="P329" i="4"/>
  <c r="M329" i="4"/>
  <c r="O329" i="4"/>
  <c r="F329" i="4"/>
  <c r="AH329" i="4"/>
  <c r="L329" i="4"/>
  <c r="AN326" i="4"/>
  <c r="AO326" i="4" s="1"/>
  <c r="AG326" i="4"/>
  <c r="AF328" i="4"/>
  <c r="B330" i="4"/>
  <c r="AY330" i="4"/>
  <c r="AV331" i="4"/>
  <c r="K301" i="29" l="1"/>
  <c r="N301" i="29" s="1"/>
  <c r="AQ328" i="4"/>
  <c r="AB302" i="29"/>
  <c r="AE328" i="4"/>
  <c r="O302" i="29"/>
  <c r="AI304" i="29"/>
  <c r="B304" i="29"/>
  <c r="AD305" i="29"/>
  <c r="Z301" i="29"/>
  <c r="R303" i="29"/>
  <c r="Q303" i="29"/>
  <c r="S303" i="29"/>
  <c r="G303" i="29"/>
  <c r="T303" i="29"/>
  <c r="E303" i="29"/>
  <c r="U303" i="29"/>
  <c r="I302" i="29"/>
  <c r="K302" i="29" s="1"/>
  <c r="J302" i="29"/>
  <c r="Y302" i="29" s="1"/>
  <c r="Z302" i="29" s="1"/>
  <c r="AF303" i="29"/>
  <c r="AE303" i="29"/>
  <c r="AA303" i="29" s="1"/>
  <c r="AD328" i="4"/>
  <c r="P330" i="4"/>
  <c r="O330" i="4"/>
  <c r="N330" i="4"/>
  <c r="K330" i="4"/>
  <c r="AI330" i="4"/>
  <c r="AM330" i="4"/>
  <c r="J330" i="4"/>
  <c r="L330" i="4"/>
  <c r="F330" i="4"/>
  <c r="M330" i="4"/>
  <c r="AH330" i="4"/>
  <c r="AK330" i="4"/>
  <c r="AL330" i="4"/>
  <c r="AJ330" i="4"/>
  <c r="AY331" i="4"/>
  <c r="B331" i="4"/>
  <c r="AV332" i="4"/>
  <c r="AW330" i="4"/>
  <c r="AX330" i="4"/>
  <c r="AF329" i="4"/>
  <c r="V329" i="4"/>
  <c r="AA329" i="4" s="1"/>
  <c r="X329" i="4"/>
  <c r="AC329" i="4" s="1"/>
  <c r="W329" i="4"/>
  <c r="AB329" i="4" s="1"/>
  <c r="R329" i="4"/>
  <c r="Z329" i="4" s="1"/>
  <c r="Q329" i="4"/>
  <c r="Y329" i="4" s="1"/>
  <c r="U329" i="4"/>
  <c r="AP329" i="4" s="1"/>
  <c r="P301" i="29" l="1"/>
  <c r="V301" i="29"/>
  <c r="W301" i="29" s="1"/>
  <c r="AB303" i="29"/>
  <c r="N302" i="29"/>
  <c r="V302" i="29" s="1"/>
  <c r="W302" i="29" s="1"/>
  <c r="AQ329" i="4"/>
  <c r="AE329" i="4"/>
  <c r="I303" i="29"/>
  <c r="K303" i="29" s="1"/>
  <c r="J303" i="29"/>
  <c r="Y303" i="29" s="1"/>
  <c r="O303" i="29"/>
  <c r="B305" i="29"/>
  <c r="AD306" i="29"/>
  <c r="AI305" i="29"/>
  <c r="G304" i="29"/>
  <c r="U304" i="29"/>
  <c r="S304" i="29"/>
  <c r="T304" i="29"/>
  <c r="R304" i="29"/>
  <c r="E304" i="29"/>
  <c r="Q304" i="29"/>
  <c r="AE304" i="29"/>
  <c r="AA304" i="29" s="1"/>
  <c r="AF304" i="29"/>
  <c r="AX331" i="4"/>
  <c r="AW331" i="4"/>
  <c r="AF330" i="4"/>
  <c r="B332" i="4"/>
  <c r="AV333" i="4"/>
  <c r="AY332" i="4"/>
  <c r="AN327" i="4"/>
  <c r="AO327" i="4" s="1"/>
  <c r="AG327" i="4"/>
  <c r="AN328" i="4"/>
  <c r="AO328" i="4" s="1"/>
  <c r="AG328" i="4"/>
  <c r="Q330" i="4"/>
  <c r="Y330" i="4" s="1"/>
  <c r="V330" i="4"/>
  <c r="AA330" i="4" s="1"/>
  <c r="W330" i="4"/>
  <c r="AB330" i="4" s="1"/>
  <c r="R330" i="4"/>
  <c r="Z330" i="4" s="1"/>
  <c r="U330" i="4"/>
  <c r="X330" i="4"/>
  <c r="AC330" i="4" s="1"/>
  <c r="AH331" i="4"/>
  <c r="K331" i="4"/>
  <c r="O331" i="4"/>
  <c r="M331" i="4"/>
  <c r="AJ331" i="4"/>
  <c r="F331" i="4"/>
  <c r="L331" i="4"/>
  <c r="J331" i="4"/>
  <c r="P331" i="4"/>
  <c r="AL331" i="4"/>
  <c r="AI331" i="4"/>
  <c r="AK331" i="4"/>
  <c r="N331" i="4"/>
  <c r="AM331" i="4"/>
  <c r="AP330" i="4"/>
  <c r="P302" i="29" l="1"/>
  <c r="N303" i="29"/>
  <c r="AB304" i="29"/>
  <c r="AQ330" i="4"/>
  <c r="AE330" i="4"/>
  <c r="AD307" i="29"/>
  <c r="B306" i="29"/>
  <c r="AI306" i="29"/>
  <c r="J304" i="29"/>
  <c r="Y304" i="29" s="1"/>
  <c r="I304" i="29"/>
  <c r="G305" i="29"/>
  <c r="Q305" i="29"/>
  <c r="T305" i="29"/>
  <c r="U305" i="29"/>
  <c r="R305" i="29"/>
  <c r="E305" i="29"/>
  <c r="S305" i="29"/>
  <c r="P303" i="29"/>
  <c r="V303" i="29"/>
  <c r="W303" i="29" s="1"/>
  <c r="Z303" i="29"/>
  <c r="O304" i="29"/>
  <c r="AE305" i="29"/>
  <c r="AA305" i="29" s="1"/>
  <c r="AF305" i="29"/>
  <c r="AG329" i="4"/>
  <c r="AN329" i="4"/>
  <c r="AO329" i="4" s="1"/>
  <c r="AY333" i="4"/>
  <c r="AV334" i="4"/>
  <c r="B333" i="4"/>
  <c r="AD329" i="4"/>
  <c r="O332" i="4"/>
  <c r="J332" i="4"/>
  <c r="AL332" i="4"/>
  <c r="P332" i="4"/>
  <c r="AI332" i="4"/>
  <c r="AH332" i="4"/>
  <c r="AJ332" i="4"/>
  <c r="M332" i="4"/>
  <c r="L332" i="4"/>
  <c r="F332" i="4"/>
  <c r="AM332" i="4"/>
  <c r="AK332" i="4"/>
  <c r="N332" i="4"/>
  <c r="K332" i="4"/>
  <c r="W331" i="4"/>
  <c r="AB331" i="4" s="1"/>
  <c r="Q331" i="4"/>
  <c r="Y331" i="4" s="1"/>
  <c r="V331" i="4"/>
  <c r="AA331" i="4" s="1"/>
  <c r="X331" i="4"/>
  <c r="AC331" i="4" s="1"/>
  <c r="U331" i="4"/>
  <c r="AP331" i="4" s="1"/>
  <c r="R331" i="4"/>
  <c r="Z331" i="4" s="1"/>
  <c r="AF331" i="4"/>
  <c r="AW332" i="4"/>
  <c r="AX332" i="4"/>
  <c r="K304" i="29" l="1"/>
  <c r="N304" i="29" s="1"/>
  <c r="AB305" i="29"/>
  <c r="AQ331" i="4"/>
  <c r="AE331" i="4"/>
  <c r="E306" i="29"/>
  <c r="G306" i="29"/>
  <c r="U306" i="29"/>
  <c r="T306" i="29"/>
  <c r="S306" i="29"/>
  <c r="R306" i="29"/>
  <c r="Q306" i="29"/>
  <c r="Z304" i="29"/>
  <c r="AI307" i="29"/>
  <c r="AD308" i="29"/>
  <c r="B307" i="29"/>
  <c r="I305" i="29"/>
  <c r="K305" i="29" s="1"/>
  <c r="J305" i="29"/>
  <c r="Y305" i="29" s="1"/>
  <c r="O305" i="29"/>
  <c r="AE306" i="29"/>
  <c r="AA306" i="29" s="1"/>
  <c r="AF306" i="29"/>
  <c r="AN330" i="4"/>
  <c r="AO330" i="4" s="1"/>
  <c r="AG330" i="4"/>
  <c r="M333" i="4"/>
  <c r="AI333" i="4"/>
  <c r="O333" i="4"/>
  <c r="F333" i="4"/>
  <c r="N333" i="4"/>
  <c r="AM333" i="4"/>
  <c r="AL333" i="4"/>
  <c r="AK333" i="4"/>
  <c r="P333" i="4"/>
  <c r="K333" i="4"/>
  <c r="AH333" i="4"/>
  <c r="L333" i="4"/>
  <c r="J333" i="4"/>
  <c r="AJ333" i="4"/>
  <c r="W332" i="4"/>
  <c r="AB332" i="4" s="1"/>
  <c r="R332" i="4"/>
  <c r="Z332" i="4" s="1"/>
  <c r="X332" i="4"/>
  <c r="AC332" i="4" s="1"/>
  <c r="V332" i="4"/>
  <c r="AA332" i="4" s="1"/>
  <c r="Q332" i="4"/>
  <c r="Y332" i="4" s="1"/>
  <c r="U332" i="4"/>
  <c r="AP332" i="4" s="1"/>
  <c r="AY334" i="4"/>
  <c r="AV335" i="4"/>
  <c r="B334" i="4"/>
  <c r="AD330" i="4"/>
  <c r="AX333" i="4"/>
  <c r="AW333" i="4"/>
  <c r="AF332" i="4"/>
  <c r="V304" i="29" l="1"/>
  <c r="W304" i="29" s="1"/>
  <c r="P304" i="29"/>
  <c r="N305" i="29"/>
  <c r="AQ332" i="4"/>
  <c r="AB306" i="29"/>
  <c r="AE332" i="4"/>
  <c r="J306" i="29"/>
  <c r="I306" i="29"/>
  <c r="K306" i="29" s="1"/>
  <c r="N306" i="29" s="1"/>
  <c r="Z305" i="29"/>
  <c r="Q307" i="29"/>
  <c r="E307" i="29"/>
  <c r="S307" i="29"/>
  <c r="T307" i="29"/>
  <c r="G307" i="29"/>
  <c r="R307" i="29"/>
  <c r="U307" i="29"/>
  <c r="V305" i="29"/>
  <c r="W305" i="29" s="1"/>
  <c r="P305" i="29"/>
  <c r="O306" i="29"/>
  <c r="B308" i="29"/>
  <c r="AD309" i="29"/>
  <c r="AI308" i="29"/>
  <c r="AE307" i="29"/>
  <c r="AA307" i="29" s="1"/>
  <c r="AF307" i="29"/>
  <c r="Y306" i="29"/>
  <c r="AD332" i="4"/>
  <c r="AN331" i="4"/>
  <c r="AO331" i="4" s="1"/>
  <c r="AG331" i="4"/>
  <c r="AL334" i="4"/>
  <c r="L334" i="4"/>
  <c r="F334" i="4"/>
  <c r="K334" i="4"/>
  <c r="O334" i="4"/>
  <c r="AK334" i="4"/>
  <c r="J334" i="4"/>
  <c r="M334" i="4"/>
  <c r="AJ334" i="4"/>
  <c r="N334" i="4"/>
  <c r="AM334" i="4"/>
  <c r="P334" i="4"/>
  <c r="AH334" i="4"/>
  <c r="AI334" i="4"/>
  <c r="AD331" i="4"/>
  <c r="V333" i="4"/>
  <c r="AA333" i="4" s="1"/>
  <c r="X333" i="4"/>
  <c r="AC333" i="4" s="1"/>
  <c r="R333" i="4"/>
  <c r="Z333" i="4" s="1"/>
  <c r="Q333" i="4"/>
  <c r="Y333" i="4" s="1"/>
  <c r="W333" i="4"/>
  <c r="AB333" i="4" s="1"/>
  <c r="U333" i="4"/>
  <c r="AP333" i="4" s="1"/>
  <c r="AX334" i="4"/>
  <c r="AW334" i="4"/>
  <c r="AF333" i="4"/>
  <c r="AV336" i="4"/>
  <c r="B335" i="4"/>
  <c r="AY335" i="4"/>
  <c r="AQ333" i="4" l="1"/>
  <c r="AB307" i="29"/>
  <c r="AE333" i="4"/>
  <c r="B309" i="29"/>
  <c r="AI309" i="29"/>
  <c r="AD310" i="29"/>
  <c r="G308" i="29"/>
  <c r="T308" i="29"/>
  <c r="Q308" i="29"/>
  <c r="R308" i="29"/>
  <c r="S308" i="29"/>
  <c r="E308" i="29"/>
  <c r="U308" i="29"/>
  <c r="O307" i="29"/>
  <c r="AF308" i="29"/>
  <c r="AE308" i="29"/>
  <c r="AA308" i="29" s="1"/>
  <c r="P306" i="29"/>
  <c r="V306" i="29"/>
  <c r="W306" i="29" s="1"/>
  <c r="I307" i="29"/>
  <c r="J307" i="29"/>
  <c r="Y307" i="29" s="1"/>
  <c r="Z306" i="29"/>
  <c r="AW335" i="4"/>
  <c r="AX335" i="4"/>
  <c r="AN332" i="4"/>
  <c r="AO332" i="4" s="1"/>
  <c r="AG332" i="4"/>
  <c r="AH335" i="4"/>
  <c r="K335" i="4"/>
  <c r="AI335" i="4"/>
  <c r="F335" i="4"/>
  <c r="L335" i="4"/>
  <c r="O335" i="4"/>
  <c r="AL335" i="4"/>
  <c r="P335" i="4"/>
  <c r="AM335" i="4"/>
  <c r="N335" i="4"/>
  <c r="AK335" i="4"/>
  <c r="M335" i="4"/>
  <c r="J335" i="4"/>
  <c r="AJ335" i="4"/>
  <c r="B336" i="4"/>
  <c r="AV337" i="4"/>
  <c r="AY336" i="4"/>
  <c r="R334" i="4"/>
  <c r="Z334" i="4" s="1"/>
  <c r="U334" i="4"/>
  <c r="AP334" i="4" s="1"/>
  <c r="Q334" i="4"/>
  <c r="Y334" i="4" s="1"/>
  <c r="X334" i="4"/>
  <c r="AC334" i="4" s="1"/>
  <c r="W334" i="4"/>
  <c r="AB334" i="4" s="1"/>
  <c r="V334" i="4"/>
  <c r="AA334" i="4" s="1"/>
  <c r="AF334" i="4"/>
  <c r="AB308" i="29" l="1"/>
  <c r="K307" i="29"/>
  <c r="N307" i="29" s="1"/>
  <c r="AQ334" i="4"/>
  <c r="AE334" i="4"/>
  <c r="O308" i="29"/>
  <c r="I308" i="29"/>
  <c r="K308" i="29" s="1"/>
  <c r="J308" i="29"/>
  <c r="Y308" i="29" s="1"/>
  <c r="B310" i="29"/>
  <c r="AD311" i="29"/>
  <c r="AI310" i="29"/>
  <c r="AE309" i="29"/>
  <c r="AA309" i="29" s="1"/>
  <c r="AF309" i="29"/>
  <c r="Z307" i="29"/>
  <c r="U309" i="29"/>
  <c r="Q309" i="29"/>
  <c r="S309" i="29"/>
  <c r="R309" i="29"/>
  <c r="T309" i="29"/>
  <c r="E309" i="29"/>
  <c r="G309" i="29"/>
  <c r="AG333" i="4"/>
  <c r="AN333" i="4"/>
  <c r="AO333" i="4" s="1"/>
  <c r="AJ336" i="4"/>
  <c r="K336" i="4"/>
  <c r="P336" i="4"/>
  <c r="AI336" i="4"/>
  <c r="F336" i="4"/>
  <c r="AH336" i="4"/>
  <c r="AM336" i="4"/>
  <c r="M336" i="4"/>
  <c r="O336" i="4"/>
  <c r="L336" i="4"/>
  <c r="N336" i="4"/>
  <c r="AK336" i="4"/>
  <c r="AL336" i="4"/>
  <c r="J336" i="4"/>
  <c r="AD334" i="4"/>
  <c r="AD333" i="4"/>
  <c r="AF335" i="4"/>
  <c r="B337" i="4"/>
  <c r="AV338" i="4"/>
  <c r="AY337" i="4"/>
  <c r="AX336" i="4"/>
  <c r="AW336" i="4"/>
  <c r="V335" i="4"/>
  <c r="AA335" i="4" s="1"/>
  <c r="U335" i="4"/>
  <c r="AP335" i="4" s="1"/>
  <c r="R335" i="4"/>
  <c r="Z335" i="4" s="1"/>
  <c r="X335" i="4"/>
  <c r="AC335" i="4" s="1"/>
  <c r="W335" i="4"/>
  <c r="AB335" i="4" s="1"/>
  <c r="Q335" i="4"/>
  <c r="Y335" i="4" s="1"/>
  <c r="P307" i="29" l="1"/>
  <c r="V307" i="29"/>
  <c r="W307" i="29" s="1"/>
  <c r="AB309" i="29"/>
  <c r="N308" i="29"/>
  <c r="AQ335" i="4"/>
  <c r="Z308" i="29"/>
  <c r="AE335" i="4"/>
  <c r="B311" i="29"/>
  <c r="AI311" i="29"/>
  <c r="AD312" i="29"/>
  <c r="O309" i="29"/>
  <c r="I309" i="29"/>
  <c r="K309" i="29" s="1"/>
  <c r="J309" i="29"/>
  <c r="Y309" i="29" s="1"/>
  <c r="Q310" i="29"/>
  <c r="S310" i="29"/>
  <c r="T310" i="29"/>
  <c r="R310" i="29"/>
  <c r="U310" i="29"/>
  <c r="E310" i="29"/>
  <c r="G310" i="29"/>
  <c r="P308" i="29"/>
  <c r="V308" i="29"/>
  <c r="W308" i="29" s="1"/>
  <c r="AE310" i="29"/>
  <c r="AA310" i="29" s="1"/>
  <c r="AF310" i="29"/>
  <c r="AN334" i="4"/>
  <c r="AO334" i="4" s="1"/>
  <c r="AX337" i="4"/>
  <c r="AW337" i="4"/>
  <c r="B338" i="4"/>
  <c r="AY338" i="4"/>
  <c r="AV339" i="4"/>
  <c r="L686" i="7"/>
  <c r="V336" i="4"/>
  <c r="AA336" i="4" s="1"/>
  <c r="Q336" i="4"/>
  <c r="Y336" i="4" s="1"/>
  <c r="U336" i="4"/>
  <c r="R336" i="4"/>
  <c r="Z336" i="4" s="1"/>
  <c r="X336" i="4"/>
  <c r="AC336" i="4" s="1"/>
  <c r="W336" i="4"/>
  <c r="AB336" i="4" s="1"/>
  <c r="AH337" i="4"/>
  <c r="J337" i="4"/>
  <c r="L337" i="4"/>
  <c r="N337" i="4"/>
  <c r="M337" i="4"/>
  <c r="AI337" i="4"/>
  <c r="AL337" i="4"/>
  <c r="P337" i="4"/>
  <c r="K337" i="4"/>
  <c r="AK337" i="4"/>
  <c r="AM337" i="4"/>
  <c r="F337" i="4"/>
  <c r="O337" i="4"/>
  <c r="AJ337" i="4"/>
  <c r="AP336" i="4"/>
  <c r="AF336" i="4"/>
  <c r="AD335" i="4"/>
  <c r="N309" i="29" l="1"/>
  <c r="AB310" i="29"/>
  <c r="AQ336" i="4"/>
  <c r="AE336" i="4"/>
  <c r="O310" i="29"/>
  <c r="AI312" i="29"/>
  <c r="AD313" i="29"/>
  <c r="B312" i="29"/>
  <c r="I310" i="29"/>
  <c r="J310" i="29"/>
  <c r="Y310" i="29" s="1"/>
  <c r="P309" i="29"/>
  <c r="V309" i="29"/>
  <c r="W309" i="29" s="1"/>
  <c r="AE311" i="29"/>
  <c r="AA311" i="29" s="1"/>
  <c r="AF311" i="29"/>
  <c r="Z309" i="29"/>
  <c r="E311" i="29"/>
  <c r="S311" i="29"/>
  <c r="U311" i="29"/>
  <c r="G311" i="29"/>
  <c r="T311" i="29"/>
  <c r="Q311" i="29"/>
  <c r="R311" i="29"/>
  <c r="AG334" i="4"/>
  <c r="AN335" i="4"/>
  <c r="AO335" i="4" s="1"/>
  <c r="AG335" i="4"/>
  <c r="AF337" i="4"/>
  <c r="B339" i="4"/>
  <c r="AY339" i="4"/>
  <c r="AV340" i="4"/>
  <c r="AW338" i="4"/>
  <c r="AX338" i="4"/>
  <c r="V337" i="4"/>
  <c r="AA337" i="4" s="1"/>
  <c r="W337" i="4"/>
  <c r="AB337" i="4" s="1"/>
  <c r="R337" i="4"/>
  <c r="Z337" i="4" s="1"/>
  <c r="U337" i="4"/>
  <c r="AP337" i="4" s="1"/>
  <c r="X337" i="4"/>
  <c r="AC337" i="4" s="1"/>
  <c r="Q337" i="4"/>
  <c r="Y337" i="4" s="1"/>
  <c r="N338" i="4"/>
  <c r="AI338" i="4"/>
  <c r="AL338" i="4"/>
  <c r="J338" i="4"/>
  <c r="AJ338" i="4"/>
  <c r="AM338" i="4"/>
  <c r="M338" i="4"/>
  <c r="P338" i="4"/>
  <c r="L338" i="4"/>
  <c r="F338" i="4"/>
  <c r="AH338" i="4"/>
  <c r="AK338" i="4"/>
  <c r="O338" i="4"/>
  <c r="K338" i="4"/>
  <c r="K310" i="29" l="1"/>
  <c r="N310" i="29" s="1"/>
  <c r="AB311" i="29"/>
  <c r="Z310" i="29"/>
  <c r="AQ337" i="4"/>
  <c r="AE337" i="4"/>
  <c r="L687" i="7" s="1"/>
  <c r="J311" i="29"/>
  <c r="Y311" i="29" s="1"/>
  <c r="I311" i="29"/>
  <c r="K311" i="29" s="1"/>
  <c r="AI313" i="29"/>
  <c r="AD314" i="29"/>
  <c r="B313" i="29"/>
  <c r="R312" i="29"/>
  <c r="E312" i="29"/>
  <c r="Q312" i="29"/>
  <c r="S312" i="29"/>
  <c r="G312" i="29"/>
  <c r="T312" i="29"/>
  <c r="U312" i="29"/>
  <c r="O311" i="29"/>
  <c r="AF312" i="29"/>
  <c r="AE312" i="29"/>
  <c r="AA312" i="29" s="1"/>
  <c r="AN336" i="4"/>
  <c r="AO336" i="4" s="1"/>
  <c r="AG336" i="4"/>
  <c r="X338" i="4"/>
  <c r="AC338" i="4" s="1"/>
  <c r="V338" i="4"/>
  <c r="AA338" i="4" s="1"/>
  <c r="U338" i="4"/>
  <c r="AP338" i="4" s="1"/>
  <c r="W338" i="4"/>
  <c r="AB338" i="4" s="1"/>
  <c r="R338" i="4"/>
  <c r="Z338" i="4" s="1"/>
  <c r="Q338" i="4"/>
  <c r="Y338" i="4" s="1"/>
  <c r="AX339" i="4"/>
  <c r="AW339" i="4"/>
  <c r="AD336" i="4"/>
  <c r="F339" i="4"/>
  <c r="J339" i="4"/>
  <c r="AK339" i="4"/>
  <c r="N339" i="4"/>
  <c r="AM339" i="4"/>
  <c r="L339" i="4"/>
  <c r="AH339" i="4"/>
  <c r="AI339" i="4"/>
  <c r="AL339" i="4"/>
  <c r="AJ339" i="4"/>
  <c r="O339" i="4"/>
  <c r="K339" i="4"/>
  <c r="M339" i="4"/>
  <c r="P339" i="4"/>
  <c r="AF338" i="4"/>
  <c r="AY340" i="4"/>
  <c r="AV341" i="4"/>
  <c r="B340" i="4"/>
  <c r="AV344" i="4"/>
  <c r="P310" i="29" l="1"/>
  <c r="V310" i="29"/>
  <c r="W310" i="29" s="1"/>
  <c r="N311" i="29"/>
  <c r="AQ338" i="4"/>
  <c r="O312" i="29"/>
  <c r="AB312" i="29"/>
  <c r="AE338" i="4"/>
  <c r="Z311" i="29"/>
  <c r="E313" i="29"/>
  <c r="G313" i="29"/>
  <c r="R313" i="29"/>
  <c r="S313" i="29"/>
  <c r="Q313" i="29"/>
  <c r="U313" i="29"/>
  <c r="T313" i="29"/>
  <c r="P311" i="29"/>
  <c r="V311" i="29"/>
  <c r="W311" i="29" s="1"/>
  <c r="AD315" i="29"/>
  <c r="B314" i="29"/>
  <c r="AI314" i="29"/>
  <c r="I312" i="29"/>
  <c r="K312" i="29" s="1"/>
  <c r="J312" i="29"/>
  <c r="Y312" i="29" s="1"/>
  <c r="Z312" i="29" s="1"/>
  <c r="AE313" i="29"/>
  <c r="AA313" i="29" s="1"/>
  <c r="AF313" i="29"/>
  <c r="AN337" i="4"/>
  <c r="AO337" i="4" s="1"/>
  <c r="AG337" i="4"/>
  <c r="AF339" i="4"/>
  <c r="B344" i="4"/>
  <c r="AY344" i="4"/>
  <c r="AD337" i="4"/>
  <c r="AW340" i="4"/>
  <c r="AX340" i="4"/>
  <c r="AJ340" i="4"/>
  <c r="AK340" i="4"/>
  <c r="N340" i="4"/>
  <c r="F340" i="4"/>
  <c r="M340" i="4"/>
  <c r="P340" i="4"/>
  <c r="J340" i="4"/>
  <c r="AL340" i="4"/>
  <c r="AI340" i="4"/>
  <c r="K340" i="4"/>
  <c r="L340" i="4"/>
  <c r="AH340" i="4"/>
  <c r="O340" i="4"/>
  <c r="AM340" i="4"/>
  <c r="AV342" i="4"/>
  <c r="AY341" i="4"/>
  <c r="B341" i="4"/>
  <c r="AV345" i="4"/>
  <c r="U339" i="4"/>
  <c r="AP339" i="4" s="1"/>
  <c r="Q339" i="4"/>
  <c r="Y339" i="4" s="1"/>
  <c r="R339" i="4"/>
  <c r="Z339" i="4" s="1"/>
  <c r="X339" i="4"/>
  <c r="AC339" i="4" s="1"/>
  <c r="V339" i="4"/>
  <c r="AA339" i="4" s="1"/>
  <c r="W339" i="4"/>
  <c r="AB339" i="4" s="1"/>
  <c r="AK341" i="4" l="1"/>
  <c r="P341" i="4"/>
  <c r="L341" i="4"/>
  <c r="AM341" i="4"/>
  <c r="AI341" i="4"/>
  <c r="N341" i="4"/>
  <c r="J341" i="4"/>
  <c r="AJ341" i="4"/>
  <c r="K341" i="4"/>
  <c r="AH341" i="4"/>
  <c r="F341" i="4"/>
  <c r="AL341" i="4"/>
  <c r="O341" i="4"/>
  <c r="M341" i="4"/>
  <c r="N312" i="29"/>
  <c r="AQ339" i="4"/>
  <c r="AB313" i="29"/>
  <c r="AE339" i="4"/>
  <c r="AD338" i="4"/>
  <c r="AF314" i="29"/>
  <c r="AE314" i="29"/>
  <c r="AA314" i="29" s="1"/>
  <c r="I313" i="29"/>
  <c r="K313" i="29" s="1"/>
  <c r="N313" i="29" s="1"/>
  <c r="J313" i="29"/>
  <c r="P312" i="29"/>
  <c r="V312" i="29"/>
  <c r="W312" i="29" s="1"/>
  <c r="Q314" i="29"/>
  <c r="G314" i="29"/>
  <c r="R314" i="29"/>
  <c r="U314" i="29"/>
  <c r="T314" i="29"/>
  <c r="E314" i="29"/>
  <c r="S314" i="29"/>
  <c r="B315" i="29"/>
  <c r="AI315" i="29"/>
  <c r="AD316" i="29"/>
  <c r="O313" i="29"/>
  <c r="Y313" i="29"/>
  <c r="AW341" i="4"/>
  <c r="AX341" i="4"/>
  <c r="AF340" i="4"/>
  <c r="AD339" i="4"/>
  <c r="U340" i="4"/>
  <c r="AP340" i="4" s="1"/>
  <c r="R340" i="4"/>
  <c r="Z340" i="4" s="1"/>
  <c r="X340" i="4"/>
  <c r="AC340" i="4" s="1"/>
  <c r="Q340" i="4"/>
  <c r="Y340" i="4" s="1"/>
  <c r="W340" i="4"/>
  <c r="AB340" i="4" s="1"/>
  <c r="V340" i="4"/>
  <c r="AA340" i="4" s="1"/>
  <c r="B342" i="4"/>
  <c r="AV346" i="4"/>
  <c r="AV343" i="4"/>
  <c r="AY342" i="4"/>
  <c r="AX344" i="4"/>
  <c r="AW344" i="4"/>
  <c r="B345" i="4"/>
  <c r="AY345" i="4"/>
  <c r="AN338" i="4"/>
  <c r="AO338" i="4" s="1"/>
  <c r="AG338" i="4"/>
  <c r="L344" i="4"/>
  <c r="M344" i="4"/>
  <c r="AK344" i="4"/>
  <c r="J344" i="4"/>
  <c r="F344" i="4"/>
  <c r="O344" i="4"/>
  <c r="AI344" i="4"/>
  <c r="AJ344" i="4"/>
  <c r="P344" i="4"/>
  <c r="AM344" i="4"/>
  <c r="AL344" i="4"/>
  <c r="N344" i="4"/>
  <c r="K344" i="4"/>
  <c r="AH344" i="4"/>
  <c r="AM342" i="4" l="1"/>
  <c r="AI342" i="4"/>
  <c r="N342" i="4"/>
  <c r="J342" i="4"/>
  <c r="AK342" i="4"/>
  <c r="P342" i="4"/>
  <c r="L342" i="4"/>
  <c r="AL342" i="4"/>
  <c r="M342" i="4"/>
  <c r="AJ342" i="4"/>
  <c r="K342" i="4"/>
  <c r="F342" i="4"/>
  <c r="AH342" i="4"/>
  <c r="O342" i="4"/>
  <c r="AB314" i="29"/>
  <c r="AQ340" i="4"/>
  <c r="AE340" i="4"/>
  <c r="Z313" i="29"/>
  <c r="O314" i="29"/>
  <c r="I314" i="29"/>
  <c r="J314" i="29"/>
  <c r="Y314" i="29" s="1"/>
  <c r="AD317" i="29"/>
  <c r="AI316" i="29"/>
  <c r="B316" i="29"/>
  <c r="V313" i="29"/>
  <c r="W313" i="29" s="1"/>
  <c r="P313" i="29"/>
  <c r="AE315" i="29"/>
  <c r="AA315" i="29" s="1"/>
  <c r="AF315" i="29"/>
  <c r="U315" i="29"/>
  <c r="R315" i="29"/>
  <c r="Q315" i="29"/>
  <c r="G315" i="29"/>
  <c r="S315" i="29"/>
  <c r="E315" i="29"/>
  <c r="T315" i="29"/>
  <c r="O345" i="4"/>
  <c r="AI345" i="4"/>
  <c r="L345" i="4"/>
  <c r="AJ345" i="4"/>
  <c r="M345" i="4"/>
  <c r="AL345" i="4"/>
  <c r="AH345" i="4"/>
  <c r="K345" i="4"/>
  <c r="P345" i="4"/>
  <c r="AM345" i="4"/>
  <c r="N345" i="4"/>
  <c r="AK345" i="4"/>
  <c r="J345" i="4"/>
  <c r="F345" i="4"/>
  <c r="AY343" i="4"/>
  <c r="B343" i="4"/>
  <c r="AV347" i="4"/>
  <c r="AD340" i="4"/>
  <c r="AF344" i="4"/>
  <c r="AY346" i="4"/>
  <c r="B346" i="4"/>
  <c r="AF341" i="4"/>
  <c r="AW345" i="4"/>
  <c r="AX345" i="4"/>
  <c r="Q344" i="4"/>
  <c r="Y344" i="4" s="1"/>
  <c r="V344" i="4"/>
  <c r="AA344" i="4" s="1"/>
  <c r="U344" i="4"/>
  <c r="AP344" i="4" s="1"/>
  <c r="W344" i="4"/>
  <c r="AB344" i="4" s="1"/>
  <c r="X344" i="4"/>
  <c r="AC344" i="4" s="1"/>
  <c r="R344" i="4"/>
  <c r="Z344" i="4" s="1"/>
  <c r="AW342" i="4"/>
  <c r="AX342" i="4"/>
  <c r="Q341" i="4"/>
  <c r="Y341" i="4" s="1"/>
  <c r="R341" i="4"/>
  <c r="Z341" i="4" s="1"/>
  <c r="X341" i="4"/>
  <c r="AC341" i="4" s="1"/>
  <c r="W341" i="4"/>
  <c r="AB341" i="4" s="1"/>
  <c r="U341" i="4"/>
  <c r="AP341" i="4" s="1"/>
  <c r="V341" i="4"/>
  <c r="AA341" i="4" s="1"/>
  <c r="AB315" i="29" l="1"/>
  <c r="K314" i="29"/>
  <c r="N314" i="29" s="1"/>
  <c r="AQ341" i="4"/>
  <c r="AQ344" i="4"/>
  <c r="AE341" i="4"/>
  <c r="AE344" i="4"/>
  <c r="AD318" i="29"/>
  <c r="AI317" i="29"/>
  <c r="B317" i="29"/>
  <c r="O315" i="29"/>
  <c r="T316" i="29"/>
  <c r="Q316" i="29"/>
  <c r="S316" i="29"/>
  <c r="U316" i="29"/>
  <c r="G316" i="29"/>
  <c r="E316" i="29"/>
  <c r="R316" i="29"/>
  <c r="Z314" i="29"/>
  <c r="I315" i="29"/>
  <c r="J315" i="29"/>
  <c r="Y315" i="29" s="1"/>
  <c r="AE316" i="29"/>
  <c r="AA316" i="29" s="1"/>
  <c r="AF316" i="29"/>
  <c r="AN339" i="4"/>
  <c r="AO339" i="4" s="1"/>
  <c r="AG339" i="4"/>
  <c r="AW343" i="4"/>
  <c r="AX343" i="4"/>
  <c r="AF342" i="4"/>
  <c r="AK346" i="4"/>
  <c r="AM346" i="4"/>
  <c r="O346" i="4"/>
  <c r="AJ346" i="4"/>
  <c r="K346" i="4"/>
  <c r="N346" i="4"/>
  <c r="AH346" i="4"/>
  <c r="AI346" i="4"/>
  <c r="M346" i="4"/>
  <c r="AL346" i="4"/>
  <c r="P346" i="4"/>
  <c r="L346" i="4"/>
  <c r="F346" i="4"/>
  <c r="J346" i="4"/>
  <c r="AG340" i="4"/>
  <c r="AN340" i="4"/>
  <c r="AO340" i="4" s="1"/>
  <c r="AF345" i="4"/>
  <c r="U345" i="4"/>
  <c r="AP345" i="4" s="1"/>
  <c r="V345" i="4"/>
  <c r="AA345" i="4" s="1"/>
  <c r="W345" i="4"/>
  <c r="AB345" i="4" s="1"/>
  <c r="R345" i="4"/>
  <c r="Z345" i="4" s="1"/>
  <c r="X345" i="4"/>
  <c r="AC345" i="4" s="1"/>
  <c r="Q345" i="4"/>
  <c r="Y345" i="4" s="1"/>
  <c r="V342" i="4"/>
  <c r="AA342" i="4" s="1"/>
  <c r="Q342" i="4"/>
  <c r="Y342" i="4" s="1"/>
  <c r="U342" i="4"/>
  <c r="AP342" i="4" s="1"/>
  <c r="X342" i="4"/>
  <c r="AC342" i="4" s="1"/>
  <c r="R342" i="4"/>
  <c r="Z342" i="4" s="1"/>
  <c r="W342" i="4"/>
  <c r="AB342" i="4" s="1"/>
  <c r="AD344" i="4"/>
  <c r="AX346" i="4"/>
  <c r="AW346" i="4"/>
  <c r="AV348" i="4"/>
  <c r="AY347" i="4"/>
  <c r="B347" i="4"/>
  <c r="AM343" i="4"/>
  <c r="AH343" i="4"/>
  <c r="K343" i="4"/>
  <c r="N343" i="4"/>
  <c r="AJ343" i="4"/>
  <c r="M343" i="4"/>
  <c r="AI343" i="4"/>
  <c r="P343" i="4"/>
  <c r="L343" i="4"/>
  <c r="O343" i="4"/>
  <c r="AL343" i="4"/>
  <c r="AK343" i="4"/>
  <c r="F343" i="4"/>
  <c r="J343" i="4"/>
  <c r="V314" i="29" l="1"/>
  <c r="W314" i="29" s="1"/>
  <c r="P314" i="29"/>
  <c r="K315" i="29"/>
  <c r="N315" i="29" s="1"/>
  <c r="AB316" i="29"/>
  <c r="AQ345" i="4"/>
  <c r="AQ342" i="4"/>
  <c r="AE342" i="4"/>
  <c r="AE345" i="4"/>
  <c r="U317" i="29"/>
  <c r="Q317" i="29"/>
  <c r="G317" i="29"/>
  <c r="E317" i="29"/>
  <c r="T317" i="29"/>
  <c r="S317" i="29"/>
  <c r="R317" i="29"/>
  <c r="O316" i="29"/>
  <c r="AE317" i="29"/>
  <c r="AA317" i="29" s="1"/>
  <c r="AF317" i="29"/>
  <c r="J316" i="29"/>
  <c r="Y316" i="29" s="1"/>
  <c r="I316" i="29"/>
  <c r="K316" i="29" s="1"/>
  <c r="B318" i="29"/>
  <c r="AI318" i="29"/>
  <c r="AD319" i="29"/>
  <c r="Z315" i="29"/>
  <c r="AD341" i="4"/>
  <c r="AG341" i="4"/>
  <c r="AN341" i="4"/>
  <c r="AO341" i="4" s="1"/>
  <c r="AY348" i="4"/>
  <c r="B348" i="4"/>
  <c r="AV349" i="4"/>
  <c r="AF346" i="4"/>
  <c r="AF343" i="4"/>
  <c r="AD342" i="4"/>
  <c r="AL347" i="4"/>
  <c r="P347" i="4"/>
  <c r="J347" i="4"/>
  <c r="L347" i="4"/>
  <c r="K347" i="4"/>
  <c r="AM347" i="4"/>
  <c r="AK347" i="4"/>
  <c r="O347" i="4"/>
  <c r="AH347" i="4"/>
  <c r="M347" i="4"/>
  <c r="AI347" i="4"/>
  <c r="F347" i="4"/>
  <c r="AJ347" i="4"/>
  <c r="N347" i="4"/>
  <c r="U346" i="4"/>
  <c r="AP346" i="4" s="1"/>
  <c r="V346" i="4"/>
  <c r="AA346" i="4" s="1"/>
  <c r="Q346" i="4"/>
  <c r="Y346" i="4" s="1"/>
  <c r="R346" i="4"/>
  <c r="Z346" i="4" s="1"/>
  <c r="W346" i="4"/>
  <c r="AB346" i="4" s="1"/>
  <c r="X346" i="4"/>
  <c r="AC346" i="4" s="1"/>
  <c r="AD345" i="4"/>
  <c r="AW347" i="4"/>
  <c r="AX347" i="4"/>
  <c r="Q343" i="4"/>
  <c r="Y343" i="4" s="1"/>
  <c r="R343" i="4"/>
  <c r="Z343" i="4" s="1"/>
  <c r="W343" i="4"/>
  <c r="AB343" i="4" s="1"/>
  <c r="V343" i="4"/>
  <c r="AA343" i="4" s="1"/>
  <c r="X343" i="4"/>
  <c r="AC343" i="4" s="1"/>
  <c r="U343" i="4"/>
  <c r="AP343" i="4" s="1"/>
  <c r="P315" i="29" l="1"/>
  <c r="V315" i="29"/>
  <c r="W315" i="29" s="1"/>
  <c r="N316" i="29"/>
  <c r="P316" i="29" s="1"/>
  <c r="AQ343" i="4"/>
  <c r="AQ346" i="4"/>
  <c r="AB317" i="29"/>
  <c r="AE343" i="4"/>
  <c r="AE346" i="4"/>
  <c r="V316" i="29"/>
  <c r="W316" i="29" s="1"/>
  <c r="J317" i="29"/>
  <c r="Y317" i="29" s="1"/>
  <c r="I317" i="29"/>
  <c r="K317" i="29" s="1"/>
  <c r="O317" i="29"/>
  <c r="AE318" i="29"/>
  <c r="AA318" i="29" s="1"/>
  <c r="AF318" i="29"/>
  <c r="B319" i="29"/>
  <c r="AD320" i="29"/>
  <c r="AI319" i="29"/>
  <c r="Z316" i="29"/>
  <c r="U318" i="29"/>
  <c r="E318" i="29"/>
  <c r="S318" i="29"/>
  <c r="R318" i="29"/>
  <c r="T318" i="29"/>
  <c r="G318" i="29"/>
  <c r="Q318" i="29"/>
  <c r="AG345" i="4"/>
  <c r="AN345" i="4"/>
  <c r="AO345" i="4" s="1"/>
  <c r="AG344" i="4"/>
  <c r="AN344" i="4"/>
  <c r="AO344" i="4" s="1"/>
  <c r="AX348" i="4"/>
  <c r="AW348" i="4"/>
  <c r="Q347" i="4"/>
  <c r="Y347" i="4" s="1"/>
  <c r="R347" i="4"/>
  <c r="Z347" i="4" s="1"/>
  <c r="W347" i="4"/>
  <c r="AB347" i="4" s="1"/>
  <c r="X347" i="4"/>
  <c r="AC347" i="4" s="1"/>
  <c r="V347" i="4"/>
  <c r="AA347" i="4" s="1"/>
  <c r="U347" i="4"/>
  <c r="AP347" i="4" s="1"/>
  <c r="AF347" i="4"/>
  <c r="B349" i="4"/>
  <c r="AY349" i="4"/>
  <c r="AV350" i="4"/>
  <c r="O348" i="4"/>
  <c r="AH348" i="4"/>
  <c r="K348" i="4"/>
  <c r="F348" i="4"/>
  <c r="AJ348" i="4"/>
  <c r="M348" i="4"/>
  <c r="J348" i="4"/>
  <c r="AK348" i="4"/>
  <c r="AM348" i="4"/>
  <c r="P348" i="4"/>
  <c r="N348" i="4"/>
  <c r="L348" i="4"/>
  <c r="AI348" i="4"/>
  <c r="AL348" i="4"/>
  <c r="AB318" i="29" l="1"/>
  <c r="N317" i="29"/>
  <c r="AQ347" i="4"/>
  <c r="AE347" i="4"/>
  <c r="O318" i="29"/>
  <c r="B320" i="29"/>
  <c r="AI320" i="29"/>
  <c r="AD321" i="29"/>
  <c r="P317" i="29"/>
  <c r="V317" i="29"/>
  <c r="W317" i="29" s="1"/>
  <c r="S319" i="29"/>
  <c r="E319" i="29"/>
  <c r="G319" i="29"/>
  <c r="T319" i="29"/>
  <c r="U319" i="29"/>
  <c r="R319" i="29"/>
  <c r="Q319" i="29"/>
  <c r="I318" i="29"/>
  <c r="J318" i="29"/>
  <c r="Y318" i="29" s="1"/>
  <c r="AF319" i="29"/>
  <c r="AE319" i="29"/>
  <c r="AA319" i="29" s="1"/>
  <c r="Z317" i="29"/>
  <c r="AN343" i="4"/>
  <c r="AO343" i="4" s="1"/>
  <c r="AN346" i="4"/>
  <c r="AO346" i="4" s="1"/>
  <c r="AG346" i="4"/>
  <c r="AG343" i="4"/>
  <c r="AG342" i="4"/>
  <c r="AN342" i="4"/>
  <c r="AO342" i="4" s="1"/>
  <c r="AD346" i="4"/>
  <c r="AF348" i="4"/>
  <c r="AY350" i="4"/>
  <c r="AV351" i="4"/>
  <c r="B350" i="4"/>
  <c r="X348" i="4"/>
  <c r="AC348" i="4" s="1"/>
  <c r="R348" i="4"/>
  <c r="Z348" i="4" s="1"/>
  <c r="U348" i="4"/>
  <c r="AP348" i="4" s="1"/>
  <c r="V348" i="4"/>
  <c r="AA348" i="4" s="1"/>
  <c r="W348" i="4"/>
  <c r="AB348" i="4" s="1"/>
  <c r="Q348" i="4"/>
  <c r="Y348" i="4" s="1"/>
  <c r="AD343" i="4"/>
  <c r="AX349" i="4"/>
  <c r="AW349" i="4"/>
  <c r="M349" i="4"/>
  <c r="AL349" i="4"/>
  <c r="N349" i="4"/>
  <c r="F349" i="4"/>
  <c r="K349" i="4"/>
  <c r="J349" i="4"/>
  <c r="AJ349" i="4"/>
  <c r="AI349" i="4"/>
  <c r="L349" i="4"/>
  <c r="P349" i="4"/>
  <c r="O349" i="4"/>
  <c r="AH349" i="4"/>
  <c r="AM349" i="4"/>
  <c r="AK349" i="4"/>
  <c r="K318" i="29" l="1"/>
  <c r="N318" i="29" s="1"/>
  <c r="AQ348" i="4"/>
  <c r="AB319" i="29"/>
  <c r="AE348" i="4"/>
  <c r="Q320" i="29"/>
  <c r="G320" i="29"/>
  <c r="T320" i="29"/>
  <c r="U320" i="29"/>
  <c r="S320" i="29"/>
  <c r="E320" i="29"/>
  <c r="R320" i="29"/>
  <c r="O319" i="29"/>
  <c r="Z318" i="29"/>
  <c r="I319" i="29"/>
  <c r="K319" i="29" s="1"/>
  <c r="J319" i="29"/>
  <c r="Y319" i="29" s="1"/>
  <c r="AD322" i="29"/>
  <c r="B321" i="29"/>
  <c r="AI321" i="29"/>
  <c r="AF320" i="29"/>
  <c r="AE320" i="29"/>
  <c r="AA320" i="29" s="1"/>
  <c r="AG347" i="4"/>
  <c r="AN347" i="4"/>
  <c r="AO347" i="4" s="1"/>
  <c r="AI350" i="4"/>
  <c r="M350" i="4"/>
  <c r="AH350" i="4"/>
  <c r="O350" i="4"/>
  <c r="F350" i="4"/>
  <c r="K350" i="4"/>
  <c r="AL350" i="4"/>
  <c r="P350" i="4"/>
  <c r="AJ350" i="4"/>
  <c r="N350" i="4"/>
  <c r="AM350" i="4"/>
  <c r="AK350" i="4"/>
  <c r="L350" i="4"/>
  <c r="J350" i="4"/>
  <c r="AD347" i="4"/>
  <c r="AF349" i="4"/>
  <c r="W349" i="4"/>
  <c r="AB349" i="4" s="1"/>
  <c r="U349" i="4"/>
  <c r="AP349" i="4" s="1"/>
  <c r="R349" i="4"/>
  <c r="Z349" i="4" s="1"/>
  <c r="X349" i="4"/>
  <c r="AC349" i="4" s="1"/>
  <c r="V349" i="4"/>
  <c r="AA349" i="4" s="1"/>
  <c r="Q349" i="4"/>
  <c r="Y349" i="4" s="1"/>
  <c r="AV352" i="4"/>
  <c r="B351" i="4"/>
  <c r="AY351" i="4"/>
  <c r="AX350" i="4"/>
  <c r="AW350" i="4"/>
  <c r="V318" i="29" l="1"/>
  <c r="W318" i="29" s="1"/>
  <c r="P318" i="29"/>
  <c r="N319" i="29"/>
  <c r="V319" i="29" s="1"/>
  <c r="W319" i="29" s="1"/>
  <c r="AB320" i="29"/>
  <c r="AQ349" i="4"/>
  <c r="AE349" i="4"/>
  <c r="P319" i="29"/>
  <c r="AD323" i="29"/>
  <c r="AI322" i="29"/>
  <c r="B322" i="29"/>
  <c r="Z319" i="29"/>
  <c r="AF321" i="29"/>
  <c r="AE321" i="29"/>
  <c r="AA321" i="29" s="1"/>
  <c r="O320" i="29"/>
  <c r="J320" i="29"/>
  <c r="Y320" i="29" s="1"/>
  <c r="I320" i="29"/>
  <c r="S321" i="29"/>
  <c r="U321" i="29"/>
  <c r="G321" i="29"/>
  <c r="T321" i="29"/>
  <c r="R321" i="29"/>
  <c r="E321" i="29"/>
  <c r="Q321" i="29"/>
  <c r="AG348" i="4"/>
  <c r="AN348" i="4"/>
  <c r="AO348" i="4" s="1"/>
  <c r="O351" i="4"/>
  <c r="AI351" i="4"/>
  <c r="AM351" i="4"/>
  <c r="J351" i="4"/>
  <c r="AH351" i="4"/>
  <c r="AJ351" i="4"/>
  <c r="L351" i="4"/>
  <c r="N351" i="4"/>
  <c r="AK351" i="4"/>
  <c r="P351" i="4"/>
  <c r="M351" i="4"/>
  <c r="K351" i="4"/>
  <c r="AL351" i="4"/>
  <c r="F351" i="4"/>
  <c r="AV353" i="4"/>
  <c r="B352" i="4"/>
  <c r="AY352" i="4"/>
  <c r="AD348" i="4"/>
  <c r="AF350" i="4"/>
  <c r="AD349" i="4"/>
  <c r="W350" i="4"/>
  <c r="AB350" i="4" s="1"/>
  <c r="R350" i="4"/>
  <c r="Z350" i="4" s="1"/>
  <c r="X350" i="4"/>
  <c r="AC350" i="4" s="1"/>
  <c r="Q350" i="4"/>
  <c r="Y350" i="4" s="1"/>
  <c r="V350" i="4"/>
  <c r="AA350" i="4" s="1"/>
  <c r="U350" i="4"/>
  <c r="AP350" i="4" s="1"/>
  <c r="AW351" i="4"/>
  <c r="AX351" i="4"/>
  <c r="AB321" i="29" l="1"/>
  <c r="K320" i="29"/>
  <c r="N320" i="29" s="1"/>
  <c r="AQ350" i="4"/>
  <c r="AE350" i="4"/>
  <c r="O321" i="29"/>
  <c r="Z320" i="29"/>
  <c r="AD324" i="29"/>
  <c r="AI323" i="29"/>
  <c r="B323" i="29"/>
  <c r="J321" i="29"/>
  <c r="Y321" i="29" s="1"/>
  <c r="I321" i="29"/>
  <c r="K321" i="29" s="1"/>
  <c r="U322" i="29"/>
  <c r="T322" i="29"/>
  <c r="E322" i="29"/>
  <c r="Q322" i="29"/>
  <c r="G322" i="29"/>
  <c r="R322" i="29"/>
  <c r="S322" i="29"/>
  <c r="AE322" i="29"/>
  <c r="AA322" i="29" s="1"/>
  <c r="AF322" i="29"/>
  <c r="X351" i="4"/>
  <c r="AC351" i="4" s="1"/>
  <c r="Q351" i="4"/>
  <c r="Y351" i="4" s="1"/>
  <c r="R351" i="4"/>
  <c r="Z351" i="4" s="1"/>
  <c r="U351" i="4"/>
  <c r="AP351" i="4" s="1"/>
  <c r="V351" i="4"/>
  <c r="AA351" i="4" s="1"/>
  <c r="W351" i="4"/>
  <c r="AB351" i="4" s="1"/>
  <c r="AD350" i="4"/>
  <c r="AV354" i="4"/>
  <c r="B353" i="4"/>
  <c r="AY353" i="4"/>
  <c r="AW352" i="4"/>
  <c r="AX352" i="4"/>
  <c r="AF351" i="4"/>
  <c r="O352" i="4"/>
  <c r="F352" i="4"/>
  <c r="P352" i="4"/>
  <c r="AK352" i="4"/>
  <c r="AI352" i="4"/>
  <c r="AM352" i="4"/>
  <c r="I352" i="4"/>
  <c r="M352" i="4"/>
  <c r="J352" i="4"/>
  <c r="AH352" i="4"/>
  <c r="AL352" i="4"/>
  <c r="H352" i="4"/>
  <c r="G352" i="4"/>
  <c r="N352" i="4"/>
  <c r="AJ352" i="4"/>
  <c r="K352" i="4"/>
  <c r="L352" i="4"/>
  <c r="V320" i="29" l="1"/>
  <c r="W320" i="29" s="1"/>
  <c r="P320" i="29"/>
  <c r="N321" i="29"/>
  <c r="AQ351" i="4"/>
  <c r="AB322" i="29"/>
  <c r="AE351" i="4"/>
  <c r="J322" i="29"/>
  <c r="Y322" i="29" s="1"/>
  <c r="I322" i="29"/>
  <c r="K322" i="29" s="1"/>
  <c r="O322" i="29"/>
  <c r="AI324" i="29"/>
  <c r="AD325" i="29"/>
  <c r="B324" i="29"/>
  <c r="Z321" i="29"/>
  <c r="V321" i="29"/>
  <c r="W321" i="29" s="1"/>
  <c r="P321" i="29"/>
  <c r="T323" i="29"/>
  <c r="E323" i="29"/>
  <c r="S323" i="29"/>
  <c r="Q323" i="29"/>
  <c r="G323" i="29"/>
  <c r="U323" i="29"/>
  <c r="R323" i="29"/>
  <c r="AE323" i="29"/>
  <c r="AA323" i="29" s="1"/>
  <c r="AF323" i="29"/>
  <c r="AJ353" i="4"/>
  <c r="AM353" i="4"/>
  <c r="AK353" i="4"/>
  <c r="N353" i="4"/>
  <c r="F353" i="4"/>
  <c r="K353" i="4"/>
  <c r="O353" i="4"/>
  <c r="AL353" i="4"/>
  <c r="AH353" i="4"/>
  <c r="P353" i="4"/>
  <c r="M353" i="4"/>
  <c r="J353" i="4"/>
  <c r="L353" i="4"/>
  <c r="AI353" i="4"/>
  <c r="AV355" i="4"/>
  <c r="AY354" i="4"/>
  <c r="B354" i="4"/>
  <c r="AG349" i="4"/>
  <c r="AN349" i="4"/>
  <c r="AO349" i="4" s="1"/>
  <c r="AF352" i="4"/>
  <c r="U352" i="4"/>
  <c r="AP352" i="4" s="1"/>
  <c r="S352" i="4"/>
  <c r="W352" i="4"/>
  <c r="AB352" i="4" s="1"/>
  <c r="R352" i="4"/>
  <c r="T352" i="4"/>
  <c r="V352" i="4"/>
  <c r="AA352" i="4" s="1"/>
  <c r="X352" i="4"/>
  <c r="AC352" i="4" s="1"/>
  <c r="Q352" i="4"/>
  <c r="Y352" i="4" s="1"/>
  <c r="AX353" i="4"/>
  <c r="AW353" i="4"/>
  <c r="AD351" i="4"/>
  <c r="N322" i="29" l="1"/>
  <c r="Z352" i="4"/>
  <c r="AQ352" i="4" s="1"/>
  <c r="AB323" i="29"/>
  <c r="O323" i="29"/>
  <c r="S324" i="29"/>
  <c r="G324" i="29"/>
  <c r="T324" i="29"/>
  <c r="U324" i="29"/>
  <c r="R324" i="29"/>
  <c r="E324" i="29"/>
  <c r="Q324" i="29"/>
  <c r="AI325" i="29"/>
  <c r="AD326" i="29"/>
  <c r="B325" i="29"/>
  <c r="I323" i="29"/>
  <c r="J323" i="29"/>
  <c r="Y323" i="29" s="1"/>
  <c r="AE324" i="29"/>
  <c r="AA324" i="29" s="1"/>
  <c r="AF324" i="29"/>
  <c r="V322" i="29"/>
  <c r="W322" i="29" s="1"/>
  <c r="P322" i="29"/>
  <c r="Z322" i="29"/>
  <c r="AD352" i="4"/>
  <c r="AF353" i="4"/>
  <c r="AX354" i="4"/>
  <c r="AW354" i="4"/>
  <c r="B355" i="4"/>
  <c r="AY355" i="4"/>
  <c r="AV356" i="4"/>
  <c r="Q353" i="4"/>
  <c r="Y353" i="4" s="1"/>
  <c r="U353" i="4"/>
  <c r="AP353" i="4" s="1"/>
  <c r="V353" i="4"/>
  <c r="AA353" i="4" s="1"/>
  <c r="X353" i="4"/>
  <c r="AC353" i="4" s="1"/>
  <c r="R353" i="4"/>
  <c r="Z353" i="4" s="1"/>
  <c r="W353" i="4"/>
  <c r="AB353" i="4" s="1"/>
  <c r="AG350" i="4"/>
  <c r="AN350" i="4"/>
  <c r="AO350" i="4" s="1"/>
  <c r="K354" i="4"/>
  <c r="N354" i="4"/>
  <c r="F354" i="4"/>
  <c r="AK354" i="4"/>
  <c r="O354" i="4"/>
  <c r="AM354" i="4"/>
  <c r="AL354" i="4"/>
  <c r="AI354" i="4"/>
  <c r="J354" i="4"/>
  <c r="L354" i="4"/>
  <c r="M354" i="4"/>
  <c r="P354" i="4"/>
  <c r="AJ354" i="4"/>
  <c r="AH354" i="4"/>
  <c r="AB324" i="29" l="1"/>
  <c r="K323" i="29"/>
  <c r="N323" i="29" s="1"/>
  <c r="V323" i="29" s="1"/>
  <c r="W323" i="29" s="1"/>
  <c r="AQ353" i="4"/>
  <c r="AE352" i="4"/>
  <c r="AE353" i="4"/>
  <c r="AE325" i="29"/>
  <c r="AA325" i="29" s="1"/>
  <c r="AF325" i="29"/>
  <c r="O324" i="29"/>
  <c r="E325" i="29"/>
  <c r="R325" i="29"/>
  <c r="S325" i="29"/>
  <c r="U325" i="29"/>
  <c r="G325" i="29"/>
  <c r="Q325" i="29"/>
  <c r="T325" i="29"/>
  <c r="I324" i="29"/>
  <c r="K324" i="29" s="1"/>
  <c r="J324" i="29"/>
  <c r="Y324" i="29" s="1"/>
  <c r="AI326" i="29"/>
  <c r="B326" i="29"/>
  <c r="AD327" i="29"/>
  <c r="Z323" i="29"/>
  <c r="AX355" i="4"/>
  <c r="AW355" i="4"/>
  <c r="AH355" i="4"/>
  <c r="M355" i="4"/>
  <c r="N355" i="4"/>
  <c r="AI355" i="4"/>
  <c r="K355" i="4"/>
  <c r="AJ355" i="4"/>
  <c r="AK355" i="4"/>
  <c r="O355" i="4"/>
  <c r="AM355" i="4"/>
  <c r="AL355" i="4"/>
  <c r="F355" i="4"/>
  <c r="L355" i="4"/>
  <c r="P355" i="4"/>
  <c r="J355" i="4"/>
  <c r="AN351" i="4"/>
  <c r="AO351" i="4" s="1"/>
  <c r="AG351" i="4"/>
  <c r="AF354" i="4"/>
  <c r="B356" i="4"/>
  <c r="AY356" i="4"/>
  <c r="AV357" i="4"/>
  <c r="V354" i="4"/>
  <c r="AA354" i="4" s="1"/>
  <c r="U354" i="4"/>
  <c r="AP354" i="4" s="1"/>
  <c r="R354" i="4"/>
  <c r="Z354" i="4" s="1"/>
  <c r="Q354" i="4"/>
  <c r="Y354" i="4" s="1"/>
  <c r="X354" i="4"/>
  <c r="AC354" i="4" s="1"/>
  <c r="W354" i="4"/>
  <c r="AB354" i="4" s="1"/>
  <c r="AB325" i="29" l="1"/>
  <c r="P323" i="29"/>
  <c r="N324" i="29"/>
  <c r="AQ354" i="4"/>
  <c r="AE354" i="4"/>
  <c r="Q326" i="29"/>
  <c r="R326" i="29"/>
  <c r="T326" i="29"/>
  <c r="E326" i="29"/>
  <c r="S326" i="29"/>
  <c r="U326" i="29"/>
  <c r="G326" i="29"/>
  <c r="AF326" i="29"/>
  <c r="AE326" i="29"/>
  <c r="AA326" i="29" s="1"/>
  <c r="O325" i="29"/>
  <c r="Z324" i="29"/>
  <c r="J325" i="29"/>
  <c r="Y325" i="29" s="1"/>
  <c r="I325" i="29"/>
  <c r="B327" i="29"/>
  <c r="AI327" i="29"/>
  <c r="AD328" i="29"/>
  <c r="V324" i="29"/>
  <c r="W324" i="29" s="1"/>
  <c r="P324" i="29"/>
  <c r="AN353" i="4"/>
  <c r="AO353" i="4" s="1"/>
  <c r="AG353" i="4"/>
  <c r="AW356" i="4"/>
  <c r="AX356" i="4"/>
  <c r="AH356" i="4"/>
  <c r="M356" i="4"/>
  <c r="AK356" i="4"/>
  <c r="P356" i="4"/>
  <c r="F356" i="4"/>
  <c r="K356" i="4"/>
  <c r="AI356" i="4"/>
  <c r="O356" i="4"/>
  <c r="AL356" i="4"/>
  <c r="AJ356" i="4"/>
  <c r="N356" i="4"/>
  <c r="AM356" i="4"/>
  <c r="J356" i="4"/>
  <c r="L356" i="4"/>
  <c r="AD353" i="4"/>
  <c r="AF355" i="4"/>
  <c r="AN352" i="4"/>
  <c r="AO352" i="4" s="1"/>
  <c r="AG352" i="4"/>
  <c r="AD354" i="4"/>
  <c r="AY357" i="4"/>
  <c r="AV358" i="4"/>
  <c r="B357" i="4"/>
  <c r="U355" i="4"/>
  <c r="AP355" i="4" s="1"/>
  <c r="X355" i="4"/>
  <c r="AC355" i="4" s="1"/>
  <c r="W355" i="4"/>
  <c r="AB355" i="4" s="1"/>
  <c r="V355" i="4"/>
  <c r="AA355" i="4" s="1"/>
  <c r="R355" i="4"/>
  <c r="Z355" i="4" s="1"/>
  <c r="AQ355" i="4" s="1"/>
  <c r="Q355" i="4"/>
  <c r="Y355" i="4" s="1"/>
  <c r="K325" i="29" l="1"/>
  <c r="N325" i="29" s="1"/>
  <c r="AB326" i="29"/>
  <c r="AE355" i="4"/>
  <c r="R327" i="29"/>
  <c r="S327" i="29"/>
  <c r="G327" i="29"/>
  <c r="E327" i="29"/>
  <c r="U327" i="29"/>
  <c r="Q327" i="29"/>
  <c r="T327" i="29"/>
  <c r="Z325" i="29"/>
  <c r="O326" i="29"/>
  <c r="B328" i="29"/>
  <c r="AI328" i="29"/>
  <c r="AD329" i="29"/>
  <c r="I326" i="29"/>
  <c r="K326" i="29" s="1"/>
  <c r="J326" i="29"/>
  <c r="Y326" i="29" s="1"/>
  <c r="AF327" i="29"/>
  <c r="AE327" i="29"/>
  <c r="AA327" i="29" s="1"/>
  <c r="AF356" i="4"/>
  <c r="AH357" i="4"/>
  <c r="O357" i="4"/>
  <c r="AI357" i="4"/>
  <c r="P357" i="4"/>
  <c r="F357" i="4"/>
  <c r="L357" i="4"/>
  <c r="AM357" i="4"/>
  <c r="AL357" i="4"/>
  <c r="AK357" i="4"/>
  <c r="N357" i="4"/>
  <c r="AJ357" i="4"/>
  <c r="M357" i="4"/>
  <c r="K357" i="4"/>
  <c r="J357" i="4"/>
  <c r="B358" i="4"/>
  <c r="AY358" i="4"/>
  <c r="AV359" i="4"/>
  <c r="AD355" i="4"/>
  <c r="AW357" i="4"/>
  <c r="AX357" i="4"/>
  <c r="V356" i="4"/>
  <c r="AA356" i="4" s="1"/>
  <c r="X356" i="4"/>
  <c r="AC356" i="4" s="1"/>
  <c r="R356" i="4"/>
  <c r="Z356" i="4" s="1"/>
  <c r="Q356" i="4"/>
  <c r="Y356" i="4" s="1"/>
  <c r="U356" i="4"/>
  <c r="AP356" i="4" s="1"/>
  <c r="W356" i="4"/>
  <c r="AB356" i="4" s="1"/>
  <c r="P325" i="29" l="1"/>
  <c r="V325" i="29"/>
  <c r="W325" i="29" s="1"/>
  <c r="N326" i="29"/>
  <c r="AQ356" i="4"/>
  <c r="AB327" i="29"/>
  <c r="AE356" i="4"/>
  <c r="AE328" i="29"/>
  <c r="AA328" i="29" s="1"/>
  <c r="AF328" i="29"/>
  <c r="O327" i="29"/>
  <c r="V326" i="29"/>
  <c r="W326" i="29" s="1"/>
  <c r="P326" i="29"/>
  <c r="AI329" i="29"/>
  <c r="AD330" i="29"/>
  <c r="B329" i="29"/>
  <c r="J327" i="29"/>
  <c r="Y327" i="29" s="1"/>
  <c r="I327" i="29"/>
  <c r="K327" i="29" s="1"/>
  <c r="T328" i="29"/>
  <c r="U328" i="29"/>
  <c r="Q328" i="29"/>
  <c r="E328" i="29"/>
  <c r="R328" i="29"/>
  <c r="S328" i="29"/>
  <c r="G328" i="29"/>
  <c r="Z326" i="29"/>
  <c r="AW358" i="4"/>
  <c r="AX358" i="4"/>
  <c r="AG355" i="4"/>
  <c r="AN355" i="4"/>
  <c r="AO355" i="4" s="1"/>
  <c r="F358" i="4"/>
  <c r="K358" i="4"/>
  <c r="AK358" i="4"/>
  <c r="M358" i="4"/>
  <c r="N358" i="4"/>
  <c r="AL358" i="4"/>
  <c r="AI358" i="4"/>
  <c r="AM358" i="4"/>
  <c r="P358" i="4"/>
  <c r="O358" i="4"/>
  <c r="J358" i="4"/>
  <c r="AH358" i="4"/>
  <c r="L358" i="4"/>
  <c r="AJ358" i="4"/>
  <c r="AF357" i="4"/>
  <c r="AN354" i="4"/>
  <c r="AO354" i="4" s="1"/>
  <c r="AG354" i="4"/>
  <c r="U357" i="4"/>
  <c r="AP357" i="4" s="1"/>
  <c r="R357" i="4"/>
  <c r="Z357" i="4" s="1"/>
  <c r="W357" i="4"/>
  <c r="AB357" i="4" s="1"/>
  <c r="V357" i="4"/>
  <c r="AA357" i="4" s="1"/>
  <c r="X357" i="4"/>
  <c r="AC357" i="4" s="1"/>
  <c r="Q357" i="4"/>
  <c r="Y357" i="4" s="1"/>
  <c r="AD356" i="4"/>
  <c r="AY359" i="4"/>
  <c r="AV360" i="4"/>
  <c r="B359" i="4"/>
  <c r="AB328" i="29" l="1"/>
  <c r="N327" i="29"/>
  <c r="P327" i="29" s="1"/>
  <c r="AQ357" i="4"/>
  <c r="AE357" i="4"/>
  <c r="V327" i="29"/>
  <c r="W327" i="29" s="1"/>
  <c r="E329" i="29"/>
  <c r="T329" i="29"/>
  <c r="U329" i="29"/>
  <c r="S329" i="29"/>
  <c r="Q329" i="29"/>
  <c r="R329" i="29"/>
  <c r="G329" i="29"/>
  <c r="AI330" i="29"/>
  <c r="B330" i="29"/>
  <c r="AD331" i="29"/>
  <c r="Z327" i="29"/>
  <c r="O328" i="29"/>
  <c r="AE329" i="29"/>
  <c r="AA329" i="29" s="1"/>
  <c r="AF329" i="29"/>
  <c r="I328" i="29"/>
  <c r="J328" i="29"/>
  <c r="Y328" i="29" s="1"/>
  <c r="AD357" i="4"/>
  <c r="V358" i="4"/>
  <c r="AA358" i="4" s="1"/>
  <c r="W358" i="4"/>
  <c r="AB358" i="4" s="1"/>
  <c r="U358" i="4"/>
  <c r="AP358" i="4" s="1"/>
  <c r="Q358" i="4"/>
  <c r="Y358" i="4" s="1"/>
  <c r="R358" i="4"/>
  <c r="Z358" i="4" s="1"/>
  <c r="X358" i="4"/>
  <c r="AC358" i="4" s="1"/>
  <c r="J359" i="4"/>
  <c r="AJ359" i="4"/>
  <c r="AM359" i="4"/>
  <c r="M359" i="4"/>
  <c r="O359" i="4"/>
  <c r="AH359" i="4"/>
  <c r="AK359" i="4"/>
  <c r="L359" i="4"/>
  <c r="P359" i="4"/>
  <c r="AL359" i="4"/>
  <c r="K359" i="4"/>
  <c r="F359" i="4"/>
  <c r="N359" i="4"/>
  <c r="AI359" i="4"/>
  <c r="B360" i="4"/>
  <c r="AY360" i="4"/>
  <c r="AV361" i="4"/>
  <c r="AX359" i="4"/>
  <c r="AW359" i="4"/>
  <c r="AF358" i="4"/>
  <c r="K328" i="29" l="1"/>
  <c r="N328" i="29" s="1"/>
  <c r="AQ358" i="4"/>
  <c r="AB329" i="29"/>
  <c r="AE358" i="4"/>
  <c r="Z328" i="29"/>
  <c r="AI331" i="29"/>
  <c r="B331" i="29"/>
  <c r="AD332" i="29"/>
  <c r="G330" i="29"/>
  <c r="R330" i="29"/>
  <c r="U330" i="29"/>
  <c r="E330" i="29"/>
  <c r="Q330" i="29"/>
  <c r="S330" i="29"/>
  <c r="T330" i="29"/>
  <c r="O329" i="29"/>
  <c r="AF330" i="29"/>
  <c r="AE330" i="29"/>
  <c r="AA330" i="29" s="1"/>
  <c r="J329" i="29"/>
  <c r="Y329" i="29" s="1"/>
  <c r="I329" i="29"/>
  <c r="K329" i="29" s="1"/>
  <c r="R359" i="4"/>
  <c r="Z359" i="4" s="1"/>
  <c r="U359" i="4"/>
  <c r="Q359" i="4"/>
  <c r="Y359" i="4" s="1"/>
  <c r="X359" i="4"/>
  <c r="AC359" i="4" s="1"/>
  <c r="V359" i="4"/>
  <c r="AA359" i="4" s="1"/>
  <c r="W359" i="4"/>
  <c r="AB359" i="4" s="1"/>
  <c r="AW360" i="4"/>
  <c r="AX360" i="4"/>
  <c r="AL360" i="4"/>
  <c r="N360" i="4"/>
  <c r="M360" i="4"/>
  <c r="AI360" i="4"/>
  <c r="AM360" i="4"/>
  <c r="K360" i="4"/>
  <c r="J360" i="4"/>
  <c r="AJ360" i="4"/>
  <c r="AK360" i="4"/>
  <c r="P360" i="4"/>
  <c r="O360" i="4"/>
  <c r="AH360" i="4"/>
  <c r="F360" i="4"/>
  <c r="L360" i="4"/>
  <c r="AD358" i="4"/>
  <c r="AF359" i="4"/>
  <c r="AN356" i="4"/>
  <c r="AO356" i="4" s="1"/>
  <c r="AG356" i="4"/>
  <c r="AV362" i="4"/>
  <c r="AY361" i="4"/>
  <c r="B361" i="4"/>
  <c r="AP359" i="4"/>
  <c r="AG357" i="4"/>
  <c r="AN357" i="4"/>
  <c r="AO357" i="4" s="1"/>
  <c r="P328" i="29" l="1"/>
  <c r="V328" i="29"/>
  <c r="W328" i="29" s="1"/>
  <c r="N329" i="29"/>
  <c r="AQ359" i="4"/>
  <c r="AB330" i="29"/>
  <c r="AE359" i="4"/>
  <c r="E331" i="29"/>
  <c r="G331" i="29"/>
  <c r="R331" i="29"/>
  <c r="U331" i="29"/>
  <c r="S331" i="29"/>
  <c r="T331" i="29"/>
  <c r="Q331" i="29"/>
  <c r="I330" i="29"/>
  <c r="K330" i="29" s="1"/>
  <c r="N330" i="29" s="1"/>
  <c r="J330" i="29"/>
  <c r="Y330" i="29" s="1"/>
  <c r="AF331" i="29"/>
  <c r="AE331" i="29"/>
  <c r="AA331" i="29" s="1"/>
  <c r="O330" i="29"/>
  <c r="P329" i="29"/>
  <c r="V329" i="29"/>
  <c r="W329" i="29" s="1"/>
  <c r="Z329" i="29"/>
  <c r="AD333" i="29"/>
  <c r="B332" i="29"/>
  <c r="AI332" i="29"/>
  <c r="AX361" i="4"/>
  <c r="AW361" i="4"/>
  <c r="B362" i="4"/>
  <c r="AY362" i="4"/>
  <c r="AV363" i="4"/>
  <c r="AF360" i="4"/>
  <c r="R360" i="4"/>
  <c r="Z360" i="4" s="1"/>
  <c r="U360" i="4"/>
  <c r="V360" i="4"/>
  <c r="AA360" i="4" s="1"/>
  <c r="Q360" i="4"/>
  <c r="Y360" i="4" s="1"/>
  <c r="X360" i="4"/>
  <c r="AC360" i="4" s="1"/>
  <c r="W360" i="4"/>
  <c r="AB360" i="4" s="1"/>
  <c r="AG358" i="4"/>
  <c r="AN358" i="4"/>
  <c r="AO358" i="4" s="1"/>
  <c r="L361" i="4"/>
  <c r="AK361" i="4"/>
  <c r="AM361" i="4"/>
  <c r="AH361" i="4"/>
  <c r="AJ361" i="4"/>
  <c r="O361" i="4"/>
  <c r="F361" i="4"/>
  <c r="P361" i="4"/>
  <c r="K361" i="4"/>
  <c r="J361" i="4"/>
  <c r="M361" i="4"/>
  <c r="AI361" i="4"/>
  <c r="N361" i="4"/>
  <c r="AL361" i="4"/>
  <c r="AP360" i="4"/>
  <c r="AQ360" i="4" l="1"/>
  <c r="AB331" i="29"/>
  <c r="AE360" i="4"/>
  <c r="AE332" i="29"/>
  <c r="AA332" i="29" s="1"/>
  <c r="AF332" i="29"/>
  <c r="E332" i="29"/>
  <c r="U332" i="29"/>
  <c r="R332" i="29"/>
  <c r="S332" i="29"/>
  <c r="T332" i="29"/>
  <c r="Q332" i="29"/>
  <c r="G332" i="29"/>
  <c r="Z330" i="29"/>
  <c r="I331" i="29"/>
  <c r="J331" i="29"/>
  <c r="Y331" i="29" s="1"/>
  <c r="O331" i="29"/>
  <c r="AD334" i="29"/>
  <c r="AI333" i="29"/>
  <c r="B333" i="29"/>
  <c r="V330" i="29"/>
  <c r="W330" i="29" s="1"/>
  <c r="P330" i="29"/>
  <c r="AD359" i="4"/>
  <c r="AD360" i="4"/>
  <c r="AV364" i="4"/>
  <c r="B363" i="4"/>
  <c r="AY363" i="4"/>
  <c r="AW362" i="4"/>
  <c r="AX362" i="4"/>
  <c r="AF361" i="4"/>
  <c r="AG359" i="4"/>
  <c r="AN359" i="4"/>
  <c r="AO359" i="4" s="1"/>
  <c r="AI362" i="4"/>
  <c r="AJ362" i="4"/>
  <c r="AM362" i="4"/>
  <c r="K362" i="4"/>
  <c r="N362" i="4"/>
  <c r="M362" i="4"/>
  <c r="AL362" i="4"/>
  <c r="L362" i="4"/>
  <c r="AH362" i="4"/>
  <c r="AK362" i="4"/>
  <c r="F362" i="4"/>
  <c r="P362" i="4"/>
  <c r="O362" i="4"/>
  <c r="J362" i="4"/>
  <c r="U361" i="4"/>
  <c r="AP361" i="4" s="1"/>
  <c r="Q361" i="4"/>
  <c r="Y361" i="4" s="1"/>
  <c r="W361" i="4"/>
  <c r="AB361" i="4" s="1"/>
  <c r="X361" i="4"/>
  <c r="AC361" i="4" s="1"/>
  <c r="V361" i="4"/>
  <c r="AA361" i="4" s="1"/>
  <c r="R361" i="4"/>
  <c r="Z361" i="4" s="1"/>
  <c r="AB332" i="29" l="1"/>
  <c r="K331" i="29"/>
  <c r="N331" i="29" s="1"/>
  <c r="AQ361" i="4"/>
  <c r="AE361" i="4"/>
  <c r="B334" i="29"/>
  <c r="AI334" i="29"/>
  <c r="AD335" i="29"/>
  <c r="Z331" i="29"/>
  <c r="E333" i="29"/>
  <c r="G333" i="29"/>
  <c r="T333" i="29"/>
  <c r="Q333" i="29"/>
  <c r="R333" i="29"/>
  <c r="S333" i="29"/>
  <c r="U333" i="29"/>
  <c r="O332" i="29"/>
  <c r="J332" i="29"/>
  <c r="Y332" i="29" s="1"/>
  <c r="I332" i="29"/>
  <c r="AE333" i="29"/>
  <c r="AA333" i="29" s="1"/>
  <c r="AF333" i="29"/>
  <c r="AX363" i="4"/>
  <c r="AW363" i="4"/>
  <c r="N363" i="4"/>
  <c r="F363" i="4"/>
  <c r="M363" i="4"/>
  <c r="P363" i="4"/>
  <c r="AI363" i="4"/>
  <c r="AJ363" i="4"/>
  <c r="AL363" i="4"/>
  <c r="J363" i="4"/>
  <c r="L363" i="4"/>
  <c r="O363" i="4"/>
  <c r="K363" i="4"/>
  <c r="AK363" i="4"/>
  <c r="AM363" i="4"/>
  <c r="AH363" i="4"/>
  <c r="AN360" i="4"/>
  <c r="AO360" i="4" s="1"/>
  <c r="AG360" i="4"/>
  <c r="AY364" i="4"/>
  <c r="B364" i="4"/>
  <c r="AV365" i="4"/>
  <c r="AF362" i="4"/>
  <c r="W362" i="4"/>
  <c r="AB362" i="4" s="1"/>
  <c r="U362" i="4"/>
  <c r="AP362" i="4" s="1"/>
  <c r="X362" i="4"/>
  <c r="AC362" i="4" s="1"/>
  <c r="V362" i="4"/>
  <c r="AA362" i="4" s="1"/>
  <c r="Q362" i="4"/>
  <c r="Y362" i="4" s="1"/>
  <c r="R362" i="4"/>
  <c r="Z362" i="4" s="1"/>
  <c r="AQ362" i="4" s="1"/>
  <c r="AK364" i="4" l="1"/>
  <c r="P364" i="4"/>
  <c r="L364" i="4"/>
  <c r="AM364" i="4"/>
  <c r="AI364" i="4"/>
  <c r="N364" i="4"/>
  <c r="J364" i="4"/>
  <c r="O364" i="4"/>
  <c r="AL364" i="4"/>
  <c r="M364" i="4"/>
  <c r="K364" i="4"/>
  <c r="F364" i="4"/>
  <c r="AJ364" i="4"/>
  <c r="AH364" i="4"/>
  <c r="P331" i="29"/>
  <c r="V331" i="29"/>
  <c r="W331" i="29" s="1"/>
  <c r="K332" i="29"/>
  <c r="N332" i="29" s="1"/>
  <c r="AB333" i="29"/>
  <c r="O333" i="29"/>
  <c r="AE362" i="4"/>
  <c r="Z332" i="29"/>
  <c r="J333" i="29"/>
  <c r="Y333" i="29" s="1"/>
  <c r="I333" i="29"/>
  <c r="AI335" i="29"/>
  <c r="B335" i="29"/>
  <c r="AD336" i="29"/>
  <c r="AE334" i="29"/>
  <c r="AA334" i="29" s="1"/>
  <c r="AF334" i="29"/>
  <c r="Q334" i="29"/>
  <c r="E334" i="29"/>
  <c r="T334" i="29"/>
  <c r="U334" i="29"/>
  <c r="G334" i="29"/>
  <c r="S334" i="29"/>
  <c r="R334" i="29"/>
  <c r="AN361" i="4"/>
  <c r="AO361" i="4" s="1"/>
  <c r="AG361" i="4"/>
  <c r="B365" i="4"/>
  <c r="AV366" i="4"/>
  <c r="AY365" i="4"/>
  <c r="AD361" i="4"/>
  <c r="W363" i="4"/>
  <c r="AB363" i="4" s="1"/>
  <c r="V363" i="4"/>
  <c r="AA363" i="4" s="1"/>
  <c r="U363" i="4"/>
  <c r="AP363" i="4" s="1"/>
  <c r="X363" i="4"/>
  <c r="AC363" i="4" s="1"/>
  <c r="Q363" i="4"/>
  <c r="Y363" i="4" s="1"/>
  <c r="R363" i="4"/>
  <c r="Z363" i="4" s="1"/>
  <c r="AD362" i="4"/>
  <c r="AW364" i="4"/>
  <c r="AX364" i="4"/>
  <c r="AF363" i="4"/>
  <c r="AM365" i="4" l="1"/>
  <c r="AI365" i="4"/>
  <c r="N365" i="4"/>
  <c r="J365" i="4"/>
  <c r="AK365" i="4"/>
  <c r="P365" i="4"/>
  <c r="L365" i="4"/>
  <c r="AH365" i="4"/>
  <c r="F365" i="4"/>
  <c r="O365" i="4"/>
  <c r="M365" i="4"/>
  <c r="K365" i="4"/>
  <c r="AL365" i="4"/>
  <c r="AJ365" i="4"/>
  <c r="V332" i="29"/>
  <c r="W332" i="29" s="1"/>
  <c r="P332" i="29"/>
  <c r="AB334" i="29"/>
  <c r="K333" i="29"/>
  <c r="N333" i="29" s="1"/>
  <c r="Z333" i="29"/>
  <c r="AQ363" i="4"/>
  <c r="AE363" i="4"/>
  <c r="O334" i="29"/>
  <c r="AD337" i="29"/>
  <c r="B336" i="29"/>
  <c r="AI336" i="29"/>
  <c r="U335" i="29"/>
  <c r="S335" i="29"/>
  <c r="G335" i="29"/>
  <c r="E335" i="29"/>
  <c r="T335" i="29"/>
  <c r="Q335" i="29"/>
  <c r="R335" i="29"/>
  <c r="I334" i="29"/>
  <c r="J334" i="29"/>
  <c r="Y334" i="29" s="1"/>
  <c r="Z334" i="29" s="1"/>
  <c r="AF335" i="29"/>
  <c r="AE335" i="29"/>
  <c r="AA335" i="29" s="1"/>
  <c r="AY366" i="4"/>
  <c r="B366" i="4"/>
  <c r="AV367" i="4"/>
  <c r="AF364" i="4"/>
  <c r="R364" i="4"/>
  <c r="Z364" i="4" s="1"/>
  <c r="W364" i="4"/>
  <c r="AB364" i="4" s="1"/>
  <c r="X364" i="4"/>
  <c r="AC364" i="4" s="1"/>
  <c r="V364" i="4"/>
  <c r="AA364" i="4" s="1"/>
  <c r="Q364" i="4"/>
  <c r="Y364" i="4" s="1"/>
  <c r="U364" i="4"/>
  <c r="AP364" i="4" s="1"/>
  <c r="AW365" i="4"/>
  <c r="AX365" i="4"/>
  <c r="AK366" i="4" l="1"/>
  <c r="P366" i="4"/>
  <c r="L366" i="4"/>
  <c r="AM366" i="4"/>
  <c r="AI366" i="4"/>
  <c r="N366" i="4"/>
  <c r="J366" i="4"/>
  <c r="AJ366" i="4"/>
  <c r="K366" i="4"/>
  <c r="AH366" i="4"/>
  <c r="F366" i="4"/>
  <c r="O366" i="4"/>
  <c r="M366" i="4"/>
  <c r="AL366" i="4"/>
  <c r="V333" i="29"/>
  <c r="W333" i="29" s="1"/>
  <c r="P333" i="29"/>
  <c r="K334" i="29"/>
  <c r="N334" i="29" s="1"/>
  <c r="AQ364" i="4"/>
  <c r="AB335" i="29"/>
  <c r="AE364" i="4"/>
  <c r="AE336" i="29"/>
  <c r="AA336" i="29" s="1"/>
  <c r="AF336" i="29"/>
  <c r="O335" i="29"/>
  <c r="E336" i="29"/>
  <c r="S336" i="29"/>
  <c r="U336" i="29"/>
  <c r="Q336" i="29"/>
  <c r="T336" i="29"/>
  <c r="R336" i="29"/>
  <c r="G336" i="29"/>
  <c r="I335" i="29"/>
  <c r="K335" i="29" s="1"/>
  <c r="J335" i="29"/>
  <c r="Y335" i="29" s="1"/>
  <c r="B337" i="29"/>
  <c r="AI337" i="29"/>
  <c r="AD338" i="29"/>
  <c r="AN363" i="4"/>
  <c r="AO363" i="4" s="1"/>
  <c r="AG363" i="4"/>
  <c r="AF365" i="4"/>
  <c r="AY367" i="4"/>
  <c r="AV368" i="4"/>
  <c r="B367" i="4"/>
  <c r="AD363" i="4"/>
  <c r="R365" i="4"/>
  <c r="Z365" i="4" s="1"/>
  <c r="W365" i="4"/>
  <c r="AB365" i="4" s="1"/>
  <c r="Q365" i="4"/>
  <c r="Y365" i="4" s="1"/>
  <c r="U365" i="4"/>
  <c r="AP365" i="4" s="1"/>
  <c r="X365" i="4"/>
  <c r="AC365" i="4" s="1"/>
  <c r="V365" i="4"/>
  <c r="AA365" i="4" s="1"/>
  <c r="AN362" i="4"/>
  <c r="AO362" i="4" s="1"/>
  <c r="AG362" i="4"/>
  <c r="AW366" i="4"/>
  <c r="AX366" i="4"/>
  <c r="V334" i="29" l="1"/>
  <c r="W334" i="29" s="1"/>
  <c r="P334" i="29"/>
  <c r="AB336" i="29"/>
  <c r="N335" i="29"/>
  <c r="AQ365" i="4"/>
  <c r="AE365" i="4"/>
  <c r="E337" i="29"/>
  <c r="G337" i="29"/>
  <c r="T337" i="29"/>
  <c r="U337" i="29"/>
  <c r="S337" i="29"/>
  <c r="R337" i="29"/>
  <c r="Q337" i="29"/>
  <c r="J336" i="29"/>
  <c r="Y336" i="29" s="1"/>
  <c r="I336" i="29"/>
  <c r="K336" i="29" s="1"/>
  <c r="AI338" i="29"/>
  <c r="B338" i="29"/>
  <c r="AD339" i="29"/>
  <c r="O336" i="29"/>
  <c r="AE337" i="29"/>
  <c r="AA337" i="29" s="1"/>
  <c r="AF337" i="29"/>
  <c r="V335" i="29"/>
  <c r="W335" i="29" s="1"/>
  <c r="P335" i="29"/>
  <c r="Z335" i="29"/>
  <c r="AG364" i="4"/>
  <c r="AN364" i="4"/>
  <c r="AO364" i="4" s="1"/>
  <c r="AF366" i="4"/>
  <c r="AI367" i="4"/>
  <c r="AH367" i="4"/>
  <c r="M367" i="4"/>
  <c r="J367" i="4"/>
  <c r="K367" i="4"/>
  <c r="F367" i="4"/>
  <c r="AK367" i="4"/>
  <c r="AM367" i="4"/>
  <c r="AJ367" i="4"/>
  <c r="L367" i="4"/>
  <c r="P367" i="4"/>
  <c r="N367" i="4"/>
  <c r="AL367" i="4"/>
  <c r="O367" i="4"/>
  <c r="AD364" i="4"/>
  <c r="Q366" i="4"/>
  <c r="Y366" i="4" s="1"/>
  <c r="W366" i="4"/>
  <c r="AB366" i="4" s="1"/>
  <c r="U366" i="4"/>
  <c r="AP366" i="4" s="1"/>
  <c r="X366" i="4"/>
  <c r="AC366" i="4" s="1"/>
  <c r="V366" i="4"/>
  <c r="AA366" i="4" s="1"/>
  <c r="R366" i="4"/>
  <c r="Z366" i="4" s="1"/>
  <c r="B368" i="4"/>
  <c r="AY368" i="4"/>
  <c r="AV369" i="4"/>
  <c r="AX367" i="4"/>
  <c r="AW367" i="4"/>
  <c r="N336" i="29" l="1"/>
  <c r="AQ366" i="4"/>
  <c r="AB337" i="29"/>
  <c r="AE366" i="4"/>
  <c r="V336" i="29"/>
  <c r="W336" i="29" s="1"/>
  <c r="P336" i="29"/>
  <c r="J337" i="29"/>
  <c r="I337" i="29"/>
  <c r="B339" i="29"/>
  <c r="AD340" i="29"/>
  <c r="AI339" i="29"/>
  <c r="Y337" i="29"/>
  <c r="Z336" i="29"/>
  <c r="S338" i="29"/>
  <c r="E338" i="29"/>
  <c r="G338" i="29"/>
  <c r="Q338" i="29"/>
  <c r="R338" i="29"/>
  <c r="U338" i="29"/>
  <c r="T338" i="29"/>
  <c r="O337" i="29"/>
  <c r="AF338" i="29"/>
  <c r="AE338" i="29"/>
  <c r="AA338" i="29" s="1"/>
  <c r="AN365" i="4"/>
  <c r="AO365" i="4" s="1"/>
  <c r="AG365" i="4"/>
  <c r="R367" i="4"/>
  <c r="Z367" i="4" s="1"/>
  <c r="Q367" i="4"/>
  <c r="Y367" i="4" s="1"/>
  <c r="W367" i="4"/>
  <c r="AB367" i="4" s="1"/>
  <c r="X367" i="4"/>
  <c r="AC367" i="4" s="1"/>
  <c r="V367" i="4"/>
  <c r="AA367" i="4" s="1"/>
  <c r="U367" i="4"/>
  <c r="AY369" i="4"/>
  <c r="AV370" i="4"/>
  <c r="B369" i="4"/>
  <c r="AW368" i="4"/>
  <c r="AX368" i="4"/>
  <c r="AD366" i="4"/>
  <c r="AF367" i="4"/>
  <c r="AM368" i="4"/>
  <c r="N368" i="4"/>
  <c r="J368" i="4"/>
  <c r="AK368" i="4"/>
  <c r="AI368" i="4"/>
  <c r="O368" i="4"/>
  <c r="AJ368" i="4"/>
  <c r="AL368" i="4"/>
  <c r="M368" i="4"/>
  <c r="L368" i="4"/>
  <c r="K368" i="4"/>
  <c r="P368" i="4"/>
  <c r="AH368" i="4"/>
  <c r="F368" i="4"/>
  <c r="AP367" i="4"/>
  <c r="AD365" i="4"/>
  <c r="K337" i="29" l="1"/>
  <c r="N337" i="29" s="1"/>
  <c r="AQ367" i="4"/>
  <c r="AB338" i="29"/>
  <c r="AE367" i="4"/>
  <c r="Z337" i="29"/>
  <c r="O338" i="29"/>
  <c r="AE339" i="29"/>
  <c r="AA339" i="29" s="1"/>
  <c r="AF339" i="29"/>
  <c r="I338" i="29"/>
  <c r="K338" i="29" s="1"/>
  <c r="J338" i="29"/>
  <c r="Y338" i="29" s="1"/>
  <c r="AD341" i="29"/>
  <c r="B340" i="29"/>
  <c r="AI340" i="29"/>
  <c r="S339" i="29"/>
  <c r="U339" i="29"/>
  <c r="G339" i="29"/>
  <c r="E339" i="29"/>
  <c r="R339" i="29"/>
  <c r="T339" i="29"/>
  <c r="Q339" i="29"/>
  <c r="W368" i="4"/>
  <c r="AB368" i="4" s="1"/>
  <c r="X368" i="4"/>
  <c r="AC368" i="4" s="1"/>
  <c r="Q368" i="4"/>
  <c r="Y368" i="4" s="1"/>
  <c r="R368" i="4"/>
  <c r="Z368" i="4" s="1"/>
  <c r="V368" i="4"/>
  <c r="AA368" i="4" s="1"/>
  <c r="U368" i="4"/>
  <c r="AP368" i="4" s="1"/>
  <c r="P369" i="4"/>
  <c r="J369" i="4"/>
  <c r="AI369" i="4"/>
  <c r="AL369" i="4"/>
  <c r="AJ369" i="4"/>
  <c r="L369" i="4"/>
  <c r="AK369" i="4"/>
  <c r="O369" i="4"/>
  <c r="K369" i="4"/>
  <c r="M369" i="4"/>
  <c r="AM369" i="4"/>
  <c r="N369" i="4"/>
  <c r="F369" i="4"/>
  <c r="AH369" i="4"/>
  <c r="AF368" i="4"/>
  <c r="AY370" i="4"/>
  <c r="B370" i="4"/>
  <c r="AV371" i="4"/>
  <c r="AD367" i="4"/>
  <c r="AX369" i="4"/>
  <c r="AW369" i="4"/>
  <c r="V337" i="29" l="1"/>
  <c r="W337" i="29" s="1"/>
  <c r="P337" i="29"/>
  <c r="AB339" i="29"/>
  <c r="N338" i="29"/>
  <c r="AQ368" i="4"/>
  <c r="AE368" i="4"/>
  <c r="AF340" i="29"/>
  <c r="AE340" i="29"/>
  <c r="AA340" i="29" s="1"/>
  <c r="Z338" i="29"/>
  <c r="R340" i="29"/>
  <c r="S340" i="29"/>
  <c r="G340" i="29"/>
  <c r="Q340" i="29"/>
  <c r="T340" i="29"/>
  <c r="E340" i="29"/>
  <c r="U340" i="29"/>
  <c r="I339" i="29"/>
  <c r="K339" i="29" s="1"/>
  <c r="J339" i="29"/>
  <c r="Y339" i="29" s="1"/>
  <c r="O339" i="29"/>
  <c r="AI341" i="29"/>
  <c r="AD342" i="29"/>
  <c r="B341" i="29"/>
  <c r="V338" i="29"/>
  <c r="W338" i="29" s="1"/>
  <c r="P338" i="29"/>
  <c r="AN367" i="4"/>
  <c r="AO367" i="4" s="1"/>
  <c r="AW370" i="4"/>
  <c r="AX370" i="4"/>
  <c r="R369" i="4"/>
  <c r="Z369" i="4" s="1"/>
  <c r="U369" i="4"/>
  <c r="X369" i="4"/>
  <c r="AC369" i="4" s="1"/>
  <c r="V369" i="4"/>
  <c r="AA369" i="4" s="1"/>
  <c r="Q369" i="4"/>
  <c r="Y369" i="4" s="1"/>
  <c r="W369" i="4"/>
  <c r="AB369" i="4" s="1"/>
  <c r="AY371" i="4"/>
  <c r="AV372" i="4"/>
  <c r="B371" i="4"/>
  <c r="AG366" i="4"/>
  <c r="AN366" i="4"/>
  <c r="AO366" i="4" s="1"/>
  <c r="AF369" i="4"/>
  <c r="F370" i="4"/>
  <c r="L370" i="4"/>
  <c r="O370" i="4"/>
  <c r="AH370" i="4"/>
  <c r="P370" i="4"/>
  <c r="AJ370" i="4"/>
  <c r="AM370" i="4"/>
  <c r="J370" i="4"/>
  <c r="M370" i="4"/>
  <c r="K370" i="4"/>
  <c r="N370" i="4"/>
  <c r="AL370" i="4"/>
  <c r="AI370" i="4"/>
  <c r="AK370" i="4"/>
  <c r="AP369" i="4"/>
  <c r="AD368" i="4"/>
  <c r="AB340" i="29" l="1"/>
  <c r="N339" i="29"/>
  <c r="V339" i="29" s="1"/>
  <c r="W339" i="29" s="1"/>
  <c r="AQ369" i="4"/>
  <c r="AE369" i="4"/>
  <c r="O340" i="29"/>
  <c r="P339" i="29"/>
  <c r="Z339" i="29"/>
  <c r="Q341" i="29"/>
  <c r="E341" i="29"/>
  <c r="S341" i="29"/>
  <c r="G341" i="29"/>
  <c r="R341" i="29"/>
  <c r="U341" i="29"/>
  <c r="T341" i="29"/>
  <c r="AI342" i="29"/>
  <c r="B342" i="29"/>
  <c r="AD343" i="29"/>
  <c r="J340" i="29"/>
  <c r="Y340" i="29" s="1"/>
  <c r="Z340" i="29" s="1"/>
  <c r="I340" i="29"/>
  <c r="AF341" i="29"/>
  <c r="AE341" i="29"/>
  <c r="AA341" i="29" s="1"/>
  <c r="AG367" i="4"/>
  <c r="AD369" i="4"/>
  <c r="AX371" i="4"/>
  <c r="AW371" i="4"/>
  <c r="AF370" i="4"/>
  <c r="P371" i="4"/>
  <c r="M371" i="4"/>
  <c r="J371" i="4"/>
  <c r="AM371" i="4"/>
  <c r="AI371" i="4"/>
  <c r="O371" i="4"/>
  <c r="AK371" i="4"/>
  <c r="F371" i="4"/>
  <c r="AL371" i="4"/>
  <c r="AH371" i="4"/>
  <c r="AJ371" i="4"/>
  <c r="L371" i="4"/>
  <c r="N371" i="4"/>
  <c r="K371" i="4"/>
  <c r="AN368" i="4"/>
  <c r="AO368" i="4" s="1"/>
  <c r="AG368" i="4"/>
  <c r="R370" i="4"/>
  <c r="Z370" i="4" s="1"/>
  <c r="V370" i="4"/>
  <c r="AA370" i="4" s="1"/>
  <c r="W370" i="4"/>
  <c r="AB370" i="4" s="1"/>
  <c r="U370" i="4"/>
  <c r="AP370" i="4" s="1"/>
  <c r="Q370" i="4"/>
  <c r="Y370" i="4" s="1"/>
  <c r="X370" i="4"/>
  <c r="AC370" i="4" s="1"/>
  <c r="B372" i="4"/>
  <c r="AV373" i="4"/>
  <c r="AY372" i="4"/>
  <c r="K340" i="29" l="1"/>
  <c r="N340" i="29" s="1"/>
  <c r="AQ370" i="4"/>
  <c r="AB341" i="29"/>
  <c r="AE370" i="4"/>
  <c r="J341" i="29"/>
  <c r="Y341" i="29" s="1"/>
  <c r="I341" i="29"/>
  <c r="AE342" i="29"/>
  <c r="AA342" i="29" s="1"/>
  <c r="AF342" i="29"/>
  <c r="AI343" i="29"/>
  <c r="AD344" i="29"/>
  <c r="B343" i="29"/>
  <c r="O341" i="29"/>
  <c r="G342" i="29"/>
  <c r="U342" i="29"/>
  <c r="T342" i="29"/>
  <c r="E342" i="29"/>
  <c r="Q342" i="29"/>
  <c r="S342" i="29"/>
  <c r="R342" i="29"/>
  <c r="AF371" i="4"/>
  <c r="AG369" i="4"/>
  <c r="AN369" i="4"/>
  <c r="AO369" i="4" s="1"/>
  <c r="AX372" i="4"/>
  <c r="AW372" i="4"/>
  <c r="B373" i="4"/>
  <c r="AV374" i="4"/>
  <c r="AY373" i="4"/>
  <c r="AJ372" i="4"/>
  <c r="AH372" i="4"/>
  <c r="O372" i="4"/>
  <c r="AM372" i="4"/>
  <c r="AL372" i="4"/>
  <c r="L372" i="4"/>
  <c r="N372" i="4"/>
  <c r="J372" i="4"/>
  <c r="AK372" i="4"/>
  <c r="F372" i="4"/>
  <c r="AI372" i="4"/>
  <c r="M372" i="4"/>
  <c r="P372" i="4"/>
  <c r="K372" i="4"/>
  <c r="X371" i="4"/>
  <c r="AC371" i="4" s="1"/>
  <c r="Q371" i="4"/>
  <c r="Y371" i="4" s="1"/>
  <c r="V371" i="4"/>
  <c r="AA371" i="4" s="1"/>
  <c r="U371" i="4"/>
  <c r="AP371" i="4" s="1"/>
  <c r="R371" i="4"/>
  <c r="Z371" i="4" s="1"/>
  <c r="W371" i="4"/>
  <c r="AB371" i="4" s="1"/>
  <c r="V340" i="29" l="1"/>
  <c r="W340" i="29" s="1"/>
  <c r="P340" i="29"/>
  <c r="AB342" i="29"/>
  <c r="K341" i="29"/>
  <c r="N341" i="29" s="1"/>
  <c r="AQ371" i="4"/>
  <c r="AE371" i="4"/>
  <c r="AF343" i="29"/>
  <c r="AE343" i="29"/>
  <c r="AA343" i="29" s="1"/>
  <c r="Z341" i="29"/>
  <c r="O342" i="29"/>
  <c r="E343" i="29"/>
  <c r="G343" i="29"/>
  <c r="Q343" i="29"/>
  <c r="S343" i="29"/>
  <c r="T343" i="29"/>
  <c r="U343" i="29"/>
  <c r="R343" i="29"/>
  <c r="AI344" i="29"/>
  <c r="B344" i="29"/>
  <c r="AD345" i="29"/>
  <c r="I342" i="29"/>
  <c r="K342" i="29" s="1"/>
  <c r="J342" i="29"/>
  <c r="Y342" i="29" s="1"/>
  <c r="AG370" i="4"/>
  <c r="AN370" i="4"/>
  <c r="AO370" i="4" s="1"/>
  <c r="AV375" i="4"/>
  <c r="B374" i="4"/>
  <c r="AY374" i="4"/>
  <c r="AL373" i="4"/>
  <c r="L373" i="4"/>
  <c r="F373" i="4"/>
  <c r="AH373" i="4"/>
  <c r="AI373" i="4"/>
  <c r="AJ373" i="4"/>
  <c r="P373" i="4"/>
  <c r="N373" i="4"/>
  <c r="K373" i="4"/>
  <c r="AK373" i="4"/>
  <c r="AM373" i="4"/>
  <c r="M373" i="4"/>
  <c r="J373" i="4"/>
  <c r="O373" i="4"/>
  <c r="AD370" i="4"/>
  <c r="W372" i="4"/>
  <c r="AB372" i="4" s="1"/>
  <c r="R372" i="4"/>
  <c r="Z372" i="4" s="1"/>
  <c r="U372" i="4"/>
  <c r="AP372" i="4" s="1"/>
  <c r="X372" i="4"/>
  <c r="AC372" i="4" s="1"/>
  <c r="Q372" i="4"/>
  <c r="Y372" i="4" s="1"/>
  <c r="V372" i="4"/>
  <c r="AA372" i="4" s="1"/>
  <c r="AF372" i="4"/>
  <c r="AW373" i="4"/>
  <c r="AX373" i="4"/>
  <c r="V341" i="29" l="1"/>
  <c r="W341" i="29" s="1"/>
  <c r="P341" i="29"/>
  <c r="N342" i="29"/>
  <c r="AB343" i="29"/>
  <c r="AQ372" i="4"/>
  <c r="AE372" i="4"/>
  <c r="O343" i="29"/>
  <c r="AF344" i="29"/>
  <c r="AE344" i="29"/>
  <c r="AA344" i="29" s="1"/>
  <c r="V342" i="29"/>
  <c r="W342" i="29" s="1"/>
  <c r="P342" i="29"/>
  <c r="AI345" i="29"/>
  <c r="AD346" i="29"/>
  <c r="B345" i="29"/>
  <c r="Z342" i="29"/>
  <c r="I343" i="29"/>
  <c r="K343" i="29" s="1"/>
  <c r="N343" i="29" s="1"/>
  <c r="J343" i="29"/>
  <c r="Y343" i="29" s="1"/>
  <c r="R344" i="29"/>
  <c r="Q344" i="29"/>
  <c r="T344" i="29"/>
  <c r="S344" i="29"/>
  <c r="G344" i="29"/>
  <c r="E344" i="29"/>
  <c r="U344" i="29"/>
  <c r="AD371" i="4"/>
  <c r="AN371" i="4"/>
  <c r="AO371" i="4" s="1"/>
  <c r="AG371" i="4"/>
  <c r="AY375" i="4"/>
  <c r="B375" i="4"/>
  <c r="AV376" i="4"/>
  <c r="AF373" i="4"/>
  <c r="AW374" i="4"/>
  <c r="AX374" i="4"/>
  <c r="W373" i="4"/>
  <c r="AB373" i="4" s="1"/>
  <c r="V373" i="4"/>
  <c r="AA373" i="4" s="1"/>
  <c r="X373" i="4"/>
  <c r="AC373" i="4" s="1"/>
  <c r="R373" i="4"/>
  <c r="Z373" i="4" s="1"/>
  <c r="U373" i="4"/>
  <c r="AP373" i="4" s="1"/>
  <c r="Q373" i="4"/>
  <c r="Y373" i="4" s="1"/>
  <c r="AD372" i="4"/>
  <c r="O374" i="4"/>
  <c r="J374" i="4"/>
  <c r="AH374" i="4"/>
  <c r="AJ374" i="4"/>
  <c r="AK374" i="4"/>
  <c r="K374" i="4"/>
  <c r="N374" i="4"/>
  <c r="AL374" i="4"/>
  <c r="AM374" i="4"/>
  <c r="F374" i="4"/>
  <c r="M374" i="4"/>
  <c r="AI374" i="4"/>
  <c r="P374" i="4"/>
  <c r="L374" i="4"/>
  <c r="Z343" i="29" l="1"/>
  <c r="AQ373" i="4"/>
  <c r="AB344" i="29"/>
  <c r="AE373" i="4"/>
  <c r="O344" i="29"/>
  <c r="Q345" i="29"/>
  <c r="R345" i="29"/>
  <c r="S345" i="29"/>
  <c r="E345" i="29"/>
  <c r="U345" i="29"/>
  <c r="T345" i="29"/>
  <c r="G345" i="29"/>
  <c r="J344" i="29"/>
  <c r="Y344" i="29" s="1"/>
  <c r="Z344" i="29" s="1"/>
  <c r="I344" i="29"/>
  <c r="B346" i="29"/>
  <c r="AD347" i="29"/>
  <c r="AI346" i="29"/>
  <c r="P343" i="29"/>
  <c r="V343" i="29"/>
  <c r="W343" i="29" s="1"/>
  <c r="AE345" i="29"/>
  <c r="AA345" i="29" s="1"/>
  <c r="AF345" i="29"/>
  <c r="B376" i="4"/>
  <c r="AY376" i="4"/>
  <c r="AV377" i="4"/>
  <c r="AF374" i="4"/>
  <c r="O375" i="4"/>
  <c r="F375" i="4"/>
  <c r="K375" i="4"/>
  <c r="AK375" i="4"/>
  <c r="P375" i="4"/>
  <c r="AH375" i="4"/>
  <c r="AJ375" i="4"/>
  <c r="M375" i="4"/>
  <c r="J375" i="4"/>
  <c r="L375" i="4"/>
  <c r="AL375" i="4"/>
  <c r="AM375" i="4"/>
  <c r="N375" i="4"/>
  <c r="AI375" i="4"/>
  <c r="AW375" i="4"/>
  <c r="AX375" i="4"/>
  <c r="W374" i="4"/>
  <c r="AB374" i="4" s="1"/>
  <c r="R374" i="4"/>
  <c r="Z374" i="4" s="1"/>
  <c r="Q374" i="4"/>
  <c r="Y374" i="4" s="1"/>
  <c r="X374" i="4"/>
  <c r="AC374" i="4" s="1"/>
  <c r="U374" i="4"/>
  <c r="AP374" i="4" s="1"/>
  <c r="V374" i="4"/>
  <c r="AA374" i="4" s="1"/>
  <c r="K344" i="29" l="1"/>
  <c r="N344" i="29" s="1"/>
  <c r="AQ374" i="4"/>
  <c r="AB345" i="29"/>
  <c r="AE374" i="4"/>
  <c r="L771" i="7" s="1"/>
  <c r="R346" i="29"/>
  <c r="Q346" i="29"/>
  <c r="T346" i="29"/>
  <c r="G346" i="29"/>
  <c r="U346" i="29"/>
  <c r="E346" i="29"/>
  <c r="S346" i="29"/>
  <c r="J345" i="29"/>
  <c r="I345" i="29"/>
  <c r="O345" i="29"/>
  <c r="AF346" i="29"/>
  <c r="AE346" i="29"/>
  <c r="AA346" i="29" s="1"/>
  <c r="Y345" i="29"/>
  <c r="AI347" i="29"/>
  <c r="B347" i="29"/>
  <c r="AD348" i="29"/>
  <c r="AD373" i="4"/>
  <c r="U375" i="4"/>
  <c r="AP375" i="4" s="1"/>
  <c r="V375" i="4"/>
  <c r="AA375" i="4" s="1"/>
  <c r="X375" i="4"/>
  <c r="AC375" i="4" s="1"/>
  <c r="W375" i="4"/>
  <c r="AB375" i="4" s="1"/>
  <c r="Q375" i="4"/>
  <c r="Y375" i="4" s="1"/>
  <c r="R375" i="4"/>
  <c r="Z375" i="4" s="1"/>
  <c r="AF375" i="4"/>
  <c r="AV378" i="4"/>
  <c r="B377" i="4"/>
  <c r="AY377" i="4"/>
  <c r="AX376" i="4"/>
  <c r="AW376" i="4"/>
  <c r="AJ376" i="4"/>
  <c r="F376" i="4"/>
  <c r="J376" i="4"/>
  <c r="M376" i="4"/>
  <c r="AH376" i="4"/>
  <c r="K376" i="4"/>
  <c r="O376" i="4"/>
  <c r="N376" i="4"/>
  <c r="AL376" i="4"/>
  <c r="AM376" i="4"/>
  <c r="AK376" i="4"/>
  <c r="P376" i="4"/>
  <c r="L376" i="4"/>
  <c r="AI376" i="4"/>
  <c r="AN372" i="4"/>
  <c r="AO372" i="4" s="1"/>
  <c r="AG372" i="4"/>
  <c r="P344" i="29" l="1"/>
  <c r="V344" i="29"/>
  <c r="W344" i="29" s="1"/>
  <c r="K345" i="29"/>
  <c r="N345" i="29" s="1"/>
  <c r="AB346" i="29"/>
  <c r="AQ375" i="4"/>
  <c r="AE375" i="4"/>
  <c r="Z345" i="29"/>
  <c r="AD349" i="29"/>
  <c r="AI348" i="29"/>
  <c r="B348" i="29"/>
  <c r="G347" i="29"/>
  <c r="R347" i="29"/>
  <c r="Q347" i="29"/>
  <c r="S347" i="29"/>
  <c r="U347" i="29"/>
  <c r="E347" i="29"/>
  <c r="T347" i="29"/>
  <c r="J346" i="29"/>
  <c r="Y346" i="29" s="1"/>
  <c r="I346" i="29"/>
  <c r="AE347" i="29"/>
  <c r="AA347" i="29" s="1"/>
  <c r="AF347" i="29"/>
  <c r="O346" i="29"/>
  <c r="AD375" i="4"/>
  <c r="AN374" i="4"/>
  <c r="AO374" i="4" s="1"/>
  <c r="AG374" i="4"/>
  <c r="AF376" i="4"/>
  <c r="AW377" i="4"/>
  <c r="AX377" i="4"/>
  <c r="AD374" i="4"/>
  <c r="AG373" i="4"/>
  <c r="AN373" i="4"/>
  <c r="AO373" i="4" s="1"/>
  <c r="AK377" i="4"/>
  <c r="P377" i="4"/>
  <c r="L377" i="4"/>
  <c r="AJ377" i="4"/>
  <c r="O377" i="4"/>
  <c r="J377" i="4"/>
  <c r="AM377" i="4"/>
  <c r="K377" i="4"/>
  <c r="AI377" i="4"/>
  <c r="M377" i="4"/>
  <c r="N377" i="4"/>
  <c r="AH377" i="4"/>
  <c r="F377" i="4"/>
  <c r="AL377" i="4"/>
  <c r="Q376" i="4"/>
  <c r="Y376" i="4" s="1"/>
  <c r="W376" i="4"/>
  <c r="AB376" i="4" s="1"/>
  <c r="X376" i="4"/>
  <c r="AC376" i="4" s="1"/>
  <c r="U376" i="4"/>
  <c r="AP376" i="4" s="1"/>
  <c r="V376" i="4"/>
  <c r="AA376" i="4" s="1"/>
  <c r="R376" i="4"/>
  <c r="Z376" i="4" s="1"/>
  <c r="AV382" i="4"/>
  <c r="B378" i="4"/>
  <c r="AV379" i="4"/>
  <c r="AY378" i="4"/>
  <c r="P345" i="29" l="1"/>
  <c r="V345" i="29"/>
  <c r="W345" i="29" s="1"/>
  <c r="AB347" i="29"/>
  <c r="K346" i="29"/>
  <c r="N346" i="29" s="1"/>
  <c r="AQ376" i="4"/>
  <c r="AE376" i="4"/>
  <c r="O347" i="29"/>
  <c r="Q348" i="29"/>
  <c r="E348" i="29"/>
  <c r="U348" i="29"/>
  <c r="G348" i="29"/>
  <c r="S348" i="29"/>
  <c r="R348" i="29"/>
  <c r="T348" i="29"/>
  <c r="Z346" i="29"/>
  <c r="J347" i="29"/>
  <c r="Y347" i="29" s="1"/>
  <c r="Z347" i="29" s="1"/>
  <c r="I347" i="29"/>
  <c r="AE348" i="29"/>
  <c r="AA348" i="29" s="1"/>
  <c r="AF348" i="29"/>
  <c r="B349" i="29"/>
  <c r="AD350" i="29"/>
  <c r="AI349" i="29"/>
  <c r="AX378" i="4"/>
  <c r="AW378" i="4"/>
  <c r="AF377" i="4"/>
  <c r="V377" i="4"/>
  <c r="AA377" i="4" s="1"/>
  <c r="Q377" i="4"/>
  <c r="Y377" i="4" s="1"/>
  <c r="R377" i="4"/>
  <c r="Z377" i="4" s="1"/>
  <c r="X377" i="4"/>
  <c r="AC377" i="4" s="1"/>
  <c r="W377" i="4"/>
  <c r="AB377" i="4" s="1"/>
  <c r="U377" i="4"/>
  <c r="M378" i="4"/>
  <c r="AM378" i="4"/>
  <c r="AI378" i="4"/>
  <c r="F378" i="4"/>
  <c r="J378" i="4"/>
  <c r="AJ378" i="4"/>
  <c r="AK378" i="4"/>
  <c r="N378" i="4"/>
  <c r="O378" i="4"/>
  <c r="K378" i="4"/>
  <c r="AL378" i="4"/>
  <c r="P378" i="4"/>
  <c r="L378" i="4"/>
  <c r="AH378" i="4"/>
  <c r="AP377" i="4"/>
  <c r="AG375" i="4"/>
  <c r="AN375" i="4"/>
  <c r="AO375" i="4" s="1"/>
  <c r="AV380" i="4"/>
  <c r="AY379" i="4"/>
  <c r="B379" i="4"/>
  <c r="AV383" i="4"/>
  <c r="B382" i="4"/>
  <c r="AY382" i="4"/>
  <c r="AD376" i="4"/>
  <c r="V346" i="29" l="1"/>
  <c r="W346" i="29" s="1"/>
  <c r="P346" i="29"/>
  <c r="AB348" i="29"/>
  <c r="K347" i="29"/>
  <c r="N347" i="29" s="1"/>
  <c r="AQ377" i="4"/>
  <c r="AE377" i="4"/>
  <c r="AF349" i="29"/>
  <c r="AE349" i="29"/>
  <c r="AA349" i="29" s="1"/>
  <c r="AD351" i="29"/>
  <c r="AI350" i="29"/>
  <c r="B350" i="29"/>
  <c r="J348" i="29"/>
  <c r="Y348" i="29" s="1"/>
  <c r="I348" i="29"/>
  <c r="U349" i="29"/>
  <c r="G349" i="29"/>
  <c r="R349" i="29"/>
  <c r="E349" i="29"/>
  <c r="T349" i="29"/>
  <c r="S349" i="29"/>
  <c r="Q349" i="29"/>
  <c r="O348" i="29"/>
  <c r="P379" i="4"/>
  <c r="AI379" i="4"/>
  <c r="AM379" i="4"/>
  <c r="AJ379" i="4"/>
  <c r="AK379" i="4"/>
  <c r="O379" i="4"/>
  <c r="K379" i="4"/>
  <c r="J379" i="4"/>
  <c r="AL379" i="4"/>
  <c r="L379" i="4"/>
  <c r="M379" i="4"/>
  <c r="N379" i="4"/>
  <c r="F379" i="4"/>
  <c r="AH379" i="4"/>
  <c r="L772" i="7"/>
  <c r="AW379" i="4"/>
  <c r="AX379" i="4"/>
  <c r="AF378" i="4"/>
  <c r="V378" i="4"/>
  <c r="AA378" i="4" s="1"/>
  <c r="W378" i="4"/>
  <c r="AB378" i="4" s="1"/>
  <c r="X378" i="4"/>
  <c r="AC378" i="4" s="1"/>
  <c r="Q378" i="4"/>
  <c r="Y378" i="4" s="1"/>
  <c r="U378" i="4"/>
  <c r="AP378" i="4" s="1"/>
  <c r="R378" i="4"/>
  <c r="Z378" i="4" s="1"/>
  <c r="AW382" i="4"/>
  <c r="AX382" i="4"/>
  <c r="AV384" i="4"/>
  <c r="B380" i="4"/>
  <c r="AV381" i="4"/>
  <c r="AY380" i="4"/>
  <c r="AH382" i="4"/>
  <c r="AM382" i="4"/>
  <c r="O382" i="4"/>
  <c r="L382" i="4"/>
  <c r="M382" i="4"/>
  <c r="AK382" i="4"/>
  <c r="N382" i="4"/>
  <c r="K382" i="4"/>
  <c r="AJ382" i="4"/>
  <c r="P382" i="4"/>
  <c r="J382" i="4"/>
  <c r="F382" i="4"/>
  <c r="AL382" i="4"/>
  <c r="AI382" i="4"/>
  <c r="AY383" i="4"/>
  <c r="B383" i="4"/>
  <c r="AD377" i="4"/>
  <c r="AM380" i="4" l="1"/>
  <c r="AI380" i="4"/>
  <c r="N380" i="4"/>
  <c r="J380" i="4"/>
  <c r="AK380" i="4"/>
  <c r="P380" i="4"/>
  <c r="L380" i="4"/>
  <c r="AL380" i="4"/>
  <c r="M380" i="4"/>
  <c r="AJ380" i="4"/>
  <c r="K380" i="4"/>
  <c r="AH380" i="4"/>
  <c r="O380" i="4"/>
  <c r="F380" i="4"/>
  <c r="P347" i="29"/>
  <c r="V347" i="29"/>
  <c r="W347" i="29" s="1"/>
  <c r="AB349" i="29"/>
  <c r="K348" i="29"/>
  <c r="N348" i="29" s="1"/>
  <c r="AQ378" i="4"/>
  <c r="AE378" i="4"/>
  <c r="AI351" i="29"/>
  <c r="B351" i="29"/>
  <c r="AD352" i="29"/>
  <c r="O349" i="29"/>
  <c r="E350" i="29"/>
  <c r="T350" i="29"/>
  <c r="Q350" i="29"/>
  <c r="S350" i="29"/>
  <c r="G350" i="29"/>
  <c r="U350" i="29"/>
  <c r="R350" i="29"/>
  <c r="I349" i="29"/>
  <c r="K349" i="29" s="1"/>
  <c r="J349" i="29"/>
  <c r="Y349" i="29" s="1"/>
  <c r="Z348" i="29"/>
  <c r="AF350" i="29"/>
  <c r="AE350" i="29"/>
  <c r="AA350" i="29" s="1"/>
  <c r="AX383" i="4"/>
  <c r="AW383" i="4"/>
  <c r="B384" i="4"/>
  <c r="AY384" i="4"/>
  <c r="W382" i="4"/>
  <c r="AB382" i="4" s="1"/>
  <c r="Q382" i="4"/>
  <c r="Y382" i="4" s="1"/>
  <c r="R382" i="4"/>
  <c r="Z382" i="4" s="1"/>
  <c r="X382" i="4"/>
  <c r="AC382" i="4" s="1"/>
  <c r="U382" i="4"/>
  <c r="AP382" i="4" s="1"/>
  <c r="V382" i="4"/>
  <c r="AA382" i="4" s="1"/>
  <c r="AN376" i="4"/>
  <c r="AO376" i="4" s="1"/>
  <c r="AG376" i="4"/>
  <c r="AX380" i="4"/>
  <c r="AW380" i="4"/>
  <c r="AD378" i="4"/>
  <c r="AV385" i="4"/>
  <c r="AY381" i="4"/>
  <c r="B381" i="4"/>
  <c r="AF379" i="4"/>
  <c r="AI383" i="4"/>
  <c r="L383" i="4"/>
  <c r="M383" i="4"/>
  <c r="K383" i="4"/>
  <c r="AH383" i="4"/>
  <c r="AL383" i="4"/>
  <c r="O383" i="4"/>
  <c r="J383" i="4"/>
  <c r="AK383" i="4"/>
  <c r="AJ383" i="4"/>
  <c r="F383" i="4"/>
  <c r="P383" i="4"/>
  <c r="N383" i="4"/>
  <c r="AM383" i="4"/>
  <c r="AF382" i="4"/>
  <c r="W379" i="4"/>
  <c r="AB379" i="4" s="1"/>
  <c r="Q379" i="4"/>
  <c r="Y379" i="4" s="1"/>
  <c r="V379" i="4"/>
  <c r="AA379" i="4" s="1"/>
  <c r="X379" i="4"/>
  <c r="AC379" i="4" s="1"/>
  <c r="R379" i="4"/>
  <c r="Z379" i="4" s="1"/>
  <c r="U379" i="4"/>
  <c r="AP379" i="4" s="1"/>
  <c r="AK381" i="4" l="1"/>
  <c r="P381" i="4"/>
  <c r="L381" i="4"/>
  <c r="AM381" i="4"/>
  <c r="AI381" i="4"/>
  <c r="N381" i="4"/>
  <c r="J381" i="4"/>
  <c r="O381" i="4"/>
  <c r="AL381" i="4"/>
  <c r="M381" i="4"/>
  <c r="AJ381" i="4"/>
  <c r="AH381" i="4"/>
  <c r="K381" i="4"/>
  <c r="F381" i="4"/>
  <c r="P348" i="29"/>
  <c r="V348" i="29"/>
  <c r="W348" i="29" s="1"/>
  <c r="AB350" i="29"/>
  <c r="N349" i="29"/>
  <c r="AQ379" i="4"/>
  <c r="AQ382" i="4"/>
  <c r="AE382" i="4"/>
  <c r="AE379" i="4"/>
  <c r="O350" i="29"/>
  <c r="E351" i="29"/>
  <c r="T351" i="29"/>
  <c r="S351" i="29"/>
  <c r="U351" i="29"/>
  <c r="R351" i="29"/>
  <c r="G351" i="29"/>
  <c r="Q351" i="29"/>
  <c r="I350" i="29"/>
  <c r="K350" i="29" s="1"/>
  <c r="J350" i="29"/>
  <c r="Y350" i="29" s="1"/>
  <c r="Z350" i="29" s="1"/>
  <c r="P349" i="29"/>
  <c r="V349" i="29"/>
  <c r="W349" i="29" s="1"/>
  <c r="Z349" i="29"/>
  <c r="AF351" i="29"/>
  <c r="AE351" i="29"/>
  <c r="AA351" i="29" s="1"/>
  <c r="B352" i="29"/>
  <c r="AI352" i="29"/>
  <c r="AD353" i="29"/>
  <c r="AN378" i="4"/>
  <c r="AO378" i="4" s="1"/>
  <c r="AF380" i="4"/>
  <c r="W380" i="4"/>
  <c r="AB380" i="4" s="1"/>
  <c r="Q380" i="4"/>
  <c r="Y380" i="4" s="1"/>
  <c r="U380" i="4"/>
  <c r="AP380" i="4" s="1"/>
  <c r="R380" i="4"/>
  <c r="Z380" i="4" s="1"/>
  <c r="X380" i="4"/>
  <c r="AC380" i="4" s="1"/>
  <c r="V380" i="4"/>
  <c r="AA380" i="4" s="1"/>
  <c r="AJ384" i="4"/>
  <c r="N384" i="4"/>
  <c r="AK384" i="4"/>
  <c r="AM384" i="4"/>
  <c r="K384" i="4"/>
  <c r="F384" i="4"/>
  <c r="M384" i="4"/>
  <c r="P384" i="4"/>
  <c r="L384" i="4"/>
  <c r="AH384" i="4"/>
  <c r="AI384" i="4"/>
  <c r="AL384" i="4"/>
  <c r="J384" i="4"/>
  <c r="O384" i="4"/>
  <c r="AX381" i="4"/>
  <c r="AW381" i="4"/>
  <c r="W383" i="4"/>
  <c r="AB383" i="4" s="1"/>
  <c r="R383" i="4"/>
  <c r="Z383" i="4" s="1"/>
  <c r="X383" i="4"/>
  <c r="AC383" i="4" s="1"/>
  <c r="Q383" i="4"/>
  <c r="Y383" i="4" s="1"/>
  <c r="V383" i="4"/>
  <c r="AA383" i="4" s="1"/>
  <c r="U383" i="4"/>
  <c r="AP383" i="4" s="1"/>
  <c r="AD379" i="4"/>
  <c r="B385" i="4"/>
  <c r="AY385" i="4"/>
  <c r="AV386" i="4"/>
  <c r="AG377" i="4"/>
  <c r="AN377" i="4"/>
  <c r="AO377" i="4" s="1"/>
  <c r="AF383" i="4"/>
  <c r="AD382" i="4"/>
  <c r="AW384" i="4"/>
  <c r="AX384" i="4"/>
  <c r="N350" i="29" l="1"/>
  <c r="AQ380" i="4"/>
  <c r="AQ383" i="4"/>
  <c r="AB351" i="29"/>
  <c r="AE383" i="4"/>
  <c r="AE380" i="4"/>
  <c r="AG378" i="4"/>
  <c r="V350" i="29"/>
  <c r="W350" i="29" s="1"/>
  <c r="P350" i="29"/>
  <c r="AI353" i="29"/>
  <c r="AD354" i="29"/>
  <c r="B353" i="29"/>
  <c r="O351" i="29"/>
  <c r="AE352" i="29"/>
  <c r="AA352" i="29" s="1"/>
  <c r="AF352" i="29"/>
  <c r="U352" i="29"/>
  <c r="G352" i="29"/>
  <c r="E352" i="29"/>
  <c r="T352" i="29"/>
  <c r="Q352" i="29"/>
  <c r="S352" i="29"/>
  <c r="R352" i="29"/>
  <c r="J351" i="29"/>
  <c r="Y351" i="29" s="1"/>
  <c r="I351" i="29"/>
  <c r="AD380" i="4"/>
  <c r="B386" i="4"/>
  <c r="AV387" i="4"/>
  <c r="AY386" i="4"/>
  <c r="AW385" i="4"/>
  <c r="AX385" i="4"/>
  <c r="M385" i="4"/>
  <c r="N385" i="4"/>
  <c r="AK385" i="4"/>
  <c r="P385" i="4"/>
  <c r="AM385" i="4"/>
  <c r="AJ385" i="4"/>
  <c r="AI385" i="4"/>
  <c r="F385" i="4"/>
  <c r="O385" i="4"/>
  <c r="J385" i="4"/>
  <c r="L385" i="4"/>
  <c r="K385" i="4"/>
  <c r="AH385" i="4"/>
  <c r="AL385" i="4"/>
  <c r="R381" i="4"/>
  <c r="Z381" i="4" s="1"/>
  <c r="V381" i="4"/>
  <c r="AA381" i="4" s="1"/>
  <c r="U381" i="4"/>
  <c r="AP381" i="4" s="1"/>
  <c r="X381" i="4"/>
  <c r="AC381" i="4" s="1"/>
  <c r="Q381" i="4"/>
  <c r="Y381" i="4" s="1"/>
  <c r="W381" i="4"/>
  <c r="AB381" i="4" s="1"/>
  <c r="V384" i="4"/>
  <c r="AA384" i="4" s="1"/>
  <c r="Q384" i="4"/>
  <c r="Y384" i="4" s="1"/>
  <c r="U384" i="4"/>
  <c r="AP384" i="4" s="1"/>
  <c r="R384" i="4"/>
  <c r="Z384" i="4" s="1"/>
  <c r="X384" i="4"/>
  <c r="AC384" i="4" s="1"/>
  <c r="W384" i="4"/>
  <c r="AB384" i="4" s="1"/>
  <c r="AF384" i="4"/>
  <c r="AF381" i="4"/>
  <c r="AB352" i="29" l="1"/>
  <c r="K351" i="29"/>
  <c r="N351" i="29" s="1"/>
  <c r="AQ381" i="4"/>
  <c r="AQ384" i="4"/>
  <c r="AE381" i="4"/>
  <c r="AE384" i="4"/>
  <c r="AD383" i="4"/>
  <c r="AI354" i="29"/>
  <c r="B354" i="29"/>
  <c r="AD355" i="29"/>
  <c r="J352" i="29"/>
  <c r="Y352" i="29" s="1"/>
  <c r="I352" i="29"/>
  <c r="K352" i="29" s="1"/>
  <c r="AF353" i="29"/>
  <c r="AE353" i="29"/>
  <c r="AA353" i="29" s="1"/>
  <c r="Z351" i="29"/>
  <c r="O352" i="29"/>
  <c r="G353" i="29"/>
  <c r="R353" i="29"/>
  <c r="Q353" i="29"/>
  <c r="E353" i="29"/>
  <c r="S353" i="29"/>
  <c r="U353" i="29"/>
  <c r="T353" i="29"/>
  <c r="B387" i="4"/>
  <c r="AV388" i="4"/>
  <c r="AY387" i="4"/>
  <c r="AN383" i="4"/>
  <c r="AO383" i="4" s="1"/>
  <c r="AG383" i="4"/>
  <c r="AG380" i="4"/>
  <c r="AN380" i="4"/>
  <c r="AO380" i="4" s="1"/>
  <c r="AG382" i="4"/>
  <c r="AN382" i="4"/>
  <c r="AO382" i="4" s="1"/>
  <c r="P386" i="4"/>
  <c r="AJ386" i="4"/>
  <c r="J386" i="4"/>
  <c r="AM386" i="4"/>
  <c r="M386" i="4"/>
  <c r="N386" i="4"/>
  <c r="AL386" i="4"/>
  <c r="AI386" i="4"/>
  <c r="K386" i="4"/>
  <c r="O386" i="4"/>
  <c r="AK386" i="4"/>
  <c r="AH386" i="4"/>
  <c r="F386" i="4"/>
  <c r="L386" i="4"/>
  <c r="AG379" i="4"/>
  <c r="AN379" i="4"/>
  <c r="AO379" i="4" s="1"/>
  <c r="AF385" i="4"/>
  <c r="Q385" i="4"/>
  <c r="Y385" i="4" s="1"/>
  <c r="U385" i="4"/>
  <c r="AP385" i="4" s="1"/>
  <c r="V385" i="4"/>
  <c r="AA385" i="4" s="1"/>
  <c r="X385" i="4"/>
  <c r="AC385" i="4" s="1"/>
  <c r="W385" i="4"/>
  <c r="AB385" i="4" s="1"/>
  <c r="R385" i="4"/>
  <c r="AD384" i="4"/>
  <c r="AX386" i="4"/>
  <c r="AW386" i="4"/>
  <c r="P351" i="29" l="1"/>
  <c r="V351" i="29"/>
  <c r="W351" i="29" s="1"/>
  <c r="AB353" i="29"/>
  <c r="N352" i="29"/>
  <c r="P352" i="29" s="1"/>
  <c r="Z385" i="4"/>
  <c r="O353" i="29"/>
  <c r="J353" i="29"/>
  <c r="Y353" i="29" s="1"/>
  <c r="I353" i="29"/>
  <c r="K353" i="29" s="1"/>
  <c r="AD356" i="29"/>
  <c r="AI355" i="29"/>
  <c r="B355" i="29"/>
  <c r="Z352" i="29"/>
  <c r="U354" i="29"/>
  <c r="T354" i="29"/>
  <c r="S354" i="29"/>
  <c r="E354" i="29"/>
  <c r="R354" i="29"/>
  <c r="Q354" i="29"/>
  <c r="G354" i="29"/>
  <c r="AF354" i="29"/>
  <c r="AE354" i="29"/>
  <c r="AA354" i="29" s="1"/>
  <c r="AN381" i="4"/>
  <c r="AO381" i="4" s="1"/>
  <c r="AG381" i="4"/>
  <c r="M387" i="4"/>
  <c r="AH387" i="4"/>
  <c r="AJ387" i="4"/>
  <c r="P387" i="4"/>
  <c r="AM387" i="4"/>
  <c r="L387" i="4"/>
  <c r="AK387" i="4"/>
  <c r="F387" i="4"/>
  <c r="N387" i="4"/>
  <c r="AI387" i="4"/>
  <c r="O387" i="4"/>
  <c r="J387" i="4"/>
  <c r="K387" i="4"/>
  <c r="AL387" i="4"/>
  <c r="AF386" i="4"/>
  <c r="AD381" i="4"/>
  <c r="W386" i="4"/>
  <c r="AB386" i="4" s="1"/>
  <c r="R386" i="4"/>
  <c r="Z386" i="4" s="1"/>
  <c r="X386" i="4"/>
  <c r="AC386" i="4" s="1"/>
  <c r="V386" i="4"/>
  <c r="AA386" i="4" s="1"/>
  <c r="Q386" i="4"/>
  <c r="Y386" i="4" s="1"/>
  <c r="U386" i="4"/>
  <c r="AP386" i="4" s="1"/>
  <c r="AX387" i="4"/>
  <c r="AW387" i="4"/>
  <c r="AV389" i="4"/>
  <c r="B388" i="4"/>
  <c r="AY388" i="4"/>
  <c r="V352" i="29" l="1"/>
  <c r="W352" i="29" s="1"/>
  <c r="N353" i="29"/>
  <c r="AQ386" i="4"/>
  <c r="AE385" i="4"/>
  <c r="AN385" i="4" s="1"/>
  <c r="AO385" i="4" s="1"/>
  <c r="AQ385" i="4"/>
  <c r="AB354" i="29"/>
  <c r="AE386" i="4"/>
  <c r="L261" i="7"/>
  <c r="J354" i="29"/>
  <c r="Y354" i="29" s="1"/>
  <c r="I354" i="29"/>
  <c r="O354" i="29"/>
  <c r="AF355" i="29"/>
  <c r="AE355" i="29"/>
  <c r="AA355" i="29" s="1"/>
  <c r="V353" i="29"/>
  <c r="W353" i="29" s="1"/>
  <c r="P353" i="29"/>
  <c r="B356" i="29"/>
  <c r="AI356" i="29"/>
  <c r="AD357" i="29"/>
  <c r="Z353" i="29"/>
  <c r="Q355" i="29"/>
  <c r="R355" i="29"/>
  <c r="U355" i="29"/>
  <c r="T355" i="29"/>
  <c r="E355" i="29"/>
  <c r="G355" i="29"/>
  <c r="S355" i="29"/>
  <c r="AG384" i="4"/>
  <c r="AN384" i="4"/>
  <c r="AO384" i="4" s="1"/>
  <c r="B389" i="4"/>
  <c r="AY389" i="4"/>
  <c r="AV390" i="4"/>
  <c r="AD385" i="4"/>
  <c r="AF387" i="4"/>
  <c r="AW388" i="4"/>
  <c r="AX388" i="4"/>
  <c r="AM388" i="4"/>
  <c r="L388" i="4"/>
  <c r="K388" i="4"/>
  <c r="P388" i="4"/>
  <c r="N388" i="4"/>
  <c r="M388" i="4"/>
  <c r="AK388" i="4"/>
  <c r="AH388" i="4"/>
  <c r="AJ388" i="4"/>
  <c r="AI388" i="4"/>
  <c r="O388" i="4"/>
  <c r="F388" i="4"/>
  <c r="AL388" i="4"/>
  <c r="J388" i="4"/>
  <c r="V387" i="4"/>
  <c r="AA387" i="4" s="1"/>
  <c r="R387" i="4"/>
  <c r="Z387" i="4" s="1"/>
  <c r="W387" i="4"/>
  <c r="AB387" i="4" s="1"/>
  <c r="X387" i="4"/>
  <c r="AC387" i="4" s="1"/>
  <c r="Q387" i="4"/>
  <c r="Y387" i="4" s="1"/>
  <c r="U387" i="4"/>
  <c r="AP387" i="4" s="1"/>
  <c r="AD386" i="4"/>
  <c r="AB355" i="29" l="1"/>
  <c r="K354" i="29"/>
  <c r="N354" i="29" s="1"/>
  <c r="AG385" i="4"/>
  <c r="L264" i="7"/>
  <c r="L266" i="7" s="1"/>
  <c r="AQ387" i="4"/>
  <c r="AE387" i="4"/>
  <c r="AF356" i="29"/>
  <c r="AE356" i="29"/>
  <c r="AA356" i="29" s="1"/>
  <c r="B357" i="29"/>
  <c r="AD358" i="29"/>
  <c r="AI357" i="29"/>
  <c r="Z354" i="29"/>
  <c r="S356" i="29"/>
  <c r="R356" i="29"/>
  <c r="T356" i="29"/>
  <c r="U356" i="29"/>
  <c r="G356" i="29"/>
  <c r="E356" i="29"/>
  <c r="Q356" i="29"/>
  <c r="J355" i="29"/>
  <c r="Y355" i="29" s="1"/>
  <c r="I355" i="29"/>
  <c r="K355" i="29" s="1"/>
  <c r="O355" i="29"/>
  <c r="J389" i="4"/>
  <c r="AL389" i="4"/>
  <c r="L389" i="4"/>
  <c r="N389" i="4"/>
  <c r="AK389" i="4"/>
  <c r="AM389" i="4"/>
  <c r="M389" i="4"/>
  <c r="K389" i="4"/>
  <c r="F389" i="4"/>
  <c r="AJ389" i="4"/>
  <c r="AI389" i="4"/>
  <c r="O389" i="4"/>
  <c r="P389" i="4"/>
  <c r="AH389" i="4"/>
  <c r="AF388" i="4"/>
  <c r="AV391" i="4"/>
  <c r="B390" i="4"/>
  <c r="AY390" i="4"/>
  <c r="W388" i="4"/>
  <c r="AB388" i="4" s="1"/>
  <c r="V388" i="4"/>
  <c r="AA388" i="4" s="1"/>
  <c r="Q388" i="4"/>
  <c r="Y388" i="4" s="1"/>
  <c r="X388" i="4"/>
  <c r="AC388" i="4" s="1"/>
  <c r="U388" i="4"/>
  <c r="AP388" i="4" s="1"/>
  <c r="R388" i="4"/>
  <c r="Z388" i="4" s="1"/>
  <c r="AW389" i="4"/>
  <c r="AX389" i="4"/>
  <c r="V354" i="29" l="1"/>
  <c r="W354" i="29" s="1"/>
  <c r="P354" i="29"/>
  <c r="AB356" i="29"/>
  <c r="N355" i="29"/>
  <c r="I304" i="7"/>
  <c r="J304" i="7" s="1"/>
  <c r="I301" i="7"/>
  <c r="J301" i="7" s="1"/>
  <c r="K283" i="7"/>
  <c r="I315" i="7"/>
  <c r="J315" i="7" s="1"/>
  <c r="K336" i="7"/>
  <c r="I286" i="7"/>
  <c r="J286" i="7" s="1"/>
  <c r="K313" i="7"/>
  <c r="I273" i="7"/>
  <c r="J273" i="7" s="1"/>
  <c r="K311" i="7"/>
  <c r="K284" i="7"/>
  <c r="I327" i="7"/>
  <c r="J327" i="7" s="1"/>
  <c r="I300" i="7"/>
  <c r="J300" i="7" s="1"/>
  <c r="K277" i="7"/>
  <c r="I307" i="7"/>
  <c r="J307" i="7" s="1"/>
  <c r="K302" i="7"/>
  <c r="K317" i="7"/>
  <c r="K300" i="7"/>
  <c r="K337" i="7"/>
  <c r="K265" i="7"/>
  <c r="K298" i="7"/>
  <c r="K266" i="7"/>
  <c r="I289" i="7"/>
  <c r="J289" i="7" s="1"/>
  <c r="K324" i="7"/>
  <c r="I334" i="7"/>
  <c r="J334" i="7" s="1"/>
  <c r="I311" i="7"/>
  <c r="J311" i="7" s="1"/>
  <c r="K327" i="7"/>
  <c r="K314" i="7"/>
  <c r="K294" i="7"/>
  <c r="K279" i="7"/>
  <c r="I324" i="7"/>
  <c r="J324" i="7" s="1"/>
  <c r="I328" i="7"/>
  <c r="J328" i="7" s="1"/>
  <c r="I287" i="7"/>
  <c r="J287" i="7" s="1"/>
  <c r="K290" i="7"/>
  <c r="K293" i="7"/>
  <c r="I276" i="7"/>
  <c r="J276" i="7" s="1"/>
  <c r="K276" i="7"/>
  <c r="I322" i="7"/>
  <c r="J322" i="7" s="1"/>
  <c r="I341" i="7"/>
  <c r="J341" i="7" s="1"/>
  <c r="I265" i="7"/>
  <c r="J265" i="7" s="1"/>
  <c r="I275" i="7"/>
  <c r="J275" i="7" s="1"/>
  <c r="I297" i="7"/>
  <c r="J297" i="7" s="1"/>
  <c r="I291" i="7"/>
  <c r="J291" i="7" s="1"/>
  <c r="K338" i="7"/>
  <c r="K303" i="7"/>
  <c r="I325" i="7"/>
  <c r="J325" i="7" s="1"/>
  <c r="K273" i="7"/>
  <c r="I269" i="7"/>
  <c r="J269" i="7" s="1"/>
  <c r="I302" i="7"/>
  <c r="J302" i="7" s="1"/>
  <c r="I340" i="7"/>
  <c r="J340" i="7" s="1"/>
  <c r="I338" i="7"/>
  <c r="J338" i="7" s="1"/>
  <c r="K287" i="7"/>
  <c r="I326" i="7"/>
  <c r="J326" i="7" s="1"/>
  <c r="I264" i="7"/>
  <c r="J264" i="7" s="1"/>
  <c r="K329" i="7"/>
  <c r="I316" i="7"/>
  <c r="J316" i="7" s="1"/>
  <c r="K320" i="7"/>
  <c r="I274" i="7"/>
  <c r="J274" i="7" s="1"/>
  <c r="K319" i="7"/>
  <c r="I266" i="7"/>
  <c r="J266" i="7" s="1"/>
  <c r="K333" i="7"/>
  <c r="K331" i="7"/>
  <c r="I336" i="7"/>
  <c r="J336" i="7" s="1"/>
  <c r="I323" i="7"/>
  <c r="J323" i="7" s="1"/>
  <c r="K343" i="7"/>
  <c r="I309" i="7"/>
  <c r="J309" i="7" s="1"/>
  <c r="K286" i="7"/>
  <c r="K285" i="7"/>
  <c r="K269" i="7"/>
  <c r="K280" i="7"/>
  <c r="K291" i="7"/>
  <c r="K267" i="7"/>
  <c r="K301" i="7"/>
  <c r="I337" i="7"/>
  <c r="J337" i="7" s="1"/>
  <c r="K308" i="7"/>
  <c r="I332" i="7"/>
  <c r="J332" i="7" s="1"/>
  <c r="K334" i="7"/>
  <c r="K295" i="7"/>
  <c r="K282" i="7"/>
  <c r="K263" i="7"/>
  <c r="K328" i="7"/>
  <c r="I270" i="7"/>
  <c r="J270" i="7" s="1"/>
  <c r="K312" i="7"/>
  <c r="I308" i="7"/>
  <c r="J308" i="7" s="1"/>
  <c r="K275" i="7"/>
  <c r="I282" i="7"/>
  <c r="J282" i="7" s="1"/>
  <c r="I313" i="7"/>
  <c r="J313" i="7" s="1"/>
  <c r="K321" i="7"/>
  <c r="I268" i="7"/>
  <c r="J268" i="7" s="1"/>
  <c r="I292" i="7"/>
  <c r="J292" i="7" s="1"/>
  <c r="K342" i="7"/>
  <c r="I312" i="7"/>
  <c r="J312" i="7" s="1"/>
  <c r="I279" i="7"/>
  <c r="J279" i="7" s="1"/>
  <c r="I319" i="7"/>
  <c r="J319" i="7" s="1"/>
  <c r="K322" i="7"/>
  <c r="K272" i="7"/>
  <c r="I333" i="7"/>
  <c r="J333" i="7" s="1"/>
  <c r="K339" i="7"/>
  <c r="I321" i="7"/>
  <c r="J321" i="7" s="1"/>
  <c r="I293" i="7"/>
  <c r="J293" i="7" s="1"/>
  <c r="I281" i="7"/>
  <c r="J281" i="7" s="1"/>
  <c r="I303" i="7"/>
  <c r="J303" i="7" s="1"/>
  <c r="K309" i="7"/>
  <c r="I280" i="7"/>
  <c r="J280" i="7" s="1"/>
  <c r="I305" i="7"/>
  <c r="J305" i="7" s="1"/>
  <c r="K297" i="7"/>
  <c r="I272" i="7"/>
  <c r="J272" i="7" s="1"/>
  <c r="K304" i="7"/>
  <c r="I277" i="7"/>
  <c r="J277" i="7" s="1"/>
  <c r="K341" i="7"/>
  <c r="I339" i="7"/>
  <c r="J339" i="7" s="1"/>
  <c r="K270" i="7"/>
  <c r="K268" i="7"/>
  <c r="I342" i="7"/>
  <c r="J342" i="7" s="1"/>
  <c r="I278" i="7"/>
  <c r="J278" i="7" s="1"/>
  <c r="K315" i="7"/>
  <c r="I263" i="7"/>
  <c r="J263" i="7" s="1"/>
  <c r="K271" i="7"/>
  <c r="I298" i="7"/>
  <c r="J298" i="7" s="1"/>
  <c r="K299" i="7"/>
  <c r="I330" i="7"/>
  <c r="J330" i="7" s="1"/>
  <c r="K305" i="7"/>
  <c r="K316" i="7"/>
  <c r="I283" i="7"/>
  <c r="J283" i="7" s="1"/>
  <c r="K292" i="7"/>
  <c r="I331" i="7"/>
  <c r="J331" i="7" s="1"/>
  <c r="K318" i="7"/>
  <c r="K264" i="7"/>
  <c r="K332" i="7"/>
  <c r="K281" i="7"/>
  <c r="K296" i="7"/>
  <c r="K330" i="7"/>
  <c r="K323" i="7"/>
  <c r="I288" i="7"/>
  <c r="J288" i="7" s="1"/>
  <c r="K340" i="7"/>
  <c r="I271" i="7"/>
  <c r="J271" i="7" s="1"/>
  <c r="I335" i="7"/>
  <c r="J335" i="7" s="1"/>
  <c r="K289" i="7"/>
  <c r="I329" i="7"/>
  <c r="J329" i="7" s="1"/>
  <c r="K326" i="7"/>
  <c r="K310" i="7"/>
  <c r="I299" i="7"/>
  <c r="J299" i="7" s="1"/>
  <c r="I317" i="7"/>
  <c r="J317" i="7" s="1"/>
  <c r="I290" i="7"/>
  <c r="J290" i="7" s="1"/>
  <c r="K306" i="7"/>
  <c r="K325" i="7"/>
  <c r="I295" i="7"/>
  <c r="J295" i="7" s="1"/>
  <c r="K307" i="7"/>
  <c r="I320" i="7"/>
  <c r="J320" i="7" s="1"/>
  <c r="I267" i="7"/>
  <c r="J267" i="7" s="1"/>
  <c r="I310" i="7"/>
  <c r="J310" i="7" s="1"/>
  <c r="I306" i="7"/>
  <c r="J306" i="7" s="1"/>
  <c r="I314" i="7"/>
  <c r="J314" i="7" s="1"/>
  <c r="I284" i="7"/>
  <c r="J284" i="7" s="1"/>
  <c r="I296" i="7"/>
  <c r="J296" i="7" s="1"/>
  <c r="K335" i="7"/>
  <c r="I294" i="7"/>
  <c r="J294" i="7" s="1"/>
  <c r="K288" i="7"/>
  <c r="I285" i="7"/>
  <c r="J285" i="7" s="1"/>
  <c r="K278" i="7"/>
  <c r="I343" i="7"/>
  <c r="J343" i="7" s="1"/>
  <c r="I318" i="7"/>
  <c r="J318" i="7" s="1"/>
  <c r="K274" i="7"/>
  <c r="AQ388" i="4"/>
  <c r="AE388" i="4"/>
  <c r="P355" i="29"/>
  <c r="V355" i="29"/>
  <c r="W355" i="29" s="1"/>
  <c r="AI358" i="29"/>
  <c r="AD359" i="29"/>
  <c r="B358" i="29"/>
  <c r="I356" i="29"/>
  <c r="K356" i="29" s="1"/>
  <c r="J356" i="29"/>
  <c r="Y356" i="29" s="1"/>
  <c r="T357" i="29"/>
  <c r="U357" i="29"/>
  <c r="S357" i="29"/>
  <c r="R357" i="29"/>
  <c r="Q357" i="29"/>
  <c r="E357" i="29"/>
  <c r="G357" i="29"/>
  <c r="Z355" i="29"/>
  <c r="O356" i="29"/>
  <c r="AF357" i="29"/>
  <c r="AE357" i="29"/>
  <c r="AA357" i="29" s="1"/>
  <c r="AG387" i="4"/>
  <c r="AN387" i="4"/>
  <c r="AO387" i="4" s="1"/>
  <c r="AD387" i="4"/>
  <c r="AF389" i="4"/>
  <c r="U389" i="4"/>
  <c r="W389" i="4"/>
  <c r="AB389" i="4" s="1"/>
  <c r="R389" i="4"/>
  <c r="Z389" i="4" s="1"/>
  <c r="X389" i="4"/>
  <c r="AC389" i="4" s="1"/>
  <c r="Q389" i="4"/>
  <c r="Y389" i="4" s="1"/>
  <c r="V389" i="4"/>
  <c r="AA389" i="4" s="1"/>
  <c r="B391" i="4"/>
  <c r="AY391" i="4"/>
  <c r="AV392" i="4"/>
  <c r="AX390" i="4"/>
  <c r="AW390" i="4"/>
  <c r="F390" i="4"/>
  <c r="AJ390" i="4"/>
  <c r="AL390" i="4"/>
  <c r="AH390" i="4"/>
  <c r="AM390" i="4"/>
  <c r="AI390" i="4"/>
  <c r="AK390" i="4"/>
  <c r="M390" i="4"/>
  <c r="L390" i="4"/>
  <c r="N390" i="4"/>
  <c r="J390" i="4"/>
  <c r="P390" i="4"/>
  <c r="K390" i="4"/>
  <c r="O390" i="4"/>
  <c r="AG386" i="4"/>
  <c r="AN386" i="4"/>
  <c r="AO386" i="4" s="1"/>
  <c r="AP389" i="4"/>
  <c r="N356" i="29" l="1"/>
  <c r="AB357" i="29"/>
  <c r="J344" i="7"/>
  <c r="AQ389" i="4"/>
  <c r="AE389" i="4"/>
  <c r="P356" i="29"/>
  <c r="V356" i="29"/>
  <c r="W356" i="29" s="1"/>
  <c r="O357" i="29"/>
  <c r="AF358" i="29"/>
  <c r="AE358" i="29"/>
  <c r="AA358" i="29" s="1"/>
  <c r="I357" i="29"/>
  <c r="J357" i="29"/>
  <c r="Y357" i="29" s="1"/>
  <c r="Z356" i="29"/>
  <c r="E358" i="29"/>
  <c r="R358" i="29"/>
  <c r="U358" i="29"/>
  <c r="T358" i="29"/>
  <c r="Q358" i="29"/>
  <c r="S358" i="29"/>
  <c r="G358" i="29"/>
  <c r="B359" i="29"/>
  <c r="AD360" i="29"/>
  <c r="AI359" i="29"/>
  <c r="AN388" i="4"/>
  <c r="AO388" i="4" s="1"/>
  <c r="AG388" i="4"/>
  <c r="AF390" i="4"/>
  <c r="AW391" i="4"/>
  <c r="AX391" i="4"/>
  <c r="V390" i="4"/>
  <c r="AA390" i="4" s="1"/>
  <c r="U390" i="4"/>
  <c r="AP390" i="4" s="1"/>
  <c r="W390" i="4"/>
  <c r="AB390" i="4" s="1"/>
  <c r="R390" i="4"/>
  <c r="Z390" i="4" s="1"/>
  <c r="Q390" i="4"/>
  <c r="Y390" i="4" s="1"/>
  <c r="X390" i="4"/>
  <c r="AC390" i="4" s="1"/>
  <c r="AH391" i="4"/>
  <c r="H391" i="4"/>
  <c r="I391" i="4"/>
  <c r="J391" i="4"/>
  <c r="AJ391" i="4"/>
  <c r="AL391" i="4"/>
  <c r="O391" i="4"/>
  <c r="N391" i="4"/>
  <c r="K391" i="4"/>
  <c r="F391" i="4"/>
  <c r="AI391" i="4"/>
  <c r="P391" i="4"/>
  <c r="AM391" i="4"/>
  <c r="L391" i="4"/>
  <c r="AK391" i="4"/>
  <c r="M391" i="4"/>
  <c r="G391" i="4"/>
  <c r="AD388" i="4"/>
  <c r="AY392" i="4"/>
  <c r="B392" i="4"/>
  <c r="AV393" i="4"/>
  <c r="AB358" i="29" l="1"/>
  <c r="K357" i="29"/>
  <c r="N357" i="29" s="1"/>
  <c r="AQ390" i="4"/>
  <c r="AE390" i="4"/>
  <c r="AF359" i="29"/>
  <c r="AE359" i="29"/>
  <c r="AA359" i="29" s="1"/>
  <c r="I358" i="29"/>
  <c r="J358" i="29"/>
  <c r="Y358" i="29" s="1"/>
  <c r="AD361" i="29"/>
  <c r="AI360" i="29"/>
  <c r="B360" i="29"/>
  <c r="E359" i="29"/>
  <c r="T359" i="29"/>
  <c r="R359" i="29"/>
  <c r="U359" i="29"/>
  <c r="S359" i="29"/>
  <c r="G359" i="29"/>
  <c r="Q359" i="29"/>
  <c r="O358" i="29"/>
  <c r="Z357" i="29"/>
  <c r="AD389" i="4"/>
  <c r="AN389" i="4"/>
  <c r="AO389" i="4" s="1"/>
  <c r="AG389" i="4"/>
  <c r="B393" i="4"/>
  <c r="AY393" i="4"/>
  <c r="AV394" i="4"/>
  <c r="T391" i="4"/>
  <c r="W391" i="4"/>
  <c r="AB391" i="4" s="1"/>
  <c r="S391" i="4"/>
  <c r="X391" i="4"/>
  <c r="AC391" i="4" s="1"/>
  <c r="V391" i="4"/>
  <c r="AA391" i="4" s="1"/>
  <c r="Q391" i="4"/>
  <c r="Y391" i="4" s="1"/>
  <c r="R391" i="4"/>
  <c r="Z391" i="4" s="1"/>
  <c r="U391" i="4"/>
  <c r="AP391" i="4" s="1"/>
  <c r="AF391" i="4"/>
  <c r="AK392" i="4"/>
  <c r="O392" i="4"/>
  <c r="K392" i="4"/>
  <c r="P392" i="4"/>
  <c r="J392" i="4"/>
  <c r="AH392" i="4"/>
  <c r="F392" i="4"/>
  <c r="AM392" i="4"/>
  <c r="AI392" i="4"/>
  <c r="N392" i="4"/>
  <c r="M392" i="4"/>
  <c r="L392" i="4"/>
  <c r="AL392" i="4"/>
  <c r="AJ392" i="4"/>
  <c r="AX392" i="4"/>
  <c r="AW392" i="4"/>
  <c r="P357" i="29" l="1"/>
  <c r="V357" i="29"/>
  <c r="W357" i="29" s="1"/>
  <c r="AB359" i="29"/>
  <c r="K358" i="29"/>
  <c r="N358" i="29" s="1"/>
  <c r="AQ391" i="4"/>
  <c r="AE391" i="4"/>
  <c r="AD390" i="4"/>
  <c r="B361" i="29"/>
  <c r="AD362" i="29"/>
  <c r="AI361" i="29"/>
  <c r="O359" i="29"/>
  <c r="J359" i="29"/>
  <c r="Y359" i="29" s="1"/>
  <c r="I359" i="29"/>
  <c r="K359" i="29" s="1"/>
  <c r="G360" i="29"/>
  <c r="R360" i="29"/>
  <c r="S360" i="29"/>
  <c r="E360" i="29"/>
  <c r="U360" i="29"/>
  <c r="Q360" i="29"/>
  <c r="T360" i="29"/>
  <c r="Z358" i="29"/>
  <c r="AE360" i="29"/>
  <c r="AA360" i="29" s="1"/>
  <c r="AF360" i="29"/>
  <c r="AN390" i="4"/>
  <c r="AO390" i="4" s="1"/>
  <c r="AF392" i="4"/>
  <c r="AD391" i="4"/>
  <c r="AY394" i="4"/>
  <c r="AV395" i="4"/>
  <c r="B394" i="4"/>
  <c r="AW393" i="4"/>
  <c r="AX393" i="4"/>
  <c r="Q392" i="4"/>
  <c r="Y392" i="4" s="1"/>
  <c r="V392" i="4"/>
  <c r="AA392" i="4" s="1"/>
  <c r="U392" i="4"/>
  <c r="AP392" i="4" s="1"/>
  <c r="W392" i="4"/>
  <c r="AB392" i="4" s="1"/>
  <c r="X392" i="4"/>
  <c r="AC392" i="4" s="1"/>
  <c r="R392" i="4"/>
  <c r="Z392" i="4" s="1"/>
  <c r="O393" i="4"/>
  <c r="F393" i="4"/>
  <c r="L393" i="4"/>
  <c r="P393" i="4"/>
  <c r="AJ393" i="4"/>
  <c r="AH393" i="4"/>
  <c r="AM393" i="4"/>
  <c r="M393" i="4"/>
  <c r="AK393" i="4"/>
  <c r="AI393" i="4"/>
  <c r="J393" i="4"/>
  <c r="AL393" i="4"/>
  <c r="N393" i="4"/>
  <c r="K393" i="4"/>
  <c r="P358" i="29" l="1"/>
  <c r="V358" i="29"/>
  <c r="W358" i="29" s="1"/>
  <c r="N359" i="29"/>
  <c r="AQ392" i="4"/>
  <c r="AB360" i="29"/>
  <c r="AE392" i="4"/>
  <c r="AI362" i="29"/>
  <c r="B362" i="29"/>
  <c r="AD363" i="29"/>
  <c r="Z359" i="29"/>
  <c r="T361" i="29"/>
  <c r="R361" i="29"/>
  <c r="U361" i="29"/>
  <c r="G361" i="29"/>
  <c r="S361" i="29"/>
  <c r="E361" i="29"/>
  <c r="Q361" i="29"/>
  <c r="O360" i="29"/>
  <c r="I360" i="29"/>
  <c r="K360" i="29" s="1"/>
  <c r="N360" i="29" s="1"/>
  <c r="J360" i="29"/>
  <c r="Y360" i="29" s="1"/>
  <c r="P359" i="29"/>
  <c r="V359" i="29"/>
  <c r="W359" i="29" s="1"/>
  <c r="AE361" i="29"/>
  <c r="AA361" i="29" s="1"/>
  <c r="AF361" i="29"/>
  <c r="AG390" i="4"/>
  <c r="Q393" i="4"/>
  <c r="Y393" i="4" s="1"/>
  <c r="W393" i="4"/>
  <c r="AB393" i="4" s="1"/>
  <c r="X393" i="4"/>
  <c r="AC393" i="4" s="1"/>
  <c r="V393" i="4"/>
  <c r="AA393" i="4" s="1"/>
  <c r="U393" i="4"/>
  <c r="AP393" i="4" s="1"/>
  <c r="R393" i="4"/>
  <c r="Z393" i="4" s="1"/>
  <c r="AD392" i="4"/>
  <c r="AF393" i="4"/>
  <c r="AJ394" i="4"/>
  <c r="AH394" i="4"/>
  <c r="M394" i="4"/>
  <c r="F394" i="4"/>
  <c r="AM394" i="4"/>
  <c r="L394" i="4"/>
  <c r="N394" i="4"/>
  <c r="AL394" i="4"/>
  <c r="P394" i="4"/>
  <c r="AI394" i="4"/>
  <c r="J394" i="4"/>
  <c r="AK394" i="4"/>
  <c r="K394" i="4"/>
  <c r="O394" i="4"/>
  <c r="AV396" i="4"/>
  <c r="B395" i="4"/>
  <c r="AY395" i="4"/>
  <c r="AW394" i="4"/>
  <c r="AX394" i="4"/>
  <c r="AB361" i="29" l="1"/>
  <c r="AQ393" i="4"/>
  <c r="AE393" i="4"/>
  <c r="V360" i="29"/>
  <c r="W360" i="29" s="1"/>
  <c r="P360" i="29"/>
  <c r="Z360" i="29"/>
  <c r="J361" i="29"/>
  <c r="I361" i="29"/>
  <c r="K361" i="29" s="1"/>
  <c r="B363" i="29"/>
  <c r="AI363" i="29"/>
  <c r="AD364" i="29"/>
  <c r="O361" i="29"/>
  <c r="U362" i="29"/>
  <c r="G362" i="29"/>
  <c r="Q362" i="29"/>
  <c r="E362" i="29"/>
  <c r="S362" i="29"/>
  <c r="R362" i="29"/>
  <c r="T362" i="29"/>
  <c r="Y361" i="29"/>
  <c r="AF362" i="29"/>
  <c r="AE362" i="29"/>
  <c r="AA362" i="29" s="1"/>
  <c r="AG392" i="4"/>
  <c r="AN392" i="4"/>
  <c r="AO392" i="4" s="1"/>
  <c r="AD393" i="4"/>
  <c r="AX395" i="4"/>
  <c r="AW395" i="4"/>
  <c r="AV397" i="4"/>
  <c r="B396" i="4"/>
  <c r="AY396" i="4"/>
  <c r="Q394" i="4"/>
  <c r="Y394" i="4" s="1"/>
  <c r="R394" i="4"/>
  <c r="Z394" i="4" s="1"/>
  <c r="U394" i="4"/>
  <c r="AP394" i="4" s="1"/>
  <c r="X394" i="4"/>
  <c r="AC394" i="4" s="1"/>
  <c r="V394" i="4"/>
  <c r="AA394" i="4" s="1"/>
  <c r="W394" i="4"/>
  <c r="AB394" i="4" s="1"/>
  <c r="AG391" i="4"/>
  <c r="AN391" i="4"/>
  <c r="AO391" i="4" s="1"/>
  <c r="AM395" i="4"/>
  <c r="AL395" i="4"/>
  <c r="AJ395" i="4"/>
  <c r="K395" i="4"/>
  <c r="N395" i="4"/>
  <c r="L395" i="4"/>
  <c r="AK395" i="4"/>
  <c r="J395" i="4"/>
  <c r="AI395" i="4"/>
  <c r="O395" i="4"/>
  <c r="M395" i="4"/>
  <c r="P395" i="4"/>
  <c r="F395" i="4"/>
  <c r="AH395" i="4"/>
  <c r="AF394" i="4"/>
  <c r="N361" i="29" l="1"/>
  <c r="AQ394" i="4"/>
  <c r="AB362" i="29"/>
  <c r="AE394" i="4"/>
  <c r="I362" i="29"/>
  <c r="J362" i="29"/>
  <c r="Y362" i="29" s="1"/>
  <c r="AE363" i="29"/>
  <c r="AA363" i="29" s="1"/>
  <c r="AF363" i="29"/>
  <c r="O362" i="29"/>
  <c r="Q363" i="29"/>
  <c r="R363" i="29"/>
  <c r="T363" i="29"/>
  <c r="S363" i="29"/>
  <c r="G363" i="29"/>
  <c r="U363" i="29"/>
  <c r="E363" i="29"/>
  <c r="Z361" i="29"/>
  <c r="V361" i="29"/>
  <c r="W361" i="29" s="1"/>
  <c r="P361" i="29"/>
  <c r="AI364" i="29"/>
  <c r="B364" i="29"/>
  <c r="AD365" i="29"/>
  <c r="AN393" i="4"/>
  <c r="AO393" i="4" s="1"/>
  <c r="AF395" i="4"/>
  <c r="AM396" i="4"/>
  <c r="O396" i="4"/>
  <c r="J396" i="4"/>
  <c r="AL396" i="4"/>
  <c r="AI396" i="4"/>
  <c r="L396" i="4"/>
  <c r="AK396" i="4"/>
  <c r="P396" i="4"/>
  <c r="K396" i="4"/>
  <c r="M396" i="4"/>
  <c r="AJ396" i="4"/>
  <c r="N396" i="4"/>
  <c r="F396" i="4"/>
  <c r="AH396" i="4"/>
  <c r="B397" i="4"/>
  <c r="AV398" i="4"/>
  <c r="AY397" i="4"/>
  <c r="AX396" i="4"/>
  <c r="AW396" i="4"/>
  <c r="R395" i="4"/>
  <c r="Z395" i="4" s="1"/>
  <c r="X395" i="4"/>
  <c r="AC395" i="4" s="1"/>
  <c r="U395" i="4"/>
  <c r="AP395" i="4" s="1"/>
  <c r="W395" i="4"/>
  <c r="AB395" i="4" s="1"/>
  <c r="V395" i="4"/>
  <c r="AA395" i="4" s="1"/>
  <c r="Q395" i="4"/>
  <c r="Y395" i="4" s="1"/>
  <c r="AB363" i="29" l="1"/>
  <c r="K362" i="29"/>
  <c r="N362" i="29" s="1"/>
  <c r="AQ395" i="4"/>
  <c r="O363" i="29"/>
  <c r="AE395" i="4"/>
  <c r="B365" i="29"/>
  <c r="AD366" i="29"/>
  <c r="AI365" i="29"/>
  <c r="Z362" i="29"/>
  <c r="E364" i="29"/>
  <c r="T364" i="29"/>
  <c r="U364" i="29"/>
  <c r="Q364" i="29"/>
  <c r="S364" i="29"/>
  <c r="G364" i="29"/>
  <c r="R364" i="29"/>
  <c r="AF364" i="29"/>
  <c r="AE364" i="29"/>
  <c r="AA364" i="29" s="1"/>
  <c r="J363" i="29"/>
  <c r="Y363" i="29" s="1"/>
  <c r="Z363" i="29" s="1"/>
  <c r="I363" i="29"/>
  <c r="AG393" i="4"/>
  <c r="AG394" i="4"/>
  <c r="AN394" i="4"/>
  <c r="AO394" i="4" s="1"/>
  <c r="AD394" i="4"/>
  <c r="AH397" i="4"/>
  <c r="AK397" i="4"/>
  <c r="M397" i="4"/>
  <c r="F397" i="4"/>
  <c r="L397" i="4"/>
  <c r="K397" i="4"/>
  <c r="P397" i="4"/>
  <c r="N397" i="4"/>
  <c r="AJ397" i="4"/>
  <c r="O397" i="4"/>
  <c r="J397" i="4"/>
  <c r="AM397" i="4"/>
  <c r="AL397" i="4"/>
  <c r="AI397" i="4"/>
  <c r="AY398" i="4"/>
  <c r="AV399" i="4"/>
  <c r="B398" i="4"/>
  <c r="V396" i="4"/>
  <c r="AA396" i="4" s="1"/>
  <c r="W396" i="4"/>
  <c r="AB396" i="4" s="1"/>
  <c r="X396" i="4"/>
  <c r="AC396" i="4" s="1"/>
  <c r="U396" i="4"/>
  <c r="AP396" i="4" s="1"/>
  <c r="Q396" i="4"/>
  <c r="Y396" i="4" s="1"/>
  <c r="R396" i="4"/>
  <c r="Z396" i="4" s="1"/>
  <c r="AW397" i="4"/>
  <c r="AX397" i="4"/>
  <c r="AF396" i="4"/>
  <c r="V362" i="29" l="1"/>
  <c r="W362" i="29" s="1"/>
  <c r="P362" i="29"/>
  <c r="K363" i="29"/>
  <c r="N363" i="29" s="1"/>
  <c r="AQ396" i="4"/>
  <c r="AB364" i="29"/>
  <c r="AE396" i="4"/>
  <c r="AG395" i="4"/>
  <c r="O364" i="29"/>
  <c r="AE365" i="29"/>
  <c r="AA365" i="29" s="1"/>
  <c r="AF365" i="29"/>
  <c r="J364" i="29"/>
  <c r="Y364" i="29" s="1"/>
  <c r="I364" i="29"/>
  <c r="AD367" i="29"/>
  <c r="B366" i="29"/>
  <c r="AI366" i="29"/>
  <c r="S365" i="29"/>
  <c r="E365" i="29"/>
  <c r="R365" i="29"/>
  <c r="Q365" i="29"/>
  <c r="G365" i="29"/>
  <c r="U365" i="29"/>
  <c r="T365" i="29"/>
  <c r="AN395" i="4"/>
  <c r="AO395" i="4" s="1"/>
  <c r="AW398" i="4"/>
  <c r="AX398" i="4"/>
  <c r="AD395" i="4"/>
  <c r="AV400" i="4"/>
  <c r="B399" i="4"/>
  <c r="AY399" i="4"/>
  <c r="U397" i="4"/>
  <c r="AP397" i="4" s="1"/>
  <c r="V397" i="4"/>
  <c r="AA397" i="4" s="1"/>
  <c r="Q397" i="4"/>
  <c r="Y397" i="4" s="1"/>
  <c r="X397" i="4"/>
  <c r="AC397" i="4" s="1"/>
  <c r="W397" i="4"/>
  <c r="AB397" i="4" s="1"/>
  <c r="R397" i="4"/>
  <c r="Z397" i="4" s="1"/>
  <c r="P398" i="4"/>
  <c r="AK398" i="4"/>
  <c r="M398" i="4"/>
  <c r="J398" i="4"/>
  <c r="N398" i="4"/>
  <c r="K398" i="4"/>
  <c r="L398" i="4"/>
  <c r="AJ398" i="4"/>
  <c r="AI398" i="4"/>
  <c r="AH398" i="4"/>
  <c r="F398" i="4"/>
  <c r="AL398" i="4"/>
  <c r="AM398" i="4"/>
  <c r="O398" i="4"/>
  <c r="AF397" i="4"/>
  <c r="V363" i="29" l="1"/>
  <c r="W363" i="29" s="1"/>
  <c r="P363" i="29"/>
  <c r="AB365" i="29"/>
  <c r="K364" i="29"/>
  <c r="N364" i="29" s="1"/>
  <c r="AQ397" i="4"/>
  <c r="AE397" i="4"/>
  <c r="AE366" i="29"/>
  <c r="AA366" i="29" s="1"/>
  <c r="AF366" i="29"/>
  <c r="J365" i="29"/>
  <c r="Y365" i="29" s="1"/>
  <c r="I365" i="29"/>
  <c r="T366" i="29"/>
  <c r="U366" i="29"/>
  <c r="Q366" i="29"/>
  <c r="G366" i="29"/>
  <c r="R366" i="29"/>
  <c r="E366" i="29"/>
  <c r="S366" i="29"/>
  <c r="Z364" i="29"/>
  <c r="O365" i="29"/>
  <c r="AD368" i="29"/>
  <c r="AI367" i="29"/>
  <c r="B367" i="29"/>
  <c r="AG396" i="4"/>
  <c r="AN396" i="4"/>
  <c r="AO396" i="4" s="1"/>
  <c r="AF398" i="4"/>
  <c r="AX399" i="4"/>
  <c r="AW399" i="4"/>
  <c r="AD396" i="4"/>
  <c r="AJ399" i="4"/>
  <c r="AH399" i="4"/>
  <c r="N399" i="4"/>
  <c r="AM399" i="4"/>
  <c r="AL399" i="4"/>
  <c r="L399" i="4"/>
  <c r="P399" i="4"/>
  <c r="J399" i="4"/>
  <c r="F399" i="4"/>
  <c r="AI399" i="4"/>
  <c r="M399" i="4"/>
  <c r="O399" i="4"/>
  <c r="K399" i="4"/>
  <c r="AK399" i="4"/>
  <c r="B400" i="4"/>
  <c r="AV401" i="4"/>
  <c r="AY400" i="4"/>
  <c r="W398" i="4"/>
  <c r="AB398" i="4" s="1"/>
  <c r="U398" i="4"/>
  <c r="AP398" i="4" s="1"/>
  <c r="X398" i="4"/>
  <c r="AC398" i="4" s="1"/>
  <c r="V398" i="4"/>
  <c r="AA398" i="4" s="1"/>
  <c r="Q398" i="4"/>
  <c r="Y398" i="4" s="1"/>
  <c r="R398" i="4"/>
  <c r="AD397" i="4"/>
  <c r="V364" i="29" l="1"/>
  <c r="W364" i="29" s="1"/>
  <c r="P364" i="29"/>
  <c r="AB366" i="29"/>
  <c r="K365" i="29"/>
  <c r="N365" i="29" s="1"/>
  <c r="Z398" i="4"/>
  <c r="R367" i="29"/>
  <c r="U367" i="29"/>
  <c r="T367" i="29"/>
  <c r="E367" i="29"/>
  <c r="G367" i="29"/>
  <c r="S367" i="29"/>
  <c r="Q367" i="29"/>
  <c r="AF367" i="29"/>
  <c r="AE367" i="29"/>
  <c r="AA367" i="29" s="1"/>
  <c r="Z365" i="29"/>
  <c r="AI368" i="29"/>
  <c r="AD369" i="29"/>
  <c r="B368" i="29"/>
  <c r="O366" i="29"/>
  <c r="I366" i="29"/>
  <c r="J366" i="29"/>
  <c r="Y366" i="29" s="1"/>
  <c r="AX400" i="4"/>
  <c r="AW400" i="4"/>
  <c r="W399" i="4"/>
  <c r="AB399" i="4" s="1"/>
  <c r="Q399" i="4"/>
  <c r="Y399" i="4" s="1"/>
  <c r="X399" i="4"/>
  <c r="AC399" i="4" s="1"/>
  <c r="R399" i="4"/>
  <c r="Z399" i="4" s="1"/>
  <c r="U399" i="4"/>
  <c r="V399" i="4"/>
  <c r="AA399" i="4" s="1"/>
  <c r="AY401" i="4"/>
  <c r="AV402" i="4"/>
  <c r="B401" i="4"/>
  <c r="AI400" i="4"/>
  <c r="K400" i="4"/>
  <c r="AK400" i="4"/>
  <c r="M400" i="4"/>
  <c r="N400" i="4"/>
  <c r="L400" i="4"/>
  <c r="AL400" i="4"/>
  <c r="AJ400" i="4"/>
  <c r="AM400" i="4"/>
  <c r="F400" i="4"/>
  <c r="AH400" i="4"/>
  <c r="J400" i="4"/>
  <c r="P400" i="4"/>
  <c r="O400" i="4"/>
  <c r="AD398" i="4"/>
  <c r="AP399" i="4"/>
  <c r="AF399" i="4"/>
  <c r="P365" i="29" l="1"/>
  <c r="V365" i="29"/>
  <c r="W365" i="29" s="1"/>
  <c r="K366" i="29"/>
  <c r="N366" i="29" s="1"/>
  <c r="AQ399" i="4"/>
  <c r="AE398" i="4"/>
  <c r="AQ398" i="4"/>
  <c r="AB367" i="29"/>
  <c r="AE399" i="4"/>
  <c r="E368" i="29"/>
  <c r="Q368" i="29"/>
  <c r="S368" i="29"/>
  <c r="G368" i="29"/>
  <c r="R368" i="29"/>
  <c r="T368" i="29"/>
  <c r="U368" i="29"/>
  <c r="AD370" i="29"/>
  <c r="AI369" i="29"/>
  <c r="B369" i="29"/>
  <c r="AE368" i="29"/>
  <c r="AA368" i="29" s="1"/>
  <c r="AF368" i="29"/>
  <c r="I367" i="29"/>
  <c r="J367" i="29"/>
  <c r="Y367" i="29" s="1"/>
  <c r="O367" i="29"/>
  <c r="Z366" i="29"/>
  <c r="AD399" i="4"/>
  <c r="AF400" i="4"/>
  <c r="AY402" i="4"/>
  <c r="B402" i="4"/>
  <c r="AV403" i="4"/>
  <c r="AN397" i="4"/>
  <c r="AO397" i="4" s="1"/>
  <c r="AG397" i="4"/>
  <c r="R400" i="4"/>
  <c r="Z400" i="4" s="1"/>
  <c r="W400" i="4"/>
  <c r="AB400" i="4" s="1"/>
  <c r="U400" i="4"/>
  <c r="AP400" i="4" s="1"/>
  <c r="Q400" i="4"/>
  <c r="Y400" i="4" s="1"/>
  <c r="V400" i="4"/>
  <c r="AA400" i="4" s="1"/>
  <c r="X400" i="4"/>
  <c r="AC400" i="4" s="1"/>
  <c r="AW401" i="4"/>
  <c r="AX401" i="4"/>
  <c r="O401" i="4"/>
  <c r="P401" i="4"/>
  <c r="AJ401" i="4"/>
  <c r="N401" i="4"/>
  <c r="F401" i="4"/>
  <c r="AK401" i="4"/>
  <c r="AI401" i="4"/>
  <c r="AH401" i="4"/>
  <c r="J401" i="4"/>
  <c r="AL401" i="4"/>
  <c r="L401" i="4"/>
  <c r="K401" i="4"/>
  <c r="AM401" i="4"/>
  <c r="M401" i="4"/>
  <c r="V366" i="29" l="1"/>
  <c r="W366" i="29" s="1"/>
  <c r="P366" i="29"/>
  <c r="K367" i="29"/>
  <c r="N367" i="29" s="1"/>
  <c r="AQ400" i="4"/>
  <c r="AB368" i="29"/>
  <c r="AE400" i="4"/>
  <c r="O368" i="29"/>
  <c r="Z367" i="29"/>
  <c r="I368" i="29"/>
  <c r="K368" i="29" s="1"/>
  <c r="J368" i="29"/>
  <c r="Y368" i="29" s="1"/>
  <c r="S369" i="29"/>
  <c r="E369" i="29"/>
  <c r="R369" i="29"/>
  <c r="G369" i="29"/>
  <c r="Q369" i="29"/>
  <c r="T369" i="29"/>
  <c r="U369" i="29"/>
  <c r="AF369" i="29"/>
  <c r="AE369" i="29"/>
  <c r="AA369" i="29" s="1"/>
  <c r="AD371" i="29"/>
  <c r="B370" i="29"/>
  <c r="AI370" i="29"/>
  <c r="AG399" i="4"/>
  <c r="AN399" i="4"/>
  <c r="AO399" i="4" s="1"/>
  <c r="AJ402" i="4"/>
  <c r="L402" i="4"/>
  <c r="J402" i="4"/>
  <c r="M402" i="4"/>
  <c r="AH402" i="4"/>
  <c r="O402" i="4"/>
  <c r="AL402" i="4"/>
  <c r="AM402" i="4"/>
  <c r="F402" i="4"/>
  <c r="P402" i="4"/>
  <c r="AK402" i="4"/>
  <c r="N402" i="4"/>
  <c r="K402" i="4"/>
  <c r="AI402" i="4"/>
  <c r="AG398" i="4"/>
  <c r="AN398" i="4"/>
  <c r="AO398" i="4" s="1"/>
  <c r="AX402" i="4"/>
  <c r="AW402" i="4"/>
  <c r="AF401" i="4"/>
  <c r="W401" i="4"/>
  <c r="AB401" i="4" s="1"/>
  <c r="Q401" i="4"/>
  <c r="Y401" i="4" s="1"/>
  <c r="X401" i="4"/>
  <c r="AC401" i="4" s="1"/>
  <c r="R401" i="4"/>
  <c r="Z401" i="4" s="1"/>
  <c r="V401" i="4"/>
  <c r="AA401" i="4" s="1"/>
  <c r="U401" i="4"/>
  <c r="AP401" i="4" s="1"/>
  <c r="AV404" i="4"/>
  <c r="AY403" i="4"/>
  <c r="B403" i="4"/>
  <c r="AM403" i="4" l="1"/>
  <c r="AI403" i="4"/>
  <c r="N403" i="4"/>
  <c r="J403" i="4"/>
  <c r="AK403" i="4"/>
  <c r="P403" i="4"/>
  <c r="L403" i="4"/>
  <c r="AH403" i="4"/>
  <c r="F403" i="4"/>
  <c r="O403" i="4"/>
  <c r="AL403" i="4"/>
  <c r="AJ403" i="4"/>
  <c r="M403" i="4"/>
  <c r="K403" i="4"/>
  <c r="V367" i="29"/>
  <c r="W367" i="29" s="1"/>
  <c r="P367" i="29"/>
  <c r="N368" i="29"/>
  <c r="V368" i="29" s="1"/>
  <c r="W368" i="29" s="1"/>
  <c r="Z368" i="29"/>
  <c r="AQ401" i="4"/>
  <c r="AB369" i="29"/>
  <c r="AE401" i="4"/>
  <c r="O369" i="29"/>
  <c r="AD372" i="29"/>
  <c r="B371" i="29"/>
  <c r="AI371" i="29"/>
  <c r="J369" i="29"/>
  <c r="Y369" i="29" s="1"/>
  <c r="Z369" i="29" s="1"/>
  <c r="I369" i="29"/>
  <c r="K369" i="29" s="1"/>
  <c r="AF370" i="29"/>
  <c r="AE370" i="29"/>
  <c r="AA370" i="29" s="1"/>
  <c r="R370" i="29"/>
  <c r="E370" i="29"/>
  <c r="U370" i="29"/>
  <c r="G370" i="29"/>
  <c r="T370" i="29"/>
  <c r="Q370" i="29"/>
  <c r="S370" i="29"/>
  <c r="AD401" i="4"/>
  <c r="AD400" i="4"/>
  <c r="AF402" i="4"/>
  <c r="R402" i="4"/>
  <c r="Z402" i="4" s="1"/>
  <c r="Q402" i="4"/>
  <c r="Y402" i="4" s="1"/>
  <c r="X402" i="4"/>
  <c r="AC402" i="4" s="1"/>
  <c r="W402" i="4"/>
  <c r="AB402" i="4" s="1"/>
  <c r="U402" i="4"/>
  <c r="AP402" i="4" s="1"/>
  <c r="V402" i="4"/>
  <c r="AA402" i="4" s="1"/>
  <c r="AV405" i="4"/>
  <c r="AY404" i="4"/>
  <c r="B404" i="4"/>
  <c r="AW403" i="4"/>
  <c r="AX403" i="4"/>
  <c r="P368" i="29" l="1"/>
  <c r="AK404" i="4"/>
  <c r="P404" i="4"/>
  <c r="L404" i="4"/>
  <c r="AM404" i="4"/>
  <c r="AI404" i="4"/>
  <c r="N404" i="4"/>
  <c r="J404" i="4"/>
  <c r="AJ404" i="4"/>
  <c r="K404" i="4"/>
  <c r="AH404" i="4"/>
  <c r="F404" i="4"/>
  <c r="AL404" i="4"/>
  <c r="O404" i="4"/>
  <c r="M404" i="4"/>
  <c r="AB370" i="29"/>
  <c r="N369" i="29"/>
  <c r="V369" i="29" s="1"/>
  <c r="W369" i="29" s="1"/>
  <c r="AQ402" i="4"/>
  <c r="AE402" i="4"/>
  <c r="I370" i="29"/>
  <c r="K370" i="29" s="1"/>
  <c r="N370" i="29" s="1"/>
  <c r="J370" i="29"/>
  <c r="AE371" i="29"/>
  <c r="AA371" i="29" s="1"/>
  <c r="AF371" i="29"/>
  <c r="O370" i="29"/>
  <c r="Q371" i="29"/>
  <c r="E371" i="29"/>
  <c r="G371" i="29"/>
  <c r="U371" i="29"/>
  <c r="S371" i="29"/>
  <c r="R371" i="29"/>
  <c r="T371" i="29"/>
  <c r="Y370" i="29"/>
  <c r="AI372" i="29"/>
  <c r="AD373" i="29"/>
  <c r="B372" i="29"/>
  <c r="AX404" i="4"/>
  <c r="AW404" i="4"/>
  <c r="AY405" i="4"/>
  <c r="AV406" i="4"/>
  <c r="B405" i="4"/>
  <c r="AF403" i="4"/>
  <c r="X403" i="4"/>
  <c r="AC403" i="4" s="1"/>
  <c r="Q403" i="4"/>
  <c r="Y403" i="4" s="1"/>
  <c r="U403" i="4"/>
  <c r="AP403" i="4" s="1"/>
  <c r="R403" i="4"/>
  <c r="Z403" i="4" s="1"/>
  <c r="V403" i="4"/>
  <c r="AA403" i="4" s="1"/>
  <c r="W403" i="4"/>
  <c r="AB403" i="4" s="1"/>
  <c r="AG400" i="4"/>
  <c r="AN400" i="4"/>
  <c r="AO400" i="4" s="1"/>
  <c r="AN401" i="4"/>
  <c r="AO401" i="4" s="1"/>
  <c r="AG401" i="4"/>
  <c r="P369" i="29" l="1"/>
  <c r="AM405" i="4"/>
  <c r="AI405" i="4"/>
  <c r="N405" i="4"/>
  <c r="J405" i="4"/>
  <c r="AK405" i="4"/>
  <c r="P405" i="4"/>
  <c r="L405" i="4"/>
  <c r="AL405" i="4"/>
  <c r="M405" i="4"/>
  <c r="AJ405" i="4"/>
  <c r="K405" i="4"/>
  <c r="F405" i="4"/>
  <c r="AH405" i="4"/>
  <c r="O405" i="4"/>
  <c r="AB371" i="29"/>
  <c r="AQ403" i="4"/>
  <c r="AE403" i="4"/>
  <c r="B373" i="29"/>
  <c r="AD374" i="29"/>
  <c r="AI373" i="29"/>
  <c r="AE372" i="29"/>
  <c r="AA372" i="29" s="1"/>
  <c r="AF372" i="29"/>
  <c r="O371" i="29"/>
  <c r="Z370" i="29"/>
  <c r="P370" i="29"/>
  <c r="V370" i="29"/>
  <c r="W370" i="29" s="1"/>
  <c r="U372" i="29"/>
  <c r="E372" i="29"/>
  <c r="S372" i="29"/>
  <c r="G372" i="29"/>
  <c r="R372" i="29"/>
  <c r="T372" i="29"/>
  <c r="Q372" i="29"/>
  <c r="J371" i="29"/>
  <c r="Y371" i="29" s="1"/>
  <c r="I371" i="29"/>
  <c r="K371" i="29" s="1"/>
  <c r="AG402" i="4"/>
  <c r="AN402" i="4"/>
  <c r="AO402" i="4" s="1"/>
  <c r="AX405" i="4"/>
  <c r="AW405" i="4"/>
  <c r="AD402" i="4"/>
  <c r="AF404" i="4"/>
  <c r="B406" i="4"/>
  <c r="AV407" i="4"/>
  <c r="AY406" i="4"/>
  <c r="R404" i="4"/>
  <c r="Z404" i="4" s="1"/>
  <c r="V404" i="4"/>
  <c r="AA404" i="4" s="1"/>
  <c r="X404" i="4"/>
  <c r="AC404" i="4" s="1"/>
  <c r="U404" i="4"/>
  <c r="AP404" i="4" s="1"/>
  <c r="Q404" i="4"/>
  <c r="Y404" i="4" s="1"/>
  <c r="W404" i="4"/>
  <c r="AB404" i="4" s="1"/>
  <c r="AB372" i="29" l="1"/>
  <c r="N371" i="29"/>
  <c r="P371" i="29" s="1"/>
  <c r="AQ404" i="4"/>
  <c r="AE404" i="4"/>
  <c r="V371" i="29"/>
  <c r="W371" i="29" s="1"/>
  <c r="O372" i="29"/>
  <c r="Z371" i="29"/>
  <c r="J372" i="29"/>
  <c r="Y372" i="29" s="1"/>
  <c r="I372" i="29"/>
  <c r="AF373" i="29"/>
  <c r="AE373" i="29"/>
  <c r="AA373" i="29" s="1"/>
  <c r="AD375" i="29"/>
  <c r="B374" i="29"/>
  <c r="AI374" i="29"/>
  <c r="S373" i="29"/>
  <c r="R373" i="29"/>
  <c r="U373" i="29"/>
  <c r="T373" i="29"/>
  <c r="G373" i="29"/>
  <c r="E373" i="29"/>
  <c r="Q373" i="29"/>
  <c r="AG403" i="4"/>
  <c r="AN403" i="4"/>
  <c r="AO403" i="4" s="1"/>
  <c r="AF405" i="4"/>
  <c r="P406" i="4"/>
  <c r="M406" i="4"/>
  <c r="L406" i="4"/>
  <c r="AH406" i="4"/>
  <c r="J406" i="4"/>
  <c r="F406" i="4"/>
  <c r="AK406" i="4"/>
  <c r="AI406" i="4"/>
  <c r="O406" i="4"/>
  <c r="AM406" i="4"/>
  <c r="N406" i="4"/>
  <c r="K406" i="4"/>
  <c r="AJ406" i="4"/>
  <c r="AL406" i="4"/>
  <c r="AX406" i="4"/>
  <c r="AW406" i="4"/>
  <c r="B407" i="4"/>
  <c r="AV408" i="4"/>
  <c r="AY407" i="4"/>
  <c r="V405" i="4"/>
  <c r="AA405" i="4" s="1"/>
  <c r="R405" i="4"/>
  <c r="Z405" i="4" s="1"/>
  <c r="Q405" i="4"/>
  <c r="Y405" i="4" s="1"/>
  <c r="X405" i="4"/>
  <c r="AC405" i="4" s="1"/>
  <c r="W405" i="4"/>
  <c r="AB405" i="4" s="1"/>
  <c r="U405" i="4"/>
  <c r="AP405" i="4" s="1"/>
  <c r="AD403" i="4"/>
  <c r="AB373" i="29" l="1"/>
  <c r="K372" i="29"/>
  <c r="N372" i="29" s="1"/>
  <c r="AQ405" i="4"/>
  <c r="AE405" i="4"/>
  <c r="AD376" i="29"/>
  <c r="B375" i="29"/>
  <c r="AI375" i="29"/>
  <c r="O373" i="29"/>
  <c r="J373" i="29"/>
  <c r="Y373" i="29" s="1"/>
  <c r="I373" i="29"/>
  <c r="K373" i="29" s="1"/>
  <c r="AF374" i="29"/>
  <c r="AE374" i="29"/>
  <c r="AA374" i="29" s="1"/>
  <c r="E374" i="29"/>
  <c r="G374" i="29"/>
  <c r="U374" i="29"/>
  <c r="R374" i="29"/>
  <c r="Q374" i="29"/>
  <c r="S374" i="29"/>
  <c r="T374" i="29"/>
  <c r="Z372" i="29"/>
  <c r="AG404" i="4"/>
  <c r="AN404" i="4"/>
  <c r="AO404" i="4" s="1"/>
  <c r="AX407" i="4"/>
  <c r="AW407" i="4"/>
  <c r="AF406" i="4"/>
  <c r="AD404" i="4"/>
  <c r="AY408" i="4"/>
  <c r="AV409" i="4"/>
  <c r="B408" i="4"/>
  <c r="K407" i="4"/>
  <c r="AJ407" i="4"/>
  <c r="AH407" i="4"/>
  <c r="O407" i="4"/>
  <c r="AL407" i="4"/>
  <c r="L407" i="4"/>
  <c r="AK407" i="4"/>
  <c r="J407" i="4"/>
  <c r="N407" i="4"/>
  <c r="AI407" i="4"/>
  <c r="M407" i="4"/>
  <c r="F407" i="4"/>
  <c r="P407" i="4"/>
  <c r="AM407" i="4"/>
  <c r="Q406" i="4"/>
  <c r="Y406" i="4" s="1"/>
  <c r="V406" i="4"/>
  <c r="AA406" i="4" s="1"/>
  <c r="U406" i="4"/>
  <c r="AP406" i="4" s="1"/>
  <c r="W406" i="4"/>
  <c r="AB406" i="4" s="1"/>
  <c r="R406" i="4"/>
  <c r="Z406" i="4" s="1"/>
  <c r="X406" i="4"/>
  <c r="AC406" i="4" s="1"/>
  <c r="V372" i="29" l="1"/>
  <c r="W372" i="29" s="1"/>
  <c r="P372" i="29"/>
  <c r="AB374" i="29"/>
  <c r="N373" i="29"/>
  <c r="AQ406" i="4"/>
  <c r="AE406" i="4"/>
  <c r="U375" i="29"/>
  <c r="E375" i="29"/>
  <c r="G375" i="29"/>
  <c r="R375" i="29"/>
  <c r="Q375" i="29"/>
  <c r="T375" i="29"/>
  <c r="S375" i="29"/>
  <c r="J374" i="29"/>
  <c r="Y374" i="29" s="1"/>
  <c r="I374" i="29"/>
  <c r="K374" i="29" s="1"/>
  <c r="P373" i="29"/>
  <c r="V373" i="29"/>
  <c r="W373" i="29" s="1"/>
  <c r="Z373" i="29"/>
  <c r="B376" i="29"/>
  <c r="AD377" i="29"/>
  <c r="AI376" i="29"/>
  <c r="O374" i="29"/>
  <c r="AE375" i="29"/>
  <c r="AA375" i="29" s="1"/>
  <c r="AF375" i="29"/>
  <c r="AN405" i="4"/>
  <c r="AO405" i="4" s="1"/>
  <c r="AG405" i="4"/>
  <c r="AL408" i="4"/>
  <c r="M408" i="4"/>
  <c r="N408" i="4"/>
  <c r="AM408" i="4"/>
  <c r="AJ408" i="4"/>
  <c r="O408" i="4"/>
  <c r="L408" i="4"/>
  <c r="F408" i="4"/>
  <c r="AI408" i="4"/>
  <c r="J408" i="4"/>
  <c r="P408" i="4"/>
  <c r="AK408" i="4"/>
  <c r="AH408" i="4"/>
  <c r="K408" i="4"/>
  <c r="W407" i="4"/>
  <c r="AB407" i="4" s="1"/>
  <c r="Q407" i="4"/>
  <c r="Y407" i="4" s="1"/>
  <c r="R407" i="4"/>
  <c r="Z407" i="4" s="1"/>
  <c r="X407" i="4"/>
  <c r="AC407" i="4" s="1"/>
  <c r="U407" i="4"/>
  <c r="AP407" i="4" s="1"/>
  <c r="V407" i="4"/>
  <c r="AA407" i="4" s="1"/>
  <c r="AF407" i="4"/>
  <c r="AY409" i="4"/>
  <c r="B409" i="4"/>
  <c r="AV410" i="4"/>
  <c r="AD405" i="4"/>
  <c r="AX408" i="4"/>
  <c r="AW408" i="4"/>
  <c r="N374" i="29" l="1"/>
  <c r="AQ407" i="4"/>
  <c r="AB375" i="29"/>
  <c r="AE407" i="4"/>
  <c r="Z374" i="29"/>
  <c r="R376" i="29"/>
  <c r="U376" i="29"/>
  <c r="G376" i="29"/>
  <c r="T376" i="29"/>
  <c r="S376" i="29"/>
  <c r="E376" i="29"/>
  <c r="Q376" i="29"/>
  <c r="I375" i="29"/>
  <c r="J375" i="29"/>
  <c r="Y375" i="29" s="1"/>
  <c r="AE376" i="29"/>
  <c r="AA376" i="29" s="1"/>
  <c r="AF376" i="29"/>
  <c r="V374" i="29"/>
  <c r="W374" i="29" s="1"/>
  <c r="P374" i="29"/>
  <c r="AD378" i="29"/>
  <c r="AI377" i="29"/>
  <c r="B377" i="29"/>
  <c r="O375" i="29"/>
  <c r="AG406" i="4"/>
  <c r="AN406" i="4"/>
  <c r="AO406" i="4" s="1"/>
  <c r="W408" i="4"/>
  <c r="AB408" i="4" s="1"/>
  <c r="U408" i="4"/>
  <c r="X408" i="4"/>
  <c r="AC408" i="4" s="1"/>
  <c r="V408" i="4"/>
  <c r="AA408" i="4" s="1"/>
  <c r="Q408" i="4"/>
  <c r="Y408" i="4" s="1"/>
  <c r="R408" i="4"/>
  <c r="Z408" i="4" s="1"/>
  <c r="K409" i="4"/>
  <c r="AI409" i="4"/>
  <c r="M409" i="4"/>
  <c r="F409" i="4"/>
  <c r="N409" i="4"/>
  <c r="AK409" i="4"/>
  <c r="AH409" i="4"/>
  <c r="L409" i="4"/>
  <c r="J409" i="4"/>
  <c r="O409" i="4"/>
  <c r="AM409" i="4"/>
  <c r="AL409" i="4"/>
  <c r="AJ409" i="4"/>
  <c r="P409" i="4"/>
  <c r="AX409" i="4"/>
  <c r="AW409" i="4"/>
  <c r="AP408" i="4"/>
  <c r="AF408" i="4"/>
  <c r="AD406" i="4"/>
  <c r="B410" i="4"/>
  <c r="AV411" i="4"/>
  <c r="AY410" i="4"/>
  <c r="AD407" i="4"/>
  <c r="AB376" i="29" l="1"/>
  <c r="K375" i="29"/>
  <c r="N375" i="29" s="1"/>
  <c r="AQ408" i="4"/>
  <c r="AE408" i="4"/>
  <c r="AD379" i="29"/>
  <c r="B378" i="29"/>
  <c r="AI378" i="29"/>
  <c r="O376" i="29"/>
  <c r="Z375" i="29"/>
  <c r="T377" i="29"/>
  <c r="S377" i="29"/>
  <c r="R377" i="29"/>
  <c r="U377" i="29"/>
  <c r="G377" i="29"/>
  <c r="E377" i="29"/>
  <c r="Q377" i="29"/>
  <c r="AE377" i="29"/>
  <c r="AA377" i="29" s="1"/>
  <c r="AF377" i="29"/>
  <c r="J376" i="29"/>
  <c r="Y376" i="29" s="1"/>
  <c r="I376" i="29"/>
  <c r="AX410" i="4"/>
  <c r="AW410" i="4"/>
  <c r="AY411" i="4"/>
  <c r="AV412" i="4"/>
  <c r="B411" i="4"/>
  <c r="U409" i="4"/>
  <c r="AP409" i="4" s="1"/>
  <c r="R409" i="4"/>
  <c r="Z409" i="4" s="1"/>
  <c r="Q409" i="4"/>
  <c r="Y409" i="4" s="1"/>
  <c r="W409" i="4"/>
  <c r="AB409" i="4" s="1"/>
  <c r="V409" i="4"/>
  <c r="AA409" i="4" s="1"/>
  <c r="X409" i="4"/>
  <c r="AC409" i="4" s="1"/>
  <c r="AI410" i="4"/>
  <c r="L410" i="4"/>
  <c r="AL410" i="4"/>
  <c r="K410" i="4"/>
  <c r="O410" i="4"/>
  <c r="F410" i="4"/>
  <c r="J410" i="4"/>
  <c r="M410" i="4"/>
  <c r="AK410" i="4"/>
  <c r="P410" i="4"/>
  <c r="AJ410" i="4"/>
  <c r="N410" i="4"/>
  <c r="AM410" i="4"/>
  <c r="AH410" i="4"/>
  <c r="AF409" i="4"/>
  <c r="V375" i="29" l="1"/>
  <c r="W375" i="29" s="1"/>
  <c r="P375" i="29"/>
  <c r="AB377" i="29"/>
  <c r="K376" i="29"/>
  <c r="N376" i="29" s="1"/>
  <c r="AQ409" i="4"/>
  <c r="AE409" i="4"/>
  <c r="B379" i="29"/>
  <c r="AI379" i="29"/>
  <c r="AD380" i="29"/>
  <c r="AE378" i="29"/>
  <c r="AA378" i="29" s="1"/>
  <c r="AF378" i="29"/>
  <c r="I377" i="29"/>
  <c r="J377" i="29"/>
  <c r="Y377" i="29" s="1"/>
  <c r="O377" i="29"/>
  <c r="Z376" i="29"/>
  <c r="G378" i="29"/>
  <c r="U378" i="29"/>
  <c r="Q378" i="29"/>
  <c r="R378" i="29"/>
  <c r="T378" i="29"/>
  <c r="E378" i="29"/>
  <c r="S378" i="29"/>
  <c r="AG408" i="4"/>
  <c r="AN408" i="4"/>
  <c r="AO408" i="4" s="1"/>
  <c r="AG407" i="4"/>
  <c r="AN407" i="4"/>
  <c r="AO407" i="4" s="1"/>
  <c r="J411" i="4"/>
  <c r="AL411" i="4"/>
  <c r="N411" i="4"/>
  <c r="L411" i="4"/>
  <c r="K411" i="4"/>
  <c r="AK411" i="4"/>
  <c r="AM411" i="4"/>
  <c r="AH411" i="4"/>
  <c r="P411" i="4"/>
  <c r="F411" i="4"/>
  <c r="AI411" i="4"/>
  <c r="O411" i="4"/>
  <c r="AJ411" i="4"/>
  <c r="M411" i="4"/>
  <c r="AD409" i="4"/>
  <c r="AY412" i="4"/>
  <c r="AV413" i="4"/>
  <c r="B412" i="4"/>
  <c r="AF410" i="4"/>
  <c r="AX411" i="4"/>
  <c r="AW411" i="4"/>
  <c r="AD408" i="4"/>
  <c r="R410" i="4"/>
  <c r="Z410" i="4" s="1"/>
  <c r="X410" i="4"/>
  <c r="AC410" i="4" s="1"/>
  <c r="U410" i="4"/>
  <c r="AP410" i="4" s="1"/>
  <c r="V410" i="4"/>
  <c r="AA410" i="4" s="1"/>
  <c r="Q410" i="4"/>
  <c r="Y410" i="4" s="1"/>
  <c r="W410" i="4"/>
  <c r="AB410" i="4" s="1"/>
  <c r="P376" i="29" l="1"/>
  <c r="V376" i="29"/>
  <c r="W376" i="29" s="1"/>
  <c r="AB378" i="29"/>
  <c r="K377" i="29"/>
  <c r="N377" i="29" s="1"/>
  <c r="AQ410" i="4"/>
  <c r="AE410" i="4"/>
  <c r="Z377" i="29"/>
  <c r="T379" i="29"/>
  <c r="E379" i="29"/>
  <c r="G379" i="29"/>
  <c r="U379" i="29"/>
  <c r="R379" i="29"/>
  <c r="S379" i="29"/>
  <c r="Q379" i="29"/>
  <c r="J378" i="29"/>
  <c r="Y378" i="29" s="1"/>
  <c r="I378" i="29"/>
  <c r="K378" i="29" s="1"/>
  <c r="AD381" i="29"/>
  <c r="AI380" i="29"/>
  <c r="B380" i="29"/>
  <c r="O378" i="29"/>
  <c r="AF379" i="29"/>
  <c r="AE379" i="29"/>
  <c r="AA379" i="29" s="1"/>
  <c r="AG409" i="4"/>
  <c r="AD410" i="4"/>
  <c r="O412" i="4"/>
  <c r="F412" i="4"/>
  <c r="AK412" i="4"/>
  <c r="P412" i="4"/>
  <c r="AH412" i="4"/>
  <c r="AJ412" i="4"/>
  <c r="M412" i="4"/>
  <c r="N412" i="4"/>
  <c r="J412" i="4"/>
  <c r="AM412" i="4"/>
  <c r="AL412" i="4"/>
  <c r="K412" i="4"/>
  <c r="L412" i="4"/>
  <c r="AI412" i="4"/>
  <c r="AF411" i="4"/>
  <c r="R411" i="4"/>
  <c r="Z411" i="4" s="1"/>
  <c r="Q411" i="4"/>
  <c r="Y411" i="4" s="1"/>
  <c r="W411" i="4"/>
  <c r="AB411" i="4" s="1"/>
  <c r="U411" i="4"/>
  <c r="AP411" i="4" s="1"/>
  <c r="V411" i="4"/>
  <c r="AA411" i="4" s="1"/>
  <c r="X411" i="4"/>
  <c r="AC411" i="4" s="1"/>
  <c r="B413" i="4"/>
  <c r="AV414" i="4"/>
  <c r="AY413" i="4"/>
  <c r="AX412" i="4"/>
  <c r="AW412" i="4"/>
  <c r="P377" i="29" l="1"/>
  <c r="V377" i="29"/>
  <c r="W377" i="29" s="1"/>
  <c r="N378" i="29"/>
  <c r="AQ411" i="4"/>
  <c r="AB379" i="29"/>
  <c r="AE411" i="4"/>
  <c r="Z378" i="29"/>
  <c r="AI381" i="29"/>
  <c r="AD382" i="29"/>
  <c r="B381" i="29"/>
  <c r="J379" i="29"/>
  <c r="Y379" i="29" s="1"/>
  <c r="I379" i="29"/>
  <c r="K379" i="29" s="1"/>
  <c r="E380" i="29"/>
  <c r="T380" i="29"/>
  <c r="G380" i="29"/>
  <c r="U380" i="29"/>
  <c r="R380" i="29"/>
  <c r="S380" i="29"/>
  <c r="Q380" i="29"/>
  <c r="O379" i="29"/>
  <c r="P378" i="29"/>
  <c r="V378" i="29"/>
  <c r="W378" i="29" s="1"/>
  <c r="AF380" i="29"/>
  <c r="AE380" i="29"/>
  <c r="AA380" i="29" s="1"/>
  <c r="AG410" i="4"/>
  <c r="AN409" i="4"/>
  <c r="AO409" i="4" s="1"/>
  <c r="AN410" i="4"/>
  <c r="AO410" i="4" s="1"/>
  <c r="AX413" i="4"/>
  <c r="AW413" i="4"/>
  <c r="V412" i="4"/>
  <c r="AA412" i="4" s="1"/>
  <c r="U412" i="4"/>
  <c r="AP412" i="4" s="1"/>
  <c r="Q412" i="4"/>
  <c r="Y412" i="4" s="1"/>
  <c r="X412" i="4"/>
  <c r="AC412" i="4" s="1"/>
  <c r="W412" i="4"/>
  <c r="AB412" i="4" s="1"/>
  <c r="R412" i="4"/>
  <c r="Z412" i="4" s="1"/>
  <c r="AY414" i="4"/>
  <c r="B414" i="4"/>
  <c r="AV415" i="4"/>
  <c r="M413" i="4"/>
  <c r="N413" i="4"/>
  <c r="O413" i="4"/>
  <c r="P413" i="4"/>
  <c r="AK413" i="4"/>
  <c r="AJ413" i="4"/>
  <c r="AI413" i="4"/>
  <c r="F413" i="4"/>
  <c r="K413" i="4"/>
  <c r="AL413" i="4"/>
  <c r="AH413" i="4"/>
  <c r="J413" i="4"/>
  <c r="L413" i="4"/>
  <c r="AM413" i="4"/>
  <c r="AF412" i="4"/>
  <c r="N379" i="29" l="1"/>
  <c r="AQ412" i="4"/>
  <c r="AB380" i="29"/>
  <c r="AE412" i="4"/>
  <c r="I380" i="29"/>
  <c r="J380" i="29"/>
  <c r="Y380" i="29" s="1"/>
  <c r="P379" i="29"/>
  <c r="V379" i="29"/>
  <c r="W379" i="29" s="1"/>
  <c r="AD383" i="29"/>
  <c r="AI382" i="29"/>
  <c r="B382" i="29"/>
  <c r="U381" i="29"/>
  <c r="E381" i="29"/>
  <c r="S381" i="29"/>
  <c r="G381" i="29"/>
  <c r="T381" i="29"/>
  <c r="Q381" i="29"/>
  <c r="R381" i="29"/>
  <c r="AE381" i="29"/>
  <c r="AA381" i="29" s="1"/>
  <c r="AF381" i="29"/>
  <c r="Z379" i="29"/>
  <c r="O380" i="29"/>
  <c r="AD411" i="4"/>
  <c r="AG411" i="4"/>
  <c r="AN411" i="4"/>
  <c r="AO411" i="4" s="1"/>
  <c r="AV416" i="4"/>
  <c r="AY415" i="4"/>
  <c r="B415" i="4"/>
  <c r="V413" i="4"/>
  <c r="AA413" i="4" s="1"/>
  <c r="U413" i="4"/>
  <c r="AP413" i="4" s="1"/>
  <c r="R413" i="4"/>
  <c r="Z413" i="4" s="1"/>
  <c r="X413" i="4"/>
  <c r="AC413" i="4" s="1"/>
  <c r="W413" i="4"/>
  <c r="AB413" i="4" s="1"/>
  <c r="Q413" i="4"/>
  <c r="Y413" i="4" s="1"/>
  <c r="AF413" i="4"/>
  <c r="P414" i="4"/>
  <c r="J414" i="4"/>
  <c r="AM414" i="4"/>
  <c r="M414" i="4"/>
  <c r="AI414" i="4"/>
  <c r="AL414" i="4"/>
  <c r="AH414" i="4"/>
  <c r="L414" i="4"/>
  <c r="K414" i="4"/>
  <c r="O414" i="4"/>
  <c r="AK414" i="4"/>
  <c r="N414" i="4"/>
  <c r="AJ414" i="4"/>
  <c r="F414" i="4"/>
  <c r="AD412" i="4"/>
  <c r="AX414" i="4"/>
  <c r="AW414" i="4"/>
  <c r="K380" i="29" l="1"/>
  <c r="N380" i="29" s="1"/>
  <c r="AQ413" i="4"/>
  <c r="AB381" i="29"/>
  <c r="AE413" i="4"/>
  <c r="O381" i="29"/>
  <c r="AF382" i="29"/>
  <c r="AE382" i="29"/>
  <c r="AA382" i="29" s="1"/>
  <c r="AD384" i="29"/>
  <c r="B383" i="29"/>
  <c r="AI383" i="29"/>
  <c r="J381" i="29"/>
  <c r="Y381" i="29" s="1"/>
  <c r="I381" i="29"/>
  <c r="Z380" i="29"/>
  <c r="E382" i="29"/>
  <c r="U382" i="29"/>
  <c r="Q382" i="29"/>
  <c r="R382" i="29"/>
  <c r="S382" i="29"/>
  <c r="T382" i="29"/>
  <c r="G382" i="29"/>
  <c r="AX415" i="4"/>
  <c r="AW415" i="4"/>
  <c r="AF414" i="4"/>
  <c r="AV417" i="4"/>
  <c r="B416" i="4"/>
  <c r="AY416" i="4"/>
  <c r="AD413" i="4"/>
  <c r="Q414" i="4"/>
  <c r="Y414" i="4" s="1"/>
  <c r="X414" i="4"/>
  <c r="AC414" i="4" s="1"/>
  <c r="U414" i="4"/>
  <c r="AP414" i="4" s="1"/>
  <c r="W414" i="4"/>
  <c r="AB414" i="4" s="1"/>
  <c r="R414" i="4"/>
  <c r="Z414" i="4" s="1"/>
  <c r="V414" i="4"/>
  <c r="AA414" i="4" s="1"/>
  <c r="AJ415" i="4"/>
  <c r="AH415" i="4"/>
  <c r="P415" i="4"/>
  <c r="J415" i="4"/>
  <c r="AM415" i="4"/>
  <c r="AL415" i="4"/>
  <c r="K415" i="4"/>
  <c r="AK415" i="4"/>
  <c r="AI415" i="4"/>
  <c r="F415" i="4"/>
  <c r="N415" i="4"/>
  <c r="L415" i="4"/>
  <c r="O415" i="4"/>
  <c r="M415" i="4"/>
  <c r="P380" i="29" l="1"/>
  <c r="V380" i="29"/>
  <c r="W380" i="29" s="1"/>
  <c r="AB382" i="29"/>
  <c r="K381" i="29"/>
  <c r="N381" i="29" s="1"/>
  <c r="AQ414" i="4"/>
  <c r="AE414" i="4"/>
  <c r="O382" i="29"/>
  <c r="J382" i="29"/>
  <c r="Y382" i="29" s="1"/>
  <c r="I382" i="29"/>
  <c r="AD385" i="29"/>
  <c r="AI384" i="29"/>
  <c r="B384" i="29"/>
  <c r="AF383" i="29"/>
  <c r="AE383" i="29"/>
  <c r="AA383" i="29" s="1"/>
  <c r="G383" i="29"/>
  <c r="E383" i="29"/>
  <c r="T383" i="29"/>
  <c r="S383" i="29"/>
  <c r="R383" i="29"/>
  <c r="Q383" i="29"/>
  <c r="U383" i="29"/>
  <c r="Z381" i="29"/>
  <c r="L854" i="7"/>
  <c r="AW416" i="4"/>
  <c r="AX416" i="4"/>
  <c r="AF415" i="4"/>
  <c r="AN412" i="4"/>
  <c r="AO412" i="4" s="1"/>
  <c r="AG412" i="4"/>
  <c r="J416" i="4"/>
  <c r="O416" i="4"/>
  <c r="K416" i="4"/>
  <c r="AL416" i="4"/>
  <c r="AI416" i="4"/>
  <c r="F416" i="4"/>
  <c r="M416" i="4"/>
  <c r="AJ416" i="4"/>
  <c r="AK416" i="4"/>
  <c r="AM416" i="4"/>
  <c r="L416" i="4"/>
  <c r="N416" i="4"/>
  <c r="P416" i="4"/>
  <c r="AH416" i="4"/>
  <c r="AG413" i="4"/>
  <c r="AN413" i="4"/>
  <c r="AO413" i="4" s="1"/>
  <c r="AV421" i="4"/>
  <c r="B417" i="4"/>
  <c r="AV418" i="4"/>
  <c r="AY417" i="4"/>
  <c r="R415" i="4"/>
  <c r="Z415" i="4" s="1"/>
  <c r="U415" i="4"/>
  <c r="AP415" i="4" s="1"/>
  <c r="V415" i="4"/>
  <c r="AA415" i="4" s="1"/>
  <c r="Q415" i="4"/>
  <c r="Y415" i="4" s="1"/>
  <c r="W415" i="4"/>
  <c r="AB415" i="4" s="1"/>
  <c r="X415" i="4"/>
  <c r="AC415" i="4" s="1"/>
  <c r="P381" i="29" l="1"/>
  <c r="V381" i="29"/>
  <c r="W381" i="29" s="1"/>
  <c r="K382" i="29"/>
  <c r="N382" i="29" s="1"/>
  <c r="AB383" i="29"/>
  <c r="AQ415" i="4"/>
  <c r="AE415" i="4"/>
  <c r="O383" i="29"/>
  <c r="J383" i="29"/>
  <c r="Y383" i="29" s="1"/>
  <c r="I383" i="29"/>
  <c r="AE384" i="29"/>
  <c r="AA384" i="29" s="1"/>
  <c r="AF384" i="29"/>
  <c r="Z382" i="29"/>
  <c r="AD386" i="29"/>
  <c r="B385" i="29"/>
  <c r="AI385" i="29"/>
  <c r="R384" i="29"/>
  <c r="U384" i="29"/>
  <c r="T384" i="29"/>
  <c r="Q384" i="29"/>
  <c r="G384" i="29"/>
  <c r="E384" i="29"/>
  <c r="S384" i="29"/>
  <c r="AN414" i="4"/>
  <c r="AO414" i="4" s="1"/>
  <c r="AG414" i="4"/>
  <c r="AJ417" i="4"/>
  <c r="AH417" i="4"/>
  <c r="N417" i="4"/>
  <c r="J417" i="4"/>
  <c r="AM417" i="4"/>
  <c r="AL417" i="4"/>
  <c r="L417" i="4"/>
  <c r="AK417" i="4"/>
  <c r="O417" i="4"/>
  <c r="AI417" i="4"/>
  <c r="K417" i="4"/>
  <c r="F417" i="4"/>
  <c r="P417" i="4"/>
  <c r="M417" i="4"/>
  <c r="AY421" i="4"/>
  <c r="B421" i="4"/>
  <c r="Q416" i="4"/>
  <c r="Y416" i="4" s="1"/>
  <c r="V416" i="4"/>
  <c r="AA416" i="4" s="1"/>
  <c r="U416" i="4"/>
  <c r="AP416" i="4" s="1"/>
  <c r="R416" i="4"/>
  <c r="Z416" i="4" s="1"/>
  <c r="X416" i="4"/>
  <c r="AC416" i="4" s="1"/>
  <c r="W416" i="4"/>
  <c r="AB416" i="4" s="1"/>
  <c r="AX417" i="4"/>
  <c r="AW417" i="4"/>
  <c r="AF416" i="4"/>
  <c r="AD414" i="4"/>
  <c r="AV422" i="4"/>
  <c r="B418" i="4"/>
  <c r="AV419" i="4"/>
  <c r="AY418" i="4"/>
  <c r="P382" i="29" l="1"/>
  <c r="V382" i="29"/>
  <c r="W382" i="29" s="1"/>
  <c r="AB384" i="29"/>
  <c r="K383" i="29"/>
  <c r="N383" i="29" s="1"/>
  <c r="AQ416" i="4"/>
  <c r="AE416" i="4"/>
  <c r="O384" i="29"/>
  <c r="AF385" i="29"/>
  <c r="AE385" i="29"/>
  <c r="AA385" i="29" s="1"/>
  <c r="J384" i="29"/>
  <c r="Y384" i="29" s="1"/>
  <c r="I384" i="29"/>
  <c r="B386" i="29"/>
  <c r="AI386" i="29"/>
  <c r="AD387" i="29"/>
  <c r="E385" i="29"/>
  <c r="G385" i="29"/>
  <c r="S385" i="29"/>
  <c r="U385" i="29"/>
  <c r="R385" i="29"/>
  <c r="Q385" i="29"/>
  <c r="T385" i="29"/>
  <c r="Z383" i="29"/>
  <c r="AG415" i="4"/>
  <c r="AV423" i="4"/>
  <c r="AV420" i="4"/>
  <c r="B419" i="4"/>
  <c r="AY419" i="4"/>
  <c r="AJ418" i="4"/>
  <c r="AI418" i="4"/>
  <c r="L418" i="4"/>
  <c r="K418" i="4"/>
  <c r="P418" i="4"/>
  <c r="J418" i="4"/>
  <c r="M418" i="4"/>
  <c r="O418" i="4"/>
  <c r="F418" i="4"/>
  <c r="N418" i="4"/>
  <c r="AM418" i="4"/>
  <c r="AK418" i="4"/>
  <c r="AH418" i="4"/>
  <c r="AL418" i="4"/>
  <c r="B422" i="4"/>
  <c r="AY422" i="4"/>
  <c r="AD415" i="4"/>
  <c r="AJ421" i="4"/>
  <c r="N421" i="4"/>
  <c r="AH421" i="4"/>
  <c r="AL421" i="4"/>
  <c r="AM421" i="4"/>
  <c r="K421" i="4"/>
  <c r="F421" i="4"/>
  <c r="M421" i="4"/>
  <c r="AK421" i="4"/>
  <c r="J421" i="4"/>
  <c r="O421" i="4"/>
  <c r="P421" i="4"/>
  <c r="L421" i="4"/>
  <c r="AI421" i="4"/>
  <c r="AW418" i="4"/>
  <c r="AX418" i="4"/>
  <c r="U417" i="4"/>
  <c r="AP417" i="4" s="1"/>
  <c r="V417" i="4"/>
  <c r="AA417" i="4" s="1"/>
  <c r="R417" i="4"/>
  <c r="Z417" i="4" s="1"/>
  <c r="X417" i="4"/>
  <c r="AC417" i="4" s="1"/>
  <c r="Q417" i="4"/>
  <c r="Y417" i="4" s="1"/>
  <c r="W417" i="4"/>
  <c r="AB417" i="4" s="1"/>
  <c r="AW421" i="4"/>
  <c r="AX421" i="4"/>
  <c r="AF417" i="4"/>
  <c r="AK419" i="4" l="1"/>
  <c r="P419" i="4"/>
  <c r="L419" i="4"/>
  <c r="AM419" i="4"/>
  <c r="AI419" i="4"/>
  <c r="N419" i="4"/>
  <c r="J419" i="4"/>
  <c r="O419" i="4"/>
  <c r="AL419" i="4"/>
  <c r="M419" i="4"/>
  <c r="K419" i="4"/>
  <c r="F419" i="4"/>
  <c r="AJ419" i="4"/>
  <c r="AH419" i="4"/>
  <c r="P383" i="29"/>
  <c r="V383" i="29"/>
  <c r="W383" i="29" s="1"/>
  <c r="AB385" i="29"/>
  <c r="K384" i="29"/>
  <c r="N384" i="29" s="1"/>
  <c r="Z384" i="29"/>
  <c r="AQ417" i="4"/>
  <c r="AE417" i="4"/>
  <c r="AN415" i="4"/>
  <c r="AO415" i="4" s="1"/>
  <c r="L855" i="7"/>
  <c r="AD416" i="4"/>
  <c r="AF386" i="29"/>
  <c r="AE386" i="29"/>
  <c r="AA386" i="29" s="1"/>
  <c r="E386" i="29"/>
  <c r="Q386" i="29"/>
  <c r="U386" i="29"/>
  <c r="R386" i="29"/>
  <c r="G386" i="29"/>
  <c r="T386" i="29"/>
  <c r="S386" i="29"/>
  <c r="O385" i="29"/>
  <c r="AI387" i="29"/>
  <c r="B387" i="29"/>
  <c r="AD388" i="29"/>
  <c r="I385" i="29"/>
  <c r="K385" i="29" s="1"/>
  <c r="J385" i="29"/>
  <c r="Y385" i="29" s="1"/>
  <c r="AN416" i="4"/>
  <c r="AO416" i="4" s="1"/>
  <c r="AG416" i="4"/>
  <c r="U421" i="4"/>
  <c r="AP421" i="4" s="1"/>
  <c r="V421" i="4"/>
  <c r="AA421" i="4" s="1"/>
  <c r="W421" i="4"/>
  <c r="AB421" i="4" s="1"/>
  <c r="X421" i="4"/>
  <c r="AC421" i="4" s="1"/>
  <c r="Q421" i="4"/>
  <c r="Y421" i="4" s="1"/>
  <c r="R421" i="4"/>
  <c r="Z421" i="4" s="1"/>
  <c r="R418" i="4"/>
  <c r="Z418" i="4" s="1"/>
  <c r="Q418" i="4"/>
  <c r="Y418" i="4" s="1"/>
  <c r="X418" i="4"/>
  <c r="AC418" i="4" s="1"/>
  <c r="V418" i="4"/>
  <c r="AA418" i="4" s="1"/>
  <c r="W418" i="4"/>
  <c r="AB418" i="4" s="1"/>
  <c r="U418" i="4"/>
  <c r="AP418" i="4" s="1"/>
  <c r="AF421" i="4"/>
  <c r="AJ422" i="4"/>
  <c r="F422" i="4"/>
  <c r="M422" i="4"/>
  <c r="O422" i="4"/>
  <c r="AI422" i="4"/>
  <c r="AM422" i="4"/>
  <c r="N422" i="4"/>
  <c r="AL422" i="4"/>
  <c r="P422" i="4"/>
  <c r="K422" i="4"/>
  <c r="L422" i="4"/>
  <c r="AH422" i="4"/>
  <c r="J422" i="4"/>
  <c r="AK422" i="4"/>
  <c r="B420" i="4"/>
  <c r="AV424" i="4"/>
  <c r="AY420" i="4"/>
  <c r="B423" i="4"/>
  <c r="AY423" i="4"/>
  <c r="AW422" i="4"/>
  <c r="AX422" i="4"/>
  <c r="AF418" i="4"/>
  <c r="AX419" i="4"/>
  <c r="AW419" i="4"/>
  <c r="AM420" i="4" l="1"/>
  <c r="AI420" i="4"/>
  <c r="N420" i="4"/>
  <c r="J420" i="4"/>
  <c r="AK420" i="4"/>
  <c r="P420" i="4"/>
  <c r="L420" i="4"/>
  <c r="AH420" i="4"/>
  <c r="F420" i="4"/>
  <c r="O420" i="4"/>
  <c r="M420" i="4"/>
  <c r="K420" i="4"/>
  <c r="AL420" i="4"/>
  <c r="AJ420" i="4"/>
  <c r="P384" i="29"/>
  <c r="V384" i="29"/>
  <c r="W384" i="29" s="1"/>
  <c r="AB386" i="29"/>
  <c r="N385" i="29"/>
  <c r="V385" i="29" s="1"/>
  <c r="W385" i="29" s="1"/>
  <c r="AQ421" i="4"/>
  <c r="AQ418" i="4"/>
  <c r="AE421" i="4"/>
  <c r="AE418" i="4"/>
  <c r="AF387" i="29"/>
  <c r="AE387" i="29"/>
  <c r="AA387" i="29" s="1"/>
  <c r="I386" i="29"/>
  <c r="K386" i="29" s="1"/>
  <c r="J386" i="29"/>
  <c r="Y386" i="29" s="1"/>
  <c r="E387" i="29"/>
  <c r="R387" i="29"/>
  <c r="T387" i="29"/>
  <c r="U387" i="29"/>
  <c r="G387" i="29"/>
  <c r="Q387" i="29"/>
  <c r="S387" i="29"/>
  <c r="Z385" i="29"/>
  <c r="AD421" i="4"/>
  <c r="AI388" i="29"/>
  <c r="B388" i="29"/>
  <c r="AD389" i="29"/>
  <c r="O386" i="29"/>
  <c r="AN417" i="4"/>
  <c r="AO417" i="4" s="1"/>
  <c r="AG417" i="4"/>
  <c r="AW423" i="4"/>
  <c r="AX423" i="4"/>
  <c r="AV425" i="4"/>
  <c r="B424" i="4"/>
  <c r="AY424" i="4"/>
  <c r="V419" i="4"/>
  <c r="AA419" i="4" s="1"/>
  <c r="U419" i="4"/>
  <c r="Q419" i="4"/>
  <c r="Y419" i="4" s="1"/>
  <c r="R419" i="4"/>
  <c r="Z419" i="4" s="1"/>
  <c r="W419" i="4"/>
  <c r="AB419" i="4" s="1"/>
  <c r="X419" i="4"/>
  <c r="AC419" i="4" s="1"/>
  <c r="U422" i="4"/>
  <c r="V422" i="4"/>
  <c r="AA422" i="4" s="1"/>
  <c r="Q422" i="4"/>
  <c r="Y422" i="4" s="1"/>
  <c r="W422" i="4"/>
  <c r="AB422" i="4" s="1"/>
  <c r="X422" i="4"/>
  <c r="AC422" i="4" s="1"/>
  <c r="R422" i="4"/>
  <c r="Z422" i="4" s="1"/>
  <c r="AI423" i="4"/>
  <c r="O423" i="4"/>
  <c r="AM423" i="4"/>
  <c r="K423" i="4"/>
  <c r="N423" i="4"/>
  <c r="AH423" i="4"/>
  <c r="AL423" i="4"/>
  <c r="J423" i="4"/>
  <c r="M423" i="4"/>
  <c r="P423" i="4"/>
  <c r="AJ423" i="4"/>
  <c r="L423" i="4"/>
  <c r="F423" i="4"/>
  <c r="AK423" i="4"/>
  <c r="AP422" i="4"/>
  <c r="AD417" i="4"/>
  <c r="AF419" i="4"/>
  <c r="AP419" i="4"/>
  <c r="AX420" i="4"/>
  <c r="AW420" i="4"/>
  <c r="AF422" i="4"/>
  <c r="P385" i="29" l="1"/>
  <c r="AB387" i="29"/>
  <c r="N386" i="29"/>
  <c r="P386" i="29" s="1"/>
  <c r="AQ422" i="4"/>
  <c r="AQ419" i="4"/>
  <c r="AE419" i="4"/>
  <c r="AE422" i="4"/>
  <c r="B389" i="29"/>
  <c r="AD390" i="29"/>
  <c r="AI389" i="29"/>
  <c r="V386" i="29"/>
  <c r="W386" i="29" s="1"/>
  <c r="Q388" i="29"/>
  <c r="E388" i="29"/>
  <c r="G388" i="29"/>
  <c r="R388" i="29"/>
  <c r="T388" i="29"/>
  <c r="S388" i="29"/>
  <c r="U388" i="29"/>
  <c r="AF388" i="29"/>
  <c r="AE388" i="29"/>
  <c r="AA388" i="29" s="1"/>
  <c r="J387" i="29"/>
  <c r="Y387" i="29" s="1"/>
  <c r="I387" i="29"/>
  <c r="Z386" i="29"/>
  <c r="O387" i="29"/>
  <c r="AN418" i="4"/>
  <c r="AO418" i="4" s="1"/>
  <c r="AG418" i="4"/>
  <c r="AG421" i="4"/>
  <c r="AN421" i="4"/>
  <c r="AO421" i="4" s="1"/>
  <c r="AD418" i="4"/>
  <c r="AY425" i="4"/>
  <c r="B425" i="4"/>
  <c r="AV426" i="4"/>
  <c r="AF420" i="4"/>
  <c r="AD422" i="4"/>
  <c r="V423" i="4"/>
  <c r="AA423" i="4" s="1"/>
  <c r="Q423" i="4"/>
  <c r="Y423" i="4" s="1"/>
  <c r="W423" i="4"/>
  <c r="AB423" i="4" s="1"/>
  <c r="R423" i="4"/>
  <c r="Z423" i="4" s="1"/>
  <c r="X423" i="4"/>
  <c r="AC423" i="4" s="1"/>
  <c r="U423" i="4"/>
  <c r="AP423" i="4" s="1"/>
  <c r="X420" i="4"/>
  <c r="AC420" i="4" s="1"/>
  <c r="R420" i="4"/>
  <c r="Z420" i="4" s="1"/>
  <c r="Q420" i="4"/>
  <c r="Y420" i="4" s="1"/>
  <c r="V420" i="4"/>
  <c r="AA420" i="4" s="1"/>
  <c r="W420" i="4"/>
  <c r="AB420" i="4" s="1"/>
  <c r="U420" i="4"/>
  <c r="AP420" i="4" s="1"/>
  <c r="AW424" i="4"/>
  <c r="AX424" i="4"/>
  <c r="AF423" i="4"/>
  <c r="L424" i="4"/>
  <c r="AH424" i="4"/>
  <c r="K424" i="4"/>
  <c r="AM424" i="4"/>
  <c r="AI424" i="4"/>
  <c r="J424" i="4"/>
  <c r="O424" i="4"/>
  <c r="F424" i="4"/>
  <c r="P424" i="4"/>
  <c r="AL424" i="4"/>
  <c r="M424" i="4"/>
  <c r="N424" i="4"/>
  <c r="AK424" i="4"/>
  <c r="AJ424" i="4"/>
  <c r="K387" i="29" l="1"/>
  <c r="N387" i="29" s="1"/>
  <c r="AQ420" i="4"/>
  <c r="AQ423" i="4"/>
  <c r="AB388" i="29"/>
  <c r="AE423" i="4"/>
  <c r="AE420" i="4"/>
  <c r="O388" i="29"/>
  <c r="AE389" i="29"/>
  <c r="AA389" i="29" s="1"/>
  <c r="AF389" i="29"/>
  <c r="J388" i="29"/>
  <c r="Y388" i="29" s="1"/>
  <c r="I388" i="29"/>
  <c r="B390" i="29"/>
  <c r="AI390" i="29"/>
  <c r="AD391" i="29"/>
  <c r="Z387" i="29"/>
  <c r="G389" i="29"/>
  <c r="E389" i="29"/>
  <c r="U389" i="29"/>
  <c r="T389" i="29"/>
  <c r="S389" i="29"/>
  <c r="R389" i="29"/>
  <c r="Q389" i="29"/>
  <c r="AD419" i="4"/>
  <c r="AN419" i="4"/>
  <c r="AO419" i="4" s="1"/>
  <c r="AG419" i="4"/>
  <c r="AF424" i="4"/>
  <c r="AY426" i="4"/>
  <c r="B426" i="4"/>
  <c r="AV427" i="4"/>
  <c r="AI425" i="4"/>
  <c r="F425" i="4"/>
  <c r="K425" i="4"/>
  <c r="AM425" i="4"/>
  <c r="AJ425" i="4"/>
  <c r="AL425" i="4"/>
  <c r="AH425" i="4"/>
  <c r="L425" i="4"/>
  <c r="N425" i="4"/>
  <c r="J425" i="4"/>
  <c r="AK425" i="4"/>
  <c r="O425" i="4"/>
  <c r="M425" i="4"/>
  <c r="P425" i="4"/>
  <c r="W424" i="4"/>
  <c r="AB424" i="4" s="1"/>
  <c r="Q424" i="4"/>
  <c r="Y424" i="4" s="1"/>
  <c r="R424" i="4"/>
  <c r="Z424" i="4" s="1"/>
  <c r="V424" i="4"/>
  <c r="AA424" i="4" s="1"/>
  <c r="U424" i="4"/>
  <c r="AP424" i="4" s="1"/>
  <c r="X424" i="4"/>
  <c r="AC424" i="4" s="1"/>
  <c r="AG422" i="4"/>
  <c r="AN422" i="4"/>
  <c r="AO422" i="4" s="1"/>
  <c r="AD420" i="4"/>
  <c r="AX425" i="4"/>
  <c r="AW425" i="4"/>
  <c r="V387" i="29" l="1"/>
  <c r="W387" i="29" s="1"/>
  <c r="P387" i="29"/>
  <c r="AB389" i="29"/>
  <c r="K388" i="29"/>
  <c r="N388" i="29" s="1"/>
  <c r="AQ424" i="4"/>
  <c r="AE424" i="4"/>
  <c r="Z388" i="29"/>
  <c r="E390" i="29"/>
  <c r="Q390" i="29"/>
  <c r="G390" i="29"/>
  <c r="R390" i="29"/>
  <c r="T390" i="29"/>
  <c r="U390" i="29"/>
  <c r="S390" i="29"/>
  <c r="O389" i="29"/>
  <c r="AI391" i="29"/>
  <c r="AD392" i="29"/>
  <c r="B391" i="29"/>
  <c r="J389" i="29"/>
  <c r="Y389" i="29" s="1"/>
  <c r="I389" i="29"/>
  <c r="AF390" i="29"/>
  <c r="AE390" i="29"/>
  <c r="AA390" i="29" s="1"/>
  <c r="AG423" i="4"/>
  <c r="AN423" i="4"/>
  <c r="AO423" i="4" s="1"/>
  <c r="U425" i="4"/>
  <c r="AP425" i="4" s="1"/>
  <c r="R425" i="4"/>
  <c r="Z425" i="4" s="1"/>
  <c r="V425" i="4"/>
  <c r="AA425" i="4" s="1"/>
  <c r="X425" i="4"/>
  <c r="AC425" i="4" s="1"/>
  <c r="Q425" i="4"/>
  <c r="Y425" i="4" s="1"/>
  <c r="W425" i="4"/>
  <c r="AB425" i="4" s="1"/>
  <c r="AV428" i="4"/>
  <c r="AY427" i="4"/>
  <c r="B427" i="4"/>
  <c r="AJ426" i="4"/>
  <c r="AL426" i="4"/>
  <c r="N426" i="4"/>
  <c r="AM426" i="4"/>
  <c r="L426" i="4"/>
  <c r="AH426" i="4"/>
  <c r="O426" i="4"/>
  <c r="P426" i="4"/>
  <c r="M426" i="4"/>
  <c r="F426" i="4"/>
  <c r="J426" i="4"/>
  <c r="AK426" i="4"/>
  <c r="K426" i="4"/>
  <c r="AI426" i="4"/>
  <c r="AF425" i="4"/>
  <c r="AD424" i="4"/>
  <c r="AW426" i="4"/>
  <c r="AX426" i="4"/>
  <c r="AD423" i="4"/>
  <c r="P388" i="29" l="1"/>
  <c r="V388" i="29"/>
  <c r="W388" i="29" s="1"/>
  <c r="K389" i="29"/>
  <c r="N389" i="29" s="1"/>
  <c r="AQ425" i="4"/>
  <c r="AB390" i="29"/>
  <c r="AE425" i="4"/>
  <c r="AF391" i="29"/>
  <c r="AE391" i="29"/>
  <c r="AA391" i="29" s="1"/>
  <c r="Z389" i="29"/>
  <c r="J390" i="29"/>
  <c r="Y390" i="29" s="1"/>
  <c r="I390" i="29"/>
  <c r="K390" i="29" s="1"/>
  <c r="U391" i="29"/>
  <c r="S391" i="29"/>
  <c r="G391" i="29"/>
  <c r="E391" i="29"/>
  <c r="T391" i="29"/>
  <c r="R391" i="29"/>
  <c r="Q391" i="29"/>
  <c r="O390" i="29"/>
  <c r="AI392" i="29"/>
  <c r="B392" i="29"/>
  <c r="AD393" i="29"/>
  <c r="B428" i="4"/>
  <c r="AV429" i="4"/>
  <c r="AY428" i="4"/>
  <c r="R426" i="4"/>
  <c r="Z426" i="4" s="1"/>
  <c r="W426" i="4"/>
  <c r="AB426" i="4" s="1"/>
  <c r="V426" i="4"/>
  <c r="AA426" i="4" s="1"/>
  <c r="Q426" i="4"/>
  <c r="Y426" i="4" s="1"/>
  <c r="X426" i="4"/>
  <c r="AC426" i="4" s="1"/>
  <c r="U426" i="4"/>
  <c r="AP426" i="4" s="1"/>
  <c r="AG420" i="4"/>
  <c r="AN420" i="4"/>
  <c r="AO420" i="4" s="1"/>
  <c r="AK427" i="4"/>
  <c r="AJ427" i="4"/>
  <c r="M427" i="4"/>
  <c r="P427" i="4"/>
  <c r="N427" i="4"/>
  <c r="AM427" i="4"/>
  <c r="J427" i="4"/>
  <c r="K427" i="4"/>
  <c r="AL427" i="4"/>
  <c r="O427" i="4"/>
  <c r="L427" i="4"/>
  <c r="AI427" i="4"/>
  <c r="F427" i="4"/>
  <c r="AH427" i="4"/>
  <c r="AF426" i="4"/>
  <c r="AX427" i="4"/>
  <c r="AW427" i="4"/>
  <c r="V389" i="29" l="1"/>
  <c r="W389" i="29" s="1"/>
  <c r="P389" i="29"/>
  <c r="AB391" i="29"/>
  <c r="N390" i="29"/>
  <c r="AQ426" i="4"/>
  <c r="AE426" i="4"/>
  <c r="G392" i="29"/>
  <c r="Q392" i="29"/>
  <c r="T392" i="29"/>
  <c r="E392" i="29"/>
  <c r="S392" i="29"/>
  <c r="U392" i="29"/>
  <c r="R392" i="29"/>
  <c r="O391" i="29"/>
  <c r="AF392" i="29"/>
  <c r="AE392" i="29"/>
  <c r="AA392" i="29" s="1"/>
  <c r="P390" i="29"/>
  <c r="V390" i="29"/>
  <c r="W390" i="29" s="1"/>
  <c r="I391" i="29"/>
  <c r="J391" i="29"/>
  <c r="Y391" i="29" s="1"/>
  <c r="AI393" i="29"/>
  <c r="AD394" i="29"/>
  <c r="B393" i="29"/>
  <c r="Z390" i="29"/>
  <c r="AN425" i="4"/>
  <c r="AO425" i="4" s="1"/>
  <c r="AG425" i="4"/>
  <c r="U427" i="4"/>
  <c r="AP427" i="4" s="1"/>
  <c r="R427" i="4"/>
  <c r="Z427" i="4" s="1"/>
  <c r="W427" i="4"/>
  <c r="AB427" i="4" s="1"/>
  <c r="Q427" i="4"/>
  <c r="Y427" i="4" s="1"/>
  <c r="X427" i="4"/>
  <c r="AC427" i="4" s="1"/>
  <c r="V427" i="4"/>
  <c r="AA427" i="4" s="1"/>
  <c r="AF427" i="4"/>
  <c r="AD426" i="4"/>
  <c r="AW428" i="4"/>
  <c r="AX428" i="4"/>
  <c r="AY429" i="4"/>
  <c r="B429" i="4"/>
  <c r="AV430" i="4"/>
  <c r="AN424" i="4"/>
  <c r="AO424" i="4" s="1"/>
  <c r="AG424" i="4"/>
  <c r="AM428" i="4"/>
  <c r="F428" i="4"/>
  <c r="P428" i="4"/>
  <c r="AK428" i="4"/>
  <c r="AJ428" i="4"/>
  <c r="L428" i="4"/>
  <c r="AH428" i="4"/>
  <c r="J428" i="4"/>
  <c r="N428" i="4"/>
  <c r="AL428" i="4"/>
  <c r="K428" i="4"/>
  <c r="AI428" i="4"/>
  <c r="M428" i="4"/>
  <c r="O428" i="4"/>
  <c r="AD425" i="4"/>
  <c r="K391" i="29" l="1"/>
  <c r="N391" i="29" s="1"/>
  <c r="AQ427" i="4"/>
  <c r="AB392" i="29"/>
  <c r="AE427" i="4"/>
  <c r="AN426" i="4"/>
  <c r="AO426" i="4" s="1"/>
  <c r="AF393" i="29"/>
  <c r="AE393" i="29"/>
  <c r="AA393" i="29" s="1"/>
  <c r="J392" i="29"/>
  <c r="I392" i="29"/>
  <c r="K392" i="29" s="1"/>
  <c r="N392" i="29" s="1"/>
  <c r="O392" i="29"/>
  <c r="E393" i="29"/>
  <c r="U393" i="29"/>
  <c r="S393" i="29"/>
  <c r="G393" i="29"/>
  <c r="R393" i="29"/>
  <c r="T393" i="29"/>
  <c r="Q393" i="29"/>
  <c r="Z391" i="29"/>
  <c r="Y392" i="29"/>
  <c r="AD395" i="29"/>
  <c r="AI394" i="29"/>
  <c r="B394" i="29"/>
  <c r="AD427" i="4"/>
  <c r="AF428" i="4"/>
  <c r="AX429" i="4"/>
  <c r="AW429" i="4"/>
  <c r="AV431" i="4"/>
  <c r="B430" i="4"/>
  <c r="AY430" i="4"/>
  <c r="F429" i="4"/>
  <c r="AL429" i="4"/>
  <c r="AJ429" i="4"/>
  <c r="M429" i="4"/>
  <c r="N429" i="4"/>
  <c r="AK429" i="4"/>
  <c r="P429" i="4"/>
  <c r="AH429" i="4"/>
  <c r="J429" i="4"/>
  <c r="AI429" i="4"/>
  <c r="K429" i="4"/>
  <c r="O429" i="4"/>
  <c r="AM429" i="4"/>
  <c r="L429" i="4"/>
  <c r="U428" i="4"/>
  <c r="AP428" i="4" s="1"/>
  <c r="R428" i="4"/>
  <c r="Z428" i="4" s="1"/>
  <c r="X428" i="4"/>
  <c r="AC428" i="4" s="1"/>
  <c r="Q428" i="4"/>
  <c r="Y428" i="4" s="1"/>
  <c r="W428" i="4"/>
  <c r="AB428" i="4" s="1"/>
  <c r="V428" i="4"/>
  <c r="AA428" i="4" s="1"/>
  <c r="P391" i="29" l="1"/>
  <c r="V391" i="29"/>
  <c r="W391" i="29" s="1"/>
  <c r="AB393" i="29"/>
  <c r="AQ428" i="4"/>
  <c r="AE428" i="4"/>
  <c r="AG426" i="4"/>
  <c r="E394" i="29"/>
  <c r="R394" i="29"/>
  <c r="Q394" i="29"/>
  <c r="G394" i="29"/>
  <c r="S394" i="29"/>
  <c r="T394" i="29"/>
  <c r="U394" i="29"/>
  <c r="J393" i="29"/>
  <c r="I393" i="29"/>
  <c r="K393" i="29" s="1"/>
  <c r="AF394" i="29"/>
  <c r="AE394" i="29"/>
  <c r="AA394" i="29" s="1"/>
  <c r="P392" i="29"/>
  <c r="V392" i="29"/>
  <c r="W392" i="29" s="1"/>
  <c r="O393" i="29"/>
  <c r="AD396" i="29"/>
  <c r="AI395" i="29"/>
  <c r="B395" i="29"/>
  <c r="Y393" i="29"/>
  <c r="Z392" i="29"/>
  <c r="AF429" i="4"/>
  <c r="AN427" i="4"/>
  <c r="AO427" i="4" s="1"/>
  <c r="AG427" i="4"/>
  <c r="B431" i="4"/>
  <c r="AY431" i="4"/>
  <c r="AV432" i="4"/>
  <c r="U429" i="4"/>
  <c r="AP429" i="4" s="1"/>
  <c r="W429" i="4"/>
  <c r="AB429" i="4" s="1"/>
  <c r="Q429" i="4"/>
  <c r="Y429" i="4" s="1"/>
  <c r="X429" i="4"/>
  <c r="AC429" i="4" s="1"/>
  <c r="R429" i="4"/>
  <c r="V429" i="4"/>
  <c r="AA429" i="4" s="1"/>
  <c r="AD428" i="4"/>
  <c r="AX430" i="4"/>
  <c r="AW430" i="4"/>
  <c r="I430" i="4"/>
  <c r="AH430" i="4"/>
  <c r="N430" i="4"/>
  <c r="AK430" i="4"/>
  <c r="J430" i="4"/>
  <c r="AM430" i="4"/>
  <c r="AJ430" i="4"/>
  <c r="G430" i="4"/>
  <c r="F430" i="4"/>
  <c r="AL430" i="4"/>
  <c r="P430" i="4"/>
  <c r="K430" i="4"/>
  <c r="L430" i="4"/>
  <c r="AI430" i="4"/>
  <c r="M430" i="4"/>
  <c r="O430" i="4"/>
  <c r="H430" i="4"/>
  <c r="N393" i="29" l="1"/>
  <c r="P393" i="29" s="1"/>
  <c r="AB394" i="29"/>
  <c r="Z429" i="4"/>
  <c r="V393" i="29"/>
  <c r="W393" i="29" s="1"/>
  <c r="B396" i="29"/>
  <c r="AD397" i="29"/>
  <c r="AI396" i="29"/>
  <c r="I394" i="29"/>
  <c r="J394" i="29"/>
  <c r="Y394" i="29" s="1"/>
  <c r="Z393" i="29"/>
  <c r="O394" i="29"/>
  <c r="T395" i="29"/>
  <c r="U395" i="29"/>
  <c r="S395" i="29"/>
  <c r="E395" i="29"/>
  <c r="R395" i="29"/>
  <c r="Q395" i="29"/>
  <c r="G395" i="29"/>
  <c r="AF395" i="29"/>
  <c r="AE395" i="29"/>
  <c r="AA395" i="29" s="1"/>
  <c r="AG428" i="4"/>
  <c r="AF430" i="4"/>
  <c r="AX431" i="4"/>
  <c r="AW431" i="4"/>
  <c r="AD429" i="4"/>
  <c r="AI431" i="4"/>
  <c r="AL431" i="4"/>
  <c r="L431" i="4"/>
  <c r="AK431" i="4"/>
  <c r="O431" i="4"/>
  <c r="F431" i="4"/>
  <c r="P431" i="4"/>
  <c r="AJ431" i="4"/>
  <c r="N431" i="4"/>
  <c r="K431" i="4"/>
  <c r="AM431" i="4"/>
  <c r="AH431" i="4"/>
  <c r="M431" i="4"/>
  <c r="J431" i="4"/>
  <c r="U430" i="4"/>
  <c r="AP430" i="4" s="1"/>
  <c r="W430" i="4"/>
  <c r="AB430" i="4" s="1"/>
  <c r="T430" i="4"/>
  <c r="R430" i="4"/>
  <c r="S430" i="4"/>
  <c r="Q430" i="4"/>
  <c r="Y430" i="4" s="1"/>
  <c r="V430" i="4"/>
  <c r="AA430" i="4" s="1"/>
  <c r="X430" i="4"/>
  <c r="AC430" i="4" s="1"/>
  <c r="B432" i="4"/>
  <c r="AV433" i="4"/>
  <c r="AY432" i="4"/>
  <c r="K394" i="29" l="1"/>
  <c r="N394" i="29" s="1"/>
  <c r="AE429" i="4"/>
  <c r="AN429" i="4" s="1"/>
  <c r="AO429" i="4" s="1"/>
  <c r="AQ429" i="4"/>
  <c r="Z430" i="4"/>
  <c r="AB395" i="29"/>
  <c r="O395" i="29"/>
  <c r="AI397" i="29"/>
  <c r="AD398" i="29"/>
  <c r="B397" i="29"/>
  <c r="S396" i="29"/>
  <c r="U396" i="29"/>
  <c r="G396" i="29"/>
  <c r="E396" i="29"/>
  <c r="Q396" i="29"/>
  <c r="T396" i="29"/>
  <c r="R396" i="29"/>
  <c r="J395" i="29"/>
  <c r="Y395" i="29" s="1"/>
  <c r="I395" i="29"/>
  <c r="Z394" i="29"/>
  <c r="AE396" i="29"/>
  <c r="AA396" i="29" s="1"/>
  <c r="AF396" i="29"/>
  <c r="AN428" i="4"/>
  <c r="AO428" i="4" s="1"/>
  <c r="AY433" i="4"/>
  <c r="B433" i="4"/>
  <c r="AV434" i="4"/>
  <c r="N432" i="4"/>
  <c r="F432" i="4"/>
  <c r="O432" i="4"/>
  <c r="AJ432" i="4"/>
  <c r="AH432" i="4"/>
  <c r="P432" i="4"/>
  <c r="J432" i="4"/>
  <c r="AL432" i="4"/>
  <c r="AM432" i="4"/>
  <c r="AI432" i="4"/>
  <c r="L432" i="4"/>
  <c r="M432" i="4"/>
  <c r="AK432" i="4"/>
  <c r="K432" i="4"/>
  <c r="AD430" i="4"/>
  <c r="AF431" i="4"/>
  <c r="V431" i="4"/>
  <c r="AA431" i="4" s="1"/>
  <c r="U431" i="4"/>
  <c r="AP431" i="4" s="1"/>
  <c r="W431" i="4"/>
  <c r="AB431" i="4" s="1"/>
  <c r="R431" i="4"/>
  <c r="Z431" i="4" s="1"/>
  <c r="Q431" i="4"/>
  <c r="Y431" i="4" s="1"/>
  <c r="X431" i="4"/>
  <c r="AC431" i="4" s="1"/>
  <c r="AW432" i="4"/>
  <c r="AX432" i="4"/>
  <c r="V394" i="29" l="1"/>
  <c r="W394" i="29" s="1"/>
  <c r="P394" i="29"/>
  <c r="K395" i="29"/>
  <c r="N395" i="29" s="1"/>
  <c r="AQ431" i="4"/>
  <c r="AE430" i="4"/>
  <c r="AQ430" i="4"/>
  <c r="AB396" i="29"/>
  <c r="AE431" i="4"/>
  <c r="O396" i="29"/>
  <c r="Z395" i="29"/>
  <c r="G397" i="29"/>
  <c r="E397" i="29"/>
  <c r="U397" i="29"/>
  <c r="R397" i="29"/>
  <c r="S397" i="29"/>
  <c r="Q397" i="29"/>
  <c r="T397" i="29"/>
  <c r="I396" i="29"/>
  <c r="J396" i="29"/>
  <c r="Y396" i="29" s="1"/>
  <c r="AI398" i="29"/>
  <c r="B398" i="29"/>
  <c r="AD399" i="29"/>
  <c r="AF397" i="29"/>
  <c r="AE397" i="29"/>
  <c r="AA397" i="29" s="1"/>
  <c r="AG429" i="4"/>
  <c r="Q432" i="4"/>
  <c r="Y432" i="4" s="1"/>
  <c r="R432" i="4"/>
  <c r="Z432" i="4" s="1"/>
  <c r="W432" i="4"/>
  <c r="AB432" i="4" s="1"/>
  <c r="V432" i="4"/>
  <c r="AA432" i="4" s="1"/>
  <c r="X432" i="4"/>
  <c r="AC432" i="4" s="1"/>
  <c r="U432" i="4"/>
  <c r="AP432" i="4" s="1"/>
  <c r="AX433" i="4"/>
  <c r="AW433" i="4"/>
  <c r="AF432" i="4"/>
  <c r="B434" i="4"/>
  <c r="AY434" i="4"/>
  <c r="AV435" i="4"/>
  <c r="AJ433" i="4"/>
  <c r="AI433" i="4"/>
  <c r="L433" i="4"/>
  <c r="AL433" i="4"/>
  <c r="K433" i="4"/>
  <c r="N433" i="4"/>
  <c r="F433" i="4"/>
  <c r="P433" i="4"/>
  <c r="M433" i="4"/>
  <c r="J433" i="4"/>
  <c r="O433" i="4"/>
  <c r="AK433" i="4"/>
  <c r="AH433" i="4"/>
  <c r="AM433" i="4"/>
  <c r="P395" i="29" l="1"/>
  <c r="V395" i="29"/>
  <c r="W395" i="29" s="1"/>
  <c r="K396" i="29"/>
  <c r="N396" i="29" s="1"/>
  <c r="AQ432" i="4"/>
  <c r="AB397" i="29"/>
  <c r="AE432" i="4"/>
  <c r="AF398" i="29"/>
  <c r="AE398" i="29"/>
  <c r="AA398" i="29" s="1"/>
  <c r="O397" i="29"/>
  <c r="Z396" i="29"/>
  <c r="I397" i="29"/>
  <c r="J397" i="29"/>
  <c r="Y397" i="29" s="1"/>
  <c r="AD400" i="29"/>
  <c r="AI399" i="29"/>
  <c r="B399" i="29"/>
  <c r="AD431" i="4"/>
  <c r="R398" i="29"/>
  <c r="G398" i="29"/>
  <c r="U398" i="29"/>
  <c r="E398" i="29"/>
  <c r="S398" i="29"/>
  <c r="Q398" i="29"/>
  <c r="T398" i="29"/>
  <c r="AF433" i="4"/>
  <c r="AJ434" i="4"/>
  <c r="P434" i="4"/>
  <c r="AL434" i="4"/>
  <c r="L434" i="4"/>
  <c r="O434" i="4"/>
  <c r="J434" i="4"/>
  <c r="AM434" i="4"/>
  <c r="AI434" i="4"/>
  <c r="AH434" i="4"/>
  <c r="AK434" i="4"/>
  <c r="K434" i="4"/>
  <c r="N434" i="4"/>
  <c r="F434" i="4"/>
  <c r="M434" i="4"/>
  <c r="AG430" i="4"/>
  <c r="AN430" i="4"/>
  <c r="AO430" i="4" s="1"/>
  <c r="R433" i="4"/>
  <c r="Z433" i="4" s="1"/>
  <c r="Q433" i="4"/>
  <c r="Y433" i="4" s="1"/>
  <c r="W433" i="4"/>
  <c r="AB433" i="4" s="1"/>
  <c r="U433" i="4"/>
  <c r="AP433" i="4" s="1"/>
  <c r="V433" i="4"/>
  <c r="AA433" i="4" s="1"/>
  <c r="X433" i="4"/>
  <c r="AC433" i="4" s="1"/>
  <c r="AD432" i="4"/>
  <c r="B435" i="4"/>
  <c r="AV436" i="4"/>
  <c r="AY435" i="4"/>
  <c r="AX434" i="4"/>
  <c r="AW434" i="4"/>
  <c r="V396" i="29" l="1"/>
  <c r="W396" i="29" s="1"/>
  <c r="P396" i="29"/>
  <c r="AB398" i="29"/>
  <c r="K397" i="29"/>
  <c r="N397" i="29" s="1"/>
  <c r="AQ433" i="4"/>
  <c r="AE433" i="4"/>
  <c r="J398" i="29"/>
  <c r="Y398" i="29" s="1"/>
  <c r="I398" i="29"/>
  <c r="E399" i="29"/>
  <c r="G399" i="29"/>
  <c r="U399" i="29"/>
  <c r="S399" i="29"/>
  <c r="R399" i="29"/>
  <c r="T399" i="29"/>
  <c r="Q399" i="29"/>
  <c r="Z397" i="29"/>
  <c r="O398" i="29"/>
  <c r="AE399" i="29"/>
  <c r="AA399" i="29" s="1"/>
  <c r="AF399" i="29"/>
  <c r="AD401" i="29"/>
  <c r="B400" i="29"/>
  <c r="AI400" i="29"/>
  <c r="AJ435" i="4"/>
  <c r="M435" i="4"/>
  <c r="L435" i="4"/>
  <c r="AH435" i="4"/>
  <c r="AL435" i="4"/>
  <c r="O435" i="4"/>
  <c r="AM435" i="4"/>
  <c r="K435" i="4"/>
  <c r="P435" i="4"/>
  <c r="F435" i="4"/>
  <c r="J435" i="4"/>
  <c r="AK435" i="4"/>
  <c r="AI435" i="4"/>
  <c r="N435" i="4"/>
  <c r="AN431" i="4"/>
  <c r="AO431" i="4" s="1"/>
  <c r="AG431" i="4"/>
  <c r="V434" i="4"/>
  <c r="AA434" i="4" s="1"/>
  <c r="W434" i="4"/>
  <c r="AB434" i="4" s="1"/>
  <c r="U434" i="4"/>
  <c r="AP434" i="4" s="1"/>
  <c r="Q434" i="4"/>
  <c r="Y434" i="4" s="1"/>
  <c r="X434" i="4"/>
  <c r="AC434" i="4" s="1"/>
  <c r="R434" i="4"/>
  <c r="Z434" i="4" s="1"/>
  <c r="AX435" i="4"/>
  <c r="AW435" i="4"/>
  <c r="AF434" i="4"/>
  <c r="B436" i="4"/>
  <c r="AV437" i="4"/>
  <c r="AY436" i="4"/>
  <c r="AG432" i="4"/>
  <c r="AN432" i="4"/>
  <c r="AO432" i="4" s="1"/>
  <c r="V397" i="29" l="1"/>
  <c r="W397" i="29" s="1"/>
  <c r="P397" i="29"/>
  <c r="K398" i="29"/>
  <c r="N398" i="29" s="1"/>
  <c r="AQ434" i="4"/>
  <c r="AB399" i="29"/>
  <c r="AE434" i="4"/>
  <c r="AF400" i="29"/>
  <c r="AE400" i="29"/>
  <c r="AA400" i="29" s="1"/>
  <c r="Z398" i="29"/>
  <c r="E400" i="29"/>
  <c r="U400" i="29"/>
  <c r="S400" i="29"/>
  <c r="Q400" i="29"/>
  <c r="G400" i="29"/>
  <c r="T400" i="29"/>
  <c r="R400" i="29"/>
  <c r="AI401" i="29"/>
  <c r="AD402" i="29"/>
  <c r="B401" i="29"/>
  <c r="I399" i="29"/>
  <c r="K399" i="29" s="1"/>
  <c r="J399" i="29"/>
  <c r="Y399" i="29" s="1"/>
  <c r="O399" i="29"/>
  <c r="AD433" i="4"/>
  <c r="AG433" i="4"/>
  <c r="AN433" i="4"/>
  <c r="AO433" i="4" s="1"/>
  <c r="AX436" i="4"/>
  <c r="AW436" i="4"/>
  <c r="W435" i="4"/>
  <c r="AB435" i="4" s="1"/>
  <c r="V435" i="4"/>
  <c r="AA435" i="4" s="1"/>
  <c r="R435" i="4"/>
  <c r="Z435" i="4" s="1"/>
  <c r="U435" i="4"/>
  <c r="AP435" i="4" s="1"/>
  <c r="Q435" i="4"/>
  <c r="Y435" i="4" s="1"/>
  <c r="X435" i="4"/>
  <c r="AC435" i="4" s="1"/>
  <c r="AY437" i="4"/>
  <c r="AV438" i="4"/>
  <c r="B437" i="4"/>
  <c r="AD434" i="4"/>
  <c r="AM436" i="4"/>
  <c r="AL436" i="4"/>
  <c r="N436" i="4"/>
  <c r="F436" i="4"/>
  <c r="P436" i="4"/>
  <c r="J436" i="4"/>
  <c r="L436" i="4"/>
  <c r="AJ436" i="4"/>
  <c r="AH436" i="4"/>
  <c r="M436" i="4"/>
  <c r="O436" i="4"/>
  <c r="K436" i="4"/>
  <c r="AI436" i="4"/>
  <c r="AK436" i="4"/>
  <c r="AF435" i="4"/>
  <c r="V398" i="29" l="1"/>
  <c r="W398" i="29" s="1"/>
  <c r="P398" i="29"/>
  <c r="N399" i="29"/>
  <c r="AB400" i="29"/>
  <c r="AQ435" i="4"/>
  <c r="AE435" i="4"/>
  <c r="U401" i="29"/>
  <c r="Q401" i="29"/>
  <c r="G401" i="29"/>
  <c r="E401" i="29"/>
  <c r="S401" i="29"/>
  <c r="T401" i="29"/>
  <c r="R401" i="29"/>
  <c r="O400" i="29"/>
  <c r="P399" i="29"/>
  <c r="V399" i="29"/>
  <c r="W399" i="29" s="1"/>
  <c r="B402" i="29"/>
  <c r="AI402" i="29"/>
  <c r="AD403" i="29"/>
  <c r="J400" i="29"/>
  <c r="Y400" i="29" s="1"/>
  <c r="I400" i="29"/>
  <c r="AE401" i="29"/>
  <c r="AA401" i="29" s="1"/>
  <c r="AF401" i="29"/>
  <c r="Z399" i="29"/>
  <c r="AD435" i="4"/>
  <c r="AN434" i="4"/>
  <c r="AO434" i="4" s="1"/>
  <c r="AG434" i="4"/>
  <c r="AF436" i="4"/>
  <c r="F437" i="4"/>
  <c r="AK437" i="4"/>
  <c r="AH437" i="4"/>
  <c r="J437" i="4"/>
  <c r="AJ437" i="4"/>
  <c r="M437" i="4"/>
  <c r="P437" i="4"/>
  <c r="O437" i="4"/>
  <c r="AM437" i="4"/>
  <c r="AI437" i="4"/>
  <c r="K437" i="4"/>
  <c r="AL437" i="4"/>
  <c r="N437" i="4"/>
  <c r="L437" i="4"/>
  <c r="R436" i="4"/>
  <c r="Z436" i="4" s="1"/>
  <c r="U436" i="4"/>
  <c r="AP436" i="4" s="1"/>
  <c r="X436" i="4"/>
  <c r="AC436" i="4" s="1"/>
  <c r="Q436" i="4"/>
  <c r="Y436" i="4" s="1"/>
  <c r="W436" i="4"/>
  <c r="AB436" i="4" s="1"/>
  <c r="V436" i="4"/>
  <c r="AA436" i="4" s="1"/>
  <c r="B438" i="4"/>
  <c r="AV439" i="4"/>
  <c r="AY438" i="4"/>
  <c r="AW437" i="4"/>
  <c r="AX437" i="4"/>
  <c r="K400" i="29" l="1"/>
  <c r="N400" i="29" s="1"/>
  <c r="AQ436" i="4"/>
  <c r="AB401" i="29"/>
  <c r="AE436" i="4"/>
  <c r="AF402" i="29"/>
  <c r="AE402" i="29"/>
  <c r="AA402" i="29" s="1"/>
  <c r="Z400" i="29"/>
  <c r="J401" i="29"/>
  <c r="Y401" i="29" s="1"/>
  <c r="I401" i="29"/>
  <c r="R402" i="29"/>
  <c r="Q402" i="29"/>
  <c r="S402" i="29"/>
  <c r="E402" i="29"/>
  <c r="U402" i="29"/>
  <c r="G402" i="29"/>
  <c r="T402" i="29"/>
  <c r="AD404" i="29"/>
  <c r="AI403" i="29"/>
  <c r="B403" i="29"/>
  <c r="O401" i="29"/>
  <c r="P438" i="4"/>
  <c r="F438" i="4"/>
  <c r="N438" i="4"/>
  <c r="J438" i="4"/>
  <c r="AK438" i="4"/>
  <c r="AM438" i="4"/>
  <c r="O438" i="4"/>
  <c r="AJ438" i="4"/>
  <c r="AL438" i="4"/>
  <c r="AI438" i="4"/>
  <c r="AH438" i="4"/>
  <c r="K438" i="4"/>
  <c r="M438" i="4"/>
  <c r="L438" i="4"/>
  <c r="Q437" i="4"/>
  <c r="Y437" i="4" s="1"/>
  <c r="U437" i="4"/>
  <c r="AP437" i="4" s="1"/>
  <c r="R437" i="4"/>
  <c r="Z437" i="4" s="1"/>
  <c r="X437" i="4"/>
  <c r="AC437" i="4" s="1"/>
  <c r="V437" i="4"/>
  <c r="AA437" i="4" s="1"/>
  <c r="W437" i="4"/>
  <c r="AB437" i="4" s="1"/>
  <c r="AW438" i="4"/>
  <c r="AX438" i="4"/>
  <c r="AD436" i="4"/>
  <c r="AF437" i="4"/>
  <c r="AN435" i="4"/>
  <c r="AO435" i="4" s="1"/>
  <c r="AG435" i="4"/>
  <c r="AV440" i="4"/>
  <c r="AY439" i="4"/>
  <c r="B439" i="4"/>
  <c r="V400" i="29" l="1"/>
  <c r="W400" i="29" s="1"/>
  <c r="P400" i="29"/>
  <c r="AB402" i="29"/>
  <c r="K401" i="29"/>
  <c r="N401" i="29" s="1"/>
  <c r="AQ437" i="4"/>
  <c r="AE437" i="4"/>
  <c r="U403" i="29"/>
  <c r="T403" i="29"/>
  <c r="S403" i="29"/>
  <c r="E403" i="29"/>
  <c r="R403" i="29"/>
  <c r="Q403" i="29"/>
  <c r="G403" i="29"/>
  <c r="AE403" i="29"/>
  <c r="AA403" i="29" s="1"/>
  <c r="AF403" i="29"/>
  <c r="J402" i="29"/>
  <c r="Y402" i="29" s="1"/>
  <c r="I402" i="29"/>
  <c r="B404" i="29"/>
  <c r="AI404" i="29"/>
  <c r="AD405" i="29"/>
  <c r="O402" i="29"/>
  <c r="Z401" i="29"/>
  <c r="W438" i="4"/>
  <c r="AB438" i="4" s="1"/>
  <c r="R438" i="4"/>
  <c r="Z438" i="4" s="1"/>
  <c r="Q438" i="4"/>
  <c r="Y438" i="4" s="1"/>
  <c r="X438" i="4"/>
  <c r="AC438" i="4" s="1"/>
  <c r="U438" i="4"/>
  <c r="V438" i="4"/>
  <c r="AA438" i="4" s="1"/>
  <c r="AF438" i="4"/>
  <c r="AV441" i="4"/>
  <c r="B440" i="4"/>
  <c r="AY440" i="4"/>
  <c r="K439" i="4"/>
  <c r="O439" i="4"/>
  <c r="AH439" i="4"/>
  <c r="F439" i="4"/>
  <c r="N439" i="4"/>
  <c r="AM439" i="4"/>
  <c r="P439" i="4"/>
  <c r="AL439" i="4"/>
  <c r="AK439" i="4"/>
  <c r="AJ439" i="4"/>
  <c r="J439" i="4"/>
  <c r="AI439" i="4"/>
  <c r="M439" i="4"/>
  <c r="L439" i="4"/>
  <c r="AD437" i="4"/>
  <c r="AW439" i="4"/>
  <c r="AX439" i="4"/>
  <c r="AP438" i="4"/>
  <c r="V401" i="29" l="1"/>
  <c r="W401" i="29" s="1"/>
  <c r="P401" i="29"/>
  <c r="K402" i="29"/>
  <c r="N402" i="29" s="1"/>
  <c r="AQ438" i="4"/>
  <c r="AB403" i="29"/>
  <c r="AE438" i="4"/>
  <c r="AE404" i="29"/>
  <c r="AA404" i="29" s="1"/>
  <c r="AF404" i="29"/>
  <c r="Q404" i="29"/>
  <c r="U404" i="29"/>
  <c r="G404" i="29"/>
  <c r="E404" i="29"/>
  <c r="R404" i="29"/>
  <c r="S404" i="29"/>
  <c r="T404" i="29"/>
  <c r="Z402" i="29"/>
  <c r="J403" i="29"/>
  <c r="Y403" i="29" s="1"/>
  <c r="I403" i="29"/>
  <c r="AI405" i="29"/>
  <c r="B405" i="29"/>
  <c r="AD406" i="29"/>
  <c r="O403" i="29"/>
  <c r="Q439" i="4"/>
  <c r="Y439" i="4" s="1"/>
  <c r="U439" i="4"/>
  <c r="AP439" i="4" s="1"/>
  <c r="R439" i="4"/>
  <c r="Z439" i="4" s="1"/>
  <c r="X439" i="4"/>
  <c r="AC439" i="4" s="1"/>
  <c r="W439" i="4"/>
  <c r="AB439" i="4" s="1"/>
  <c r="V439" i="4"/>
  <c r="AA439" i="4" s="1"/>
  <c r="AG437" i="4"/>
  <c r="AN437" i="4"/>
  <c r="AO437" i="4" s="1"/>
  <c r="AX440" i="4"/>
  <c r="AW440" i="4"/>
  <c r="L440" i="4"/>
  <c r="O440" i="4"/>
  <c r="F440" i="4"/>
  <c r="P440" i="4"/>
  <c r="AJ440" i="4"/>
  <c r="N440" i="4"/>
  <c r="AK440" i="4"/>
  <c r="K440" i="4"/>
  <c r="AH440" i="4"/>
  <c r="J440" i="4"/>
  <c r="AL440" i="4"/>
  <c r="AM440" i="4"/>
  <c r="AI440" i="4"/>
  <c r="M440" i="4"/>
  <c r="AF439" i="4"/>
  <c r="B441" i="4"/>
  <c r="AV442" i="4"/>
  <c r="AY441" i="4"/>
  <c r="AN436" i="4"/>
  <c r="AO436" i="4" s="1"/>
  <c r="AG436" i="4"/>
  <c r="AD438" i="4"/>
  <c r="P402" i="29" l="1"/>
  <c r="V402" i="29"/>
  <c r="W402" i="29" s="1"/>
  <c r="AB404" i="29"/>
  <c r="K403" i="29"/>
  <c r="N403" i="29" s="1"/>
  <c r="AQ439" i="4"/>
  <c r="AE439" i="4"/>
  <c r="AD407" i="29"/>
  <c r="B406" i="29"/>
  <c r="AI406" i="29"/>
  <c r="Z403" i="29"/>
  <c r="Q405" i="29"/>
  <c r="S405" i="29"/>
  <c r="U405" i="29"/>
  <c r="T405" i="29"/>
  <c r="R405" i="29"/>
  <c r="E405" i="29"/>
  <c r="G405" i="29"/>
  <c r="AF405" i="29"/>
  <c r="AE405" i="29"/>
  <c r="AA405" i="29" s="1"/>
  <c r="O404" i="29"/>
  <c r="I404" i="29"/>
  <c r="K404" i="29" s="1"/>
  <c r="J404" i="29"/>
  <c r="Y404" i="29" s="1"/>
  <c r="AV443" i="4"/>
  <c r="AY442" i="4"/>
  <c r="B442" i="4"/>
  <c r="AX441" i="4"/>
  <c r="AW441" i="4"/>
  <c r="V440" i="4"/>
  <c r="AA440" i="4" s="1"/>
  <c r="W440" i="4"/>
  <c r="AB440" i="4" s="1"/>
  <c r="X440" i="4"/>
  <c r="AC440" i="4" s="1"/>
  <c r="U440" i="4"/>
  <c r="AP440" i="4" s="1"/>
  <c r="Q440" i="4"/>
  <c r="Y440" i="4" s="1"/>
  <c r="R440" i="4"/>
  <c r="Z440" i="4" s="1"/>
  <c r="N441" i="4"/>
  <c r="O441" i="4"/>
  <c r="AI441" i="4"/>
  <c r="AK441" i="4"/>
  <c r="J441" i="4"/>
  <c r="AJ441" i="4"/>
  <c r="K441" i="4"/>
  <c r="F441" i="4"/>
  <c r="AM441" i="4"/>
  <c r="AH441" i="4"/>
  <c r="L441" i="4"/>
  <c r="AL441" i="4"/>
  <c r="P441" i="4"/>
  <c r="M441" i="4"/>
  <c r="AF440" i="4"/>
  <c r="AK442" i="4" l="1"/>
  <c r="P442" i="4"/>
  <c r="L442" i="4"/>
  <c r="AM442" i="4"/>
  <c r="AI442" i="4"/>
  <c r="N442" i="4"/>
  <c r="J442" i="4"/>
  <c r="AJ442" i="4"/>
  <c r="K442" i="4"/>
  <c r="AH442" i="4"/>
  <c r="F442" i="4"/>
  <c r="O442" i="4"/>
  <c r="M442" i="4"/>
  <c r="AL442" i="4"/>
  <c r="P403" i="29"/>
  <c r="V403" i="29"/>
  <c r="W403" i="29" s="1"/>
  <c r="N404" i="29"/>
  <c r="P404" i="29" s="1"/>
  <c r="AB405" i="29"/>
  <c r="AQ440" i="4"/>
  <c r="AE440" i="4"/>
  <c r="V404" i="29"/>
  <c r="W404" i="29" s="1"/>
  <c r="I405" i="29"/>
  <c r="J405" i="29"/>
  <c r="Y405" i="29" s="1"/>
  <c r="O405" i="29"/>
  <c r="AF406" i="29"/>
  <c r="AE406" i="29"/>
  <c r="AA406" i="29" s="1"/>
  <c r="E406" i="29"/>
  <c r="T406" i="29"/>
  <c r="U406" i="29"/>
  <c r="G406" i="29"/>
  <c r="R406" i="29"/>
  <c r="Q406" i="29"/>
  <c r="S406" i="29"/>
  <c r="Z404" i="29"/>
  <c r="AI407" i="29"/>
  <c r="B407" i="29"/>
  <c r="AD408" i="29"/>
  <c r="AG439" i="4"/>
  <c r="AN439" i="4"/>
  <c r="AO439" i="4" s="1"/>
  <c r="AD439" i="4"/>
  <c r="AV444" i="4"/>
  <c r="AY443" i="4"/>
  <c r="B443" i="4"/>
  <c r="AG438" i="4"/>
  <c r="AN438" i="4"/>
  <c r="AO438" i="4" s="1"/>
  <c r="U441" i="4"/>
  <c r="AP441" i="4" s="1"/>
  <c r="V441" i="4"/>
  <c r="AA441" i="4" s="1"/>
  <c r="X441" i="4"/>
  <c r="AC441" i="4" s="1"/>
  <c r="Q441" i="4"/>
  <c r="Y441" i="4" s="1"/>
  <c r="R441" i="4"/>
  <c r="Z441" i="4" s="1"/>
  <c r="AQ441" i="4" s="1"/>
  <c r="W441" i="4"/>
  <c r="AB441" i="4" s="1"/>
  <c r="AF441" i="4"/>
  <c r="AX442" i="4"/>
  <c r="AW442" i="4"/>
  <c r="AM443" i="4" l="1"/>
  <c r="AI443" i="4"/>
  <c r="N443" i="4"/>
  <c r="J443" i="4"/>
  <c r="AK443" i="4"/>
  <c r="P443" i="4"/>
  <c r="L443" i="4"/>
  <c r="AL443" i="4"/>
  <c r="M443" i="4"/>
  <c r="AJ443" i="4"/>
  <c r="K443" i="4"/>
  <c r="AH443" i="4"/>
  <c r="O443" i="4"/>
  <c r="F443" i="4"/>
  <c r="AB406" i="29"/>
  <c r="K405" i="29"/>
  <c r="N405" i="29" s="1"/>
  <c r="AE441" i="4"/>
  <c r="AI408" i="29"/>
  <c r="B408" i="29"/>
  <c r="AD409" i="29"/>
  <c r="O406" i="29"/>
  <c r="I406" i="29"/>
  <c r="K406" i="29" s="1"/>
  <c r="N406" i="29" s="1"/>
  <c r="J406" i="29"/>
  <c r="U407" i="29"/>
  <c r="T407" i="29"/>
  <c r="Q407" i="29"/>
  <c r="E407" i="29"/>
  <c r="G407" i="29"/>
  <c r="R407" i="29"/>
  <c r="S407" i="29"/>
  <c r="AF407" i="29"/>
  <c r="AE407" i="29"/>
  <c r="AA407" i="29" s="1"/>
  <c r="Y406" i="29"/>
  <c r="Z405" i="29"/>
  <c r="AD440" i="4"/>
  <c r="AG440" i="4"/>
  <c r="AN440" i="4"/>
  <c r="AO440" i="4" s="1"/>
  <c r="U442" i="4"/>
  <c r="AP442" i="4" s="1"/>
  <c r="R442" i="4"/>
  <c r="Z442" i="4" s="1"/>
  <c r="Q442" i="4"/>
  <c r="Y442" i="4" s="1"/>
  <c r="X442" i="4"/>
  <c r="AC442" i="4" s="1"/>
  <c r="V442" i="4"/>
  <c r="AA442" i="4" s="1"/>
  <c r="W442" i="4"/>
  <c r="AB442" i="4" s="1"/>
  <c r="AW443" i="4"/>
  <c r="AX443" i="4"/>
  <c r="AV445" i="4"/>
  <c r="B444" i="4"/>
  <c r="AY444" i="4"/>
  <c r="AF442" i="4"/>
  <c r="AK444" i="4" l="1"/>
  <c r="P444" i="4"/>
  <c r="L444" i="4"/>
  <c r="AM444" i="4"/>
  <c r="AI444" i="4"/>
  <c r="N444" i="4"/>
  <c r="J444" i="4"/>
  <c r="O444" i="4"/>
  <c r="AL444" i="4"/>
  <c r="M444" i="4"/>
  <c r="AJ444" i="4"/>
  <c r="AH444" i="4"/>
  <c r="K444" i="4"/>
  <c r="F444" i="4"/>
  <c r="P405" i="29"/>
  <c r="V405" i="29"/>
  <c r="W405" i="29" s="1"/>
  <c r="AQ442" i="4"/>
  <c r="AB407" i="29"/>
  <c r="AE442" i="4"/>
  <c r="AI409" i="29"/>
  <c r="AD410" i="29"/>
  <c r="B409" i="29"/>
  <c r="U408" i="29"/>
  <c r="Q408" i="29"/>
  <c r="T408" i="29"/>
  <c r="E408" i="29"/>
  <c r="G408" i="29"/>
  <c r="R408" i="29"/>
  <c r="S408" i="29"/>
  <c r="J407" i="29"/>
  <c r="I407" i="29"/>
  <c r="O407" i="29"/>
  <c r="AE408" i="29"/>
  <c r="AA408" i="29" s="1"/>
  <c r="AF408" i="29"/>
  <c r="P406" i="29"/>
  <c r="V406" i="29"/>
  <c r="W406" i="29" s="1"/>
  <c r="Y407" i="29"/>
  <c r="Z406" i="29"/>
  <c r="AG441" i="4"/>
  <c r="AF443" i="4"/>
  <c r="AV446" i="4"/>
  <c r="B445" i="4"/>
  <c r="AY445" i="4"/>
  <c r="R443" i="4"/>
  <c r="Z443" i="4" s="1"/>
  <c r="U443" i="4"/>
  <c r="AP443" i="4" s="1"/>
  <c r="X443" i="4"/>
  <c r="AC443" i="4" s="1"/>
  <c r="V443" i="4"/>
  <c r="AA443" i="4" s="1"/>
  <c r="W443" i="4"/>
  <c r="AB443" i="4" s="1"/>
  <c r="Q443" i="4"/>
  <c r="Y443" i="4" s="1"/>
  <c r="AD441" i="4"/>
  <c r="AX444" i="4"/>
  <c r="AW444" i="4"/>
  <c r="K407" i="29" l="1"/>
  <c r="N407" i="29" s="1"/>
  <c r="AQ443" i="4"/>
  <c r="AB408" i="29"/>
  <c r="AE443" i="4"/>
  <c r="AN441" i="4"/>
  <c r="AO441" i="4" s="1"/>
  <c r="AD442" i="4"/>
  <c r="AE409" i="29"/>
  <c r="AA409" i="29" s="1"/>
  <c r="AF409" i="29"/>
  <c r="J408" i="29"/>
  <c r="Y408" i="29" s="1"/>
  <c r="I408" i="29"/>
  <c r="Z407" i="29"/>
  <c r="E409" i="29"/>
  <c r="R409" i="29"/>
  <c r="Q409" i="29"/>
  <c r="G409" i="29"/>
  <c r="T409" i="29"/>
  <c r="U409" i="29"/>
  <c r="S409" i="29"/>
  <c r="O408" i="29"/>
  <c r="AI410" i="29"/>
  <c r="B410" i="29"/>
  <c r="AD411" i="29"/>
  <c r="W444" i="4"/>
  <c r="AB444" i="4" s="1"/>
  <c r="X444" i="4"/>
  <c r="AC444" i="4" s="1"/>
  <c r="R444" i="4"/>
  <c r="Z444" i="4" s="1"/>
  <c r="U444" i="4"/>
  <c r="AP444" i="4" s="1"/>
  <c r="V444" i="4"/>
  <c r="AA444" i="4" s="1"/>
  <c r="Q444" i="4"/>
  <c r="Y444" i="4" s="1"/>
  <c r="AX445" i="4"/>
  <c r="AW445" i="4"/>
  <c r="AF444" i="4"/>
  <c r="N445" i="4"/>
  <c r="AK445" i="4"/>
  <c r="K445" i="4"/>
  <c r="F445" i="4"/>
  <c r="P445" i="4"/>
  <c r="O445" i="4"/>
  <c r="L445" i="4"/>
  <c r="AJ445" i="4"/>
  <c r="AI445" i="4"/>
  <c r="AL445" i="4"/>
  <c r="J445" i="4"/>
  <c r="AM445" i="4"/>
  <c r="AH445" i="4"/>
  <c r="M445" i="4"/>
  <c r="AY446" i="4"/>
  <c r="AV447" i="4"/>
  <c r="B446" i="4"/>
  <c r="AD443" i="4"/>
  <c r="P407" i="29" l="1"/>
  <c r="V407" i="29"/>
  <c r="W407" i="29" s="1"/>
  <c r="K408" i="29"/>
  <c r="N408" i="29" s="1"/>
  <c r="AB409" i="29"/>
  <c r="AQ444" i="4"/>
  <c r="AE444" i="4"/>
  <c r="O409" i="29"/>
  <c r="S410" i="29"/>
  <c r="R410" i="29"/>
  <c r="G410" i="29"/>
  <c r="E410" i="29"/>
  <c r="T410" i="29"/>
  <c r="U410" i="29"/>
  <c r="Q410" i="29"/>
  <c r="AF410" i="29"/>
  <c r="AE410" i="29"/>
  <c r="AA410" i="29" s="1"/>
  <c r="I409" i="29"/>
  <c r="J409" i="29"/>
  <c r="Y409" i="29" s="1"/>
  <c r="Z409" i="29" s="1"/>
  <c r="Z408" i="29"/>
  <c r="AD412" i="29"/>
  <c r="AI411" i="29"/>
  <c r="B411" i="29"/>
  <c r="AI446" i="4"/>
  <c r="J446" i="4"/>
  <c r="AH446" i="4"/>
  <c r="N446" i="4"/>
  <c r="O446" i="4"/>
  <c r="M446" i="4"/>
  <c r="P446" i="4"/>
  <c r="K446" i="4"/>
  <c r="AM446" i="4"/>
  <c r="L446" i="4"/>
  <c r="F446" i="4"/>
  <c r="AK446" i="4"/>
  <c r="AJ446" i="4"/>
  <c r="AL446" i="4"/>
  <c r="B447" i="4"/>
  <c r="AV448" i="4"/>
  <c r="AY447" i="4"/>
  <c r="AD444" i="4"/>
  <c r="AW446" i="4"/>
  <c r="AX446" i="4"/>
  <c r="AG442" i="4"/>
  <c r="AN442" i="4"/>
  <c r="AO442" i="4" s="1"/>
  <c r="V445" i="4"/>
  <c r="AA445" i="4" s="1"/>
  <c r="U445" i="4"/>
  <c r="AP445" i="4" s="1"/>
  <c r="W445" i="4"/>
  <c r="AB445" i="4" s="1"/>
  <c r="X445" i="4"/>
  <c r="AC445" i="4" s="1"/>
  <c r="Q445" i="4"/>
  <c r="Y445" i="4" s="1"/>
  <c r="R445" i="4"/>
  <c r="Z445" i="4" s="1"/>
  <c r="AQ445" i="4" s="1"/>
  <c r="AF445" i="4"/>
  <c r="V408" i="29" l="1"/>
  <c r="W408" i="29" s="1"/>
  <c r="P408" i="29"/>
  <c r="K409" i="29"/>
  <c r="N409" i="29" s="1"/>
  <c r="AB410" i="29"/>
  <c r="AE445" i="4"/>
  <c r="AF411" i="29"/>
  <c r="AE411" i="29"/>
  <c r="AA411" i="29" s="1"/>
  <c r="B412" i="29"/>
  <c r="AI412" i="29"/>
  <c r="AD413" i="29"/>
  <c r="O410" i="29"/>
  <c r="I410" i="29"/>
  <c r="K410" i="29" s="1"/>
  <c r="N410" i="29" s="1"/>
  <c r="J410" i="29"/>
  <c r="G411" i="29"/>
  <c r="R411" i="29"/>
  <c r="S411" i="29"/>
  <c r="T411" i="29"/>
  <c r="Q411" i="29"/>
  <c r="E411" i="29"/>
  <c r="U411" i="29"/>
  <c r="Y410" i="29"/>
  <c r="AW447" i="4"/>
  <c r="AX447" i="4"/>
  <c r="AV449" i="4"/>
  <c r="B448" i="4"/>
  <c r="AY448" i="4"/>
  <c r="AG444" i="4"/>
  <c r="AN444" i="4"/>
  <c r="AO444" i="4" s="1"/>
  <c r="AG443" i="4"/>
  <c r="AN443" i="4"/>
  <c r="AO443" i="4" s="1"/>
  <c r="O447" i="4"/>
  <c r="M447" i="4"/>
  <c r="N447" i="4"/>
  <c r="P447" i="4"/>
  <c r="AM447" i="4"/>
  <c r="AL447" i="4"/>
  <c r="F447" i="4"/>
  <c r="AJ447" i="4"/>
  <c r="L447" i="4"/>
  <c r="AH447" i="4"/>
  <c r="K447" i="4"/>
  <c r="J447" i="4"/>
  <c r="AK447" i="4"/>
  <c r="AI447" i="4"/>
  <c r="AF446" i="4"/>
  <c r="W446" i="4"/>
  <c r="AB446" i="4" s="1"/>
  <c r="X446" i="4"/>
  <c r="AC446" i="4" s="1"/>
  <c r="Q446" i="4"/>
  <c r="Y446" i="4" s="1"/>
  <c r="V446" i="4"/>
  <c r="AA446" i="4" s="1"/>
  <c r="U446" i="4"/>
  <c r="AP446" i="4" s="1"/>
  <c r="R446" i="4"/>
  <c r="Z446" i="4" s="1"/>
  <c r="V409" i="29" l="1"/>
  <c r="W409" i="29" s="1"/>
  <c r="P409" i="29"/>
  <c r="AB411" i="29"/>
  <c r="AQ446" i="4"/>
  <c r="AE446" i="4"/>
  <c r="B413" i="29"/>
  <c r="AI413" i="29"/>
  <c r="AD414" i="29"/>
  <c r="V410" i="29"/>
  <c r="W410" i="29" s="1"/>
  <c r="P410" i="29"/>
  <c r="Z410" i="29"/>
  <c r="AE412" i="29"/>
  <c r="AA412" i="29" s="1"/>
  <c r="AF412" i="29"/>
  <c r="O411" i="29"/>
  <c r="E412" i="29"/>
  <c r="U412" i="29"/>
  <c r="T412" i="29"/>
  <c r="Q412" i="29"/>
  <c r="S412" i="29"/>
  <c r="G412" i="29"/>
  <c r="R412" i="29"/>
  <c r="I411" i="29"/>
  <c r="K411" i="29" s="1"/>
  <c r="N411" i="29" s="1"/>
  <c r="J411" i="29"/>
  <c r="Y411" i="29" s="1"/>
  <c r="AD445" i="4"/>
  <c r="AW448" i="4"/>
  <c r="AX448" i="4"/>
  <c r="AD446" i="4"/>
  <c r="AF447" i="4"/>
  <c r="K448" i="4"/>
  <c r="P448" i="4"/>
  <c r="F448" i="4"/>
  <c r="N448" i="4"/>
  <c r="O448" i="4"/>
  <c r="AM448" i="4"/>
  <c r="AH448" i="4"/>
  <c r="AI448" i="4"/>
  <c r="L448" i="4"/>
  <c r="AK448" i="4"/>
  <c r="J448" i="4"/>
  <c r="AL448" i="4"/>
  <c r="AJ448" i="4"/>
  <c r="M448" i="4"/>
  <c r="W447" i="4"/>
  <c r="AB447" i="4" s="1"/>
  <c r="X447" i="4"/>
  <c r="AC447" i="4" s="1"/>
  <c r="R447" i="4"/>
  <c r="Z447" i="4" s="1"/>
  <c r="U447" i="4"/>
  <c r="AP447" i="4" s="1"/>
  <c r="V447" i="4"/>
  <c r="AA447" i="4" s="1"/>
  <c r="Q447" i="4"/>
  <c r="Y447" i="4" s="1"/>
  <c r="AV450" i="4"/>
  <c r="B449" i="4"/>
  <c r="AY449" i="4"/>
  <c r="AB412" i="29" l="1"/>
  <c r="AQ447" i="4"/>
  <c r="AE447" i="4"/>
  <c r="J412" i="29"/>
  <c r="I412" i="29"/>
  <c r="K412" i="29" s="1"/>
  <c r="N412" i="29" s="1"/>
  <c r="AE413" i="29"/>
  <c r="AA413" i="29" s="1"/>
  <c r="AF413" i="29"/>
  <c r="O412" i="29"/>
  <c r="T413" i="29"/>
  <c r="R413" i="29"/>
  <c r="Q413" i="29"/>
  <c r="E413" i="29"/>
  <c r="U413" i="29"/>
  <c r="G413" i="29"/>
  <c r="S413" i="29"/>
  <c r="P411" i="29"/>
  <c r="V411" i="29"/>
  <c r="W411" i="29" s="1"/>
  <c r="Y412" i="29"/>
  <c r="Z411" i="29"/>
  <c r="AI414" i="29"/>
  <c r="B414" i="29"/>
  <c r="AD415" i="29"/>
  <c r="AY450" i="4"/>
  <c r="B450" i="4"/>
  <c r="AV451" i="4"/>
  <c r="AF448" i="4"/>
  <c r="Q448" i="4"/>
  <c r="Y448" i="4" s="1"/>
  <c r="U448" i="4"/>
  <c r="AP448" i="4" s="1"/>
  <c r="X448" i="4"/>
  <c r="AC448" i="4" s="1"/>
  <c r="W448" i="4"/>
  <c r="AB448" i="4" s="1"/>
  <c r="V448" i="4"/>
  <c r="AA448" i="4" s="1"/>
  <c r="R448" i="4"/>
  <c r="Z448" i="4" s="1"/>
  <c r="AQ448" i="4" s="1"/>
  <c r="AW449" i="4"/>
  <c r="AX449" i="4"/>
  <c r="AK449" i="4"/>
  <c r="AM449" i="4"/>
  <c r="P449" i="4"/>
  <c r="AI449" i="4"/>
  <c r="AL449" i="4"/>
  <c r="F449" i="4"/>
  <c r="J449" i="4"/>
  <c r="M449" i="4"/>
  <c r="L449" i="4"/>
  <c r="AH449" i="4"/>
  <c r="N449" i="4"/>
  <c r="AJ449" i="4"/>
  <c r="O449" i="4"/>
  <c r="K449" i="4"/>
  <c r="AD447" i="4"/>
  <c r="AG445" i="4"/>
  <c r="AN445" i="4"/>
  <c r="AO445" i="4" s="1"/>
  <c r="AB413" i="29" l="1"/>
  <c r="AE448" i="4"/>
  <c r="S414" i="29"/>
  <c r="U414" i="29"/>
  <c r="G414" i="29"/>
  <c r="E414" i="29"/>
  <c r="Q414" i="29"/>
  <c r="R414" i="29"/>
  <c r="T414" i="29"/>
  <c r="Z412" i="29"/>
  <c r="AE414" i="29"/>
  <c r="AA414" i="29" s="1"/>
  <c r="AF414" i="29"/>
  <c r="P412" i="29"/>
  <c r="V412" i="29"/>
  <c r="W412" i="29" s="1"/>
  <c r="J413" i="29"/>
  <c r="Y413" i="29" s="1"/>
  <c r="I413" i="29"/>
  <c r="AD416" i="29"/>
  <c r="B415" i="29"/>
  <c r="AI415" i="29"/>
  <c r="O413" i="29"/>
  <c r="AN447" i="4"/>
  <c r="AO447" i="4" s="1"/>
  <c r="AG447" i="4"/>
  <c r="V449" i="4"/>
  <c r="AA449" i="4" s="1"/>
  <c r="U449" i="4"/>
  <c r="AP449" i="4" s="1"/>
  <c r="W449" i="4"/>
  <c r="AB449" i="4" s="1"/>
  <c r="Q449" i="4"/>
  <c r="Y449" i="4" s="1"/>
  <c r="R449" i="4"/>
  <c r="Z449" i="4" s="1"/>
  <c r="X449" i="4"/>
  <c r="AC449" i="4" s="1"/>
  <c r="AV452" i="4"/>
  <c r="B451" i="4"/>
  <c r="AY451" i="4"/>
  <c r="AF449" i="4"/>
  <c r="AK450" i="4"/>
  <c r="AI450" i="4"/>
  <c r="L450" i="4"/>
  <c r="O450" i="4"/>
  <c r="P450" i="4"/>
  <c r="F450" i="4"/>
  <c r="AM450" i="4"/>
  <c r="K450" i="4"/>
  <c r="J450" i="4"/>
  <c r="AH450" i="4"/>
  <c r="AL450" i="4"/>
  <c r="AJ450" i="4"/>
  <c r="N450" i="4"/>
  <c r="M450" i="4"/>
  <c r="AW450" i="4"/>
  <c r="AX450" i="4"/>
  <c r="AG446" i="4"/>
  <c r="AN446" i="4"/>
  <c r="AO446" i="4" s="1"/>
  <c r="K413" i="29" l="1"/>
  <c r="N413" i="29" s="1"/>
  <c r="AQ449" i="4"/>
  <c r="AB414" i="29"/>
  <c r="AE449" i="4"/>
  <c r="Z413" i="29"/>
  <c r="U415" i="29"/>
  <c r="E415" i="29"/>
  <c r="Q415" i="29"/>
  <c r="R415" i="29"/>
  <c r="G415" i="29"/>
  <c r="T415" i="29"/>
  <c r="S415" i="29"/>
  <c r="AD417" i="29"/>
  <c r="AI416" i="29"/>
  <c r="B416" i="29"/>
  <c r="I414" i="29"/>
  <c r="J414" i="29"/>
  <c r="Y414" i="29" s="1"/>
  <c r="O414" i="29"/>
  <c r="AF415" i="29"/>
  <c r="AE415" i="29"/>
  <c r="AA415" i="29" s="1"/>
  <c r="AD448" i="4"/>
  <c r="AN448" i="4"/>
  <c r="AO448" i="4" s="1"/>
  <c r="AG448" i="4"/>
  <c r="AF450" i="4"/>
  <c r="AX451" i="4"/>
  <c r="AW451" i="4"/>
  <c r="AH451" i="4"/>
  <c r="AJ451" i="4"/>
  <c r="N451" i="4"/>
  <c r="O451" i="4"/>
  <c r="P451" i="4"/>
  <c r="L451" i="4"/>
  <c r="AI451" i="4"/>
  <c r="J451" i="4"/>
  <c r="AM451" i="4"/>
  <c r="F451" i="4"/>
  <c r="AL451" i="4"/>
  <c r="M451" i="4"/>
  <c r="K451" i="4"/>
  <c r="AK451" i="4"/>
  <c r="B452" i="4"/>
  <c r="AV453" i="4"/>
  <c r="AY452" i="4"/>
  <c r="W450" i="4"/>
  <c r="AB450" i="4" s="1"/>
  <c r="X450" i="4"/>
  <c r="AC450" i="4" s="1"/>
  <c r="U450" i="4"/>
  <c r="AP450" i="4" s="1"/>
  <c r="V450" i="4"/>
  <c r="AA450" i="4" s="1"/>
  <c r="R450" i="4"/>
  <c r="Z450" i="4" s="1"/>
  <c r="Q450" i="4"/>
  <c r="Y450" i="4" s="1"/>
  <c r="AD449" i="4"/>
  <c r="P413" i="29" l="1"/>
  <c r="V413" i="29"/>
  <c r="W413" i="29" s="1"/>
  <c r="K414" i="29"/>
  <c r="N414" i="29" s="1"/>
  <c r="AQ450" i="4"/>
  <c r="AB415" i="29"/>
  <c r="AE450" i="4"/>
  <c r="AI417" i="29"/>
  <c r="B417" i="29"/>
  <c r="AD418" i="29"/>
  <c r="Z414" i="29"/>
  <c r="O415" i="29"/>
  <c r="Q416" i="29"/>
  <c r="T416" i="29"/>
  <c r="G416" i="29"/>
  <c r="U416" i="29"/>
  <c r="R416" i="29"/>
  <c r="E416" i="29"/>
  <c r="S416" i="29"/>
  <c r="I415" i="29"/>
  <c r="J415" i="29"/>
  <c r="Y415" i="29" s="1"/>
  <c r="AF416" i="29"/>
  <c r="AE416" i="29"/>
  <c r="AA416" i="29" s="1"/>
  <c r="AN449" i="4"/>
  <c r="AO449" i="4" s="1"/>
  <c r="AW452" i="4"/>
  <c r="AX452" i="4"/>
  <c r="W451" i="4"/>
  <c r="AB451" i="4" s="1"/>
  <c r="Q451" i="4"/>
  <c r="Y451" i="4" s="1"/>
  <c r="R451" i="4"/>
  <c r="Z451" i="4" s="1"/>
  <c r="V451" i="4"/>
  <c r="AA451" i="4" s="1"/>
  <c r="X451" i="4"/>
  <c r="AC451" i="4" s="1"/>
  <c r="U451" i="4"/>
  <c r="AF451" i="4"/>
  <c r="B453" i="4"/>
  <c r="AV454" i="4"/>
  <c r="AY453" i="4"/>
  <c r="M452" i="4"/>
  <c r="AK452" i="4"/>
  <c r="L452" i="4"/>
  <c r="AI452" i="4"/>
  <c r="AL452" i="4"/>
  <c r="AH452" i="4"/>
  <c r="AM452" i="4"/>
  <c r="P452" i="4"/>
  <c r="J452" i="4"/>
  <c r="N452" i="4"/>
  <c r="K452" i="4"/>
  <c r="F452" i="4"/>
  <c r="O452" i="4"/>
  <c r="AJ452" i="4"/>
  <c r="AP451" i="4"/>
  <c r="P414" i="29" l="1"/>
  <c r="V414" i="29"/>
  <c r="W414" i="29" s="1"/>
  <c r="K415" i="29"/>
  <c r="N415" i="29" s="1"/>
  <c r="AB416" i="29"/>
  <c r="AQ451" i="4"/>
  <c r="AE451" i="4"/>
  <c r="Z415" i="29"/>
  <c r="U417" i="29"/>
  <c r="S417" i="29"/>
  <c r="Q417" i="29"/>
  <c r="E417" i="29"/>
  <c r="G417" i="29"/>
  <c r="T417" i="29"/>
  <c r="R417" i="29"/>
  <c r="AF417" i="29"/>
  <c r="AE417" i="29"/>
  <c r="AA417" i="29" s="1"/>
  <c r="I416" i="29"/>
  <c r="J416" i="29"/>
  <c r="Y416" i="29" s="1"/>
  <c r="O416" i="29"/>
  <c r="AD419" i="29"/>
  <c r="AI418" i="29"/>
  <c r="B418" i="29"/>
  <c r="AG449" i="4"/>
  <c r="AN450" i="4"/>
  <c r="AO450" i="4" s="1"/>
  <c r="AG450" i="4"/>
  <c r="AM453" i="4"/>
  <c r="L453" i="4"/>
  <c r="K453" i="4"/>
  <c r="AK453" i="4"/>
  <c r="M453" i="4"/>
  <c r="AH453" i="4"/>
  <c r="AL453" i="4"/>
  <c r="N453" i="4"/>
  <c r="J453" i="4"/>
  <c r="AJ453" i="4"/>
  <c r="AI453" i="4"/>
  <c r="P453" i="4"/>
  <c r="F453" i="4"/>
  <c r="O453" i="4"/>
  <c r="W452" i="4"/>
  <c r="AB452" i="4" s="1"/>
  <c r="Q452" i="4"/>
  <c r="Y452" i="4" s="1"/>
  <c r="V452" i="4"/>
  <c r="AA452" i="4" s="1"/>
  <c r="X452" i="4"/>
  <c r="AC452" i="4" s="1"/>
  <c r="R452" i="4"/>
  <c r="Z452" i="4" s="1"/>
  <c r="U452" i="4"/>
  <c r="AP452" i="4" s="1"/>
  <c r="AD450" i="4"/>
  <c r="AF452" i="4"/>
  <c r="AX453" i="4"/>
  <c r="AW453" i="4"/>
  <c r="B454" i="4"/>
  <c r="AV455" i="4"/>
  <c r="AY454" i="4"/>
  <c r="P415" i="29" l="1"/>
  <c r="V415" i="29"/>
  <c r="W415" i="29" s="1"/>
  <c r="K416" i="29"/>
  <c r="N416" i="29" s="1"/>
  <c r="AQ452" i="4"/>
  <c r="AB417" i="29"/>
  <c r="AE452" i="4"/>
  <c r="E418" i="29"/>
  <c r="U418" i="29"/>
  <c r="G418" i="29"/>
  <c r="Q418" i="29"/>
  <c r="T418" i="29"/>
  <c r="S418" i="29"/>
  <c r="R418" i="29"/>
  <c r="AE418" i="29"/>
  <c r="AA418" i="29" s="1"/>
  <c r="AF418" i="29"/>
  <c r="AI419" i="29"/>
  <c r="AD420" i="29"/>
  <c r="B419" i="29"/>
  <c r="O417" i="29"/>
  <c r="Z416" i="29"/>
  <c r="J417" i="29"/>
  <c r="Y417" i="29" s="1"/>
  <c r="I417" i="29"/>
  <c r="K417" i="29" s="1"/>
  <c r="AG451" i="4"/>
  <c r="AN451" i="4"/>
  <c r="AO451" i="4" s="1"/>
  <c r="AW454" i="4"/>
  <c r="AX454" i="4"/>
  <c r="AV456" i="4"/>
  <c r="B455" i="4"/>
  <c r="AY455" i="4"/>
  <c r="AD451" i="4"/>
  <c r="R453" i="4"/>
  <c r="Z453" i="4" s="1"/>
  <c r="U453" i="4"/>
  <c r="AP453" i="4" s="1"/>
  <c r="W453" i="4"/>
  <c r="AB453" i="4" s="1"/>
  <c r="Q453" i="4"/>
  <c r="Y453" i="4" s="1"/>
  <c r="X453" i="4"/>
  <c r="AC453" i="4" s="1"/>
  <c r="V453" i="4"/>
  <c r="AA453" i="4" s="1"/>
  <c r="AF453" i="4"/>
  <c r="AD452" i="4"/>
  <c r="N454" i="4"/>
  <c r="AH454" i="4"/>
  <c r="J454" i="4"/>
  <c r="M454" i="4"/>
  <c r="AI454" i="4"/>
  <c r="AL454" i="4"/>
  <c r="AJ454" i="4"/>
  <c r="K454" i="4"/>
  <c r="AM454" i="4"/>
  <c r="O454" i="4"/>
  <c r="F454" i="4"/>
  <c r="L454" i="4"/>
  <c r="P454" i="4"/>
  <c r="AK454" i="4"/>
  <c r="P416" i="29" l="1"/>
  <c r="V416" i="29"/>
  <c r="W416" i="29" s="1"/>
  <c r="N417" i="29"/>
  <c r="AQ453" i="4"/>
  <c r="AB418" i="29"/>
  <c r="AE453" i="4"/>
  <c r="P417" i="29"/>
  <c r="V417" i="29"/>
  <c r="W417" i="29" s="1"/>
  <c r="R419" i="29"/>
  <c r="E419" i="29"/>
  <c r="S419" i="29"/>
  <c r="Q419" i="29"/>
  <c r="G419" i="29"/>
  <c r="T419" i="29"/>
  <c r="U419" i="29"/>
  <c r="Z417" i="29"/>
  <c r="AI420" i="29"/>
  <c r="AD421" i="29"/>
  <c r="B420" i="29"/>
  <c r="J418" i="29"/>
  <c r="Y418" i="29" s="1"/>
  <c r="I418" i="29"/>
  <c r="K418" i="29" s="1"/>
  <c r="O418" i="29"/>
  <c r="AF419" i="29"/>
  <c r="AE419" i="29"/>
  <c r="AA419" i="29" s="1"/>
  <c r="B456" i="4"/>
  <c r="AY456" i="4"/>
  <c r="AV457" i="4"/>
  <c r="R454" i="4"/>
  <c r="Z454" i="4" s="1"/>
  <c r="W454" i="4"/>
  <c r="AB454" i="4" s="1"/>
  <c r="U454" i="4"/>
  <c r="AP454" i="4" s="1"/>
  <c r="V454" i="4"/>
  <c r="AA454" i="4" s="1"/>
  <c r="Q454" i="4"/>
  <c r="Y454" i="4" s="1"/>
  <c r="X454" i="4"/>
  <c r="AC454" i="4" s="1"/>
  <c r="AX455" i="4"/>
  <c r="AW455" i="4"/>
  <c r="L939" i="7"/>
  <c r="AF454" i="4"/>
  <c r="O455" i="4"/>
  <c r="N455" i="4"/>
  <c r="P455" i="4"/>
  <c r="L455" i="4"/>
  <c r="M455" i="4"/>
  <c r="AK455" i="4"/>
  <c r="K455" i="4"/>
  <c r="J455" i="4"/>
  <c r="AH455" i="4"/>
  <c r="AI455" i="4"/>
  <c r="AM455" i="4"/>
  <c r="AL455" i="4"/>
  <c r="F455" i="4"/>
  <c r="AJ455" i="4"/>
  <c r="N418" i="29" l="1"/>
  <c r="O419" i="29"/>
  <c r="AQ454" i="4"/>
  <c r="AB419" i="29"/>
  <c r="AE454" i="4"/>
  <c r="L940" i="7" s="1"/>
  <c r="E420" i="29"/>
  <c r="R420" i="29"/>
  <c r="G420" i="29"/>
  <c r="Q420" i="29"/>
  <c r="U420" i="29"/>
  <c r="S420" i="29"/>
  <c r="T420" i="29"/>
  <c r="Z418" i="29"/>
  <c r="AD422" i="29"/>
  <c r="AI421" i="29"/>
  <c r="B421" i="29"/>
  <c r="J419" i="29"/>
  <c r="Y419" i="29" s="1"/>
  <c r="Z419" i="29" s="1"/>
  <c r="I419" i="29"/>
  <c r="V418" i="29"/>
  <c r="W418" i="29" s="1"/>
  <c r="P418" i="29"/>
  <c r="AF420" i="29"/>
  <c r="AE420" i="29"/>
  <c r="AA420" i="29" s="1"/>
  <c r="AG453" i="4"/>
  <c r="AN453" i="4"/>
  <c r="AO453" i="4" s="1"/>
  <c r="P456" i="4"/>
  <c r="AK456" i="4"/>
  <c r="AI456" i="4"/>
  <c r="N456" i="4"/>
  <c r="AH456" i="4"/>
  <c r="AM456" i="4"/>
  <c r="M456" i="4"/>
  <c r="F456" i="4"/>
  <c r="K456" i="4"/>
  <c r="J456" i="4"/>
  <c r="AJ456" i="4"/>
  <c r="O456" i="4"/>
  <c r="AL456" i="4"/>
  <c r="L456" i="4"/>
  <c r="AD453" i="4"/>
  <c r="AN452" i="4"/>
  <c r="AO452" i="4" s="1"/>
  <c r="AG452" i="4"/>
  <c r="B457" i="4"/>
  <c r="AV461" i="4"/>
  <c r="AV458" i="4"/>
  <c r="AY457" i="4"/>
  <c r="AF455" i="4"/>
  <c r="W455" i="4"/>
  <c r="AB455" i="4" s="1"/>
  <c r="R455" i="4"/>
  <c r="Z455" i="4" s="1"/>
  <c r="X455" i="4"/>
  <c r="AC455" i="4" s="1"/>
  <c r="U455" i="4"/>
  <c r="AP455" i="4" s="1"/>
  <c r="Q455" i="4"/>
  <c r="Y455" i="4" s="1"/>
  <c r="V455" i="4"/>
  <c r="AA455" i="4" s="1"/>
  <c r="AX456" i="4"/>
  <c r="AW456" i="4"/>
  <c r="K419" i="29" l="1"/>
  <c r="N419" i="29" s="1"/>
  <c r="AQ455" i="4"/>
  <c r="AB420" i="29"/>
  <c r="AE455" i="4"/>
  <c r="AE421" i="29"/>
  <c r="AA421" i="29" s="1"/>
  <c r="AF421" i="29"/>
  <c r="B422" i="29"/>
  <c r="AI422" i="29"/>
  <c r="AD423" i="29"/>
  <c r="J420" i="29"/>
  <c r="Y420" i="29" s="1"/>
  <c r="I420" i="29"/>
  <c r="E421" i="29"/>
  <c r="R421" i="29"/>
  <c r="G421" i="29"/>
  <c r="S421" i="29"/>
  <c r="U421" i="29"/>
  <c r="Q421" i="29"/>
  <c r="T421" i="29"/>
  <c r="O420" i="29"/>
  <c r="AN454" i="4"/>
  <c r="AO454" i="4" s="1"/>
  <c r="AG454" i="4"/>
  <c r="AW457" i="4"/>
  <c r="AX457" i="4"/>
  <c r="AY461" i="4"/>
  <c r="B461" i="4"/>
  <c r="P457" i="4"/>
  <c r="F457" i="4"/>
  <c r="N457" i="4"/>
  <c r="AL457" i="4"/>
  <c r="AK457" i="4"/>
  <c r="O457" i="4"/>
  <c r="AH457" i="4"/>
  <c r="AM457" i="4"/>
  <c r="AI457" i="4"/>
  <c r="M457" i="4"/>
  <c r="K457" i="4"/>
  <c r="L457" i="4"/>
  <c r="AJ457" i="4"/>
  <c r="J457" i="4"/>
  <c r="AD454" i="4"/>
  <c r="U456" i="4"/>
  <c r="AP456" i="4" s="1"/>
  <c r="Q456" i="4"/>
  <c r="Y456" i="4" s="1"/>
  <c r="V456" i="4"/>
  <c r="AA456" i="4" s="1"/>
  <c r="X456" i="4"/>
  <c r="AC456" i="4" s="1"/>
  <c r="W456" i="4"/>
  <c r="AB456" i="4" s="1"/>
  <c r="R456" i="4"/>
  <c r="Z456" i="4" s="1"/>
  <c r="AY458" i="4"/>
  <c r="B458" i="4"/>
  <c r="AV459" i="4"/>
  <c r="AV462" i="4"/>
  <c r="AD455" i="4"/>
  <c r="AF456" i="4"/>
  <c r="AM458" i="4" l="1"/>
  <c r="AI458" i="4"/>
  <c r="N458" i="4"/>
  <c r="J458" i="4"/>
  <c r="AK458" i="4"/>
  <c r="P458" i="4"/>
  <c r="L458" i="4"/>
  <c r="AH458" i="4"/>
  <c r="F458" i="4"/>
  <c r="O458" i="4"/>
  <c r="AL458" i="4"/>
  <c r="AJ458" i="4"/>
  <c r="M458" i="4"/>
  <c r="K458" i="4"/>
  <c r="V419" i="29"/>
  <c r="W419" i="29" s="1"/>
  <c r="P419" i="29"/>
  <c r="K420" i="29"/>
  <c r="N420" i="29" s="1"/>
  <c r="AB421" i="29"/>
  <c r="AQ456" i="4"/>
  <c r="AE456" i="4"/>
  <c r="AI423" i="29"/>
  <c r="AD424" i="29"/>
  <c r="B423" i="29"/>
  <c r="AF422" i="29"/>
  <c r="AE422" i="29"/>
  <c r="AA422" i="29" s="1"/>
  <c r="Z420" i="29"/>
  <c r="E422" i="29"/>
  <c r="S422" i="29"/>
  <c r="Q422" i="29"/>
  <c r="G422" i="29"/>
  <c r="R422" i="29"/>
  <c r="U422" i="29"/>
  <c r="T422" i="29"/>
  <c r="I421" i="29"/>
  <c r="K421" i="29" s="1"/>
  <c r="J421" i="29"/>
  <c r="Y421" i="29" s="1"/>
  <c r="O421" i="29"/>
  <c r="AX458" i="4"/>
  <c r="AW458" i="4"/>
  <c r="B462" i="4"/>
  <c r="AY462" i="4"/>
  <c r="B459" i="4"/>
  <c r="AV463" i="4"/>
  <c r="AV460" i="4"/>
  <c r="AY459" i="4"/>
  <c r="P461" i="4"/>
  <c r="AJ461" i="4"/>
  <c r="N461" i="4"/>
  <c r="O461" i="4"/>
  <c r="AI461" i="4"/>
  <c r="AM461" i="4"/>
  <c r="K461" i="4"/>
  <c r="F461" i="4"/>
  <c r="AH461" i="4"/>
  <c r="M461" i="4"/>
  <c r="J461" i="4"/>
  <c r="L461" i="4"/>
  <c r="AL461" i="4"/>
  <c r="AK461" i="4"/>
  <c r="AX461" i="4"/>
  <c r="AW461" i="4"/>
  <c r="AF457" i="4"/>
  <c r="U457" i="4"/>
  <c r="AP457" i="4" s="1"/>
  <c r="R457" i="4"/>
  <c r="Z457" i="4" s="1"/>
  <c r="W457" i="4"/>
  <c r="AB457" i="4" s="1"/>
  <c r="X457" i="4"/>
  <c r="AC457" i="4" s="1"/>
  <c r="V457" i="4"/>
  <c r="AA457" i="4" s="1"/>
  <c r="Q457" i="4"/>
  <c r="Y457" i="4" s="1"/>
  <c r="L459" i="4" l="1"/>
  <c r="J459" i="4"/>
  <c r="K459" i="4"/>
  <c r="F459" i="4"/>
  <c r="AM459" i="4"/>
  <c r="AI459" i="4"/>
  <c r="N459" i="4"/>
  <c r="AK459" i="4"/>
  <c r="O459" i="4"/>
  <c r="AH459" i="4"/>
  <c r="AL459" i="4"/>
  <c r="AJ459" i="4"/>
  <c r="M459" i="4"/>
  <c r="P459" i="4"/>
  <c r="P420" i="29"/>
  <c r="V420" i="29"/>
  <c r="W420" i="29" s="1"/>
  <c r="AB422" i="29"/>
  <c r="N421" i="29"/>
  <c r="P421" i="29" s="1"/>
  <c r="AQ457" i="4"/>
  <c r="AE457" i="4"/>
  <c r="O422" i="29"/>
  <c r="B424" i="29"/>
  <c r="AD425" i="29"/>
  <c r="AI424" i="29"/>
  <c r="I422" i="29"/>
  <c r="K422" i="29" s="1"/>
  <c r="J422" i="29"/>
  <c r="Y422" i="29" s="1"/>
  <c r="AE423" i="29"/>
  <c r="AA423" i="29" s="1"/>
  <c r="AF423" i="29"/>
  <c r="Z421" i="29"/>
  <c r="G423" i="29"/>
  <c r="E423" i="29"/>
  <c r="T423" i="29"/>
  <c r="R423" i="29"/>
  <c r="U423" i="29"/>
  <c r="S423" i="29"/>
  <c r="Q423" i="29"/>
  <c r="AN456" i="4"/>
  <c r="AO456" i="4" s="1"/>
  <c r="AG456" i="4"/>
  <c r="AG455" i="4"/>
  <c r="AN455" i="4"/>
  <c r="AO455" i="4" s="1"/>
  <c r="B463" i="4"/>
  <c r="AY463" i="4"/>
  <c r="AF458" i="4"/>
  <c r="W461" i="4"/>
  <c r="AB461" i="4" s="1"/>
  <c r="U461" i="4"/>
  <c r="V461" i="4"/>
  <c r="AA461" i="4" s="1"/>
  <c r="R461" i="4"/>
  <c r="Z461" i="4" s="1"/>
  <c r="X461" i="4"/>
  <c r="AC461" i="4" s="1"/>
  <c r="Q461" i="4"/>
  <c r="Y461" i="4" s="1"/>
  <c r="X458" i="4"/>
  <c r="AC458" i="4" s="1"/>
  <c r="Q458" i="4"/>
  <c r="Y458" i="4" s="1"/>
  <c r="V458" i="4"/>
  <c r="AA458" i="4" s="1"/>
  <c r="R458" i="4"/>
  <c r="Z458" i="4" s="1"/>
  <c r="U458" i="4"/>
  <c r="AP458" i="4" s="1"/>
  <c r="W458" i="4"/>
  <c r="AB458" i="4" s="1"/>
  <c r="AD456" i="4"/>
  <c r="AD457" i="4"/>
  <c r="AP461" i="4"/>
  <c r="AX459" i="4"/>
  <c r="AW459" i="4"/>
  <c r="AX462" i="4"/>
  <c r="AW462" i="4"/>
  <c r="AF461" i="4"/>
  <c r="AV464" i="4"/>
  <c r="B460" i="4"/>
  <c r="AY460" i="4"/>
  <c r="AJ462" i="4"/>
  <c r="K462" i="4"/>
  <c r="N462" i="4"/>
  <c r="O462" i="4"/>
  <c r="AM462" i="4"/>
  <c r="L462" i="4"/>
  <c r="M462" i="4"/>
  <c r="AL462" i="4"/>
  <c r="P462" i="4"/>
  <c r="AI462" i="4"/>
  <c r="F462" i="4"/>
  <c r="J462" i="4"/>
  <c r="AH462" i="4"/>
  <c r="AK462" i="4"/>
  <c r="V421" i="29" l="1"/>
  <c r="W421" i="29" s="1"/>
  <c r="AB423" i="29"/>
  <c r="N422" i="29"/>
  <c r="V422" i="29" s="1"/>
  <c r="W422" i="29" s="1"/>
  <c r="AQ458" i="4"/>
  <c r="AQ461" i="4"/>
  <c r="AE458" i="4"/>
  <c r="AE461" i="4"/>
  <c r="O423" i="29"/>
  <c r="U424" i="29"/>
  <c r="Q424" i="29"/>
  <c r="T424" i="29"/>
  <c r="E424" i="29"/>
  <c r="G424" i="29"/>
  <c r="S424" i="29"/>
  <c r="R424" i="29"/>
  <c r="Z422" i="29"/>
  <c r="AE424" i="29"/>
  <c r="AA424" i="29" s="1"/>
  <c r="AF424" i="29"/>
  <c r="J423" i="29"/>
  <c r="Y423" i="29" s="1"/>
  <c r="Z423" i="29" s="1"/>
  <c r="I423" i="29"/>
  <c r="AI425" i="29"/>
  <c r="AD426" i="29"/>
  <c r="B425" i="29"/>
  <c r="F460" i="4"/>
  <c r="AL460" i="4"/>
  <c r="L460" i="4"/>
  <c r="M460" i="4"/>
  <c r="O460" i="4"/>
  <c r="K460" i="4"/>
  <c r="P460" i="4"/>
  <c r="AI460" i="4"/>
  <c r="AJ460" i="4"/>
  <c r="J460" i="4"/>
  <c r="AH460" i="4"/>
  <c r="AM460" i="4"/>
  <c r="N460" i="4"/>
  <c r="AW463" i="4"/>
  <c r="AX463" i="4"/>
  <c r="B464" i="4"/>
  <c r="AY464" i="4"/>
  <c r="AV465" i="4"/>
  <c r="AD461" i="4"/>
  <c r="L1073" i="29"/>
  <c r="L1071" i="29"/>
  <c r="AH463" i="4"/>
  <c r="F463" i="4"/>
  <c r="P463" i="4"/>
  <c r="AK463" i="4"/>
  <c r="K463" i="4"/>
  <c r="O463" i="4"/>
  <c r="N463" i="4"/>
  <c r="AJ463" i="4"/>
  <c r="AM463" i="4"/>
  <c r="J463" i="4"/>
  <c r="AL463" i="4"/>
  <c r="L463" i="4"/>
  <c r="M463" i="4"/>
  <c r="AI463" i="4"/>
  <c r="AF462" i="4"/>
  <c r="R462" i="4"/>
  <c r="Z462" i="4" s="1"/>
  <c r="X462" i="4"/>
  <c r="AC462" i="4" s="1"/>
  <c r="W462" i="4"/>
  <c r="AB462" i="4" s="1"/>
  <c r="U462" i="4"/>
  <c r="AP462" i="4" s="1"/>
  <c r="Q462" i="4"/>
  <c r="Y462" i="4" s="1"/>
  <c r="V462" i="4"/>
  <c r="AA462" i="4" s="1"/>
  <c r="R459" i="4"/>
  <c r="Z459" i="4" s="1"/>
  <c r="V459" i="4"/>
  <c r="AA459" i="4" s="1"/>
  <c r="U459" i="4"/>
  <c r="AP459" i="4" s="1"/>
  <c r="X459" i="4"/>
  <c r="AC459" i="4" s="1"/>
  <c r="Q459" i="4"/>
  <c r="Y459" i="4" s="1"/>
  <c r="W459" i="4"/>
  <c r="AB459" i="4" s="1"/>
  <c r="AW460" i="4"/>
  <c r="AX460" i="4"/>
  <c r="AD458" i="4"/>
  <c r="AF459" i="4"/>
  <c r="P422" i="29" l="1"/>
  <c r="K423" i="29"/>
  <c r="N423" i="29" s="1"/>
  <c r="AQ462" i="4"/>
  <c r="AQ459" i="4"/>
  <c r="AB424" i="29"/>
  <c r="AE459" i="4"/>
  <c r="AE462" i="4"/>
  <c r="U425" i="29"/>
  <c r="R425" i="29"/>
  <c r="Q425" i="29"/>
  <c r="E425" i="29"/>
  <c r="S425" i="29"/>
  <c r="G425" i="29"/>
  <c r="T425" i="29"/>
  <c r="AI426" i="29"/>
  <c r="AD427" i="29"/>
  <c r="B426" i="29"/>
  <c r="J424" i="29"/>
  <c r="Y424" i="29" s="1"/>
  <c r="I424" i="29"/>
  <c r="AE425" i="29"/>
  <c r="AA425" i="29" s="1"/>
  <c r="AF425" i="29"/>
  <c r="O424" i="29"/>
  <c r="AF463" i="4"/>
  <c r="AV466" i="4"/>
  <c r="AY465" i="4"/>
  <c r="B465" i="4"/>
  <c r="W463" i="4"/>
  <c r="AB463" i="4" s="1"/>
  <c r="R463" i="4"/>
  <c r="Z463" i="4" s="1"/>
  <c r="X463" i="4"/>
  <c r="AC463" i="4" s="1"/>
  <c r="Q463" i="4"/>
  <c r="Y463" i="4" s="1"/>
  <c r="V463" i="4"/>
  <c r="AA463" i="4" s="1"/>
  <c r="U463" i="4"/>
  <c r="AP463" i="4" s="1"/>
  <c r="AG457" i="4"/>
  <c r="AN457" i="4"/>
  <c r="AO457" i="4" s="1"/>
  <c r="AW464" i="4"/>
  <c r="AX464" i="4"/>
  <c r="Q460" i="4"/>
  <c r="Y460" i="4" s="1"/>
  <c r="V460" i="4"/>
  <c r="AA460" i="4" s="1"/>
  <c r="W460" i="4"/>
  <c r="AB460" i="4" s="1"/>
  <c r="X460" i="4"/>
  <c r="AC460" i="4" s="1"/>
  <c r="R460" i="4"/>
  <c r="Z460" i="4" s="1"/>
  <c r="U460" i="4"/>
  <c r="AP460" i="4" s="1"/>
  <c r="AD459" i="4"/>
  <c r="AM464" i="4"/>
  <c r="AJ464" i="4"/>
  <c r="L464" i="4"/>
  <c r="AI464" i="4"/>
  <c r="M464" i="4"/>
  <c r="AH464" i="4"/>
  <c r="K464" i="4"/>
  <c r="O464" i="4"/>
  <c r="P464" i="4"/>
  <c r="J464" i="4"/>
  <c r="F464" i="4"/>
  <c r="AL464" i="4"/>
  <c r="N464" i="4"/>
  <c r="AK464" i="4"/>
  <c r="AN461" i="4"/>
  <c r="AO461" i="4" s="1"/>
  <c r="AG461" i="4"/>
  <c r="V423" i="29" l="1"/>
  <c r="W423" i="29" s="1"/>
  <c r="P423" i="29"/>
  <c r="K424" i="29"/>
  <c r="N424" i="29" s="1"/>
  <c r="AQ460" i="4"/>
  <c r="AQ463" i="4"/>
  <c r="AB425" i="29"/>
  <c r="AE460" i="4"/>
  <c r="AE463" i="4"/>
  <c r="R426" i="29"/>
  <c r="Q426" i="29"/>
  <c r="T426" i="29"/>
  <c r="U426" i="29"/>
  <c r="G426" i="29"/>
  <c r="E426" i="29"/>
  <c r="S426" i="29"/>
  <c r="O425" i="29"/>
  <c r="AD428" i="29"/>
  <c r="B427" i="29"/>
  <c r="AI427" i="29"/>
  <c r="Z424" i="29"/>
  <c r="AF426" i="29"/>
  <c r="AE426" i="29"/>
  <c r="AA426" i="29" s="1"/>
  <c r="J425" i="29"/>
  <c r="Y425" i="29" s="1"/>
  <c r="I425" i="29"/>
  <c r="K425" i="29" s="1"/>
  <c r="AD462" i="4"/>
  <c r="AF464" i="4"/>
  <c r="AG462" i="4"/>
  <c r="AN462" i="4"/>
  <c r="AO462" i="4" s="1"/>
  <c r="AY466" i="4"/>
  <c r="B466" i="4"/>
  <c r="AV467" i="4"/>
  <c r="V464" i="4"/>
  <c r="AA464" i="4" s="1"/>
  <c r="W464" i="4"/>
  <c r="AB464" i="4" s="1"/>
  <c r="X464" i="4"/>
  <c r="AC464" i="4" s="1"/>
  <c r="Q464" i="4"/>
  <c r="Y464" i="4" s="1"/>
  <c r="U464" i="4"/>
  <c r="R464" i="4"/>
  <c r="Z464" i="4" s="1"/>
  <c r="AK465" i="4"/>
  <c r="K465" i="4"/>
  <c r="AJ465" i="4"/>
  <c r="J465" i="4"/>
  <c r="F465" i="4"/>
  <c r="P465" i="4"/>
  <c r="AI465" i="4"/>
  <c r="AH465" i="4"/>
  <c r="O465" i="4"/>
  <c r="M465" i="4"/>
  <c r="AM465" i="4"/>
  <c r="L465" i="4"/>
  <c r="N465" i="4"/>
  <c r="AL465" i="4"/>
  <c r="AN458" i="4"/>
  <c r="AO458" i="4" s="1"/>
  <c r="AG458" i="4"/>
  <c r="AP464" i="4"/>
  <c r="AD463" i="4"/>
  <c r="AW465" i="4"/>
  <c r="AX465" i="4"/>
  <c r="P424" i="29" l="1"/>
  <c r="V424" i="29"/>
  <c r="W424" i="29" s="1"/>
  <c r="AB426" i="29"/>
  <c r="N425" i="29"/>
  <c r="AQ464" i="4"/>
  <c r="AE464" i="4"/>
  <c r="Z425" i="29"/>
  <c r="AE427" i="29"/>
  <c r="AA427" i="29" s="1"/>
  <c r="AF427" i="29"/>
  <c r="J426" i="29"/>
  <c r="Y426" i="29" s="1"/>
  <c r="I426" i="29"/>
  <c r="K426" i="29" s="1"/>
  <c r="G427" i="29"/>
  <c r="R427" i="29"/>
  <c r="Q427" i="29"/>
  <c r="T427" i="29"/>
  <c r="S427" i="29"/>
  <c r="E427" i="29"/>
  <c r="U427" i="29"/>
  <c r="O426" i="29"/>
  <c r="V425" i="29"/>
  <c r="W425" i="29" s="1"/>
  <c r="P425" i="29"/>
  <c r="B428" i="29"/>
  <c r="AI428" i="29"/>
  <c r="AD429" i="29"/>
  <c r="AN459" i="4"/>
  <c r="AO459" i="4" s="1"/>
  <c r="AG459" i="4"/>
  <c r="V465" i="4"/>
  <c r="AA465" i="4" s="1"/>
  <c r="U465" i="4"/>
  <c r="AP465" i="4" s="1"/>
  <c r="Q465" i="4"/>
  <c r="Y465" i="4" s="1"/>
  <c r="R465" i="4"/>
  <c r="Z465" i="4" s="1"/>
  <c r="W465" i="4"/>
  <c r="AB465" i="4" s="1"/>
  <c r="X465" i="4"/>
  <c r="AC465" i="4" s="1"/>
  <c r="AY467" i="4"/>
  <c r="B467" i="4"/>
  <c r="AV468" i="4"/>
  <c r="AI466" i="4"/>
  <c r="J466" i="4"/>
  <c r="N466" i="4"/>
  <c r="F466" i="4"/>
  <c r="L466" i="4"/>
  <c r="O466" i="4"/>
  <c r="AH466" i="4"/>
  <c r="AJ466" i="4"/>
  <c r="P466" i="4"/>
  <c r="AM466" i="4"/>
  <c r="K466" i="4"/>
  <c r="M466" i="4"/>
  <c r="AK466" i="4"/>
  <c r="AL466" i="4"/>
  <c r="AD460" i="4"/>
  <c r="AF465" i="4"/>
  <c r="AW466" i="4"/>
  <c r="AX466" i="4"/>
  <c r="AB427" i="29" l="1"/>
  <c r="N426" i="29"/>
  <c r="P426" i="29" s="1"/>
  <c r="AQ465" i="4"/>
  <c r="AE465" i="4"/>
  <c r="AD464" i="4"/>
  <c r="O427" i="29"/>
  <c r="V426" i="29"/>
  <c r="W426" i="29" s="1"/>
  <c r="AF428" i="29"/>
  <c r="AE428" i="29"/>
  <c r="AA428" i="29" s="1"/>
  <c r="U428" i="29"/>
  <c r="E428" i="29"/>
  <c r="Q428" i="29"/>
  <c r="S428" i="29"/>
  <c r="T428" i="29"/>
  <c r="G428" i="29"/>
  <c r="R428" i="29"/>
  <c r="J427" i="29"/>
  <c r="Y427" i="29" s="1"/>
  <c r="Z427" i="29" s="1"/>
  <c r="I427" i="29"/>
  <c r="B429" i="29"/>
  <c r="AI429" i="29"/>
  <c r="AD430" i="29"/>
  <c r="Z426" i="29"/>
  <c r="AN464" i="4"/>
  <c r="AO464" i="4" s="1"/>
  <c r="AG464" i="4"/>
  <c r="U466" i="4"/>
  <c r="AP466" i="4" s="1"/>
  <c r="Q466" i="4"/>
  <c r="Y466" i="4" s="1"/>
  <c r="V466" i="4"/>
  <c r="AA466" i="4" s="1"/>
  <c r="R466" i="4"/>
  <c r="Z466" i="4" s="1"/>
  <c r="X466" i="4"/>
  <c r="AC466" i="4" s="1"/>
  <c r="W466" i="4"/>
  <c r="AB466" i="4" s="1"/>
  <c r="AD465" i="4"/>
  <c r="B468" i="4"/>
  <c r="AV469" i="4"/>
  <c r="AY468" i="4"/>
  <c r="AN463" i="4"/>
  <c r="AO463" i="4" s="1"/>
  <c r="AG463" i="4"/>
  <c r="O467" i="4"/>
  <c r="J467" i="4"/>
  <c r="N467" i="4"/>
  <c r="AI467" i="4"/>
  <c r="P467" i="4"/>
  <c r="AK467" i="4"/>
  <c r="AL467" i="4"/>
  <c r="F467" i="4"/>
  <c r="K467" i="4"/>
  <c r="L467" i="4"/>
  <c r="AH467" i="4"/>
  <c r="M467" i="4"/>
  <c r="AJ467" i="4"/>
  <c r="AM467" i="4"/>
  <c r="AF466" i="4"/>
  <c r="AW467" i="4"/>
  <c r="AX467" i="4"/>
  <c r="K427" i="29" l="1"/>
  <c r="N427" i="29" s="1"/>
  <c r="AB428" i="29"/>
  <c r="AQ466" i="4"/>
  <c r="AE466" i="4"/>
  <c r="AG465" i="4"/>
  <c r="Q429" i="29"/>
  <c r="G429" i="29"/>
  <c r="S429" i="29"/>
  <c r="R429" i="29"/>
  <c r="U429" i="29"/>
  <c r="E429" i="29"/>
  <c r="T429" i="29"/>
  <c r="O428" i="29"/>
  <c r="AD431" i="29"/>
  <c r="AI430" i="29"/>
  <c r="B430" i="29"/>
  <c r="AF429" i="29"/>
  <c r="AE429" i="29"/>
  <c r="AA429" i="29" s="1"/>
  <c r="J428" i="29"/>
  <c r="Y428" i="29" s="1"/>
  <c r="I428" i="29"/>
  <c r="K428" i="29" s="1"/>
  <c r="AW468" i="4"/>
  <c r="AX468" i="4"/>
  <c r="W467" i="4"/>
  <c r="AB467" i="4" s="1"/>
  <c r="X467" i="4"/>
  <c r="AC467" i="4" s="1"/>
  <c r="U467" i="4"/>
  <c r="AP467" i="4" s="1"/>
  <c r="Q467" i="4"/>
  <c r="Y467" i="4" s="1"/>
  <c r="V467" i="4"/>
  <c r="AA467" i="4" s="1"/>
  <c r="R467" i="4"/>
  <c r="Z467" i="4" s="1"/>
  <c r="B469" i="4"/>
  <c r="AY469" i="4"/>
  <c r="AV470" i="4"/>
  <c r="AF467" i="4"/>
  <c r="AI468" i="4"/>
  <c r="J468" i="4"/>
  <c r="O468" i="4"/>
  <c r="N468" i="4"/>
  <c r="F468" i="4"/>
  <c r="AH468" i="4"/>
  <c r="AL468" i="4"/>
  <c r="K468" i="4"/>
  <c r="P468" i="4"/>
  <c r="AM468" i="4"/>
  <c r="AK468" i="4"/>
  <c r="M468" i="4"/>
  <c r="AJ468" i="4"/>
  <c r="L468" i="4"/>
  <c r="P427" i="29" l="1"/>
  <c r="V427" i="29"/>
  <c r="W427" i="29" s="1"/>
  <c r="AB429" i="29"/>
  <c r="N428" i="29"/>
  <c r="AQ467" i="4"/>
  <c r="AE467" i="4"/>
  <c r="AN465" i="4"/>
  <c r="AO465" i="4" s="1"/>
  <c r="AE430" i="29"/>
  <c r="AA430" i="29" s="1"/>
  <c r="AF430" i="29"/>
  <c r="AI431" i="29"/>
  <c r="AD432" i="29"/>
  <c r="B431" i="29"/>
  <c r="V428" i="29"/>
  <c r="W428" i="29" s="1"/>
  <c r="P428" i="29"/>
  <c r="J429" i="29"/>
  <c r="Y429" i="29" s="1"/>
  <c r="I429" i="29"/>
  <c r="K429" i="29" s="1"/>
  <c r="G430" i="29"/>
  <c r="T430" i="29"/>
  <c r="U430" i="29"/>
  <c r="Q430" i="29"/>
  <c r="R430" i="29"/>
  <c r="E430" i="29"/>
  <c r="S430" i="29"/>
  <c r="Z428" i="29"/>
  <c r="O429" i="29"/>
  <c r="AD466" i="4"/>
  <c r="M469" i="4"/>
  <c r="K469" i="4"/>
  <c r="P469" i="4"/>
  <c r="AJ469" i="4"/>
  <c r="AH469" i="4"/>
  <c r="AL469" i="4"/>
  <c r="G469" i="4"/>
  <c r="J469" i="4"/>
  <c r="H469" i="4"/>
  <c r="N469" i="4"/>
  <c r="AK469" i="4"/>
  <c r="O469" i="4"/>
  <c r="F469" i="4"/>
  <c r="L469" i="4"/>
  <c r="AM469" i="4"/>
  <c r="AI469" i="4"/>
  <c r="I469" i="4"/>
  <c r="AN466" i="4"/>
  <c r="AO466" i="4" s="1"/>
  <c r="AG466" i="4"/>
  <c r="AF468" i="4"/>
  <c r="W468" i="4"/>
  <c r="AB468" i="4" s="1"/>
  <c r="Q468" i="4"/>
  <c r="Y468" i="4" s="1"/>
  <c r="U468" i="4"/>
  <c r="AP468" i="4" s="1"/>
  <c r="R468" i="4"/>
  <c r="Z468" i="4" s="1"/>
  <c r="X468" i="4"/>
  <c r="AC468" i="4" s="1"/>
  <c r="V468" i="4"/>
  <c r="AA468" i="4" s="1"/>
  <c r="AY470" i="4"/>
  <c r="B470" i="4"/>
  <c r="AV471" i="4"/>
  <c r="AW469" i="4"/>
  <c r="AX469" i="4"/>
  <c r="AB430" i="29" l="1"/>
  <c r="N429" i="29"/>
  <c r="E46" i="53"/>
  <c r="E47" i="53"/>
  <c r="E45" i="53"/>
  <c r="AQ468" i="4"/>
  <c r="AE468" i="4"/>
  <c r="AD467" i="4"/>
  <c r="E431" i="29"/>
  <c r="U431" i="29"/>
  <c r="G431" i="29"/>
  <c r="Q431" i="29"/>
  <c r="S431" i="29"/>
  <c r="T431" i="29"/>
  <c r="R431" i="29"/>
  <c r="AD433" i="29"/>
  <c r="B432" i="29"/>
  <c r="AI432" i="29"/>
  <c r="AF431" i="29"/>
  <c r="AE431" i="29"/>
  <c r="AA431" i="29" s="1"/>
  <c r="I430" i="29"/>
  <c r="J430" i="29"/>
  <c r="Y430" i="29" s="1"/>
  <c r="Z429" i="29"/>
  <c r="O430" i="29"/>
  <c r="P429" i="29"/>
  <c r="V429" i="29"/>
  <c r="W429" i="29" s="1"/>
  <c r="AG467" i="4"/>
  <c r="AN467" i="4"/>
  <c r="AO467" i="4" s="1"/>
  <c r="AI470" i="4"/>
  <c r="AM470" i="4"/>
  <c r="AK470" i="4"/>
  <c r="AJ470" i="4"/>
  <c r="M470" i="4"/>
  <c r="J470" i="4"/>
  <c r="K470" i="4"/>
  <c r="L470" i="4"/>
  <c r="P470" i="4"/>
  <c r="AL470" i="4"/>
  <c r="F470" i="4"/>
  <c r="O470" i="4"/>
  <c r="N470" i="4"/>
  <c r="AH470" i="4"/>
  <c r="AD468" i="4"/>
  <c r="D9" i="69"/>
  <c r="G473" i="4"/>
  <c r="AX470" i="4"/>
  <c r="AW470" i="4"/>
  <c r="I473" i="4"/>
  <c r="D11" i="69"/>
  <c r="W469" i="4"/>
  <c r="AB469" i="4" s="1"/>
  <c r="U469" i="4"/>
  <c r="AP469" i="4" s="1"/>
  <c r="S469" i="4"/>
  <c r="S473" i="4" s="1"/>
  <c r="R469" i="4"/>
  <c r="Q469" i="4"/>
  <c r="Y469" i="4" s="1"/>
  <c r="X469" i="4"/>
  <c r="AC469" i="4" s="1"/>
  <c r="T469" i="4"/>
  <c r="T473" i="4" s="1"/>
  <c r="V469" i="4"/>
  <c r="AA469" i="4" s="1"/>
  <c r="D10" i="69"/>
  <c r="H473" i="4"/>
  <c r="AY471" i="4"/>
  <c r="B471" i="4"/>
  <c r="AF469" i="4"/>
  <c r="K430" i="29" l="1"/>
  <c r="N430" i="29" s="1"/>
  <c r="C10" i="18"/>
  <c r="J46" i="53"/>
  <c r="G46" i="53"/>
  <c r="J45" i="53"/>
  <c r="J10" i="77"/>
  <c r="K10" i="77"/>
  <c r="G10" i="77"/>
  <c r="H10" i="77"/>
  <c r="J11" i="77"/>
  <c r="G11" i="77"/>
  <c r="H11" i="77"/>
  <c r="G13" i="77"/>
  <c r="G15" i="77"/>
  <c r="J7" i="77"/>
  <c r="J14" i="77"/>
  <c r="J4" i="77"/>
  <c r="G8" i="77"/>
  <c r="G7" i="77"/>
  <c r="G6" i="77"/>
  <c r="J9" i="77"/>
  <c r="J8" i="77"/>
  <c r="J13" i="77"/>
  <c r="G9" i="77"/>
  <c r="J6" i="77"/>
  <c r="G4" i="77"/>
  <c r="G5" i="77"/>
  <c r="J15" i="77"/>
  <c r="G14" i="77"/>
  <c r="J5" i="77"/>
  <c r="K6" i="77"/>
  <c r="H15" i="77"/>
  <c r="K8" i="77"/>
  <c r="K9" i="77"/>
  <c r="K7" i="77"/>
  <c r="K5" i="77"/>
  <c r="H13" i="77"/>
  <c r="H5" i="77"/>
  <c r="H4" i="77"/>
  <c r="K14" i="77"/>
  <c r="K11" i="77"/>
  <c r="K15" i="77"/>
  <c r="H6" i="77"/>
  <c r="H9" i="77"/>
  <c r="H8" i="77"/>
  <c r="K4" i="77"/>
  <c r="H7" i="77"/>
  <c r="K13" i="77"/>
  <c r="H14" i="77"/>
  <c r="Z469" i="4"/>
  <c r="AB431" i="29"/>
  <c r="Z430" i="29"/>
  <c r="AI433" i="29"/>
  <c r="B433" i="29"/>
  <c r="AD434" i="29"/>
  <c r="J431" i="29"/>
  <c r="I431" i="29"/>
  <c r="K431" i="29" s="1"/>
  <c r="N431" i="29" s="1"/>
  <c r="AF432" i="29"/>
  <c r="AE432" i="29"/>
  <c r="AA432" i="29" s="1"/>
  <c r="O431" i="29"/>
  <c r="R432" i="29"/>
  <c r="T432" i="29"/>
  <c r="Q432" i="29"/>
  <c r="E432" i="29"/>
  <c r="S432" i="29"/>
  <c r="U432" i="29"/>
  <c r="G432" i="29"/>
  <c r="Y431" i="29"/>
  <c r="Q470" i="4"/>
  <c r="Y470" i="4" s="1"/>
  <c r="V470" i="4"/>
  <c r="AA470" i="4" s="1"/>
  <c r="U470" i="4"/>
  <c r="X470" i="4"/>
  <c r="AC470" i="4" s="1"/>
  <c r="R470" i="4"/>
  <c r="Z470" i="4" s="1"/>
  <c r="W470" i="4"/>
  <c r="AB470" i="4" s="1"/>
  <c r="I9" i="69"/>
  <c r="K9" i="69" s="1"/>
  <c r="P471" i="4"/>
  <c r="J471" i="4"/>
  <c r="AL471" i="4"/>
  <c r="AK471" i="4"/>
  <c r="K471" i="4"/>
  <c r="M471" i="4"/>
  <c r="L471" i="4"/>
  <c r="AI471" i="4"/>
  <c r="AJ471" i="4"/>
  <c r="AM471" i="4"/>
  <c r="AH471" i="4"/>
  <c r="N471" i="4"/>
  <c r="O471" i="4"/>
  <c r="F471" i="4"/>
  <c r="C31" i="43"/>
  <c r="C27" i="43"/>
  <c r="AT11" i="70"/>
  <c r="Q89" i="17"/>
  <c r="D95" i="17" s="1"/>
  <c r="AT10" i="70"/>
  <c r="AV11" i="70"/>
  <c r="Q84" i="17"/>
  <c r="D90" i="17" s="1"/>
  <c r="AS10" i="70"/>
  <c r="Q85" i="17"/>
  <c r="D91" i="17" s="1"/>
  <c r="AH12" i="70"/>
  <c r="AD10" i="70"/>
  <c r="Q80" i="17"/>
  <c r="D86" i="17" s="1"/>
  <c r="AQ10" i="70"/>
  <c r="AD11" i="70"/>
  <c r="AF10" i="70"/>
  <c r="AE10" i="70"/>
  <c r="AC10" i="70"/>
  <c r="AC9" i="70"/>
  <c r="Q88" i="17"/>
  <c r="D94" i="17" s="1"/>
  <c r="Q81" i="17"/>
  <c r="D87" i="17" s="1"/>
  <c r="AW12" i="70"/>
  <c r="AI12" i="70"/>
  <c r="AR9" i="70"/>
  <c r="AG11" i="70"/>
  <c r="AC11" i="70"/>
  <c r="Q76" i="17"/>
  <c r="AU9" i="70"/>
  <c r="Q79" i="17"/>
  <c r="D83" i="17" s="1"/>
  <c r="AV10" i="70"/>
  <c r="AW9" i="70"/>
  <c r="AE11" i="70"/>
  <c r="AT12" i="70"/>
  <c r="Q93" i="17"/>
  <c r="D103" i="17" s="1"/>
  <c r="AT9" i="70"/>
  <c r="AG9" i="70"/>
  <c r="AD9" i="70"/>
  <c r="AW11" i="70"/>
  <c r="AU12" i="70"/>
  <c r="Q90" i="17"/>
  <c r="D97" i="17" s="1"/>
  <c r="AD12" i="70"/>
  <c r="AC12" i="70"/>
  <c r="AH10" i="70"/>
  <c r="AR12" i="70"/>
  <c r="AQ11" i="70"/>
  <c r="Q92" i="17"/>
  <c r="D101" i="17" s="1"/>
  <c r="AR11" i="70"/>
  <c r="AG12" i="70"/>
  <c r="AF9" i="70"/>
  <c r="AR10" i="70"/>
  <c r="AU10" i="70"/>
  <c r="AV9" i="70"/>
  <c r="AS11" i="70"/>
  <c r="AE9" i="70"/>
  <c r="AS9" i="70"/>
  <c r="Q77" i="17"/>
  <c r="D79" i="17" s="1"/>
  <c r="Q78" i="17"/>
  <c r="D82" i="17" s="1"/>
  <c r="AU11" i="70"/>
  <c r="AV12" i="70"/>
  <c r="AE12" i="70"/>
  <c r="AF11" i="70"/>
  <c r="AQ12" i="70"/>
  <c r="AW10" i="70"/>
  <c r="Q75" i="17"/>
  <c r="AS12" i="70"/>
  <c r="AG10" i="70"/>
  <c r="AI10" i="70"/>
  <c r="AF12" i="70"/>
  <c r="Q91" i="17"/>
  <c r="D99" i="17" s="1"/>
  <c r="AQ9" i="70"/>
  <c r="C16" i="43"/>
  <c r="C21" i="43"/>
  <c r="I16" i="43"/>
  <c r="J28" i="43"/>
  <c r="J27" i="43"/>
  <c r="H27" i="43"/>
  <c r="I27" i="43"/>
  <c r="D27" i="43"/>
  <c r="M27" i="43"/>
  <c r="G27" i="43"/>
  <c r="K27" i="43"/>
  <c r="E27" i="43"/>
  <c r="N27" i="43"/>
  <c r="L27" i="43"/>
  <c r="F27" i="43"/>
  <c r="C28" i="43"/>
  <c r="D31" i="43"/>
  <c r="M28" i="43"/>
  <c r="F31" i="43"/>
  <c r="M31" i="43"/>
  <c r="I31" i="43"/>
  <c r="L31" i="43"/>
  <c r="G31" i="43"/>
  <c r="N31" i="43"/>
  <c r="H31" i="43"/>
  <c r="J31" i="43"/>
  <c r="E31" i="43"/>
  <c r="K31" i="43"/>
  <c r="L16" i="43"/>
  <c r="D16" i="43"/>
  <c r="J16" i="43"/>
  <c r="K16" i="43"/>
  <c r="N16" i="43"/>
  <c r="E16" i="43"/>
  <c r="G16" i="43"/>
  <c r="F16" i="43"/>
  <c r="M16" i="43"/>
  <c r="H16" i="43"/>
  <c r="D17" i="43"/>
  <c r="J22" i="43"/>
  <c r="E22" i="43"/>
  <c r="N22" i="43"/>
  <c r="D21" i="43"/>
  <c r="I22" i="43"/>
  <c r="M22" i="43"/>
  <c r="K22" i="43"/>
  <c r="G22" i="43"/>
  <c r="L22" i="43"/>
  <c r="F22" i="43"/>
  <c r="H22" i="43"/>
  <c r="N21" i="43"/>
  <c r="F21" i="43"/>
  <c r="I21" i="43"/>
  <c r="J21" i="43"/>
  <c r="L21" i="43"/>
  <c r="E21" i="43"/>
  <c r="H21" i="43"/>
  <c r="G21" i="43"/>
  <c r="M21" i="43"/>
  <c r="K21" i="43"/>
  <c r="C42" i="43"/>
  <c r="F42" i="43"/>
  <c r="J42" i="43"/>
  <c r="M42" i="43"/>
  <c r="N17" i="43"/>
  <c r="F17" i="43"/>
  <c r="H17" i="43"/>
  <c r="G17" i="43"/>
  <c r="M17" i="43"/>
  <c r="L17" i="43"/>
  <c r="J17" i="43"/>
  <c r="I17" i="43"/>
  <c r="K17" i="43"/>
  <c r="C17" i="43"/>
  <c r="E17" i="43"/>
  <c r="I10" i="43"/>
  <c r="L10" i="43"/>
  <c r="E10" i="43"/>
  <c r="K10" i="43"/>
  <c r="G10" i="43"/>
  <c r="M10" i="43"/>
  <c r="H10" i="43"/>
  <c r="J10" i="43"/>
  <c r="F10" i="43"/>
  <c r="C10" i="43"/>
  <c r="C12" i="43"/>
  <c r="C11" i="43"/>
  <c r="C36" i="43"/>
  <c r="D36" i="43"/>
  <c r="L28" i="43"/>
  <c r="N28" i="43"/>
  <c r="F28" i="43"/>
  <c r="D28" i="43"/>
  <c r="K28" i="43"/>
  <c r="H28" i="43"/>
  <c r="I28" i="43"/>
  <c r="G28" i="43"/>
  <c r="C32" i="43"/>
  <c r="C41" i="43"/>
  <c r="D41" i="43"/>
  <c r="K41" i="43"/>
  <c r="H41" i="43"/>
  <c r="I41" i="43"/>
  <c r="N41" i="43"/>
  <c r="F41" i="43"/>
  <c r="M41" i="43"/>
  <c r="G41" i="43"/>
  <c r="L41" i="43"/>
  <c r="J41" i="43"/>
  <c r="H42" i="43"/>
  <c r="D42" i="43"/>
  <c r="G42" i="43"/>
  <c r="K42" i="43"/>
  <c r="N42" i="43"/>
  <c r="L42" i="43"/>
  <c r="I42" i="43"/>
  <c r="L32" i="43"/>
  <c r="E32" i="43"/>
  <c r="M32" i="43"/>
  <c r="H32" i="43"/>
  <c r="I32" i="43"/>
  <c r="N32" i="43"/>
  <c r="G32" i="43"/>
  <c r="D32" i="43"/>
  <c r="K32" i="43"/>
  <c r="J32" i="43"/>
  <c r="F32" i="43"/>
  <c r="D38" i="43"/>
  <c r="N38" i="43"/>
  <c r="L38" i="43"/>
  <c r="F38" i="43"/>
  <c r="C38" i="43"/>
  <c r="K38" i="43"/>
  <c r="J38" i="43"/>
  <c r="I38" i="43"/>
  <c r="G38" i="43"/>
  <c r="M38" i="43"/>
  <c r="H38" i="43"/>
  <c r="E38" i="43"/>
  <c r="D12" i="43"/>
  <c r="F12" i="43"/>
  <c r="J12" i="43"/>
  <c r="N12" i="43"/>
  <c r="G12" i="43"/>
  <c r="L12" i="43"/>
  <c r="M12" i="43"/>
  <c r="H12" i="43"/>
  <c r="K12" i="43"/>
  <c r="I12" i="43"/>
  <c r="E12" i="43"/>
  <c r="L11" i="43"/>
  <c r="I11" i="43"/>
  <c r="M11" i="43"/>
  <c r="K11" i="43"/>
  <c r="J11" i="43"/>
  <c r="G11" i="43"/>
  <c r="E11" i="43"/>
  <c r="N11" i="43"/>
  <c r="H11" i="43"/>
  <c r="D11" i="43"/>
  <c r="F11" i="43"/>
  <c r="G36" i="43"/>
  <c r="F36" i="43"/>
  <c r="H36" i="43"/>
  <c r="I36" i="43"/>
  <c r="J36" i="43"/>
  <c r="L36" i="43"/>
  <c r="N36" i="43"/>
  <c r="M36" i="43"/>
  <c r="E36" i="43"/>
  <c r="K36" i="43"/>
  <c r="AW471" i="4"/>
  <c r="AX471" i="4"/>
  <c r="AD469" i="4"/>
  <c r="AN468" i="4"/>
  <c r="AO468" i="4" s="1"/>
  <c r="AG468" i="4"/>
  <c r="AP470" i="4"/>
  <c r="AF470" i="4"/>
  <c r="P430" i="29" l="1"/>
  <c r="V430" i="29"/>
  <c r="W430" i="29" s="1"/>
  <c r="C182" i="53"/>
  <c r="B21" i="18" s="1"/>
  <c r="C148" i="53"/>
  <c r="B18" i="18" s="1"/>
  <c r="C147" i="53"/>
  <c r="B17" i="18" s="1"/>
  <c r="C221" i="53"/>
  <c r="B22" i="18" s="1"/>
  <c r="C300" i="53"/>
  <c r="B26" i="18" s="1"/>
  <c r="C424" i="53"/>
  <c r="B38" i="18" s="1"/>
  <c r="C457" i="53"/>
  <c r="B39" i="18" s="1"/>
  <c r="C341" i="53"/>
  <c r="B29" i="18" s="1"/>
  <c r="C260" i="53"/>
  <c r="B25" i="18" s="1"/>
  <c r="C387" i="53"/>
  <c r="B31" i="18" s="1"/>
  <c r="AM495" i="4"/>
  <c r="AM493" i="4"/>
  <c r="AM492" i="4"/>
  <c r="AM494" i="4" s="1"/>
  <c r="AM496" i="4"/>
  <c r="AM498" i="4"/>
  <c r="AM499" i="4"/>
  <c r="AM497" i="4"/>
  <c r="B23" i="78"/>
  <c r="B24" i="78" s="1"/>
  <c r="B28" i="78" s="1"/>
  <c r="AM500" i="4"/>
  <c r="D304" i="53"/>
  <c r="D345" i="53"/>
  <c r="D391" i="53"/>
  <c r="E183" i="53"/>
  <c r="C21" i="18" s="1"/>
  <c r="E150" i="53"/>
  <c r="C18" i="18" s="1"/>
  <c r="E149" i="53"/>
  <c r="C17" i="18" s="1"/>
  <c r="E222" i="53"/>
  <c r="C22" i="18" s="1"/>
  <c r="E301" i="53"/>
  <c r="C26" i="18" s="1"/>
  <c r="E425" i="53"/>
  <c r="C38" i="18" s="1"/>
  <c r="E458" i="53"/>
  <c r="C39" i="18" s="1"/>
  <c r="D39" i="18" s="1"/>
  <c r="E342" i="53"/>
  <c r="C29" i="18" s="1"/>
  <c r="E261" i="53"/>
  <c r="C25" i="18" s="1"/>
  <c r="E388" i="53"/>
  <c r="C31" i="18" s="1"/>
  <c r="AJ495" i="4"/>
  <c r="AJ493" i="4"/>
  <c r="AJ492" i="4"/>
  <c r="AJ496" i="4"/>
  <c r="AJ498" i="4"/>
  <c r="AJ499" i="4"/>
  <c r="AJ497" i="4"/>
  <c r="AJ500" i="4"/>
  <c r="D302" i="53"/>
  <c r="D343" i="53"/>
  <c r="D389" i="53"/>
  <c r="AI495" i="4"/>
  <c r="AI493" i="4"/>
  <c r="AI492" i="4"/>
  <c r="AI494" i="4" s="1"/>
  <c r="AI496" i="4"/>
  <c r="AI498" i="4"/>
  <c r="AI501" i="4"/>
  <c r="AI502" i="4"/>
  <c r="AI499" i="4"/>
  <c r="AI497" i="4"/>
  <c r="AI500" i="4"/>
  <c r="AK495" i="4"/>
  <c r="AK493" i="4"/>
  <c r="AK492" i="4"/>
  <c r="AK496" i="4"/>
  <c r="AK498" i="4"/>
  <c r="AK501" i="4"/>
  <c r="AK502" i="4"/>
  <c r="AK499" i="4"/>
  <c r="AK497" i="4"/>
  <c r="AK500" i="4"/>
  <c r="AB432" i="29"/>
  <c r="AH495" i="4"/>
  <c r="AH493" i="4"/>
  <c r="AH492" i="4"/>
  <c r="AH496" i="4"/>
  <c r="AH498" i="4"/>
  <c r="AH499" i="4"/>
  <c r="AH497" i="4"/>
  <c r="AH500" i="4"/>
  <c r="D303" i="53"/>
  <c r="D344" i="53"/>
  <c r="D390" i="53"/>
  <c r="AL495" i="4"/>
  <c r="AL493" i="4"/>
  <c r="AL492" i="4"/>
  <c r="AL496" i="4"/>
  <c r="AL498" i="4"/>
  <c r="AL501" i="4"/>
  <c r="AL502" i="4"/>
  <c r="AL499" i="4"/>
  <c r="AL497" i="4"/>
  <c r="AL500" i="4"/>
  <c r="F24" i="52"/>
  <c r="F23" i="52"/>
  <c r="AJ489" i="4"/>
  <c r="AJ487" i="4"/>
  <c r="F27" i="52"/>
  <c r="F18" i="52"/>
  <c r="AJ490" i="4"/>
  <c r="F19" i="52"/>
  <c r="F28" i="52"/>
  <c r="F33" i="52"/>
  <c r="F35" i="52"/>
  <c r="F31" i="52"/>
  <c r="F37" i="52"/>
  <c r="AI489" i="4"/>
  <c r="E24" i="52"/>
  <c r="E23" i="52"/>
  <c r="AI487" i="4"/>
  <c r="E27" i="52"/>
  <c r="G203" i="53" s="1"/>
  <c r="E18" i="52"/>
  <c r="AI490" i="4"/>
  <c r="E19" i="52"/>
  <c r="E28" i="52"/>
  <c r="G242" i="53" s="1"/>
  <c r="E33" i="52"/>
  <c r="G323" i="53" s="1"/>
  <c r="E35" i="52"/>
  <c r="G362" i="53" s="1"/>
  <c r="E31" i="52"/>
  <c r="G282" i="53" s="1"/>
  <c r="E37" i="52"/>
  <c r="G406" i="53" s="1"/>
  <c r="AK489" i="4"/>
  <c r="AK490" i="4"/>
  <c r="AK487" i="4"/>
  <c r="D24" i="52"/>
  <c r="D23" i="52"/>
  <c r="AH489" i="4"/>
  <c r="AH487" i="4"/>
  <c r="D27" i="52"/>
  <c r="D18" i="52"/>
  <c r="AH490" i="4"/>
  <c r="D19" i="52"/>
  <c r="D28" i="52"/>
  <c r="D33" i="52"/>
  <c r="D35" i="52"/>
  <c r="D31" i="52"/>
  <c r="D37" i="52"/>
  <c r="AL489" i="4"/>
  <c r="AL490" i="4"/>
  <c r="AL487" i="4"/>
  <c r="I42" i="74"/>
  <c r="C10" i="53"/>
  <c r="C112" i="53"/>
  <c r="B13" i="18" s="1"/>
  <c r="C113" i="53"/>
  <c r="B14" i="18" s="1"/>
  <c r="C44" i="53"/>
  <c r="C27" i="52"/>
  <c r="I13" i="56" s="1"/>
  <c r="C24" i="52"/>
  <c r="AM489" i="4"/>
  <c r="AM487" i="4"/>
  <c r="C28" i="52"/>
  <c r="I14" i="56" s="1"/>
  <c r="C33" i="52"/>
  <c r="I16" i="56" s="1"/>
  <c r="C18" i="52"/>
  <c r="AM490" i="4"/>
  <c r="C23" i="52"/>
  <c r="C19" i="52"/>
  <c r="C35" i="52"/>
  <c r="I17" i="56" s="1"/>
  <c r="C31" i="52"/>
  <c r="I15" i="56" s="1"/>
  <c r="C37" i="52"/>
  <c r="I18" i="56" s="1"/>
  <c r="E11" i="53"/>
  <c r="C9" i="18" s="1"/>
  <c r="E114" i="53"/>
  <c r="C13" i="18" s="1"/>
  <c r="E115" i="53"/>
  <c r="C14" i="18" s="1"/>
  <c r="N10" i="43"/>
  <c r="F46" i="43"/>
  <c r="AQ470" i="4"/>
  <c r="J12" i="77"/>
  <c r="K12" i="77"/>
  <c r="AE469" i="4"/>
  <c r="AG469" i="4" s="1"/>
  <c r="AQ469" i="4"/>
  <c r="R13" i="77"/>
  <c r="U13" i="77"/>
  <c r="U4" i="77"/>
  <c r="R4" i="77"/>
  <c r="U15" i="77"/>
  <c r="R15" i="77"/>
  <c r="U11" i="77"/>
  <c r="R11" i="77"/>
  <c r="R14" i="77"/>
  <c r="U14" i="77"/>
  <c r="R5" i="77"/>
  <c r="U5" i="77"/>
  <c r="U7" i="77"/>
  <c r="R7" i="77"/>
  <c r="R9" i="77"/>
  <c r="U9" i="77"/>
  <c r="U8" i="77"/>
  <c r="R8" i="77"/>
  <c r="R6" i="77"/>
  <c r="U6" i="77"/>
  <c r="T5" i="77"/>
  <c r="Q5" i="77"/>
  <c r="T15" i="77"/>
  <c r="Q15" i="77"/>
  <c r="T6" i="77"/>
  <c r="Q6" i="77"/>
  <c r="T13" i="77"/>
  <c r="Q13" i="77"/>
  <c r="Q8" i="77"/>
  <c r="T8" i="77"/>
  <c r="T9" i="77"/>
  <c r="Q9" i="77"/>
  <c r="T4" i="77"/>
  <c r="Q4" i="77"/>
  <c r="T14" i="77"/>
  <c r="Q14" i="77"/>
  <c r="T7" i="77"/>
  <c r="Q7" i="77"/>
  <c r="T11" i="77"/>
  <c r="Q11" i="77"/>
  <c r="R10" i="77"/>
  <c r="U10" i="77"/>
  <c r="T10" i="77"/>
  <c r="Q10" i="77"/>
  <c r="D23" i="55"/>
  <c r="D28" i="55"/>
  <c r="F28" i="55" s="1"/>
  <c r="D22" i="55"/>
  <c r="D27" i="55"/>
  <c r="F27" i="55" s="1"/>
  <c r="I9" i="74"/>
  <c r="I26" i="74"/>
  <c r="I43" i="74"/>
  <c r="I10" i="74"/>
  <c r="I27" i="74"/>
  <c r="I44" i="74"/>
  <c r="D40" i="55"/>
  <c r="D35" i="55"/>
  <c r="F35" i="55" s="1"/>
  <c r="D56" i="55"/>
  <c r="F56" i="55" s="1"/>
  <c r="D48" i="55"/>
  <c r="F48" i="55" s="1"/>
  <c r="D41" i="55"/>
  <c r="F41" i="55" s="1"/>
  <c r="D36" i="55"/>
  <c r="F36" i="55" s="1"/>
  <c r="D57" i="55"/>
  <c r="D49" i="55"/>
  <c r="F49" i="55" s="1"/>
  <c r="D39" i="55"/>
  <c r="F39" i="55" s="1"/>
  <c r="G302" i="53"/>
  <c r="D34" i="55"/>
  <c r="F34" i="55" s="1"/>
  <c r="D55" i="55"/>
  <c r="F55" i="55" s="1"/>
  <c r="D47" i="55"/>
  <c r="F47" i="55" s="1"/>
  <c r="AE470" i="4"/>
  <c r="O432" i="29"/>
  <c r="AF433" i="29"/>
  <c r="AE433" i="29"/>
  <c r="AA433" i="29" s="1"/>
  <c r="P431" i="29"/>
  <c r="V431" i="29"/>
  <c r="W431" i="29" s="1"/>
  <c r="Z431" i="29"/>
  <c r="J432" i="29"/>
  <c r="Y432" i="29" s="1"/>
  <c r="I432" i="29"/>
  <c r="K432" i="29" s="1"/>
  <c r="AD435" i="29"/>
  <c r="B434" i="29"/>
  <c r="AI434" i="29"/>
  <c r="R433" i="29"/>
  <c r="U433" i="29"/>
  <c r="Q433" i="29"/>
  <c r="E433" i="29"/>
  <c r="S433" i="29"/>
  <c r="G433" i="29"/>
  <c r="T433" i="29"/>
  <c r="D77" i="17"/>
  <c r="D9" i="70"/>
  <c r="I9" i="70" s="1"/>
  <c r="J9" i="70" s="1"/>
  <c r="J46" i="43"/>
  <c r="N13" i="43"/>
  <c r="G24" i="43"/>
  <c r="E18" i="43"/>
  <c r="O17" i="43"/>
  <c r="J24" i="43"/>
  <c r="H18" i="43"/>
  <c r="D18" i="43"/>
  <c r="J33" i="43"/>
  <c r="L29" i="43"/>
  <c r="H29" i="43"/>
  <c r="N46" i="43"/>
  <c r="G46" i="43"/>
  <c r="I46" i="43"/>
  <c r="K13" i="43"/>
  <c r="E24" i="43"/>
  <c r="F24" i="43"/>
  <c r="K18" i="43"/>
  <c r="N33" i="43"/>
  <c r="M13" i="43"/>
  <c r="C46" i="43"/>
  <c r="O11" i="43"/>
  <c r="J13" i="43"/>
  <c r="I13" i="43"/>
  <c r="K24" i="43"/>
  <c r="F18" i="43"/>
  <c r="K33" i="43"/>
  <c r="M33" i="43"/>
  <c r="D29" i="43"/>
  <c r="C11" i="70"/>
  <c r="O31" i="43"/>
  <c r="C33" i="43"/>
  <c r="AH473" i="4"/>
  <c r="R288" i="17"/>
  <c r="D290" i="17" s="1"/>
  <c r="R284" i="17"/>
  <c r="D286" i="17" s="1"/>
  <c r="R283" i="17"/>
  <c r="D285" i="17" s="1"/>
  <c r="R295" i="17"/>
  <c r="D302" i="17" s="1"/>
  <c r="O5" i="17"/>
  <c r="R276" i="17"/>
  <c r="R287" i="17"/>
  <c r="D289" i="17" s="1"/>
  <c r="R289" i="17"/>
  <c r="D293" i="17" s="1"/>
  <c r="R279" i="17"/>
  <c r="D281" i="17" s="1"/>
  <c r="R280" i="17"/>
  <c r="D282" i="17" s="1"/>
  <c r="R294" i="17"/>
  <c r="D300" i="17" s="1"/>
  <c r="R277" i="17"/>
  <c r="R291" i="17"/>
  <c r="D296" i="17" s="1"/>
  <c r="R290" i="17"/>
  <c r="D294" i="17" s="1"/>
  <c r="R292" i="17"/>
  <c r="D298" i="17" s="1"/>
  <c r="R278" i="17"/>
  <c r="D278" i="17" s="1"/>
  <c r="AI473" i="4"/>
  <c r="J472" i="53"/>
  <c r="R44" i="52"/>
  <c r="K473" i="4"/>
  <c r="D20" i="70"/>
  <c r="I20" i="70" s="1"/>
  <c r="J20" i="70" s="1"/>
  <c r="D25" i="70"/>
  <c r="I25" i="70" s="1"/>
  <c r="J25" i="70" s="1"/>
  <c r="D16" i="70"/>
  <c r="I16" i="70" s="1"/>
  <c r="J16" i="70" s="1"/>
  <c r="P473" i="4"/>
  <c r="F22" i="55"/>
  <c r="G45" i="53"/>
  <c r="X471" i="4"/>
  <c r="W471" i="4"/>
  <c r="W473" i="4" s="1"/>
  <c r="U471" i="4"/>
  <c r="AP471" i="4" s="1"/>
  <c r="V471" i="4"/>
  <c r="V473" i="4" s="1"/>
  <c r="Q471" i="4"/>
  <c r="Q473" i="4" s="1"/>
  <c r="R471" i="4"/>
  <c r="R473" i="4" s="1"/>
  <c r="M46" i="43"/>
  <c r="H46" i="43"/>
  <c r="O32" i="43"/>
  <c r="O12" i="43"/>
  <c r="H13" i="43"/>
  <c r="E13" i="43"/>
  <c r="M24" i="43"/>
  <c r="L24" i="43"/>
  <c r="N24" i="43"/>
  <c r="G18" i="43"/>
  <c r="J18" i="43"/>
  <c r="E33" i="43"/>
  <c r="G33" i="43"/>
  <c r="F33" i="43"/>
  <c r="F29" i="43"/>
  <c r="K29" i="43"/>
  <c r="I29" i="43"/>
  <c r="I18" i="43"/>
  <c r="D12" i="70"/>
  <c r="I12" i="70" s="1"/>
  <c r="J12" i="70" s="1"/>
  <c r="C12" i="70"/>
  <c r="D10" i="70"/>
  <c r="I10" i="70" s="1"/>
  <c r="J10" i="70" s="1"/>
  <c r="F473" i="4"/>
  <c r="Q243" i="17"/>
  <c r="C245" i="17" s="1"/>
  <c r="F245" i="17" s="1"/>
  <c r="G245" i="17" s="1"/>
  <c r="C87" i="17" s="1"/>
  <c r="E87" i="17" s="1"/>
  <c r="Q247" i="17"/>
  <c r="C249" i="17" s="1"/>
  <c r="F249" i="17" s="1"/>
  <c r="G249" i="17" s="1"/>
  <c r="C91" i="17" s="1"/>
  <c r="E91" i="17" s="1"/>
  <c r="Q242" i="17"/>
  <c r="C244" i="17" s="1"/>
  <c r="F244" i="17" s="1"/>
  <c r="G244" i="17" s="1"/>
  <c r="C86" i="17" s="1"/>
  <c r="E86" i="17" s="1"/>
  <c r="Q253" i="17"/>
  <c r="C259" i="17" s="1"/>
  <c r="F259" i="17" s="1"/>
  <c r="G259" i="17" s="1"/>
  <c r="C101" i="17" s="1"/>
  <c r="E101" i="17" s="1"/>
  <c r="Q235" i="17"/>
  <c r="Q246" i="17"/>
  <c r="C248" i="17" s="1"/>
  <c r="F248" i="17" s="1"/>
  <c r="G248" i="17" s="1"/>
  <c r="C90" i="17" s="1"/>
  <c r="E90" i="17" s="1"/>
  <c r="Q248" i="17"/>
  <c r="C252" i="17" s="1"/>
  <c r="F252" i="17" s="1"/>
  <c r="G252" i="17" s="1"/>
  <c r="Q238" i="17"/>
  <c r="C240" i="17" s="1"/>
  <c r="F240" i="17" s="1"/>
  <c r="G240" i="17" s="1"/>
  <c r="C82" i="17" s="1"/>
  <c r="E82" i="17" s="1"/>
  <c r="Q239" i="17"/>
  <c r="C241" i="17" s="1"/>
  <c r="F241" i="17" s="1"/>
  <c r="G241" i="17" s="1"/>
  <c r="C83" i="17" s="1"/>
  <c r="E83" i="17" s="1"/>
  <c r="Q254" i="17"/>
  <c r="C261" i="17" s="1"/>
  <c r="F261" i="17" s="1"/>
  <c r="G261" i="17" s="1"/>
  <c r="C103" i="17" s="1"/>
  <c r="E103" i="17" s="1"/>
  <c r="Q250" i="17"/>
  <c r="C255" i="17" s="1"/>
  <c r="F255" i="17" s="1"/>
  <c r="G255" i="17" s="1"/>
  <c r="Q249" i="17"/>
  <c r="C253" i="17" s="1"/>
  <c r="F253" i="17" s="1"/>
  <c r="G253" i="17" s="1"/>
  <c r="Q251" i="17"/>
  <c r="C257" i="17" s="1"/>
  <c r="F257" i="17" s="1"/>
  <c r="G257" i="17" s="1"/>
  <c r="C99" i="17" s="1"/>
  <c r="E99" i="17" s="1"/>
  <c r="Q237" i="17"/>
  <c r="C237" i="17" s="1"/>
  <c r="F237" i="17" s="1"/>
  <c r="G237" i="17" s="1"/>
  <c r="C79" i="17" s="1"/>
  <c r="E79" i="17" s="1"/>
  <c r="Q236" i="17"/>
  <c r="AF471" i="4"/>
  <c r="AM473" i="4"/>
  <c r="L473" i="4"/>
  <c r="D19" i="70"/>
  <c r="I19" i="70" s="1"/>
  <c r="J19" i="70" s="1"/>
  <c r="F40" i="55"/>
  <c r="D24" i="70"/>
  <c r="I24" i="70" s="1"/>
  <c r="J24" i="70" s="1"/>
  <c r="D15" i="70"/>
  <c r="I15" i="70" s="1"/>
  <c r="J15" i="70" s="1"/>
  <c r="C10" i="70"/>
  <c r="O473" i="4"/>
  <c r="F23" i="55"/>
  <c r="AJ473" i="4"/>
  <c r="M473" i="4"/>
  <c r="D18" i="70"/>
  <c r="I18" i="70" s="1"/>
  <c r="J18" i="70" s="1"/>
  <c r="D23" i="70"/>
  <c r="I23" i="70" s="1"/>
  <c r="J23" i="70" s="1"/>
  <c r="D14" i="70"/>
  <c r="I14" i="70" s="1"/>
  <c r="J14" i="70" s="1"/>
  <c r="F57" i="55"/>
  <c r="AL473" i="4"/>
  <c r="K46" i="43"/>
  <c r="C13" i="43"/>
  <c r="L33" i="43"/>
  <c r="G29" i="43"/>
  <c r="O21" i="43"/>
  <c r="J47" i="53"/>
  <c r="G47" i="53"/>
  <c r="O38" i="43"/>
  <c r="L46" i="43"/>
  <c r="D46" i="43"/>
  <c r="O36" i="43"/>
  <c r="F13" i="43"/>
  <c r="G13" i="43"/>
  <c r="L13" i="43"/>
  <c r="H24" i="43"/>
  <c r="I24" i="43"/>
  <c r="M18" i="43"/>
  <c r="N18" i="43"/>
  <c r="L18" i="43"/>
  <c r="H33" i="43"/>
  <c r="I33" i="43"/>
  <c r="D33" i="43"/>
  <c r="N29" i="43"/>
  <c r="M29" i="43"/>
  <c r="J29" i="43"/>
  <c r="O16" i="43"/>
  <c r="C18" i="43"/>
  <c r="D11" i="70"/>
  <c r="I11" i="70" s="1"/>
  <c r="J11" i="70" s="1"/>
  <c r="C9" i="70"/>
  <c r="C29" i="43"/>
  <c r="O27" i="43"/>
  <c r="N473" i="4"/>
  <c r="I100" i="43"/>
  <c r="E100" i="43"/>
  <c r="L100" i="43"/>
  <c r="H100" i="43"/>
  <c r="M100" i="43"/>
  <c r="J100" i="43"/>
  <c r="D100" i="43"/>
  <c r="G100" i="43"/>
  <c r="F100" i="43"/>
  <c r="K100" i="43"/>
  <c r="C78" i="43"/>
  <c r="G78" i="43"/>
  <c r="H78" i="43"/>
  <c r="C67" i="43"/>
  <c r="C73" i="43"/>
  <c r="C68" i="43"/>
  <c r="G61" i="43"/>
  <c r="H61" i="43"/>
  <c r="J61" i="43"/>
  <c r="E61" i="43"/>
  <c r="I61" i="43"/>
  <c r="C61" i="43"/>
  <c r="L61" i="43"/>
  <c r="K61" i="43"/>
  <c r="M61" i="43"/>
  <c r="F61" i="43"/>
  <c r="C79" i="43"/>
  <c r="I78" i="43"/>
  <c r="J78" i="43"/>
  <c r="E78" i="43"/>
  <c r="M78" i="43"/>
  <c r="D78" i="43"/>
  <c r="F78" i="43"/>
  <c r="N78" i="43"/>
  <c r="L78" i="43"/>
  <c r="K78" i="43"/>
  <c r="C82" i="43"/>
  <c r="I79" i="43"/>
  <c r="I128" i="43" s="1"/>
  <c r="K79" i="43"/>
  <c r="K128" i="43" s="1"/>
  <c r="M79" i="43"/>
  <c r="M128" i="43" s="1"/>
  <c r="E79" i="43"/>
  <c r="D82" i="43"/>
  <c r="H79" i="43"/>
  <c r="H128" i="43" s="1"/>
  <c r="G79" i="43"/>
  <c r="G128" i="43" s="1"/>
  <c r="N79" i="43"/>
  <c r="N128" i="43" s="1"/>
  <c r="L79" i="43"/>
  <c r="L128" i="43" s="1"/>
  <c r="F79" i="43"/>
  <c r="F128" i="43" s="1"/>
  <c r="J79" i="43"/>
  <c r="J128" i="43" s="1"/>
  <c r="I82" i="43"/>
  <c r="M82" i="43"/>
  <c r="L82" i="43"/>
  <c r="G82" i="43"/>
  <c r="E82" i="43"/>
  <c r="N82" i="43"/>
  <c r="H82" i="43"/>
  <c r="F82" i="43"/>
  <c r="J82" i="43"/>
  <c r="K82" i="43"/>
  <c r="D83" i="43"/>
  <c r="D132" i="43" s="1"/>
  <c r="E67" i="43"/>
  <c r="N67" i="43"/>
  <c r="J67" i="43"/>
  <c r="M67" i="43"/>
  <c r="F67" i="43"/>
  <c r="K67" i="43"/>
  <c r="H67" i="43"/>
  <c r="C72" i="43"/>
  <c r="D68" i="43"/>
  <c r="D117" i="43" s="1"/>
  <c r="L72" i="43"/>
  <c r="N72" i="43"/>
  <c r="I72" i="43"/>
  <c r="J72" i="43"/>
  <c r="G72" i="43"/>
  <c r="D72" i="43"/>
  <c r="H72" i="43"/>
  <c r="K72" i="43"/>
  <c r="M72" i="43"/>
  <c r="E72" i="43"/>
  <c r="F72" i="43"/>
  <c r="M73" i="43"/>
  <c r="M122" i="43" s="1"/>
  <c r="E73" i="43"/>
  <c r="E122" i="43" s="1"/>
  <c r="L73" i="43"/>
  <c r="L122" i="43" s="1"/>
  <c r="H73" i="43"/>
  <c r="H122" i="43" s="1"/>
  <c r="N73" i="43"/>
  <c r="N122" i="43" s="1"/>
  <c r="K73" i="43"/>
  <c r="K122" i="43" s="1"/>
  <c r="J73" i="43"/>
  <c r="J122" i="43" s="1"/>
  <c r="F73" i="43"/>
  <c r="F122" i="43" s="1"/>
  <c r="G73" i="43"/>
  <c r="G122" i="43" s="1"/>
  <c r="I73" i="43"/>
  <c r="I122" i="43" s="1"/>
  <c r="C93" i="43"/>
  <c r="E93" i="43"/>
  <c r="H93" i="43"/>
  <c r="H142" i="43" s="1"/>
  <c r="J93" i="43"/>
  <c r="J142" i="43" s="1"/>
  <c r="M93" i="43"/>
  <c r="M142" i="43" s="1"/>
  <c r="L93" i="43"/>
  <c r="L142" i="43" s="1"/>
  <c r="N93" i="43"/>
  <c r="N142" i="43" s="1"/>
  <c r="K93" i="43"/>
  <c r="K142" i="43" s="1"/>
  <c r="F93" i="43"/>
  <c r="F142" i="43" s="1"/>
  <c r="I93" i="43"/>
  <c r="I142" i="43" s="1"/>
  <c r="G93" i="43"/>
  <c r="G142" i="43" s="1"/>
  <c r="I67" i="43"/>
  <c r="G67" i="43"/>
  <c r="L67" i="43"/>
  <c r="E68" i="43"/>
  <c r="E117" i="43" s="1"/>
  <c r="H68" i="43"/>
  <c r="H117" i="43" s="1"/>
  <c r="G68" i="43"/>
  <c r="G117" i="43" s="1"/>
  <c r="J68" i="43"/>
  <c r="J117" i="43" s="1"/>
  <c r="M68" i="43"/>
  <c r="M117" i="43" s="1"/>
  <c r="F68" i="43"/>
  <c r="F117" i="43" s="1"/>
  <c r="N68" i="43"/>
  <c r="N117" i="43" s="1"/>
  <c r="I68" i="43"/>
  <c r="I117" i="43" s="1"/>
  <c r="L68" i="43"/>
  <c r="L117" i="43" s="1"/>
  <c r="K68" i="43"/>
  <c r="K117" i="43" s="1"/>
  <c r="I63" i="43"/>
  <c r="I112" i="43" s="1"/>
  <c r="E63" i="43"/>
  <c r="E112" i="43" s="1"/>
  <c r="D62" i="43"/>
  <c r="D111" i="43" s="1"/>
  <c r="C87" i="43"/>
  <c r="E87" i="43"/>
  <c r="E136" i="43" s="1"/>
  <c r="C83" i="43"/>
  <c r="E83" i="43"/>
  <c r="E132" i="43" s="1"/>
  <c r="D92" i="43"/>
  <c r="C92" i="43"/>
  <c r="J92" i="43"/>
  <c r="M92" i="43"/>
  <c r="I92" i="43"/>
  <c r="N92" i="43"/>
  <c r="K92" i="43"/>
  <c r="L92" i="43"/>
  <c r="H92" i="43"/>
  <c r="G92" i="43"/>
  <c r="E92" i="43"/>
  <c r="F92" i="43"/>
  <c r="F89" i="43"/>
  <c r="F138" i="43" s="1"/>
  <c r="H63" i="43"/>
  <c r="H112" i="43" s="1"/>
  <c r="L63" i="43"/>
  <c r="L112" i="43" s="1"/>
  <c r="J63" i="43"/>
  <c r="J112" i="43" s="1"/>
  <c r="C63" i="43"/>
  <c r="M63" i="43"/>
  <c r="M112" i="43" s="1"/>
  <c r="E62" i="43"/>
  <c r="E111" i="43" s="1"/>
  <c r="K62" i="43"/>
  <c r="K111" i="43" s="1"/>
  <c r="L62" i="43"/>
  <c r="L111" i="43" s="1"/>
  <c r="J62" i="43"/>
  <c r="J111" i="43" s="1"/>
  <c r="C62" i="43"/>
  <c r="G62" i="43"/>
  <c r="G111" i="43" s="1"/>
  <c r="N62" i="43"/>
  <c r="N111" i="43" s="1"/>
  <c r="M62" i="43"/>
  <c r="M111" i="43" s="1"/>
  <c r="H62" i="43"/>
  <c r="H111" i="43" s="1"/>
  <c r="I62" i="43"/>
  <c r="I111" i="43" s="1"/>
  <c r="F62" i="43"/>
  <c r="F111" i="43" s="1"/>
  <c r="D87" i="43"/>
  <c r="D136" i="43" s="1"/>
  <c r="K87" i="43"/>
  <c r="K136" i="43" s="1"/>
  <c r="M87" i="43"/>
  <c r="M136" i="43" s="1"/>
  <c r="I87" i="43"/>
  <c r="I136" i="43" s="1"/>
  <c r="G87" i="43"/>
  <c r="G136" i="43" s="1"/>
  <c r="L87" i="43"/>
  <c r="L136" i="43" s="1"/>
  <c r="J87" i="43"/>
  <c r="J136" i="43" s="1"/>
  <c r="H87" i="43"/>
  <c r="H136" i="43" s="1"/>
  <c r="N87" i="43"/>
  <c r="N136" i="43" s="1"/>
  <c r="I83" i="43"/>
  <c r="I132" i="43" s="1"/>
  <c r="K83" i="43"/>
  <c r="K132" i="43" s="1"/>
  <c r="M83" i="43"/>
  <c r="M132" i="43" s="1"/>
  <c r="L83" i="43"/>
  <c r="L132" i="43" s="1"/>
  <c r="G83" i="43"/>
  <c r="G132" i="43" s="1"/>
  <c r="N83" i="43"/>
  <c r="N132" i="43" s="1"/>
  <c r="J83" i="43"/>
  <c r="J132" i="43" s="1"/>
  <c r="H83" i="43"/>
  <c r="H132" i="43" s="1"/>
  <c r="F83" i="43"/>
  <c r="F132" i="43" s="1"/>
  <c r="K89" i="43"/>
  <c r="K138" i="43" s="1"/>
  <c r="I89" i="43"/>
  <c r="I138" i="43" s="1"/>
  <c r="J89" i="43"/>
  <c r="J138" i="43" s="1"/>
  <c r="D89" i="43"/>
  <c r="D138" i="43" s="1"/>
  <c r="E89" i="43"/>
  <c r="E138" i="43" s="1"/>
  <c r="L89" i="43"/>
  <c r="L138" i="43" s="1"/>
  <c r="M89" i="43"/>
  <c r="M138" i="43" s="1"/>
  <c r="C89" i="43"/>
  <c r="N89" i="43"/>
  <c r="N138" i="43" s="1"/>
  <c r="H89" i="43"/>
  <c r="H138" i="43" s="1"/>
  <c r="G63" i="43"/>
  <c r="G112" i="43" s="1"/>
  <c r="N63" i="43"/>
  <c r="N112" i="43" s="1"/>
  <c r="F63" i="43"/>
  <c r="F112" i="43" s="1"/>
  <c r="D63" i="43"/>
  <c r="D112" i="43" s="1"/>
  <c r="K63" i="43"/>
  <c r="K112" i="43" s="1"/>
  <c r="N61" i="43"/>
  <c r="J473" i="4"/>
  <c r="C22" i="43"/>
  <c r="C21" i="55"/>
  <c r="V247" i="17"/>
  <c r="H249" i="17" s="1"/>
  <c r="K249" i="17" s="1"/>
  <c r="F91" i="17" s="1"/>
  <c r="D7" i="69"/>
  <c r="I7" i="69" s="1"/>
  <c r="K7" i="69" s="1"/>
  <c r="D22" i="43"/>
  <c r="D24" i="43" s="1"/>
  <c r="C17" i="55"/>
  <c r="F17" i="55" s="1"/>
  <c r="V243" i="17"/>
  <c r="H245" i="17" s="1"/>
  <c r="K245" i="17" s="1"/>
  <c r="F87" i="17" s="1"/>
  <c r="C16" i="55"/>
  <c r="V242" i="17"/>
  <c r="H244" i="17" s="1"/>
  <c r="K244" i="17" s="1"/>
  <c r="F86" i="17" s="1"/>
  <c r="D13" i="69"/>
  <c r="I13" i="69" s="1"/>
  <c r="K13" i="69" s="1"/>
  <c r="D10" i="43"/>
  <c r="D13" i="43" s="1"/>
  <c r="C5" i="55"/>
  <c r="D4" i="69"/>
  <c r="V235" i="17"/>
  <c r="E28" i="43"/>
  <c r="E29" i="43" s="1"/>
  <c r="C26" i="55"/>
  <c r="F26" i="55" s="1"/>
  <c r="V246" i="17"/>
  <c r="H248" i="17" s="1"/>
  <c r="K248" i="17" s="1"/>
  <c r="F90" i="17" s="1"/>
  <c r="V248" i="17"/>
  <c r="H252" i="17" s="1"/>
  <c r="K252" i="17" s="1"/>
  <c r="F94" i="17" s="1"/>
  <c r="C38" i="55"/>
  <c r="F38" i="55" s="1"/>
  <c r="C18" i="70"/>
  <c r="C11" i="55"/>
  <c r="C4" i="70"/>
  <c r="V238" i="17"/>
  <c r="H240" i="17" s="1"/>
  <c r="K240" i="17" s="1"/>
  <c r="F82" i="17" s="1"/>
  <c r="C12" i="55"/>
  <c r="F12" i="55" s="1"/>
  <c r="C5" i="70"/>
  <c r="H5" i="70" s="1"/>
  <c r="J5" i="70" s="1"/>
  <c r="V239" i="17"/>
  <c r="H241" i="17" s="1"/>
  <c r="K241" i="17" s="1"/>
  <c r="F83" i="17" s="1"/>
  <c r="V253" i="17"/>
  <c r="H259" i="17" s="1"/>
  <c r="K259" i="17" s="1"/>
  <c r="F101" i="17" s="1"/>
  <c r="C61" i="55"/>
  <c r="F61" i="55" s="1"/>
  <c r="E41" i="43"/>
  <c r="E42" i="43"/>
  <c r="O42" i="43" s="1"/>
  <c r="V254" i="17"/>
  <c r="H261" i="17" s="1"/>
  <c r="K261" i="17" s="1"/>
  <c r="F103" i="17" s="1"/>
  <c r="C63" i="55"/>
  <c r="F63" i="55" s="1"/>
  <c r="F64" i="55" s="1"/>
  <c r="D14" i="69"/>
  <c r="I14" i="69" s="1"/>
  <c r="K14" i="69" s="1"/>
  <c r="C46" i="55"/>
  <c r="F46" i="55" s="1"/>
  <c r="V250" i="17"/>
  <c r="H255" i="17" s="1"/>
  <c r="K255" i="17" s="1"/>
  <c r="F97" i="17" s="1"/>
  <c r="C23" i="70"/>
  <c r="V249" i="17"/>
  <c r="H253" i="17" s="1"/>
  <c r="K253" i="17" s="1"/>
  <c r="F95" i="17" s="1"/>
  <c r="C14" i="70"/>
  <c r="C33" i="55"/>
  <c r="F33" i="55" s="1"/>
  <c r="C54" i="55"/>
  <c r="F54" i="55" s="1"/>
  <c r="V251" i="17"/>
  <c r="H257" i="17" s="1"/>
  <c r="K257" i="17" s="1"/>
  <c r="F99" i="17" s="1"/>
  <c r="C6" i="55"/>
  <c r="F6" i="55" s="1"/>
  <c r="V237" i="17"/>
  <c r="H237" i="17" s="1"/>
  <c r="K237" i="17" s="1"/>
  <c r="F79" i="17" s="1"/>
  <c r="V236" i="17"/>
  <c r="D29" i="18" l="1"/>
  <c r="D22" i="18"/>
  <c r="H14" i="52"/>
  <c r="T14" i="52" s="1"/>
  <c r="AH494" i="4"/>
  <c r="AJ494" i="4"/>
  <c r="D31" i="18"/>
  <c r="D38" i="18"/>
  <c r="D25" i="18"/>
  <c r="D26" i="18"/>
  <c r="D21" i="18"/>
  <c r="B10" i="18"/>
  <c r="D10" i="18" s="1"/>
  <c r="AI491" i="4"/>
  <c r="N432" i="29"/>
  <c r="AL494" i="4"/>
  <c r="AF495" i="4"/>
  <c r="AF493" i="4"/>
  <c r="AF492" i="4"/>
  <c r="AF496" i="4"/>
  <c r="AF498" i="4"/>
  <c r="AF499" i="4"/>
  <c r="AF497" i="4"/>
  <c r="AF500" i="4"/>
  <c r="AB433" i="29"/>
  <c r="AK494" i="4"/>
  <c r="AH491" i="4"/>
  <c r="AL491" i="4"/>
  <c r="AK491" i="4"/>
  <c r="AJ491" i="4"/>
  <c r="AM491" i="4"/>
  <c r="G343" i="53"/>
  <c r="AF489" i="4"/>
  <c r="AF491" i="4" s="1"/>
  <c r="AF490" i="4"/>
  <c r="J150" i="53"/>
  <c r="G150" i="53"/>
  <c r="Q19" i="52"/>
  <c r="R19" i="52"/>
  <c r="R43" i="52"/>
  <c r="J439" i="53"/>
  <c r="J390" i="53"/>
  <c r="G390" i="53"/>
  <c r="J389" i="53"/>
  <c r="G389" i="53"/>
  <c r="J391" i="53"/>
  <c r="G391" i="53"/>
  <c r="S23" i="52"/>
  <c r="R23" i="52"/>
  <c r="Q23" i="52"/>
  <c r="S19" i="52"/>
  <c r="AN469" i="4"/>
  <c r="AO469" i="4" s="1"/>
  <c r="U12" i="77"/>
  <c r="U17" i="77" s="1"/>
  <c r="D24" i="77" s="1"/>
  <c r="R12" i="77"/>
  <c r="R17" i="77" s="1"/>
  <c r="C24" i="77" s="1"/>
  <c r="Q12" i="77"/>
  <c r="Q17" i="77" s="1"/>
  <c r="T12" i="77"/>
  <c r="T17" i="77" s="1"/>
  <c r="E28" i="78"/>
  <c r="D28" i="78"/>
  <c r="C28" i="78"/>
  <c r="C25" i="52"/>
  <c r="I12" i="56" s="1"/>
  <c r="F62" i="55"/>
  <c r="H24" i="52"/>
  <c r="T24" i="52" s="1"/>
  <c r="H19" i="52"/>
  <c r="T19" i="52" s="1"/>
  <c r="Z432" i="29"/>
  <c r="AB471" i="4"/>
  <c r="AB473" i="4" s="1"/>
  <c r="Z471" i="4"/>
  <c r="AC471" i="4"/>
  <c r="AC473" i="4" s="1"/>
  <c r="Y471" i="4"/>
  <c r="Y473" i="4" s="1"/>
  <c r="AA471" i="4"/>
  <c r="G91" i="17"/>
  <c r="H91" i="17" s="1"/>
  <c r="P432" i="29"/>
  <c r="V432" i="29"/>
  <c r="W432" i="29" s="1"/>
  <c r="AI435" i="29"/>
  <c r="B435" i="29"/>
  <c r="AD436" i="29"/>
  <c r="I433" i="29"/>
  <c r="J433" i="29"/>
  <c r="Y433" i="29" s="1"/>
  <c r="O433" i="29"/>
  <c r="AF434" i="29"/>
  <c r="AE434" i="29"/>
  <c r="AA434" i="29" s="1"/>
  <c r="T434" i="29"/>
  <c r="E434" i="29"/>
  <c r="U434" i="29"/>
  <c r="S434" i="29"/>
  <c r="R434" i="29"/>
  <c r="G434" i="29"/>
  <c r="Q434" i="29"/>
  <c r="AD470" i="4"/>
  <c r="G99" i="17"/>
  <c r="H99" i="17" s="1"/>
  <c r="G90" i="17"/>
  <c r="H90" i="17" s="1"/>
  <c r="G86" i="17"/>
  <c r="H86" i="17" s="1"/>
  <c r="G83" i="17"/>
  <c r="H83" i="17" s="1"/>
  <c r="G103" i="17"/>
  <c r="H103" i="17" s="1"/>
  <c r="G87" i="17"/>
  <c r="H87" i="17" s="1"/>
  <c r="F37" i="55"/>
  <c r="F58" i="55"/>
  <c r="G79" i="17"/>
  <c r="H79" i="17" s="1"/>
  <c r="G101" i="17"/>
  <c r="H101" i="17" s="1"/>
  <c r="G82" i="17"/>
  <c r="H82" i="17" s="1"/>
  <c r="F29" i="55"/>
  <c r="F42" i="55"/>
  <c r="O18" i="43"/>
  <c r="N48" i="43"/>
  <c r="E142" i="43"/>
  <c r="L48" i="43"/>
  <c r="O33" i="43"/>
  <c r="K48" i="43"/>
  <c r="N110" i="43"/>
  <c r="N113" i="43" s="1"/>
  <c r="N64" i="43"/>
  <c r="AN470" i="4"/>
  <c r="AO470" i="4" s="1"/>
  <c r="AG470" i="4"/>
  <c r="C138" i="43"/>
  <c r="C111" i="43"/>
  <c r="O111" i="43" s="1"/>
  <c r="O62" i="43"/>
  <c r="K141" i="43"/>
  <c r="F121" i="43"/>
  <c r="F124" i="43" s="1"/>
  <c r="F75" i="43"/>
  <c r="M116" i="43"/>
  <c r="M118" i="43" s="1"/>
  <c r="M69" i="43"/>
  <c r="M127" i="43"/>
  <c r="M129" i="43" s="1"/>
  <c r="M80" i="43"/>
  <c r="L110" i="43"/>
  <c r="L113" i="43" s="1"/>
  <c r="L64" i="43"/>
  <c r="C117" i="43"/>
  <c r="O117" i="43" s="1"/>
  <c r="O68" i="43"/>
  <c r="B27" i="18"/>
  <c r="B19" i="18"/>
  <c r="C235" i="17"/>
  <c r="Q258" i="17"/>
  <c r="G281" i="53"/>
  <c r="J281" i="53" s="1"/>
  <c r="C27" i="18"/>
  <c r="C23" i="18"/>
  <c r="O28" i="43"/>
  <c r="O29" i="43" s="1"/>
  <c r="G9" i="70"/>
  <c r="H7" i="69"/>
  <c r="G4" i="70"/>
  <c r="H4" i="69"/>
  <c r="G11" i="70"/>
  <c r="G18" i="70"/>
  <c r="G5" i="70"/>
  <c r="H13" i="69"/>
  <c r="H14" i="69"/>
  <c r="G23" i="70"/>
  <c r="G14" i="70"/>
  <c r="H9" i="69"/>
  <c r="E141" i="43"/>
  <c r="O72" i="43"/>
  <c r="C75" i="43"/>
  <c r="C121" i="43"/>
  <c r="L84" i="43"/>
  <c r="L131" i="43"/>
  <c r="L133" i="43" s="1"/>
  <c r="C128" i="43"/>
  <c r="E64" i="43"/>
  <c r="E110" i="43"/>
  <c r="E113" i="43" s="1"/>
  <c r="G127" i="43"/>
  <c r="G129" i="43" s="1"/>
  <c r="G80" i="43"/>
  <c r="F50" i="55"/>
  <c r="E46" i="43"/>
  <c r="E48" i="43" s="1"/>
  <c r="H4" i="70"/>
  <c r="J4" i="70" s="1"/>
  <c r="J38" i="70" s="1"/>
  <c r="C38" i="70"/>
  <c r="H235" i="17"/>
  <c r="V258" i="17"/>
  <c r="Z258" i="17" s="1"/>
  <c r="C7" i="55"/>
  <c r="F5" i="55"/>
  <c r="C18" i="55"/>
  <c r="F16" i="55"/>
  <c r="G141" i="43"/>
  <c r="N141" i="43"/>
  <c r="O92" i="43"/>
  <c r="C141" i="43"/>
  <c r="G69" i="43"/>
  <c r="G116" i="43"/>
  <c r="G118" i="43" s="1"/>
  <c r="C142" i="43"/>
  <c r="E75" i="43"/>
  <c r="E121" i="43"/>
  <c r="E124" i="43" s="1"/>
  <c r="D121" i="43"/>
  <c r="N75" i="43"/>
  <c r="N121" i="43"/>
  <c r="N124" i="43" s="1"/>
  <c r="H69" i="43"/>
  <c r="H116" i="43"/>
  <c r="H118" i="43" s="1"/>
  <c r="J116" i="43"/>
  <c r="J118" i="43" s="1"/>
  <c r="J69" i="43"/>
  <c r="K84" i="43"/>
  <c r="K131" i="43"/>
  <c r="K133" i="43" s="1"/>
  <c r="N131" i="43"/>
  <c r="N133" i="43" s="1"/>
  <c r="N84" i="43"/>
  <c r="M84" i="43"/>
  <c r="M131" i="43"/>
  <c r="M133" i="43" s="1"/>
  <c r="D131" i="43"/>
  <c r="D133" i="43" s="1"/>
  <c r="D84" i="43"/>
  <c r="N127" i="43"/>
  <c r="N129" i="43" s="1"/>
  <c r="N80" i="43"/>
  <c r="E80" i="43"/>
  <c r="E127" i="43"/>
  <c r="F64" i="43"/>
  <c r="F110" i="43"/>
  <c r="F113" i="43" s="1"/>
  <c r="C64" i="43"/>
  <c r="C110" i="43"/>
  <c r="J110" i="43"/>
  <c r="J113" i="43" s="1"/>
  <c r="J64" i="43"/>
  <c r="C122" i="43"/>
  <c r="O78" i="43"/>
  <c r="C80" i="43"/>
  <c r="C127" i="43"/>
  <c r="G48" i="43"/>
  <c r="B23" i="18"/>
  <c r="Q259" i="17"/>
  <c r="B58" i="17"/>
  <c r="R299" i="17"/>
  <c r="D276" i="17"/>
  <c r="I48" i="43"/>
  <c r="O41" i="43"/>
  <c r="O46" i="43" s="1"/>
  <c r="M48" i="43"/>
  <c r="J141" i="43"/>
  <c r="L69" i="43"/>
  <c r="L116" i="43"/>
  <c r="L118" i="43" s="1"/>
  <c r="I75" i="43"/>
  <c r="I121" i="43"/>
  <c r="I124" i="43" s="1"/>
  <c r="H131" i="43"/>
  <c r="H133" i="43" s="1"/>
  <c r="H84" i="43"/>
  <c r="L127" i="43"/>
  <c r="L129" i="43" s="1"/>
  <c r="L80" i="43"/>
  <c r="J432" i="53"/>
  <c r="F11" i="55"/>
  <c r="C13" i="55"/>
  <c r="I4" i="69"/>
  <c r="K4" i="69" s="1"/>
  <c r="D48" i="43"/>
  <c r="O22" i="43"/>
  <c r="O24" i="43" s="1"/>
  <c r="O63" i="43"/>
  <c r="C112" i="43"/>
  <c r="O112" i="43" s="1"/>
  <c r="H141" i="43"/>
  <c r="I141" i="43"/>
  <c r="D141" i="43"/>
  <c r="C136" i="43"/>
  <c r="I116" i="43"/>
  <c r="I118" i="43" s="1"/>
  <c r="I69" i="43"/>
  <c r="M121" i="43"/>
  <c r="M124" i="43" s="1"/>
  <c r="M75" i="43"/>
  <c r="G75" i="43"/>
  <c r="G121" i="43"/>
  <c r="G124" i="43" s="1"/>
  <c r="L121" i="43"/>
  <c r="L124" i="43" s="1"/>
  <c r="L75" i="43"/>
  <c r="K116" i="43"/>
  <c r="K118" i="43" s="1"/>
  <c r="K69" i="43"/>
  <c r="N69" i="43"/>
  <c r="N116" i="43"/>
  <c r="N118" i="43" s="1"/>
  <c r="J84" i="43"/>
  <c r="J131" i="43"/>
  <c r="J133" i="43" s="1"/>
  <c r="E84" i="43"/>
  <c r="E131" i="43"/>
  <c r="E133" i="43" s="1"/>
  <c r="I84" i="43"/>
  <c r="I131" i="43"/>
  <c r="I133" i="43" s="1"/>
  <c r="E128" i="43"/>
  <c r="O82" i="43"/>
  <c r="C84" i="43"/>
  <c r="C131" i="43"/>
  <c r="F80" i="43"/>
  <c r="F127" i="43"/>
  <c r="F129" i="43" s="1"/>
  <c r="J80" i="43"/>
  <c r="J127" i="43"/>
  <c r="J129" i="43" s="1"/>
  <c r="M64" i="43"/>
  <c r="M110" i="43"/>
  <c r="M113" i="43" s="1"/>
  <c r="H110" i="43"/>
  <c r="H113" i="43" s="1"/>
  <c r="H64" i="43"/>
  <c r="C116" i="43"/>
  <c r="C69" i="43"/>
  <c r="F48" i="43"/>
  <c r="C24" i="43"/>
  <c r="C48" i="43" s="1"/>
  <c r="O10" i="43"/>
  <c r="O13" i="43" s="1"/>
  <c r="B15" i="18"/>
  <c r="K9" i="70"/>
  <c r="L7" i="69"/>
  <c r="M7" i="69" s="1"/>
  <c r="B17" i="68" s="1"/>
  <c r="L4" i="69"/>
  <c r="K11" i="70"/>
  <c r="K18" i="70"/>
  <c r="K4" i="70"/>
  <c r="K5" i="70"/>
  <c r="L13" i="69"/>
  <c r="M13" i="69" s="1"/>
  <c r="B19" i="68" s="1"/>
  <c r="L14" i="69"/>
  <c r="M14" i="69" s="1"/>
  <c r="B20" i="68" s="1"/>
  <c r="K23" i="70"/>
  <c r="K14" i="70"/>
  <c r="L9" i="69"/>
  <c r="M9" i="69" s="1"/>
  <c r="B18" i="68" s="1"/>
  <c r="D38" i="70"/>
  <c r="D43" i="70" s="1"/>
  <c r="X473" i="4"/>
  <c r="M476" i="4"/>
  <c r="D44" i="70" s="1"/>
  <c r="C15" i="18"/>
  <c r="O83" i="43"/>
  <c r="C132" i="43"/>
  <c r="O132" i="43" s="1"/>
  <c r="H121" i="43"/>
  <c r="H124" i="43" s="1"/>
  <c r="H75" i="43"/>
  <c r="G55" i="53"/>
  <c r="G388" i="53"/>
  <c r="J466" i="53"/>
  <c r="F21" i="55"/>
  <c r="F24" i="55" s="1"/>
  <c r="C24" i="55"/>
  <c r="V259" i="17"/>
  <c r="F58" i="17"/>
  <c r="D61" i="43"/>
  <c r="O61" i="43" s="1"/>
  <c r="D79" i="43"/>
  <c r="D128" i="43" s="1"/>
  <c r="D67" i="43"/>
  <c r="D73" i="43"/>
  <c r="D122" i="43" s="1"/>
  <c r="D93" i="43"/>
  <c r="D142" i="43" s="1"/>
  <c r="F87" i="43"/>
  <c r="F136" i="43" s="1"/>
  <c r="G89" i="43"/>
  <c r="G138" i="43" s="1"/>
  <c r="F141" i="43"/>
  <c r="L141" i="43"/>
  <c r="M141" i="43"/>
  <c r="K121" i="43"/>
  <c r="K124" i="43" s="1"/>
  <c r="K75" i="43"/>
  <c r="J75" i="43"/>
  <c r="J121" i="43"/>
  <c r="J124" i="43" s="1"/>
  <c r="F116" i="43"/>
  <c r="F118" i="43" s="1"/>
  <c r="F69" i="43"/>
  <c r="E116" i="43"/>
  <c r="E118" i="43" s="1"/>
  <c r="E69" i="43"/>
  <c r="F84" i="43"/>
  <c r="F131" i="43"/>
  <c r="F133" i="43" s="1"/>
  <c r="G131" i="43"/>
  <c r="G133" i="43" s="1"/>
  <c r="G84" i="43"/>
  <c r="K80" i="43"/>
  <c r="K127" i="43"/>
  <c r="K129" i="43" s="1"/>
  <c r="D127" i="43"/>
  <c r="I127" i="43"/>
  <c r="I129" i="43" s="1"/>
  <c r="I80" i="43"/>
  <c r="K110" i="43"/>
  <c r="K113" i="43" s="1"/>
  <c r="K64" i="43"/>
  <c r="I110" i="43"/>
  <c r="I113" i="43" s="1"/>
  <c r="I64" i="43"/>
  <c r="G110" i="43"/>
  <c r="G113" i="43" s="1"/>
  <c r="G64" i="43"/>
  <c r="H127" i="43"/>
  <c r="H129" i="43" s="1"/>
  <c r="H80" i="43"/>
  <c r="H48" i="43"/>
  <c r="C19" i="18"/>
  <c r="R300" i="17"/>
  <c r="J48" i="43"/>
  <c r="F44" i="52" l="1"/>
  <c r="G473" i="53" s="1"/>
  <c r="H31" i="52"/>
  <c r="T31" i="52" s="1"/>
  <c r="H18" i="52"/>
  <c r="T18" i="52" s="1"/>
  <c r="H13" i="52"/>
  <c r="T13" i="52" s="1"/>
  <c r="G235" i="53"/>
  <c r="J235" i="53" s="1"/>
  <c r="G404" i="53"/>
  <c r="AF494" i="4"/>
  <c r="D19" i="18"/>
  <c r="D15" i="18"/>
  <c r="D23" i="18"/>
  <c r="D27" i="18"/>
  <c r="K433" i="29"/>
  <c r="N433" i="29" s="1"/>
  <c r="AB434" i="29"/>
  <c r="D44" i="52"/>
  <c r="G148" i="53"/>
  <c r="J148" i="53"/>
  <c r="G19" i="52"/>
  <c r="M19" i="52" s="1"/>
  <c r="Q37" i="52"/>
  <c r="G405" i="53"/>
  <c r="J405" i="53" s="1"/>
  <c r="R37" i="52"/>
  <c r="J406" i="53"/>
  <c r="S37" i="52"/>
  <c r="G407" i="53"/>
  <c r="J407" i="53" s="1"/>
  <c r="Q33" i="52"/>
  <c r="G322" i="53"/>
  <c r="J322" i="53" s="1"/>
  <c r="R35" i="52"/>
  <c r="J362" i="53"/>
  <c r="S31" i="52"/>
  <c r="G283" i="53"/>
  <c r="J283" i="53" s="1"/>
  <c r="R31" i="52"/>
  <c r="J282" i="53"/>
  <c r="S33" i="52"/>
  <c r="G324" i="53"/>
  <c r="J324" i="53" s="1"/>
  <c r="Q35" i="52"/>
  <c r="G361" i="53"/>
  <c r="J361" i="53" s="1"/>
  <c r="R33" i="52"/>
  <c r="J323" i="53"/>
  <c r="S35" i="52"/>
  <c r="G363" i="53"/>
  <c r="J363" i="53" s="1"/>
  <c r="G342" i="53"/>
  <c r="G261" i="53"/>
  <c r="G301" i="53"/>
  <c r="R28" i="52"/>
  <c r="J242" i="53"/>
  <c r="S28" i="52"/>
  <c r="G243" i="53"/>
  <c r="J243" i="53" s="1"/>
  <c r="S27" i="52"/>
  <c r="G204" i="53"/>
  <c r="J204" i="53" s="1"/>
  <c r="R27" i="52"/>
  <c r="J203" i="53"/>
  <c r="Q27" i="52"/>
  <c r="G202" i="53"/>
  <c r="J202" i="53" s="1"/>
  <c r="Q28" i="52"/>
  <c r="G241" i="53"/>
  <c r="J241" i="53" s="1"/>
  <c r="K28" i="78"/>
  <c r="Q31" i="52"/>
  <c r="D20" i="52"/>
  <c r="G127" i="53" s="1"/>
  <c r="J127" i="53" s="1"/>
  <c r="Q18" i="52"/>
  <c r="Q20" i="52" s="1"/>
  <c r="D25" i="52"/>
  <c r="G163" i="53" s="1"/>
  <c r="J163" i="53" s="1"/>
  <c r="Q24" i="52"/>
  <c r="Q25" i="52" s="1"/>
  <c r="F25" i="52"/>
  <c r="G165" i="53" s="1"/>
  <c r="J165" i="53" s="1"/>
  <c r="S24" i="52"/>
  <c r="S25" i="52" s="1"/>
  <c r="E25" i="52"/>
  <c r="R24" i="52"/>
  <c r="R25" i="52" s="1"/>
  <c r="F20" i="52"/>
  <c r="G129" i="53" s="1"/>
  <c r="J129" i="53" s="1"/>
  <c r="S18" i="52"/>
  <c r="S20" i="52" s="1"/>
  <c r="E20" i="52"/>
  <c r="R18" i="52"/>
  <c r="R20" i="52" s="1"/>
  <c r="D25" i="77"/>
  <c r="D23" i="77"/>
  <c r="C23" i="77"/>
  <c r="C25" i="77"/>
  <c r="Z473" i="4"/>
  <c r="AQ471" i="4"/>
  <c r="J28" i="78"/>
  <c r="I28" i="78"/>
  <c r="G28" i="78"/>
  <c r="G24" i="52"/>
  <c r="M24" i="52" s="1"/>
  <c r="P24" i="52" s="1"/>
  <c r="R45" i="52"/>
  <c r="H23" i="52"/>
  <c r="AE471" i="4"/>
  <c r="G18" i="52"/>
  <c r="M18" i="52" s="1"/>
  <c r="P18" i="52" s="1"/>
  <c r="Z433" i="29"/>
  <c r="AE435" i="29"/>
  <c r="AA435" i="29" s="1"/>
  <c r="AF435" i="29"/>
  <c r="I434" i="29"/>
  <c r="K434" i="29" s="1"/>
  <c r="J434" i="29"/>
  <c r="Y434" i="29" s="1"/>
  <c r="AD437" i="29"/>
  <c r="B436" i="29"/>
  <c r="AI436" i="29"/>
  <c r="O434" i="29"/>
  <c r="E435" i="29"/>
  <c r="R435" i="29"/>
  <c r="Q435" i="29"/>
  <c r="T435" i="29"/>
  <c r="U435" i="29"/>
  <c r="G435" i="29"/>
  <c r="S435" i="29"/>
  <c r="G280" i="53"/>
  <c r="J280" i="53" s="1"/>
  <c r="G275" i="53"/>
  <c r="J275" i="53" s="1"/>
  <c r="F43" i="55"/>
  <c r="G314" i="53"/>
  <c r="J314" i="53" s="1"/>
  <c r="H33" i="52"/>
  <c r="T33" i="52" s="1"/>
  <c r="G321" i="53"/>
  <c r="J321" i="53" s="1"/>
  <c r="H37" i="52"/>
  <c r="T37" i="52" s="1"/>
  <c r="G400" i="53"/>
  <c r="J400" i="53" s="1"/>
  <c r="H28" i="52"/>
  <c r="T28" i="52" s="1"/>
  <c r="F30" i="55"/>
  <c r="G240" i="53"/>
  <c r="D80" i="43"/>
  <c r="D129" i="43"/>
  <c r="O64" i="43"/>
  <c r="E129" i="43"/>
  <c r="D45" i="70"/>
  <c r="G182" i="53"/>
  <c r="J182" i="53"/>
  <c r="G221" i="53"/>
  <c r="J221" i="53"/>
  <c r="L5" i="70"/>
  <c r="M5" i="70"/>
  <c r="O131" i="43"/>
  <c r="O133" i="43" s="1"/>
  <c r="C133" i="43"/>
  <c r="F13" i="55"/>
  <c r="G122" i="53" s="1"/>
  <c r="J458" i="53"/>
  <c r="G458" i="53"/>
  <c r="O127" i="43"/>
  <c r="C129" i="43"/>
  <c r="O122" i="43"/>
  <c r="J424" i="53"/>
  <c r="G424" i="53"/>
  <c r="J345" i="53"/>
  <c r="G345" i="53"/>
  <c r="H27" i="52"/>
  <c r="T27" i="52" s="1"/>
  <c r="G196" i="53"/>
  <c r="J470" i="53"/>
  <c r="J388" i="53"/>
  <c r="L14" i="70"/>
  <c r="B28" i="68" s="1"/>
  <c r="M14" i="70"/>
  <c r="E28" i="68" s="1"/>
  <c r="L4" i="70"/>
  <c r="M4" i="70"/>
  <c r="K38" i="70"/>
  <c r="K46" i="70" s="1"/>
  <c r="M11" i="70"/>
  <c r="L11" i="70"/>
  <c r="H20" i="52"/>
  <c r="C20" i="52"/>
  <c r="I11" i="56" s="1"/>
  <c r="G37" i="52"/>
  <c r="AD471" i="4"/>
  <c r="AA473" i="4"/>
  <c r="J112" i="53"/>
  <c r="G112" i="53"/>
  <c r="C29" i="52"/>
  <c r="G52" i="52" s="1"/>
  <c r="M52" i="52" s="1"/>
  <c r="P52" i="52" s="1"/>
  <c r="U52" i="52" s="1"/>
  <c r="G27" i="52"/>
  <c r="F18" i="55"/>
  <c r="H35" i="52"/>
  <c r="T35" i="52" s="1"/>
  <c r="G360" i="53"/>
  <c r="G355" i="53"/>
  <c r="J355" i="53" s="1"/>
  <c r="G38" i="70"/>
  <c r="D29" i="52"/>
  <c r="G31" i="52"/>
  <c r="O89" i="43"/>
  <c r="L18" i="70"/>
  <c r="B29" i="68" s="1"/>
  <c r="M18" i="70"/>
  <c r="E29" i="68" s="1"/>
  <c r="M4" i="69"/>
  <c r="F29" i="52"/>
  <c r="O48" i="43"/>
  <c r="C118" i="43"/>
  <c r="O84" i="43"/>
  <c r="O136" i="43"/>
  <c r="J437" i="53"/>
  <c r="G300" i="53"/>
  <c r="J300" i="53"/>
  <c r="J457" i="53"/>
  <c r="G457" i="53"/>
  <c r="G260" i="53"/>
  <c r="J260" i="53"/>
  <c r="J303" i="53"/>
  <c r="G303" i="53"/>
  <c r="D75" i="43"/>
  <c r="O93" i="43"/>
  <c r="O141" i="43"/>
  <c r="K235" i="17"/>
  <c r="J301" i="53"/>
  <c r="J342" i="53"/>
  <c r="O128" i="43"/>
  <c r="O121" i="43"/>
  <c r="C124" i="43"/>
  <c r="F235" i="17"/>
  <c r="G33" i="52"/>
  <c r="J343" i="53"/>
  <c r="J44" i="53"/>
  <c r="G44" i="53"/>
  <c r="G51" i="53" s="1"/>
  <c r="D116" i="43"/>
  <c r="D118" i="43" s="1"/>
  <c r="D69" i="43"/>
  <c r="C100" i="43"/>
  <c r="O26" i="17"/>
  <c r="O19" i="17"/>
  <c r="O18" i="17"/>
  <c r="O13" i="17"/>
  <c r="O24" i="17"/>
  <c r="O30" i="17"/>
  <c r="O14" i="17"/>
  <c r="O42" i="17"/>
  <c r="O44" i="17"/>
  <c r="O10" i="17"/>
  <c r="O6" i="17"/>
  <c r="O35" i="17"/>
  <c r="O32" i="17"/>
  <c r="O39" i="17"/>
  <c r="N100" i="43"/>
  <c r="G59" i="53"/>
  <c r="J59" i="53" s="1"/>
  <c r="J55" i="53"/>
  <c r="G11" i="53"/>
  <c r="J11" i="53"/>
  <c r="J147" i="53"/>
  <c r="G147" i="53"/>
  <c r="J341" i="53"/>
  <c r="G341" i="53"/>
  <c r="D64" i="43"/>
  <c r="D110" i="43"/>
  <c r="D113" i="43" s="1"/>
  <c r="J113" i="53"/>
  <c r="G113" i="53"/>
  <c r="G149" i="53"/>
  <c r="J149" i="53"/>
  <c r="J261" i="53"/>
  <c r="J387" i="53"/>
  <c r="G387" i="53"/>
  <c r="M23" i="70"/>
  <c r="E30" i="68" s="1"/>
  <c r="L23" i="70"/>
  <c r="B30" i="68" s="1"/>
  <c r="L9" i="70"/>
  <c r="M9" i="70"/>
  <c r="J344" i="53"/>
  <c r="G344" i="53"/>
  <c r="O67" i="43"/>
  <c r="O69" i="43" s="1"/>
  <c r="O87" i="43"/>
  <c r="J404" i="53"/>
  <c r="E29" i="52"/>
  <c r="G28" i="52"/>
  <c r="G35" i="52"/>
  <c r="O73" i="43"/>
  <c r="O75" i="43" s="1"/>
  <c r="C113" i="43"/>
  <c r="D124" i="43"/>
  <c r="O142" i="43"/>
  <c r="G20" i="53"/>
  <c r="F7" i="55"/>
  <c r="O79" i="43"/>
  <c r="O80" i="43" s="1"/>
  <c r="J302" i="53"/>
  <c r="G304" i="53"/>
  <c r="J304" i="53"/>
  <c r="O138" i="43"/>
  <c r="F45" i="52" l="1"/>
  <c r="C39" i="52"/>
  <c r="E33" i="18" s="1"/>
  <c r="C40" i="52"/>
  <c r="E34" i="18" s="1"/>
  <c r="C41" i="52"/>
  <c r="X52" i="52"/>
  <c r="AB52" i="52"/>
  <c r="AF52" i="52" s="1"/>
  <c r="AG52" i="52" s="1"/>
  <c r="V433" i="29"/>
  <c r="W433" i="29" s="1"/>
  <c r="P433" i="29"/>
  <c r="AB435" i="29"/>
  <c r="N434" i="29"/>
  <c r="AE495" i="4"/>
  <c r="AG495" i="4" s="1"/>
  <c r="G193" i="53" s="1"/>
  <c r="AE493" i="4"/>
  <c r="AG493" i="4" s="1"/>
  <c r="AE492" i="4"/>
  <c r="AE496" i="4"/>
  <c r="AG496" i="4" s="1"/>
  <c r="G232" i="53" s="1"/>
  <c r="AE498" i="4"/>
  <c r="AG498" i="4" s="1"/>
  <c r="G311" i="53" s="1"/>
  <c r="AE501" i="4"/>
  <c r="AE502" i="4"/>
  <c r="AE499" i="4"/>
  <c r="AG499" i="4" s="1"/>
  <c r="G352" i="53" s="1"/>
  <c r="AE497" i="4"/>
  <c r="AG497" i="4" s="1"/>
  <c r="G272" i="53" s="1"/>
  <c r="AE500" i="4"/>
  <c r="AG500" i="4" s="1"/>
  <c r="G397" i="53" s="1"/>
  <c r="F34" i="18"/>
  <c r="H34" i="18"/>
  <c r="I34" i="18" s="1"/>
  <c r="G128" i="53"/>
  <c r="J128" i="53" s="1"/>
  <c r="G164" i="53"/>
  <c r="J164" i="53" s="1"/>
  <c r="AJ502" i="4"/>
  <c r="AJ501" i="4"/>
  <c r="F33" i="18"/>
  <c r="H33" i="18"/>
  <c r="I33" i="18" s="1"/>
  <c r="AH501" i="4"/>
  <c r="AH502" i="4"/>
  <c r="E35" i="18"/>
  <c r="I22" i="56"/>
  <c r="AE487" i="4"/>
  <c r="AE489" i="4"/>
  <c r="AE490" i="4"/>
  <c r="AG490" i="4" s="1"/>
  <c r="F43" i="52"/>
  <c r="D43" i="52"/>
  <c r="H202" i="62"/>
  <c r="J202" i="62" s="1"/>
  <c r="D45" i="52"/>
  <c r="H200" i="62" s="1"/>
  <c r="B9" i="18"/>
  <c r="D9" i="18" s="1"/>
  <c r="J356" i="53"/>
  <c r="S44" i="52"/>
  <c r="J473" i="53"/>
  <c r="H25" i="52"/>
  <c r="G158" i="53" s="1"/>
  <c r="J158" i="53" s="1"/>
  <c r="T23" i="52"/>
  <c r="Q29" i="52"/>
  <c r="R29" i="52"/>
  <c r="S29" i="52"/>
  <c r="J196" i="53"/>
  <c r="G201" i="53"/>
  <c r="J201" i="53" s="1"/>
  <c r="J122" i="53"/>
  <c r="G126" i="53"/>
  <c r="P19" i="52"/>
  <c r="U19" i="52" s="1"/>
  <c r="D27" i="77"/>
  <c r="D28" i="77" s="1"/>
  <c r="C27" i="77"/>
  <c r="C28" i="77" s="1"/>
  <c r="G20" i="52"/>
  <c r="G41" i="52"/>
  <c r="G12" i="77"/>
  <c r="G17" i="77" s="1"/>
  <c r="H12" i="77"/>
  <c r="H17" i="77" s="1"/>
  <c r="G40" i="52"/>
  <c r="J316" i="53"/>
  <c r="M27" i="52"/>
  <c r="U24" i="52"/>
  <c r="M35" i="52"/>
  <c r="P35" i="52" s="1"/>
  <c r="M37" i="52"/>
  <c r="P37" i="52" s="1"/>
  <c r="M33" i="52"/>
  <c r="P33" i="52" s="1"/>
  <c r="M28" i="52"/>
  <c r="P28" i="52" s="1"/>
  <c r="M31" i="52"/>
  <c r="P31" i="52" s="1"/>
  <c r="Z434" i="29"/>
  <c r="T436" i="29"/>
  <c r="U436" i="29"/>
  <c r="Q436" i="29"/>
  <c r="G436" i="29"/>
  <c r="S436" i="29"/>
  <c r="E436" i="29"/>
  <c r="R436" i="29"/>
  <c r="AD438" i="29"/>
  <c r="AI437" i="29"/>
  <c r="B437" i="29"/>
  <c r="O435" i="29"/>
  <c r="AE436" i="29"/>
  <c r="AA436" i="29" s="1"/>
  <c r="AF436" i="29"/>
  <c r="P434" i="29"/>
  <c r="V434" i="29"/>
  <c r="W434" i="29" s="1"/>
  <c r="I435" i="29"/>
  <c r="K435" i="29" s="1"/>
  <c r="J435" i="29"/>
  <c r="Y435" i="29" s="1"/>
  <c r="J240" i="53"/>
  <c r="H29" i="52"/>
  <c r="O110" i="43"/>
  <c r="O113" i="43" s="1"/>
  <c r="G462" i="53"/>
  <c r="O124" i="43"/>
  <c r="E27" i="68"/>
  <c r="B27" i="68"/>
  <c r="G183" i="53"/>
  <c r="J183" i="53"/>
  <c r="N26" i="17"/>
  <c r="N18" i="17"/>
  <c r="N19" i="17"/>
  <c r="N13" i="17"/>
  <c r="N5" i="17"/>
  <c r="N24" i="17"/>
  <c r="N30" i="17"/>
  <c r="N14" i="17"/>
  <c r="N42" i="17"/>
  <c r="N44" i="17"/>
  <c r="N10" i="17"/>
  <c r="N6" i="17"/>
  <c r="N35" i="17"/>
  <c r="N32" i="17"/>
  <c r="N39" i="17"/>
  <c r="G310" i="53"/>
  <c r="G425" i="53"/>
  <c r="G428" i="53" s="1"/>
  <c r="J425" i="53"/>
  <c r="G23" i="52"/>
  <c r="J20" i="53"/>
  <c r="G24" i="53"/>
  <c r="G351" i="53"/>
  <c r="F77" i="17"/>
  <c r="O116" i="43"/>
  <c r="O118" i="43" s="1"/>
  <c r="M38" i="70"/>
  <c r="E26" i="68"/>
  <c r="O129" i="43"/>
  <c r="G222" i="53"/>
  <c r="J222" i="53"/>
  <c r="G396" i="53"/>
  <c r="G154" i="53"/>
  <c r="J51" i="53"/>
  <c r="G235" i="17"/>
  <c r="C77" i="17" s="1"/>
  <c r="J360" i="53"/>
  <c r="AD473" i="4"/>
  <c r="S288" i="17"/>
  <c r="E290" i="17" s="1"/>
  <c r="P26" i="17"/>
  <c r="S284" i="17"/>
  <c r="E286" i="17" s="1"/>
  <c r="P18" i="17"/>
  <c r="P19" i="17"/>
  <c r="P44" i="17"/>
  <c r="P14" i="17"/>
  <c r="P13" i="17"/>
  <c r="S276" i="17"/>
  <c r="P5" i="17"/>
  <c r="S287" i="17"/>
  <c r="E289" i="17" s="1"/>
  <c r="S289" i="17"/>
  <c r="E293" i="17" s="1"/>
  <c r="P24" i="17"/>
  <c r="P30" i="17"/>
  <c r="S279" i="17"/>
  <c r="E281" i="17" s="1"/>
  <c r="S280" i="17"/>
  <c r="E282" i="17" s="1"/>
  <c r="P32" i="17"/>
  <c r="S283" i="17"/>
  <c r="E285" i="17" s="1"/>
  <c r="S295" i="17"/>
  <c r="E302" i="17" s="1"/>
  <c r="P42" i="17"/>
  <c r="P35" i="17"/>
  <c r="S294" i="17"/>
  <c r="E300" i="17" s="1"/>
  <c r="P39" i="17"/>
  <c r="P10" i="17"/>
  <c r="S291" i="17"/>
  <c r="E296" i="17" s="1"/>
  <c r="P6" i="17"/>
  <c r="S290" i="17"/>
  <c r="E294" i="17" s="1"/>
  <c r="S292" i="17"/>
  <c r="E298" i="17" s="1"/>
  <c r="B26" i="68"/>
  <c r="L38" i="70"/>
  <c r="J10" i="53"/>
  <c r="J16" i="53" s="1"/>
  <c r="G10" i="53"/>
  <c r="G16" i="53" s="1"/>
  <c r="B15" i="68"/>
  <c r="M176" i="69"/>
  <c r="G29" i="52"/>
  <c r="AG471" i="4"/>
  <c r="AN471" i="4"/>
  <c r="AE473" i="4"/>
  <c r="Q288" i="17"/>
  <c r="C290" i="17" s="1"/>
  <c r="Q284" i="17"/>
  <c r="C286" i="17" s="1"/>
  <c r="Q283" i="17"/>
  <c r="C285" i="17" s="1"/>
  <c r="Q279" i="17"/>
  <c r="C281" i="17" s="1"/>
  <c r="Q276" i="17"/>
  <c r="Q287" i="17"/>
  <c r="C289" i="17" s="1"/>
  <c r="Q289" i="17"/>
  <c r="C293" i="17" s="1"/>
  <c r="Q280" i="17"/>
  <c r="C282" i="17" s="1"/>
  <c r="Q294" i="17"/>
  <c r="C300" i="17" s="1"/>
  <c r="Q295" i="17"/>
  <c r="C302" i="17" s="1"/>
  <c r="Q291" i="17"/>
  <c r="C296" i="17" s="1"/>
  <c r="Q290" i="17"/>
  <c r="C294" i="17" s="1"/>
  <c r="Q292" i="17"/>
  <c r="C298" i="17" s="1"/>
  <c r="Q278" i="17"/>
  <c r="C278" i="17" s="1"/>
  <c r="K278" i="17" s="1"/>
  <c r="I79" i="17" s="1"/>
  <c r="J79" i="17" s="1"/>
  <c r="K79" i="17" s="1"/>
  <c r="Q277" i="17"/>
  <c r="AB436" i="29" l="1"/>
  <c r="J34" i="18"/>
  <c r="N435" i="29"/>
  <c r="P435" i="29" s="1"/>
  <c r="AE494" i="4"/>
  <c r="AG494" i="4" s="1"/>
  <c r="G155" i="53" s="1"/>
  <c r="AG492" i="4"/>
  <c r="J33" i="18"/>
  <c r="C22" i="56"/>
  <c r="AE491" i="4"/>
  <c r="AG491" i="4" s="1"/>
  <c r="G119" i="53" s="1"/>
  <c r="AG489" i="4"/>
  <c r="G162" i="53"/>
  <c r="J162" i="53" s="1"/>
  <c r="H47" i="52"/>
  <c r="Q44" i="52"/>
  <c r="G471" i="53"/>
  <c r="J471" i="53" s="1"/>
  <c r="Q43" i="52"/>
  <c r="E25" i="77"/>
  <c r="O1085" i="29" s="1"/>
  <c r="M41" i="52"/>
  <c r="P41" i="52" s="1"/>
  <c r="M40" i="52"/>
  <c r="P40" i="52" s="1"/>
  <c r="J200" i="62"/>
  <c r="S43" i="52"/>
  <c r="G440" i="53"/>
  <c r="J440" i="53" s="1"/>
  <c r="T29" i="52"/>
  <c r="B35" i="18"/>
  <c r="F35" i="18" s="1"/>
  <c r="H35" i="18"/>
  <c r="D22" i="56" s="1"/>
  <c r="E24" i="77"/>
  <c r="E23" i="77"/>
  <c r="AF501" i="4" s="1"/>
  <c r="AG501" i="4" s="1"/>
  <c r="G429" i="53" s="1"/>
  <c r="U31" i="52"/>
  <c r="G25" i="52"/>
  <c r="M23" i="52"/>
  <c r="AI438" i="29"/>
  <c r="B438" i="29"/>
  <c r="AD439" i="29"/>
  <c r="O436" i="29"/>
  <c r="I436" i="29"/>
  <c r="K436" i="29" s="1"/>
  <c r="J436" i="29"/>
  <c r="Y436" i="29" s="1"/>
  <c r="AF437" i="29"/>
  <c r="AE437" i="29"/>
  <c r="AA437" i="29" s="1"/>
  <c r="M20" i="52"/>
  <c r="Z435" i="29"/>
  <c r="U437" i="29"/>
  <c r="S437" i="29"/>
  <c r="G437" i="29"/>
  <c r="E437" i="29"/>
  <c r="T437" i="29"/>
  <c r="R437" i="29"/>
  <c r="Q437" i="29"/>
  <c r="J396" i="53"/>
  <c r="U33" i="52"/>
  <c r="U37" i="52"/>
  <c r="AB37" i="52" s="1"/>
  <c r="AC37" i="52" s="1"/>
  <c r="AF37" i="52" s="1"/>
  <c r="U28" i="52"/>
  <c r="K286" i="17"/>
  <c r="I87" i="17" s="1"/>
  <c r="J87" i="17" s="1"/>
  <c r="K87" i="17" s="1"/>
  <c r="K300" i="17"/>
  <c r="I101" i="17" s="1"/>
  <c r="J101" i="17" s="1"/>
  <c r="K101" i="17" s="1"/>
  <c r="E32" i="68"/>
  <c r="J462" i="53"/>
  <c r="B32" i="68"/>
  <c r="K298" i="17"/>
  <c r="I99" i="17" s="1"/>
  <c r="J99" i="17" s="1"/>
  <c r="K99" i="17" s="1"/>
  <c r="K302" i="17"/>
  <c r="I103" i="17" s="1"/>
  <c r="J103" i="17" s="1"/>
  <c r="K103" i="17" s="1"/>
  <c r="K296" i="17"/>
  <c r="I97" i="17" s="1"/>
  <c r="K282" i="17"/>
  <c r="I83" i="17" s="1"/>
  <c r="J83" i="17" s="1"/>
  <c r="K83" i="17" s="1"/>
  <c r="U35" i="52"/>
  <c r="J351" i="53"/>
  <c r="J154" i="53"/>
  <c r="J310" i="53"/>
  <c r="K289" i="17"/>
  <c r="I90" i="17" s="1"/>
  <c r="J90" i="17" s="1"/>
  <c r="K90" i="17" s="1"/>
  <c r="J428" i="53"/>
  <c r="K285" i="17"/>
  <c r="I86" i="17" s="1"/>
  <c r="J86" i="17" s="1"/>
  <c r="K86" i="17" s="1"/>
  <c r="T32" i="17"/>
  <c r="T44" i="17"/>
  <c r="T24" i="17"/>
  <c r="T18" i="17"/>
  <c r="T35" i="17"/>
  <c r="T42" i="17"/>
  <c r="T5" i="17"/>
  <c r="T26" i="17"/>
  <c r="J126" i="53"/>
  <c r="J24" i="53"/>
  <c r="T6" i="17"/>
  <c r="T14" i="17"/>
  <c r="T13" i="17"/>
  <c r="I58" i="17"/>
  <c r="Q300" i="17"/>
  <c r="K293" i="17"/>
  <c r="I94" i="17" s="1"/>
  <c r="Q299" i="17"/>
  <c r="C276" i="17"/>
  <c r="K281" i="17"/>
  <c r="I82" i="17" s="1"/>
  <c r="J82" i="17" s="1"/>
  <c r="K82" i="17" s="1"/>
  <c r="AO471" i="4"/>
  <c r="M29" i="52"/>
  <c r="P27" i="52"/>
  <c r="L176" i="69"/>
  <c r="K187" i="69" s="1"/>
  <c r="L41" i="70"/>
  <c r="J54" i="70"/>
  <c r="S299" i="17"/>
  <c r="E276" i="17"/>
  <c r="S300" i="17"/>
  <c r="I60" i="17"/>
  <c r="T25" i="52"/>
  <c r="E77" i="17"/>
  <c r="K294" i="17"/>
  <c r="I95" i="17" s="1"/>
  <c r="K290" i="17"/>
  <c r="I91" i="17" s="1"/>
  <c r="J91" i="17" s="1"/>
  <c r="K91" i="17" s="1"/>
  <c r="G77" i="17"/>
  <c r="P20" i="52"/>
  <c r="T39" i="17"/>
  <c r="T10" i="17"/>
  <c r="T30" i="17"/>
  <c r="T19" i="17"/>
  <c r="AB35" i="52" l="1"/>
  <c r="AC35" i="52" s="1"/>
  <c r="C35" i="79"/>
  <c r="AB33" i="52"/>
  <c r="AC33" i="52" s="1"/>
  <c r="C33" i="79"/>
  <c r="AB31" i="52"/>
  <c r="AC31" i="52" s="1"/>
  <c r="AK20" i="52" s="1"/>
  <c r="C31" i="79"/>
  <c r="AB28" i="52"/>
  <c r="AC28" i="52" s="1"/>
  <c r="AF28" i="52" s="1"/>
  <c r="C28" i="79"/>
  <c r="AF31" i="52"/>
  <c r="AK22" i="52"/>
  <c r="AF35" i="52"/>
  <c r="AK21" i="52"/>
  <c r="V435" i="29"/>
  <c r="W435" i="29" s="1"/>
  <c r="AB437" i="29"/>
  <c r="N436" i="29"/>
  <c r="B24" i="77"/>
  <c r="AF502" i="4"/>
  <c r="AG502" i="4" s="1"/>
  <c r="G463" i="53" s="1"/>
  <c r="I35" i="18"/>
  <c r="J35" i="18" s="1"/>
  <c r="G438" i="53"/>
  <c r="J438" i="53" s="1"/>
  <c r="V41" i="52"/>
  <c r="U41" i="52"/>
  <c r="V40" i="52"/>
  <c r="U40" i="52"/>
  <c r="G39" i="52"/>
  <c r="E27" i="77"/>
  <c r="E28" i="77" s="1"/>
  <c r="B23" i="77"/>
  <c r="B25" i="77"/>
  <c r="P23" i="52"/>
  <c r="M25" i="52"/>
  <c r="P436" i="29"/>
  <c r="V436" i="29"/>
  <c r="W436" i="29" s="1"/>
  <c r="G438" i="29"/>
  <c r="S438" i="29"/>
  <c r="U438" i="29"/>
  <c r="E438" i="29"/>
  <c r="Q438" i="29"/>
  <c r="R438" i="29"/>
  <c r="T438" i="29"/>
  <c r="AF438" i="29"/>
  <c r="AE438" i="29"/>
  <c r="AA438" i="29" s="1"/>
  <c r="O437" i="29"/>
  <c r="Z436" i="29"/>
  <c r="I437" i="29"/>
  <c r="J437" i="29"/>
  <c r="Y437" i="29" s="1"/>
  <c r="AI439" i="29"/>
  <c r="AD440" i="29"/>
  <c r="B439" i="29"/>
  <c r="H77" i="17"/>
  <c r="K276" i="17"/>
  <c r="U27" i="52"/>
  <c r="P29" i="52"/>
  <c r="AK17" i="52" l="1"/>
  <c r="AA33" i="52"/>
  <c r="AF33" i="52"/>
  <c r="AG33" i="52" s="1"/>
  <c r="AK19" i="52"/>
  <c r="AB27" i="52"/>
  <c r="AC27" i="52" s="1"/>
  <c r="AF27" i="52" s="1"/>
  <c r="C27" i="79"/>
  <c r="C44" i="52"/>
  <c r="I20" i="56" s="1"/>
  <c r="C45" i="52"/>
  <c r="I21" i="56" s="1"/>
  <c r="AG35" i="52"/>
  <c r="AO21" i="52"/>
  <c r="AG28" i="52"/>
  <c r="AO17" i="52"/>
  <c r="AU17" i="52" s="1"/>
  <c r="AK18" i="52"/>
  <c r="AG37" i="52"/>
  <c r="AO22" i="52"/>
  <c r="AU22" i="52" s="1"/>
  <c r="AG31" i="52"/>
  <c r="AO20" i="52"/>
  <c r="G44" i="52"/>
  <c r="M44" i="52" s="1"/>
  <c r="P44" i="52" s="1"/>
  <c r="K437" i="29"/>
  <c r="N437" i="29" s="1"/>
  <c r="AM502" i="4"/>
  <c r="AM501" i="4"/>
  <c r="C43" i="52"/>
  <c r="I19" i="56" s="1"/>
  <c r="J352" i="53"/>
  <c r="J353" i="53" s="1"/>
  <c r="M39" i="52"/>
  <c r="B27" i="77"/>
  <c r="B28" i="77" s="1"/>
  <c r="J272" i="53"/>
  <c r="J193" i="53"/>
  <c r="P25" i="52"/>
  <c r="AB438" i="29"/>
  <c r="U23" i="52"/>
  <c r="E439" i="29"/>
  <c r="T439" i="29"/>
  <c r="G439" i="29"/>
  <c r="U439" i="29"/>
  <c r="R439" i="29"/>
  <c r="Q439" i="29"/>
  <c r="S439" i="29"/>
  <c r="Z437" i="29"/>
  <c r="J438" i="29"/>
  <c r="Y438" i="29" s="1"/>
  <c r="I438" i="29"/>
  <c r="B440" i="29"/>
  <c r="AI440" i="29"/>
  <c r="AD441" i="29"/>
  <c r="AF439" i="29"/>
  <c r="AE439" i="29"/>
  <c r="AA439" i="29" s="1"/>
  <c r="O438" i="29"/>
  <c r="J232" i="53"/>
  <c r="I77" i="17"/>
  <c r="U29" i="52"/>
  <c r="C29" i="79" s="1"/>
  <c r="AO19" i="52" l="1"/>
  <c r="AU19" i="52" s="1"/>
  <c r="AG27" i="52"/>
  <c r="AO18" i="52"/>
  <c r="AU20" i="52"/>
  <c r="Z41" i="52"/>
  <c r="U44" i="52"/>
  <c r="P437" i="29"/>
  <c r="V437" i="29"/>
  <c r="W437" i="29" s="1"/>
  <c r="K438" i="29"/>
  <c r="N438" i="29" s="1"/>
  <c r="G353" i="53"/>
  <c r="G358" i="53" s="1"/>
  <c r="P39" i="52"/>
  <c r="G45" i="52"/>
  <c r="G43" i="52"/>
  <c r="M43" i="52" s="1"/>
  <c r="P43" i="52" s="1"/>
  <c r="J358" i="53"/>
  <c r="AB439" i="29"/>
  <c r="U25" i="52"/>
  <c r="AB25" i="52" s="1"/>
  <c r="AC25" i="52" s="1"/>
  <c r="Z438" i="29"/>
  <c r="I439" i="29"/>
  <c r="J439" i="29"/>
  <c r="Y439" i="29" s="1"/>
  <c r="AI441" i="29"/>
  <c r="AD442" i="29"/>
  <c r="B441" i="29"/>
  <c r="AF440" i="29"/>
  <c r="AE440" i="29"/>
  <c r="AA440" i="29" s="1"/>
  <c r="E440" i="29"/>
  <c r="S440" i="29"/>
  <c r="Q440" i="29"/>
  <c r="R440" i="29"/>
  <c r="U440" i="29"/>
  <c r="T440" i="29"/>
  <c r="G440" i="29"/>
  <c r="O439" i="29"/>
  <c r="J77" i="17"/>
  <c r="K77" i="17" s="1"/>
  <c r="K110" i="17" s="1"/>
  <c r="J397" i="53"/>
  <c r="J398" i="53" s="1"/>
  <c r="J402" i="53" s="1"/>
  <c r="J409" i="53" s="1"/>
  <c r="H31" i="18" s="1"/>
  <c r="G398" i="53"/>
  <c r="G402" i="53" s="1"/>
  <c r="AB44" i="52" l="1"/>
  <c r="AC44" i="52" s="1"/>
  <c r="AF44" i="52" s="1"/>
  <c r="C44" i="79"/>
  <c r="G365" i="53"/>
  <c r="G409" i="53"/>
  <c r="E31" i="18" s="1"/>
  <c r="F31" i="18" s="1"/>
  <c r="AF25" i="52"/>
  <c r="AK16" i="52"/>
  <c r="AK25" i="52"/>
  <c r="AU21" i="52"/>
  <c r="AU18" i="52"/>
  <c r="N35" i="52"/>
  <c r="O35" i="52" s="1"/>
  <c r="V438" i="29"/>
  <c r="W438" i="29" s="1"/>
  <c r="P438" i="29"/>
  <c r="AB440" i="29"/>
  <c r="I31" i="18"/>
  <c r="D18" i="56"/>
  <c r="K439" i="29"/>
  <c r="N439" i="29" s="1"/>
  <c r="E29" i="18"/>
  <c r="J365" i="53"/>
  <c r="U39" i="52"/>
  <c r="J311" i="53"/>
  <c r="J312" i="53" s="1"/>
  <c r="J319" i="53" s="1"/>
  <c r="G312" i="53"/>
  <c r="G319" i="53" s="1"/>
  <c r="T441" i="29"/>
  <c r="Q441" i="29"/>
  <c r="U441" i="29"/>
  <c r="E441" i="29"/>
  <c r="G441" i="29"/>
  <c r="S441" i="29"/>
  <c r="R441" i="29"/>
  <c r="AD443" i="29"/>
  <c r="AI442" i="29"/>
  <c r="B442" i="29"/>
  <c r="O440" i="29"/>
  <c r="AF441" i="29"/>
  <c r="AE441" i="29"/>
  <c r="AA441" i="29" s="1"/>
  <c r="Z439" i="29"/>
  <c r="I440" i="29"/>
  <c r="K440" i="29" s="1"/>
  <c r="J440" i="29"/>
  <c r="Y440" i="29" s="1"/>
  <c r="N37" i="52"/>
  <c r="J155" i="53"/>
  <c r="J156" i="53" s="1"/>
  <c r="J160" i="53" s="1"/>
  <c r="J167" i="53" s="1"/>
  <c r="H19" i="18" s="1"/>
  <c r="G156" i="53"/>
  <c r="G160" i="53" s="1"/>
  <c r="J119" i="53"/>
  <c r="C18" i="56" l="1"/>
  <c r="G167" i="53"/>
  <c r="E19" i="18" s="1"/>
  <c r="G326" i="53"/>
  <c r="E26" i="18" s="1"/>
  <c r="C16" i="56" s="1"/>
  <c r="AG44" i="52"/>
  <c r="AO25" i="52"/>
  <c r="AU25" i="52" s="1"/>
  <c r="AG25" i="52"/>
  <c r="AO16" i="52"/>
  <c r="AU16" i="52" s="1"/>
  <c r="J31" i="18"/>
  <c r="K31" i="18" s="1"/>
  <c r="P439" i="29"/>
  <c r="V439" i="29"/>
  <c r="W439" i="29" s="1"/>
  <c r="I19" i="18"/>
  <c r="D12" i="56"/>
  <c r="N440" i="29"/>
  <c r="P440" i="29" s="1"/>
  <c r="C12" i="56"/>
  <c r="F19" i="18"/>
  <c r="C17" i="56"/>
  <c r="F29" i="18"/>
  <c r="H29" i="18"/>
  <c r="J367" i="53"/>
  <c r="K368" i="53" s="1"/>
  <c r="J326" i="53"/>
  <c r="O37" i="52"/>
  <c r="N33" i="52"/>
  <c r="O33" i="52" s="1"/>
  <c r="AB441" i="29"/>
  <c r="V440" i="29"/>
  <c r="W440" i="29" s="1"/>
  <c r="AD444" i="29"/>
  <c r="AI443" i="29"/>
  <c r="B443" i="29"/>
  <c r="J441" i="29"/>
  <c r="Y441" i="29" s="1"/>
  <c r="I441" i="29"/>
  <c r="Z440" i="29"/>
  <c r="O441" i="29"/>
  <c r="U442" i="29"/>
  <c r="Q442" i="29"/>
  <c r="S442" i="29"/>
  <c r="E442" i="29"/>
  <c r="T442" i="29"/>
  <c r="G442" i="29"/>
  <c r="R442" i="29"/>
  <c r="AF442" i="29"/>
  <c r="AE442" i="29"/>
  <c r="AA442" i="29" s="1"/>
  <c r="J411" i="53"/>
  <c r="K412" i="53" s="1"/>
  <c r="N25" i="52"/>
  <c r="O25" i="52" s="1"/>
  <c r="F26" i="18" l="1"/>
  <c r="J368" i="53"/>
  <c r="G31" i="18"/>
  <c r="G29" i="18"/>
  <c r="J19" i="18"/>
  <c r="K19" i="18" s="1"/>
  <c r="I29" i="18"/>
  <c r="J29" i="18" s="1"/>
  <c r="K29" i="18" s="1"/>
  <c r="D17" i="56"/>
  <c r="K441" i="29"/>
  <c r="N441" i="29" s="1"/>
  <c r="H26" i="18"/>
  <c r="W35" i="52"/>
  <c r="E35" i="79" s="1"/>
  <c r="W37" i="52"/>
  <c r="E37" i="79" s="1"/>
  <c r="J328" i="53"/>
  <c r="K329" i="53" s="1"/>
  <c r="AB442" i="29"/>
  <c r="L347" i="7"/>
  <c r="E443" i="29"/>
  <c r="Q443" i="29"/>
  <c r="G443" i="29"/>
  <c r="U443" i="29"/>
  <c r="S443" i="29"/>
  <c r="T443" i="29"/>
  <c r="R443" i="29"/>
  <c r="J442" i="29"/>
  <c r="Y442" i="29" s="1"/>
  <c r="I442" i="29"/>
  <c r="O442" i="29"/>
  <c r="AF443" i="29"/>
  <c r="AE443" i="29"/>
  <c r="AA443" i="29" s="1"/>
  <c r="Z441" i="29"/>
  <c r="AI444" i="29"/>
  <c r="B444" i="29"/>
  <c r="AD445" i="29"/>
  <c r="J169" i="53"/>
  <c r="K170" i="53" s="1"/>
  <c r="J412" i="53"/>
  <c r="F37" i="79" l="1"/>
  <c r="F35" i="79"/>
  <c r="AE54" i="52"/>
  <c r="AY21" i="52"/>
  <c r="AZ21" i="52" s="1"/>
  <c r="AY22" i="52"/>
  <c r="AZ22" i="52" s="1"/>
  <c r="G26" i="18"/>
  <c r="W25" i="52"/>
  <c r="G19" i="18"/>
  <c r="P441" i="29"/>
  <c r="V441" i="29"/>
  <c r="W441" i="29" s="1"/>
  <c r="I26" i="18"/>
  <c r="J26" i="18" s="1"/>
  <c r="K26" i="18" s="1"/>
  <c r="D16" i="56"/>
  <c r="K442" i="29"/>
  <c r="N442" i="29" s="1"/>
  <c r="X37" i="52"/>
  <c r="X35" i="52"/>
  <c r="L350" i="7"/>
  <c r="L352" i="7" s="1"/>
  <c r="W33" i="52"/>
  <c r="E33" i="79" s="1"/>
  <c r="F33" i="79" s="1"/>
  <c r="J329" i="53"/>
  <c r="AB443" i="29"/>
  <c r="AE444" i="29"/>
  <c r="AA444" i="29" s="1"/>
  <c r="AF444" i="29"/>
  <c r="J443" i="29"/>
  <c r="Y443" i="29" s="1"/>
  <c r="I443" i="29"/>
  <c r="K443" i="29" s="1"/>
  <c r="B445" i="29"/>
  <c r="AI445" i="29"/>
  <c r="AD446" i="29"/>
  <c r="Z442" i="29"/>
  <c r="Q444" i="29"/>
  <c r="S444" i="29"/>
  <c r="R444" i="29"/>
  <c r="U444" i="29"/>
  <c r="T444" i="29"/>
  <c r="E444" i="29"/>
  <c r="G444" i="29"/>
  <c r="O443" i="29"/>
  <c r="J170" i="53"/>
  <c r="AY16" i="52" l="1"/>
  <c r="AZ16" i="52" s="1"/>
  <c r="E25" i="79"/>
  <c r="F25" i="79" s="1"/>
  <c r="AY19" i="52"/>
  <c r="AZ19" i="52" s="1"/>
  <c r="P442" i="29"/>
  <c r="V442" i="29"/>
  <c r="W442" i="29" s="1"/>
  <c r="AB444" i="29"/>
  <c r="N443" i="29"/>
  <c r="I368" i="7"/>
  <c r="J368" i="7" s="1"/>
  <c r="I371" i="7"/>
  <c r="J371" i="7" s="1"/>
  <c r="K368" i="7"/>
  <c r="I417" i="7"/>
  <c r="J417" i="7" s="1"/>
  <c r="I408" i="7"/>
  <c r="J408" i="7" s="1"/>
  <c r="I411" i="7"/>
  <c r="J411" i="7" s="1"/>
  <c r="K419" i="7"/>
  <c r="I358" i="7"/>
  <c r="J358" i="7" s="1"/>
  <c r="I390" i="7"/>
  <c r="J390" i="7" s="1"/>
  <c r="I426" i="7"/>
  <c r="J426" i="7" s="1"/>
  <c r="K350" i="7"/>
  <c r="I356" i="7"/>
  <c r="J356" i="7" s="1"/>
  <c r="I353" i="7"/>
  <c r="J353" i="7" s="1"/>
  <c r="I425" i="7"/>
  <c r="J425" i="7" s="1"/>
  <c r="K383" i="7"/>
  <c r="K349" i="7"/>
  <c r="K429" i="7"/>
  <c r="I389" i="7"/>
  <c r="J389" i="7" s="1"/>
  <c r="K398" i="7"/>
  <c r="I414" i="7"/>
  <c r="J414" i="7" s="1"/>
  <c r="I384" i="7"/>
  <c r="J384" i="7" s="1"/>
  <c r="K409" i="7"/>
  <c r="I428" i="7"/>
  <c r="J428" i="7" s="1"/>
  <c r="K366" i="7"/>
  <c r="I402" i="7"/>
  <c r="J402" i="7" s="1"/>
  <c r="K422" i="7"/>
  <c r="K379" i="7"/>
  <c r="I381" i="7"/>
  <c r="J381" i="7" s="1"/>
  <c r="I351" i="7"/>
  <c r="J351" i="7" s="1"/>
  <c r="I359" i="7"/>
  <c r="J359" i="7" s="1"/>
  <c r="K410" i="7"/>
  <c r="I396" i="7"/>
  <c r="J396" i="7" s="1"/>
  <c r="I349" i="7"/>
  <c r="J349" i="7" s="1"/>
  <c r="I355" i="7"/>
  <c r="J355" i="7" s="1"/>
  <c r="K374" i="7"/>
  <c r="I370" i="7"/>
  <c r="J370" i="7" s="1"/>
  <c r="K388" i="7"/>
  <c r="I367" i="7"/>
  <c r="J367" i="7" s="1"/>
  <c r="I409" i="7"/>
  <c r="J409" i="7" s="1"/>
  <c r="K355" i="7"/>
  <c r="K404" i="7"/>
  <c r="K426" i="7"/>
  <c r="I363" i="7"/>
  <c r="J363" i="7" s="1"/>
  <c r="I352" i="7"/>
  <c r="J352" i="7" s="1"/>
  <c r="K367" i="7"/>
  <c r="I427" i="7"/>
  <c r="J427" i="7" s="1"/>
  <c r="I419" i="7"/>
  <c r="J419" i="7" s="1"/>
  <c r="K356" i="7"/>
  <c r="I404" i="7"/>
  <c r="J404" i="7" s="1"/>
  <c r="K405" i="7"/>
  <c r="I418" i="7"/>
  <c r="J418" i="7" s="1"/>
  <c r="K403" i="7"/>
  <c r="K378" i="7"/>
  <c r="I407" i="7"/>
  <c r="J407" i="7" s="1"/>
  <c r="K357" i="7"/>
  <c r="I401" i="7"/>
  <c r="J401" i="7" s="1"/>
  <c r="I360" i="7"/>
  <c r="J360" i="7" s="1"/>
  <c r="K386" i="7"/>
  <c r="I365" i="7"/>
  <c r="J365" i="7" s="1"/>
  <c r="K395" i="7"/>
  <c r="K424" i="7"/>
  <c r="I394" i="7"/>
  <c r="J394" i="7" s="1"/>
  <c r="K417" i="7"/>
  <c r="K394" i="7"/>
  <c r="I383" i="7"/>
  <c r="J383" i="7" s="1"/>
  <c r="K400" i="7"/>
  <c r="I379" i="7"/>
  <c r="J379" i="7" s="1"/>
  <c r="K407" i="7"/>
  <c r="I375" i="7"/>
  <c r="J375" i="7" s="1"/>
  <c r="K369" i="7"/>
  <c r="K376" i="7"/>
  <c r="K361" i="7"/>
  <c r="K411" i="7"/>
  <c r="K380" i="7"/>
  <c r="I422" i="7"/>
  <c r="J422" i="7" s="1"/>
  <c r="K416" i="7"/>
  <c r="I374" i="7"/>
  <c r="J374" i="7" s="1"/>
  <c r="K354" i="7"/>
  <c r="I424" i="7"/>
  <c r="J424" i="7" s="1"/>
  <c r="K353" i="7"/>
  <c r="I373" i="7"/>
  <c r="J373" i="7" s="1"/>
  <c r="I362" i="7"/>
  <c r="J362" i="7" s="1"/>
  <c r="K377" i="7"/>
  <c r="K382" i="7"/>
  <c r="I397" i="7"/>
  <c r="J397" i="7" s="1"/>
  <c r="K387" i="7"/>
  <c r="K420" i="7"/>
  <c r="I382" i="7"/>
  <c r="J382" i="7" s="1"/>
  <c r="K358" i="7"/>
  <c r="I399" i="7"/>
  <c r="J399" i="7" s="1"/>
  <c r="K412" i="7"/>
  <c r="I421" i="7"/>
  <c r="J421" i="7" s="1"/>
  <c r="I398" i="7"/>
  <c r="J398" i="7" s="1"/>
  <c r="K399" i="7"/>
  <c r="I391" i="7"/>
  <c r="J391" i="7" s="1"/>
  <c r="K425" i="7"/>
  <c r="K372" i="7"/>
  <c r="I376" i="7"/>
  <c r="J376" i="7" s="1"/>
  <c r="K351" i="7"/>
  <c r="I364" i="7"/>
  <c r="J364" i="7" s="1"/>
  <c r="K413" i="7"/>
  <c r="K364" i="7"/>
  <c r="I380" i="7"/>
  <c r="J380" i="7" s="1"/>
  <c r="K389" i="7"/>
  <c r="I393" i="7"/>
  <c r="J393" i="7" s="1"/>
  <c r="I378" i="7"/>
  <c r="J378" i="7" s="1"/>
  <c r="K402" i="7"/>
  <c r="I403" i="7"/>
  <c r="J403" i="7" s="1"/>
  <c r="K427" i="7"/>
  <c r="I369" i="7"/>
  <c r="J369" i="7" s="1"/>
  <c r="K362" i="7"/>
  <c r="K428" i="7"/>
  <c r="I372" i="7"/>
  <c r="J372" i="7" s="1"/>
  <c r="K421" i="7"/>
  <c r="I392" i="7"/>
  <c r="J392" i="7" s="1"/>
  <c r="I410" i="7"/>
  <c r="J410" i="7" s="1"/>
  <c r="K418" i="7"/>
  <c r="I405" i="7"/>
  <c r="J405" i="7" s="1"/>
  <c r="K373" i="7"/>
  <c r="K385" i="7"/>
  <c r="K359" i="7"/>
  <c r="I385" i="7"/>
  <c r="J385" i="7" s="1"/>
  <c r="I429" i="7"/>
  <c r="J429" i="7" s="1"/>
  <c r="I395" i="7"/>
  <c r="J395" i="7" s="1"/>
  <c r="I406" i="7"/>
  <c r="J406" i="7" s="1"/>
  <c r="K370" i="7"/>
  <c r="I377" i="7"/>
  <c r="J377" i="7" s="1"/>
  <c r="K363" i="7"/>
  <c r="K408" i="7"/>
  <c r="I416" i="7"/>
  <c r="J416" i="7" s="1"/>
  <c r="K393" i="7"/>
  <c r="K391" i="7"/>
  <c r="K396" i="7"/>
  <c r="K384" i="7"/>
  <c r="I387" i="7"/>
  <c r="J387" i="7" s="1"/>
  <c r="K375" i="7"/>
  <c r="I413" i="7"/>
  <c r="J413" i="7" s="1"/>
  <c r="I350" i="7"/>
  <c r="J350" i="7" s="1"/>
  <c r="K360" i="7"/>
  <c r="I388" i="7"/>
  <c r="J388" i="7" s="1"/>
  <c r="I366" i="7"/>
  <c r="J366" i="7" s="1"/>
  <c r="K401" i="7"/>
  <c r="K381" i="7"/>
  <c r="K414" i="7"/>
  <c r="I400" i="7"/>
  <c r="J400" i="7" s="1"/>
  <c r="K365" i="7"/>
  <c r="I415" i="7"/>
  <c r="J415" i="7" s="1"/>
  <c r="I354" i="7"/>
  <c r="J354" i="7" s="1"/>
  <c r="K390" i="7"/>
  <c r="I412" i="7"/>
  <c r="J412" i="7" s="1"/>
  <c r="I420" i="7"/>
  <c r="J420" i="7" s="1"/>
  <c r="K371" i="7"/>
  <c r="K423" i="7"/>
  <c r="K352" i="7"/>
  <c r="I357" i="7"/>
  <c r="J357" i="7" s="1"/>
  <c r="K397" i="7"/>
  <c r="I361" i="7"/>
  <c r="J361" i="7" s="1"/>
  <c r="I386" i="7"/>
  <c r="J386" i="7" s="1"/>
  <c r="I423" i="7"/>
  <c r="J423" i="7" s="1"/>
  <c r="K415" i="7"/>
  <c r="K406" i="7"/>
  <c r="K392" i="7"/>
  <c r="X33" i="52"/>
  <c r="X25" i="52"/>
  <c r="AF445" i="29"/>
  <c r="AE445" i="29"/>
  <c r="AA445" i="29" s="1"/>
  <c r="V443" i="29"/>
  <c r="W443" i="29" s="1"/>
  <c r="P443" i="29"/>
  <c r="Z443" i="29"/>
  <c r="E445" i="29"/>
  <c r="U445" i="29"/>
  <c r="G445" i="29"/>
  <c r="S445" i="29"/>
  <c r="T445" i="29"/>
  <c r="R445" i="29"/>
  <c r="Q445" i="29"/>
  <c r="I444" i="29"/>
  <c r="K444" i="29" s="1"/>
  <c r="J444" i="29"/>
  <c r="Y444" i="29" s="1"/>
  <c r="O444" i="29"/>
  <c r="AI446" i="29"/>
  <c r="B446" i="29"/>
  <c r="AD447" i="29"/>
  <c r="AH33" i="52" l="1"/>
  <c r="AH53" i="52" s="1"/>
  <c r="AB445" i="29"/>
  <c r="N444" i="29"/>
  <c r="P444" i="29" s="1"/>
  <c r="J430" i="7"/>
  <c r="O445" i="29"/>
  <c r="I445" i="29"/>
  <c r="K445" i="29" s="1"/>
  <c r="N445" i="29" s="1"/>
  <c r="J445" i="29"/>
  <c r="Q446" i="29"/>
  <c r="S446" i="29"/>
  <c r="U446" i="29"/>
  <c r="E446" i="29"/>
  <c r="R446" i="29"/>
  <c r="G446" i="29"/>
  <c r="T446" i="29"/>
  <c r="Y445" i="29"/>
  <c r="AD448" i="29"/>
  <c r="B447" i="29"/>
  <c r="AI447" i="29"/>
  <c r="AF446" i="29"/>
  <c r="AE446" i="29"/>
  <c r="AA446" i="29" s="1"/>
  <c r="Z444" i="29"/>
  <c r="V444" i="29" l="1"/>
  <c r="W444" i="29" s="1"/>
  <c r="AB446" i="29"/>
  <c r="O446" i="29"/>
  <c r="Z445" i="29"/>
  <c r="I446" i="29"/>
  <c r="J446" i="29"/>
  <c r="Y446" i="29" s="1"/>
  <c r="E447" i="29"/>
  <c r="T447" i="29"/>
  <c r="R447" i="29"/>
  <c r="G447" i="29"/>
  <c r="S447" i="29"/>
  <c r="Q447" i="29"/>
  <c r="U447" i="29"/>
  <c r="AD449" i="29"/>
  <c r="AI448" i="29"/>
  <c r="B448" i="29"/>
  <c r="P445" i="29"/>
  <c r="V445" i="29"/>
  <c r="W445" i="29" s="1"/>
  <c r="AF447" i="29"/>
  <c r="AE447" i="29"/>
  <c r="AA447" i="29" s="1"/>
  <c r="K446" i="29" l="1"/>
  <c r="N446" i="29" s="1"/>
  <c r="AB447" i="29"/>
  <c r="J447" i="29"/>
  <c r="Y447" i="29" s="1"/>
  <c r="I447" i="29"/>
  <c r="S448" i="29"/>
  <c r="R448" i="29"/>
  <c r="T448" i="29"/>
  <c r="Q448" i="29"/>
  <c r="G448" i="29"/>
  <c r="E448" i="29"/>
  <c r="U448" i="29"/>
  <c r="AF448" i="29"/>
  <c r="AE448" i="29"/>
  <c r="AA448" i="29" s="1"/>
  <c r="AI449" i="29"/>
  <c r="AD450" i="29"/>
  <c r="B449" i="29"/>
  <c r="O447" i="29"/>
  <c r="Z446" i="29"/>
  <c r="V446" i="29" l="1"/>
  <c r="W446" i="29" s="1"/>
  <c r="P446" i="29"/>
  <c r="AB448" i="29"/>
  <c r="K447" i="29"/>
  <c r="N447" i="29" s="1"/>
  <c r="O448" i="29"/>
  <c r="U449" i="29"/>
  <c r="R449" i="29"/>
  <c r="G449" i="29"/>
  <c r="T449" i="29"/>
  <c r="S449" i="29"/>
  <c r="E449" i="29"/>
  <c r="Q449" i="29"/>
  <c r="Z447" i="29"/>
  <c r="AI450" i="29"/>
  <c r="B450" i="29"/>
  <c r="AD451" i="29"/>
  <c r="AE449" i="29"/>
  <c r="AA449" i="29" s="1"/>
  <c r="AF449" i="29"/>
  <c r="I448" i="29"/>
  <c r="K448" i="29" s="1"/>
  <c r="J448" i="29"/>
  <c r="Y448" i="29" s="1"/>
  <c r="Z448" i="29" s="1"/>
  <c r="V447" i="29" l="1"/>
  <c r="W447" i="29" s="1"/>
  <c r="P447" i="29"/>
  <c r="N448" i="29"/>
  <c r="AB449" i="29"/>
  <c r="O449" i="29"/>
  <c r="J449" i="29"/>
  <c r="Y449" i="29" s="1"/>
  <c r="I449" i="29"/>
  <c r="AI451" i="29"/>
  <c r="B451" i="29"/>
  <c r="AD452" i="29"/>
  <c r="V448" i="29"/>
  <c r="W448" i="29" s="1"/>
  <c r="P448" i="29"/>
  <c r="S450" i="29"/>
  <c r="R450" i="29"/>
  <c r="Q450" i="29"/>
  <c r="U450" i="29"/>
  <c r="T450" i="29"/>
  <c r="E450" i="29"/>
  <c r="G450" i="29"/>
  <c r="AF450" i="29"/>
  <c r="AE450" i="29"/>
  <c r="AA450" i="29" s="1"/>
  <c r="AB450" i="29" l="1"/>
  <c r="K449" i="29"/>
  <c r="N449" i="29" s="1"/>
  <c r="B452" i="29"/>
  <c r="AD453" i="29"/>
  <c r="AI452" i="29"/>
  <c r="R451" i="29"/>
  <c r="U451" i="29"/>
  <c r="T451" i="29"/>
  <c r="E451" i="29"/>
  <c r="G451" i="29"/>
  <c r="S451" i="29"/>
  <c r="Q451" i="29"/>
  <c r="Z449" i="29"/>
  <c r="I450" i="29"/>
  <c r="K450" i="29" s="1"/>
  <c r="J450" i="29"/>
  <c r="Y450" i="29" s="1"/>
  <c r="O450" i="29"/>
  <c r="AE451" i="29"/>
  <c r="AA451" i="29" s="1"/>
  <c r="AF451" i="29"/>
  <c r="P449" i="29" l="1"/>
  <c r="V449" i="29"/>
  <c r="W449" i="29" s="1"/>
  <c r="N450" i="29"/>
  <c r="AB451" i="29"/>
  <c r="V450" i="29"/>
  <c r="W450" i="29" s="1"/>
  <c r="P450" i="29"/>
  <c r="S452" i="29"/>
  <c r="E452" i="29"/>
  <c r="T452" i="29"/>
  <c r="G452" i="29"/>
  <c r="Q452" i="29"/>
  <c r="U452" i="29"/>
  <c r="R452" i="29"/>
  <c r="O451" i="29"/>
  <c r="AE452" i="29"/>
  <c r="AA452" i="29" s="1"/>
  <c r="AF452" i="29"/>
  <c r="J451" i="29"/>
  <c r="Y451" i="29" s="1"/>
  <c r="I451" i="29"/>
  <c r="K451" i="29" s="1"/>
  <c r="Z450" i="29"/>
  <c r="B453" i="29"/>
  <c r="AD454" i="29"/>
  <c r="AI453" i="29"/>
  <c r="N451" i="29" l="1"/>
  <c r="AB452" i="29"/>
  <c r="P451" i="29"/>
  <c r="V451" i="29"/>
  <c r="W451" i="29" s="1"/>
  <c r="AD455" i="29"/>
  <c r="AI454" i="29"/>
  <c r="B454" i="29"/>
  <c r="G453" i="29"/>
  <c r="R453" i="29"/>
  <c r="Q453" i="29"/>
  <c r="E453" i="29"/>
  <c r="U453" i="29"/>
  <c r="T453" i="29"/>
  <c r="S453" i="29"/>
  <c r="J452" i="29"/>
  <c r="I452" i="29"/>
  <c r="K452" i="29" s="1"/>
  <c r="Z451" i="29"/>
  <c r="AE453" i="29"/>
  <c r="AA453" i="29" s="1"/>
  <c r="AF453" i="29"/>
  <c r="O452" i="29"/>
  <c r="Y452" i="29"/>
  <c r="N452" i="29" l="1"/>
  <c r="AB453" i="29"/>
  <c r="O453" i="29"/>
  <c r="AD456" i="29"/>
  <c r="AI455" i="29"/>
  <c r="B455" i="29"/>
  <c r="I453" i="29"/>
  <c r="J453" i="29"/>
  <c r="Y453" i="29" s="1"/>
  <c r="V452" i="29"/>
  <c r="W452" i="29" s="1"/>
  <c r="P452" i="29"/>
  <c r="Z452" i="29"/>
  <c r="E454" i="29"/>
  <c r="G454" i="29"/>
  <c r="R454" i="29"/>
  <c r="Q454" i="29"/>
  <c r="U454" i="29"/>
  <c r="S454" i="29"/>
  <c r="T454" i="29"/>
  <c r="AF454" i="29"/>
  <c r="AE454" i="29"/>
  <c r="AA454" i="29" s="1"/>
  <c r="K453" i="29" l="1"/>
  <c r="N453" i="29" s="1"/>
  <c r="Z453" i="29"/>
  <c r="AB454" i="29"/>
  <c r="U455" i="29"/>
  <c r="E455" i="29"/>
  <c r="G455" i="29"/>
  <c r="Q455" i="29"/>
  <c r="T455" i="29"/>
  <c r="S455" i="29"/>
  <c r="R455" i="29"/>
  <c r="O454" i="29"/>
  <c r="AE455" i="29"/>
  <c r="AA455" i="29" s="1"/>
  <c r="AF455" i="29"/>
  <c r="J454" i="29"/>
  <c r="Y454" i="29" s="1"/>
  <c r="I454" i="29"/>
  <c r="AD457" i="29"/>
  <c r="AI456" i="29"/>
  <c r="B456" i="29"/>
  <c r="V453" i="29" l="1"/>
  <c r="W453" i="29" s="1"/>
  <c r="P453" i="29"/>
  <c r="K454" i="29"/>
  <c r="N454" i="29" s="1"/>
  <c r="AB455" i="29"/>
  <c r="Z454" i="29"/>
  <c r="O455" i="29"/>
  <c r="Q456" i="29"/>
  <c r="U456" i="29"/>
  <c r="T456" i="29"/>
  <c r="S456" i="29"/>
  <c r="G456" i="29"/>
  <c r="E456" i="29"/>
  <c r="R456" i="29"/>
  <c r="J455" i="29"/>
  <c r="Y455" i="29" s="1"/>
  <c r="I455" i="29"/>
  <c r="AF456" i="29"/>
  <c r="AE456" i="29"/>
  <c r="AA456" i="29" s="1"/>
  <c r="B457" i="29"/>
  <c r="AI457" i="29"/>
  <c r="AD458" i="29"/>
  <c r="P454" i="29" l="1"/>
  <c r="V454" i="29"/>
  <c r="W454" i="29" s="1"/>
  <c r="AB456" i="29"/>
  <c r="K455" i="29"/>
  <c r="N455" i="29" s="1"/>
  <c r="AD459" i="29"/>
  <c r="AI458" i="29"/>
  <c r="B458" i="29"/>
  <c r="AE457" i="29"/>
  <c r="AA457" i="29" s="1"/>
  <c r="AF457" i="29"/>
  <c r="O456" i="29"/>
  <c r="S457" i="29"/>
  <c r="G457" i="29"/>
  <c r="R457" i="29"/>
  <c r="E457" i="29"/>
  <c r="T457" i="29"/>
  <c r="Q457" i="29"/>
  <c r="U457" i="29"/>
  <c r="J456" i="29"/>
  <c r="Y456" i="29" s="1"/>
  <c r="I456" i="29"/>
  <c r="Z455" i="29"/>
  <c r="P455" i="29" l="1"/>
  <c r="V455" i="29"/>
  <c r="W455" i="29" s="1"/>
  <c r="AB457" i="29"/>
  <c r="K456" i="29"/>
  <c r="N456" i="29" s="1"/>
  <c r="O457" i="29"/>
  <c r="J457" i="29"/>
  <c r="Y457" i="29" s="1"/>
  <c r="Z457" i="29" s="1"/>
  <c r="I457" i="29"/>
  <c r="B459" i="29"/>
  <c r="AI459" i="29"/>
  <c r="AD460" i="29"/>
  <c r="E458" i="29"/>
  <c r="G458" i="29"/>
  <c r="R458" i="29"/>
  <c r="T458" i="29"/>
  <c r="U458" i="29"/>
  <c r="Q458" i="29"/>
  <c r="S458" i="29"/>
  <c r="Z456" i="29"/>
  <c r="AF458" i="29"/>
  <c r="AE458" i="29"/>
  <c r="AA458" i="29" s="1"/>
  <c r="P456" i="29" l="1"/>
  <c r="V456" i="29"/>
  <c r="W456" i="29" s="1"/>
  <c r="K457" i="29"/>
  <c r="N457" i="29" s="1"/>
  <c r="AB458" i="29"/>
  <c r="AI460" i="29"/>
  <c r="B460" i="29"/>
  <c r="AD461" i="29"/>
  <c r="AE459" i="29"/>
  <c r="AA459" i="29" s="1"/>
  <c r="AF459" i="29"/>
  <c r="I458" i="29"/>
  <c r="K458" i="29" s="1"/>
  <c r="J458" i="29"/>
  <c r="Y458" i="29" s="1"/>
  <c r="O458" i="29"/>
  <c r="Q459" i="29"/>
  <c r="S459" i="29"/>
  <c r="G459" i="29"/>
  <c r="T459" i="29"/>
  <c r="E459" i="29"/>
  <c r="R459" i="29"/>
  <c r="U459" i="29"/>
  <c r="P457" i="29" l="1"/>
  <c r="V457" i="29"/>
  <c r="W457" i="29" s="1"/>
  <c r="N458" i="29"/>
  <c r="AB459" i="29"/>
  <c r="O459" i="29"/>
  <c r="AE460" i="29"/>
  <c r="AA460" i="29" s="1"/>
  <c r="AF460" i="29"/>
  <c r="P458" i="29"/>
  <c r="V458" i="29"/>
  <c r="W458" i="29" s="1"/>
  <c r="J459" i="29"/>
  <c r="Y459" i="29" s="1"/>
  <c r="I459" i="29"/>
  <c r="B461" i="29"/>
  <c r="AD462" i="29"/>
  <c r="AI461" i="29"/>
  <c r="Z458" i="29"/>
  <c r="E460" i="29"/>
  <c r="G460" i="29"/>
  <c r="Q460" i="29"/>
  <c r="T460" i="29"/>
  <c r="R460" i="29"/>
  <c r="S460" i="29"/>
  <c r="U460" i="29"/>
  <c r="AB460" i="29" l="1"/>
  <c r="K459" i="29"/>
  <c r="N459" i="29" s="1"/>
  <c r="Z459" i="29"/>
  <c r="AE461" i="29"/>
  <c r="AA461" i="29" s="1"/>
  <c r="AF461" i="29"/>
  <c r="B462" i="29"/>
  <c r="AD463" i="29"/>
  <c r="AI462" i="29"/>
  <c r="O460" i="29"/>
  <c r="E461" i="29"/>
  <c r="S461" i="29"/>
  <c r="T461" i="29"/>
  <c r="U461" i="29"/>
  <c r="R461" i="29"/>
  <c r="Q461" i="29"/>
  <c r="G461" i="29"/>
  <c r="J460" i="29"/>
  <c r="Y460" i="29" s="1"/>
  <c r="I460" i="29"/>
  <c r="K460" i="29" s="1"/>
  <c r="P459" i="29" l="1"/>
  <c r="V459" i="29"/>
  <c r="W459" i="29" s="1"/>
  <c r="AB461" i="29"/>
  <c r="N460" i="29"/>
  <c r="P460" i="29" s="1"/>
  <c r="V460" i="29"/>
  <c r="W460" i="29" s="1"/>
  <c r="O461" i="29"/>
  <c r="Z460" i="29"/>
  <c r="AI463" i="29"/>
  <c r="B463" i="29"/>
  <c r="AD464" i="29"/>
  <c r="G462" i="29"/>
  <c r="T462" i="29"/>
  <c r="R462" i="29"/>
  <c r="U462" i="29"/>
  <c r="Q462" i="29"/>
  <c r="E462" i="29"/>
  <c r="S462" i="29"/>
  <c r="J461" i="29"/>
  <c r="I461" i="29"/>
  <c r="Y461" i="29"/>
  <c r="AF462" i="29"/>
  <c r="AE462" i="29"/>
  <c r="AA462" i="29" s="1"/>
  <c r="K461" i="29" l="1"/>
  <c r="N461" i="29" s="1"/>
  <c r="AB462" i="29"/>
  <c r="O462" i="29"/>
  <c r="AI464" i="29"/>
  <c r="AD465" i="29"/>
  <c r="B464" i="29"/>
  <c r="E463" i="29"/>
  <c r="S463" i="29"/>
  <c r="U463" i="29"/>
  <c r="T463" i="29"/>
  <c r="G463" i="29"/>
  <c r="Q463" i="29"/>
  <c r="R463" i="29"/>
  <c r="J462" i="29"/>
  <c r="Y462" i="29" s="1"/>
  <c r="I462" i="29"/>
  <c r="K462" i="29" s="1"/>
  <c r="AF463" i="29"/>
  <c r="AE463" i="29"/>
  <c r="AA463" i="29" s="1"/>
  <c r="Z461" i="29"/>
  <c r="P461" i="29" l="1"/>
  <c r="V461" i="29"/>
  <c r="W461" i="29" s="1"/>
  <c r="N462" i="29"/>
  <c r="P462" i="29" s="1"/>
  <c r="AB463" i="29"/>
  <c r="V462" i="29"/>
  <c r="W462" i="29" s="1"/>
  <c r="O463" i="29"/>
  <c r="AI465" i="29"/>
  <c r="B465" i="29"/>
  <c r="AD466" i="29"/>
  <c r="AE464" i="29"/>
  <c r="AA464" i="29" s="1"/>
  <c r="AF464" i="29"/>
  <c r="J463" i="29"/>
  <c r="Y463" i="29" s="1"/>
  <c r="I463" i="29"/>
  <c r="Z462" i="29"/>
  <c r="R464" i="29"/>
  <c r="E464" i="29"/>
  <c r="Q464" i="29"/>
  <c r="T464" i="29"/>
  <c r="U464" i="29"/>
  <c r="S464" i="29"/>
  <c r="G464" i="29"/>
  <c r="K463" i="29" l="1"/>
  <c r="N463" i="29" s="1"/>
  <c r="AB464" i="29"/>
  <c r="O464" i="29"/>
  <c r="AF465" i="29"/>
  <c r="AE465" i="29"/>
  <c r="AA465" i="29" s="1"/>
  <c r="J464" i="29"/>
  <c r="Y464" i="29" s="1"/>
  <c r="Z464" i="29" s="1"/>
  <c r="I464" i="29"/>
  <c r="K464" i="29" s="1"/>
  <c r="Z463" i="29"/>
  <c r="B466" i="29"/>
  <c r="AD467" i="29"/>
  <c r="AI466" i="29"/>
  <c r="E465" i="29"/>
  <c r="U465" i="29"/>
  <c r="Q465" i="29"/>
  <c r="S465" i="29"/>
  <c r="G465" i="29"/>
  <c r="T465" i="29"/>
  <c r="R465" i="29"/>
  <c r="V463" i="29" l="1"/>
  <c r="W463" i="29" s="1"/>
  <c r="P463" i="29"/>
  <c r="AB465" i="29"/>
  <c r="N464" i="29"/>
  <c r="P464" i="29" s="1"/>
  <c r="AI467" i="29"/>
  <c r="AD468" i="29"/>
  <c r="B467" i="29"/>
  <c r="T466" i="29"/>
  <c r="G466" i="29"/>
  <c r="R466" i="29"/>
  <c r="E466" i="29"/>
  <c r="U466" i="29"/>
  <c r="Q466" i="29"/>
  <c r="S466" i="29"/>
  <c r="O465" i="29"/>
  <c r="I465" i="29"/>
  <c r="K465" i="29" s="1"/>
  <c r="J465" i="29"/>
  <c r="Y465" i="29" s="1"/>
  <c r="AE466" i="29"/>
  <c r="AA466" i="29" s="1"/>
  <c r="AF466" i="29"/>
  <c r="V464" i="29" l="1"/>
  <c r="W464" i="29" s="1"/>
  <c r="N465" i="29"/>
  <c r="P465" i="29" s="1"/>
  <c r="AB466" i="29"/>
  <c r="V465" i="29"/>
  <c r="W465" i="29" s="1"/>
  <c r="I466" i="29"/>
  <c r="J466" i="29"/>
  <c r="Y466" i="29" s="1"/>
  <c r="Z465" i="29"/>
  <c r="O466" i="29"/>
  <c r="R467" i="29"/>
  <c r="E467" i="29"/>
  <c r="Q467" i="29"/>
  <c r="S467" i="29"/>
  <c r="G467" i="29"/>
  <c r="T467" i="29"/>
  <c r="U467" i="29"/>
  <c r="AD469" i="29"/>
  <c r="AI468" i="29"/>
  <c r="B468" i="29"/>
  <c r="AF467" i="29"/>
  <c r="AE467" i="29"/>
  <c r="AA467" i="29" s="1"/>
  <c r="K466" i="29" l="1"/>
  <c r="N466" i="29" s="1"/>
  <c r="AB467" i="29"/>
  <c r="O467" i="29"/>
  <c r="Z466" i="29"/>
  <c r="I467" i="29"/>
  <c r="J467" i="29"/>
  <c r="Y467" i="29" s="1"/>
  <c r="Z467" i="29" s="1"/>
  <c r="R468" i="29"/>
  <c r="G468" i="29"/>
  <c r="U468" i="29"/>
  <c r="S468" i="29"/>
  <c r="Q468" i="29"/>
  <c r="E468" i="29"/>
  <c r="T468" i="29"/>
  <c r="AE468" i="29"/>
  <c r="AA468" i="29" s="1"/>
  <c r="AF468" i="29"/>
  <c r="B469" i="29"/>
  <c r="AD470" i="29"/>
  <c r="AI469" i="29"/>
  <c r="V466" i="29" l="1"/>
  <c r="W466" i="29" s="1"/>
  <c r="P466" i="29"/>
  <c r="AB468" i="29"/>
  <c r="K467" i="29"/>
  <c r="N467" i="29" s="1"/>
  <c r="AF469" i="29"/>
  <c r="AE469" i="29"/>
  <c r="AA469" i="29" s="1"/>
  <c r="AD471" i="29"/>
  <c r="AI470" i="29"/>
  <c r="B470" i="29"/>
  <c r="S469" i="29"/>
  <c r="Q469" i="29"/>
  <c r="E469" i="29"/>
  <c r="R469" i="29"/>
  <c r="U469" i="29"/>
  <c r="T469" i="29"/>
  <c r="G469" i="29"/>
  <c r="I468" i="29"/>
  <c r="K468" i="29" s="1"/>
  <c r="N468" i="29" s="1"/>
  <c r="J468" i="29"/>
  <c r="O468" i="29"/>
  <c r="Y468" i="29"/>
  <c r="P467" i="29" l="1"/>
  <c r="V467" i="29"/>
  <c r="W467" i="29" s="1"/>
  <c r="AB469" i="29"/>
  <c r="O469" i="29"/>
  <c r="AD472" i="29"/>
  <c r="B471" i="29"/>
  <c r="AI471" i="29"/>
  <c r="P468" i="29"/>
  <c r="V468" i="29"/>
  <c r="W468" i="29" s="1"/>
  <c r="Z468" i="29"/>
  <c r="R470" i="29"/>
  <c r="E470" i="29"/>
  <c r="T470" i="29"/>
  <c r="Q470" i="29"/>
  <c r="G470" i="29"/>
  <c r="S470" i="29"/>
  <c r="U470" i="29"/>
  <c r="I469" i="29"/>
  <c r="K469" i="29" s="1"/>
  <c r="J469" i="29"/>
  <c r="Y469" i="29" s="1"/>
  <c r="Z469" i="29" s="1"/>
  <c r="AF470" i="29"/>
  <c r="AE470" i="29"/>
  <c r="AA470" i="29" s="1"/>
  <c r="N469" i="29" l="1"/>
  <c r="AB470" i="29"/>
  <c r="O470" i="29"/>
  <c r="AE471" i="29"/>
  <c r="AA471" i="29" s="1"/>
  <c r="AF471" i="29"/>
  <c r="T471" i="29"/>
  <c r="E471" i="29"/>
  <c r="Q471" i="29"/>
  <c r="G471" i="29"/>
  <c r="U471" i="29"/>
  <c r="R471" i="29"/>
  <c r="S471" i="29"/>
  <c r="I470" i="29"/>
  <c r="J470" i="29"/>
  <c r="Y470" i="29" s="1"/>
  <c r="Z470" i="29" s="1"/>
  <c r="P469" i="29"/>
  <c r="V469" i="29"/>
  <c r="W469" i="29" s="1"/>
  <c r="B472" i="29"/>
  <c r="AD473" i="29"/>
  <c r="AI472" i="29"/>
  <c r="AB471" i="29" l="1"/>
  <c r="K470" i="29"/>
  <c r="N470" i="29" s="1"/>
  <c r="O471" i="29"/>
  <c r="T472" i="29"/>
  <c r="G472" i="29"/>
  <c r="E472" i="29"/>
  <c r="S472" i="29"/>
  <c r="Q472" i="29"/>
  <c r="R472" i="29"/>
  <c r="U472" i="29"/>
  <c r="J471" i="29"/>
  <c r="Y471" i="29" s="1"/>
  <c r="Z471" i="29" s="1"/>
  <c r="I471" i="29"/>
  <c r="K471" i="29" s="1"/>
  <c r="AF472" i="29"/>
  <c r="AE472" i="29"/>
  <c r="AA472" i="29" s="1"/>
  <c r="AD474" i="29"/>
  <c r="B473" i="29"/>
  <c r="AI473" i="29"/>
  <c r="V470" i="29" l="1"/>
  <c r="W470" i="29" s="1"/>
  <c r="P470" i="29"/>
  <c r="N471" i="29"/>
  <c r="P471" i="29" s="1"/>
  <c r="AB472" i="29"/>
  <c r="V471" i="29"/>
  <c r="W471" i="29" s="1"/>
  <c r="AF473" i="29"/>
  <c r="AE473" i="29"/>
  <c r="AA473" i="29" s="1"/>
  <c r="I472" i="29"/>
  <c r="K472" i="29" s="1"/>
  <c r="J472" i="29"/>
  <c r="Y472" i="29" s="1"/>
  <c r="Q473" i="29"/>
  <c r="G473" i="29"/>
  <c r="R473" i="29"/>
  <c r="S473" i="29"/>
  <c r="T473" i="29"/>
  <c r="E473" i="29"/>
  <c r="U473" i="29"/>
  <c r="AI474" i="29"/>
  <c r="AD475" i="29"/>
  <c r="B474" i="29"/>
  <c r="O472" i="29"/>
  <c r="AB473" i="29" l="1"/>
  <c r="N472" i="29"/>
  <c r="P472" i="29" s="1"/>
  <c r="V472" i="29"/>
  <c r="W472" i="29" s="1"/>
  <c r="R474" i="29"/>
  <c r="E474" i="29"/>
  <c r="U474" i="29"/>
  <c r="Q474" i="29"/>
  <c r="G474" i="29"/>
  <c r="T474" i="29"/>
  <c r="S474" i="29"/>
  <c r="Z472" i="29"/>
  <c r="AD476" i="29"/>
  <c r="AI475" i="29"/>
  <c r="B475" i="29"/>
  <c r="AE474" i="29"/>
  <c r="AA474" i="29" s="1"/>
  <c r="AF474" i="29"/>
  <c r="I473" i="29"/>
  <c r="K473" i="29" s="1"/>
  <c r="J473" i="29"/>
  <c r="Y473" i="29" s="1"/>
  <c r="O473" i="29"/>
  <c r="N473" i="29" l="1"/>
  <c r="V473" i="29" s="1"/>
  <c r="W473" i="29" s="1"/>
  <c r="AB474" i="29"/>
  <c r="P473" i="29"/>
  <c r="Z473" i="29"/>
  <c r="S475" i="29"/>
  <c r="E475" i="29"/>
  <c r="T475" i="29"/>
  <c r="G475" i="29"/>
  <c r="R475" i="29"/>
  <c r="Q475" i="29"/>
  <c r="U475" i="29"/>
  <c r="AF475" i="29"/>
  <c r="AE475" i="29"/>
  <c r="AA475" i="29" s="1"/>
  <c r="AD477" i="29"/>
  <c r="B476" i="29"/>
  <c r="AI476" i="29"/>
  <c r="I474" i="29"/>
  <c r="J474" i="29"/>
  <c r="Y474" i="29" s="1"/>
  <c r="O474" i="29"/>
  <c r="K474" i="29" l="1"/>
  <c r="N474" i="29" s="1"/>
  <c r="AB475" i="29"/>
  <c r="AD478" i="29"/>
  <c r="AI477" i="29"/>
  <c r="B477" i="29"/>
  <c r="J475" i="29"/>
  <c r="Y475" i="29" s="1"/>
  <c r="I475" i="29"/>
  <c r="Z474" i="29"/>
  <c r="O475" i="29"/>
  <c r="AF476" i="29"/>
  <c r="AE476" i="29"/>
  <c r="AA476" i="29" s="1"/>
  <c r="S476" i="29"/>
  <c r="Q476" i="29"/>
  <c r="U476" i="29"/>
  <c r="T476" i="29"/>
  <c r="E476" i="29"/>
  <c r="G476" i="29"/>
  <c r="R476" i="29"/>
  <c r="V474" i="29" l="1"/>
  <c r="W474" i="29" s="1"/>
  <c r="P474" i="29"/>
  <c r="AB476" i="29"/>
  <c r="K475" i="29"/>
  <c r="N475" i="29" s="1"/>
  <c r="T477" i="29"/>
  <c r="E477" i="29"/>
  <c r="S477" i="29"/>
  <c r="U477" i="29"/>
  <c r="Q477" i="29"/>
  <c r="G477" i="29"/>
  <c r="R477" i="29"/>
  <c r="O476" i="29"/>
  <c r="AE477" i="29"/>
  <c r="AA477" i="29" s="1"/>
  <c r="AF477" i="29"/>
  <c r="J476" i="29"/>
  <c r="Y476" i="29" s="1"/>
  <c r="I476" i="29"/>
  <c r="Z475" i="29"/>
  <c r="AI478" i="29"/>
  <c r="AD479" i="29"/>
  <c r="B478" i="29"/>
  <c r="P475" i="29" l="1"/>
  <c r="V475" i="29"/>
  <c r="W475" i="29" s="1"/>
  <c r="K476" i="29"/>
  <c r="N476" i="29" s="1"/>
  <c r="AB477" i="29"/>
  <c r="AD480" i="29"/>
  <c r="AI479" i="29"/>
  <c r="B479" i="29"/>
  <c r="AE478" i="29"/>
  <c r="AA478" i="29" s="1"/>
  <c r="AF478" i="29"/>
  <c r="J477" i="29"/>
  <c r="I477" i="29"/>
  <c r="K477" i="29" s="1"/>
  <c r="N477" i="29" s="1"/>
  <c r="R478" i="29"/>
  <c r="E478" i="29"/>
  <c r="T478" i="29"/>
  <c r="Q478" i="29"/>
  <c r="G478" i="29"/>
  <c r="S478" i="29"/>
  <c r="U478" i="29"/>
  <c r="Z476" i="29"/>
  <c r="O477" i="29"/>
  <c r="Y477" i="29"/>
  <c r="O478" i="29" l="1"/>
  <c r="P476" i="29"/>
  <c r="V476" i="29"/>
  <c r="W476" i="29" s="1"/>
  <c r="AB478" i="29"/>
  <c r="Z477" i="29"/>
  <c r="I478" i="29"/>
  <c r="K478" i="29" s="1"/>
  <c r="J478" i="29"/>
  <c r="Y478" i="29" s="1"/>
  <c r="Z478" i="29" s="1"/>
  <c r="R479" i="29"/>
  <c r="E479" i="29"/>
  <c r="Q479" i="29"/>
  <c r="S479" i="29"/>
  <c r="G479" i="29"/>
  <c r="T479" i="29"/>
  <c r="U479" i="29"/>
  <c r="O479" i="29" s="1"/>
  <c r="V477" i="29"/>
  <c r="W477" i="29" s="1"/>
  <c r="P477" i="29"/>
  <c r="AF479" i="29"/>
  <c r="AE479" i="29"/>
  <c r="AA479" i="29" s="1"/>
  <c r="B480" i="29"/>
  <c r="AI480" i="29"/>
  <c r="AD481" i="29"/>
  <c r="N478" i="29" l="1"/>
  <c r="AB479" i="29"/>
  <c r="P478" i="29"/>
  <c r="V478" i="29"/>
  <c r="W478" i="29" s="1"/>
  <c r="B481" i="29"/>
  <c r="AD482" i="29"/>
  <c r="AI481" i="29"/>
  <c r="AE480" i="29"/>
  <c r="AA480" i="29" s="1"/>
  <c r="AF480" i="29"/>
  <c r="T480" i="29"/>
  <c r="R480" i="29"/>
  <c r="Q480" i="29"/>
  <c r="E480" i="29"/>
  <c r="U480" i="29"/>
  <c r="G480" i="29"/>
  <c r="S480" i="29"/>
  <c r="I479" i="29"/>
  <c r="J479" i="29"/>
  <c r="Y479" i="29" s="1"/>
  <c r="Z479" i="29" s="1"/>
  <c r="AB480" i="29" l="1"/>
  <c r="K479" i="29"/>
  <c r="N479" i="29" s="1"/>
  <c r="AF481" i="29"/>
  <c r="AE481" i="29"/>
  <c r="AA481" i="29" s="1"/>
  <c r="AI482" i="29"/>
  <c r="B482" i="29"/>
  <c r="AD483" i="29"/>
  <c r="E481" i="29"/>
  <c r="U481" i="29"/>
  <c r="G481" i="29"/>
  <c r="R481" i="29"/>
  <c r="S481" i="29"/>
  <c r="Q481" i="29"/>
  <c r="T481" i="29"/>
  <c r="O480" i="29"/>
  <c r="J480" i="29"/>
  <c r="Y480" i="29" s="1"/>
  <c r="I480" i="29"/>
  <c r="P479" i="29" l="1"/>
  <c r="V479" i="29"/>
  <c r="W479" i="29" s="1"/>
  <c r="AB481" i="29"/>
  <c r="K480" i="29"/>
  <c r="N480" i="29" s="1"/>
  <c r="I481" i="29"/>
  <c r="K481" i="29" s="1"/>
  <c r="J481" i="29"/>
  <c r="Y481" i="29" s="1"/>
  <c r="O481" i="29"/>
  <c r="AD484" i="29"/>
  <c r="B483" i="29"/>
  <c r="AI483" i="29"/>
  <c r="S482" i="29"/>
  <c r="E482" i="29"/>
  <c r="U482" i="29"/>
  <c r="T482" i="29"/>
  <c r="G482" i="29"/>
  <c r="R482" i="29"/>
  <c r="Q482" i="29"/>
  <c r="Z480" i="29"/>
  <c r="AE482" i="29"/>
  <c r="AA482" i="29" s="1"/>
  <c r="AF482" i="29"/>
  <c r="V480" i="29" l="1"/>
  <c r="W480" i="29" s="1"/>
  <c r="P480" i="29"/>
  <c r="N481" i="29"/>
  <c r="AB482" i="29"/>
  <c r="O482" i="29"/>
  <c r="AF483" i="29"/>
  <c r="AE483" i="29"/>
  <c r="AA483" i="29" s="1"/>
  <c r="E483" i="29"/>
  <c r="R483" i="29"/>
  <c r="S483" i="29"/>
  <c r="T483" i="29"/>
  <c r="Q483" i="29"/>
  <c r="G483" i="29"/>
  <c r="U483" i="29"/>
  <c r="P481" i="29"/>
  <c r="V481" i="29"/>
  <c r="W481" i="29" s="1"/>
  <c r="AI484" i="29"/>
  <c r="B484" i="29"/>
  <c r="AD485" i="29"/>
  <c r="J482" i="29"/>
  <c r="Y482" i="29" s="1"/>
  <c r="I482" i="29"/>
  <c r="Z481" i="29"/>
  <c r="K482" i="29" l="1"/>
  <c r="N482" i="29" s="1"/>
  <c r="AB483" i="29"/>
  <c r="O483" i="29"/>
  <c r="J483" i="29"/>
  <c r="Y483" i="29" s="1"/>
  <c r="Z483" i="29" s="1"/>
  <c r="I483" i="29"/>
  <c r="K483" i="29" s="1"/>
  <c r="AD486" i="29"/>
  <c r="B485" i="29"/>
  <c r="AI485" i="29"/>
  <c r="Q484" i="29"/>
  <c r="U484" i="29"/>
  <c r="S484" i="29"/>
  <c r="E484" i="29"/>
  <c r="G484" i="29"/>
  <c r="T484" i="29"/>
  <c r="R484" i="29"/>
  <c r="AF484" i="29"/>
  <c r="AE484" i="29"/>
  <c r="AA484" i="29" s="1"/>
  <c r="Z482" i="29"/>
  <c r="V482" i="29" l="1"/>
  <c r="W482" i="29" s="1"/>
  <c r="P482" i="29"/>
  <c r="N483" i="29"/>
  <c r="AB484" i="29"/>
  <c r="U485" i="29"/>
  <c r="E485" i="29"/>
  <c r="G485" i="29"/>
  <c r="T485" i="29"/>
  <c r="S485" i="29"/>
  <c r="R485" i="29"/>
  <c r="Q485" i="29"/>
  <c r="V483" i="29"/>
  <c r="W483" i="29" s="1"/>
  <c r="P483" i="29"/>
  <c r="J484" i="29"/>
  <c r="Y484" i="29" s="1"/>
  <c r="I484" i="29"/>
  <c r="K484" i="29" s="1"/>
  <c r="B486" i="29"/>
  <c r="AI486" i="29"/>
  <c r="AD487" i="29"/>
  <c r="O484" i="29"/>
  <c r="AF485" i="29"/>
  <c r="AE485" i="29"/>
  <c r="AA485" i="29" s="1"/>
  <c r="N484" i="29" l="1"/>
  <c r="AB485" i="29"/>
  <c r="O485" i="29"/>
  <c r="J485" i="29"/>
  <c r="Y485" i="29" s="1"/>
  <c r="I485" i="29"/>
  <c r="AF486" i="29"/>
  <c r="AE486" i="29"/>
  <c r="AA486" i="29" s="1"/>
  <c r="V484" i="29"/>
  <c r="W484" i="29" s="1"/>
  <c r="P484" i="29"/>
  <c r="S486" i="29"/>
  <c r="Q486" i="29"/>
  <c r="U486" i="29"/>
  <c r="T486" i="29"/>
  <c r="R486" i="29"/>
  <c r="E486" i="29"/>
  <c r="G486" i="29"/>
  <c r="Z484" i="29"/>
  <c r="B487" i="29"/>
  <c r="AI487" i="29"/>
  <c r="AD488" i="29"/>
  <c r="AB486" i="29" l="1"/>
  <c r="K485" i="29"/>
  <c r="N485" i="29" s="1"/>
  <c r="AI488" i="29"/>
  <c r="B488" i="29"/>
  <c r="AD489" i="29"/>
  <c r="AF487" i="29"/>
  <c r="AE487" i="29"/>
  <c r="AA487" i="29" s="1"/>
  <c r="O486" i="29"/>
  <c r="J486" i="29"/>
  <c r="Y486" i="29" s="1"/>
  <c r="I486" i="29"/>
  <c r="Z485" i="29"/>
  <c r="G487" i="29"/>
  <c r="E487" i="29"/>
  <c r="T487" i="29"/>
  <c r="U487" i="29"/>
  <c r="R487" i="29"/>
  <c r="S487" i="29"/>
  <c r="Q487" i="29"/>
  <c r="P485" i="29" l="1"/>
  <c r="V485" i="29"/>
  <c r="W485" i="29" s="1"/>
  <c r="AB487" i="29"/>
  <c r="K486" i="29"/>
  <c r="N486" i="29" s="1"/>
  <c r="O487" i="29"/>
  <c r="B489" i="29"/>
  <c r="AI489" i="29"/>
  <c r="AD490" i="29"/>
  <c r="J487" i="29"/>
  <c r="Y487" i="29" s="1"/>
  <c r="I487" i="29"/>
  <c r="E488" i="29"/>
  <c r="Q488" i="29"/>
  <c r="R488" i="29"/>
  <c r="G488" i="29"/>
  <c r="S488" i="29"/>
  <c r="U488" i="29"/>
  <c r="T488" i="29"/>
  <c r="Z486" i="29"/>
  <c r="AF488" i="29"/>
  <c r="AE488" i="29"/>
  <c r="AA488" i="29" s="1"/>
  <c r="V486" i="29" l="1"/>
  <c r="W486" i="29" s="1"/>
  <c r="P486" i="29"/>
  <c r="K487" i="29"/>
  <c r="N487" i="29" s="1"/>
  <c r="AB488" i="29"/>
  <c r="AD491" i="29"/>
  <c r="B490" i="29"/>
  <c r="AI490" i="29"/>
  <c r="J488" i="29"/>
  <c r="Y488" i="29" s="1"/>
  <c r="I488" i="29"/>
  <c r="K488" i="29" s="1"/>
  <c r="AE489" i="29"/>
  <c r="AA489" i="29" s="1"/>
  <c r="AF489" i="29"/>
  <c r="Z487" i="29"/>
  <c r="E489" i="29"/>
  <c r="T489" i="29"/>
  <c r="S489" i="29"/>
  <c r="G489" i="29"/>
  <c r="U489" i="29"/>
  <c r="R489" i="29"/>
  <c r="Q489" i="29"/>
  <c r="O488" i="29"/>
  <c r="V487" i="29" l="1"/>
  <c r="W487" i="29" s="1"/>
  <c r="P487" i="29"/>
  <c r="AB489" i="29"/>
  <c r="N488" i="29"/>
  <c r="P488" i="29" s="1"/>
  <c r="S490" i="29"/>
  <c r="R490" i="29"/>
  <c r="U490" i="29"/>
  <c r="G490" i="29"/>
  <c r="T490" i="29"/>
  <c r="E490" i="29"/>
  <c r="Q490" i="29"/>
  <c r="I489" i="29"/>
  <c r="K489" i="29" s="1"/>
  <c r="J489" i="29"/>
  <c r="Y489" i="29" s="1"/>
  <c r="AD492" i="29"/>
  <c r="B491" i="29"/>
  <c r="AI491" i="29"/>
  <c r="O489" i="29"/>
  <c r="Z488" i="29"/>
  <c r="AF490" i="29"/>
  <c r="AE490" i="29"/>
  <c r="AA490" i="29" s="1"/>
  <c r="V488" i="29" l="1"/>
  <c r="W488" i="29" s="1"/>
  <c r="N489" i="29"/>
  <c r="AB490" i="29"/>
  <c r="AF491" i="29"/>
  <c r="AE491" i="29"/>
  <c r="AA491" i="29" s="1"/>
  <c r="P489" i="29"/>
  <c r="V489" i="29"/>
  <c r="W489" i="29" s="1"/>
  <c r="J490" i="29"/>
  <c r="Y490" i="29" s="1"/>
  <c r="I490" i="29"/>
  <c r="K490" i="29" s="1"/>
  <c r="Z489" i="29"/>
  <c r="E491" i="29"/>
  <c r="S491" i="29"/>
  <c r="T491" i="29"/>
  <c r="Q491" i="29"/>
  <c r="U491" i="29"/>
  <c r="R491" i="29"/>
  <c r="G491" i="29"/>
  <c r="AI492" i="29"/>
  <c r="AD493" i="29"/>
  <c r="B492" i="29"/>
  <c r="O490" i="29"/>
  <c r="AB491" i="29" l="1"/>
  <c r="N490" i="29"/>
  <c r="P490" i="29" s="1"/>
  <c r="V490" i="29"/>
  <c r="W490" i="29" s="1"/>
  <c r="T492" i="29"/>
  <c r="G492" i="29"/>
  <c r="R492" i="29"/>
  <c r="S492" i="29"/>
  <c r="Q492" i="29"/>
  <c r="E492" i="29"/>
  <c r="U492" i="29"/>
  <c r="Z490" i="29"/>
  <c r="B493" i="29"/>
  <c r="AD494" i="29"/>
  <c r="AI493" i="29"/>
  <c r="AF492" i="29"/>
  <c r="AE492" i="29"/>
  <c r="AA492" i="29" s="1"/>
  <c r="O491" i="29"/>
  <c r="J491" i="29"/>
  <c r="Y491" i="29" s="1"/>
  <c r="I491" i="29"/>
  <c r="K491" i="29" s="1"/>
  <c r="AB492" i="29" l="1"/>
  <c r="N491" i="29"/>
  <c r="O492" i="29"/>
  <c r="J492" i="29"/>
  <c r="Y492" i="29" s="1"/>
  <c r="I492" i="29"/>
  <c r="U493" i="29"/>
  <c r="R493" i="29"/>
  <c r="Q493" i="29"/>
  <c r="E493" i="29"/>
  <c r="S493" i="29"/>
  <c r="G493" i="29"/>
  <c r="T493" i="29"/>
  <c r="Z491" i="29"/>
  <c r="AI494" i="29"/>
  <c r="B494" i="29"/>
  <c r="AD495" i="29"/>
  <c r="V491" i="29"/>
  <c r="W491" i="29" s="1"/>
  <c r="P491" i="29"/>
  <c r="AE493" i="29"/>
  <c r="AA493" i="29" s="1"/>
  <c r="AF493" i="29"/>
  <c r="K492" i="29" l="1"/>
  <c r="N492" i="29" s="1"/>
  <c r="Z492" i="29"/>
  <c r="AB493" i="29"/>
  <c r="I493" i="29"/>
  <c r="J493" i="29"/>
  <c r="Y493" i="29" s="1"/>
  <c r="B495" i="29"/>
  <c r="AI495" i="29"/>
  <c r="AD496" i="29"/>
  <c r="S494" i="29"/>
  <c r="G494" i="29"/>
  <c r="U494" i="29"/>
  <c r="Q494" i="29"/>
  <c r="R494" i="29"/>
  <c r="E494" i="29"/>
  <c r="T494" i="29"/>
  <c r="O493" i="29"/>
  <c r="AF494" i="29"/>
  <c r="AE494" i="29"/>
  <c r="AA494" i="29" s="1"/>
  <c r="V492" i="29" l="1"/>
  <c r="W492" i="29" s="1"/>
  <c r="P492" i="29"/>
  <c r="AB494" i="29"/>
  <c r="K493" i="29"/>
  <c r="N493" i="29" s="1"/>
  <c r="B496" i="29"/>
  <c r="AI496" i="29"/>
  <c r="AD497" i="29"/>
  <c r="J494" i="29"/>
  <c r="I494" i="29"/>
  <c r="K494" i="29" s="1"/>
  <c r="Z493" i="29"/>
  <c r="AF495" i="29"/>
  <c r="AE495" i="29"/>
  <c r="AA495" i="29" s="1"/>
  <c r="O494" i="29"/>
  <c r="E495" i="29"/>
  <c r="U495" i="29"/>
  <c r="T495" i="29"/>
  <c r="G495" i="29"/>
  <c r="S495" i="29"/>
  <c r="Q495" i="29"/>
  <c r="R495" i="29"/>
  <c r="Y494" i="29"/>
  <c r="V493" i="29" l="1"/>
  <c r="W493" i="29" s="1"/>
  <c r="P493" i="29"/>
  <c r="AB495" i="29"/>
  <c r="N494" i="29"/>
  <c r="O495" i="29"/>
  <c r="AI497" i="29"/>
  <c r="B497" i="29"/>
  <c r="AD498" i="29"/>
  <c r="V494" i="29"/>
  <c r="W494" i="29" s="1"/>
  <c r="P494" i="29"/>
  <c r="Z494" i="29"/>
  <c r="AF496" i="29"/>
  <c r="AE496" i="29"/>
  <c r="AA496" i="29" s="1"/>
  <c r="J495" i="29"/>
  <c r="Y495" i="29" s="1"/>
  <c r="I495" i="29"/>
  <c r="G496" i="29"/>
  <c r="T496" i="29"/>
  <c r="Q496" i="29"/>
  <c r="R496" i="29"/>
  <c r="U496" i="29"/>
  <c r="E496" i="29"/>
  <c r="S496" i="29"/>
  <c r="AB496" i="29" l="1"/>
  <c r="K495" i="29"/>
  <c r="N495" i="29" s="1"/>
  <c r="J496" i="29"/>
  <c r="Y496" i="29" s="1"/>
  <c r="I496" i="29"/>
  <c r="AI498" i="29"/>
  <c r="B498" i="29"/>
  <c r="AD499" i="29"/>
  <c r="O496" i="29"/>
  <c r="T497" i="29"/>
  <c r="R497" i="29"/>
  <c r="S497" i="29"/>
  <c r="U497" i="29"/>
  <c r="G497" i="29"/>
  <c r="E497" i="29"/>
  <c r="Q497" i="29"/>
  <c r="AF497" i="29"/>
  <c r="AE497" i="29"/>
  <c r="AA497" i="29" s="1"/>
  <c r="Z495" i="29"/>
  <c r="V495" i="29" l="1"/>
  <c r="W495" i="29" s="1"/>
  <c r="P495" i="29"/>
  <c r="AB497" i="29"/>
  <c r="K496" i="29"/>
  <c r="N496" i="29" s="1"/>
  <c r="AE498" i="29"/>
  <c r="AA498" i="29" s="1"/>
  <c r="AF498" i="29"/>
  <c r="J497" i="29"/>
  <c r="Y497" i="29" s="1"/>
  <c r="I497" i="29"/>
  <c r="Z496" i="29"/>
  <c r="AI499" i="29"/>
  <c r="B499" i="29"/>
  <c r="AD500" i="29"/>
  <c r="O497" i="29"/>
  <c r="E498" i="29"/>
  <c r="R498" i="29"/>
  <c r="T498" i="29"/>
  <c r="U498" i="29"/>
  <c r="Q498" i="29"/>
  <c r="S498" i="29"/>
  <c r="G498" i="29"/>
  <c r="V496" i="29" l="1"/>
  <c r="W496" i="29" s="1"/>
  <c r="P496" i="29"/>
  <c r="AB498" i="29"/>
  <c r="K497" i="29"/>
  <c r="N497" i="29" s="1"/>
  <c r="AD501" i="29"/>
  <c r="AI500" i="29"/>
  <c r="B500" i="29"/>
  <c r="U499" i="29"/>
  <c r="E499" i="29"/>
  <c r="S499" i="29"/>
  <c r="T499" i="29"/>
  <c r="Q499" i="29"/>
  <c r="G499" i="29"/>
  <c r="R499" i="29"/>
  <c r="O498" i="29"/>
  <c r="Z497" i="29"/>
  <c r="AE499" i="29"/>
  <c r="AA499" i="29" s="1"/>
  <c r="AF499" i="29"/>
  <c r="J498" i="29"/>
  <c r="Y498" i="29" s="1"/>
  <c r="I498" i="29"/>
  <c r="K498" i="29" s="1"/>
  <c r="P497" i="29" l="1"/>
  <c r="V497" i="29"/>
  <c r="W497" i="29" s="1"/>
  <c r="N498" i="29"/>
  <c r="AB499" i="29"/>
  <c r="J499" i="29"/>
  <c r="Y499" i="29" s="1"/>
  <c r="I499" i="29"/>
  <c r="Z498" i="29"/>
  <c r="O499" i="29"/>
  <c r="S500" i="29"/>
  <c r="Q500" i="29"/>
  <c r="G500" i="29"/>
  <c r="E500" i="29"/>
  <c r="U500" i="29"/>
  <c r="T500" i="29"/>
  <c r="R500" i="29"/>
  <c r="V498" i="29"/>
  <c r="W498" i="29" s="1"/>
  <c r="P498" i="29"/>
  <c r="AE500" i="29"/>
  <c r="AA500" i="29" s="1"/>
  <c r="AF500" i="29"/>
  <c r="AI501" i="29"/>
  <c r="B501" i="29"/>
  <c r="AD502" i="29"/>
  <c r="K499" i="29" l="1"/>
  <c r="N499" i="29" s="1"/>
  <c r="AB500" i="29"/>
  <c r="B502" i="29"/>
  <c r="AI502" i="29"/>
  <c r="AD503" i="29"/>
  <c r="T501" i="29"/>
  <c r="E501" i="29"/>
  <c r="U501" i="29"/>
  <c r="Q501" i="29"/>
  <c r="R501" i="29"/>
  <c r="S501" i="29"/>
  <c r="G501" i="29"/>
  <c r="AE501" i="29"/>
  <c r="AA501" i="29" s="1"/>
  <c r="AF501" i="29"/>
  <c r="J500" i="29"/>
  <c r="Y500" i="29" s="1"/>
  <c r="I500" i="29"/>
  <c r="K500" i="29" s="1"/>
  <c r="O500" i="29"/>
  <c r="Z499" i="29"/>
  <c r="P499" i="29" l="1"/>
  <c r="V499" i="29"/>
  <c r="W499" i="29" s="1"/>
  <c r="N500" i="29"/>
  <c r="AB501" i="29"/>
  <c r="P500" i="29"/>
  <c r="V500" i="29"/>
  <c r="W500" i="29" s="1"/>
  <c r="Z500" i="29"/>
  <c r="I501" i="29"/>
  <c r="K501" i="29" s="1"/>
  <c r="J501" i="29"/>
  <c r="Y501" i="29" s="1"/>
  <c r="AD504" i="29"/>
  <c r="B503" i="29"/>
  <c r="AI503" i="29"/>
  <c r="O501" i="29"/>
  <c r="AE502" i="29"/>
  <c r="AA502" i="29" s="1"/>
  <c r="AF502" i="29"/>
  <c r="U502" i="29"/>
  <c r="R502" i="29"/>
  <c r="S502" i="29"/>
  <c r="E502" i="29"/>
  <c r="T502" i="29"/>
  <c r="Q502" i="29"/>
  <c r="G502" i="29"/>
  <c r="AB502" i="29" l="1"/>
  <c r="N501" i="29"/>
  <c r="I502" i="29"/>
  <c r="J502" i="29"/>
  <c r="AE503" i="29"/>
  <c r="AA503" i="29" s="1"/>
  <c r="AF503" i="29"/>
  <c r="O502" i="29"/>
  <c r="P501" i="29"/>
  <c r="V501" i="29"/>
  <c r="W501" i="29" s="1"/>
  <c r="Z501" i="29"/>
  <c r="G503" i="29"/>
  <c r="U503" i="29"/>
  <c r="E503" i="29"/>
  <c r="S503" i="29"/>
  <c r="R503" i="29"/>
  <c r="Q503" i="29"/>
  <c r="T503" i="29"/>
  <c r="Y502" i="29"/>
  <c r="B504" i="29"/>
  <c r="AD505" i="29"/>
  <c r="AI504" i="29"/>
  <c r="AB503" i="29" l="1"/>
  <c r="K502" i="29"/>
  <c r="N502" i="29" s="1"/>
  <c r="Z502" i="29"/>
  <c r="O503" i="29"/>
  <c r="R504" i="29"/>
  <c r="Q504" i="29"/>
  <c r="U504" i="29"/>
  <c r="E504" i="29"/>
  <c r="T504" i="29"/>
  <c r="S504" i="29"/>
  <c r="G504" i="29"/>
  <c r="AF504" i="29"/>
  <c r="AE504" i="29"/>
  <c r="AA504" i="29" s="1"/>
  <c r="AI505" i="29"/>
  <c r="B505" i="29"/>
  <c r="AD506" i="29"/>
  <c r="I503" i="29"/>
  <c r="K503" i="29" s="1"/>
  <c r="J503" i="29"/>
  <c r="Y503" i="29" s="1"/>
  <c r="V502" i="29" l="1"/>
  <c r="W502" i="29" s="1"/>
  <c r="P502" i="29"/>
  <c r="N503" i="29"/>
  <c r="V503" i="29" s="1"/>
  <c r="W503" i="29" s="1"/>
  <c r="AB504" i="29"/>
  <c r="AD507" i="29"/>
  <c r="B506" i="29"/>
  <c r="AI506" i="29"/>
  <c r="I504" i="29"/>
  <c r="J504" i="29"/>
  <c r="Y504" i="29" s="1"/>
  <c r="O504" i="29"/>
  <c r="Z503" i="29"/>
  <c r="S505" i="29"/>
  <c r="R505" i="29"/>
  <c r="U505" i="29"/>
  <c r="E505" i="29"/>
  <c r="G505" i="29"/>
  <c r="T505" i="29"/>
  <c r="Q505" i="29"/>
  <c r="AF505" i="29"/>
  <c r="AE505" i="29"/>
  <c r="AA505" i="29" s="1"/>
  <c r="P503" i="29" l="1"/>
  <c r="K504" i="29"/>
  <c r="N504" i="29" s="1"/>
  <c r="AB505" i="29"/>
  <c r="R506" i="29"/>
  <c r="T506" i="29"/>
  <c r="E506" i="29"/>
  <c r="Q506" i="29"/>
  <c r="G506" i="29"/>
  <c r="S506" i="29"/>
  <c r="U506" i="29"/>
  <c r="B507" i="29"/>
  <c r="AI507" i="29"/>
  <c r="AD508" i="29"/>
  <c r="O505" i="29"/>
  <c r="Z504" i="29"/>
  <c r="I505" i="29"/>
  <c r="J505" i="29"/>
  <c r="Y505" i="29" s="1"/>
  <c r="AF506" i="29"/>
  <c r="AE506" i="29"/>
  <c r="AA506" i="29" s="1"/>
  <c r="P504" i="29" l="1"/>
  <c r="V504" i="29"/>
  <c r="W504" i="29" s="1"/>
  <c r="K505" i="29"/>
  <c r="N505" i="29" s="1"/>
  <c r="AB506" i="29"/>
  <c r="Z505" i="29"/>
  <c r="B508" i="29"/>
  <c r="AD509" i="29"/>
  <c r="AI508" i="29"/>
  <c r="AF507" i="29"/>
  <c r="AE507" i="29"/>
  <c r="AA507" i="29" s="1"/>
  <c r="I506" i="29"/>
  <c r="K506" i="29" s="1"/>
  <c r="N506" i="29" s="1"/>
  <c r="J506" i="29"/>
  <c r="Q507" i="29"/>
  <c r="U507" i="29"/>
  <c r="G507" i="29"/>
  <c r="S507" i="29"/>
  <c r="T507" i="29"/>
  <c r="E507" i="29"/>
  <c r="R507" i="29"/>
  <c r="O506" i="29"/>
  <c r="Y506" i="29"/>
  <c r="V505" i="29" l="1"/>
  <c r="W505" i="29" s="1"/>
  <c r="P505" i="29"/>
  <c r="AB507" i="29"/>
  <c r="Z506" i="29"/>
  <c r="V506" i="29"/>
  <c r="W506" i="29" s="1"/>
  <c r="P506" i="29"/>
  <c r="AF508" i="29"/>
  <c r="AE508" i="29"/>
  <c r="AA508" i="29" s="1"/>
  <c r="AI509" i="29"/>
  <c r="AD510" i="29"/>
  <c r="B509" i="29"/>
  <c r="O507" i="29"/>
  <c r="E508" i="29"/>
  <c r="T508" i="29"/>
  <c r="S508" i="29"/>
  <c r="G508" i="29"/>
  <c r="U508" i="29"/>
  <c r="R508" i="29"/>
  <c r="Q508" i="29"/>
  <c r="J507" i="29"/>
  <c r="Y507" i="29" s="1"/>
  <c r="I507" i="29"/>
  <c r="K507" i="29" s="1"/>
  <c r="AB508" i="29" l="1"/>
  <c r="N507" i="29"/>
  <c r="V507" i="29" s="1"/>
  <c r="W507" i="29" s="1"/>
  <c r="O508" i="29"/>
  <c r="S509" i="29"/>
  <c r="Q509" i="29"/>
  <c r="U509" i="29"/>
  <c r="E509" i="29"/>
  <c r="G509" i="29"/>
  <c r="T509" i="29"/>
  <c r="R509" i="29"/>
  <c r="Z507" i="29"/>
  <c r="AI510" i="29"/>
  <c r="B510" i="29"/>
  <c r="AD511" i="29"/>
  <c r="I508" i="29"/>
  <c r="J508" i="29"/>
  <c r="Y508" i="29" s="1"/>
  <c r="AE509" i="29"/>
  <c r="AA509" i="29" s="1"/>
  <c r="AF509" i="29"/>
  <c r="P507" i="29" l="1"/>
  <c r="K508" i="29"/>
  <c r="N508" i="29" s="1"/>
  <c r="AB509" i="29"/>
  <c r="S510" i="29"/>
  <c r="T510" i="29"/>
  <c r="G510" i="29"/>
  <c r="Q510" i="29"/>
  <c r="U510" i="29"/>
  <c r="E510" i="29"/>
  <c r="R510" i="29"/>
  <c r="AE510" i="29"/>
  <c r="AA510" i="29" s="1"/>
  <c r="AF510" i="29"/>
  <c r="I509" i="29"/>
  <c r="J509" i="29"/>
  <c r="Y509" i="29" s="1"/>
  <c r="AD512" i="29"/>
  <c r="B511" i="29"/>
  <c r="AI511" i="29"/>
  <c r="Z508" i="29"/>
  <c r="O509" i="29"/>
  <c r="P508" i="29" l="1"/>
  <c r="V508" i="29"/>
  <c r="W508" i="29" s="1"/>
  <c r="AB510" i="29"/>
  <c r="K509" i="29"/>
  <c r="N509" i="29" s="1"/>
  <c r="O510" i="29"/>
  <c r="Z509" i="29"/>
  <c r="AI512" i="29"/>
  <c r="B512" i="29"/>
  <c r="AD513" i="29"/>
  <c r="AE511" i="29"/>
  <c r="AA511" i="29" s="1"/>
  <c r="AF511" i="29"/>
  <c r="I510" i="29"/>
  <c r="J510" i="29"/>
  <c r="Y510" i="29" s="1"/>
  <c r="Z510" i="29" s="1"/>
  <c r="E511" i="29"/>
  <c r="R511" i="29"/>
  <c r="G511" i="29"/>
  <c r="T511" i="29"/>
  <c r="S511" i="29"/>
  <c r="U511" i="29"/>
  <c r="Q511" i="29"/>
  <c r="P509" i="29" l="1"/>
  <c r="V509" i="29"/>
  <c r="W509" i="29" s="1"/>
  <c r="K510" i="29"/>
  <c r="N510" i="29" s="1"/>
  <c r="AB511" i="29"/>
  <c r="Q512" i="29"/>
  <c r="U512" i="29"/>
  <c r="G512" i="29"/>
  <c r="T512" i="29"/>
  <c r="S512" i="29"/>
  <c r="E512" i="29"/>
  <c r="R512" i="29"/>
  <c r="J511" i="29"/>
  <c r="Y511" i="29" s="1"/>
  <c r="I511" i="29"/>
  <c r="K511" i="29" s="1"/>
  <c r="AE512" i="29"/>
  <c r="AA512" i="29" s="1"/>
  <c r="AF512" i="29"/>
  <c r="O511" i="29"/>
  <c r="AI513" i="29"/>
  <c r="AD514" i="29"/>
  <c r="B513" i="29"/>
  <c r="V510" i="29" l="1"/>
  <c r="W510" i="29" s="1"/>
  <c r="P510" i="29"/>
  <c r="AB512" i="29"/>
  <c r="N511" i="29"/>
  <c r="P511" i="29" s="1"/>
  <c r="B514" i="29"/>
  <c r="AI514" i="29"/>
  <c r="AD515" i="29"/>
  <c r="V511" i="29"/>
  <c r="W511" i="29" s="1"/>
  <c r="AE513" i="29"/>
  <c r="AA513" i="29" s="1"/>
  <c r="AF513" i="29"/>
  <c r="Z511" i="29"/>
  <c r="E513" i="29"/>
  <c r="U513" i="29"/>
  <c r="S513" i="29"/>
  <c r="Q513" i="29"/>
  <c r="R513" i="29"/>
  <c r="T513" i="29"/>
  <c r="G513" i="29"/>
  <c r="J512" i="29"/>
  <c r="Y512" i="29" s="1"/>
  <c r="I512" i="29"/>
  <c r="K512" i="29" s="1"/>
  <c r="O512" i="29"/>
  <c r="AB513" i="29" l="1"/>
  <c r="N512" i="29"/>
  <c r="P512" i="29" s="1"/>
  <c r="AI515" i="29"/>
  <c r="AD516" i="29"/>
  <c r="B515" i="29"/>
  <c r="V512" i="29"/>
  <c r="W512" i="29" s="1"/>
  <c r="Z512" i="29"/>
  <c r="AF514" i="29"/>
  <c r="AE514" i="29"/>
  <c r="AA514" i="29" s="1"/>
  <c r="E514" i="29"/>
  <c r="G514" i="29"/>
  <c r="T514" i="29"/>
  <c r="S514" i="29"/>
  <c r="U514" i="29"/>
  <c r="R514" i="29"/>
  <c r="Q514" i="29"/>
  <c r="O513" i="29"/>
  <c r="J513" i="29"/>
  <c r="Y513" i="29" s="1"/>
  <c r="I513" i="29"/>
  <c r="AB514" i="29" l="1"/>
  <c r="K513" i="29"/>
  <c r="N513" i="29" s="1"/>
  <c r="O514" i="29"/>
  <c r="E515" i="29"/>
  <c r="R515" i="29"/>
  <c r="G515" i="29"/>
  <c r="Q515" i="29"/>
  <c r="T515" i="29"/>
  <c r="S515" i="29"/>
  <c r="U515" i="29"/>
  <c r="Z513" i="29"/>
  <c r="AD517" i="29"/>
  <c r="B516" i="29"/>
  <c r="AI516" i="29"/>
  <c r="AF515" i="29"/>
  <c r="AE515" i="29"/>
  <c r="AA515" i="29" s="1"/>
  <c r="J514" i="29"/>
  <c r="Y514" i="29" s="1"/>
  <c r="I514" i="29"/>
  <c r="V513" i="29" l="1"/>
  <c r="W513" i="29" s="1"/>
  <c r="P513" i="29"/>
  <c r="K514" i="29"/>
  <c r="N514" i="29" s="1"/>
  <c r="AB515" i="29"/>
  <c r="O515" i="29"/>
  <c r="Z514" i="29"/>
  <c r="I515" i="29"/>
  <c r="J515" i="29"/>
  <c r="Y515" i="29" s="1"/>
  <c r="AE516" i="29"/>
  <c r="AA516" i="29" s="1"/>
  <c r="AF516" i="29"/>
  <c r="S516" i="29"/>
  <c r="G516" i="29"/>
  <c r="Q516" i="29"/>
  <c r="E516" i="29"/>
  <c r="R516" i="29"/>
  <c r="U516" i="29"/>
  <c r="T516" i="29"/>
  <c r="AD518" i="29"/>
  <c r="B517" i="29"/>
  <c r="AI517" i="29"/>
  <c r="P514" i="29" l="1"/>
  <c r="V514" i="29"/>
  <c r="W514" i="29" s="1"/>
  <c r="K515" i="29"/>
  <c r="N515" i="29" s="1"/>
  <c r="AB516" i="29"/>
  <c r="Z515" i="29"/>
  <c r="AF517" i="29"/>
  <c r="AE517" i="29"/>
  <c r="AA517" i="29" s="1"/>
  <c r="AI518" i="29"/>
  <c r="B518" i="29"/>
  <c r="AD519" i="29"/>
  <c r="J516" i="29"/>
  <c r="I516" i="29"/>
  <c r="K516" i="29" s="1"/>
  <c r="N516" i="29" s="1"/>
  <c r="E517" i="29"/>
  <c r="U517" i="29"/>
  <c r="T517" i="29"/>
  <c r="S517" i="29"/>
  <c r="R517" i="29"/>
  <c r="Q517" i="29"/>
  <c r="G517" i="29"/>
  <c r="Y516" i="29"/>
  <c r="O516" i="29"/>
  <c r="P515" i="29" l="1"/>
  <c r="V515" i="29"/>
  <c r="W515" i="29" s="1"/>
  <c r="AB517" i="29"/>
  <c r="O517" i="29"/>
  <c r="R518" i="29"/>
  <c r="E518" i="29"/>
  <c r="T518" i="29"/>
  <c r="Q518" i="29"/>
  <c r="S518" i="29"/>
  <c r="U518" i="29"/>
  <c r="G518" i="29"/>
  <c r="J517" i="29"/>
  <c r="I517" i="29"/>
  <c r="K517" i="29" s="1"/>
  <c r="P516" i="29"/>
  <c r="V516" i="29"/>
  <c r="W516" i="29" s="1"/>
  <c r="Y517" i="29"/>
  <c r="AE518" i="29"/>
  <c r="AA518" i="29" s="1"/>
  <c r="AF518" i="29"/>
  <c r="Z516" i="29"/>
  <c r="AD520" i="29"/>
  <c r="B519" i="29"/>
  <c r="AI519" i="29"/>
  <c r="N517" i="29" l="1"/>
  <c r="AB518" i="29"/>
  <c r="O518" i="29"/>
  <c r="AF519" i="29"/>
  <c r="AE519" i="29"/>
  <c r="AA519" i="29" s="1"/>
  <c r="S519" i="29"/>
  <c r="G519" i="29"/>
  <c r="Q519" i="29"/>
  <c r="E519" i="29"/>
  <c r="R519" i="29"/>
  <c r="U519" i="29"/>
  <c r="T519" i="29"/>
  <c r="J518" i="29"/>
  <c r="Y518" i="29" s="1"/>
  <c r="I518" i="29"/>
  <c r="AD521" i="29"/>
  <c r="B520" i="29"/>
  <c r="AI520" i="29"/>
  <c r="V517" i="29"/>
  <c r="W517" i="29" s="1"/>
  <c r="P517" i="29"/>
  <c r="Z517" i="29"/>
  <c r="AB519" i="29" l="1"/>
  <c r="K518" i="29"/>
  <c r="N518" i="29" s="1"/>
  <c r="O519" i="29"/>
  <c r="I519" i="29"/>
  <c r="J519" i="29"/>
  <c r="Y519" i="29" s="1"/>
  <c r="Z519" i="29" s="1"/>
  <c r="G520" i="29"/>
  <c r="Q520" i="29"/>
  <c r="T520" i="29"/>
  <c r="R520" i="29"/>
  <c r="S520" i="29"/>
  <c r="E520" i="29"/>
  <c r="U520" i="29"/>
  <c r="AI521" i="29"/>
  <c r="B521" i="29"/>
  <c r="AD522" i="29"/>
  <c r="AE520" i="29"/>
  <c r="AA520" i="29" s="1"/>
  <c r="AF520" i="29"/>
  <c r="Z518" i="29"/>
  <c r="P518" i="29" l="1"/>
  <c r="V518" i="29"/>
  <c r="W518" i="29" s="1"/>
  <c r="AB520" i="29"/>
  <c r="K519" i="29"/>
  <c r="N519" i="29" s="1"/>
  <c r="J520" i="29"/>
  <c r="I520" i="29"/>
  <c r="E521" i="29"/>
  <c r="Q521" i="29"/>
  <c r="G521" i="29"/>
  <c r="T521" i="29"/>
  <c r="U521" i="29"/>
  <c r="R521" i="29"/>
  <c r="S521" i="29"/>
  <c r="AF521" i="29"/>
  <c r="AE521" i="29"/>
  <c r="AA521" i="29" s="1"/>
  <c r="O520" i="29"/>
  <c r="B522" i="29"/>
  <c r="AD523" i="29"/>
  <c r="AI522" i="29"/>
  <c r="Y520" i="29"/>
  <c r="P519" i="29" l="1"/>
  <c r="V519" i="29"/>
  <c r="W519" i="29" s="1"/>
  <c r="K520" i="29"/>
  <c r="N520" i="29" s="1"/>
  <c r="AB521" i="29"/>
  <c r="AF522" i="29"/>
  <c r="AE522" i="29"/>
  <c r="AA522" i="29" s="1"/>
  <c r="B523" i="29"/>
  <c r="AI523" i="29"/>
  <c r="AD524" i="29"/>
  <c r="S522" i="29"/>
  <c r="Q522" i="29"/>
  <c r="R522" i="29"/>
  <c r="U522" i="29"/>
  <c r="T522" i="29"/>
  <c r="E522" i="29"/>
  <c r="G522" i="29"/>
  <c r="J521" i="29"/>
  <c r="I521" i="29"/>
  <c r="K521" i="29" s="1"/>
  <c r="N521" i="29" s="1"/>
  <c r="O521" i="29"/>
  <c r="Y521" i="29"/>
  <c r="Z520" i="29"/>
  <c r="P520" i="29" l="1"/>
  <c r="V520" i="29"/>
  <c r="W520" i="29" s="1"/>
  <c r="AB522" i="29"/>
  <c r="P521" i="29"/>
  <c r="V521" i="29"/>
  <c r="W521" i="29" s="1"/>
  <c r="Z521" i="29"/>
  <c r="AI524" i="29"/>
  <c r="AD525" i="29"/>
  <c r="B524" i="29"/>
  <c r="AE523" i="29"/>
  <c r="AA523" i="29" s="1"/>
  <c r="AF523" i="29"/>
  <c r="O522" i="29"/>
  <c r="R523" i="29"/>
  <c r="E523" i="29"/>
  <c r="T523" i="29"/>
  <c r="Q523" i="29"/>
  <c r="G523" i="29"/>
  <c r="S523" i="29"/>
  <c r="U523" i="29"/>
  <c r="I522" i="29"/>
  <c r="K522" i="29" s="1"/>
  <c r="J522" i="29"/>
  <c r="Y522" i="29" s="1"/>
  <c r="AB523" i="29" l="1"/>
  <c r="N522" i="29"/>
  <c r="P522" i="29" s="1"/>
  <c r="O523" i="29"/>
  <c r="J523" i="29"/>
  <c r="Y523" i="29" s="1"/>
  <c r="Z523" i="29" s="1"/>
  <c r="I523" i="29"/>
  <c r="U524" i="29"/>
  <c r="S524" i="29"/>
  <c r="Q524" i="29"/>
  <c r="G524" i="29"/>
  <c r="T524" i="29"/>
  <c r="E524" i="29"/>
  <c r="R524" i="29"/>
  <c r="Z522" i="29"/>
  <c r="AD526" i="29"/>
  <c r="B525" i="29"/>
  <c r="AI525" i="29"/>
  <c r="AE524" i="29"/>
  <c r="AA524" i="29" s="1"/>
  <c r="AF524" i="29"/>
  <c r="AB524" i="29" l="1"/>
  <c r="V522" i="29"/>
  <c r="W522" i="29" s="1"/>
  <c r="K523" i="29"/>
  <c r="N523" i="29" s="1"/>
  <c r="AF525" i="29"/>
  <c r="AE525" i="29"/>
  <c r="AA525" i="29" s="1"/>
  <c r="O524" i="29"/>
  <c r="U525" i="29"/>
  <c r="G525" i="29"/>
  <c r="R525" i="29"/>
  <c r="Q525" i="29"/>
  <c r="S525" i="29"/>
  <c r="E525" i="29"/>
  <c r="T525" i="29"/>
  <c r="I524" i="29"/>
  <c r="K524" i="29" s="1"/>
  <c r="J524" i="29"/>
  <c r="Y524" i="29" s="1"/>
  <c r="B526" i="29"/>
  <c r="AD527" i="29"/>
  <c r="AI526" i="29"/>
  <c r="V523" i="29" l="1"/>
  <c r="W523" i="29" s="1"/>
  <c r="P523" i="29"/>
  <c r="AB525" i="29"/>
  <c r="N524" i="29"/>
  <c r="V524" i="29" s="1"/>
  <c r="W524" i="29" s="1"/>
  <c r="AF526" i="29"/>
  <c r="AE526" i="29"/>
  <c r="AA526" i="29" s="1"/>
  <c r="Z524" i="29"/>
  <c r="I525" i="29"/>
  <c r="K525" i="29" s="1"/>
  <c r="J525" i="29"/>
  <c r="Y525" i="29" s="1"/>
  <c r="B527" i="29"/>
  <c r="AD528" i="29"/>
  <c r="AI527" i="29"/>
  <c r="Q526" i="29"/>
  <c r="E526" i="29"/>
  <c r="G526" i="29"/>
  <c r="R526" i="29"/>
  <c r="S526" i="29"/>
  <c r="U526" i="29"/>
  <c r="T526" i="29"/>
  <c r="O525" i="29"/>
  <c r="P524" i="29" l="1"/>
  <c r="N525" i="29"/>
  <c r="AB526" i="29"/>
  <c r="B528" i="29"/>
  <c r="AI528" i="29"/>
  <c r="AD529" i="29"/>
  <c r="P525" i="29"/>
  <c r="V525" i="29"/>
  <c r="W525" i="29" s="1"/>
  <c r="I526" i="29"/>
  <c r="K526" i="29" s="1"/>
  <c r="J526" i="29"/>
  <c r="Y526" i="29" s="1"/>
  <c r="O526" i="29"/>
  <c r="E527" i="29"/>
  <c r="G527" i="29"/>
  <c r="S527" i="29"/>
  <c r="T527" i="29"/>
  <c r="R527" i="29"/>
  <c r="Q527" i="29"/>
  <c r="U527" i="29"/>
  <c r="Z525" i="29"/>
  <c r="AF527" i="29"/>
  <c r="AE527" i="29"/>
  <c r="AA527" i="29" s="1"/>
  <c r="N526" i="29" l="1"/>
  <c r="AB527" i="29"/>
  <c r="I527" i="29"/>
  <c r="J527" i="29"/>
  <c r="Y527" i="29" s="1"/>
  <c r="P526" i="29"/>
  <c r="V526" i="29"/>
  <c r="W526" i="29" s="1"/>
  <c r="AE528" i="29"/>
  <c r="AA528" i="29" s="1"/>
  <c r="AF528" i="29"/>
  <c r="O527" i="29"/>
  <c r="S528" i="29"/>
  <c r="E528" i="29"/>
  <c r="Q528" i="29"/>
  <c r="R528" i="29"/>
  <c r="U528" i="29"/>
  <c r="T528" i="29"/>
  <c r="G528" i="29"/>
  <c r="Z526" i="29"/>
  <c r="B529" i="29"/>
  <c r="AD530" i="29"/>
  <c r="AI529" i="29"/>
  <c r="AB528" i="29" l="1"/>
  <c r="K527" i="29"/>
  <c r="N527" i="29" s="1"/>
  <c r="O528" i="29"/>
  <c r="AE529" i="29"/>
  <c r="AA529" i="29" s="1"/>
  <c r="AF529" i="29"/>
  <c r="B530" i="29"/>
  <c r="AI530" i="29"/>
  <c r="AD531" i="29"/>
  <c r="Q529" i="29"/>
  <c r="U529" i="29"/>
  <c r="S529" i="29"/>
  <c r="E529" i="29"/>
  <c r="R529" i="29"/>
  <c r="G529" i="29"/>
  <c r="T529" i="29"/>
  <c r="J528" i="29"/>
  <c r="Y528" i="29" s="1"/>
  <c r="I528" i="29"/>
  <c r="Z527" i="29"/>
  <c r="V527" i="29" l="1"/>
  <c r="W527" i="29" s="1"/>
  <c r="P527" i="29"/>
  <c r="AB529" i="29"/>
  <c r="K528" i="29"/>
  <c r="N528" i="29" s="1"/>
  <c r="Z528" i="29"/>
  <c r="AD532" i="29"/>
  <c r="AI531" i="29"/>
  <c r="B531" i="29"/>
  <c r="AE530" i="29"/>
  <c r="AA530" i="29" s="1"/>
  <c r="AF530" i="29"/>
  <c r="O529" i="29"/>
  <c r="L433" i="7" s="1"/>
  <c r="R530" i="29"/>
  <c r="E530" i="29"/>
  <c r="G530" i="29"/>
  <c r="T530" i="29"/>
  <c r="U530" i="29"/>
  <c r="Q530" i="29"/>
  <c r="S530" i="29"/>
  <c r="J529" i="29"/>
  <c r="Y529" i="29" s="1"/>
  <c r="I529" i="29"/>
  <c r="P528" i="29" l="1"/>
  <c r="V528" i="29"/>
  <c r="W528" i="29" s="1"/>
  <c r="AB530" i="29"/>
  <c r="K529" i="29"/>
  <c r="N529" i="29" s="1"/>
  <c r="L436" i="7"/>
  <c r="L438" i="7" s="1"/>
  <c r="I496" i="7" s="1"/>
  <c r="J496" i="7" s="1"/>
  <c r="K466" i="7"/>
  <c r="I456" i="7"/>
  <c r="J456" i="7" s="1"/>
  <c r="K435" i="7"/>
  <c r="I480" i="7"/>
  <c r="J480" i="7" s="1"/>
  <c r="K484" i="7"/>
  <c r="I455" i="7"/>
  <c r="J455" i="7" s="1"/>
  <c r="I487" i="7"/>
  <c r="J487" i="7" s="1"/>
  <c r="I494" i="7"/>
  <c r="J494" i="7" s="1"/>
  <c r="I453" i="7"/>
  <c r="J453" i="7" s="1"/>
  <c r="K461" i="7"/>
  <c r="K478" i="7"/>
  <c r="K476" i="7"/>
  <c r="K503" i="7"/>
  <c r="K459" i="7"/>
  <c r="I490" i="7"/>
  <c r="J490" i="7" s="1"/>
  <c r="I448" i="7"/>
  <c r="J448" i="7" s="1"/>
  <c r="I468" i="7"/>
  <c r="J468" i="7" s="1"/>
  <c r="I497" i="7"/>
  <c r="J497" i="7" s="1"/>
  <c r="K501" i="7"/>
  <c r="K454" i="7"/>
  <c r="K507" i="7"/>
  <c r="I491" i="7"/>
  <c r="J491" i="7" s="1"/>
  <c r="I512" i="7"/>
  <c r="J512" i="7" s="1"/>
  <c r="K457" i="7"/>
  <c r="K474" i="7"/>
  <c r="K468" i="7"/>
  <c r="K495" i="7"/>
  <c r="K451" i="7"/>
  <c r="I438" i="7"/>
  <c r="J438" i="7" s="1"/>
  <c r="I504" i="7"/>
  <c r="J504" i="7" s="1"/>
  <c r="I482" i="7"/>
  <c r="J482" i="7" s="1"/>
  <c r="I484" i="7"/>
  <c r="J484" i="7" s="1"/>
  <c r="K453" i="7"/>
  <c r="K460" i="7"/>
  <c r="K475" i="7"/>
  <c r="I447" i="7"/>
  <c r="J447" i="7" s="1"/>
  <c r="K496" i="7"/>
  <c r="I446" i="7"/>
  <c r="J446" i="7" s="1"/>
  <c r="I507" i="7"/>
  <c r="J507" i="7" s="1"/>
  <c r="K479" i="7"/>
  <c r="I440" i="7"/>
  <c r="J440" i="7" s="1"/>
  <c r="K464" i="7"/>
  <c r="I510" i="7"/>
  <c r="J510" i="7" s="1"/>
  <c r="I457" i="7"/>
  <c r="J457" i="7" s="1"/>
  <c r="K511" i="7"/>
  <c r="I452" i="7"/>
  <c r="J452" i="7" s="1"/>
  <c r="K449" i="7"/>
  <c r="I477" i="7"/>
  <c r="J477" i="7" s="1"/>
  <c r="I489" i="7"/>
  <c r="J489" i="7" s="1"/>
  <c r="K509" i="7"/>
  <c r="K445" i="7"/>
  <c r="K462" i="7"/>
  <c r="K444" i="7"/>
  <c r="K471" i="7"/>
  <c r="I435" i="7"/>
  <c r="J435" i="7" s="1"/>
  <c r="I509" i="7"/>
  <c r="J509" i="7" s="1"/>
  <c r="I460" i="7"/>
  <c r="J460" i="7" s="1"/>
  <c r="I444" i="7"/>
  <c r="J444" i="7" s="1"/>
  <c r="I454" i="7"/>
  <c r="J454" i="7" s="1"/>
  <c r="K469" i="7"/>
  <c r="K492" i="7"/>
  <c r="K443" i="7"/>
  <c r="I466" i="7"/>
  <c r="J466" i="7" s="1"/>
  <c r="K505" i="7"/>
  <c r="K441" i="7"/>
  <c r="K458" i="7"/>
  <c r="K436" i="7"/>
  <c r="K463" i="7"/>
  <c r="I470" i="7"/>
  <c r="J470" i="7" s="1"/>
  <c r="I445" i="7"/>
  <c r="J445" i="7" s="1"/>
  <c r="I461" i="7"/>
  <c r="J461" i="7" s="1"/>
  <c r="I442" i="7"/>
  <c r="J442" i="7" s="1"/>
  <c r="I508" i="7"/>
  <c r="J508" i="7" s="1"/>
  <c r="K502" i="7"/>
  <c r="K512" i="7"/>
  <c r="I475" i="7"/>
  <c r="J475" i="7" s="1"/>
  <c r="K497" i="7"/>
  <c r="K447" i="7"/>
  <c r="I464" i="7"/>
  <c r="J464" i="7" s="1"/>
  <c r="K465" i="7"/>
  <c r="I481" i="7"/>
  <c r="J481" i="7" s="1"/>
  <c r="K481" i="7"/>
  <c r="K499" i="7"/>
  <c r="I476" i="7"/>
  <c r="J476" i="7" s="1"/>
  <c r="I511" i="7"/>
  <c r="J511" i="7" s="1"/>
  <c r="K467" i="7"/>
  <c r="I474" i="7"/>
  <c r="J474" i="7" s="1"/>
  <c r="K452" i="7"/>
  <c r="I499" i="7"/>
  <c r="J499" i="7" s="1"/>
  <c r="I463" i="7"/>
  <c r="J463" i="7" s="1"/>
  <c r="K493" i="7"/>
  <c r="K510" i="7"/>
  <c r="K446" i="7"/>
  <c r="K488" i="7"/>
  <c r="K439" i="7"/>
  <c r="I437" i="7"/>
  <c r="J437" i="7" s="1"/>
  <c r="I458" i="7"/>
  <c r="J458" i="7" s="1"/>
  <c r="I483" i="7"/>
  <c r="J483" i="7" s="1"/>
  <c r="I439" i="7"/>
  <c r="J439" i="7" s="1"/>
  <c r="I479" i="7"/>
  <c r="J479" i="7" s="1"/>
  <c r="K437" i="7"/>
  <c r="K472" i="7"/>
  <c r="I493" i="7"/>
  <c r="J493" i="7" s="1"/>
  <c r="I467" i="7"/>
  <c r="J467" i="7" s="1"/>
  <c r="K489" i="7"/>
  <c r="K506" i="7"/>
  <c r="K442" i="7"/>
  <c r="K480" i="7"/>
  <c r="K515" i="7"/>
  <c r="I465" i="7"/>
  <c r="J465" i="7" s="1"/>
  <c r="I473" i="7"/>
  <c r="J473" i="7" s="1"/>
  <c r="I485" i="7"/>
  <c r="J485" i="7" s="1"/>
  <c r="I471" i="7"/>
  <c r="J471" i="7" s="1"/>
  <c r="I472" i="7"/>
  <c r="J472" i="7" s="1"/>
  <c r="K470" i="7"/>
  <c r="K440" i="7"/>
  <c r="I514" i="7"/>
  <c r="J514" i="7" s="1"/>
  <c r="K514" i="7"/>
  <c r="I515" i="7"/>
  <c r="J515" i="7" s="1"/>
  <c r="I441" i="7"/>
  <c r="J441" i="7" s="1"/>
  <c r="K513" i="7"/>
  <c r="I443" i="7"/>
  <c r="J443" i="7" s="1"/>
  <c r="K498" i="7"/>
  <c r="I486" i="7"/>
  <c r="J486" i="7" s="1"/>
  <c r="I501" i="7"/>
  <c r="J501" i="7" s="1"/>
  <c r="K482" i="7"/>
  <c r="I451" i="7"/>
  <c r="J451" i="7" s="1"/>
  <c r="I469" i="7"/>
  <c r="J469" i="7" s="1"/>
  <c r="K504" i="7"/>
  <c r="O530" i="29"/>
  <c r="B532" i="29"/>
  <c r="AI532" i="29"/>
  <c r="AD533" i="29"/>
  <c r="Z529" i="29"/>
  <c r="I530" i="29"/>
  <c r="K530" i="29" s="1"/>
  <c r="N530" i="29" s="1"/>
  <c r="J530" i="29"/>
  <c r="G531" i="29"/>
  <c r="E531" i="29"/>
  <c r="U531" i="29"/>
  <c r="R531" i="29"/>
  <c r="T531" i="29"/>
  <c r="Q531" i="29"/>
  <c r="S531" i="29"/>
  <c r="Y530" i="29"/>
  <c r="AF531" i="29"/>
  <c r="AE531" i="29"/>
  <c r="AA531" i="29" s="1"/>
  <c r="I498" i="7" l="1"/>
  <c r="J498" i="7" s="1"/>
  <c r="I506" i="7"/>
  <c r="J506" i="7" s="1"/>
  <c r="I503" i="7"/>
  <c r="J503" i="7" s="1"/>
  <c r="I513" i="7"/>
  <c r="J513" i="7" s="1"/>
  <c r="I500" i="7"/>
  <c r="J500" i="7" s="1"/>
  <c r="P529" i="29"/>
  <c r="V529" i="29"/>
  <c r="W529" i="29" s="1"/>
  <c r="K450" i="7"/>
  <c r="K485" i="7"/>
  <c r="K455" i="7"/>
  <c r="K438" i="7"/>
  <c r="I478" i="7"/>
  <c r="J478" i="7" s="1"/>
  <c r="I459" i="7"/>
  <c r="J459" i="7" s="1"/>
  <c r="I488" i="7"/>
  <c r="J488" i="7" s="1"/>
  <c r="I450" i="7"/>
  <c r="J450" i="7" s="1"/>
  <c r="K483" i="7"/>
  <c r="K448" i="7"/>
  <c r="K500" i="7"/>
  <c r="K490" i="7"/>
  <c r="K473" i="7"/>
  <c r="I436" i="7"/>
  <c r="J436" i="7" s="1"/>
  <c r="I449" i="7"/>
  <c r="J449" i="7" s="1"/>
  <c r="K487" i="7"/>
  <c r="I495" i="7"/>
  <c r="J495" i="7" s="1"/>
  <c r="K486" i="7"/>
  <c r="I492" i="7"/>
  <c r="J492" i="7" s="1"/>
  <c r="I462" i="7"/>
  <c r="J462" i="7" s="1"/>
  <c r="I502" i="7"/>
  <c r="J502" i="7" s="1"/>
  <c r="I505" i="7"/>
  <c r="J505" i="7" s="1"/>
  <c r="K491" i="7"/>
  <c r="K456" i="7"/>
  <c r="K508" i="7"/>
  <c r="K494" i="7"/>
  <c r="K477" i="7"/>
  <c r="AB531" i="29"/>
  <c r="O531" i="29"/>
  <c r="AD534" i="29"/>
  <c r="B533" i="29"/>
  <c r="AI533" i="29"/>
  <c r="V530" i="29"/>
  <c r="W530" i="29" s="1"/>
  <c r="P530" i="29"/>
  <c r="AF532" i="29"/>
  <c r="AE532" i="29"/>
  <c r="AA532" i="29" s="1"/>
  <c r="R532" i="29"/>
  <c r="U532" i="29"/>
  <c r="G532" i="29"/>
  <c r="T532" i="29"/>
  <c r="Q532" i="29"/>
  <c r="S532" i="29"/>
  <c r="E532" i="29"/>
  <c r="I531" i="29"/>
  <c r="J531" i="29"/>
  <c r="Y531" i="29" s="1"/>
  <c r="Z530" i="29"/>
  <c r="K531" i="29" l="1"/>
  <c r="N531" i="29" s="1"/>
  <c r="AB532" i="29"/>
  <c r="J516" i="7"/>
  <c r="O532" i="29"/>
  <c r="J532" i="29"/>
  <c r="Y532" i="29" s="1"/>
  <c r="I532" i="29"/>
  <c r="K532" i="29" s="1"/>
  <c r="AF533" i="29"/>
  <c r="AE533" i="29"/>
  <c r="AA533" i="29" s="1"/>
  <c r="E533" i="29"/>
  <c r="R533" i="29"/>
  <c r="U533" i="29"/>
  <c r="G533" i="29"/>
  <c r="T533" i="29"/>
  <c r="Q533" i="29"/>
  <c r="S533" i="29"/>
  <c r="AI534" i="29"/>
  <c r="B534" i="29"/>
  <c r="AD535" i="29"/>
  <c r="Z531" i="29"/>
  <c r="P531" i="29" l="1"/>
  <c r="V531" i="29"/>
  <c r="W531" i="29" s="1"/>
  <c r="N532" i="29"/>
  <c r="AB533" i="29"/>
  <c r="AE534" i="29"/>
  <c r="AA534" i="29" s="1"/>
  <c r="AF534" i="29"/>
  <c r="B535" i="29"/>
  <c r="AI535" i="29"/>
  <c r="AD536" i="29"/>
  <c r="G534" i="29"/>
  <c r="E534" i="29"/>
  <c r="T534" i="29"/>
  <c r="Q534" i="29"/>
  <c r="U534" i="29"/>
  <c r="S534" i="29"/>
  <c r="R534" i="29"/>
  <c r="Z532" i="29"/>
  <c r="O533" i="29"/>
  <c r="J533" i="29"/>
  <c r="Y533" i="29" s="1"/>
  <c r="I533" i="29"/>
  <c r="V532" i="29"/>
  <c r="W532" i="29" s="1"/>
  <c r="P532" i="29"/>
  <c r="AB534" i="29" l="1"/>
  <c r="K533" i="29"/>
  <c r="N533" i="29" s="1"/>
  <c r="O534" i="29"/>
  <c r="AE535" i="29"/>
  <c r="AA535" i="29" s="1"/>
  <c r="AF535" i="29"/>
  <c r="Z533" i="29"/>
  <c r="T535" i="29"/>
  <c r="G535" i="29"/>
  <c r="Q535" i="29"/>
  <c r="E535" i="29"/>
  <c r="S535" i="29"/>
  <c r="U535" i="29"/>
  <c r="R535" i="29"/>
  <c r="I534" i="29"/>
  <c r="K534" i="29" s="1"/>
  <c r="N534" i="29" s="1"/>
  <c r="J534" i="29"/>
  <c r="Y534" i="29" s="1"/>
  <c r="B536" i="29"/>
  <c r="AD537" i="29"/>
  <c r="AI536" i="29"/>
  <c r="V533" i="29" l="1"/>
  <c r="W533" i="29" s="1"/>
  <c r="P533" i="29"/>
  <c r="AB535" i="29"/>
  <c r="O535" i="29"/>
  <c r="J535" i="29"/>
  <c r="Y535" i="29" s="1"/>
  <c r="I535" i="29"/>
  <c r="K535" i="29" s="1"/>
  <c r="AE536" i="29"/>
  <c r="AA536" i="29" s="1"/>
  <c r="AF536" i="29"/>
  <c r="AI537" i="29"/>
  <c r="AD538" i="29"/>
  <c r="B537" i="29"/>
  <c r="V534" i="29"/>
  <c r="W534" i="29" s="1"/>
  <c r="P534" i="29"/>
  <c r="U536" i="29"/>
  <c r="Q536" i="29"/>
  <c r="S536" i="29"/>
  <c r="T536" i="29"/>
  <c r="R536" i="29"/>
  <c r="E536" i="29"/>
  <c r="G536" i="29"/>
  <c r="Z534" i="29"/>
  <c r="AB536" i="29" l="1"/>
  <c r="N535" i="29"/>
  <c r="Z535" i="29"/>
  <c r="O536" i="29"/>
  <c r="AD539" i="29"/>
  <c r="B538" i="29"/>
  <c r="AI538" i="29"/>
  <c r="AE537" i="29"/>
  <c r="AA537" i="29" s="1"/>
  <c r="AF537" i="29"/>
  <c r="V535" i="29"/>
  <c r="W535" i="29" s="1"/>
  <c r="P535" i="29"/>
  <c r="S537" i="29"/>
  <c r="E537" i="29"/>
  <c r="U537" i="29"/>
  <c r="Q537" i="29"/>
  <c r="G537" i="29"/>
  <c r="R537" i="29"/>
  <c r="T537" i="29"/>
  <c r="I536" i="29"/>
  <c r="J536" i="29"/>
  <c r="Y536" i="29" s="1"/>
  <c r="AB537" i="29" l="1"/>
  <c r="K536" i="29"/>
  <c r="N536" i="29" s="1"/>
  <c r="O537" i="29"/>
  <c r="AF538" i="29"/>
  <c r="AE538" i="29"/>
  <c r="AA538" i="29" s="1"/>
  <c r="G538" i="29"/>
  <c r="T538" i="29"/>
  <c r="S538" i="29"/>
  <c r="E538" i="29"/>
  <c r="U538" i="29"/>
  <c r="R538" i="29"/>
  <c r="Q538" i="29"/>
  <c r="J537" i="29"/>
  <c r="Y537" i="29" s="1"/>
  <c r="I537" i="29"/>
  <c r="K537" i="29" s="1"/>
  <c r="AD540" i="29"/>
  <c r="AI539" i="29"/>
  <c r="B539" i="29"/>
  <c r="Z536" i="29"/>
  <c r="V536" i="29" l="1"/>
  <c r="W536" i="29" s="1"/>
  <c r="P536" i="29"/>
  <c r="N537" i="29"/>
  <c r="AB538" i="29"/>
  <c r="S539" i="29"/>
  <c r="E539" i="29"/>
  <c r="U539" i="29"/>
  <c r="G539" i="29"/>
  <c r="Q539" i="29"/>
  <c r="R539" i="29"/>
  <c r="T539" i="29"/>
  <c r="AE539" i="29"/>
  <c r="AA539" i="29" s="1"/>
  <c r="AF539" i="29"/>
  <c r="V537" i="29"/>
  <c r="W537" i="29" s="1"/>
  <c r="P537" i="29"/>
  <c r="O538" i="29"/>
  <c r="B540" i="29"/>
  <c r="AD541" i="29"/>
  <c r="AI540" i="29"/>
  <c r="I538" i="29"/>
  <c r="J538" i="29"/>
  <c r="Y538" i="29" s="1"/>
  <c r="Z537" i="29"/>
  <c r="K538" i="29" l="1"/>
  <c r="N538" i="29" s="1"/>
  <c r="AB539" i="29"/>
  <c r="AD542" i="29"/>
  <c r="B541" i="29"/>
  <c r="AI541" i="29"/>
  <c r="S540" i="29"/>
  <c r="R540" i="29"/>
  <c r="U540" i="29"/>
  <c r="T540" i="29"/>
  <c r="G540" i="29"/>
  <c r="E540" i="29"/>
  <c r="Q540" i="29"/>
  <c r="I539" i="29"/>
  <c r="J539" i="29"/>
  <c r="Y539" i="29" s="1"/>
  <c r="Z538" i="29"/>
  <c r="AE540" i="29"/>
  <c r="AA540" i="29" s="1"/>
  <c r="AF540" i="29"/>
  <c r="O539" i="29"/>
  <c r="V538" i="29" l="1"/>
  <c r="W538" i="29" s="1"/>
  <c r="P538" i="29"/>
  <c r="AB540" i="29"/>
  <c r="K539" i="29"/>
  <c r="N539" i="29" s="1"/>
  <c r="O540" i="29"/>
  <c r="AF541" i="29"/>
  <c r="AE541" i="29"/>
  <c r="AA541" i="29" s="1"/>
  <c r="S541" i="29"/>
  <c r="G541" i="29"/>
  <c r="T541" i="29"/>
  <c r="E541" i="29"/>
  <c r="Q541" i="29"/>
  <c r="R541" i="29"/>
  <c r="U541" i="29"/>
  <c r="Z539" i="29"/>
  <c r="I540" i="29"/>
  <c r="K540" i="29" s="1"/>
  <c r="J540" i="29"/>
  <c r="Y540" i="29" s="1"/>
  <c r="AI542" i="29"/>
  <c r="B542" i="29"/>
  <c r="AD543" i="29"/>
  <c r="P539" i="29" l="1"/>
  <c r="V539" i="29"/>
  <c r="W539" i="29" s="1"/>
  <c r="N540" i="29"/>
  <c r="AB541" i="29"/>
  <c r="G542" i="29"/>
  <c r="R542" i="29"/>
  <c r="Q542" i="29"/>
  <c r="E542" i="29"/>
  <c r="S542" i="29"/>
  <c r="U542" i="29"/>
  <c r="T542" i="29"/>
  <c r="AF542" i="29"/>
  <c r="AE542" i="29"/>
  <c r="AA542" i="29" s="1"/>
  <c r="V540" i="29"/>
  <c r="W540" i="29" s="1"/>
  <c r="P540" i="29"/>
  <c r="AI543" i="29"/>
  <c r="B543" i="29"/>
  <c r="AD544" i="29"/>
  <c r="O541" i="29"/>
  <c r="J541" i="29"/>
  <c r="Y541" i="29" s="1"/>
  <c r="I541" i="29"/>
  <c r="Z540" i="29"/>
  <c r="K541" i="29" l="1"/>
  <c r="N541" i="29" s="1"/>
  <c r="AB542" i="29"/>
  <c r="O542" i="29"/>
  <c r="AF543" i="29"/>
  <c r="AE543" i="29"/>
  <c r="AA543" i="29" s="1"/>
  <c r="Z541" i="29"/>
  <c r="I542" i="29"/>
  <c r="K542" i="29" s="1"/>
  <c r="N542" i="29" s="1"/>
  <c r="J542" i="29"/>
  <c r="AD545" i="29"/>
  <c r="AI544" i="29"/>
  <c r="B544" i="29"/>
  <c r="G543" i="29"/>
  <c r="E543" i="29"/>
  <c r="Q543" i="29"/>
  <c r="U543" i="29"/>
  <c r="S543" i="29"/>
  <c r="R543" i="29"/>
  <c r="T543" i="29"/>
  <c r="Y542" i="29"/>
  <c r="Z542" i="29" s="1"/>
  <c r="P541" i="29" l="1"/>
  <c r="V541" i="29"/>
  <c r="W541" i="29" s="1"/>
  <c r="AB543" i="29"/>
  <c r="U544" i="29"/>
  <c r="Q544" i="29"/>
  <c r="T544" i="29"/>
  <c r="E544" i="29"/>
  <c r="R544" i="29"/>
  <c r="S544" i="29"/>
  <c r="G544" i="29"/>
  <c r="V542" i="29"/>
  <c r="W542" i="29" s="1"/>
  <c r="P542" i="29"/>
  <c r="O543" i="29"/>
  <c r="AE544" i="29"/>
  <c r="AA544" i="29" s="1"/>
  <c r="AF544" i="29"/>
  <c r="AD546" i="29"/>
  <c r="AI545" i="29"/>
  <c r="B545" i="29"/>
  <c r="J543" i="29"/>
  <c r="Y543" i="29" s="1"/>
  <c r="I543" i="29"/>
  <c r="K543" i="29" s="1"/>
  <c r="N543" i="29" l="1"/>
  <c r="AB544" i="29"/>
  <c r="T545" i="29"/>
  <c r="U545" i="29"/>
  <c r="S545" i="29"/>
  <c r="G545" i="29"/>
  <c r="R545" i="29"/>
  <c r="E545" i="29"/>
  <c r="Q545" i="29"/>
  <c r="I544" i="29"/>
  <c r="J544" i="29"/>
  <c r="Y544" i="29" s="1"/>
  <c r="AE545" i="29"/>
  <c r="AA545" i="29" s="1"/>
  <c r="AF545" i="29"/>
  <c r="Z543" i="29"/>
  <c r="O544" i="29"/>
  <c r="P543" i="29"/>
  <c r="V543" i="29"/>
  <c r="W543" i="29" s="1"/>
  <c r="AI546" i="29"/>
  <c r="B546" i="29"/>
  <c r="AD547" i="29"/>
  <c r="AB545" i="29" l="1"/>
  <c r="K544" i="29"/>
  <c r="N544" i="29" s="1"/>
  <c r="AI547" i="29"/>
  <c r="AD548" i="29"/>
  <c r="B547" i="29"/>
  <c r="R546" i="29"/>
  <c r="U546" i="29"/>
  <c r="G546" i="29"/>
  <c r="T546" i="29"/>
  <c r="E546" i="29"/>
  <c r="Q546" i="29"/>
  <c r="S546" i="29"/>
  <c r="Z544" i="29"/>
  <c r="AF546" i="29"/>
  <c r="AE546" i="29"/>
  <c r="AA546" i="29" s="1"/>
  <c r="I545" i="29"/>
  <c r="J545" i="29"/>
  <c r="Y545" i="29" s="1"/>
  <c r="O545" i="29"/>
  <c r="V544" i="29" l="1"/>
  <c r="W544" i="29" s="1"/>
  <c r="P544" i="29"/>
  <c r="AB546" i="29"/>
  <c r="K545" i="29"/>
  <c r="N545" i="29" s="1"/>
  <c r="Z545" i="29"/>
  <c r="J546" i="29"/>
  <c r="Y546" i="29" s="1"/>
  <c r="I546" i="29"/>
  <c r="K546" i="29" s="1"/>
  <c r="R547" i="29"/>
  <c r="U547" i="29"/>
  <c r="S547" i="29"/>
  <c r="T547" i="29"/>
  <c r="G547" i="29"/>
  <c r="E547" i="29"/>
  <c r="Q547" i="29"/>
  <c r="AD549" i="29"/>
  <c r="B548" i="29"/>
  <c r="AI548" i="29"/>
  <c r="O546" i="29"/>
  <c r="AE547" i="29"/>
  <c r="AA547" i="29" s="1"/>
  <c r="AF547" i="29"/>
  <c r="V545" i="29" l="1"/>
  <c r="W545" i="29" s="1"/>
  <c r="P545" i="29"/>
  <c r="N546" i="29"/>
  <c r="AB547" i="29"/>
  <c r="P546" i="29"/>
  <c r="V546" i="29"/>
  <c r="W546" i="29" s="1"/>
  <c r="E548" i="29"/>
  <c r="Q548" i="29"/>
  <c r="U548" i="29"/>
  <c r="R548" i="29"/>
  <c r="G548" i="29"/>
  <c r="T548" i="29"/>
  <c r="S548" i="29"/>
  <c r="O547" i="29"/>
  <c r="I547" i="29"/>
  <c r="J547" i="29"/>
  <c r="Y547" i="29" s="1"/>
  <c r="B549" i="29"/>
  <c r="AD550" i="29"/>
  <c r="AI549" i="29"/>
  <c r="Z546" i="29"/>
  <c r="AE548" i="29"/>
  <c r="AA548" i="29" s="1"/>
  <c r="AF548" i="29"/>
  <c r="K547" i="29" l="1"/>
  <c r="N547" i="29" s="1"/>
  <c r="AB548" i="29"/>
  <c r="AD551" i="29"/>
  <c r="B550" i="29"/>
  <c r="AI550" i="29"/>
  <c r="U549" i="29"/>
  <c r="E549" i="29"/>
  <c r="Q549" i="29"/>
  <c r="G549" i="29"/>
  <c r="T549" i="29"/>
  <c r="S549" i="29"/>
  <c r="R549" i="29"/>
  <c r="Z547" i="29"/>
  <c r="I548" i="29"/>
  <c r="J548" i="29"/>
  <c r="Y548" i="29" s="1"/>
  <c r="AE549" i="29"/>
  <c r="AA549" i="29" s="1"/>
  <c r="AF549" i="29"/>
  <c r="O548" i="29"/>
  <c r="V547" i="29" l="1"/>
  <c r="W547" i="29" s="1"/>
  <c r="P547" i="29"/>
  <c r="K548" i="29"/>
  <c r="N548" i="29" s="1"/>
  <c r="AB549" i="29"/>
  <c r="J549" i="29"/>
  <c r="Y549" i="29" s="1"/>
  <c r="I549" i="29"/>
  <c r="AF550" i="29"/>
  <c r="AE550" i="29"/>
  <c r="AA550" i="29" s="1"/>
  <c r="G550" i="29"/>
  <c r="R550" i="29"/>
  <c r="Q550" i="29"/>
  <c r="S550" i="29"/>
  <c r="E550" i="29"/>
  <c r="T550" i="29"/>
  <c r="U550" i="29"/>
  <c r="Z548" i="29"/>
  <c r="AI551" i="29"/>
  <c r="B551" i="29"/>
  <c r="AD552" i="29"/>
  <c r="O549" i="29"/>
  <c r="P548" i="29" l="1"/>
  <c r="V548" i="29"/>
  <c r="W548" i="29" s="1"/>
  <c r="K549" i="29"/>
  <c r="N549" i="29" s="1"/>
  <c r="AB550" i="29"/>
  <c r="O550" i="29"/>
  <c r="I550" i="29"/>
  <c r="J550" i="29"/>
  <c r="Y550" i="29" s="1"/>
  <c r="Q551" i="29"/>
  <c r="R551" i="29"/>
  <c r="G551" i="29"/>
  <c r="T551" i="29"/>
  <c r="S551" i="29"/>
  <c r="E551" i="29"/>
  <c r="U551" i="29"/>
  <c r="AE551" i="29"/>
  <c r="AA551" i="29" s="1"/>
  <c r="AF551" i="29"/>
  <c r="Z549" i="29"/>
  <c r="AD553" i="29"/>
  <c r="AI552" i="29"/>
  <c r="B552" i="29"/>
  <c r="V549" i="29" l="1"/>
  <c r="W549" i="29" s="1"/>
  <c r="P549" i="29"/>
  <c r="K550" i="29"/>
  <c r="N550" i="29" s="1"/>
  <c r="AB551" i="29"/>
  <c r="Z550" i="29"/>
  <c r="O551" i="29"/>
  <c r="G552" i="29"/>
  <c r="T552" i="29"/>
  <c r="S552" i="29"/>
  <c r="R552" i="29"/>
  <c r="U552" i="29"/>
  <c r="E552" i="29"/>
  <c r="Q552" i="29"/>
  <c r="AE552" i="29"/>
  <c r="AA552" i="29" s="1"/>
  <c r="AF552" i="29"/>
  <c r="AI553" i="29"/>
  <c r="AD554" i="29"/>
  <c r="B553" i="29"/>
  <c r="I551" i="29"/>
  <c r="J551" i="29"/>
  <c r="Y551" i="29" s="1"/>
  <c r="Z551" i="29" s="1"/>
  <c r="V550" i="29" l="1"/>
  <c r="W550" i="29" s="1"/>
  <c r="P550" i="29"/>
  <c r="AB552" i="29"/>
  <c r="K551" i="29"/>
  <c r="N551" i="29" s="1"/>
  <c r="O552" i="29"/>
  <c r="E553" i="29"/>
  <c r="S553" i="29"/>
  <c r="G553" i="29"/>
  <c r="R553" i="29"/>
  <c r="U553" i="29"/>
  <c r="T553" i="29"/>
  <c r="Q553" i="29"/>
  <c r="J552" i="29"/>
  <c r="I552" i="29"/>
  <c r="K552" i="29" s="1"/>
  <c r="N552" i="29" s="1"/>
  <c r="AI554" i="29"/>
  <c r="AD555" i="29"/>
  <c r="B554" i="29"/>
  <c r="AE553" i="29"/>
  <c r="AA553" i="29" s="1"/>
  <c r="AF553" i="29"/>
  <c r="Y552" i="29"/>
  <c r="Z552" i="29" s="1"/>
  <c r="V551" i="29" l="1"/>
  <c r="W551" i="29" s="1"/>
  <c r="P551" i="29"/>
  <c r="AB553" i="29"/>
  <c r="AF554" i="29"/>
  <c r="AE554" i="29"/>
  <c r="AA554" i="29" s="1"/>
  <c r="I553" i="29"/>
  <c r="J553" i="29"/>
  <c r="R554" i="29"/>
  <c r="T554" i="29"/>
  <c r="U554" i="29"/>
  <c r="Q554" i="29"/>
  <c r="G554" i="29"/>
  <c r="E554" i="29"/>
  <c r="S554" i="29"/>
  <c r="P552" i="29"/>
  <c r="V552" i="29"/>
  <c r="W552" i="29" s="1"/>
  <c r="AI555" i="29"/>
  <c r="B555" i="29"/>
  <c r="AD556" i="29"/>
  <c r="O553" i="29"/>
  <c r="Y553" i="29"/>
  <c r="K553" i="29" l="1"/>
  <c r="N553" i="29" s="1"/>
  <c r="AB554" i="29"/>
  <c r="AI556" i="29"/>
  <c r="B556" i="29"/>
  <c r="AD557" i="29"/>
  <c r="R555" i="29"/>
  <c r="E555" i="29"/>
  <c r="G555" i="29"/>
  <c r="S555" i="29"/>
  <c r="Q555" i="29"/>
  <c r="U555" i="29"/>
  <c r="T555" i="29"/>
  <c r="I554" i="29"/>
  <c r="K554" i="29" s="1"/>
  <c r="J554" i="29"/>
  <c r="Y554" i="29" s="1"/>
  <c r="AE555" i="29"/>
  <c r="AA555" i="29" s="1"/>
  <c r="AF555" i="29"/>
  <c r="O554" i="29"/>
  <c r="Z553" i="29"/>
  <c r="P553" i="29" l="1"/>
  <c r="V553" i="29"/>
  <c r="W553" i="29" s="1"/>
  <c r="N554" i="29"/>
  <c r="AB555" i="29"/>
  <c r="P554" i="29"/>
  <c r="V554" i="29"/>
  <c r="W554" i="29" s="1"/>
  <c r="Z554" i="29"/>
  <c r="O555" i="29"/>
  <c r="AI557" i="29"/>
  <c r="AD558" i="29"/>
  <c r="B557" i="29"/>
  <c r="J555" i="29"/>
  <c r="Y555" i="29" s="1"/>
  <c r="I555" i="29"/>
  <c r="K555" i="29" s="1"/>
  <c r="G556" i="29"/>
  <c r="E556" i="29"/>
  <c r="Q556" i="29"/>
  <c r="R556" i="29"/>
  <c r="T556" i="29"/>
  <c r="S556" i="29"/>
  <c r="U556" i="29"/>
  <c r="AF556" i="29"/>
  <c r="AE556" i="29"/>
  <c r="AA556" i="29" s="1"/>
  <c r="N555" i="29" l="1"/>
  <c r="AB556" i="29"/>
  <c r="O556" i="29"/>
  <c r="V555" i="29"/>
  <c r="W555" i="29" s="1"/>
  <c r="P555" i="29"/>
  <c r="G557" i="29"/>
  <c r="E557" i="29"/>
  <c r="T557" i="29"/>
  <c r="Q557" i="29"/>
  <c r="S557" i="29"/>
  <c r="U557" i="29"/>
  <c r="R557" i="29"/>
  <c r="J556" i="29"/>
  <c r="Y556" i="29" s="1"/>
  <c r="Z556" i="29" s="1"/>
  <c r="I556" i="29"/>
  <c r="B558" i="29"/>
  <c r="AD559" i="29"/>
  <c r="AI558" i="29"/>
  <c r="Z555" i="29"/>
  <c r="AF557" i="29"/>
  <c r="AE557" i="29"/>
  <c r="AA557" i="29" s="1"/>
  <c r="K556" i="29" l="1"/>
  <c r="N556" i="29" s="1"/>
  <c r="AB557" i="29"/>
  <c r="T558" i="29"/>
  <c r="R558" i="29"/>
  <c r="U558" i="29"/>
  <c r="G558" i="29"/>
  <c r="Q558" i="29"/>
  <c r="E558" i="29"/>
  <c r="S558" i="29"/>
  <c r="AF558" i="29"/>
  <c r="AE558" i="29"/>
  <c r="AA558" i="29" s="1"/>
  <c r="J557" i="29"/>
  <c r="Y557" i="29" s="1"/>
  <c r="I557" i="29"/>
  <c r="AD560" i="29"/>
  <c r="AI559" i="29"/>
  <c r="B559" i="29"/>
  <c r="O557" i="29"/>
  <c r="V556" i="29" l="1"/>
  <c r="W556" i="29" s="1"/>
  <c r="P556" i="29"/>
  <c r="AB558" i="29"/>
  <c r="K557" i="29"/>
  <c r="N557" i="29" s="1"/>
  <c r="U559" i="29"/>
  <c r="G559" i="29"/>
  <c r="R559" i="29"/>
  <c r="E559" i="29"/>
  <c r="T559" i="29"/>
  <c r="Q559" i="29"/>
  <c r="S559" i="29"/>
  <c r="AF559" i="29"/>
  <c r="AE559" i="29"/>
  <c r="AA559" i="29" s="1"/>
  <c r="I558" i="29"/>
  <c r="J558" i="29"/>
  <c r="Y558" i="29" s="1"/>
  <c r="AI560" i="29"/>
  <c r="AD561" i="29"/>
  <c r="B560" i="29"/>
  <c r="Z557" i="29"/>
  <c r="O558" i="29"/>
  <c r="V557" i="29" l="1"/>
  <c r="W557" i="29" s="1"/>
  <c r="P557" i="29"/>
  <c r="K558" i="29"/>
  <c r="N558" i="29" s="1"/>
  <c r="AB559" i="29"/>
  <c r="O559" i="29"/>
  <c r="AF560" i="29"/>
  <c r="AE560" i="29"/>
  <c r="AA560" i="29" s="1"/>
  <c r="I559" i="29"/>
  <c r="K559" i="29" s="1"/>
  <c r="J559" i="29"/>
  <c r="Y559" i="29" s="1"/>
  <c r="E560" i="29"/>
  <c r="R560" i="29"/>
  <c r="T560" i="29"/>
  <c r="S560" i="29"/>
  <c r="G560" i="29"/>
  <c r="U560" i="29"/>
  <c r="Q560" i="29"/>
  <c r="Z558" i="29"/>
  <c r="AI561" i="29"/>
  <c r="B561" i="29"/>
  <c r="AD562" i="29"/>
  <c r="V558" i="29" l="1"/>
  <c r="W558" i="29" s="1"/>
  <c r="P558" i="29"/>
  <c r="AB560" i="29"/>
  <c r="N559" i="29"/>
  <c r="O560" i="29"/>
  <c r="AF561" i="29"/>
  <c r="AE561" i="29"/>
  <c r="AA561" i="29" s="1"/>
  <c r="AD563" i="29"/>
  <c r="AI562" i="29"/>
  <c r="B562" i="29"/>
  <c r="S561" i="29"/>
  <c r="G561" i="29"/>
  <c r="Q561" i="29"/>
  <c r="U561" i="29"/>
  <c r="R561" i="29"/>
  <c r="E561" i="29"/>
  <c r="T561" i="29"/>
  <c r="I560" i="29"/>
  <c r="K560" i="29" s="1"/>
  <c r="J560" i="29"/>
  <c r="Y560" i="29" s="1"/>
  <c r="Z560" i="29" s="1"/>
  <c r="P559" i="29"/>
  <c r="V559" i="29"/>
  <c r="W559" i="29" s="1"/>
  <c r="Z559" i="29"/>
  <c r="AB561" i="29" l="1"/>
  <c r="N560" i="29"/>
  <c r="V560" i="29" s="1"/>
  <c r="W560" i="29" s="1"/>
  <c r="AF562" i="29"/>
  <c r="AE562" i="29"/>
  <c r="AA562" i="29" s="1"/>
  <c r="O561" i="29"/>
  <c r="B563" i="29"/>
  <c r="AD564" i="29"/>
  <c r="AI563" i="29"/>
  <c r="I561" i="29"/>
  <c r="J561" i="29"/>
  <c r="Y561" i="29" s="1"/>
  <c r="U562" i="29"/>
  <c r="R562" i="29"/>
  <c r="G562" i="29"/>
  <c r="E562" i="29"/>
  <c r="T562" i="29"/>
  <c r="S562" i="29"/>
  <c r="Q562" i="29"/>
  <c r="P560" i="29" l="1"/>
  <c r="K561" i="29"/>
  <c r="N561" i="29" s="1"/>
  <c r="AB562" i="29"/>
  <c r="AI564" i="29"/>
  <c r="AD565" i="29"/>
  <c r="B564" i="29"/>
  <c r="U563" i="29"/>
  <c r="S563" i="29"/>
  <c r="T563" i="29"/>
  <c r="E563" i="29"/>
  <c r="R563" i="29"/>
  <c r="G563" i="29"/>
  <c r="Q563" i="29"/>
  <c r="O562" i="29"/>
  <c r="Z561" i="29"/>
  <c r="I562" i="29"/>
  <c r="K562" i="29" s="1"/>
  <c r="J562" i="29"/>
  <c r="Y562" i="29" s="1"/>
  <c r="AF563" i="29"/>
  <c r="AE563" i="29"/>
  <c r="AA563" i="29" s="1"/>
  <c r="P561" i="29" l="1"/>
  <c r="V561" i="29"/>
  <c r="W561" i="29" s="1"/>
  <c r="N562" i="29"/>
  <c r="AB563" i="29"/>
  <c r="I563" i="29"/>
  <c r="K563" i="29" s="1"/>
  <c r="J563" i="29"/>
  <c r="Y563" i="29" s="1"/>
  <c r="O563" i="29"/>
  <c r="AD566" i="29"/>
  <c r="AI565" i="29"/>
  <c r="B565" i="29"/>
  <c r="V562" i="29"/>
  <c r="W562" i="29" s="1"/>
  <c r="P562" i="29"/>
  <c r="Z562" i="29"/>
  <c r="AE564" i="29"/>
  <c r="AA564" i="29" s="1"/>
  <c r="AF564" i="29"/>
  <c r="T564" i="29"/>
  <c r="E564" i="29"/>
  <c r="S564" i="29"/>
  <c r="Q564" i="29"/>
  <c r="U564" i="29"/>
  <c r="R564" i="29"/>
  <c r="G564" i="29"/>
  <c r="AB564" i="29" l="1"/>
  <c r="N563" i="29"/>
  <c r="O564" i="29"/>
  <c r="T565" i="29"/>
  <c r="U565" i="29"/>
  <c r="G565" i="29"/>
  <c r="E565" i="29"/>
  <c r="S565" i="29"/>
  <c r="R565" i="29"/>
  <c r="Q565" i="29"/>
  <c r="I564" i="29"/>
  <c r="J564" i="29"/>
  <c r="Y564" i="29" s="1"/>
  <c r="Z564" i="29" s="1"/>
  <c r="AF565" i="29"/>
  <c r="AE565" i="29"/>
  <c r="AA565" i="29" s="1"/>
  <c r="P563" i="29"/>
  <c r="V563" i="29"/>
  <c r="W563" i="29" s="1"/>
  <c r="B566" i="29"/>
  <c r="AI566" i="29"/>
  <c r="AD567" i="29"/>
  <c r="Z563" i="29"/>
  <c r="K564" i="29" l="1"/>
  <c r="N564" i="29" s="1"/>
  <c r="AB565" i="29"/>
  <c r="AD568" i="29"/>
  <c r="AI567" i="29"/>
  <c r="B567" i="29"/>
  <c r="AF566" i="29"/>
  <c r="AE566" i="29"/>
  <c r="AA566" i="29" s="1"/>
  <c r="E566" i="29"/>
  <c r="T566" i="29"/>
  <c r="S566" i="29"/>
  <c r="Q566" i="29"/>
  <c r="R566" i="29"/>
  <c r="G566" i="29"/>
  <c r="U566" i="29"/>
  <c r="I565" i="29"/>
  <c r="J565" i="29"/>
  <c r="Y565" i="29" s="1"/>
  <c r="O565" i="29"/>
  <c r="V564" i="29" l="1"/>
  <c r="W564" i="29" s="1"/>
  <c r="P564" i="29"/>
  <c r="K565" i="29"/>
  <c r="N565" i="29" s="1"/>
  <c r="AB566" i="29"/>
  <c r="O566" i="29"/>
  <c r="Z565" i="29"/>
  <c r="I566" i="29"/>
  <c r="J566" i="29"/>
  <c r="Y566" i="29" s="1"/>
  <c r="G567" i="29"/>
  <c r="S567" i="29"/>
  <c r="R567" i="29"/>
  <c r="T567" i="29"/>
  <c r="U567" i="29"/>
  <c r="E567" i="29"/>
  <c r="Q567" i="29"/>
  <c r="AE567" i="29"/>
  <c r="AA567" i="29" s="1"/>
  <c r="AF567" i="29"/>
  <c r="AI568" i="29"/>
  <c r="AD569" i="29"/>
  <c r="B568" i="29"/>
  <c r="V565" i="29" l="1"/>
  <c r="W565" i="29" s="1"/>
  <c r="P565" i="29"/>
  <c r="K566" i="29"/>
  <c r="N566" i="29" s="1"/>
  <c r="AB567" i="29"/>
  <c r="Z566" i="29"/>
  <c r="E568" i="29"/>
  <c r="G568" i="29"/>
  <c r="R568" i="29"/>
  <c r="U568" i="29"/>
  <c r="Q568" i="29"/>
  <c r="T568" i="29"/>
  <c r="S568" i="29"/>
  <c r="O567" i="29"/>
  <c r="B569" i="29"/>
  <c r="AD570" i="29"/>
  <c r="AI569" i="29"/>
  <c r="I567" i="29"/>
  <c r="J567" i="29"/>
  <c r="Y567" i="29" s="1"/>
  <c r="AE568" i="29"/>
  <c r="AA568" i="29" s="1"/>
  <c r="AF568" i="29"/>
  <c r="P566" i="29" l="1"/>
  <c r="V566" i="29"/>
  <c r="W566" i="29" s="1"/>
  <c r="K567" i="29"/>
  <c r="N567" i="29" s="1"/>
  <c r="AB568" i="29"/>
  <c r="I568" i="29"/>
  <c r="K568" i="29" s="1"/>
  <c r="N568" i="29" s="1"/>
  <c r="J568" i="29"/>
  <c r="AE569" i="29"/>
  <c r="AA569" i="29" s="1"/>
  <c r="AF569" i="29"/>
  <c r="B570" i="29"/>
  <c r="AD571" i="29"/>
  <c r="AI570" i="29"/>
  <c r="R569" i="29"/>
  <c r="E569" i="29"/>
  <c r="Q569" i="29"/>
  <c r="G569" i="29"/>
  <c r="U569" i="29"/>
  <c r="T569" i="29"/>
  <c r="S569" i="29"/>
  <c r="Z567" i="29"/>
  <c r="O568" i="29"/>
  <c r="Y568" i="29"/>
  <c r="V567" i="29" l="1"/>
  <c r="W567" i="29" s="1"/>
  <c r="P567" i="29"/>
  <c r="AB569" i="29"/>
  <c r="O569" i="29"/>
  <c r="Z568" i="29"/>
  <c r="V568" i="29"/>
  <c r="W568" i="29" s="1"/>
  <c r="P568" i="29"/>
  <c r="AE570" i="29"/>
  <c r="AA570" i="29" s="1"/>
  <c r="AF570" i="29"/>
  <c r="AD572" i="29"/>
  <c r="B571" i="29"/>
  <c r="AI571" i="29"/>
  <c r="J569" i="29"/>
  <c r="Y569" i="29" s="1"/>
  <c r="I569" i="29"/>
  <c r="K569" i="29" s="1"/>
  <c r="U570" i="29"/>
  <c r="R570" i="29"/>
  <c r="Q570" i="29"/>
  <c r="G570" i="29"/>
  <c r="S570" i="29"/>
  <c r="E570" i="29"/>
  <c r="T570" i="29"/>
  <c r="AB570" i="29" l="1"/>
  <c r="N569" i="29"/>
  <c r="P569" i="29" s="1"/>
  <c r="Z569" i="29"/>
  <c r="V569" i="29"/>
  <c r="W569" i="29" s="1"/>
  <c r="AI572" i="29"/>
  <c r="AD573" i="29"/>
  <c r="B572" i="29"/>
  <c r="AF571" i="29"/>
  <c r="AE571" i="29"/>
  <c r="AA571" i="29" s="1"/>
  <c r="J570" i="29"/>
  <c r="Y570" i="29" s="1"/>
  <c r="I570" i="29"/>
  <c r="K570" i="29" s="1"/>
  <c r="O570" i="29"/>
  <c r="R571" i="29"/>
  <c r="U571" i="29"/>
  <c r="T571" i="29"/>
  <c r="E571" i="29"/>
  <c r="Q571" i="29"/>
  <c r="G571" i="29"/>
  <c r="S571" i="29"/>
  <c r="AB571" i="29" l="1"/>
  <c r="N570" i="29"/>
  <c r="P570" i="29" s="1"/>
  <c r="O571" i="29"/>
  <c r="Q572" i="29"/>
  <c r="E572" i="29"/>
  <c r="R572" i="29"/>
  <c r="G572" i="29"/>
  <c r="S572" i="29"/>
  <c r="T572" i="29"/>
  <c r="U572" i="29"/>
  <c r="J571" i="29"/>
  <c r="Y571" i="29" s="1"/>
  <c r="I571" i="29"/>
  <c r="AD574" i="29"/>
  <c r="AI573" i="29"/>
  <c r="B573" i="29"/>
  <c r="Z570" i="29"/>
  <c r="AE572" i="29"/>
  <c r="AA572" i="29" s="1"/>
  <c r="AF572" i="29"/>
  <c r="V570" i="29" l="1"/>
  <c r="W570" i="29" s="1"/>
  <c r="K571" i="29"/>
  <c r="N571" i="29" s="1"/>
  <c r="AB572" i="29"/>
  <c r="O572" i="29"/>
  <c r="E573" i="29"/>
  <c r="G573" i="29"/>
  <c r="R573" i="29"/>
  <c r="T573" i="29"/>
  <c r="S573" i="29"/>
  <c r="U573" i="29"/>
  <c r="Q573" i="29"/>
  <c r="AE573" i="29"/>
  <c r="AA573" i="29" s="1"/>
  <c r="AF573" i="29"/>
  <c r="J572" i="29"/>
  <c r="Y572" i="29" s="1"/>
  <c r="Z572" i="29" s="1"/>
  <c r="I572" i="29"/>
  <c r="B574" i="29"/>
  <c r="AI574" i="29"/>
  <c r="AD575" i="29"/>
  <c r="Z571" i="29"/>
  <c r="P571" i="29" l="1"/>
  <c r="V571" i="29"/>
  <c r="W571" i="29" s="1"/>
  <c r="K572" i="29"/>
  <c r="N572" i="29" s="1"/>
  <c r="AB573" i="29"/>
  <c r="O573" i="29"/>
  <c r="AE574" i="29"/>
  <c r="AA574" i="29" s="1"/>
  <c r="AF574" i="29"/>
  <c r="I573" i="29"/>
  <c r="K573" i="29" s="1"/>
  <c r="J573" i="29"/>
  <c r="Y573" i="29" s="1"/>
  <c r="Z573" i="29" s="1"/>
  <c r="T574" i="29"/>
  <c r="G574" i="29"/>
  <c r="S574" i="29"/>
  <c r="E574" i="29"/>
  <c r="U574" i="29"/>
  <c r="Q574" i="29"/>
  <c r="R574" i="29"/>
  <c r="AD576" i="29"/>
  <c r="B575" i="29"/>
  <c r="AI575" i="29"/>
  <c r="P572" i="29" l="1"/>
  <c r="V572" i="29"/>
  <c r="W572" i="29" s="1"/>
  <c r="AB574" i="29"/>
  <c r="N573" i="29"/>
  <c r="O574" i="29"/>
  <c r="J574" i="29"/>
  <c r="Y574" i="29" s="1"/>
  <c r="I574" i="29"/>
  <c r="R575" i="29"/>
  <c r="G575" i="29"/>
  <c r="U575" i="29"/>
  <c r="Q575" i="29"/>
  <c r="S575" i="29"/>
  <c r="E575" i="29"/>
  <c r="T575" i="29"/>
  <c r="AD577" i="29"/>
  <c r="AI576" i="29"/>
  <c r="B576" i="29"/>
  <c r="AF575" i="29"/>
  <c r="AE575" i="29"/>
  <c r="AA575" i="29" s="1"/>
  <c r="V573" i="29"/>
  <c r="W573" i="29" s="1"/>
  <c r="P573" i="29"/>
  <c r="K574" i="29" l="1"/>
  <c r="N574" i="29" s="1"/>
  <c r="AB575" i="29"/>
  <c r="Z574" i="29"/>
  <c r="J575" i="29"/>
  <c r="I575" i="29"/>
  <c r="K575" i="29" s="1"/>
  <c r="N575" i="29" s="1"/>
  <c r="Q576" i="29"/>
  <c r="S576" i="29"/>
  <c r="G576" i="29"/>
  <c r="E576" i="29"/>
  <c r="R576" i="29"/>
  <c r="T576" i="29"/>
  <c r="U576" i="29"/>
  <c r="AF576" i="29"/>
  <c r="AE576" i="29"/>
  <c r="AA576" i="29" s="1"/>
  <c r="B577" i="29"/>
  <c r="AD578" i="29"/>
  <c r="AI577" i="29"/>
  <c r="O575" i="29"/>
  <c r="Y575" i="29"/>
  <c r="V574" i="29" l="1"/>
  <c r="W574" i="29" s="1"/>
  <c r="P574" i="29"/>
  <c r="AB576" i="29"/>
  <c r="O576" i="29"/>
  <c r="AF577" i="29"/>
  <c r="AE577" i="29"/>
  <c r="AA577" i="29" s="1"/>
  <c r="Z575" i="29"/>
  <c r="AI578" i="29"/>
  <c r="B578" i="29"/>
  <c r="AD579" i="29"/>
  <c r="J576" i="29"/>
  <c r="Y576" i="29" s="1"/>
  <c r="I576" i="29"/>
  <c r="K576" i="29" s="1"/>
  <c r="E577" i="29"/>
  <c r="G577" i="29"/>
  <c r="U577" i="29"/>
  <c r="Q577" i="29"/>
  <c r="R577" i="29"/>
  <c r="T577" i="29"/>
  <c r="S577" i="29"/>
  <c r="V575" i="29"/>
  <c r="W575" i="29" s="1"/>
  <c r="P575" i="29"/>
  <c r="AB577" i="29" l="1"/>
  <c r="N576" i="29"/>
  <c r="Z576" i="29"/>
  <c r="B579" i="29"/>
  <c r="AD580" i="29"/>
  <c r="AI579" i="29"/>
  <c r="O577" i="29"/>
  <c r="E578" i="29"/>
  <c r="U578" i="29"/>
  <c r="Q578" i="29"/>
  <c r="S578" i="29"/>
  <c r="T578" i="29"/>
  <c r="G578" i="29"/>
  <c r="R578" i="29"/>
  <c r="J577" i="29"/>
  <c r="Y577" i="29" s="1"/>
  <c r="I577" i="29"/>
  <c r="P576" i="29"/>
  <c r="V576" i="29"/>
  <c r="W576" i="29" s="1"/>
  <c r="AE578" i="29"/>
  <c r="AA578" i="29" s="1"/>
  <c r="AF578" i="29"/>
  <c r="K577" i="29" l="1"/>
  <c r="N577" i="29" s="1"/>
  <c r="AB578" i="29"/>
  <c r="I578" i="29"/>
  <c r="K578" i="29" s="1"/>
  <c r="J578" i="29"/>
  <c r="Y578" i="29" s="1"/>
  <c r="E579" i="29"/>
  <c r="T579" i="29"/>
  <c r="Q579" i="29"/>
  <c r="U579" i="29"/>
  <c r="R579" i="29"/>
  <c r="G579" i="29"/>
  <c r="S579" i="29"/>
  <c r="Z577" i="29"/>
  <c r="AE579" i="29"/>
  <c r="AA579" i="29" s="1"/>
  <c r="AF579" i="29"/>
  <c r="O578" i="29"/>
  <c r="AI580" i="29"/>
  <c r="AD581" i="29"/>
  <c r="B580" i="29"/>
  <c r="P577" i="29" l="1"/>
  <c r="V577" i="29"/>
  <c r="W577" i="29" s="1"/>
  <c r="N578" i="29"/>
  <c r="P578" i="29" s="1"/>
  <c r="AB579" i="29"/>
  <c r="V578" i="29"/>
  <c r="W578" i="29" s="1"/>
  <c r="I579" i="29"/>
  <c r="J579" i="29"/>
  <c r="S580" i="29"/>
  <c r="T580" i="29"/>
  <c r="Q580" i="29"/>
  <c r="R580" i="29"/>
  <c r="E580" i="29"/>
  <c r="U580" i="29"/>
  <c r="G580" i="29"/>
  <c r="Y579" i="29"/>
  <c r="Z578" i="29"/>
  <c r="AD582" i="29"/>
  <c r="B581" i="29"/>
  <c r="AI581" i="29"/>
  <c r="AF580" i="29"/>
  <c r="AE580" i="29"/>
  <c r="AA580" i="29" s="1"/>
  <c r="O579" i="29"/>
  <c r="K579" i="29" l="1"/>
  <c r="N579" i="29" s="1"/>
  <c r="AB580" i="29"/>
  <c r="O580" i="29"/>
  <c r="Z579" i="29"/>
  <c r="AF581" i="29"/>
  <c r="AE581" i="29"/>
  <c r="AA581" i="29" s="1"/>
  <c r="I580" i="29"/>
  <c r="K580" i="29" s="1"/>
  <c r="J580" i="29"/>
  <c r="Y580" i="29" s="1"/>
  <c r="S581" i="29"/>
  <c r="G581" i="29"/>
  <c r="T581" i="29"/>
  <c r="Q581" i="29"/>
  <c r="U581" i="29"/>
  <c r="E581" i="29"/>
  <c r="R581" i="29"/>
  <c r="B582" i="29"/>
  <c r="AI582" i="29"/>
  <c r="AD583" i="29"/>
  <c r="V579" i="29" l="1"/>
  <c r="W579" i="29" s="1"/>
  <c r="P579" i="29"/>
  <c r="AB581" i="29"/>
  <c r="N580" i="29"/>
  <c r="P580" i="29" s="1"/>
  <c r="Z580" i="29"/>
  <c r="V580" i="29"/>
  <c r="W580" i="29" s="1"/>
  <c r="I581" i="29"/>
  <c r="K581" i="29" s="1"/>
  <c r="J581" i="29"/>
  <c r="Y581" i="29" s="1"/>
  <c r="AE582" i="29"/>
  <c r="AA582" i="29" s="1"/>
  <c r="AF582" i="29"/>
  <c r="O581" i="29"/>
  <c r="R582" i="29"/>
  <c r="S582" i="29"/>
  <c r="T582" i="29"/>
  <c r="E582" i="29"/>
  <c r="Q582" i="29"/>
  <c r="U582" i="29"/>
  <c r="G582" i="29"/>
  <c r="B583" i="29"/>
  <c r="AD584" i="29"/>
  <c r="AI583" i="29"/>
  <c r="AB582" i="29" l="1"/>
  <c r="N581" i="29"/>
  <c r="O582" i="29"/>
  <c r="AE583" i="29"/>
  <c r="AA583" i="29" s="1"/>
  <c r="AF583" i="29"/>
  <c r="I582" i="29"/>
  <c r="K582" i="29" s="1"/>
  <c r="N582" i="29" s="1"/>
  <c r="J582" i="29"/>
  <c r="Y582" i="29" s="1"/>
  <c r="Z582" i="29" s="1"/>
  <c r="AI584" i="29"/>
  <c r="B584" i="29"/>
  <c r="AD585" i="29"/>
  <c r="V581" i="29"/>
  <c r="W581" i="29" s="1"/>
  <c r="P581" i="29"/>
  <c r="Q583" i="29"/>
  <c r="G583" i="29"/>
  <c r="S583" i="29"/>
  <c r="E583" i="29"/>
  <c r="T583" i="29"/>
  <c r="U583" i="29"/>
  <c r="R583" i="29"/>
  <c r="Z581" i="29"/>
  <c r="AB583" i="29" l="1"/>
  <c r="AI585" i="29"/>
  <c r="B585" i="29"/>
  <c r="AD586" i="29"/>
  <c r="V582" i="29"/>
  <c r="W582" i="29" s="1"/>
  <c r="P582" i="29"/>
  <c r="T584" i="29"/>
  <c r="E584" i="29"/>
  <c r="R584" i="29"/>
  <c r="U584" i="29"/>
  <c r="Q584" i="29"/>
  <c r="S584" i="29"/>
  <c r="G584" i="29"/>
  <c r="AF584" i="29"/>
  <c r="AE584" i="29"/>
  <c r="AA584" i="29" s="1"/>
  <c r="O583" i="29"/>
  <c r="I583" i="29"/>
  <c r="J583" i="29"/>
  <c r="Y583" i="29" s="1"/>
  <c r="K583" i="29" l="1"/>
  <c r="N583" i="29" s="1"/>
  <c r="AB584" i="29"/>
  <c r="J584" i="29"/>
  <c r="Y584" i="29" s="1"/>
  <c r="I584" i="29"/>
  <c r="U585" i="29"/>
  <c r="S585" i="29"/>
  <c r="Q585" i="29"/>
  <c r="G585" i="29"/>
  <c r="T585" i="29"/>
  <c r="E585" i="29"/>
  <c r="R585" i="29"/>
  <c r="O584" i="29"/>
  <c r="AE585" i="29"/>
  <c r="AA585" i="29" s="1"/>
  <c r="AF585" i="29"/>
  <c r="Z583" i="29"/>
  <c r="B586" i="29"/>
  <c r="AD587" i="29"/>
  <c r="AI586" i="29"/>
  <c r="P583" i="29" l="1"/>
  <c r="V583" i="29"/>
  <c r="W583" i="29" s="1"/>
  <c r="K584" i="29"/>
  <c r="N584" i="29" s="1"/>
  <c r="AB585" i="29"/>
  <c r="G586" i="29"/>
  <c r="Q586" i="29"/>
  <c r="T586" i="29"/>
  <c r="R586" i="29"/>
  <c r="S586" i="29"/>
  <c r="E586" i="29"/>
  <c r="U586" i="29"/>
  <c r="O585" i="29"/>
  <c r="AF586" i="29"/>
  <c r="AE586" i="29"/>
  <c r="AA586" i="29" s="1"/>
  <c r="Z584" i="29"/>
  <c r="AI587" i="29"/>
  <c r="AD588" i="29"/>
  <c r="B587" i="29"/>
  <c r="I585" i="29"/>
  <c r="J585" i="29"/>
  <c r="Y585" i="29" s="1"/>
  <c r="V584" i="29" l="1"/>
  <c r="W584" i="29" s="1"/>
  <c r="P584" i="29"/>
  <c r="AB586" i="29"/>
  <c r="K585" i="29"/>
  <c r="N585" i="29" s="1"/>
  <c r="AI588" i="29"/>
  <c r="AD589" i="29"/>
  <c r="B588" i="29"/>
  <c r="J586" i="29"/>
  <c r="Y586" i="29" s="1"/>
  <c r="I586" i="29"/>
  <c r="K586" i="29" s="1"/>
  <c r="N586" i="29" s="1"/>
  <c r="AF587" i="29"/>
  <c r="AE587" i="29"/>
  <c r="AA587" i="29" s="1"/>
  <c r="Z585" i="29"/>
  <c r="O586" i="29"/>
  <c r="U587" i="29"/>
  <c r="Q587" i="29"/>
  <c r="R587" i="29"/>
  <c r="T587" i="29"/>
  <c r="E587" i="29"/>
  <c r="S587" i="29"/>
  <c r="G587" i="29"/>
  <c r="V585" i="29" l="1"/>
  <c r="W585" i="29" s="1"/>
  <c r="P585" i="29"/>
  <c r="AB587" i="29"/>
  <c r="P586" i="29"/>
  <c r="V586" i="29"/>
  <c r="W586" i="29" s="1"/>
  <c r="AI589" i="29"/>
  <c r="AD590" i="29"/>
  <c r="B589" i="29"/>
  <c r="AE588" i="29"/>
  <c r="AA588" i="29" s="1"/>
  <c r="AF588" i="29"/>
  <c r="O587" i="29"/>
  <c r="Z586" i="29"/>
  <c r="I587" i="29"/>
  <c r="K587" i="29" s="1"/>
  <c r="J587" i="29"/>
  <c r="Y587" i="29" s="1"/>
  <c r="E588" i="29"/>
  <c r="U588" i="29"/>
  <c r="T588" i="29"/>
  <c r="S588" i="29"/>
  <c r="Q588" i="29"/>
  <c r="G588" i="29"/>
  <c r="R588" i="29"/>
  <c r="AB588" i="29" l="1"/>
  <c r="N587" i="29"/>
  <c r="P587" i="29" s="1"/>
  <c r="J588" i="29"/>
  <c r="Y588" i="29" s="1"/>
  <c r="I588" i="29"/>
  <c r="K588" i="29" s="1"/>
  <c r="AI590" i="29"/>
  <c r="B590" i="29"/>
  <c r="AD591" i="29"/>
  <c r="V587" i="29"/>
  <c r="W587" i="29" s="1"/>
  <c r="Z587" i="29"/>
  <c r="AF589" i="29"/>
  <c r="AE589" i="29"/>
  <c r="AA589" i="29" s="1"/>
  <c r="O588" i="29"/>
  <c r="E589" i="29"/>
  <c r="Q589" i="29"/>
  <c r="S589" i="29"/>
  <c r="R589" i="29"/>
  <c r="U589" i="29"/>
  <c r="T589" i="29"/>
  <c r="G589" i="29"/>
  <c r="AB589" i="29" l="1"/>
  <c r="N588" i="29"/>
  <c r="V588" i="29" s="1"/>
  <c r="W588" i="29" s="1"/>
  <c r="AD592" i="29"/>
  <c r="AI591" i="29"/>
  <c r="B591" i="29"/>
  <c r="I589" i="29"/>
  <c r="K589" i="29" s="1"/>
  <c r="N589" i="29" s="1"/>
  <c r="J589" i="29"/>
  <c r="R590" i="29"/>
  <c r="G590" i="29"/>
  <c r="U590" i="29"/>
  <c r="E590" i="29"/>
  <c r="Q590" i="29"/>
  <c r="T590" i="29"/>
  <c r="S590" i="29"/>
  <c r="O589" i="29"/>
  <c r="Y589" i="29"/>
  <c r="Z588" i="29"/>
  <c r="AF590" i="29"/>
  <c r="AE590" i="29"/>
  <c r="AA590" i="29" s="1"/>
  <c r="P588" i="29" l="1"/>
  <c r="AB590" i="29"/>
  <c r="B592" i="29"/>
  <c r="AD593" i="29"/>
  <c r="AI592" i="29"/>
  <c r="J590" i="29"/>
  <c r="Y590" i="29" s="1"/>
  <c r="I590" i="29"/>
  <c r="P589" i="29"/>
  <c r="V589" i="29"/>
  <c r="W589" i="29" s="1"/>
  <c r="Z589" i="29"/>
  <c r="E591" i="29"/>
  <c r="R591" i="29"/>
  <c r="S591" i="29"/>
  <c r="Q591" i="29"/>
  <c r="G591" i="29"/>
  <c r="T591" i="29"/>
  <c r="U591" i="29"/>
  <c r="O590" i="29"/>
  <c r="AE591" i="29"/>
  <c r="AA591" i="29" s="1"/>
  <c r="AF591" i="29"/>
  <c r="K590" i="29" l="1"/>
  <c r="N590" i="29" s="1"/>
  <c r="AB591" i="29"/>
  <c r="O591" i="29"/>
  <c r="AD594" i="29"/>
  <c r="B593" i="29"/>
  <c r="AI593" i="29"/>
  <c r="T592" i="29"/>
  <c r="S592" i="29"/>
  <c r="E592" i="29"/>
  <c r="Q592" i="29"/>
  <c r="R592" i="29"/>
  <c r="U592" i="29"/>
  <c r="G592" i="29"/>
  <c r="J591" i="29"/>
  <c r="Y591" i="29" s="1"/>
  <c r="I591" i="29"/>
  <c r="Z590" i="29"/>
  <c r="AF592" i="29"/>
  <c r="AE592" i="29"/>
  <c r="AA592" i="29" s="1"/>
  <c r="V590" i="29" l="1"/>
  <c r="W590" i="29" s="1"/>
  <c r="P590" i="29"/>
  <c r="K591" i="29"/>
  <c r="N591" i="29" s="1"/>
  <c r="Z591" i="29"/>
  <c r="AB592" i="29"/>
  <c r="O592" i="29"/>
  <c r="AI594" i="29"/>
  <c r="AD595" i="29"/>
  <c r="B594" i="29"/>
  <c r="I592" i="29"/>
  <c r="K592" i="29" s="1"/>
  <c r="J592" i="29"/>
  <c r="Y592" i="29" s="1"/>
  <c r="AE593" i="29"/>
  <c r="AA593" i="29" s="1"/>
  <c r="AF593" i="29"/>
  <c r="T593" i="29"/>
  <c r="G593" i="29"/>
  <c r="Q593" i="29"/>
  <c r="E593" i="29"/>
  <c r="R593" i="29"/>
  <c r="U593" i="29"/>
  <c r="S593" i="29"/>
  <c r="P591" i="29" l="1"/>
  <c r="V591" i="29"/>
  <c r="W591" i="29" s="1"/>
  <c r="N592" i="29"/>
  <c r="AB593" i="29"/>
  <c r="Z592" i="29"/>
  <c r="P592" i="29"/>
  <c r="V592" i="29"/>
  <c r="W592" i="29" s="1"/>
  <c r="AE594" i="29"/>
  <c r="AA594" i="29" s="1"/>
  <c r="AF594" i="29"/>
  <c r="O593" i="29"/>
  <c r="J593" i="29"/>
  <c r="Y593" i="29" s="1"/>
  <c r="I593" i="29"/>
  <c r="S594" i="29"/>
  <c r="R594" i="29"/>
  <c r="E594" i="29"/>
  <c r="U594" i="29"/>
  <c r="G594" i="29"/>
  <c r="Q594" i="29"/>
  <c r="T594" i="29"/>
  <c r="B595" i="29"/>
  <c r="AD596" i="29"/>
  <c r="AI595" i="29"/>
  <c r="AB594" i="29" l="1"/>
  <c r="K593" i="29"/>
  <c r="N593" i="29" s="1"/>
  <c r="AF595" i="29"/>
  <c r="AE595" i="29"/>
  <c r="AA595" i="29" s="1"/>
  <c r="I594" i="29"/>
  <c r="J594" i="29"/>
  <c r="Y594" i="29" s="1"/>
  <c r="B596" i="29"/>
  <c r="AI596" i="29"/>
  <c r="AD597" i="29"/>
  <c r="E595" i="29"/>
  <c r="S595" i="29"/>
  <c r="G595" i="29"/>
  <c r="T595" i="29"/>
  <c r="U595" i="29"/>
  <c r="R595" i="29"/>
  <c r="Q595" i="29"/>
  <c r="O594" i="29"/>
  <c r="Z593" i="29"/>
  <c r="P593" i="29" l="1"/>
  <c r="V593" i="29"/>
  <c r="W593" i="29" s="1"/>
  <c r="AB595" i="29"/>
  <c r="K594" i="29"/>
  <c r="N594" i="29" s="1"/>
  <c r="S596" i="29"/>
  <c r="E596" i="29"/>
  <c r="G596" i="29"/>
  <c r="R596" i="29"/>
  <c r="U596" i="29"/>
  <c r="T596" i="29"/>
  <c r="Q596" i="29"/>
  <c r="I595" i="29"/>
  <c r="K595" i="29" s="1"/>
  <c r="J595" i="29"/>
  <c r="Y595" i="29" s="1"/>
  <c r="B597" i="29"/>
  <c r="AD598" i="29"/>
  <c r="AI597" i="29"/>
  <c r="Z594" i="29"/>
  <c r="O595" i="29"/>
  <c r="AE596" i="29"/>
  <c r="AA596" i="29" s="1"/>
  <c r="AF596" i="29"/>
  <c r="V594" i="29" l="1"/>
  <c r="W594" i="29" s="1"/>
  <c r="P594" i="29"/>
  <c r="N595" i="29"/>
  <c r="V595" i="29" s="1"/>
  <c r="W595" i="29" s="1"/>
  <c r="AB596" i="29"/>
  <c r="O596" i="29"/>
  <c r="P595" i="29"/>
  <c r="AD599" i="29"/>
  <c r="AI598" i="29"/>
  <c r="B598" i="29"/>
  <c r="I596" i="29"/>
  <c r="K596" i="29" s="1"/>
  <c r="N596" i="29" s="1"/>
  <c r="J596" i="29"/>
  <c r="Z595" i="29"/>
  <c r="E597" i="29"/>
  <c r="U597" i="29"/>
  <c r="T597" i="29"/>
  <c r="G597" i="29"/>
  <c r="S597" i="29"/>
  <c r="Q597" i="29"/>
  <c r="R597" i="29"/>
  <c r="AE597" i="29"/>
  <c r="AA597" i="29" s="1"/>
  <c r="AF597" i="29"/>
  <c r="Y596" i="29"/>
  <c r="Z596" i="29" s="1"/>
  <c r="AB597" i="29" l="1"/>
  <c r="O597" i="29"/>
  <c r="S598" i="29"/>
  <c r="G598" i="29"/>
  <c r="T598" i="29"/>
  <c r="E598" i="29"/>
  <c r="U598" i="29"/>
  <c r="Q598" i="29"/>
  <c r="R598" i="29"/>
  <c r="AF598" i="29"/>
  <c r="AE598" i="29"/>
  <c r="AA598" i="29" s="1"/>
  <c r="J597" i="29"/>
  <c r="Y597" i="29" s="1"/>
  <c r="I597" i="29"/>
  <c r="P596" i="29"/>
  <c r="V596" i="29"/>
  <c r="W596" i="29" s="1"/>
  <c r="AD600" i="29"/>
  <c r="B599" i="29"/>
  <c r="AI599" i="29"/>
  <c r="K597" i="29" l="1"/>
  <c r="N597" i="29" s="1"/>
  <c r="AB598" i="29"/>
  <c r="AE599" i="29"/>
  <c r="AA599" i="29" s="1"/>
  <c r="AF599" i="29"/>
  <c r="I598" i="29"/>
  <c r="J598" i="29"/>
  <c r="Y598" i="29" s="1"/>
  <c r="E599" i="29"/>
  <c r="S599" i="29"/>
  <c r="G599" i="29"/>
  <c r="R599" i="29"/>
  <c r="Q599" i="29"/>
  <c r="T599" i="29"/>
  <c r="U599" i="29"/>
  <c r="AI600" i="29"/>
  <c r="AD601" i="29"/>
  <c r="B600" i="29"/>
  <c r="O598" i="29"/>
  <c r="Z597" i="29"/>
  <c r="P597" i="29" l="1"/>
  <c r="V597" i="29"/>
  <c r="W597" i="29" s="1"/>
  <c r="K598" i="29"/>
  <c r="N598" i="29" s="1"/>
  <c r="AB599" i="29"/>
  <c r="Z598" i="29"/>
  <c r="AF600" i="29"/>
  <c r="AE600" i="29"/>
  <c r="AA600" i="29" s="1"/>
  <c r="J599" i="29"/>
  <c r="I599" i="29"/>
  <c r="K599" i="29" s="1"/>
  <c r="N599" i="29" s="1"/>
  <c r="O599" i="29"/>
  <c r="U600" i="29"/>
  <c r="T600" i="29"/>
  <c r="G600" i="29"/>
  <c r="Q600" i="29"/>
  <c r="R600" i="29"/>
  <c r="E600" i="29"/>
  <c r="S600" i="29"/>
  <c r="AI601" i="29"/>
  <c r="B601" i="29"/>
  <c r="AD602" i="29"/>
  <c r="Y599" i="29"/>
  <c r="P598" i="29" l="1"/>
  <c r="V598" i="29"/>
  <c r="W598" i="29" s="1"/>
  <c r="AB600" i="29"/>
  <c r="E601" i="29"/>
  <c r="S601" i="29"/>
  <c r="Q601" i="29"/>
  <c r="T601" i="29"/>
  <c r="R601" i="29"/>
  <c r="U601" i="29"/>
  <c r="G601" i="29"/>
  <c r="O600" i="29"/>
  <c r="AD603" i="29"/>
  <c r="B602" i="29"/>
  <c r="AI602" i="29"/>
  <c r="AE601" i="29"/>
  <c r="AA601" i="29" s="1"/>
  <c r="AF601" i="29"/>
  <c r="V599" i="29"/>
  <c r="W599" i="29" s="1"/>
  <c r="P599" i="29"/>
  <c r="I600" i="29"/>
  <c r="J600" i="29"/>
  <c r="Y600" i="29" s="1"/>
  <c r="Z599" i="29"/>
  <c r="K600" i="29" l="1"/>
  <c r="N600" i="29" s="1"/>
  <c r="AB601" i="29"/>
  <c r="O601" i="29"/>
  <c r="AD604" i="29"/>
  <c r="AI603" i="29"/>
  <c r="B603" i="29"/>
  <c r="Z600" i="29"/>
  <c r="I601" i="29"/>
  <c r="K601" i="29" s="1"/>
  <c r="N601" i="29" s="1"/>
  <c r="J601" i="29"/>
  <c r="AF602" i="29"/>
  <c r="AE602" i="29"/>
  <c r="AA602" i="29" s="1"/>
  <c r="T602" i="29"/>
  <c r="S602" i="29"/>
  <c r="U602" i="29"/>
  <c r="R602" i="29"/>
  <c r="E602" i="29"/>
  <c r="Q602" i="29"/>
  <c r="G602" i="29"/>
  <c r="Y601" i="29"/>
  <c r="Z601" i="29" s="1"/>
  <c r="P600" i="29" l="1"/>
  <c r="V600" i="29"/>
  <c r="W600" i="29" s="1"/>
  <c r="AB602" i="29"/>
  <c r="AD605" i="29"/>
  <c r="AI604" i="29"/>
  <c r="B604" i="29"/>
  <c r="P601" i="29"/>
  <c r="V601" i="29"/>
  <c r="W601" i="29" s="1"/>
  <c r="O602" i="29"/>
  <c r="J602" i="29"/>
  <c r="Y602" i="29" s="1"/>
  <c r="I602" i="29"/>
  <c r="E603" i="29"/>
  <c r="U603" i="29"/>
  <c r="T603" i="29"/>
  <c r="S603" i="29"/>
  <c r="Q603" i="29"/>
  <c r="G603" i="29"/>
  <c r="R603" i="29"/>
  <c r="AF603" i="29"/>
  <c r="AE603" i="29"/>
  <c r="AA603" i="29" s="1"/>
  <c r="K602" i="29" l="1"/>
  <c r="N602" i="29" s="1"/>
  <c r="AB603" i="29"/>
  <c r="AE604" i="29"/>
  <c r="AA604" i="29" s="1"/>
  <c r="AF604" i="29"/>
  <c r="I603" i="29"/>
  <c r="J603" i="29"/>
  <c r="Y603" i="29" s="1"/>
  <c r="AI605" i="29"/>
  <c r="AD606" i="29"/>
  <c r="B605" i="29"/>
  <c r="O603" i="29"/>
  <c r="Z602" i="29"/>
  <c r="S604" i="29"/>
  <c r="E604" i="29"/>
  <c r="Q604" i="29"/>
  <c r="T604" i="29"/>
  <c r="R604" i="29"/>
  <c r="G604" i="29"/>
  <c r="U604" i="29"/>
  <c r="P602" i="29" l="1"/>
  <c r="V602" i="29"/>
  <c r="W602" i="29" s="1"/>
  <c r="K603" i="29"/>
  <c r="N603" i="29" s="1"/>
  <c r="AB604" i="29"/>
  <c r="Z603" i="29"/>
  <c r="Q605" i="29"/>
  <c r="R605" i="29"/>
  <c r="T605" i="29"/>
  <c r="E605" i="29"/>
  <c r="S605" i="29"/>
  <c r="U605" i="29"/>
  <c r="G605" i="29"/>
  <c r="O604" i="29"/>
  <c r="AI606" i="29"/>
  <c r="AD607" i="29"/>
  <c r="B606" i="29"/>
  <c r="J604" i="29"/>
  <c r="Y604" i="29" s="1"/>
  <c r="I604" i="29"/>
  <c r="K604" i="29" s="1"/>
  <c r="N604" i="29" s="1"/>
  <c r="AF605" i="29"/>
  <c r="AE605" i="29"/>
  <c r="AA605" i="29" s="1"/>
  <c r="P603" i="29" l="1"/>
  <c r="V603" i="29"/>
  <c r="W603" i="29" s="1"/>
  <c r="AB605" i="29"/>
  <c r="P604" i="29"/>
  <c r="V604" i="29"/>
  <c r="W604" i="29" s="1"/>
  <c r="E606" i="29"/>
  <c r="S606" i="29"/>
  <c r="T606" i="29"/>
  <c r="R606" i="29"/>
  <c r="U606" i="29"/>
  <c r="Q606" i="29"/>
  <c r="G606" i="29"/>
  <c r="I605" i="29"/>
  <c r="K605" i="29" s="1"/>
  <c r="J605" i="29"/>
  <c r="Y605" i="29" s="1"/>
  <c r="B607" i="29"/>
  <c r="AD608" i="29"/>
  <c r="AI607" i="29"/>
  <c r="AF606" i="29"/>
  <c r="AE606" i="29"/>
  <c r="AA606" i="29" s="1"/>
  <c r="Z604" i="29"/>
  <c r="O605" i="29"/>
  <c r="N605" i="29" l="1"/>
  <c r="AB606" i="29"/>
  <c r="O606" i="29"/>
  <c r="J606" i="29"/>
  <c r="Y606" i="29" s="1"/>
  <c r="I606" i="29"/>
  <c r="AE607" i="29"/>
  <c r="AA607" i="29" s="1"/>
  <c r="AF607" i="29"/>
  <c r="Z605" i="29"/>
  <c r="B608" i="29"/>
  <c r="AD609" i="29"/>
  <c r="AI608" i="29"/>
  <c r="E607" i="29"/>
  <c r="U607" i="29"/>
  <c r="T607" i="29"/>
  <c r="Q607" i="29"/>
  <c r="R607" i="29"/>
  <c r="G607" i="29"/>
  <c r="S607" i="29"/>
  <c r="P605" i="29"/>
  <c r="V605" i="29"/>
  <c r="W605" i="29" s="1"/>
  <c r="AB607" i="29" l="1"/>
  <c r="K606" i="29"/>
  <c r="N606" i="29" s="1"/>
  <c r="AE608" i="29"/>
  <c r="AA608" i="29" s="1"/>
  <c r="AF608" i="29"/>
  <c r="O607" i="29"/>
  <c r="AI609" i="29"/>
  <c r="B609" i="29"/>
  <c r="AD610" i="29"/>
  <c r="E608" i="29"/>
  <c r="R608" i="29"/>
  <c r="G608" i="29"/>
  <c r="S608" i="29"/>
  <c r="T608" i="29"/>
  <c r="Q608" i="29"/>
  <c r="U608" i="29"/>
  <c r="I607" i="29"/>
  <c r="J607" i="29"/>
  <c r="Y607" i="29" s="1"/>
  <c r="Z606" i="29"/>
  <c r="V606" i="29" l="1"/>
  <c r="W606" i="29" s="1"/>
  <c r="P606" i="29"/>
  <c r="K607" i="29"/>
  <c r="N607" i="29" s="1"/>
  <c r="AB608" i="29"/>
  <c r="O608" i="29"/>
  <c r="E609" i="29"/>
  <c r="U609" i="29"/>
  <c r="T609" i="29"/>
  <c r="G609" i="29"/>
  <c r="Q609" i="29"/>
  <c r="S609" i="29"/>
  <c r="R609" i="29"/>
  <c r="AE609" i="29"/>
  <c r="AA609" i="29" s="1"/>
  <c r="AF609" i="29"/>
  <c r="Z607" i="29"/>
  <c r="I608" i="29"/>
  <c r="K608" i="29" s="1"/>
  <c r="J608" i="29"/>
  <c r="Y608" i="29" s="1"/>
  <c r="Z608" i="29" s="1"/>
  <c r="AD611" i="29"/>
  <c r="B610" i="29"/>
  <c r="AI610" i="29"/>
  <c r="P607" i="29" l="1"/>
  <c r="V607" i="29"/>
  <c r="W607" i="29" s="1"/>
  <c r="N608" i="29"/>
  <c r="AB609" i="29"/>
  <c r="AF610" i="29"/>
  <c r="AE610" i="29"/>
  <c r="AA610" i="29" s="1"/>
  <c r="S610" i="29"/>
  <c r="Q610" i="29"/>
  <c r="T610" i="29"/>
  <c r="E610" i="29"/>
  <c r="G610" i="29"/>
  <c r="R610" i="29"/>
  <c r="U610" i="29"/>
  <c r="AD612" i="29"/>
  <c r="AI611" i="29"/>
  <c r="B611" i="29"/>
  <c r="P608" i="29"/>
  <c r="V608" i="29"/>
  <c r="W608" i="29" s="1"/>
  <c r="J609" i="29"/>
  <c r="Y609" i="29" s="1"/>
  <c r="I609" i="29"/>
  <c r="O609" i="29"/>
  <c r="AB610" i="29" l="1"/>
  <c r="K609" i="29"/>
  <c r="N609" i="29" s="1"/>
  <c r="O610" i="29"/>
  <c r="U611" i="29"/>
  <c r="S611" i="29"/>
  <c r="Q611" i="29"/>
  <c r="G611" i="29"/>
  <c r="R611" i="29"/>
  <c r="E611" i="29"/>
  <c r="T611" i="29"/>
  <c r="Z609" i="29"/>
  <c r="AE611" i="29"/>
  <c r="AA611" i="29" s="1"/>
  <c r="AF611" i="29"/>
  <c r="J610" i="29"/>
  <c r="Y610" i="29" s="1"/>
  <c r="Z610" i="29" s="1"/>
  <c r="I610" i="29"/>
  <c r="K610" i="29" s="1"/>
  <c r="N610" i="29" s="1"/>
  <c r="AD613" i="29"/>
  <c r="B612" i="29"/>
  <c r="AI612" i="29"/>
  <c r="V609" i="29" l="1"/>
  <c r="W609" i="29" s="1"/>
  <c r="P609" i="29"/>
  <c r="AB611" i="29"/>
  <c r="O611" i="29"/>
  <c r="AF612" i="29"/>
  <c r="AE612" i="29"/>
  <c r="AA612" i="29" s="1"/>
  <c r="J611" i="29"/>
  <c r="Y611" i="29" s="1"/>
  <c r="I611" i="29"/>
  <c r="K611" i="29" s="1"/>
  <c r="V610" i="29"/>
  <c r="W610" i="29" s="1"/>
  <c r="P610" i="29"/>
  <c r="R612" i="29"/>
  <c r="T612" i="29"/>
  <c r="Q612" i="29"/>
  <c r="E612" i="29"/>
  <c r="U612" i="29"/>
  <c r="G612" i="29"/>
  <c r="S612" i="29"/>
  <c r="AI613" i="29"/>
  <c r="B613" i="29"/>
  <c r="AD614" i="29"/>
  <c r="AB612" i="29" l="1"/>
  <c r="N611" i="29"/>
  <c r="O612" i="29"/>
  <c r="AF613" i="29"/>
  <c r="AE613" i="29"/>
  <c r="AA613" i="29" s="1"/>
  <c r="P611" i="29"/>
  <c r="V611" i="29"/>
  <c r="W611" i="29" s="1"/>
  <c r="B614" i="29"/>
  <c r="AD615" i="29"/>
  <c r="AI614" i="29"/>
  <c r="Q613" i="29"/>
  <c r="U613" i="29"/>
  <c r="R613" i="29"/>
  <c r="S613" i="29"/>
  <c r="T613" i="29"/>
  <c r="E613" i="29"/>
  <c r="G613" i="29"/>
  <c r="J612" i="29"/>
  <c r="Y612" i="29" s="1"/>
  <c r="I612" i="29"/>
  <c r="Z611" i="29"/>
  <c r="K612" i="29" l="1"/>
  <c r="N612" i="29" s="1"/>
  <c r="AB613" i="29"/>
  <c r="AD616" i="29"/>
  <c r="B615" i="29"/>
  <c r="AI615" i="29"/>
  <c r="G614" i="29"/>
  <c r="E614" i="29"/>
  <c r="S614" i="29"/>
  <c r="U614" i="29"/>
  <c r="Q614" i="29"/>
  <c r="T614" i="29"/>
  <c r="R614" i="29"/>
  <c r="I613" i="29"/>
  <c r="K613" i="29" s="1"/>
  <c r="J613" i="29"/>
  <c r="Y613" i="29" s="1"/>
  <c r="O613" i="29"/>
  <c r="AF614" i="29"/>
  <c r="AE614" i="29"/>
  <c r="AA614" i="29" s="1"/>
  <c r="Z612" i="29"/>
  <c r="P612" i="29" l="1"/>
  <c r="V612" i="29"/>
  <c r="W612" i="29" s="1"/>
  <c r="N613" i="29"/>
  <c r="P613" i="29" s="1"/>
  <c r="AB614" i="29"/>
  <c r="AE615" i="29"/>
  <c r="AA615" i="29" s="1"/>
  <c r="AF615" i="29"/>
  <c r="I614" i="29"/>
  <c r="J614" i="29"/>
  <c r="Y614" i="29" s="1"/>
  <c r="Z613" i="29"/>
  <c r="V613" i="29"/>
  <c r="W613" i="29" s="1"/>
  <c r="O614" i="29"/>
  <c r="G615" i="29"/>
  <c r="E615" i="29"/>
  <c r="T615" i="29"/>
  <c r="R615" i="29"/>
  <c r="Q615" i="29"/>
  <c r="U615" i="29"/>
  <c r="S615" i="29"/>
  <c r="B616" i="29"/>
  <c r="AD617" i="29"/>
  <c r="AI616" i="29"/>
  <c r="AB615" i="29" l="1"/>
  <c r="K614" i="29"/>
  <c r="N614" i="29" s="1"/>
  <c r="B617" i="29"/>
  <c r="G617" i="29" s="1"/>
  <c r="AD618" i="29"/>
  <c r="AI617" i="29"/>
  <c r="G616" i="29"/>
  <c r="E616" i="29"/>
  <c r="T616" i="29"/>
  <c r="U616" i="29"/>
  <c r="Q616" i="29"/>
  <c r="R616" i="29"/>
  <c r="S616" i="29"/>
  <c r="Z614" i="29"/>
  <c r="AE616" i="29"/>
  <c r="AA616" i="29" s="1"/>
  <c r="AF616" i="29"/>
  <c r="O615" i="29"/>
  <c r="J615" i="29"/>
  <c r="Y615" i="29" s="1"/>
  <c r="I615" i="29"/>
  <c r="K615" i="29" s="1"/>
  <c r="P614" i="29" l="1"/>
  <c r="V614" i="29"/>
  <c r="W614" i="29" s="1"/>
  <c r="AB616" i="29"/>
  <c r="N615" i="29"/>
  <c r="R617" i="29"/>
  <c r="S617" i="29"/>
  <c r="T617" i="29"/>
  <c r="Q617" i="29"/>
  <c r="E617" i="29"/>
  <c r="U617" i="29"/>
  <c r="V615" i="29"/>
  <c r="W615" i="29" s="1"/>
  <c r="P615" i="29"/>
  <c r="Z615" i="29"/>
  <c r="O616" i="29"/>
  <c r="AE617" i="29"/>
  <c r="AA617" i="29" s="1"/>
  <c r="AF617" i="29"/>
  <c r="I616" i="29"/>
  <c r="K616" i="29" s="1"/>
  <c r="J616" i="29"/>
  <c r="Y616" i="29" s="1"/>
  <c r="B618" i="29"/>
  <c r="AI618" i="29"/>
  <c r="AD619" i="29"/>
  <c r="AB617" i="29" l="1"/>
  <c r="N616" i="29"/>
  <c r="V616" i="29" s="1"/>
  <c r="W616" i="29" s="1"/>
  <c r="AD620" i="29"/>
  <c r="B619" i="29"/>
  <c r="AI619" i="29"/>
  <c r="AE618" i="29"/>
  <c r="AA618" i="29" s="1"/>
  <c r="AF618" i="29"/>
  <c r="I617" i="29"/>
  <c r="J617" i="29"/>
  <c r="Y617" i="29" s="1"/>
  <c r="E618" i="29"/>
  <c r="T618" i="29"/>
  <c r="G618" i="29"/>
  <c r="S618" i="29"/>
  <c r="Q618" i="29"/>
  <c r="R618" i="29"/>
  <c r="U618" i="29"/>
  <c r="Z616" i="29"/>
  <c r="O617" i="29"/>
  <c r="L518" i="7" s="1"/>
  <c r="P616" i="29" l="1"/>
  <c r="K617" i="29"/>
  <c r="N617" i="29" s="1"/>
  <c r="AB618" i="29"/>
  <c r="L521" i="7"/>
  <c r="L523" i="7" s="1"/>
  <c r="K584" i="7" s="1"/>
  <c r="I561" i="7"/>
  <c r="J561" i="7" s="1"/>
  <c r="I541" i="7"/>
  <c r="J541" i="7" s="1"/>
  <c r="I537" i="7"/>
  <c r="J537" i="7" s="1"/>
  <c r="I570" i="7"/>
  <c r="J570" i="7" s="1"/>
  <c r="I559" i="7"/>
  <c r="J559" i="7" s="1"/>
  <c r="I555" i="7"/>
  <c r="J555" i="7" s="1"/>
  <c r="I595" i="7"/>
  <c r="J595" i="7" s="1"/>
  <c r="I563" i="7"/>
  <c r="J563" i="7" s="1"/>
  <c r="I592" i="7"/>
  <c r="J592" i="7" s="1"/>
  <c r="K596" i="7"/>
  <c r="K580" i="7"/>
  <c r="K564" i="7"/>
  <c r="K548" i="7"/>
  <c r="K532" i="7"/>
  <c r="K593" i="7"/>
  <c r="K577" i="7"/>
  <c r="K561" i="7"/>
  <c r="K545" i="7"/>
  <c r="K529" i="7"/>
  <c r="K591" i="7"/>
  <c r="K559" i="7"/>
  <c r="K527" i="7"/>
  <c r="K574" i="7"/>
  <c r="K542" i="7"/>
  <c r="K587" i="7"/>
  <c r="K555" i="7"/>
  <c r="K523" i="7"/>
  <c r="K586" i="7"/>
  <c r="K578" i="7"/>
  <c r="I579" i="7"/>
  <c r="J579" i="7" s="1"/>
  <c r="I574" i="7"/>
  <c r="J574" i="7" s="1"/>
  <c r="I573" i="7"/>
  <c r="J573" i="7" s="1"/>
  <c r="I588" i="7"/>
  <c r="J588" i="7" s="1"/>
  <c r="I552" i="7"/>
  <c r="J552" i="7" s="1"/>
  <c r="I530" i="7"/>
  <c r="J530" i="7" s="1"/>
  <c r="I594" i="7"/>
  <c r="J594" i="7" s="1"/>
  <c r="I523" i="7"/>
  <c r="J523" i="7" s="1"/>
  <c r="I596" i="7"/>
  <c r="J596" i="7" s="1"/>
  <c r="I539" i="7"/>
  <c r="J539" i="7" s="1"/>
  <c r="I553" i="7"/>
  <c r="J553" i="7" s="1"/>
  <c r="I577" i="7"/>
  <c r="J577" i="7" s="1"/>
  <c r="I566" i="7"/>
  <c r="J566" i="7" s="1"/>
  <c r="I576" i="7"/>
  <c r="J576" i="7" s="1"/>
  <c r="I547" i="7"/>
  <c r="J547" i="7" s="1"/>
  <c r="I586" i="7"/>
  <c r="J586" i="7" s="1"/>
  <c r="I585" i="7"/>
  <c r="J585" i="7" s="1"/>
  <c r="I581" i="7"/>
  <c r="J581" i="7" s="1"/>
  <c r="I551" i="7"/>
  <c r="J551" i="7" s="1"/>
  <c r="I525" i="7"/>
  <c r="J525" i="7" s="1"/>
  <c r="K592" i="7"/>
  <c r="K576" i="7"/>
  <c r="K560" i="7"/>
  <c r="K544" i="7"/>
  <c r="K528" i="7"/>
  <c r="K589" i="7"/>
  <c r="K573" i="7"/>
  <c r="K557" i="7"/>
  <c r="K541" i="7"/>
  <c r="K525" i="7"/>
  <c r="K583" i="7"/>
  <c r="K551" i="7"/>
  <c r="K598" i="7"/>
  <c r="K566" i="7"/>
  <c r="K534" i="7"/>
  <c r="K579" i="7"/>
  <c r="K547" i="7"/>
  <c r="K594" i="7"/>
  <c r="K554" i="7"/>
  <c r="K546" i="7"/>
  <c r="I526" i="7"/>
  <c r="J526" i="7" s="1"/>
  <c r="I590" i="7"/>
  <c r="J590" i="7" s="1"/>
  <c r="I533" i="7"/>
  <c r="J533" i="7" s="1"/>
  <c r="I544" i="7"/>
  <c r="J544" i="7" s="1"/>
  <c r="I568" i="7"/>
  <c r="J568" i="7" s="1"/>
  <c r="I546" i="7"/>
  <c r="J546" i="7" s="1"/>
  <c r="I580" i="7"/>
  <c r="J580" i="7" s="1"/>
  <c r="I521" i="7"/>
  <c r="J521" i="7" s="1"/>
  <c r="I549" i="7"/>
  <c r="J549" i="7" s="1"/>
  <c r="I543" i="7"/>
  <c r="J543" i="7" s="1"/>
  <c r="I529" i="7"/>
  <c r="J529" i="7" s="1"/>
  <c r="I593" i="7"/>
  <c r="J593" i="7" s="1"/>
  <c r="I582" i="7"/>
  <c r="J582" i="7" s="1"/>
  <c r="I535" i="7"/>
  <c r="J535" i="7" s="1"/>
  <c r="I538" i="7"/>
  <c r="J538" i="7" s="1"/>
  <c r="I520" i="7"/>
  <c r="J520" i="7" s="1"/>
  <c r="I524" i="7"/>
  <c r="J524" i="7" s="1"/>
  <c r="I589" i="7"/>
  <c r="J589" i="7" s="1"/>
  <c r="I564" i="7"/>
  <c r="J564" i="7" s="1"/>
  <c r="I560" i="7"/>
  <c r="J560" i="7" s="1"/>
  <c r="K588" i="7"/>
  <c r="K572" i="7"/>
  <c r="K556" i="7"/>
  <c r="K540" i="7"/>
  <c r="K524" i="7"/>
  <c r="K585" i="7"/>
  <c r="K569" i="7"/>
  <c r="K553" i="7"/>
  <c r="K537" i="7"/>
  <c r="K521" i="7"/>
  <c r="K575" i="7"/>
  <c r="K543" i="7"/>
  <c r="K590" i="7"/>
  <c r="K558" i="7"/>
  <c r="K526" i="7"/>
  <c r="K571" i="7"/>
  <c r="K539" i="7"/>
  <c r="K562" i="7"/>
  <c r="K522" i="7"/>
  <c r="K570" i="7"/>
  <c r="I542" i="7"/>
  <c r="J542" i="7" s="1"/>
  <c r="I527" i="7"/>
  <c r="J527" i="7" s="1"/>
  <c r="I540" i="7"/>
  <c r="J540" i="7" s="1"/>
  <c r="I569" i="7"/>
  <c r="J569" i="7" s="1"/>
  <c r="I584" i="7"/>
  <c r="J584" i="7" s="1"/>
  <c r="I562" i="7"/>
  <c r="J562" i="7" s="1"/>
  <c r="I572" i="7"/>
  <c r="J572" i="7" s="1"/>
  <c r="I532" i="7"/>
  <c r="J532" i="7" s="1"/>
  <c r="I556" i="7"/>
  <c r="J556" i="7" s="1"/>
  <c r="I575" i="7"/>
  <c r="J575" i="7" s="1"/>
  <c r="I545" i="7"/>
  <c r="J545" i="7" s="1"/>
  <c r="I534" i="7"/>
  <c r="J534" i="7" s="1"/>
  <c r="I598" i="7"/>
  <c r="J598" i="7" s="1"/>
  <c r="I565" i="7"/>
  <c r="J565" i="7" s="1"/>
  <c r="I554" i="7"/>
  <c r="J554" i="7" s="1"/>
  <c r="I587" i="7"/>
  <c r="J587" i="7" s="1"/>
  <c r="I599" i="7"/>
  <c r="J599" i="7" s="1"/>
  <c r="I522" i="7"/>
  <c r="J522" i="7" s="1"/>
  <c r="I531" i="7"/>
  <c r="J531" i="7" s="1"/>
  <c r="I591" i="7"/>
  <c r="J591" i="7" s="1"/>
  <c r="O618" i="29"/>
  <c r="AI620" i="29"/>
  <c r="AD621" i="29"/>
  <c r="B620" i="29"/>
  <c r="AE619" i="29"/>
  <c r="AA619" i="29" s="1"/>
  <c r="AF619" i="29"/>
  <c r="Z617" i="29"/>
  <c r="I618" i="29"/>
  <c r="K618" i="29" s="1"/>
  <c r="J618" i="29"/>
  <c r="Y618" i="29" s="1"/>
  <c r="G619" i="29"/>
  <c r="U619" i="29"/>
  <c r="T619" i="29"/>
  <c r="E619" i="29"/>
  <c r="R619" i="29"/>
  <c r="S619" i="29"/>
  <c r="Q619" i="29"/>
  <c r="I528" i="7" l="1"/>
  <c r="J528" i="7" s="1"/>
  <c r="I550" i="7"/>
  <c r="J550" i="7" s="1"/>
  <c r="V617" i="29"/>
  <c r="W617" i="29" s="1"/>
  <c r="P617" i="29"/>
  <c r="AB619" i="29"/>
  <c r="N618" i="29"/>
  <c r="P618" i="29" s="1"/>
  <c r="I583" i="7"/>
  <c r="J583" i="7" s="1"/>
  <c r="I557" i="7"/>
  <c r="J557" i="7" s="1"/>
  <c r="I571" i="7"/>
  <c r="J571" i="7" s="1"/>
  <c r="I578" i="7"/>
  <c r="J578" i="7" s="1"/>
  <c r="I597" i="7"/>
  <c r="J597" i="7" s="1"/>
  <c r="I536" i="7"/>
  <c r="J536" i="7" s="1"/>
  <c r="I567" i="7"/>
  <c r="J567" i="7" s="1"/>
  <c r="I548" i="7"/>
  <c r="J548" i="7" s="1"/>
  <c r="I558" i="7"/>
  <c r="J558" i="7" s="1"/>
  <c r="K538" i="7"/>
  <c r="K520" i="7"/>
  <c r="K530" i="7"/>
  <c r="K531" i="7"/>
  <c r="K563" i="7"/>
  <c r="K595" i="7"/>
  <c r="K550" i="7"/>
  <c r="K582" i="7"/>
  <c r="K535" i="7"/>
  <c r="K567" i="7"/>
  <c r="K599" i="7"/>
  <c r="K549" i="7"/>
  <c r="K533" i="7"/>
  <c r="K565" i="7"/>
  <c r="K581" i="7"/>
  <c r="K536" i="7"/>
  <c r="K597" i="7"/>
  <c r="K552" i="7"/>
  <c r="K568" i="7"/>
  <c r="Z618" i="29"/>
  <c r="O619" i="29"/>
  <c r="E620" i="29"/>
  <c r="G620" i="29"/>
  <c r="R620" i="29"/>
  <c r="S620" i="29"/>
  <c r="T620" i="29"/>
  <c r="Q620" i="29"/>
  <c r="U620" i="29"/>
  <c r="AD622" i="29"/>
  <c r="B621" i="29"/>
  <c r="AI621" i="29"/>
  <c r="AE620" i="29"/>
  <c r="AA620" i="29" s="1"/>
  <c r="AF620" i="29"/>
  <c r="V618" i="29"/>
  <c r="W618" i="29" s="1"/>
  <c r="I619" i="29"/>
  <c r="K619" i="29" s="1"/>
  <c r="J619" i="29"/>
  <c r="Y619" i="29" s="1"/>
  <c r="N619" i="29" l="1"/>
  <c r="P619" i="29" s="1"/>
  <c r="AB620" i="29"/>
  <c r="V619" i="29"/>
  <c r="W619" i="29" s="1"/>
  <c r="B622" i="29"/>
  <c r="AI622" i="29"/>
  <c r="AD623" i="29"/>
  <c r="U621" i="29"/>
  <c r="Q621" i="29"/>
  <c r="T621" i="29"/>
  <c r="E621" i="29"/>
  <c r="R621" i="29"/>
  <c r="S621" i="29"/>
  <c r="G621" i="29"/>
  <c r="I620" i="29"/>
  <c r="J620" i="29"/>
  <c r="Y620" i="29" s="1"/>
  <c r="AF621" i="29"/>
  <c r="AE621" i="29"/>
  <c r="AA621" i="29" s="1"/>
  <c r="Z619" i="29"/>
  <c r="O620" i="29"/>
  <c r="K620" i="29" l="1"/>
  <c r="N620" i="29" s="1"/>
  <c r="AB621" i="29"/>
  <c r="Z620" i="29"/>
  <c r="J621" i="29"/>
  <c r="I621" i="29"/>
  <c r="K621" i="29" s="1"/>
  <c r="N621" i="29" s="1"/>
  <c r="O621" i="29"/>
  <c r="T622" i="29"/>
  <c r="E622" i="29"/>
  <c r="R622" i="29"/>
  <c r="S622" i="29"/>
  <c r="G622" i="29"/>
  <c r="U622" i="29"/>
  <c r="Q622" i="29"/>
  <c r="Y621" i="29"/>
  <c r="B623" i="29"/>
  <c r="AI623" i="29"/>
  <c r="AD624" i="29"/>
  <c r="AE622" i="29"/>
  <c r="AA622" i="29" s="1"/>
  <c r="AF622" i="29"/>
  <c r="V620" i="29" l="1"/>
  <c r="W620" i="29" s="1"/>
  <c r="P620" i="29"/>
  <c r="AB622" i="29"/>
  <c r="AD625" i="29"/>
  <c r="AI624" i="29"/>
  <c r="B624" i="29"/>
  <c r="V621" i="29"/>
  <c r="W621" i="29" s="1"/>
  <c r="P621" i="29"/>
  <c r="AE623" i="29"/>
  <c r="AA623" i="29" s="1"/>
  <c r="AF623" i="29"/>
  <c r="E623" i="29"/>
  <c r="G623" i="29"/>
  <c r="U623" i="29"/>
  <c r="Q623" i="29"/>
  <c r="R623" i="29"/>
  <c r="T623" i="29"/>
  <c r="S623" i="29"/>
  <c r="I622" i="29"/>
  <c r="J622" i="29"/>
  <c r="Y622" i="29" s="1"/>
  <c r="Z621" i="29"/>
  <c r="O622" i="29"/>
  <c r="AB623" i="29" l="1"/>
  <c r="K622" i="29"/>
  <c r="N622" i="29" s="1"/>
  <c r="Z622" i="29"/>
  <c r="O623" i="29"/>
  <c r="J623" i="29"/>
  <c r="Y623" i="29" s="1"/>
  <c r="I623" i="29"/>
  <c r="K623" i="29" s="1"/>
  <c r="N623" i="29" s="1"/>
  <c r="Q624" i="29"/>
  <c r="R624" i="29"/>
  <c r="S624" i="29"/>
  <c r="E624" i="29"/>
  <c r="U624" i="29"/>
  <c r="G624" i="29"/>
  <c r="T624" i="29"/>
  <c r="AE624" i="29"/>
  <c r="AA624" i="29" s="1"/>
  <c r="AF624" i="29"/>
  <c r="AD626" i="29"/>
  <c r="B625" i="29"/>
  <c r="AI625" i="29"/>
  <c r="P622" i="29" l="1"/>
  <c r="V622" i="29"/>
  <c r="W622" i="29" s="1"/>
  <c r="AB624" i="29"/>
  <c r="O624" i="29"/>
  <c r="Z623" i="29"/>
  <c r="AF625" i="29"/>
  <c r="AE625" i="29"/>
  <c r="AA625" i="29" s="1"/>
  <c r="T625" i="29"/>
  <c r="Q625" i="29"/>
  <c r="S625" i="29"/>
  <c r="E625" i="29"/>
  <c r="R625" i="29"/>
  <c r="U625" i="29"/>
  <c r="O625" i="29" s="1"/>
  <c r="G625" i="29"/>
  <c r="P623" i="29"/>
  <c r="V623" i="29"/>
  <c r="W623" i="29" s="1"/>
  <c r="I624" i="29"/>
  <c r="K624" i="29" s="1"/>
  <c r="J624" i="29"/>
  <c r="Y624" i="29" s="1"/>
  <c r="Z624" i="29" s="1"/>
  <c r="AI626" i="29"/>
  <c r="B626" i="29"/>
  <c r="AD627" i="29"/>
  <c r="AB625" i="29" l="1"/>
  <c r="N624" i="29"/>
  <c r="P624" i="29" s="1"/>
  <c r="AD628" i="29"/>
  <c r="B627" i="29"/>
  <c r="AI627" i="29"/>
  <c r="V624" i="29"/>
  <c r="W624" i="29" s="1"/>
  <c r="E626" i="29"/>
  <c r="T626" i="29"/>
  <c r="G626" i="29"/>
  <c r="U626" i="29"/>
  <c r="Q626" i="29"/>
  <c r="R626" i="29"/>
  <c r="S626" i="29"/>
  <c r="AF626" i="29"/>
  <c r="AE626" i="29"/>
  <c r="AA626" i="29" s="1"/>
  <c r="J625" i="29"/>
  <c r="Y625" i="29" s="1"/>
  <c r="Z625" i="29" s="1"/>
  <c r="I625" i="29"/>
  <c r="K625" i="29" l="1"/>
  <c r="N625" i="29" s="1"/>
  <c r="AB626" i="29"/>
  <c r="T627" i="29"/>
  <c r="R627" i="29"/>
  <c r="Q627" i="29"/>
  <c r="E627" i="29"/>
  <c r="S627" i="29"/>
  <c r="U627" i="29"/>
  <c r="G627" i="29"/>
  <c r="I626" i="29"/>
  <c r="J626" i="29"/>
  <c r="Y626" i="29" s="1"/>
  <c r="O626" i="29"/>
  <c r="AI628" i="29"/>
  <c r="AD629" i="29"/>
  <c r="B628" i="29"/>
  <c r="AF627" i="29"/>
  <c r="AE627" i="29"/>
  <c r="AA627" i="29" s="1"/>
  <c r="V625" i="29" l="1"/>
  <c r="W625" i="29" s="1"/>
  <c r="P625" i="29"/>
  <c r="K626" i="29"/>
  <c r="N626" i="29" s="1"/>
  <c r="AB627" i="29"/>
  <c r="Z626" i="29"/>
  <c r="J627" i="29"/>
  <c r="Y627" i="29" s="1"/>
  <c r="I627" i="29"/>
  <c r="K627" i="29" s="1"/>
  <c r="U628" i="29"/>
  <c r="S628" i="29"/>
  <c r="Q628" i="29"/>
  <c r="T628" i="29"/>
  <c r="G628" i="29"/>
  <c r="E628" i="29"/>
  <c r="R628" i="29"/>
  <c r="AI629" i="29"/>
  <c r="AD630" i="29"/>
  <c r="B629" i="29"/>
  <c r="AE628" i="29"/>
  <c r="AA628" i="29" s="1"/>
  <c r="AF628" i="29"/>
  <c r="O627" i="29"/>
  <c r="P626" i="29" l="1"/>
  <c r="V626" i="29"/>
  <c r="W626" i="29" s="1"/>
  <c r="N627" i="29"/>
  <c r="AB628" i="29"/>
  <c r="O628" i="29"/>
  <c r="I628" i="29"/>
  <c r="J628" i="29"/>
  <c r="Y628" i="29" s="1"/>
  <c r="G629" i="29"/>
  <c r="U629" i="29"/>
  <c r="E629" i="29"/>
  <c r="Q629" i="29"/>
  <c r="S629" i="29"/>
  <c r="T629" i="29"/>
  <c r="R629" i="29"/>
  <c r="B630" i="29"/>
  <c r="AI630" i="29"/>
  <c r="AD631" i="29"/>
  <c r="Z627" i="29"/>
  <c r="AF629" i="29"/>
  <c r="AE629" i="29"/>
  <c r="AA629" i="29" s="1"/>
  <c r="P627" i="29"/>
  <c r="V627" i="29"/>
  <c r="W627" i="29" s="1"/>
  <c r="K628" i="29" l="1"/>
  <c r="N628" i="29" s="1"/>
  <c r="AB629" i="29"/>
  <c r="AE630" i="29"/>
  <c r="AA630" i="29" s="1"/>
  <c r="AF630" i="29"/>
  <c r="Q630" i="29"/>
  <c r="E630" i="29"/>
  <c r="S630" i="29"/>
  <c r="G630" i="29"/>
  <c r="U630" i="29"/>
  <c r="R630" i="29"/>
  <c r="T630" i="29"/>
  <c r="I629" i="29"/>
  <c r="K629" i="29" s="1"/>
  <c r="N629" i="29" s="1"/>
  <c r="J629" i="29"/>
  <c r="B631" i="29"/>
  <c r="AI631" i="29"/>
  <c r="AD632" i="29"/>
  <c r="Y629" i="29"/>
  <c r="Z628" i="29"/>
  <c r="O629" i="29"/>
  <c r="V628" i="29" l="1"/>
  <c r="W628" i="29" s="1"/>
  <c r="P628" i="29"/>
  <c r="AB630" i="29"/>
  <c r="Z629" i="29"/>
  <c r="V629" i="29"/>
  <c r="W629" i="29" s="1"/>
  <c r="P629" i="29"/>
  <c r="AI632" i="29"/>
  <c r="B632" i="29"/>
  <c r="AD633" i="29"/>
  <c r="AF631" i="29"/>
  <c r="AE631" i="29"/>
  <c r="AA631" i="29" s="1"/>
  <c r="T631" i="29"/>
  <c r="S631" i="29"/>
  <c r="R631" i="29"/>
  <c r="Q631" i="29"/>
  <c r="G631" i="29"/>
  <c r="U631" i="29"/>
  <c r="E631" i="29"/>
  <c r="I630" i="29"/>
  <c r="J630" i="29"/>
  <c r="Y630" i="29" s="1"/>
  <c r="O630" i="29"/>
  <c r="K630" i="29" l="1"/>
  <c r="N630" i="29" s="1"/>
  <c r="AB631" i="29"/>
  <c r="O631" i="29"/>
  <c r="Z630" i="29"/>
  <c r="G632" i="29"/>
  <c r="E632" i="29"/>
  <c r="U632" i="29"/>
  <c r="R632" i="29"/>
  <c r="Q632" i="29"/>
  <c r="T632" i="29"/>
  <c r="S632" i="29"/>
  <c r="AE632" i="29"/>
  <c r="AA632" i="29" s="1"/>
  <c r="AF632" i="29"/>
  <c r="J631" i="29"/>
  <c r="Y631" i="29" s="1"/>
  <c r="Z631" i="29" s="1"/>
  <c r="I631" i="29"/>
  <c r="K631" i="29" s="1"/>
  <c r="AD634" i="29"/>
  <c r="AI633" i="29"/>
  <c r="B633" i="29"/>
  <c r="V630" i="29" l="1"/>
  <c r="W630" i="29" s="1"/>
  <c r="P630" i="29"/>
  <c r="N631" i="29"/>
  <c r="AB632" i="29"/>
  <c r="Q633" i="29"/>
  <c r="T633" i="29"/>
  <c r="U633" i="29"/>
  <c r="S633" i="29"/>
  <c r="G633" i="29"/>
  <c r="E633" i="29"/>
  <c r="R633" i="29"/>
  <c r="I632" i="29"/>
  <c r="K632" i="29" s="1"/>
  <c r="J632" i="29"/>
  <c r="Y632" i="29" s="1"/>
  <c r="AF633" i="29"/>
  <c r="AE633" i="29"/>
  <c r="AA633" i="29" s="1"/>
  <c r="AD635" i="29"/>
  <c r="B634" i="29"/>
  <c r="AI634" i="29"/>
  <c r="V631" i="29"/>
  <c r="W631" i="29" s="1"/>
  <c r="P631" i="29"/>
  <c r="O632" i="29"/>
  <c r="AB633" i="29" l="1"/>
  <c r="N632" i="29"/>
  <c r="P632" i="29" s="1"/>
  <c r="AD636" i="29"/>
  <c r="AI635" i="29"/>
  <c r="B635" i="29"/>
  <c r="AE634" i="29"/>
  <c r="AA634" i="29" s="1"/>
  <c r="AF634" i="29"/>
  <c r="I633" i="29"/>
  <c r="K633" i="29" s="1"/>
  <c r="J633" i="29"/>
  <c r="Y633" i="29" s="1"/>
  <c r="V632" i="29"/>
  <c r="W632" i="29" s="1"/>
  <c r="O633" i="29"/>
  <c r="Z632" i="29"/>
  <c r="S634" i="29"/>
  <c r="E634" i="29"/>
  <c r="G634" i="29"/>
  <c r="T634" i="29"/>
  <c r="Q634" i="29"/>
  <c r="U634" i="29"/>
  <c r="R634" i="29"/>
  <c r="AB634" i="29" l="1"/>
  <c r="N633" i="29"/>
  <c r="O634" i="29"/>
  <c r="J634" i="29"/>
  <c r="Y634" i="29" s="1"/>
  <c r="I634" i="29"/>
  <c r="R635" i="29"/>
  <c r="Q635" i="29"/>
  <c r="U635" i="29"/>
  <c r="E635" i="29"/>
  <c r="S635" i="29"/>
  <c r="T635" i="29"/>
  <c r="G635" i="29"/>
  <c r="Z633" i="29"/>
  <c r="P633" i="29"/>
  <c r="V633" i="29"/>
  <c r="W633" i="29" s="1"/>
  <c r="AF635" i="29"/>
  <c r="AE635" i="29"/>
  <c r="AA635" i="29" s="1"/>
  <c r="AI636" i="29"/>
  <c r="B636" i="29"/>
  <c r="AD637" i="29"/>
  <c r="K634" i="29" l="1"/>
  <c r="N634" i="29" s="1"/>
  <c r="AB635" i="29"/>
  <c r="B637" i="29"/>
  <c r="AD638" i="29"/>
  <c r="AI637" i="29"/>
  <c r="E636" i="29"/>
  <c r="R636" i="29"/>
  <c r="T636" i="29"/>
  <c r="G636" i="29"/>
  <c r="Q636" i="29"/>
  <c r="U636" i="29"/>
  <c r="S636" i="29"/>
  <c r="J635" i="29"/>
  <c r="I635" i="29"/>
  <c r="AF636" i="29"/>
  <c r="AE636" i="29"/>
  <c r="AA636" i="29" s="1"/>
  <c r="Y635" i="29"/>
  <c r="Z634" i="29"/>
  <c r="O635" i="29"/>
  <c r="V634" i="29" l="1"/>
  <c r="W634" i="29" s="1"/>
  <c r="P634" i="29"/>
  <c r="K635" i="29"/>
  <c r="N635" i="29" s="1"/>
  <c r="AB636" i="29"/>
  <c r="Z635" i="29"/>
  <c r="J636" i="29"/>
  <c r="Y636" i="29" s="1"/>
  <c r="I636" i="29"/>
  <c r="K636" i="29" s="1"/>
  <c r="AE637" i="29"/>
  <c r="AA637" i="29" s="1"/>
  <c r="AF637" i="29"/>
  <c r="O636" i="29"/>
  <c r="B638" i="29"/>
  <c r="AI638" i="29"/>
  <c r="AD639" i="29"/>
  <c r="S637" i="29"/>
  <c r="E637" i="29"/>
  <c r="G637" i="29"/>
  <c r="Q637" i="29"/>
  <c r="T637" i="29"/>
  <c r="R637" i="29"/>
  <c r="U637" i="29"/>
  <c r="P635" i="29" l="1"/>
  <c r="V635" i="29"/>
  <c r="W635" i="29" s="1"/>
  <c r="AB637" i="29"/>
  <c r="N636" i="29"/>
  <c r="O637" i="29"/>
  <c r="Z636" i="29"/>
  <c r="AD640" i="29"/>
  <c r="B639" i="29"/>
  <c r="AI639" i="29"/>
  <c r="E638" i="29"/>
  <c r="T638" i="29"/>
  <c r="U638" i="29"/>
  <c r="Q638" i="29"/>
  <c r="S638" i="29"/>
  <c r="R638" i="29"/>
  <c r="G638" i="29"/>
  <c r="P636" i="29"/>
  <c r="V636" i="29"/>
  <c r="W636" i="29" s="1"/>
  <c r="AF638" i="29"/>
  <c r="AE638" i="29"/>
  <c r="AA638" i="29" s="1"/>
  <c r="I637" i="29"/>
  <c r="K637" i="29" s="1"/>
  <c r="J637" i="29"/>
  <c r="Y637" i="29" s="1"/>
  <c r="Z637" i="29" s="1"/>
  <c r="N637" i="29" l="1"/>
  <c r="P637" i="29" s="1"/>
  <c r="AB638" i="29"/>
  <c r="V637" i="29"/>
  <c r="W637" i="29" s="1"/>
  <c r="O638" i="29"/>
  <c r="T639" i="29"/>
  <c r="E639" i="29"/>
  <c r="Q639" i="29"/>
  <c r="U639" i="29"/>
  <c r="S639" i="29"/>
  <c r="R639" i="29"/>
  <c r="G639" i="29"/>
  <c r="AD641" i="29"/>
  <c r="B640" i="29"/>
  <c r="AI640" i="29"/>
  <c r="I638" i="29"/>
  <c r="J638" i="29"/>
  <c r="Y638" i="29" s="1"/>
  <c r="AF639" i="29"/>
  <c r="AE639" i="29"/>
  <c r="AA639" i="29" s="1"/>
  <c r="K638" i="29" l="1"/>
  <c r="N638" i="29" s="1"/>
  <c r="AB639" i="29"/>
  <c r="T640" i="29"/>
  <c r="U640" i="29"/>
  <c r="G640" i="29"/>
  <c r="Q640" i="29"/>
  <c r="R640" i="29"/>
  <c r="E640" i="29"/>
  <c r="S640" i="29"/>
  <c r="AI641" i="29"/>
  <c r="B641" i="29"/>
  <c r="AD642" i="29"/>
  <c r="J639" i="29"/>
  <c r="Y639" i="29" s="1"/>
  <c r="I639" i="29"/>
  <c r="AE640" i="29"/>
  <c r="AA640" i="29" s="1"/>
  <c r="AF640" i="29"/>
  <c r="O639" i="29"/>
  <c r="Z638" i="29"/>
  <c r="P638" i="29" l="1"/>
  <c r="V638" i="29"/>
  <c r="W638" i="29" s="1"/>
  <c r="AB640" i="29"/>
  <c r="K639" i="29"/>
  <c r="N639" i="29" s="1"/>
  <c r="AE641" i="29"/>
  <c r="AA641" i="29" s="1"/>
  <c r="AF641" i="29"/>
  <c r="O640" i="29"/>
  <c r="Z639" i="29"/>
  <c r="AI642" i="29"/>
  <c r="B642" i="29"/>
  <c r="AD643" i="29"/>
  <c r="I640" i="29"/>
  <c r="J640" i="29"/>
  <c r="Y640" i="29" s="1"/>
  <c r="E641" i="29"/>
  <c r="G641" i="29"/>
  <c r="U641" i="29"/>
  <c r="T641" i="29"/>
  <c r="R641" i="29"/>
  <c r="Q641" i="29"/>
  <c r="S641" i="29"/>
  <c r="P639" i="29" l="1"/>
  <c r="V639" i="29"/>
  <c r="W639" i="29" s="1"/>
  <c r="AB641" i="29"/>
  <c r="K640" i="29"/>
  <c r="N640" i="29" s="1"/>
  <c r="O641" i="29"/>
  <c r="AE642" i="29"/>
  <c r="AA642" i="29" s="1"/>
  <c r="AF642" i="29"/>
  <c r="Z640" i="29"/>
  <c r="T642" i="29"/>
  <c r="R642" i="29"/>
  <c r="Q642" i="29"/>
  <c r="E642" i="29"/>
  <c r="U642" i="29"/>
  <c r="G642" i="29"/>
  <c r="S642" i="29"/>
  <c r="AI643" i="29"/>
  <c r="B643" i="29"/>
  <c r="AD644" i="29"/>
  <c r="I641" i="29"/>
  <c r="K641" i="29" s="1"/>
  <c r="J641" i="29"/>
  <c r="Y641" i="29" s="1"/>
  <c r="V640" i="29" l="1"/>
  <c r="W640" i="29" s="1"/>
  <c r="P640" i="29"/>
  <c r="N641" i="29"/>
  <c r="AB642" i="29"/>
  <c r="O642" i="29"/>
  <c r="AD645" i="29"/>
  <c r="B644" i="29"/>
  <c r="AI644" i="29"/>
  <c r="V641" i="29"/>
  <c r="W641" i="29" s="1"/>
  <c r="P641" i="29"/>
  <c r="U643" i="29"/>
  <c r="G643" i="29"/>
  <c r="Q643" i="29"/>
  <c r="S643" i="29"/>
  <c r="E643" i="29"/>
  <c r="T643" i="29"/>
  <c r="R643" i="29"/>
  <c r="I642" i="29"/>
  <c r="J642" i="29"/>
  <c r="Y642" i="29" s="1"/>
  <c r="AF643" i="29"/>
  <c r="AE643" i="29"/>
  <c r="AA643" i="29" s="1"/>
  <c r="Z641" i="29"/>
  <c r="AB643" i="29" l="1"/>
  <c r="K642" i="29"/>
  <c r="N642" i="29" s="1"/>
  <c r="I643" i="29"/>
  <c r="J643" i="29"/>
  <c r="Y643" i="29" s="1"/>
  <c r="O643" i="29"/>
  <c r="AD646" i="29"/>
  <c r="AI645" i="29"/>
  <c r="B645" i="29"/>
  <c r="Z642" i="29"/>
  <c r="AF644" i="29"/>
  <c r="AE644" i="29"/>
  <c r="AA644" i="29" s="1"/>
  <c r="E644" i="29"/>
  <c r="S644" i="29"/>
  <c r="T644" i="29"/>
  <c r="Q644" i="29"/>
  <c r="R644" i="29"/>
  <c r="U644" i="29"/>
  <c r="G644" i="29"/>
  <c r="P642" i="29" l="1"/>
  <c r="V642" i="29"/>
  <c r="W642" i="29" s="1"/>
  <c r="AB644" i="29"/>
  <c r="K643" i="29"/>
  <c r="N643" i="29" s="1"/>
  <c r="O644" i="29"/>
  <c r="AE645" i="29"/>
  <c r="AA645" i="29" s="1"/>
  <c r="AF645" i="29"/>
  <c r="J644" i="29"/>
  <c r="Y644" i="29" s="1"/>
  <c r="I644" i="29"/>
  <c r="K644" i="29" s="1"/>
  <c r="AD647" i="29"/>
  <c r="B646" i="29"/>
  <c r="AI646" i="29"/>
  <c r="Z643" i="29"/>
  <c r="E645" i="29"/>
  <c r="S645" i="29"/>
  <c r="T645" i="29"/>
  <c r="Q645" i="29"/>
  <c r="R645" i="29"/>
  <c r="U645" i="29"/>
  <c r="G645" i="29"/>
  <c r="V643" i="29" l="1"/>
  <c r="W643" i="29" s="1"/>
  <c r="P643" i="29"/>
  <c r="N644" i="29"/>
  <c r="AB645" i="29"/>
  <c r="O645" i="29"/>
  <c r="Z644" i="29"/>
  <c r="AI647" i="29"/>
  <c r="AD648" i="29"/>
  <c r="B647" i="29"/>
  <c r="V644" i="29"/>
  <c r="W644" i="29" s="1"/>
  <c r="P644" i="29"/>
  <c r="AE646" i="29"/>
  <c r="AA646" i="29" s="1"/>
  <c r="AF646" i="29"/>
  <c r="E646" i="29"/>
  <c r="R646" i="29"/>
  <c r="U646" i="29"/>
  <c r="T646" i="29"/>
  <c r="Q646" i="29"/>
  <c r="G646" i="29"/>
  <c r="S646" i="29"/>
  <c r="I645" i="29"/>
  <c r="J645" i="29"/>
  <c r="Y645" i="29" s="1"/>
  <c r="Z645" i="29" s="1"/>
  <c r="AB646" i="29" l="1"/>
  <c r="K645" i="29"/>
  <c r="N645" i="29" s="1"/>
  <c r="T647" i="29"/>
  <c r="E647" i="29"/>
  <c r="G647" i="29"/>
  <c r="R647" i="29"/>
  <c r="U647" i="29"/>
  <c r="S647" i="29"/>
  <c r="Q647" i="29"/>
  <c r="AD649" i="29"/>
  <c r="AI648" i="29"/>
  <c r="B648" i="29"/>
  <c r="O646" i="29"/>
  <c r="J646" i="29"/>
  <c r="Y646" i="29" s="1"/>
  <c r="I646" i="29"/>
  <c r="AF647" i="29"/>
  <c r="AE647" i="29"/>
  <c r="AA647" i="29" s="1"/>
  <c r="P645" i="29" l="1"/>
  <c r="V645" i="29"/>
  <c r="W645" i="29" s="1"/>
  <c r="K646" i="29"/>
  <c r="N646" i="29" s="1"/>
  <c r="AB647" i="29"/>
  <c r="O647" i="29"/>
  <c r="AD650" i="29"/>
  <c r="B649" i="29"/>
  <c r="AI649" i="29"/>
  <c r="Z646" i="29"/>
  <c r="S648" i="29"/>
  <c r="Q648" i="29"/>
  <c r="R648" i="29"/>
  <c r="U648" i="29"/>
  <c r="T648" i="29"/>
  <c r="E648" i="29"/>
  <c r="G648" i="29"/>
  <c r="J647" i="29"/>
  <c r="Y647" i="29" s="1"/>
  <c r="I647" i="29"/>
  <c r="AE648" i="29"/>
  <c r="AA648" i="29" s="1"/>
  <c r="AF648" i="29"/>
  <c r="P646" i="29" l="1"/>
  <c r="V646" i="29"/>
  <c r="W646" i="29" s="1"/>
  <c r="K647" i="29"/>
  <c r="N647" i="29" s="1"/>
  <c r="AB648" i="29"/>
  <c r="AD651" i="29"/>
  <c r="AI650" i="29"/>
  <c r="B650" i="29"/>
  <c r="J648" i="29"/>
  <c r="Y648" i="29" s="1"/>
  <c r="I648" i="29"/>
  <c r="O648" i="29"/>
  <c r="AF649" i="29"/>
  <c r="AE649" i="29"/>
  <c r="AA649" i="29" s="1"/>
  <c r="T649" i="29"/>
  <c r="G649" i="29"/>
  <c r="R649" i="29"/>
  <c r="Q649" i="29"/>
  <c r="S649" i="29"/>
  <c r="E649" i="29"/>
  <c r="U649" i="29"/>
  <c r="Z647" i="29"/>
  <c r="V647" i="29" l="1"/>
  <c r="W647" i="29" s="1"/>
  <c r="P647" i="29"/>
  <c r="AB649" i="29"/>
  <c r="K648" i="29"/>
  <c r="N648" i="29" s="1"/>
  <c r="O649" i="29"/>
  <c r="J649" i="29"/>
  <c r="Y649" i="29" s="1"/>
  <c r="I649" i="29"/>
  <c r="K649" i="29" s="1"/>
  <c r="Z648" i="29"/>
  <c r="E650" i="29"/>
  <c r="S650" i="29"/>
  <c r="R650" i="29"/>
  <c r="U650" i="29"/>
  <c r="G650" i="29"/>
  <c r="T650" i="29"/>
  <c r="Q650" i="29"/>
  <c r="AE650" i="29"/>
  <c r="AA650" i="29" s="1"/>
  <c r="AF650" i="29"/>
  <c r="AI651" i="29"/>
  <c r="B651" i="29"/>
  <c r="AD652" i="29"/>
  <c r="P648" i="29" l="1"/>
  <c r="V648" i="29"/>
  <c r="W648" i="29" s="1"/>
  <c r="N649" i="29"/>
  <c r="Z649" i="29"/>
  <c r="AB650" i="29"/>
  <c r="AI652" i="29"/>
  <c r="AD653" i="29"/>
  <c r="B652" i="29"/>
  <c r="T651" i="29"/>
  <c r="G651" i="29"/>
  <c r="S651" i="29"/>
  <c r="U651" i="29"/>
  <c r="R651" i="29"/>
  <c r="E651" i="29"/>
  <c r="Q651" i="29"/>
  <c r="I650" i="29"/>
  <c r="K650" i="29" s="1"/>
  <c r="J650" i="29"/>
  <c r="Y650" i="29" s="1"/>
  <c r="P649" i="29"/>
  <c r="V649" i="29"/>
  <c r="W649" i="29" s="1"/>
  <c r="AE651" i="29"/>
  <c r="AA651" i="29" s="1"/>
  <c r="AF651" i="29"/>
  <c r="O650" i="29"/>
  <c r="AB651" i="29" l="1"/>
  <c r="N650" i="29"/>
  <c r="P650" i="29" s="1"/>
  <c r="V650" i="29"/>
  <c r="W650" i="29" s="1"/>
  <c r="O651" i="29"/>
  <c r="S652" i="29"/>
  <c r="G652" i="29"/>
  <c r="U652" i="29"/>
  <c r="Q652" i="29"/>
  <c r="T652" i="29"/>
  <c r="E652" i="29"/>
  <c r="R652" i="29"/>
  <c r="B653" i="29"/>
  <c r="AD654" i="29"/>
  <c r="AI653" i="29"/>
  <c r="Z650" i="29"/>
  <c r="J651" i="29"/>
  <c r="Y651" i="29" s="1"/>
  <c r="I651" i="29"/>
  <c r="AF652" i="29"/>
  <c r="AE652" i="29"/>
  <c r="AA652" i="29" s="1"/>
  <c r="AB652" i="29" l="1"/>
  <c r="K651" i="29"/>
  <c r="N651" i="29" s="1"/>
  <c r="O652" i="29"/>
  <c r="AE653" i="29"/>
  <c r="AA653" i="29" s="1"/>
  <c r="AF653" i="29"/>
  <c r="AI654" i="29"/>
  <c r="B654" i="29"/>
  <c r="AD655" i="29"/>
  <c r="J652" i="29"/>
  <c r="Y652" i="29" s="1"/>
  <c r="I652" i="29"/>
  <c r="T653" i="29"/>
  <c r="Q653" i="29"/>
  <c r="G653" i="29"/>
  <c r="E653" i="29"/>
  <c r="U653" i="29"/>
  <c r="S653" i="29"/>
  <c r="R653" i="29"/>
  <c r="Z651" i="29"/>
  <c r="P651" i="29" l="1"/>
  <c r="V651" i="29"/>
  <c r="W651" i="29" s="1"/>
  <c r="AB653" i="29"/>
  <c r="K652" i="29"/>
  <c r="N652" i="29" s="1"/>
  <c r="I653" i="29"/>
  <c r="K653" i="29" s="1"/>
  <c r="J653" i="29"/>
  <c r="Y653" i="29" s="1"/>
  <c r="B655" i="29"/>
  <c r="AD656" i="29"/>
  <c r="AI655" i="29"/>
  <c r="O653" i="29"/>
  <c r="R654" i="29"/>
  <c r="Q654" i="29"/>
  <c r="E654" i="29"/>
  <c r="T654" i="29"/>
  <c r="G654" i="29"/>
  <c r="U654" i="29"/>
  <c r="S654" i="29"/>
  <c r="AF654" i="29"/>
  <c r="AE654" i="29"/>
  <c r="AA654" i="29" s="1"/>
  <c r="Z652" i="29"/>
  <c r="V652" i="29" l="1"/>
  <c r="W652" i="29" s="1"/>
  <c r="P652" i="29"/>
  <c r="N653" i="29"/>
  <c r="P653" i="29" s="1"/>
  <c r="AB654" i="29"/>
  <c r="O654" i="29"/>
  <c r="AE655" i="29"/>
  <c r="AA655" i="29" s="1"/>
  <c r="AF655" i="29"/>
  <c r="I654" i="29"/>
  <c r="J654" i="29"/>
  <c r="Y654" i="29" s="1"/>
  <c r="Z653" i="29"/>
  <c r="B656" i="29"/>
  <c r="AD657" i="29"/>
  <c r="AI656" i="29"/>
  <c r="Q655" i="29"/>
  <c r="G655" i="29"/>
  <c r="S655" i="29"/>
  <c r="T655" i="29"/>
  <c r="U655" i="29"/>
  <c r="E655" i="29"/>
  <c r="R655" i="29"/>
  <c r="K654" i="29" l="1"/>
  <c r="N654" i="29" s="1"/>
  <c r="AB655" i="29"/>
  <c r="V653" i="29"/>
  <c r="W653" i="29" s="1"/>
  <c r="Z654" i="29"/>
  <c r="O655" i="29"/>
  <c r="AF656" i="29"/>
  <c r="AE656" i="29"/>
  <c r="AA656" i="29" s="1"/>
  <c r="AD658" i="29"/>
  <c r="B657" i="29"/>
  <c r="AI657" i="29"/>
  <c r="U656" i="29"/>
  <c r="S656" i="29"/>
  <c r="R656" i="29"/>
  <c r="G656" i="29"/>
  <c r="Q656" i="29"/>
  <c r="E656" i="29"/>
  <c r="T656" i="29"/>
  <c r="I655" i="29"/>
  <c r="K655" i="29" s="1"/>
  <c r="J655" i="29"/>
  <c r="Y655" i="29" s="1"/>
  <c r="Z655" i="29" s="1"/>
  <c r="P654" i="29" l="1"/>
  <c r="V654" i="29"/>
  <c r="W654" i="29" s="1"/>
  <c r="AB656" i="29"/>
  <c r="N655" i="29"/>
  <c r="O656" i="29"/>
  <c r="G657" i="29"/>
  <c r="U657" i="29"/>
  <c r="S657" i="29"/>
  <c r="T657" i="29"/>
  <c r="R657" i="29"/>
  <c r="E657" i="29"/>
  <c r="Q657" i="29"/>
  <c r="V655" i="29"/>
  <c r="W655" i="29" s="1"/>
  <c r="P655" i="29"/>
  <c r="AD659" i="29"/>
  <c r="AI658" i="29"/>
  <c r="B658" i="29"/>
  <c r="I656" i="29"/>
  <c r="K656" i="29" s="1"/>
  <c r="J656" i="29"/>
  <c r="Y656" i="29"/>
  <c r="AE657" i="29"/>
  <c r="AA657" i="29" s="1"/>
  <c r="AF657" i="29"/>
  <c r="AB657" i="29" l="1"/>
  <c r="N656" i="29"/>
  <c r="O657" i="29"/>
  <c r="AF658" i="29"/>
  <c r="AE658" i="29"/>
  <c r="AA658" i="29" s="1"/>
  <c r="AI659" i="29"/>
  <c r="AD660" i="29"/>
  <c r="B659" i="29"/>
  <c r="P656" i="29"/>
  <c r="V656" i="29"/>
  <c r="W656" i="29" s="1"/>
  <c r="J657" i="29"/>
  <c r="Y657" i="29" s="1"/>
  <c r="I657" i="29"/>
  <c r="K657" i="29" s="1"/>
  <c r="E658" i="29"/>
  <c r="G658" i="29"/>
  <c r="S658" i="29"/>
  <c r="R658" i="29"/>
  <c r="T658" i="29"/>
  <c r="Q658" i="29"/>
  <c r="U658" i="29"/>
  <c r="Z656" i="29"/>
  <c r="AB658" i="29" l="1"/>
  <c r="N657" i="29"/>
  <c r="V657" i="29" s="1"/>
  <c r="W657" i="29" s="1"/>
  <c r="O658" i="29"/>
  <c r="AI660" i="29"/>
  <c r="AD661" i="29"/>
  <c r="B660" i="29"/>
  <c r="P657" i="29"/>
  <c r="AF659" i="29"/>
  <c r="AE659" i="29"/>
  <c r="AA659" i="29" s="1"/>
  <c r="Z657" i="29"/>
  <c r="E659" i="29"/>
  <c r="G659" i="29"/>
  <c r="R659" i="29"/>
  <c r="T659" i="29"/>
  <c r="Q659" i="29"/>
  <c r="U659" i="29"/>
  <c r="S659" i="29"/>
  <c r="J658" i="29"/>
  <c r="Y658" i="29" s="1"/>
  <c r="I658" i="29"/>
  <c r="K658" i="29" l="1"/>
  <c r="N658" i="29" s="1"/>
  <c r="AB659" i="29"/>
  <c r="E660" i="29"/>
  <c r="T660" i="29"/>
  <c r="S660" i="29"/>
  <c r="Q660" i="29"/>
  <c r="G660" i="29"/>
  <c r="R660" i="29"/>
  <c r="U660" i="29"/>
  <c r="O659" i="29"/>
  <c r="AD662" i="29"/>
  <c r="AI661" i="29"/>
  <c r="B661" i="29"/>
  <c r="J659" i="29"/>
  <c r="Y659" i="29" s="1"/>
  <c r="I659" i="29"/>
  <c r="K659" i="29" s="1"/>
  <c r="AE660" i="29"/>
  <c r="AA660" i="29" s="1"/>
  <c r="AF660" i="29"/>
  <c r="Z658" i="29"/>
  <c r="P658" i="29" l="1"/>
  <c r="V658" i="29"/>
  <c r="W658" i="29" s="1"/>
  <c r="N659" i="29"/>
  <c r="P659" i="29" s="1"/>
  <c r="AB660" i="29"/>
  <c r="O660" i="29"/>
  <c r="V659" i="29"/>
  <c r="W659" i="29" s="1"/>
  <c r="J660" i="29"/>
  <c r="Y660" i="29" s="1"/>
  <c r="I660" i="29"/>
  <c r="K660" i="29" s="1"/>
  <c r="AI662" i="29"/>
  <c r="B662" i="29"/>
  <c r="AD663" i="29"/>
  <c r="E661" i="29"/>
  <c r="T661" i="29"/>
  <c r="S661" i="29"/>
  <c r="U661" i="29"/>
  <c r="R661" i="29"/>
  <c r="Q661" i="29"/>
  <c r="G661" i="29"/>
  <c r="AF661" i="29"/>
  <c r="AE661" i="29"/>
  <c r="AA661" i="29" s="1"/>
  <c r="Z659" i="29"/>
  <c r="N660" i="29" l="1"/>
  <c r="Z660" i="29"/>
  <c r="AB661" i="29"/>
  <c r="V660" i="29"/>
  <c r="W660" i="29" s="1"/>
  <c r="P660" i="29"/>
  <c r="AI663" i="29"/>
  <c r="B663" i="29"/>
  <c r="AD664" i="29"/>
  <c r="J661" i="29"/>
  <c r="Y661" i="29" s="1"/>
  <c r="I661" i="29"/>
  <c r="O661" i="29"/>
  <c r="E662" i="29"/>
  <c r="G662" i="29"/>
  <c r="R662" i="29"/>
  <c r="Q662" i="29"/>
  <c r="U662" i="29"/>
  <c r="T662" i="29"/>
  <c r="S662" i="29"/>
  <c r="AE662" i="29"/>
  <c r="AA662" i="29" s="1"/>
  <c r="AF662" i="29"/>
  <c r="K661" i="29" l="1"/>
  <c r="N661" i="29" s="1"/>
  <c r="AB662" i="29"/>
  <c r="AD665" i="29"/>
  <c r="B664" i="29"/>
  <c r="AI664" i="29"/>
  <c r="O662" i="29"/>
  <c r="G663" i="29"/>
  <c r="S663" i="29"/>
  <c r="R663" i="29"/>
  <c r="U663" i="29"/>
  <c r="T663" i="29"/>
  <c r="E663" i="29"/>
  <c r="Q663" i="29"/>
  <c r="I662" i="29"/>
  <c r="J662" i="29"/>
  <c r="Y662" i="29" s="1"/>
  <c r="Z661" i="29"/>
  <c r="AE663" i="29"/>
  <c r="AA663" i="29" s="1"/>
  <c r="AF663" i="29"/>
  <c r="V661" i="29" l="1"/>
  <c r="W661" i="29" s="1"/>
  <c r="P661" i="29"/>
  <c r="AB663" i="29"/>
  <c r="K662" i="29"/>
  <c r="N662" i="29" s="1"/>
  <c r="I663" i="29"/>
  <c r="K663" i="29" s="1"/>
  <c r="N663" i="29" s="1"/>
  <c r="J663" i="29"/>
  <c r="Y663" i="29" s="1"/>
  <c r="O663" i="29"/>
  <c r="AF664" i="29"/>
  <c r="AE664" i="29"/>
  <c r="AA664" i="29" s="1"/>
  <c r="G664" i="29"/>
  <c r="U664" i="29"/>
  <c r="T664" i="29"/>
  <c r="Q664" i="29"/>
  <c r="S664" i="29"/>
  <c r="E664" i="29"/>
  <c r="R664" i="29"/>
  <c r="Z662" i="29"/>
  <c r="B665" i="29"/>
  <c r="AD666" i="29"/>
  <c r="AI665" i="29"/>
  <c r="V662" i="29" l="1"/>
  <c r="W662" i="29" s="1"/>
  <c r="P662" i="29"/>
  <c r="AB664" i="29"/>
  <c r="O664" i="29"/>
  <c r="I664" i="29"/>
  <c r="K664" i="29" s="1"/>
  <c r="J664" i="29"/>
  <c r="Y664" i="29" s="1"/>
  <c r="Z663" i="29"/>
  <c r="V663" i="29"/>
  <c r="W663" i="29" s="1"/>
  <c r="P663" i="29"/>
  <c r="AF665" i="29"/>
  <c r="AE665" i="29"/>
  <c r="AA665" i="29" s="1"/>
  <c r="AD667" i="29"/>
  <c r="AI666" i="29"/>
  <c r="B666" i="29"/>
  <c r="S665" i="29"/>
  <c r="R665" i="29"/>
  <c r="G665" i="29"/>
  <c r="U665" i="29"/>
  <c r="Q665" i="29"/>
  <c r="E665" i="29"/>
  <c r="T665" i="29"/>
  <c r="N664" i="29" l="1"/>
  <c r="AB665" i="29"/>
  <c r="AF666" i="29"/>
  <c r="AE666" i="29"/>
  <c r="AA666" i="29" s="1"/>
  <c r="I665" i="29"/>
  <c r="K665" i="29" s="1"/>
  <c r="J665" i="29"/>
  <c r="Y665" i="29" s="1"/>
  <c r="P664" i="29"/>
  <c r="V664" i="29"/>
  <c r="W664" i="29" s="1"/>
  <c r="B667" i="29"/>
  <c r="AD668" i="29"/>
  <c r="AI667" i="29"/>
  <c r="Z664" i="29"/>
  <c r="O665" i="29"/>
  <c r="S666" i="29"/>
  <c r="Q666" i="29"/>
  <c r="G666" i="29"/>
  <c r="T666" i="29"/>
  <c r="R666" i="29"/>
  <c r="E666" i="29"/>
  <c r="U666" i="29"/>
  <c r="AB666" i="29" l="1"/>
  <c r="N665" i="29"/>
  <c r="O666" i="29"/>
  <c r="AF667" i="29"/>
  <c r="AE667" i="29"/>
  <c r="AA667" i="29" s="1"/>
  <c r="AD669" i="29"/>
  <c r="B668" i="29"/>
  <c r="AI668" i="29"/>
  <c r="Z665" i="29"/>
  <c r="T667" i="29"/>
  <c r="G667" i="29"/>
  <c r="U667" i="29"/>
  <c r="E667" i="29"/>
  <c r="S667" i="29"/>
  <c r="R667" i="29"/>
  <c r="Q667" i="29"/>
  <c r="V665" i="29"/>
  <c r="W665" i="29" s="1"/>
  <c r="P665" i="29"/>
  <c r="I666" i="29"/>
  <c r="J666" i="29"/>
  <c r="Y666" i="29" s="1"/>
  <c r="Z666" i="29" s="1"/>
  <c r="AB667" i="29" l="1"/>
  <c r="K666" i="29"/>
  <c r="N666" i="29" s="1"/>
  <c r="O667" i="29"/>
  <c r="J667" i="29"/>
  <c r="Y667" i="29" s="1"/>
  <c r="I667" i="29"/>
  <c r="K667" i="29" s="1"/>
  <c r="AE668" i="29"/>
  <c r="AA668" i="29" s="1"/>
  <c r="AF668" i="29"/>
  <c r="S668" i="29"/>
  <c r="Q668" i="29"/>
  <c r="R668" i="29"/>
  <c r="U668" i="29"/>
  <c r="T668" i="29"/>
  <c r="E668" i="29"/>
  <c r="G668" i="29"/>
  <c r="B669" i="29"/>
  <c r="AI669" i="29"/>
  <c r="AD670" i="29"/>
  <c r="V666" i="29" l="1"/>
  <c r="W666" i="29" s="1"/>
  <c r="P666" i="29"/>
  <c r="AB668" i="29"/>
  <c r="N667" i="29"/>
  <c r="I668" i="29"/>
  <c r="K668" i="29" s="1"/>
  <c r="N668" i="29" s="1"/>
  <c r="J668" i="29"/>
  <c r="T669" i="29"/>
  <c r="E669" i="29"/>
  <c r="S669" i="29"/>
  <c r="Q669" i="29"/>
  <c r="U669" i="29"/>
  <c r="G669" i="29"/>
  <c r="R669" i="29"/>
  <c r="B670" i="29"/>
  <c r="AD671" i="29"/>
  <c r="AI670" i="29"/>
  <c r="AF669" i="29"/>
  <c r="AE669" i="29"/>
  <c r="AA669" i="29" s="1"/>
  <c r="O668" i="29"/>
  <c r="Z667" i="29"/>
  <c r="Y668" i="29"/>
  <c r="V667" i="29"/>
  <c r="W667" i="29" s="1"/>
  <c r="P667" i="29"/>
  <c r="AB669" i="29" l="1"/>
  <c r="O669" i="29"/>
  <c r="I669" i="29"/>
  <c r="K669" i="29" s="1"/>
  <c r="N669" i="29" s="1"/>
  <c r="J669" i="29"/>
  <c r="Y669" i="29" s="1"/>
  <c r="AE670" i="29"/>
  <c r="AA670" i="29" s="1"/>
  <c r="AF670" i="29"/>
  <c r="B671" i="29"/>
  <c r="AD672" i="29"/>
  <c r="AI671" i="29"/>
  <c r="P668" i="29"/>
  <c r="V668" i="29"/>
  <c r="W668" i="29" s="1"/>
  <c r="Z668" i="29"/>
  <c r="R670" i="29"/>
  <c r="U670" i="29"/>
  <c r="T670" i="29"/>
  <c r="E670" i="29"/>
  <c r="G670" i="29"/>
  <c r="S670" i="29"/>
  <c r="Q670" i="29"/>
  <c r="AB670" i="29" l="1"/>
  <c r="Z669" i="29"/>
  <c r="O670" i="29"/>
  <c r="AF671" i="29"/>
  <c r="AE671" i="29"/>
  <c r="AA671" i="29" s="1"/>
  <c r="AD673" i="29"/>
  <c r="B672" i="29"/>
  <c r="AI672" i="29"/>
  <c r="V669" i="29"/>
  <c r="W669" i="29" s="1"/>
  <c r="P669" i="29"/>
  <c r="E671" i="29"/>
  <c r="G671" i="29"/>
  <c r="S671" i="29"/>
  <c r="T671" i="29"/>
  <c r="R671" i="29"/>
  <c r="U671" i="29"/>
  <c r="Q671" i="29"/>
  <c r="I670" i="29"/>
  <c r="J670" i="29"/>
  <c r="Y670" i="29" s="1"/>
  <c r="AB671" i="29" l="1"/>
  <c r="K670" i="29"/>
  <c r="N670" i="29" s="1"/>
  <c r="AF672" i="29"/>
  <c r="AE672" i="29"/>
  <c r="AA672" i="29" s="1"/>
  <c r="E672" i="29"/>
  <c r="R672" i="29"/>
  <c r="S672" i="29"/>
  <c r="Q672" i="29"/>
  <c r="T672" i="29"/>
  <c r="U672" i="29"/>
  <c r="G672" i="29"/>
  <c r="J671" i="29"/>
  <c r="Y671" i="29" s="1"/>
  <c r="I671" i="29"/>
  <c r="AD674" i="29"/>
  <c r="B673" i="29"/>
  <c r="AI673" i="29"/>
  <c r="O671" i="29"/>
  <c r="Z670" i="29"/>
  <c r="V670" i="29" l="1"/>
  <c r="W670" i="29" s="1"/>
  <c r="P670" i="29"/>
  <c r="K671" i="29"/>
  <c r="N671" i="29" s="1"/>
  <c r="AB672" i="29"/>
  <c r="O672" i="29"/>
  <c r="Z671" i="29"/>
  <c r="AF673" i="29"/>
  <c r="AE673" i="29"/>
  <c r="AA673" i="29" s="1"/>
  <c r="J672" i="29"/>
  <c r="Y672" i="29" s="1"/>
  <c r="Z672" i="29" s="1"/>
  <c r="I672" i="29"/>
  <c r="Q673" i="29"/>
  <c r="S673" i="29"/>
  <c r="U673" i="29"/>
  <c r="T673" i="29"/>
  <c r="G673" i="29"/>
  <c r="E673" i="29"/>
  <c r="R673" i="29"/>
  <c r="AI674" i="29"/>
  <c r="AD675" i="29"/>
  <c r="B674" i="29"/>
  <c r="P671" i="29" l="1"/>
  <c r="V671" i="29"/>
  <c r="W671" i="29" s="1"/>
  <c r="AB673" i="29"/>
  <c r="K672" i="29"/>
  <c r="N672" i="29" s="1"/>
  <c r="R674" i="29"/>
  <c r="T674" i="29"/>
  <c r="E674" i="29"/>
  <c r="Q674" i="29"/>
  <c r="G674" i="29"/>
  <c r="S674" i="29"/>
  <c r="U674" i="29"/>
  <c r="AI675" i="29"/>
  <c r="AD676" i="29"/>
  <c r="B675" i="29"/>
  <c r="AE674" i="29"/>
  <c r="AA674" i="29" s="1"/>
  <c r="AF674" i="29"/>
  <c r="I673" i="29"/>
  <c r="J673" i="29"/>
  <c r="Y673" i="29" s="1"/>
  <c r="O673" i="29"/>
  <c r="P672" i="29" l="1"/>
  <c r="V672" i="29"/>
  <c r="W672" i="29" s="1"/>
  <c r="K673" i="29"/>
  <c r="N673" i="29" s="1"/>
  <c r="AB674" i="29"/>
  <c r="Z673" i="29"/>
  <c r="J674" i="29"/>
  <c r="Y674" i="29" s="1"/>
  <c r="I674" i="29"/>
  <c r="E675" i="29"/>
  <c r="U675" i="29"/>
  <c r="Q675" i="29"/>
  <c r="S675" i="29"/>
  <c r="T675" i="29"/>
  <c r="G675" i="29"/>
  <c r="R675" i="29"/>
  <c r="O674" i="29"/>
  <c r="AI676" i="29"/>
  <c r="B676" i="29"/>
  <c r="AD677" i="29"/>
  <c r="AF675" i="29"/>
  <c r="AE675" i="29"/>
  <c r="AA675" i="29" s="1"/>
  <c r="V673" i="29" l="1"/>
  <c r="W673" i="29" s="1"/>
  <c r="P673" i="29"/>
  <c r="K674" i="29"/>
  <c r="N674" i="29" s="1"/>
  <c r="AB675" i="29"/>
  <c r="I675" i="29"/>
  <c r="J675" i="29"/>
  <c r="AE676" i="29"/>
  <c r="AA676" i="29" s="1"/>
  <c r="AF676" i="29"/>
  <c r="E676" i="29"/>
  <c r="R676" i="29"/>
  <c r="Q676" i="29"/>
  <c r="U676" i="29"/>
  <c r="G676" i="29"/>
  <c r="S676" i="29"/>
  <c r="T676" i="29"/>
  <c r="Z674" i="29"/>
  <c r="O675" i="29"/>
  <c r="B677" i="29"/>
  <c r="AD678" i="29"/>
  <c r="AI677" i="29"/>
  <c r="Y675" i="29"/>
  <c r="P674" i="29" l="1"/>
  <c r="V674" i="29"/>
  <c r="W674" i="29" s="1"/>
  <c r="AB676" i="29"/>
  <c r="K675" i="29"/>
  <c r="N675" i="29" s="1"/>
  <c r="B678" i="29"/>
  <c r="AD679" i="29"/>
  <c r="AI678" i="29"/>
  <c r="Z675" i="29"/>
  <c r="E677" i="29"/>
  <c r="R677" i="29"/>
  <c r="G677" i="29"/>
  <c r="T677" i="29"/>
  <c r="U677" i="29"/>
  <c r="S677" i="29"/>
  <c r="Q677" i="29"/>
  <c r="J676" i="29"/>
  <c r="Y676" i="29" s="1"/>
  <c r="I676" i="29"/>
  <c r="K676" i="29" s="1"/>
  <c r="AF677" i="29"/>
  <c r="AE677" i="29"/>
  <c r="AA677" i="29" s="1"/>
  <c r="O676" i="29"/>
  <c r="V675" i="29" l="1"/>
  <c r="W675" i="29" s="1"/>
  <c r="P675" i="29"/>
  <c r="N676" i="29"/>
  <c r="AB677" i="29"/>
  <c r="I677" i="29"/>
  <c r="K677" i="29" s="1"/>
  <c r="J677" i="29"/>
  <c r="Y677" i="29" s="1"/>
  <c r="O677" i="29"/>
  <c r="AE678" i="29"/>
  <c r="AA678" i="29" s="1"/>
  <c r="AF678" i="29"/>
  <c r="V676" i="29"/>
  <c r="W676" i="29" s="1"/>
  <c r="P676" i="29"/>
  <c r="Z676" i="29"/>
  <c r="AD680" i="29"/>
  <c r="AI679" i="29"/>
  <c r="B679" i="29"/>
  <c r="Q678" i="29"/>
  <c r="G678" i="29"/>
  <c r="R678" i="29"/>
  <c r="U678" i="29"/>
  <c r="T678" i="29"/>
  <c r="E678" i="29"/>
  <c r="S678" i="29"/>
  <c r="N677" i="29" l="1"/>
  <c r="AB678" i="29"/>
  <c r="O678" i="29"/>
  <c r="AD681" i="29"/>
  <c r="B680" i="29"/>
  <c r="AI680" i="29"/>
  <c r="Z677" i="29"/>
  <c r="U679" i="29"/>
  <c r="T679" i="29"/>
  <c r="G679" i="29"/>
  <c r="Q679" i="29"/>
  <c r="S679" i="29"/>
  <c r="E679" i="29"/>
  <c r="R679" i="29"/>
  <c r="J678" i="29"/>
  <c r="Y678" i="29" s="1"/>
  <c r="I678" i="29"/>
  <c r="AE679" i="29"/>
  <c r="AA679" i="29" s="1"/>
  <c r="AF679" i="29"/>
  <c r="V677" i="29"/>
  <c r="W677" i="29" s="1"/>
  <c r="P677" i="29"/>
  <c r="K678" i="29" l="1"/>
  <c r="N678" i="29" s="1"/>
  <c r="AB679" i="29"/>
  <c r="I679" i="29"/>
  <c r="K679" i="29" s="1"/>
  <c r="J679" i="29"/>
  <c r="Y679" i="29" s="1"/>
  <c r="Z678" i="29"/>
  <c r="AF680" i="29"/>
  <c r="AE680" i="29"/>
  <c r="AA680" i="29" s="1"/>
  <c r="E680" i="29"/>
  <c r="U680" i="29"/>
  <c r="R680" i="29"/>
  <c r="G680" i="29"/>
  <c r="S680" i="29"/>
  <c r="T680" i="29"/>
  <c r="Q680" i="29"/>
  <c r="O679" i="29"/>
  <c r="AI681" i="29"/>
  <c r="B681" i="29"/>
  <c r="AD682" i="29"/>
  <c r="V678" i="29" l="1"/>
  <c r="W678" i="29" s="1"/>
  <c r="P678" i="29"/>
  <c r="AB680" i="29"/>
  <c r="N679" i="29"/>
  <c r="O680" i="29"/>
  <c r="AE681" i="29"/>
  <c r="AA681" i="29" s="1"/>
  <c r="AF681" i="29"/>
  <c r="AI682" i="29"/>
  <c r="AD683" i="29"/>
  <c r="B682" i="29"/>
  <c r="S681" i="29"/>
  <c r="G681" i="29"/>
  <c r="U681" i="29"/>
  <c r="E681" i="29"/>
  <c r="Q681" i="29"/>
  <c r="R681" i="29"/>
  <c r="T681" i="29"/>
  <c r="Z679" i="29"/>
  <c r="J680" i="29"/>
  <c r="Y680" i="29" s="1"/>
  <c r="I680" i="29"/>
  <c r="P679" i="29"/>
  <c r="V679" i="29"/>
  <c r="W679" i="29" s="1"/>
  <c r="K680" i="29" l="1"/>
  <c r="N680" i="29" s="1"/>
  <c r="AB681" i="29"/>
  <c r="O681" i="29"/>
  <c r="R682" i="29"/>
  <c r="G682" i="29"/>
  <c r="S682" i="29"/>
  <c r="E682" i="29"/>
  <c r="U682" i="29"/>
  <c r="T682" i="29"/>
  <c r="Q682" i="29"/>
  <c r="AD684" i="29"/>
  <c r="AI683" i="29"/>
  <c r="B683" i="29"/>
  <c r="AF682" i="29"/>
  <c r="AE682" i="29"/>
  <c r="AA682" i="29" s="1"/>
  <c r="I681" i="29"/>
  <c r="J681" i="29"/>
  <c r="Y681" i="29" s="1"/>
  <c r="Z680" i="29"/>
  <c r="P680" i="29" l="1"/>
  <c r="V680" i="29"/>
  <c r="W680" i="29" s="1"/>
  <c r="K681" i="29"/>
  <c r="N681" i="29" s="1"/>
  <c r="AB682" i="29"/>
  <c r="O682" i="29"/>
  <c r="Q683" i="29"/>
  <c r="U683" i="29"/>
  <c r="R683" i="29"/>
  <c r="G683" i="29"/>
  <c r="S683" i="29"/>
  <c r="E683" i="29"/>
  <c r="T683" i="29"/>
  <c r="AF683" i="29"/>
  <c r="AE683" i="29"/>
  <c r="AA683" i="29" s="1"/>
  <c r="J682" i="29"/>
  <c r="Y682" i="29" s="1"/>
  <c r="Z682" i="29" s="1"/>
  <c r="I682" i="29"/>
  <c r="AD685" i="29"/>
  <c r="B684" i="29"/>
  <c r="AI684" i="29"/>
  <c r="Z681" i="29"/>
  <c r="V681" i="29" l="1"/>
  <c r="W681" i="29" s="1"/>
  <c r="P681" i="29"/>
  <c r="AB683" i="29"/>
  <c r="K682" i="29"/>
  <c r="N682" i="29" s="1"/>
  <c r="O683" i="29"/>
  <c r="AI685" i="29"/>
  <c r="B685" i="29"/>
  <c r="AD686" i="29"/>
  <c r="AE684" i="29"/>
  <c r="AA684" i="29" s="1"/>
  <c r="AF684" i="29"/>
  <c r="G684" i="29"/>
  <c r="Q684" i="29"/>
  <c r="T684" i="29"/>
  <c r="E684" i="29"/>
  <c r="R684" i="29"/>
  <c r="U684" i="29"/>
  <c r="S684" i="29"/>
  <c r="J683" i="29"/>
  <c r="Y683" i="29" s="1"/>
  <c r="I683" i="29"/>
  <c r="P682" i="29" l="1"/>
  <c r="V682" i="29"/>
  <c r="W682" i="29" s="1"/>
  <c r="AB684" i="29"/>
  <c r="K683" i="29"/>
  <c r="N683" i="29" s="1"/>
  <c r="O684" i="29"/>
  <c r="J684" i="29"/>
  <c r="Y684" i="29" s="1"/>
  <c r="I684" i="29"/>
  <c r="AD687" i="29"/>
  <c r="AI686" i="29"/>
  <c r="B686" i="29"/>
  <c r="T685" i="29"/>
  <c r="S685" i="29"/>
  <c r="R685" i="29"/>
  <c r="E685" i="29"/>
  <c r="G685" i="29"/>
  <c r="U685" i="29"/>
  <c r="Q685" i="29"/>
  <c r="AF685" i="29"/>
  <c r="AE685" i="29"/>
  <c r="AA685" i="29" s="1"/>
  <c r="Z683" i="29"/>
  <c r="P683" i="29" l="1"/>
  <c r="V683" i="29"/>
  <c r="W683" i="29" s="1"/>
  <c r="K684" i="29"/>
  <c r="N684" i="29" s="1"/>
  <c r="AB685" i="29"/>
  <c r="O685" i="29"/>
  <c r="I685" i="29"/>
  <c r="K685" i="29" s="1"/>
  <c r="N685" i="29" s="1"/>
  <c r="J685" i="29"/>
  <c r="G686" i="29"/>
  <c r="E686" i="29"/>
  <c r="R686" i="29"/>
  <c r="U686" i="29"/>
  <c r="Q686" i="29"/>
  <c r="S686" i="29"/>
  <c r="T686" i="29"/>
  <c r="Y685" i="29"/>
  <c r="Z685" i="29" s="1"/>
  <c r="AF686" i="29"/>
  <c r="AE686" i="29"/>
  <c r="AA686" i="29" s="1"/>
  <c r="Z684" i="29"/>
  <c r="B687" i="29"/>
  <c r="AI687" i="29"/>
  <c r="AD688" i="29"/>
  <c r="V684" i="29" l="1"/>
  <c r="W684" i="29" s="1"/>
  <c r="P684" i="29"/>
  <c r="AB686" i="29"/>
  <c r="AE687" i="29"/>
  <c r="AA687" i="29" s="1"/>
  <c r="AF687" i="29"/>
  <c r="E687" i="29"/>
  <c r="G687" i="29"/>
  <c r="U687" i="29"/>
  <c r="R687" i="29"/>
  <c r="S687" i="29"/>
  <c r="T687" i="29"/>
  <c r="Q687" i="29"/>
  <c r="I686" i="29"/>
  <c r="K686" i="29" s="1"/>
  <c r="N686" i="29" s="1"/>
  <c r="J686" i="29"/>
  <c r="Y686" i="29" s="1"/>
  <c r="V685" i="29"/>
  <c r="W685" i="29" s="1"/>
  <c r="P685" i="29"/>
  <c r="O686" i="29"/>
  <c r="AD689" i="29"/>
  <c r="B688" i="29"/>
  <c r="AI688" i="29"/>
  <c r="AB687" i="29" l="1"/>
  <c r="AE688" i="29"/>
  <c r="AA688" i="29" s="1"/>
  <c r="AF688" i="29"/>
  <c r="E688" i="29"/>
  <c r="U688" i="29"/>
  <c r="T688" i="29"/>
  <c r="G688" i="29"/>
  <c r="Q688" i="29"/>
  <c r="R688" i="29"/>
  <c r="S688" i="29"/>
  <c r="Z686" i="29"/>
  <c r="P686" i="29"/>
  <c r="V686" i="29"/>
  <c r="W686" i="29" s="1"/>
  <c r="AI689" i="29"/>
  <c r="AD690" i="29"/>
  <c r="B689" i="29"/>
  <c r="O687" i="29"/>
  <c r="J687" i="29"/>
  <c r="Y687" i="29" s="1"/>
  <c r="I687" i="29"/>
  <c r="K687" i="29" l="1"/>
  <c r="N687" i="29" s="1"/>
  <c r="AB688" i="29"/>
  <c r="O688" i="29"/>
  <c r="I688" i="29"/>
  <c r="J688" i="29"/>
  <c r="Y688" i="29" s="1"/>
  <c r="B690" i="29"/>
  <c r="AD691" i="29"/>
  <c r="AI690" i="29"/>
  <c r="AE689" i="29"/>
  <c r="AA689" i="29" s="1"/>
  <c r="AF689" i="29"/>
  <c r="Z687" i="29"/>
  <c r="U689" i="29"/>
  <c r="Q689" i="29"/>
  <c r="R689" i="29"/>
  <c r="S689" i="29"/>
  <c r="G689" i="29"/>
  <c r="E689" i="29"/>
  <c r="T689" i="29"/>
  <c r="V687" i="29" l="1"/>
  <c r="W687" i="29" s="1"/>
  <c r="P687" i="29"/>
  <c r="AB689" i="29"/>
  <c r="K688" i="29"/>
  <c r="N688" i="29" s="1"/>
  <c r="AD692" i="29"/>
  <c r="B691" i="29"/>
  <c r="AI691" i="29"/>
  <c r="O689" i="29"/>
  <c r="E690" i="29"/>
  <c r="G690" i="29"/>
  <c r="Q690" i="29"/>
  <c r="T690" i="29"/>
  <c r="S690" i="29"/>
  <c r="R690" i="29"/>
  <c r="U690" i="29"/>
  <c r="Z688" i="29"/>
  <c r="I689" i="29"/>
  <c r="J689" i="29"/>
  <c r="Y689" i="29" s="1"/>
  <c r="AF690" i="29"/>
  <c r="AE690" i="29"/>
  <c r="AA690" i="29" s="1"/>
  <c r="P688" i="29" l="1"/>
  <c r="V688" i="29"/>
  <c r="W688" i="29" s="1"/>
  <c r="K689" i="29"/>
  <c r="N689" i="29" s="1"/>
  <c r="AB690" i="29"/>
  <c r="O690" i="29"/>
  <c r="I690" i="29"/>
  <c r="J690" i="29"/>
  <c r="Y690" i="29" s="1"/>
  <c r="Z690" i="29" s="1"/>
  <c r="Z689" i="29"/>
  <c r="AE691" i="29"/>
  <c r="AA691" i="29" s="1"/>
  <c r="AF691" i="29"/>
  <c r="S691" i="29"/>
  <c r="T691" i="29"/>
  <c r="U691" i="29"/>
  <c r="R691" i="29"/>
  <c r="G691" i="29"/>
  <c r="E691" i="29"/>
  <c r="Q691" i="29"/>
  <c r="AI692" i="29"/>
  <c r="B692" i="29"/>
  <c r="AD693" i="29"/>
  <c r="V689" i="29" l="1"/>
  <c r="W689" i="29" s="1"/>
  <c r="P689" i="29"/>
  <c r="AB691" i="29"/>
  <c r="K690" i="29"/>
  <c r="N690" i="29" s="1"/>
  <c r="O691" i="29"/>
  <c r="AD694" i="29"/>
  <c r="AI693" i="29"/>
  <c r="B693" i="29"/>
  <c r="R692" i="29"/>
  <c r="Q692" i="29"/>
  <c r="T692" i="29"/>
  <c r="E692" i="29"/>
  <c r="U692" i="29"/>
  <c r="G692" i="29"/>
  <c r="S692" i="29"/>
  <c r="AF692" i="29"/>
  <c r="AE692" i="29"/>
  <c r="AA692" i="29" s="1"/>
  <c r="I691" i="29"/>
  <c r="K691" i="29" s="1"/>
  <c r="J691" i="29"/>
  <c r="Y691" i="29" s="1"/>
  <c r="V690" i="29" l="1"/>
  <c r="W690" i="29" s="1"/>
  <c r="P690" i="29"/>
  <c r="N691" i="29"/>
  <c r="AB692" i="29"/>
  <c r="O692" i="29"/>
  <c r="G693" i="29"/>
  <c r="U693" i="29"/>
  <c r="Q693" i="29"/>
  <c r="E693" i="29"/>
  <c r="T693" i="29"/>
  <c r="S693" i="29"/>
  <c r="R693" i="29"/>
  <c r="AF693" i="29"/>
  <c r="AE693" i="29"/>
  <c r="AA693" i="29" s="1"/>
  <c r="Z691" i="29"/>
  <c r="P691" i="29"/>
  <c r="V691" i="29"/>
  <c r="W691" i="29" s="1"/>
  <c r="AI694" i="29"/>
  <c r="B694" i="29"/>
  <c r="AD695" i="29"/>
  <c r="I692" i="29"/>
  <c r="K692" i="29" s="1"/>
  <c r="J692" i="29"/>
  <c r="Y692" i="29" s="1"/>
  <c r="N692" i="29" l="1"/>
  <c r="AB693" i="29"/>
  <c r="V692" i="29"/>
  <c r="W692" i="29" s="1"/>
  <c r="P692" i="29"/>
  <c r="E694" i="29"/>
  <c r="S694" i="29"/>
  <c r="R694" i="29"/>
  <c r="Q694" i="29"/>
  <c r="T694" i="29"/>
  <c r="G694" i="29"/>
  <c r="U694" i="29"/>
  <c r="J693" i="29"/>
  <c r="I693" i="29"/>
  <c r="K693" i="29" s="1"/>
  <c r="AF694" i="29"/>
  <c r="AE694" i="29"/>
  <c r="AA694" i="29" s="1"/>
  <c r="AI695" i="29"/>
  <c r="AD696" i="29"/>
  <c r="B695" i="29"/>
  <c r="Y693" i="29"/>
  <c r="Z692" i="29"/>
  <c r="O693" i="29"/>
  <c r="N693" i="29" l="1"/>
  <c r="AB694" i="29"/>
  <c r="O694" i="29"/>
  <c r="Z693" i="29"/>
  <c r="V693" i="29"/>
  <c r="W693" i="29" s="1"/>
  <c r="P693" i="29"/>
  <c r="AF695" i="29"/>
  <c r="AE695" i="29"/>
  <c r="AA695" i="29" s="1"/>
  <c r="E695" i="29"/>
  <c r="R695" i="29"/>
  <c r="T695" i="29"/>
  <c r="S695" i="29"/>
  <c r="G695" i="29"/>
  <c r="U695" i="29"/>
  <c r="Q695" i="29"/>
  <c r="AD697" i="29"/>
  <c r="AI696" i="29"/>
  <c r="B696" i="29"/>
  <c r="I694" i="29"/>
  <c r="J694" i="29"/>
  <c r="Y694" i="29" s="1"/>
  <c r="AB695" i="29" l="1"/>
  <c r="K694" i="29"/>
  <c r="N694" i="29" s="1"/>
  <c r="Z694" i="29"/>
  <c r="AI697" i="29"/>
  <c r="AD698" i="29"/>
  <c r="B697" i="29"/>
  <c r="S696" i="29"/>
  <c r="R696" i="29"/>
  <c r="U696" i="29"/>
  <c r="E696" i="29"/>
  <c r="Q696" i="29"/>
  <c r="T696" i="29"/>
  <c r="G696" i="29"/>
  <c r="AF696" i="29"/>
  <c r="AE696" i="29"/>
  <c r="AA696" i="29" s="1"/>
  <c r="I695" i="29"/>
  <c r="J695" i="29"/>
  <c r="Y695" i="29" s="1"/>
  <c r="O695" i="29"/>
  <c r="P694" i="29" l="1"/>
  <c r="V694" i="29"/>
  <c r="W694" i="29" s="1"/>
  <c r="K695" i="29"/>
  <c r="N695" i="29" s="1"/>
  <c r="AB696" i="29"/>
  <c r="Z695" i="29"/>
  <c r="J696" i="29"/>
  <c r="I696" i="29"/>
  <c r="K696" i="29" s="1"/>
  <c r="N696" i="29" s="1"/>
  <c r="T697" i="29"/>
  <c r="U697" i="29"/>
  <c r="Q697" i="29"/>
  <c r="E697" i="29"/>
  <c r="R697" i="29"/>
  <c r="S697" i="29"/>
  <c r="G697" i="29"/>
  <c r="Y696" i="29"/>
  <c r="B698" i="29"/>
  <c r="AI698" i="29"/>
  <c r="AD699" i="29"/>
  <c r="O696" i="29"/>
  <c r="AF697" i="29"/>
  <c r="AE697" i="29"/>
  <c r="AA697" i="29" s="1"/>
  <c r="V695" i="29" l="1"/>
  <c r="W695" i="29" s="1"/>
  <c r="P695" i="29"/>
  <c r="AB697" i="29"/>
  <c r="Z696" i="29"/>
  <c r="AE698" i="29"/>
  <c r="AA698" i="29" s="1"/>
  <c r="AF698" i="29"/>
  <c r="V696" i="29"/>
  <c r="W696" i="29" s="1"/>
  <c r="P696" i="29"/>
  <c r="R698" i="29"/>
  <c r="E698" i="29"/>
  <c r="T698" i="29"/>
  <c r="Q698" i="29"/>
  <c r="S698" i="29"/>
  <c r="U698" i="29"/>
  <c r="G698" i="29"/>
  <c r="I697" i="29"/>
  <c r="K697" i="29" s="1"/>
  <c r="J697" i="29"/>
  <c r="Y697" i="29" s="1"/>
  <c r="AD700" i="29"/>
  <c r="AI699" i="29"/>
  <c r="B699" i="29"/>
  <c r="O697" i="29"/>
  <c r="AB698" i="29" l="1"/>
  <c r="N697" i="29"/>
  <c r="Z697" i="29"/>
  <c r="E699" i="29"/>
  <c r="R699" i="29"/>
  <c r="S699" i="29"/>
  <c r="U699" i="29"/>
  <c r="Q699" i="29"/>
  <c r="T699" i="29"/>
  <c r="G699" i="29"/>
  <c r="P697" i="29"/>
  <c r="V697" i="29"/>
  <c r="W697" i="29" s="1"/>
  <c r="AE699" i="29"/>
  <c r="AA699" i="29" s="1"/>
  <c r="AF699" i="29"/>
  <c r="B700" i="29"/>
  <c r="AD701" i="29"/>
  <c r="AI700" i="29"/>
  <c r="I698" i="29"/>
  <c r="J698" i="29"/>
  <c r="Y698" i="29" s="1"/>
  <c r="O698" i="29"/>
  <c r="K698" i="29" l="1"/>
  <c r="N698" i="29" s="1"/>
  <c r="AB699" i="29"/>
  <c r="AE700" i="29"/>
  <c r="AA700" i="29" s="1"/>
  <c r="AF700" i="29"/>
  <c r="AD702" i="29"/>
  <c r="B701" i="29"/>
  <c r="AI701" i="29"/>
  <c r="Z698" i="29"/>
  <c r="Q700" i="29"/>
  <c r="G700" i="29"/>
  <c r="U700" i="29"/>
  <c r="E700" i="29"/>
  <c r="T700" i="29"/>
  <c r="S700" i="29"/>
  <c r="R700" i="29"/>
  <c r="I699" i="29"/>
  <c r="J699" i="29"/>
  <c r="Y699" i="29" s="1"/>
  <c r="O699" i="29"/>
  <c r="V698" i="29" l="1"/>
  <c r="W698" i="29" s="1"/>
  <c r="P698" i="29"/>
  <c r="AB700" i="29"/>
  <c r="K699" i="29"/>
  <c r="N699" i="29" s="1"/>
  <c r="O700" i="29"/>
  <c r="AF701" i="29"/>
  <c r="AE701" i="29"/>
  <c r="AA701" i="29" s="1"/>
  <c r="Q701" i="29"/>
  <c r="S701" i="29"/>
  <c r="U701" i="29"/>
  <c r="E701" i="29"/>
  <c r="R701" i="29"/>
  <c r="G701" i="29"/>
  <c r="T701" i="29"/>
  <c r="Z699" i="29"/>
  <c r="AD703" i="29"/>
  <c r="AI702" i="29"/>
  <c r="B702" i="29"/>
  <c r="I700" i="29"/>
  <c r="J700" i="29"/>
  <c r="Y700" i="29" s="1"/>
  <c r="V699" i="29" l="1"/>
  <c r="W699" i="29" s="1"/>
  <c r="P699" i="29"/>
  <c r="AB701" i="29"/>
  <c r="K700" i="29"/>
  <c r="N700" i="29" s="1"/>
  <c r="AD704" i="29"/>
  <c r="AI703" i="29"/>
  <c r="B703" i="29"/>
  <c r="T702" i="29"/>
  <c r="G702" i="29"/>
  <c r="Q702" i="29"/>
  <c r="E702" i="29"/>
  <c r="R702" i="29"/>
  <c r="S702" i="29"/>
  <c r="U702" i="29"/>
  <c r="AF702" i="29"/>
  <c r="AE702" i="29"/>
  <c r="AA702" i="29" s="1"/>
  <c r="Z700" i="29"/>
  <c r="O701" i="29"/>
  <c r="J701" i="29"/>
  <c r="Y701" i="29" s="1"/>
  <c r="I701" i="29"/>
  <c r="V700" i="29" l="1"/>
  <c r="W700" i="29" s="1"/>
  <c r="P700" i="29"/>
  <c r="K701" i="29"/>
  <c r="N701" i="29" s="1"/>
  <c r="AB702" i="29"/>
  <c r="O702" i="29"/>
  <c r="J702" i="29"/>
  <c r="Y702" i="29" s="1"/>
  <c r="I702" i="29"/>
  <c r="K702" i="29" s="1"/>
  <c r="Z701" i="29"/>
  <c r="T703" i="29"/>
  <c r="E703" i="29"/>
  <c r="Q703" i="29"/>
  <c r="S703" i="29"/>
  <c r="G703" i="29"/>
  <c r="U703" i="29"/>
  <c r="R703" i="29"/>
  <c r="AE703" i="29"/>
  <c r="AA703" i="29" s="1"/>
  <c r="AF703" i="29"/>
  <c r="B704" i="29"/>
  <c r="AI704" i="29"/>
  <c r="AD705" i="29"/>
  <c r="V701" i="29" l="1"/>
  <c r="W701" i="29" s="1"/>
  <c r="P701" i="29"/>
  <c r="N702" i="29"/>
  <c r="Z702" i="29"/>
  <c r="AB703" i="29"/>
  <c r="G704" i="29"/>
  <c r="U704" i="29"/>
  <c r="T704" i="29"/>
  <c r="E704" i="29"/>
  <c r="Q704" i="29"/>
  <c r="R704" i="29"/>
  <c r="S704" i="29"/>
  <c r="I703" i="29"/>
  <c r="K703" i="29" s="1"/>
  <c r="J703" i="29"/>
  <c r="Y703" i="29" s="1"/>
  <c r="AI705" i="29"/>
  <c r="B705" i="29"/>
  <c r="AD706" i="29"/>
  <c r="AE704" i="29"/>
  <c r="AA704" i="29" s="1"/>
  <c r="AF704" i="29"/>
  <c r="P702" i="29"/>
  <c r="V702" i="29"/>
  <c r="W702" i="29" s="1"/>
  <c r="O703" i="29"/>
  <c r="N703" i="29" l="1"/>
  <c r="AB704" i="29"/>
  <c r="Z703" i="29"/>
  <c r="J704" i="29"/>
  <c r="I704" i="29"/>
  <c r="V703" i="29"/>
  <c r="W703" i="29" s="1"/>
  <c r="P703" i="29"/>
  <c r="Y704" i="29"/>
  <c r="O704" i="29"/>
  <c r="AD707" i="29"/>
  <c r="B706" i="29"/>
  <c r="AI706" i="29"/>
  <c r="E705" i="29"/>
  <c r="T705" i="29"/>
  <c r="U705" i="29"/>
  <c r="R705" i="29"/>
  <c r="S705" i="29"/>
  <c r="Q705" i="29"/>
  <c r="G705" i="29"/>
  <c r="AF705" i="29"/>
  <c r="AE705" i="29"/>
  <c r="AA705" i="29" s="1"/>
  <c r="K704" i="29" l="1"/>
  <c r="N704" i="29" s="1"/>
  <c r="AB705" i="29"/>
  <c r="J705" i="29"/>
  <c r="Y705" i="29" s="1"/>
  <c r="I705" i="29"/>
  <c r="E706" i="29"/>
  <c r="G706" i="29"/>
  <c r="Q706" i="29"/>
  <c r="R706" i="29"/>
  <c r="S706" i="29"/>
  <c r="T706" i="29"/>
  <c r="U706" i="29"/>
  <c r="B707" i="29"/>
  <c r="AD708" i="29"/>
  <c r="AI707" i="29"/>
  <c r="O705" i="29"/>
  <c r="L602" i="7" s="1"/>
  <c r="AE706" i="29"/>
  <c r="AA706" i="29" s="1"/>
  <c r="AF706" i="29"/>
  <c r="Z704" i="29"/>
  <c r="P704" i="29" l="1"/>
  <c r="V704" i="29"/>
  <c r="W704" i="29" s="1"/>
  <c r="K705" i="29"/>
  <c r="N705" i="29" s="1"/>
  <c r="L605" i="7"/>
  <c r="L607" i="7" s="1"/>
  <c r="I641" i="7" s="1"/>
  <c r="J641" i="7" s="1"/>
  <c r="AB706" i="29"/>
  <c r="I610" i="7"/>
  <c r="J610" i="7" s="1"/>
  <c r="I643" i="7"/>
  <c r="J643" i="7" s="1"/>
  <c r="K665" i="7"/>
  <c r="K649" i="7"/>
  <c r="K617" i="7"/>
  <c r="K679" i="7"/>
  <c r="K680" i="7"/>
  <c r="K664" i="7"/>
  <c r="K648" i="7"/>
  <c r="K632" i="7"/>
  <c r="K616" i="7"/>
  <c r="K678" i="7"/>
  <c r="K639" i="7"/>
  <c r="K607" i="7"/>
  <c r="K646" i="7"/>
  <c r="K614" i="7"/>
  <c r="K651" i="7"/>
  <c r="K619" i="7"/>
  <c r="K650" i="7"/>
  <c r="K618" i="7"/>
  <c r="I613" i="7"/>
  <c r="J613" i="7" s="1"/>
  <c r="I628" i="7"/>
  <c r="J628" i="7" s="1"/>
  <c r="I655" i="7"/>
  <c r="J655" i="7" s="1"/>
  <c r="I662" i="7"/>
  <c r="J662" i="7" s="1"/>
  <c r="K602" i="7"/>
  <c r="I680" i="7"/>
  <c r="J680" i="7" s="1"/>
  <c r="I619" i="7"/>
  <c r="J619" i="7" s="1"/>
  <c r="I618" i="7"/>
  <c r="J618" i="7" s="1"/>
  <c r="I620" i="7"/>
  <c r="J620" i="7" s="1"/>
  <c r="I668" i="7"/>
  <c r="J668" i="7" s="1"/>
  <c r="I670" i="7"/>
  <c r="J670" i="7" s="1"/>
  <c r="I621" i="7"/>
  <c r="J621" i="7" s="1"/>
  <c r="I642" i="7"/>
  <c r="J642" i="7" s="1"/>
  <c r="I651" i="7"/>
  <c r="J651" i="7" s="1"/>
  <c r="I650" i="7"/>
  <c r="J650" i="7" s="1"/>
  <c r="I676" i="7"/>
  <c r="J676" i="7" s="1"/>
  <c r="I614" i="7"/>
  <c r="J614" i="7" s="1"/>
  <c r="I679" i="7"/>
  <c r="J679" i="7" s="1"/>
  <c r="I674" i="7"/>
  <c r="J674" i="7" s="1"/>
  <c r="I635" i="7"/>
  <c r="J635" i="7" s="1"/>
  <c r="K677" i="7"/>
  <c r="K661" i="7"/>
  <c r="K645" i="7"/>
  <c r="K629" i="7"/>
  <c r="K613" i="7"/>
  <c r="K675" i="7"/>
  <c r="K676" i="7"/>
  <c r="K660" i="7"/>
  <c r="K644" i="7"/>
  <c r="K628" i="7"/>
  <c r="K612" i="7"/>
  <c r="K663" i="7"/>
  <c r="K631" i="7"/>
  <c r="K674" i="7"/>
  <c r="K638" i="7"/>
  <c r="K606" i="7"/>
  <c r="K643" i="7"/>
  <c r="K611" i="7"/>
  <c r="K642" i="7"/>
  <c r="K610" i="7"/>
  <c r="I671" i="7"/>
  <c r="J671" i="7" s="1"/>
  <c r="I627" i="7"/>
  <c r="J627" i="7" s="1"/>
  <c r="I617" i="7"/>
  <c r="J617" i="7" s="1"/>
  <c r="I681" i="7"/>
  <c r="J681" i="7" s="1"/>
  <c r="I666" i="7"/>
  <c r="J666" i="7" s="1"/>
  <c r="I667" i="7"/>
  <c r="J667" i="7" s="1"/>
  <c r="I647" i="7"/>
  <c r="J647" i="7" s="1"/>
  <c r="I609" i="7"/>
  <c r="J609" i="7" s="1"/>
  <c r="I652" i="7"/>
  <c r="J652" i="7" s="1"/>
  <c r="I677" i="7"/>
  <c r="J677" i="7" s="1"/>
  <c r="I630" i="7"/>
  <c r="J630" i="7" s="1"/>
  <c r="I644" i="7"/>
  <c r="J644" i="7" s="1"/>
  <c r="I638" i="7"/>
  <c r="J638" i="7" s="1"/>
  <c r="K653" i="7"/>
  <c r="K621" i="7"/>
  <c r="K667" i="7"/>
  <c r="K652" i="7"/>
  <c r="K620" i="7"/>
  <c r="K647" i="7"/>
  <c r="K654" i="7"/>
  <c r="K659" i="7"/>
  <c r="K658" i="7"/>
  <c r="I657" i="7"/>
  <c r="J657" i="7" s="1"/>
  <c r="I637" i="7"/>
  <c r="J637" i="7" s="1"/>
  <c r="K603" i="7"/>
  <c r="I612" i="7"/>
  <c r="J612" i="7" s="1"/>
  <c r="I646" i="7"/>
  <c r="J646" i="7" s="1"/>
  <c r="I661" i="7"/>
  <c r="J661" i="7" s="1"/>
  <c r="I605" i="7"/>
  <c r="J605" i="7" s="1"/>
  <c r="I663" i="7"/>
  <c r="J663" i="7" s="1"/>
  <c r="I629" i="7"/>
  <c r="J629" i="7" s="1"/>
  <c r="I675" i="7"/>
  <c r="J675" i="7" s="1"/>
  <c r="K673" i="7"/>
  <c r="K641" i="7"/>
  <c r="K609" i="7"/>
  <c r="K672" i="7"/>
  <c r="K640" i="7"/>
  <c r="K608" i="7"/>
  <c r="K623" i="7"/>
  <c r="K630" i="7"/>
  <c r="K635" i="7"/>
  <c r="K634" i="7"/>
  <c r="I615" i="7"/>
  <c r="J615" i="7" s="1"/>
  <c r="I648" i="7"/>
  <c r="J648" i="7" s="1"/>
  <c r="I603" i="7"/>
  <c r="J603" i="7" s="1"/>
  <c r="I616" i="7"/>
  <c r="J616" i="7" s="1"/>
  <c r="I669" i="7"/>
  <c r="J669" i="7" s="1"/>
  <c r="I654" i="7"/>
  <c r="J654" i="7" s="1"/>
  <c r="I623" i="7"/>
  <c r="J623" i="7" s="1"/>
  <c r="I636" i="7"/>
  <c r="J636" i="7" s="1"/>
  <c r="I622" i="7"/>
  <c r="J622" i="7" s="1"/>
  <c r="I649" i="7"/>
  <c r="J649" i="7" s="1"/>
  <c r="K669" i="7"/>
  <c r="K637" i="7"/>
  <c r="K605" i="7"/>
  <c r="K668" i="7"/>
  <c r="K636" i="7"/>
  <c r="K604" i="7"/>
  <c r="K615" i="7"/>
  <c r="K622" i="7"/>
  <c r="K627" i="7"/>
  <c r="K626" i="7"/>
  <c r="I660" i="7"/>
  <c r="J660" i="7" s="1"/>
  <c r="I604" i="7"/>
  <c r="J604" i="7" s="1"/>
  <c r="I611" i="7"/>
  <c r="J611" i="7" s="1"/>
  <c r="I653" i="7"/>
  <c r="J653" i="7" s="1"/>
  <c r="I624" i="7"/>
  <c r="J624" i="7" s="1"/>
  <c r="I631" i="7"/>
  <c r="J631" i="7" s="1"/>
  <c r="I658" i="7"/>
  <c r="J658" i="7" s="1"/>
  <c r="I665" i="7"/>
  <c r="J665" i="7" s="1"/>
  <c r="I633" i="7"/>
  <c r="J633" i="7" s="1"/>
  <c r="I626" i="7"/>
  <c r="J626" i="7" s="1"/>
  <c r="K657" i="7"/>
  <c r="K625" i="7"/>
  <c r="K671" i="7"/>
  <c r="K656" i="7"/>
  <c r="K624" i="7"/>
  <c r="K655" i="7"/>
  <c r="K662" i="7"/>
  <c r="K670" i="7"/>
  <c r="K666" i="7"/>
  <c r="I645" i="7"/>
  <c r="J645" i="7" s="1"/>
  <c r="I673" i="7"/>
  <c r="J673" i="7" s="1"/>
  <c r="I625" i="7"/>
  <c r="J625" i="7" s="1"/>
  <c r="O706" i="29"/>
  <c r="Z705" i="29"/>
  <c r="B708" i="29"/>
  <c r="AI708" i="29"/>
  <c r="AD709" i="29"/>
  <c r="Q707" i="29"/>
  <c r="R707" i="29"/>
  <c r="E707" i="29"/>
  <c r="G707" i="29"/>
  <c r="U707" i="29"/>
  <c r="T707" i="29"/>
  <c r="S707" i="29"/>
  <c r="J706" i="29"/>
  <c r="Y706" i="29" s="1"/>
  <c r="I706" i="29"/>
  <c r="K706" i="29" s="1"/>
  <c r="AF707" i="29"/>
  <c r="AE707" i="29"/>
  <c r="AA707" i="29" s="1"/>
  <c r="V705" i="29" l="1"/>
  <c r="W705" i="29" s="1"/>
  <c r="P705" i="29"/>
  <c r="I678" i="7"/>
  <c r="J678" i="7" s="1"/>
  <c r="K681" i="7"/>
  <c r="K633" i="7"/>
  <c r="I640" i="7"/>
  <c r="J640" i="7" s="1"/>
  <c r="N706" i="29"/>
  <c r="I639" i="7"/>
  <c r="J639" i="7" s="1"/>
  <c r="I608" i="7"/>
  <c r="J608" i="7" s="1"/>
  <c r="I632" i="7"/>
  <c r="J632" i="7" s="1"/>
  <c r="I606" i="7"/>
  <c r="J606" i="7" s="1"/>
  <c r="I607" i="7"/>
  <c r="J607" i="7" s="1"/>
  <c r="I656" i="7"/>
  <c r="J656" i="7" s="1"/>
  <c r="I659" i="7"/>
  <c r="J659" i="7" s="1"/>
  <c r="I602" i="7"/>
  <c r="J602" i="7" s="1"/>
  <c r="I664" i="7"/>
  <c r="J664" i="7" s="1"/>
  <c r="I634" i="7"/>
  <c r="J634" i="7" s="1"/>
  <c r="I672" i="7"/>
  <c r="J672" i="7" s="1"/>
  <c r="AB707" i="29"/>
  <c r="O707" i="29"/>
  <c r="I707" i="29"/>
  <c r="K707" i="29" s="1"/>
  <c r="J707" i="29"/>
  <c r="Y707" i="29" s="1"/>
  <c r="Q708" i="29"/>
  <c r="E708" i="29"/>
  <c r="R708" i="29"/>
  <c r="T708" i="29"/>
  <c r="S708" i="29"/>
  <c r="U708" i="29"/>
  <c r="G708" i="29"/>
  <c r="P706" i="29"/>
  <c r="V706" i="29"/>
  <c r="W706" i="29" s="1"/>
  <c r="AI709" i="29"/>
  <c r="B709" i="29"/>
  <c r="AD710" i="29"/>
  <c r="AE708" i="29"/>
  <c r="AA708" i="29" s="1"/>
  <c r="AF708" i="29"/>
  <c r="Z706" i="29"/>
  <c r="N707" i="29" l="1"/>
  <c r="Z707" i="29"/>
  <c r="AB708" i="29"/>
  <c r="O708" i="29"/>
  <c r="V707" i="29"/>
  <c r="W707" i="29" s="1"/>
  <c r="P707" i="29"/>
  <c r="AI710" i="29"/>
  <c r="B710" i="29"/>
  <c r="AD711" i="29"/>
  <c r="U709" i="29"/>
  <c r="S709" i="29"/>
  <c r="T709" i="29"/>
  <c r="R709" i="29"/>
  <c r="Q709" i="29"/>
  <c r="E709" i="29"/>
  <c r="G709" i="29"/>
  <c r="AE709" i="29"/>
  <c r="AA709" i="29" s="1"/>
  <c r="AF709" i="29"/>
  <c r="I708" i="29"/>
  <c r="J708" i="29"/>
  <c r="Y708" i="29" s="1"/>
  <c r="AB709" i="29" l="1"/>
  <c r="K708" i="29"/>
  <c r="N708" i="29" s="1"/>
  <c r="J709" i="29"/>
  <c r="Y709" i="29" s="1"/>
  <c r="I709" i="29"/>
  <c r="AF710" i="29"/>
  <c r="AE710" i="29"/>
  <c r="AA710" i="29" s="1"/>
  <c r="AI711" i="29"/>
  <c r="AD712" i="29"/>
  <c r="B711" i="29"/>
  <c r="O709" i="29"/>
  <c r="Q710" i="29"/>
  <c r="S710" i="29"/>
  <c r="E710" i="29"/>
  <c r="G710" i="29"/>
  <c r="U710" i="29"/>
  <c r="T710" i="29"/>
  <c r="R710" i="29"/>
  <c r="Z708" i="29"/>
  <c r="V708" i="29" l="1"/>
  <c r="W708" i="29" s="1"/>
  <c r="P708" i="29"/>
  <c r="K709" i="29"/>
  <c r="N709" i="29" s="1"/>
  <c r="AB710" i="29"/>
  <c r="T711" i="29"/>
  <c r="Q711" i="29"/>
  <c r="G711" i="29"/>
  <c r="U711" i="29"/>
  <c r="E711" i="29"/>
  <c r="R711" i="29"/>
  <c r="S711" i="29"/>
  <c r="B712" i="29"/>
  <c r="AD713" i="29"/>
  <c r="AI712" i="29"/>
  <c r="AF711" i="29"/>
  <c r="AE711" i="29"/>
  <c r="AA711" i="29" s="1"/>
  <c r="O710" i="29"/>
  <c r="Z709" i="29"/>
  <c r="I710" i="29"/>
  <c r="J710" i="29"/>
  <c r="Y710" i="29" s="1"/>
  <c r="V709" i="29" l="1"/>
  <c r="W709" i="29" s="1"/>
  <c r="P709" i="29"/>
  <c r="K710" i="29"/>
  <c r="N710" i="29" s="1"/>
  <c r="AB711" i="29"/>
  <c r="U712" i="29"/>
  <c r="Q712" i="29"/>
  <c r="T712" i="29"/>
  <c r="S712" i="29"/>
  <c r="G712" i="29"/>
  <c r="E712" i="29"/>
  <c r="R712" i="29"/>
  <c r="Z710" i="29"/>
  <c r="B713" i="29"/>
  <c r="AI713" i="29"/>
  <c r="AD714" i="29"/>
  <c r="I711" i="29"/>
  <c r="J711" i="29"/>
  <c r="Y711" i="29" s="1"/>
  <c r="AF712" i="29"/>
  <c r="AE712" i="29"/>
  <c r="AA712" i="29" s="1"/>
  <c r="O711" i="29"/>
  <c r="V710" i="29" l="1"/>
  <c r="W710" i="29" s="1"/>
  <c r="P710" i="29"/>
  <c r="AB712" i="29"/>
  <c r="K711" i="29"/>
  <c r="N711" i="29" s="1"/>
  <c r="O712" i="29"/>
  <c r="AI714" i="29"/>
  <c r="B714" i="29"/>
  <c r="AD715" i="29"/>
  <c r="Z711" i="29"/>
  <c r="AF713" i="29"/>
  <c r="AE713" i="29"/>
  <c r="AA713" i="29" s="1"/>
  <c r="J712" i="29"/>
  <c r="Y712" i="29" s="1"/>
  <c r="I712" i="29"/>
  <c r="R713" i="29"/>
  <c r="G713" i="29"/>
  <c r="Q713" i="29"/>
  <c r="E713" i="29"/>
  <c r="S713" i="29"/>
  <c r="T713" i="29"/>
  <c r="U713" i="29"/>
  <c r="V711" i="29" l="1"/>
  <c r="W711" i="29" s="1"/>
  <c r="P711" i="29"/>
  <c r="AB713" i="29"/>
  <c r="K712" i="29"/>
  <c r="N712" i="29" s="1"/>
  <c r="V712" i="29" s="1"/>
  <c r="W712" i="29" s="1"/>
  <c r="AF714" i="29"/>
  <c r="AE714" i="29"/>
  <c r="AA714" i="29" s="1"/>
  <c r="Z712" i="29"/>
  <c r="AI715" i="29"/>
  <c r="AD716" i="29"/>
  <c r="B715" i="29"/>
  <c r="O713" i="29"/>
  <c r="I713" i="29"/>
  <c r="J713" i="29"/>
  <c r="Y713" i="29" s="1"/>
  <c r="Q714" i="29"/>
  <c r="E714" i="29"/>
  <c r="T714" i="29"/>
  <c r="R714" i="29"/>
  <c r="G714" i="29"/>
  <c r="U714" i="29"/>
  <c r="S714" i="29"/>
  <c r="P712" i="29" l="1"/>
  <c r="K713" i="29"/>
  <c r="N713" i="29" s="1"/>
  <c r="AB714" i="29"/>
  <c r="O714" i="29"/>
  <c r="Z713" i="29"/>
  <c r="E715" i="29"/>
  <c r="S715" i="29"/>
  <c r="G715" i="29"/>
  <c r="R715" i="29"/>
  <c r="U715" i="29"/>
  <c r="Q715" i="29"/>
  <c r="T715" i="29"/>
  <c r="AD717" i="29"/>
  <c r="AI716" i="29"/>
  <c r="B716" i="29"/>
  <c r="I714" i="29"/>
  <c r="J714" i="29"/>
  <c r="Y714" i="29" s="1"/>
  <c r="AF715" i="29"/>
  <c r="AE715" i="29"/>
  <c r="AA715" i="29" s="1"/>
  <c r="V713" i="29" l="1"/>
  <c r="W713" i="29" s="1"/>
  <c r="P713" i="29"/>
  <c r="K714" i="29"/>
  <c r="N714" i="29" s="1"/>
  <c r="AB715" i="29"/>
  <c r="I715" i="29"/>
  <c r="K715" i="29" s="1"/>
  <c r="J715" i="29"/>
  <c r="Y715" i="29" s="1"/>
  <c r="G716" i="29"/>
  <c r="R716" i="29"/>
  <c r="U716" i="29"/>
  <c r="S716" i="29"/>
  <c r="E716" i="29"/>
  <c r="Q716" i="29"/>
  <c r="T716" i="29"/>
  <c r="AE716" i="29"/>
  <c r="AA716" i="29" s="1"/>
  <c r="AF716" i="29"/>
  <c r="AI717" i="29"/>
  <c r="AD718" i="29"/>
  <c r="B717" i="29"/>
  <c r="Z714" i="29"/>
  <c r="O715" i="29"/>
  <c r="P714" i="29" l="1"/>
  <c r="V714" i="29"/>
  <c r="W714" i="29" s="1"/>
  <c r="N715" i="29"/>
  <c r="AB716" i="29"/>
  <c r="AF717" i="29"/>
  <c r="AE717" i="29"/>
  <c r="AA717" i="29" s="1"/>
  <c r="U717" i="29"/>
  <c r="G717" i="29"/>
  <c r="S717" i="29"/>
  <c r="R717" i="29"/>
  <c r="E717" i="29"/>
  <c r="Q717" i="29"/>
  <c r="T717" i="29"/>
  <c r="I716" i="29"/>
  <c r="K716" i="29" s="1"/>
  <c r="J716" i="29"/>
  <c r="Y716" i="29" s="1"/>
  <c r="Z715" i="29"/>
  <c r="B718" i="29"/>
  <c r="AI718" i="29"/>
  <c r="AD719" i="29"/>
  <c r="O716" i="29"/>
  <c r="V715" i="29"/>
  <c r="W715" i="29" s="1"/>
  <c r="P715" i="29"/>
  <c r="AB717" i="29" l="1"/>
  <c r="N716" i="29"/>
  <c r="O717" i="29"/>
  <c r="Z716" i="29"/>
  <c r="B719" i="29"/>
  <c r="AI719" i="29"/>
  <c r="AD720" i="29"/>
  <c r="AE718" i="29"/>
  <c r="AA718" i="29" s="1"/>
  <c r="AF718" i="29"/>
  <c r="E718" i="29"/>
  <c r="Q718" i="29"/>
  <c r="G718" i="29"/>
  <c r="T718" i="29"/>
  <c r="R718" i="29"/>
  <c r="U718" i="29"/>
  <c r="S718" i="29"/>
  <c r="V716" i="29"/>
  <c r="W716" i="29" s="1"/>
  <c r="P716" i="29"/>
  <c r="I717" i="29"/>
  <c r="J717" i="29"/>
  <c r="Y717" i="29" s="1"/>
  <c r="AB718" i="29" l="1"/>
  <c r="K717" i="29"/>
  <c r="N717" i="29" s="1"/>
  <c r="O718" i="29"/>
  <c r="AF719" i="29"/>
  <c r="AE719" i="29"/>
  <c r="AA719" i="29" s="1"/>
  <c r="J718" i="29"/>
  <c r="Y718" i="29" s="1"/>
  <c r="Z718" i="29" s="1"/>
  <c r="I718" i="29"/>
  <c r="T719" i="29"/>
  <c r="Q719" i="29"/>
  <c r="U719" i="29"/>
  <c r="E719" i="29"/>
  <c r="G719" i="29"/>
  <c r="S719" i="29"/>
  <c r="R719" i="29"/>
  <c r="AD721" i="29"/>
  <c r="B720" i="29"/>
  <c r="AI720" i="29"/>
  <c r="Z717" i="29"/>
  <c r="P717" i="29" l="1"/>
  <c r="V717" i="29"/>
  <c r="W717" i="29" s="1"/>
  <c r="AB719" i="29"/>
  <c r="K718" i="29"/>
  <c r="N718" i="29" s="1"/>
  <c r="AE720" i="29"/>
  <c r="AA720" i="29" s="1"/>
  <c r="AF720" i="29"/>
  <c r="O719" i="29"/>
  <c r="J719" i="29"/>
  <c r="Y719" i="29" s="1"/>
  <c r="I719" i="29"/>
  <c r="K719" i="29" s="1"/>
  <c r="R720" i="29"/>
  <c r="T720" i="29"/>
  <c r="U720" i="29"/>
  <c r="E720" i="29"/>
  <c r="S720" i="29"/>
  <c r="Q720" i="29"/>
  <c r="G720" i="29"/>
  <c r="B721" i="29"/>
  <c r="AD722" i="29"/>
  <c r="AI721" i="29"/>
  <c r="V718" i="29" l="1"/>
  <c r="W718" i="29" s="1"/>
  <c r="P718" i="29"/>
  <c r="AB720" i="29"/>
  <c r="N719" i="29"/>
  <c r="Z719" i="29"/>
  <c r="AF721" i="29"/>
  <c r="AE721" i="29"/>
  <c r="AA721" i="29" s="1"/>
  <c r="AD723" i="29"/>
  <c r="AI722" i="29"/>
  <c r="B722" i="29"/>
  <c r="J720" i="29"/>
  <c r="I720" i="29"/>
  <c r="K720" i="29" s="1"/>
  <c r="N720" i="29" s="1"/>
  <c r="G721" i="29"/>
  <c r="E721" i="29"/>
  <c r="S721" i="29"/>
  <c r="R721" i="29"/>
  <c r="T721" i="29"/>
  <c r="U721" i="29"/>
  <c r="Q721" i="29"/>
  <c r="Y720" i="29"/>
  <c r="P719" i="29"/>
  <c r="V719" i="29"/>
  <c r="W719" i="29" s="1"/>
  <c r="O720" i="29"/>
  <c r="AB721" i="29" l="1"/>
  <c r="J721" i="29"/>
  <c r="Y721" i="29" s="1"/>
  <c r="I721" i="29"/>
  <c r="K721" i="29" s="1"/>
  <c r="N721" i="29" s="1"/>
  <c r="Z720" i="29"/>
  <c r="E722" i="29"/>
  <c r="G722" i="29"/>
  <c r="R722" i="29"/>
  <c r="S722" i="29"/>
  <c r="T722" i="29"/>
  <c r="U722" i="29"/>
  <c r="Q722" i="29"/>
  <c r="AE722" i="29"/>
  <c r="AA722" i="29" s="1"/>
  <c r="AF722" i="29"/>
  <c r="V720" i="29"/>
  <c r="W720" i="29" s="1"/>
  <c r="P720" i="29"/>
  <c r="O721" i="29"/>
  <c r="AD724" i="29"/>
  <c r="AI723" i="29"/>
  <c r="B723" i="29"/>
  <c r="AB722" i="29" l="1"/>
  <c r="O722" i="29"/>
  <c r="G723" i="29"/>
  <c r="E723" i="29"/>
  <c r="R723" i="29"/>
  <c r="T723" i="29"/>
  <c r="S723" i="29"/>
  <c r="U723" i="29"/>
  <c r="Q723" i="29"/>
  <c r="AF723" i="29"/>
  <c r="AE723" i="29"/>
  <c r="AA723" i="29" s="1"/>
  <c r="V721" i="29"/>
  <c r="W721" i="29" s="1"/>
  <c r="P721" i="29"/>
  <c r="AI724" i="29"/>
  <c r="AD725" i="29"/>
  <c r="B724" i="29"/>
  <c r="Z721" i="29"/>
  <c r="I722" i="29"/>
  <c r="J722" i="29"/>
  <c r="Y722" i="29" s="1"/>
  <c r="K722" i="29" l="1"/>
  <c r="N722" i="29" s="1"/>
  <c r="AB723" i="29"/>
  <c r="AI725" i="29"/>
  <c r="AD726" i="29"/>
  <c r="B725" i="29"/>
  <c r="I723" i="29"/>
  <c r="J723" i="29"/>
  <c r="AE724" i="29"/>
  <c r="AA724" i="29" s="1"/>
  <c r="AF724" i="29"/>
  <c r="T724" i="29"/>
  <c r="G724" i="29"/>
  <c r="Q724" i="29"/>
  <c r="E724" i="29"/>
  <c r="R724" i="29"/>
  <c r="S724" i="29"/>
  <c r="U724" i="29"/>
  <c r="O723" i="29"/>
  <c r="Y723" i="29"/>
  <c r="Z722" i="29"/>
  <c r="V722" i="29" l="1"/>
  <c r="W722" i="29" s="1"/>
  <c r="P722" i="29"/>
  <c r="K723" i="29"/>
  <c r="N723" i="29" s="1"/>
  <c r="AB724" i="29"/>
  <c r="O724" i="29"/>
  <c r="E725" i="29"/>
  <c r="S725" i="29"/>
  <c r="R725" i="29"/>
  <c r="U725" i="29"/>
  <c r="G725" i="29"/>
  <c r="T725" i="29"/>
  <c r="Q725" i="29"/>
  <c r="AI726" i="29"/>
  <c r="B726" i="29"/>
  <c r="AD727" i="29"/>
  <c r="Z723" i="29"/>
  <c r="J724" i="29"/>
  <c r="Y724" i="29" s="1"/>
  <c r="Z724" i="29" s="1"/>
  <c r="I724" i="29"/>
  <c r="K724" i="29" s="1"/>
  <c r="AF725" i="29"/>
  <c r="AE725" i="29"/>
  <c r="AA725" i="29" s="1"/>
  <c r="P723" i="29" l="1"/>
  <c r="V723" i="29"/>
  <c r="W723" i="29" s="1"/>
  <c r="N724" i="29"/>
  <c r="AB725" i="29"/>
  <c r="I725" i="29"/>
  <c r="K725" i="29" s="1"/>
  <c r="J725" i="29"/>
  <c r="Y725" i="29" s="1"/>
  <c r="AD728" i="29"/>
  <c r="B727" i="29"/>
  <c r="AI727" i="29"/>
  <c r="T726" i="29"/>
  <c r="Q726" i="29"/>
  <c r="R726" i="29"/>
  <c r="E726" i="29"/>
  <c r="S726" i="29"/>
  <c r="U726" i="29"/>
  <c r="G726" i="29"/>
  <c r="V724" i="29"/>
  <c r="W724" i="29" s="1"/>
  <c r="P724" i="29"/>
  <c r="AE726" i="29"/>
  <c r="AA726" i="29" s="1"/>
  <c r="AF726" i="29"/>
  <c r="O725" i="29"/>
  <c r="N725" i="29" l="1"/>
  <c r="V725" i="29" s="1"/>
  <c r="W725" i="29" s="1"/>
  <c r="AB726" i="29"/>
  <c r="O726" i="29"/>
  <c r="P725" i="29"/>
  <c r="AI728" i="29"/>
  <c r="AD729" i="29"/>
  <c r="B728" i="29"/>
  <c r="J726" i="29"/>
  <c r="Y726" i="29" s="1"/>
  <c r="Z726" i="29" s="1"/>
  <c r="I726" i="29"/>
  <c r="AE727" i="29"/>
  <c r="AA727" i="29" s="1"/>
  <c r="AF727" i="29"/>
  <c r="Z725" i="29"/>
  <c r="T727" i="29"/>
  <c r="E727" i="29"/>
  <c r="G727" i="29"/>
  <c r="Q727" i="29"/>
  <c r="R727" i="29"/>
  <c r="S727" i="29"/>
  <c r="U727" i="29"/>
  <c r="AB727" i="29" l="1"/>
  <c r="K726" i="29"/>
  <c r="N726" i="29" s="1"/>
  <c r="O727" i="29"/>
  <c r="U728" i="29"/>
  <c r="Q728" i="29"/>
  <c r="G728" i="29"/>
  <c r="T728" i="29"/>
  <c r="S728" i="29"/>
  <c r="E728" i="29"/>
  <c r="R728" i="29"/>
  <c r="AI729" i="29"/>
  <c r="B729" i="29"/>
  <c r="AD730" i="29"/>
  <c r="J727" i="29"/>
  <c r="Y727" i="29" s="1"/>
  <c r="Z727" i="29" s="1"/>
  <c r="I727" i="29"/>
  <c r="AE728" i="29"/>
  <c r="AA728" i="29" s="1"/>
  <c r="AF728" i="29"/>
  <c r="V726" i="29" l="1"/>
  <c r="W726" i="29" s="1"/>
  <c r="P726" i="29"/>
  <c r="K727" i="29"/>
  <c r="N727" i="29" s="1"/>
  <c r="AB728" i="29"/>
  <c r="O728" i="29"/>
  <c r="B730" i="29"/>
  <c r="AD731" i="29"/>
  <c r="AI730" i="29"/>
  <c r="J728" i="29"/>
  <c r="Y728" i="29" s="1"/>
  <c r="I728" i="29"/>
  <c r="E729" i="29"/>
  <c r="S729" i="29"/>
  <c r="Q729" i="29"/>
  <c r="G729" i="29"/>
  <c r="U729" i="29"/>
  <c r="T729" i="29"/>
  <c r="R729" i="29"/>
  <c r="AF729" i="29"/>
  <c r="AE729" i="29"/>
  <c r="AA729" i="29" s="1"/>
  <c r="V727" i="29" l="1"/>
  <c r="W727" i="29" s="1"/>
  <c r="P727" i="29"/>
  <c r="K728" i="29"/>
  <c r="N728" i="29" s="1"/>
  <c r="AB729" i="29"/>
  <c r="T730" i="29"/>
  <c r="Q730" i="29"/>
  <c r="S730" i="29"/>
  <c r="U730" i="29"/>
  <c r="G730" i="29"/>
  <c r="E730" i="29"/>
  <c r="R730" i="29"/>
  <c r="O729" i="29"/>
  <c r="AF730" i="29"/>
  <c r="AE730" i="29"/>
  <c r="AA730" i="29" s="1"/>
  <c r="Z728" i="29"/>
  <c r="J729" i="29"/>
  <c r="Y729" i="29" s="1"/>
  <c r="I729" i="29"/>
  <c r="K729" i="29" s="1"/>
  <c r="AD732" i="29"/>
  <c r="AI731" i="29"/>
  <c r="B731" i="29"/>
  <c r="P728" i="29" l="1"/>
  <c r="V728" i="29"/>
  <c r="W728" i="29" s="1"/>
  <c r="AB730" i="29"/>
  <c r="N729" i="29"/>
  <c r="S731" i="29"/>
  <c r="G731" i="29"/>
  <c r="Q731" i="29"/>
  <c r="T731" i="29"/>
  <c r="R731" i="29"/>
  <c r="E731" i="29"/>
  <c r="U731" i="29"/>
  <c r="V729" i="29"/>
  <c r="W729" i="29" s="1"/>
  <c r="P729" i="29"/>
  <c r="AE731" i="29"/>
  <c r="AA731" i="29" s="1"/>
  <c r="AF731" i="29"/>
  <c r="I730" i="29"/>
  <c r="J730" i="29"/>
  <c r="Y730" i="29" s="1"/>
  <c r="Z729" i="29"/>
  <c r="O730" i="29"/>
  <c r="AI732" i="29"/>
  <c r="B732" i="29"/>
  <c r="AD733" i="29"/>
  <c r="K730" i="29" l="1"/>
  <c r="N730" i="29" s="1"/>
  <c r="AB731" i="29"/>
  <c r="O731" i="29"/>
  <c r="AD734" i="29"/>
  <c r="AI733" i="29"/>
  <c r="B733" i="29"/>
  <c r="I731" i="29"/>
  <c r="K731" i="29" s="1"/>
  <c r="N731" i="29" s="1"/>
  <c r="J731" i="29"/>
  <c r="Y731" i="29" s="1"/>
  <c r="S732" i="29"/>
  <c r="T732" i="29"/>
  <c r="E732" i="29"/>
  <c r="Q732" i="29"/>
  <c r="U732" i="29"/>
  <c r="O732" i="29" s="1"/>
  <c r="G732" i="29"/>
  <c r="R732" i="29"/>
  <c r="Z730" i="29"/>
  <c r="AE732" i="29"/>
  <c r="AA732" i="29" s="1"/>
  <c r="AF732" i="29"/>
  <c r="V730" i="29" l="1"/>
  <c r="W730" i="29" s="1"/>
  <c r="P730" i="29"/>
  <c r="Z731" i="29"/>
  <c r="AB732" i="29"/>
  <c r="V731" i="29"/>
  <c r="W731" i="29" s="1"/>
  <c r="P731" i="29"/>
  <c r="E733" i="29"/>
  <c r="T733" i="29"/>
  <c r="U733" i="29"/>
  <c r="S733" i="29"/>
  <c r="R733" i="29"/>
  <c r="G733" i="29"/>
  <c r="Q733" i="29"/>
  <c r="AF733" i="29"/>
  <c r="AE733" i="29"/>
  <c r="AA733" i="29" s="1"/>
  <c r="AD735" i="29"/>
  <c r="AI734" i="29"/>
  <c r="B734" i="29"/>
  <c r="I732" i="29"/>
  <c r="J732" i="29"/>
  <c r="Y732" i="29" s="1"/>
  <c r="Z732" i="29" s="1"/>
  <c r="K732" i="29" l="1"/>
  <c r="N732" i="29" s="1"/>
  <c r="AB733" i="29"/>
  <c r="O733" i="29"/>
  <c r="AD736" i="29"/>
  <c r="AI735" i="29"/>
  <c r="B735" i="29"/>
  <c r="I733" i="29"/>
  <c r="K733" i="29" s="1"/>
  <c r="N733" i="29" s="1"/>
  <c r="J733" i="29"/>
  <c r="Y733" i="29" s="1"/>
  <c r="G734" i="29"/>
  <c r="U734" i="29"/>
  <c r="R734" i="29"/>
  <c r="E734" i="29"/>
  <c r="Q734" i="29"/>
  <c r="T734" i="29"/>
  <c r="S734" i="29"/>
  <c r="AE734" i="29"/>
  <c r="AA734" i="29" s="1"/>
  <c r="AF734" i="29"/>
  <c r="P732" i="29" l="1"/>
  <c r="V732" i="29"/>
  <c r="W732" i="29" s="1"/>
  <c r="AB734" i="29"/>
  <c r="G735" i="29"/>
  <c r="Q735" i="29"/>
  <c r="S735" i="29"/>
  <c r="U735" i="29"/>
  <c r="R735" i="29"/>
  <c r="E735" i="29"/>
  <c r="T735" i="29"/>
  <c r="AE735" i="29"/>
  <c r="AA735" i="29" s="1"/>
  <c r="AF735" i="29"/>
  <c r="AI736" i="29"/>
  <c r="B736" i="29"/>
  <c r="AD737" i="29"/>
  <c r="J734" i="29"/>
  <c r="Y734" i="29" s="1"/>
  <c r="I734" i="29"/>
  <c r="V733" i="29"/>
  <c r="W733" i="29" s="1"/>
  <c r="P733" i="29"/>
  <c r="O734" i="29"/>
  <c r="Z733" i="29"/>
  <c r="K734" i="29" l="1"/>
  <c r="N734" i="29" s="1"/>
  <c r="AB735" i="29"/>
  <c r="Z734" i="29"/>
  <c r="AI737" i="29"/>
  <c r="AD738" i="29"/>
  <c r="B737" i="29"/>
  <c r="I735" i="29"/>
  <c r="K735" i="29" s="1"/>
  <c r="J735" i="29"/>
  <c r="Y735" i="29" s="1"/>
  <c r="U736" i="29"/>
  <c r="R736" i="29"/>
  <c r="G736" i="29"/>
  <c r="E736" i="29"/>
  <c r="T736" i="29"/>
  <c r="S736" i="29"/>
  <c r="Q736" i="29"/>
  <c r="AF736" i="29"/>
  <c r="AE736" i="29"/>
  <c r="AA736" i="29" s="1"/>
  <c r="O735" i="29"/>
  <c r="V734" i="29" l="1"/>
  <c r="W734" i="29" s="1"/>
  <c r="P734" i="29"/>
  <c r="N735" i="29"/>
  <c r="AB736" i="29"/>
  <c r="Z735" i="29"/>
  <c r="B738" i="29"/>
  <c r="AD739" i="29"/>
  <c r="AI738" i="29"/>
  <c r="AF737" i="29"/>
  <c r="AE737" i="29"/>
  <c r="AA737" i="29" s="1"/>
  <c r="V735" i="29"/>
  <c r="W735" i="29" s="1"/>
  <c r="P735" i="29"/>
  <c r="I736" i="29"/>
  <c r="K736" i="29" s="1"/>
  <c r="J736" i="29"/>
  <c r="Y736" i="29" s="1"/>
  <c r="O736" i="29"/>
  <c r="T737" i="29"/>
  <c r="Q737" i="29"/>
  <c r="S737" i="29"/>
  <c r="R737" i="29"/>
  <c r="E737" i="29"/>
  <c r="G737" i="29"/>
  <c r="U737" i="29"/>
  <c r="AB737" i="29" l="1"/>
  <c r="N736" i="29"/>
  <c r="O737" i="29"/>
  <c r="R738" i="29"/>
  <c r="S738" i="29"/>
  <c r="E738" i="29"/>
  <c r="T738" i="29"/>
  <c r="G738" i="29"/>
  <c r="U738" i="29"/>
  <c r="Q738" i="29"/>
  <c r="Z736" i="29"/>
  <c r="I737" i="29"/>
  <c r="J737" i="29"/>
  <c r="Y737" i="29" s="1"/>
  <c r="Z737" i="29" s="1"/>
  <c r="AF738" i="29"/>
  <c r="AE738" i="29"/>
  <c r="AA738" i="29" s="1"/>
  <c r="P736" i="29"/>
  <c r="V736" i="29"/>
  <c r="W736" i="29" s="1"/>
  <c r="AD740" i="29"/>
  <c r="B739" i="29"/>
  <c r="AI739" i="29"/>
  <c r="K737" i="29" l="1"/>
  <c r="N737" i="29" s="1"/>
  <c r="AB738" i="29"/>
  <c r="O738" i="29"/>
  <c r="Q739" i="29"/>
  <c r="E739" i="29"/>
  <c r="S739" i="29"/>
  <c r="U739" i="29"/>
  <c r="T739" i="29"/>
  <c r="G739" i="29"/>
  <c r="R739" i="29"/>
  <c r="AI740" i="29"/>
  <c r="B740" i="29"/>
  <c r="AD741" i="29"/>
  <c r="J738" i="29"/>
  <c r="I738" i="29"/>
  <c r="K738" i="29" s="1"/>
  <c r="AF739" i="29"/>
  <c r="AE739" i="29"/>
  <c r="AA739" i="29" s="1"/>
  <c r="Y738" i="29"/>
  <c r="Z738" i="29" s="1"/>
  <c r="V737" i="29" l="1"/>
  <c r="W737" i="29" s="1"/>
  <c r="P737" i="29"/>
  <c r="N738" i="29"/>
  <c r="AB739" i="29"/>
  <c r="J739" i="29"/>
  <c r="Y739" i="29" s="1"/>
  <c r="I739" i="29"/>
  <c r="R740" i="29"/>
  <c r="S740" i="29"/>
  <c r="T740" i="29"/>
  <c r="U740" i="29"/>
  <c r="G740" i="29"/>
  <c r="E740" i="29"/>
  <c r="Q740" i="29"/>
  <c r="AE740" i="29"/>
  <c r="AA740" i="29" s="1"/>
  <c r="AF740" i="29"/>
  <c r="V738" i="29"/>
  <c r="W738" i="29" s="1"/>
  <c r="P738" i="29"/>
  <c r="AD742" i="29"/>
  <c r="AI741" i="29"/>
  <c r="B741" i="29"/>
  <c r="O739" i="29"/>
  <c r="K739" i="29" l="1"/>
  <c r="N739" i="29" s="1"/>
  <c r="AB740" i="29"/>
  <c r="E741" i="29"/>
  <c r="U741" i="29"/>
  <c r="T741" i="29"/>
  <c r="S741" i="29"/>
  <c r="R741" i="29"/>
  <c r="Q741" i="29"/>
  <c r="G741" i="29"/>
  <c r="I740" i="29"/>
  <c r="K740" i="29" s="1"/>
  <c r="J740" i="29"/>
  <c r="Y740" i="29" s="1"/>
  <c r="AF741" i="29"/>
  <c r="AE741" i="29"/>
  <c r="AA741" i="29" s="1"/>
  <c r="AD743" i="29"/>
  <c r="AI742" i="29"/>
  <c r="B742" i="29"/>
  <c r="Z739" i="29"/>
  <c r="O740" i="29"/>
  <c r="V739" i="29" l="1"/>
  <c r="W739" i="29" s="1"/>
  <c r="P739" i="29"/>
  <c r="N740" i="29"/>
  <c r="AB741" i="29"/>
  <c r="O741" i="29"/>
  <c r="S742" i="29"/>
  <c r="R742" i="29"/>
  <c r="G742" i="29"/>
  <c r="E742" i="29"/>
  <c r="U742" i="29"/>
  <c r="Q742" i="29"/>
  <c r="T742" i="29"/>
  <c r="AF742" i="29"/>
  <c r="AE742" i="29"/>
  <c r="AA742" i="29" s="1"/>
  <c r="B743" i="29"/>
  <c r="AD744" i="29"/>
  <c r="AI743" i="29"/>
  <c r="Z740" i="29"/>
  <c r="I741" i="29"/>
  <c r="J741" i="29"/>
  <c r="Y741" i="29" s="1"/>
  <c r="V740" i="29"/>
  <c r="W740" i="29" s="1"/>
  <c r="P740" i="29"/>
  <c r="K741" i="29" l="1"/>
  <c r="N741" i="29" s="1"/>
  <c r="AB742" i="29"/>
  <c r="AI744" i="29"/>
  <c r="B744" i="29"/>
  <c r="AD745" i="29"/>
  <c r="T743" i="29"/>
  <c r="R743" i="29"/>
  <c r="S743" i="29"/>
  <c r="E743" i="29"/>
  <c r="U743" i="29"/>
  <c r="G743" i="29"/>
  <c r="Q743" i="29"/>
  <c r="I742" i="29"/>
  <c r="K742" i="29" s="1"/>
  <c r="N742" i="29" s="1"/>
  <c r="J742" i="29"/>
  <c r="Y742" i="29" s="1"/>
  <c r="AE743" i="29"/>
  <c r="AA743" i="29" s="1"/>
  <c r="AF743" i="29"/>
  <c r="Z741" i="29"/>
  <c r="O742" i="29"/>
  <c r="V741" i="29" l="1"/>
  <c r="W741" i="29" s="1"/>
  <c r="P741" i="29"/>
  <c r="AB743" i="29"/>
  <c r="AF744" i="29"/>
  <c r="AE744" i="29"/>
  <c r="AA744" i="29" s="1"/>
  <c r="Z742" i="29"/>
  <c r="P742" i="29"/>
  <c r="V742" i="29"/>
  <c r="W742" i="29" s="1"/>
  <c r="O743" i="29"/>
  <c r="J743" i="29"/>
  <c r="Y743" i="29" s="1"/>
  <c r="I743" i="29"/>
  <c r="AI745" i="29"/>
  <c r="B745" i="29"/>
  <c r="AD746" i="29"/>
  <c r="E744" i="29"/>
  <c r="R744" i="29"/>
  <c r="U744" i="29"/>
  <c r="G744" i="29"/>
  <c r="T744" i="29"/>
  <c r="Q744" i="29"/>
  <c r="S744" i="29"/>
  <c r="AB744" i="29" l="1"/>
  <c r="K743" i="29"/>
  <c r="N743" i="29" s="1"/>
  <c r="B746" i="29"/>
  <c r="AD747" i="29"/>
  <c r="AI746" i="29"/>
  <c r="J744" i="29"/>
  <c r="Y744" i="29" s="1"/>
  <c r="I744" i="29"/>
  <c r="K744" i="29" s="1"/>
  <c r="O744" i="29"/>
  <c r="E745" i="29"/>
  <c r="U745" i="29"/>
  <c r="T745" i="29"/>
  <c r="G745" i="29"/>
  <c r="S745" i="29"/>
  <c r="Q745" i="29"/>
  <c r="R745" i="29"/>
  <c r="Z743" i="29"/>
  <c r="AE745" i="29"/>
  <c r="AA745" i="29" s="1"/>
  <c r="AF745" i="29"/>
  <c r="V743" i="29" l="1"/>
  <c r="W743" i="29" s="1"/>
  <c r="P743" i="29"/>
  <c r="N744" i="29"/>
  <c r="P744" i="29" s="1"/>
  <c r="AB745" i="29"/>
  <c r="V744" i="29"/>
  <c r="W744" i="29" s="1"/>
  <c r="AE746" i="29"/>
  <c r="AA746" i="29" s="1"/>
  <c r="AF746" i="29"/>
  <c r="O745" i="29"/>
  <c r="AD748" i="29"/>
  <c r="B747" i="29"/>
  <c r="AI747" i="29"/>
  <c r="S746" i="29"/>
  <c r="R746" i="29"/>
  <c r="Q746" i="29"/>
  <c r="E746" i="29"/>
  <c r="G746" i="29"/>
  <c r="U746" i="29"/>
  <c r="T746" i="29"/>
  <c r="J745" i="29"/>
  <c r="Y745" i="29" s="1"/>
  <c r="I745" i="29"/>
  <c r="K745" i="29" s="1"/>
  <c r="Z744" i="29"/>
  <c r="N745" i="29" l="1"/>
  <c r="AB746" i="29"/>
  <c r="O746" i="29"/>
  <c r="V745" i="29"/>
  <c r="W745" i="29" s="1"/>
  <c r="P745" i="29"/>
  <c r="AF747" i="29"/>
  <c r="AE747" i="29"/>
  <c r="AA747" i="29" s="1"/>
  <c r="T747" i="29"/>
  <c r="G747" i="29"/>
  <c r="R747" i="29"/>
  <c r="S747" i="29"/>
  <c r="Q747" i="29"/>
  <c r="E747" i="29"/>
  <c r="U747" i="29"/>
  <c r="I746" i="29"/>
  <c r="J746" i="29"/>
  <c r="Y746" i="29" s="1"/>
  <c r="Z746" i="29" s="1"/>
  <c r="AI748" i="29"/>
  <c r="B748" i="29"/>
  <c r="AD749" i="29"/>
  <c r="Z745" i="29"/>
  <c r="K746" i="29" l="1"/>
  <c r="N746" i="29" s="1"/>
  <c r="AB747" i="29"/>
  <c r="I747" i="29"/>
  <c r="K747" i="29" s="1"/>
  <c r="J747" i="29"/>
  <c r="Y747" i="29" s="1"/>
  <c r="AE748" i="29"/>
  <c r="AA748" i="29" s="1"/>
  <c r="AF748" i="29"/>
  <c r="AD750" i="29"/>
  <c r="B749" i="29"/>
  <c r="AI749" i="29"/>
  <c r="G748" i="29"/>
  <c r="S748" i="29"/>
  <c r="T748" i="29"/>
  <c r="U748" i="29"/>
  <c r="Q748" i="29"/>
  <c r="E748" i="29"/>
  <c r="R748" i="29"/>
  <c r="O747" i="29"/>
  <c r="P746" i="29" l="1"/>
  <c r="V746" i="29"/>
  <c r="W746" i="29" s="1"/>
  <c r="AB748" i="29"/>
  <c r="N747" i="29"/>
  <c r="P747" i="29" s="1"/>
  <c r="Z747" i="29"/>
  <c r="O748" i="29"/>
  <c r="AE749" i="29"/>
  <c r="AA749" i="29" s="1"/>
  <c r="AF749" i="29"/>
  <c r="I748" i="29"/>
  <c r="J748" i="29"/>
  <c r="Y748" i="29" s="1"/>
  <c r="R749" i="29"/>
  <c r="S749" i="29"/>
  <c r="U749" i="29"/>
  <c r="E749" i="29"/>
  <c r="G749" i="29"/>
  <c r="Q749" i="29"/>
  <c r="T749" i="29"/>
  <c r="AI750" i="29"/>
  <c r="AD751" i="29"/>
  <c r="B750" i="29"/>
  <c r="K748" i="29" l="1"/>
  <c r="N748" i="29" s="1"/>
  <c r="V747" i="29"/>
  <c r="W747" i="29" s="1"/>
  <c r="AB749" i="29"/>
  <c r="Z748" i="29"/>
  <c r="AI751" i="29"/>
  <c r="B751" i="29"/>
  <c r="AD752" i="29"/>
  <c r="AF750" i="29"/>
  <c r="AE750" i="29"/>
  <c r="AA750" i="29" s="1"/>
  <c r="S750" i="29"/>
  <c r="Q750" i="29"/>
  <c r="U750" i="29"/>
  <c r="G750" i="29"/>
  <c r="E750" i="29"/>
  <c r="R750" i="29"/>
  <c r="T750" i="29"/>
  <c r="J749" i="29"/>
  <c r="Y749" i="29" s="1"/>
  <c r="I749" i="29"/>
  <c r="O749" i="29"/>
  <c r="P748" i="29" l="1"/>
  <c r="V748" i="29"/>
  <c r="W748" i="29" s="1"/>
  <c r="AB750" i="29"/>
  <c r="K749" i="29"/>
  <c r="N749" i="29" s="1"/>
  <c r="Z749" i="29"/>
  <c r="I750" i="29"/>
  <c r="K750" i="29" s="1"/>
  <c r="J750" i="29"/>
  <c r="Y750" i="29" s="1"/>
  <c r="AD753" i="29"/>
  <c r="AI752" i="29"/>
  <c r="B752" i="29"/>
  <c r="O750" i="29"/>
  <c r="T751" i="29"/>
  <c r="E751" i="29"/>
  <c r="U751" i="29"/>
  <c r="S751" i="29"/>
  <c r="Q751" i="29"/>
  <c r="R751" i="29"/>
  <c r="G751" i="29"/>
  <c r="AE751" i="29"/>
  <c r="AA751" i="29" s="1"/>
  <c r="AF751" i="29"/>
  <c r="V749" i="29" l="1"/>
  <c r="W749" i="29" s="1"/>
  <c r="P749" i="29"/>
  <c r="N750" i="29"/>
  <c r="AB751" i="29"/>
  <c r="AF752" i="29"/>
  <c r="AE752" i="29"/>
  <c r="AA752" i="29" s="1"/>
  <c r="AD754" i="29"/>
  <c r="AI753" i="29"/>
  <c r="B753" i="29"/>
  <c r="J751" i="29"/>
  <c r="Y751" i="29" s="1"/>
  <c r="I751" i="29"/>
  <c r="Z750" i="29"/>
  <c r="O751" i="29"/>
  <c r="R752" i="29"/>
  <c r="S752" i="29"/>
  <c r="G752" i="29"/>
  <c r="E752" i="29"/>
  <c r="T752" i="29"/>
  <c r="Q752" i="29"/>
  <c r="U752" i="29"/>
  <c r="V750" i="29"/>
  <c r="W750" i="29" s="1"/>
  <c r="P750" i="29"/>
  <c r="K751" i="29" l="1"/>
  <c r="N751" i="29" s="1"/>
  <c r="AB752" i="29"/>
  <c r="O752" i="29"/>
  <c r="S753" i="29"/>
  <c r="T753" i="29"/>
  <c r="G753" i="29"/>
  <c r="U753" i="29"/>
  <c r="Q753" i="29"/>
  <c r="E753" i="29"/>
  <c r="R753" i="29"/>
  <c r="AF753" i="29"/>
  <c r="AE753" i="29"/>
  <c r="AA753" i="29" s="1"/>
  <c r="I752" i="29"/>
  <c r="K752" i="29" s="1"/>
  <c r="J752" i="29"/>
  <c r="Y752" i="29" s="1"/>
  <c r="AI754" i="29"/>
  <c r="AD755" i="29"/>
  <c r="B754" i="29"/>
  <c r="Z751" i="29"/>
  <c r="P751" i="29" l="1"/>
  <c r="V751" i="29"/>
  <c r="W751" i="29" s="1"/>
  <c r="N752" i="29"/>
  <c r="AB753" i="29"/>
  <c r="V752" i="29"/>
  <c r="W752" i="29" s="1"/>
  <c r="P752" i="29"/>
  <c r="T754" i="29"/>
  <c r="R754" i="29"/>
  <c r="G754" i="29"/>
  <c r="E754" i="29"/>
  <c r="U754" i="29"/>
  <c r="S754" i="29"/>
  <c r="Q754" i="29"/>
  <c r="J753" i="29"/>
  <c r="I753" i="29"/>
  <c r="B755" i="29"/>
  <c r="AI755" i="29"/>
  <c r="AD756" i="29"/>
  <c r="Y753" i="29"/>
  <c r="Z752" i="29"/>
  <c r="AE754" i="29"/>
  <c r="AA754" i="29" s="1"/>
  <c r="AF754" i="29"/>
  <c r="O753" i="29"/>
  <c r="K753" i="29" l="1"/>
  <c r="N753" i="29" s="1"/>
  <c r="AB754" i="29"/>
  <c r="J754" i="29"/>
  <c r="I754" i="29"/>
  <c r="E755" i="29"/>
  <c r="T755" i="29"/>
  <c r="S755" i="29"/>
  <c r="U755" i="29"/>
  <c r="G755" i="29"/>
  <c r="Q755" i="29"/>
  <c r="R755" i="29"/>
  <c r="Z753" i="29"/>
  <c r="B756" i="29"/>
  <c r="AI756" i="29"/>
  <c r="AD757" i="29"/>
  <c r="AF755" i="29"/>
  <c r="AE755" i="29"/>
  <c r="AA755" i="29" s="1"/>
  <c r="O754" i="29"/>
  <c r="Y754" i="29"/>
  <c r="P753" i="29" l="1"/>
  <c r="V753" i="29"/>
  <c r="W753" i="29" s="1"/>
  <c r="K754" i="29"/>
  <c r="N754" i="29" s="1"/>
  <c r="AB755" i="29"/>
  <c r="AF756" i="29"/>
  <c r="AE756" i="29"/>
  <c r="AA756" i="29" s="1"/>
  <c r="Z754" i="29"/>
  <c r="Q756" i="29"/>
  <c r="S756" i="29"/>
  <c r="U756" i="29"/>
  <c r="E756" i="29"/>
  <c r="R756" i="29"/>
  <c r="T756" i="29"/>
  <c r="G756" i="29"/>
  <c r="J755" i="29"/>
  <c r="Y755" i="29" s="1"/>
  <c r="I755" i="29"/>
  <c r="K755" i="29" s="1"/>
  <c r="AI757" i="29"/>
  <c r="AD758" i="29"/>
  <c r="B757" i="29"/>
  <c r="O755" i="29"/>
  <c r="P754" i="29" l="1"/>
  <c r="V754" i="29"/>
  <c r="W754" i="29" s="1"/>
  <c r="N755" i="29"/>
  <c r="AB756" i="29"/>
  <c r="O756" i="29"/>
  <c r="E757" i="29"/>
  <c r="R757" i="29"/>
  <c r="G757" i="29"/>
  <c r="S757" i="29"/>
  <c r="Q757" i="29"/>
  <c r="U757" i="29"/>
  <c r="T757" i="29"/>
  <c r="AI758" i="29"/>
  <c r="AD759" i="29"/>
  <c r="B758" i="29"/>
  <c r="P755" i="29"/>
  <c r="V755" i="29"/>
  <c r="W755" i="29" s="1"/>
  <c r="AF757" i="29"/>
  <c r="AE757" i="29"/>
  <c r="AA757" i="29" s="1"/>
  <c r="I756" i="29"/>
  <c r="J756" i="29"/>
  <c r="Y756" i="29" s="1"/>
  <c r="Z755" i="29"/>
  <c r="K756" i="29" l="1"/>
  <c r="N756" i="29" s="1"/>
  <c r="AB757" i="29"/>
  <c r="AD760" i="29"/>
  <c r="AI759" i="29"/>
  <c r="B759" i="29"/>
  <c r="I757" i="29"/>
  <c r="K757" i="29" s="1"/>
  <c r="N757" i="29" s="1"/>
  <c r="J757" i="29"/>
  <c r="Y757" i="29" s="1"/>
  <c r="AE758" i="29"/>
  <c r="AA758" i="29" s="1"/>
  <c r="AF758" i="29"/>
  <c r="S758" i="29"/>
  <c r="E758" i="29"/>
  <c r="T758" i="29"/>
  <c r="U758" i="29"/>
  <c r="Q758" i="29"/>
  <c r="G758" i="29"/>
  <c r="R758" i="29"/>
  <c r="Z756" i="29"/>
  <c r="O757" i="29"/>
  <c r="P756" i="29" l="1"/>
  <c r="V756" i="29"/>
  <c r="W756" i="29" s="1"/>
  <c r="AB758" i="29"/>
  <c r="Z757" i="29"/>
  <c r="O758" i="29"/>
  <c r="R759" i="29"/>
  <c r="Q759" i="29"/>
  <c r="G759" i="29"/>
  <c r="E759" i="29"/>
  <c r="T759" i="29"/>
  <c r="S759" i="29"/>
  <c r="U759" i="29"/>
  <c r="V757" i="29"/>
  <c r="W757" i="29" s="1"/>
  <c r="P757" i="29"/>
  <c r="I758" i="29"/>
  <c r="K758" i="29" s="1"/>
  <c r="J758" i="29"/>
  <c r="Y758" i="29" s="1"/>
  <c r="AF759" i="29"/>
  <c r="AE759" i="29"/>
  <c r="AA759" i="29" s="1"/>
  <c r="AI760" i="29"/>
  <c r="B760" i="29"/>
  <c r="AD761" i="29"/>
  <c r="N758" i="29" l="1"/>
  <c r="AB759" i="29"/>
  <c r="AE760" i="29"/>
  <c r="AA760" i="29" s="1"/>
  <c r="AF760" i="29"/>
  <c r="P758" i="29"/>
  <c r="V758" i="29"/>
  <c r="W758" i="29" s="1"/>
  <c r="J759" i="29"/>
  <c r="Y759" i="29" s="1"/>
  <c r="I759" i="29"/>
  <c r="K759" i="29" s="1"/>
  <c r="B761" i="29"/>
  <c r="AD762" i="29"/>
  <c r="AI761" i="29"/>
  <c r="G760" i="29"/>
  <c r="Q760" i="29"/>
  <c r="R760" i="29"/>
  <c r="E760" i="29"/>
  <c r="U760" i="29"/>
  <c r="S760" i="29"/>
  <c r="T760" i="29"/>
  <c r="Z758" i="29"/>
  <c r="O759" i="29"/>
  <c r="AB760" i="29" l="1"/>
  <c r="N759" i="29"/>
  <c r="O760" i="29"/>
  <c r="AD763" i="29"/>
  <c r="AI762" i="29"/>
  <c r="B762" i="29"/>
  <c r="T761" i="29"/>
  <c r="E761" i="29"/>
  <c r="R761" i="29"/>
  <c r="U761" i="29"/>
  <c r="S761" i="29"/>
  <c r="Q761" i="29"/>
  <c r="G761" i="29"/>
  <c r="P759" i="29"/>
  <c r="V759" i="29"/>
  <c r="W759" i="29" s="1"/>
  <c r="Z759" i="29"/>
  <c r="AF761" i="29"/>
  <c r="AE761" i="29"/>
  <c r="AA761" i="29" s="1"/>
  <c r="I760" i="29"/>
  <c r="J760" i="29"/>
  <c r="Y760" i="29" s="1"/>
  <c r="K760" i="29" l="1"/>
  <c r="N760" i="29" s="1"/>
  <c r="AB761" i="29"/>
  <c r="AE762" i="29"/>
  <c r="AA762" i="29" s="1"/>
  <c r="AF762" i="29"/>
  <c r="AI763" i="29"/>
  <c r="AD764" i="29"/>
  <c r="B763" i="29"/>
  <c r="J761" i="29"/>
  <c r="Y761" i="29" s="1"/>
  <c r="I761" i="29"/>
  <c r="K761" i="29" s="1"/>
  <c r="O761" i="29"/>
  <c r="E762" i="29"/>
  <c r="G762" i="29"/>
  <c r="T762" i="29"/>
  <c r="U762" i="29"/>
  <c r="Q762" i="29"/>
  <c r="R762" i="29"/>
  <c r="S762" i="29"/>
  <c r="Z760" i="29"/>
  <c r="P760" i="29" l="1"/>
  <c r="V760" i="29"/>
  <c r="W760" i="29" s="1"/>
  <c r="AB762" i="29"/>
  <c r="N761" i="29"/>
  <c r="AE763" i="29"/>
  <c r="AA763" i="29" s="1"/>
  <c r="AF763" i="29"/>
  <c r="O762" i="29"/>
  <c r="Z761" i="29"/>
  <c r="J762" i="29"/>
  <c r="Y762" i="29" s="1"/>
  <c r="I762" i="29"/>
  <c r="K762" i="29" s="1"/>
  <c r="R763" i="29"/>
  <c r="T763" i="29"/>
  <c r="S763" i="29"/>
  <c r="E763" i="29"/>
  <c r="U763" i="29"/>
  <c r="G763" i="29"/>
  <c r="Q763" i="29"/>
  <c r="P761" i="29"/>
  <c r="V761" i="29"/>
  <c r="W761" i="29" s="1"/>
  <c r="AI764" i="29"/>
  <c r="AD765" i="29"/>
  <c r="B764" i="29"/>
  <c r="AB763" i="29" l="1"/>
  <c r="N762" i="29"/>
  <c r="P762" i="29" s="1"/>
  <c r="V762" i="29"/>
  <c r="W762" i="29" s="1"/>
  <c r="AD766" i="29"/>
  <c r="B765" i="29"/>
  <c r="AI765" i="29"/>
  <c r="O763" i="29"/>
  <c r="Q764" i="29"/>
  <c r="S764" i="29"/>
  <c r="R764" i="29"/>
  <c r="U764" i="29"/>
  <c r="G764" i="29"/>
  <c r="E764" i="29"/>
  <c r="T764" i="29"/>
  <c r="AF764" i="29"/>
  <c r="AE764" i="29"/>
  <c r="AA764" i="29" s="1"/>
  <c r="Z762" i="29"/>
  <c r="I763" i="29"/>
  <c r="K763" i="29" s="1"/>
  <c r="J763" i="29"/>
  <c r="Y763" i="29" s="1"/>
  <c r="AB764" i="29" l="1"/>
  <c r="N763" i="29"/>
  <c r="V763" i="29" s="1"/>
  <c r="W763" i="29" s="1"/>
  <c r="G765" i="29"/>
  <c r="E765" i="29"/>
  <c r="S765" i="29"/>
  <c r="T765" i="29"/>
  <c r="R765" i="29"/>
  <c r="U765" i="29"/>
  <c r="Q765" i="29"/>
  <c r="J764" i="29"/>
  <c r="Y764" i="29" s="1"/>
  <c r="I764" i="29"/>
  <c r="K764" i="29" s="1"/>
  <c r="O764" i="29"/>
  <c r="B766" i="29"/>
  <c r="AD767" i="29"/>
  <c r="AI766" i="29"/>
  <c r="Z763" i="29"/>
  <c r="AF765" i="29"/>
  <c r="AE765" i="29"/>
  <c r="AA765" i="29" s="1"/>
  <c r="P763" i="29" l="1"/>
  <c r="N764" i="29"/>
  <c r="AB765" i="29"/>
  <c r="AI767" i="29"/>
  <c r="B767" i="29"/>
  <c r="AD768" i="29"/>
  <c r="AE766" i="29"/>
  <c r="AA766" i="29" s="1"/>
  <c r="AF766" i="29"/>
  <c r="P764" i="29"/>
  <c r="V764" i="29"/>
  <c r="W764" i="29" s="1"/>
  <c r="I765" i="29"/>
  <c r="J765" i="29"/>
  <c r="Y765" i="29" s="1"/>
  <c r="U766" i="29"/>
  <c r="E766" i="29"/>
  <c r="R766" i="29"/>
  <c r="G766" i="29"/>
  <c r="T766" i="29"/>
  <c r="Q766" i="29"/>
  <c r="S766" i="29"/>
  <c r="Z764" i="29"/>
  <c r="O765" i="29"/>
  <c r="AB766" i="29" l="1"/>
  <c r="K765" i="29"/>
  <c r="N765" i="29" s="1"/>
  <c r="Z765" i="29"/>
  <c r="I766" i="29"/>
  <c r="J766" i="29"/>
  <c r="B768" i="29"/>
  <c r="AI768" i="29"/>
  <c r="AD769" i="29"/>
  <c r="Y766" i="29"/>
  <c r="E767" i="29"/>
  <c r="T767" i="29"/>
  <c r="G767" i="29"/>
  <c r="S767" i="29"/>
  <c r="Q767" i="29"/>
  <c r="U767" i="29"/>
  <c r="R767" i="29"/>
  <c r="O766" i="29"/>
  <c r="AF767" i="29"/>
  <c r="AE767" i="29"/>
  <c r="AA767" i="29" s="1"/>
  <c r="V765" i="29" l="1"/>
  <c r="W765" i="29" s="1"/>
  <c r="P765" i="29"/>
  <c r="K766" i="29"/>
  <c r="N766" i="29" s="1"/>
  <c r="AB767" i="29"/>
  <c r="O767" i="29"/>
  <c r="J767" i="29"/>
  <c r="Y767" i="29" s="1"/>
  <c r="I767" i="29"/>
  <c r="Z766" i="29"/>
  <c r="AD770" i="29"/>
  <c r="AI769" i="29"/>
  <c r="B769" i="29"/>
  <c r="AF768" i="29"/>
  <c r="AE768" i="29"/>
  <c r="AA768" i="29" s="1"/>
  <c r="R768" i="29"/>
  <c r="Q768" i="29"/>
  <c r="U768" i="29"/>
  <c r="E768" i="29"/>
  <c r="T768" i="29"/>
  <c r="G768" i="29"/>
  <c r="S768" i="29"/>
  <c r="V766" i="29" l="1"/>
  <c r="W766" i="29" s="1"/>
  <c r="P766" i="29"/>
  <c r="AB768" i="29"/>
  <c r="K767" i="29"/>
  <c r="N767" i="29" s="1"/>
  <c r="Z767" i="29"/>
  <c r="G769" i="29"/>
  <c r="S769" i="29"/>
  <c r="Q769" i="29"/>
  <c r="U769" i="29"/>
  <c r="R769" i="29"/>
  <c r="E769" i="29"/>
  <c r="T769" i="29"/>
  <c r="AE769" i="29"/>
  <c r="AA769" i="29" s="1"/>
  <c r="AF769" i="29"/>
  <c r="O768" i="29"/>
  <c r="J768" i="29"/>
  <c r="Y768" i="29" s="1"/>
  <c r="I768" i="29"/>
  <c r="K768" i="29" s="1"/>
  <c r="AD771" i="29"/>
  <c r="B770" i="29"/>
  <c r="AI770" i="29"/>
  <c r="V767" i="29" l="1"/>
  <c r="W767" i="29" s="1"/>
  <c r="P767" i="29"/>
  <c r="N768" i="29"/>
  <c r="AB769" i="29"/>
  <c r="Q770" i="29"/>
  <c r="U770" i="29"/>
  <c r="T770" i="29"/>
  <c r="G770" i="29"/>
  <c r="R770" i="29"/>
  <c r="S770" i="29"/>
  <c r="E770" i="29"/>
  <c r="Z768" i="29"/>
  <c r="AD772" i="29"/>
  <c r="B771" i="29"/>
  <c r="AI771" i="29"/>
  <c r="V768" i="29"/>
  <c r="W768" i="29" s="1"/>
  <c r="P768" i="29"/>
  <c r="I769" i="29"/>
  <c r="K769" i="29" s="1"/>
  <c r="J769" i="29"/>
  <c r="Y769" i="29" s="1"/>
  <c r="AE770" i="29"/>
  <c r="AA770" i="29" s="1"/>
  <c r="AF770" i="29"/>
  <c r="O769" i="29"/>
  <c r="AB770" i="29" l="1"/>
  <c r="N769" i="29"/>
  <c r="Z769" i="29"/>
  <c r="I770" i="29"/>
  <c r="K770" i="29" s="1"/>
  <c r="J770" i="29"/>
  <c r="S771" i="29"/>
  <c r="E771" i="29"/>
  <c r="R771" i="29"/>
  <c r="T771" i="29"/>
  <c r="Q771" i="29"/>
  <c r="U771" i="29"/>
  <c r="G771" i="29"/>
  <c r="Y770" i="29"/>
  <c r="AD773" i="29"/>
  <c r="B772" i="29"/>
  <c r="AI772" i="29"/>
  <c r="O770" i="29"/>
  <c r="AE771" i="29"/>
  <c r="AA771" i="29" s="1"/>
  <c r="AF771" i="29"/>
  <c r="AB771" i="29" l="1"/>
  <c r="AF772" i="29"/>
  <c r="AE772" i="29"/>
  <c r="AA772" i="29" s="1"/>
  <c r="O771" i="29"/>
  <c r="V769" i="29"/>
  <c r="W769" i="29" s="1"/>
  <c r="P769" i="29"/>
  <c r="E772" i="29"/>
  <c r="G772" i="29"/>
  <c r="Q772" i="29"/>
  <c r="R772" i="29"/>
  <c r="T772" i="29"/>
  <c r="U772" i="29"/>
  <c r="S772" i="29"/>
  <c r="B773" i="29"/>
  <c r="AD774" i="29"/>
  <c r="AI773" i="29"/>
  <c r="J771" i="29"/>
  <c r="Y771" i="29" s="1"/>
  <c r="I771" i="29"/>
  <c r="K771" i="29" s="1"/>
  <c r="Z770" i="29"/>
  <c r="N770" i="29"/>
  <c r="AB772" i="29" l="1"/>
  <c r="U773" i="29"/>
  <c r="E773" i="29"/>
  <c r="S773" i="29"/>
  <c r="Q773" i="29"/>
  <c r="T773" i="29"/>
  <c r="R773" i="29"/>
  <c r="G773" i="29"/>
  <c r="AE773" i="29"/>
  <c r="AA773" i="29" s="1"/>
  <c r="AF773" i="29"/>
  <c r="P770" i="29"/>
  <c r="V770" i="29"/>
  <c r="W770" i="29" s="1"/>
  <c r="N771" i="29"/>
  <c r="AI774" i="29"/>
  <c r="B774" i="29"/>
  <c r="AD775" i="29"/>
  <c r="I772" i="29"/>
  <c r="K772" i="29" s="1"/>
  <c r="J772" i="29"/>
  <c r="Y772" i="29" s="1"/>
  <c r="Z771" i="29"/>
  <c r="O772" i="29"/>
  <c r="AB773" i="29" l="1"/>
  <c r="I773" i="29"/>
  <c r="K773" i="29" s="1"/>
  <c r="J773" i="29"/>
  <c r="B775" i="29"/>
  <c r="AD776" i="29"/>
  <c r="AI775" i="29"/>
  <c r="V771" i="29"/>
  <c r="W771" i="29" s="1"/>
  <c r="P771" i="29"/>
  <c r="S774" i="29"/>
  <c r="Q774" i="29"/>
  <c r="R774" i="29"/>
  <c r="E774" i="29"/>
  <c r="U774" i="29"/>
  <c r="T774" i="29"/>
  <c r="G774" i="29"/>
  <c r="Z772" i="29"/>
  <c r="N772" i="29"/>
  <c r="AE774" i="29"/>
  <c r="AA774" i="29" s="1"/>
  <c r="AF774" i="29"/>
  <c r="Y773" i="29"/>
  <c r="O773" i="29"/>
  <c r="AB774" i="29" l="1"/>
  <c r="O774" i="29"/>
  <c r="AE775" i="29"/>
  <c r="AA775" i="29" s="1"/>
  <c r="AF775" i="29"/>
  <c r="N773" i="29"/>
  <c r="Z773" i="29"/>
  <c r="AI776" i="29"/>
  <c r="AD777" i="29"/>
  <c r="B776" i="29"/>
  <c r="J774" i="29"/>
  <c r="Y774" i="29" s="1"/>
  <c r="I774" i="29"/>
  <c r="K774" i="29" s="1"/>
  <c r="V772" i="29"/>
  <c r="P772" i="29"/>
  <c r="Q775" i="29"/>
  <c r="E775" i="29"/>
  <c r="T775" i="29"/>
  <c r="G775" i="29"/>
  <c r="S775" i="29"/>
  <c r="R775" i="29"/>
  <c r="U775" i="29"/>
  <c r="AB775" i="29" l="1"/>
  <c r="O775" i="29"/>
  <c r="N774" i="29"/>
  <c r="AI777" i="29"/>
  <c r="AD778" i="29"/>
  <c r="B777" i="29"/>
  <c r="J775" i="29"/>
  <c r="Y775" i="29" s="1"/>
  <c r="I775" i="29"/>
  <c r="K775" i="29" s="1"/>
  <c r="Z774" i="29"/>
  <c r="W772" i="29"/>
  <c r="AF776" i="29"/>
  <c r="AE776" i="29"/>
  <c r="AA776" i="29" s="1"/>
  <c r="P773" i="29"/>
  <c r="V773" i="29"/>
  <c r="W773" i="29" s="1"/>
  <c r="G776" i="29"/>
  <c r="E776" i="29"/>
  <c r="U776" i="29"/>
  <c r="R776" i="29"/>
  <c r="Q776" i="29"/>
  <c r="S776" i="29"/>
  <c r="T776" i="29"/>
  <c r="AB776" i="29" l="1"/>
  <c r="Z775" i="29"/>
  <c r="N775" i="29"/>
  <c r="B778" i="29"/>
  <c r="AI778" i="29"/>
  <c r="AD779" i="29"/>
  <c r="I776" i="29"/>
  <c r="K776" i="29" s="1"/>
  <c r="J776" i="29"/>
  <c r="Y776" i="29" s="1"/>
  <c r="AE777" i="29"/>
  <c r="AA777" i="29" s="1"/>
  <c r="AF777" i="29"/>
  <c r="O776" i="29"/>
  <c r="V774" i="29"/>
  <c r="W774" i="29" s="1"/>
  <c r="P774" i="29"/>
  <c r="E777" i="29"/>
  <c r="S777" i="29"/>
  <c r="R777" i="29"/>
  <c r="G777" i="29"/>
  <c r="U777" i="29"/>
  <c r="T777" i="29"/>
  <c r="Q777" i="29"/>
  <c r="AB777" i="29" l="1"/>
  <c r="AI779" i="29"/>
  <c r="B779" i="29"/>
  <c r="AD780" i="29"/>
  <c r="O777" i="29"/>
  <c r="AE778" i="29"/>
  <c r="AA778" i="29" s="1"/>
  <c r="AF778" i="29"/>
  <c r="P775" i="29"/>
  <c r="V775" i="29"/>
  <c r="I777" i="29"/>
  <c r="K777" i="29" s="1"/>
  <c r="J777" i="29"/>
  <c r="Y777" i="29" s="1"/>
  <c r="U778" i="29"/>
  <c r="R778" i="29"/>
  <c r="T778" i="29"/>
  <c r="E778" i="29"/>
  <c r="G778" i="29"/>
  <c r="S778" i="29"/>
  <c r="Q778" i="29"/>
  <c r="N776" i="29"/>
  <c r="Z776" i="29"/>
  <c r="AB778" i="29" l="1"/>
  <c r="O778" i="29"/>
  <c r="AF779" i="29"/>
  <c r="AE779" i="29"/>
  <c r="AA779" i="29" s="1"/>
  <c r="Z777" i="29"/>
  <c r="V776" i="29"/>
  <c r="W776" i="29" s="1"/>
  <c r="P776" i="29"/>
  <c r="N777" i="29"/>
  <c r="I778" i="29"/>
  <c r="K778" i="29" s="1"/>
  <c r="J778" i="29"/>
  <c r="Y778" i="29" s="1"/>
  <c r="AI780" i="29"/>
  <c r="AD781" i="29"/>
  <c r="B780" i="29"/>
  <c r="W775" i="29"/>
  <c r="S779" i="29"/>
  <c r="Q779" i="29"/>
  <c r="T779" i="29"/>
  <c r="U779" i="29"/>
  <c r="G779" i="29"/>
  <c r="E779" i="29"/>
  <c r="R779" i="29"/>
  <c r="AB779" i="29" l="1"/>
  <c r="AF780" i="29"/>
  <c r="AE780" i="29"/>
  <c r="AA780" i="29" s="1"/>
  <c r="V777" i="29"/>
  <c r="P777" i="29"/>
  <c r="O779" i="29"/>
  <c r="N778" i="29"/>
  <c r="E780" i="29"/>
  <c r="R780" i="29"/>
  <c r="U780" i="29"/>
  <c r="T780" i="29"/>
  <c r="Q780" i="29"/>
  <c r="G780" i="29"/>
  <c r="S780" i="29"/>
  <c r="B781" i="29"/>
  <c r="AI781" i="29"/>
  <c r="AD782" i="29"/>
  <c r="I779" i="29"/>
  <c r="J779" i="29"/>
  <c r="Y779" i="29" s="1"/>
  <c r="Z778" i="29"/>
  <c r="K779" i="29" l="1"/>
  <c r="N779" i="29" s="1"/>
  <c r="AB780" i="29"/>
  <c r="AE781" i="29"/>
  <c r="AA781" i="29" s="1"/>
  <c r="AF781" i="29"/>
  <c r="Q781" i="29"/>
  <c r="S781" i="29"/>
  <c r="T781" i="29"/>
  <c r="E781" i="29"/>
  <c r="U781" i="29"/>
  <c r="R781" i="29"/>
  <c r="G781" i="29"/>
  <c r="O780" i="29"/>
  <c r="W777" i="29"/>
  <c r="P778" i="29"/>
  <c r="V778" i="29"/>
  <c r="W778" i="29" s="1"/>
  <c r="AD783" i="29"/>
  <c r="AI782" i="29"/>
  <c r="B782" i="29"/>
  <c r="Z779" i="29"/>
  <c r="J780" i="29"/>
  <c r="Y780" i="29" s="1"/>
  <c r="I780" i="29"/>
  <c r="P779" i="29" l="1"/>
  <c r="V779" i="29"/>
  <c r="W779" i="29" s="1"/>
  <c r="K780" i="29"/>
  <c r="N780" i="29" s="1"/>
  <c r="AB781" i="29"/>
  <c r="AE782" i="29"/>
  <c r="AA782" i="29" s="1"/>
  <c r="AF782" i="29"/>
  <c r="O781" i="29"/>
  <c r="S782" i="29"/>
  <c r="E782" i="29"/>
  <c r="Q782" i="29"/>
  <c r="R782" i="29"/>
  <c r="T782" i="29"/>
  <c r="G782" i="29"/>
  <c r="U782" i="29"/>
  <c r="AD784" i="29"/>
  <c r="B783" i="29"/>
  <c r="AI783" i="29"/>
  <c r="J781" i="29"/>
  <c r="Y781" i="29" s="1"/>
  <c r="I781" i="29"/>
  <c r="Z780" i="29"/>
  <c r="P780" i="29" l="1"/>
  <c r="V780" i="29"/>
  <c r="W780" i="29" s="1"/>
  <c r="K781" i="29"/>
  <c r="N781" i="29" s="1"/>
  <c r="AB782" i="29"/>
  <c r="J782" i="29"/>
  <c r="I782" i="29"/>
  <c r="AF783" i="29"/>
  <c r="AE783" i="29"/>
  <c r="AA783" i="29" s="1"/>
  <c r="Z781" i="29"/>
  <c r="O782" i="29"/>
  <c r="T783" i="29"/>
  <c r="Q783" i="29"/>
  <c r="R783" i="29"/>
  <c r="S783" i="29"/>
  <c r="G783" i="29"/>
  <c r="E783" i="29"/>
  <c r="U783" i="29"/>
  <c r="AD785" i="29"/>
  <c r="B784" i="29"/>
  <c r="AI784" i="29"/>
  <c r="Y782" i="29"/>
  <c r="V781" i="29" l="1"/>
  <c r="W781" i="29" s="1"/>
  <c r="P781" i="29"/>
  <c r="AB783" i="29"/>
  <c r="K782" i="29"/>
  <c r="N782" i="29" s="1"/>
  <c r="O783" i="29"/>
  <c r="AF784" i="29"/>
  <c r="AE784" i="29"/>
  <c r="AA784" i="29" s="1"/>
  <c r="E784" i="29"/>
  <c r="T784" i="29"/>
  <c r="R784" i="29"/>
  <c r="Q784" i="29"/>
  <c r="G784" i="29"/>
  <c r="U784" i="29"/>
  <c r="S784" i="29"/>
  <c r="B785" i="29"/>
  <c r="AI785" i="29"/>
  <c r="AD786" i="29"/>
  <c r="Z782" i="29"/>
  <c r="J783" i="29"/>
  <c r="Y783" i="29" s="1"/>
  <c r="I783" i="29"/>
  <c r="K783" i="29" s="1"/>
  <c r="V782" i="29" l="1"/>
  <c r="W782" i="29" s="1"/>
  <c r="P782" i="29"/>
  <c r="AB784" i="29"/>
  <c r="N783" i="29"/>
  <c r="P783" i="29" s="1"/>
  <c r="O784" i="29"/>
  <c r="Z783" i="29"/>
  <c r="I784" i="29"/>
  <c r="K784" i="29" s="1"/>
  <c r="J784" i="29"/>
  <c r="Y784" i="29" s="1"/>
  <c r="AF785" i="29"/>
  <c r="AE785" i="29"/>
  <c r="AA785" i="29" s="1"/>
  <c r="E785" i="29"/>
  <c r="Q785" i="29"/>
  <c r="G785" i="29"/>
  <c r="U785" i="29"/>
  <c r="R785" i="29"/>
  <c r="S785" i="29"/>
  <c r="T785" i="29"/>
  <c r="AI786" i="29"/>
  <c r="B786" i="29"/>
  <c r="AD787" i="29"/>
  <c r="V783" i="29" l="1"/>
  <c r="W783" i="29" s="1"/>
  <c r="AB785" i="29"/>
  <c r="N784" i="29"/>
  <c r="T786" i="29"/>
  <c r="E786" i="29"/>
  <c r="G786" i="29"/>
  <c r="U786" i="29"/>
  <c r="Q786" i="29"/>
  <c r="S786" i="29"/>
  <c r="R786" i="29"/>
  <c r="AE786" i="29"/>
  <c r="AA786" i="29" s="1"/>
  <c r="AF786" i="29"/>
  <c r="O785" i="29"/>
  <c r="I785" i="29"/>
  <c r="J785" i="29"/>
  <c r="Y785" i="29" s="1"/>
  <c r="AI787" i="29"/>
  <c r="AD788" i="29"/>
  <c r="B787" i="29"/>
  <c r="V784" i="29"/>
  <c r="W784" i="29" s="1"/>
  <c r="P784" i="29"/>
  <c r="Z784" i="29"/>
  <c r="K785" i="29" l="1"/>
  <c r="N785" i="29" s="1"/>
  <c r="AB786" i="29"/>
  <c r="AF787" i="29"/>
  <c r="AE787" i="29"/>
  <c r="AA787" i="29" s="1"/>
  <c r="I786" i="29"/>
  <c r="J786" i="29"/>
  <c r="Y786" i="29" s="1"/>
  <c r="O786" i="29"/>
  <c r="E787" i="29"/>
  <c r="S787" i="29"/>
  <c r="G787" i="29"/>
  <c r="R787" i="29"/>
  <c r="U787" i="29"/>
  <c r="Q787" i="29"/>
  <c r="T787" i="29"/>
  <c r="Z785" i="29"/>
  <c r="B788" i="29"/>
  <c r="AD789" i="29"/>
  <c r="AI788" i="29"/>
  <c r="V785" i="29" l="1"/>
  <c r="W785" i="29" s="1"/>
  <c r="P785" i="29"/>
  <c r="AB787" i="29"/>
  <c r="K786" i="29"/>
  <c r="N786" i="29" s="1"/>
  <c r="AF788" i="29"/>
  <c r="AE788" i="29"/>
  <c r="AA788" i="29" s="1"/>
  <c r="O787" i="29"/>
  <c r="B789" i="29"/>
  <c r="AD790" i="29"/>
  <c r="AI789" i="29"/>
  <c r="Q788" i="29"/>
  <c r="E788" i="29"/>
  <c r="G788" i="29"/>
  <c r="U788" i="29"/>
  <c r="S788" i="29"/>
  <c r="T788" i="29"/>
  <c r="R788" i="29"/>
  <c r="Z786" i="29"/>
  <c r="I787" i="29"/>
  <c r="K787" i="29" s="1"/>
  <c r="J787" i="29"/>
  <c r="Y787" i="29" s="1"/>
  <c r="V786" i="29" l="1"/>
  <c r="W786" i="29" s="1"/>
  <c r="P786" i="29"/>
  <c r="AB788" i="29"/>
  <c r="N787" i="29"/>
  <c r="P787" i="29" s="1"/>
  <c r="AF789" i="29"/>
  <c r="AE789" i="29"/>
  <c r="AA789" i="29" s="1"/>
  <c r="V787" i="29"/>
  <c r="W787" i="29" s="1"/>
  <c r="O788" i="29"/>
  <c r="AD791" i="29"/>
  <c r="B790" i="29"/>
  <c r="AI790" i="29"/>
  <c r="R789" i="29"/>
  <c r="G789" i="29"/>
  <c r="Q789" i="29"/>
  <c r="E789" i="29"/>
  <c r="S789" i="29"/>
  <c r="T789" i="29"/>
  <c r="U789" i="29"/>
  <c r="Z787" i="29"/>
  <c r="J788" i="29"/>
  <c r="Y788" i="29" s="1"/>
  <c r="I788" i="29"/>
  <c r="K788" i="29" s="1"/>
  <c r="N788" i="29" l="1"/>
  <c r="AB789" i="29"/>
  <c r="O789" i="29"/>
  <c r="AF790" i="29"/>
  <c r="AE790" i="29"/>
  <c r="AA790" i="29" s="1"/>
  <c r="T790" i="29"/>
  <c r="S790" i="29"/>
  <c r="U790" i="29"/>
  <c r="E790" i="29"/>
  <c r="G790" i="29"/>
  <c r="R790" i="29"/>
  <c r="Q790" i="29"/>
  <c r="V788" i="29"/>
  <c r="W788" i="29" s="1"/>
  <c r="P788" i="29"/>
  <c r="AI791" i="29"/>
  <c r="AD792" i="29"/>
  <c r="B791" i="29"/>
  <c r="I789" i="29"/>
  <c r="K789" i="29" s="1"/>
  <c r="N789" i="29" s="1"/>
  <c r="J789" i="29"/>
  <c r="Y789" i="29" s="1"/>
  <c r="Z789" i="29" s="1"/>
  <c r="Z788" i="29"/>
  <c r="AB790" i="29" l="1"/>
  <c r="O790" i="29"/>
  <c r="I790" i="29"/>
  <c r="J790" i="29"/>
  <c r="Y790" i="29" s="1"/>
  <c r="P789" i="29"/>
  <c r="V789" i="29"/>
  <c r="W789" i="29" s="1"/>
  <c r="AF791" i="29"/>
  <c r="AE791" i="29"/>
  <c r="AA791" i="29" s="1"/>
  <c r="S791" i="29"/>
  <c r="Q791" i="29"/>
  <c r="E791" i="29"/>
  <c r="T791" i="29"/>
  <c r="R791" i="29"/>
  <c r="U791" i="29"/>
  <c r="G791" i="29"/>
  <c r="B792" i="29"/>
  <c r="AI792" i="29"/>
  <c r="AD793" i="29"/>
  <c r="AB791" i="29" l="1"/>
  <c r="K790" i="29"/>
  <c r="N790" i="29" s="1"/>
  <c r="I791" i="29"/>
  <c r="K791" i="29" s="1"/>
  <c r="J791" i="29"/>
  <c r="Y791" i="29" s="1"/>
  <c r="AI793" i="29"/>
  <c r="AD794" i="29"/>
  <c r="B793" i="29"/>
  <c r="AF792" i="29"/>
  <c r="AE792" i="29"/>
  <c r="AA792" i="29" s="1"/>
  <c r="E792" i="29"/>
  <c r="T792" i="29"/>
  <c r="Q792" i="29"/>
  <c r="U792" i="29"/>
  <c r="S792" i="29"/>
  <c r="G792" i="29"/>
  <c r="R792" i="29"/>
  <c r="O791" i="29"/>
  <c r="Z790" i="29"/>
  <c r="P790" i="29" l="1"/>
  <c r="V790" i="29"/>
  <c r="W790" i="29" s="1"/>
  <c r="AB792" i="29"/>
  <c r="N791" i="29"/>
  <c r="B794" i="29"/>
  <c r="AD795" i="29"/>
  <c r="AI794" i="29"/>
  <c r="J792" i="29"/>
  <c r="Y792" i="29" s="1"/>
  <c r="I792" i="29"/>
  <c r="K792" i="29" s="1"/>
  <c r="AF793" i="29"/>
  <c r="AE793" i="29"/>
  <c r="AA793" i="29" s="1"/>
  <c r="Z791" i="29"/>
  <c r="O792" i="29"/>
  <c r="T793" i="29"/>
  <c r="E793" i="29"/>
  <c r="U793" i="29"/>
  <c r="G793" i="29"/>
  <c r="Q793" i="29"/>
  <c r="S793" i="29"/>
  <c r="R793" i="29"/>
  <c r="V791" i="29"/>
  <c r="W791" i="29" s="1"/>
  <c r="P791" i="29"/>
  <c r="AB793" i="29" l="1"/>
  <c r="N792" i="29"/>
  <c r="Q794" i="29"/>
  <c r="U794" i="29"/>
  <c r="R794" i="29"/>
  <c r="E794" i="29"/>
  <c r="G794" i="29"/>
  <c r="S794" i="29"/>
  <c r="T794" i="29"/>
  <c r="V792" i="29"/>
  <c r="W792" i="29" s="1"/>
  <c r="P792" i="29"/>
  <c r="O793" i="29"/>
  <c r="L685" i="7" s="1"/>
  <c r="Z792" i="29"/>
  <c r="AE794" i="29"/>
  <c r="AA794" i="29" s="1"/>
  <c r="AF794" i="29"/>
  <c r="J793" i="29"/>
  <c r="Y793" i="29" s="1"/>
  <c r="I793" i="29"/>
  <c r="AD796" i="29"/>
  <c r="AI795" i="29"/>
  <c r="B795" i="29"/>
  <c r="K793" i="29" l="1"/>
  <c r="N793" i="29" s="1"/>
  <c r="L688" i="7"/>
  <c r="L690" i="7" s="1"/>
  <c r="K746" i="7" s="1"/>
  <c r="AB794" i="29"/>
  <c r="I736" i="7"/>
  <c r="J736" i="7" s="1"/>
  <c r="I715" i="7"/>
  <c r="J715" i="7" s="1"/>
  <c r="I731" i="7"/>
  <c r="J731" i="7" s="1"/>
  <c r="I747" i="7"/>
  <c r="J747" i="7" s="1"/>
  <c r="I763" i="7"/>
  <c r="J763" i="7" s="1"/>
  <c r="I742" i="7"/>
  <c r="J742" i="7" s="1"/>
  <c r="I698" i="7"/>
  <c r="J698" i="7" s="1"/>
  <c r="I760" i="7"/>
  <c r="J760" i="7" s="1"/>
  <c r="I744" i="7"/>
  <c r="J744" i="7" s="1"/>
  <c r="I696" i="7"/>
  <c r="J696" i="7" s="1"/>
  <c r="I702" i="7"/>
  <c r="J702" i="7" s="1"/>
  <c r="K758" i="7"/>
  <c r="K742" i="7"/>
  <c r="K726" i="7"/>
  <c r="K710" i="7"/>
  <c r="K694" i="7"/>
  <c r="K760" i="7"/>
  <c r="K744" i="7"/>
  <c r="K728" i="7"/>
  <c r="K712" i="7"/>
  <c r="K696" i="7"/>
  <c r="K755" i="7"/>
  <c r="K723" i="7"/>
  <c r="K691" i="7"/>
  <c r="K737" i="7"/>
  <c r="K705" i="7"/>
  <c r="K751" i="7"/>
  <c r="K719" i="7"/>
  <c r="K687" i="7"/>
  <c r="K741" i="7"/>
  <c r="K709" i="7"/>
  <c r="I693" i="7"/>
  <c r="J693" i="7" s="1"/>
  <c r="I709" i="7"/>
  <c r="J709" i="7" s="1"/>
  <c r="I725" i="7"/>
  <c r="J725" i="7" s="1"/>
  <c r="I741" i="7"/>
  <c r="J741" i="7" s="1"/>
  <c r="I757" i="7"/>
  <c r="J757" i="7" s="1"/>
  <c r="I752" i="7"/>
  <c r="J752" i="7" s="1"/>
  <c r="I685" i="7"/>
  <c r="J685" i="7" s="1"/>
  <c r="I694" i="7"/>
  <c r="J694" i="7" s="1"/>
  <c r="I687" i="7"/>
  <c r="J687" i="7" s="1"/>
  <c r="I703" i="7"/>
  <c r="J703" i="7" s="1"/>
  <c r="I719" i="7"/>
  <c r="J719" i="7" s="1"/>
  <c r="I735" i="7"/>
  <c r="J735" i="7" s="1"/>
  <c r="I751" i="7"/>
  <c r="J751" i="7" s="1"/>
  <c r="I688" i="7"/>
  <c r="J688" i="7" s="1"/>
  <c r="I728" i="7"/>
  <c r="J728" i="7" s="1"/>
  <c r="I732" i="7"/>
  <c r="J732" i="7" s="1"/>
  <c r="I689" i="7"/>
  <c r="J689" i="7" s="1"/>
  <c r="I762" i="7"/>
  <c r="J762" i="7" s="1"/>
  <c r="I714" i="7"/>
  <c r="J714" i="7" s="1"/>
  <c r="I692" i="7"/>
  <c r="J692" i="7" s="1"/>
  <c r="I686" i="7"/>
  <c r="J686" i="7" s="1"/>
  <c r="K754" i="7"/>
  <c r="K738" i="7"/>
  <c r="K722" i="7"/>
  <c r="K706" i="7"/>
  <c r="K690" i="7"/>
  <c r="K756" i="7"/>
  <c r="K740" i="7"/>
  <c r="K724" i="7"/>
  <c r="K708" i="7"/>
  <c r="K692" i="7"/>
  <c r="K747" i="7"/>
  <c r="K715" i="7"/>
  <c r="K761" i="7"/>
  <c r="K729" i="7"/>
  <c r="K697" i="7"/>
  <c r="K743" i="7"/>
  <c r="K711" i="7"/>
  <c r="K765" i="7"/>
  <c r="K733" i="7"/>
  <c r="K701" i="7"/>
  <c r="I697" i="7"/>
  <c r="J697" i="7" s="1"/>
  <c r="I713" i="7"/>
  <c r="J713" i="7" s="1"/>
  <c r="I729" i="7"/>
  <c r="J729" i="7" s="1"/>
  <c r="I745" i="7"/>
  <c r="J745" i="7" s="1"/>
  <c r="I761" i="7"/>
  <c r="J761" i="7" s="1"/>
  <c r="I710" i="7"/>
  <c r="J710" i="7" s="1"/>
  <c r="I716" i="7"/>
  <c r="J716" i="7" s="1"/>
  <c r="I726" i="7"/>
  <c r="J726" i="7" s="1"/>
  <c r="I691" i="7"/>
  <c r="J691" i="7" s="1"/>
  <c r="I707" i="7"/>
  <c r="J707" i="7" s="1"/>
  <c r="I723" i="7"/>
  <c r="J723" i="7" s="1"/>
  <c r="I739" i="7"/>
  <c r="J739" i="7" s="1"/>
  <c r="I755" i="7"/>
  <c r="J755" i="7" s="1"/>
  <c r="I765" i="7"/>
  <c r="J765" i="7" s="1"/>
  <c r="I746" i="7"/>
  <c r="J746" i="7" s="1"/>
  <c r="I764" i="7"/>
  <c r="J764" i="7" s="1"/>
  <c r="I718" i="7"/>
  <c r="J718" i="7" s="1"/>
  <c r="I748" i="7"/>
  <c r="J748" i="7" s="1"/>
  <c r="I708" i="7"/>
  <c r="J708" i="7" s="1"/>
  <c r="I712" i="7"/>
  <c r="J712" i="7" s="1"/>
  <c r="K718" i="7"/>
  <c r="K736" i="7"/>
  <c r="K739" i="7"/>
  <c r="K689" i="7"/>
  <c r="K725" i="7"/>
  <c r="I733" i="7"/>
  <c r="J733" i="7" s="1"/>
  <c r="I704" i="7"/>
  <c r="J704" i="7" s="1"/>
  <c r="I727" i="7"/>
  <c r="J727" i="7" s="1"/>
  <c r="I724" i="7"/>
  <c r="J724" i="7" s="1"/>
  <c r="I730" i="7"/>
  <c r="J730" i="7" s="1"/>
  <c r="K702" i="7"/>
  <c r="K720" i="7"/>
  <c r="K707" i="7"/>
  <c r="K735" i="7"/>
  <c r="K693" i="7"/>
  <c r="I749" i="7"/>
  <c r="J749" i="7" s="1"/>
  <c r="I722" i="7"/>
  <c r="J722" i="7" s="1"/>
  <c r="I743" i="7"/>
  <c r="J743" i="7" s="1"/>
  <c r="I750" i="7"/>
  <c r="J750" i="7" s="1"/>
  <c r="K750" i="7"/>
  <c r="K686" i="7"/>
  <c r="K704" i="7"/>
  <c r="K753" i="7"/>
  <c r="K703" i="7"/>
  <c r="I701" i="7"/>
  <c r="J701" i="7" s="1"/>
  <c r="I700" i="7"/>
  <c r="J700" i="7" s="1"/>
  <c r="I695" i="7"/>
  <c r="J695" i="7" s="1"/>
  <c r="I759" i="7"/>
  <c r="J759" i="7" s="1"/>
  <c r="I690" i="7"/>
  <c r="J690" i="7" s="1"/>
  <c r="K734" i="7"/>
  <c r="K752" i="7"/>
  <c r="K688" i="7"/>
  <c r="K721" i="7"/>
  <c r="K757" i="7"/>
  <c r="I717" i="7"/>
  <c r="J717" i="7" s="1"/>
  <c r="I706" i="7"/>
  <c r="J706" i="7" s="1"/>
  <c r="I711" i="7"/>
  <c r="J711" i="7" s="1"/>
  <c r="I756" i="7"/>
  <c r="J756" i="7" s="1"/>
  <c r="I734" i="7"/>
  <c r="J734" i="7" s="1"/>
  <c r="AD797" i="29"/>
  <c r="AI796" i="29"/>
  <c r="B796" i="29"/>
  <c r="I794" i="29"/>
  <c r="K794" i="29" s="1"/>
  <c r="J794" i="29"/>
  <c r="Y794" i="29" s="1"/>
  <c r="Z793" i="29"/>
  <c r="O794" i="29"/>
  <c r="G795" i="29"/>
  <c r="E795" i="29"/>
  <c r="T795" i="29"/>
  <c r="Q795" i="29"/>
  <c r="U795" i="29"/>
  <c r="S795" i="29"/>
  <c r="R795" i="29"/>
  <c r="AE795" i="29"/>
  <c r="AA795" i="29" s="1"/>
  <c r="AF795" i="29"/>
  <c r="I740" i="7" l="1"/>
  <c r="J740" i="7" s="1"/>
  <c r="I754" i="7"/>
  <c r="J754" i="7" s="1"/>
  <c r="K762" i="7"/>
  <c r="V793" i="29"/>
  <c r="W793" i="29" s="1"/>
  <c r="P793" i="29"/>
  <c r="I738" i="7"/>
  <c r="J738" i="7" s="1"/>
  <c r="I758" i="7"/>
  <c r="J758" i="7" s="1"/>
  <c r="N794" i="29"/>
  <c r="I699" i="7"/>
  <c r="J699" i="7" s="1"/>
  <c r="I720" i="7"/>
  <c r="J720" i="7" s="1"/>
  <c r="I753" i="7"/>
  <c r="J753" i="7" s="1"/>
  <c r="I737" i="7"/>
  <c r="J737" i="7" s="1"/>
  <c r="I721" i="7"/>
  <c r="J721" i="7" s="1"/>
  <c r="I705" i="7"/>
  <c r="J705" i="7" s="1"/>
  <c r="K685" i="7"/>
  <c r="K717" i="7"/>
  <c r="K749" i="7"/>
  <c r="K695" i="7"/>
  <c r="K727" i="7"/>
  <c r="K759" i="7"/>
  <c r="K713" i="7"/>
  <c r="K745" i="7"/>
  <c r="K699" i="7"/>
  <c r="K731" i="7"/>
  <c r="K763" i="7"/>
  <c r="K700" i="7"/>
  <c r="K716" i="7"/>
  <c r="K732" i="7"/>
  <c r="K748" i="7"/>
  <c r="K764" i="7"/>
  <c r="K698" i="7"/>
  <c r="K714" i="7"/>
  <c r="K730" i="7"/>
  <c r="AB795" i="29"/>
  <c r="O795" i="29"/>
  <c r="E796" i="29"/>
  <c r="T796" i="29"/>
  <c r="G796" i="29"/>
  <c r="S796" i="29"/>
  <c r="Q796" i="29"/>
  <c r="R796" i="29"/>
  <c r="U796" i="29"/>
  <c r="P794" i="29"/>
  <c r="V794" i="29"/>
  <c r="W794" i="29" s="1"/>
  <c r="AE796" i="29"/>
  <c r="AA796" i="29" s="1"/>
  <c r="AF796" i="29"/>
  <c r="J795" i="29"/>
  <c r="Y795" i="29" s="1"/>
  <c r="I795" i="29"/>
  <c r="K795" i="29" s="1"/>
  <c r="AI797" i="29"/>
  <c r="AD798" i="29"/>
  <c r="B797" i="29"/>
  <c r="Z794" i="29"/>
  <c r="N795" i="29" l="1"/>
  <c r="AB796" i="29"/>
  <c r="P795" i="29"/>
  <c r="V795" i="29"/>
  <c r="W795" i="29" s="1"/>
  <c r="B798" i="29"/>
  <c r="AI798" i="29"/>
  <c r="AD799" i="29"/>
  <c r="J796" i="29"/>
  <c r="Y796" i="29" s="1"/>
  <c r="I796" i="29"/>
  <c r="AF797" i="29"/>
  <c r="AE797" i="29"/>
  <c r="AA797" i="29" s="1"/>
  <c r="O796" i="29"/>
  <c r="R797" i="29"/>
  <c r="Q797" i="29"/>
  <c r="G797" i="29"/>
  <c r="E797" i="29"/>
  <c r="T797" i="29"/>
  <c r="U797" i="29"/>
  <c r="S797" i="29"/>
  <c r="Z795" i="29"/>
  <c r="AB797" i="29" l="1"/>
  <c r="K796" i="29"/>
  <c r="N796" i="29" s="1"/>
  <c r="O797" i="29"/>
  <c r="AF798" i="29"/>
  <c r="AE798" i="29"/>
  <c r="AA798" i="29" s="1"/>
  <c r="I797" i="29"/>
  <c r="J797" i="29"/>
  <c r="Y797" i="29" s="1"/>
  <c r="Z797" i="29" s="1"/>
  <c r="S798" i="29"/>
  <c r="G798" i="29"/>
  <c r="E798" i="29"/>
  <c r="T798" i="29"/>
  <c r="U798" i="29"/>
  <c r="R798" i="29"/>
  <c r="Q798" i="29"/>
  <c r="Z796" i="29"/>
  <c r="AD800" i="29"/>
  <c r="AI799" i="29"/>
  <c r="B799" i="29"/>
  <c r="V796" i="29" l="1"/>
  <c r="W796" i="29" s="1"/>
  <c r="P796" i="29"/>
  <c r="K797" i="29"/>
  <c r="N797" i="29" s="1"/>
  <c r="AB798" i="29"/>
  <c r="O798" i="29"/>
  <c r="J798" i="29"/>
  <c r="Y798" i="29" s="1"/>
  <c r="I798" i="29"/>
  <c r="K798" i="29" s="1"/>
  <c r="N798" i="29" s="1"/>
  <c r="AI800" i="29"/>
  <c r="B800" i="29"/>
  <c r="AD801" i="29"/>
  <c r="Q799" i="29"/>
  <c r="T799" i="29"/>
  <c r="G799" i="29"/>
  <c r="E799" i="29"/>
  <c r="R799" i="29"/>
  <c r="S799" i="29"/>
  <c r="U799" i="29"/>
  <c r="AF799" i="29"/>
  <c r="AE799" i="29"/>
  <c r="AA799" i="29" s="1"/>
  <c r="V797" i="29" l="1"/>
  <c r="W797" i="29" s="1"/>
  <c r="P797" i="29"/>
  <c r="AB799" i="29"/>
  <c r="O799" i="29"/>
  <c r="P798" i="29"/>
  <c r="V798" i="29"/>
  <c r="W798" i="29" s="1"/>
  <c r="I799" i="29"/>
  <c r="J799" i="29"/>
  <c r="Y799" i="29" s="1"/>
  <c r="Z799" i="29" s="1"/>
  <c r="AI801" i="29"/>
  <c r="B801" i="29"/>
  <c r="AD802" i="29"/>
  <c r="G800" i="29"/>
  <c r="Q800" i="29"/>
  <c r="S800" i="29"/>
  <c r="T800" i="29"/>
  <c r="E800" i="29"/>
  <c r="U800" i="29"/>
  <c r="R800" i="29"/>
  <c r="AE800" i="29"/>
  <c r="AA800" i="29" s="1"/>
  <c r="AF800" i="29"/>
  <c r="Z798" i="29"/>
  <c r="K799" i="29" l="1"/>
  <c r="N799" i="29" s="1"/>
  <c r="AB800" i="29"/>
  <c r="O800" i="29"/>
  <c r="J800" i="29"/>
  <c r="I800" i="29"/>
  <c r="K800" i="29" s="1"/>
  <c r="N800" i="29" s="1"/>
  <c r="G801" i="29"/>
  <c r="S801" i="29"/>
  <c r="Q801" i="29"/>
  <c r="E801" i="29"/>
  <c r="U801" i="29"/>
  <c r="T801" i="29"/>
  <c r="R801" i="29"/>
  <c r="AE801" i="29"/>
  <c r="AA801" i="29" s="1"/>
  <c r="AF801" i="29"/>
  <c r="Y800" i="29"/>
  <c r="B802" i="29"/>
  <c r="AD803" i="29"/>
  <c r="AI802" i="29"/>
  <c r="V799" i="29" l="1"/>
  <c r="W799" i="29" s="1"/>
  <c r="P799" i="29"/>
  <c r="AB801" i="29"/>
  <c r="G802" i="29"/>
  <c r="S802" i="29"/>
  <c r="U802" i="29"/>
  <c r="Q802" i="29"/>
  <c r="R802" i="29"/>
  <c r="E802" i="29"/>
  <c r="T802" i="29"/>
  <c r="Z800" i="29"/>
  <c r="I801" i="29"/>
  <c r="J801" i="29"/>
  <c r="Y801" i="29" s="1"/>
  <c r="AF802" i="29"/>
  <c r="AE802" i="29"/>
  <c r="AA802" i="29" s="1"/>
  <c r="V800" i="29"/>
  <c r="W800" i="29" s="1"/>
  <c r="P800" i="29"/>
  <c r="O801" i="29"/>
  <c r="AD804" i="29"/>
  <c r="B803" i="29"/>
  <c r="AI803" i="29"/>
  <c r="K801" i="29" l="1"/>
  <c r="N801" i="29" s="1"/>
  <c r="AB802" i="29"/>
  <c r="Q803" i="29"/>
  <c r="T803" i="29"/>
  <c r="S803" i="29"/>
  <c r="G803" i="29"/>
  <c r="U803" i="29"/>
  <c r="E803" i="29"/>
  <c r="R803" i="29"/>
  <c r="AD805" i="29"/>
  <c r="AI804" i="29"/>
  <c r="B804" i="29"/>
  <c r="Z801" i="29"/>
  <c r="O802" i="29"/>
  <c r="AE803" i="29"/>
  <c r="AA803" i="29" s="1"/>
  <c r="AF803" i="29"/>
  <c r="I802" i="29"/>
  <c r="K802" i="29" s="1"/>
  <c r="J802" i="29"/>
  <c r="Y802" i="29" s="1"/>
  <c r="V801" i="29" l="1"/>
  <c r="W801" i="29" s="1"/>
  <c r="P801" i="29"/>
  <c r="AB803" i="29"/>
  <c r="N802" i="29"/>
  <c r="O803" i="29"/>
  <c r="R804" i="29"/>
  <c r="U804" i="29"/>
  <c r="Q804" i="29"/>
  <c r="E804" i="29"/>
  <c r="S804" i="29"/>
  <c r="T804" i="29"/>
  <c r="G804" i="29"/>
  <c r="P802" i="29"/>
  <c r="V802" i="29"/>
  <c r="W802" i="29" s="1"/>
  <c r="AF804" i="29"/>
  <c r="AE804" i="29"/>
  <c r="AA804" i="29" s="1"/>
  <c r="AD806" i="29"/>
  <c r="AI805" i="29"/>
  <c r="B805" i="29"/>
  <c r="I803" i="29"/>
  <c r="K803" i="29" s="1"/>
  <c r="J803" i="29"/>
  <c r="Y803" i="29" s="1"/>
  <c r="Z802" i="29"/>
  <c r="N803" i="29" l="1"/>
  <c r="AB804" i="29"/>
  <c r="O804" i="29"/>
  <c r="AF805" i="29"/>
  <c r="AE805" i="29"/>
  <c r="AA805" i="29" s="1"/>
  <c r="Q805" i="29"/>
  <c r="U805" i="29"/>
  <c r="S805" i="29"/>
  <c r="G805" i="29"/>
  <c r="R805" i="29"/>
  <c r="E805" i="29"/>
  <c r="T805" i="29"/>
  <c r="Z803" i="29"/>
  <c r="V803" i="29"/>
  <c r="W803" i="29" s="1"/>
  <c r="P803" i="29"/>
  <c r="AI806" i="29"/>
  <c r="B806" i="29"/>
  <c r="AD807" i="29"/>
  <c r="J804" i="29"/>
  <c r="Y804" i="29" s="1"/>
  <c r="I804" i="29"/>
  <c r="AB805" i="29" l="1"/>
  <c r="K804" i="29"/>
  <c r="N804" i="29" s="1"/>
  <c r="B807" i="29"/>
  <c r="AI807" i="29"/>
  <c r="AD808" i="29"/>
  <c r="E806" i="29"/>
  <c r="U806" i="29"/>
  <c r="S806" i="29"/>
  <c r="T806" i="29"/>
  <c r="R806" i="29"/>
  <c r="G806" i="29"/>
  <c r="Q806" i="29"/>
  <c r="AF806" i="29"/>
  <c r="AE806" i="29"/>
  <c r="AA806" i="29" s="1"/>
  <c r="O805" i="29"/>
  <c r="Z804" i="29"/>
  <c r="I805" i="29"/>
  <c r="J805" i="29"/>
  <c r="Y805" i="29" s="1"/>
  <c r="V804" i="29" l="1"/>
  <c r="W804" i="29" s="1"/>
  <c r="P804" i="29"/>
  <c r="K805" i="29"/>
  <c r="N805" i="29" s="1"/>
  <c r="AB806" i="29"/>
  <c r="AD809" i="29"/>
  <c r="B808" i="29"/>
  <c r="AI808" i="29"/>
  <c r="Z805" i="29"/>
  <c r="O806" i="29"/>
  <c r="AF807" i="29"/>
  <c r="AE807" i="29"/>
  <c r="AA807" i="29" s="1"/>
  <c r="J806" i="29"/>
  <c r="Y806" i="29" s="1"/>
  <c r="I806" i="29"/>
  <c r="K806" i="29" s="1"/>
  <c r="G807" i="29"/>
  <c r="E807" i="29"/>
  <c r="U807" i="29"/>
  <c r="S807" i="29"/>
  <c r="T807" i="29"/>
  <c r="Q807" i="29"/>
  <c r="R807" i="29"/>
  <c r="P805" i="29" l="1"/>
  <c r="V805" i="29"/>
  <c r="W805" i="29" s="1"/>
  <c r="AB807" i="29"/>
  <c r="N806" i="29"/>
  <c r="V806" i="29" s="1"/>
  <c r="W806" i="29" s="1"/>
  <c r="Z806" i="29"/>
  <c r="B809" i="29"/>
  <c r="AD810" i="29"/>
  <c r="AI809" i="29"/>
  <c r="J807" i="29"/>
  <c r="Y807" i="29" s="1"/>
  <c r="I807" i="29"/>
  <c r="K807" i="29" s="1"/>
  <c r="AF808" i="29"/>
  <c r="AE808" i="29"/>
  <c r="AA808" i="29" s="1"/>
  <c r="O807" i="29"/>
  <c r="U808" i="29"/>
  <c r="S808" i="29"/>
  <c r="T808" i="29"/>
  <c r="Q808" i="29"/>
  <c r="R808" i="29"/>
  <c r="G808" i="29"/>
  <c r="E808" i="29"/>
  <c r="AB808" i="29" l="1"/>
  <c r="P806" i="29"/>
  <c r="N807" i="29"/>
  <c r="P807" i="29" s="1"/>
  <c r="Z807" i="29"/>
  <c r="O808" i="29"/>
  <c r="I808" i="29"/>
  <c r="K808" i="29" s="1"/>
  <c r="J808" i="29"/>
  <c r="Y808" i="29" s="1"/>
  <c r="AF809" i="29"/>
  <c r="AE809" i="29"/>
  <c r="AA809" i="29" s="1"/>
  <c r="B810" i="29"/>
  <c r="AD811" i="29"/>
  <c r="AI810" i="29"/>
  <c r="S809" i="29"/>
  <c r="G809" i="29"/>
  <c r="R809" i="29"/>
  <c r="E809" i="29"/>
  <c r="T809" i="29"/>
  <c r="Q809" i="29"/>
  <c r="U809" i="29"/>
  <c r="AB809" i="29" l="1"/>
  <c r="V807" i="29"/>
  <c r="W807" i="29" s="1"/>
  <c r="N808" i="29"/>
  <c r="O809" i="29"/>
  <c r="AD812" i="29"/>
  <c r="AI811" i="29"/>
  <c r="B811" i="29"/>
  <c r="Q810" i="29"/>
  <c r="G810" i="29"/>
  <c r="E810" i="29"/>
  <c r="U810" i="29"/>
  <c r="T810" i="29"/>
  <c r="R810" i="29"/>
  <c r="S810" i="29"/>
  <c r="V808" i="29"/>
  <c r="W808" i="29" s="1"/>
  <c r="P808" i="29"/>
  <c r="AF810" i="29"/>
  <c r="AE810" i="29"/>
  <c r="AA810" i="29" s="1"/>
  <c r="J809" i="29"/>
  <c r="Y809" i="29" s="1"/>
  <c r="I809" i="29"/>
  <c r="Z808" i="29"/>
  <c r="K809" i="29" l="1"/>
  <c r="N809" i="29" s="1"/>
  <c r="AB810" i="29"/>
  <c r="Z809" i="29"/>
  <c r="AD813" i="29"/>
  <c r="AI812" i="29"/>
  <c r="B812" i="29"/>
  <c r="G811" i="29"/>
  <c r="E811" i="29"/>
  <c r="R811" i="29"/>
  <c r="U811" i="29"/>
  <c r="S811" i="29"/>
  <c r="Q811" i="29"/>
  <c r="T811" i="29"/>
  <c r="I810" i="29"/>
  <c r="J810" i="29"/>
  <c r="Y810" i="29" s="1"/>
  <c r="O810" i="29"/>
  <c r="AF811" i="29"/>
  <c r="AE811" i="29"/>
  <c r="AA811" i="29" s="1"/>
  <c r="V809" i="29" l="1"/>
  <c r="W809" i="29" s="1"/>
  <c r="P809" i="29"/>
  <c r="K810" i="29"/>
  <c r="N810" i="29" s="1"/>
  <c r="AB811" i="29"/>
  <c r="J811" i="29"/>
  <c r="Y811" i="29" s="1"/>
  <c r="I811" i="29"/>
  <c r="K811" i="29" s="1"/>
  <c r="G812" i="29"/>
  <c r="E812" i="29"/>
  <c r="U812" i="29"/>
  <c r="T812" i="29"/>
  <c r="S812" i="29"/>
  <c r="Q812" i="29"/>
  <c r="R812" i="29"/>
  <c r="Z810" i="29"/>
  <c r="O811" i="29"/>
  <c r="AF812" i="29"/>
  <c r="AE812" i="29"/>
  <c r="AA812" i="29" s="1"/>
  <c r="B813" i="29"/>
  <c r="AI813" i="29"/>
  <c r="AD814" i="29"/>
  <c r="P810" i="29" l="1"/>
  <c r="V810" i="29"/>
  <c r="W810" i="29" s="1"/>
  <c r="N811" i="29"/>
  <c r="AB812" i="29"/>
  <c r="P811" i="29"/>
  <c r="V811" i="29"/>
  <c r="W811" i="29" s="1"/>
  <c r="O812" i="29"/>
  <c r="Z811" i="29"/>
  <c r="B814" i="29"/>
  <c r="AD815" i="29"/>
  <c r="AI814" i="29"/>
  <c r="AE813" i="29"/>
  <c r="AA813" i="29" s="1"/>
  <c r="AF813" i="29"/>
  <c r="J812" i="29"/>
  <c r="Y812" i="29" s="1"/>
  <c r="I812" i="29"/>
  <c r="R813" i="29"/>
  <c r="G813" i="29"/>
  <c r="S813" i="29"/>
  <c r="E813" i="29"/>
  <c r="T813" i="29"/>
  <c r="U813" i="29"/>
  <c r="Q813" i="29"/>
  <c r="AB813" i="29" l="1"/>
  <c r="K812" i="29"/>
  <c r="N812" i="29" s="1"/>
  <c r="O813" i="29"/>
  <c r="B815" i="29"/>
  <c r="AD816" i="29"/>
  <c r="AI815" i="29"/>
  <c r="I813" i="29"/>
  <c r="K813" i="29" s="1"/>
  <c r="N813" i="29" s="1"/>
  <c r="J813" i="29"/>
  <c r="Y813" i="29" s="1"/>
  <c r="S814" i="29"/>
  <c r="E814" i="29"/>
  <c r="U814" i="29"/>
  <c r="T814" i="29"/>
  <c r="R814" i="29"/>
  <c r="G814" i="29"/>
  <c r="Q814" i="29"/>
  <c r="Z812" i="29"/>
  <c r="AF814" i="29"/>
  <c r="AE814" i="29"/>
  <c r="AA814" i="29" s="1"/>
  <c r="V812" i="29" l="1"/>
  <c r="W812" i="29" s="1"/>
  <c r="P812" i="29"/>
  <c r="AB814" i="29"/>
  <c r="O814" i="29"/>
  <c r="AF815" i="29"/>
  <c r="AE815" i="29"/>
  <c r="AA815" i="29" s="1"/>
  <c r="B816" i="29"/>
  <c r="AI816" i="29"/>
  <c r="AD817" i="29"/>
  <c r="V813" i="29"/>
  <c r="W813" i="29" s="1"/>
  <c r="P813" i="29"/>
  <c r="I814" i="29"/>
  <c r="K814" i="29" s="1"/>
  <c r="J814" i="29"/>
  <c r="Y814" i="29" s="1"/>
  <c r="S815" i="29"/>
  <c r="E815" i="29"/>
  <c r="G815" i="29"/>
  <c r="T815" i="29"/>
  <c r="Q815" i="29"/>
  <c r="U815" i="29"/>
  <c r="R815" i="29"/>
  <c r="Z813" i="29"/>
  <c r="AB815" i="29" l="1"/>
  <c r="N814" i="29"/>
  <c r="Z814" i="29"/>
  <c r="AI817" i="29"/>
  <c r="AD818" i="29"/>
  <c r="B817" i="29"/>
  <c r="AE816" i="29"/>
  <c r="AA816" i="29" s="1"/>
  <c r="AF816" i="29"/>
  <c r="I815" i="29"/>
  <c r="J815" i="29"/>
  <c r="Y815" i="29" s="1"/>
  <c r="O815" i="29"/>
  <c r="U816" i="29"/>
  <c r="Q816" i="29"/>
  <c r="E816" i="29"/>
  <c r="S816" i="29"/>
  <c r="T816" i="29"/>
  <c r="G816" i="29"/>
  <c r="R816" i="29"/>
  <c r="AB816" i="29" l="1"/>
  <c r="K815" i="29"/>
  <c r="N815" i="29" s="1"/>
  <c r="T817" i="29"/>
  <c r="Q817" i="29"/>
  <c r="S817" i="29"/>
  <c r="U817" i="29"/>
  <c r="G817" i="29"/>
  <c r="E817" i="29"/>
  <c r="R817" i="29"/>
  <c r="P814" i="29"/>
  <c r="V814" i="29"/>
  <c r="W814" i="29" s="1"/>
  <c r="AD819" i="29"/>
  <c r="AI818" i="29"/>
  <c r="B818" i="29"/>
  <c r="O816" i="29"/>
  <c r="Z815" i="29"/>
  <c r="J816" i="29"/>
  <c r="Y816" i="29" s="1"/>
  <c r="I816" i="29"/>
  <c r="AF817" i="29"/>
  <c r="AE817" i="29"/>
  <c r="AA817" i="29" s="1"/>
  <c r="P815" i="29" l="1"/>
  <c r="V815" i="29"/>
  <c r="W815" i="29" s="1"/>
  <c r="AB817" i="29"/>
  <c r="K816" i="29"/>
  <c r="N816" i="29" s="1"/>
  <c r="AE818" i="29"/>
  <c r="AA818" i="29" s="1"/>
  <c r="AF818" i="29"/>
  <c r="AD820" i="29"/>
  <c r="AI819" i="29"/>
  <c r="B819" i="29"/>
  <c r="I817" i="29"/>
  <c r="K817" i="29" s="1"/>
  <c r="J817" i="29"/>
  <c r="Y817" i="29" s="1"/>
  <c r="Z816" i="29"/>
  <c r="E818" i="29"/>
  <c r="Q818" i="29"/>
  <c r="U818" i="29"/>
  <c r="R818" i="29"/>
  <c r="S818" i="29"/>
  <c r="G818" i="29"/>
  <c r="T818" i="29"/>
  <c r="O817" i="29"/>
  <c r="V816" i="29" l="1"/>
  <c r="W816" i="29" s="1"/>
  <c r="P816" i="29"/>
  <c r="AB818" i="29"/>
  <c r="T819" i="29"/>
  <c r="U819" i="29"/>
  <c r="Q819" i="29"/>
  <c r="G819" i="29"/>
  <c r="R819" i="29"/>
  <c r="E819" i="29"/>
  <c r="S819" i="29"/>
  <c r="Z817" i="29"/>
  <c r="AE819" i="29"/>
  <c r="AA819" i="29" s="1"/>
  <c r="AF819" i="29"/>
  <c r="J818" i="29"/>
  <c r="Y818" i="29" s="1"/>
  <c r="I818" i="29"/>
  <c r="K818" i="29" s="1"/>
  <c r="O818" i="29"/>
  <c r="AD821" i="29"/>
  <c r="AI820" i="29"/>
  <c r="B820" i="29"/>
  <c r="N817" i="29"/>
  <c r="AB819" i="29" l="1"/>
  <c r="N818" i="29"/>
  <c r="O819" i="29"/>
  <c r="P817" i="29"/>
  <c r="V817" i="29"/>
  <c r="W817" i="29" s="1"/>
  <c r="E820" i="29"/>
  <c r="R820" i="29"/>
  <c r="Q820" i="29"/>
  <c r="T820" i="29"/>
  <c r="U820" i="29"/>
  <c r="S820" i="29"/>
  <c r="G820" i="29"/>
  <c r="Z818" i="29"/>
  <c r="AE820" i="29"/>
  <c r="AA820" i="29" s="1"/>
  <c r="AF820" i="29"/>
  <c r="B821" i="29"/>
  <c r="AD822" i="29"/>
  <c r="AI821" i="29"/>
  <c r="I819" i="29"/>
  <c r="J819" i="29"/>
  <c r="Y819" i="29" s="1"/>
  <c r="K819" i="29" l="1"/>
  <c r="N819" i="29" s="1"/>
  <c r="AB820" i="29"/>
  <c r="E821" i="29"/>
  <c r="S821" i="29"/>
  <c r="U821" i="29"/>
  <c r="G821" i="29"/>
  <c r="R821" i="29"/>
  <c r="Q821" i="29"/>
  <c r="T821" i="29"/>
  <c r="O820" i="29"/>
  <c r="Z819" i="29"/>
  <c r="AF821" i="29"/>
  <c r="AE821" i="29"/>
  <c r="AA821" i="29" s="1"/>
  <c r="J820" i="29"/>
  <c r="Y820" i="29" s="1"/>
  <c r="I820" i="29"/>
  <c r="K820" i="29" s="1"/>
  <c r="B822" i="29"/>
  <c r="AD823" i="29"/>
  <c r="AI822" i="29"/>
  <c r="V818" i="29"/>
  <c r="W818" i="29" s="1"/>
  <c r="P818" i="29"/>
  <c r="P819" i="29" l="1"/>
  <c r="V819" i="29"/>
  <c r="W819" i="29" s="1"/>
  <c r="AB821" i="29"/>
  <c r="N820" i="29"/>
  <c r="B823" i="29"/>
  <c r="AI823" i="29"/>
  <c r="AD824" i="29"/>
  <c r="I821" i="29"/>
  <c r="K821" i="29" s="1"/>
  <c r="J821" i="29"/>
  <c r="Y821" i="29" s="1"/>
  <c r="AF822" i="29"/>
  <c r="AE822" i="29"/>
  <c r="AA822" i="29" s="1"/>
  <c r="Z820" i="29"/>
  <c r="O821" i="29"/>
  <c r="E822" i="29"/>
  <c r="U822" i="29"/>
  <c r="G822" i="29"/>
  <c r="T822" i="29"/>
  <c r="S822" i="29"/>
  <c r="R822" i="29"/>
  <c r="Q822" i="29"/>
  <c r="AB822" i="29" l="1"/>
  <c r="N821" i="29"/>
  <c r="J822" i="29"/>
  <c r="Y822" i="29" s="1"/>
  <c r="I822" i="29"/>
  <c r="K822" i="29" s="1"/>
  <c r="AF823" i="29"/>
  <c r="AE823" i="29"/>
  <c r="AA823" i="29" s="1"/>
  <c r="S823" i="29"/>
  <c r="E823" i="29"/>
  <c r="T823" i="29"/>
  <c r="U823" i="29"/>
  <c r="R823" i="29"/>
  <c r="Q823" i="29"/>
  <c r="G823" i="29"/>
  <c r="O822" i="29"/>
  <c r="V821" i="29"/>
  <c r="W821" i="29" s="1"/>
  <c r="P821" i="29"/>
  <c r="Z821" i="29"/>
  <c r="AD825" i="29"/>
  <c r="B824" i="29"/>
  <c r="AI824" i="29"/>
  <c r="V820" i="29"/>
  <c r="W820" i="29" s="1"/>
  <c r="P820" i="29"/>
  <c r="AB823" i="29" l="1"/>
  <c r="N822" i="29"/>
  <c r="AF824" i="29"/>
  <c r="AE824" i="29"/>
  <c r="AA824" i="29" s="1"/>
  <c r="Z822" i="29"/>
  <c r="O823" i="29"/>
  <c r="I823" i="29"/>
  <c r="J823" i="29"/>
  <c r="S824" i="29"/>
  <c r="T824" i="29"/>
  <c r="G824" i="29"/>
  <c r="E824" i="29"/>
  <c r="Q824" i="29"/>
  <c r="R824" i="29"/>
  <c r="U824" i="29"/>
  <c r="AI825" i="29"/>
  <c r="B825" i="29"/>
  <c r="AD826" i="29"/>
  <c r="Y823" i="29"/>
  <c r="V822" i="29"/>
  <c r="W822" i="29" s="1"/>
  <c r="P822" i="29"/>
  <c r="K823" i="29" l="1"/>
  <c r="N823" i="29" s="1"/>
  <c r="AB824" i="29"/>
  <c r="O824" i="29"/>
  <c r="Z823" i="29"/>
  <c r="AD827" i="29"/>
  <c r="B826" i="29"/>
  <c r="AI826" i="29"/>
  <c r="J824" i="29"/>
  <c r="Y824" i="29" s="1"/>
  <c r="I824" i="29"/>
  <c r="K824" i="29" s="1"/>
  <c r="AE825" i="29"/>
  <c r="AA825" i="29" s="1"/>
  <c r="AF825" i="29"/>
  <c r="T825" i="29"/>
  <c r="E825" i="29"/>
  <c r="Q825" i="29"/>
  <c r="U825" i="29"/>
  <c r="G825" i="29"/>
  <c r="R825" i="29"/>
  <c r="S825" i="29"/>
  <c r="V823" i="29" l="1"/>
  <c r="W823" i="29" s="1"/>
  <c r="P823" i="29"/>
  <c r="AB825" i="29"/>
  <c r="N824" i="29"/>
  <c r="Z824" i="29"/>
  <c r="Q826" i="29"/>
  <c r="T826" i="29"/>
  <c r="R826" i="29"/>
  <c r="G826" i="29"/>
  <c r="U826" i="29"/>
  <c r="E826" i="29"/>
  <c r="S826" i="29"/>
  <c r="O825" i="29"/>
  <c r="V824" i="29"/>
  <c r="W824" i="29" s="1"/>
  <c r="P824" i="29"/>
  <c r="B827" i="29"/>
  <c r="AI827" i="29"/>
  <c r="AD828" i="29"/>
  <c r="J825" i="29"/>
  <c r="Y825" i="29" s="1"/>
  <c r="I825" i="29"/>
  <c r="K825" i="29" s="1"/>
  <c r="AF826" i="29"/>
  <c r="AE826" i="29"/>
  <c r="AA826" i="29" s="1"/>
  <c r="AB826" i="29" l="1"/>
  <c r="N825" i="29"/>
  <c r="P825" i="29" s="1"/>
  <c r="V825" i="29"/>
  <c r="W825" i="29" s="1"/>
  <c r="O826" i="29"/>
  <c r="J826" i="29"/>
  <c r="I826" i="29"/>
  <c r="AD829" i="29"/>
  <c r="B828" i="29"/>
  <c r="AI828" i="29"/>
  <c r="AE827" i="29"/>
  <c r="AA827" i="29" s="1"/>
  <c r="AF827" i="29"/>
  <c r="G827" i="29"/>
  <c r="T827" i="29"/>
  <c r="R827" i="29"/>
  <c r="Q827" i="29"/>
  <c r="S827" i="29"/>
  <c r="E827" i="29"/>
  <c r="U827" i="29"/>
  <c r="Z825" i="29"/>
  <c r="Y826" i="29"/>
  <c r="AB827" i="29" l="1"/>
  <c r="K826" i="29"/>
  <c r="N826" i="29" s="1"/>
  <c r="O827" i="29"/>
  <c r="AF828" i="29"/>
  <c r="AE828" i="29"/>
  <c r="AA828" i="29" s="1"/>
  <c r="E828" i="29"/>
  <c r="T828" i="29"/>
  <c r="U828" i="29"/>
  <c r="Q828" i="29"/>
  <c r="R828" i="29"/>
  <c r="S828" i="29"/>
  <c r="G828" i="29"/>
  <c r="Z826" i="29"/>
  <c r="AD830" i="29"/>
  <c r="B829" i="29"/>
  <c r="AI829" i="29"/>
  <c r="I827" i="29"/>
  <c r="J827" i="29"/>
  <c r="Y827" i="29" s="1"/>
  <c r="V826" i="29" l="1"/>
  <c r="W826" i="29" s="1"/>
  <c r="P826" i="29"/>
  <c r="AB828" i="29"/>
  <c r="K827" i="29"/>
  <c r="N827" i="29" s="1"/>
  <c r="AF829" i="29"/>
  <c r="AE829" i="29"/>
  <c r="AA829" i="29" s="1"/>
  <c r="J828" i="29"/>
  <c r="Y828" i="29" s="1"/>
  <c r="I828" i="29"/>
  <c r="AD831" i="29"/>
  <c r="AI830" i="29"/>
  <c r="B830" i="29"/>
  <c r="U829" i="29"/>
  <c r="R829" i="29"/>
  <c r="Q829" i="29"/>
  <c r="E829" i="29"/>
  <c r="T829" i="29"/>
  <c r="S829" i="29"/>
  <c r="G829" i="29"/>
  <c r="O828" i="29"/>
  <c r="Z827" i="29"/>
  <c r="P827" i="29" l="1"/>
  <c r="V827" i="29"/>
  <c r="W827" i="29" s="1"/>
  <c r="K828" i="29"/>
  <c r="N828" i="29" s="1"/>
  <c r="AB829" i="29"/>
  <c r="U830" i="29"/>
  <c r="T830" i="29"/>
  <c r="R830" i="29"/>
  <c r="G830" i="29"/>
  <c r="Q830" i="29"/>
  <c r="E830" i="29"/>
  <c r="S830" i="29"/>
  <c r="AE830" i="29"/>
  <c r="AA830" i="29" s="1"/>
  <c r="AF830" i="29"/>
  <c r="J829" i="29"/>
  <c r="Y829" i="29" s="1"/>
  <c r="I829" i="29"/>
  <c r="Z828" i="29"/>
  <c r="O829" i="29"/>
  <c r="AD832" i="29"/>
  <c r="AI831" i="29"/>
  <c r="B831" i="29"/>
  <c r="V828" i="29" l="1"/>
  <c r="W828" i="29" s="1"/>
  <c r="P828" i="29"/>
  <c r="AB830" i="29"/>
  <c r="K829" i="29"/>
  <c r="N829" i="29" s="1"/>
  <c r="AD833" i="29"/>
  <c r="AI832" i="29"/>
  <c r="B832" i="29"/>
  <c r="G831" i="29"/>
  <c r="U831" i="29"/>
  <c r="S831" i="29"/>
  <c r="E831" i="29"/>
  <c r="R831" i="29"/>
  <c r="T831" i="29"/>
  <c r="Q831" i="29"/>
  <c r="AF831" i="29"/>
  <c r="AE831" i="29"/>
  <c r="AA831" i="29" s="1"/>
  <c r="I830" i="29"/>
  <c r="J830" i="29"/>
  <c r="Y830" i="29" s="1"/>
  <c r="O830" i="29"/>
  <c r="Z829" i="29"/>
  <c r="V829" i="29" l="1"/>
  <c r="W829" i="29" s="1"/>
  <c r="P829" i="29"/>
  <c r="K830" i="29"/>
  <c r="N830" i="29" s="1"/>
  <c r="AB831" i="29"/>
  <c r="O831" i="29"/>
  <c r="AI833" i="29"/>
  <c r="B833" i="29"/>
  <c r="AD834" i="29"/>
  <c r="I831" i="29"/>
  <c r="K831" i="29" s="1"/>
  <c r="J831" i="29"/>
  <c r="Y831" i="29" s="1"/>
  <c r="Z830" i="29"/>
  <c r="S832" i="29"/>
  <c r="U832" i="29"/>
  <c r="R832" i="29"/>
  <c r="G832" i="29"/>
  <c r="T832" i="29"/>
  <c r="E832" i="29"/>
  <c r="Q832" i="29"/>
  <c r="AF832" i="29"/>
  <c r="AE832" i="29"/>
  <c r="AA832" i="29" s="1"/>
  <c r="V830" i="29" l="1"/>
  <c r="W830" i="29" s="1"/>
  <c r="P830" i="29"/>
  <c r="N831" i="29"/>
  <c r="P831" i="29" s="1"/>
  <c r="AB832" i="29"/>
  <c r="I832" i="29"/>
  <c r="J832" i="29"/>
  <c r="Y832" i="29" s="1"/>
  <c r="O832" i="29"/>
  <c r="V831" i="29"/>
  <c r="W831" i="29" s="1"/>
  <c r="B834" i="29"/>
  <c r="AD835" i="29"/>
  <c r="AI834" i="29"/>
  <c r="U833" i="29"/>
  <c r="E833" i="29"/>
  <c r="T833" i="29"/>
  <c r="Q833" i="29"/>
  <c r="G833" i="29"/>
  <c r="R833" i="29"/>
  <c r="S833" i="29"/>
  <c r="AF833" i="29"/>
  <c r="AE833" i="29"/>
  <c r="AA833" i="29" s="1"/>
  <c r="Z831" i="29"/>
  <c r="K832" i="29" l="1"/>
  <c r="N832" i="29" s="1"/>
  <c r="AB833" i="29"/>
  <c r="T834" i="29"/>
  <c r="G834" i="29"/>
  <c r="R834" i="29"/>
  <c r="S834" i="29"/>
  <c r="Q834" i="29"/>
  <c r="E834" i="29"/>
  <c r="U834" i="29"/>
  <c r="O833" i="29"/>
  <c r="Z832" i="29"/>
  <c r="J833" i="29"/>
  <c r="Y833" i="29" s="1"/>
  <c r="I833" i="29"/>
  <c r="AE834" i="29"/>
  <c r="AA834" i="29" s="1"/>
  <c r="AF834" i="29"/>
  <c r="AI835" i="29"/>
  <c r="B835" i="29"/>
  <c r="AD836" i="29"/>
  <c r="P832" i="29" l="1"/>
  <c r="V832" i="29"/>
  <c r="W832" i="29" s="1"/>
  <c r="AB834" i="29"/>
  <c r="K833" i="29"/>
  <c r="N833" i="29" s="1"/>
  <c r="O834" i="29"/>
  <c r="G835" i="29"/>
  <c r="R835" i="29"/>
  <c r="S835" i="29"/>
  <c r="Q835" i="29"/>
  <c r="T835" i="29"/>
  <c r="E835" i="29"/>
  <c r="U835" i="29"/>
  <c r="J834" i="29"/>
  <c r="I834" i="29"/>
  <c r="Z833" i="29"/>
  <c r="AE835" i="29"/>
  <c r="AA835" i="29" s="1"/>
  <c r="AF835" i="29"/>
  <c r="AI836" i="29"/>
  <c r="B836" i="29"/>
  <c r="AD837" i="29"/>
  <c r="Y834" i="29"/>
  <c r="Z834" i="29" s="1"/>
  <c r="V833" i="29" l="1"/>
  <c r="W833" i="29" s="1"/>
  <c r="P833" i="29"/>
  <c r="AB835" i="29"/>
  <c r="K834" i="29"/>
  <c r="N834" i="29" s="1"/>
  <c r="O835" i="29"/>
  <c r="AE836" i="29"/>
  <c r="AA836" i="29" s="1"/>
  <c r="AF836" i="29"/>
  <c r="I835" i="29"/>
  <c r="J835" i="29"/>
  <c r="Y835" i="29" s="1"/>
  <c r="B837" i="29"/>
  <c r="AI837" i="29"/>
  <c r="AD838" i="29"/>
  <c r="S836" i="29"/>
  <c r="E836" i="29"/>
  <c r="U836" i="29"/>
  <c r="R836" i="29"/>
  <c r="G836" i="29"/>
  <c r="T836" i="29"/>
  <c r="Q836" i="29"/>
  <c r="V834" i="29" l="1"/>
  <c r="W834" i="29" s="1"/>
  <c r="P834" i="29"/>
  <c r="AB836" i="29"/>
  <c r="K835" i="29"/>
  <c r="N835" i="29" s="1"/>
  <c r="T837" i="29"/>
  <c r="U837" i="29"/>
  <c r="R837" i="29"/>
  <c r="S837" i="29"/>
  <c r="Q837" i="29"/>
  <c r="E837" i="29"/>
  <c r="G837" i="29"/>
  <c r="O836" i="29"/>
  <c r="AD839" i="29"/>
  <c r="AI838" i="29"/>
  <c r="B838" i="29"/>
  <c r="I836" i="29"/>
  <c r="K836" i="29" s="1"/>
  <c r="J836" i="29"/>
  <c r="Y836" i="29" s="1"/>
  <c r="AF837" i="29"/>
  <c r="AE837" i="29"/>
  <c r="AA837" i="29" s="1"/>
  <c r="Z835" i="29"/>
  <c r="P835" i="29" l="1"/>
  <c r="V835" i="29"/>
  <c r="W835" i="29" s="1"/>
  <c r="N836" i="29"/>
  <c r="AB837" i="29"/>
  <c r="V836" i="29"/>
  <c r="W836" i="29" s="1"/>
  <c r="P836" i="29"/>
  <c r="AE838" i="29"/>
  <c r="AA838" i="29" s="1"/>
  <c r="AF838" i="29"/>
  <c r="I837" i="29"/>
  <c r="J837" i="29"/>
  <c r="Y837" i="29" s="1"/>
  <c r="AD840" i="29"/>
  <c r="B839" i="29"/>
  <c r="AI839" i="29"/>
  <c r="O837" i="29"/>
  <c r="Z836" i="29"/>
  <c r="U838" i="29"/>
  <c r="R838" i="29"/>
  <c r="S838" i="29"/>
  <c r="Q838" i="29"/>
  <c r="E838" i="29"/>
  <c r="G838" i="29"/>
  <c r="T838" i="29"/>
  <c r="AB838" i="29" l="1"/>
  <c r="K837" i="29"/>
  <c r="N837" i="29" s="1"/>
  <c r="T839" i="29"/>
  <c r="S839" i="29"/>
  <c r="G839" i="29"/>
  <c r="U839" i="29"/>
  <c r="R839" i="29"/>
  <c r="E839" i="29"/>
  <c r="Q839" i="29"/>
  <c r="O838" i="29"/>
  <c r="AD841" i="29"/>
  <c r="B840" i="29"/>
  <c r="AI840" i="29"/>
  <c r="Z837" i="29"/>
  <c r="AF839" i="29"/>
  <c r="AE839" i="29"/>
  <c r="AA839" i="29" s="1"/>
  <c r="I838" i="29"/>
  <c r="J838" i="29"/>
  <c r="Y838" i="29" s="1"/>
  <c r="V837" i="29" l="1"/>
  <c r="W837" i="29" s="1"/>
  <c r="P837" i="29"/>
  <c r="K838" i="29"/>
  <c r="N838" i="29" s="1"/>
  <c r="AB839" i="29"/>
  <c r="AE840" i="29"/>
  <c r="AA840" i="29" s="1"/>
  <c r="AF840" i="29"/>
  <c r="S840" i="29"/>
  <c r="U840" i="29"/>
  <c r="Q840" i="29"/>
  <c r="E840" i="29"/>
  <c r="T840" i="29"/>
  <c r="R840" i="29"/>
  <c r="G840" i="29"/>
  <c r="Z838" i="29"/>
  <c r="O839" i="29"/>
  <c r="I839" i="29"/>
  <c r="J839" i="29"/>
  <c r="Y839" i="29" s="1"/>
  <c r="B841" i="29"/>
  <c r="AI841" i="29"/>
  <c r="AD842" i="29"/>
  <c r="P838" i="29" l="1"/>
  <c r="V838" i="29"/>
  <c r="W838" i="29" s="1"/>
  <c r="AB840" i="29"/>
  <c r="K839" i="29"/>
  <c r="N839" i="29" s="1"/>
  <c r="O840" i="29"/>
  <c r="J840" i="29"/>
  <c r="Y840" i="29" s="1"/>
  <c r="I840" i="29"/>
  <c r="K840" i="29" s="1"/>
  <c r="N840" i="29" s="1"/>
  <c r="AE841" i="29"/>
  <c r="AA841" i="29" s="1"/>
  <c r="AF841" i="29"/>
  <c r="G841" i="29"/>
  <c r="S841" i="29"/>
  <c r="Q841" i="29"/>
  <c r="E841" i="29"/>
  <c r="T841" i="29"/>
  <c r="U841" i="29"/>
  <c r="R841" i="29"/>
  <c r="B842" i="29"/>
  <c r="AI842" i="29"/>
  <c r="AD843" i="29"/>
  <c r="Z839" i="29"/>
  <c r="P839" i="29" l="1"/>
  <c r="V839" i="29"/>
  <c r="W839" i="29" s="1"/>
  <c r="AB841" i="29"/>
  <c r="O841" i="29"/>
  <c r="R842" i="29"/>
  <c r="G842" i="29"/>
  <c r="U842" i="29"/>
  <c r="T842" i="29"/>
  <c r="S842" i="29"/>
  <c r="E842" i="29"/>
  <c r="Q842" i="29"/>
  <c r="P840" i="29"/>
  <c r="V840" i="29"/>
  <c r="W840" i="29" s="1"/>
  <c r="AI843" i="29"/>
  <c r="AD844" i="29"/>
  <c r="B843" i="29"/>
  <c r="AF842" i="29"/>
  <c r="AE842" i="29"/>
  <c r="AA842" i="29" s="1"/>
  <c r="J841" i="29"/>
  <c r="Y841" i="29" s="1"/>
  <c r="I841" i="29"/>
  <c r="K841" i="29" s="1"/>
  <c r="Z840" i="29"/>
  <c r="AB842" i="29" l="1"/>
  <c r="N841" i="29"/>
  <c r="V841" i="29" s="1"/>
  <c r="W841" i="29" s="1"/>
  <c r="AF843" i="29"/>
  <c r="AE843" i="29"/>
  <c r="AA843" i="29" s="1"/>
  <c r="S843" i="29"/>
  <c r="T843" i="29"/>
  <c r="U843" i="29"/>
  <c r="R843" i="29"/>
  <c r="G843" i="29"/>
  <c r="E843" i="29"/>
  <c r="Q843" i="29"/>
  <c r="O842" i="29"/>
  <c r="J842" i="29"/>
  <c r="Y842" i="29" s="1"/>
  <c r="I842" i="29"/>
  <c r="B844" i="29"/>
  <c r="AI844" i="29"/>
  <c r="AD845" i="29"/>
  <c r="Z841" i="29"/>
  <c r="P841" i="29" l="1"/>
  <c r="K842" i="29"/>
  <c r="N842" i="29" s="1"/>
  <c r="AB843" i="29"/>
  <c r="AD846" i="29"/>
  <c r="B845" i="29"/>
  <c r="AI845" i="29"/>
  <c r="AF844" i="29"/>
  <c r="AE844" i="29"/>
  <c r="AA844" i="29" s="1"/>
  <c r="U844" i="29"/>
  <c r="E844" i="29"/>
  <c r="R844" i="29"/>
  <c r="G844" i="29"/>
  <c r="T844" i="29"/>
  <c r="Q844" i="29"/>
  <c r="S844" i="29"/>
  <c r="Z842" i="29"/>
  <c r="J843" i="29"/>
  <c r="Y843" i="29" s="1"/>
  <c r="I843" i="29"/>
  <c r="O843" i="29"/>
  <c r="V842" i="29" l="1"/>
  <c r="W842" i="29" s="1"/>
  <c r="P842" i="29"/>
  <c r="AB844" i="29"/>
  <c r="K843" i="29"/>
  <c r="N843" i="29" s="1"/>
  <c r="Z843" i="29"/>
  <c r="AF845" i="29"/>
  <c r="AE845" i="29"/>
  <c r="AA845" i="29" s="1"/>
  <c r="O844" i="29"/>
  <c r="J844" i="29"/>
  <c r="Y844" i="29" s="1"/>
  <c r="I844" i="29"/>
  <c r="K844" i="29" s="1"/>
  <c r="G845" i="29"/>
  <c r="U845" i="29"/>
  <c r="S845" i="29"/>
  <c r="R845" i="29"/>
  <c r="T845" i="29"/>
  <c r="E845" i="29"/>
  <c r="Q845" i="29"/>
  <c r="AI846" i="29"/>
  <c r="AD847" i="29"/>
  <c r="B846" i="29"/>
  <c r="V843" i="29" l="1"/>
  <c r="W843" i="29" s="1"/>
  <c r="P843" i="29"/>
  <c r="AB845" i="29"/>
  <c r="N844" i="29"/>
  <c r="P844" i="29" s="1"/>
  <c r="B847" i="29"/>
  <c r="AI847" i="29"/>
  <c r="AD848" i="29"/>
  <c r="AF846" i="29"/>
  <c r="AE846" i="29"/>
  <c r="AA846" i="29" s="1"/>
  <c r="O845" i="29"/>
  <c r="Z844" i="29"/>
  <c r="I845" i="29"/>
  <c r="K845" i="29" s="1"/>
  <c r="J845" i="29"/>
  <c r="Y845" i="29" s="1"/>
  <c r="Q846" i="29"/>
  <c r="U846" i="29"/>
  <c r="T846" i="29"/>
  <c r="G846" i="29"/>
  <c r="R846" i="29"/>
  <c r="E846" i="29"/>
  <c r="S846" i="29"/>
  <c r="V844" i="29" l="1"/>
  <c r="W844" i="29" s="1"/>
  <c r="N845" i="29"/>
  <c r="AB846" i="29"/>
  <c r="O846" i="29"/>
  <c r="G847" i="29"/>
  <c r="E847" i="29"/>
  <c r="S847" i="29"/>
  <c r="Q847" i="29"/>
  <c r="R847" i="29"/>
  <c r="T847" i="29"/>
  <c r="U847" i="29"/>
  <c r="P845" i="29"/>
  <c r="V845" i="29"/>
  <c r="W845" i="29" s="1"/>
  <c r="J846" i="29"/>
  <c r="Y846" i="29" s="1"/>
  <c r="I846" i="29"/>
  <c r="K846" i="29" s="1"/>
  <c r="AD849" i="29"/>
  <c r="B848" i="29"/>
  <c r="AI848" i="29"/>
  <c r="Z845" i="29"/>
  <c r="AF847" i="29"/>
  <c r="AE847" i="29"/>
  <c r="AA847" i="29" s="1"/>
  <c r="N846" i="29" l="1"/>
  <c r="AB847" i="29"/>
  <c r="O847" i="29"/>
  <c r="J847" i="29"/>
  <c r="I847" i="29"/>
  <c r="K847" i="29" s="1"/>
  <c r="N847" i="29" s="1"/>
  <c r="AE848" i="29"/>
  <c r="AA848" i="29" s="1"/>
  <c r="AF848" i="29"/>
  <c r="P846" i="29"/>
  <c r="V846" i="29"/>
  <c r="W846" i="29" s="1"/>
  <c r="Q848" i="29"/>
  <c r="G848" i="29"/>
  <c r="E848" i="29"/>
  <c r="U848" i="29"/>
  <c r="S848" i="29"/>
  <c r="T848" i="29"/>
  <c r="R848" i="29"/>
  <c r="Z846" i="29"/>
  <c r="AI849" i="29"/>
  <c r="AD850" i="29"/>
  <c r="B849" i="29"/>
  <c r="Y847" i="29"/>
  <c r="AB848" i="29" l="1"/>
  <c r="AF849" i="29"/>
  <c r="AE849" i="29"/>
  <c r="AA849" i="29" s="1"/>
  <c r="I848" i="29"/>
  <c r="K848" i="29" s="1"/>
  <c r="J848" i="29"/>
  <c r="Y848" i="29" s="1"/>
  <c r="Q849" i="29"/>
  <c r="E849" i="29"/>
  <c r="G849" i="29"/>
  <c r="T849" i="29"/>
  <c r="S849" i="29"/>
  <c r="U849" i="29"/>
  <c r="R849" i="29"/>
  <c r="Z847" i="29"/>
  <c r="V847" i="29"/>
  <c r="W847" i="29" s="1"/>
  <c r="P847" i="29"/>
  <c r="AI850" i="29"/>
  <c r="B850" i="29"/>
  <c r="AD851" i="29"/>
  <c r="O848" i="29"/>
  <c r="AB849" i="29" l="1"/>
  <c r="N848" i="29"/>
  <c r="V848" i="29" s="1"/>
  <c r="W848" i="29" s="1"/>
  <c r="AF850" i="29"/>
  <c r="AE850" i="29"/>
  <c r="AA850" i="29" s="1"/>
  <c r="Z848" i="29"/>
  <c r="O849" i="29"/>
  <c r="B851" i="29"/>
  <c r="AI851" i="29"/>
  <c r="AD852" i="29"/>
  <c r="T850" i="29"/>
  <c r="Q850" i="29"/>
  <c r="S850" i="29"/>
  <c r="E850" i="29"/>
  <c r="G850" i="29"/>
  <c r="R850" i="29"/>
  <c r="U850" i="29"/>
  <c r="J849" i="29"/>
  <c r="Y849" i="29" s="1"/>
  <c r="I849" i="29"/>
  <c r="K849" i="29" s="1"/>
  <c r="AB850" i="29" l="1"/>
  <c r="P848" i="29"/>
  <c r="N849" i="29"/>
  <c r="V849" i="29" s="1"/>
  <c r="W849" i="29" s="1"/>
  <c r="AD853" i="29"/>
  <c r="B852" i="29"/>
  <c r="AI852" i="29"/>
  <c r="O850" i="29"/>
  <c r="AE851" i="29"/>
  <c r="AA851" i="29" s="1"/>
  <c r="AF851" i="29"/>
  <c r="I850" i="29"/>
  <c r="K850" i="29" s="1"/>
  <c r="J850" i="29"/>
  <c r="Y850" i="29" s="1"/>
  <c r="T851" i="29"/>
  <c r="Q851" i="29"/>
  <c r="R851" i="29"/>
  <c r="S851" i="29"/>
  <c r="G851" i="29"/>
  <c r="E851" i="29"/>
  <c r="U851" i="29"/>
  <c r="Z849" i="29"/>
  <c r="AB851" i="29" l="1"/>
  <c r="P849" i="29"/>
  <c r="N850" i="29"/>
  <c r="P850" i="29" s="1"/>
  <c r="O851" i="29"/>
  <c r="B853" i="29"/>
  <c r="AD854" i="29"/>
  <c r="AI853" i="29"/>
  <c r="I851" i="29"/>
  <c r="J851" i="29"/>
  <c r="Y851" i="29" s="1"/>
  <c r="AF852" i="29"/>
  <c r="AE852" i="29"/>
  <c r="AA852" i="29" s="1"/>
  <c r="Z850" i="29"/>
  <c r="Q852" i="29"/>
  <c r="E852" i="29"/>
  <c r="U852" i="29"/>
  <c r="S852" i="29"/>
  <c r="T852" i="29"/>
  <c r="R852" i="29"/>
  <c r="G852" i="29"/>
  <c r="V850" i="29" l="1"/>
  <c r="W850" i="29" s="1"/>
  <c r="K851" i="29"/>
  <c r="N851" i="29" s="1"/>
  <c r="AB852" i="29"/>
  <c r="AF853" i="29"/>
  <c r="AE853" i="29"/>
  <c r="AA853" i="29" s="1"/>
  <c r="Z851" i="29"/>
  <c r="AD855" i="29"/>
  <c r="AI854" i="29"/>
  <c r="B854" i="29"/>
  <c r="E853" i="29"/>
  <c r="U853" i="29"/>
  <c r="S853" i="29"/>
  <c r="Q853" i="29"/>
  <c r="G853" i="29"/>
  <c r="R853" i="29"/>
  <c r="T853" i="29"/>
  <c r="O852" i="29"/>
  <c r="J852" i="29"/>
  <c r="Y852" i="29" s="1"/>
  <c r="I852" i="29"/>
  <c r="K852" i="29" s="1"/>
  <c r="P851" i="29" l="1"/>
  <c r="V851" i="29"/>
  <c r="W851" i="29" s="1"/>
  <c r="N852" i="29"/>
  <c r="AB853" i="29"/>
  <c r="P852" i="29"/>
  <c r="V852" i="29"/>
  <c r="W852" i="29" s="1"/>
  <c r="O853" i="29"/>
  <c r="B855" i="29"/>
  <c r="AD856" i="29"/>
  <c r="AI855" i="29"/>
  <c r="J853" i="29"/>
  <c r="Y853" i="29" s="1"/>
  <c r="I853" i="29"/>
  <c r="Z852" i="29"/>
  <c r="T854" i="29"/>
  <c r="R854" i="29"/>
  <c r="E854" i="29"/>
  <c r="S854" i="29"/>
  <c r="Q854" i="29"/>
  <c r="U854" i="29"/>
  <c r="G854" i="29"/>
  <c r="AE854" i="29"/>
  <c r="AA854" i="29" s="1"/>
  <c r="AF854" i="29"/>
  <c r="K853" i="29" l="1"/>
  <c r="N853" i="29" s="1"/>
  <c r="AB854" i="29"/>
  <c r="O854" i="29"/>
  <c r="Z853" i="29"/>
  <c r="I854" i="29"/>
  <c r="J854" i="29"/>
  <c r="Y854" i="29" s="1"/>
  <c r="Z854" i="29" s="1"/>
  <c r="AE855" i="29"/>
  <c r="AA855" i="29" s="1"/>
  <c r="AF855" i="29"/>
  <c r="B856" i="29"/>
  <c r="AD857" i="29"/>
  <c r="AI856" i="29"/>
  <c r="T855" i="29"/>
  <c r="Q855" i="29"/>
  <c r="G855" i="29"/>
  <c r="E855" i="29"/>
  <c r="R855" i="29"/>
  <c r="U855" i="29"/>
  <c r="S855" i="29"/>
  <c r="P853" i="29" l="1"/>
  <c r="V853" i="29"/>
  <c r="W853" i="29" s="1"/>
  <c r="AB855" i="29"/>
  <c r="K854" i="29"/>
  <c r="N854" i="29" s="1"/>
  <c r="U856" i="29"/>
  <c r="S856" i="29"/>
  <c r="Q856" i="29"/>
  <c r="R856" i="29"/>
  <c r="T856" i="29"/>
  <c r="E856" i="29"/>
  <c r="G856" i="29"/>
  <c r="J855" i="29"/>
  <c r="Y855" i="29" s="1"/>
  <c r="I855" i="29"/>
  <c r="K855" i="29" s="1"/>
  <c r="O855" i="29"/>
  <c r="AE856" i="29"/>
  <c r="AA856" i="29" s="1"/>
  <c r="AF856" i="29"/>
  <c r="AD858" i="29"/>
  <c r="B857" i="29"/>
  <c r="AI857" i="29"/>
  <c r="V854" i="29" l="1"/>
  <c r="W854" i="29" s="1"/>
  <c r="P854" i="29"/>
  <c r="AB856" i="29"/>
  <c r="N855" i="29"/>
  <c r="V855" i="29" s="1"/>
  <c r="W855" i="29" s="1"/>
  <c r="J856" i="29"/>
  <c r="Y856" i="29" s="1"/>
  <c r="I856" i="29"/>
  <c r="K856" i="29" s="1"/>
  <c r="O856" i="29"/>
  <c r="AF857" i="29"/>
  <c r="AE857" i="29"/>
  <c r="AA857" i="29" s="1"/>
  <c r="Z855" i="29"/>
  <c r="S857" i="29"/>
  <c r="T857" i="29"/>
  <c r="G857" i="29"/>
  <c r="E857" i="29"/>
  <c r="U857" i="29"/>
  <c r="R857" i="29"/>
  <c r="Q857" i="29"/>
  <c r="AD859" i="29"/>
  <c r="AI858" i="29"/>
  <c r="B858" i="29"/>
  <c r="P855" i="29" l="1"/>
  <c r="AB857" i="29"/>
  <c r="N856" i="29"/>
  <c r="O857" i="29"/>
  <c r="U858" i="29"/>
  <c r="G858" i="29"/>
  <c r="T858" i="29"/>
  <c r="E858" i="29"/>
  <c r="R858" i="29"/>
  <c r="Q858" i="29"/>
  <c r="S858" i="29"/>
  <c r="J857" i="29"/>
  <c r="Y857" i="29" s="1"/>
  <c r="I857" i="29"/>
  <c r="K857" i="29" s="1"/>
  <c r="Z856" i="29"/>
  <c r="AE858" i="29"/>
  <c r="AA858" i="29" s="1"/>
  <c r="AF858" i="29"/>
  <c r="AD860" i="29"/>
  <c r="AI859" i="29"/>
  <c r="B859" i="29"/>
  <c r="V856" i="29"/>
  <c r="W856" i="29" s="1"/>
  <c r="P856" i="29"/>
  <c r="N857" i="29" l="1"/>
  <c r="P857" i="29" s="1"/>
  <c r="AB858" i="29"/>
  <c r="V857" i="29"/>
  <c r="W857" i="29" s="1"/>
  <c r="AI860" i="29"/>
  <c r="AD861" i="29"/>
  <c r="B860" i="29"/>
  <c r="E859" i="29"/>
  <c r="G859" i="29"/>
  <c r="S859" i="29"/>
  <c r="U859" i="29"/>
  <c r="T859" i="29"/>
  <c r="Q859" i="29"/>
  <c r="R859" i="29"/>
  <c r="O858" i="29"/>
  <c r="AF859" i="29"/>
  <c r="AE859" i="29"/>
  <c r="AA859" i="29" s="1"/>
  <c r="I858" i="29"/>
  <c r="J858" i="29"/>
  <c r="Y858" i="29" s="1"/>
  <c r="Z857" i="29"/>
  <c r="K858" i="29" l="1"/>
  <c r="N858" i="29" s="1"/>
  <c r="AB859" i="29"/>
  <c r="Z858" i="29"/>
  <c r="O859" i="29"/>
  <c r="AF860" i="29"/>
  <c r="AE860" i="29"/>
  <c r="AA860" i="29" s="1"/>
  <c r="R860" i="29"/>
  <c r="U860" i="29"/>
  <c r="Q860" i="29"/>
  <c r="T860" i="29"/>
  <c r="G860" i="29"/>
  <c r="E860" i="29"/>
  <c r="S860" i="29"/>
  <c r="J859" i="29"/>
  <c r="Y859" i="29" s="1"/>
  <c r="I859" i="29"/>
  <c r="AI861" i="29"/>
  <c r="AD862" i="29"/>
  <c r="B861" i="29"/>
  <c r="V858" i="29" l="1"/>
  <c r="W858" i="29" s="1"/>
  <c r="P858" i="29"/>
  <c r="AB860" i="29"/>
  <c r="K859" i="29"/>
  <c r="N859" i="29" s="1"/>
  <c r="J860" i="29"/>
  <c r="Y860" i="29" s="1"/>
  <c r="I860" i="29"/>
  <c r="E861" i="29"/>
  <c r="S861" i="29"/>
  <c r="Q861" i="29"/>
  <c r="T861" i="29"/>
  <c r="U861" i="29"/>
  <c r="G861" i="29"/>
  <c r="R861" i="29"/>
  <c r="B862" i="29"/>
  <c r="AD863" i="29"/>
  <c r="AI862" i="29"/>
  <c r="AF861" i="29"/>
  <c r="AE861" i="29"/>
  <c r="AA861" i="29" s="1"/>
  <c r="Z859" i="29"/>
  <c r="O860" i="29"/>
  <c r="P859" i="29" l="1"/>
  <c r="V859" i="29"/>
  <c r="W859" i="29" s="1"/>
  <c r="K860" i="29"/>
  <c r="N860" i="29" s="1"/>
  <c r="AB861" i="29"/>
  <c r="I861" i="29"/>
  <c r="J861" i="29"/>
  <c r="Y861" i="29" s="1"/>
  <c r="AF862" i="29"/>
  <c r="AE862" i="29"/>
  <c r="AA862" i="29" s="1"/>
  <c r="Z860" i="29"/>
  <c r="B863" i="29"/>
  <c r="AD864" i="29"/>
  <c r="AI863" i="29"/>
  <c r="O861" i="29"/>
  <c r="S862" i="29"/>
  <c r="U862" i="29"/>
  <c r="R862" i="29"/>
  <c r="E862" i="29"/>
  <c r="Q862" i="29"/>
  <c r="G862" i="29"/>
  <c r="T862" i="29"/>
  <c r="V860" i="29" l="1"/>
  <c r="W860" i="29" s="1"/>
  <c r="P860" i="29"/>
  <c r="AB862" i="29"/>
  <c r="K861" i="29"/>
  <c r="N861" i="29" s="1"/>
  <c r="S863" i="29"/>
  <c r="E863" i="29"/>
  <c r="R863" i="29"/>
  <c r="U863" i="29"/>
  <c r="Q863" i="29"/>
  <c r="G863" i="29"/>
  <c r="T863" i="29"/>
  <c r="Z861" i="29"/>
  <c r="I862" i="29"/>
  <c r="K862" i="29" s="1"/>
  <c r="J862" i="29"/>
  <c r="Y862" i="29" s="1"/>
  <c r="O862" i="29"/>
  <c r="AE863" i="29"/>
  <c r="AA863" i="29" s="1"/>
  <c r="AF863" i="29"/>
  <c r="AD865" i="29"/>
  <c r="AI864" i="29"/>
  <c r="B864" i="29"/>
  <c r="P861" i="29" l="1"/>
  <c r="V861" i="29"/>
  <c r="W861" i="29" s="1"/>
  <c r="N862" i="29"/>
  <c r="AB863" i="29"/>
  <c r="E864" i="29"/>
  <c r="S864" i="29"/>
  <c r="R864" i="29"/>
  <c r="G864" i="29"/>
  <c r="U864" i="29"/>
  <c r="Q864" i="29"/>
  <c r="T864" i="29"/>
  <c r="AE864" i="29"/>
  <c r="AA864" i="29" s="1"/>
  <c r="AF864" i="29"/>
  <c r="I863" i="29"/>
  <c r="K863" i="29" s="1"/>
  <c r="J863" i="29"/>
  <c r="Y863" i="29" s="1"/>
  <c r="O863" i="29"/>
  <c r="B865" i="29"/>
  <c r="AI865" i="29"/>
  <c r="AD866" i="29"/>
  <c r="Z862" i="29"/>
  <c r="P862" i="29"/>
  <c r="V862" i="29"/>
  <c r="W862" i="29" s="1"/>
  <c r="N863" i="29" l="1"/>
  <c r="AB864" i="29"/>
  <c r="P863" i="29"/>
  <c r="V863" i="29"/>
  <c r="W863" i="29" s="1"/>
  <c r="B866" i="29"/>
  <c r="AI866" i="29"/>
  <c r="AD867" i="29"/>
  <c r="AF865" i="29"/>
  <c r="AE865" i="29"/>
  <c r="AA865" i="29" s="1"/>
  <c r="Z863" i="29"/>
  <c r="I864" i="29"/>
  <c r="J864" i="29"/>
  <c r="Y864" i="29" s="1"/>
  <c r="O864" i="29"/>
  <c r="Q865" i="29"/>
  <c r="U865" i="29"/>
  <c r="R865" i="29"/>
  <c r="E865" i="29"/>
  <c r="T865" i="29"/>
  <c r="G865" i="29"/>
  <c r="S865" i="29"/>
  <c r="AB865" i="29" l="1"/>
  <c r="K864" i="29"/>
  <c r="N864" i="29" s="1"/>
  <c r="O865" i="29"/>
  <c r="AE866" i="29"/>
  <c r="AA866" i="29" s="1"/>
  <c r="AF866" i="29"/>
  <c r="U866" i="29"/>
  <c r="E866" i="29"/>
  <c r="S866" i="29"/>
  <c r="T866" i="29"/>
  <c r="Q866" i="29"/>
  <c r="G866" i="29"/>
  <c r="R866" i="29"/>
  <c r="J865" i="29"/>
  <c r="Y865" i="29" s="1"/>
  <c r="I865" i="29"/>
  <c r="K865" i="29" s="1"/>
  <c r="Z864" i="29"/>
  <c r="AD868" i="29"/>
  <c r="AI867" i="29"/>
  <c r="B867" i="29"/>
  <c r="V864" i="29" l="1"/>
  <c r="W864" i="29" s="1"/>
  <c r="P864" i="29"/>
  <c r="AB866" i="29"/>
  <c r="N865" i="29"/>
  <c r="P865" i="29" s="1"/>
  <c r="AD869" i="29"/>
  <c r="B868" i="29"/>
  <c r="AI868" i="29"/>
  <c r="V865" i="29"/>
  <c r="W865" i="29" s="1"/>
  <c r="Q867" i="29"/>
  <c r="T867" i="29"/>
  <c r="G867" i="29"/>
  <c r="U867" i="29"/>
  <c r="R867" i="29"/>
  <c r="E867" i="29"/>
  <c r="S867" i="29"/>
  <c r="AF867" i="29"/>
  <c r="AE867" i="29"/>
  <c r="AA867" i="29" s="1"/>
  <c r="J866" i="29"/>
  <c r="Y866" i="29" s="1"/>
  <c r="I866" i="29"/>
  <c r="K866" i="29" s="1"/>
  <c r="O866" i="29"/>
  <c r="Z865" i="29"/>
  <c r="AB867" i="29" l="1"/>
  <c r="N866" i="29"/>
  <c r="AE868" i="29"/>
  <c r="AA868" i="29" s="1"/>
  <c r="AF868" i="29"/>
  <c r="Z866" i="29"/>
  <c r="P866" i="29"/>
  <c r="V866" i="29"/>
  <c r="W866" i="29" s="1"/>
  <c r="J867" i="29"/>
  <c r="Y867" i="29" s="1"/>
  <c r="I867" i="29"/>
  <c r="O867" i="29"/>
  <c r="G868" i="29"/>
  <c r="Q868" i="29"/>
  <c r="T868" i="29"/>
  <c r="R868" i="29"/>
  <c r="S868" i="29"/>
  <c r="E868" i="29"/>
  <c r="U868" i="29"/>
  <c r="AD870" i="29"/>
  <c r="AI869" i="29"/>
  <c r="B869" i="29"/>
  <c r="AB868" i="29" l="1"/>
  <c r="K867" i="29"/>
  <c r="N867" i="29" s="1"/>
  <c r="B870" i="29"/>
  <c r="AD871" i="29"/>
  <c r="AI870" i="29"/>
  <c r="G869" i="29"/>
  <c r="E869" i="29"/>
  <c r="T869" i="29"/>
  <c r="Q869" i="29"/>
  <c r="U869" i="29"/>
  <c r="R869" i="29"/>
  <c r="S869" i="29"/>
  <c r="AF869" i="29"/>
  <c r="AE869" i="29"/>
  <c r="AA869" i="29" s="1"/>
  <c r="Z867" i="29"/>
  <c r="O868" i="29"/>
  <c r="I868" i="29"/>
  <c r="K868" i="29" s="1"/>
  <c r="J868" i="29"/>
  <c r="Y868" i="29" s="1"/>
  <c r="P867" i="29" l="1"/>
  <c r="V867" i="29"/>
  <c r="W867" i="29" s="1"/>
  <c r="N868" i="29"/>
  <c r="AB869" i="29"/>
  <c r="O869" i="29"/>
  <c r="V868" i="29"/>
  <c r="W868" i="29" s="1"/>
  <c r="P868" i="29"/>
  <c r="AF870" i="29"/>
  <c r="AE870" i="29"/>
  <c r="AA870" i="29" s="1"/>
  <c r="AD872" i="29"/>
  <c r="B871" i="29"/>
  <c r="AI871" i="29"/>
  <c r="J869" i="29"/>
  <c r="Y869" i="29" s="1"/>
  <c r="I869" i="29"/>
  <c r="Z868" i="29"/>
  <c r="U870" i="29"/>
  <c r="T870" i="29"/>
  <c r="S870" i="29"/>
  <c r="R870" i="29"/>
  <c r="G870" i="29"/>
  <c r="E870" i="29"/>
  <c r="Q870" i="29"/>
  <c r="AB870" i="29" l="1"/>
  <c r="K869" i="29"/>
  <c r="N869" i="29" s="1"/>
  <c r="AF871" i="29"/>
  <c r="AE871" i="29"/>
  <c r="AA871" i="29" s="1"/>
  <c r="I870" i="29"/>
  <c r="K870" i="29" s="1"/>
  <c r="J870" i="29"/>
  <c r="Y870" i="29" s="1"/>
  <c r="R871" i="29"/>
  <c r="T871" i="29"/>
  <c r="Q871" i="29"/>
  <c r="G871" i="29"/>
  <c r="U871" i="29"/>
  <c r="E871" i="29"/>
  <c r="S871" i="29"/>
  <c r="AI872" i="29"/>
  <c r="B872" i="29"/>
  <c r="AD873" i="29"/>
  <c r="Z869" i="29"/>
  <c r="O870" i="29"/>
  <c r="P869" i="29" l="1"/>
  <c r="V869" i="29"/>
  <c r="W869" i="29" s="1"/>
  <c r="AB871" i="29"/>
  <c r="N870" i="29"/>
  <c r="O871" i="29"/>
  <c r="Z870" i="29"/>
  <c r="Q872" i="29"/>
  <c r="E872" i="29"/>
  <c r="G872" i="29"/>
  <c r="R872" i="29"/>
  <c r="T872" i="29"/>
  <c r="U872" i="29"/>
  <c r="S872" i="29"/>
  <c r="AF872" i="29"/>
  <c r="AE872" i="29"/>
  <c r="AA872" i="29" s="1"/>
  <c r="V870" i="29"/>
  <c r="W870" i="29" s="1"/>
  <c r="P870" i="29"/>
  <c r="I871" i="29"/>
  <c r="K871" i="29" s="1"/>
  <c r="J871" i="29"/>
  <c r="Y871" i="29" s="1"/>
  <c r="Z871" i="29" s="1"/>
  <c r="B873" i="29"/>
  <c r="AI873" i="29"/>
  <c r="AD874" i="29"/>
  <c r="N871" i="29" l="1"/>
  <c r="AB872" i="29"/>
  <c r="AI874" i="29"/>
  <c r="B874" i="29"/>
  <c r="AD875" i="29"/>
  <c r="R873" i="29"/>
  <c r="S873" i="29"/>
  <c r="G873" i="29"/>
  <c r="E873" i="29"/>
  <c r="T873" i="29"/>
  <c r="U873" i="29"/>
  <c r="Q873" i="29"/>
  <c r="V871" i="29"/>
  <c r="W871" i="29" s="1"/>
  <c r="P871" i="29"/>
  <c r="I872" i="29"/>
  <c r="J872" i="29"/>
  <c r="Y872" i="29" s="1"/>
  <c r="O872" i="29"/>
  <c r="AE873" i="29"/>
  <c r="AA873" i="29" s="1"/>
  <c r="AF873" i="29"/>
  <c r="K872" i="29" l="1"/>
  <c r="N872" i="29" s="1"/>
  <c r="AB873" i="29"/>
  <c r="O873" i="29"/>
  <c r="Z872" i="29"/>
  <c r="AE874" i="29"/>
  <c r="AA874" i="29" s="1"/>
  <c r="AF874" i="29"/>
  <c r="J873" i="29"/>
  <c r="Y873" i="29" s="1"/>
  <c r="I873" i="29"/>
  <c r="AD876" i="29"/>
  <c r="B875" i="29"/>
  <c r="AI875" i="29"/>
  <c r="Q874" i="29"/>
  <c r="U874" i="29"/>
  <c r="S874" i="29"/>
  <c r="E874" i="29"/>
  <c r="T874" i="29"/>
  <c r="G874" i="29"/>
  <c r="R874" i="29"/>
  <c r="V872" i="29" l="1"/>
  <c r="W872" i="29" s="1"/>
  <c r="P872" i="29"/>
  <c r="AB874" i="29"/>
  <c r="K873" i="29"/>
  <c r="N873" i="29" s="1"/>
  <c r="Z873" i="29"/>
  <c r="O874" i="29"/>
  <c r="AI876" i="29"/>
  <c r="AD877" i="29"/>
  <c r="B876" i="29"/>
  <c r="I874" i="29"/>
  <c r="J874" i="29"/>
  <c r="Y874" i="29" s="1"/>
  <c r="AE875" i="29"/>
  <c r="AA875" i="29" s="1"/>
  <c r="AF875" i="29"/>
  <c r="S875" i="29"/>
  <c r="Q875" i="29"/>
  <c r="G875" i="29"/>
  <c r="T875" i="29"/>
  <c r="R875" i="29"/>
  <c r="U875" i="29"/>
  <c r="E875" i="29"/>
  <c r="V873" i="29" l="1"/>
  <c r="W873" i="29" s="1"/>
  <c r="P873" i="29"/>
  <c r="AB875" i="29"/>
  <c r="K874" i="29"/>
  <c r="N874" i="29" s="1"/>
  <c r="AI877" i="29"/>
  <c r="B877" i="29"/>
  <c r="AD878" i="29"/>
  <c r="I875" i="29"/>
  <c r="J875" i="29"/>
  <c r="Y875" i="29" s="1"/>
  <c r="AF876" i="29"/>
  <c r="AE876" i="29"/>
  <c r="AA876" i="29" s="1"/>
  <c r="O875" i="29"/>
  <c r="Z874" i="29"/>
  <c r="U876" i="29"/>
  <c r="S876" i="29"/>
  <c r="R876" i="29"/>
  <c r="E876" i="29"/>
  <c r="Q876" i="29"/>
  <c r="G876" i="29"/>
  <c r="T876" i="29"/>
  <c r="P874" i="29" l="1"/>
  <c r="V874" i="29"/>
  <c r="W874" i="29" s="1"/>
  <c r="K875" i="29"/>
  <c r="N875" i="29" s="1"/>
  <c r="AB876" i="29"/>
  <c r="O876" i="29"/>
  <c r="E877" i="29"/>
  <c r="S877" i="29"/>
  <c r="U877" i="29"/>
  <c r="G877" i="29"/>
  <c r="R877" i="29"/>
  <c r="T877" i="29"/>
  <c r="Q877" i="29"/>
  <c r="AF877" i="29"/>
  <c r="AE877" i="29"/>
  <c r="AA877" i="29" s="1"/>
  <c r="Z875" i="29"/>
  <c r="J876" i="29"/>
  <c r="Y876" i="29" s="1"/>
  <c r="I876" i="29"/>
  <c r="K876" i="29" s="1"/>
  <c r="B878" i="29"/>
  <c r="AD879" i="29"/>
  <c r="AI878" i="29"/>
  <c r="V875" i="29" l="1"/>
  <c r="W875" i="29" s="1"/>
  <c r="P875" i="29"/>
  <c r="N876" i="29"/>
  <c r="AB877" i="29"/>
  <c r="O877" i="29"/>
  <c r="Z876" i="29"/>
  <c r="B879" i="29"/>
  <c r="AD880" i="29"/>
  <c r="AI879" i="29"/>
  <c r="V876" i="29"/>
  <c r="W876" i="29" s="1"/>
  <c r="P876" i="29"/>
  <c r="U878" i="29"/>
  <c r="S878" i="29"/>
  <c r="R878" i="29"/>
  <c r="E878" i="29"/>
  <c r="G878" i="29"/>
  <c r="Q878" i="29"/>
  <c r="T878" i="29"/>
  <c r="I877" i="29"/>
  <c r="J877" i="29"/>
  <c r="Y877" i="29" s="1"/>
  <c r="AE878" i="29"/>
  <c r="AA878" i="29" s="1"/>
  <c r="AF878" i="29"/>
  <c r="K877" i="29" l="1"/>
  <c r="N877" i="29" s="1"/>
  <c r="AB878" i="29"/>
  <c r="U879" i="29"/>
  <c r="Q879" i="29"/>
  <c r="T879" i="29"/>
  <c r="S879" i="29"/>
  <c r="G879" i="29"/>
  <c r="E879" i="29"/>
  <c r="R879" i="29"/>
  <c r="J878" i="29"/>
  <c r="Y878" i="29" s="1"/>
  <c r="I878" i="29"/>
  <c r="O878" i="29"/>
  <c r="AF879" i="29"/>
  <c r="AE879" i="29"/>
  <c r="AA879" i="29" s="1"/>
  <c r="Z877" i="29"/>
  <c r="AD881" i="29"/>
  <c r="B880" i="29"/>
  <c r="AI880" i="29"/>
  <c r="V877" i="29" l="1"/>
  <c r="W877" i="29" s="1"/>
  <c r="P877" i="29"/>
  <c r="AB879" i="29"/>
  <c r="K878" i="29"/>
  <c r="N878" i="29" s="1"/>
  <c r="T880" i="29"/>
  <c r="Q880" i="29"/>
  <c r="G880" i="29"/>
  <c r="U880" i="29"/>
  <c r="S880" i="29"/>
  <c r="E880" i="29"/>
  <c r="R880" i="29"/>
  <c r="Z878" i="29"/>
  <c r="O879" i="29"/>
  <c r="AI881" i="29"/>
  <c r="B881" i="29"/>
  <c r="AD882" i="29"/>
  <c r="I879" i="29"/>
  <c r="J879" i="29"/>
  <c r="Y879" i="29" s="1"/>
  <c r="AF880" i="29"/>
  <c r="AE880" i="29"/>
  <c r="AA880" i="29" s="1"/>
  <c r="P878" i="29" l="1"/>
  <c r="V878" i="29"/>
  <c r="W878" i="29" s="1"/>
  <c r="K879" i="29"/>
  <c r="N879" i="29" s="1"/>
  <c r="AB880" i="29"/>
  <c r="AD883" i="29"/>
  <c r="B882" i="29"/>
  <c r="AI882" i="29"/>
  <c r="I880" i="29"/>
  <c r="J880" i="29"/>
  <c r="Y880" i="29" s="1"/>
  <c r="T881" i="29"/>
  <c r="Q881" i="29"/>
  <c r="R881" i="29"/>
  <c r="S881" i="29"/>
  <c r="U881" i="29"/>
  <c r="E881" i="29"/>
  <c r="G881" i="29"/>
  <c r="O880" i="29"/>
  <c r="AE881" i="29"/>
  <c r="AA881" i="29" s="1"/>
  <c r="AF881" i="29"/>
  <c r="Z879" i="29"/>
  <c r="V879" i="29" l="1"/>
  <c r="W879" i="29" s="1"/>
  <c r="P879" i="29"/>
  <c r="AB881" i="29"/>
  <c r="K880" i="29"/>
  <c r="N880" i="29" s="1"/>
  <c r="O881" i="29"/>
  <c r="L770" i="7" s="1"/>
  <c r="AI883" i="29"/>
  <c r="B883" i="29"/>
  <c r="AD884" i="29"/>
  <c r="J881" i="29"/>
  <c r="Y881" i="29" s="1"/>
  <c r="Z881" i="29" s="1"/>
  <c r="I881" i="29"/>
  <c r="Z880" i="29"/>
  <c r="AE882" i="29"/>
  <c r="AA882" i="29" s="1"/>
  <c r="AF882" i="29"/>
  <c r="R882" i="29"/>
  <c r="T882" i="29"/>
  <c r="G882" i="29"/>
  <c r="U882" i="29"/>
  <c r="S882" i="29"/>
  <c r="E882" i="29"/>
  <c r="Q882" i="29"/>
  <c r="P880" i="29" l="1"/>
  <c r="V880" i="29"/>
  <c r="W880" i="29" s="1"/>
  <c r="AB882" i="29"/>
  <c r="K881" i="29"/>
  <c r="N881" i="29" s="1"/>
  <c r="L773" i="7"/>
  <c r="L775" i="7" s="1"/>
  <c r="K817" i="7" s="1"/>
  <c r="O882" i="29"/>
  <c r="AE883" i="29"/>
  <c r="AA883" i="29" s="1"/>
  <c r="AF883" i="29"/>
  <c r="AI884" i="29"/>
  <c r="B884" i="29"/>
  <c r="AD885" i="29"/>
  <c r="J882" i="29"/>
  <c r="Y882" i="29" s="1"/>
  <c r="I882" i="29"/>
  <c r="T883" i="29"/>
  <c r="E883" i="29"/>
  <c r="G883" i="29"/>
  <c r="R883" i="29"/>
  <c r="S883" i="29"/>
  <c r="Q883" i="29"/>
  <c r="U883" i="29"/>
  <c r="P881" i="29" l="1"/>
  <c r="V881" i="29"/>
  <c r="W881" i="29" s="1"/>
  <c r="AB883" i="29"/>
  <c r="K882" i="29"/>
  <c r="N882" i="29" s="1"/>
  <c r="I774" i="7"/>
  <c r="J774" i="7" s="1"/>
  <c r="I837" i="7"/>
  <c r="J837" i="7" s="1"/>
  <c r="I793" i="7"/>
  <c r="J793" i="7" s="1"/>
  <c r="I835" i="7"/>
  <c r="J835" i="7" s="1"/>
  <c r="I818" i="7"/>
  <c r="J818" i="7" s="1"/>
  <c r="I809" i="7"/>
  <c r="J809" i="7" s="1"/>
  <c r="I817" i="7"/>
  <c r="J817" i="7" s="1"/>
  <c r="I789" i="7"/>
  <c r="J789" i="7" s="1"/>
  <c r="I829" i="7"/>
  <c r="J829" i="7" s="1"/>
  <c r="I786" i="7"/>
  <c r="J786" i="7" s="1"/>
  <c r="I807" i="7"/>
  <c r="J807" i="7" s="1"/>
  <c r="I848" i="7"/>
  <c r="J848" i="7" s="1"/>
  <c r="I813" i="7"/>
  <c r="J813" i="7" s="1"/>
  <c r="I784" i="7"/>
  <c r="J784" i="7" s="1"/>
  <c r="I801" i="7"/>
  <c r="J801" i="7" s="1"/>
  <c r="I777" i="7"/>
  <c r="J777" i="7" s="1"/>
  <c r="K831" i="7"/>
  <c r="K847" i="7"/>
  <c r="K815" i="7"/>
  <c r="K799" i="7"/>
  <c r="K846" i="7"/>
  <c r="K830" i="7"/>
  <c r="K814" i="7"/>
  <c r="K783" i="7"/>
  <c r="K798" i="7"/>
  <c r="K782" i="7"/>
  <c r="K849" i="7"/>
  <c r="K797" i="7"/>
  <c r="I822" i="7"/>
  <c r="J822" i="7" s="1"/>
  <c r="K812" i="7"/>
  <c r="K792" i="7"/>
  <c r="I772" i="7"/>
  <c r="J772" i="7" s="1"/>
  <c r="I794" i="7"/>
  <c r="J794" i="7" s="1"/>
  <c r="I781" i="7"/>
  <c r="J781" i="7" s="1"/>
  <c r="I788" i="7"/>
  <c r="J788" i="7" s="1"/>
  <c r="I810" i="7"/>
  <c r="J810" i="7" s="1"/>
  <c r="K791" i="7"/>
  <c r="K806" i="7"/>
  <c r="K801" i="7"/>
  <c r="I799" i="7"/>
  <c r="J799" i="7" s="1"/>
  <c r="I800" i="7"/>
  <c r="J800" i="7" s="1"/>
  <c r="K827" i="7"/>
  <c r="K778" i="7"/>
  <c r="K804" i="7"/>
  <c r="I785" i="7"/>
  <c r="J785" i="7" s="1"/>
  <c r="I826" i="7"/>
  <c r="J826" i="7" s="1"/>
  <c r="I812" i="7"/>
  <c r="J812" i="7" s="1"/>
  <c r="K787" i="7"/>
  <c r="K793" i="7"/>
  <c r="K816" i="7"/>
  <c r="I770" i="7"/>
  <c r="J770" i="7" s="1"/>
  <c r="I816" i="7"/>
  <c r="J816" i="7" s="1"/>
  <c r="I844" i="7"/>
  <c r="J844" i="7" s="1"/>
  <c r="K826" i="7"/>
  <c r="K789" i="7"/>
  <c r="K800" i="7"/>
  <c r="I791" i="7"/>
  <c r="J791" i="7" s="1"/>
  <c r="I798" i="7"/>
  <c r="J798" i="7" s="1"/>
  <c r="K824" i="7"/>
  <c r="K786" i="7"/>
  <c r="I821" i="7"/>
  <c r="J821" i="7" s="1"/>
  <c r="I787" i="7"/>
  <c r="J787" i="7" s="1"/>
  <c r="K785" i="7"/>
  <c r="K780" i="7"/>
  <c r="I832" i="7"/>
  <c r="J832" i="7" s="1"/>
  <c r="I797" i="7"/>
  <c r="J797" i="7" s="1"/>
  <c r="I815" i="7"/>
  <c r="J815" i="7" s="1"/>
  <c r="I808" i="7"/>
  <c r="J808" i="7" s="1"/>
  <c r="I839" i="7"/>
  <c r="J839" i="7" s="1"/>
  <c r="K839" i="7"/>
  <c r="K775" i="7"/>
  <c r="K790" i="7"/>
  <c r="K845" i="7"/>
  <c r="I780" i="7"/>
  <c r="J780" i="7" s="1"/>
  <c r="I790" i="7"/>
  <c r="J790" i="7" s="1"/>
  <c r="K795" i="7"/>
  <c r="K809" i="7"/>
  <c r="K848" i="7"/>
  <c r="I805" i="7"/>
  <c r="J805" i="7" s="1"/>
  <c r="I831" i="7"/>
  <c r="J831" i="7" s="1"/>
  <c r="I840" i="7"/>
  <c r="J840" i="7" s="1"/>
  <c r="K834" i="7"/>
  <c r="K805" i="7"/>
  <c r="K832" i="7"/>
  <c r="I783" i="7"/>
  <c r="J783" i="7" s="1"/>
  <c r="I804" i="7"/>
  <c r="J804" i="7" s="1"/>
  <c r="K843" i="7"/>
  <c r="K794" i="7"/>
  <c r="K828" i="7"/>
  <c r="I820" i="7"/>
  <c r="J820" i="7" s="1"/>
  <c r="K771" i="7"/>
  <c r="I802" i="7"/>
  <c r="J802" i="7" s="1"/>
  <c r="I825" i="7"/>
  <c r="J825" i="7" s="1"/>
  <c r="K820" i="7"/>
  <c r="K803" i="7"/>
  <c r="K829" i="7"/>
  <c r="K784" i="7"/>
  <c r="I769" i="7"/>
  <c r="J769" i="7" s="1"/>
  <c r="I811" i="7"/>
  <c r="J811" i="7" s="1"/>
  <c r="I824" i="7"/>
  <c r="J824" i="7" s="1"/>
  <c r="I775" i="7"/>
  <c r="J775" i="7" s="1"/>
  <c r="I836" i="7"/>
  <c r="J836" i="7" s="1"/>
  <c r="K823" i="7"/>
  <c r="K838" i="7"/>
  <c r="K774" i="7"/>
  <c r="K813" i="7"/>
  <c r="I823" i="7"/>
  <c r="J823" i="7" s="1"/>
  <c r="I792" i="7"/>
  <c r="J792" i="7" s="1"/>
  <c r="K842" i="7"/>
  <c r="K821" i="7"/>
  <c r="K776" i="7"/>
  <c r="I779" i="7"/>
  <c r="J779" i="7" s="1"/>
  <c r="I847" i="7"/>
  <c r="J847" i="7" s="1"/>
  <c r="I778" i="7"/>
  <c r="J778" i="7" s="1"/>
  <c r="K802" i="7"/>
  <c r="K836" i="7"/>
  <c r="I776" i="7"/>
  <c r="J776" i="7" s="1"/>
  <c r="I843" i="7"/>
  <c r="J843" i="7" s="1"/>
  <c r="I828" i="7"/>
  <c r="J828" i="7" s="1"/>
  <c r="K811" i="7"/>
  <c r="K841" i="7"/>
  <c r="K788" i="7"/>
  <c r="I796" i="7"/>
  <c r="J796" i="7" s="1"/>
  <c r="K837" i="7"/>
  <c r="K818" i="7"/>
  <c r="I838" i="7"/>
  <c r="J838" i="7" s="1"/>
  <c r="I845" i="7"/>
  <c r="J845" i="7" s="1"/>
  <c r="K825" i="7"/>
  <c r="K844" i="7"/>
  <c r="K769" i="7"/>
  <c r="I773" i="7"/>
  <c r="J773" i="7" s="1"/>
  <c r="I841" i="7"/>
  <c r="J841" i="7" s="1"/>
  <c r="I814" i="7"/>
  <c r="J814" i="7" s="1"/>
  <c r="I819" i="7"/>
  <c r="J819" i="7" s="1"/>
  <c r="I795" i="7"/>
  <c r="J795" i="7" s="1"/>
  <c r="K807" i="7"/>
  <c r="K822" i="7"/>
  <c r="K833" i="7"/>
  <c r="I830" i="7"/>
  <c r="J830" i="7" s="1"/>
  <c r="I834" i="7"/>
  <c r="J834" i="7" s="1"/>
  <c r="I803" i="7"/>
  <c r="J803" i="7" s="1"/>
  <c r="K810" i="7"/>
  <c r="K773" i="7"/>
  <c r="I849" i="7"/>
  <c r="J849" i="7" s="1"/>
  <c r="I846" i="7"/>
  <c r="J846" i="7" s="1"/>
  <c r="I827" i="7"/>
  <c r="J827" i="7" s="1"/>
  <c r="K819" i="7"/>
  <c r="K770" i="7"/>
  <c r="K796" i="7"/>
  <c r="I842" i="7"/>
  <c r="J842" i="7" s="1"/>
  <c r="I782" i="7"/>
  <c r="J782" i="7" s="1"/>
  <c r="I771" i="7"/>
  <c r="J771" i="7" s="1"/>
  <c r="K779" i="7"/>
  <c r="K777" i="7"/>
  <c r="K840" i="7"/>
  <c r="I806" i="7"/>
  <c r="J806" i="7" s="1"/>
  <c r="K808" i="7"/>
  <c r="K781" i="7"/>
  <c r="K835" i="7"/>
  <c r="I833" i="7"/>
  <c r="J833" i="7" s="1"/>
  <c r="K772" i="7"/>
  <c r="O883" i="29"/>
  <c r="AE884" i="29"/>
  <c r="AA884" i="29" s="1"/>
  <c r="AF884" i="29"/>
  <c r="Z882" i="29"/>
  <c r="AI885" i="29"/>
  <c r="AD886" i="29"/>
  <c r="B885" i="29"/>
  <c r="I883" i="29"/>
  <c r="K883" i="29" s="1"/>
  <c r="J883" i="29"/>
  <c r="Y883" i="29" s="1"/>
  <c r="R884" i="29"/>
  <c r="G884" i="29"/>
  <c r="T884" i="29"/>
  <c r="U884" i="29"/>
  <c r="Q884" i="29"/>
  <c r="E884" i="29"/>
  <c r="S884" i="29"/>
  <c r="V882" i="29" l="1"/>
  <c r="W882" i="29" s="1"/>
  <c r="P882" i="29"/>
  <c r="AB884" i="29"/>
  <c r="N883" i="29"/>
  <c r="O884" i="29"/>
  <c r="E885" i="29"/>
  <c r="S885" i="29"/>
  <c r="G885" i="29"/>
  <c r="T885" i="29"/>
  <c r="U885" i="29"/>
  <c r="R885" i="29"/>
  <c r="Q885" i="29"/>
  <c r="Z883" i="29"/>
  <c r="I884" i="29"/>
  <c r="K884" i="29" s="1"/>
  <c r="J884" i="29"/>
  <c r="Y884" i="29" s="1"/>
  <c r="P883" i="29"/>
  <c r="V883" i="29"/>
  <c r="W883" i="29" s="1"/>
  <c r="AD887" i="29"/>
  <c r="AI886" i="29"/>
  <c r="B886" i="29"/>
  <c r="AF885" i="29"/>
  <c r="AE885" i="29"/>
  <c r="AA885" i="29" s="1"/>
  <c r="N884" i="29" l="1"/>
  <c r="AB885" i="29"/>
  <c r="U886" i="29"/>
  <c r="T886" i="29"/>
  <c r="R886" i="29"/>
  <c r="E886" i="29"/>
  <c r="Q886" i="29"/>
  <c r="G886" i="29"/>
  <c r="S886" i="29"/>
  <c r="O885" i="29"/>
  <c r="AF886" i="29"/>
  <c r="AE886" i="29"/>
  <c r="AA886" i="29" s="1"/>
  <c r="J885" i="29"/>
  <c r="Y885" i="29" s="1"/>
  <c r="I885" i="29"/>
  <c r="AD888" i="29"/>
  <c r="AI887" i="29"/>
  <c r="B887" i="29"/>
  <c r="P884" i="29"/>
  <c r="V884" i="29"/>
  <c r="W884" i="29" s="1"/>
  <c r="Z884" i="29"/>
  <c r="K885" i="29" l="1"/>
  <c r="N885" i="29" s="1"/>
  <c r="AB886" i="29"/>
  <c r="I886" i="29"/>
  <c r="K886" i="29" s="1"/>
  <c r="J886" i="29"/>
  <c r="Y886" i="29" s="1"/>
  <c r="AD889" i="29"/>
  <c r="AI888" i="29"/>
  <c r="B888" i="29"/>
  <c r="Z885" i="29"/>
  <c r="R887" i="29"/>
  <c r="E887" i="29"/>
  <c r="T887" i="29"/>
  <c r="U887" i="29"/>
  <c r="Q887" i="29"/>
  <c r="S887" i="29"/>
  <c r="G887" i="29"/>
  <c r="AF887" i="29"/>
  <c r="AE887" i="29"/>
  <c r="AA887" i="29" s="1"/>
  <c r="O886" i="29"/>
  <c r="V885" i="29" l="1"/>
  <c r="W885" i="29" s="1"/>
  <c r="P885" i="29"/>
  <c r="N886" i="29"/>
  <c r="P886" i="29" s="1"/>
  <c r="AB887" i="29"/>
  <c r="I887" i="29"/>
  <c r="K887" i="29" s="1"/>
  <c r="J887" i="29"/>
  <c r="Y887" i="29" s="1"/>
  <c r="V886" i="29"/>
  <c r="W886" i="29" s="1"/>
  <c r="E888" i="29"/>
  <c r="G888" i="29"/>
  <c r="T888" i="29"/>
  <c r="S888" i="29"/>
  <c r="U888" i="29"/>
  <c r="R888" i="29"/>
  <c r="Q888" i="29"/>
  <c r="AF888" i="29"/>
  <c r="AE888" i="29"/>
  <c r="AA888" i="29" s="1"/>
  <c r="Z886" i="29"/>
  <c r="O887" i="29"/>
  <c r="AI889" i="29"/>
  <c r="AD890" i="29"/>
  <c r="B889" i="29"/>
  <c r="N887" i="29" l="1"/>
  <c r="P887" i="29" s="1"/>
  <c r="AB888" i="29"/>
  <c r="V887" i="29"/>
  <c r="W887" i="29" s="1"/>
  <c r="O888" i="29"/>
  <c r="R889" i="29"/>
  <c r="E889" i="29"/>
  <c r="U889" i="29"/>
  <c r="T889" i="29"/>
  <c r="S889" i="29"/>
  <c r="G889" i="29"/>
  <c r="Q889" i="29"/>
  <c r="AD891" i="29"/>
  <c r="B890" i="29"/>
  <c r="AI890" i="29"/>
  <c r="Z887" i="29"/>
  <c r="J888" i="29"/>
  <c r="Y888" i="29" s="1"/>
  <c r="I888" i="29"/>
  <c r="AF889" i="29"/>
  <c r="AE889" i="29"/>
  <c r="AA889" i="29" s="1"/>
  <c r="K888" i="29" l="1"/>
  <c r="N888" i="29" s="1"/>
  <c r="AB889" i="29"/>
  <c r="AI891" i="29"/>
  <c r="AD892" i="29"/>
  <c r="B891" i="29"/>
  <c r="Z888" i="29"/>
  <c r="I889" i="29"/>
  <c r="J889" i="29"/>
  <c r="Y889" i="29" s="1"/>
  <c r="AE890" i="29"/>
  <c r="AA890" i="29" s="1"/>
  <c r="AF890" i="29"/>
  <c r="U890" i="29"/>
  <c r="E890" i="29"/>
  <c r="G890" i="29"/>
  <c r="S890" i="29"/>
  <c r="R890" i="29"/>
  <c r="T890" i="29"/>
  <c r="Q890" i="29"/>
  <c r="O889" i="29"/>
  <c r="V888" i="29" l="1"/>
  <c r="W888" i="29" s="1"/>
  <c r="P888" i="29"/>
  <c r="AB890" i="29"/>
  <c r="K889" i="29"/>
  <c r="N889" i="29" s="1"/>
  <c r="O890" i="29"/>
  <c r="S891" i="29"/>
  <c r="U891" i="29"/>
  <c r="R891" i="29"/>
  <c r="E891" i="29"/>
  <c r="T891" i="29"/>
  <c r="Q891" i="29"/>
  <c r="G891" i="29"/>
  <c r="J890" i="29"/>
  <c r="Y890" i="29" s="1"/>
  <c r="I890" i="29"/>
  <c r="K890" i="29" s="1"/>
  <c r="B892" i="29"/>
  <c r="AD893" i="29"/>
  <c r="AI892" i="29"/>
  <c r="Z889" i="29"/>
  <c r="AF891" i="29"/>
  <c r="AE891" i="29"/>
  <c r="AA891" i="29" s="1"/>
  <c r="V889" i="29" l="1"/>
  <c r="W889" i="29" s="1"/>
  <c r="P889" i="29"/>
  <c r="N890" i="29"/>
  <c r="AB891" i="29"/>
  <c r="O891" i="29"/>
  <c r="Z890" i="29"/>
  <c r="U892" i="29"/>
  <c r="E892" i="29"/>
  <c r="S892" i="29"/>
  <c r="G892" i="29"/>
  <c r="Q892" i="29"/>
  <c r="R892" i="29"/>
  <c r="T892" i="29"/>
  <c r="I891" i="29"/>
  <c r="K891" i="29" s="1"/>
  <c r="J891" i="29"/>
  <c r="Y891" i="29" s="1"/>
  <c r="AF892" i="29"/>
  <c r="AE892" i="29"/>
  <c r="AA892" i="29" s="1"/>
  <c r="AI893" i="29"/>
  <c r="B893" i="29"/>
  <c r="AD894" i="29"/>
  <c r="V890" i="29"/>
  <c r="W890" i="29" s="1"/>
  <c r="P890" i="29"/>
  <c r="N891" i="29" l="1"/>
  <c r="AB892" i="29"/>
  <c r="AF893" i="29"/>
  <c r="AE893" i="29"/>
  <c r="AA893" i="29" s="1"/>
  <c r="I892" i="29"/>
  <c r="J892" i="29"/>
  <c r="Y892" i="29" s="1"/>
  <c r="O892" i="29"/>
  <c r="AI894" i="29"/>
  <c r="B894" i="29"/>
  <c r="AD895" i="29"/>
  <c r="P891" i="29"/>
  <c r="V891" i="29"/>
  <c r="W891" i="29" s="1"/>
  <c r="G893" i="29"/>
  <c r="E893" i="29"/>
  <c r="Q893" i="29"/>
  <c r="T893" i="29"/>
  <c r="R893" i="29"/>
  <c r="U893" i="29"/>
  <c r="S893" i="29"/>
  <c r="Z891" i="29"/>
  <c r="AB893" i="29" l="1"/>
  <c r="K892" i="29"/>
  <c r="N892" i="29" s="1"/>
  <c r="AF894" i="29"/>
  <c r="AE894" i="29"/>
  <c r="AA894" i="29" s="1"/>
  <c r="O893" i="29"/>
  <c r="B895" i="29"/>
  <c r="AI895" i="29"/>
  <c r="AD896" i="29"/>
  <c r="J893" i="29"/>
  <c r="Y893" i="29" s="1"/>
  <c r="I893" i="29"/>
  <c r="S894" i="29"/>
  <c r="E894" i="29"/>
  <c r="T894" i="29"/>
  <c r="Q894" i="29"/>
  <c r="G894" i="29"/>
  <c r="R894" i="29"/>
  <c r="U894" i="29"/>
  <c r="Z892" i="29"/>
  <c r="V892" i="29" l="1"/>
  <c r="W892" i="29" s="1"/>
  <c r="P892" i="29"/>
  <c r="AB894" i="29"/>
  <c r="K893" i="29"/>
  <c r="N893" i="29" s="1"/>
  <c r="O894" i="29"/>
  <c r="T895" i="29"/>
  <c r="G895" i="29"/>
  <c r="R895" i="29"/>
  <c r="S895" i="29"/>
  <c r="U895" i="29"/>
  <c r="E895" i="29"/>
  <c r="Q895" i="29"/>
  <c r="J894" i="29"/>
  <c r="Y894" i="29" s="1"/>
  <c r="I894" i="29"/>
  <c r="K894" i="29" s="1"/>
  <c r="Z893" i="29"/>
  <c r="AD897" i="29"/>
  <c r="AI896" i="29"/>
  <c r="B896" i="29"/>
  <c r="AF895" i="29"/>
  <c r="AE895" i="29"/>
  <c r="AA895" i="29" s="1"/>
  <c r="V893" i="29" l="1"/>
  <c r="W893" i="29" s="1"/>
  <c r="P893" i="29"/>
  <c r="AB895" i="29"/>
  <c r="N894" i="29"/>
  <c r="V894" i="29" s="1"/>
  <c r="W894" i="29" s="1"/>
  <c r="O895" i="29"/>
  <c r="Z894" i="29"/>
  <c r="J895" i="29"/>
  <c r="Y895" i="29" s="1"/>
  <c r="Z895" i="29" s="1"/>
  <c r="I895" i="29"/>
  <c r="K895" i="29" s="1"/>
  <c r="U896" i="29"/>
  <c r="S896" i="29"/>
  <c r="Q896" i="29"/>
  <c r="T896" i="29"/>
  <c r="R896" i="29"/>
  <c r="E896" i="29"/>
  <c r="G896" i="29"/>
  <c r="AF896" i="29"/>
  <c r="AE896" i="29"/>
  <c r="AA896" i="29" s="1"/>
  <c r="AD898" i="29"/>
  <c r="AI897" i="29"/>
  <c r="B897" i="29"/>
  <c r="P894" i="29" l="1"/>
  <c r="N895" i="29"/>
  <c r="AB896" i="29"/>
  <c r="O896" i="29"/>
  <c r="AI898" i="29"/>
  <c r="B898" i="29"/>
  <c r="AD899" i="29"/>
  <c r="J896" i="29"/>
  <c r="Y896" i="29" s="1"/>
  <c r="I896" i="29"/>
  <c r="K896" i="29" s="1"/>
  <c r="N896" i="29" s="1"/>
  <c r="E897" i="29"/>
  <c r="T897" i="29"/>
  <c r="S897" i="29"/>
  <c r="U897" i="29"/>
  <c r="G897" i="29"/>
  <c r="R897" i="29"/>
  <c r="Q897" i="29"/>
  <c r="AF897" i="29"/>
  <c r="AE897" i="29"/>
  <c r="AA897" i="29" s="1"/>
  <c r="P895" i="29"/>
  <c r="V895" i="29"/>
  <c r="W895" i="29" s="1"/>
  <c r="AB897" i="29" l="1"/>
  <c r="J897" i="29"/>
  <c r="I897" i="29"/>
  <c r="V896" i="29"/>
  <c r="W896" i="29" s="1"/>
  <c r="P896" i="29"/>
  <c r="O897" i="29"/>
  <c r="AI899" i="29"/>
  <c r="AD900" i="29"/>
  <c r="B899" i="29"/>
  <c r="Q898" i="29"/>
  <c r="E898" i="29"/>
  <c r="T898" i="29"/>
  <c r="S898" i="29"/>
  <c r="U898" i="29"/>
  <c r="R898" i="29"/>
  <c r="G898" i="29"/>
  <c r="AE898" i="29"/>
  <c r="AA898" i="29" s="1"/>
  <c r="AF898" i="29"/>
  <c r="Y897" i="29"/>
  <c r="Z896" i="29"/>
  <c r="K897" i="29" l="1"/>
  <c r="N897" i="29" s="1"/>
  <c r="AB898" i="29"/>
  <c r="O898" i="29"/>
  <c r="E899" i="29"/>
  <c r="R899" i="29"/>
  <c r="S899" i="29"/>
  <c r="T899" i="29"/>
  <c r="G899" i="29"/>
  <c r="Q899" i="29"/>
  <c r="U899" i="29"/>
  <c r="AI900" i="29"/>
  <c r="B900" i="29"/>
  <c r="AD901" i="29"/>
  <c r="AE899" i="29"/>
  <c r="AA899" i="29" s="1"/>
  <c r="AF899" i="29"/>
  <c r="J898" i="29"/>
  <c r="Y898" i="29" s="1"/>
  <c r="I898" i="29"/>
  <c r="Z897" i="29"/>
  <c r="V897" i="29" l="1"/>
  <c r="W897" i="29" s="1"/>
  <c r="P897" i="29"/>
  <c r="K898" i="29"/>
  <c r="N898" i="29" s="1"/>
  <c r="AB899" i="29"/>
  <c r="J899" i="29"/>
  <c r="Y899" i="29" s="1"/>
  <c r="I899" i="29"/>
  <c r="K899" i="29" s="1"/>
  <c r="AD902" i="29"/>
  <c r="B901" i="29"/>
  <c r="AI901" i="29"/>
  <c r="U900" i="29"/>
  <c r="E900" i="29"/>
  <c r="R900" i="29"/>
  <c r="Q900" i="29"/>
  <c r="T900" i="29"/>
  <c r="G900" i="29"/>
  <c r="S900" i="29"/>
  <c r="Z898" i="29"/>
  <c r="AF900" i="29"/>
  <c r="AE900" i="29"/>
  <c r="AA900" i="29" s="1"/>
  <c r="O899" i="29"/>
  <c r="P898" i="29" l="1"/>
  <c r="V898" i="29"/>
  <c r="W898" i="29" s="1"/>
  <c r="N899" i="29"/>
  <c r="AB900" i="29"/>
  <c r="AD903" i="29"/>
  <c r="B902" i="29"/>
  <c r="AI902" i="29"/>
  <c r="O900" i="29"/>
  <c r="AE901" i="29"/>
  <c r="AA901" i="29" s="1"/>
  <c r="AF901" i="29"/>
  <c r="Z899" i="29"/>
  <c r="I900" i="29"/>
  <c r="J900" i="29"/>
  <c r="Y900" i="29" s="1"/>
  <c r="G901" i="29"/>
  <c r="S901" i="29"/>
  <c r="Q901" i="29"/>
  <c r="U901" i="29"/>
  <c r="T901" i="29"/>
  <c r="E901" i="29"/>
  <c r="R901" i="29"/>
  <c r="V899" i="29"/>
  <c r="W899" i="29" s="1"/>
  <c r="P899" i="29"/>
  <c r="AB901" i="29" l="1"/>
  <c r="K900" i="29"/>
  <c r="N900" i="29" s="1"/>
  <c r="O901" i="29"/>
  <c r="AE902" i="29"/>
  <c r="AA902" i="29" s="1"/>
  <c r="AF902" i="29"/>
  <c r="J901" i="29"/>
  <c r="I901" i="29"/>
  <c r="K901" i="29" s="1"/>
  <c r="N901" i="29" s="1"/>
  <c r="Q902" i="29"/>
  <c r="E902" i="29"/>
  <c r="S902" i="29"/>
  <c r="T902" i="29"/>
  <c r="G902" i="29"/>
  <c r="U902" i="29"/>
  <c r="R902" i="29"/>
  <c r="Y901" i="29"/>
  <c r="Z900" i="29"/>
  <c r="AD904" i="29"/>
  <c r="B903" i="29"/>
  <c r="AI903" i="29"/>
  <c r="V900" i="29" l="1"/>
  <c r="W900" i="29" s="1"/>
  <c r="P900" i="29"/>
  <c r="AB902" i="29"/>
  <c r="O902" i="29"/>
  <c r="Z901" i="29"/>
  <c r="I902" i="29"/>
  <c r="K902" i="29" s="1"/>
  <c r="J902" i="29"/>
  <c r="Y902" i="29" s="1"/>
  <c r="AE903" i="29"/>
  <c r="AA903" i="29" s="1"/>
  <c r="AF903" i="29"/>
  <c r="S903" i="29"/>
  <c r="Q903" i="29"/>
  <c r="G903" i="29"/>
  <c r="T903" i="29"/>
  <c r="U903" i="29"/>
  <c r="E903" i="29"/>
  <c r="R903" i="29"/>
  <c r="V901" i="29"/>
  <c r="W901" i="29" s="1"/>
  <c r="P901" i="29"/>
  <c r="AD905" i="29"/>
  <c r="AI904" i="29"/>
  <c r="B904" i="29"/>
  <c r="N902" i="29" l="1"/>
  <c r="AB903" i="29"/>
  <c r="O903" i="29"/>
  <c r="V902" i="29"/>
  <c r="W902" i="29" s="1"/>
  <c r="P902" i="29"/>
  <c r="B905" i="29"/>
  <c r="AD906" i="29"/>
  <c r="AI905" i="29"/>
  <c r="E904" i="29"/>
  <c r="Q904" i="29"/>
  <c r="R904" i="29"/>
  <c r="G904" i="29"/>
  <c r="U904" i="29"/>
  <c r="S904" i="29"/>
  <c r="T904" i="29"/>
  <c r="J903" i="29"/>
  <c r="Y903" i="29" s="1"/>
  <c r="I903" i="29"/>
  <c r="K903" i="29" s="1"/>
  <c r="N903" i="29" s="1"/>
  <c r="Z902" i="29"/>
  <c r="AE904" i="29"/>
  <c r="AA904" i="29" s="1"/>
  <c r="AF904" i="29"/>
  <c r="AB904" i="29" l="1"/>
  <c r="I904" i="29"/>
  <c r="J904" i="29"/>
  <c r="Y904" i="29" s="1"/>
  <c r="AE905" i="29"/>
  <c r="AA905" i="29" s="1"/>
  <c r="AF905" i="29"/>
  <c r="P903" i="29"/>
  <c r="V903" i="29"/>
  <c r="W903" i="29" s="1"/>
  <c r="AD907" i="29"/>
  <c r="AI906" i="29"/>
  <c r="B906" i="29"/>
  <c r="Z903" i="29"/>
  <c r="O904" i="29"/>
  <c r="T905" i="29"/>
  <c r="G905" i="29"/>
  <c r="Q905" i="29"/>
  <c r="E905" i="29"/>
  <c r="R905" i="29"/>
  <c r="S905" i="29"/>
  <c r="U905" i="29"/>
  <c r="AB905" i="29" l="1"/>
  <c r="K904" i="29"/>
  <c r="N904" i="29" s="1"/>
  <c r="O905" i="29"/>
  <c r="R906" i="29"/>
  <c r="G906" i="29"/>
  <c r="Q906" i="29"/>
  <c r="T906" i="29"/>
  <c r="U906" i="29"/>
  <c r="E906" i="29"/>
  <c r="S906" i="29"/>
  <c r="Z904" i="29"/>
  <c r="AE906" i="29"/>
  <c r="AA906" i="29" s="1"/>
  <c r="AF906" i="29"/>
  <c r="B907" i="29"/>
  <c r="AD908" i="29"/>
  <c r="AI907" i="29"/>
  <c r="J905" i="29"/>
  <c r="Y905" i="29" s="1"/>
  <c r="I905" i="29"/>
  <c r="K905" i="29" s="1"/>
  <c r="P904" i="29" l="1"/>
  <c r="V904" i="29"/>
  <c r="W904" i="29" s="1"/>
  <c r="AB906" i="29"/>
  <c r="N905" i="29"/>
  <c r="P905" i="29" s="1"/>
  <c r="Z905" i="29"/>
  <c r="AE907" i="29"/>
  <c r="AA907" i="29" s="1"/>
  <c r="AF907" i="29"/>
  <c r="AI908" i="29"/>
  <c r="AD909" i="29"/>
  <c r="B908" i="29"/>
  <c r="J906" i="29"/>
  <c r="Y906" i="29" s="1"/>
  <c r="I906" i="29"/>
  <c r="K906" i="29" s="1"/>
  <c r="E907" i="29"/>
  <c r="G907" i="29"/>
  <c r="U907" i="29"/>
  <c r="T907" i="29"/>
  <c r="S907" i="29"/>
  <c r="R907" i="29"/>
  <c r="Q907" i="29"/>
  <c r="O906" i="29"/>
  <c r="V905" i="29" l="1"/>
  <c r="W905" i="29" s="1"/>
  <c r="AB907" i="29"/>
  <c r="N906" i="29"/>
  <c r="V906" i="29" s="1"/>
  <c r="W906" i="29" s="1"/>
  <c r="R908" i="29"/>
  <c r="T908" i="29"/>
  <c r="G908" i="29"/>
  <c r="E908" i="29"/>
  <c r="U908" i="29"/>
  <c r="S908" i="29"/>
  <c r="Q908" i="29"/>
  <c r="J907" i="29"/>
  <c r="I907" i="29"/>
  <c r="K907" i="29" s="1"/>
  <c r="N907" i="29" s="1"/>
  <c r="Z906" i="29"/>
  <c r="Y907" i="29"/>
  <c r="B909" i="29"/>
  <c r="AD910" i="29"/>
  <c r="AI909" i="29"/>
  <c r="AF908" i="29"/>
  <c r="AE908" i="29"/>
  <c r="AA908" i="29" s="1"/>
  <c r="O907" i="29"/>
  <c r="P906" i="29" l="1"/>
  <c r="AB908" i="29"/>
  <c r="E909" i="29"/>
  <c r="R909" i="29"/>
  <c r="T909" i="29"/>
  <c r="S909" i="29"/>
  <c r="G909" i="29"/>
  <c r="U909" i="29"/>
  <c r="Q909" i="29"/>
  <c r="Z907" i="29"/>
  <c r="V907" i="29"/>
  <c r="W907" i="29" s="1"/>
  <c r="P907" i="29"/>
  <c r="AI910" i="29"/>
  <c r="AD911" i="29"/>
  <c r="B910" i="29"/>
  <c r="O908" i="29"/>
  <c r="J908" i="29"/>
  <c r="Y908" i="29" s="1"/>
  <c r="I908" i="29"/>
  <c r="AF909" i="29"/>
  <c r="AE909" i="29"/>
  <c r="AA909" i="29" s="1"/>
  <c r="K908" i="29" l="1"/>
  <c r="N908" i="29" s="1"/>
  <c r="AB909" i="29"/>
  <c r="O909" i="29"/>
  <c r="I909" i="29"/>
  <c r="J909" i="29"/>
  <c r="Y909" i="29" s="1"/>
  <c r="Z908" i="29"/>
  <c r="Q910" i="29"/>
  <c r="T910" i="29"/>
  <c r="U910" i="29"/>
  <c r="G910" i="29"/>
  <c r="R910" i="29"/>
  <c r="E910" i="29"/>
  <c r="S910" i="29"/>
  <c r="AD912" i="29"/>
  <c r="B911" i="29"/>
  <c r="AI911" i="29"/>
  <c r="AF910" i="29"/>
  <c r="AE910" i="29"/>
  <c r="AA910" i="29" s="1"/>
  <c r="P908" i="29" l="1"/>
  <c r="V908" i="29"/>
  <c r="W908" i="29" s="1"/>
  <c r="AB910" i="29"/>
  <c r="K909" i="29"/>
  <c r="N909" i="29" s="1"/>
  <c r="P909" i="29" s="1"/>
  <c r="Z909" i="29"/>
  <c r="AE911" i="29"/>
  <c r="AA911" i="29" s="1"/>
  <c r="AF911" i="29"/>
  <c r="O910" i="29"/>
  <c r="J910" i="29"/>
  <c r="I910" i="29"/>
  <c r="K910" i="29" s="1"/>
  <c r="N910" i="29" s="1"/>
  <c r="U911" i="29"/>
  <c r="Q911" i="29"/>
  <c r="R911" i="29"/>
  <c r="E911" i="29"/>
  <c r="S911" i="29"/>
  <c r="G911" i="29"/>
  <c r="T911" i="29"/>
  <c r="AI912" i="29"/>
  <c r="AD913" i="29"/>
  <c r="B912" i="29"/>
  <c r="Y910" i="29"/>
  <c r="V909" i="29" l="1"/>
  <c r="W909" i="29" s="1"/>
  <c r="AB911" i="29"/>
  <c r="Z910" i="29"/>
  <c r="P910" i="29"/>
  <c r="V910" i="29"/>
  <c r="W910" i="29" s="1"/>
  <c r="AD914" i="29"/>
  <c r="B913" i="29"/>
  <c r="AI913" i="29"/>
  <c r="AF912" i="29"/>
  <c r="AE912" i="29"/>
  <c r="AA912" i="29" s="1"/>
  <c r="O911" i="29"/>
  <c r="J911" i="29"/>
  <c r="Y911" i="29" s="1"/>
  <c r="I911" i="29"/>
  <c r="K911" i="29" s="1"/>
  <c r="T912" i="29"/>
  <c r="E912" i="29"/>
  <c r="Q912" i="29"/>
  <c r="R912" i="29"/>
  <c r="U912" i="29"/>
  <c r="G912" i="29"/>
  <c r="S912" i="29"/>
  <c r="AB912" i="29" l="1"/>
  <c r="N911" i="29"/>
  <c r="P911" i="29" s="1"/>
  <c r="V911" i="29"/>
  <c r="W911" i="29" s="1"/>
  <c r="G913" i="29"/>
  <c r="R913" i="29"/>
  <c r="U913" i="29"/>
  <c r="Q913" i="29"/>
  <c r="S913" i="29"/>
  <c r="E913" i="29"/>
  <c r="T913" i="29"/>
  <c r="B914" i="29"/>
  <c r="AD915" i="29"/>
  <c r="AI914" i="29"/>
  <c r="O912" i="29"/>
  <c r="Z911" i="29"/>
  <c r="J912" i="29"/>
  <c r="Y912" i="29" s="1"/>
  <c r="I912" i="29"/>
  <c r="K912" i="29" s="1"/>
  <c r="AF913" i="29"/>
  <c r="AE913" i="29"/>
  <c r="AA913" i="29" s="1"/>
  <c r="AB913" i="29" l="1"/>
  <c r="N912" i="29"/>
  <c r="Z912" i="29"/>
  <c r="J913" i="29"/>
  <c r="Y913" i="29" s="1"/>
  <c r="I913" i="29"/>
  <c r="AE914" i="29"/>
  <c r="AA914" i="29" s="1"/>
  <c r="AF914" i="29"/>
  <c r="B915" i="29"/>
  <c r="AI915" i="29"/>
  <c r="AD916" i="29"/>
  <c r="V912" i="29"/>
  <c r="W912" i="29" s="1"/>
  <c r="P912" i="29"/>
  <c r="G914" i="29"/>
  <c r="E914" i="29"/>
  <c r="U914" i="29"/>
  <c r="R914" i="29"/>
  <c r="Q914" i="29"/>
  <c r="S914" i="29"/>
  <c r="T914" i="29"/>
  <c r="O913" i="29"/>
  <c r="AB914" i="29" l="1"/>
  <c r="K913" i="29"/>
  <c r="N913" i="29" s="1"/>
  <c r="B916" i="29"/>
  <c r="AI916" i="29"/>
  <c r="AD917" i="29"/>
  <c r="O914" i="29"/>
  <c r="AE915" i="29"/>
  <c r="AA915" i="29" s="1"/>
  <c r="AF915" i="29"/>
  <c r="J914" i="29"/>
  <c r="Y914" i="29" s="1"/>
  <c r="I914" i="29"/>
  <c r="Z913" i="29"/>
  <c r="S915" i="29"/>
  <c r="U915" i="29"/>
  <c r="T915" i="29"/>
  <c r="R915" i="29"/>
  <c r="G915" i="29"/>
  <c r="E915" i="29"/>
  <c r="Q915" i="29"/>
  <c r="P913" i="29" l="1"/>
  <c r="V913" i="29"/>
  <c r="W913" i="29" s="1"/>
  <c r="K914" i="29"/>
  <c r="N914" i="29" s="1"/>
  <c r="AB915" i="29"/>
  <c r="AE916" i="29"/>
  <c r="AA916" i="29" s="1"/>
  <c r="AF916" i="29"/>
  <c r="O915" i="29"/>
  <c r="J915" i="29"/>
  <c r="Y915" i="29" s="1"/>
  <c r="I915" i="29"/>
  <c r="Q916" i="29"/>
  <c r="S916" i="29"/>
  <c r="G916" i="29"/>
  <c r="E916" i="29"/>
  <c r="U916" i="29"/>
  <c r="R916" i="29"/>
  <c r="T916" i="29"/>
  <c r="Z914" i="29"/>
  <c r="B917" i="29"/>
  <c r="AD918" i="29"/>
  <c r="AI917" i="29"/>
  <c r="V914" i="29" l="1"/>
  <c r="W914" i="29" s="1"/>
  <c r="P914" i="29"/>
  <c r="AB916" i="29"/>
  <c r="K915" i="29"/>
  <c r="N915" i="29" s="1"/>
  <c r="AF917" i="29"/>
  <c r="AE917" i="29"/>
  <c r="AA917" i="29" s="1"/>
  <c r="AD919" i="29"/>
  <c r="AI918" i="29"/>
  <c r="B918" i="29"/>
  <c r="O916" i="29"/>
  <c r="T917" i="29"/>
  <c r="R917" i="29"/>
  <c r="U917" i="29"/>
  <c r="G917" i="29"/>
  <c r="Q917" i="29"/>
  <c r="S917" i="29"/>
  <c r="E917" i="29"/>
  <c r="Z915" i="29"/>
  <c r="J916" i="29"/>
  <c r="Y916" i="29" s="1"/>
  <c r="I916" i="29"/>
  <c r="P915" i="29" l="1"/>
  <c r="V915" i="29"/>
  <c r="W915" i="29" s="1"/>
  <c r="K916" i="29"/>
  <c r="N916" i="29" s="1"/>
  <c r="AB917" i="29"/>
  <c r="E918" i="29"/>
  <c r="U918" i="29"/>
  <c r="Q918" i="29"/>
  <c r="T918" i="29"/>
  <c r="R918" i="29"/>
  <c r="S918" i="29"/>
  <c r="G918" i="29"/>
  <c r="Z916" i="29"/>
  <c r="AE918" i="29"/>
  <c r="AA918" i="29" s="1"/>
  <c r="AF918" i="29"/>
  <c r="I917" i="29"/>
  <c r="J917" i="29"/>
  <c r="Y917" i="29" s="1"/>
  <c r="O917" i="29"/>
  <c r="AD920" i="29"/>
  <c r="AI919" i="29"/>
  <c r="B919" i="29"/>
  <c r="V916" i="29" l="1"/>
  <c r="W916" i="29" s="1"/>
  <c r="P916" i="29"/>
  <c r="K917" i="29"/>
  <c r="N917" i="29" s="1"/>
  <c r="AB918" i="29"/>
  <c r="AE919" i="29"/>
  <c r="AA919" i="29" s="1"/>
  <c r="AF919" i="29"/>
  <c r="B920" i="29"/>
  <c r="AD921" i="29"/>
  <c r="AI920" i="29"/>
  <c r="Z917" i="29"/>
  <c r="J918" i="29"/>
  <c r="I918" i="29"/>
  <c r="K918" i="29" s="1"/>
  <c r="N918" i="29" s="1"/>
  <c r="T919" i="29"/>
  <c r="Q919" i="29"/>
  <c r="R919" i="29"/>
  <c r="E919" i="29"/>
  <c r="G919" i="29"/>
  <c r="S919" i="29"/>
  <c r="U919" i="29"/>
  <c r="O918" i="29"/>
  <c r="Y918" i="29"/>
  <c r="V917" i="29" l="1"/>
  <c r="W917" i="29" s="1"/>
  <c r="P917" i="29"/>
  <c r="AB919" i="29"/>
  <c r="Z918" i="29"/>
  <c r="AE920" i="29"/>
  <c r="AA920" i="29" s="1"/>
  <c r="AF920" i="29"/>
  <c r="O919" i="29"/>
  <c r="B921" i="29"/>
  <c r="AI921" i="29"/>
  <c r="AD922" i="29"/>
  <c r="R920" i="29"/>
  <c r="T920" i="29"/>
  <c r="Q920" i="29"/>
  <c r="E920" i="29"/>
  <c r="U920" i="29"/>
  <c r="G920" i="29"/>
  <c r="S920" i="29"/>
  <c r="V918" i="29"/>
  <c r="W918" i="29" s="1"/>
  <c r="P918" i="29"/>
  <c r="I919" i="29"/>
  <c r="K919" i="29" s="1"/>
  <c r="J919" i="29"/>
  <c r="Y919" i="29" s="1"/>
  <c r="AB920" i="29" l="1"/>
  <c r="N919" i="29"/>
  <c r="P919" i="29" s="1"/>
  <c r="V919" i="29"/>
  <c r="W919" i="29" s="1"/>
  <c r="AF921" i="29"/>
  <c r="AE921" i="29"/>
  <c r="AA921" i="29" s="1"/>
  <c r="J920" i="29"/>
  <c r="I920" i="29"/>
  <c r="K920" i="29" s="1"/>
  <c r="N920" i="29" s="1"/>
  <c r="G921" i="29"/>
  <c r="E921" i="29"/>
  <c r="Q921" i="29"/>
  <c r="R921" i="29"/>
  <c r="S921" i="29"/>
  <c r="T921" i="29"/>
  <c r="U921" i="29"/>
  <c r="Z919" i="29"/>
  <c r="O920" i="29"/>
  <c r="Y920" i="29"/>
  <c r="AD923" i="29"/>
  <c r="AI922" i="29"/>
  <c r="B922" i="29"/>
  <c r="AB921" i="29" l="1"/>
  <c r="O921" i="29"/>
  <c r="AF922" i="29"/>
  <c r="AE922" i="29"/>
  <c r="AA922" i="29" s="1"/>
  <c r="Z920" i="29"/>
  <c r="AD924" i="29"/>
  <c r="AI923" i="29"/>
  <c r="B923" i="29"/>
  <c r="P920" i="29"/>
  <c r="V920" i="29"/>
  <c r="W920" i="29" s="1"/>
  <c r="U922" i="29"/>
  <c r="T922" i="29"/>
  <c r="S922" i="29"/>
  <c r="G922" i="29"/>
  <c r="R922" i="29"/>
  <c r="E922" i="29"/>
  <c r="Q922" i="29"/>
  <c r="J921" i="29"/>
  <c r="Y921" i="29" s="1"/>
  <c r="I921" i="29"/>
  <c r="K921" i="29" l="1"/>
  <c r="N921" i="29" s="1"/>
  <c r="AB922" i="29"/>
  <c r="E923" i="29"/>
  <c r="T923" i="29"/>
  <c r="U923" i="29"/>
  <c r="R923" i="29"/>
  <c r="Q923" i="29"/>
  <c r="S923" i="29"/>
  <c r="G923" i="29"/>
  <c r="AF923" i="29"/>
  <c r="AE923" i="29"/>
  <c r="AA923" i="29" s="1"/>
  <c r="J922" i="29"/>
  <c r="Y922" i="29" s="1"/>
  <c r="I922" i="29"/>
  <c r="K922" i="29" s="1"/>
  <c r="O922" i="29"/>
  <c r="AD925" i="29"/>
  <c r="AI924" i="29"/>
  <c r="B924" i="29"/>
  <c r="Z921" i="29"/>
  <c r="V921" i="29" l="1"/>
  <c r="W921" i="29" s="1"/>
  <c r="P921" i="29"/>
  <c r="N922" i="29"/>
  <c r="V922" i="29" s="1"/>
  <c r="W922" i="29" s="1"/>
  <c r="AB923" i="29"/>
  <c r="P922" i="29"/>
  <c r="AE924" i="29"/>
  <c r="AA924" i="29" s="1"/>
  <c r="AF924" i="29"/>
  <c r="Z922" i="29"/>
  <c r="R924" i="29"/>
  <c r="U924" i="29"/>
  <c r="E924" i="29"/>
  <c r="Q924" i="29"/>
  <c r="G924" i="29"/>
  <c r="S924" i="29"/>
  <c r="T924" i="29"/>
  <c r="J923" i="29"/>
  <c r="Y923" i="29" s="1"/>
  <c r="I923" i="29"/>
  <c r="K923" i="29" s="1"/>
  <c r="B925" i="29"/>
  <c r="AD926" i="29"/>
  <c r="AI925" i="29"/>
  <c r="O923" i="29"/>
  <c r="N923" i="29" l="1"/>
  <c r="AB924" i="29"/>
  <c r="V923" i="29"/>
  <c r="W923" i="29" s="1"/>
  <c r="P923" i="29"/>
  <c r="AI926" i="29"/>
  <c r="B926" i="29"/>
  <c r="AD927" i="29"/>
  <c r="Z923" i="29"/>
  <c r="U925" i="29"/>
  <c r="E925" i="29"/>
  <c r="Q925" i="29"/>
  <c r="R925" i="29"/>
  <c r="G925" i="29"/>
  <c r="S925" i="29"/>
  <c r="T925" i="29"/>
  <c r="I924" i="29"/>
  <c r="K924" i="29" s="1"/>
  <c r="J924" i="29"/>
  <c r="Y924" i="29" s="1"/>
  <c r="AE925" i="29"/>
  <c r="AA925" i="29" s="1"/>
  <c r="AF925" i="29"/>
  <c r="O924" i="29"/>
  <c r="N924" i="29" l="1"/>
  <c r="AB925" i="29"/>
  <c r="T926" i="29"/>
  <c r="E926" i="29"/>
  <c r="U926" i="29"/>
  <c r="G926" i="29"/>
  <c r="R926" i="29"/>
  <c r="S926" i="29"/>
  <c r="Q926" i="29"/>
  <c r="O925" i="29"/>
  <c r="AF926" i="29"/>
  <c r="AE926" i="29"/>
  <c r="AA926" i="29" s="1"/>
  <c r="P924" i="29"/>
  <c r="V924" i="29"/>
  <c r="W924" i="29" s="1"/>
  <c r="Z924" i="29"/>
  <c r="J925" i="29"/>
  <c r="Y925" i="29" s="1"/>
  <c r="I925" i="29"/>
  <c r="AD928" i="29"/>
  <c r="AI927" i="29"/>
  <c r="B927" i="29"/>
  <c r="K925" i="29" l="1"/>
  <c r="N925" i="29" s="1"/>
  <c r="AB926" i="29"/>
  <c r="B928" i="29"/>
  <c r="AD929" i="29"/>
  <c r="AI928" i="29"/>
  <c r="I926" i="29"/>
  <c r="J926" i="29"/>
  <c r="Y926" i="29" s="1"/>
  <c r="R927" i="29"/>
  <c r="S927" i="29"/>
  <c r="U927" i="29"/>
  <c r="E927" i="29"/>
  <c r="G927" i="29"/>
  <c r="Q927" i="29"/>
  <c r="T927" i="29"/>
  <c r="O926" i="29"/>
  <c r="AE927" i="29"/>
  <c r="AA927" i="29" s="1"/>
  <c r="AF927" i="29"/>
  <c r="Z925" i="29"/>
  <c r="V925" i="29" l="1"/>
  <c r="W925" i="29" s="1"/>
  <c r="P925" i="29"/>
  <c r="K926" i="29"/>
  <c r="N926" i="29" s="1"/>
  <c r="AB927" i="29"/>
  <c r="AD930" i="29"/>
  <c r="AI929" i="29"/>
  <c r="B929" i="29"/>
  <c r="Z926" i="29"/>
  <c r="I927" i="29"/>
  <c r="J927" i="29"/>
  <c r="Y927" i="29" s="1"/>
  <c r="E928" i="29"/>
  <c r="G928" i="29"/>
  <c r="S928" i="29"/>
  <c r="Q928" i="29"/>
  <c r="R928" i="29"/>
  <c r="T928" i="29"/>
  <c r="U928" i="29"/>
  <c r="O927" i="29"/>
  <c r="AE928" i="29"/>
  <c r="AA928" i="29" s="1"/>
  <c r="AF928" i="29"/>
  <c r="P926" i="29" l="1"/>
  <c r="V926" i="29"/>
  <c r="W926" i="29" s="1"/>
  <c r="K927" i="29"/>
  <c r="N927" i="29" s="1"/>
  <c r="AB928" i="29"/>
  <c r="T929" i="29"/>
  <c r="Q929" i="29"/>
  <c r="R929" i="29"/>
  <c r="S929" i="29"/>
  <c r="U929" i="29"/>
  <c r="O929" i="29" s="1"/>
  <c r="E929" i="29"/>
  <c r="G929" i="29"/>
  <c r="I928" i="29"/>
  <c r="J928" i="29"/>
  <c r="Y928" i="29" s="1"/>
  <c r="AE929" i="29"/>
  <c r="AA929" i="29" s="1"/>
  <c r="AF929" i="29"/>
  <c r="Z927" i="29"/>
  <c r="AI930" i="29"/>
  <c r="B930" i="29"/>
  <c r="AD931" i="29"/>
  <c r="O928" i="29"/>
  <c r="V927" i="29" l="1"/>
  <c r="W927" i="29" s="1"/>
  <c r="P927" i="29"/>
  <c r="AB929" i="29"/>
  <c r="K928" i="29"/>
  <c r="N928" i="29" s="1"/>
  <c r="Z928" i="29"/>
  <c r="I929" i="29"/>
  <c r="J929" i="29"/>
  <c r="Y929" i="29" s="1"/>
  <c r="Z929" i="29" s="1"/>
  <c r="AI931" i="29"/>
  <c r="B931" i="29"/>
  <c r="AD932" i="29"/>
  <c r="E930" i="29"/>
  <c r="R930" i="29"/>
  <c r="S930" i="29"/>
  <c r="U930" i="29"/>
  <c r="Q930" i="29"/>
  <c r="T930" i="29"/>
  <c r="G930" i="29"/>
  <c r="AF930" i="29"/>
  <c r="AE930" i="29"/>
  <c r="AA930" i="29" s="1"/>
  <c r="V928" i="29" l="1"/>
  <c r="W928" i="29" s="1"/>
  <c r="P928" i="29"/>
  <c r="K929" i="29"/>
  <c r="N929" i="29" s="1"/>
  <c r="AB930" i="29"/>
  <c r="I930" i="29"/>
  <c r="J930" i="29"/>
  <c r="Y930" i="29" s="1"/>
  <c r="O930" i="29"/>
  <c r="B932" i="29"/>
  <c r="AI932" i="29"/>
  <c r="AD933" i="29"/>
  <c r="S931" i="29"/>
  <c r="R931" i="29"/>
  <c r="G931" i="29"/>
  <c r="E931" i="29"/>
  <c r="Q931" i="29"/>
  <c r="U931" i="29"/>
  <c r="T931" i="29"/>
  <c r="AF931" i="29"/>
  <c r="AE931" i="29"/>
  <c r="AA931" i="29" s="1"/>
  <c r="P929" i="29" l="1"/>
  <c r="V929" i="29"/>
  <c r="W929" i="29" s="1"/>
  <c r="K930" i="29"/>
  <c r="N930" i="29" s="1"/>
  <c r="AB931" i="29"/>
  <c r="O931" i="29"/>
  <c r="J931" i="29"/>
  <c r="Y931" i="29" s="1"/>
  <c r="I931" i="29"/>
  <c r="K931" i="29" s="1"/>
  <c r="AD934" i="29"/>
  <c r="AI933" i="29"/>
  <c r="B933" i="29"/>
  <c r="Z930" i="29"/>
  <c r="AE932" i="29"/>
  <c r="AA932" i="29" s="1"/>
  <c r="AF932" i="29"/>
  <c r="U932" i="29"/>
  <c r="G932" i="29"/>
  <c r="Q932" i="29"/>
  <c r="E932" i="29"/>
  <c r="R932" i="29"/>
  <c r="T932" i="29"/>
  <c r="S932" i="29"/>
  <c r="V930" i="29" l="1"/>
  <c r="W930" i="29" s="1"/>
  <c r="P930" i="29"/>
  <c r="AB932" i="29"/>
  <c r="N931" i="29"/>
  <c r="V931" i="29" s="1"/>
  <c r="W931" i="29" s="1"/>
  <c r="O932" i="29"/>
  <c r="I932" i="29"/>
  <c r="K932" i="29" s="1"/>
  <c r="J932" i="29"/>
  <c r="Y932" i="29" s="1"/>
  <c r="B934" i="29"/>
  <c r="AI934" i="29"/>
  <c r="AD935" i="29"/>
  <c r="G933" i="29"/>
  <c r="Q933" i="29"/>
  <c r="U933" i="29"/>
  <c r="T933" i="29"/>
  <c r="S933" i="29"/>
  <c r="E933" i="29"/>
  <c r="R933" i="29"/>
  <c r="AE933" i="29"/>
  <c r="AA933" i="29" s="1"/>
  <c r="AF933" i="29"/>
  <c r="Z931" i="29"/>
  <c r="P931" i="29" l="1"/>
  <c r="AB933" i="29"/>
  <c r="N932" i="29"/>
  <c r="O933" i="29"/>
  <c r="E934" i="29"/>
  <c r="S934" i="29"/>
  <c r="G934" i="29"/>
  <c r="R934" i="29"/>
  <c r="Q934" i="29"/>
  <c r="T934" i="29"/>
  <c r="U934" i="29"/>
  <c r="AI935" i="29"/>
  <c r="B935" i="29"/>
  <c r="AD936" i="29"/>
  <c r="V932" i="29"/>
  <c r="W932" i="29" s="1"/>
  <c r="P932" i="29"/>
  <c r="I933" i="29"/>
  <c r="J933" i="29"/>
  <c r="Y933" i="29" s="1"/>
  <c r="AF934" i="29"/>
  <c r="AE934" i="29"/>
  <c r="AA934" i="29" s="1"/>
  <c r="Z932" i="29"/>
  <c r="K933" i="29" l="1"/>
  <c r="N933" i="29" s="1"/>
  <c r="AB934" i="29"/>
  <c r="I934" i="29"/>
  <c r="K934" i="29" s="1"/>
  <c r="N934" i="29" s="1"/>
  <c r="J934" i="29"/>
  <c r="Y934" i="29" s="1"/>
  <c r="AD937" i="29"/>
  <c r="AI936" i="29"/>
  <c r="B936" i="29"/>
  <c r="T935" i="29"/>
  <c r="E935" i="29"/>
  <c r="U935" i="29"/>
  <c r="Q935" i="29"/>
  <c r="G935" i="29"/>
  <c r="R935" i="29"/>
  <c r="S935" i="29"/>
  <c r="AF935" i="29"/>
  <c r="AE935" i="29"/>
  <c r="AA935" i="29" s="1"/>
  <c r="O934" i="29"/>
  <c r="Z933" i="29"/>
  <c r="P933" i="29" l="1"/>
  <c r="V933" i="29"/>
  <c r="W933" i="29" s="1"/>
  <c r="AB935" i="29"/>
  <c r="S936" i="29"/>
  <c r="G936" i="29"/>
  <c r="R936" i="29"/>
  <c r="E936" i="29"/>
  <c r="Q936" i="29"/>
  <c r="U936" i="29"/>
  <c r="T936" i="29"/>
  <c r="Z934" i="29"/>
  <c r="AE936" i="29"/>
  <c r="AA936" i="29" s="1"/>
  <c r="AF936" i="29"/>
  <c r="O935" i="29"/>
  <c r="AD938" i="29"/>
  <c r="B937" i="29"/>
  <c r="AI937" i="29"/>
  <c r="J935" i="29"/>
  <c r="Y935" i="29" s="1"/>
  <c r="I935" i="29"/>
  <c r="V934" i="29"/>
  <c r="W934" i="29" s="1"/>
  <c r="P934" i="29"/>
  <c r="K935" i="29" l="1"/>
  <c r="N935" i="29" s="1"/>
  <c r="AB936" i="29"/>
  <c r="B938" i="29"/>
  <c r="AI938" i="29"/>
  <c r="AD939" i="29"/>
  <c r="I936" i="29"/>
  <c r="K936" i="29" s="1"/>
  <c r="N936" i="29" s="1"/>
  <c r="J936" i="29"/>
  <c r="Y936" i="29" s="1"/>
  <c r="Z935" i="29"/>
  <c r="AE937" i="29"/>
  <c r="AA937" i="29" s="1"/>
  <c r="AF937" i="29"/>
  <c r="S937" i="29"/>
  <c r="T937" i="29"/>
  <c r="Q937" i="29"/>
  <c r="U937" i="29"/>
  <c r="R937" i="29"/>
  <c r="E937" i="29"/>
  <c r="G937" i="29"/>
  <c r="O936" i="29"/>
  <c r="V935" i="29" l="1"/>
  <c r="W935" i="29" s="1"/>
  <c r="P935" i="29"/>
  <c r="AB937" i="29"/>
  <c r="Z936" i="29"/>
  <c r="V936" i="29"/>
  <c r="W936" i="29" s="1"/>
  <c r="P936" i="29"/>
  <c r="AI939" i="29"/>
  <c r="AD940" i="29"/>
  <c r="B939" i="29"/>
  <c r="J937" i="29"/>
  <c r="Y937" i="29" s="1"/>
  <c r="I937" i="29"/>
  <c r="AE938" i="29"/>
  <c r="AA938" i="29" s="1"/>
  <c r="AF938" i="29"/>
  <c r="O937" i="29"/>
  <c r="Q938" i="29"/>
  <c r="R938" i="29"/>
  <c r="U938" i="29"/>
  <c r="G938" i="29"/>
  <c r="T938" i="29"/>
  <c r="E938" i="29"/>
  <c r="S938" i="29"/>
  <c r="K937" i="29" l="1"/>
  <c r="N937" i="29" s="1"/>
  <c r="AB938" i="29"/>
  <c r="O938" i="29"/>
  <c r="Z937" i="29"/>
  <c r="J938" i="29"/>
  <c r="Y938" i="29" s="1"/>
  <c r="I938" i="29"/>
  <c r="K938" i="29" s="1"/>
  <c r="N938" i="29" s="1"/>
  <c r="AI940" i="29"/>
  <c r="AD941" i="29"/>
  <c r="B940" i="29"/>
  <c r="AF939" i="29"/>
  <c r="AE939" i="29"/>
  <c r="AA939" i="29" s="1"/>
  <c r="U939" i="29"/>
  <c r="E939" i="29"/>
  <c r="T939" i="29"/>
  <c r="G939" i="29"/>
  <c r="R939" i="29"/>
  <c r="S939" i="29"/>
  <c r="Q939" i="29"/>
  <c r="P937" i="29" l="1"/>
  <c r="V937" i="29"/>
  <c r="W937" i="29" s="1"/>
  <c r="AB939" i="29"/>
  <c r="AE940" i="29"/>
  <c r="AA940" i="29" s="1"/>
  <c r="AF940" i="29"/>
  <c r="O939" i="29"/>
  <c r="V938" i="29"/>
  <c r="W938" i="29" s="1"/>
  <c r="P938" i="29"/>
  <c r="U940" i="29"/>
  <c r="E940" i="29"/>
  <c r="S940" i="29"/>
  <c r="Q940" i="29"/>
  <c r="G940" i="29"/>
  <c r="T940" i="29"/>
  <c r="R940" i="29"/>
  <c r="J939" i="29"/>
  <c r="Y939" i="29" s="1"/>
  <c r="I939" i="29"/>
  <c r="K939" i="29" s="1"/>
  <c r="B941" i="29"/>
  <c r="AI941" i="29"/>
  <c r="AD942" i="29"/>
  <c r="Z938" i="29"/>
  <c r="AB940" i="29" l="1"/>
  <c r="N939" i="29"/>
  <c r="P939" i="29" s="1"/>
  <c r="V939" i="29"/>
  <c r="W939" i="29" s="1"/>
  <c r="B942" i="29"/>
  <c r="AD943" i="29"/>
  <c r="AI942" i="29"/>
  <c r="Z939" i="29"/>
  <c r="O940" i="29"/>
  <c r="AF941" i="29"/>
  <c r="AE941" i="29"/>
  <c r="AA941" i="29" s="1"/>
  <c r="S941" i="29"/>
  <c r="E941" i="29"/>
  <c r="T941" i="29"/>
  <c r="U941" i="29"/>
  <c r="G941" i="29"/>
  <c r="Q941" i="29"/>
  <c r="R941" i="29"/>
  <c r="J940" i="29"/>
  <c r="Y940" i="29" s="1"/>
  <c r="I940" i="29"/>
  <c r="AB941" i="29" l="1"/>
  <c r="K940" i="29"/>
  <c r="N940" i="29" s="1"/>
  <c r="S942" i="29"/>
  <c r="E942" i="29"/>
  <c r="Q942" i="29"/>
  <c r="T942" i="29"/>
  <c r="R942" i="29"/>
  <c r="G942" i="29"/>
  <c r="U942" i="29"/>
  <c r="AE942" i="29"/>
  <c r="AA942" i="29" s="1"/>
  <c r="AF942" i="29"/>
  <c r="O941" i="29"/>
  <c r="J941" i="29"/>
  <c r="Y941" i="29" s="1"/>
  <c r="I941" i="29"/>
  <c r="K941" i="29" s="1"/>
  <c r="Z940" i="29"/>
  <c r="B943" i="29"/>
  <c r="AI943" i="29"/>
  <c r="AD944" i="29"/>
  <c r="P940" i="29" l="1"/>
  <c r="V940" i="29"/>
  <c r="W940" i="29" s="1"/>
  <c r="N941" i="29"/>
  <c r="AB942" i="29"/>
  <c r="O942" i="29"/>
  <c r="AD945" i="29"/>
  <c r="B944" i="29"/>
  <c r="AI944" i="29"/>
  <c r="AE943" i="29"/>
  <c r="AA943" i="29" s="1"/>
  <c r="AF943" i="29"/>
  <c r="P941" i="29"/>
  <c r="V941" i="29"/>
  <c r="W941" i="29" s="1"/>
  <c r="I942" i="29"/>
  <c r="K942" i="29" s="1"/>
  <c r="J942" i="29"/>
  <c r="Y942" i="29" s="1"/>
  <c r="E943" i="29"/>
  <c r="T943" i="29"/>
  <c r="G943" i="29"/>
  <c r="U943" i="29"/>
  <c r="R943" i="29"/>
  <c r="Q943" i="29"/>
  <c r="S943" i="29"/>
  <c r="Z941" i="29"/>
  <c r="AB943" i="29" l="1"/>
  <c r="N942" i="29"/>
  <c r="Z942" i="29"/>
  <c r="AF944" i="29"/>
  <c r="AE944" i="29"/>
  <c r="AA944" i="29" s="1"/>
  <c r="E944" i="29"/>
  <c r="T944" i="29"/>
  <c r="U944" i="29"/>
  <c r="S944" i="29"/>
  <c r="Q944" i="29"/>
  <c r="R944" i="29"/>
  <c r="G944" i="29"/>
  <c r="O943" i="29"/>
  <c r="P942" i="29"/>
  <c r="V942" i="29"/>
  <c r="W942" i="29" s="1"/>
  <c r="J943" i="29"/>
  <c r="Y943" i="29" s="1"/>
  <c r="I943" i="29"/>
  <c r="AI945" i="29"/>
  <c r="B945" i="29"/>
  <c r="AD946" i="29"/>
  <c r="AB944" i="29" l="1"/>
  <c r="K943" i="29"/>
  <c r="N943" i="29" s="1"/>
  <c r="G945" i="29"/>
  <c r="R945" i="29"/>
  <c r="Q945" i="29"/>
  <c r="T945" i="29"/>
  <c r="S945" i="29"/>
  <c r="E945" i="29"/>
  <c r="U945" i="29"/>
  <c r="AE945" i="29"/>
  <c r="AA945" i="29" s="1"/>
  <c r="AF945" i="29"/>
  <c r="Z943" i="29"/>
  <c r="B946" i="29"/>
  <c r="AD947" i="29"/>
  <c r="AI946" i="29"/>
  <c r="I944" i="29"/>
  <c r="J944" i="29"/>
  <c r="Y944" i="29" s="1"/>
  <c r="O944" i="29"/>
  <c r="P943" i="29" l="1"/>
  <c r="V943" i="29"/>
  <c r="W943" i="29" s="1"/>
  <c r="AB945" i="29"/>
  <c r="K944" i="29"/>
  <c r="N944" i="29" s="1"/>
  <c r="Z944" i="29"/>
  <c r="AE946" i="29"/>
  <c r="AA946" i="29" s="1"/>
  <c r="AF946" i="29"/>
  <c r="AD948" i="29"/>
  <c r="B947" i="29"/>
  <c r="AI947" i="29"/>
  <c r="O945" i="29"/>
  <c r="T946" i="29"/>
  <c r="Q946" i="29"/>
  <c r="R946" i="29"/>
  <c r="E946" i="29"/>
  <c r="U946" i="29"/>
  <c r="G946" i="29"/>
  <c r="S946" i="29"/>
  <c r="J945" i="29"/>
  <c r="Y945" i="29" s="1"/>
  <c r="I945" i="29"/>
  <c r="P944" i="29" l="1"/>
  <c r="V944" i="29"/>
  <c r="W944" i="29" s="1"/>
  <c r="AB946" i="29"/>
  <c r="K945" i="29"/>
  <c r="N945" i="29" s="1"/>
  <c r="O946" i="29"/>
  <c r="AF947" i="29"/>
  <c r="AE947" i="29"/>
  <c r="AA947" i="29" s="1"/>
  <c r="Z945" i="29"/>
  <c r="R947" i="29"/>
  <c r="G947" i="29"/>
  <c r="S947" i="29"/>
  <c r="T947" i="29"/>
  <c r="U947" i="29"/>
  <c r="E947" i="29"/>
  <c r="Q947" i="29"/>
  <c r="I946" i="29"/>
  <c r="J946" i="29"/>
  <c r="Y946" i="29" s="1"/>
  <c r="AI948" i="29"/>
  <c r="B948" i="29"/>
  <c r="AD949" i="29"/>
  <c r="P945" i="29" l="1"/>
  <c r="V945" i="29"/>
  <c r="W945" i="29" s="1"/>
  <c r="AB947" i="29"/>
  <c r="K946" i="29"/>
  <c r="N946" i="29" s="1"/>
  <c r="O947" i="29"/>
  <c r="AE948" i="29"/>
  <c r="AA948" i="29" s="1"/>
  <c r="AF948" i="29"/>
  <c r="I947" i="29"/>
  <c r="J947" i="29"/>
  <c r="Y947" i="29" s="1"/>
  <c r="Z946" i="29"/>
  <c r="AI949" i="29"/>
  <c r="AD950" i="29"/>
  <c r="B949" i="29"/>
  <c r="E948" i="29"/>
  <c r="T948" i="29"/>
  <c r="S948" i="29"/>
  <c r="G948" i="29"/>
  <c r="R948" i="29"/>
  <c r="U948" i="29"/>
  <c r="Q948" i="29"/>
  <c r="P946" i="29" l="1"/>
  <c r="V946" i="29"/>
  <c r="W946" i="29" s="1"/>
  <c r="AB948" i="29"/>
  <c r="K947" i="29"/>
  <c r="N947" i="29" s="1"/>
  <c r="Z947" i="29"/>
  <c r="E949" i="29"/>
  <c r="R949" i="29"/>
  <c r="S949" i="29"/>
  <c r="T949" i="29"/>
  <c r="Q949" i="29"/>
  <c r="G949" i="29"/>
  <c r="U949" i="29"/>
  <c r="AD951" i="29"/>
  <c r="B950" i="29"/>
  <c r="AI950" i="29"/>
  <c r="I948" i="29"/>
  <c r="J948" i="29"/>
  <c r="Y948" i="29" s="1"/>
  <c r="O948" i="29"/>
  <c r="AF949" i="29"/>
  <c r="AE949" i="29"/>
  <c r="AA949" i="29" s="1"/>
  <c r="P947" i="29" l="1"/>
  <c r="V947" i="29"/>
  <c r="W947" i="29" s="1"/>
  <c r="K948" i="29"/>
  <c r="N948" i="29" s="1"/>
  <c r="AB949" i="29"/>
  <c r="O949" i="29"/>
  <c r="J949" i="29"/>
  <c r="Y949" i="29" s="1"/>
  <c r="I949" i="29"/>
  <c r="K949" i="29" s="1"/>
  <c r="AE950" i="29"/>
  <c r="AA950" i="29" s="1"/>
  <c r="AF950" i="29"/>
  <c r="Z948" i="29"/>
  <c r="Q950" i="29"/>
  <c r="U950" i="29"/>
  <c r="G950" i="29"/>
  <c r="E950" i="29"/>
  <c r="S950" i="29"/>
  <c r="T950" i="29"/>
  <c r="R950" i="29"/>
  <c r="B951" i="29"/>
  <c r="AD952" i="29"/>
  <c r="AI951" i="29"/>
  <c r="P948" i="29" l="1"/>
  <c r="V948" i="29"/>
  <c r="W948" i="29" s="1"/>
  <c r="AB950" i="29"/>
  <c r="N949" i="29"/>
  <c r="Z949" i="29"/>
  <c r="O950" i="29"/>
  <c r="S951" i="29"/>
  <c r="R951" i="29"/>
  <c r="Q951" i="29"/>
  <c r="E951" i="29"/>
  <c r="G951" i="29"/>
  <c r="U951" i="29"/>
  <c r="T951" i="29"/>
  <c r="AE951" i="29"/>
  <c r="AA951" i="29" s="1"/>
  <c r="AF951" i="29"/>
  <c r="V949" i="29"/>
  <c r="W949" i="29" s="1"/>
  <c r="P949" i="29"/>
  <c r="AD953" i="29"/>
  <c r="AI952" i="29"/>
  <c r="B952" i="29"/>
  <c r="Y950" i="29"/>
  <c r="J950" i="29"/>
  <c r="I950" i="29"/>
  <c r="K950" i="29" l="1"/>
  <c r="N950" i="29" s="1"/>
  <c r="AB951" i="29"/>
  <c r="O951" i="29"/>
  <c r="B953" i="29"/>
  <c r="AI953" i="29"/>
  <c r="AD954" i="29"/>
  <c r="J951" i="29"/>
  <c r="Y951" i="29" s="1"/>
  <c r="Z951" i="29" s="1"/>
  <c r="I951" i="29"/>
  <c r="S952" i="29"/>
  <c r="G952" i="29"/>
  <c r="Q952" i="29"/>
  <c r="E952" i="29"/>
  <c r="R952" i="29"/>
  <c r="T952" i="29"/>
  <c r="U952" i="29"/>
  <c r="AE952" i="29"/>
  <c r="AA952" i="29" s="1"/>
  <c r="AF952" i="29"/>
  <c r="Z950" i="29"/>
  <c r="V950" i="29" l="1"/>
  <c r="W950" i="29" s="1"/>
  <c r="P950" i="29"/>
  <c r="K951" i="29"/>
  <c r="N951" i="29" s="1"/>
  <c r="AB952" i="29"/>
  <c r="Q953" i="29"/>
  <c r="U953" i="29"/>
  <c r="G953" i="29"/>
  <c r="E953" i="29"/>
  <c r="T953" i="29"/>
  <c r="R953" i="29"/>
  <c r="S953" i="29"/>
  <c r="J952" i="29"/>
  <c r="Y952" i="29" s="1"/>
  <c r="I952" i="29"/>
  <c r="O952" i="29"/>
  <c r="AI954" i="29"/>
  <c r="AD955" i="29"/>
  <c r="B954" i="29"/>
  <c r="AF953" i="29"/>
  <c r="AE953" i="29"/>
  <c r="AA953" i="29" s="1"/>
  <c r="P951" i="29" l="1"/>
  <c r="V951" i="29"/>
  <c r="W951" i="29" s="1"/>
  <c r="K952" i="29"/>
  <c r="N952" i="29" s="1"/>
  <c r="AB953" i="29"/>
  <c r="O953" i="29"/>
  <c r="J953" i="29"/>
  <c r="I953" i="29"/>
  <c r="K953" i="29" s="1"/>
  <c r="N953" i="29" s="1"/>
  <c r="AD956" i="29"/>
  <c r="B955" i="29"/>
  <c r="AI955" i="29"/>
  <c r="Z952" i="29"/>
  <c r="AE954" i="29"/>
  <c r="AA954" i="29" s="1"/>
  <c r="AF954" i="29"/>
  <c r="S954" i="29"/>
  <c r="E954" i="29"/>
  <c r="R954" i="29"/>
  <c r="G954" i="29"/>
  <c r="T954" i="29"/>
  <c r="Q954" i="29"/>
  <c r="U954" i="29"/>
  <c r="Y953" i="29"/>
  <c r="V952" i="29" l="1"/>
  <c r="W952" i="29" s="1"/>
  <c r="P952" i="29"/>
  <c r="AB954" i="29"/>
  <c r="Z953" i="29"/>
  <c r="V953" i="29"/>
  <c r="W953" i="29" s="1"/>
  <c r="P953" i="29"/>
  <c r="AF955" i="29"/>
  <c r="AE955" i="29"/>
  <c r="AA955" i="29" s="1"/>
  <c r="O954" i="29"/>
  <c r="I954" i="29"/>
  <c r="K954" i="29" s="1"/>
  <c r="J954" i="29"/>
  <c r="Y954" i="29" s="1"/>
  <c r="S955" i="29"/>
  <c r="E955" i="29"/>
  <c r="R955" i="29"/>
  <c r="G955" i="29"/>
  <c r="Q955" i="29"/>
  <c r="U955" i="29"/>
  <c r="T955" i="29"/>
  <c r="B956" i="29"/>
  <c r="AI956" i="29"/>
  <c r="AD957" i="29"/>
  <c r="N954" i="29" l="1"/>
  <c r="AB955" i="29"/>
  <c r="B957" i="29"/>
  <c r="AD958" i="29"/>
  <c r="AI957" i="29"/>
  <c r="V954" i="29"/>
  <c r="W954" i="29" s="1"/>
  <c r="P954" i="29"/>
  <c r="AF956" i="29"/>
  <c r="AE956" i="29"/>
  <c r="AA956" i="29" s="1"/>
  <c r="E956" i="29"/>
  <c r="G956" i="29"/>
  <c r="U956" i="29"/>
  <c r="Q956" i="29"/>
  <c r="R956" i="29"/>
  <c r="T956" i="29"/>
  <c r="S956" i="29"/>
  <c r="O955" i="29"/>
  <c r="Z954" i="29"/>
  <c r="J955" i="29"/>
  <c r="Y955" i="29" s="1"/>
  <c r="I955" i="29"/>
  <c r="K955" i="29" s="1"/>
  <c r="AB956" i="29" l="1"/>
  <c r="N955" i="29"/>
  <c r="AE957" i="29"/>
  <c r="AA957" i="29" s="1"/>
  <c r="AF957" i="29"/>
  <c r="O956" i="29"/>
  <c r="B958" i="29"/>
  <c r="AD959" i="29"/>
  <c r="AI958" i="29"/>
  <c r="G957" i="29"/>
  <c r="R957" i="29"/>
  <c r="Q957" i="29"/>
  <c r="U957" i="29"/>
  <c r="T957" i="29"/>
  <c r="E957" i="29"/>
  <c r="S957" i="29"/>
  <c r="P955" i="29"/>
  <c r="V955" i="29"/>
  <c r="W955" i="29" s="1"/>
  <c r="Z955" i="29"/>
  <c r="J956" i="29"/>
  <c r="Y956" i="29" s="1"/>
  <c r="I956" i="29"/>
  <c r="K956" i="29" s="1"/>
  <c r="AB957" i="29" l="1"/>
  <c r="N956" i="29"/>
  <c r="E958" i="29"/>
  <c r="T958" i="29"/>
  <c r="G958" i="29"/>
  <c r="R958" i="29"/>
  <c r="U958" i="29"/>
  <c r="Q958" i="29"/>
  <c r="S958" i="29"/>
  <c r="V956" i="29"/>
  <c r="W956" i="29" s="1"/>
  <c r="P956" i="29"/>
  <c r="Z956" i="29"/>
  <c r="AE958" i="29"/>
  <c r="AA958" i="29" s="1"/>
  <c r="AF958" i="29"/>
  <c r="O957" i="29"/>
  <c r="B959" i="29"/>
  <c r="AI959" i="29"/>
  <c r="AD960" i="29"/>
  <c r="J957" i="29"/>
  <c r="Y957" i="29" s="1"/>
  <c r="I957" i="29"/>
  <c r="K957" i="29" l="1"/>
  <c r="N957" i="29" s="1"/>
  <c r="AB958" i="29"/>
  <c r="Z957" i="29"/>
  <c r="B960" i="29"/>
  <c r="AD961" i="29"/>
  <c r="AI960" i="29"/>
  <c r="I958" i="29"/>
  <c r="J958" i="29"/>
  <c r="AF959" i="29"/>
  <c r="AE959" i="29"/>
  <c r="AA959" i="29" s="1"/>
  <c r="R959" i="29"/>
  <c r="U959" i="29"/>
  <c r="E959" i="29"/>
  <c r="T959" i="29"/>
  <c r="G959" i="29"/>
  <c r="S959" i="29"/>
  <c r="Q959" i="29"/>
  <c r="O958" i="29"/>
  <c r="Y958" i="29"/>
  <c r="V957" i="29" l="1"/>
  <c r="W957" i="29" s="1"/>
  <c r="P957" i="29"/>
  <c r="AB959" i="29"/>
  <c r="K958" i="29"/>
  <c r="N958" i="29" s="1"/>
  <c r="AF960" i="29"/>
  <c r="AE960" i="29"/>
  <c r="AA960" i="29" s="1"/>
  <c r="Z958" i="29"/>
  <c r="AI961" i="29"/>
  <c r="AD962" i="29"/>
  <c r="B961" i="29"/>
  <c r="T960" i="29"/>
  <c r="U960" i="29"/>
  <c r="E960" i="29"/>
  <c r="Q960" i="29"/>
  <c r="S960" i="29"/>
  <c r="R960" i="29"/>
  <c r="G960" i="29"/>
  <c r="O959" i="29"/>
  <c r="I959" i="29"/>
  <c r="K959" i="29" s="1"/>
  <c r="J959" i="29"/>
  <c r="Y959" i="29" s="1"/>
  <c r="P958" i="29" l="1"/>
  <c r="V958" i="29"/>
  <c r="W958" i="29" s="1"/>
  <c r="N959" i="29"/>
  <c r="AB960" i="29"/>
  <c r="O960" i="29"/>
  <c r="U961" i="29"/>
  <c r="E961" i="29"/>
  <c r="G961" i="29"/>
  <c r="S961" i="29"/>
  <c r="T961" i="29"/>
  <c r="R961" i="29"/>
  <c r="Q961" i="29"/>
  <c r="V959" i="29"/>
  <c r="W959" i="29" s="1"/>
  <c r="P959" i="29"/>
  <c r="Z959" i="29"/>
  <c r="AI962" i="29"/>
  <c r="B962" i="29"/>
  <c r="AD963" i="29"/>
  <c r="AE961" i="29"/>
  <c r="AA961" i="29" s="1"/>
  <c r="AF961" i="29"/>
  <c r="I960" i="29"/>
  <c r="J960" i="29"/>
  <c r="Y960" i="29" s="1"/>
  <c r="K960" i="29" l="1"/>
  <c r="N960" i="29" s="1"/>
  <c r="AB961" i="29"/>
  <c r="B963" i="29"/>
  <c r="AD964" i="29"/>
  <c r="AI963" i="29"/>
  <c r="I961" i="29"/>
  <c r="J961" i="29"/>
  <c r="Y961" i="29" s="1"/>
  <c r="T962" i="29"/>
  <c r="G962" i="29"/>
  <c r="R962" i="29"/>
  <c r="Q962" i="29"/>
  <c r="U962" i="29"/>
  <c r="E962" i="29"/>
  <c r="S962" i="29"/>
  <c r="O961" i="29"/>
  <c r="AF962" i="29"/>
  <c r="AE962" i="29"/>
  <c r="AA962" i="29" s="1"/>
  <c r="Z960" i="29"/>
  <c r="P960" i="29" l="1"/>
  <c r="V960" i="29"/>
  <c r="W960" i="29" s="1"/>
  <c r="AB962" i="29"/>
  <c r="K961" i="29"/>
  <c r="N961" i="29" s="1"/>
  <c r="O962" i="29"/>
  <c r="AF963" i="29"/>
  <c r="AE963" i="29"/>
  <c r="AA963" i="29" s="1"/>
  <c r="AD965" i="29"/>
  <c r="AI964" i="29"/>
  <c r="B964" i="29"/>
  <c r="J962" i="29"/>
  <c r="Y962" i="29" s="1"/>
  <c r="I962" i="29"/>
  <c r="Z961" i="29"/>
  <c r="E963" i="29"/>
  <c r="G963" i="29"/>
  <c r="S963" i="29"/>
  <c r="T963" i="29"/>
  <c r="Q963" i="29"/>
  <c r="R963" i="29"/>
  <c r="U963" i="29"/>
  <c r="P961" i="29" l="1"/>
  <c r="V961" i="29"/>
  <c r="W961" i="29" s="1"/>
  <c r="AB963" i="29"/>
  <c r="K962" i="29"/>
  <c r="N962" i="29" s="1"/>
  <c r="O963" i="29"/>
  <c r="Z962" i="29"/>
  <c r="G964" i="29"/>
  <c r="E964" i="29"/>
  <c r="U964" i="29"/>
  <c r="R964" i="29"/>
  <c r="T964" i="29"/>
  <c r="Q964" i="29"/>
  <c r="S964" i="29"/>
  <c r="AE964" i="29"/>
  <c r="AA964" i="29" s="1"/>
  <c r="AF964" i="29"/>
  <c r="AI965" i="29"/>
  <c r="B965" i="29"/>
  <c r="AD966" i="29"/>
  <c r="I963" i="29"/>
  <c r="J963" i="29"/>
  <c r="Y963" i="29" s="1"/>
  <c r="Z963" i="29" s="1"/>
  <c r="V962" i="29" l="1"/>
  <c r="W962" i="29" s="1"/>
  <c r="P962" i="29"/>
  <c r="K963" i="29"/>
  <c r="N963" i="29" s="1"/>
  <c r="AB964" i="29"/>
  <c r="AF965" i="29"/>
  <c r="AE965" i="29"/>
  <c r="AA965" i="29" s="1"/>
  <c r="O964" i="29"/>
  <c r="B966" i="29"/>
  <c r="AD967" i="29"/>
  <c r="AI966" i="29"/>
  <c r="R965" i="29"/>
  <c r="Q965" i="29"/>
  <c r="E965" i="29"/>
  <c r="G965" i="29"/>
  <c r="S965" i="29"/>
  <c r="T965" i="29"/>
  <c r="U965" i="29"/>
  <c r="I964" i="29"/>
  <c r="K964" i="29" s="1"/>
  <c r="N964" i="29" s="1"/>
  <c r="J964" i="29"/>
  <c r="Y964" i="29"/>
  <c r="P963" i="29" l="1"/>
  <c r="V963" i="29"/>
  <c r="W963" i="29" s="1"/>
  <c r="AB965" i="29"/>
  <c r="E966" i="29"/>
  <c r="G966" i="29"/>
  <c r="U966" i="29"/>
  <c r="R966" i="29"/>
  <c r="S966" i="29"/>
  <c r="Q966" i="29"/>
  <c r="T966" i="29"/>
  <c r="Z964" i="29"/>
  <c r="P964" i="29"/>
  <c r="V964" i="29"/>
  <c r="W964" i="29" s="1"/>
  <c r="O965" i="29"/>
  <c r="AF966" i="29"/>
  <c r="AE966" i="29"/>
  <c r="AA966" i="29" s="1"/>
  <c r="I965" i="29"/>
  <c r="J965" i="29"/>
  <c r="Y965" i="29" s="1"/>
  <c r="AI967" i="29"/>
  <c r="B967" i="29"/>
  <c r="AD968" i="29"/>
  <c r="K965" i="29" l="1"/>
  <c r="N965" i="29" s="1"/>
  <c r="AB966" i="29"/>
  <c r="Q967" i="29"/>
  <c r="E967" i="29"/>
  <c r="G967" i="29"/>
  <c r="S967" i="29"/>
  <c r="U967" i="29"/>
  <c r="R967" i="29"/>
  <c r="T967" i="29"/>
  <c r="J966" i="29"/>
  <c r="Y966" i="29" s="1"/>
  <c r="I966" i="29"/>
  <c r="AE967" i="29"/>
  <c r="AA967" i="29" s="1"/>
  <c r="AF967" i="29"/>
  <c r="B968" i="29"/>
  <c r="AD969" i="29"/>
  <c r="AI968" i="29"/>
  <c r="Z965" i="29"/>
  <c r="O966" i="29"/>
  <c r="V965" i="29" l="1"/>
  <c r="W965" i="29" s="1"/>
  <c r="P965" i="29"/>
  <c r="K966" i="29"/>
  <c r="N966" i="29" s="1"/>
  <c r="AB967" i="29"/>
  <c r="O967" i="29"/>
  <c r="Z966" i="29"/>
  <c r="AF968" i="29"/>
  <c r="AE968" i="29"/>
  <c r="AA968" i="29" s="1"/>
  <c r="AI969" i="29"/>
  <c r="AD970" i="29"/>
  <c r="B969" i="29"/>
  <c r="I967" i="29"/>
  <c r="J967" i="29"/>
  <c r="Y967" i="29" s="1"/>
  <c r="S968" i="29"/>
  <c r="E968" i="29"/>
  <c r="Q968" i="29"/>
  <c r="G968" i="29"/>
  <c r="U968" i="29"/>
  <c r="T968" i="29"/>
  <c r="R968" i="29"/>
  <c r="V966" i="29" l="1"/>
  <c r="W966" i="29" s="1"/>
  <c r="P966" i="29"/>
  <c r="AB968" i="29"/>
  <c r="K967" i="29"/>
  <c r="N967" i="29" s="1"/>
  <c r="O968" i="29"/>
  <c r="Q969" i="29"/>
  <c r="T969" i="29"/>
  <c r="G969" i="29"/>
  <c r="E969" i="29"/>
  <c r="U969" i="29"/>
  <c r="R969" i="29"/>
  <c r="S969" i="29"/>
  <c r="AD971" i="29"/>
  <c r="AI970" i="29"/>
  <c r="B970" i="29"/>
  <c r="J968" i="29"/>
  <c r="Y968" i="29" s="1"/>
  <c r="I968" i="29"/>
  <c r="Z967" i="29"/>
  <c r="AE969" i="29"/>
  <c r="AA969" i="29" s="1"/>
  <c r="AF969" i="29"/>
  <c r="V967" i="29" l="1"/>
  <c r="W967" i="29" s="1"/>
  <c r="P967" i="29"/>
  <c r="K968" i="29"/>
  <c r="N968" i="29" s="1"/>
  <c r="AB969" i="29"/>
  <c r="Z968" i="29"/>
  <c r="I969" i="29"/>
  <c r="J969" i="29"/>
  <c r="Y969" i="29" s="1"/>
  <c r="AE970" i="29"/>
  <c r="AA970" i="29" s="1"/>
  <c r="AF970" i="29"/>
  <c r="AD972" i="29"/>
  <c r="AI971" i="29"/>
  <c r="B971" i="29"/>
  <c r="O969" i="29"/>
  <c r="L853" i="7" s="1"/>
  <c r="S970" i="29"/>
  <c r="R970" i="29"/>
  <c r="T970" i="29"/>
  <c r="U970" i="29"/>
  <c r="G970" i="29"/>
  <c r="Q970" i="29"/>
  <c r="E970" i="29"/>
  <c r="V968" i="29" l="1"/>
  <c r="W968" i="29" s="1"/>
  <c r="P968" i="29"/>
  <c r="AB970" i="29"/>
  <c r="K969" i="29"/>
  <c r="N969" i="29" s="1"/>
  <c r="L856" i="7"/>
  <c r="L858" i="7" s="1"/>
  <c r="K923" i="7" s="1"/>
  <c r="K861" i="7"/>
  <c r="I856" i="7"/>
  <c r="J856" i="7" s="1"/>
  <c r="I927" i="7"/>
  <c r="J927" i="7" s="1"/>
  <c r="I902" i="7"/>
  <c r="J902" i="7" s="1"/>
  <c r="I919" i="7"/>
  <c r="J919" i="7" s="1"/>
  <c r="I866" i="7"/>
  <c r="J866" i="7" s="1"/>
  <c r="I880" i="7"/>
  <c r="J880" i="7" s="1"/>
  <c r="K928" i="7"/>
  <c r="K880" i="7"/>
  <c r="K885" i="7"/>
  <c r="K897" i="7"/>
  <c r="I908" i="7"/>
  <c r="J908" i="7" s="1"/>
  <c r="I895" i="7"/>
  <c r="J895" i="7" s="1"/>
  <c r="I888" i="7"/>
  <c r="J888" i="7" s="1"/>
  <c r="K919" i="7"/>
  <c r="K871" i="7"/>
  <c r="K855" i="7"/>
  <c r="K888" i="7"/>
  <c r="K872" i="7"/>
  <c r="K878" i="7"/>
  <c r="K933" i="7"/>
  <c r="K913" i="7"/>
  <c r="K881" i="7"/>
  <c r="K866" i="7"/>
  <c r="I901" i="7"/>
  <c r="J901" i="7" s="1"/>
  <c r="I926" i="7"/>
  <c r="J926" i="7" s="1"/>
  <c r="I892" i="7"/>
  <c r="J892" i="7" s="1"/>
  <c r="I873" i="7"/>
  <c r="J873" i="7" s="1"/>
  <c r="I931" i="7"/>
  <c r="J931" i="7" s="1"/>
  <c r="I859" i="7"/>
  <c r="J859" i="7" s="1"/>
  <c r="I858" i="7"/>
  <c r="J858" i="7" s="1"/>
  <c r="I912" i="7"/>
  <c r="J912" i="7" s="1"/>
  <c r="I871" i="7"/>
  <c r="J871" i="7" s="1"/>
  <c r="I899" i="7"/>
  <c r="J899" i="7" s="1"/>
  <c r="K931" i="7"/>
  <c r="K867" i="7"/>
  <c r="K932" i="7"/>
  <c r="K884" i="7"/>
  <c r="K868" i="7"/>
  <c r="K925" i="7"/>
  <c r="K893" i="7"/>
  <c r="K890" i="7"/>
  <c r="I869" i="7"/>
  <c r="J869" i="7" s="1"/>
  <c r="I897" i="7"/>
  <c r="J897" i="7" s="1"/>
  <c r="I928" i="7"/>
  <c r="J928" i="7" s="1"/>
  <c r="I891" i="7"/>
  <c r="J891" i="7" s="1"/>
  <c r="I855" i="7"/>
  <c r="J855" i="7" s="1"/>
  <c r="K895" i="7"/>
  <c r="K863" i="7"/>
  <c r="K864" i="7"/>
  <c r="K894" i="7"/>
  <c r="K865" i="7"/>
  <c r="K882" i="7"/>
  <c r="I875" i="7"/>
  <c r="J875" i="7" s="1"/>
  <c r="I889" i="7"/>
  <c r="J889" i="7" s="1"/>
  <c r="I924" i="7"/>
  <c r="J924" i="7" s="1"/>
  <c r="I893" i="7"/>
  <c r="J893" i="7" s="1"/>
  <c r="I874" i="7"/>
  <c r="J874" i="7" s="1"/>
  <c r="I860" i="7"/>
  <c r="J860" i="7" s="1"/>
  <c r="I907" i="7"/>
  <c r="J907" i="7" s="1"/>
  <c r="D57" i="69"/>
  <c r="G971" i="29"/>
  <c r="E971" i="29"/>
  <c r="S971" i="29"/>
  <c r="T971" i="29"/>
  <c r="R971" i="29"/>
  <c r="U971" i="29"/>
  <c r="Q971" i="29"/>
  <c r="O970" i="29"/>
  <c r="AF971" i="29"/>
  <c r="AE971" i="29"/>
  <c r="AA971" i="29" s="1"/>
  <c r="C57" i="69"/>
  <c r="Z969" i="29"/>
  <c r="B972" i="29"/>
  <c r="AD973" i="29"/>
  <c r="AI972" i="29"/>
  <c r="J970" i="29"/>
  <c r="Y970" i="29" s="1"/>
  <c r="H57" i="69" s="1"/>
  <c r="I970" i="29"/>
  <c r="K870" i="7" l="1"/>
  <c r="I878" i="7"/>
  <c r="J878" i="7" s="1"/>
  <c r="I917" i="7"/>
  <c r="J917" i="7" s="1"/>
  <c r="I911" i="7"/>
  <c r="J911" i="7" s="1"/>
  <c r="I894" i="7"/>
  <c r="J894" i="7" s="1"/>
  <c r="I868" i="7"/>
  <c r="J868" i="7" s="1"/>
  <c r="K929" i="7"/>
  <c r="K896" i="7"/>
  <c r="K927" i="7"/>
  <c r="I870" i="7"/>
  <c r="J870" i="7" s="1"/>
  <c r="I883" i="7"/>
  <c r="J883" i="7" s="1"/>
  <c r="K873" i="7"/>
  <c r="K902" i="7"/>
  <c r="K900" i="7"/>
  <c r="K883" i="7"/>
  <c r="I925" i="7"/>
  <c r="J925" i="7" s="1"/>
  <c r="I916" i="7"/>
  <c r="J916" i="7" s="1"/>
  <c r="I863" i="7"/>
  <c r="J863" i="7" s="1"/>
  <c r="I905" i="7"/>
  <c r="J905" i="7" s="1"/>
  <c r="I876" i="7"/>
  <c r="J876" i="7" s="1"/>
  <c r="K898" i="7"/>
  <c r="K869" i="7"/>
  <c r="K910" i="7"/>
  <c r="K904" i="7"/>
  <c r="K887" i="7"/>
  <c r="I857" i="7"/>
  <c r="J857" i="7" s="1"/>
  <c r="I906" i="7"/>
  <c r="J906" i="7" s="1"/>
  <c r="K862" i="7"/>
  <c r="K879" i="7"/>
  <c r="I910" i="7"/>
  <c r="J910" i="7" s="1"/>
  <c r="I865" i="7"/>
  <c r="J865" i="7" s="1"/>
  <c r="K858" i="7"/>
  <c r="K915" i="7"/>
  <c r="I914" i="7"/>
  <c r="J914" i="7" s="1"/>
  <c r="I903" i="7"/>
  <c r="J903" i="7" s="1"/>
  <c r="I896" i="7"/>
  <c r="J896" i="7" s="1"/>
  <c r="I932" i="7"/>
  <c r="J932" i="7" s="1"/>
  <c r="K917" i="7"/>
  <c r="K912" i="7"/>
  <c r="I909" i="7"/>
  <c r="J909" i="7" s="1"/>
  <c r="I854" i="7"/>
  <c r="J854" i="7" s="1"/>
  <c r="I867" i="7"/>
  <c r="J867" i="7" s="1"/>
  <c r="K905" i="7"/>
  <c r="K934" i="7"/>
  <c r="K916" i="7"/>
  <c r="K899" i="7"/>
  <c r="I872" i="7"/>
  <c r="J872" i="7" s="1"/>
  <c r="I922" i="7"/>
  <c r="J922" i="7" s="1"/>
  <c r="I918" i="7"/>
  <c r="J918" i="7" s="1"/>
  <c r="I898" i="7"/>
  <c r="J898" i="7" s="1"/>
  <c r="I890" i="7"/>
  <c r="J890" i="7" s="1"/>
  <c r="K930" i="7"/>
  <c r="K901" i="7"/>
  <c r="K856" i="7"/>
  <c r="K920" i="7"/>
  <c r="K903" i="7"/>
  <c r="I921" i="7"/>
  <c r="J921" i="7" s="1"/>
  <c r="K914" i="7"/>
  <c r="K926" i="7"/>
  <c r="K911" i="7"/>
  <c r="I920" i="7"/>
  <c r="J920" i="7" s="1"/>
  <c r="I929" i="7"/>
  <c r="J929" i="7" s="1"/>
  <c r="K922" i="7"/>
  <c r="I915" i="7"/>
  <c r="J915" i="7" s="1"/>
  <c r="P969" i="29"/>
  <c r="V969" i="29"/>
  <c r="W969" i="29" s="1"/>
  <c r="I887" i="7"/>
  <c r="J887" i="7" s="1"/>
  <c r="I904" i="7"/>
  <c r="J904" i="7" s="1"/>
  <c r="K970" i="29"/>
  <c r="N970" i="29" s="1"/>
  <c r="I885" i="7"/>
  <c r="J885" i="7" s="1"/>
  <c r="I879" i="7"/>
  <c r="J879" i="7" s="1"/>
  <c r="I862" i="7"/>
  <c r="J862" i="7" s="1"/>
  <c r="I864" i="7"/>
  <c r="J864" i="7" s="1"/>
  <c r="I884" i="7"/>
  <c r="J884" i="7" s="1"/>
  <c r="I882" i="7"/>
  <c r="J882" i="7" s="1"/>
  <c r="I934" i="7"/>
  <c r="J934" i="7" s="1"/>
  <c r="I923" i="7"/>
  <c r="J923" i="7" s="1"/>
  <c r="I881" i="7"/>
  <c r="J881" i="7" s="1"/>
  <c r="I913" i="7"/>
  <c r="J913" i="7" s="1"/>
  <c r="I930" i="7"/>
  <c r="J930" i="7" s="1"/>
  <c r="I861" i="7"/>
  <c r="J861" i="7" s="1"/>
  <c r="I877" i="7"/>
  <c r="J877" i="7" s="1"/>
  <c r="I886" i="7"/>
  <c r="J886" i="7" s="1"/>
  <c r="I900" i="7"/>
  <c r="J900" i="7" s="1"/>
  <c r="I933" i="7"/>
  <c r="J933" i="7" s="1"/>
  <c r="K874" i="7"/>
  <c r="K906" i="7"/>
  <c r="K857" i="7"/>
  <c r="K889" i="7"/>
  <c r="K921" i="7"/>
  <c r="K877" i="7"/>
  <c r="K909" i="7"/>
  <c r="K886" i="7"/>
  <c r="K854" i="7"/>
  <c r="K918" i="7"/>
  <c r="K860" i="7"/>
  <c r="K876" i="7"/>
  <c r="K892" i="7"/>
  <c r="K924" i="7"/>
  <c r="K908" i="7"/>
  <c r="K859" i="7"/>
  <c r="K875" i="7"/>
  <c r="K891" i="7"/>
  <c r="K907" i="7"/>
  <c r="AB971" i="29"/>
  <c r="D58" i="69"/>
  <c r="AF972" i="29"/>
  <c r="AE972" i="29"/>
  <c r="AA972" i="29" s="1"/>
  <c r="AD974" i="29"/>
  <c r="AI973" i="29"/>
  <c r="B973" i="29"/>
  <c r="Z970" i="29"/>
  <c r="L57" i="69"/>
  <c r="E972" i="29"/>
  <c r="Q972" i="29"/>
  <c r="G972" i="29"/>
  <c r="S972" i="29"/>
  <c r="T972" i="29"/>
  <c r="R972" i="29"/>
  <c r="U972" i="29"/>
  <c r="J971" i="29"/>
  <c r="Y971" i="29" s="1"/>
  <c r="H58" i="69" s="1"/>
  <c r="I971" i="29"/>
  <c r="K971" i="29" s="1"/>
  <c r="I57" i="69"/>
  <c r="J57" i="69"/>
  <c r="O971" i="29"/>
  <c r="C58" i="69"/>
  <c r="V970" i="29" l="1"/>
  <c r="W970" i="29" s="1"/>
  <c r="P970" i="29"/>
  <c r="AB972" i="29"/>
  <c r="N971" i="29"/>
  <c r="O972" i="29"/>
  <c r="K57" i="69"/>
  <c r="M57" i="69" s="1"/>
  <c r="L61" i="69"/>
  <c r="D61" i="69"/>
  <c r="AD975" i="29"/>
  <c r="B974" i="29"/>
  <c r="AI974" i="29"/>
  <c r="C61" i="69"/>
  <c r="R973" i="29"/>
  <c r="E973" i="29"/>
  <c r="U973" i="29"/>
  <c r="Q973" i="29"/>
  <c r="T973" i="29"/>
  <c r="G973" i="29"/>
  <c r="S973" i="29"/>
  <c r="J58" i="69"/>
  <c r="I58" i="69"/>
  <c r="Z971" i="29"/>
  <c r="L58" i="69"/>
  <c r="P971" i="29"/>
  <c r="V971" i="29"/>
  <c r="W971" i="29" s="1"/>
  <c r="AE973" i="29"/>
  <c r="AA973" i="29" s="1"/>
  <c r="AF973" i="29"/>
  <c r="J972" i="29"/>
  <c r="Y972" i="29" s="1"/>
  <c r="I972" i="29"/>
  <c r="K972" i="29" s="1"/>
  <c r="N972" i="29" l="1"/>
  <c r="AB973" i="29"/>
  <c r="K58" i="69"/>
  <c r="M58" i="69" s="1"/>
  <c r="H61" i="69"/>
  <c r="Z972" i="29"/>
  <c r="V972" i="29"/>
  <c r="W972" i="29" s="1"/>
  <c r="P972" i="29"/>
  <c r="J61" i="69"/>
  <c r="I61" i="69"/>
  <c r="O973" i="29"/>
  <c r="AF974" i="29"/>
  <c r="AE974" i="29"/>
  <c r="AA974" i="29" s="1"/>
  <c r="I973" i="29"/>
  <c r="J973" i="29"/>
  <c r="Y973" i="29" s="1"/>
  <c r="H62" i="69" s="1"/>
  <c r="D62" i="69"/>
  <c r="C62" i="69"/>
  <c r="E974" i="29"/>
  <c r="G974" i="29"/>
  <c r="U974" i="29"/>
  <c r="R974" i="29"/>
  <c r="T974" i="29"/>
  <c r="S974" i="29"/>
  <c r="Q974" i="29"/>
  <c r="B975" i="29"/>
  <c r="AD976" i="29"/>
  <c r="AI975" i="29"/>
  <c r="AB974" i="29" l="1"/>
  <c r="K973" i="29"/>
  <c r="N973" i="29" s="1"/>
  <c r="AD977" i="29"/>
  <c r="AI976" i="29"/>
  <c r="B976" i="29"/>
  <c r="C63" i="69"/>
  <c r="Z973" i="29"/>
  <c r="L62" i="69"/>
  <c r="K61" i="69"/>
  <c r="M61" i="69" s="1"/>
  <c r="U975" i="29"/>
  <c r="E975" i="29"/>
  <c r="R975" i="29"/>
  <c r="Q975" i="29"/>
  <c r="T975" i="29"/>
  <c r="G975" i="29"/>
  <c r="S975" i="29"/>
  <c r="AE975" i="29"/>
  <c r="AA975" i="29" s="1"/>
  <c r="AF975" i="29"/>
  <c r="J62" i="69"/>
  <c r="I62" i="69"/>
  <c r="O974" i="29"/>
  <c r="I974" i="29"/>
  <c r="J974" i="29"/>
  <c r="Y974" i="29" s="1"/>
  <c r="H63" i="69" s="1"/>
  <c r="D63" i="69"/>
  <c r="P973" i="29" l="1"/>
  <c r="V973" i="29"/>
  <c r="W973" i="29" s="1"/>
  <c r="K974" i="29"/>
  <c r="N974" i="29" s="1"/>
  <c r="AB975" i="29"/>
  <c r="K62" i="69"/>
  <c r="Z974" i="29"/>
  <c r="L63" i="69"/>
  <c r="I975" i="29"/>
  <c r="J975" i="29"/>
  <c r="Y975" i="29" s="1"/>
  <c r="H64" i="69" s="1"/>
  <c r="AI977" i="29"/>
  <c r="B977" i="29"/>
  <c r="AD978" i="29"/>
  <c r="M62" i="69"/>
  <c r="I63" i="69"/>
  <c r="J63" i="69"/>
  <c r="D64" i="69"/>
  <c r="C64" i="69"/>
  <c r="G976" i="29"/>
  <c r="S976" i="29"/>
  <c r="T976" i="29"/>
  <c r="R976" i="29"/>
  <c r="Q976" i="29"/>
  <c r="E976" i="29"/>
  <c r="U976" i="29"/>
  <c r="O975" i="29"/>
  <c r="AE976" i="29"/>
  <c r="AA976" i="29" s="1"/>
  <c r="AF976" i="29"/>
  <c r="P974" i="29" l="1"/>
  <c r="V974" i="29"/>
  <c r="W974" i="29" s="1"/>
  <c r="AB976" i="29"/>
  <c r="K975" i="29"/>
  <c r="N975" i="29" s="1"/>
  <c r="K63" i="69"/>
  <c r="M63" i="69" s="1"/>
  <c r="I976" i="29"/>
  <c r="J976" i="29"/>
  <c r="Y976" i="29" s="1"/>
  <c r="H65" i="69" s="1"/>
  <c r="Z975" i="29"/>
  <c r="L64" i="69"/>
  <c r="AF977" i="29"/>
  <c r="AE977" i="29"/>
  <c r="AA977" i="29" s="1"/>
  <c r="O976" i="29"/>
  <c r="C65" i="69"/>
  <c r="I64" i="69"/>
  <c r="J64" i="69"/>
  <c r="B978" i="29"/>
  <c r="AI978" i="29"/>
  <c r="AD979" i="29"/>
  <c r="D65" i="69"/>
  <c r="E977" i="29"/>
  <c r="Q977" i="29"/>
  <c r="T977" i="29"/>
  <c r="U977" i="29"/>
  <c r="G977" i="29"/>
  <c r="S977" i="29"/>
  <c r="R977" i="29"/>
  <c r="P975" i="29" l="1"/>
  <c r="V975" i="29"/>
  <c r="W975" i="29" s="1"/>
  <c r="AB977" i="29"/>
  <c r="K976" i="29"/>
  <c r="N976" i="29" s="1"/>
  <c r="K64" i="69"/>
  <c r="AF978" i="29"/>
  <c r="AE978" i="29"/>
  <c r="AA978" i="29" s="1"/>
  <c r="I65" i="69"/>
  <c r="J65" i="69"/>
  <c r="Z976" i="29"/>
  <c r="L65" i="69"/>
  <c r="D66" i="69"/>
  <c r="C66" i="69"/>
  <c r="E978" i="29"/>
  <c r="R978" i="29"/>
  <c r="U978" i="29"/>
  <c r="Q978" i="29"/>
  <c r="G978" i="29"/>
  <c r="T978" i="29"/>
  <c r="S978" i="29"/>
  <c r="I977" i="29"/>
  <c r="K977" i="29" s="1"/>
  <c r="J977" i="29"/>
  <c r="Y977" i="29" s="1"/>
  <c r="H66" i="69" s="1"/>
  <c r="O977" i="29"/>
  <c r="AD980" i="29"/>
  <c r="AI979" i="29"/>
  <c r="B979" i="29"/>
  <c r="M64" i="69"/>
  <c r="V976" i="29" l="1"/>
  <c r="W976" i="29" s="1"/>
  <c r="P976" i="29"/>
  <c r="AB978" i="29"/>
  <c r="N977" i="29"/>
  <c r="P977" i="29" s="1"/>
  <c r="K65" i="69"/>
  <c r="M65" i="69" s="1"/>
  <c r="D67" i="69"/>
  <c r="C67" i="69"/>
  <c r="G979" i="29"/>
  <c r="E979" i="29"/>
  <c r="S979" i="29"/>
  <c r="T979" i="29"/>
  <c r="U979" i="29"/>
  <c r="R979" i="29"/>
  <c r="Q979" i="29"/>
  <c r="AF979" i="29"/>
  <c r="AE979" i="29"/>
  <c r="AA979" i="29" s="1"/>
  <c r="Z977" i="29"/>
  <c r="L66" i="69"/>
  <c r="V977" i="29"/>
  <c r="W977" i="29" s="1"/>
  <c r="B980" i="29"/>
  <c r="AD981" i="29"/>
  <c r="AI980" i="29"/>
  <c r="J66" i="69"/>
  <c r="I66" i="69"/>
  <c r="O978" i="29"/>
  <c r="J978" i="29"/>
  <c r="Y978" i="29" s="1"/>
  <c r="H67" i="69" s="1"/>
  <c r="I978" i="29"/>
  <c r="K978" i="29" l="1"/>
  <c r="N978" i="29" s="1"/>
  <c r="AB979" i="29"/>
  <c r="K66" i="69"/>
  <c r="M66" i="69" s="1"/>
  <c r="AI981" i="29"/>
  <c r="B981" i="29"/>
  <c r="AD982" i="29"/>
  <c r="I979" i="29"/>
  <c r="K979" i="29" s="1"/>
  <c r="J979" i="29"/>
  <c r="Y979" i="29" s="1"/>
  <c r="H68" i="69" s="1"/>
  <c r="G980" i="29"/>
  <c r="S980" i="29"/>
  <c r="Q980" i="29"/>
  <c r="E980" i="29"/>
  <c r="T980" i="29"/>
  <c r="R980" i="29"/>
  <c r="U980" i="29"/>
  <c r="I67" i="69"/>
  <c r="J67" i="69"/>
  <c r="Z978" i="29"/>
  <c r="L67" i="69"/>
  <c r="AF980" i="29"/>
  <c r="AE980" i="29"/>
  <c r="AA980" i="29" s="1"/>
  <c r="C68" i="69"/>
  <c r="O979" i="29"/>
  <c r="D68" i="69"/>
  <c r="V978" i="29" l="1"/>
  <c r="W978" i="29" s="1"/>
  <c r="P978" i="29"/>
  <c r="N979" i="29"/>
  <c r="AB980" i="29"/>
  <c r="O980" i="29"/>
  <c r="I68" i="69"/>
  <c r="J68" i="69"/>
  <c r="Z979" i="29"/>
  <c r="L68" i="69"/>
  <c r="D69" i="69"/>
  <c r="I980" i="29"/>
  <c r="J980" i="29"/>
  <c r="Y980" i="29" s="1"/>
  <c r="H69" i="69" s="1"/>
  <c r="K67" i="69"/>
  <c r="M67" i="69" s="1"/>
  <c r="C69" i="69"/>
  <c r="AI982" i="29"/>
  <c r="AD983" i="29"/>
  <c r="B982" i="29"/>
  <c r="L69" i="69"/>
  <c r="S981" i="29"/>
  <c r="U981" i="29"/>
  <c r="T981" i="29"/>
  <c r="R981" i="29"/>
  <c r="Q981" i="29"/>
  <c r="E981" i="29"/>
  <c r="G981" i="29"/>
  <c r="V979" i="29"/>
  <c r="W979" i="29" s="1"/>
  <c r="P979" i="29"/>
  <c r="AF981" i="29"/>
  <c r="AE981" i="29"/>
  <c r="AA981" i="29" s="1"/>
  <c r="K980" i="29" l="1"/>
  <c r="N980" i="29" s="1"/>
  <c r="AB981" i="29"/>
  <c r="Z980" i="29"/>
  <c r="J981" i="29"/>
  <c r="Y981" i="29" s="1"/>
  <c r="H70" i="69" s="1"/>
  <c r="I981" i="29"/>
  <c r="K981" i="29" s="1"/>
  <c r="C70" i="69"/>
  <c r="O981" i="29"/>
  <c r="AF982" i="29"/>
  <c r="AE982" i="29"/>
  <c r="AA982" i="29" s="1"/>
  <c r="J69" i="69"/>
  <c r="I69" i="69"/>
  <c r="Q982" i="29"/>
  <c r="G982" i="29"/>
  <c r="T982" i="29"/>
  <c r="E982" i="29"/>
  <c r="U982" i="29"/>
  <c r="R982" i="29"/>
  <c r="S982" i="29"/>
  <c r="D70" i="69"/>
  <c r="B983" i="29"/>
  <c r="AD984" i="29"/>
  <c r="AI983" i="29"/>
  <c r="K68" i="69"/>
  <c r="M68" i="69" s="1"/>
  <c r="P980" i="29" l="1"/>
  <c r="V980" i="29"/>
  <c r="W980" i="29" s="1"/>
  <c r="N981" i="29"/>
  <c r="AB982" i="29"/>
  <c r="K69" i="69"/>
  <c r="M69" i="69" s="1"/>
  <c r="V981" i="29"/>
  <c r="W981" i="29" s="1"/>
  <c r="P981" i="29"/>
  <c r="D71" i="69"/>
  <c r="I982" i="29"/>
  <c r="K982" i="29" s="1"/>
  <c r="N982" i="29" s="1"/>
  <c r="J982" i="29"/>
  <c r="Y982" i="29" s="1"/>
  <c r="H71" i="69" s="1"/>
  <c r="T983" i="29"/>
  <c r="R983" i="29"/>
  <c r="Q983" i="29"/>
  <c r="G983" i="29"/>
  <c r="U983" i="29"/>
  <c r="E983" i="29"/>
  <c r="S983" i="29"/>
  <c r="AE983" i="29"/>
  <c r="AA983" i="29" s="1"/>
  <c r="AF983" i="29"/>
  <c r="AD985" i="29"/>
  <c r="AI984" i="29"/>
  <c r="B984" i="29"/>
  <c r="O982" i="29"/>
  <c r="C71" i="69"/>
  <c r="Z981" i="29"/>
  <c r="L70" i="69"/>
  <c r="I70" i="69"/>
  <c r="J70" i="69"/>
  <c r="AB983" i="29" l="1"/>
  <c r="O983" i="29"/>
  <c r="L72" i="69"/>
  <c r="AI985" i="29"/>
  <c r="AD986" i="29"/>
  <c r="B985" i="29"/>
  <c r="K70" i="69"/>
  <c r="M70" i="69" s="1"/>
  <c r="U984" i="29"/>
  <c r="E984" i="29"/>
  <c r="R984" i="29"/>
  <c r="G984" i="29"/>
  <c r="T984" i="29"/>
  <c r="Q984" i="29"/>
  <c r="S984" i="29"/>
  <c r="I983" i="29"/>
  <c r="J983" i="29"/>
  <c r="Y983" i="29" s="1"/>
  <c r="H72" i="69" s="1"/>
  <c r="P982" i="29"/>
  <c r="V982" i="29"/>
  <c r="W982" i="29" s="1"/>
  <c r="AF984" i="29"/>
  <c r="AE984" i="29"/>
  <c r="AA984" i="29" s="1"/>
  <c r="D72" i="69"/>
  <c r="I71" i="69"/>
  <c r="J71" i="69"/>
  <c r="Z982" i="29"/>
  <c r="L71" i="69"/>
  <c r="C72" i="69"/>
  <c r="K983" i="29" l="1"/>
  <c r="N983" i="29" s="1"/>
  <c r="AB984" i="29"/>
  <c r="K71" i="69"/>
  <c r="M71" i="69" s="1"/>
  <c r="I72" i="69"/>
  <c r="J72" i="69"/>
  <c r="I984" i="29"/>
  <c r="J984" i="29"/>
  <c r="Y984" i="29" s="1"/>
  <c r="H73" i="69" s="1"/>
  <c r="C73" i="69"/>
  <c r="AD987" i="29"/>
  <c r="B986" i="29"/>
  <c r="AI986" i="29"/>
  <c r="O984" i="29"/>
  <c r="AF985" i="29"/>
  <c r="AE985" i="29"/>
  <c r="AA985" i="29" s="1"/>
  <c r="Z983" i="29"/>
  <c r="D73" i="69"/>
  <c r="E985" i="29"/>
  <c r="R985" i="29"/>
  <c r="S985" i="29"/>
  <c r="U985" i="29"/>
  <c r="T985" i="29"/>
  <c r="G985" i="29"/>
  <c r="Q985" i="29"/>
  <c r="P983" i="29" l="1"/>
  <c r="V983" i="29"/>
  <c r="W983" i="29" s="1"/>
  <c r="K984" i="29"/>
  <c r="N984" i="29" s="1"/>
  <c r="AB985" i="29"/>
  <c r="K72" i="69"/>
  <c r="M72" i="69" s="1"/>
  <c r="O985" i="29"/>
  <c r="J73" i="69"/>
  <c r="I73" i="69"/>
  <c r="I985" i="29"/>
  <c r="K985" i="29" s="1"/>
  <c r="J985" i="29"/>
  <c r="Y985" i="29" s="1"/>
  <c r="H74" i="69" s="1"/>
  <c r="AF986" i="29"/>
  <c r="AE986" i="29"/>
  <c r="AA986" i="29" s="1"/>
  <c r="D74" i="69"/>
  <c r="T986" i="29"/>
  <c r="Q986" i="29"/>
  <c r="S986" i="29"/>
  <c r="U986" i="29"/>
  <c r="R986" i="29"/>
  <c r="E986" i="29"/>
  <c r="G986" i="29"/>
  <c r="C74" i="69"/>
  <c r="Z984" i="29"/>
  <c r="L73" i="69"/>
  <c r="AI987" i="29"/>
  <c r="B987" i="29"/>
  <c r="AD988" i="29"/>
  <c r="P984" i="29" l="1"/>
  <c r="V984" i="29"/>
  <c r="W984" i="29" s="1"/>
  <c r="AB986" i="29"/>
  <c r="N985" i="29"/>
  <c r="P985" i="29" s="1"/>
  <c r="AI988" i="29"/>
  <c r="AD989" i="29"/>
  <c r="B988" i="29"/>
  <c r="O986" i="29"/>
  <c r="D75" i="69"/>
  <c r="I986" i="29"/>
  <c r="K986" i="29" s="1"/>
  <c r="N986" i="29" s="1"/>
  <c r="J986" i="29"/>
  <c r="Y986" i="29" s="1"/>
  <c r="H75" i="69" s="1"/>
  <c r="Z985" i="29"/>
  <c r="L74" i="69"/>
  <c r="J74" i="69"/>
  <c r="I74" i="69"/>
  <c r="T987" i="29"/>
  <c r="U987" i="29"/>
  <c r="R987" i="29"/>
  <c r="G987" i="29"/>
  <c r="S987" i="29"/>
  <c r="E987" i="29"/>
  <c r="Q987" i="29"/>
  <c r="AF987" i="29"/>
  <c r="AE987" i="29"/>
  <c r="AA987" i="29" s="1"/>
  <c r="C75" i="69"/>
  <c r="K73" i="69"/>
  <c r="M73" i="69" s="1"/>
  <c r="V985" i="29" l="1"/>
  <c r="W985" i="29" s="1"/>
  <c r="AB987" i="29"/>
  <c r="K74" i="69"/>
  <c r="M74" i="69" s="1"/>
  <c r="P986" i="29"/>
  <c r="V986" i="29"/>
  <c r="W986" i="29" s="1"/>
  <c r="I987" i="29"/>
  <c r="J987" i="29"/>
  <c r="Y987" i="29" s="1"/>
  <c r="H76" i="69" s="1"/>
  <c r="C76" i="69"/>
  <c r="O987" i="29"/>
  <c r="Q988" i="29"/>
  <c r="E988" i="29"/>
  <c r="G988" i="29"/>
  <c r="S988" i="29"/>
  <c r="U988" i="29"/>
  <c r="R988" i="29"/>
  <c r="T988" i="29"/>
  <c r="Z986" i="29"/>
  <c r="L75" i="69"/>
  <c r="B989" i="29"/>
  <c r="AD990" i="29"/>
  <c r="AI989" i="29"/>
  <c r="J75" i="69"/>
  <c r="I75" i="69"/>
  <c r="D76" i="69"/>
  <c r="AE988" i="29"/>
  <c r="AA988" i="29" s="1"/>
  <c r="AF988" i="29"/>
  <c r="K987" i="29" l="1"/>
  <c r="N987" i="29" s="1"/>
  <c r="AB988" i="29"/>
  <c r="AI990" i="29"/>
  <c r="AD991" i="29"/>
  <c r="B990" i="29"/>
  <c r="J988" i="29"/>
  <c r="Y988" i="29" s="1"/>
  <c r="H77" i="69" s="1"/>
  <c r="I988" i="29"/>
  <c r="K988" i="29" s="1"/>
  <c r="N988" i="29" s="1"/>
  <c r="K75" i="69"/>
  <c r="M75" i="69" s="1"/>
  <c r="E989" i="29"/>
  <c r="U989" i="29"/>
  <c r="G989" i="29"/>
  <c r="T989" i="29"/>
  <c r="R989" i="29"/>
  <c r="S989" i="29"/>
  <c r="Q989" i="29"/>
  <c r="D77" i="69"/>
  <c r="Z987" i="29"/>
  <c r="L76" i="69"/>
  <c r="AE989" i="29"/>
  <c r="AA989" i="29" s="1"/>
  <c r="AF989" i="29"/>
  <c r="C77" i="69"/>
  <c r="I76" i="69"/>
  <c r="J76" i="69"/>
  <c r="O988" i="29"/>
  <c r="P987" i="29" l="1"/>
  <c r="V987" i="29"/>
  <c r="W987" i="29" s="1"/>
  <c r="AB989" i="29"/>
  <c r="K76" i="69"/>
  <c r="D40" i="69"/>
  <c r="E990" i="29"/>
  <c r="R990" i="29"/>
  <c r="U990" i="29"/>
  <c r="G990" i="29"/>
  <c r="S990" i="29"/>
  <c r="Q990" i="29"/>
  <c r="T990" i="29"/>
  <c r="O989" i="29"/>
  <c r="B991" i="29"/>
  <c r="AD992" i="29"/>
  <c r="AI991" i="29"/>
  <c r="C40" i="69"/>
  <c r="AE990" i="29"/>
  <c r="AA990" i="29" s="1"/>
  <c r="AF990" i="29"/>
  <c r="I77" i="69"/>
  <c r="J77" i="69"/>
  <c r="Z988" i="29"/>
  <c r="L77" i="69"/>
  <c r="V988" i="29"/>
  <c r="W988" i="29" s="1"/>
  <c r="P988" i="29"/>
  <c r="I989" i="29"/>
  <c r="K989" i="29" s="1"/>
  <c r="J989" i="29"/>
  <c r="Y989" i="29" s="1"/>
  <c r="H40" i="69" s="1"/>
  <c r="M76" i="69"/>
  <c r="N989" i="29" l="1"/>
  <c r="AB990" i="29"/>
  <c r="K77" i="69"/>
  <c r="M77" i="69" s="1"/>
  <c r="J40" i="69"/>
  <c r="I40" i="69"/>
  <c r="AF991" i="29"/>
  <c r="AE991" i="29"/>
  <c r="AA991" i="29" s="1"/>
  <c r="B992" i="29"/>
  <c r="AD993" i="29"/>
  <c r="AI992" i="29"/>
  <c r="C109" i="69"/>
  <c r="V989" i="29"/>
  <c r="W989" i="29" s="1"/>
  <c r="P989" i="29"/>
  <c r="I990" i="29"/>
  <c r="J990" i="29"/>
  <c r="Y990" i="29" s="1"/>
  <c r="H109" i="69" s="1"/>
  <c r="S991" i="29"/>
  <c r="R991" i="29"/>
  <c r="G991" i="29"/>
  <c r="Q991" i="29"/>
  <c r="U991" i="29"/>
  <c r="E991" i="29"/>
  <c r="T991" i="29"/>
  <c r="Z989" i="29"/>
  <c r="L40" i="69"/>
  <c r="D109" i="69"/>
  <c r="O990" i="29"/>
  <c r="AB991" i="29" l="1"/>
  <c r="K990" i="29"/>
  <c r="N990" i="29" s="1"/>
  <c r="K40" i="69"/>
  <c r="M40" i="69" s="1"/>
  <c r="O991" i="29"/>
  <c r="Z990" i="29"/>
  <c r="L109" i="69"/>
  <c r="L136" i="69"/>
  <c r="I109" i="69"/>
  <c r="J109" i="69"/>
  <c r="AE992" i="29"/>
  <c r="AA992" i="29" s="1"/>
  <c r="AF992" i="29"/>
  <c r="D136" i="69"/>
  <c r="B993" i="29"/>
  <c r="AD994" i="29"/>
  <c r="AI993" i="29"/>
  <c r="C136" i="69"/>
  <c r="S992" i="29"/>
  <c r="E992" i="29"/>
  <c r="G992" i="29"/>
  <c r="U992" i="29"/>
  <c r="Q992" i="29"/>
  <c r="T992" i="29"/>
  <c r="R992" i="29"/>
  <c r="J991" i="29"/>
  <c r="Y991" i="29" s="1"/>
  <c r="I991" i="29"/>
  <c r="V990" i="29" l="1"/>
  <c r="W990" i="29" s="1"/>
  <c r="P990" i="29"/>
  <c r="K991" i="29"/>
  <c r="N991" i="29" s="1"/>
  <c r="AB992" i="29"/>
  <c r="H136" i="69"/>
  <c r="Z991" i="29"/>
  <c r="D135" i="69"/>
  <c r="G993" i="29"/>
  <c r="R993" i="29"/>
  <c r="Q993" i="29"/>
  <c r="T993" i="29"/>
  <c r="S993" i="29"/>
  <c r="E993" i="29"/>
  <c r="U993" i="29"/>
  <c r="J992" i="29"/>
  <c r="I992" i="29"/>
  <c r="K992" i="29" s="1"/>
  <c r="N992" i="29" s="1"/>
  <c r="Y992" i="29"/>
  <c r="H135" i="69" s="1"/>
  <c r="C135" i="69"/>
  <c r="I136" i="69"/>
  <c r="J136" i="69"/>
  <c r="AF993" i="29"/>
  <c r="AE993" i="29"/>
  <c r="AA993" i="29" s="1"/>
  <c r="K109" i="69"/>
  <c r="M109" i="69" s="1"/>
  <c r="O992" i="29"/>
  <c r="AI994" i="29"/>
  <c r="B994" i="29"/>
  <c r="AD995" i="29"/>
  <c r="P991" i="29" l="1"/>
  <c r="V991" i="29"/>
  <c r="W991" i="29" s="1"/>
  <c r="AB993" i="29"/>
  <c r="O993" i="29"/>
  <c r="K136" i="69"/>
  <c r="M136" i="69" s="1"/>
  <c r="D94" i="69"/>
  <c r="J135" i="69"/>
  <c r="I135" i="69"/>
  <c r="AD996" i="29"/>
  <c r="AI995" i="29"/>
  <c r="B995" i="29"/>
  <c r="J993" i="29"/>
  <c r="Y993" i="29" s="1"/>
  <c r="H94" i="69" s="1"/>
  <c r="I993" i="29"/>
  <c r="K993" i="29" s="1"/>
  <c r="V992" i="29"/>
  <c r="W992" i="29" s="1"/>
  <c r="P992" i="29"/>
  <c r="U994" i="29"/>
  <c r="S994" i="29"/>
  <c r="G994" i="29"/>
  <c r="E994" i="29"/>
  <c r="R994" i="29"/>
  <c r="T994" i="29"/>
  <c r="Q994" i="29"/>
  <c r="Z992" i="29"/>
  <c r="L135" i="69"/>
  <c r="L94" i="69"/>
  <c r="AF994" i="29"/>
  <c r="AE994" i="29"/>
  <c r="AA994" i="29" s="1"/>
  <c r="C94" i="69"/>
  <c r="N993" i="29" l="1"/>
  <c r="AB994" i="29"/>
  <c r="Z993" i="29"/>
  <c r="K135" i="69"/>
  <c r="M135" i="69" s="1"/>
  <c r="AE995" i="29"/>
  <c r="AA995" i="29" s="1"/>
  <c r="AF995" i="29"/>
  <c r="I994" i="29"/>
  <c r="J994" i="29"/>
  <c r="Y994" i="29" s="1"/>
  <c r="H123" i="69" s="1"/>
  <c r="I94" i="69"/>
  <c r="J94" i="69"/>
  <c r="O994" i="29"/>
  <c r="P993" i="29"/>
  <c r="V993" i="29"/>
  <c r="W993" i="29" s="1"/>
  <c r="AD997" i="29"/>
  <c r="B996" i="29"/>
  <c r="AI996" i="29"/>
  <c r="C123" i="69"/>
  <c r="D123" i="69"/>
  <c r="T995" i="29"/>
  <c r="E995" i="29"/>
  <c r="G995" i="29"/>
  <c r="Q995" i="29"/>
  <c r="U995" i="29"/>
  <c r="S995" i="29"/>
  <c r="R995" i="29"/>
  <c r="AB995" i="29" l="1"/>
  <c r="K994" i="29"/>
  <c r="N994" i="29" s="1"/>
  <c r="B997" i="29"/>
  <c r="AI997" i="29"/>
  <c r="AD998" i="29"/>
  <c r="D41" i="69"/>
  <c r="K94" i="69"/>
  <c r="M94" i="69" s="1"/>
  <c r="C41" i="69"/>
  <c r="AE996" i="29"/>
  <c r="AA996" i="29" s="1"/>
  <c r="AF996" i="29"/>
  <c r="O995" i="29"/>
  <c r="J123" i="69"/>
  <c r="I123" i="69"/>
  <c r="T996" i="29"/>
  <c r="E996" i="29"/>
  <c r="S996" i="29"/>
  <c r="R996" i="29"/>
  <c r="Q996" i="29"/>
  <c r="U996" i="29"/>
  <c r="G996" i="29"/>
  <c r="Z994" i="29"/>
  <c r="L123" i="69"/>
  <c r="I995" i="29"/>
  <c r="J995" i="29"/>
  <c r="Y995" i="29" s="1"/>
  <c r="H41" i="69" s="1"/>
  <c r="P994" i="29" l="1"/>
  <c r="V994" i="29"/>
  <c r="W994" i="29" s="1"/>
  <c r="K995" i="29"/>
  <c r="N995" i="29" s="1"/>
  <c r="AB996" i="29"/>
  <c r="B998" i="29"/>
  <c r="AI998" i="29"/>
  <c r="AD999" i="29"/>
  <c r="K123" i="69"/>
  <c r="M123" i="69" s="1"/>
  <c r="AF997" i="29"/>
  <c r="AE997" i="29"/>
  <c r="AA997" i="29" s="1"/>
  <c r="D127" i="69"/>
  <c r="J41" i="69"/>
  <c r="I41" i="69"/>
  <c r="R997" i="29"/>
  <c r="U997" i="29"/>
  <c r="G997" i="29"/>
  <c r="E997" i="29"/>
  <c r="T997" i="29"/>
  <c r="S997" i="29"/>
  <c r="Q997" i="29"/>
  <c r="O996" i="29"/>
  <c r="C127" i="69"/>
  <c r="Z995" i="29"/>
  <c r="L41" i="69"/>
  <c r="I996" i="29"/>
  <c r="K996" i="29" s="1"/>
  <c r="J996" i="29"/>
  <c r="Y996" i="29" s="1"/>
  <c r="H127" i="69" s="1"/>
  <c r="P995" i="29" l="1"/>
  <c r="V995" i="29"/>
  <c r="W995" i="29" s="1"/>
  <c r="N996" i="29"/>
  <c r="AB997" i="29"/>
  <c r="K41" i="69"/>
  <c r="M41" i="69" s="1"/>
  <c r="P996" i="29"/>
  <c r="V996" i="29"/>
  <c r="W996" i="29" s="1"/>
  <c r="D128" i="69"/>
  <c r="J997" i="29"/>
  <c r="Y997" i="29" s="1"/>
  <c r="H128" i="69" s="1"/>
  <c r="I997" i="29"/>
  <c r="K997" i="29" s="1"/>
  <c r="N997" i="29" s="1"/>
  <c r="AF998" i="29"/>
  <c r="AE998" i="29"/>
  <c r="AA998" i="29" s="1"/>
  <c r="O997" i="29"/>
  <c r="T998" i="29"/>
  <c r="Q998" i="29"/>
  <c r="S998" i="29"/>
  <c r="R998" i="29"/>
  <c r="U998" i="29"/>
  <c r="E998" i="29"/>
  <c r="G998" i="29"/>
  <c r="J127" i="69"/>
  <c r="I127" i="69"/>
  <c r="Z996" i="29"/>
  <c r="L127" i="69"/>
  <c r="C128" i="69"/>
  <c r="AI999" i="29"/>
  <c r="AD1000" i="29"/>
  <c r="B999" i="29"/>
  <c r="AB998" i="29" l="1"/>
  <c r="O998" i="29"/>
  <c r="K127" i="69"/>
  <c r="M127" i="69" s="1"/>
  <c r="AD1001" i="29"/>
  <c r="AI1000" i="29"/>
  <c r="B1000" i="29"/>
  <c r="AE999" i="29"/>
  <c r="AA999" i="29" s="1"/>
  <c r="AF999" i="29"/>
  <c r="P997" i="29"/>
  <c r="V997" i="29"/>
  <c r="W997" i="29" s="1"/>
  <c r="C45" i="69"/>
  <c r="L45" i="69"/>
  <c r="J128" i="69"/>
  <c r="I128" i="69"/>
  <c r="R999" i="29"/>
  <c r="T999" i="29"/>
  <c r="U999" i="29"/>
  <c r="E999" i="29"/>
  <c r="S999" i="29"/>
  <c r="Q999" i="29"/>
  <c r="G999" i="29"/>
  <c r="Z997" i="29"/>
  <c r="L128" i="69"/>
  <c r="D45" i="69"/>
  <c r="J998" i="29"/>
  <c r="Y998" i="29" s="1"/>
  <c r="H45" i="69" s="1"/>
  <c r="I998" i="29"/>
  <c r="AB999" i="29" l="1"/>
  <c r="K998" i="29"/>
  <c r="N998" i="29" s="1"/>
  <c r="AF1000" i="29"/>
  <c r="AE1000" i="29"/>
  <c r="AA1000" i="29" s="1"/>
  <c r="Z998" i="29"/>
  <c r="J45" i="69"/>
  <c r="I45" i="69"/>
  <c r="AD1002" i="29"/>
  <c r="AI1001" i="29"/>
  <c r="B1001" i="29"/>
  <c r="C46" i="69"/>
  <c r="K128" i="69"/>
  <c r="M128" i="69" s="1"/>
  <c r="D46" i="69"/>
  <c r="O999" i="29"/>
  <c r="I999" i="29"/>
  <c r="J999" i="29"/>
  <c r="Y999" i="29" s="1"/>
  <c r="H46" i="69" s="1"/>
  <c r="E1000" i="29"/>
  <c r="Q1000" i="29"/>
  <c r="R1000" i="29"/>
  <c r="G1000" i="29"/>
  <c r="U1000" i="29"/>
  <c r="S1000" i="29"/>
  <c r="T1000" i="29"/>
  <c r="V998" i="29" l="1"/>
  <c r="W998" i="29" s="1"/>
  <c r="P998" i="29"/>
  <c r="K999" i="29"/>
  <c r="N999" i="29" s="1"/>
  <c r="AB1000" i="29"/>
  <c r="O1000" i="29"/>
  <c r="C42" i="69"/>
  <c r="J46" i="69"/>
  <c r="I46" i="69"/>
  <c r="AD1003" i="29"/>
  <c r="B1002" i="29"/>
  <c r="AI1002" i="29"/>
  <c r="D42" i="69"/>
  <c r="Z999" i="29"/>
  <c r="L46" i="69"/>
  <c r="K45" i="69"/>
  <c r="M45" i="69" s="1"/>
  <c r="I1000" i="29"/>
  <c r="J1000" i="29"/>
  <c r="Y1000" i="29" s="1"/>
  <c r="H42" i="69" s="1"/>
  <c r="T1001" i="29"/>
  <c r="E1001" i="29"/>
  <c r="G1001" i="29"/>
  <c r="Q1001" i="29"/>
  <c r="R1001" i="29"/>
  <c r="S1001" i="29"/>
  <c r="U1001" i="29"/>
  <c r="AE1001" i="29"/>
  <c r="AA1001" i="29" s="1"/>
  <c r="AF1001" i="29"/>
  <c r="P999" i="29" l="1"/>
  <c r="V999" i="29"/>
  <c r="W999" i="29" s="1"/>
  <c r="K1000" i="29"/>
  <c r="N1000" i="29" s="1"/>
  <c r="AB1001" i="29"/>
  <c r="O1001" i="29"/>
  <c r="K46" i="69"/>
  <c r="L111" i="69"/>
  <c r="D111" i="69"/>
  <c r="J42" i="69"/>
  <c r="I42" i="69"/>
  <c r="Z1000" i="29"/>
  <c r="L42" i="69"/>
  <c r="C111" i="69"/>
  <c r="AF1002" i="29"/>
  <c r="AE1002" i="29"/>
  <c r="AA1002" i="29" s="1"/>
  <c r="E1002" i="29"/>
  <c r="U1002" i="29"/>
  <c r="S1002" i="29"/>
  <c r="G1002" i="29"/>
  <c r="Q1002" i="29"/>
  <c r="R1002" i="29"/>
  <c r="T1002" i="29"/>
  <c r="M46" i="69"/>
  <c r="J1001" i="29"/>
  <c r="Y1001" i="29" s="1"/>
  <c r="I1001" i="29"/>
  <c r="K1001" i="29" s="1"/>
  <c r="B1003" i="29"/>
  <c r="AI1003" i="29"/>
  <c r="AD1004" i="29"/>
  <c r="P1000" i="29" l="1"/>
  <c r="V1000" i="29"/>
  <c r="W1000" i="29" s="1"/>
  <c r="AB1002" i="29"/>
  <c r="N1001" i="29"/>
  <c r="V1001" i="29" s="1"/>
  <c r="W1001" i="29" s="1"/>
  <c r="K42" i="69"/>
  <c r="H111" i="69"/>
  <c r="Z1001" i="29"/>
  <c r="AD1005" i="29"/>
  <c r="AI1004" i="29"/>
  <c r="B1004" i="29"/>
  <c r="AF1003" i="29"/>
  <c r="AE1003" i="29"/>
  <c r="AA1003" i="29" s="1"/>
  <c r="D112" i="69"/>
  <c r="M42" i="69"/>
  <c r="O1002" i="29"/>
  <c r="I1002" i="29"/>
  <c r="K1002" i="29" s="1"/>
  <c r="N1002" i="29" s="1"/>
  <c r="J1002" i="29"/>
  <c r="T1003" i="29"/>
  <c r="E1003" i="29"/>
  <c r="R1003" i="29"/>
  <c r="Q1003" i="29"/>
  <c r="G1003" i="29"/>
  <c r="S1003" i="29"/>
  <c r="U1003" i="29"/>
  <c r="Y1002" i="29"/>
  <c r="H112" i="69" s="1"/>
  <c r="C112" i="69"/>
  <c r="I111" i="69"/>
  <c r="J111" i="69"/>
  <c r="P1001" i="29" l="1"/>
  <c r="AB1003" i="29"/>
  <c r="K111" i="69"/>
  <c r="M111" i="69" s="1"/>
  <c r="O1003" i="29"/>
  <c r="C113" i="69"/>
  <c r="S1004" i="29"/>
  <c r="Q1004" i="29"/>
  <c r="T1004" i="29"/>
  <c r="E1004" i="29"/>
  <c r="R1004" i="29"/>
  <c r="U1004" i="29"/>
  <c r="O1004" i="29" s="1"/>
  <c r="G1004" i="29"/>
  <c r="D113" i="69"/>
  <c r="Z1002" i="29"/>
  <c r="L112" i="69"/>
  <c r="AF1004" i="29"/>
  <c r="AE1004" i="29"/>
  <c r="AA1004" i="29" s="1"/>
  <c r="J112" i="69"/>
  <c r="I112" i="69"/>
  <c r="V1002" i="29"/>
  <c r="W1002" i="29" s="1"/>
  <c r="P1002" i="29"/>
  <c r="J1003" i="29"/>
  <c r="Y1003" i="29" s="1"/>
  <c r="H113" i="69" s="1"/>
  <c r="I1003" i="29"/>
  <c r="B1005" i="29"/>
  <c r="AD1006" i="29"/>
  <c r="AI1005" i="29"/>
  <c r="L113" i="69"/>
  <c r="K1003" i="29" l="1"/>
  <c r="N1003" i="29" s="1"/>
  <c r="AB1004" i="29"/>
  <c r="Z1003" i="29"/>
  <c r="K112" i="69"/>
  <c r="M112" i="69" s="1"/>
  <c r="G1005" i="29"/>
  <c r="E1005" i="29"/>
  <c r="T1005" i="29"/>
  <c r="S1005" i="29"/>
  <c r="R1005" i="29"/>
  <c r="Q1005" i="29"/>
  <c r="U1005" i="29"/>
  <c r="J1004" i="29"/>
  <c r="Y1004" i="29" s="1"/>
  <c r="H115" i="69" s="1"/>
  <c r="I1004" i="29"/>
  <c r="K1004" i="29" s="1"/>
  <c r="AF1005" i="29"/>
  <c r="AE1005" i="29"/>
  <c r="AA1005" i="29" s="1"/>
  <c r="AD1007" i="29"/>
  <c r="AI1006" i="29"/>
  <c r="B1006" i="29"/>
  <c r="C115" i="69"/>
  <c r="I113" i="69"/>
  <c r="J113" i="69"/>
  <c r="D115" i="69"/>
  <c r="L115" i="69"/>
  <c r="V1003" i="29" l="1"/>
  <c r="W1003" i="29" s="1"/>
  <c r="P1003" i="29"/>
  <c r="N1004" i="29"/>
  <c r="AB1005" i="29"/>
  <c r="O1005" i="29"/>
  <c r="K113" i="69"/>
  <c r="M113" i="69" s="1"/>
  <c r="Z1004" i="29"/>
  <c r="I115" i="69"/>
  <c r="J115" i="69"/>
  <c r="Q1006" i="29"/>
  <c r="R1006" i="29"/>
  <c r="T1006" i="29"/>
  <c r="U1006" i="29"/>
  <c r="G1006" i="29"/>
  <c r="E1006" i="29"/>
  <c r="S1006" i="29"/>
  <c r="I1005" i="29"/>
  <c r="K1005" i="29" s="1"/>
  <c r="N1005" i="29" s="1"/>
  <c r="J1005" i="29"/>
  <c r="Y1005" i="29" s="1"/>
  <c r="H96" i="69" s="1"/>
  <c r="V1004" i="29"/>
  <c r="W1004" i="29" s="1"/>
  <c r="P1004" i="29"/>
  <c r="L96" i="69"/>
  <c r="AE1006" i="29"/>
  <c r="AA1006" i="29" s="1"/>
  <c r="AF1006" i="29"/>
  <c r="AI1007" i="29"/>
  <c r="B1007" i="29"/>
  <c r="AD1008" i="29"/>
  <c r="C96" i="69"/>
  <c r="D96" i="69"/>
  <c r="AB1006" i="29" l="1"/>
  <c r="K115" i="69"/>
  <c r="M115" i="69" s="1"/>
  <c r="AD1009" i="29"/>
  <c r="AI1008" i="29"/>
  <c r="B1008" i="29"/>
  <c r="J1006" i="29"/>
  <c r="I1006" i="29"/>
  <c r="Q1007" i="29"/>
  <c r="T1007" i="29"/>
  <c r="R1007" i="29"/>
  <c r="U1007" i="29"/>
  <c r="G1007" i="29"/>
  <c r="E1007" i="29"/>
  <c r="S1007" i="29"/>
  <c r="V1005" i="29"/>
  <c r="W1005" i="29" s="1"/>
  <c r="P1005" i="29"/>
  <c r="AE1007" i="29"/>
  <c r="AA1007" i="29" s="1"/>
  <c r="AF1007" i="29"/>
  <c r="I96" i="69"/>
  <c r="J96" i="69"/>
  <c r="Z1005" i="29"/>
  <c r="O1006" i="29"/>
  <c r="Y1006" i="29"/>
  <c r="H30" i="69" s="1"/>
  <c r="C30" i="69"/>
  <c r="D30" i="69"/>
  <c r="AB1007" i="29" l="1"/>
  <c r="K1006" i="29"/>
  <c r="N1006" i="29" s="1"/>
  <c r="K96" i="69"/>
  <c r="M96" i="69" s="1"/>
  <c r="AI1009" i="29"/>
  <c r="AD1010" i="29"/>
  <c r="B1009" i="29"/>
  <c r="Z1006" i="29"/>
  <c r="L30" i="69"/>
  <c r="J1007" i="29"/>
  <c r="Y1007" i="29" s="1"/>
  <c r="H134" i="69" s="1"/>
  <c r="I1007" i="29"/>
  <c r="K1007" i="29" s="1"/>
  <c r="C134" i="69"/>
  <c r="J30" i="69"/>
  <c r="I30" i="69"/>
  <c r="D134" i="69"/>
  <c r="R1008" i="29"/>
  <c r="E1008" i="29"/>
  <c r="G1008" i="29"/>
  <c r="U1008" i="29"/>
  <c r="S1008" i="29"/>
  <c r="Q1008" i="29"/>
  <c r="T1008" i="29"/>
  <c r="O1007" i="29"/>
  <c r="AE1008" i="29"/>
  <c r="AA1008" i="29" s="1"/>
  <c r="AF1008" i="29"/>
  <c r="P1006" i="29" l="1"/>
  <c r="V1006" i="29"/>
  <c r="W1006" i="29" s="1"/>
  <c r="N1007" i="29"/>
  <c r="AB1008" i="29"/>
  <c r="C43" i="69"/>
  <c r="AD1011" i="29"/>
  <c r="B1010" i="29"/>
  <c r="AI1010" i="29"/>
  <c r="J134" i="69"/>
  <c r="I134" i="69"/>
  <c r="AE1009" i="29"/>
  <c r="AA1009" i="29" s="1"/>
  <c r="AF1009" i="29"/>
  <c r="I1008" i="29"/>
  <c r="K1008" i="29" s="1"/>
  <c r="J1008" i="29"/>
  <c r="Y1008" i="29" s="1"/>
  <c r="H43" i="69" s="1"/>
  <c r="Z1007" i="29"/>
  <c r="L134" i="69"/>
  <c r="O1008" i="29"/>
  <c r="D43" i="69"/>
  <c r="K30" i="69"/>
  <c r="M30" i="69" s="1"/>
  <c r="V1007" i="29"/>
  <c r="W1007" i="29" s="1"/>
  <c r="P1007" i="29"/>
  <c r="R1009" i="29"/>
  <c r="S1009" i="29"/>
  <c r="U1009" i="29"/>
  <c r="T1009" i="29"/>
  <c r="Q1009" i="29"/>
  <c r="E1009" i="29"/>
  <c r="G1009" i="29"/>
  <c r="AB1009" i="29" l="1"/>
  <c r="N1008" i="29"/>
  <c r="D114" i="69"/>
  <c r="O1009" i="29"/>
  <c r="I1009" i="29"/>
  <c r="J1009" i="29"/>
  <c r="Y1009" i="29" s="1"/>
  <c r="H114" i="69" s="1"/>
  <c r="J43" i="69"/>
  <c r="I43" i="69"/>
  <c r="Z1008" i="29"/>
  <c r="L43" i="69"/>
  <c r="AE1010" i="29"/>
  <c r="AA1010" i="29" s="1"/>
  <c r="AF1010" i="29"/>
  <c r="C114" i="69"/>
  <c r="P1008" i="29"/>
  <c r="V1008" i="29"/>
  <c r="W1008" i="29" s="1"/>
  <c r="S1010" i="29"/>
  <c r="Q1010" i="29"/>
  <c r="G1010" i="29"/>
  <c r="R1010" i="29"/>
  <c r="T1010" i="29"/>
  <c r="E1010" i="29"/>
  <c r="U1010" i="29"/>
  <c r="K134" i="69"/>
  <c r="M134" i="69" s="1"/>
  <c r="AI1011" i="29"/>
  <c r="AD1012" i="29"/>
  <c r="B1011" i="29"/>
  <c r="AB1010" i="29" l="1"/>
  <c r="K1009" i="29"/>
  <c r="N1009" i="29" s="1"/>
  <c r="AI1012" i="29"/>
  <c r="B1012" i="29"/>
  <c r="AD1013" i="29"/>
  <c r="AF1011" i="29"/>
  <c r="AE1011" i="29"/>
  <c r="AA1011" i="29" s="1"/>
  <c r="I114" i="69"/>
  <c r="J114" i="69"/>
  <c r="K43" i="69"/>
  <c r="M43" i="69" s="1"/>
  <c r="Z1009" i="29"/>
  <c r="L114" i="69"/>
  <c r="O1010" i="29"/>
  <c r="D122" i="69"/>
  <c r="S1011" i="29"/>
  <c r="Q1011" i="29"/>
  <c r="T1011" i="29"/>
  <c r="R1011" i="29"/>
  <c r="E1011" i="29"/>
  <c r="G1011" i="29"/>
  <c r="U1011" i="29"/>
  <c r="C122" i="69"/>
  <c r="I1010" i="29"/>
  <c r="J1010" i="29"/>
  <c r="Y1010" i="29" s="1"/>
  <c r="H122" i="69" s="1"/>
  <c r="P1009" i="29" l="1"/>
  <c r="V1009" i="29"/>
  <c r="W1009" i="29" s="1"/>
  <c r="K1010" i="29"/>
  <c r="N1010" i="29" s="1"/>
  <c r="AB1011" i="29"/>
  <c r="K114" i="69"/>
  <c r="M114" i="69" s="1"/>
  <c r="O1011" i="29"/>
  <c r="C102" i="69"/>
  <c r="AD1014" i="29"/>
  <c r="AI1013" i="29"/>
  <c r="B1013" i="29"/>
  <c r="I122" i="69"/>
  <c r="J122" i="69"/>
  <c r="Z1010" i="29"/>
  <c r="L122" i="69"/>
  <c r="J1011" i="29"/>
  <c r="Y1011" i="29" s="1"/>
  <c r="H102" i="69" s="1"/>
  <c r="I1011" i="29"/>
  <c r="Q1012" i="29"/>
  <c r="S1012" i="29"/>
  <c r="G1012" i="29"/>
  <c r="E1012" i="29"/>
  <c r="R1012" i="29"/>
  <c r="T1012" i="29"/>
  <c r="U1012" i="29"/>
  <c r="L102" i="69"/>
  <c r="AF1012" i="29"/>
  <c r="AE1012" i="29"/>
  <c r="AA1012" i="29" s="1"/>
  <c r="D102" i="69"/>
  <c r="P1010" i="29" l="1"/>
  <c r="V1010" i="29"/>
  <c r="W1010" i="29" s="1"/>
  <c r="K1011" i="29"/>
  <c r="N1011" i="29" s="1"/>
  <c r="AB1012" i="29"/>
  <c r="K122" i="69"/>
  <c r="M122" i="69" s="1"/>
  <c r="G1013" i="29"/>
  <c r="U1013" i="29"/>
  <c r="R1013" i="29"/>
  <c r="E1013" i="29"/>
  <c r="T1013" i="29"/>
  <c r="S1013" i="29"/>
  <c r="Q1013" i="29"/>
  <c r="I102" i="69"/>
  <c r="J102" i="69"/>
  <c r="J1012" i="29"/>
  <c r="Y1012" i="29" s="1"/>
  <c r="H104" i="69" s="1"/>
  <c r="I1012" i="29"/>
  <c r="K1012" i="29" s="1"/>
  <c r="Z1011" i="29"/>
  <c r="C104" i="69"/>
  <c r="AF1013" i="29"/>
  <c r="AE1013" i="29"/>
  <c r="AA1013" i="29" s="1"/>
  <c r="O1012" i="29"/>
  <c r="D104" i="69"/>
  <c r="B1014" i="29"/>
  <c r="AI1014" i="29"/>
  <c r="AD1015" i="29"/>
  <c r="V1011" i="29" l="1"/>
  <c r="W1011" i="29" s="1"/>
  <c r="P1011" i="29"/>
  <c r="N1012" i="29"/>
  <c r="AB1013" i="29"/>
  <c r="AE1014" i="29"/>
  <c r="AA1014" i="29" s="1"/>
  <c r="AF1014" i="29"/>
  <c r="I104" i="69"/>
  <c r="J104" i="69"/>
  <c r="P1012" i="29"/>
  <c r="V1012" i="29"/>
  <c r="W1012" i="29" s="1"/>
  <c r="E1014" i="29"/>
  <c r="Q1014" i="29"/>
  <c r="G1014" i="29"/>
  <c r="S1014" i="29"/>
  <c r="R1014" i="29"/>
  <c r="T1014" i="29"/>
  <c r="U1014" i="29"/>
  <c r="D106" i="69"/>
  <c r="AI1015" i="29"/>
  <c r="B1015" i="29"/>
  <c r="AD1016" i="29"/>
  <c r="Z1012" i="29"/>
  <c r="L104" i="69"/>
  <c r="J1013" i="29"/>
  <c r="Y1013" i="29" s="1"/>
  <c r="H106" i="69" s="1"/>
  <c r="I1013" i="29"/>
  <c r="K1013" i="29" s="1"/>
  <c r="K102" i="69"/>
  <c r="M102" i="69" s="1"/>
  <c r="C106" i="69"/>
  <c r="O1013" i="29"/>
  <c r="AB1014" i="29" l="1"/>
  <c r="N1013" i="29"/>
  <c r="O1014" i="29"/>
  <c r="K104" i="69"/>
  <c r="M104" i="69" s="1"/>
  <c r="AI1016" i="29"/>
  <c r="AD1017" i="29"/>
  <c r="B1016" i="29"/>
  <c r="E1015" i="29"/>
  <c r="T1015" i="29"/>
  <c r="U1015" i="29"/>
  <c r="R1015" i="29"/>
  <c r="Q1015" i="29"/>
  <c r="G1015" i="29"/>
  <c r="S1015" i="29"/>
  <c r="Z1013" i="29"/>
  <c r="L106" i="69"/>
  <c r="P1013" i="29"/>
  <c r="V1013" i="29"/>
  <c r="W1013" i="29" s="1"/>
  <c r="AE1015" i="29"/>
  <c r="AA1015" i="29" s="1"/>
  <c r="AF1015" i="29"/>
  <c r="C32" i="69"/>
  <c r="J106" i="69"/>
  <c r="I106" i="69"/>
  <c r="L32" i="69"/>
  <c r="D32" i="69"/>
  <c r="J1014" i="29"/>
  <c r="Y1014" i="29" s="1"/>
  <c r="H32" i="69" s="1"/>
  <c r="I1014" i="29"/>
  <c r="K1014" i="29" l="1"/>
  <c r="N1014" i="29" s="1"/>
  <c r="AB1015" i="29"/>
  <c r="K106" i="69"/>
  <c r="Z1014" i="29"/>
  <c r="J1015" i="29"/>
  <c r="Y1015" i="29" s="1"/>
  <c r="H33" i="69" s="1"/>
  <c r="I1015" i="29"/>
  <c r="C33" i="69"/>
  <c r="T1016" i="29"/>
  <c r="E1016" i="29"/>
  <c r="Q1016" i="29"/>
  <c r="R1016" i="29"/>
  <c r="S1016" i="29"/>
  <c r="U1016" i="29"/>
  <c r="G1016" i="29"/>
  <c r="J32" i="69"/>
  <c r="I32" i="69"/>
  <c r="M106" i="69"/>
  <c r="AD1018" i="29"/>
  <c r="B1017" i="29"/>
  <c r="AI1017" i="29"/>
  <c r="O1015" i="29"/>
  <c r="AE1016" i="29"/>
  <c r="AA1016" i="29" s="1"/>
  <c r="AF1016" i="29"/>
  <c r="D33" i="69"/>
  <c r="P1014" i="29" l="1"/>
  <c r="V1014" i="29"/>
  <c r="W1014" i="29" s="1"/>
  <c r="K1015" i="29"/>
  <c r="N1015" i="29" s="1"/>
  <c r="AB1016" i="29"/>
  <c r="K32" i="69"/>
  <c r="M32" i="69" s="1"/>
  <c r="AF1017" i="29"/>
  <c r="AE1017" i="29"/>
  <c r="AA1017" i="29" s="1"/>
  <c r="I1016" i="29"/>
  <c r="J1016" i="29"/>
  <c r="Y1016" i="29" s="1"/>
  <c r="H34" i="69" s="1"/>
  <c r="AD1019" i="29"/>
  <c r="B1018" i="29"/>
  <c r="AI1018" i="29"/>
  <c r="Z1015" i="29"/>
  <c r="L33" i="69"/>
  <c r="O1016" i="29"/>
  <c r="C34" i="69"/>
  <c r="G1017" i="29"/>
  <c r="E1017" i="29"/>
  <c r="T1017" i="29"/>
  <c r="Q1017" i="29"/>
  <c r="S1017" i="29"/>
  <c r="R1017" i="29"/>
  <c r="U1017" i="29"/>
  <c r="I33" i="69"/>
  <c r="J33" i="69"/>
  <c r="D34" i="69"/>
  <c r="V1015" i="29" l="1"/>
  <c r="W1015" i="29" s="1"/>
  <c r="P1015" i="29"/>
  <c r="K1016" i="29"/>
  <c r="N1016" i="29" s="1"/>
  <c r="AB1017" i="29"/>
  <c r="O1017" i="29"/>
  <c r="L98" i="69" s="1"/>
  <c r="AD1020" i="29"/>
  <c r="AD1033" i="29" s="1"/>
  <c r="AI1019" i="29"/>
  <c r="B1019" i="29"/>
  <c r="C98" i="69"/>
  <c r="I34" i="69"/>
  <c r="J34" i="69"/>
  <c r="D98" i="69"/>
  <c r="AF1018" i="29"/>
  <c r="AE1018" i="29"/>
  <c r="AA1018" i="29" s="1"/>
  <c r="K33" i="69"/>
  <c r="M33" i="69" s="1"/>
  <c r="Z1016" i="29"/>
  <c r="L34" i="69"/>
  <c r="E1018" i="29"/>
  <c r="U1018" i="29"/>
  <c r="Q1018" i="29"/>
  <c r="R1018" i="29"/>
  <c r="S1018" i="29"/>
  <c r="G1018" i="29"/>
  <c r="T1018" i="29"/>
  <c r="I1017" i="29"/>
  <c r="K1017" i="29" s="1"/>
  <c r="J1017" i="29"/>
  <c r="Y1017" i="29" s="1"/>
  <c r="H98" i="69" s="1"/>
  <c r="P1016" i="29" l="1"/>
  <c r="V1016" i="29"/>
  <c r="W1016" i="29" s="1"/>
  <c r="AB1018" i="29"/>
  <c r="N1017" i="29"/>
  <c r="V1017" i="29" s="1"/>
  <c r="W1017" i="29" s="1"/>
  <c r="B1033" i="29"/>
  <c r="AI1033" i="29"/>
  <c r="AD1034" i="29"/>
  <c r="J98" i="69"/>
  <c r="I98" i="69"/>
  <c r="G1019" i="29"/>
  <c r="E1019" i="29"/>
  <c r="T1019" i="29"/>
  <c r="S1019" i="29"/>
  <c r="R1019" i="29"/>
  <c r="Q1019" i="29"/>
  <c r="U1019" i="29"/>
  <c r="D99" i="69"/>
  <c r="O1018" i="29"/>
  <c r="AE1019" i="29"/>
  <c r="AA1019" i="29" s="1"/>
  <c r="AF1019" i="29"/>
  <c r="Z1017" i="29"/>
  <c r="C99" i="69"/>
  <c r="AI1020" i="29"/>
  <c r="B1020" i="29"/>
  <c r="AD1021" i="29"/>
  <c r="I1018" i="29"/>
  <c r="K1018" i="29" s="1"/>
  <c r="J1018" i="29"/>
  <c r="Y1018" i="29" s="1"/>
  <c r="H99" i="69" s="1"/>
  <c r="K34" i="69"/>
  <c r="M34" i="69" s="1"/>
  <c r="P1017" i="29" l="1"/>
  <c r="N1018" i="29"/>
  <c r="AB1019" i="29"/>
  <c r="K98" i="69"/>
  <c r="M98" i="69" s="1"/>
  <c r="B1034" i="29"/>
  <c r="AI1034" i="29"/>
  <c r="AD1035" i="29"/>
  <c r="AF1033" i="29"/>
  <c r="AE1033" i="29"/>
  <c r="AA1033" i="29" s="1"/>
  <c r="T1033" i="29"/>
  <c r="R1033" i="29"/>
  <c r="G1033" i="29"/>
  <c r="S1033" i="29"/>
  <c r="Q1033" i="29"/>
  <c r="E1033" i="29"/>
  <c r="U1033" i="29"/>
  <c r="G1020" i="29"/>
  <c r="R1020" i="29"/>
  <c r="T1020" i="29"/>
  <c r="Q1020" i="29"/>
  <c r="S1020" i="29"/>
  <c r="E1020" i="29"/>
  <c r="U1020" i="29"/>
  <c r="I99" i="69"/>
  <c r="J99" i="69"/>
  <c r="I1019" i="29"/>
  <c r="J1019" i="29"/>
  <c r="Y1019" i="29" s="1"/>
  <c r="H103" i="69" s="1"/>
  <c r="C103" i="69"/>
  <c r="D103" i="69"/>
  <c r="AF1020" i="29"/>
  <c r="AE1020" i="29"/>
  <c r="AA1020" i="29" s="1"/>
  <c r="V1018" i="29"/>
  <c r="W1018" i="29" s="1"/>
  <c r="P1018" i="29"/>
  <c r="AD1022" i="29"/>
  <c r="B1021" i="29"/>
  <c r="AI1021" i="29"/>
  <c r="Z1018" i="29"/>
  <c r="L99" i="69"/>
  <c r="O1019" i="29"/>
  <c r="AB1033" i="29" l="1"/>
  <c r="AB1020" i="29"/>
  <c r="K1019" i="29"/>
  <c r="N1019" i="29" s="1"/>
  <c r="O1020" i="29"/>
  <c r="O1033" i="29"/>
  <c r="AI1035" i="29"/>
  <c r="B1035" i="29"/>
  <c r="AD1036" i="29"/>
  <c r="AF1034" i="29"/>
  <c r="AE1034" i="29"/>
  <c r="AA1034" i="29" s="1"/>
  <c r="J1033" i="29"/>
  <c r="Y1033" i="29" s="1"/>
  <c r="I1033" i="29"/>
  <c r="R1034" i="29"/>
  <c r="G1034" i="29"/>
  <c r="T1034" i="29"/>
  <c r="Q1034" i="29"/>
  <c r="E1034" i="29"/>
  <c r="U1034" i="29"/>
  <c r="S1034" i="29"/>
  <c r="AE1021" i="29"/>
  <c r="AA1021" i="29" s="1"/>
  <c r="AF1021" i="29"/>
  <c r="J1020" i="29"/>
  <c r="I1020" i="29"/>
  <c r="K1020" i="29" s="1"/>
  <c r="N1020" i="29" s="1"/>
  <c r="Z1019" i="29"/>
  <c r="L103" i="69"/>
  <c r="E1021" i="29"/>
  <c r="Q1021" i="29"/>
  <c r="T1021" i="29"/>
  <c r="S1021" i="29"/>
  <c r="U1021" i="29"/>
  <c r="R1021" i="29"/>
  <c r="G1021" i="29"/>
  <c r="AI1022" i="29"/>
  <c r="AD1023" i="29"/>
  <c r="B1022" i="29"/>
  <c r="K99" i="69"/>
  <c r="M99" i="69" s="1"/>
  <c r="L105" i="69"/>
  <c r="J103" i="69"/>
  <c r="I103" i="69"/>
  <c r="Y1020" i="29"/>
  <c r="H105" i="69" s="1"/>
  <c r="C105" i="69"/>
  <c r="D105" i="69"/>
  <c r="V1019" i="29" l="1"/>
  <c r="W1019" i="29" s="1"/>
  <c r="P1019" i="29"/>
  <c r="AB1034" i="29"/>
  <c r="AB1021" i="29"/>
  <c r="K1033" i="29"/>
  <c r="N1033" i="29" s="1"/>
  <c r="K103" i="69"/>
  <c r="M103" i="69" s="1"/>
  <c r="AI1036" i="29"/>
  <c r="B1036" i="29"/>
  <c r="AD1037" i="29"/>
  <c r="U1035" i="29"/>
  <c r="Q1035" i="29"/>
  <c r="E1035" i="29"/>
  <c r="T1035" i="29"/>
  <c r="G1035" i="29"/>
  <c r="R1035" i="29"/>
  <c r="S1035" i="29"/>
  <c r="Z1033" i="29"/>
  <c r="O1034" i="29"/>
  <c r="J1034" i="29"/>
  <c r="Y1034" i="29" s="1"/>
  <c r="I1034" i="29"/>
  <c r="K1034" i="29" s="1"/>
  <c r="AF1035" i="29"/>
  <c r="AE1035" i="29"/>
  <c r="AA1035" i="29" s="1"/>
  <c r="D107" i="69"/>
  <c r="O1021" i="29"/>
  <c r="C107" i="69"/>
  <c r="U1022" i="29"/>
  <c r="R1022" i="29"/>
  <c r="G1022" i="29"/>
  <c r="Q1022" i="29"/>
  <c r="T1022" i="29"/>
  <c r="E1022" i="29"/>
  <c r="S1022" i="29"/>
  <c r="V1020" i="29"/>
  <c r="W1020" i="29" s="1"/>
  <c r="P1020" i="29"/>
  <c r="Z1020" i="29"/>
  <c r="AD1024" i="29"/>
  <c r="AI1023" i="29"/>
  <c r="B1023" i="29"/>
  <c r="J105" i="69"/>
  <c r="I105" i="69"/>
  <c r="AF1022" i="29"/>
  <c r="AE1022" i="29"/>
  <c r="AA1022" i="29" s="1"/>
  <c r="I1021" i="29"/>
  <c r="J1021" i="29"/>
  <c r="Y1021" i="29" s="1"/>
  <c r="H107" i="69" s="1"/>
  <c r="P1033" i="29" l="1"/>
  <c r="V1033" i="29"/>
  <c r="W1033" i="29" s="1"/>
  <c r="AB1022" i="29"/>
  <c r="K1021" i="29"/>
  <c r="N1021" i="29" s="1"/>
  <c r="N1034" i="29"/>
  <c r="AB1035" i="29"/>
  <c r="K105" i="69"/>
  <c r="M105" i="69" s="1"/>
  <c r="V1034" i="29"/>
  <c r="W1034" i="29" s="1"/>
  <c r="P1034" i="29"/>
  <c r="O1035" i="29"/>
  <c r="AI1037" i="29"/>
  <c r="B1037" i="29"/>
  <c r="AD1038" i="29"/>
  <c r="S1036" i="29"/>
  <c r="U1036" i="29"/>
  <c r="G1036" i="29"/>
  <c r="R1036" i="29"/>
  <c r="T1036" i="29"/>
  <c r="E1036" i="29"/>
  <c r="Q1036" i="29"/>
  <c r="J1035" i="29"/>
  <c r="Y1035" i="29" s="1"/>
  <c r="I1035" i="29"/>
  <c r="K1035" i="29" s="1"/>
  <c r="Z1034" i="29"/>
  <c r="AE1036" i="29"/>
  <c r="AA1036" i="29" s="1"/>
  <c r="AF1036" i="29"/>
  <c r="R1023" i="29"/>
  <c r="S1023" i="29"/>
  <c r="E1023" i="29"/>
  <c r="U1023" i="29"/>
  <c r="T1023" i="29"/>
  <c r="G1023" i="29"/>
  <c r="Q1023" i="29"/>
  <c r="D100" i="69"/>
  <c r="J107" i="69"/>
  <c r="I107" i="69"/>
  <c r="I1022" i="29"/>
  <c r="J1022" i="29"/>
  <c r="Y1022" i="29" s="1"/>
  <c r="H100" i="69" s="1"/>
  <c r="AE1023" i="29"/>
  <c r="AA1023" i="29" s="1"/>
  <c r="AF1023" i="29"/>
  <c r="AD1025" i="29"/>
  <c r="AI1024" i="29"/>
  <c r="B1024" i="29"/>
  <c r="C100" i="69"/>
  <c r="Z1021" i="29"/>
  <c r="L107" i="69"/>
  <c r="O1022" i="29"/>
  <c r="V1021" i="29" l="1"/>
  <c r="W1021" i="29" s="1"/>
  <c r="P1021" i="29"/>
  <c r="N1035" i="29"/>
  <c r="K1022" i="29"/>
  <c r="N1022" i="29" s="1"/>
  <c r="AB1036" i="29"/>
  <c r="AB1023" i="29"/>
  <c r="P1035" i="29"/>
  <c r="V1035" i="29"/>
  <c r="W1035" i="29" s="1"/>
  <c r="I1036" i="29"/>
  <c r="J1036" i="29"/>
  <c r="Y1036" i="29" s="1"/>
  <c r="O1036" i="29"/>
  <c r="B1038" i="29"/>
  <c r="AI1038" i="29"/>
  <c r="AD1039" i="29"/>
  <c r="Z1035" i="29"/>
  <c r="U1037" i="29"/>
  <c r="Q1037" i="29"/>
  <c r="E1037" i="29"/>
  <c r="S1037" i="29"/>
  <c r="T1037" i="29"/>
  <c r="G1037" i="29"/>
  <c r="R1037" i="29"/>
  <c r="AE1037" i="29"/>
  <c r="AA1037" i="29" s="1"/>
  <c r="AF1037" i="29"/>
  <c r="Z1022" i="29"/>
  <c r="L100" i="69"/>
  <c r="B1025" i="29"/>
  <c r="AD1026" i="29"/>
  <c r="AI1025" i="29"/>
  <c r="I100" i="69"/>
  <c r="J100" i="69"/>
  <c r="K107" i="69"/>
  <c r="M107" i="69" s="1"/>
  <c r="O1023" i="29"/>
  <c r="G1024" i="29"/>
  <c r="Q1024" i="29"/>
  <c r="R1024" i="29"/>
  <c r="E1024" i="29"/>
  <c r="U1024" i="29"/>
  <c r="T1024" i="29"/>
  <c r="S1024" i="29"/>
  <c r="I1023" i="29"/>
  <c r="J1023" i="29"/>
  <c r="Y1023" i="29" s="1"/>
  <c r="H118" i="69" s="1"/>
  <c r="C118" i="69"/>
  <c r="AE1024" i="29"/>
  <c r="AA1024" i="29" s="1"/>
  <c r="AF1024" i="29"/>
  <c r="D118" i="69"/>
  <c r="P1022" i="29" l="1"/>
  <c r="V1022" i="29"/>
  <c r="W1022" i="29" s="1"/>
  <c r="K1036" i="29"/>
  <c r="N1036" i="29" s="1"/>
  <c r="K1023" i="29"/>
  <c r="N1023" i="29" s="1"/>
  <c r="AB1024" i="29"/>
  <c r="AB1037" i="29"/>
  <c r="K100" i="69"/>
  <c r="M100" i="69" s="1"/>
  <c r="I1037" i="29"/>
  <c r="K1037" i="29" s="1"/>
  <c r="J1037" i="29"/>
  <c r="Y1037" i="29" s="1"/>
  <c r="Z1036" i="29"/>
  <c r="AI1039" i="29"/>
  <c r="B1039" i="29"/>
  <c r="AD1040" i="29"/>
  <c r="AE1038" i="29"/>
  <c r="AA1038" i="29" s="1"/>
  <c r="AF1038" i="29"/>
  <c r="O1037" i="29"/>
  <c r="S1038" i="29"/>
  <c r="Q1038" i="29"/>
  <c r="T1038" i="29"/>
  <c r="E1038" i="29"/>
  <c r="U1038" i="29"/>
  <c r="G1038" i="29"/>
  <c r="R1038" i="29"/>
  <c r="I1024" i="29"/>
  <c r="J1024" i="29"/>
  <c r="Y1024" i="29" s="1"/>
  <c r="H92" i="69" s="1"/>
  <c r="D92" i="69"/>
  <c r="Z1023" i="29"/>
  <c r="L118" i="69"/>
  <c r="AF1025" i="29"/>
  <c r="AE1025" i="29"/>
  <c r="AA1025" i="29" s="1"/>
  <c r="O1024" i="29"/>
  <c r="J118" i="69"/>
  <c r="I118" i="69"/>
  <c r="C92" i="69"/>
  <c r="B1026" i="29"/>
  <c r="AI1026" i="29"/>
  <c r="AD1027" i="29"/>
  <c r="Q1025" i="29"/>
  <c r="T1025" i="29"/>
  <c r="U1025" i="29"/>
  <c r="E1025" i="29"/>
  <c r="R1025" i="29"/>
  <c r="S1025" i="29"/>
  <c r="G1025" i="29"/>
  <c r="P1023" i="29" l="1"/>
  <c r="V1023" i="29"/>
  <c r="W1023" i="29" s="1"/>
  <c r="P1036" i="29"/>
  <c r="V1036" i="29"/>
  <c r="W1036" i="29" s="1"/>
  <c r="AB1038" i="29"/>
  <c r="N1037" i="29"/>
  <c r="K1024" i="29"/>
  <c r="N1024" i="29" s="1"/>
  <c r="AB1025" i="29"/>
  <c r="V1037" i="29"/>
  <c r="W1037" i="29" s="1"/>
  <c r="P1037" i="29"/>
  <c r="O1038" i="29"/>
  <c r="I1038" i="29"/>
  <c r="J1038" i="29"/>
  <c r="Y1038" i="29" s="1"/>
  <c r="AI1040" i="29"/>
  <c r="B1040" i="29"/>
  <c r="AD1041" i="29"/>
  <c r="Z1037" i="29"/>
  <c r="U1039" i="29"/>
  <c r="Q1039" i="29"/>
  <c r="E1039" i="29"/>
  <c r="R1039" i="29"/>
  <c r="T1039" i="29"/>
  <c r="G1039" i="29"/>
  <c r="S1039" i="29"/>
  <c r="AF1039" i="29"/>
  <c r="AE1039" i="29"/>
  <c r="AA1039" i="29" s="1"/>
  <c r="C17" i="69"/>
  <c r="S1026" i="29"/>
  <c r="Q1026" i="29"/>
  <c r="U1026" i="29"/>
  <c r="T1026" i="29"/>
  <c r="G1026" i="29"/>
  <c r="E1026" i="29"/>
  <c r="R1026" i="29"/>
  <c r="I1025" i="29"/>
  <c r="J1025" i="29"/>
  <c r="Y1025" i="29" s="1"/>
  <c r="H17" i="69" s="1"/>
  <c r="D17" i="69"/>
  <c r="O1025" i="29"/>
  <c r="K118" i="69"/>
  <c r="M118" i="69" s="1"/>
  <c r="AI1027" i="29"/>
  <c r="B1027" i="29"/>
  <c r="AD1028" i="29"/>
  <c r="J92" i="69"/>
  <c r="I92" i="69"/>
  <c r="AF1026" i="29"/>
  <c r="AE1026" i="29"/>
  <c r="AA1026" i="29" s="1"/>
  <c r="Z1024" i="29"/>
  <c r="L92" i="69"/>
  <c r="P1024" i="29" l="1"/>
  <c r="V1024" i="29"/>
  <c r="W1024" i="29" s="1"/>
  <c r="K1038" i="29"/>
  <c r="N1038" i="29" s="1"/>
  <c r="K1025" i="29"/>
  <c r="N1025" i="29" s="1"/>
  <c r="AB1026" i="29"/>
  <c r="AB1039" i="29"/>
  <c r="Z1038" i="29"/>
  <c r="AI1041" i="29"/>
  <c r="B1041" i="29"/>
  <c r="AD1042" i="29"/>
  <c r="S1040" i="29"/>
  <c r="R1040" i="29"/>
  <c r="U1040" i="29"/>
  <c r="G1040" i="29"/>
  <c r="Q1040" i="29"/>
  <c r="T1040" i="29"/>
  <c r="E1040" i="29"/>
  <c r="J1039" i="29"/>
  <c r="Y1039" i="29" s="1"/>
  <c r="I1039" i="29"/>
  <c r="K1039" i="29" s="1"/>
  <c r="O1039" i="29"/>
  <c r="AE1040" i="29"/>
  <c r="AA1040" i="29" s="1"/>
  <c r="AF1040" i="29"/>
  <c r="Z1025" i="29"/>
  <c r="L17" i="69"/>
  <c r="C19" i="69"/>
  <c r="AI1028" i="29"/>
  <c r="AD1029" i="29"/>
  <c r="B1028" i="29"/>
  <c r="D19" i="69"/>
  <c r="U1027" i="29"/>
  <c r="R1027" i="29"/>
  <c r="E1027" i="29"/>
  <c r="T1027" i="29"/>
  <c r="Q1027" i="29"/>
  <c r="G1027" i="29"/>
  <c r="S1027" i="29"/>
  <c r="J1026" i="29"/>
  <c r="Y1026" i="29" s="1"/>
  <c r="H19" i="69" s="1"/>
  <c r="I1026" i="29"/>
  <c r="K1026" i="29" s="1"/>
  <c r="K92" i="69"/>
  <c r="M92" i="69" s="1"/>
  <c r="AF1027" i="29"/>
  <c r="AE1027" i="29"/>
  <c r="AA1027" i="29" s="1"/>
  <c r="J17" i="69"/>
  <c r="I17" i="69"/>
  <c r="O1026" i="29"/>
  <c r="P1025" i="29" l="1"/>
  <c r="V1025" i="29"/>
  <c r="W1025" i="29" s="1"/>
  <c r="V1038" i="29"/>
  <c r="W1038" i="29" s="1"/>
  <c r="P1038" i="29"/>
  <c r="N1026" i="29"/>
  <c r="N1039" i="29"/>
  <c r="V1039" i="29" s="1"/>
  <c r="W1039" i="29" s="1"/>
  <c r="AB1027" i="29"/>
  <c r="AB1040" i="29"/>
  <c r="K17" i="69"/>
  <c r="I1040" i="29"/>
  <c r="J1040" i="29"/>
  <c r="Y1040" i="29" s="1"/>
  <c r="B1042" i="29"/>
  <c r="AI1042" i="29"/>
  <c r="AD1043" i="29"/>
  <c r="Z1039" i="29"/>
  <c r="O1040" i="29"/>
  <c r="U1041" i="29"/>
  <c r="Q1041" i="29"/>
  <c r="E1041" i="29"/>
  <c r="S1041" i="29"/>
  <c r="T1041" i="29"/>
  <c r="G1041" i="29"/>
  <c r="R1041" i="29"/>
  <c r="AE1041" i="29"/>
  <c r="AA1041" i="29" s="1"/>
  <c r="AF1041" i="29"/>
  <c r="P1026" i="29"/>
  <c r="V1026" i="29"/>
  <c r="W1026" i="29" s="1"/>
  <c r="Z1026" i="29"/>
  <c r="L19" i="69"/>
  <c r="C21" i="69"/>
  <c r="T1028" i="29"/>
  <c r="E1028" i="29"/>
  <c r="U1028" i="29"/>
  <c r="S1028" i="29"/>
  <c r="Q1028" i="29"/>
  <c r="G1028" i="29"/>
  <c r="R1028" i="29"/>
  <c r="M17" i="69"/>
  <c r="D21" i="69"/>
  <c r="B1029" i="29"/>
  <c r="AI1029" i="29"/>
  <c r="AD1030" i="29"/>
  <c r="I19" i="69"/>
  <c r="J19" i="69"/>
  <c r="O1027" i="29"/>
  <c r="AF1028" i="29"/>
  <c r="AE1028" i="29"/>
  <c r="AA1028" i="29" s="1"/>
  <c r="J1027" i="29"/>
  <c r="Y1027" i="29" s="1"/>
  <c r="H21" i="69" s="1"/>
  <c r="I1027" i="29"/>
  <c r="P1039" i="29" l="1"/>
  <c r="K1040" i="29"/>
  <c r="N1040" i="29" s="1"/>
  <c r="K1027" i="29"/>
  <c r="N1027" i="29" s="1"/>
  <c r="AB1028" i="29"/>
  <c r="AB1041" i="29"/>
  <c r="AI1043" i="29"/>
  <c r="B1043" i="29"/>
  <c r="AD1044" i="29"/>
  <c r="AE1042" i="29"/>
  <c r="AA1042" i="29" s="1"/>
  <c r="AF1042" i="29"/>
  <c r="O1041" i="29"/>
  <c r="S1042" i="29"/>
  <c r="T1042" i="29"/>
  <c r="E1042" i="29"/>
  <c r="Q1042" i="29"/>
  <c r="R1042" i="29"/>
  <c r="U1042" i="29"/>
  <c r="G1042" i="29"/>
  <c r="I1041" i="29"/>
  <c r="J1041" i="29"/>
  <c r="Y1041" i="29" s="1"/>
  <c r="Z1040" i="29"/>
  <c r="AE1029" i="29"/>
  <c r="AA1029" i="29" s="1"/>
  <c r="AF1029" i="29"/>
  <c r="O1028" i="29"/>
  <c r="I21" i="69"/>
  <c r="J21" i="69"/>
  <c r="Z1027" i="29"/>
  <c r="L21" i="69"/>
  <c r="AI1030" i="29"/>
  <c r="B1030" i="29"/>
  <c r="AD1031" i="29"/>
  <c r="I1028" i="29"/>
  <c r="K1028" i="29" s="1"/>
  <c r="N1028" i="29" s="1"/>
  <c r="J1028" i="29"/>
  <c r="E1029" i="29"/>
  <c r="S1029" i="29"/>
  <c r="T1029" i="29"/>
  <c r="Q1029" i="29"/>
  <c r="U1029" i="29"/>
  <c r="G1029" i="29"/>
  <c r="R1029" i="29"/>
  <c r="K19" i="69"/>
  <c r="M19" i="69" s="1"/>
  <c r="D23" i="69"/>
  <c r="Y1028" i="29"/>
  <c r="H23" i="69" s="1"/>
  <c r="C23" i="69"/>
  <c r="P1027" i="29" l="1"/>
  <c r="V1027" i="29"/>
  <c r="W1027" i="29" s="1"/>
  <c r="P1040" i="29"/>
  <c r="V1040" i="29"/>
  <c r="W1040" i="29" s="1"/>
  <c r="AB1029" i="29"/>
  <c r="AB1042" i="29"/>
  <c r="K1041" i="29"/>
  <c r="N1041" i="29" s="1"/>
  <c r="K21" i="69"/>
  <c r="I1042" i="29"/>
  <c r="J1042" i="29"/>
  <c r="Y1042" i="29" s="1"/>
  <c r="Z1041" i="29"/>
  <c r="AI1044" i="29"/>
  <c r="B1044" i="29"/>
  <c r="M21" i="69"/>
  <c r="U1043" i="29"/>
  <c r="Q1043" i="29"/>
  <c r="E1043" i="29"/>
  <c r="T1043" i="29"/>
  <c r="G1043" i="29"/>
  <c r="R1043" i="29"/>
  <c r="S1043" i="29"/>
  <c r="O1042" i="29"/>
  <c r="AF1043" i="29"/>
  <c r="AE1043" i="29"/>
  <c r="AA1043" i="29" s="1"/>
  <c r="D125" i="69"/>
  <c r="AF1030" i="29"/>
  <c r="AE1030" i="29"/>
  <c r="AA1030" i="29" s="1"/>
  <c r="J1029" i="29"/>
  <c r="Y1029" i="29" s="1"/>
  <c r="H125" i="69" s="1"/>
  <c r="I1029" i="29"/>
  <c r="K1029" i="29" s="1"/>
  <c r="O1029" i="29"/>
  <c r="C125" i="69"/>
  <c r="J23" i="69"/>
  <c r="I23" i="69"/>
  <c r="V1028" i="29"/>
  <c r="W1028" i="29" s="1"/>
  <c r="P1028" i="29"/>
  <c r="AD1032" i="29"/>
  <c r="B1031" i="29"/>
  <c r="AI1031" i="29"/>
  <c r="R1030" i="29"/>
  <c r="S1030" i="29"/>
  <c r="T1030" i="29"/>
  <c r="U1030" i="29"/>
  <c r="Q1030" i="29"/>
  <c r="E1030" i="29"/>
  <c r="G1030" i="29"/>
  <c r="Z1028" i="29"/>
  <c r="L23" i="69"/>
  <c r="P1041" i="29" l="1"/>
  <c r="V1041" i="29"/>
  <c r="W1041" i="29" s="1"/>
  <c r="AB1030" i="29"/>
  <c r="N1029" i="29"/>
  <c r="K1042" i="29"/>
  <c r="N1042" i="29" s="1"/>
  <c r="AB1043" i="29"/>
  <c r="Z1042" i="29"/>
  <c r="O1043" i="29"/>
  <c r="S1044" i="29"/>
  <c r="U1044" i="29"/>
  <c r="G1044" i="29"/>
  <c r="R1044" i="29"/>
  <c r="T1044" i="29"/>
  <c r="E1044" i="29"/>
  <c r="Q1044" i="29"/>
  <c r="AE1044" i="29"/>
  <c r="AA1044" i="29" s="1"/>
  <c r="AF1044" i="29"/>
  <c r="J1043" i="29"/>
  <c r="Y1043" i="29" s="1"/>
  <c r="I1043" i="29"/>
  <c r="C37" i="69"/>
  <c r="AF1031" i="29"/>
  <c r="AE1031" i="29"/>
  <c r="AA1031" i="29" s="1"/>
  <c r="I125" i="69"/>
  <c r="J125" i="69"/>
  <c r="Z1029" i="29"/>
  <c r="L125" i="69"/>
  <c r="T1031" i="29"/>
  <c r="U1031" i="29"/>
  <c r="Q1031" i="29"/>
  <c r="E1031" i="29"/>
  <c r="R1031" i="29"/>
  <c r="S1031" i="29"/>
  <c r="G1031" i="29"/>
  <c r="V1029" i="29"/>
  <c r="W1029" i="29" s="1"/>
  <c r="P1029" i="29"/>
  <c r="O1030" i="29"/>
  <c r="AD1045" i="29"/>
  <c r="AI1032" i="29"/>
  <c r="B1032" i="29"/>
  <c r="D37" i="69"/>
  <c r="K23" i="69"/>
  <c r="M23" i="69" s="1"/>
  <c r="J1030" i="29"/>
  <c r="Y1030" i="29" s="1"/>
  <c r="H37" i="69" s="1"/>
  <c r="I1030" i="29"/>
  <c r="V1042" i="29" l="1"/>
  <c r="W1042" i="29" s="1"/>
  <c r="P1042" i="29"/>
  <c r="K1030" i="29"/>
  <c r="N1030" i="29" s="1"/>
  <c r="AB1031" i="29"/>
  <c r="AB1044" i="29"/>
  <c r="K1043" i="29"/>
  <c r="N1043" i="29" s="1"/>
  <c r="Z1043" i="29"/>
  <c r="O1044" i="29"/>
  <c r="I1044" i="29"/>
  <c r="J1044" i="29"/>
  <c r="Y1044" i="29" s="1"/>
  <c r="AE1032" i="29"/>
  <c r="AA1032" i="29" s="1"/>
  <c r="AF1032" i="29"/>
  <c r="AI1045" i="29"/>
  <c r="B1045" i="29"/>
  <c r="AD1046" i="29"/>
  <c r="Z1030" i="29"/>
  <c r="L37" i="69"/>
  <c r="U1032" i="29"/>
  <c r="Q1032" i="29"/>
  <c r="G1032" i="29"/>
  <c r="T1032" i="29"/>
  <c r="R1032" i="29"/>
  <c r="E1032" i="29"/>
  <c r="S1032" i="29"/>
  <c r="C38" i="69"/>
  <c r="D38" i="69"/>
  <c r="K125" i="69"/>
  <c r="M125" i="69" s="1"/>
  <c r="J37" i="69"/>
  <c r="I37" i="69"/>
  <c r="O1031" i="29"/>
  <c r="J1031" i="29"/>
  <c r="Y1031" i="29" s="1"/>
  <c r="H38" i="69" s="1"/>
  <c r="I1031" i="29"/>
  <c r="K1031" i="29" s="1"/>
  <c r="V1030" i="29" l="1"/>
  <c r="W1030" i="29" s="1"/>
  <c r="P1030" i="29"/>
  <c r="V1043" i="29"/>
  <c r="W1043" i="29" s="1"/>
  <c r="P1043" i="29"/>
  <c r="AB1032" i="29"/>
  <c r="N1031" i="29"/>
  <c r="P1031" i="29" s="1"/>
  <c r="K1044" i="29"/>
  <c r="N1044" i="29" s="1"/>
  <c r="K37" i="69"/>
  <c r="M37" i="69" s="1"/>
  <c r="Z1044" i="29"/>
  <c r="V1031" i="29"/>
  <c r="W1031" i="29" s="1"/>
  <c r="AI1046" i="29"/>
  <c r="B1046" i="29"/>
  <c r="AD1047" i="29"/>
  <c r="D119" i="69"/>
  <c r="T1045" i="29"/>
  <c r="S1045" i="29"/>
  <c r="R1045" i="29"/>
  <c r="E1045" i="29"/>
  <c r="Q1045" i="29"/>
  <c r="U1045" i="29"/>
  <c r="G1045" i="29"/>
  <c r="I1032" i="29"/>
  <c r="J1032" i="29"/>
  <c r="Y1032" i="29" s="1"/>
  <c r="H119" i="69" s="1"/>
  <c r="Z1031" i="29"/>
  <c r="L38" i="69"/>
  <c r="J38" i="69"/>
  <c r="I38" i="69"/>
  <c r="C119" i="69"/>
  <c r="AE1045" i="29"/>
  <c r="AA1045" i="29" s="1"/>
  <c r="AF1045" i="29"/>
  <c r="O1032" i="29"/>
  <c r="V1044" i="29" l="1"/>
  <c r="W1044" i="29" s="1"/>
  <c r="P1044" i="29"/>
  <c r="K1032" i="29"/>
  <c r="N1032" i="29" s="1"/>
  <c r="K38" i="69"/>
  <c r="AB1045" i="29"/>
  <c r="O1045" i="29"/>
  <c r="M38" i="69"/>
  <c r="J1045" i="29"/>
  <c r="Y1045" i="29" s="1"/>
  <c r="H120" i="69" s="1"/>
  <c r="I1045" i="29"/>
  <c r="K1045" i="29" s="1"/>
  <c r="C120" i="69"/>
  <c r="S1046" i="29"/>
  <c r="E1046" i="29"/>
  <c r="U1046" i="29"/>
  <c r="T1046" i="29"/>
  <c r="G1046" i="29"/>
  <c r="D28" i="69" s="1"/>
  <c r="Q1046" i="29"/>
  <c r="R1046" i="29"/>
  <c r="D120" i="69"/>
  <c r="AE1046" i="29"/>
  <c r="AA1046" i="29" s="1"/>
  <c r="AF1046" i="29"/>
  <c r="L120" i="69"/>
  <c r="Z1032" i="29"/>
  <c r="L119" i="69"/>
  <c r="I119" i="69"/>
  <c r="J119" i="69"/>
  <c r="B1047" i="29"/>
  <c r="AI1047" i="29"/>
  <c r="AD1048" i="29"/>
  <c r="V1032" i="29" l="1"/>
  <c r="W1032" i="29" s="1"/>
  <c r="P1032" i="29"/>
  <c r="N1045" i="29"/>
  <c r="Z1045" i="29"/>
  <c r="AB1046" i="29"/>
  <c r="C28" i="69"/>
  <c r="AI1048" i="29"/>
  <c r="AD1049" i="29"/>
  <c r="B1048" i="29"/>
  <c r="C93" i="69"/>
  <c r="D93" i="69"/>
  <c r="AE1047" i="29"/>
  <c r="AA1047" i="29" s="1"/>
  <c r="AF1047" i="29"/>
  <c r="K119" i="69"/>
  <c r="M119" i="69" s="1"/>
  <c r="U1047" i="29"/>
  <c r="E1047" i="29"/>
  <c r="T1047" i="29"/>
  <c r="Q1047" i="29"/>
  <c r="G1047" i="29"/>
  <c r="D84" i="69" s="1"/>
  <c r="S1047" i="29"/>
  <c r="R1047" i="29"/>
  <c r="I1046" i="29"/>
  <c r="J1046" i="29"/>
  <c r="Y1046" i="29" s="1"/>
  <c r="J120" i="69"/>
  <c r="I120" i="69"/>
  <c r="P1045" i="29"/>
  <c r="V1045" i="29"/>
  <c r="W1045" i="29" s="1"/>
  <c r="O1046" i="29"/>
  <c r="L28" i="69" s="1"/>
  <c r="K1046" i="29" l="1"/>
  <c r="N1046" i="29" s="1"/>
  <c r="AB1047" i="29"/>
  <c r="K120" i="69"/>
  <c r="M120" i="69" s="1"/>
  <c r="H93" i="69"/>
  <c r="H28" i="69"/>
  <c r="C84" i="69"/>
  <c r="I28" i="69"/>
  <c r="J28" i="69"/>
  <c r="Z1046" i="29"/>
  <c r="L93" i="69"/>
  <c r="U1048" i="29"/>
  <c r="T1048" i="29"/>
  <c r="R1048" i="29"/>
  <c r="E1048" i="29"/>
  <c r="G1048" i="29"/>
  <c r="D86" i="69" s="1"/>
  <c r="S1048" i="29"/>
  <c r="Q1048" i="29"/>
  <c r="C18" i="69"/>
  <c r="AI1049" i="29"/>
  <c r="B1049" i="29"/>
  <c r="AD1050" i="29"/>
  <c r="D18" i="69"/>
  <c r="O1047" i="29"/>
  <c r="L84" i="69" s="1"/>
  <c r="I1047" i="29"/>
  <c r="K1047" i="29" s="1"/>
  <c r="J1047" i="29"/>
  <c r="Y1047" i="29" s="1"/>
  <c r="I93" i="69"/>
  <c r="J93" i="69"/>
  <c r="AF1048" i="29"/>
  <c r="AE1048" i="29"/>
  <c r="AA1048" i="29" s="1"/>
  <c r="P1046" i="29" l="1"/>
  <c r="V1046" i="29"/>
  <c r="W1046" i="29" s="1"/>
  <c r="N1047" i="29"/>
  <c r="AB1048" i="29"/>
  <c r="K28" i="69"/>
  <c r="M28" i="69" s="1"/>
  <c r="H18" i="69"/>
  <c r="H84" i="69"/>
  <c r="K93" i="69"/>
  <c r="M93" i="69" s="1"/>
  <c r="C86" i="69"/>
  <c r="J84" i="69"/>
  <c r="I84" i="69"/>
  <c r="Q1049" i="29"/>
  <c r="S1049" i="29"/>
  <c r="G1049" i="29"/>
  <c r="D48" i="69" s="1"/>
  <c r="E1049" i="29"/>
  <c r="R1049" i="29"/>
  <c r="T1049" i="29"/>
  <c r="U1049" i="29"/>
  <c r="AE1049" i="29"/>
  <c r="AA1049" i="29" s="1"/>
  <c r="AF1049" i="29"/>
  <c r="I18" i="69"/>
  <c r="J18" i="69"/>
  <c r="P1047" i="29"/>
  <c r="V1047" i="29"/>
  <c r="W1047" i="29" s="1"/>
  <c r="O1048" i="29"/>
  <c r="L86" i="69" s="1"/>
  <c r="D20" i="69"/>
  <c r="J1048" i="29"/>
  <c r="Y1048" i="29" s="1"/>
  <c r="H86" i="69" s="1"/>
  <c r="I1048" i="29"/>
  <c r="K1048" i="29" s="1"/>
  <c r="Z1047" i="29"/>
  <c r="L18" i="69"/>
  <c r="AI1050" i="29"/>
  <c r="B1050" i="29"/>
  <c r="AD1051" i="29"/>
  <c r="C20" i="69"/>
  <c r="N1048" i="29" l="1"/>
  <c r="AB1049" i="29"/>
  <c r="K84" i="69"/>
  <c r="M84" i="69" s="1"/>
  <c r="K18" i="69"/>
  <c r="M18" i="69" s="1"/>
  <c r="C48" i="69"/>
  <c r="I86" i="69"/>
  <c r="J86" i="69"/>
  <c r="AD1052" i="29"/>
  <c r="AI1051" i="29"/>
  <c r="B1051" i="29"/>
  <c r="E1050" i="29"/>
  <c r="R1050" i="29"/>
  <c r="Q1050" i="29"/>
  <c r="U1050" i="29"/>
  <c r="S1050" i="29"/>
  <c r="T1050" i="29"/>
  <c r="G1050" i="29"/>
  <c r="D88" i="69" s="1"/>
  <c r="AF1050" i="29"/>
  <c r="AE1050" i="29"/>
  <c r="AA1050" i="29" s="1"/>
  <c r="Z1048" i="29"/>
  <c r="L20" i="69"/>
  <c r="I1049" i="29"/>
  <c r="J1049" i="29"/>
  <c r="I20" i="69"/>
  <c r="J20" i="69"/>
  <c r="P1048" i="29"/>
  <c r="V1048" i="29"/>
  <c r="W1048" i="29" s="1"/>
  <c r="Y1049" i="29"/>
  <c r="H48" i="69" s="1"/>
  <c r="C22" i="69"/>
  <c r="O1049" i="29"/>
  <c r="L48" i="69" s="1"/>
  <c r="D22" i="69"/>
  <c r="K1049" i="29" l="1"/>
  <c r="N1049" i="29" s="1"/>
  <c r="AB1050" i="29"/>
  <c r="K86" i="69"/>
  <c r="M86" i="69" s="1"/>
  <c r="C88" i="69"/>
  <c r="I48" i="69"/>
  <c r="J48" i="69"/>
  <c r="Z1049" i="29"/>
  <c r="L22" i="69"/>
  <c r="I22" i="69"/>
  <c r="J22" i="69"/>
  <c r="K20" i="69"/>
  <c r="M20" i="69" s="1"/>
  <c r="O1050" i="29"/>
  <c r="L88" i="69" s="1"/>
  <c r="AF1051" i="29"/>
  <c r="AE1051" i="29"/>
  <c r="AA1051" i="29" s="1"/>
  <c r="D24" i="69"/>
  <c r="AD1053" i="29"/>
  <c r="AI1052" i="29"/>
  <c r="B1052" i="29"/>
  <c r="J1050" i="29"/>
  <c r="Y1050" i="29" s="1"/>
  <c r="H88" i="69" s="1"/>
  <c r="I1050" i="29"/>
  <c r="C24" i="69"/>
  <c r="S1051" i="29"/>
  <c r="T1051" i="29"/>
  <c r="G1051" i="29"/>
  <c r="D85" i="69" s="1"/>
  <c r="E1051" i="29"/>
  <c r="R1051" i="29"/>
  <c r="U1051" i="29"/>
  <c r="Q1051" i="29"/>
  <c r="P1049" i="29" l="1"/>
  <c r="V1049" i="29"/>
  <c r="W1049" i="29" s="1"/>
  <c r="AB1051" i="29"/>
  <c r="K1050" i="29"/>
  <c r="N1050" i="29" s="1"/>
  <c r="K48" i="69"/>
  <c r="M48" i="69" s="1"/>
  <c r="K22" i="69"/>
  <c r="M22" i="69" s="1"/>
  <c r="I88" i="69"/>
  <c r="J88" i="69"/>
  <c r="C85" i="69"/>
  <c r="C49" i="69"/>
  <c r="R1052" i="29"/>
  <c r="Q1052" i="29"/>
  <c r="G1052" i="29"/>
  <c r="D87" i="69" s="1"/>
  <c r="E1052" i="29"/>
  <c r="T1052" i="29"/>
  <c r="S1052" i="29"/>
  <c r="U1052" i="29"/>
  <c r="Z1050" i="29"/>
  <c r="L24" i="69"/>
  <c r="D49" i="69"/>
  <c r="J24" i="69"/>
  <c r="I24" i="69"/>
  <c r="AE1052" i="29"/>
  <c r="AA1052" i="29" s="1"/>
  <c r="AF1052" i="29"/>
  <c r="O1051" i="29"/>
  <c r="L85" i="69" s="1"/>
  <c r="B1053" i="29"/>
  <c r="AI1053" i="29"/>
  <c r="AD1054" i="29"/>
  <c r="I1051" i="29"/>
  <c r="K1051" i="29" s="1"/>
  <c r="J1051" i="29"/>
  <c r="Y1051" i="29" s="1"/>
  <c r="H85" i="69" s="1"/>
  <c r="P1050" i="29" l="1"/>
  <c r="V1050" i="29"/>
  <c r="W1050" i="29" s="1"/>
  <c r="N1051" i="29"/>
  <c r="AB1052" i="29"/>
  <c r="K88" i="69"/>
  <c r="M88" i="69" s="1"/>
  <c r="J85" i="69"/>
  <c r="I85" i="69"/>
  <c r="K24" i="69"/>
  <c r="M24" i="69" s="1"/>
  <c r="C87" i="69"/>
  <c r="J49" i="69"/>
  <c r="I49" i="69"/>
  <c r="P1051" i="29"/>
  <c r="V1051" i="29"/>
  <c r="W1051" i="29" s="1"/>
  <c r="B1054" i="29"/>
  <c r="AD1055" i="29"/>
  <c r="AI1054" i="29"/>
  <c r="Z1051" i="29"/>
  <c r="L49" i="69"/>
  <c r="J1052" i="29"/>
  <c r="I1052" i="29"/>
  <c r="K1052" i="29" s="1"/>
  <c r="N1052" i="29" s="1"/>
  <c r="E1053" i="29"/>
  <c r="U1053" i="29"/>
  <c r="S1053" i="29"/>
  <c r="G1053" i="29"/>
  <c r="D89" i="69" s="1"/>
  <c r="Q1053" i="29"/>
  <c r="T1053" i="29"/>
  <c r="R1053" i="29"/>
  <c r="AE1053" i="29"/>
  <c r="AA1053" i="29" s="1"/>
  <c r="AF1053" i="29"/>
  <c r="Y1052" i="29"/>
  <c r="H87" i="69" s="1"/>
  <c r="C51" i="69"/>
  <c r="O1052" i="29"/>
  <c r="L87" i="69" s="1"/>
  <c r="D51" i="69"/>
  <c r="AB1053" i="29" l="1"/>
  <c r="K85" i="69"/>
  <c r="M85" i="69" s="1"/>
  <c r="I87" i="69"/>
  <c r="J87" i="69"/>
  <c r="K49" i="69"/>
  <c r="C89" i="69"/>
  <c r="O1053" i="29"/>
  <c r="L89" i="69" s="1"/>
  <c r="AD1056" i="29"/>
  <c r="B1055" i="29"/>
  <c r="AI1055" i="29"/>
  <c r="C53" i="69"/>
  <c r="S1054" i="29"/>
  <c r="E1054" i="29"/>
  <c r="G1054" i="29"/>
  <c r="D50" i="69" s="1"/>
  <c r="Q1054" i="29"/>
  <c r="T1054" i="29"/>
  <c r="U1054" i="29"/>
  <c r="R1054" i="29"/>
  <c r="Z1052" i="29"/>
  <c r="L51" i="69"/>
  <c r="P1052" i="29"/>
  <c r="V1052" i="29"/>
  <c r="W1052" i="29" s="1"/>
  <c r="J1053" i="29"/>
  <c r="Y1053" i="29" s="1"/>
  <c r="H89" i="69" s="1"/>
  <c r="I1053" i="29"/>
  <c r="I51" i="69"/>
  <c r="J51" i="69"/>
  <c r="D53" i="69"/>
  <c r="M49" i="69"/>
  <c r="AE1054" i="29"/>
  <c r="AA1054" i="29" s="1"/>
  <c r="AF1054" i="29"/>
  <c r="K1053" i="29" l="1"/>
  <c r="N1053" i="29" s="1"/>
  <c r="AB1054" i="29"/>
  <c r="C50" i="69"/>
  <c r="I89" i="69"/>
  <c r="J89" i="69"/>
  <c r="K87" i="69"/>
  <c r="M87" i="69" s="1"/>
  <c r="D55" i="69"/>
  <c r="I53" i="69"/>
  <c r="J53" i="69"/>
  <c r="K51" i="69"/>
  <c r="M51" i="69" s="1"/>
  <c r="O1054" i="29"/>
  <c r="L50" i="69" s="1"/>
  <c r="C55" i="69"/>
  <c r="AE1055" i="29"/>
  <c r="AA1055" i="29" s="1"/>
  <c r="AF1055" i="29"/>
  <c r="Q1055" i="29"/>
  <c r="E1055" i="29"/>
  <c r="T1055" i="29"/>
  <c r="U1055" i="29"/>
  <c r="G1055" i="29"/>
  <c r="D52" i="69" s="1"/>
  <c r="S1055" i="29"/>
  <c r="R1055" i="29"/>
  <c r="J1054" i="29"/>
  <c r="Y1054" i="29" s="1"/>
  <c r="H50" i="69" s="1"/>
  <c r="I1054" i="29"/>
  <c r="B1056" i="29"/>
  <c r="AI1056" i="29"/>
  <c r="AD1057" i="29"/>
  <c r="Z1053" i="29"/>
  <c r="L53" i="69"/>
  <c r="V1053" i="29" l="1"/>
  <c r="W1053" i="29" s="1"/>
  <c r="P1053" i="29"/>
  <c r="AB1055" i="29"/>
  <c r="K1054" i="29"/>
  <c r="N1054" i="29" s="1"/>
  <c r="K89" i="69"/>
  <c r="M89" i="69" s="1"/>
  <c r="C52" i="69"/>
  <c r="I50" i="69"/>
  <c r="J50" i="69"/>
  <c r="C149" i="69"/>
  <c r="D149" i="69"/>
  <c r="I1055" i="29"/>
  <c r="K1055" i="29" s="1"/>
  <c r="J1055" i="29"/>
  <c r="Y1055" i="29" s="1"/>
  <c r="H52" i="69" s="1"/>
  <c r="AI1057" i="29"/>
  <c r="B1057" i="29"/>
  <c r="AF1056" i="29"/>
  <c r="AE1056" i="29"/>
  <c r="AA1056" i="29" s="1"/>
  <c r="E1056" i="29"/>
  <c r="U1056" i="29"/>
  <c r="S1056" i="29"/>
  <c r="R1056" i="29"/>
  <c r="G1056" i="29"/>
  <c r="D54" i="69" s="1"/>
  <c r="Q1056" i="29"/>
  <c r="T1056" i="29"/>
  <c r="O1055" i="29"/>
  <c r="L52" i="69" s="1"/>
  <c r="K53" i="69"/>
  <c r="M53" i="69" s="1"/>
  <c r="I55" i="69"/>
  <c r="J55" i="69"/>
  <c r="Z1054" i="29"/>
  <c r="L55" i="69"/>
  <c r="P1054" i="29" l="1"/>
  <c r="V1054" i="29"/>
  <c r="W1054" i="29" s="1"/>
  <c r="AB1056" i="29"/>
  <c r="N1055" i="29"/>
  <c r="V1055" i="29" s="1"/>
  <c r="W1055" i="29" s="1"/>
  <c r="C54" i="69"/>
  <c r="I52" i="69"/>
  <c r="J52" i="69"/>
  <c r="K50" i="69"/>
  <c r="M50" i="69" s="1"/>
  <c r="P1055" i="29"/>
  <c r="Z1055" i="29"/>
  <c r="L149" i="69"/>
  <c r="K55" i="69"/>
  <c r="M55" i="69" s="1"/>
  <c r="AE1057" i="29"/>
  <c r="AA1057" i="29" s="1"/>
  <c r="AF1057" i="29"/>
  <c r="I1056" i="29"/>
  <c r="K1056" i="29" s="1"/>
  <c r="J1056" i="29"/>
  <c r="Y1056" i="29" s="1"/>
  <c r="H54" i="69" s="1"/>
  <c r="I149" i="69"/>
  <c r="J149" i="69"/>
  <c r="O1056" i="29"/>
  <c r="L54" i="69" s="1"/>
  <c r="D26" i="69"/>
  <c r="C26" i="69"/>
  <c r="U1057" i="29"/>
  <c r="Q1057" i="29"/>
  <c r="S1057" i="29"/>
  <c r="E1057" i="29"/>
  <c r="G1057" i="29"/>
  <c r="R1057" i="29"/>
  <c r="R1071" i="29" s="1"/>
  <c r="T1057" i="29"/>
  <c r="T1071" i="29" s="1"/>
  <c r="Q95" i="17"/>
  <c r="D107" i="17" s="1"/>
  <c r="Q94" i="17"/>
  <c r="D106" i="17" s="1"/>
  <c r="AB1057" i="29" l="1"/>
  <c r="F68" i="62"/>
  <c r="F69" i="62"/>
  <c r="F46" i="62"/>
  <c r="F125" i="62"/>
  <c r="F105" i="62"/>
  <c r="F155" i="62"/>
  <c r="F47" i="62"/>
  <c r="F160" i="62"/>
  <c r="F161" i="62"/>
  <c r="F51" i="62"/>
  <c r="F52" i="62"/>
  <c r="F48" i="62"/>
  <c r="F138" i="62"/>
  <c r="F139" i="62"/>
  <c r="F140" i="62"/>
  <c r="F142" i="62"/>
  <c r="F107" i="62"/>
  <c r="F25" i="62"/>
  <c r="F49" i="62"/>
  <c r="F141" i="62"/>
  <c r="F154" i="62"/>
  <c r="F118" i="62"/>
  <c r="F120" i="62"/>
  <c r="F122" i="62"/>
  <c r="F28" i="62"/>
  <c r="F29" i="62"/>
  <c r="F30" i="62"/>
  <c r="F111" i="62"/>
  <c r="F113" i="62"/>
  <c r="F119" i="62"/>
  <c r="F121" i="62"/>
  <c r="F123" i="62"/>
  <c r="F115" i="62"/>
  <c r="F147" i="62"/>
  <c r="F103" i="62"/>
  <c r="F12" i="62"/>
  <c r="F14" i="62"/>
  <c r="F16" i="62"/>
  <c r="F18" i="62"/>
  <c r="F157" i="62"/>
  <c r="F43" i="62"/>
  <c r="F44" i="62"/>
  <c r="F149" i="62"/>
  <c r="F151" i="62"/>
  <c r="F104" i="62"/>
  <c r="F13" i="62"/>
  <c r="F15" i="62"/>
  <c r="F17" i="62"/>
  <c r="F19" i="62"/>
  <c r="F57" i="62"/>
  <c r="F60" i="62"/>
  <c r="F63" i="62"/>
  <c r="F66" i="62"/>
  <c r="F21" i="62"/>
  <c r="F22" i="62"/>
  <c r="F23" i="62"/>
  <c r="F82" i="62"/>
  <c r="F85" i="62"/>
  <c r="F56" i="62"/>
  <c r="F88" i="62"/>
  <c r="F84" i="62"/>
  <c r="F87" i="62"/>
  <c r="F90" i="62"/>
  <c r="F59" i="62"/>
  <c r="F62" i="62"/>
  <c r="F65" i="62"/>
  <c r="N1056" i="29"/>
  <c r="F67" i="55"/>
  <c r="F68" i="55"/>
  <c r="K52" i="69"/>
  <c r="M52" i="69" s="1"/>
  <c r="I54" i="69"/>
  <c r="J54" i="69"/>
  <c r="D108" i="17"/>
  <c r="M151" i="48"/>
  <c r="R296" i="17"/>
  <c r="Q1071" i="29"/>
  <c r="R297" i="17"/>
  <c r="D306" i="17" s="1"/>
  <c r="I1057" i="29"/>
  <c r="K1057" i="29" s="1"/>
  <c r="J1057" i="29"/>
  <c r="Y1057" i="29" s="1"/>
  <c r="C58" i="48"/>
  <c r="D84" i="48"/>
  <c r="X76" i="28"/>
  <c r="Y93" i="28"/>
  <c r="Y104" i="28"/>
  <c r="AC104" i="28" s="1"/>
  <c r="E19" i="48"/>
  <c r="E127" i="48"/>
  <c r="E25" i="48"/>
  <c r="Y84" i="28"/>
  <c r="AC84" i="28" s="1"/>
  <c r="D105" i="48"/>
  <c r="D36" i="48"/>
  <c r="E129" i="48"/>
  <c r="E58" i="48"/>
  <c r="Y107" i="28"/>
  <c r="AC107" i="28" s="1"/>
  <c r="C83" i="48"/>
  <c r="Y103" i="28"/>
  <c r="AC103" i="28" s="1"/>
  <c r="Y85" i="28"/>
  <c r="AC85" i="28" s="1"/>
  <c r="Y42" i="28"/>
  <c r="AC42" i="28" s="1"/>
  <c r="D34" i="48"/>
  <c r="D19" i="48"/>
  <c r="E82" i="48"/>
  <c r="E23" i="48"/>
  <c r="E104" i="48"/>
  <c r="C105" i="48"/>
  <c r="D56" i="48"/>
  <c r="W49" i="28"/>
  <c r="Y92" i="28"/>
  <c r="AC92" i="28" s="1"/>
  <c r="D138" i="48"/>
  <c r="C32" i="48"/>
  <c r="X42" i="28"/>
  <c r="W81" i="28"/>
  <c r="E120" i="48"/>
  <c r="Y66" i="28"/>
  <c r="AC66" i="28" s="1"/>
  <c r="C30" i="48"/>
  <c r="C39" i="48"/>
  <c r="X89" i="28"/>
  <c r="C89" i="48"/>
  <c r="C122" i="48"/>
  <c r="W56" i="28"/>
  <c r="C36" i="48"/>
  <c r="E102" i="48"/>
  <c r="Y52" i="28"/>
  <c r="AC52" i="28" s="1"/>
  <c r="Y108" i="28"/>
  <c r="AC108" i="28" s="1"/>
  <c r="C40" i="48"/>
  <c r="E52" i="48"/>
  <c r="E31" i="48"/>
  <c r="Y77" i="28"/>
  <c r="AC77" i="28" s="1"/>
  <c r="C35" i="48"/>
  <c r="D23" i="48"/>
  <c r="E16" i="48"/>
  <c r="C104" i="48"/>
  <c r="E122" i="48"/>
  <c r="D45" i="48"/>
  <c r="D22" i="48"/>
  <c r="E103" i="48"/>
  <c r="E18" i="48"/>
  <c r="D21" i="48"/>
  <c r="W101" i="28"/>
  <c r="Y72" i="28"/>
  <c r="AC72" i="28" s="1"/>
  <c r="C113" i="48"/>
  <c r="E108" i="48"/>
  <c r="C25" i="48"/>
  <c r="W83" i="28"/>
  <c r="C127" i="48"/>
  <c r="W105" i="28"/>
  <c r="C16" i="48"/>
  <c r="D53" i="48"/>
  <c r="D17" i="48"/>
  <c r="D82" i="48"/>
  <c r="C102" i="48"/>
  <c r="D46" i="48"/>
  <c r="D110" i="48"/>
  <c r="E24" i="48"/>
  <c r="Y89" i="28"/>
  <c r="AC89" i="28" s="1"/>
  <c r="Y109" i="28"/>
  <c r="AC109" i="28" s="1"/>
  <c r="C19" i="48"/>
  <c r="W68" i="28"/>
  <c r="C138" i="48"/>
  <c r="D104" i="48"/>
  <c r="W96" i="28"/>
  <c r="C56" i="48"/>
  <c r="E99" i="48"/>
  <c r="C117" i="48"/>
  <c r="X86" i="28"/>
  <c r="E96" i="48"/>
  <c r="E126" i="48"/>
  <c r="C59" i="48"/>
  <c r="C118" i="48"/>
  <c r="E89" i="48"/>
  <c r="W86" i="28"/>
  <c r="Y50" i="28"/>
  <c r="E121" i="48"/>
  <c r="C17" i="48"/>
  <c r="C101" i="48"/>
  <c r="Y56" i="28"/>
  <c r="AC56" i="28" s="1"/>
  <c r="Y61" i="28"/>
  <c r="AC61" i="28" s="1"/>
  <c r="Y67" i="28"/>
  <c r="AC67" i="28" s="1"/>
  <c r="E88" i="48"/>
  <c r="C46" i="48"/>
  <c r="E36" i="48"/>
  <c r="D121" i="48"/>
  <c r="E59" i="48"/>
  <c r="Y88" i="28"/>
  <c r="AC88" i="28" s="1"/>
  <c r="X41" i="28"/>
  <c r="Y53" i="28"/>
  <c r="AC53" i="28" s="1"/>
  <c r="Y49" i="28"/>
  <c r="AC49" i="28" s="1"/>
  <c r="Y45" i="28"/>
  <c r="AC45" i="28" s="1"/>
  <c r="Y71" i="28"/>
  <c r="AC71" i="28" s="1"/>
  <c r="D31" i="48"/>
  <c r="Y65" i="28"/>
  <c r="AC65" i="28" s="1"/>
  <c r="Y111" i="28"/>
  <c r="AC111" i="28" s="1"/>
  <c r="E35" i="48"/>
  <c r="C103" i="48"/>
  <c r="D130" i="48"/>
  <c r="D81" i="48"/>
  <c r="Y55" i="28"/>
  <c r="AC55" i="28" s="1"/>
  <c r="Y82" i="28"/>
  <c r="AC82" i="28" s="1"/>
  <c r="X95" i="28"/>
  <c r="AB95" i="28" s="1"/>
  <c r="E109" i="48"/>
  <c r="D57" i="48"/>
  <c r="C24" i="48"/>
  <c r="X52" i="28"/>
  <c r="E46" i="48"/>
  <c r="E20" i="48"/>
  <c r="C54" i="48"/>
  <c r="Y64" i="28"/>
  <c r="AC64" i="28" s="1"/>
  <c r="X47" i="28"/>
  <c r="E39" i="48"/>
  <c r="E119" i="48"/>
  <c r="C106" i="48"/>
  <c r="Y106" i="28"/>
  <c r="AC106" i="28" s="1"/>
  <c r="C81" i="48"/>
  <c r="C114" i="48"/>
  <c r="E101" i="48"/>
  <c r="X101" i="28"/>
  <c r="C47" i="48"/>
  <c r="Y48" i="28"/>
  <c r="Y101" i="28"/>
  <c r="AC101" i="28" s="1"/>
  <c r="C112" i="48"/>
  <c r="E81" i="48"/>
  <c r="D25" i="48"/>
  <c r="D28" i="48"/>
  <c r="C22" i="48"/>
  <c r="C53" i="48"/>
  <c r="E53" i="48"/>
  <c r="Y110" i="28"/>
  <c r="AC110" i="28" s="1"/>
  <c r="D80" i="48"/>
  <c r="E29" i="48"/>
  <c r="C121" i="48"/>
  <c r="W92" i="28"/>
  <c r="Y97" i="28"/>
  <c r="AC97" i="28" s="1"/>
  <c r="E115" i="48"/>
  <c r="X105" i="28"/>
  <c r="E47" i="48"/>
  <c r="Y59" i="28"/>
  <c r="Y43" i="28"/>
  <c r="Y95" i="28"/>
  <c r="AC95" i="28" s="1"/>
  <c r="C92" i="48"/>
  <c r="C51" i="48"/>
  <c r="X96" i="28"/>
  <c r="Y51" i="28"/>
  <c r="AC51" i="28" s="1"/>
  <c r="E113" i="48"/>
  <c r="D125" i="48"/>
  <c r="Y80" i="28"/>
  <c r="AC80" i="28" s="1"/>
  <c r="D55" i="48"/>
  <c r="Y99" i="28"/>
  <c r="AC99" i="28" s="1"/>
  <c r="E86" i="48"/>
  <c r="D52" i="48"/>
  <c r="D54" i="48"/>
  <c r="X83" i="28"/>
  <c r="E28" i="48"/>
  <c r="C23" i="48"/>
  <c r="E30" i="48"/>
  <c r="D122" i="48"/>
  <c r="Y100" i="28"/>
  <c r="F187" i="62" s="1"/>
  <c r="E118" i="48"/>
  <c r="D129" i="48"/>
  <c r="D50" i="48"/>
  <c r="D106" i="48"/>
  <c r="D47" i="48"/>
  <c r="Y94" i="28"/>
  <c r="AC94" i="28" s="1"/>
  <c r="E48" i="48"/>
  <c r="D27" i="48"/>
  <c r="C50" i="48"/>
  <c r="C37" i="48"/>
  <c r="E41" i="48"/>
  <c r="D83" i="48"/>
  <c r="C109" i="48"/>
  <c r="D126" i="48"/>
  <c r="C110" i="48"/>
  <c r="E124" i="48"/>
  <c r="E123" i="48"/>
  <c r="W47" i="28"/>
  <c r="X70" i="28"/>
  <c r="C115" i="48"/>
  <c r="Y46" i="28"/>
  <c r="D20" i="48"/>
  <c r="W42" i="28"/>
  <c r="C18" i="48"/>
  <c r="C31" i="48"/>
  <c r="Y70" i="28"/>
  <c r="AC70" i="28" s="1"/>
  <c r="E128" i="48"/>
  <c r="Y96" i="28"/>
  <c r="AC96" i="28" s="1"/>
  <c r="Y69" i="28"/>
  <c r="AC69" i="28" s="1"/>
  <c r="Y47" i="28"/>
  <c r="AC47" i="28" s="1"/>
  <c r="Y73" i="28"/>
  <c r="AC73" i="28" s="1"/>
  <c r="E111" i="48"/>
  <c r="C27" i="48"/>
  <c r="D118" i="48"/>
  <c r="C57" i="48"/>
  <c r="Y74" i="28"/>
  <c r="AC74" i="28" s="1"/>
  <c r="E138" i="48"/>
  <c r="W110" i="28"/>
  <c r="E91" i="48"/>
  <c r="D102" i="48"/>
  <c r="E105" i="48"/>
  <c r="C55" i="48"/>
  <c r="D32" i="48"/>
  <c r="D101" i="48"/>
  <c r="E56" i="48"/>
  <c r="Y83" i="28"/>
  <c r="AC83" i="28" s="1"/>
  <c r="Y44" i="28"/>
  <c r="C28" i="48"/>
  <c r="E27" i="48"/>
  <c r="E17" i="48"/>
  <c r="E139" i="48"/>
  <c r="Y58" i="28"/>
  <c r="AC58" i="28" s="1"/>
  <c r="Y57" i="28"/>
  <c r="AC57" i="28" s="1"/>
  <c r="C45" i="48"/>
  <c r="D128" i="48"/>
  <c r="D16" i="48"/>
  <c r="E21" i="48"/>
  <c r="D91" i="48"/>
  <c r="Y62" i="28"/>
  <c r="AC62" i="28" s="1"/>
  <c r="D114" i="48"/>
  <c r="W63" i="28"/>
  <c r="D18" i="48"/>
  <c r="D58" i="48"/>
  <c r="C98" i="48"/>
  <c r="C41" i="48"/>
  <c r="C91" i="48"/>
  <c r="Y90" i="28"/>
  <c r="AC90" i="28" s="1"/>
  <c r="Y78" i="28"/>
  <c r="AC78" i="28" s="1"/>
  <c r="C139" i="48"/>
  <c r="D24" i="48"/>
  <c r="Y87" i="28"/>
  <c r="AC87" i="28" s="1"/>
  <c r="Y60" i="28"/>
  <c r="AC60" i="28" s="1"/>
  <c r="D131" i="48"/>
  <c r="D108" i="48"/>
  <c r="C107" i="48"/>
  <c r="E100" i="48"/>
  <c r="C100" i="48"/>
  <c r="C96" i="48"/>
  <c r="E40" i="48"/>
  <c r="E106" i="48"/>
  <c r="C108" i="48"/>
  <c r="C131" i="48"/>
  <c r="C88" i="48"/>
  <c r="X98" i="28"/>
  <c r="C21" i="48"/>
  <c r="C85" i="48"/>
  <c r="D98" i="48"/>
  <c r="C129" i="48"/>
  <c r="C48" i="48"/>
  <c r="Y112" i="28"/>
  <c r="AC112" i="28" s="1"/>
  <c r="C126" i="48"/>
  <c r="C124" i="48"/>
  <c r="D120" i="48"/>
  <c r="W76" i="28"/>
  <c r="Y113" i="28"/>
  <c r="AC113" i="28" s="1"/>
  <c r="C123" i="48"/>
  <c r="X92" i="28"/>
  <c r="E34" i="48"/>
  <c r="C125" i="48"/>
  <c r="E92" i="48"/>
  <c r="E112" i="48"/>
  <c r="E80" i="48"/>
  <c r="C97" i="48"/>
  <c r="D88" i="48"/>
  <c r="C86" i="48"/>
  <c r="D107" i="48"/>
  <c r="D139" i="48"/>
  <c r="Y76" i="28"/>
  <c r="AC76" i="28" s="1"/>
  <c r="E54" i="48"/>
  <c r="D127" i="48"/>
  <c r="X60" i="28"/>
  <c r="W41" i="28"/>
  <c r="C119" i="48"/>
  <c r="X110" i="28"/>
  <c r="D40" i="48"/>
  <c r="C82" i="48"/>
  <c r="E83" i="48"/>
  <c r="E49" i="48"/>
  <c r="E107" i="48"/>
  <c r="E55" i="48"/>
  <c r="E22" i="48"/>
  <c r="D99" i="48"/>
  <c r="E114" i="48"/>
  <c r="E97" i="48"/>
  <c r="W89" i="28"/>
  <c r="D97" i="48"/>
  <c r="D48" i="48"/>
  <c r="X68" i="28"/>
  <c r="E57" i="48"/>
  <c r="Y75" i="28"/>
  <c r="AC75" i="28" s="1"/>
  <c r="D39" i="48"/>
  <c r="C99" i="48"/>
  <c r="E32" i="48"/>
  <c r="C29" i="48"/>
  <c r="D89" i="48"/>
  <c r="W66" i="28"/>
  <c r="Y86" i="28"/>
  <c r="AC86" i="28" s="1"/>
  <c r="E50" i="48"/>
  <c r="E85" i="48"/>
  <c r="D113" i="48"/>
  <c r="E130" i="48"/>
  <c r="C34" i="48"/>
  <c r="C38" i="48"/>
  <c r="Y91" i="28"/>
  <c r="AC91" i="28" s="1"/>
  <c r="Y98" i="28"/>
  <c r="AC98" i="28" s="1"/>
  <c r="D85" i="48"/>
  <c r="C80" i="48"/>
  <c r="Y79" i="28"/>
  <c r="AC79" i="28" s="1"/>
  <c r="D92" i="48"/>
  <c r="D86" i="48"/>
  <c r="D124" i="48"/>
  <c r="D29" i="48"/>
  <c r="X66" i="28"/>
  <c r="C20" i="48"/>
  <c r="E125" i="48"/>
  <c r="W98" i="28"/>
  <c r="D49" i="48"/>
  <c r="Y81" i="28"/>
  <c r="AC81" i="28" s="1"/>
  <c r="X56" i="28"/>
  <c r="Y54" i="28"/>
  <c r="AC54" i="28" s="1"/>
  <c r="E98" i="48"/>
  <c r="C84" i="48"/>
  <c r="D115" i="48"/>
  <c r="Y63" i="28"/>
  <c r="AC63" i="28" s="1"/>
  <c r="E110" i="48"/>
  <c r="Y102" i="28"/>
  <c r="AC102" i="28" s="1"/>
  <c r="C128" i="48"/>
  <c r="E131" i="48"/>
  <c r="C49" i="48"/>
  <c r="W52" i="28"/>
  <c r="E84" i="48"/>
  <c r="D37" i="48"/>
  <c r="D109" i="48"/>
  <c r="Y41" i="28"/>
  <c r="D96" i="48"/>
  <c r="D100" i="48"/>
  <c r="D112" i="48"/>
  <c r="E51" i="48"/>
  <c r="E45" i="48"/>
  <c r="D51" i="48"/>
  <c r="D41" i="48"/>
  <c r="X63" i="28"/>
  <c r="D38" i="48"/>
  <c r="X49" i="28"/>
  <c r="D111" i="48"/>
  <c r="E38" i="48"/>
  <c r="C130" i="48"/>
  <c r="D117" i="48"/>
  <c r="W95" i="28"/>
  <c r="AA95" i="28" s="1"/>
  <c r="D59" i="48"/>
  <c r="C111" i="48"/>
  <c r="W60" i="28"/>
  <c r="Y105" i="28"/>
  <c r="AC105" i="28" s="1"/>
  <c r="C52" i="48"/>
  <c r="C120" i="48"/>
  <c r="E37" i="48"/>
  <c r="D35" i="48"/>
  <c r="D119" i="48"/>
  <c r="X81" i="28"/>
  <c r="E117" i="48"/>
  <c r="W70" i="28"/>
  <c r="D30" i="48"/>
  <c r="Y68" i="28"/>
  <c r="AC68" i="28" s="1"/>
  <c r="D123" i="48"/>
  <c r="D103" i="48"/>
  <c r="V255" i="17"/>
  <c r="G1071" i="29"/>
  <c r="C41" i="18" s="1"/>
  <c r="V256" i="17"/>
  <c r="H265" i="17" s="1"/>
  <c r="K265" i="17" s="1"/>
  <c r="F107" i="17" s="1"/>
  <c r="D27" i="69"/>
  <c r="D153" i="69" s="1"/>
  <c r="C42" i="70" s="1"/>
  <c r="C43" i="70" s="1"/>
  <c r="O1057" i="29"/>
  <c r="U1071" i="29"/>
  <c r="K149" i="69"/>
  <c r="M149" i="69" s="1"/>
  <c r="E1073" i="29"/>
  <c r="F1076" i="29" s="1"/>
  <c r="Q255" i="17"/>
  <c r="C67" i="55"/>
  <c r="E1071" i="29"/>
  <c r="B41" i="18" s="1"/>
  <c r="Q256" i="17"/>
  <c r="E1074" i="29"/>
  <c r="F1077" i="29" s="1"/>
  <c r="C68" i="55"/>
  <c r="C27" i="69"/>
  <c r="I26" i="69"/>
  <c r="J26" i="69"/>
  <c r="M153" i="48"/>
  <c r="S1071" i="29"/>
  <c r="Z1056" i="29"/>
  <c r="L26" i="69"/>
  <c r="P1056" i="29"/>
  <c r="V1056" i="29"/>
  <c r="W1056" i="29" s="1"/>
  <c r="D41" i="18" l="1"/>
  <c r="F184" i="62"/>
  <c r="F179" i="62"/>
  <c r="J179" i="62" s="1"/>
  <c r="J87" i="62"/>
  <c r="H87" i="62"/>
  <c r="H85" i="62"/>
  <c r="J85" i="62"/>
  <c r="F181" i="62"/>
  <c r="H84" i="62"/>
  <c r="J84" i="62"/>
  <c r="J82" i="62"/>
  <c r="H82" i="62"/>
  <c r="O1083" i="29"/>
  <c r="O1087" i="29" s="1"/>
  <c r="O1084" i="29"/>
  <c r="F186" i="62"/>
  <c r="J88" i="62"/>
  <c r="H88" i="62"/>
  <c r="F183" i="62"/>
  <c r="F178" i="62"/>
  <c r="F180" i="62"/>
  <c r="H90" i="62"/>
  <c r="J90" i="62"/>
  <c r="J21" i="62"/>
  <c r="C69" i="55"/>
  <c r="AD95" i="28"/>
  <c r="H46" i="62"/>
  <c r="L938" i="7"/>
  <c r="K26" i="69"/>
  <c r="K54" i="69"/>
  <c r="M54" i="69" s="1"/>
  <c r="H65" i="62"/>
  <c r="J65" i="62"/>
  <c r="M26" i="69"/>
  <c r="Q261" i="17"/>
  <c r="C106" i="17"/>
  <c r="C264" i="17"/>
  <c r="K52" i="48"/>
  <c r="L52" i="48"/>
  <c r="M52" i="48"/>
  <c r="X64" i="28"/>
  <c r="AB63" i="28"/>
  <c r="AC41" i="28"/>
  <c r="E61" i="48"/>
  <c r="AA52" i="28"/>
  <c r="W53" i="28"/>
  <c r="M84" i="48"/>
  <c r="K84" i="48"/>
  <c r="L84" i="48"/>
  <c r="K20" i="48"/>
  <c r="M20" i="48"/>
  <c r="L20" i="48"/>
  <c r="L34" i="48"/>
  <c r="K34" i="48"/>
  <c r="M34" i="48"/>
  <c r="K29" i="48"/>
  <c r="M29" i="48"/>
  <c r="L29" i="48"/>
  <c r="X111" i="28"/>
  <c r="AB110" i="28"/>
  <c r="E133" i="48"/>
  <c r="AA76" i="28"/>
  <c r="W77" i="28"/>
  <c r="L85" i="48"/>
  <c r="M85" i="48"/>
  <c r="K85" i="48"/>
  <c r="K131" i="48"/>
  <c r="M131" i="48"/>
  <c r="L131" i="48"/>
  <c r="L96" i="48"/>
  <c r="M96" i="48"/>
  <c r="K96" i="48"/>
  <c r="L91" i="48"/>
  <c r="M91" i="48"/>
  <c r="K91" i="48"/>
  <c r="K45" i="48"/>
  <c r="L45" i="48"/>
  <c r="M45" i="48"/>
  <c r="M55" i="48"/>
  <c r="K55" i="48"/>
  <c r="L55" i="48"/>
  <c r="W111" i="28"/>
  <c r="AA110" i="28"/>
  <c r="AA47" i="28"/>
  <c r="W48" i="28"/>
  <c r="L37" i="48"/>
  <c r="M37" i="48"/>
  <c r="K37" i="48"/>
  <c r="AB105" i="28"/>
  <c r="X106" i="28"/>
  <c r="L121" i="48"/>
  <c r="K121" i="48"/>
  <c r="M121" i="48"/>
  <c r="E73" i="48"/>
  <c r="AC48" i="28"/>
  <c r="L114" i="48"/>
  <c r="M114" i="48"/>
  <c r="K114" i="48"/>
  <c r="M54" i="48"/>
  <c r="K54" i="48"/>
  <c r="L54" i="48"/>
  <c r="L24" i="48"/>
  <c r="M24" i="48"/>
  <c r="K24" i="48"/>
  <c r="M103" i="48"/>
  <c r="K103" i="48"/>
  <c r="L103" i="48"/>
  <c r="M17" i="48"/>
  <c r="K17" i="48"/>
  <c r="L17" i="48"/>
  <c r="L56" i="48"/>
  <c r="K56" i="48"/>
  <c r="M56" i="48"/>
  <c r="AA68" i="28"/>
  <c r="W69" i="28"/>
  <c r="AA69" i="28" s="1"/>
  <c r="AA105" i="28"/>
  <c r="W106" i="28"/>
  <c r="L89" i="48"/>
  <c r="K89" i="48"/>
  <c r="M89" i="48"/>
  <c r="K32" i="48"/>
  <c r="L32" i="48"/>
  <c r="M32" i="48"/>
  <c r="L58" i="48"/>
  <c r="M58" i="48"/>
  <c r="K58" i="48"/>
  <c r="M156" i="48"/>
  <c r="Q262" i="17"/>
  <c r="F474" i="4"/>
  <c r="F476" i="4" s="1"/>
  <c r="B59" i="17"/>
  <c r="B61" i="17" s="1"/>
  <c r="W71" i="28"/>
  <c r="AA70" i="28"/>
  <c r="L49" i="48"/>
  <c r="K49" i="48"/>
  <c r="M49" i="48"/>
  <c r="X67" i="28"/>
  <c r="AB67" i="28" s="1"/>
  <c r="AB66" i="28"/>
  <c r="W90" i="28"/>
  <c r="AA89" i="28"/>
  <c r="L119" i="48"/>
  <c r="M119" i="48"/>
  <c r="K119" i="48"/>
  <c r="L86" i="48"/>
  <c r="M86" i="48"/>
  <c r="K86" i="48"/>
  <c r="X93" i="28"/>
  <c r="AB92" i="28"/>
  <c r="L48" i="48"/>
  <c r="M48" i="48"/>
  <c r="K48" i="48"/>
  <c r="M21" i="48"/>
  <c r="L21" i="48"/>
  <c r="K21" i="48"/>
  <c r="K100" i="48"/>
  <c r="M100" i="48"/>
  <c r="L100" i="48"/>
  <c r="M139" i="48"/>
  <c r="K139" i="48"/>
  <c r="L139" i="48"/>
  <c r="K41" i="48"/>
  <c r="L41" i="48"/>
  <c r="M41" i="48"/>
  <c r="AA63" i="28"/>
  <c r="W64" i="28"/>
  <c r="E140" i="48"/>
  <c r="L27" i="48"/>
  <c r="K27" i="48"/>
  <c r="M27" i="48"/>
  <c r="L31" i="48"/>
  <c r="K31" i="48"/>
  <c r="M31" i="48"/>
  <c r="E69" i="48"/>
  <c r="AC46" i="28"/>
  <c r="L109" i="48"/>
  <c r="M109" i="48"/>
  <c r="K109" i="48"/>
  <c r="L50" i="48"/>
  <c r="M50" i="48"/>
  <c r="K50" i="48"/>
  <c r="K23" i="48"/>
  <c r="L23" i="48"/>
  <c r="M23" i="48"/>
  <c r="AB96" i="28"/>
  <c r="X97" i="28"/>
  <c r="AB97" i="28" s="1"/>
  <c r="AC43" i="28"/>
  <c r="E64" i="48"/>
  <c r="M53" i="48"/>
  <c r="L53" i="48"/>
  <c r="K53" i="48"/>
  <c r="K47" i="48"/>
  <c r="M47" i="48"/>
  <c r="L47" i="48"/>
  <c r="L81" i="48"/>
  <c r="M81" i="48"/>
  <c r="K81" i="48"/>
  <c r="AB41" i="28"/>
  <c r="D61" i="48"/>
  <c r="L118" i="48"/>
  <c r="K118" i="48"/>
  <c r="M118" i="48"/>
  <c r="X87" i="28"/>
  <c r="AB86" i="28"/>
  <c r="AA96" i="28"/>
  <c r="W97" i="28"/>
  <c r="AA97" i="28" s="1"/>
  <c r="K19" i="48"/>
  <c r="M19" i="48"/>
  <c r="L19" i="48"/>
  <c r="L127" i="48"/>
  <c r="K127" i="48"/>
  <c r="M127" i="48"/>
  <c r="K113" i="48"/>
  <c r="L113" i="48"/>
  <c r="M113" i="48"/>
  <c r="K35" i="48"/>
  <c r="L35" i="48"/>
  <c r="M35" i="48"/>
  <c r="K40" i="48"/>
  <c r="M40" i="48"/>
  <c r="L40" i="48"/>
  <c r="L36" i="48"/>
  <c r="M36" i="48"/>
  <c r="K36" i="48"/>
  <c r="AB89" i="28"/>
  <c r="X90" i="28"/>
  <c r="D140" i="48"/>
  <c r="L105" i="48"/>
  <c r="K105" i="48"/>
  <c r="M105" i="48"/>
  <c r="E66" i="48"/>
  <c r="AC93" i="28"/>
  <c r="H20" i="69"/>
  <c r="H22" i="69"/>
  <c r="H24" i="69"/>
  <c r="H49" i="69"/>
  <c r="H51" i="69"/>
  <c r="H53" i="69"/>
  <c r="H55" i="69"/>
  <c r="H149" i="69"/>
  <c r="H26" i="69"/>
  <c r="H27" i="69"/>
  <c r="R303" i="17"/>
  <c r="Z1057" i="29"/>
  <c r="O1073" i="29"/>
  <c r="O1071" i="29"/>
  <c r="O1074" i="29"/>
  <c r="L27" i="69"/>
  <c r="J474" i="4"/>
  <c r="J476" i="4" s="1"/>
  <c r="C44" i="70" s="1"/>
  <c r="C45" i="70" s="1"/>
  <c r="V262" i="17"/>
  <c r="F59" i="17"/>
  <c r="F61" i="17" s="1"/>
  <c r="G62" i="17" s="1"/>
  <c r="W61" i="28"/>
  <c r="AA60" i="28"/>
  <c r="X50" i="28"/>
  <c r="AB49" i="28"/>
  <c r="W99" i="28"/>
  <c r="AA98" i="28"/>
  <c r="AA66" i="28"/>
  <c r="W67" i="28"/>
  <c r="AA67" i="28" s="1"/>
  <c r="L99" i="48"/>
  <c r="M99" i="48"/>
  <c r="K99" i="48"/>
  <c r="X69" i="28"/>
  <c r="AB69" i="28" s="1"/>
  <c r="AB68" i="28"/>
  <c r="M82" i="48"/>
  <c r="L82" i="48"/>
  <c r="K82" i="48"/>
  <c r="AA41" i="28"/>
  <c r="C61" i="48"/>
  <c r="L123" i="48"/>
  <c r="M123" i="48"/>
  <c r="K123" i="48"/>
  <c r="K124" i="48"/>
  <c r="M124" i="48"/>
  <c r="L124" i="48"/>
  <c r="L129" i="48"/>
  <c r="K129" i="48"/>
  <c r="M129" i="48"/>
  <c r="AB98" i="28"/>
  <c r="X99" i="28"/>
  <c r="K98" i="48"/>
  <c r="L98" i="48"/>
  <c r="M98" i="48"/>
  <c r="M28" i="48"/>
  <c r="L28" i="48"/>
  <c r="K28" i="48"/>
  <c r="K18" i="48"/>
  <c r="M18" i="48"/>
  <c r="L18" i="48"/>
  <c r="M115" i="48"/>
  <c r="K115" i="48"/>
  <c r="L115" i="48"/>
  <c r="AC100" i="28"/>
  <c r="M51" i="48"/>
  <c r="K51" i="48"/>
  <c r="L51" i="48"/>
  <c r="E70" i="48"/>
  <c r="AC59" i="28"/>
  <c r="D133" i="48"/>
  <c r="L22" i="48"/>
  <c r="M22" i="48"/>
  <c r="K22" i="48"/>
  <c r="AB101" i="28"/>
  <c r="X102" i="28"/>
  <c r="AB47" i="28"/>
  <c r="X48" i="28"/>
  <c r="M46" i="48"/>
  <c r="L46" i="48"/>
  <c r="K46" i="48"/>
  <c r="AC50" i="28"/>
  <c r="E65" i="48"/>
  <c r="K59" i="48"/>
  <c r="M59" i="48"/>
  <c r="L59" i="48"/>
  <c r="K117" i="48"/>
  <c r="L117" i="48"/>
  <c r="M117" i="48"/>
  <c r="W84" i="28"/>
  <c r="AA83" i="28"/>
  <c r="L104" i="48"/>
  <c r="K104" i="48"/>
  <c r="M104" i="48"/>
  <c r="W57" i="28"/>
  <c r="AA56" i="28"/>
  <c r="L39" i="48"/>
  <c r="K39" i="48"/>
  <c r="M39" i="48"/>
  <c r="W82" i="28"/>
  <c r="AA82" i="28" s="1"/>
  <c r="AA81" i="28"/>
  <c r="M83" i="48"/>
  <c r="K83" i="48"/>
  <c r="L83" i="48"/>
  <c r="AB76" i="28"/>
  <c r="X77" i="28"/>
  <c r="N1057" i="29"/>
  <c r="K1073" i="29"/>
  <c r="K1079" i="29" s="1"/>
  <c r="K1071" i="29"/>
  <c r="K1074" i="29"/>
  <c r="D110" i="17"/>
  <c r="I27" i="69"/>
  <c r="J27" i="69"/>
  <c r="C265" i="17"/>
  <c r="F265" i="17" s="1"/>
  <c r="G265" i="17" s="1"/>
  <c r="C107" i="17"/>
  <c r="E107" i="17" s="1"/>
  <c r="AM474" i="4"/>
  <c r="AM475" i="4" s="1"/>
  <c r="V261" i="17"/>
  <c r="Z261" i="17" s="1"/>
  <c r="Z263" i="17" s="1"/>
  <c r="H264" i="17"/>
  <c r="X82" i="28"/>
  <c r="AB82" i="28" s="1"/>
  <c r="AB81" i="28"/>
  <c r="M120" i="48"/>
  <c r="L120" i="48"/>
  <c r="K120" i="48"/>
  <c r="M111" i="48"/>
  <c r="L111" i="48"/>
  <c r="K111" i="48"/>
  <c r="M130" i="48"/>
  <c r="L130" i="48"/>
  <c r="K130" i="48"/>
  <c r="K128" i="48"/>
  <c r="M128" i="48"/>
  <c r="L128" i="48"/>
  <c r="X57" i="28"/>
  <c r="AB56" i="28"/>
  <c r="M80" i="48"/>
  <c r="K80" i="48"/>
  <c r="C133" i="48"/>
  <c r="L80" i="48"/>
  <c r="M38" i="48"/>
  <c r="L38" i="48"/>
  <c r="K38" i="48"/>
  <c r="AB60" i="28"/>
  <c r="X61" i="28"/>
  <c r="L97" i="48"/>
  <c r="K97" i="48"/>
  <c r="M97" i="48"/>
  <c r="L125" i="48"/>
  <c r="M125" i="48"/>
  <c r="K125" i="48"/>
  <c r="K126" i="48"/>
  <c r="L126" i="48"/>
  <c r="M126" i="48"/>
  <c r="M88" i="48"/>
  <c r="L88" i="48"/>
  <c r="K88" i="48"/>
  <c r="K107" i="48"/>
  <c r="M107" i="48"/>
  <c r="L107" i="48"/>
  <c r="AC44" i="28"/>
  <c r="E67" i="48"/>
  <c r="K57" i="48"/>
  <c r="M57" i="48"/>
  <c r="L57" i="48"/>
  <c r="W43" i="28"/>
  <c r="AA42" i="28"/>
  <c r="X71" i="28"/>
  <c r="AB70" i="28"/>
  <c r="X84" i="28"/>
  <c r="AB83" i="28"/>
  <c r="M92" i="48"/>
  <c r="L92" i="48"/>
  <c r="K92" i="48"/>
  <c r="W93" i="28"/>
  <c r="AA92" i="28"/>
  <c r="L106" i="48"/>
  <c r="M106" i="48"/>
  <c r="K106" i="48"/>
  <c r="AB52" i="28"/>
  <c r="X53" i="28"/>
  <c r="L101" i="48"/>
  <c r="M101" i="48"/>
  <c r="K101" i="48"/>
  <c r="W87" i="28"/>
  <c r="AA86" i="28"/>
  <c r="M138" i="48"/>
  <c r="C140" i="48"/>
  <c r="K138" i="48"/>
  <c r="K140" i="48" s="1"/>
  <c r="L138" i="48"/>
  <c r="L140" i="48" s="1"/>
  <c r="K102" i="48"/>
  <c r="M102" i="48"/>
  <c r="L102" i="48"/>
  <c r="M16" i="48"/>
  <c r="K16" i="48"/>
  <c r="L16" i="48"/>
  <c r="L25" i="48"/>
  <c r="M25" i="48"/>
  <c r="K25" i="48"/>
  <c r="W102" i="28"/>
  <c r="AA101" i="28"/>
  <c r="L122" i="48"/>
  <c r="M122" i="48"/>
  <c r="K122" i="48"/>
  <c r="M30" i="48"/>
  <c r="K30" i="48"/>
  <c r="L30" i="48"/>
  <c r="AB42" i="28"/>
  <c r="X43" i="28"/>
  <c r="W50" i="28"/>
  <c r="AA49" i="28"/>
  <c r="R302" i="17"/>
  <c r="R305" i="17" s="1"/>
  <c r="D305" i="17"/>
  <c r="D308" i="17" s="1"/>
  <c r="AD105" i="28" l="1"/>
  <c r="N1083" i="29"/>
  <c r="F10" i="77"/>
  <c r="N1084" i="29"/>
  <c r="F11" i="77"/>
  <c r="F12" i="77"/>
  <c r="N1085" i="29"/>
  <c r="F13" i="77"/>
  <c r="F14" i="77"/>
  <c r="F15" i="77"/>
  <c r="F4" i="77"/>
  <c r="F5" i="77"/>
  <c r="F6" i="77"/>
  <c r="F7" i="77"/>
  <c r="F8" i="77"/>
  <c r="F9" i="77"/>
  <c r="H21" i="62"/>
  <c r="L941" i="7"/>
  <c r="L943" i="7" s="1"/>
  <c r="I958" i="7" s="1"/>
  <c r="J958" i="7" s="1"/>
  <c r="Q45" i="52"/>
  <c r="S45" i="52"/>
  <c r="H154" i="62"/>
  <c r="J154" i="62"/>
  <c r="J51" i="62"/>
  <c r="H51" i="62"/>
  <c r="J52" i="62"/>
  <c r="H52" i="62"/>
  <c r="H49" i="62"/>
  <c r="H30" i="62"/>
  <c r="J30" i="62"/>
  <c r="H149" i="62"/>
  <c r="J149" i="62"/>
  <c r="H125" i="62"/>
  <c r="J125" i="62"/>
  <c r="H111" i="62"/>
  <c r="J111" i="62"/>
  <c r="J151" i="62"/>
  <c r="H151" i="62"/>
  <c r="H63" i="62"/>
  <c r="M63" i="62" s="1"/>
  <c r="J68" i="62"/>
  <c r="H68" i="62"/>
  <c r="H28" i="62"/>
  <c r="J28" i="62"/>
  <c r="H115" i="62"/>
  <c r="J115" i="62"/>
  <c r="J155" i="62"/>
  <c r="H155" i="62"/>
  <c r="H139" i="62"/>
  <c r="J139" i="62"/>
  <c r="H13" i="62"/>
  <c r="J13" i="62"/>
  <c r="J59" i="62"/>
  <c r="H59" i="62"/>
  <c r="H140" i="62"/>
  <c r="J140" i="62"/>
  <c r="H120" i="62"/>
  <c r="J120" i="62"/>
  <c r="H103" i="62"/>
  <c r="J103" i="62"/>
  <c r="H60" i="62"/>
  <c r="M60" i="62" s="1"/>
  <c r="H48" i="62"/>
  <c r="I48" i="62" s="1"/>
  <c r="M48" i="62" s="1"/>
  <c r="H141" i="62"/>
  <c r="J141" i="62"/>
  <c r="J12" i="62"/>
  <c r="H12" i="62"/>
  <c r="H161" i="62"/>
  <c r="J161" i="62"/>
  <c r="J107" i="62"/>
  <c r="H107" i="62"/>
  <c r="H43" i="62"/>
  <c r="I43" i="62" s="1"/>
  <c r="M43" i="62" s="1"/>
  <c r="H19" i="62"/>
  <c r="J19" i="62"/>
  <c r="J56" i="62"/>
  <c r="H56" i="62"/>
  <c r="J118" i="62"/>
  <c r="H118" i="62"/>
  <c r="J119" i="62"/>
  <c r="H119" i="62"/>
  <c r="J16" i="62"/>
  <c r="H16" i="62"/>
  <c r="H47" i="62"/>
  <c r="I47" i="62" s="1"/>
  <c r="M47" i="62" s="1"/>
  <c r="J121" i="62"/>
  <c r="H121" i="62"/>
  <c r="H15" i="62"/>
  <c r="J15" i="62"/>
  <c r="H62" i="62"/>
  <c r="J62" i="62"/>
  <c r="H160" i="62"/>
  <c r="J160" i="62"/>
  <c r="J142" i="62"/>
  <c r="H142" i="62"/>
  <c r="H157" i="62"/>
  <c r="J157" i="62"/>
  <c r="H105" i="62"/>
  <c r="J105" i="62"/>
  <c r="H138" i="62"/>
  <c r="J138" i="62"/>
  <c r="H113" i="62"/>
  <c r="J113" i="62"/>
  <c r="J14" i="62"/>
  <c r="H14" i="62"/>
  <c r="J104" i="62"/>
  <c r="H104" i="62"/>
  <c r="H66" i="62"/>
  <c r="M66" i="62" s="1"/>
  <c r="J69" i="62"/>
  <c r="H69" i="62"/>
  <c r="J25" i="62"/>
  <c r="H25" i="62"/>
  <c r="J29" i="62"/>
  <c r="H29" i="62"/>
  <c r="H147" i="62"/>
  <c r="J147" i="62"/>
  <c r="H44" i="62"/>
  <c r="I44" i="62" s="1"/>
  <c r="M44" i="62" s="1"/>
  <c r="H57" i="62"/>
  <c r="M57" i="62" s="1"/>
  <c r="I46" i="62"/>
  <c r="M46" i="62" s="1"/>
  <c r="J18" i="62"/>
  <c r="H18" i="62"/>
  <c r="J122" i="62"/>
  <c r="H122" i="62"/>
  <c r="J123" i="62"/>
  <c r="H123" i="62"/>
  <c r="J17" i="62"/>
  <c r="H17" i="62"/>
  <c r="J23" i="62"/>
  <c r="H23" i="62"/>
  <c r="I997" i="7"/>
  <c r="J997" i="7" s="1"/>
  <c r="I1005" i="7"/>
  <c r="J1005" i="7" s="1"/>
  <c r="I1006" i="7"/>
  <c r="J1006" i="7" s="1"/>
  <c r="I945" i="7"/>
  <c r="J945" i="7" s="1"/>
  <c r="K980" i="7"/>
  <c r="K991" i="7"/>
  <c r="K939" i="7"/>
  <c r="K982" i="7"/>
  <c r="K997" i="7"/>
  <c r="I971" i="7"/>
  <c r="J971" i="7" s="1"/>
  <c r="I1007" i="7"/>
  <c r="J1007" i="7" s="1"/>
  <c r="I941" i="7"/>
  <c r="J941" i="7" s="1"/>
  <c r="I969" i="7"/>
  <c r="J969" i="7" s="1"/>
  <c r="K1015" i="7"/>
  <c r="K952" i="7"/>
  <c r="K998" i="7"/>
  <c r="K950" i="7"/>
  <c r="I949" i="7"/>
  <c r="J949" i="7" s="1"/>
  <c r="K992" i="7"/>
  <c r="K960" i="7"/>
  <c r="K985" i="7"/>
  <c r="I1014" i="7"/>
  <c r="J1014" i="7" s="1"/>
  <c r="I963" i="7"/>
  <c r="J963" i="7" s="1"/>
  <c r="K984" i="7"/>
  <c r="K990" i="7"/>
  <c r="I967" i="7"/>
  <c r="J967" i="7" s="1"/>
  <c r="I961" i="7"/>
  <c r="J961" i="7" s="1"/>
  <c r="K976" i="7"/>
  <c r="K987" i="7"/>
  <c r="K974" i="7"/>
  <c r="K1011" i="7"/>
  <c r="K938" i="7"/>
  <c r="K948" i="7"/>
  <c r="K973" i="7"/>
  <c r="AD101" i="28"/>
  <c r="M140" i="48"/>
  <c r="AD97" i="28"/>
  <c r="AD41" i="28"/>
  <c r="E75" i="48"/>
  <c r="E142" i="48" s="1"/>
  <c r="AD96" i="28"/>
  <c r="AA50" i="28"/>
  <c r="W51" i="28"/>
  <c r="AA51" i="28" s="1"/>
  <c r="AA93" i="28"/>
  <c r="W94" i="28"/>
  <c r="AA94" i="28" s="1"/>
  <c r="L133" i="48"/>
  <c r="K264" i="17"/>
  <c r="H267" i="17"/>
  <c r="X85" i="28"/>
  <c r="AB85" i="28" s="1"/>
  <c r="AB84" i="28"/>
  <c r="AA43" i="28"/>
  <c r="C64" i="48"/>
  <c r="W44" i="28"/>
  <c r="AB77" i="28"/>
  <c r="X78" i="28"/>
  <c r="W85" i="28"/>
  <c r="AA85" i="28" s="1"/>
  <c r="AA84" i="28"/>
  <c r="L61" i="48"/>
  <c r="K61" i="48"/>
  <c r="M61" i="48"/>
  <c r="AD98" i="28"/>
  <c r="X91" i="28"/>
  <c r="AB91" i="28" s="1"/>
  <c r="AB90" i="28"/>
  <c r="AB93" i="28"/>
  <c r="X94" i="28"/>
  <c r="AB94" i="28" s="1"/>
  <c r="AA90" i="28"/>
  <c r="W91" i="28"/>
  <c r="AA91" i="28" s="1"/>
  <c r="C62" i="17"/>
  <c r="B62" i="17"/>
  <c r="J22" i="62"/>
  <c r="H22" i="62"/>
  <c r="AA48" i="28"/>
  <c r="W103" i="28"/>
  <c r="AA102" i="28"/>
  <c r="X72" i="28"/>
  <c r="AB71" i="28"/>
  <c r="AB61" i="28"/>
  <c r="X62" i="28"/>
  <c r="AB62" i="28" s="1"/>
  <c r="M133" i="48"/>
  <c r="AB43" i="28"/>
  <c r="X44" i="28"/>
  <c r="D64" i="48"/>
  <c r="X58" i="28"/>
  <c r="AB57" i="28"/>
  <c r="AA87" i="28"/>
  <c r="W88" i="28"/>
  <c r="AA88" i="28" s="1"/>
  <c r="AB53" i="28"/>
  <c r="X54" i="28"/>
  <c r="K133" i="48"/>
  <c r="K27" i="69"/>
  <c r="K153" i="69" s="1"/>
  <c r="AD81" i="28"/>
  <c r="H179" i="62"/>
  <c r="AB48" i="28"/>
  <c r="AB99" i="28"/>
  <c r="X100" i="28"/>
  <c r="AB100" i="28" s="1"/>
  <c r="AA99" i="28"/>
  <c r="W100" i="28"/>
  <c r="AA100" i="28" s="1"/>
  <c r="AA61" i="28"/>
  <c r="W62" i="28"/>
  <c r="AA62" i="28" s="1"/>
  <c r="AB64" i="28"/>
  <c r="X65" i="28"/>
  <c r="AB65" i="28" s="1"/>
  <c r="L153" i="69"/>
  <c r="L173" i="69" s="1"/>
  <c r="L175" i="69" s="1"/>
  <c r="L178" i="69" s="1"/>
  <c r="W65" i="28"/>
  <c r="AA65" i="28" s="1"/>
  <c r="AA64" i="28"/>
  <c r="AD68" i="28"/>
  <c r="AD110" i="28"/>
  <c r="W78" i="28"/>
  <c r="AA77" i="28"/>
  <c r="X112" i="28"/>
  <c r="AB111" i="28"/>
  <c r="C267" i="17"/>
  <c r="F264" i="17"/>
  <c r="P1057" i="29"/>
  <c r="V1057" i="29"/>
  <c r="Q296" i="17"/>
  <c r="N1073" i="29"/>
  <c r="N1071" i="29"/>
  <c r="N1074" i="29"/>
  <c r="Q297" i="17"/>
  <c r="C306" i="17" s="1"/>
  <c r="AA57" i="28"/>
  <c r="W58" i="28"/>
  <c r="AB102" i="28"/>
  <c r="X103" i="28"/>
  <c r="AD66" i="28"/>
  <c r="AB50" i="28"/>
  <c r="X51" i="28"/>
  <c r="AB51" i="28" s="1"/>
  <c r="X88" i="28"/>
  <c r="AB88" i="28" s="1"/>
  <c r="AB87" i="28"/>
  <c r="W72" i="28"/>
  <c r="AA71" i="28"/>
  <c r="W107" i="28"/>
  <c r="AA106" i="28"/>
  <c r="AB106" i="28"/>
  <c r="X107" i="28"/>
  <c r="AA111" i="28"/>
  <c r="W112" i="28"/>
  <c r="W54" i="28"/>
  <c r="AA53" i="28"/>
  <c r="C108" i="17"/>
  <c r="E106" i="17"/>
  <c r="K958" i="7" l="1"/>
  <c r="I952" i="7"/>
  <c r="J952" i="7" s="1"/>
  <c r="I1010" i="7"/>
  <c r="J1010" i="7" s="1"/>
  <c r="K949" i="7"/>
  <c r="I988" i="7"/>
  <c r="J988" i="7" s="1"/>
  <c r="I1003" i="7"/>
  <c r="J1003" i="7" s="1"/>
  <c r="K986" i="7"/>
  <c r="I976" i="7"/>
  <c r="J976" i="7" s="1"/>
  <c r="I939" i="7"/>
  <c r="J939" i="7" s="1"/>
  <c r="K975" i="7"/>
  <c r="I954" i="7"/>
  <c r="J954" i="7" s="1"/>
  <c r="I1002" i="7"/>
  <c r="J1002" i="7" s="1"/>
  <c r="K978" i="7"/>
  <c r="I978" i="7"/>
  <c r="J978" i="7" s="1"/>
  <c r="K954" i="7"/>
  <c r="I1004" i="7"/>
  <c r="J1004" i="7" s="1"/>
  <c r="K947" i="7"/>
  <c r="I999" i="7"/>
  <c r="J999" i="7" s="1"/>
  <c r="K962" i="7"/>
  <c r="I1000" i="7"/>
  <c r="J1000" i="7" s="1"/>
  <c r="K946" i="7"/>
  <c r="K953" i="7"/>
  <c r="I975" i="7"/>
  <c r="J975" i="7" s="1"/>
  <c r="I992" i="7"/>
  <c r="J992" i="7" s="1"/>
  <c r="K970" i="7"/>
  <c r="K1012" i="7"/>
  <c r="I980" i="7"/>
  <c r="J980" i="7" s="1"/>
  <c r="I1013" i="7"/>
  <c r="J1013" i="7" s="1"/>
  <c r="K968" i="7"/>
  <c r="I962" i="7"/>
  <c r="J962" i="7" s="1"/>
  <c r="I1012" i="7"/>
  <c r="J1012" i="7" s="1"/>
  <c r="I944" i="7"/>
  <c r="J944" i="7" s="1"/>
  <c r="K994" i="7"/>
  <c r="K1008" i="7"/>
  <c r="I998" i="7"/>
  <c r="J998" i="7" s="1"/>
  <c r="K942" i="7"/>
  <c r="K1010" i="7"/>
  <c r="K1016" i="7"/>
  <c r="I938" i="7"/>
  <c r="J938" i="7" s="1"/>
  <c r="K957" i="7"/>
  <c r="K940" i="7"/>
  <c r="I1017" i="7"/>
  <c r="J1017" i="7" s="1"/>
  <c r="I965" i="7"/>
  <c r="J965" i="7" s="1"/>
  <c r="K981" i="7"/>
  <c r="K1009" i="7"/>
  <c r="K967" i="7"/>
  <c r="K972" i="7"/>
  <c r="I951" i="7"/>
  <c r="J951" i="7" s="1"/>
  <c r="I1011" i="7"/>
  <c r="J1011" i="7" s="1"/>
  <c r="I977" i="7"/>
  <c r="J977" i="7" s="1"/>
  <c r="I970" i="7"/>
  <c r="J970" i="7" s="1"/>
  <c r="K1014" i="7"/>
  <c r="K1002" i="7"/>
  <c r="K945" i="7"/>
  <c r="I940" i="7"/>
  <c r="J940" i="7" s="1"/>
  <c r="I1018" i="7"/>
  <c r="J1018" i="7" s="1"/>
  <c r="I955" i="7"/>
  <c r="J955" i="7" s="1"/>
  <c r="I982" i="7"/>
  <c r="J982" i="7" s="1"/>
  <c r="I991" i="7"/>
  <c r="J991" i="7" s="1"/>
  <c r="I985" i="7"/>
  <c r="J985" i="7" s="1"/>
  <c r="I943" i="7"/>
  <c r="J943" i="7" s="1"/>
  <c r="K989" i="7"/>
  <c r="K956" i="7"/>
  <c r="I1009" i="7"/>
  <c r="J1009" i="7" s="1"/>
  <c r="I1015" i="7"/>
  <c r="J1015" i="7" s="1"/>
  <c r="K1005" i="7"/>
  <c r="K963" i="7"/>
  <c r="I960" i="7"/>
  <c r="J960" i="7" s="1"/>
  <c r="I989" i="7"/>
  <c r="J989" i="7" s="1"/>
  <c r="K943" i="7"/>
  <c r="K1003" i="7"/>
  <c r="I990" i="7"/>
  <c r="J990" i="7" s="1"/>
  <c r="I986" i="7"/>
  <c r="J986" i="7" s="1"/>
  <c r="K966" i="7"/>
  <c r="K955" i="7"/>
  <c r="K983" i="7"/>
  <c r="K1004" i="7"/>
  <c r="I947" i="7"/>
  <c r="J947" i="7" s="1"/>
  <c r="I996" i="7"/>
  <c r="J996" i="7" s="1"/>
  <c r="I956" i="7"/>
  <c r="J956" i="7" s="1"/>
  <c r="K965" i="7"/>
  <c r="K961" i="7"/>
  <c r="K959" i="7"/>
  <c r="K964" i="7"/>
  <c r="I993" i="7"/>
  <c r="J993" i="7" s="1"/>
  <c r="I972" i="7"/>
  <c r="J972" i="7" s="1"/>
  <c r="I968" i="7"/>
  <c r="J968" i="7" s="1"/>
  <c r="F17" i="77"/>
  <c r="N1087" i="29"/>
  <c r="P1087" i="29" s="1"/>
  <c r="H191" i="62" s="1"/>
  <c r="J191" i="62" s="1"/>
  <c r="I948" i="7"/>
  <c r="J948" i="7" s="1"/>
  <c r="K1000" i="7"/>
  <c r="K979" i="7"/>
  <c r="K1001" i="7"/>
  <c r="I942" i="7"/>
  <c r="J942" i="7" s="1"/>
  <c r="K1017" i="7"/>
  <c r="K941" i="7"/>
  <c r="I959" i="7"/>
  <c r="J959" i="7" s="1"/>
  <c r="I964" i="7"/>
  <c r="J964" i="7" s="1"/>
  <c r="I946" i="7"/>
  <c r="J946" i="7" s="1"/>
  <c r="K969" i="7"/>
  <c r="K995" i="7"/>
  <c r="I981" i="7"/>
  <c r="J981" i="7" s="1"/>
  <c r="I1008" i="7"/>
  <c r="J1008" i="7" s="1"/>
  <c r="I950" i="7"/>
  <c r="J950" i="7" s="1"/>
  <c r="K1006" i="7"/>
  <c r="K971" i="7"/>
  <c r="I1016" i="7"/>
  <c r="J1016" i="7" s="1"/>
  <c r="I995" i="7"/>
  <c r="J995" i="7" s="1"/>
  <c r="I987" i="7"/>
  <c r="J987" i="7" s="1"/>
  <c r="K1013" i="7"/>
  <c r="K977" i="7"/>
  <c r="K1018" i="7"/>
  <c r="K999" i="7"/>
  <c r="K988" i="7"/>
  <c r="I983" i="7"/>
  <c r="J983" i="7" s="1"/>
  <c r="I953" i="7"/>
  <c r="J953" i="7" s="1"/>
  <c r="I957" i="7"/>
  <c r="J957" i="7" s="1"/>
  <c r="I973" i="7"/>
  <c r="J973" i="7" s="1"/>
  <c r="I994" i="7"/>
  <c r="J994" i="7" s="1"/>
  <c r="K951" i="7"/>
  <c r="K993" i="7"/>
  <c r="K944" i="7"/>
  <c r="K1007" i="7"/>
  <c r="K996" i="7"/>
  <c r="I984" i="7"/>
  <c r="J984" i="7" s="1"/>
  <c r="I974" i="7"/>
  <c r="J974" i="7" s="1"/>
  <c r="I979" i="7"/>
  <c r="J979" i="7" s="1"/>
  <c r="I1001" i="7"/>
  <c r="J1001" i="7" s="1"/>
  <c r="I966" i="7"/>
  <c r="J966" i="7" s="1"/>
  <c r="I49" i="62"/>
  <c r="M49" i="62" s="1"/>
  <c r="J57" i="62"/>
  <c r="J66" i="62"/>
  <c r="J47" i="62"/>
  <c r="J43" i="62"/>
  <c r="J60" i="62"/>
  <c r="J46" i="62"/>
  <c r="J44" i="62"/>
  <c r="J48" i="62"/>
  <c r="J63" i="62"/>
  <c r="AD99" i="28"/>
  <c r="AD83" i="28"/>
  <c r="M27" i="69"/>
  <c r="M177" i="69" s="1"/>
  <c r="AD100" i="28"/>
  <c r="C66" i="48"/>
  <c r="AD111" i="28"/>
  <c r="AD89" i="28"/>
  <c r="AD63" i="28"/>
  <c r="C65" i="48"/>
  <c r="AD60" i="28"/>
  <c r="AD86" i="28"/>
  <c r="AD106" i="28"/>
  <c r="C110" i="17"/>
  <c r="E108" i="17"/>
  <c r="D65" i="48"/>
  <c r="Q303" i="17"/>
  <c r="W79" i="28"/>
  <c r="AA78" i="28"/>
  <c r="H180" i="62"/>
  <c r="J180" i="62"/>
  <c r="D73" i="48"/>
  <c r="X73" i="28"/>
  <c r="AB72" i="28"/>
  <c r="D66" i="48"/>
  <c r="AA44" i="28"/>
  <c r="W45" i="28"/>
  <c r="AD92" i="28"/>
  <c r="H178" i="62"/>
  <c r="J178" i="62"/>
  <c r="J187" i="62"/>
  <c r="H187" i="62"/>
  <c r="H186" i="62"/>
  <c r="J186" i="62"/>
  <c r="AD102" i="28"/>
  <c r="C73" i="48"/>
  <c r="L64" i="48"/>
  <c r="K64" i="48"/>
  <c r="M64" i="48"/>
  <c r="AA107" i="28"/>
  <c r="W108" i="28"/>
  <c r="AA58" i="28"/>
  <c r="W59" i="28"/>
  <c r="Q302" i="17"/>
  <c r="Q305" i="17" s="1"/>
  <c r="C305" i="17"/>
  <c r="C308" i="17" s="1"/>
  <c r="AB112" i="28"/>
  <c r="X113" i="28"/>
  <c r="AB113" i="28" s="1"/>
  <c r="H184" i="62"/>
  <c r="J184" i="62"/>
  <c r="X59" i="28"/>
  <c r="AB58" i="28"/>
  <c r="AB44" i="28"/>
  <c r="X45" i="28"/>
  <c r="AA103" i="28"/>
  <c r="W104" i="28"/>
  <c r="AA104" i="28" s="1"/>
  <c r="AD47" i="28"/>
  <c r="AB78" i="28"/>
  <c r="X79" i="28"/>
  <c r="H176" i="62"/>
  <c r="M176" i="62" s="1"/>
  <c r="W113" i="28"/>
  <c r="AA113" i="28" s="1"/>
  <c r="AA112" i="28"/>
  <c r="W73" i="28"/>
  <c r="AA72" i="28"/>
  <c r="W55" i="28"/>
  <c r="AA55" i="28" s="1"/>
  <c r="AA54" i="28"/>
  <c r="X108" i="28"/>
  <c r="AB107" i="28"/>
  <c r="X104" i="28"/>
  <c r="AB104" i="28" s="1"/>
  <c r="AB103" i="28"/>
  <c r="V1071" i="29"/>
  <c r="W1057" i="29"/>
  <c r="F267" i="17"/>
  <c r="G264" i="17"/>
  <c r="AB54" i="28"/>
  <c r="X55" i="28"/>
  <c r="AB55" i="28" s="1"/>
  <c r="J181" i="62"/>
  <c r="H181" i="62"/>
  <c r="J183" i="62"/>
  <c r="H183" i="62"/>
  <c r="K267" i="17"/>
  <c r="F106" i="17"/>
  <c r="F108" i="17" s="1"/>
  <c r="AD49" i="28"/>
  <c r="J49" i="62" l="1"/>
  <c r="K66" i="48"/>
  <c r="M153" i="69"/>
  <c r="K186" i="69" s="1"/>
  <c r="K188" i="69" s="1"/>
  <c r="B21" i="68"/>
  <c r="B22" i="68" s="1"/>
  <c r="B34" i="68" s="1"/>
  <c r="D32" i="68" s="1"/>
  <c r="K65" i="48"/>
  <c r="D67" i="48"/>
  <c r="AD113" i="28"/>
  <c r="M66" i="48"/>
  <c r="AD112" i="28"/>
  <c r="L66" i="48"/>
  <c r="AD107" i="28"/>
  <c r="AD52" i="28"/>
  <c r="AB59" i="28"/>
  <c r="AA59" i="28"/>
  <c r="L65" i="48"/>
  <c r="AB45" i="28"/>
  <c r="X46" i="28"/>
  <c r="G108" i="17"/>
  <c r="H108" i="17" s="1"/>
  <c r="F110" i="17"/>
  <c r="X109" i="28"/>
  <c r="AB109" i="28" s="1"/>
  <c r="AB108" i="28"/>
  <c r="J176" i="62"/>
  <c r="J190" i="62" s="1"/>
  <c r="AD104" i="28"/>
  <c r="AA108" i="28"/>
  <c r="W109" i="28"/>
  <c r="AA109" i="28" s="1"/>
  <c r="H190" i="62"/>
  <c r="M65" i="48"/>
  <c r="AA73" i="28"/>
  <c r="W74" i="28"/>
  <c r="X80" i="28"/>
  <c r="AB80" i="28" s="1"/>
  <c r="AB79" i="28"/>
  <c r="AD103" i="28"/>
  <c r="M73" i="48"/>
  <c r="L73" i="48"/>
  <c r="K73" i="48"/>
  <c r="C67" i="48"/>
  <c r="W46" i="28"/>
  <c r="AA45" i="28"/>
  <c r="AB73" i="28"/>
  <c r="X74" i="28"/>
  <c r="AA79" i="28"/>
  <c r="W80" i="28"/>
  <c r="AA80" i="28" s="1"/>
  <c r="I27" i="68" l="1"/>
  <c r="B36" i="68"/>
  <c r="I31" i="68"/>
  <c r="I29" i="68"/>
  <c r="I26" i="68"/>
  <c r="I28" i="68"/>
  <c r="D22" i="68"/>
  <c r="L186" i="69" s="1"/>
  <c r="I30" i="68"/>
  <c r="J53" i="70"/>
  <c r="J55" i="70" s="1"/>
  <c r="L42" i="70"/>
  <c r="L43" i="70" s="1"/>
  <c r="L179" i="69"/>
  <c r="AD108" i="28"/>
  <c r="AD56" i="28"/>
  <c r="AD76" i="28"/>
  <c r="AA46" i="28"/>
  <c r="C69" i="48"/>
  <c r="F30" i="68"/>
  <c r="K54" i="70"/>
  <c r="L187" i="69"/>
  <c r="F28" i="68"/>
  <c r="F27" i="68"/>
  <c r="J27" i="68" s="1"/>
  <c r="F31" i="68"/>
  <c r="F29" i="68"/>
  <c r="F26" i="68"/>
  <c r="AB46" i="28"/>
  <c r="D69" i="48"/>
  <c r="AB74" i="28"/>
  <c r="X75" i="28"/>
  <c r="L67" i="48"/>
  <c r="M67" i="48"/>
  <c r="K67" i="48"/>
  <c r="AA74" i="28"/>
  <c r="W75" i="28"/>
  <c r="AD109" i="28"/>
  <c r="J192" i="62"/>
  <c r="K144" i="48"/>
  <c r="H192" i="62"/>
  <c r="J28" i="68" l="1"/>
  <c r="AD42" i="28"/>
  <c r="J31" i="68"/>
  <c r="K53" i="70"/>
  <c r="J29" i="68"/>
  <c r="J30" i="68"/>
  <c r="AA75" i="28"/>
  <c r="C70" i="48"/>
  <c r="J26" i="68"/>
  <c r="F32" i="68"/>
  <c r="N22" i="69"/>
  <c r="N92" i="69"/>
  <c r="N149" i="69"/>
  <c r="N64" i="69"/>
  <c r="N33" i="69"/>
  <c r="N147" i="69"/>
  <c r="N37" i="69"/>
  <c r="N45" i="69"/>
  <c r="N103" i="69"/>
  <c r="N34" i="69"/>
  <c r="N82" i="69"/>
  <c r="N48" i="69"/>
  <c r="N139" i="69"/>
  <c r="N93" i="69"/>
  <c r="N143" i="69"/>
  <c r="N107" i="69"/>
  <c r="N50" i="69"/>
  <c r="N113" i="69"/>
  <c r="N21" i="69"/>
  <c r="N23" i="69"/>
  <c r="N75" i="69"/>
  <c r="N132" i="69"/>
  <c r="N96" i="69"/>
  <c r="N7" i="69"/>
  <c r="N17" i="69"/>
  <c r="N100" i="69"/>
  <c r="N41" i="69"/>
  <c r="N86" i="69"/>
  <c r="N122" i="69"/>
  <c r="N61" i="69"/>
  <c r="N127" i="69"/>
  <c r="N87" i="69"/>
  <c r="N80" i="69"/>
  <c r="N79" i="69"/>
  <c r="N49" i="69"/>
  <c r="N142" i="69"/>
  <c r="N76" i="69"/>
  <c r="N4" i="69"/>
  <c r="N72" i="69"/>
  <c r="N85" i="69"/>
  <c r="N55" i="69"/>
  <c r="N38" i="69"/>
  <c r="N63" i="69"/>
  <c r="N68" i="69"/>
  <c r="N30" i="69"/>
  <c r="N70" i="69"/>
  <c r="N28" i="69"/>
  <c r="N46" i="69"/>
  <c r="N26" i="69"/>
  <c r="N10" i="69"/>
  <c r="N135" i="69"/>
  <c r="N69" i="69"/>
  <c r="N71" i="69"/>
  <c r="N62" i="69"/>
  <c r="N11" i="69"/>
  <c r="N77" i="69"/>
  <c r="N148" i="69"/>
  <c r="N42" i="69"/>
  <c r="N102" i="69"/>
  <c r="N65" i="69"/>
  <c r="N13" i="69"/>
  <c r="F19" i="68" s="1"/>
  <c r="N144" i="69"/>
  <c r="N119" i="69"/>
  <c r="N73" i="69"/>
  <c r="N114" i="69"/>
  <c r="N131" i="69"/>
  <c r="N106" i="69"/>
  <c r="N118" i="69"/>
  <c r="N94" i="69"/>
  <c r="N81" i="69"/>
  <c r="N140" i="69"/>
  <c r="N40" i="69"/>
  <c r="N105" i="69"/>
  <c r="N134" i="69"/>
  <c r="N24" i="69"/>
  <c r="N78" i="69"/>
  <c r="N5" i="69"/>
  <c r="F16" i="68" s="1"/>
  <c r="N99" i="69"/>
  <c r="N84" i="69"/>
  <c r="N145" i="69"/>
  <c r="N120" i="69"/>
  <c r="N137" i="69"/>
  <c r="N53" i="69"/>
  <c r="N89" i="69"/>
  <c r="N138" i="69"/>
  <c r="N104" i="69"/>
  <c r="N150" i="69"/>
  <c r="N66" i="69"/>
  <c r="N43" i="69"/>
  <c r="N19" i="69"/>
  <c r="N98" i="69"/>
  <c r="N32" i="69"/>
  <c r="N128" i="69"/>
  <c r="N125" i="69"/>
  <c r="N20" i="69"/>
  <c r="N14" i="69"/>
  <c r="F20" i="68" s="1"/>
  <c r="N67" i="69"/>
  <c r="N111" i="69"/>
  <c r="N133" i="69"/>
  <c r="N130" i="69"/>
  <c r="N109" i="69"/>
  <c r="N18" i="69"/>
  <c r="N51" i="69"/>
  <c r="N112" i="69"/>
  <c r="N27" i="69"/>
  <c r="N123" i="69"/>
  <c r="N57" i="69"/>
  <c r="N54" i="69"/>
  <c r="N74" i="69"/>
  <c r="N146" i="69"/>
  <c r="N88" i="69"/>
  <c r="N52" i="69"/>
  <c r="N141" i="69"/>
  <c r="N177" i="69"/>
  <c r="N115" i="69"/>
  <c r="N136" i="69"/>
  <c r="N9" i="69"/>
  <c r="F18" i="68" s="1"/>
  <c r="N58" i="69"/>
  <c r="M144" i="48"/>
  <c r="L144" i="48"/>
  <c r="AB75" i="28"/>
  <c r="AD70" i="28" s="1"/>
  <c r="D70" i="48"/>
  <c r="D75" i="48" s="1"/>
  <c r="D142" i="48" s="1"/>
  <c r="N14" i="70"/>
  <c r="N23" i="70"/>
  <c r="N27" i="70"/>
  <c r="N18" i="70"/>
  <c r="N11" i="70"/>
  <c r="N5" i="70"/>
  <c r="N31" i="70"/>
  <c r="N4" i="70"/>
  <c r="N9" i="70"/>
  <c r="L69" i="48"/>
  <c r="M69" i="48"/>
  <c r="K69" i="48"/>
  <c r="J463" i="53" l="1"/>
  <c r="J464" i="53" s="1"/>
  <c r="J468" i="53" s="1"/>
  <c r="J475" i="53" s="1"/>
  <c r="H39" i="18" s="1"/>
  <c r="G464" i="53"/>
  <c r="G468" i="53" s="1"/>
  <c r="J429" i="53"/>
  <c r="J430" i="53" s="1"/>
  <c r="G430" i="53"/>
  <c r="G435" i="53" s="1"/>
  <c r="P24" i="70"/>
  <c r="P25" i="70"/>
  <c r="P23" i="70"/>
  <c r="P112" i="69"/>
  <c r="P131" i="69"/>
  <c r="P84" i="69"/>
  <c r="P118" i="69"/>
  <c r="P85" i="69"/>
  <c r="P32" i="69"/>
  <c r="P98" i="69"/>
  <c r="F17" i="68"/>
  <c r="O7" i="69"/>
  <c r="P94" i="69"/>
  <c r="P28" i="69"/>
  <c r="P149" i="69"/>
  <c r="P135" i="69"/>
  <c r="P24" i="69"/>
  <c r="P54" i="69"/>
  <c r="P55" i="69"/>
  <c r="P23" i="69"/>
  <c r="P11" i="70"/>
  <c r="P12" i="70"/>
  <c r="P9" i="70"/>
  <c r="P10" i="70"/>
  <c r="P14" i="70"/>
  <c r="P15" i="70"/>
  <c r="P16" i="70"/>
  <c r="P132" i="69"/>
  <c r="P115" i="69"/>
  <c r="P57" i="69"/>
  <c r="P92" i="69"/>
  <c r="P125" i="69"/>
  <c r="P93" i="69"/>
  <c r="P138" i="69"/>
  <c r="P122" i="69"/>
  <c r="P123" i="69"/>
  <c r="P133" i="69"/>
  <c r="P143" i="69"/>
  <c r="P137" i="69"/>
  <c r="P107" i="69"/>
  <c r="P106" i="69"/>
  <c r="P136" i="69"/>
  <c r="P102" i="69"/>
  <c r="P109" i="69"/>
  <c r="P103" i="69"/>
  <c r="P148" i="69"/>
  <c r="P53" i="69"/>
  <c r="P27" i="69"/>
  <c r="P134" i="69"/>
  <c r="P52" i="69"/>
  <c r="P22" i="69"/>
  <c r="P21" i="69"/>
  <c r="O5" i="70"/>
  <c r="O4" i="70"/>
  <c r="N38" i="70"/>
  <c r="P18" i="70"/>
  <c r="P19" i="70"/>
  <c r="P20" i="70"/>
  <c r="P111" i="69"/>
  <c r="P130" i="69"/>
  <c r="P141" i="69"/>
  <c r="P145" i="69"/>
  <c r="P43" i="69"/>
  <c r="P38" i="69"/>
  <c r="P26" i="69"/>
  <c r="P142" i="69"/>
  <c r="P51" i="69"/>
  <c r="P46" i="69"/>
  <c r="P42" i="69"/>
  <c r="P128" i="69"/>
  <c r="P19" i="69"/>
  <c r="P147" i="69"/>
  <c r="P30" i="69"/>
  <c r="P50" i="69"/>
  <c r="P20" i="69"/>
  <c r="P58" i="69"/>
  <c r="P104" i="69"/>
  <c r="P105" i="69"/>
  <c r="N153" i="69"/>
  <c r="M155" i="69" s="1"/>
  <c r="O4" i="69"/>
  <c r="O9" i="69"/>
  <c r="O14" i="69"/>
  <c r="O10" i="69"/>
  <c r="O5" i="69"/>
  <c r="O11" i="69"/>
  <c r="O13" i="69"/>
  <c r="F15" i="68"/>
  <c r="P75" i="69"/>
  <c r="P66" i="69"/>
  <c r="P71" i="69"/>
  <c r="P64" i="69"/>
  <c r="P63" i="69"/>
  <c r="P80" i="69"/>
  <c r="P73" i="69"/>
  <c r="P150" i="69"/>
  <c r="P65" i="69"/>
  <c r="P74" i="69"/>
  <c r="P81" i="69"/>
  <c r="P61" i="69"/>
  <c r="P62" i="69"/>
  <c r="P77" i="69"/>
  <c r="P82" i="69"/>
  <c r="P69" i="69"/>
  <c r="P72" i="69"/>
  <c r="P78" i="69"/>
  <c r="P70" i="69"/>
  <c r="P79" i="69"/>
  <c r="P67" i="69"/>
  <c r="P68" i="69"/>
  <c r="P76" i="69"/>
  <c r="P113" i="69"/>
  <c r="P114" i="69"/>
  <c r="P88" i="69"/>
  <c r="P100" i="69"/>
  <c r="P89" i="69"/>
  <c r="P120" i="69"/>
  <c r="P34" i="69"/>
  <c r="C75" i="48"/>
  <c r="C142" i="48" s="1"/>
  <c r="M70" i="48"/>
  <c r="M75" i="48" s="1"/>
  <c r="M142" i="48" s="1"/>
  <c r="M146" i="48" s="1"/>
  <c r="L70" i="48"/>
  <c r="L75" i="48" s="1"/>
  <c r="L142" i="48" s="1"/>
  <c r="L146" i="48" s="1"/>
  <c r="K70" i="48"/>
  <c r="K75" i="48" s="1"/>
  <c r="K142" i="48" s="1"/>
  <c r="P33" i="70"/>
  <c r="P32" i="70"/>
  <c r="P31" i="70"/>
  <c r="P96" i="69"/>
  <c r="P17" i="69"/>
  <c r="P18" i="69"/>
  <c r="P139" i="69"/>
  <c r="P37" i="69"/>
  <c r="P48" i="69"/>
  <c r="F21" i="68"/>
  <c r="P146" i="69"/>
  <c r="P144" i="69"/>
  <c r="P41" i="69"/>
  <c r="P49" i="69"/>
  <c r="P140" i="69"/>
  <c r="P127" i="69"/>
  <c r="P40" i="69"/>
  <c r="P45" i="69"/>
  <c r="P99" i="69"/>
  <c r="P119" i="69"/>
  <c r="P87" i="69"/>
  <c r="P86" i="69"/>
  <c r="P33" i="69"/>
  <c r="I39" i="18" l="1"/>
  <c r="D20" i="56"/>
  <c r="N44" i="52"/>
  <c r="O44" i="52" s="1"/>
  <c r="G475" i="53"/>
  <c r="E39" i="18" s="1"/>
  <c r="N43" i="52"/>
  <c r="O43" i="52" s="1"/>
  <c r="G442" i="53"/>
  <c r="J435" i="53"/>
  <c r="S33" i="69"/>
  <c r="U33" i="69" s="1"/>
  <c r="Q33" i="69"/>
  <c r="R33" i="69" s="1"/>
  <c r="S99" i="69"/>
  <c r="U99" i="69" s="1"/>
  <c r="Q99" i="69"/>
  <c r="R99" i="69" s="1"/>
  <c r="Q140" i="69"/>
  <c r="R140" i="69" s="1"/>
  <c r="S140" i="69"/>
  <c r="U140" i="69" s="1"/>
  <c r="Q146" i="69"/>
  <c r="R146" i="69" s="1"/>
  <c r="S146" i="69"/>
  <c r="U146" i="69" s="1"/>
  <c r="Q139" i="69"/>
  <c r="R139" i="69" s="1"/>
  <c r="S139" i="69"/>
  <c r="U139" i="69" s="1"/>
  <c r="K146" i="48"/>
  <c r="S34" i="69"/>
  <c r="U34" i="69" s="1"/>
  <c r="Q34" i="69"/>
  <c r="R34" i="69" s="1"/>
  <c r="Q88" i="69"/>
  <c r="R88" i="69" s="1"/>
  <c r="S88" i="69"/>
  <c r="U88" i="69" s="1"/>
  <c r="S68" i="69"/>
  <c r="U68" i="69" s="1"/>
  <c r="Q68" i="69"/>
  <c r="R68" i="69" s="1"/>
  <c r="Q78" i="69"/>
  <c r="R78" i="69" s="1"/>
  <c r="S78" i="69"/>
  <c r="U78" i="69" s="1"/>
  <c r="S77" i="69"/>
  <c r="U77" i="69" s="1"/>
  <c r="Q77" i="69"/>
  <c r="R77" i="69" s="1"/>
  <c r="Q74" i="69"/>
  <c r="R74" i="69" s="1"/>
  <c r="S74" i="69"/>
  <c r="U74" i="69" s="1"/>
  <c r="S80" i="69"/>
  <c r="U80" i="69" s="1"/>
  <c r="Q80" i="69"/>
  <c r="R80" i="69" s="1"/>
  <c r="Q66" i="69"/>
  <c r="R66" i="69" s="1"/>
  <c r="S66" i="69"/>
  <c r="U66" i="69" s="1"/>
  <c r="Q13" i="69"/>
  <c r="R13" i="69" s="1"/>
  <c r="S13" i="69"/>
  <c r="U13" i="69" s="1"/>
  <c r="S14" i="69"/>
  <c r="U14" i="69" s="1"/>
  <c r="Q14" i="69"/>
  <c r="R14" i="69" s="1"/>
  <c r="S105" i="69"/>
  <c r="U105" i="69" s="1"/>
  <c r="Q105" i="69"/>
  <c r="R105" i="69" s="1"/>
  <c r="Q50" i="69"/>
  <c r="R50" i="69" s="1"/>
  <c r="S50" i="69"/>
  <c r="U50" i="69" s="1"/>
  <c r="Q128" i="69"/>
  <c r="R128" i="69" s="1"/>
  <c r="S128" i="69"/>
  <c r="U128" i="69" s="1"/>
  <c r="S142" i="69"/>
  <c r="U142" i="69" s="1"/>
  <c r="Q142" i="69"/>
  <c r="R142" i="69" s="1"/>
  <c r="Q145" i="69"/>
  <c r="R145" i="69" s="1"/>
  <c r="S145" i="69"/>
  <c r="U145" i="69" s="1"/>
  <c r="S21" i="69"/>
  <c r="U21" i="69" s="1"/>
  <c r="Q21" i="69"/>
  <c r="R21" i="69" s="1"/>
  <c r="Q27" i="69"/>
  <c r="R27" i="69" s="1"/>
  <c r="S27" i="69"/>
  <c r="U27" i="69" s="1"/>
  <c r="Q109" i="69"/>
  <c r="R109" i="69" s="1"/>
  <c r="S109" i="69"/>
  <c r="U109" i="69" s="1"/>
  <c r="Q107" i="69"/>
  <c r="R107" i="69" s="1"/>
  <c r="S107" i="69"/>
  <c r="U107" i="69" s="1"/>
  <c r="S123" i="69"/>
  <c r="U123" i="69" s="1"/>
  <c r="Q123" i="69"/>
  <c r="R123" i="69" s="1"/>
  <c r="S125" i="69"/>
  <c r="U125" i="69" s="1"/>
  <c r="Q125" i="69"/>
  <c r="R125" i="69" s="1"/>
  <c r="Q132" i="69"/>
  <c r="R132" i="69" s="1"/>
  <c r="S132" i="69"/>
  <c r="U132" i="69" s="1"/>
  <c r="Q14" i="70"/>
  <c r="S14" i="70"/>
  <c r="U14" i="70" s="1"/>
  <c r="S9" i="70"/>
  <c r="U9" i="70" s="1"/>
  <c r="Q9" i="70"/>
  <c r="Q55" i="69"/>
  <c r="R55" i="69" s="1"/>
  <c r="S55" i="69"/>
  <c r="U55" i="69" s="1"/>
  <c r="Q149" i="69"/>
  <c r="R149" i="69" s="1"/>
  <c r="S149" i="69"/>
  <c r="U149" i="69" s="1"/>
  <c r="Q118" i="69"/>
  <c r="R118" i="69" s="1"/>
  <c r="S118" i="69"/>
  <c r="U118" i="69" s="1"/>
  <c r="Q86" i="69"/>
  <c r="R86" i="69" s="1"/>
  <c r="S86" i="69"/>
  <c r="U86" i="69" s="1"/>
  <c r="Q45" i="69"/>
  <c r="R45" i="69" s="1"/>
  <c r="S45" i="69"/>
  <c r="U45" i="69" s="1"/>
  <c r="Q49" i="69"/>
  <c r="R49" i="69" s="1"/>
  <c r="S49" i="69"/>
  <c r="U49" i="69" s="1"/>
  <c r="S18" i="69"/>
  <c r="U18" i="69" s="1"/>
  <c r="Q18" i="69"/>
  <c r="R18" i="69" s="1"/>
  <c r="S31" i="70"/>
  <c r="U31" i="70" s="1"/>
  <c r="Q31" i="70"/>
  <c r="P27" i="70"/>
  <c r="Q120" i="69"/>
  <c r="R120" i="69" s="1"/>
  <c r="S120" i="69"/>
  <c r="U120" i="69" s="1"/>
  <c r="Q114" i="69"/>
  <c r="R114" i="69" s="1"/>
  <c r="S114" i="69"/>
  <c r="U114" i="69" s="1"/>
  <c r="S67" i="69"/>
  <c r="U67" i="69" s="1"/>
  <c r="Q67" i="69"/>
  <c r="R67" i="69" s="1"/>
  <c r="S72" i="69"/>
  <c r="U72" i="69" s="1"/>
  <c r="Q72" i="69"/>
  <c r="R72" i="69" s="1"/>
  <c r="Q62" i="69"/>
  <c r="R62" i="69" s="1"/>
  <c r="S62" i="69"/>
  <c r="U62" i="69" s="1"/>
  <c r="Q65" i="69"/>
  <c r="R65" i="69" s="1"/>
  <c r="S65" i="69"/>
  <c r="U65" i="69" s="1"/>
  <c r="Q63" i="69"/>
  <c r="R63" i="69" s="1"/>
  <c r="S63" i="69"/>
  <c r="U63" i="69" s="1"/>
  <c r="S75" i="69"/>
  <c r="U75" i="69" s="1"/>
  <c r="Q75" i="69"/>
  <c r="R75" i="69" s="1"/>
  <c r="Q11" i="69"/>
  <c r="R11" i="69" s="1"/>
  <c r="S11" i="69"/>
  <c r="U11" i="69" s="1"/>
  <c r="Q9" i="69"/>
  <c r="R9" i="69" s="1"/>
  <c r="S9" i="69"/>
  <c r="U9" i="69" s="1"/>
  <c r="Q104" i="69"/>
  <c r="R104" i="69" s="1"/>
  <c r="S104" i="69"/>
  <c r="U104" i="69" s="1"/>
  <c r="S30" i="69"/>
  <c r="U30" i="69" s="1"/>
  <c r="Q30" i="69"/>
  <c r="R30" i="69" s="1"/>
  <c r="S42" i="69"/>
  <c r="U42" i="69" s="1"/>
  <c r="Q42" i="69"/>
  <c r="R42" i="69" s="1"/>
  <c r="S26" i="69"/>
  <c r="U26" i="69" s="1"/>
  <c r="Q26" i="69"/>
  <c r="R26" i="69" s="1"/>
  <c r="Q141" i="69"/>
  <c r="R141" i="69" s="1"/>
  <c r="S141" i="69"/>
  <c r="U141" i="69" s="1"/>
  <c r="S20" i="70"/>
  <c r="U20" i="70" s="1"/>
  <c r="Q20" i="70"/>
  <c r="Q22" i="69"/>
  <c r="R22" i="69" s="1"/>
  <c r="S22" i="69"/>
  <c r="U22" i="69" s="1"/>
  <c r="S53" i="69"/>
  <c r="U53" i="69" s="1"/>
  <c r="Q53" i="69"/>
  <c r="R53" i="69" s="1"/>
  <c r="S102" i="69"/>
  <c r="U102" i="69" s="1"/>
  <c r="Q102" i="69"/>
  <c r="R102" i="69" s="1"/>
  <c r="Q137" i="69"/>
  <c r="R137" i="69" s="1"/>
  <c r="S137" i="69"/>
  <c r="U137" i="69" s="1"/>
  <c r="S122" i="69"/>
  <c r="U122" i="69" s="1"/>
  <c r="Q122" i="69"/>
  <c r="R122" i="69" s="1"/>
  <c r="S92" i="69"/>
  <c r="U92" i="69" s="1"/>
  <c r="Q92" i="69"/>
  <c r="R92" i="69" s="1"/>
  <c r="Q12" i="70"/>
  <c r="S12" i="70"/>
  <c r="U12" i="70" s="1"/>
  <c r="S54" i="69"/>
  <c r="U54" i="69" s="1"/>
  <c r="Q54" i="69"/>
  <c r="R54" i="69" s="1"/>
  <c r="Q28" i="69"/>
  <c r="R28" i="69" s="1"/>
  <c r="S28" i="69"/>
  <c r="U28" i="69" s="1"/>
  <c r="Q98" i="69"/>
  <c r="R98" i="69" s="1"/>
  <c r="S98" i="69"/>
  <c r="U98" i="69" s="1"/>
  <c r="S84" i="69"/>
  <c r="U84" i="69" s="1"/>
  <c r="Q84" i="69"/>
  <c r="R84" i="69" s="1"/>
  <c r="S23" i="70"/>
  <c r="U23" i="70" s="1"/>
  <c r="Q23" i="70"/>
  <c r="S87" i="69"/>
  <c r="U87" i="69" s="1"/>
  <c r="Q87" i="69"/>
  <c r="R87" i="69" s="1"/>
  <c r="Q40" i="69"/>
  <c r="R40" i="69" s="1"/>
  <c r="S40" i="69"/>
  <c r="U40" i="69" s="1"/>
  <c r="S41" i="69"/>
  <c r="U41" i="69" s="1"/>
  <c r="Q41" i="69"/>
  <c r="R41" i="69" s="1"/>
  <c r="Q48" i="69"/>
  <c r="R48" i="69" s="1"/>
  <c r="S48" i="69"/>
  <c r="U48" i="69" s="1"/>
  <c r="S17" i="69"/>
  <c r="U17" i="69" s="1"/>
  <c r="Q17" i="69"/>
  <c r="R17" i="69" s="1"/>
  <c r="Q32" i="70"/>
  <c r="S32" i="70"/>
  <c r="U32" i="70" s="1"/>
  <c r="M148" i="48"/>
  <c r="M158" i="48"/>
  <c r="Q89" i="69"/>
  <c r="R89" i="69" s="1"/>
  <c r="S89" i="69"/>
  <c r="U89" i="69" s="1"/>
  <c r="S113" i="69"/>
  <c r="U113" i="69" s="1"/>
  <c r="Q113" i="69"/>
  <c r="R113" i="69" s="1"/>
  <c r="Q79" i="69"/>
  <c r="R79" i="69" s="1"/>
  <c r="S79" i="69"/>
  <c r="U79" i="69" s="1"/>
  <c r="Q69" i="69"/>
  <c r="R69" i="69" s="1"/>
  <c r="S69" i="69"/>
  <c r="U69" i="69" s="1"/>
  <c r="S61" i="69"/>
  <c r="U61" i="69" s="1"/>
  <c r="Q61" i="69"/>
  <c r="R61" i="69" s="1"/>
  <c r="Q150" i="69"/>
  <c r="R150" i="69" s="1"/>
  <c r="S150" i="69"/>
  <c r="U150" i="69" s="1"/>
  <c r="Q64" i="69"/>
  <c r="R64" i="69" s="1"/>
  <c r="S64" i="69"/>
  <c r="U64" i="69" s="1"/>
  <c r="S5" i="69"/>
  <c r="U5" i="69" s="1"/>
  <c r="Q5" i="69"/>
  <c r="R5" i="69" s="1"/>
  <c r="S4" i="69"/>
  <c r="U4" i="69" s="1"/>
  <c r="Q4" i="69"/>
  <c r="Q58" i="69"/>
  <c r="R58" i="69" s="1"/>
  <c r="S58" i="69"/>
  <c r="U58" i="69" s="1"/>
  <c r="S147" i="69"/>
  <c r="U147" i="69" s="1"/>
  <c r="Q147" i="69"/>
  <c r="R147" i="69" s="1"/>
  <c r="Q46" i="69"/>
  <c r="R46" i="69" s="1"/>
  <c r="S46" i="69"/>
  <c r="U46" i="69" s="1"/>
  <c r="Q38" i="69"/>
  <c r="R38" i="69" s="1"/>
  <c r="S38" i="69"/>
  <c r="U38" i="69" s="1"/>
  <c r="S130" i="69"/>
  <c r="U130" i="69" s="1"/>
  <c r="Q130" i="69"/>
  <c r="R130" i="69" s="1"/>
  <c r="S19" i="70"/>
  <c r="U19" i="70" s="1"/>
  <c r="Q19" i="70"/>
  <c r="S4" i="70"/>
  <c r="U4" i="70" s="1"/>
  <c r="Q4" i="70"/>
  <c r="S52" i="69"/>
  <c r="U52" i="69" s="1"/>
  <c r="Q52" i="69"/>
  <c r="R52" i="69" s="1"/>
  <c r="S148" i="69"/>
  <c r="U148" i="69" s="1"/>
  <c r="Q148" i="69"/>
  <c r="R148" i="69" s="1"/>
  <c r="S136" i="69"/>
  <c r="U136" i="69" s="1"/>
  <c r="Q136" i="69"/>
  <c r="R136" i="69" s="1"/>
  <c r="S143" i="69"/>
  <c r="U143" i="69" s="1"/>
  <c r="Q143" i="69"/>
  <c r="R143" i="69" s="1"/>
  <c r="Q138" i="69"/>
  <c r="R138" i="69" s="1"/>
  <c r="S138" i="69"/>
  <c r="U138" i="69" s="1"/>
  <c r="Q57" i="69"/>
  <c r="R57" i="69" s="1"/>
  <c r="S57" i="69"/>
  <c r="U57" i="69" s="1"/>
  <c r="Q16" i="70"/>
  <c r="S16" i="70"/>
  <c r="U16" i="70" s="1"/>
  <c r="S11" i="70"/>
  <c r="U11" i="70" s="1"/>
  <c r="Q11" i="70"/>
  <c r="S24" i="69"/>
  <c r="U24" i="69" s="1"/>
  <c r="Q24" i="69"/>
  <c r="R24" i="69" s="1"/>
  <c r="Q94" i="69"/>
  <c r="R94" i="69" s="1"/>
  <c r="S94" i="69"/>
  <c r="U94" i="69" s="1"/>
  <c r="S32" i="69"/>
  <c r="U32" i="69" s="1"/>
  <c r="Q32" i="69"/>
  <c r="R32" i="69" s="1"/>
  <c r="S131" i="69"/>
  <c r="U131" i="69" s="1"/>
  <c r="Q131" i="69"/>
  <c r="R131" i="69" s="1"/>
  <c r="Q25" i="70"/>
  <c r="S25" i="70"/>
  <c r="U25" i="70" s="1"/>
  <c r="S119" i="69"/>
  <c r="U119" i="69" s="1"/>
  <c r="Q119" i="69"/>
  <c r="R119" i="69" s="1"/>
  <c r="Q127" i="69"/>
  <c r="R127" i="69" s="1"/>
  <c r="S127" i="69"/>
  <c r="U127" i="69" s="1"/>
  <c r="S144" i="69"/>
  <c r="U144" i="69" s="1"/>
  <c r="Q144" i="69"/>
  <c r="R144" i="69" s="1"/>
  <c r="Q37" i="69"/>
  <c r="R37" i="69" s="1"/>
  <c r="S37" i="69"/>
  <c r="U37" i="69" s="1"/>
  <c r="S96" i="69"/>
  <c r="U96" i="69" s="1"/>
  <c r="Q96" i="69"/>
  <c r="R96" i="69" s="1"/>
  <c r="S33" i="70"/>
  <c r="U33" i="70" s="1"/>
  <c r="Q33" i="70"/>
  <c r="S100" i="69"/>
  <c r="U100" i="69" s="1"/>
  <c r="Q100" i="69"/>
  <c r="R100" i="69" s="1"/>
  <c r="Q76" i="69"/>
  <c r="R76" i="69" s="1"/>
  <c r="S76" i="69"/>
  <c r="U76" i="69" s="1"/>
  <c r="S70" i="69"/>
  <c r="U70" i="69" s="1"/>
  <c r="Q70" i="69"/>
  <c r="R70" i="69" s="1"/>
  <c r="Q82" i="69"/>
  <c r="R82" i="69" s="1"/>
  <c r="S82" i="69"/>
  <c r="U82" i="69" s="1"/>
  <c r="Q81" i="69"/>
  <c r="R81" i="69" s="1"/>
  <c r="S81" i="69"/>
  <c r="U81" i="69" s="1"/>
  <c r="S73" i="69"/>
  <c r="U73" i="69" s="1"/>
  <c r="Q73" i="69"/>
  <c r="R73" i="69" s="1"/>
  <c r="S71" i="69"/>
  <c r="U71" i="69" s="1"/>
  <c r="Q71" i="69"/>
  <c r="R71" i="69" s="1"/>
  <c r="F22" i="68"/>
  <c r="Q10" i="69"/>
  <c r="R10" i="69" s="1"/>
  <c r="S10" i="69"/>
  <c r="U10" i="69" s="1"/>
  <c r="Q20" i="69"/>
  <c r="R20" i="69" s="1"/>
  <c r="S20" i="69"/>
  <c r="U20" i="69" s="1"/>
  <c r="Q19" i="69"/>
  <c r="R19" i="69" s="1"/>
  <c r="S19" i="69"/>
  <c r="U19" i="69" s="1"/>
  <c r="Q51" i="69"/>
  <c r="R51" i="69" s="1"/>
  <c r="S51" i="69"/>
  <c r="U51" i="69" s="1"/>
  <c r="Q43" i="69"/>
  <c r="R43" i="69" s="1"/>
  <c r="S43" i="69"/>
  <c r="U43" i="69" s="1"/>
  <c r="Q111" i="69"/>
  <c r="R111" i="69" s="1"/>
  <c r="S111" i="69"/>
  <c r="U111" i="69" s="1"/>
  <c r="S18" i="70"/>
  <c r="U18" i="70" s="1"/>
  <c r="Q18" i="70"/>
  <c r="S5" i="70"/>
  <c r="U5" i="70" s="1"/>
  <c r="Q5" i="70"/>
  <c r="R5" i="70" s="1"/>
  <c r="Q134" i="69"/>
  <c r="R134" i="69" s="1"/>
  <c r="S134" i="69"/>
  <c r="U134" i="69" s="1"/>
  <c r="Q103" i="69"/>
  <c r="R103" i="69" s="1"/>
  <c r="S103" i="69"/>
  <c r="U103" i="69" s="1"/>
  <c r="Q106" i="69"/>
  <c r="R106" i="69" s="1"/>
  <c r="S106" i="69"/>
  <c r="U106" i="69" s="1"/>
  <c r="Q133" i="69"/>
  <c r="R133" i="69" s="1"/>
  <c r="S133" i="69"/>
  <c r="U133" i="69" s="1"/>
  <c r="S93" i="69"/>
  <c r="U93" i="69" s="1"/>
  <c r="Q93" i="69"/>
  <c r="R93" i="69" s="1"/>
  <c r="S115" i="69"/>
  <c r="U115" i="69" s="1"/>
  <c r="Q115" i="69"/>
  <c r="R115" i="69" s="1"/>
  <c r="Q15" i="70"/>
  <c r="S15" i="70"/>
  <c r="U15" i="70" s="1"/>
  <c r="S10" i="70"/>
  <c r="U10" i="70" s="1"/>
  <c r="Q10" i="70"/>
  <c r="Q23" i="69"/>
  <c r="R23" i="69" s="1"/>
  <c r="S23" i="69"/>
  <c r="U23" i="69" s="1"/>
  <c r="Q135" i="69"/>
  <c r="R135" i="69" s="1"/>
  <c r="S135" i="69"/>
  <c r="U135" i="69" s="1"/>
  <c r="S7" i="69"/>
  <c r="U7" i="69" s="1"/>
  <c r="Q7" i="69"/>
  <c r="R7" i="69" s="1"/>
  <c r="S85" i="69"/>
  <c r="U85" i="69" s="1"/>
  <c r="Q85" i="69"/>
  <c r="R85" i="69" s="1"/>
  <c r="S112" i="69"/>
  <c r="U112" i="69" s="1"/>
  <c r="Q112" i="69"/>
  <c r="R112" i="69" s="1"/>
  <c r="Q24" i="70"/>
  <c r="S24" i="70"/>
  <c r="U24" i="70" s="1"/>
  <c r="C20" i="56" l="1"/>
  <c r="F39" i="18"/>
  <c r="J39" i="18" s="1"/>
  <c r="K39" i="18" s="1"/>
  <c r="E38" i="18"/>
  <c r="J442" i="53"/>
  <c r="J477" i="53"/>
  <c r="K478" i="53" s="1"/>
  <c r="R11" i="70"/>
  <c r="L148" i="48"/>
  <c r="R18" i="70"/>
  <c r="Q38" i="70"/>
  <c r="K47" i="70" s="1"/>
  <c r="K48" i="70" s="1"/>
  <c r="K49" i="70" s="1"/>
  <c r="R4" i="70"/>
  <c r="R31" i="70"/>
  <c r="R9" i="70"/>
  <c r="Q153" i="69"/>
  <c r="L180" i="69" s="1"/>
  <c r="L181" i="69" s="1"/>
  <c r="L182" i="69" s="1"/>
  <c r="R4" i="69"/>
  <c r="R153" i="69" s="1"/>
  <c r="R23" i="70"/>
  <c r="P28" i="70"/>
  <c r="Q27" i="70"/>
  <c r="S27" i="70"/>
  <c r="U27" i="70" s="1"/>
  <c r="R14" i="70"/>
  <c r="K101" i="43"/>
  <c r="K102" i="43" s="1"/>
  <c r="J101" i="43"/>
  <c r="J102" i="43" s="1"/>
  <c r="N101" i="43"/>
  <c r="N102" i="43" s="1"/>
  <c r="M101" i="43"/>
  <c r="M102" i="43" s="1"/>
  <c r="C94" i="43"/>
  <c r="H101" i="43"/>
  <c r="H102" i="43" s="1"/>
  <c r="G101" i="43"/>
  <c r="G102" i="43" s="1"/>
  <c r="I101" i="43"/>
  <c r="I102" i="43" s="1"/>
  <c r="I94" i="43"/>
  <c r="L101" i="43"/>
  <c r="L102" i="43" s="1"/>
  <c r="K94" i="43"/>
  <c r="L94" i="43"/>
  <c r="N94" i="43"/>
  <c r="E94" i="43"/>
  <c r="F94" i="43"/>
  <c r="E101" i="43"/>
  <c r="E102" i="43" s="1"/>
  <c r="G94" i="43"/>
  <c r="D94" i="43"/>
  <c r="H94" i="43"/>
  <c r="M94" i="43"/>
  <c r="J94" i="43"/>
  <c r="F101" i="43"/>
  <c r="F102" i="43" s="1"/>
  <c r="D101" i="43"/>
  <c r="D102" i="43" s="1"/>
  <c r="E95" i="43"/>
  <c r="E144" i="43" s="1"/>
  <c r="C95" i="43"/>
  <c r="K95" i="43"/>
  <c r="K144" i="43" s="1"/>
  <c r="N95" i="43"/>
  <c r="N144" i="43" s="1"/>
  <c r="M95" i="43"/>
  <c r="M144" i="43" s="1"/>
  <c r="H95" i="43"/>
  <c r="H144" i="43" s="1"/>
  <c r="G95" i="43"/>
  <c r="G144" i="43" s="1"/>
  <c r="J95" i="43"/>
  <c r="J144" i="43" s="1"/>
  <c r="I95" i="43"/>
  <c r="I144" i="43" s="1"/>
  <c r="D95" i="43"/>
  <c r="D144" i="43" s="1"/>
  <c r="L95" i="43"/>
  <c r="L144" i="43" s="1"/>
  <c r="F95" i="43"/>
  <c r="F144" i="43" s="1"/>
  <c r="G39" i="18" l="1"/>
  <c r="C19" i="56"/>
  <c r="F38" i="18"/>
  <c r="H38" i="18"/>
  <c r="W44" i="52"/>
  <c r="J444" i="53"/>
  <c r="K445" i="53" s="1"/>
  <c r="J478" i="53"/>
  <c r="P29" i="70"/>
  <c r="S28" i="70"/>
  <c r="U28" i="70" s="1"/>
  <c r="Q28" i="70"/>
  <c r="R38" i="70"/>
  <c r="R39" i="70" s="1"/>
  <c r="O95" i="43"/>
  <c r="C144" i="43"/>
  <c r="O144" i="43" s="1"/>
  <c r="I143" i="43"/>
  <c r="I145" i="43" s="1"/>
  <c r="I147" i="43" s="1"/>
  <c r="I96" i="43"/>
  <c r="I98" i="43" s="1"/>
  <c r="I103" i="43" s="1"/>
  <c r="M143" i="43"/>
  <c r="M145" i="43" s="1"/>
  <c r="M147" i="43" s="1"/>
  <c r="M96" i="43"/>
  <c r="M98" i="43" s="1"/>
  <c r="M103" i="43" s="1"/>
  <c r="L143" i="43"/>
  <c r="L145" i="43" s="1"/>
  <c r="L147" i="43" s="1"/>
  <c r="L96" i="43"/>
  <c r="L98" i="43" s="1"/>
  <c r="C101" i="43"/>
  <c r="C102" i="43" s="1"/>
  <c r="O48" i="17"/>
  <c r="O49" i="17"/>
  <c r="J143" i="43"/>
  <c r="J145" i="43" s="1"/>
  <c r="J147" i="43" s="1"/>
  <c r="J96" i="43"/>
  <c r="J98" i="43" s="1"/>
  <c r="J103" i="43" s="1"/>
  <c r="F143" i="43"/>
  <c r="F145" i="43" s="1"/>
  <c r="F147" i="43" s="1"/>
  <c r="F96" i="43"/>
  <c r="F98" i="43" s="1"/>
  <c r="F103" i="43" s="1"/>
  <c r="K143" i="43"/>
  <c r="K145" i="43" s="1"/>
  <c r="K147" i="43" s="1"/>
  <c r="K96" i="43"/>
  <c r="K98" i="43" s="1"/>
  <c r="K103" i="43" s="1"/>
  <c r="G143" i="43"/>
  <c r="G145" i="43" s="1"/>
  <c r="G147" i="43" s="1"/>
  <c r="G96" i="43"/>
  <c r="G98" i="43" s="1"/>
  <c r="G103" i="43" s="1"/>
  <c r="N143" i="43"/>
  <c r="N145" i="43" s="1"/>
  <c r="N147" i="43" s="1"/>
  <c r="N96" i="43"/>
  <c r="N98" i="43" s="1"/>
  <c r="N103" i="43" s="1"/>
  <c r="C143" i="43"/>
  <c r="O94" i="43"/>
  <c r="O96" i="43" s="1"/>
  <c r="O98" i="43" s="1"/>
  <c r="C96" i="43"/>
  <c r="C98" i="43" s="1"/>
  <c r="H143" i="43"/>
  <c r="H145" i="43" s="1"/>
  <c r="H147" i="43" s="1"/>
  <c r="H96" i="43"/>
  <c r="H98" i="43" s="1"/>
  <c r="H103" i="43" s="1"/>
  <c r="D143" i="43"/>
  <c r="D145" i="43" s="1"/>
  <c r="D147" i="43" s="1"/>
  <c r="D96" i="43"/>
  <c r="D98" i="43" s="1"/>
  <c r="D103" i="43" s="1"/>
  <c r="E143" i="43"/>
  <c r="E145" i="43" s="1"/>
  <c r="E147" i="43" s="1"/>
  <c r="E96" i="43"/>
  <c r="E98" i="43" s="1"/>
  <c r="E103" i="43" s="1"/>
  <c r="L103" i="43"/>
  <c r="AY24" i="52" l="1"/>
  <c r="E44" i="79"/>
  <c r="F44" i="79" s="1"/>
  <c r="G38" i="18"/>
  <c r="I38" i="18"/>
  <c r="J38" i="18" s="1"/>
  <c r="K38" i="18" s="1"/>
  <c r="D19" i="56"/>
  <c r="W43" i="52"/>
  <c r="J445" i="53"/>
  <c r="S29" i="70"/>
  <c r="U29" i="70" s="1"/>
  <c r="Q29" i="70"/>
  <c r="R27" i="70" s="1"/>
  <c r="O52" i="17"/>
  <c r="C103" i="43"/>
  <c r="O143" i="43"/>
  <c r="O145" i="43" s="1"/>
  <c r="O147" i="43" s="1"/>
  <c r="C145" i="43"/>
  <c r="C147" i="43" s="1"/>
  <c r="N48" i="17"/>
  <c r="N49" i="17"/>
  <c r="AY23" i="52" l="1"/>
  <c r="E43" i="79"/>
  <c r="S303" i="17"/>
  <c r="S296" i="17"/>
  <c r="P48" i="17"/>
  <c r="T48" i="17" s="1"/>
  <c r="P49" i="17"/>
  <c r="T49" i="17" s="1"/>
  <c r="S297" i="17"/>
  <c r="E306" i="17" s="1"/>
  <c r="K306" i="17" s="1"/>
  <c r="I107" i="17" s="1"/>
  <c r="I59" i="17"/>
  <c r="I61" i="17" s="1"/>
  <c r="N52" i="17"/>
  <c r="T52" i="17" l="1"/>
  <c r="P52" i="17"/>
  <c r="F69" i="55"/>
  <c r="E305" i="17"/>
  <c r="S302" i="17"/>
  <c r="S305" i="17" s="1"/>
  <c r="I62" i="17"/>
  <c r="I64" i="17" s="1"/>
  <c r="J62" i="17"/>
  <c r="F71" i="55" l="1"/>
  <c r="H197" i="62"/>
  <c r="E308" i="17"/>
  <c r="K305" i="17"/>
  <c r="H204" i="62" l="1"/>
  <c r="E41" i="18"/>
  <c r="U43" i="52"/>
  <c r="N45" i="52"/>
  <c r="M45" i="52"/>
  <c r="J194" i="62"/>
  <c r="J197" i="62" s="1"/>
  <c r="H54" i="52"/>
  <c r="I106" i="17"/>
  <c r="I108" i="17" s="1"/>
  <c r="K308" i="17"/>
  <c r="J199" i="62"/>
  <c r="AB43" i="52" l="1"/>
  <c r="AC43" i="52" s="1"/>
  <c r="AK24" i="52" s="1"/>
  <c r="C43" i="79"/>
  <c r="F43" i="79" s="1"/>
  <c r="J204" i="62"/>
  <c r="J205" i="62" s="1"/>
  <c r="C21" i="56"/>
  <c r="F41" i="18"/>
  <c r="X43" i="52"/>
  <c r="O45" i="52"/>
  <c r="J108" i="17"/>
  <c r="K108" i="17" s="1"/>
  <c r="I110" i="17"/>
  <c r="P45" i="52"/>
  <c r="AF43" i="52" l="1"/>
  <c r="AG43" i="52" s="1"/>
  <c r="H41" i="18"/>
  <c r="I41" i="18" s="1"/>
  <c r="K147" i="48" s="1"/>
  <c r="G41" i="18"/>
  <c r="J206" i="62"/>
  <c r="U45" i="52"/>
  <c r="AB45" i="52" l="1"/>
  <c r="AC45" i="52" s="1"/>
  <c r="AF45" i="52" s="1"/>
  <c r="C45" i="79"/>
  <c r="AO24" i="52"/>
  <c r="AU24" i="52" s="1"/>
  <c r="AZ24" i="52" s="1"/>
  <c r="AK23" i="52"/>
  <c r="D21" i="56"/>
  <c r="J41" i="18"/>
  <c r="X44" i="52"/>
  <c r="W45" i="52"/>
  <c r="M8" i="62"/>
  <c r="AY25" i="52" l="1"/>
  <c r="AZ25" i="52" s="1"/>
  <c r="E45" i="79"/>
  <c r="F45" i="79" s="1"/>
  <c r="AG45" i="52"/>
  <c r="AO23" i="52"/>
  <c r="AU23" i="52" s="1"/>
  <c r="K143" i="48"/>
  <c r="K41" i="18"/>
  <c r="X45" i="52"/>
  <c r="AZ23" i="52" l="1"/>
  <c r="L205" i="62"/>
  <c r="L206" i="62" s="1"/>
  <c r="W1611" i="23"/>
  <c r="X1611" i="23" s="1"/>
  <c r="AK460" i="4"/>
  <c r="AK473" i="4" s="1"/>
  <c r="AN460" i="4" l="1"/>
  <c r="AF460" i="4"/>
  <c r="AG460" i="4" l="1"/>
  <c r="AG473" i="4" s="1"/>
  <c r="AF473" i="4"/>
  <c r="AO460" i="4"/>
  <c r="AO473" i="4" s="1"/>
  <c r="AN473" i="4"/>
  <c r="J42" i="74" l="1"/>
  <c r="D262" i="53" s="1"/>
  <c r="C52" i="74" l="1"/>
  <c r="J43" i="74"/>
  <c r="D263" i="53" s="1"/>
  <c r="J27" i="74"/>
  <c r="D223" i="53" s="1"/>
  <c r="J26" i="74"/>
  <c r="D224" i="53" s="1"/>
  <c r="J10" i="74"/>
  <c r="D184" i="53" s="1"/>
  <c r="J9" i="74"/>
  <c r="D185" i="53" s="1"/>
  <c r="J44" i="74"/>
  <c r="D264" i="53" s="1"/>
  <c r="K42" i="74"/>
  <c r="D266" i="53" s="1"/>
  <c r="D52" i="74" l="1"/>
  <c r="C54" i="74"/>
  <c r="C35" i="74"/>
  <c r="J185" i="53"/>
  <c r="C53" i="74"/>
  <c r="J184" i="53"/>
  <c r="E52" i="74"/>
  <c r="C34" i="74"/>
  <c r="C18" i="74"/>
  <c r="K44" i="74"/>
  <c r="D268" i="53" s="1"/>
  <c r="C17" i="74"/>
  <c r="K10" i="74"/>
  <c r="D187" i="53" s="1"/>
  <c r="K27" i="74"/>
  <c r="D226" i="53" s="1"/>
  <c r="K9" i="74"/>
  <c r="D188" i="53" s="1"/>
  <c r="K26" i="74"/>
  <c r="D227" i="53" s="1"/>
  <c r="K43" i="74"/>
  <c r="D267" i="53" s="1"/>
  <c r="D53" i="74" l="1"/>
  <c r="D54" i="74"/>
  <c r="E54" i="74" s="1"/>
  <c r="J262" i="53"/>
  <c r="G262" i="53"/>
  <c r="D35" i="74"/>
  <c r="D34" i="74"/>
  <c r="E34" i="74" s="1"/>
  <c r="D17" i="74"/>
  <c r="E17" i="74" s="1"/>
  <c r="D18" i="74"/>
  <c r="E18" i="74" s="1"/>
  <c r="E53" i="74"/>
  <c r="E35" i="74"/>
  <c r="G185" i="53"/>
  <c r="G184" i="53"/>
  <c r="E55" i="74"/>
  <c r="E19" i="74" l="1"/>
  <c r="J266" i="53"/>
  <c r="G266" i="53"/>
  <c r="J263" i="53"/>
  <c r="G263" i="53"/>
  <c r="J264" i="53"/>
  <c r="G264" i="53"/>
  <c r="G223" i="53"/>
  <c r="J223" i="53"/>
  <c r="J224" i="53"/>
  <c r="G224" i="53"/>
  <c r="E36" i="74"/>
  <c r="J267" i="53" l="1"/>
  <c r="G267" i="53"/>
  <c r="J268" i="53"/>
  <c r="G268" i="53"/>
  <c r="J227" i="53"/>
  <c r="G227" i="53"/>
  <c r="J226" i="53"/>
  <c r="G226" i="53"/>
  <c r="J188" i="53"/>
  <c r="G188" i="53"/>
  <c r="J187" i="53"/>
  <c r="G187" i="53"/>
  <c r="G271" i="53" l="1"/>
  <c r="G273" i="53" s="1"/>
  <c r="G278" i="53" s="1"/>
  <c r="J271" i="53"/>
  <c r="J273" i="53" s="1"/>
  <c r="J278" i="53" s="1"/>
  <c r="J285" i="53" s="1"/>
  <c r="J231" i="53"/>
  <c r="J233" i="53" s="1"/>
  <c r="J238" i="53" s="1"/>
  <c r="J245" i="53" s="1"/>
  <c r="J192" i="53"/>
  <c r="J194" i="53" s="1"/>
  <c r="J199" i="53" s="1"/>
  <c r="J206" i="53" s="1"/>
  <c r="G231" i="53"/>
  <c r="G233" i="53" s="1"/>
  <c r="G238" i="53" s="1"/>
  <c r="G192" i="53"/>
  <c r="G194" i="53" s="1"/>
  <c r="G199" i="53" s="1"/>
  <c r="G245" i="53" l="1"/>
  <c r="E22" i="18" s="1"/>
  <c r="C14" i="56" s="1"/>
  <c r="G285" i="53"/>
  <c r="H21" i="18"/>
  <c r="D13" i="56" s="1"/>
  <c r="H22" i="18"/>
  <c r="H25" i="18"/>
  <c r="D15" i="56" s="1"/>
  <c r="E25" i="18"/>
  <c r="N31" i="52"/>
  <c r="O31" i="52" s="1"/>
  <c r="J287" i="53"/>
  <c r="K288" i="53" s="1"/>
  <c r="J247" i="53"/>
  <c r="K248" i="53" s="1"/>
  <c r="N28" i="52"/>
  <c r="O28" i="52" s="1"/>
  <c r="G206" i="53"/>
  <c r="N27" i="52"/>
  <c r="O27" i="52" s="1"/>
  <c r="F22" i="18" l="1"/>
  <c r="G22" i="18"/>
  <c r="G25" i="18"/>
  <c r="I22" i="18"/>
  <c r="J22" i="18" s="1"/>
  <c r="K22" i="18" s="1"/>
  <c r="D14" i="56"/>
  <c r="E21" i="18"/>
  <c r="C15" i="56"/>
  <c r="F25" i="18"/>
  <c r="E27" i="18"/>
  <c r="F27" i="18" s="1"/>
  <c r="I25" i="18"/>
  <c r="H27" i="18"/>
  <c r="I27" i="18" s="1"/>
  <c r="I21" i="18"/>
  <c r="H23" i="18"/>
  <c r="I23" i="18" s="1"/>
  <c r="W31" i="52"/>
  <c r="J288" i="53"/>
  <c r="J248" i="53"/>
  <c r="W28" i="52"/>
  <c r="N29" i="52"/>
  <c r="O29" i="52" s="1"/>
  <c r="J208" i="53"/>
  <c r="K209" i="53" s="1"/>
  <c r="AY17" i="52" l="1"/>
  <c r="AZ17" i="52" s="1"/>
  <c r="E28" i="79"/>
  <c r="F28" i="79" s="1"/>
  <c r="AY20" i="52"/>
  <c r="AZ20" i="52" s="1"/>
  <c r="E31" i="79"/>
  <c r="F31" i="79" s="1"/>
  <c r="G27" i="18"/>
  <c r="G21" i="18"/>
  <c r="J27" i="18"/>
  <c r="K27" i="18" s="1"/>
  <c r="J25" i="18"/>
  <c r="K25" i="18" s="1"/>
  <c r="C13" i="56"/>
  <c r="F21" i="18"/>
  <c r="J21" i="18" s="1"/>
  <c r="K21" i="18" s="1"/>
  <c r="E23" i="18"/>
  <c r="F23" i="18" s="1"/>
  <c r="J23" i="18" s="1"/>
  <c r="K23" i="18" s="1"/>
  <c r="X31" i="52"/>
  <c r="X28" i="52"/>
  <c r="J209" i="53"/>
  <c r="W27" i="52"/>
  <c r="H34" i="75"/>
  <c r="H33" i="75"/>
  <c r="K17" i="75"/>
  <c r="H36" i="75"/>
  <c r="F17" i="75"/>
  <c r="C19" i="75"/>
  <c r="Q13" i="75"/>
  <c r="Q9" i="75"/>
  <c r="M19" i="75"/>
  <c r="H26" i="75"/>
  <c r="L19" i="75"/>
  <c r="Q16" i="75"/>
  <c r="D19" i="75"/>
  <c r="H12" i="75"/>
  <c r="H8" i="75"/>
  <c r="Q5" i="75"/>
  <c r="G17" i="75"/>
  <c r="H35" i="75"/>
  <c r="H29" i="75"/>
  <c r="N19" i="75"/>
  <c r="P20" i="75" s="1"/>
  <c r="B19" i="75"/>
  <c r="H16" i="75"/>
  <c r="H15" i="75"/>
  <c r="H11" i="75"/>
  <c r="H7" i="75"/>
  <c r="H30" i="75"/>
  <c r="K19" i="75"/>
  <c r="Q14" i="75"/>
  <c r="P17" i="75"/>
  <c r="E17" i="75"/>
  <c r="M17" i="75"/>
  <c r="D17" i="75"/>
  <c r="Q15" i="75"/>
  <c r="Q11" i="75"/>
  <c r="Q7" i="75"/>
  <c r="H25" i="75"/>
  <c r="P19" i="75"/>
  <c r="H14" i="75"/>
  <c r="H10" i="75"/>
  <c r="B17" i="75"/>
  <c r="O17" i="75"/>
  <c r="H27" i="75"/>
  <c r="H9" i="75"/>
  <c r="Q10" i="75"/>
  <c r="F19" i="75"/>
  <c r="H32" i="75"/>
  <c r="E19" i="75"/>
  <c r="G20" i="75" s="1"/>
  <c r="Q8" i="75"/>
  <c r="H5" i="75"/>
  <c r="N17" i="75"/>
  <c r="H28" i="75"/>
  <c r="Q6" i="75"/>
  <c r="L17" i="75"/>
  <c r="C17" i="75"/>
  <c r="H31" i="75"/>
  <c r="H13" i="75"/>
  <c r="Q12" i="75"/>
  <c r="H6" i="75"/>
  <c r="G19" i="75"/>
  <c r="O19" i="75"/>
  <c r="AY18" i="52" l="1"/>
  <c r="AZ18" i="52" s="1"/>
  <c r="E27" i="79"/>
  <c r="F27" i="79" s="1"/>
  <c r="Q19" i="75"/>
  <c r="P21" i="75" s="1"/>
  <c r="H37" i="75"/>
  <c r="X27" i="52"/>
  <c r="W29" i="52"/>
  <c r="O43" i="75"/>
  <c r="O44" i="75" s="1"/>
  <c r="L68" i="75"/>
  <c r="M68" i="75" s="1"/>
  <c r="L73" i="75"/>
  <c r="M73" i="75" s="1"/>
  <c r="L67" i="75"/>
  <c r="M67" i="75" s="1"/>
  <c r="L72" i="75"/>
  <c r="M72" i="75" s="1"/>
  <c r="L77" i="75"/>
  <c r="M77" i="75" s="1"/>
  <c r="L69" i="75"/>
  <c r="M69" i="75" s="1"/>
  <c r="L76" i="75"/>
  <c r="M76" i="75" s="1"/>
  <c r="L75" i="75"/>
  <c r="M75" i="75" s="1"/>
  <c r="L71" i="75"/>
  <c r="M71" i="75" s="1"/>
  <c r="L70" i="75"/>
  <c r="M70" i="75" s="1"/>
  <c r="L74" i="75"/>
  <c r="M74" i="75" s="1"/>
  <c r="Q17" i="75"/>
  <c r="H17" i="75"/>
  <c r="H19" i="75"/>
  <c r="G21" i="75" s="1"/>
  <c r="F43" i="75" s="1"/>
  <c r="F44" i="75" s="1"/>
  <c r="G23" i="18" l="1"/>
  <c r="E29" i="79"/>
  <c r="F29" i="79" s="1"/>
  <c r="F46" i="75"/>
  <c r="F48" i="75"/>
  <c r="C102" i="75"/>
  <c r="E102" i="75" s="1"/>
  <c r="I102" i="75" s="1"/>
  <c r="M66" i="75"/>
  <c r="L66" i="75"/>
  <c r="X29" i="52"/>
  <c r="K93" i="75"/>
  <c r="O93" i="75" s="1"/>
  <c r="J93" i="75"/>
  <c r="N93" i="75" s="1"/>
  <c r="L93" i="75"/>
  <c r="P93" i="75" s="1"/>
  <c r="J86" i="75"/>
  <c r="N86" i="75" s="1"/>
  <c r="L86" i="75"/>
  <c r="P86" i="75" s="1"/>
  <c r="K86" i="75"/>
  <c r="O86" i="75" s="1"/>
  <c r="J90" i="75"/>
  <c r="N90" i="75" s="1"/>
  <c r="L90" i="75"/>
  <c r="P90" i="75" s="1"/>
  <c r="K90" i="75"/>
  <c r="O90" i="75" s="1"/>
  <c r="K91" i="75"/>
  <c r="O91" i="75" s="1"/>
  <c r="J91" i="75"/>
  <c r="N91" i="75" s="1"/>
  <c r="L91" i="75"/>
  <c r="P91" i="75" s="1"/>
  <c r="L88" i="75"/>
  <c r="P88" i="75" s="1"/>
  <c r="J88" i="75"/>
  <c r="N88" i="75" s="1"/>
  <c r="K88" i="75"/>
  <c r="O88" i="75" s="1"/>
  <c r="J94" i="75"/>
  <c r="N94" i="75" s="1"/>
  <c r="L94" i="75"/>
  <c r="P94" i="75" s="1"/>
  <c r="K94" i="75"/>
  <c r="O94" i="75" s="1"/>
  <c r="K85" i="75"/>
  <c r="O85" i="75" s="1"/>
  <c r="J85" i="75"/>
  <c r="N85" i="75" s="1"/>
  <c r="L85" i="75"/>
  <c r="P85" i="75" s="1"/>
  <c r="K87" i="75"/>
  <c r="O87" i="75" s="1"/>
  <c r="L87" i="75"/>
  <c r="P87" i="75" s="1"/>
  <c r="J87" i="75"/>
  <c r="N87" i="75" s="1"/>
  <c r="L92" i="75"/>
  <c r="P92" i="75" s="1"/>
  <c r="K92" i="75"/>
  <c r="O92" i="75" s="1"/>
  <c r="J92" i="75"/>
  <c r="N92" i="75" s="1"/>
  <c r="L89" i="75"/>
  <c r="P89" i="75" s="1"/>
  <c r="K89" i="75"/>
  <c r="O89" i="75" s="1"/>
  <c r="J89" i="75"/>
  <c r="N89" i="75" s="1"/>
  <c r="L84" i="75"/>
  <c r="K84" i="75"/>
  <c r="J84" i="75"/>
  <c r="N84" i="75" s="1"/>
  <c r="N70" i="75"/>
  <c r="R70" i="75"/>
  <c r="P70" i="75"/>
  <c r="Q70" i="75"/>
  <c r="N69" i="75"/>
  <c r="R69" i="75"/>
  <c r="P69" i="75"/>
  <c r="Q69" i="75"/>
  <c r="R73" i="75"/>
  <c r="Q73" i="75"/>
  <c r="N73" i="75"/>
  <c r="P73" i="75"/>
  <c r="R71" i="75"/>
  <c r="Q71" i="75"/>
  <c r="P71" i="75"/>
  <c r="N71" i="75"/>
  <c r="R77" i="75"/>
  <c r="N77" i="75"/>
  <c r="Q77" i="75"/>
  <c r="P77" i="75"/>
  <c r="M78" i="75"/>
  <c r="N78" i="75" s="1"/>
  <c r="Q66" i="75"/>
  <c r="N66" i="75"/>
  <c r="R66" i="75"/>
  <c r="Q75" i="75"/>
  <c r="P75" i="75"/>
  <c r="N75" i="75"/>
  <c r="R75" i="75"/>
  <c r="Q72" i="75"/>
  <c r="R72" i="75"/>
  <c r="N72" i="75"/>
  <c r="P72" i="75"/>
  <c r="R68" i="75"/>
  <c r="N68" i="75"/>
  <c r="Q68" i="75"/>
  <c r="P68" i="75"/>
  <c r="N74" i="75"/>
  <c r="R74" i="75"/>
  <c r="Q74" i="75"/>
  <c r="P74" i="75"/>
  <c r="R76" i="75"/>
  <c r="Q76" i="75"/>
  <c r="N76" i="75"/>
  <c r="P76" i="75"/>
  <c r="Q67" i="75"/>
  <c r="R67" i="75"/>
  <c r="N67" i="75"/>
  <c r="P67" i="75"/>
  <c r="K83" i="75" l="1"/>
  <c r="O83" i="75" s="1"/>
  <c r="J83" i="75"/>
  <c r="N83" i="75" s="1"/>
  <c r="P66" i="75"/>
  <c r="L83" i="75"/>
  <c r="P83" i="75" s="1"/>
  <c r="K96" i="75"/>
  <c r="E108" i="75" s="1"/>
  <c r="O84" i="75"/>
  <c r="O96" i="75" s="1"/>
  <c r="L96" i="75"/>
  <c r="E109" i="75" s="1"/>
  <c r="P84" i="75"/>
  <c r="N96" i="75"/>
  <c r="S68" i="75"/>
  <c r="T68" i="75" s="1"/>
  <c r="S75" i="75"/>
  <c r="T75" i="75" s="1"/>
  <c r="S76" i="75"/>
  <c r="T76" i="75" s="1"/>
  <c r="S77" i="75"/>
  <c r="T77" i="75" s="1"/>
  <c r="S71" i="75"/>
  <c r="T71" i="75" s="1"/>
  <c r="S70" i="75"/>
  <c r="T70" i="75" s="1"/>
  <c r="R78" i="75"/>
  <c r="C105" i="75" s="1"/>
  <c r="E105" i="75" s="1"/>
  <c r="S67" i="75"/>
  <c r="T67" i="75" s="1"/>
  <c r="S72" i="75"/>
  <c r="T72" i="75" s="1"/>
  <c r="S69" i="75"/>
  <c r="T69" i="75" s="1"/>
  <c r="P78" i="75"/>
  <c r="C103" i="75" s="1"/>
  <c r="E103" i="75" s="1"/>
  <c r="AE488" i="4" s="1"/>
  <c r="S66" i="75"/>
  <c r="S74" i="75"/>
  <c r="T74" i="75" s="1"/>
  <c r="Q78" i="75"/>
  <c r="C104" i="75" s="1"/>
  <c r="E104" i="75" s="1"/>
  <c r="S73" i="75"/>
  <c r="T73" i="75" s="1"/>
  <c r="P96" i="75" l="1"/>
  <c r="J96" i="75"/>
  <c r="E107" i="75" s="1"/>
  <c r="F14" i="52"/>
  <c r="AJ488" i="4"/>
  <c r="E14" i="52"/>
  <c r="G61" i="53" s="1"/>
  <c r="AI488" i="4"/>
  <c r="D14" i="52"/>
  <c r="G60" i="53" s="1"/>
  <c r="AH488" i="4"/>
  <c r="I103" i="75"/>
  <c r="AF487" i="4" s="1"/>
  <c r="AG487" i="4" s="1"/>
  <c r="G17" i="53" s="1"/>
  <c r="I109" i="75"/>
  <c r="I108" i="75"/>
  <c r="I107" i="75"/>
  <c r="E111" i="75"/>
  <c r="S78" i="75"/>
  <c r="T66" i="75"/>
  <c r="G38" i="75"/>
  <c r="G39" i="75"/>
  <c r="D13" i="52" l="1"/>
  <c r="G25" i="53" s="1"/>
  <c r="E13" i="52"/>
  <c r="G26" i="53" s="1"/>
  <c r="F13" i="52"/>
  <c r="G27" i="53" s="1"/>
  <c r="C14" i="52"/>
  <c r="I10" i="56" s="1"/>
  <c r="AM488" i="4"/>
  <c r="AF488" i="4" s="1"/>
  <c r="AG488" i="4" s="1"/>
  <c r="G52" i="53" s="1"/>
  <c r="I111" i="75"/>
  <c r="J60" i="53"/>
  <c r="Q14" i="52"/>
  <c r="C13" i="52" l="1"/>
  <c r="I9" i="56" s="1"/>
  <c r="I24" i="56"/>
  <c r="G49" i="52" s="1"/>
  <c r="M49" i="52" s="1"/>
  <c r="P49" i="52" s="1"/>
  <c r="U49" i="52" s="1"/>
  <c r="AB49" i="52" s="1"/>
  <c r="AF49" i="52" s="1"/>
  <c r="AG49" i="52" s="1"/>
  <c r="D47" i="52"/>
  <c r="J52" i="53"/>
  <c r="J53" i="53" s="1"/>
  <c r="J57" i="53" s="1"/>
  <c r="Q13" i="52"/>
  <c r="Q47" i="52" s="1"/>
  <c r="C47" i="52"/>
  <c r="J25" i="53"/>
  <c r="X49" i="52" l="1"/>
  <c r="G53" i="53"/>
  <c r="G57" i="53" s="1"/>
  <c r="J17" i="53"/>
  <c r="J18" i="53" s="1"/>
  <c r="J22" i="53" s="1"/>
  <c r="N14" i="52" l="1"/>
  <c r="D54" i="52"/>
  <c r="G18" i="53"/>
  <c r="G22" i="53" s="1"/>
  <c r="C128" i="17"/>
  <c r="C130" i="17" s="1"/>
  <c r="C112" i="17" s="1"/>
  <c r="K112" i="17" s="1"/>
  <c r="K114" i="17" s="1"/>
  <c r="N13" i="52" l="1"/>
  <c r="U18" i="52"/>
  <c r="T20" i="52"/>
  <c r="T47" i="52" s="1"/>
  <c r="U20" i="52" l="1"/>
  <c r="AB20" i="52" s="1"/>
  <c r="AC20" i="52" s="1"/>
  <c r="AK15" i="52" l="1"/>
  <c r="AF20" i="52"/>
  <c r="S13" i="52"/>
  <c r="J27" i="53"/>
  <c r="R13" i="52"/>
  <c r="J26" i="53"/>
  <c r="G29" i="53"/>
  <c r="G13" i="52"/>
  <c r="AG20" i="52" l="1"/>
  <c r="AO15" i="52"/>
  <c r="AU15" i="52" s="1"/>
  <c r="J29" i="53"/>
  <c r="J31" i="53" s="1"/>
  <c r="K32" i="53" s="1"/>
  <c r="E9" i="18"/>
  <c r="M13" i="52"/>
  <c r="G9" i="18" l="1"/>
  <c r="H9" i="18"/>
  <c r="F9" i="18"/>
  <c r="C9" i="56"/>
  <c r="J19" i="56"/>
  <c r="J17" i="56"/>
  <c r="J15" i="56"/>
  <c r="J13" i="56"/>
  <c r="J12" i="56"/>
  <c r="J21" i="56"/>
  <c r="J20" i="56"/>
  <c r="J18" i="56"/>
  <c r="J16" i="56"/>
  <c r="J14" i="56"/>
  <c r="W13" i="52"/>
  <c r="E13" i="79" s="1"/>
  <c r="F13" i="79" s="1"/>
  <c r="J32" i="53"/>
  <c r="O13" i="52"/>
  <c r="P13" i="52"/>
  <c r="M9" i="18" l="1"/>
  <c r="N9" i="18" s="1"/>
  <c r="O9" i="18" s="1"/>
  <c r="P9" i="18" s="1"/>
  <c r="D9" i="56"/>
  <c r="E9" i="56" s="1"/>
  <c r="F9" i="56" s="1"/>
  <c r="AY13" i="52"/>
  <c r="J9" i="56"/>
  <c r="E14" i="56"/>
  <c r="F14" i="56" s="1"/>
  <c r="E18" i="56"/>
  <c r="F18" i="56" s="1"/>
  <c r="E16" i="56"/>
  <c r="F16" i="56" s="1"/>
  <c r="E20" i="56"/>
  <c r="F20" i="56" s="1"/>
  <c r="G114" i="53"/>
  <c r="E13" i="56"/>
  <c r="F13" i="56" s="1"/>
  <c r="E17" i="56"/>
  <c r="F17" i="56" s="1"/>
  <c r="E21" i="56"/>
  <c r="F21" i="56" s="1"/>
  <c r="E22" i="56"/>
  <c r="F22" i="56" s="1"/>
  <c r="E12" i="56"/>
  <c r="F12" i="56" s="1"/>
  <c r="E15" i="56"/>
  <c r="F15" i="56" s="1"/>
  <c r="E19" i="56"/>
  <c r="F19" i="56" s="1"/>
  <c r="G115" i="53"/>
  <c r="J115" i="53"/>
  <c r="U13" i="52"/>
  <c r="AB13" i="52" s="1"/>
  <c r="J9" i="18"/>
  <c r="K9" i="18" s="1"/>
  <c r="AC13" i="52" l="1"/>
  <c r="J114" i="53"/>
  <c r="J118" i="53" s="1"/>
  <c r="J120" i="53" s="1"/>
  <c r="J124" i="53" s="1"/>
  <c r="J131" i="53" s="1"/>
  <c r="H15" i="18" s="1"/>
  <c r="G118" i="53"/>
  <c r="G120" i="53" s="1"/>
  <c r="G124" i="53" s="1"/>
  <c r="X13" i="52"/>
  <c r="AK13" i="52" l="1"/>
  <c r="AF13" i="52"/>
  <c r="AO13" i="52" s="1"/>
  <c r="I15" i="18"/>
  <c r="D11" i="56"/>
  <c r="G131" i="53"/>
  <c r="N20" i="52"/>
  <c r="AG13" i="52" l="1"/>
  <c r="AU13" i="52"/>
  <c r="O20" i="52"/>
  <c r="N47" i="52"/>
  <c r="E15" i="18"/>
  <c r="J133" i="53"/>
  <c r="F47" i="52"/>
  <c r="F54" i="52" s="1"/>
  <c r="S14" i="52"/>
  <c r="S47" i="52" s="1"/>
  <c r="E47" i="52"/>
  <c r="G62" i="53"/>
  <c r="J62" i="53" s="1"/>
  <c r="G14" i="52"/>
  <c r="M14" i="52" s="1"/>
  <c r="J61" i="53"/>
  <c r="R14" i="52"/>
  <c r="R47" i="52" s="1"/>
  <c r="K134" i="53" l="1"/>
  <c r="AZ13" i="52"/>
  <c r="W20" i="52"/>
  <c r="G15" i="18"/>
  <c r="J134" i="53"/>
  <c r="J64" i="53"/>
  <c r="C11" i="56"/>
  <c r="J11" i="56" s="1"/>
  <c r="F15" i="18"/>
  <c r="J15" i="18" s="1"/>
  <c r="K15" i="18" s="1"/>
  <c r="O14" i="52"/>
  <c r="O47" i="52" s="1"/>
  <c r="M47" i="52"/>
  <c r="P14" i="52"/>
  <c r="G47" i="52"/>
  <c r="G64" i="53"/>
  <c r="E54" i="52"/>
  <c r="AY15" i="52" l="1"/>
  <c r="AZ15" i="52" s="1"/>
  <c r="E20" i="79"/>
  <c r="F20" i="79" s="1"/>
  <c r="X20" i="52"/>
  <c r="H10" i="18"/>
  <c r="E11" i="56"/>
  <c r="F11" i="56" s="1"/>
  <c r="E10" i="18"/>
  <c r="J66" i="53"/>
  <c r="K67" i="53" s="1"/>
  <c r="U14" i="52"/>
  <c r="AB14" i="52" s="1"/>
  <c r="P47" i="52"/>
  <c r="G10" i="18" l="1"/>
  <c r="AC14" i="52"/>
  <c r="AB47" i="52"/>
  <c r="I10" i="18"/>
  <c r="D10" i="56"/>
  <c r="C10" i="56"/>
  <c r="C23" i="56" s="1"/>
  <c r="C29" i="56" s="1"/>
  <c r="U47" i="52"/>
  <c r="F10" i="18"/>
  <c r="W14" i="52"/>
  <c r="E14" i="79" s="1"/>
  <c r="J67" i="53"/>
  <c r="J22" i="56"/>
  <c r="C47" i="79" l="1"/>
  <c r="Y62" i="52"/>
  <c r="Y45" i="52" s="1"/>
  <c r="F14" i="79"/>
  <c r="AC47" i="52"/>
  <c r="AK14" i="52"/>
  <c r="AK27" i="52" s="1"/>
  <c r="AF14" i="52"/>
  <c r="AY14" i="52"/>
  <c r="W62" i="52"/>
  <c r="J10" i="56"/>
  <c r="J24" i="56" s="1"/>
  <c r="D23" i="56"/>
  <c r="D29" i="56" s="1"/>
  <c r="E10" i="56"/>
  <c r="F10" i="56" s="1"/>
  <c r="I25" i="56"/>
  <c r="J25" i="56" s="1"/>
  <c r="J10" i="18"/>
  <c r="K10" i="18" s="1"/>
  <c r="W47" i="52"/>
  <c r="E47" i="79" s="1"/>
  <c r="X14" i="52"/>
  <c r="Y20" i="52" l="1"/>
  <c r="Y44" i="52"/>
  <c r="Y13" i="52"/>
  <c r="Y35" i="52"/>
  <c r="Y14" i="52"/>
  <c r="Y25" i="52"/>
  <c r="Z25" i="52" s="1"/>
  <c r="Y33" i="52"/>
  <c r="Z33" i="52" s="1"/>
  <c r="Y27" i="52"/>
  <c r="Z27" i="52" s="1"/>
  <c r="Y37" i="52"/>
  <c r="Z37" i="52" s="1"/>
  <c r="Y43" i="52"/>
  <c r="Z43" i="52" s="1"/>
  <c r="Y31" i="52"/>
  <c r="Z31" i="52" s="1"/>
  <c r="Y28" i="52"/>
  <c r="Z28" i="52" s="1"/>
  <c r="F47" i="79"/>
  <c r="AG14" i="52"/>
  <c r="AO14" i="52"/>
  <c r="AF47" i="52"/>
  <c r="AY12" i="52"/>
  <c r="E23" i="56"/>
  <c r="C54" i="52"/>
  <c r="Z45" i="52"/>
  <c r="Z35" i="52"/>
  <c r="Z44" i="52"/>
  <c r="X47" i="52"/>
  <c r="W54" i="52"/>
  <c r="E54" i="79" s="1"/>
  <c r="Y29" i="52" l="1"/>
  <c r="Z29" i="52" s="1"/>
  <c r="AG47" i="52"/>
  <c r="AO12" i="52"/>
  <c r="AO27" i="52"/>
  <c r="AU14" i="52"/>
  <c r="W60" i="52"/>
  <c r="W58" i="52"/>
  <c r="X58" i="52" s="1"/>
  <c r="Z14" i="52"/>
  <c r="Z13" i="52"/>
  <c r="F23" i="56"/>
  <c r="E29" i="56"/>
  <c r="F29" i="56" s="1"/>
  <c r="G50" i="52"/>
  <c r="M50" i="52" s="1"/>
  <c r="P50" i="52" s="1"/>
  <c r="AU12" i="52" l="1"/>
  <c r="AZ12" i="52" s="1"/>
  <c r="AZ14" i="52"/>
  <c r="M54" i="52"/>
  <c r="G54" i="52"/>
  <c r="U50" i="52"/>
  <c r="AB50" i="52" s="1"/>
  <c r="P54" i="52"/>
  <c r="AF50" i="52" l="1"/>
  <c r="AG50" i="52" s="1"/>
  <c r="AC54" i="52"/>
  <c r="AB54" i="52"/>
  <c r="X50" i="52"/>
  <c r="U54" i="52"/>
  <c r="X54" i="52" l="1"/>
  <c r="C54" i="79"/>
  <c r="F54" i="79" s="1"/>
  <c r="AF54" i="52"/>
  <c r="AG54" i="52" s="1"/>
</calcChain>
</file>

<file path=xl/comments1.xml><?xml version="1.0" encoding="utf-8"?>
<comments xmlns="http://schemas.openxmlformats.org/spreadsheetml/2006/main">
  <authors>
    <author>Author</author>
  </authors>
  <commentList>
    <comment ref="I7" authorId="0" shapeId="0">
      <text>
        <r>
          <rPr>
            <b/>
            <sz val="9"/>
            <color indexed="81"/>
            <rFont val="Tahoma"/>
            <family val="2"/>
          </rPr>
          <t>Author:</t>
        </r>
        <r>
          <rPr>
            <sz val="9"/>
            <color indexed="81"/>
            <rFont val="Tahoma"/>
            <family val="2"/>
          </rPr>
          <t xml:space="preserve">
Includes power factor adjustment</t>
        </r>
      </text>
    </comment>
    <comment ref="I24" authorId="0" shapeId="0">
      <text>
        <r>
          <rPr>
            <b/>
            <sz val="9"/>
            <color indexed="81"/>
            <rFont val="Tahoma"/>
            <family val="2"/>
          </rPr>
          <t>Author:</t>
        </r>
        <r>
          <rPr>
            <sz val="9"/>
            <color indexed="81"/>
            <rFont val="Tahoma"/>
            <family val="2"/>
          </rPr>
          <t xml:space="preserve">
Includes power factor adjustment</t>
        </r>
      </text>
    </comment>
    <comment ref="I40" authorId="0" shapeId="0">
      <text>
        <r>
          <rPr>
            <b/>
            <sz val="9"/>
            <color indexed="81"/>
            <rFont val="Tahoma"/>
            <family val="2"/>
          </rPr>
          <t>Author:</t>
        </r>
        <r>
          <rPr>
            <sz val="9"/>
            <color indexed="81"/>
            <rFont val="Tahoma"/>
            <family val="2"/>
          </rPr>
          <t xml:space="preserve">
Includes power factor adjustment</t>
        </r>
      </text>
    </comment>
  </commentList>
</comments>
</file>

<file path=xl/sharedStrings.xml><?xml version="1.0" encoding="utf-8"?>
<sst xmlns="http://schemas.openxmlformats.org/spreadsheetml/2006/main" count="20795" uniqueCount="1873">
  <si>
    <t>Revenue Period</t>
  </si>
  <si>
    <t xml:space="preserve"> # Billed  Contracts</t>
  </si>
  <si>
    <t xml:space="preserve"> Total  KWH</t>
  </si>
  <si>
    <t>Power Factor Adj</t>
  </si>
  <si>
    <t>Company Code Group</t>
  </si>
  <si>
    <t>Rate Category</t>
  </si>
  <si>
    <t>KWH</t>
  </si>
  <si>
    <t>$</t>
  </si>
  <si>
    <t>Result</t>
  </si>
  <si>
    <t>Date Block</t>
  </si>
  <si>
    <t>Tariff</t>
  </si>
  <si>
    <t>Lookup Code</t>
  </si>
  <si>
    <t>Energy Rate-ECR Only</t>
  </si>
  <si>
    <t>Energy Rate-FAC Only</t>
  </si>
  <si>
    <t>RS</t>
  </si>
  <si>
    <t>RSNM</t>
  </si>
  <si>
    <t>RSVFD</t>
  </si>
  <si>
    <t>GS3</t>
  </si>
  <si>
    <t>RTS</t>
  </si>
  <si>
    <t>LE</t>
  </si>
  <si>
    <t>TE</t>
  </si>
  <si>
    <t>Base</t>
  </si>
  <si>
    <t>Intermediate</t>
  </si>
  <si>
    <t>Peak</t>
  </si>
  <si>
    <t>PSS</t>
  </si>
  <si>
    <t>PSP</t>
  </si>
  <si>
    <t>FLSP</t>
  </si>
  <si>
    <t>FLST</t>
  </si>
  <si>
    <t>Customer Charge/Per Light Unit Charge</t>
  </si>
  <si>
    <t>End</t>
  </si>
  <si>
    <t>Date Ranges for Rate Changes and Block Definitions</t>
  </si>
  <si>
    <t>Beginning</t>
  </si>
  <si>
    <t>Ending</t>
  </si>
  <si>
    <t>PK</t>
  </si>
  <si>
    <t xml:space="preserve"> RateClass </t>
  </si>
  <si>
    <t xml:space="preserve"> Energy </t>
  </si>
  <si>
    <t xml:space="preserve"> CustChrg </t>
  </si>
  <si>
    <t xml:space="preserve"> CustRevenue </t>
  </si>
  <si>
    <t xml:space="preserve"> Basic Demand Rev </t>
  </si>
  <si>
    <t xml:space="preserve"> Intermediate Demand Revenue </t>
  </si>
  <si>
    <t xml:space="preserve"> Peak Demand Revenue </t>
  </si>
  <si>
    <t xml:space="preserve"> Total Calculated Demand Revenue </t>
  </si>
  <si>
    <t xml:space="preserve"> Calculated Base Revenue (including power factor adjustment) </t>
  </si>
  <si>
    <t xml:space="preserve"> Actual Base Revenue </t>
  </si>
  <si>
    <t xml:space="preserve"> Correction Factor </t>
  </si>
  <si>
    <t xml:space="preserve"> FACRev </t>
  </si>
  <si>
    <t xml:space="preserve"> DSMRev </t>
  </si>
  <si>
    <t xml:space="preserve"> ECRRev </t>
  </si>
  <si>
    <t xml:space="preserve"> MSCRev </t>
  </si>
  <si>
    <t xml:space="preserve"> Curtailable Serv Rider </t>
  </si>
  <si>
    <t>RateCategory</t>
  </si>
  <si>
    <t xml:space="preserve"> ContractCnt </t>
  </si>
  <si>
    <t>Color Code on 12MonResults tab:</t>
  </si>
  <si>
    <t>No data existing until new rates go into effect</t>
  </si>
  <si>
    <t>Values linked from Rates tab</t>
  </si>
  <si>
    <t>Calculations performed on 12MonResults tab</t>
  </si>
  <si>
    <t>Formula must be adjusted specifically for designated cells</t>
  </si>
  <si>
    <t>Retail Transmission Service</t>
  </si>
  <si>
    <t>Traffic Energy Service</t>
  </si>
  <si>
    <t>Total</t>
  </si>
  <si>
    <t>DSM</t>
  </si>
  <si>
    <t>FAC</t>
  </si>
  <si>
    <t>ECR</t>
  </si>
  <si>
    <t>General Service Three Phase</t>
  </si>
  <si>
    <t># Lights at start of Period</t>
  </si>
  <si>
    <t>Values linked from "1051" tab (lighting poles and bases charges)</t>
  </si>
  <si>
    <t>Values linked from "1040" tab (billing factor details)</t>
  </si>
  <si>
    <t>Values linked from "1022" tab (statistics and revenue by rate category)</t>
  </si>
  <si>
    <t>Difference</t>
  </si>
  <si>
    <t>Group Company Code</t>
  </si>
  <si>
    <t>Values linked from "1055" tab (lighting details)</t>
  </si>
  <si>
    <t>Revenue Month</t>
  </si>
  <si>
    <t>CSR</t>
  </si>
  <si>
    <t>ODL</t>
  </si>
  <si>
    <t>Test Year Date Range:</t>
  </si>
  <si>
    <t>Begin</t>
  </si>
  <si>
    <t>Year End Customers</t>
  </si>
  <si>
    <t>Exhibit to Testimony</t>
  </si>
  <si>
    <t>Exh. Number for Footers</t>
  </si>
  <si>
    <t>Power Service</t>
  </si>
  <si>
    <t>Secondary</t>
  </si>
  <si>
    <t>Primary</t>
  </si>
  <si>
    <t>Industrial Time of Day</t>
  </si>
  <si>
    <t>Retail Transmisison Service</t>
  </si>
  <si>
    <t>Traffic Energy</t>
  </si>
  <si>
    <t>Lighting Service</t>
  </si>
  <si>
    <t>Lighting Energy</t>
  </si>
  <si>
    <t>Year-End Over / (Under) 13-Month Average</t>
  </si>
  <si>
    <t>Actual kWh</t>
  </si>
  <si>
    <t>Average kWh per Customer per Year</t>
  </si>
  <si>
    <t>Year-End kWh Adjustment</t>
  </si>
  <si>
    <t>Average Revenue per kWh</t>
  </si>
  <si>
    <t>Revenue Adjustment</t>
  </si>
  <si>
    <t>Ranges for Date Lookups</t>
  </si>
  <si>
    <t>Customers</t>
  </si>
  <si>
    <t>Lights</t>
  </si>
  <si>
    <t>Checks</t>
  </si>
  <si>
    <t>Per 13th Month Tab</t>
  </si>
  <si>
    <t>Per 12MonResults Tab</t>
  </si>
  <si>
    <t>Per Year End Customers Tab</t>
  </si>
  <si>
    <t>Sponsoring Witness</t>
  </si>
  <si>
    <t>Seelye</t>
  </si>
  <si>
    <t>Reconstruction of Test Year Revenues-Summary</t>
  </si>
  <si>
    <t>Rate Class Lookup Key - Do Not Print this column!!</t>
  </si>
  <si>
    <t>Residential Rate</t>
  </si>
  <si>
    <t>Total Residential Service</t>
  </si>
  <si>
    <t>Residential Service</t>
  </si>
  <si>
    <t>General Service Rate</t>
  </si>
  <si>
    <t>General Service</t>
  </si>
  <si>
    <t>Total General Service</t>
  </si>
  <si>
    <t>Power Service Rate</t>
  </si>
  <si>
    <t>Total Power Service</t>
  </si>
  <si>
    <t>Fluctuating Load Service</t>
  </si>
  <si>
    <t>DSM Billings</t>
  </si>
  <si>
    <t>Bill Frequency Poles and Bases Report by Month -- provides a count of billed poles and bases by rate category</t>
  </si>
  <si>
    <t>Bill Frequency Lighting Report including billing factor revenues -- provides count, energy, and revenue by installed light using rate category</t>
  </si>
  <si>
    <t>Bill Frequency Billing Factor Revenues by Month -- provides monthly FAC, DSM, ECR, and CSR revenues by rate category</t>
  </si>
  <si>
    <t>Bill Frequency Summary by Month -- provides following billed data:  customer count, energy, demand by period, customer revenues, energy revenues, demand revenues and total revenues</t>
  </si>
  <si>
    <t>Rates</t>
  </si>
  <si>
    <t>provides, by rate category and rate component, as billed tariff rates in total and in ECR &amp; FAC components, for each rate change applicable in the test year</t>
  </si>
  <si>
    <t>Reconciliation</t>
  </si>
  <si>
    <t>ties bill frequency and 12MonResults totals to Sales by Rates, Revenue Volume Analysis, and General Ledger by month</t>
  </si>
  <si>
    <t>MiscData</t>
  </si>
  <si>
    <t>Contains relevant keys to the Indirect Functions in the 12MonResults tab.</t>
  </si>
  <si>
    <t>Counts the number of rows for each month for each source tab described above, and determines the beginning and ending row for each month's data.</t>
  </si>
  <si>
    <t>This information is used to establish the ranges used in the SUMIF function to bring the monthly statistics and revenue amounts into the 12MonResults tab to reconstruct the billings</t>
  </si>
  <si>
    <t>Also contains the specification of the test year period so date ranges do not have to be updated in multiple locations</t>
  </si>
  <si>
    <t>Contains a list of exhibits produced by the Billing determinants spreadsheet along with sponsoring witness to facilitate updating and printing final exhibits.</t>
  </si>
  <si>
    <t xml:space="preserve">Contains the date of each rate change and the start and end dates for rates in effect in the test year.  This table establishes the lookup keys that allow the correct rate to be retreived from </t>
  </si>
  <si>
    <t>the Rates tab and inserted into the 12MonResults tab automatically.</t>
  </si>
  <si>
    <t>Contains a 'color' key to identify the source tabs for the data in the 12MonResults tab</t>
  </si>
  <si>
    <t>Reconstruction of Test Year Revenues-Detail</t>
  </si>
  <si>
    <t>Effects of Base Rate Changes</t>
  </si>
  <si>
    <t>Conroy</t>
  </si>
  <si>
    <t>FAC Roll-in</t>
  </si>
  <si>
    <t>Demand</t>
  </si>
  <si>
    <t>Revenue</t>
  </si>
  <si>
    <t xml:space="preserve"> </t>
  </si>
  <si>
    <t>Correction Factor -</t>
  </si>
  <si>
    <t xml:space="preserve">           TOTAL AFTER APPLICATION OF CORRECTION FACTOR</t>
  </si>
  <si>
    <t>PRO FORMA REVENUE ADJUSTMENTS:</t>
  </si>
  <si>
    <t>Fuel Adjustment Clause Billings</t>
  </si>
  <si>
    <t>Demand Side Management Billings</t>
  </si>
  <si>
    <t>Environmental Cost Recovery Surcharge Billings</t>
  </si>
  <si>
    <t>Temperature Normalization Revenue Adjustment</t>
  </si>
  <si>
    <t>Year End Customer Revenue Adjustment</t>
  </si>
  <si>
    <t>Total Pro Forma Revenue Adjustments</t>
  </si>
  <si>
    <t xml:space="preserve">Total Test Year Adjusted Revenues </t>
  </si>
  <si>
    <t xml:space="preserve">kWh billed at </t>
  </si>
  <si>
    <t>Start of TY to 1st rate change:</t>
  </si>
  <si>
    <t>1st change to 2nd change:</t>
  </si>
  <si>
    <t>2nd change to end of TY:</t>
  </si>
  <si>
    <t>KUCIE550</t>
  </si>
  <si>
    <t>KUCIE561</t>
  </si>
  <si>
    <t>KUCIE562</t>
  </si>
  <si>
    <t>KUCIE563</t>
  </si>
  <si>
    <t>KUCIE566</t>
  </si>
  <si>
    <t>KUCIE568</t>
  </si>
  <si>
    <t>KUCIE571</t>
  </si>
  <si>
    <t>KUCIE572</t>
  </si>
  <si>
    <t>KUCIE717</t>
  </si>
  <si>
    <t>KUCME110</t>
  </si>
  <si>
    <t>KUCME112</t>
  </si>
  <si>
    <t>KUCME113</t>
  </si>
  <si>
    <t>KUCME220</t>
  </si>
  <si>
    <t>KUCME221</t>
  </si>
  <si>
    <t>KUCME223</t>
  </si>
  <si>
    <t>KUCME224</t>
  </si>
  <si>
    <t>KUCME295</t>
  </si>
  <si>
    <t>KUCME710</t>
  </si>
  <si>
    <t>KUCME713</t>
  </si>
  <si>
    <t>KUCSR760</t>
  </si>
  <si>
    <t>KUCSR761</t>
  </si>
  <si>
    <t>KUINE730</t>
  </si>
  <si>
    <t>KURSE010</t>
  </si>
  <si>
    <t>KURSE020</t>
  </si>
  <si>
    <t>KURSE025</t>
  </si>
  <si>
    <t>KURSE080</t>
  </si>
  <si>
    <t>KURSE715</t>
  </si>
  <si>
    <t>0110</t>
  </si>
  <si>
    <t>Power Service Primary</t>
  </si>
  <si>
    <t>Power Service Secondary</t>
  </si>
  <si>
    <t>Time-of-Day Primary Service</t>
  </si>
  <si>
    <t>Power Service Primary - PF Adjusted</t>
  </si>
  <si>
    <t>Power Service - Secondary  Pf Adj</t>
  </si>
  <si>
    <t>Time-of-Day Service - Primary</t>
  </si>
  <si>
    <t>Time-of-Day Secondary Service</t>
  </si>
  <si>
    <t>Power Service Secondary - Net Metering</t>
  </si>
  <si>
    <t>All Electric School Single Ph Secondary</t>
  </si>
  <si>
    <t>All Electric School Single Phase Primary</t>
  </si>
  <si>
    <t>All Electric School 3-Phase Secondary</t>
  </si>
  <si>
    <t>All Electric School 3-Phase Primary</t>
  </si>
  <si>
    <t>Fluctuating Load Service - Transmission</t>
  </si>
  <si>
    <t>KUMNE902</t>
  </si>
  <si>
    <t>Wholesale Power Sales - Primary</t>
  </si>
  <si>
    <t>KUMNE903</t>
  </si>
  <si>
    <t>Wholesale Power Sales - Transmission</t>
  </si>
  <si>
    <t>KUMNE934</t>
  </si>
  <si>
    <t>Wholesale Power Sales, Paris Transmis</t>
  </si>
  <si>
    <t>Residential Service - All Electric</t>
  </si>
  <si>
    <t>Residential Service - Three Phase</t>
  </si>
  <si>
    <t>Volunteer Fire Department</t>
  </si>
  <si>
    <t>Residential Service - Net Metering</t>
  </si>
  <si>
    <t>AES</t>
  </si>
  <si>
    <t>TODS</t>
  </si>
  <si>
    <t>TODP</t>
  </si>
  <si>
    <t>RSLEV</t>
  </si>
  <si>
    <t>RS3</t>
  </si>
  <si>
    <t>GS</t>
  </si>
  <si>
    <t>GSNM</t>
  </si>
  <si>
    <t>GS3NM</t>
  </si>
  <si>
    <t>AESP</t>
  </si>
  <si>
    <t>AES3</t>
  </si>
  <si>
    <t>AES3P</t>
  </si>
  <si>
    <t>PSSNM</t>
  </si>
  <si>
    <t>KUINE731</t>
  </si>
  <si>
    <t>KUCME291</t>
  </si>
  <si>
    <t>KUCME290</t>
  </si>
  <si>
    <t>KUCME292</t>
  </si>
  <si>
    <t>1,000 Lumen Incand Std</t>
  </si>
  <si>
    <t>10,000 Lumen MV Ormtl</t>
  </si>
  <si>
    <t>10,000 Lumen MV Std</t>
  </si>
  <si>
    <t>107,800L Fix With M Pole Cont-MH</t>
  </si>
  <si>
    <t>107,800L Fix With M Pole Dir-MH</t>
  </si>
  <si>
    <t>107,800L Fix With W Pole Dir-MH</t>
  </si>
  <si>
    <t>107,800L Fixture Only Cont-MH RC-493</t>
  </si>
  <si>
    <t>107,800L Fixture Only Dir-MH</t>
  </si>
  <si>
    <t>12,000L Fix With M Pole Cont-MH</t>
  </si>
  <si>
    <t>12,000L Fix With M Pole Dir-MH</t>
  </si>
  <si>
    <t>12,000L Fix with W Pole Dir-MH RC-454</t>
  </si>
  <si>
    <t>12,000L Fixture Only Cont-MH RC-490</t>
  </si>
  <si>
    <t>12,000L Fixture Only Dir-MH RC-450</t>
  </si>
  <si>
    <t>16,000L Granville( Config A) UG RC-360</t>
  </si>
  <si>
    <t>16,000L Granville( Config A) UG RC-395</t>
  </si>
  <si>
    <t>16,000L Granville( Config A1) UG RC-370</t>
  </si>
  <si>
    <t>16,000L Granville( Config A2) UG RC-373</t>
  </si>
  <si>
    <t>16,000L Granville( Config A3) UG RC-377</t>
  </si>
  <si>
    <t>16,000L Granville( Config B) UG RC-361</t>
  </si>
  <si>
    <t>16,000L Granville( Config B2) UG RC-376</t>
  </si>
  <si>
    <t>16,000L Granville( Config B3) UG</t>
  </si>
  <si>
    <t>16,000L Granville( Config C) UG RC-362</t>
  </si>
  <si>
    <t>16,000L Granville( Config D) UG RC-363</t>
  </si>
  <si>
    <t>16,000L Granville( Config E) UG RC-364</t>
  </si>
  <si>
    <t>16,000L Granville( Config E1) UG RC-372</t>
  </si>
  <si>
    <t>16,000L Granville( Config F) UG RC-365</t>
  </si>
  <si>
    <t>16,000L Granville( Config G) UG RC-366</t>
  </si>
  <si>
    <t>16,000L Granville( Config G1) UG RC-375</t>
  </si>
  <si>
    <t>16,000L Granville( Config H) UG RC-367</t>
  </si>
  <si>
    <t>16,000L Granville( Config I) UG RC-368</t>
  </si>
  <si>
    <t>2,500 Lumen Incand Std</t>
  </si>
  <si>
    <t>20,000 Lumen MV Ormtl</t>
  </si>
  <si>
    <t>20,000L Cobra Head M V Std RC-405</t>
  </si>
  <si>
    <t>20,000L MV Special Lighting RC-408</t>
  </si>
  <si>
    <t>22,000 Lumen HPS Ormtl RC-474</t>
  </si>
  <si>
    <t>22,000 Lumen HPS Std</t>
  </si>
  <si>
    <t>22,000L Cobra Head HPS Std</t>
  </si>
  <si>
    <t>22,000L Contemp Decor UG RC-485</t>
  </si>
  <si>
    <t>22,000L Contemporary HPS UG RC-478</t>
  </si>
  <si>
    <t>22,000L Directional HPS RC-488</t>
  </si>
  <si>
    <t>32,000L Fix with M Pole Cont-MH RC-495</t>
  </si>
  <si>
    <t>32,000L Fix With M Pole Dir-MH</t>
  </si>
  <si>
    <t>32,000L Fix with W Pole Dir-MH</t>
  </si>
  <si>
    <t>32,000L Fixture Only Cont-MH  RC-491</t>
  </si>
  <si>
    <t>32,000L Fixture Only Dir-MH RC-451</t>
  </si>
  <si>
    <t>4,000 Lumen HPS Ormtl RC-471</t>
  </si>
  <si>
    <t>4,000 Lumen HPS Std RC-461</t>
  </si>
  <si>
    <t>4,000 Lumen Incand Ormtl</t>
  </si>
  <si>
    <t>4,000 Lumen Incand Std RC-424</t>
  </si>
  <si>
    <t>4,000L Acorn (Decorative Pole) UG RC-440</t>
  </si>
  <si>
    <t>4,000L Acorn (Hist Pole) HPS UG RC-410</t>
  </si>
  <si>
    <t>4,000L Acorn (Historic Pole) UG RC-444</t>
  </si>
  <si>
    <t>4,000L Colonial Decor UG RC-480</t>
  </si>
  <si>
    <t>4,000L Colonial HPS UG RC-466</t>
  </si>
  <si>
    <t>5,800 Lumen HPS Ormtl</t>
  </si>
  <si>
    <t>5,800 Lumen HPS Std RC-462</t>
  </si>
  <si>
    <t>5,800L Acorn (D Pole) HPS UG</t>
  </si>
  <si>
    <t>5,800L Acorn (Decorative Pole) UG RC-441</t>
  </si>
  <si>
    <t>5,800L Acorn (Hist Pole) HPS UG</t>
  </si>
  <si>
    <t>5,800L Acorn (Historic Pole) UG RC-445</t>
  </si>
  <si>
    <t>5,800L Coach Decor UG RC-412</t>
  </si>
  <si>
    <t>5,800L Coach HPS UG</t>
  </si>
  <si>
    <t>5,800L Colonial Decor UG RC-481</t>
  </si>
  <si>
    <t>5,800L Colonial HPS UG RC-467</t>
  </si>
  <si>
    <t>5,800L Contemporary HPS UG RC-476</t>
  </si>
  <si>
    <t>5,800L Open Bottom HPS Std RC-426</t>
  </si>
  <si>
    <t>50,000 Lumen HPS Ormtl  RC-475</t>
  </si>
  <si>
    <t>50,000 Lumen HPS Std</t>
  </si>
  <si>
    <t>50,000L Cobra Head HPS Std RC-407</t>
  </si>
  <si>
    <t>50,000L Contemp Decor UG RC-486</t>
  </si>
  <si>
    <t>50,000L Contemporary HPS UG RC-479</t>
  </si>
  <si>
    <t>50,000L Directional HPS RC-489</t>
  </si>
  <si>
    <t>50,000L HPS Special Lighting RC-409</t>
  </si>
  <si>
    <t>6,000 Lumen Incand Std</t>
  </si>
  <si>
    <t>7,000 Lumen MV Ormtl</t>
  </si>
  <si>
    <t>7,000 Lumen MV Std RC-446</t>
  </si>
  <si>
    <t>7,000L Open Bottom M V Std RC-404</t>
  </si>
  <si>
    <t>9,500 Lumen HPS Ormtl RC-473</t>
  </si>
  <si>
    <t>9,500 Lumen HPS Std</t>
  </si>
  <si>
    <t>9,500L Acorn (D Pole) HPS UG RC-420</t>
  </si>
  <si>
    <t>9,500L Acorn (Decorative Pole) UG RC-442</t>
  </si>
  <si>
    <t>9,500L Acorn (Hist Pole) HPS UG</t>
  </si>
  <si>
    <t>9,500L Acorn (Historic Pole) UG RC-449</t>
  </si>
  <si>
    <t>9,500L Coach Decor UG RC-413</t>
  </si>
  <si>
    <t>9,500L Coach HPS UG RC-415</t>
  </si>
  <si>
    <t>9,500L Colonial Decor UG RC-482</t>
  </si>
  <si>
    <t>9,500L Colonial HPS UG RC-468</t>
  </si>
  <si>
    <t>9,500L Contemp Decor UG RC-484</t>
  </si>
  <si>
    <t>9,500L Contemporary HPS UG RC-477</t>
  </si>
  <si>
    <t>9,500L Directional HPS RC-487</t>
  </si>
  <si>
    <t>9,500L Open Bottom HPS Std RC-428</t>
  </si>
  <si>
    <t>KUUM_421</t>
  </si>
  <si>
    <t>KUUM_457</t>
  </si>
  <si>
    <t>KUUM_447</t>
  </si>
  <si>
    <t>KUUM_496</t>
  </si>
  <si>
    <t>KUUM_470</t>
  </si>
  <si>
    <t>KUUM_459</t>
  </si>
  <si>
    <t>KUUM_493</t>
  </si>
  <si>
    <t>KUUM_452</t>
  </si>
  <si>
    <t>KUUM_494</t>
  </si>
  <si>
    <t>KUUM_460</t>
  </si>
  <si>
    <t>KUUM_454</t>
  </si>
  <si>
    <t>KUUM_490</t>
  </si>
  <si>
    <t>KUUM_450</t>
  </si>
  <si>
    <t>KUUM_360</t>
  </si>
  <si>
    <t>KUUM_395</t>
  </si>
  <si>
    <t>KUUM_370</t>
  </si>
  <si>
    <t>KUUM_373</t>
  </si>
  <si>
    <t>KUUM_377</t>
  </si>
  <si>
    <t>KUUM_361</t>
  </si>
  <si>
    <t>KUUM_376</t>
  </si>
  <si>
    <t>KUUM_374</t>
  </si>
  <si>
    <t>KUUM_362</t>
  </si>
  <si>
    <t>KUUM_363</t>
  </si>
  <si>
    <t>KUUM_364</t>
  </si>
  <si>
    <t>KUUM_372</t>
  </si>
  <si>
    <t>KUUM_365</t>
  </si>
  <si>
    <t>KUUM_366</t>
  </si>
  <si>
    <t>KUUM_375</t>
  </si>
  <si>
    <t>KUUM_367</t>
  </si>
  <si>
    <t>KUUM_368</t>
  </si>
  <si>
    <t>KUUM_422</t>
  </si>
  <si>
    <t>KUUM_458</t>
  </si>
  <si>
    <t>KUUM_405</t>
  </si>
  <si>
    <t>KUUM_408</t>
  </si>
  <si>
    <t>KUUM_474</t>
  </si>
  <si>
    <t>KUUM_464</t>
  </si>
  <si>
    <t>KUUM_429</t>
  </si>
  <si>
    <t>KUUM_485</t>
  </si>
  <si>
    <t>KUUM_478</t>
  </si>
  <si>
    <t>KUUM_488</t>
  </si>
  <si>
    <t>KUUM_495</t>
  </si>
  <si>
    <t>KUUM_469</t>
  </si>
  <si>
    <t>KUUM_455</t>
  </si>
  <si>
    <t>KUUM_491</t>
  </si>
  <si>
    <t>KUUM_451</t>
  </si>
  <si>
    <t>KUUM_471</t>
  </si>
  <si>
    <t>KUUM_461</t>
  </si>
  <si>
    <t>KUUM_434</t>
  </si>
  <si>
    <t>KUUM_424</t>
  </si>
  <si>
    <t>KUUM_440</t>
  </si>
  <si>
    <t>KUUM_410</t>
  </si>
  <si>
    <t>KUUM_444</t>
  </si>
  <si>
    <t>KUUM_480</t>
  </si>
  <si>
    <t>KUUM_466</t>
  </si>
  <si>
    <t>KUUM_472</t>
  </si>
  <si>
    <t>KUUM_462</t>
  </si>
  <si>
    <t>KUUM_401</t>
  </si>
  <si>
    <t>KUUM_441</t>
  </si>
  <si>
    <t>KUUM_411</t>
  </si>
  <si>
    <t>KUUM_445</t>
  </si>
  <si>
    <t>KUUM_412</t>
  </si>
  <si>
    <t>KUUM_414</t>
  </si>
  <si>
    <t>KUUM_481</t>
  </si>
  <si>
    <t>KUUM_467</t>
  </si>
  <si>
    <t>KUUM_476</t>
  </si>
  <si>
    <t>KUUM_426</t>
  </si>
  <si>
    <t>KUUM_475</t>
  </si>
  <si>
    <t>KUUM_465</t>
  </si>
  <si>
    <t>KUUM_407</t>
  </si>
  <si>
    <t>KUUM_486</t>
  </si>
  <si>
    <t>KUUM_479</t>
  </si>
  <si>
    <t>KUUM_489</t>
  </si>
  <si>
    <t>KUUM_409</t>
  </si>
  <si>
    <t>KUUM_425</t>
  </si>
  <si>
    <t>KUUM_456</t>
  </si>
  <si>
    <t>KUUM_446</t>
  </si>
  <si>
    <t>KUUM_404</t>
  </si>
  <si>
    <t>KUUM_473</t>
  </si>
  <si>
    <t>KUUM_463</t>
  </si>
  <si>
    <t>KUUM_420</t>
  </si>
  <si>
    <t>KUUM_442</t>
  </si>
  <si>
    <t>KUUM_430</t>
  </si>
  <si>
    <t>KUUM_449</t>
  </si>
  <si>
    <t>KUUM_413</t>
  </si>
  <si>
    <t>KUUM_415</t>
  </si>
  <si>
    <t>KUUM_482</t>
  </si>
  <si>
    <t>KUUM_468</t>
  </si>
  <si>
    <t>KUUM_484</t>
  </si>
  <si>
    <t>KUUM_477</t>
  </si>
  <si>
    <t>KUUM_487</t>
  </si>
  <si>
    <t>KUUM_428</t>
  </si>
  <si>
    <t>5,800L UG HPS Contemporary</t>
  </si>
  <si>
    <t>KUUM_431</t>
  </si>
  <si>
    <t>1,000 Lumen Incand Ormtl</t>
  </si>
  <si>
    <t>KUUM_432</t>
  </si>
  <si>
    <t>2,500 Lumen Incand Ormtl</t>
  </si>
  <si>
    <t>KUUM_433</t>
  </si>
  <si>
    <t>16,000L Granville( Config A) UG RC-433</t>
  </si>
  <si>
    <t>KUUM_435</t>
  </si>
  <si>
    <t>6,000 Lumen Incand Ormtl</t>
  </si>
  <si>
    <t>KUUM_400</t>
  </si>
  <si>
    <t>4,000L Acorn (Decorative Pole) UG RC-400</t>
  </si>
  <si>
    <t>KUUM_484.1</t>
  </si>
  <si>
    <t>9,500L Contemp Decor UG Fixture Only</t>
  </si>
  <si>
    <t>50,000L Contemp Decor UG  Fixture Only</t>
  </si>
  <si>
    <t>22,000L Contemp Decor UG Fixture Only</t>
  </si>
  <si>
    <t>KUUM_300</t>
  </si>
  <si>
    <t>KUUM_301</t>
  </si>
  <si>
    <t>4,000L HPS DSK Lantern</t>
  </si>
  <si>
    <t>9,500L HPS DSK Lantern</t>
  </si>
  <si>
    <t>KU</t>
  </si>
  <si>
    <t>KUUM_448</t>
  </si>
  <si>
    <t>20,000 Lumen MV Std RC-448</t>
  </si>
  <si>
    <t>KUUM_483</t>
  </si>
  <si>
    <t>KTRSE020</t>
  </si>
  <si>
    <t>KTRSE030</t>
  </si>
  <si>
    <t>Direct Assign</t>
  </si>
  <si>
    <t>KUUM_827</t>
  </si>
  <si>
    <t>ODL Facility Charge</t>
  </si>
  <si>
    <t>KUUM_820</t>
  </si>
  <si>
    <t>9,500 Lumen Open Bottom HP Sodium</t>
  </si>
  <si>
    <t>KTUM_428</t>
  </si>
  <si>
    <t>7,000 Lumen Open Bottom Mercury Vapor</t>
  </si>
  <si>
    <t>KTUM_406</t>
  </si>
  <si>
    <t>ODRSE020</t>
  </si>
  <si>
    <t>Customer Charge</t>
  </si>
  <si>
    <t>Demand Charge</t>
  </si>
  <si>
    <t>MSR</t>
  </si>
  <si>
    <t>Curtailable Serv. Rider</t>
  </si>
  <si>
    <t>Rate Category Description</t>
  </si>
  <si>
    <t>Tariffs</t>
  </si>
  <si>
    <t>CSR10 Option A - Transmission</t>
  </si>
  <si>
    <t>CSR10 Option A - Primary</t>
  </si>
  <si>
    <t>WPS</t>
  </si>
  <si>
    <t>TN All Electric Residential Service</t>
  </si>
  <si>
    <t>TN Residential Electric Service</t>
  </si>
  <si>
    <t>All Electric School</t>
  </si>
  <si>
    <t>KUUM_498</t>
  </si>
  <si>
    <t xml:space="preserve"> Energy / Lighting Revenue </t>
  </si>
  <si>
    <t>Totals</t>
  </si>
  <si>
    <t>Demand Revenue</t>
  </si>
  <si>
    <t>FAC Revenue</t>
  </si>
  <si>
    <t>16,000L Granville( Config J) UG RC-378</t>
  </si>
  <si>
    <t>KUUM_378</t>
  </si>
  <si>
    <t>Electric Excess Facilities</t>
  </si>
  <si>
    <t>KUUM_825</t>
  </si>
  <si>
    <t>Electric Excess Facilities CIAC</t>
  </si>
  <si>
    <t>KUUM_826</t>
  </si>
  <si>
    <t>KURSE040</t>
  </si>
  <si>
    <t>Total Energy Charge/ Period 1 Charge (LEV)</t>
  </si>
  <si>
    <t>Period 2 Charge (LEV)</t>
  </si>
  <si>
    <t>Period 3 Charge (LEV)</t>
  </si>
  <si>
    <t>Energy Rate-Bundled Balance &amp; Period 1</t>
  </si>
  <si>
    <t>Period 2 Bundled</t>
  </si>
  <si>
    <t>Period 3 Bundled</t>
  </si>
  <si>
    <t>Demand Rates</t>
  </si>
  <si>
    <t>ECR in Demand</t>
  </si>
  <si>
    <t>Net Demand</t>
  </si>
  <si>
    <t>KW/KVA Base Qty</t>
  </si>
  <si>
    <t>KW/KVA Int Qty</t>
  </si>
  <si>
    <t>KW/KVA Peak Qty</t>
  </si>
  <si>
    <t>Residential Service -- Electric Vehicle Only</t>
  </si>
  <si>
    <t>Rate AES</t>
  </si>
  <si>
    <t>All Electric School Rate</t>
  </si>
  <si>
    <t>All Electric School Three Phase</t>
  </si>
  <si>
    <t>Total All Electric School</t>
  </si>
  <si>
    <t>General Service Single Phase</t>
  </si>
  <si>
    <t>kW billed at Summer rates</t>
  </si>
  <si>
    <t>kW billed at Winter rates</t>
  </si>
  <si>
    <t>Peak / Summer</t>
  </si>
  <si>
    <t xml:space="preserve">kW billed </t>
  </si>
  <si>
    <t>STREET LIGHTING SERVICE</t>
  </si>
  <si>
    <t xml:space="preserve">Lights at </t>
  </si>
  <si>
    <t xml:space="preserve">for 12 Months </t>
  </si>
  <si>
    <t>Reflecting</t>
  </si>
  <si>
    <t>FAC Rollin</t>
  </si>
  <si>
    <t>High Pressure Sodium</t>
  </si>
  <si>
    <t>4,000 Lumen Standard</t>
  </si>
  <si>
    <t>4,000 Lumen Ornamental</t>
  </si>
  <si>
    <t>5,800 Lumen Standard</t>
  </si>
  <si>
    <t>5,800 Lumen Ornamental</t>
  </si>
  <si>
    <t>9,500 Lumen Standard</t>
  </si>
  <si>
    <t>9,500 Lumen Ornamental</t>
  </si>
  <si>
    <t>22,000 Lumen Standard</t>
  </si>
  <si>
    <t>22,000 Lumen Ornamental</t>
  </si>
  <si>
    <t>50,000 Lumen Standard</t>
  </si>
  <si>
    <t>50,000 Lumen Ornamental</t>
  </si>
  <si>
    <t>7,000 Lumen Standard</t>
  </si>
  <si>
    <t>7,000 Lumen Ornamental</t>
  </si>
  <si>
    <t>10,000 Lumen Standard</t>
  </si>
  <si>
    <t>10,000 Lumen Ornamental</t>
  </si>
  <si>
    <t>20,000 Lumen Standard</t>
  </si>
  <si>
    <t>20,000 Lumen Ornamental</t>
  </si>
  <si>
    <t>Mercury Vapor</t>
  </si>
  <si>
    <t>Incandescent</t>
  </si>
  <si>
    <t>1,000 Lumen Standard</t>
  </si>
  <si>
    <t>1,000 Lumen Ornamental</t>
  </si>
  <si>
    <t>2,500 Lumen Standard</t>
  </si>
  <si>
    <t>2,500 Lumen Ornamental</t>
  </si>
  <si>
    <t>6,000 Lumen Standard</t>
  </si>
  <si>
    <t>6,000 Lumen Ornamental</t>
  </si>
  <si>
    <t>Overhead Service</t>
  </si>
  <si>
    <t>Underground Service</t>
  </si>
  <si>
    <t>4,000 Lumen Acorn (Decorative Pole)</t>
  </si>
  <si>
    <t>4,000 Lumen Acorn (Historic Pole)</t>
  </si>
  <si>
    <t>5,800 Lumen Acorn (Decorative Pole)</t>
  </si>
  <si>
    <t>5,800 Lumen Acorn (Historic Pole)</t>
  </si>
  <si>
    <t>9,500 Lumen Acorn (Decorative Pole)</t>
  </si>
  <si>
    <t>9,500 Lumen Acorn (Historic Pole)</t>
  </si>
  <si>
    <t>4,000 Lumen Colonial</t>
  </si>
  <si>
    <t>5,800 Lumen Colonial</t>
  </si>
  <si>
    <t>9,500 Lumen Colonial</t>
  </si>
  <si>
    <t>5,800 Lumen Coach</t>
  </si>
  <si>
    <t>9,500 Lumen Coach</t>
  </si>
  <si>
    <t>5,800 Lumen Contemporary</t>
  </si>
  <si>
    <t>9,500 Lumen Contemporary</t>
  </si>
  <si>
    <t>22,000 Lumen Contemporary</t>
  </si>
  <si>
    <t>50,000 Lumen Contemporary</t>
  </si>
  <si>
    <t>Granville Lights</t>
  </si>
  <si>
    <t>Total Street Lighting</t>
  </si>
  <si>
    <t>PRIVATE OUTDOOR LIGHTING</t>
  </si>
  <si>
    <t>Overhead Service (Fixture Only)</t>
  </si>
  <si>
    <t>22,000 Lumen Cobra Head</t>
  </si>
  <si>
    <t>9,500 Lumen Directional</t>
  </si>
  <si>
    <t>22,000 Lumen Directional</t>
  </si>
  <si>
    <t>50,000 Lumen Directional</t>
  </si>
  <si>
    <t>5,800 Lumen Open Bottom</t>
  </si>
  <si>
    <t>9,500 Lumen Open Bottom</t>
  </si>
  <si>
    <t>20,000 Lumen Cobra Head</t>
  </si>
  <si>
    <t>7,000 Lumen Open Bottom</t>
  </si>
  <si>
    <t>Additional Fixture</t>
  </si>
  <si>
    <t>Total Private Outdoor Lighting</t>
  </si>
  <si>
    <t>TOTAL OUTDOOR LIGHTING</t>
  </si>
  <si>
    <t>DARK SKY FRIENDLY LIGHTING SERVICE</t>
  </si>
  <si>
    <t>4,000 Lumen DSK Lantern</t>
  </si>
  <si>
    <t>9,500 Lumen DSK Lantern</t>
  </si>
  <si>
    <t>Total Outdoor Lighting Partial Month and Prorated Bills</t>
  </si>
  <si>
    <t>50,000 Lumen Cobra Head</t>
  </si>
  <si>
    <t>Metal Halide</t>
  </si>
  <si>
    <t>12,000 Lumen Directional Fixture Only</t>
  </si>
  <si>
    <t>12,000 Lumen Directional Fixture with Wood Pole</t>
  </si>
  <si>
    <t>12,000 Lumen Directional Fixture with Metal Pole</t>
  </si>
  <si>
    <t>32,000 Lumen Directional Fixture Only</t>
  </si>
  <si>
    <t>32,000 Lumen Directional Fixture with Wood Pole</t>
  </si>
  <si>
    <t>32,000 Lumen Directional Fixture with Metal Pole</t>
  </si>
  <si>
    <t>107,800 Lumen Directional Fixture Only</t>
  </si>
  <si>
    <t>107,800 Lumen Directional Fixture with Wood Pole</t>
  </si>
  <si>
    <t>107,800 Lumen Directional Fixture with Metal Pole</t>
  </si>
  <si>
    <t>12,000 Lumen Contemporary Fixture Only</t>
  </si>
  <si>
    <t>12,000 Lumen Contemporary Fixture With Direct Buried Metal Pole</t>
  </si>
  <si>
    <t>32,000 Lumen Contemporary Fixture Only</t>
  </si>
  <si>
    <t>32,000 Lumen Contemporary Fixture With Metal Pole</t>
  </si>
  <si>
    <t>107,800 Lumen Contemporary Fixture Only</t>
  </si>
  <si>
    <t>107,800 Lumen Contemporary Fixture With Metal Pole</t>
  </si>
  <si>
    <t>22,000 Lumen Contemporary with additional fixture</t>
  </si>
  <si>
    <t>Total Dark Sky Friendly Lighting</t>
  </si>
  <si>
    <t>Restricted Special Lighting</t>
  </si>
  <si>
    <t>20,000 Lumen Cobra Head (Mercury Vapor)</t>
  </si>
  <si>
    <t>50,000 Lumen Cobra Head (High Pressure Sodium)</t>
  </si>
  <si>
    <t>Pole &amp; Fixture SL</t>
  </si>
  <si>
    <t>Single Crossarm Bracket (incl. extra fixture)</t>
  </si>
  <si>
    <t>Twin Crossarm Bracket (incl.extra fixture)</t>
  </si>
  <si>
    <t>24" Banner Arm (each)</t>
  </si>
  <si>
    <t>24" Clamp Banner Arm</t>
  </si>
  <si>
    <t>18" Banner Arm (each)</t>
  </si>
  <si>
    <t>Flagpole Holder</t>
  </si>
  <si>
    <t>18" Clamp On Banner Arm</t>
  </si>
  <si>
    <t>Post-Mounted Receptacle</t>
  </si>
  <si>
    <t>Base-Mounted Receptacle</t>
  </si>
  <si>
    <t>Additional Receptacle</t>
  </si>
  <si>
    <t>Planter</t>
  </si>
  <si>
    <t>Clamp On Planter</t>
  </si>
  <si>
    <t>Pole &amp; Fixture</t>
  </si>
  <si>
    <t>Pole + 2 + 5 + 5 + 6</t>
  </si>
  <si>
    <t>Pole + 11</t>
  </si>
  <si>
    <t>Pole + 3 + 3</t>
  </si>
  <si>
    <t>Pole + 3 + 3 + 6</t>
  </si>
  <si>
    <t>Pole +3 + 3 + 8</t>
  </si>
  <si>
    <t>Pole + 8 + 11</t>
  </si>
  <si>
    <t>Pole + 5 + 5</t>
  </si>
  <si>
    <t>Pole + 6</t>
  </si>
  <si>
    <t>Pole + 8</t>
  </si>
  <si>
    <t>Pole + 2 + 5 + 5 + 6 + 8</t>
  </si>
  <si>
    <t>Pole + 3 + 3 + 6 + 8</t>
  </si>
  <si>
    <t>Pole + 6 + 8</t>
  </si>
  <si>
    <t>Pole + 2 + 6</t>
  </si>
  <si>
    <t>Pole + 4 + 4</t>
  </si>
  <si>
    <t>Pole &amp; Fixture Only</t>
  </si>
  <si>
    <t>New Rate Revenue</t>
  </si>
  <si>
    <t>Current Rates</t>
  </si>
  <si>
    <t>Fixture Count</t>
  </si>
  <si>
    <t>Revenue Totals</t>
  </si>
  <si>
    <t>Pole and Fixture</t>
  </si>
  <si>
    <t>KUUM_371</t>
  </si>
  <si>
    <t>Granville Accessories</t>
  </si>
  <si>
    <t>Single Crossarm Bracket</t>
  </si>
  <si>
    <t>Twin Crossarm Bracket (includes 1 fixture)</t>
  </si>
  <si>
    <t>24 Inch Banner Arm</t>
  </si>
  <si>
    <t>24 Inch Clamp Banner Arm</t>
  </si>
  <si>
    <t>18 Inch Banner Arm</t>
  </si>
  <si>
    <t>18 Inch Clamp On Banner Arm</t>
  </si>
  <si>
    <t>Additional Receptacles</t>
  </si>
  <si>
    <t>Pole + 2</t>
  </si>
  <si>
    <t>Pole + 2 + 12</t>
  </si>
  <si>
    <t>Pole + 2 + 4 + 4</t>
  </si>
  <si>
    <t>Pole + 2 + 4 + 4 + 6</t>
  </si>
  <si>
    <t>KUUM_379</t>
  </si>
  <si>
    <t>KUUM_380</t>
  </si>
  <si>
    <t>KUUM_381</t>
  </si>
  <si>
    <t>KUUM_382</t>
  </si>
  <si>
    <t>Pole + 2 + 7 + 7</t>
  </si>
  <si>
    <t>OUTDOOR LIGHTING INCREASE IN BASE RATES REVENUE</t>
  </si>
  <si>
    <t>Lighting Energy Service</t>
  </si>
  <si>
    <t>KUCME297</t>
  </si>
  <si>
    <t>KUUM_499</t>
  </si>
  <si>
    <t>DO NOT DELETE OR MOVE THESE COLUMNS!!!</t>
  </si>
  <si>
    <t>Energy-P1</t>
  </si>
  <si>
    <t>Energy-P2</t>
  </si>
  <si>
    <t>Energy-P3</t>
  </si>
  <si>
    <t xml:space="preserve"> Energy Rate / Period 1 Energy Rate</t>
  </si>
  <si>
    <t>Period 2 Energy Rate</t>
  </si>
  <si>
    <t>Period 3 Energy Rate</t>
  </si>
  <si>
    <t xml:space="preserve"> Total Billed Revenue, Sales By Rates or CCS</t>
  </si>
  <si>
    <t xml:space="preserve"> Total Billed Revenue, Calculated </t>
  </si>
  <si>
    <t xml:space="preserve"> Difference </t>
  </si>
  <si>
    <t>RevMon</t>
  </si>
  <si>
    <t>TariffRateCategory</t>
  </si>
  <si>
    <t>TariffRateClass</t>
  </si>
  <si>
    <t>Rate Period</t>
  </si>
  <si>
    <t>Per Light Charge</t>
  </si>
  <si>
    <t>LightingRevenue</t>
  </si>
  <si>
    <t xml:space="preserve"> Total Billed Revenue, Sales By Rates</t>
  </si>
  <si>
    <t>FLS</t>
  </si>
  <si>
    <t>Traffic Energy Service - WiFi Receiver</t>
  </si>
  <si>
    <t xml:space="preserve"> KWH   P1</t>
  </si>
  <si>
    <t xml:space="preserve"> KWH   P2</t>
  </si>
  <si>
    <t xml:space="preserve"> KWH   P3</t>
  </si>
  <si>
    <t>22,000L UG HPS Contemporary (Add Fixture)</t>
  </si>
  <si>
    <t>5,800L UG HPS Contemporary Fixture Only</t>
  </si>
  <si>
    <t>Peak Demand or Summer Peak Demand</t>
  </si>
  <si>
    <t>KUUM_497</t>
  </si>
  <si>
    <t>Rate Categories</t>
  </si>
  <si>
    <t>W</t>
  </si>
  <si>
    <t>Redundant Capacity Rider</t>
  </si>
  <si>
    <t>Kentucky Utilities Company</t>
  </si>
  <si>
    <t>FAC Revenues</t>
  </si>
  <si>
    <t xml:space="preserve">TOTAL   </t>
  </si>
  <si>
    <t>12 Mos. Ended</t>
  </si>
  <si>
    <t>FAC RATE CHARGED:</t>
  </si>
  <si>
    <t>Residential Rate RS</t>
  </si>
  <si>
    <t>General Service Secondary</t>
  </si>
  <si>
    <t>Time of Day Power Rate</t>
  </si>
  <si>
    <t xml:space="preserve">Time-of-Day Service - TODS Secondary </t>
  </si>
  <si>
    <t xml:space="preserve">Time-of-Day Service - TODP Primary  </t>
  </si>
  <si>
    <t>Lighting Rates</t>
  </si>
  <si>
    <t>SL</t>
  </si>
  <si>
    <t>POL</t>
  </si>
  <si>
    <t xml:space="preserve">FUEL ADJUSTMENT CLAUSE BILLINGS REFLECTING BASE RATE ROLL-IN FOR A FULL YEAR   </t>
  </si>
  <si>
    <t>FAC Rate Rolled in:</t>
  </si>
  <si>
    <t>FAC Rate After Roll-in:</t>
  </si>
  <si>
    <t>included with LPTOD Primary</t>
  </si>
  <si>
    <t>REDUCED FUEL ADJUSTMENT CLAUSE BILLINGS REFLECTING BASE RATE ROLL-IN FOR A FULL YEAR</t>
  </si>
  <si>
    <t>FAC Rate</t>
  </si>
  <si>
    <t>KUUM_828</t>
  </si>
  <si>
    <t>Excess Facilities ODL</t>
  </si>
  <si>
    <t>Per Light Unit Charge</t>
  </si>
  <si>
    <t>Annual Load per Light</t>
  </si>
  <si>
    <t>16,000L Granville( Config A3) UG RC-378</t>
  </si>
  <si>
    <t>KUUM_492</t>
  </si>
  <si>
    <t>16,000L Granville( Config J1) UG RC-379</t>
  </si>
  <si>
    <t>16,000L Granville( Config J2) UG RC-380</t>
  </si>
  <si>
    <t>16,000L Granville( Config J3) UG RC-381</t>
  </si>
  <si>
    <t>16,000L Granville( Config J4) UG RC-382</t>
  </si>
  <si>
    <t>KUCME225</t>
  </si>
  <si>
    <t>KUCME226</t>
  </si>
  <si>
    <t>KUCME227</t>
  </si>
  <si>
    <t>All Electric School 3-ph Secondary   PSS</t>
  </si>
  <si>
    <t>All Electric School Single Ph Sec    PSS</t>
  </si>
  <si>
    <t>All Electric School 3-ph Secondary   TDS</t>
  </si>
  <si>
    <t>SQF: Small Cap Co-gen (Rate A)</t>
  </si>
  <si>
    <t>SQF</t>
  </si>
  <si>
    <t>KUCME705</t>
  </si>
  <si>
    <t>7,000L Mercury Vapor - Residential</t>
  </si>
  <si>
    <t>KUUM_406</t>
  </si>
  <si>
    <t>Revised FAC</t>
  </si>
  <si>
    <t>ab112</t>
  </si>
  <si>
    <t>Per 12MonLights tab</t>
  </si>
  <si>
    <t>Current Rates Net Revenue (Base Rates + FAC - Base ECR)</t>
  </si>
  <si>
    <t>12 Month Base ECR Revenues</t>
  </si>
  <si>
    <t>13th Month Base Revenues</t>
  </si>
  <si>
    <t>13th Month FAC Revenues</t>
  </si>
  <si>
    <t>13th Month Base ECR Revenues</t>
  </si>
  <si>
    <t>13 Month Total Revenues</t>
  </si>
  <si>
    <t>ECR in Base Rates</t>
  </si>
  <si>
    <t>Net of</t>
  </si>
  <si>
    <t>Base ECR</t>
  </si>
  <si>
    <t>Base Net of ECR</t>
  </si>
  <si>
    <t>AESPSS</t>
  </si>
  <si>
    <t>DSK</t>
  </si>
  <si>
    <t>Customer  Charge</t>
  </si>
  <si>
    <t>EF</t>
  </si>
  <si>
    <t>Load Reduction Incentive</t>
  </si>
  <si>
    <t>LRI</t>
  </si>
  <si>
    <t>KUCME841</t>
  </si>
  <si>
    <t>16,000L Granville( Config J-1) UG RC-379</t>
  </si>
  <si>
    <t>16,000L Granville( Config J-2) UG RC-380</t>
  </si>
  <si>
    <t>16,000L Granville( Config J-3) UG RC-381</t>
  </si>
  <si>
    <t>16,000L Granville( Config J-4) UG RC-382</t>
  </si>
  <si>
    <t>P</t>
  </si>
  <si>
    <t>CU</t>
  </si>
  <si>
    <t>AES3TODS</t>
  </si>
  <si>
    <t>Customer-Month Count Rate Switching OUT of Rate</t>
  </si>
  <si>
    <t>Customer-Month Count Rate Switching IN to Rate</t>
  </si>
  <si>
    <t>AES3PSS</t>
  </si>
  <si>
    <t>TNRS</t>
  </si>
  <si>
    <t>BASE RATE ACTUAL FUEL ADJUSTMENT CLAUSE BILLINGS</t>
  </si>
  <si>
    <t>Volunteer Fire Department Rate VFD</t>
  </si>
  <si>
    <t>Low Emission Vehicle Rate LEV</t>
  </si>
  <si>
    <t>AES Three Phase</t>
  </si>
  <si>
    <t>AES Time of Day</t>
  </si>
  <si>
    <t>AESTOD</t>
  </si>
  <si>
    <t>Power Service Rate PS - Secondary</t>
  </si>
  <si>
    <t>Power Service Rate PS - Primary</t>
  </si>
  <si>
    <t>Fluctuating Load Service Rate FLS</t>
  </si>
  <si>
    <t>Retail Transmission Service Rate RTS</t>
  </si>
  <si>
    <t>Street Lighting - St. Lt.</t>
  </si>
  <si>
    <t>Private Outdoor Lighting - P. O. Lt.</t>
  </si>
  <si>
    <t>Lighting Energy Service -- LE</t>
  </si>
  <si>
    <t>Traffic Energy Service -- TE</t>
  </si>
  <si>
    <t>ties to Form A page 5 line 3 FAC revenue</t>
  </si>
  <si>
    <t>DO NOT PRINT THESE ROWS</t>
  </si>
  <si>
    <t>From recalculated FACResults tab</t>
  </si>
  <si>
    <t>From recalculated FACLights tab</t>
  </si>
  <si>
    <t>Adjustment</t>
  </si>
  <si>
    <t>to Reflect</t>
  </si>
  <si>
    <t xml:space="preserve">Revenue </t>
  </si>
  <si>
    <t>to Remove</t>
  </si>
  <si>
    <t>Adjusted to</t>
  </si>
  <si>
    <t>Base Rate</t>
  </si>
  <si>
    <t>Adjusted</t>
  </si>
  <si>
    <t>Customer</t>
  </si>
  <si>
    <t>Target</t>
  </si>
  <si>
    <t>Percentage</t>
  </si>
  <si>
    <t>Billings</t>
  </si>
  <si>
    <t>Increase</t>
  </si>
  <si>
    <t>Residential Rate - RS</t>
  </si>
  <si>
    <t>Rate RS</t>
  </si>
  <si>
    <t>GSS</t>
  </si>
  <si>
    <t>General Service Rate - GS</t>
  </si>
  <si>
    <t>All Electric School Service Rate - AES</t>
  </si>
  <si>
    <t xml:space="preserve">Power Service Rate PS - Secondary </t>
  </si>
  <si>
    <t>Time of Day Secondary Service TODS</t>
  </si>
  <si>
    <t>Retail Transmission Service -- RTS</t>
  </si>
  <si>
    <t>Fluctuating Load Service FLS</t>
  </si>
  <si>
    <t>TOTAL ULTIMATE CONSUMERS</t>
  </si>
  <si>
    <t>TOTAL JURISDICTIONAL</t>
  </si>
  <si>
    <t xml:space="preserve">Calculated </t>
  </si>
  <si>
    <t>Present</t>
  </si>
  <si>
    <t xml:space="preserve">Revenue at </t>
  </si>
  <si>
    <t xml:space="preserve">Proposed </t>
  </si>
  <si>
    <t>Bills</t>
  </si>
  <si>
    <t>Present Rates</t>
  </si>
  <si>
    <t>Proposed Rates</t>
  </si>
  <si>
    <t>All Energy</t>
  </si>
  <si>
    <t>Total Calculated at Base Rates</t>
  </si>
  <si>
    <t>Correction Factor</t>
  </si>
  <si>
    <t>Total After Application of Correction Factor</t>
  </si>
  <si>
    <t>Proposed Increase</t>
  </si>
  <si>
    <t>Percentage Increase</t>
  </si>
  <si>
    <t>Summer Demand</t>
  </si>
  <si>
    <t>Winter Demand</t>
  </si>
  <si>
    <t>Demand Base</t>
  </si>
  <si>
    <t>Demand Intermediate</t>
  </si>
  <si>
    <t>Demand Peak</t>
  </si>
  <si>
    <t>FLUCTUATING LOAD SERVICE  RATE FLS</t>
  </si>
  <si>
    <t>Demand Base (5-minute kVa)</t>
  </si>
  <si>
    <t>Demand Intermediate (5-minute kVa)</t>
  </si>
  <si>
    <t>Demand Peak (5-minute kVa)</t>
  </si>
  <si>
    <t>TRAFFIC ENERGY SERVICE RATE TE</t>
  </si>
  <si>
    <t>Fuel Adjustment</t>
  </si>
  <si>
    <t>Clause</t>
  </si>
  <si>
    <t>12 Month Base Revenues at Current Rates</t>
  </si>
  <si>
    <t>12 Month FAC Revenues (rollin rates)</t>
  </si>
  <si>
    <t>KWH Rate Switching OUT of Rate</t>
  </si>
  <si>
    <t>KWH Rate Switching IN to Rate</t>
  </si>
  <si>
    <t>Base Revenue + FAC OUT of Rate</t>
  </si>
  <si>
    <t>Base Revenue + FAC IN to Rate</t>
  </si>
  <si>
    <t>POWER SERVICE RATE PS-Primary</t>
  </si>
  <si>
    <t>Test Year Billing Determinants</t>
  </si>
  <si>
    <t>Revenue Decrease to Report for Previous Tariff Due to Reduction in Customers From Rate Switching</t>
  </si>
  <si>
    <t>Revenue Increase to Report for Current Tariff Due to Additonal Customers From Rate Switching</t>
  </si>
  <si>
    <t>Rate Switch To:</t>
  </si>
  <si>
    <t>From Rate Category:</t>
  </si>
  <si>
    <t>Customer-Months</t>
  </si>
  <si>
    <t>Basic Service Charge Revenues</t>
  </si>
  <si>
    <t>Energy Revenues</t>
  </si>
  <si>
    <t>Demand Revenues</t>
  </si>
  <si>
    <t>Energy</t>
  </si>
  <si>
    <t>Demands</t>
  </si>
  <si>
    <t>Summer</t>
  </si>
  <si>
    <t>Winter</t>
  </si>
  <si>
    <t>Base Rate Component of ECR</t>
  </si>
  <si>
    <t>Total Base Revenues Net of ECR</t>
  </si>
  <si>
    <t>Total Base Revenues Net of ECR Including FAC</t>
  </si>
  <si>
    <t>ECR Base Revenues</t>
  </si>
  <si>
    <t>Total Base Revenues Inclusive of ECR</t>
  </si>
  <si>
    <t>Removal of</t>
  </si>
  <si>
    <t>Revenues</t>
  </si>
  <si>
    <t>As Billed</t>
  </si>
  <si>
    <t>Time of Day Service</t>
  </si>
  <si>
    <t>GS 3 Phase</t>
  </si>
  <si>
    <t>Total Net Base Revenues</t>
  </si>
  <si>
    <t>POWER SERVICE RATE PS-Secondary</t>
  </si>
  <si>
    <t>TIME OF DAY SECONDARY SERVICE RATE TODS</t>
  </si>
  <si>
    <t>Total Base Revenues Inclusive of Base ECR</t>
  </si>
  <si>
    <t>RETAIL TRANSMISSION SERVICE RATE RTS</t>
  </si>
  <si>
    <t>Adjustment to Reflect Removal of Base ECR Revenues</t>
  </si>
  <si>
    <t>LIGHTING ENERGY SERVICE RATE LE</t>
  </si>
  <si>
    <t>LEV</t>
  </si>
  <si>
    <t>Revenue through Billing Factor</t>
  </si>
  <si>
    <t>less Roll-in</t>
  </si>
  <si>
    <t>VFD</t>
  </si>
  <si>
    <t>Billing Factor Revenues, Continuing Mechanisms</t>
  </si>
  <si>
    <t>Rate Schedule</t>
  </si>
  <si>
    <t>ECR in Base Rates, 2009 Plan Roll-in</t>
  </si>
  <si>
    <t>as Billed Basis</t>
  </si>
  <si>
    <t>Test Year</t>
  </si>
  <si>
    <t>Base Revenues,</t>
  </si>
  <si>
    <t>Add Base ECR</t>
  </si>
  <si>
    <t>Billings Net</t>
  </si>
  <si>
    <t>of ECR at</t>
  </si>
  <si>
    <t xml:space="preserve">Adjusted </t>
  </si>
  <si>
    <t>Billings Including</t>
  </si>
  <si>
    <t>All ECR Revenue</t>
  </si>
  <si>
    <t>at Current Rates</t>
  </si>
  <si>
    <t>RESIDENTIAL RATE RS, inclusive of Volunteer Fire Department customers</t>
  </si>
  <si>
    <t xml:space="preserve">Check </t>
  </si>
  <si>
    <t>Total From</t>
  </si>
  <si>
    <t>Detail Tab</t>
  </si>
  <si>
    <t>Do Not Print</t>
  </si>
  <si>
    <t>to</t>
  </si>
  <si>
    <t>Correct</t>
  </si>
  <si>
    <t>Curtailable Service Rider</t>
  </si>
  <si>
    <t>13th Month</t>
  </si>
  <si>
    <t>ok</t>
  </si>
  <si>
    <t>rate switching</t>
  </si>
  <si>
    <t>ECR Component of Current Base Rates</t>
  </si>
  <si>
    <t>ECR Revenue</t>
  </si>
  <si>
    <t>Rate</t>
  </si>
  <si>
    <t>CALCULATION OF ELECTRIC OPERATING RATIO</t>
  </si>
  <si>
    <t>Total Electric Operating Expenses</t>
  </si>
  <si>
    <t>Less Wages and Salaries</t>
  </si>
  <si>
    <t>Less Pensions and Benefits</t>
  </si>
  <si>
    <t>Less Regulatory Commission Expense</t>
  </si>
  <si>
    <t>Net Expenses</t>
  </si>
  <si>
    <t>Total Electric Operating Revenues (As Billed)</t>
  </si>
  <si>
    <t>Operating Ratio</t>
  </si>
  <si>
    <t>(see page 2)</t>
  </si>
  <si>
    <t>Number of Lights</t>
  </si>
  <si>
    <t xml:space="preserve">Calculation of Year End Adjustment for Time of Day Secondary Rate </t>
  </si>
  <si>
    <t xml:space="preserve">Workpaper section -- not to be printed.  </t>
  </si>
  <si>
    <t>Print Range below:  A86:K350, 5 pages total</t>
  </si>
  <si>
    <t>Customer #1</t>
  </si>
  <si>
    <t>Left the System</t>
  </si>
  <si>
    <t>Test Year Billing Data</t>
  </si>
  <si>
    <t>kWh</t>
  </si>
  <si>
    <t>kW or kVa-Base</t>
  </si>
  <si>
    <t>kw or kVa-Intermediate</t>
  </si>
  <si>
    <t>kW or kVa-Peak</t>
  </si>
  <si>
    <t>Customer #2</t>
  </si>
  <si>
    <t>New in June 2011</t>
  </si>
  <si>
    <t>Test Year Billing Data Annualized for 12 months</t>
  </si>
  <si>
    <t>Customer #3</t>
  </si>
  <si>
    <t>Customer #4</t>
  </si>
  <si>
    <t>Customer #5</t>
  </si>
  <si>
    <t>Customer #6</t>
  </si>
  <si>
    <t>Customer #7</t>
  </si>
  <si>
    <t>Customer #8</t>
  </si>
  <si>
    <t>Customer #9</t>
  </si>
  <si>
    <t>Customer #10</t>
  </si>
  <si>
    <t>New in July 2011</t>
  </si>
  <si>
    <t>New in May 2011</t>
  </si>
  <si>
    <t>New in October 2011</t>
  </si>
  <si>
    <t>New in November 2011</t>
  </si>
  <si>
    <t xml:space="preserve">Calculation of Year End Adjustment for Time of Day Primary Rate </t>
  </si>
  <si>
    <t xml:space="preserve">Calculation of Year End Adjustment for Retail Transmission Service Rate </t>
  </si>
  <si>
    <t>Test Year Billing Data at Current Rates</t>
  </si>
  <si>
    <t>New in August 2011</t>
  </si>
  <si>
    <t>Impact of Customers Switching Rates on the Calculation of the Year End Customer Revenue Adjustment</t>
  </si>
  <si>
    <t>Adjusted 13-Month Customer Count to Reflect Rate Switching</t>
  </si>
  <si>
    <t>Energy Used by Customers Switching TO the Rate Before the Rate Switch</t>
  </si>
  <si>
    <t>Energy Used by Customers Switching FROM the Rate Before the Rate Switch</t>
  </si>
  <si>
    <t>Impact of the ECR Elimination and Customer Rate Switching on Test Year Revenues Used in the Year End Customer Adjustment</t>
  </si>
  <si>
    <t>Test Year Base Revenues At Current Rates</t>
  </si>
  <si>
    <t>Test Year FAC Revenues At Current Rates</t>
  </si>
  <si>
    <t>Adjusted Revenue Totals Used to Calculate Average Cost per kWh</t>
  </si>
  <si>
    <t>AES 3 Phase</t>
  </si>
  <si>
    <t>Workpaper Section Only -- Printed Exhbit Format below</t>
  </si>
  <si>
    <t>(a)  See page 3 of 7 for supporting calculations</t>
  </si>
  <si>
    <t>(b)  See page 4 of 7 for supporting calculations</t>
  </si>
  <si>
    <t>(c)  See page 5 of 7 for supporting calculations</t>
  </si>
  <si>
    <t>See Col (9), pg 7 of 7</t>
  </si>
  <si>
    <t>Customers leaving the system:</t>
  </si>
  <si>
    <t>Customers joinging the system:</t>
  </si>
  <si>
    <t>Net secondary time of day revenue adjustment for change in customers:</t>
  </si>
  <si>
    <t>Net primary time of day revenue adjustment for change in customers:</t>
  </si>
  <si>
    <t>Retail transmission service revenue adjustment for change in customers:</t>
  </si>
  <si>
    <t>Actual Energy Delivered for the 13-month period</t>
  </si>
  <si>
    <t>Adjusted Energy Usage to Reflect Rate Switching</t>
  </si>
  <si>
    <t xml:space="preserve">               Expenses at an Operating Ratio of</t>
  </si>
  <si>
    <t>Exhibit below</t>
  </si>
  <si>
    <t>Test Year Billing Determinants at Original Rates</t>
  </si>
  <si>
    <t>GS 3 phase</t>
  </si>
  <si>
    <t>Rate GS</t>
  </si>
  <si>
    <t>PS Secondary</t>
  </si>
  <si>
    <t>Rate GS 3 Phase</t>
  </si>
  <si>
    <t>PS Primary</t>
  </si>
  <si>
    <t>Rate AES 3 Phase</t>
  </si>
  <si>
    <t>Customer-Months on the Old Rate</t>
  </si>
  <si>
    <t>Summer or Peak Demand, kW or kVa on Old Rate</t>
  </si>
  <si>
    <t>Winter or Intermediate Demand, kW or kVa on Old Rate</t>
  </si>
  <si>
    <t>Basic Demand, kW or kVa on Old Rate</t>
  </si>
  <si>
    <t>Energy -- kWh on Old Rate</t>
  </si>
  <si>
    <t>TOD Primary</t>
  </si>
  <si>
    <t>TOD Secondary</t>
  </si>
  <si>
    <t>Rate Switch From</t>
  </si>
  <si>
    <t>To Rate Category:</t>
  </si>
  <si>
    <t>Revenue Decrease to Report for Previous Tariff Due to Additonal Customers From Rate Switching</t>
  </si>
  <si>
    <t>Rate VFD</t>
  </si>
  <si>
    <t>Total  Moving From Previous Rates</t>
  </si>
  <si>
    <t>Total  Moving to New Rates</t>
  </si>
  <si>
    <t>Net Change From Previous Rate to Current Rate</t>
  </si>
  <si>
    <t>Adjustment to Operating Revenues Due to Customers Switching Rates During the Test Year</t>
  </si>
  <si>
    <t>Overhead</t>
  </si>
  <si>
    <t>Cobra Head, 5800 Lumen, Standard</t>
  </si>
  <si>
    <t>Cobra Head, 5800 Lumen, Ornamental</t>
  </si>
  <si>
    <t>Cobra Head, 9500 Lumen, Standard</t>
  </si>
  <si>
    <t>Cobra Head, 9500 Lumen, Ornamental</t>
  </si>
  <si>
    <t>Cobra Head, 22000 Lumen, Ornamental</t>
  </si>
  <si>
    <t>Cobra Head, 50000 Lumen, Standard</t>
  </si>
  <si>
    <t>Cobra Head, 50000 Lumen, Ornamental</t>
  </si>
  <si>
    <t>Directional, 9500 Lumen, Standard</t>
  </si>
  <si>
    <t>Directional, 50000 Lumen, Standard</t>
  </si>
  <si>
    <t>Open Bottom, 9500 Lumen, Standard</t>
  </si>
  <si>
    <t>Directional, 12000 Lumen, Standard</t>
  </si>
  <si>
    <t>Directional, 32000 Lumen, Standard</t>
  </si>
  <si>
    <t>Directional, 107800 Lumen, Standard</t>
  </si>
  <si>
    <t>Input Proposed Percentage Increase here ==&gt;</t>
  </si>
  <si>
    <t>Underground</t>
  </si>
  <si>
    <t>Acorn, 5800 Lumen, Smooth Pole</t>
  </si>
  <si>
    <t>Colonial, 9500 Lumen, Decorative</t>
  </si>
  <si>
    <t>Colonial, 5800 Lumen, Decorative</t>
  </si>
  <si>
    <t>Acorn, 5800 Lumen, Fluted Pole</t>
  </si>
  <si>
    <t>Acorn, 9500 Lumen, Smooth Pole</t>
  </si>
  <si>
    <t>Acorn, 9500 Lumen, Fluted Pole</t>
  </si>
  <si>
    <t>Victorian, 5800 Lumen, Fluted Pole</t>
  </si>
  <si>
    <t>Contemporary Fixture and Pole, 5800 Lumen</t>
  </si>
  <si>
    <t>Contemporary Fixture and Pole, 9500 Lumen</t>
  </si>
  <si>
    <t>Contemporary Fixture and Pole, 22000 Lumen</t>
  </si>
  <si>
    <t>Contemporary Fixture and Pole, 50000 Lumen</t>
  </si>
  <si>
    <t>Dark Sky, 4000 Lumen</t>
  </si>
  <si>
    <t>Dark Sky, 9500 Lumen</t>
  </si>
  <si>
    <t>Contemporary, 12000 Lumen, Fixture Only</t>
  </si>
  <si>
    <t>Contemporary, 32000 Lumen, Fixture with Smooth Pole</t>
  </si>
  <si>
    <t>Contemporary, 107800 Lumen, Fixture Only</t>
  </si>
  <si>
    <t>Contemporary, 107800 Lumen, Fixture with Smooth Pole</t>
  </si>
  <si>
    <t>Open Bottom, 5800 Lumen, Fixture Only</t>
  </si>
  <si>
    <t>Cobra Head, 4000 Lumen, Fixture Only</t>
  </si>
  <si>
    <t>Cobra Head, 4000 Lumen, Fixture and Pole</t>
  </si>
  <si>
    <t>Cobra Head, 50000 Lumen, Fixture Only</t>
  </si>
  <si>
    <t>Directional, 12000 Lumen, Flood, Fixture with Pole</t>
  </si>
  <si>
    <t>Directional, 32000 Lumen, Flood, Fixture with Pole</t>
  </si>
  <si>
    <t>Directional, 107800 Lumen, Flood, Fixture with Pole</t>
  </si>
  <si>
    <t>Cobra Head, 7000 Lumen, Fixture Only</t>
  </si>
  <si>
    <t>Cobra Head, 7000 Lumen, Fixture and Pole</t>
  </si>
  <si>
    <t>Cobra Head, 10000 Lumen, Fixture Only</t>
  </si>
  <si>
    <t>Cobra Head, 10000 Lumen, Fixture and Pole</t>
  </si>
  <si>
    <t>Cobra Head, 20000 Lumen, Fixture Only</t>
  </si>
  <si>
    <t>Cobra Head, 20000 Lumen, Fixture and Pole</t>
  </si>
  <si>
    <t>Open Bottom, 7000 Lumen, Fixture Only</t>
  </si>
  <si>
    <t>Tear Drop, 1000 Lumen, Fixture Only</t>
  </si>
  <si>
    <t>Tear Drop, 2500 Lumen, Fixture Only</t>
  </si>
  <si>
    <t>Tear Drop, 4000 Lumen, Fixture Only</t>
  </si>
  <si>
    <t>Tear Drop, 4000 Lumen, Fixture and Pole</t>
  </si>
  <si>
    <t>Tear Drop, 6000 Lumen, Fixture Only</t>
  </si>
  <si>
    <t>Acorn, 4000 Lumen, Fluted Pole</t>
  </si>
  <si>
    <t>Colonial, 4000 Lumen, Smooth Pole</t>
  </si>
  <si>
    <t>Sheet</t>
  </si>
  <si>
    <t>Existing</t>
  </si>
  <si>
    <t>Bill Code</t>
  </si>
  <si>
    <t>Proposed</t>
  </si>
  <si>
    <t>Victorian, 9500 Lumen, Fluted Pole</t>
  </si>
  <si>
    <t>Actual kWh Adjusted for Rate Switching</t>
  </si>
  <si>
    <t>See Col(8), pg 6 of 7</t>
  </si>
  <si>
    <t>Street and Private Outdoor Lighting Service, Including Dark Sky</t>
  </si>
  <si>
    <t>Net Revenue</t>
  </si>
  <si>
    <t>Dark Sky Lighting -- DSK</t>
  </si>
  <si>
    <t>Redundant Capacity Charges</t>
  </si>
  <si>
    <t>Total Time of Day Service</t>
  </si>
  <si>
    <t>BSC</t>
  </si>
  <si>
    <t>Basic Service Charges</t>
  </si>
  <si>
    <t>Coach, 5800 Lumen, Smooth Pole</t>
  </si>
  <si>
    <t>Coach, 9500 Lumen, Smooth Pole</t>
  </si>
  <si>
    <t>Applicable to all lighting schedules:</t>
  </si>
  <si>
    <t>Primary Delivery</t>
  </si>
  <si>
    <t>February 2011 ECR Revenue Requirement, 2009 Plan Only</t>
  </si>
  <si>
    <t>See Blake Exhibit 1, schedule 1.03</t>
  </si>
  <si>
    <t>Cobra Head, 22000 Lumen, Standard</t>
  </si>
  <si>
    <t>Directional, 22000 Lumen, Standard</t>
  </si>
  <si>
    <t>ECR Revenue in Base Rates at Current Rates</t>
  </si>
  <si>
    <t>Acorn, 4000 Lumen, Smooth Pole</t>
  </si>
  <si>
    <t xml:space="preserve">   Adjustment to Net Operating Income Before Taxes</t>
  </si>
  <si>
    <t>Contemporary, 32000 Lumen, Fixture Only</t>
  </si>
  <si>
    <t>Current</t>
  </si>
  <si>
    <t>Inter/Summer</t>
  </si>
  <si>
    <t>Peak/Wnter</t>
  </si>
  <si>
    <t>PS-Sec</t>
  </si>
  <si>
    <t>PS-Pri</t>
  </si>
  <si>
    <t>TOD-Sec</t>
  </si>
  <si>
    <t>TODP-Lines</t>
  </si>
  <si>
    <t>FLS - Pri</t>
  </si>
  <si>
    <t>FLS - Tran</t>
  </si>
  <si>
    <t>Three Phase</t>
  </si>
  <si>
    <t>Single Phase</t>
  </si>
  <si>
    <t>Transmission Delivery</t>
  </si>
  <si>
    <t>Current and Proposed Rate Summary</t>
  </si>
  <si>
    <t>TIME OF DAY PRIMARY SERVICE RATE TODP</t>
  </si>
  <si>
    <t>Time of Day Primary Service TODP</t>
  </si>
  <si>
    <t>Net change in time of day primary customers:</t>
  </si>
  <si>
    <t>Net change in time of day secondary customers:</t>
  </si>
  <si>
    <t>Net change in retail transmission customers:</t>
  </si>
  <si>
    <t>Non-Fuel ECR</t>
  </si>
  <si>
    <t>Demand  Charge</t>
  </si>
  <si>
    <t>Base Energy  Non-Fuel</t>
  </si>
  <si>
    <t xml:space="preserve"> Base Energy   ECR</t>
  </si>
  <si>
    <t>Demand ECR</t>
  </si>
  <si>
    <t>Base Energy FAC</t>
  </si>
  <si>
    <t>Revenue Amount</t>
  </si>
  <si>
    <t>KUCIE000</t>
  </si>
  <si>
    <t>Temporary Suspension</t>
  </si>
  <si>
    <t>KUCME000</t>
  </si>
  <si>
    <t>KUCUE851</t>
  </si>
  <si>
    <t>Informational Meter</t>
  </si>
  <si>
    <t>KUCUE852</t>
  </si>
  <si>
    <t>Company Use - Information</t>
  </si>
  <si>
    <t>KURSE000</t>
  </si>
  <si>
    <t>LS 360: UG HPS Granville-A 16000L</t>
  </si>
  <si>
    <t>LS 361: UG HPS Granville-B 16000L</t>
  </si>
  <si>
    <t>LS 362: UG HPS Granville-C 16000L</t>
  </si>
  <si>
    <t>LS 363: UG HPS Granville-D 16000L</t>
  </si>
  <si>
    <t>LS 364: UG HPS Granville-E 16000L</t>
  </si>
  <si>
    <t>LS 365: UG HPS Granville-F 16000L</t>
  </si>
  <si>
    <t>LS 366: UG HPS Granville-G 16000L</t>
  </si>
  <si>
    <t>LS 367: UG HPS Granville-H 16000L</t>
  </si>
  <si>
    <t>LS 368: UG HPS Granville-I 16000L</t>
  </si>
  <si>
    <t>LS 370: UG HPS Granville-A1 16000L</t>
  </si>
  <si>
    <t>LS 372: UG HPS Granville-E1 16000L</t>
  </si>
  <si>
    <t>LS 373: UG HPS Granville-A2 16000L</t>
  </si>
  <si>
    <t>LS 374: UG HPS Granville-B3 16000L</t>
  </si>
  <si>
    <t>LS 375: UG HPS Granville-G1 16000L</t>
  </si>
  <si>
    <t>LS 376: UG HPS Granville-B2 16000L</t>
  </si>
  <si>
    <t>LS 377: UG HPS Granville-A3 16000L</t>
  </si>
  <si>
    <t>LS 378: UG HPS Granville-J 16000L</t>
  </si>
  <si>
    <t>LS 401: UG HPS Acorn 5800L Decorative</t>
  </si>
  <si>
    <t>RLS 404: OH MV Open Bottom 7000L Fixture</t>
  </si>
  <si>
    <t>RLS 409: OH HPS Cobra Head 50000L Fix</t>
  </si>
  <si>
    <t>RLS 410: UG HPS Acorn 4000L Historic</t>
  </si>
  <si>
    <t>LS 411: UG HPS Acorn 5800L Historic</t>
  </si>
  <si>
    <t>RLS 412: UG HPS Coach 5800L Decorative</t>
  </si>
  <si>
    <t>RLS 413: UG HPS Coach 9500L Decorative</t>
  </si>
  <si>
    <t>LS 414: UG HPS Victorian 5800L Historic</t>
  </si>
  <si>
    <t>LS 415: UG HPS Victorian 9500L Historic</t>
  </si>
  <si>
    <t>LS 420: UG HPS Acorn 9500L Decorative</t>
  </si>
  <si>
    <t>RLS 421: OH Inc Tear Drop 1000L Fix Only</t>
  </si>
  <si>
    <t>RLS 422: OH Inc Tear Drop 2500L Fix Only</t>
  </si>
  <si>
    <t>RLS 424: OH Inc Tear Drop 4000L Fix Only</t>
  </si>
  <si>
    <t>RLS 425: OH Inc Tear Drop 6000L Fix Only</t>
  </si>
  <si>
    <t>RLS 426: OH HPS Open Bottom 5800L Fix</t>
  </si>
  <si>
    <t>LS 428: OH HPS Open Bottom 9500L Fixture</t>
  </si>
  <si>
    <t>LS 430: UG HPS Acorn 9500L Historic</t>
  </si>
  <si>
    <t>RLS 434: OH Inc Tear Drop 4000L Fix/Pole</t>
  </si>
  <si>
    <t>RLS 440: UG HPS Acorn 4000L Decorative</t>
  </si>
  <si>
    <t>RLS 446: OH MV Cobra Head 7000L Fixture</t>
  </si>
  <si>
    <t>RLS 447: OH MV Cobra Head 10000L Fixture</t>
  </si>
  <si>
    <t>RLS 448: OH MV Cobra Head 20000L Fixture</t>
  </si>
  <si>
    <t>LS 450: OH MH Directional 12000L Fixture</t>
  </si>
  <si>
    <t>LS 451: OH MH Directional 32000L Fixture</t>
  </si>
  <si>
    <t>LS 452: OH MH Directional 107800L Fix</t>
  </si>
  <si>
    <t>RLS 454: OH MH Directional 12000L Fix/Po</t>
  </si>
  <si>
    <t>RLS 455: OH MH Directional 32000L Fix/Po</t>
  </si>
  <si>
    <t>RLS 456: OH MV Cobra 7000L Fixture/Pole</t>
  </si>
  <si>
    <t>RLS 457: OH MV Cobra 10000L Fixture/Pole</t>
  </si>
  <si>
    <t>RLS 458: OH MV Cobra 20000L Fixture/Pole</t>
  </si>
  <si>
    <t>RLS 459: OH MH Directional 107800L Fix/P</t>
  </si>
  <si>
    <t>RLS 460: UG MH Directional 12000L Deco</t>
  </si>
  <si>
    <t>RLS 461: OH HPS Cobra Head 4000L Fixture</t>
  </si>
  <si>
    <t>LS 462: OH HPS Cobra Head 5800L Fixture</t>
  </si>
  <si>
    <t>LS 463: OH HPS Cobra Head 9500L Fixture</t>
  </si>
  <si>
    <t>LS 464: OH HPS Cobra Head 22000L Fixture</t>
  </si>
  <si>
    <t>LS 465: OH HPS Cobra Head 50000L Fixture</t>
  </si>
  <si>
    <t>RLS 466: UG HPS Colonial 4000L Deco</t>
  </si>
  <si>
    <t>LS 467: UG HPS Colonial 5800L Deco</t>
  </si>
  <si>
    <t>LS 468: UG HPS Colonial 9500L Deco</t>
  </si>
  <si>
    <t>RLS 469: UG MH Directional 32000L Deco</t>
  </si>
  <si>
    <t>RLS 470: UG MH Directional 107800L Deco</t>
  </si>
  <si>
    <t>RLS 471: OH HPS Cobra Hd 4000L Fix/Pole</t>
  </si>
  <si>
    <t>LS 472: OH HPS Cobra 5800L Ornamental</t>
  </si>
  <si>
    <t>LS 473: OH HPS Cobra 9500L Ornamental</t>
  </si>
  <si>
    <t>LS 474: OH HPS Cobra 22000L Ornamental</t>
  </si>
  <si>
    <t>LS 475: OH HPS Cobra 50000L Ornamental</t>
  </si>
  <si>
    <t>LS 476: UG HPS Contemporary 5800L Deco</t>
  </si>
  <si>
    <t>LS 477: UG HPS Contemporary 9500L Deco</t>
  </si>
  <si>
    <t>LS 478: UG HPS Contemporary 22000L Deco</t>
  </si>
  <si>
    <t>LS 479: UG HPS Contemporary 50000L Deco</t>
  </si>
  <si>
    <t>LS 487: OH HPS Directional 9500L Fixture</t>
  </si>
  <si>
    <t>LS 488: OH HPS Directional 22000L Fix</t>
  </si>
  <si>
    <t>LS 489: OH HPS Directional 50000L Fix</t>
  </si>
  <si>
    <t>LS 490: UG MH Contemporary 12000L Fix</t>
  </si>
  <si>
    <t>LS 491: UG MH Contemporary 32000L Fix</t>
  </si>
  <si>
    <t>LS 492: UG HPS Contemporary 5800L Fix</t>
  </si>
  <si>
    <t>LS 493: UG MH Contemporary 107800L Fix</t>
  </si>
  <si>
    <t>LS 494: UG MH Contemporary 12000L Deco</t>
  </si>
  <si>
    <t>LS 495: UG MH Contemporary 32000L Deco</t>
  </si>
  <si>
    <t>LS 496: UG MH Contemporary 107800L Deco</t>
  </si>
  <si>
    <t>LS 498: UG HPS Contemporary 22000L Fix</t>
  </si>
  <si>
    <t>LS 499: UG HPS Contemporary 50000L Fix</t>
  </si>
  <si>
    <t>Rev Period</t>
  </si>
  <si>
    <t>Base Energy Non Fuel</t>
  </si>
  <si>
    <t>Base Energy ECR</t>
  </si>
  <si>
    <t>LS</t>
  </si>
  <si>
    <t>RLS</t>
  </si>
  <si>
    <t>Energy Charge</t>
  </si>
  <si>
    <t>Intermediate / Winter</t>
  </si>
  <si>
    <t xml:space="preserve"> Basic Demand</t>
  </si>
  <si>
    <t xml:space="preserve"> Intermediate / Winter Peak Demand </t>
  </si>
  <si>
    <t>AESTODS</t>
  </si>
  <si>
    <t>TS</t>
  </si>
  <si>
    <t>KUCME707</t>
  </si>
  <si>
    <t>LQF: Large Capacity Co-gen</t>
  </si>
  <si>
    <t>KUCSR783</t>
  </si>
  <si>
    <t>CSR30 Option B - Primary</t>
  </si>
  <si>
    <t>LS 497: UG HPS Contemporary 9500L Fix</t>
  </si>
  <si>
    <t>KUUM_829</t>
  </si>
  <si>
    <t>Excess Facilities ODL CIAC</t>
  </si>
  <si>
    <t>Res Total Electric</t>
  </si>
  <si>
    <t>TNLS</t>
  </si>
  <si>
    <t>LQF</t>
  </si>
  <si>
    <t>DA</t>
  </si>
  <si>
    <t>ODRS</t>
  </si>
  <si>
    <t>PF Qty</t>
  </si>
  <si>
    <t>16,000L Granville( Config E1) UG RC-371</t>
  </si>
  <si>
    <t>Incremental ECR Roll-in, Current 2-year Review Case</t>
  </si>
  <si>
    <t>ECR Amounts Previously Rolled In</t>
  </si>
  <si>
    <t>Total ECR Revenue Requirement to Include in Base Rates:</t>
  </si>
  <si>
    <t>See attachment to response to Questions 3(a) and 3(b) to Staff Data Request at</t>
  </si>
  <si>
    <t>Technical Conference held September 28, 2011 for details supporting roll-in amounts</t>
  </si>
  <si>
    <t>Gross Roll In Amount is allocated to Group 1 and Group 2 on the basis of Total Revenue excluding previous rollin amounts:</t>
  </si>
  <si>
    <t>Total Revenue Excluding Base ECR</t>
  </si>
  <si>
    <t>ECR Roll-in By Group</t>
  </si>
  <si>
    <t>ECR Roll-in Amount</t>
  </si>
  <si>
    <t>Group 1 (ECR Rollin allocated on Total Revenue)</t>
  </si>
  <si>
    <t>Residential Service (RS)</t>
  </si>
  <si>
    <t>Volunteer File Department (VFD)</t>
  </si>
  <si>
    <t>All Electric School (AES)</t>
  </si>
  <si>
    <t>Low Emission Vehicle (LEV)</t>
  </si>
  <si>
    <t>Lighting Energy (LE)</t>
  </si>
  <si>
    <t>Traffic Energy (TE)</t>
  </si>
  <si>
    <t>Outdoor Lighting (D.S.K., ST. LT. and P.O. LT.)</t>
  </si>
  <si>
    <t>NOT PART OF EXHIBIT --</t>
  </si>
  <si>
    <t>DO NOT PRINT!</t>
  </si>
  <si>
    <t>Non-Fuel Revenues</t>
  </si>
  <si>
    <t>ECR allocation-total revenue basis</t>
  </si>
  <si>
    <t>% change - non fuel basis</t>
  </si>
  <si>
    <t>Group 2 (ECR Rollin allocated on Non-Fuel Revenue)</t>
  </si>
  <si>
    <t>General Service (GS) (Single and Three Phase)</t>
  </si>
  <si>
    <t>Power Service (PS) (Secondary and Primary)</t>
  </si>
  <si>
    <t>Time of Day Secondary (TODS)</t>
  </si>
  <si>
    <t>Time of Day Primary (TODP)</t>
  </si>
  <si>
    <t>Retail Transmisison Service (RTS)</t>
  </si>
  <si>
    <t>Fluctuating Load Service (FLS) (Primary and Transmission)</t>
  </si>
  <si>
    <t>Total Base Revenue, Group 1 and Group 2:</t>
  </si>
  <si>
    <t>Excess Facilities included in Base Revenue (not assessed ECR):</t>
  </si>
  <si>
    <t>Total Base Revenue net of previous ECR rollin amounts, Billed Basis</t>
  </si>
  <si>
    <t>Code</t>
  </si>
  <si>
    <t>Rate Class</t>
  </si>
  <si>
    <t>12-Month Lighting Installations</t>
  </si>
  <si>
    <t>12-Month Energy</t>
  </si>
  <si>
    <t>Energy Rate -- ECR</t>
  </si>
  <si>
    <t>Lighting Rate -- ECR</t>
  </si>
  <si>
    <t>Base Fuel Revenue</t>
  </si>
  <si>
    <t>ECR Energy Revenue</t>
  </si>
  <si>
    <t>ECR Lighting Revenue</t>
  </si>
  <si>
    <t>Total 12-Month ECR Revenue</t>
  </si>
  <si>
    <t>Total 12-Month Revenue</t>
  </si>
  <si>
    <t>Total Revenue Excluding ECR</t>
  </si>
  <si>
    <t>ECR Revenue to Roll-in</t>
  </si>
  <si>
    <t>Proposed ECR Component of Rates -- Energy</t>
  </si>
  <si>
    <t>ECR Component of Monthly Per Light Rates</t>
  </si>
  <si>
    <t>Proposed Base ECR Revenue</t>
  </si>
  <si>
    <t>Difference Between Allocated ECR and Revised Revenue</t>
  </si>
  <si>
    <t>Revised Rates</t>
  </si>
  <si>
    <t>Existing Rates</t>
  </si>
  <si>
    <t>Percent Change</t>
  </si>
  <si>
    <t>See Summary</t>
  </si>
  <si>
    <t>Residential Service (except VFD)</t>
  </si>
  <si>
    <t>Volunteer Fire Departments (charged at Rate RS)</t>
  </si>
  <si>
    <t>All Electric Schools</t>
  </si>
  <si>
    <t>Low Emission Vehicle, Period 1</t>
  </si>
  <si>
    <t>Low Emission Vehicle, Period 2</t>
  </si>
  <si>
    <t>Low Emission Vehicle, Period 3</t>
  </si>
  <si>
    <t>Traffic Lighting Service</t>
  </si>
  <si>
    <t>Sheet No. 35</t>
  </si>
  <si>
    <t>Total Base Revenues, Group 2:</t>
  </si>
  <si>
    <t>Total Base Revenues, 12 months ending September 30, 2011</t>
  </si>
  <si>
    <t>12-month revenues excluding ECR</t>
  </si>
  <si>
    <t>ECR Revenue proposed for inclusion:</t>
  </si>
  <si>
    <t>12-month revenues including proposed ECR revenues</t>
  </si>
  <si>
    <t>increased revenue</t>
  </si>
  <si>
    <t>Total Revenue</t>
  </si>
  <si>
    <t>Group 1</t>
  </si>
  <si>
    <t>Group 2</t>
  </si>
  <si>
    <t>NOT PART OF EXHIBIT -- DO NOT PRINT!!!!!</t>
  </si>
  <si>
    <t>12-Month Demand</t>
  </si>
  <si>
    <t>Demand Rate -- ECR</t>
  </si>
  <si>
    <t>ECR Demand Revenue</t>
  </si>
  <si>
    <t>Total Revenue Excluding ECR and Fuel</t>
  </si>
  <si>
    <t>Proposed ECR Component of Demand Rates</t>
  </si>
  <si>
    <t>Increased ECR Revenue</t>
  </si>
  <si>
    <t>SEASONAL ENERGY LOOK UP TABLES</t>
  </si>
  <si>
    <t>SEASONAL DEMAND LOOK UP TABLES</t>
  </si>
  <si>
    <t>Test Year:</t>
  </si>
  <si>
    <t>Month</t>
  </si>
  <si>
    <t>PS Summer</t>
  </si>
  <si>
    <t>PS Winter</t>
  </si>
  <si>
    <t>Power Service -- Secondary Summer Demand and Energy</t>
  </si>
  <si>
    <t>Power Service -- Secondary Winter Demand and Energy</t>
  </si>
  <si>
    <t>Power Service -- Primary Summer Demand and Energy</t>
  </si>
  <si>
    <t>Power Service -- Primary Winter Demand and Energy</t>
  </si>
  <si>
    <t>Time of Day Secondary Service -- Peak Demand</t>
  </si>
  <si>
    <t>Time of Day Secondary Service --Intermediate Demand</t>
  </si>
  <si>
    <t>Time of Day Secondary Service -- Basic Demand</t>
  </si>
  <si>
    <t>Time of Day Primary Service -- Peak Demand</t>
  </si>
  <si>
    <t>Time of Day Primary Service --Intermediate Demand</t>
  </si>
  <si>
    <t>Time of Day Primary Service -- Basic Demand</t>
  </si>
  <si>
    <t>Retail Transmission Service -- Peak Demand</t>
  </si>
  <si>
    <t>Retail Transmission Service --Intermediate Demand</t>
  </si>
  <si>
    <t>Retail Transmission Service -- Basic Demand</t>
  </si>
  <si>
    <t>Fluctuating Load Primary Service -- Peak Demand</t>
  </si>
  <si>
    <t>Fluctuating Load Primary Service --Intermediate Demand</t>
  </si>
  <si>
    <t>Fluctuating Load Primary Service -- Basic Demand</t>
  </si>
  <si>
    <t>Fluctuating Load Transmission Service -- Peak Demand</t>
  </si>
  <si>
    <t>Fluctuating Load Transmission Service --Intermediate Demand</t>
  </si>
  <si>
    <t>Fluctuating Load Transmission Service -- Basic Demand</t>
  </si>
  <si>
    <t>Total from 12MonthResults and from 12MonthLights</t>
  </si>
  <si>
    <t>12-month revenues excluding ECR:</t>
  </si>
  <si>
    <t>Increased Revenue</t>
  </si>
  <si>
    <t>Base Fuel</t>
  </si>
  <si>
    <t>Non-Fuel Energy</t>
  </si>
  <si>
    <t>Summary of ECR Roll-in Calculations, Twleve Months Ending February 28, 2013</t>
  </si>
  <si>
    <t>Case No. 2013-00242</t>
  </si>
  <si>
    <t>HPS Cobra Head, 5800 Lumen, Fixture Only</t>
  </si>
  <si>
    <t>HPS Cobra Head, 5800 Lumen, Fixture with Ornamental Pole</t>
  </si>
  <si>
    <t>HPS Cobra Head, 9500 Lumen, Fixture Only</t>
  </si>
  <si>
    <t>HPS Cobra Head, 9500 Lumen, Fixture with Ornamental Pole</t>
  </si>
  <si>
    <t>HPS Cobra Head, 22000 Lumen, Fixture Only</t>
  </si>
  <si>
    <t>HPS Cobra Head, 22000 Lumen, Fixture with Ornamental Pole</t>
  </si>
  <si>
    <t>HPS Cobra Head, 50000 Lumen, Fixture Only</t>
  </si>
  <si>
    <t>HPS Cobra Head, 50000 Lumen, Fixture with Ornamental Pole</t>
  </si>
  <si>
    <t>HPS Directional, 9500 Lumen, Fixture Only</t>
  </si>
  <si>
    <t>HPS Directional, 22000 Lumen, Fixture Only</t>
  </si>
  <si>
    <t>HPS Directional, 50000 Lumen, Fixture Only</t>
  </si>
  <si>
    <t>HPS Open Bottom, 9500 Lumen, Fixture Only</t>
  </si>
  <si>
    <t>MH Directional, 12000 Lumen, Fixture Only</t>
  </si>
  <si>
    <t>MH Directional, 32000 Lumen, Fixture Only</t>
  </si>
  <si>
    <t>MH Directional, 107800 Lumen, Fixture Only</t>
  </si>
  <si>
    <t>Sheet 35.1</t>
  </si>
  <si>
    <t>HPS Colonial, 5800 Lumen, Decorative Smooth Pole</t>
  </si>
  <si>
    <t>HPS Colonial, 9500 Lumen, Decorative Smooth Pole</t>
  </si>
  <si>
    <t>HPS Acorn, 5800 Lumen, Decorative Smooth Pole</t>
  </si>
  <si>
    <t>HPS Acorn, 5800 Lumen, Historic Fluted Pole</t>
  </si>
  <si>
    <t>HPS Acorn, 9500 Lumen, Decorative Smooth Pole</t>
  </si>
  <si>
    <t>HPS Acorn, 9500 Lumen, Historic Fluted Pole</t>
  </si>
  <si>
    <t>HPS Victorian, 5800 Lumen, Historic Fluted Pole</t>
  </si>
  <si>
    <t>HPS Victorian, 9500 Lumen, Historic Fluted Pole</t>
  </si>
  <si>
    <t>HPS Contemporary, 5800 Lumen, Decorative Smooth Pole</t>
  </si>
  <si>
    <t>HPS Contemporary, 5800 Lumen, Fixture Only</t>
  </si>
  <si>
    <t>HPS Contemporary, 9500 Lumen, Fixture Only</t>
  </si>
  <si>
    <t>HPS Contemporary, 9500 Lumen, Decorative Smooth Pole</t>
  </si>
  <si>
    <t>HPS Contemporary, 22000 Lumen, Fixture Only</t>
  </si>
  <si>
    <t>HPS Contemporary, 22000 Lumen, Decorative Smooth Pole</t>
  </si>
  <si>
    <t>HPS Contemporary, 50000 Lumen, Fixture Only</t>
  </si>
  <si>
    <t>HPS Contemporary, 50000 Lumen, Decorative Smooth Pole</t>
  </si>
  <si>
    <t>HPS Dark Sky Lantern, 4000 Lumen, Decorative Smooth Pole</t>
  </si>
  <si>
    <t>HPS Dark Sky Lantern, 9500 Lumen, Decorative Smooth Pole</t>
  </si>
  <si>
    <t>Sheet 35.2</t>
  </si>
  <si>
    <t>16,000L Granville( Config A)</t>
  </si>
  <si>
    <t>16,000L Granville( Config B)</t>
  </si>
  <si>
    <t>16,000L Granville( Config C)</t>
  </si>
  <si>
    <t>16,000L Granville( Config D)</t>
  </si>
  <si>
    <t>16,000L Granville( Config E)</t>
  </si>
  <si>
    <t>16,000L Granville( Config F)</t>
  </si>
  <si>
    <t>16,000L Granville( Config G)</t>
  </si>
  <si>
    <t>16,000L Granville( Config H)</t>
  </si>
  <si>
    <t>16,000L Granville( Config I)</t>
  </si>
  <si>
    <t>16,000L Granville( Config A1)</t>
  </si>
  <si>
    <t>16,000L Granville( Config E1)</t>
  </si>
  <si>
    <t>16,000L Granville( Config A2)</t>
  </si>
  <si>
    <t>16,000L Granville( Config B3)</t>
  </si>
  <si>
    <t>16,000L Granville( Config G1)</t>
  </si>
  <si>
    <t>16,000L Granville( Config B2)</t>
  </si>
  <si>
    <t>16,000L Granville( Config A3)</t>
  </si>
  <si>
    <t>16,000L Granville( Config J)</t>
  </si>
  <si>
    <t>16,000L Granville( Config J1)</t>
  </si>
  <si>
    <t>16,000L Granville( Config J2)</t>
  </si>
  <si>
    <t>16,000L Granville( Config J3)</t>
  </si>
  <si>
    <t>16,000L Granville( Config J4)</t>
  </si>
  <si>
    <t>MH Contemporary, 12000 Lumen, Fixture Ony</t>
  </si>
  <si>
    <t>MH Contemporary, 12000 Lumen, Decorative Smooth Pole</t>
  </si>
  <si>
    <t>MH Contemporary, 32000 Lumen, Fixture Ony</t>
  </si>
  <si>
    <t>MH Contemporary, 32000 Lumen, Decorative Smooth Pole</t>
  </si>
  <si>
    <t>MH Contemporary, 107800 Lumen, Fixture Ony</t>
  </si>
  <si>
    <t>MH Contemporary, 107800 Lumen, Decorative Smooth Pole</t>
  </si>
  <si>
    <t>Sheet 36</t>
  </si>
  <si>
    <t>HPS Cobra Head, 4000 Lumen, Fixture Only</t>
  </si>
  <si>
    <t>HPS Cobra Head, 4000 Lumen, Fixture and Pole</t>
  </si>
  <si>
    <t>HPS Open Bottom, 5800 Lumen, Fixture Only</t>
  </si>
  <si>
    <t>MH Directional, 12000 Lumen, Fixture and Pole</t>
  </si>
  <si>
    <t>MH Directional, 32000 Lumen, Fixture and Pole</t>
  </si>
  <si>
    <t>MH Directional, 107800 Lumen, Fixture and Pole</t>
  </si>
  <si>
    <t>MV Cobra Head, 7000 Lumen, Fixture Only</t>
  </si>
  <si>
    <t>MV Cobra Head, 7000 Lumen, Fixture and Pole</t>
  </si>
  <si>
    <t>MV Cobra Head, 10000 Lumen, Fixture Only</t>
  </si>
  <si>
    <t>MV Cobra Head, 10000 Lumen, Fixture and Pole</t>
  </si>
  <si>
    <t>MV Cobra Head, 20000 Lumen, Fixture Only</t>
  </si>
  <si>
    <t>MV Cobra Head, 20000 Lumen, Fixture and Pole</t>
  </si>
  <si>
    <t>MV Open Bottom, 7000 Lumen, Fixture Only</t>
  </si>
  <si>
    <t>Incandescent Tear Drop, 1000 Lumen, Fixture Only</t>
  </si>
  <si>
    <t>Incandescent Tear Drop, 2500 Lumen, Fixture Only</t>
  </si>
  <si>
    <t>Incandescent Tear Drop, 4000 Lumen, Fixture Only</t>
  </si>
  <si>
    <t>Incandescent Tear Drop, 4000 Lumen, Fixture and Pole</t>
  </si>
  <si>
    <t>Incandescent Tear Drop, 6000 Lumen, Fixture Only</t>
  </si>
  <si>
    <t>Sheet 36.1</t>
  </si>
  <si>
    <t>MH Directional, 12000 Lumen, Decorative Smooth Pole</t>
  </si>
  <si>
    <t>MH Directional, 32000 Lumen, Decorative Smooth Pole</t>
  </si>
  <si>
    <t>MH Directional, 107800 Lumen, Decorative Smooth Pole</t>
  </si>
  <si>
    <t>HPS Acorn, 4000 Lumen, Decorative Smooth Pole</t>
  </si>
  <si>
    <t>HPS Acorn, 4000 Lumen, Historic Fluted Pole</t>
  </si>
  <si>
    <t>HPS Colonial, 4000 Lumen, Decorative Smooth Pole</t>
  </si>
  <si>
    <t>HPS Coach, 5800 Lumen, Decorative Smooth Pole</t>
  </si>
  <si>
    <t>HPS Coach, 9500 Lumen, Decorative Smooth Pole</t>
  </si>
  <si>
    <t>eliminated rate categories with 2012 rate case</t>
  </si>
  <si>
    <t>kW per Light</t>
  </si>
  <si>
    <t>Non-Fuel Revenue</t>
  </si>
  <si>
    <t>LEF</t>
  </si>
  <si>
    <t>Total Group 1 and Group 2</t>
  </si>
  <si>
    <t>Total Base Revenues, 12 months ending February 28, 2013</t>
  </si>
  <si>
    <t>Group 2 Only:</t>
  </si>
  <si>
    <t>LEV: Low Emission Vehicle Service</t>
  </si>
  <si>
    <t>KW/KVA On Peak</t>
  </si>
  <si>
    <t>KW/KVA On Peak Adj</t>
  </si>
  <si>
    <t>KW/KVA Base Measured</t>
  </si>
  <si>
    <t>KW/KVA Intermed Measured</t>
  </si>
  <si>
    <t>KW/KVA Peak Measured</t>
  </si>
  <si>
    <t>KW/KVA On Peak Measured</t>
  </si>
  <si>
    <t xml:space="preserve"> kVA Demand-Intermediate Measured (Winter Peak for PS)</t>
  </si>
  <si>
    <t xml:space="preserve"> kVA Demand-Peak Measured (Summer Peak for PS)</t>
  </si>
  <si>
    <t xml:space="preserve"> kVA Demand-Base Billed</t>
  </si>
  <si>
    <t xml:space="preserve"> kVA Demand-Base Measured</t>
  </si>
  <si>
    <t xml:space="preserve"> kVA Demand-Intermediate Billed (Winter Peak for PS)</t>
  </si>
  <si>
    <t xml:space="preserve"> kVA Demand-Peak Billed (Summer Peak for PS)</t>
  </si>
  <si>
    <t>Adjustment to Contract Accts to remove Out of Period Lights</t>
  </si>
  <si>
    <t>Adjustment to Energy Consumption to remove Out of Period Energy</t>
  </si>
  <si>
    <t>Adjustment to Lighting Revenues to Reflect Partial Month Proration, and Bill Corrections</t>
  </si>
  <si>
    <t>Adjustment to Lighting Revenues to Reflect Bill Corrections for Out of Period Revenue</t>
  </si>
  <si>
    <t>Restricted Lighting Service -- RLS</t>
  </si>
  <si>
    <t>Lighting Service -- LS</t>
  </si>
  <si>
    <t>Billing Month</t>
  </si>
  <si>
    <t>FAC Base Used</t>
  </si>
  <si>
    <t>Actual Test Year Number of Customers - Do Not Print this column!!</t>
  </si>
  <si>
    <t>Customers joining the system:</t>
  </si>
  <si>
    <t>New</t>
  </si>
  <si>
    <t>General Service Single Phase Unmetered</t>
  </si>
  <si>
    <t>General Service Single Phase - Net Meter</t>
  </si>
  <si>
    <t>General Service Three Phase - Net Meter</t>
  </si>
  <si>
    <t>ODRSE010</t>
  </si>
  <si>
    <t>KUUM_465CU</t>
  </si>
  <si>
    <t>LS 465CU: OH HPS Cobra Hd 50000L Fixture</t>
  </si>
  <si>
    <t>KUCSR781</t>
  </si>
  <si>
    <t>CSR30 Option A - Primary</t>
  </si>
  <si>
    <t>KUCSR780</t>
  </si>
  <si>
    <t>Energy Rate-Bundled Balance</t>
  </si>
  <si>
    <t>Appolo Fuels</t>
  </si>
  <si>
    <t>D&amp;C Mining</t>
  </si>
  <si>
    <t>Bell Co Coal Corp</t>
  </si>
  <si>
    <t>Metalsa Structural Products</t>
  </si>
  <si>
    <t>Ryder Systems</t>
  </si>
  <si>
    <t>Navistar</t>
  </si>
  <si>
    <t>Nestle</t>
  </si>
  <si>
    <t>New in January 2014</t>
  </si>
  <si>
    <t>Middlesboro Mining Operations</t>
  </si>
  <si>
    <t>New in April 2014</t>
  </si>
  <si>
    <t>EZ Pack Refuse Handling</t>
  </si>
  <si>
    <t>New in May 2014</t>
  </si>
  <si>
    <t>Fox Knob Coal Company</t>
  </si>
  <si>
    <t>Actual Number of Customer-Months for the 13-Month Period</t>
  </si>
  <si>
    <t>Customer-Months Switching TO the Rate</t>
  </si>
  <si>
    <t>Customer-Months Switching FROM the Rate</t>
  </si>
  <si>
    <t>See:  Rates/Rate Case 2014/Billing Determinants/Rate Switching/KU Rate Switch.xlsx, "Summary" for source data</t>
  </si>
  <si>
    <t>Residential Service including VFD including rate switching</t>
  </si>
  <si>
    <t>Average Number of Customers, Adjusted for Rate Switching</t>
  </si>
  <si>
    <t>End of Year count</t>
  </si>
  <si>
    <t>Test Yr Count</t>
  </si>
  <si>
    <t>Adj</t>
  </si>
  <si>
    <t>13th month count</t>
  </si>
  <si>
    <t>Time of Day</t>
  </si>
  <si>
    <t>Outdoor Lighting</t>
  </si>
  <si>
    <t>Restricted Lighting Service</t>
  </si>
  <si>
    <t>Test Yr KWH</t>
  </si>
  <si>
    <t>13th month KWH</t>
  </si>
  <si>
    <t>Rate Class total</t>
  </si>
  <si>
    <t>12 Mon Results</t>
  </si>
  <si>
    <t>Lights Total</t>
  </si>
  <si>
    <t>12 Mon Lights</t>
  </si>
  <si>
    <t>from jurisdictional separation study, page 12, line 38</t>
  </si>
  <si>
    <t>ties to jurisdictional separation study, page 12, line 34</t>
  </si>
  <si>
    <t>Test Yr Revenue</t>
  </si>
  <si>
    <t>jurisdictional 926 expense, page 12 line 24</t>
  </si>
  <si>
    <t>total labor,  jurisdiction separation study page 19, line 29 minus pensions and benefits (see below)</t>
  </si>
  <si>
    <t>13th Month FAC</t>
  </si>
  <si>
    <t>13th Month Base ECR</t>
  </si>
  <si>
    <t>June 2013 Revenues at Current Rates</t>
  </si>
  <si>
    <t>June 2013 Actual FAC Revenues</t>
  </si>
  <si>
    <t>June 2013 Base ECR Revenue</t>
  </si>
  <si>
    <t>Base + FAC Revenues From Customers Switching TO the Rate Before the Rate Switch (Current Rates)</t>
  </si>
  <si>
    <t>Base + FAC Revenues From Customers Switching FROM the Rate Before the Rate Switch (Current Rates)</t>
  </si>
  <si>
    <t>less:  Test Year ECR Base Revenues</t>
  </si>
  <si>
    <t>Ourdoor Lighting</t>
  </si>
  <si>
    <t>010</t>
  </si>
  <si>
    <t>020</t>
  </si>
  <si>
    <t>566-power factor</t>
  </si>
  <si>
    <t>025</t>
  </si>
  <si>
    <t>RS three phase</t>
  </si>
  <si>
    <t>Rate RSVFD</t>
  </si>
  <si>
    <t>GS Net Metering</t>
  </si>
  <si>
    <t>base period actuals</t>
  </si>
  <si>
    <t>base period forecast</t>
  </si>
  <si>
    <t>KUMNE912</t>
  </si>
  <si>
    <t>KUMNE913</t>
  </si>
  <si>
    <t>Primary Service-Secondary</t>
  </si>
  <si>
    <t>Primary Service-Primary</t>
  </si>
  <si>
    <t>Curtailable Service Riders</t>
  </si>
  <si>
    <t>WORK PAPER REFERENCE NO(S):</t>
  </si>
  <si>
    <t>DATA:  ____ BASE PERIOD  __X__  FORECAST PERIOD</t>
  </si>
  <si>
    <t>Tariff Effective Date</t>
  </si>
  <si>
    <t>Rate Code</t>
  </si>
  <si>
    <t>TYPE OF FILING: __X__ ORIGINAL  _____ UPDATED  _____ REVISED</t>
  </si>
  <si>
    <t>Schedule M-2.2</t>
  </si>
  <si>
    <t>CSR10T</t>
  </si>
  <si>
    <t>CSR10P</t>
  </si>
  <si>
    <t>CSR30T</t>
  </si>
  <si>
    <t>CSR30P</t>
  </si>
  <si>
    <t>CSR10</t>
  </si>
  <si>
    <t>CSR30</t>
  </si>
  <si>
    <t>Curtailable Service Rider 10</t>
  </si>
  <si>
    <t>Curtailable Service Rider 30</t>
  </si>
  <si>
    <t>Sumif tariff keys</t>
  </si>
  <si>
    <t>do not delete</t>
  </si>
  <si>
    <t>Single Phase Energy</t>
  </si>
  <si>
    <t>Three Phase Energy</t>
  </si>
  <si>
    <t>Demand, kW</t>
  </si>
  <si>
    <t/>
  </si>
  <si>
    <t>LS 35</t>
  </si>
  <si>
    <t>LS 35.1</t>
  </si>
  <si>
    <t>LS 35.2</t>
  </si>
  <si>
    <t>Granville Lights (move from LS to RLS)</t>
  </si>
  <si>
    <t>RLS 36.2</t>
  </si>
  <si>
    <t>RLS 36</t>
  </si>
  <si>
    <t>Overhead, continued</t>
  </si>
  <si>
    <t>RLS 36.1</t>
  </si>
  <si>
    <t>Schedule M-2.3</t>
  </si>
  <si>
    <t>JAN 2015</t>
  </si>
  <si>
    <t>General Service Rate  GS Single Phase</t>
  </si>
  <si>
    <t>Basic Service Charge</t>
  </si>
  <si>
    <t>kW, Off-Peak Period</t>
  </si>
  <si>
    <t>Metered</t>
  </si>
  <si>
    <t>Energy, Off-Peak Period</t>
  </si>
  <si>
    <t>Customer Months</t>
  </si>
  <si>
    <t>kW Billed</t>
  </si>
  <si>
    <t>kVA Billed</t>
  </si>
  <si>
    <t>JUL 2015</t>
  </si>
  <si>
    <t>AUG 2015</t>
  </si>
  <si>
    <t>SEP 2015</t>
  </si>
  <si>
    <t>OCT 2015</t>
  </si>
  <si>
    <t>NOV 2015</t>
  </si>
  <si>
    <t>DEC 2015</t>
  </si>
  <si>
    <t>JAN 2016</t>
  </si>
  <si>
    <t>FEB 2016</t>
  </si>
  <si>
    <t>MAR 2016</t>
  </si>
  <si>
    <t>APR 2016</t>
  </si>
  <si>
    <t>MAY 2016</t>
  </si>
  <si>
    <t>JUN 2016</t>
  </si>
  <si>
    <t>All Outdoot Lighting</t>
  </si>
  <si>
    <t>Year</t>
  </si>
  <si>
    <t>LGRSE511</t>
  </si>
  <si>
    <t>LGCME551</t>
  </si>
  <si>
    <t>LGCME651</t>
  </si>
  <si>
    <t>LGMLE571</t>
  </si>
  <si>
    <t>LGMLE573</t>
  </si>
  <si>
    <t>LGINE643</t>
  </si>
  <si>
    <t>LGCME563</t>
  </si>
  <si>
    <t>LGCME561</t>
  </si>
  <si>
    <t>LGCME593</t>
  </si>
  <si>
    <t>LGCME591</t>
  </si>
  <si>
    <t>LGINE663</t>
  </si>
  <si>
    <t>LGINE661</t>
  </si>
  <si>
    <t>LGINE693</t>
  </si>
  <si>
    <t>LGINE691</t>
  </si>
  <si>
    <t>LGINE599</t>
  </si>
  <si>
    <t>LGCME671</t>
  </si>
  <si>
    <t>Forecast lighting total</t>
  </si>
  <si>
    <t>Used Jan 2014 actuals adjusted for actual prorated billings</t>
  </si>
  <si>
    <t>LE forecast (forecast energy at current rate)</t>
  </si>
  <si>
    <t>TE forecast (forecast energy at current rate)</t>
  </si>
  <si>
    <t>Lighting revenue per forecast</t>
  </si>
  <si>
    <t>Calculated lighting revenue</t>
  </si>
  <si>
    <t>Used Feb 2014 actuals adjusted for actual prorated billings</t>
  </si>
  <si>
    <t>Used Mar 2014 actuals adjusted for actual prorated billings</t>
  </si>
  <si>
    <t>Used Apr 2014 actuals adjusted for actual prorated billings</t>
  </si>
  <si>
    <t>Used May 2014 actuals adjusted for actual prorated billings</t>
  </si>
  <si>
    <t>Used June 2014 actuals adjusted for actual prorated billings</t>
  </si>
  <si>
    <t>Used July 2014 actuals adjusted for actual prorated billings</t>
  </si>
  <si>
    <t>Used Aug 2014 actuals adjusted for actual prorated billings</t>
  </si>
  <si>
    <t>Used Sep 2013 actuals adjusted for actual prorated billings</t>
  </si>
  <si>
    <t>Used Oct 2013 actuals adjusted for actual prorated billings</t>
  </si>
  <si>
    <t>Used Nov 2013 actuals adjusted for actual prorated billings</t>
  </si>
  <si>
    <t>Adjustment to Reflect Sale of Lighting Fixtures</t>
  </si>
  <si>
    <t xml:space="preserve">Demand, </t>
  </si>
  <si>
    <t>Months</t>
  </si>
  <si>
    <t>Redundant Capcity Rider Revenue not included in Revenue Forecast</t>
  </si>
  <si>
    <t>Redundant Capacity Rider Revenue not included in revenue forecast</t>
  </si>
  <si>
    <t>Forecast demand = billed demand + power factor adjustment</t>
  </si>
  <si>
    <t>Applies to Power Service Secondary, Primary, Time of Day Secondary, and Fort Knox</t>
  </si>
  <si>
    <t>Forecast demand revenue = billed demand x demand rate + power factor adjustment x demand rate</t>
  </si>
  <si>
    <t>Adjustment to the Forecast is based on 12 months ending August 31, 2014 billing data.</t>
  </si>
  <si>
    <t>12 Month Actual Data, Power Service Secondary Demand excluding Power Factor:</t>
  </si>
  <si>
    <t>Total Power Service Secondary</t>
  </si>
  <si>
    <t>Total Demand</t>
  </si>
  <si>
    <t>PF % of Total</t>
  </si>
  <si>
    <t>Forecast Data, Power Service Secondary:</t>
  </si>
  <si>
    <t>Forecast Demand without PF adjustment</t>
  </si>
  <si>
    <t>Forecast Power Factor</t>
  </si>
  <si>
    <t>billing data</t>
  </si>
  <si>
    <t>(1) + (2)</t>
  </si>
  <si>
    <t>(3) KW + (3) PF</t>
  </si>
  <si>
    <r>
      <t xml:space="preserve">(3) PF </t>
    </r>
    <r>
      <rPr>
        <sz val="8"/>
        <color theme="1"/>
        <rFont val="Calibri"/>
        <family val="2"/>
      </rPr>
      <t>÷ (4)</t>
    </r>
  </si>
  <si>
    <t>per forecast</t>
  </si>
  <si>
    <t>(6) x (1 - (5))</t>
  </si>
  <si>
    <t>(6) - (7)</t>
  </si>
  <si>
    <t>kW Winter</t>
  </si>
  <si>
    <t>kW Summer</t>
  </si>
  <si>
    <t>PF Winter</t>
  </si>
  <si>
    <t>PF Summer</t>
  </si>
  <si>
    <t>Recalculate Demand Revenue:</t>
  </si>
  <si>
    <t>Tariff Rates</t>
  </si>
  <si>
    <t>Power Factor Revenue</t>
  </si>
  <si>
    <t>Demand Revenue + PF Revenue</t>
  </si>
  <si>
    <t>Revenue per Forecast</t>
  </si>
  <si>
    <t>(7) above x Rate</t>
  </si>
  <si>
    <t>(8) above x Rate</t>
  </si>
  <si>
    <t>12 Month Actual Data, Power Service Primary Demand excluding Power Factor:</t>
  </si>
  <si>
    <t>Total Power Service Primary</t>
  </si>
  <si>
    <t>Forecast Data, Power Service Primary:</t>
  </si>
  <si>
    <t>12 Month Actual Data, Time of Day Secondary Demand excluding Power Factor:</t>
  </si>
  <si>
    <t>Total Time of Day Secondary</t>
  </si>
  <si>
    <t>Forecast Data, Time of Day Secondary:</t>
  </si>
  <si>
    <r>
      <t xml:space="preserve">(3) PF </t>
    </r>
    <r>
      <rPr>
        <sz val="9"/>
        <color theme="1"/>
        <rFont val="Calibri"/>
        <family val="2"/>
      </rPr>
      <t>÷ (4)</t>
    </r>
  </si>
  <si>
    <t>KW Base</t>
  </si>
  <si>
    <t>KW Inter</t>
  </si>
  <si>
    <t>KW Peak</t>
  </si>
  <si>
    <t>PF Base</t>
  </si>
  <si>
    <t>PF Inter</t>
  </si>
  <si>
    <t>PF Peak</t>
  </si>
  <si>
    <t>Allocation of energy to Rate LEV (not separately identified in load or revenue forecast)</t>
  </si>
  <si>
    <t>Total RSE</t>
  </si>
  <si>
    <t>SEP 2013</t>
  </si>
  <si>
    <t>OCT 2013</t>
  </si>
  <si>
    <t>NOV 2013</t>
  </si>
  <si>
    <t>DEC 2013</t>
  </si>
  <si>
    <t>JAN 2014</t>
  </si>
  <si>
    <t>FEB 2014</t>
  </si>
  <si>
    <t>MAR 2014</t>
  </si>
  <si>
    <t>APR 2014</t>
  </si>
  <si>
    <t>MAY 2014</t>
  </si>
  <si>
    <t>JUN 2014</t>
  </si>
  <si>
    <t>JUL 2014</t>
  </si>
  <si>
    <t>AUG 2014</t>
  </si>
  <si>
    <t>August 2014</t>
  </si>
  <si>
    <t>annualized:</t>
  </si>
  <si>
    <t>LEV as a percent of total RSE</t>
  </si>
  <si>
    <t>Energy charge</t>
  </si>
  <si>
    <t>Per Load Forecast, total RSE customer count for July 2015-June 2016:</t>
  </si>
  <si>
    <t>Per Load Forecast, total RSE energy sales for July 2015-June 2016:</t>
  </si>
  <si>
    <t>Based on 12 months ending August 2014, percent of total RS in LEV:</t>
  </si>
  <si>
    <t>Estimated customers in Rate LEV for forecast period:</t>
  </si>
  <si>
    <t>Basic Service Charge allocated to LEV for forecast period:</t>
  </si>
  <si>
    <t>Percent to total in each time period:</t>
  </si>
  <si>
    <t>Forecast RS customers less estimated LEV customers:</t>
  </si>
  <si>
    <t>Period 1</t>
  </si>
  <si>
    <t>Period 2</t>
  </si>
  <si>
    <t>Period 3</t>
  </si>
  <si>
    <t>Aug 2014 annualized</t>
  </si>
  <si>
    <t>Allocate to time periods</t>
  </si>
  <si>
    <t>Forecast RS</t>
  </si>
  <si>
    <t>Percent LEV</t>
  </si>
  <si>
    <t>Forecast LEV</t>
  </si>
  <si>
    <t>Balance of RSE</t>
  </si>
  <si>
    <t>Time of Day Secondary</t>
  </si>
  <si>
    <t>PS Secondary -Net Metering</t>
  </si>
  <si>
    <t>General Service Rate GS - Three Phase</t>
  </si>
  <si>
    <t>All Electric School Single Phase</t>
  </si>
  <si>
    <t>All Electric School three Phase</t>
  </si>
  <si>
    <t>Addition of</t>
  </si>
  <si>
    <t>Redundant</t>
  </si>
  <si>
    <t>Capacity</t>
  </si>
  <si>
    <t>Additional</t>
  </si>
  <si>
    <t>Rate LE Sales</t>
  </si>
  <si>
    <t>and Lost</t>
  </si>
  <si>
    <t>Lighting Revenue</t>
  </si>
  <si>
    <t>Adjustment to Reflect New Contract Service at Standby Rates</t>
  </si>
  <si>
    <t>Special Contract for AMP-Melhdahl</t>
  </si>
  <si>
    <t>800 kW-Month Standdby Service</t>
  </si>
  <si>
    <t>kW</t>
  </si>
  <si>
    <t>booked to account 442.3</t>
  </si>
  <si>
    <t>to Reflect Service</t>
  </si>
  <si>
    <t xml:space="preserve">Pursuant to </t>
  </si>
  <si>
    <t>New Special</t>
  </si>
  <si>
    <t>Contract for</t>
  </si>
  <si>
    <t>Standby Service</t>
  </si>
  <si>
    <t>LEV = RSE540</t>
  </si>
  <si>
    <t>Change in</t>
  </si>
  <si>
    <t xml:space="preserve">Due to </t>
  </si>
  <si>
    <t>Metering Changes</t>
  </si>
  <si>
    <t>Adjustment to Reflect Change in Metering</t>
  </si>
  <si>
    <t>Late Payment Charges</t>
  </si>
  <si>
    <t>Jul 2015</t>
  </si>
  <si>
    <t>Aug 2015</t>
  </si>
  <si>
    <t>Sep 2015</t>
  </si>
  <si>
    <t>Oct 2015</t>
  </si>
  <si>
    <t>Nov 2015</t>
  </si>
  <si>
    <t>Dec 2015</t>
  </si>
  <si>
    <t>Jan 2016</t>
  </si>
  <si>
    <t>Feb 2016</t>
  </si>
  <si>
    <t>Mar 2016</t>
  </si>
  <si>
    <t>Apr 2016</t>
  </si>
  <si>
    <t>May 2016</t>
  </si>
  <si>
    <t>Jun 2016</t>
  </si>
  <si>
    <t>Revenue Forecast (SBR Tab)</t>
  </si>
  <si>
    <t>Calculated per Load Forecast (1022 Tab, 1055)</t>
  </si>
  <si>
    <t>Base Revenue</t>
  </si>
  <si>
    <t>Load Forecast Energy, LE &amp; TE</t>
  </si>
  <si>
    <t>FAC rate</t>
  </si>
  <si>
    <t>ECR rate</t>
  </si>
  <si>
    <t>Calculated FAC Revenue</t>
  </si>
  <si>
    <t>Calculated ECR Revenue</t>
  </si>
  <si>
    <t>Revenue for Schedule M Presentation and Notices:</t>
  </si>
  <si>
    <t>CSR by Rate Schedule, 12 Months Ending 8-31-14</t>
  </si>
  <si>
    <t>Aug 2014 Annualized</t>
  </si>
  <si>
    <t>Forecast CSR Revenue:</t>
  </si>
  <si>
    <t>Allocated to Rate Schedule based on 12 Months Ending August 31, 2014:</t>
  </si>
  <si>
    <t>Excluding 783 fixed amt:</t>
  </si>
  <si>
    <t>Forecast less 783 amt:</t>
  </si>
  <si>
    <t>760-FLS CSR10</t>
  </si>
  <si>
    <t>761-TODP CSR10</t>
  </si>
  <si>
    <t>780-RTS CSR30</t>
  </si>
  <si>
    <t>781-TODP CSR30</t>
  </si>
  <si>
    <t>783-TODP CSR30</t>
  </si>
  <si>
    <t>Curtailable Service Rider 30-RTS</t>
  </si>
  <si>
    <t>Curtailable Service Rider 30-TODP</t>
  </si>
  <si>
    <t>Curtailable Service Rider 10-FLST</t>
  </si>
  <si>
    <t>LEV Energy use by period for the 12 months ended August 31, 2014:</t>
  </si>
  <si>
    <t>LEV = RSE040</t>
  </si>
  <si>
    <t>DSM Rate</t>
  </si>
  <si>
    <t>ECR Rate</t>
  </si>
  <si>
    <t>Total RS Forecast Mechanism Revenues: (000's)</t>
  </si>
  <si>
    <t>Calculated LEV Forecast Mechanism Revenues:</t>
  </si>
  <si>
    <t>Revenue Forecast Mechanism Rates for RS in total: ($/MWh)</t>
  </si>
  <si>
    <t>Balance of RS Mechanism Forecast Revenues:</t>
  </si>
  <si>
    <t>Residential Time of Day Energy - RTODE</t>
  </si>
  <si>
    <t>Total Allocated LEV revenues based on 12 Months Ending August 31, 2014:</t>
  </si>
  <si>
    <t>Quantity</t>
  </si>
  <si>
    <t>Period 1 kWh</t>
  </si>
  <si>
    <t>Period 2 kWh</t>
  </si>
  <si>
    <t>Period 3 kWh</t>
  </si>
  <si>
    <t>Total RS Revenues, per Forecast</t>
  </si>
  <si>
    <t>Add Back</t>
  </si>
  <si>
    <t>Residential Time of Day Demand - RTODD</t>
  </si>
  <si>
    <t>RS Forecast net of LEV</t>
  </si>
  <si>
    <t>Energy, Intermediate Period</t>
  </si>
  <si>
    <t>Lighting Energy, LE</t>
  </si>
  <si>
    <t>Traffic Energy, TE</t>
  </si>
  <si>
    <t>All Outdoor Lighting (LS, RLS)</t>
  </si>
  <si>
    <t>FAC Billing Mechanism Revenues</t>
  </si>
  <si>
    <t>DSM Billing Mechanism Revenues</t>
  </si>
  <si>
    <t>ECR Billing Mechanism Revenues</t>
  </si>
  <si>
    <t>Summer Power Factor Adjustment</t>
  </si>
  <si>
    <t>Winter Power Factor Adjustment</t>
  </si>
  <si>
    <t>Base Power Factor Adjustment</t>
  </si>
  <si>
    <t>Intermediate Power Factor Adjustment</t>
  </si>
  <si>
    <t>Peak Power Factor Adjustment</t>
  </si>
  <si>
    <t xml:space="preserve"> Second Fixture</t>
  </si>
  <si>
    <t>Contemporary Fixture and Pole, 5800 Lumen,</t>
  </si>
  <si>
    <t>Contemporary Fixture and Pole, 50000 Lumen,</t>
  </si>
  <si>
    <t>Contemporary Fixture and Pole, 22000 Lumen,</t>
  </si>
  <si>
    <t>Contemporary Fixture and Pole, 9500 Lumen,</t>
  </si>
  <si>
    <t>Smooth Pole</t>
  </si>
  <si>
    <t>Contemporary, 12000 Lumen, Fixture with</t>
  </si>
  <si>
    <t>Pole</t>
  </si>
  <si>
    <t>Directional, 12000 Lumen, Flood, Fixture with</t>
  </si>
  <si>
    <t>Directional, 32000 Lumen, Flood, Fixture with</t>
  </si>
  <si>
    <t>Directional, 107800 Lumen, Flood, Fixture with</t>
  </si>
  <si>
    <t>kW, On-Peak Period</t>
  </si>
  <si>
    <t>Energy, On-Peak Period</t>
  </si>
  <si>
    <t>Lighting Service &amp; Restricted Lighting Service</t>
  </si>
  <si>
    <t>Page 1 of 1</t>
  </si>
  <si>
    <t>Calculated Per Forecast</t>
  </si>
  <si>
    <t>Granville Accessories (all being sold)</t>
  </si>
  <si>
    <t>No rate changes for fixtures and accessories</t>
  </si>
  <si>
    <t>being sold to City of Lexington</t>
  </si>
  <si>
    <t xml:space="preserve">Allocated </t>
  </si>
  <si>
    <t>Single Phase Basic Service Charge</t>
  </si>
  <si>
    <t>Three Phase Basic Service Charge</t>
  </si>
  <si>
    <t>GENERAL SERVICE RATE GS</t>
  </si>
  <si>
    <t xml:space="preserve">ALL ELECTRIC SCHOOLS RATE AES </t>
  </si>
  <si>
    <t>Electric Service Revenues</t>
  </si>
  <si>
    <t>Rent from Electric Property</t>
  </si>
  <si>
    <t>Other Miscellaneous Revenue</t>
  </si>
  <si>
    <t>Electric Service Revenue</t>
  </si>
  <si>
    <t>Total Revenue at Present Rates</t>
  </si>
  <si>
    <t>Total Revenue at Proposed Rates</t>
  </si>
  <si>
    <t>Change in Total Revenue</t>
  </si>
  <si>
    <t>Percent Change in Total Revenue</t>
  </si>
  <si>
    <t>Witness:  M.J. Blake</t>
  </si>
  <si>
    <t>M-2.3 pg 1</t>
  </si>
  <si>
    <t>Diff from Col C</t>
  </si>
  <si>
    <t>Sum Col I</t>
  </si>
  <si>
    <t>Sum of differences</t>
  </si>
  <si>
    <t>Sum Col C</t>
  </si>
  <si>
    <t>Col C total less Col I total</t>
  </si>
  <si>
    <t>kWh Billed</t>
  </si>
  <si>
    <t>Annual Revenue at Current Rates</t>
  </si>
  <si>
    <t>Average Current Bill</t>
  </si>
  <si>
    <t>Annual Revenue at Proposed Rates</t>
  </si>
  <si>
    <t>Average Proposed Bill</t>
  </si>
  <si>
    <t>Change in Average Bill</t>
  </si>
  <si>
    <t>Total GS</t>
  </si>
  <si>
    <t>RESIDENTIAL RATE RTOD-E, Residential Time of Day Energy Service (Current Rate LEV customers assumed to move)</t>
  </si>
  <si>
    <t>RESIDENTIAL RATE RTOD-D, Residential Time of Day Demand Service</t>
  </si>
  <si>
    <t>Total AES</t>
  </si>
  <si>
    <t>Pole and Fixture remaining</t>
  </si>
  <si>
    <t>Pole and Fixture sold</t>
  </si>
  <si>
    <t>All Electric School Service</t>
  </si>
  <si>
    <t>Sales to Ultimate Customers</t>
  </si>
  <si>
    <t>All Outdoor Lighting -- LS &amp; RLS</t>
  </si>
  <si>
    <t>redundant capacity pro forma</t>
  </si>
  <si>
    <t>redundant capacity (+178,082); metering changes (-141,053); standby contract (+115,104) pro forma</t>
  </si>
  <si>
    <t>metering changes</t>
  </si>
  <si>
    <t>increase sales-GranVille lights pro forma</t>
  </si>
  <si>
    <t>Sum of Col I ties to KU Sch C-2.1-F, line 8, col (3) (with rounding of $7)</t>
  </si>
  <si>
    <t>Schedule M-2.1</t>
  </si>
  <si>
    <t>Not in print range -- reconciliation to C-2.1 F Sales to Ultimate Consumers:  $1,592,085,059</t>
  </si>
  <si>
    <t>Residential TOD Energy Service (current LEV)</t>
  </si>
  <si>
    <t>Other Operating Revenue:</t>
  </si>
  <si>
    <t>Average Consumption, kWh</t>
  </si>
  <si>
    <t>Page 1 of 21</t>
  </si>
  <si>
    <t>Page 2 of 21</t>
  </si>
  <si>
    <t xml:space="preserve">LIGHTING SERVICE, Sheet No. 35.1 </t>
  </si>
  <si>
    <t>LIGHTING SERVICE, Sheet No. 35</t>
  </si>
  <si>
    <t>LIGHTING SERVICE, Sheet No. 35.2</t>
  </si>
  <si>
    <t>RESTRICTED LIGHTING SERVICE, Sheet No. 36</t>
  </si>
  <si>
    <t>RESTRICTED LIGHTING SERVICE, Sheet No. 36.1</t>
  </si>
  <si>
    <t>RESTRICTED LIGHTING SERVICE, Sheet No. 36.2</t>
  </si>
  <si>
    <t>Revenue Increase</t>
  </si>
  <si>
    <t>Adjustment to Reflect Increased LE Sales due to Sale of Granville</t>
  </si>
  <si>
    <t>Lighting Fixtures</t>
  </si>
  <si>
    <t>Percent Change in Average Bill</t>
  </si>
  <si>
    <t>WORK AREA FROM COST OF SERVICE AND REVENUE REQUIREMENT TO DEVELOP PROPOSED REVENUE INCREASE</t>
  </si>
  <si>
    <t>Rate Increases with Subsidy Reductions -- change percentage in AS9 below:</t>
  </si>
  <si>
    <t>Change due</t>
  </si>
  <si>
    <t>to COS</t>
  </si>
  <si>
    <t>from COS</t>
  </si>
  <si>
    <t>to COS r 953</t>
  </si>
  <si>
    <t>Change at</t>
  </si>
  <si>
    <t>to Decrease in</t>
  </si>
  <si>
    <t>do Increase</t>
  </si>
  <si>
    <t>Target Increase to M-2.3</t>
  </si>
  <si>
    <t>Target Increase</t>
  </si>
  <si>
    <t>Equal Percentage</t>
  </si>
  <si>
    <t xml:space="preserve">CATV </t>
  </si>
  <si>
    <t>in CSR</t>
  </si>
  <si>
    <t>With Subsidy Reduction</t>
  </si>
  <si>
    <t>Less</t>
  </si>
  <si>
    <t>(goal seek target)</t>
  </si>
  <si>
    <t>Credits</t>
  </si>
  <si>
    <t xml:space="preserve">Change in </t>
  </si>
  <si>
    <t>From COS Results:</t>
  </si>
  <si>
    <t>At Increase</t>
  </si>
  <si>
    <t>Per M-2.3</t>
  </si>
  <si>
    <t>Actual Increase</t>
  </si>
  <si>
    <t>Rate Classes</t>
  </si>
  <si>
    <t>Increase at</t>
  </si>
  <si>
    <t>CATV Revenue</t>
  </si>
  <si>
    <t>Proform</t>
  </si>
  <si>
    <t>w/ CSR</t>
  </si>
  <si>
    <t>w/ Incr</t>
  </si>
  <si>
    <t>Subsidy</t>
  </si>
  <si>
    <t>Rate Design</t>
  </si>
  <si>
    <t>Equal</t>
  </si>
  <si>
    <t>in COS</t>
  </si>
  <si>
    <t>From Cost of</t>
  </si>
  <si>
    <t>ROR</t>
  </si>
  <si>
    <t>for COS</t>
  </si>
  <si>
    <t>Received/</t>
  </si>
  <si>
    <t>Actual</t>
  </si>
  <si>
    <t>Service Study</t>
  </si>
  <si>
    <t>(Provided)</t>
  </si>
  <si>
    <t>Residential</t>
  </si>
  <si>
    <t>RTOD-E</t>
  </si>
  <si>
    <t>Rate PS</t>
  </si>
  <si>
    <t>Rate PS-Primary</t>
  </si>
  <si>
    <t>Rate PS-Secondary</t>
  </si>
  <si>
    <t>Rate TOD</t>
  </si>
  <si>
    <t>Rate TODP</t>
  </si>
  <si>
    <t>Rate TODS</t>
  </si>
  <si>
    <t>Rate RTS</t>
  </si>
  <si>
    <t>Transmission</t>
  </si>
  <si>
    <t>Street Lighting</t>
  </si>
  <si>
    <t>Rate RLS, LS, DSK</t>
  </si>
  <si>
    <t>Lighting - LS, RLS, DSK</t>
  </si>
  <si>
    <t>Rate LE</t>
  </si>
  <si>
    <t>Lighting - LE</t>
  </si>
  <si>
    <t>Traffic Street Lighting</t>
  </si>
  <si>
    <t>Rate TLE</t>
  </si>
  <si>
    <t>Lighting - TLE</t>
  </si>
  <si>
    <t>Add decrease in CATV</t>
  </si>
  <si>
    <t>Increase from customers</t>
  </si>
  <si>
    <t>Row 953</t>
  </si>
  <si>
    <t>Row 914</t>
  </si>
  <si>
    <t>r949</t>
  </si>
  <si>
    <t>r950</t>
  </si>
  <si>
    <t>Total increase from COS, row 948</t>
  </si>
  <si>
    <t>row 948</t>
  </si>
  <si>
    <t>r969</t>
  </si>
  <si>
    <t>as filed</t>
  </si>
  <si>
    <t>r1090</t>
  </si>
  <si>
    <t>Add increase in CSR</t>
  </si>
  <si>
    <t>AO+AT</t>
  </si>
  <si>
    <t xml:space="preserve"> (1) Revised CTAC charge</t>
  </si>
  <si>
    <r>
      <rPr>
        <sz val="8"/>
        <color theme="1"/>
        <rFont val="Calibri"/>
        <family val="2"/>
        <scheme val="minor"/>
      </rPr>
      <t>(1)</t>
    </r>
  </si>
  <si>
    <t>Page 1 of 20</t>
  </si>
  <si>
    <t>Curtailable Service Rider - FLST</t>
  </si>
  <si>
    <t>Curtailable Service Rider - RTS</t>
  </si>
  <si>
    <t>Curtailable Service Rider - TODP</t>
  </si>
  <si>
    <t>ECR Impact</t>
  </si>
</sst>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000_);_(* \(#,##0.00000\);_(* &quot;-&quot;??_);_(@_)"/>
    <numFmt numFmtId="165" formatCode="_(* #,##0_);_(* \(#,##0\);_(* &quot;-&quot;??_);_(@_)"/>
    <numFmt numFmtId="166" formatCode="_(&quot;$&quot;* #,##0.00000_);_(&quot;$&quot;* \(#,##0.00000\);_(&quot;$&quot;* &quot;-&quot;??_);_(@_)"/>
    <numFmt numFmtId="167" formatCode="_(* #,##0.000000_);_(* \(#,##0.000000\);_(* &quot;-&quot;??_);_(@_)"/>
    <numFmt numFmtId="168" formatCode="#,##0.00;\-#,##0.00;#,##0.00;@"/>
    <numFmt numFmtId="169" formatCode="#,##0;\-#,##0;#,##0;@"/>
    <numFmt numFmtId="170" formatCode="0.0000%"/>
    <numFmt numFmtId="171" formatCode="[$-409]mmm\-yy;@"/>
    <numFmt numFmtId="172" formatCode="#,##0.000;\-#,##0.000;#,##0.000;@"/>
    <numFmt numFmtId="173" formatCode="[$-409]mmmm\ d\,\ yyyy;@"/>
    <numFmt numFmtId="174" formatCode="0_);\(0\)"/>
    <numFmt numFmtId="175" formatCode="_(&quot;$&quot;* #,##0_);_(&quot;$&quot;* \(#,##0\);_(&quot;$&quot;* &quot;-&quot;??_);_(@_)"/>
    <numFmt numFmtId="176" formatCode="[$-409]mmmm\-yy;@"/>
    <numFmt numFmtId="177" formatCode="General_)"/>
    <numFmt numFmtId="178" formatCode="&quot;$&quot;#,##0.00"/>
    <numFmt numFmtId="179" formatCode="0.000000000"/>
    <numFmt numFmtId="180" formatCode="0.000000"/>
    <numFmt numFmtId="181" formatCode="mm/dd/yy;@"/>
    <numFmt numFmtId="182" formatCode="&quot;$&quot;#,##0\ ;\(&quot;$&quot;#,##0\)"/>
    <numFmt numFmtId="183" formatCode="0.0000000"/>
    <numFmt numFmtId="184" formatCode="_(* #,##0.0_);_(* \(#,##0.0\);_(* &quot;-&quot;??_);_(@_)"/>
    <numFmt numFmtId="185" formatCode="&quot;$&quot;#,##0.00000"/>
    <numFmt numFmtId="186" formatCode=";;;"/>
    <numFmt numFmtId="187" formatCode="_(* #,##0.00_);_(* \(#,##0.00\);_(* &quot;-&quot;_);_(@_)"/>
    <numFmt numFmtId="188" formatCode="_(* #,##0.00000_);_(* \(#,##0.00000\);_(* &quot;-&quot;_);_(@_)"/>
    <numFmt numFmtId="189" formatCode="0.0%"/>
    <numFmt numFmtId="190" formatCode="0.0000000000"/>
    <numFmt numFmtId="191" formatCode="0.00000%"/>
    <numFmt numFmtId="192" formatCode="_(* #,##0.000000000_);_(* \(#,##0.000000000\);_(* &quot;-&quot;_);_(@_)"/>
    <numFmt numFmtId="193" formatCode="0.000%"/>
    <numFmt numFmtId="194" formatCode="0.00000000"/>
    <numFmt numFmtId="195" formatCode="0.00000"/>
    <numFmt numFmtId="196" formatCode="_(&quot;$&quot;* #,##0.000000_);_(&quot;$&quot;* \(#,##0.000000\);_(&quot;$&quot;* &quot;-&quot;??_);_(@_)"/>
    <numFmt numFmtId="197" formatCode="_(* #,##0.000_);_(* \(#,##0.000\);_(* &quot;-&quot;_);_(@_)"/>
    <numFmt numFmtId="198" formatCode="0\ 00\ 000\ 000"/>
    <numFmt numFmtId="199" formatCode="[$-409]d\-mmm\-yy;@"/>
    <numFmt numFmtId="200" formatCode="_-* #,##0.00\ [$€]_-;\-* #,##0.00\ [$€]_-;_-* &quot;-&quot;??\ [$€]_-;_-@_-"/>
    <numFmt numFmtId="201" formatCode="_([$€-2]* #,##0.00_);_([$€-2]* \(#,##0.00\);_([$€-2]* &quot;-&quot;??_)"/>
    <numFmt numFmtId="202" formatCode="_-* #,##0\ _F_-;\-* #,##0\ _F_-;_-* &quot;-&quot;\ _F_-;_-@_-"/>
    <numFmt numFmtId="203" formatCode="_-* #,##0.00\ _F_-;\-* #,##0.00\ _F_-;_-* &quot;-&quot;??\ _F_-;_-@_-"/>
    <numFmt numFmtId="204" formatCode="_-* #,##0\ &quot;F&quot;_-;\-* #,##0\ &quot;F&quot;_-;_-* &quot;-&quot;\ &quot;F&quot;_-;_-@_-"/>
    <numFmt numFmtId="205" formatCode="_-* #,##0.00\ &quot;F&quot;_-;\-* #,##0.00\ &quot;F&quot;_-;_-* &quot;-&quot;??\ &quot;F&quot;_-;_-@_-"/>
    <numFmt numFmtId="206" formatCode="00000000"/>
    <numFmt numFmtId="207" formatCode="[$-409]d\-mmm\-yyyy;@"/>
    <numFmt numFmtId="208" formatCode="#,##0.00;[Red]\(#,##0.00\)"/>
    <numFmt numFmtId="209" formatCode="###,000"/>
    <numFmt numFmtId="210" formatCode="_(* #,##0.000_);_(* \(#,##0.000\);_(* &quot;-&quot;??_);_(@_)"/>
    <numFmt numFmtId="211" formatCode="0.000000%"/>
  </numFmts>
  <fonts count="196">
    <font>
      <sz val="9"/>
      <color theme="1"/>
      <name val="Times New Roman"/>
      <family val="2"/>
    </font>
    <font>
      <sz val="11"/>
      <color theme="1"/>
      <name val="Calibri"/>
      <family val="2"/>
      <scheme val="minor"/>
    </font>
    <font>
      <sz val="9"/>
      <color theme="1"/>
      <name val="Times New Roman"/>
      <family val="2"/>
    </font>
    <font>
      <sz val="8"/>
      <color rgb="FF000000"/>
      <name val="Arial"/>
      <family val="2"/>
    </font>
    <font>
      <sz val="9"/>
      <color rgb="FF0000FF"/>
      <name val="Times New Roman"/>
      <family val="2"/>
    </font>
    <font>
      <u val="singleAccounting"/>
      <sz val="9"/>
      <color theme="1"/>
      <name val="Times New Roman"/>
      <family val="2"/>
    </font>
    <font>
      <sz val="9"/>
      <name val="Times New Roman"/>
      <family val="1"/>
    </font>
    <font>
      <sz val="8"/>
      <color theme="1"/>
      <name val="Times New Roman"/>
      <family val="2"/>
    </font>
    <font>
      <u/>
      <sz val="9"/>
      <color theme="1"/>
      <name val="Times New Roman"/>
      <family val="2"/>
    </font>
    <font>
      <b/>
      <i/>
      <sz val="9"/>
      <color theme="1"/>
      <name val="Times New Roman"/>
      <family val="1"/>
    </font>
    <font>
      <sz val="10"/>
      <name val="Arial"/>
      <family val="2"/>
    </font>
    <font>
      <sz val="10"/>
      <name val="Times New Roman"/>
      <family val="1"/>
    </font>
    <font>
      <i/>
      <sz val="10"/>
      <name val="Times New Roman"/>
      <family val="1"/>
    </font>
    <font>
      <b/>
      <sz val="10"/>
      <name val="Times New Roman"/>
      <family val="1"/>
    </font>
    <font>
      <u val="singleAccounting"/>
      <sz val="10"/>
      <name val="Times New Roman"/>
      <family val="1"/>
    </font>
    <font>
      <u val="doubleAccounting"/>
      <sz val="10"/>
      <name val="Times New Roman"/>
      <family val="1"/>
    </font>
    <font>
      <b/>
      <u val="doubleAccounting"/>
      <sz val="10"/>
      <name val="Times New Roman"/>
      <family val="1"/>
    </font>
    <font>
      <sz val="9"/>
      <name val="Times New Roman"/>
      <family val="2"/>
    </font>
    <font>
      <sz val="8"/>
      <color theme="1"/>
      <name val="Calibri"/>
      <family val="2"/>
      <scheme val="minor"/>
    </font>
    <font>
      <b/>
      <sz val="8"/>
      <color theme="1"/>
      <name val="Calibri"/>
      <family val="2"/>
      <scheme val="minor"/>
    </font>
    <font>
      <sz val="11"/>
      <color theme="1"/>
      <name val="Calibri"/>
      <family val="2"/>
      <scheme val="minor"/>
    </font>
    <font>
      <sz val="7"/>
      <color theme="1"/>
      <name val="Times New Roman"/>
      <family val="2"/>
    </font>
    <font>
      <u val="doubleAccounting"/>
      <sz val="9"/>
      <color theme="1"/>
      <name val="Times New Roman"/>
      <family val="2"/>
    </font>
    <font>
      <b/>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name val="Times New Roman"/>
      <family val="2"/>
    </font>
    <font>
      <i/>
      <sz val="10"/>
      <name val="Times New Roman"/>
      <family val="2"/>
    </font>
    <font>
      <b/>
      <sz val="10"/>
      <name val="Times New Roman"/>
      <family val="2"/>
    </font>
    <font>
      <sz val="8"/>
      <name val="Times New Roman"/>
      <family val="2"/>
    </font>
    <font>
      <sz val="7"/>
      <name val="Times New Roman"/>
      <family val="2"/>
    </font>
    <font>
      <u val="singleAccounting"/>
      <sz val="10"/>
      <name val="Times New Roman"/>
      <family val="2"/>
    </font>
    <font>
      <u val="doubleAccounting"/>
      <sz val="10"/>
      <name val="Times New Roman"/>
      <family val="2"/>
    </font>
    <font>
      <b/>
      <u val="doubleAccounting"/>
      <sz val="10"/>
      <name val="Times New Roman"/>
      <family val="2"/>
    </font>
    <font>
      <sz val="10"/>
      <name val="Arial (W1)"/>
    </font>
    <font>
      <sz val="12"/>
      <name val="Times New Roman"/>
      <family val="1"/>
    </font>
    <font>
      <sz val="11"/>
      <color indexed="8"/>
      <name val="Calibri"/>
      <family val="2"/>
    </font>
    <font>
      <sz val="11"/>
      <color theme="1"/>
      <name val="Times New Roman"/>
      <family val="2"/>
    </font>
    <font>
      <sz val="11"/>
      <color indexed="9"/>
      <name val="Calibri"/>
      <family val="2"/>
    </font>
    <font>
      <sz val="11"/>
      <color theme="0"/>
      <name val="Calibri"/>
      <family val="2"/>
      <scheme val="minor"/>
    </font>
    <font>
      <sz val="11"/>
      <color theme="0"/>
      <name val="Times New Roman"/>
      <family val="2"/>
    </font>
    <font>
      <sz val="11"/>
      <color indexed="20"/>
      <name val="Calibri"/>
      <family val="2"/>
    </font>
    <font>
      <sz val="11"/>
      <color rgb="FF9C0006"/>
      <name val="Calibri"/>
      <family val="2"/>
      <scheme val="minor"/>
    </font>
    <font>
      <sz val="11"/>
      <color rgb="FF9C0006"/>
      <name val="Times New Roman"/>
      <family val="2"/>
    </font>
    <font>
      <b/>
      <sz val="11"/>
      <color indexed="52"/>
      <name val="Calibri"/>
      <family val="2"/>
    </font>
    <font>
      <b/>
      <sz val="11"/>
      <color rgb="FFFA7D00"/>
      <name val="Calibri"/>
      <family val="2"/>
      <scheme val="minor"/>
    </font>
    <font>
      <b/>
      <sz val="11"/>
      <color rgb="FFFA7D00"/>
      <name val="Times New Roman"/>
      <family val="2"/>
    </font>
    <font>
      <b/>
      <sz val="11"/>
      <color indexed="10"/>
      <name val="Calibri"/>
      <family val="2"/>
    </font>
    <font>
      <b/>
      <sz val="11"/>
      <color indexed="9"/>
      <name val="Calibri"/>
      <family val="2"/>
    </font>
    <font>
      <b/>
      <sz val="11"/>
      <color theme="0"/>
      <name val="Calibri"/>
      <family val="2"/>
      <scheme val="minor"/>
    </font>
    <font>
      <b/>
      <sz val="11"/>
      <color theme="0"/>
      <name val="Times New Roman"/>
      <family val="2"/>
    </font>
    <font>
      <i/>
      <sz val="11"/>
      <color indexed="23"/>
      <name val="Calibri"/>
      <family val="2"/>
    </font>
    <font>
      <i/>
      <sz val="11"/>
      <color rgb="FF7F7F7F"/>
      <name val="Calibri"/>
      <family val="2"/>
      <scheme val="minor"/>
    </font>
    <font>
      <i/>
      <sz val="11"/>
      <color rgb="FF7F7F7F"/>
      <name val="Times New Roman"/>
      <family val="2"/>
    </font>
    <font>
      <b/>
      <sz val="10"/>
      <name val="Arial"/>
      <family val="2"/>
    </font>
    <font>
      <b/>
      <sz val="14"/>
      <name val="Arial"/>
      <family val="2"/>
    </font>
    <font>
      <sz val="8"/>
      <name val="Arial"/>
      <family val="2"/>
    </font>
    <font>
      <sz val="6"/>
      <name val="Arial"/>
      <family val="2"/>
    </font>
    <font>
      <sz val="11"/>
      <color indexed="17"/>
      <name val="Calibri"/>
      <family val="2"/>
    </font>
    <font>
      <sz val="11"/>
      <color rgb="FF006100"/>
      <name val="Calibri"/>
      <family val="2"/>
      <scheme val="minor"/>
    </font>
    <font>
      <sz val="11"/>
      <color rgb="FF006100"/>
      <name val="Times New Roman"/>
      <family val="2"/>
    </font>
    <font>
      <b/>
      <sz val="15"/>
      <color indexed="56"/>
      <name val="Calibri"/>
      <family val="2"/>
    </font>
    <font>
      <b/>
      <sz val="15"/>
      <color theme="3"/>
      <name val="Calibri"/>
      <family val="2"/>
      <scheme val="minor"/>
    </font>
    <font>
      <b/>
      <sz val="15"/>
      <color indexed="62"/>
      <name val="Calibri"/>
      <family val="2"/>
    </font>
    <font>
      <b/>
      <sz val="18"/>
      <name val="Arial"/>
      <family val="2"/>
    </font>
    <font>
      <b/>
      <sz val="13"/>
      <color indexed="56"/>
      <name val="Calibri"/>
      <family val="2"/>
    </font>
    <font>
      <b/>
      <sz val="13"/>
      <color theme="3"/>
      <name val="Calibri"/>
      <family val="2"/>
      <scheme val="minor"/>
    </font>
    <font>
      <b/>
      <sz val="13"/>
      <color indexed="62"/>
      <name val="Calibri"/>
      <family val="2"/>
    </font>
    <font>
      <b/>
      <sz val="12"/>
      <name val="Arial"/>
      <family val="2"/>
    </font>
    <font>
      <b/>
      <sz val="11"/>
      <color indexed="56"/>
      <name val="Calibri"/>
      <family val="2"/>
    </font>
    <font>
      <b/>
      <sz val="11"/>
      <color theme="3"/>
      <name val="Calibri"/>
      <family val="2"/>
      <scheme val="minor"/>
    </font>
    <font>
      <b/>
      <sz val="11"/>
      <color indexed="62"/>
      <name val="Calibri"/>
      <family val="2"/>
    </font>
    <font>
      <sz val="11"/>
      <color indexed="62"/>
      <name val="Calibri"/>
      <family val="2"/>
    </font>
    <font>
      <sz val="11"/>
      <color rgb="FF3F3F76"/>
      <name val="Calibri"/>
      <family val="2"/>
      <scheme val="minor"/>
    </font>
    <font>
      <sz val="11"/>
      <color rgb="FF3F3F76"/>
      <name val="Times New Roman"/>
      <family val="2"/>
    </font>
    <font>
      <sz val="11"/>
      <color indexed="52"/>
      <name val="Calibri"/>
      <family val="2"/>
    </font>
    <font>
      <sz val="11"/>
      <color rgb="FFFA7D00"/>
      <name val="Calibri"/>
      <family val="2"/>
      <scheme val="minor"/>
    </font>
    <font>
      <sz val="11"/>
      <color rgb="FFFA7D00"/>
      <name val="Times New Roman"/>
      <family val="2"/>
    </font>
    <font>
      <sz val="11"/>
      <color indexed="10"/>
      <name val="Calibri"/>
      <family val="2"/>
    </font>
    <font>
      <sz val="11"/>
      <color indexed="60"/>
      <name val="Calibri"/>
      <family val="2"/>
    </font>
    <font>
      <sz val="11"/>
      <color rgb="FF9C6500"/>
      <name val="Calibri"/>
      <family val="2"/>
      <scheme val="minor"/>
    </font>
    <font>
      <sz val="11"/>
      <color rgb="FF9C6500"/>
      <name val="Times New Roman"/>
      <family val="2"/>
    </font>
    <font>
      <sz val="11"/>
      <color indexed="19"/>
      <name val="Calibri"/>
      <family val="2"/>
    </font>
    <font>
      <sz val="10"/>
      <name val="MS Sans Serif"/>
      <family val="2"/>
    </font>
    <font>
      <sz val="10"/>
      <color indexed="8"/>
      <name val="Arial"/>
      <family val="2"/>
    </font>
    <font>
      <sz val="11"/>
      <color indexed="8"/>
      <name val="Times New Roman"/>
      <family val="2"/>
    </font>
    <font>
      <b/>
      <sz val="11"/>
      <color indexed="63"/>
      <name val="Calibri"/>
      <family val="2"/>
    </font>
    <font>
      <b/>
      <sz val="11"/>
      <color rgb="FF3F3F3F"/>
      <name val="Calibri"/>
      <family val="2"/>
      <scheme val="minor"/>
    </font>
    <font>
      <b/>
      <sz val="11"/>
      <color rgb="FF3F3F3F"/>
      <name val="Times New Roman"/>
      <family val="2"/>
    </font>
    <font>
      <b/>
      <i/>
      <sz val="10"/>
      <color indexed="8"/>
      <name val="Arial"/>
      <family val="2"/>
    </font>
    <font>
      <b/>
      <sz val="10"/>
      <color indexed="8"/>
      <name val="Arial"/>
      <family val="2"/>
    </font>
    <font>
      <b/>
      <i/>
      <sz val="22"/>
      <color indexed="8"/>
      <name val="Times New Roman"/>
      <family val="1"/>
    </font>
    <font>
      <b/>
      <sz val="18"/>
      <color indexed="56"/>
      <name val="Cambria"/>
      <family val="2"/>
    </font>
    <font>
      <b/>
      <sz val="18"/>
      <color indexed="62"/>
      <name val="Cambria"/>
      <family val="2"/>
    </font>
    <font>
      <b/>
      <sz val="11"/>
      <color indexed="8"/>
      <name val="Calibri"/>
      <family val="2"/>
    </font>
    <font>
      <b/>
      <sz val="11"/>
      <color theme="1"/>
      <name val="Calibri"/>
      <family val="2"/>
      <scheme val="minor"/>
    </font>
    <font>
      <b/>
      <sz val="11"/>
      <color theme="1"/>
      <name val="Times New Roman"/>
      <family val="2"/>
    </font>
    <font>
      <sz val="11"/>
      <color rgb="FFFF0000"/>
      <name val="Calibri"/>
      <family val="2"/>
      <scheme val="minor"/>
    </font>
    <font>
      <sz val="11"/>
      <color rgb="FFFF0000"/>
      <name val="Times New Roman"/>
      <family val="2"/>
    </font>
    <font>
      <sz val="9"/>
      <color theme="1"/>
      <name val="Times New Roman"/>
      <family val="1"/>
    </font>
    <font>
      <sz val="12"/>
      <name val="Times New Roman"/>
      <family val="1"/>
    </font>
    <font>
      <sz val="8"/>
      <name val="Times New Roman"/>
      <family val="1"/>
    </font>
    <font>
      <i/>
      <u val="singleAccounting"/>
      <sz val="10"/>
      <name val="Times New Roman"/>
      <family val="1"/>
    </font>
    <font>
      <sz val="9"/>
      <color theme="1"/>
      <name val="Wingdings 2"/>
      <family val="1"/>
      <charset val="2"/>
    </font>
    <font>
      <sz val="10"/>
      <name val="Wingdings 2"/>
      <family val="1"/>
      <charset val="2"/>
    </font>
    <font>
      <sz val="9"/>
      <color rgb="FF000000"/>
      <name val="Times New Roman"/>
      <family val="1"/>
    </font>
    <font>
      <u val="singleAccounting"/>
      <sz val="9"/>
      <color theme="1"/>
      <name val="Times New Roman"/>
      <family val="1"/>
    </font>
    <font>
      <sz val="9"/>
      <color indexed="81"/>
      <name val="Tahoma"/>
      <family val="2"/>
    </font>
    <font>
      <b/>
      <sz val="9"/>
      <color indexed="81"/>
      <name val="Tahoma"/>
      <family val="2"/>
    </font>
    <font>
      <u val="doubleAccounting"/>
      <sz val="9"/>
      <color theme="1"/>
      <name val="Times New Roman"/>
      <family val="1"/>
    </font>
    <font>
      <b/>
      <sz val="9"/>
      <color theme="1"/>
      <name val="Times New Roman"/>
      <family val="1"/>
    </font>
    <font>
      <b/>
      <sz val="14"/>
      <color theme="1"/>
      <name val="Times New Roman"/>
      <family val="1"/>
    </font>
    <font>
      <sz val="10"/>
      <color theme="1"/>
      <name val="Times New Roman"/>
      <family val="2"/>
    </font>
    <font>
      <sz val="7"/>
      <color theme="1"/>
      <name val="Calibri"/>
      <family val="2"/>
      <scheme val="minor"/>
    </font>
    <font>
      <sz val="9"/>
      <color theme="1"/>
      <name val="Calibri"/>
      <family val="2"/>
      <scheme val="minor"/>
    </font>
    <font>
      <b/>
      <sz val="16"/>
      <color rgb="FFFF0000"/>
      <name val="Calibri"/>
      <family val="2"/>
      <scheme val="minor"/>
    </font>
    <font>
      <sz val="9"/>
      <color rgb="FF0000FF"/>
      <name val="Calibri"/>
      <family val="2"/>
      <scheme val="minor"/>
    </font>
    <font>
      <sz val="9"/>
      <name val="Calibri"/>
      <family val="2"/>
      <scheme val="minor"/>
    </font>
    <font>
      <sz val="7"/>
      <name val="Calibri"/>
      <family val="2"/>
      <scheme val="minor"/>
    </font>
    <font>
      <sz val="8"/>
      <color rgb="FF000000"/>
      <name val="Calibri"/>
      <family val="2"/>
      <scheme val="minor"/>
    </font>
    <font>
      <b/>
      <sz val="8"/>
      <color rgb="FF000000"/>
      <name val="Calibri"/>
      <family val="2"/>
      <scheme val="minor"/>
    </font>
    <font>
      <u val="singleAccounting"/>
      <sz val="9"/>
      <color theme="1"/>
      <name val="Calibri"/>
      <family val="2"/>
      <scheme val="minor"/>
    </font>
    <font>
      <sz val="10"/>
      <name val="Calibri"/>
      <family val="2"/>
      <scheme val="minor"/>
    </font>
    <font>
      <i/>
      <sz val="10"/>
      <name val="Calibri"/>
      <family val="2"/>
      <scheme val="minor"/>
    </font>
    <font>
      <b/>
      <sz val="10"/>
      <name val="Calibri"/>
      <family val="2"/>
      <scheme val="minor"/>
    </font>
    <font>
      <sz val="8"/>
      <name val="Calibri"/>
      <family val="2"/>
      <scheme val="minor"/>
    </font>
    <font>
      <u val="singleAccounting"/>
      <sz val="10"/>
      <name val="Calibri"/>
      <family val="2"/>
      <scheme val="minor"/>
    </font>
    <font>
      <u val="doubleAccounting"/>
      <sz val="10"/>
      <name val="Calibri"/>
      <family val="2"/>
      <scheme val="minor"/>
    </font>
    <font>
      <b/>
      <u val="doubleAccounting"/>
      <sz val="10"/>
      <name val="Calibri"/>
      <family val="2"/>
      <scheme val="minor"/>
    </font>
    <font>
      <u/>
      <sz val="10"/>
      <name val="Calibri"/>
      <family val="2"/>
      <scheme val="minor"/>
    </font>
    <font>
      <sz val="9"/>
      <color rgb="FF000000"/>
      <name val="Calibri"/>
      <family val="2"/>
      <scheme val="minor"/>
    </font>
    <font>
      <u/>
      <sz val="9"/>
      <color theme="1"/>
      <name val="Calibri"/>
      <family val="2"/>
      <scheme val="minor"/>
    </font>
    <font>
      <u val="doubleAccounting"/>
      <sz val="9"/>
      <color theme="1"/>
      <name val="Calibri"/>
      <family val="2"/>
      <scheme val="minor"/>
    </font>
    <font>
      <sz val="12"/>
      <name val="Helv"/>
    </font>
    <font>
      <sz val="10"/>
      <name val="Helv"/>
    </font>
    <font>
      <b/>
      <sz val="10"/>
      <color indexed="52"/>
      <name val="Arial"/>
      <family val="2"/>
    </font>
    <font>
      <sz val="10"/>
      <color indexed="17"/>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0"/>
      <name val="Tahoma"/>
      <family val="2"/>
    </font>
    <font>
      <sz val="11"/>
      <name val="Times New Roman"/>
      <family val="1"/>
    </font>
    <font>
      <sz val="10"/>
      <color rgb="FF000000"/>
      <name val="Times New Roman"/>
      <family val="1"/>
    </font>
    <font>
      <sz val="12"/>
      <name val="Arial"/>
      <family val="2"/>
    </font>
    <font>
      <sz val="12"/>
      <name val="Tms Rmn"/>
    </font>
    <font>
      <sz val="18"/>
      <name val="Arial"/>
      <family val="2"/>
    </font>
    <font>
      <b/>
      <sz val="15"/>
      <color indexed="62"/>
      <name val="Arial"/>
      <family val="2"/>
    </font>
    <font>
      <b/>
      <sz val="13"/>
      <color indexed="62"/>
      <name val="Arial"/>
      <family val="2"/>
    </font>
    <font>
      <u/>
      <sz val="10"/>
      <color indexed="12"/>
      <name val="Arial"/>
      <family val="2"/>
    </font>
    <font>
      <sz val="10"/>
      <color indexed="62"/>
      <name val="Arial"/>
      <family val="2"/>
    </font>
    <font>
      <b/>
      <sz val="12"/>
      <name val="Tms Rmn"/>
    </font>
    <font>
      <sz val="10"/>
      <name val="Courier"/>
      <family val="3"/>
    </font>
    <font>
      <sz val="11"/>
      <color indexed="8"/>
      <name val="Times New Roman"/>
      <family val="1"/>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16"/>
      <color indexed="13"/>
      <name val="Arial"/>
      <family val="2"/>
    </font>
    <font>
      <b/>
      <sz val="22"/>
      <color indexed="8"/>
      <name val="Times New Roman"/>
      <family val="1"/>
    </font>
    <font>
      <sz val="12"/>
      <color indexed="10"/>
      <name val="Times New Roman"/>
      <family val="1"/>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2"/>
      <color indexed="13"/>
      <name val="Tms Rmn"/>
    </font>
    <font>
      <sz val="8"/>
      <color indexed="8"/>
      <name val="Wingdings"/>
      <charset val="2"/>
    </font>
    <font>
      <sz val="10"/>
      <color theme="1"/>
      <name val="Calibri"/>
      <family val="2"/>
      <scheme val="minor"/>
    </font>
    <font>
      <b/>
      <u val="singleAccounting"/>
      <sz val="10"/>
      <name val="Calibri"/>
      <family val="2"/>
      <scheme val="minor"/>
    </font>
    <font>
      <b/>
      <sz val="9"/>
      <color theme="1"/>
      <name val="Calibri"/>
      <family val="2"/>
      <scheme val="minor"/>
    </font>
    <font>
      <b/>
      <sz val="10"/>
      <color theme="1"/>
      <name val="Calibri"/>
      <family val="2"/>
      <scheme val="minor"/>
    </font>
    <font>
      <u val="singleAccounting"/>
      <sz val="10"/>
      <color theme="1"/>
      <name val="Calibri"/>
      <family val="2"/>
      <scheme val="minor"/>
    </font>
    <font>
      <u val="doubleAccounting"/>
      <sz val="10"/>
      <color theme="1"/>
      <name val="Calibri"/>
      <family val="2"/>
      <scheme val="minor"/>
    </font>
    <font>
      <b/>
      <i/>
      <sz val="10"/>
      <name val="Calibri"/>
      <family val="2"/>
      <scheme val="minor"/>
    </font>
    <font>
      <b/>
      <sz val="11"/>
      <name val="Calibri"/>
      <family val="2"/>
      <scheme val="minor"/>
    </font>
    <font>
      <b/>
      <sz val="8"/>
      <color rgb="FF7030A0"/>
      <name val="Calibri"/>
      <family val="2"/>
      <scheme val="minor"/>
    </font>
    <font>
      <sz val="8"/>
      <color rgb="FF7030A0"/>
      <name val="Calibri"/>
      <family val="2"/>
      <scheme val="minor"/>
    </font>
    <font>
      <u val="singleAccounting"/>
      <sz val="8"/>
      <color rgb="FF000000"/>
      <name val="Calibri"/>
      <family val="2"/>
      <scheme val="minor"/>
    </font>
    <font>
      <sz val="8"/>
      <color theme="1"/>
      <name val="Calibri"/>
      <family val="2"/>
    </font>
    <font>
      <sz val="9"/>
      <color theme="1"/>
      <name val="Calibri"/>
      <family val="2"/>
    </font>
    <font>
      <sz val="11"/>
      <color theme="1"/>
      <name val="Times New Roman"/>
      <family val="1"/>
    </font>
    <font>
      <sz val="10"/>
      <color theme="1"/>
      <name val="Times New Roman"/>
      <family val="1"/>
    </font>
    <font>
      <u val="singleAccounting"/>
      <sz val="11"/>
      <color theme="1"/>
      <name val="Times New Roman"/>
      <family val="1"/>
    </font>
    <font>
      <u val="singleAccounting"/>
      <sz val="10"/>
      <color theme="1"/>
      <name val="Times New Roman"/>
      <family val="1"/>
    </font>
    <font>
      <b/>
      <sz val="10"/>
      <color theme="0"/>
      <name val="Calibri"/>
      <family val="2"/>
      <scheme val="minor"/>
    </font>
    <font>
      <sz val="10"/>
      <color theme="0"/>
      <name val="Calibri"/>
      <family val="2"/>
      <scheme val="minor"/>
    </font>
    <font>
      <b/>
      <i/>
      <sz val="10"/>
      <color theme="0"/>
      <name val="Calibri"/>
      <family val="2"/>
      <scheme val="minor"/>
    </font>
  </fonts>
  <fills count="104">
    <fill>
      <patternFill patternType="none"/>
    </fill>
    <fill>
      <patternFill patternType="gray125"/>
    </fill>
    <fill>
      <patternFill patternType="solid">
        <fgColor rgb="FFFFFF99"/>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64"/>
      </patternFill>
    </fill>
    <fill>
      <patternFill patternType="solid">
        <fgColor theme="4" tint="0.79998168889431442"/>
        <bgColor indexed="64"/>
      </patternFill>
    </fill>
    <fill>
      <patternFill patternType="solid">
        <fgColor rgb="FFC6C4C4"/>
        <bgColor indexed="64"/>
      </patternFill>
    </fill>
    <fill>
      <patternFill patternType="solid">
        <fgColor rgb="FFFFFFFF"/>
        <bgColor indexed="64"/>
      </patternFill>
    </fill>
    <fill>
      <patternFill patternType="solid">
        <fgColor rgb="FFE9EEF4"/>
        <bgColor indexed="64"/>
      </patternFill>
    </fill>
    <fill>
      <patternFill patternType="solid">
        <fgColor rgb="FFFFF843"/>
        <bgColor indexed="64"/>
      </patternFill>
    </fill>
    <fill>
      <patternFill patternType="solid">
        <fgColor rgb="FFCC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solid">
        <fgColor theme="8" tint="0.59999389629810485"/>
        <bgColor indexed="64"/>
      </patternFill>
    </fill>
    <fill>
      <patternFill patternType="solid">
        <fgColor rgb="FF0000FF"/>
        <bgColor indexed="64"/>
      </patternFill>
    </fill>
    <fill>
      <patternFill patternType="solid">
        <fgColor theme="6" tint="0.39997558519241921"/>
        <bgColor indexed="64"/>
      </patternFill>
    </fill>
    <fill>
      <patternFill patternType="solid">
        <fgColor indexed="22"/>
        <bgColor indexed="64"/>
      </patternFill>
    </fill>
    <fill>
      <patternFill patternType="solid">
        <fgColor indexed="32"/>
      </patternFill>
    </fill>
    <fill>
      <patternFill patternType="solid">
        <fgColor indexed="12"/>
      </patternFill>
    </fill>
    <fill>
      <patternFill patternType="solid">
        <fgColor indexed="9"/>
        <bgColor indexed="9"/>
      </patternFill>
    </fill>
    <fill>
      <patternFill patternType="solid">
        <fgColor indexed="13"/>
      </patternFill>
    </fill>
    <fill>
      <patternFill patternType="solid">
        <fgColor indexed="17"/>
      </patternFill>
    </fill>
    <fill>
      <patternFill patternType="solid">
        <fgColor indexed="26"/>
        <bgColor indexed="14"/>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theme="0" tint="-4.9989318521683403E-2"/>
        <bgColor indexed="64"/>
      </patternFill>
    </fill>
  </fills>
  <borders count="87">
    <border>
      <left/>
      <right/>
      <top/>
      <bottom/>
      <diagonal/>
    </border>
    <border>
      <left style="medium">
        <color rgb="FFAEAEAE"/>
      </left>
      <right/>
      <top style="medium">
        <color rgb="FFAEAEAE"/>
      </top>
      <bottom style="medium">
        <color rgb="FFAEAEAE"/>
      </bottom>
      <diagonal/>
    </border>
    <border>
      <left/>
      <right style="medium">
        <color rgb="FFAEAEAE"/>
      </right>
      <top style="medium">
        <color rgb="FFAEAEAE"/>
      </top>
      <bottom style="medium">
        <color rgb="FFAEAEAE"/>
      </bottom>
      <diagonal/>
    </border>
    <border>
      <left style="medium">
        <color rgb="FFAEAEAE"/>
      </left>
      <right style="medium">
        <color rgb="FFAEAEAE"/>
      </right>
      <top style="medium">
        <color rgb="FFAEAEAE"/>
      </top>
      <bottom style="medium">
        <color rgb="FFAEAEAE"/>
      </bottom>
      <diagonal/>
    </border>
    <border>
      <left/>
      <right style="thin">
        <color indexed="64"/>
      </right>
      <top/>
      <bottom/>
      <diagonal/>
    </border>
    <border>
      <left/>
      <right/>
      <top/>
      <bottom style="thin">
        <color indexed="64"/>
      </bottom>
      <diagonal/>
    </border>
    <border>
      <left/>
      <right/>
      <top/>
      <bottom style="medium">
        <color indexed="64"/>
      </bottom>
      <diagonal/>
    </border>
    <border>
      <left style="medium">
        <color rgb="FFAEAEAE"/>
      </left>
      <right/>
      <top style="medium">
        <color rgb="FFAEAEAE"/>
      </top>
      <bottom/>
      <diagonal/>
    </border>
    <border>
      <left/>
      <right/>
      <top style="medium">
        <color rgb="FFAEAEAE"/>
      </top>
      <bottom/>
      <diagonal/>
    </border>
    <border>
      <left/>
      <right style="medium">
        <color rgb="FFAEAEAE"/>
      </right>
      <top style="medium">
        <color rgb="FFAEAEAE"/>
      </top>
      <bottom/>
      <diagonal/>
    </border>
    <border>
      <left style="medium">
        <color rgb="FFAEAEAE"/>
      </left>
      <right/>
      <top/>
      <bottom/>
      <diagonal/>
    </border>
    <border>
      <left/>
      <right/>
      <top/>
      <bottom style="medium">
        <color rgb="FFAEAEAE"/>
      </bottom>
      <diagonal/>
    </border>
    <border>
      <left/>
      <right style="medium">
        <color rgb="FFAEAEAE"/>
      </right>
      <top/>
      <bottom style="medium">
        <color rgb="FFAEAEAE"/>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double">
        <color indexed="64"/>
      </bottom>
      <diagonal/>
    </border>
    <border>
      <left style="medium">
        <color indexed="64"/>
      </left>
      <right/>
      <top style="thin">
        <color indexed="64"/>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right/>
      <top/>
      <bottom style="thick">
        <color indexed="49"/>
      </bottom>
      <diagonal/>
    </border>
    <border>
      <left/>
      <right/>
      <top/>
      <bottom style="thick">
        <color indexed="25"/>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8"/>
      </top>
      <bottom/>
      <diagonal/>
    </border>
    <border>
      <left/>
      <right/>
      <top style="double">
        <color indexed="0"/>
      </top>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medium">
        <color rgb="FFAEAEAE"/>
      </left>
      <right style="medium">
        <color rgb="FFAEAEAE"/>
      </right>
      <top style="medium">
        <color rgb="FFAEAEAE"/>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auto="1"/>
      </top>
      <bottom style="thin">
        <color auto="1"/>
      </bottom>
      <diagonal/>
    </border>
  </borders>
  <cellStyleXfs count="15121">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76" fontId="10" fillId="0" borderId="0"/>
    <xf numFmtId="0" fontId="18" fillId="0" borderId="0"/>
    <xf numFmtId="0" fontId="10" fillId="0" borderId="0"/>
    <xf numFmtId="43" fontId="18" fillId="0" borderId="0" applyFont="0" applyFill="0" applyBorder="0" applyAlignment="0" applyProtection="0"/>
    <xf numFmtId="0" fontId="20" fillId="0" borderId="0"/>
    <xf numFmtId="0" fontId="20" fillId="0" borderId="0"/>
    <xf numFmtId="0" fontId="20" fillId="0" borderId="0"/>
    <xf numFmtId="0" fontId="35" fillId="0" borderId="0"/>
    <xf numFmtId="43" fontId="35" fillId="0" borderId="0" applyFont="0" applyFill="0" applyBorder="0" applyAlignment="0" applyProtection="0"/>
    <xf numFmtId="43" fontId="36" fillId="0" borderId="0" applyFont="0" applyFill="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20"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7" fillId="51" borderId="0" applyNumberFormat="0" applyBorder="0" applyAlignment="0" applyProtection="0"/>
    <xf numFmtId="176" fontId="38" fillId="27" borderId="0" applyNumberFormat="0" applyBorder="0" applyAlignment="0" applyProtection="0"/>
    <xf numFmtId="176" fontId="37" fillId="51"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0" fontId="20" fillId="27"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7" fillId="51"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8" fillId="27" borderId="0" applyNumberFormat="0" applyBorder="0" applyAlignment="0" applyProtection="0"/>
    <xf numFmtId="176" fontId="37" fillId="51"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0"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20"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7" fillId="53" borderId="0" applyNumberFormat="0" applyBorder="0" applyAlignment="0" applyProtection="0"/>
    <xf numFmtId="176" fontId="38" fillId="31" borderId="0" applyNumberFormat="0" applyBorder="0" applyAlignment="0" applyProtection="0"/>
    <xf numFmtId="176" fontId="37" fillId="53"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0" fontId="20" fillId="31"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7" fillId="53"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8" fillId="31" borderId="0" applyNumberFormat="0" applyBorder="0" applyAlignment="0" applyProtection="0"/>
    <xf numFmtId="176" fontId="37" fillId="53"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20"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7" fillId="55" borderId="0" applyNumberFormat="0" applyBorder="0" applyAlignment="0" applyProtection="0"/>
    <xf numFmtId="176" fontId="38" fillId="35" borderId="0" applyNumberFormat="0" applyBorder="0" applyAlignment="0" applyProtection="0"/>
    <xf numFmtId="176" fontId="37" fillId="5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0" fontId="20" fillId="3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7" fillId="5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8" fillId="35" borderId="0" applyNumberFormat="0" applyBorder="0" applyAlignment="0" applyProtection="0"/>
    <xf numFmtId="176" fontId="37" fillId="55"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4"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20"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7" fillId="57" borderId="0" applyNumberFormat="0" applyBorder="0" applyAlignment="0" applyProtection="0"/>
    <xf numFmtId="176" fontId="38" fillId="39" borderId="0" applyNumberFormat="0" applyBorder="0" applyAlignment="0" applyProtection="0"/>
    <xf numFmtId="176" fontId="37" fillId="57"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0" fontId="20" fillId="39"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7" fillId="57"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8" fillId="39" borderId="0" applyNumberFormat="0" applyBorder="0" applyAlignment="0" applyProtection="0"/>
    <xf numFmtId="176" fontId="37" fillId="57"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20"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7" fillId="58" borderId="0" applyNumberFormat="0" applyBorder="0" applyAlignment="0" applyProtection="0"/>
    <xf numFmtId="176" fontId="38" fillId="43" borderId="0" applyNumberFormat="0" applyBorder="0" applyAlignment="0" applyProtection="0"/>
    <xf numFmtId="176" fontId="37" fillId="58"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0" fontId="20" fillId="43"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7" fillId="58"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8" fillId="43"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20"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7" fillId="55" borderId="0" applyNumberFormat="0" applyBorder="0" applyAlignment="0" applyProtection="0"/>
    <xf numFmtId="176" fontId="38" fillId="47" borderId="0" applyNumberFormat="0" applyBorder="0" applyAlignment="0" applyProtection="0"/>
    <xf numFmtId="176" fontId="37" fillId="55"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0" fontId="20" fillId="47"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7" fillId="55"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8" fillId="47" borderId="0" applyNumberFormat="0" applyBorder="0" applyAlignment="0" applyProtection="0"/>
    <xf numFmtId="176" fontId="37" fillId="55"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7"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20"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7" fillId="58" borderId="0" applyNumberFormat="0" applyBorder="0" applyAlignment="0" applyProtection="0"/>
    <xf numFmtId="176" fontId="38" fillId="28" borderId="0" applyNumberFormat="0" applyBorder="0" applyAlignment="0" applyProtection="0"/>
    <xf numFmtId="176" fontId="37" fillId="5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0" fontId="20" fillId="2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7" fillId="5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8" fillId="28" borderId="0" applyNumberFormat="0" applyBorder="0" applyAlignment="0" applyProtection="0"/>
    <xf numFmtId="176" fontId="37" fillId="58"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20"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7" fillId="53" borderId="0" applyNumberFormat="0" applyBorder="0" applyAlignment="0" applyProtection="0"/>
    <xf numFmtId="176" fontId="38" fillId="32" borderId="0" applyNumberFormat="0" applyBorder="0" applyAlignment="0" applyProtection="0"/>
    <xf numFmtId="176" fontId="37" fillId="5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0" fontId="20" fillId="32"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7" fillId="53"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8" fillId="32"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3"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20"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7" fillId="60" borderId="0" applyNumberFormat="0" applyBorder="0" applyAlignment="0" applyProtection="0"/>
    <xf numFmtId="176" fontId="38" fillId="36" borderId="0" applyNumberFormat="0" applyBorder="0" applyAlignment="0" applyProtection="0"/>
    <xf numFmtId="176" fontId="37" fillId="60"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76" fontId="37" fillId="60" borderId="0" applyNumberFormat="0" applyBorder="0" applyAlignment="0" applyProtection="0"/>
    <xf numFmtId="176" fontId="37" fillId="60" borderId="0" applyNumberFormat="0" applyBorder="0" applyAlignment="0" applyProtection="0"/>
    <xf numFmtId="176" fontId="37" fillId="60" borderId="0" applyNumberFormat="0" applyBorder="0" applyAlignment="0" applyProtection="0"/>
    <xf numFmtId="0" fontId="20" fillId="36" borderId="0" applyNumberFormat="0" applyBorder="0" applyAlignment="0" applyProtection="0"/>
    <xf numFmtId="176" fontId="37" fillId="60" borderId="0" applyNumberFormat="0" applyBorder="0" applyAlignment="0" applyProtection="0"/>
    <xf numFmtId="176" fontId="37" fillId="60" borderId="0" applyNumberFormat="0" applyBorder="0" applyAlignment="0" applyProtection="0"/>
    <xf numFmtId="176" fontId="37" fillId="60"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7" fillId="60"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8" fillId="36" borderId="0" applyNumberFormat="0" applyBorder="0" applyAlignment="0" applyProtection="0"/>
    <xf numFmtId="176" fontId="37" fillId="60"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9"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20"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7" fillId="52" borderId="0" applyNumberFormat="0" applyBorder="0" applyAlignment="0" applyProtection="0"/>
    <xf numFmtId="176" fontId="38" fillId="40" borderId="0" applyNumberFormat="0" applyBorder="0" applyAlignment="0" applyProtection="0"/>
    <xf numFmtId="176" fontId="37" fillId="52"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0" fontId="20" fillId="40"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7" fillId="52"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7" fillId="52"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8" fillId="40" borderId="0" applyNumberFormat="0" applyBorder="0" applyAlignment="0" applyProtection="0"/>
    <xf numFmtId="176" fontId="37" fillId="52"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6"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20"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7" fillId="58" borderId="0" applyNumberFormat="0" applyBorder="0" applyAlignment="0" applyProtection="0"/>
    <xf numFmtId="176" fontId="38" fillId="44" borderId="0" applyNumberFormat="0" applyBorder="0" applyAlignment="0" applyProtection="0"/>
    <xf numFmtId="176" fontId="37" fillId="58"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0" fontId="20" fillId="44"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7" fillId="58"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7" fillId="58"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8" fillId="44" borderId="0" applyNumberFormat="0" applyBorder="0" applyAlignment="0" applyProtection="0"/>
    <xf numFmtId="176" fontId="37" fillId="58"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5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20"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7" fillId="55" borderId="0" applyNumberFormat="0" applyBorder="0" applyAlignment="0" applyProtection="0"/>
    <xf numFmtId="176" fontId="38" fillId="48" borderId="0" applyNumberFormat="0" applyBorder="0" applyAlignment="0" applyProtection="0"/>
    <xf numFmtId="176" fontId="37" fillId="55"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0" fontId="20" fillId="48"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7" fillId="55"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7" fillId="55"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8" fillId="48" borderId="0" applyNumberFormat="0" applyBorder="0" applyAlignment="0" applyProtection="0"/>
    <xf numFmtId="176" fontId="37" fillId="55"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7" fillId="61"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40" fillId="29" borderId="0" applyNumberFormat="0" applyBorder="0" applyAlignment="0" applyProtection="0"/>
    <xf numFmtId="176" fontId="40" fillId="29" borderId="0" applyNumberFormat="0" applyBorder="0" applyAlignment="0" applyProtection="0"/>
    <xf numFmtId="176" fontId="40"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39" fillId="58" borderId="0" applyNumberFormat="0" applyBorder="0" applyAlignment="0" applyProtection="0"/>
    <xf numFmtId="176" fontId="41" fillId="29" borderId="0" applyNumberFormat="0" applyBorder="0" applyAlignment="0" applyProtection="0"/>
    <xf numFmtId="176" fontId="39" fillId="58"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0" fontId="40" fillId="29"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41" fillId="29"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40" fillId="33" borderId="0" applyNumberFormat="0" applyBorder="0" applyAlignment="0" applyProtection="0"/>
    <xf numFmtId="176" fontId="40" fillId="33" borderId="0" applyNumberFormat="0" applyBorder="0" applyAlignment="0" applyProtection="0"/>
    <xf numFmtId="176" fontId="40"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39" fillId="63" borderId="0" applyNumberFormat="0" applyBorder="0" applyAlignment="0" applyProtection="0"/>
    <xf numFmtId="176" fontId="41" fillId="33" borderId="0" applyNumberFormat="0" applyBorder="0" applyAlignment="0" applyProtection="0"/>
    <xf numFmtId="176" fontId="39" fillId="6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0" fontId="40" fillId="3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41" fillId="3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40" fillId="37" borderId="0" applyNumberFormat="0" applyBorder="0" applyAlignment="0" applyProtection="0"/>
    <xf numFmtId="176" fontId="40" fillId="37" borderId="0" applyNumberFormat="0" applyBorder="0" applyAlignment="0" applyProtection="0"/>
    <xf numFmtId="176" fontId="40"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39" fillId="61" borderId="0" applyNumberFormat="0" applyBorder="0" applyAlignment="0" applyProtection="0"/>
    <xf numFmtId="176" fontId="41" fillId="37" borderId="0" applyNumberFormat="0" applyBorder="0" applyAlignment="0" applyProtection="0"/>
    <xf numFmtId="176" fontId="39" fillId="61"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0" fontId="40" fillId="37"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41" fillId="37"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40" fillId="41" borderId="0" applyNumberFormat="0" applyBorder="0" applyAlignment="0" applyProtection="0"/>
    <xf numFmtId="176" fontId="40" fillId="41" borderId="0" applyNumberFormat="0" applyBorder="0" applyAlignment="0" applyProtection="0"/>
    <xf numFmtId="176" fontId="40"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39" fillId="52" borderId="0" applyNumberFormat="0" applyBorder="0" applyAlignment="0" applyProtection="0"/>
    <xf numFmtId="176" fontId="41" fillId="41" borderId="0" applyNumberFormat="0" applyBorder="0" applyAlignment="0" applyProtection="0"/>
    <xf numFmtId="176" fontId="39" fillId="52"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0" fontId="40" fillId="41"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41" fillId="41" borderId="0" applyNumberFormat="0" applyBorder="0" applyAlignment="0" applyProtection="0"/>
    <xf numFmtId="176" fontId="39" fillId="52" borderId="0" applyNumberFormat="0" applyBorder="0" applyAlignment="0" applyProtection="0"/>
    <xf numFmtId="176" fontId="39" fillId="52"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40" fillId="45" borderId="0" applyNumberFormat="0" applyBorder="0" applyAlignment="0" applyProtection="0"/>
    <xf numFmtId="176" fontId="40" fillId="45" borderId="0" applyNumberFormat="0" applyBorder="0" applyAlignment="0" applyProtection="0"/>
    <xf numFmtId="176" fontId="40"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39" fillId="58" borderId="0" applyNumberFormat="0" applyBorder="0" applyAlignment="0" applyProtection="0"/>
    <xf numFmtId="176" fontId="41" fillId="45" borderId="0" applyNumberFormat="0" applyBorder="0" applyAlignment="0" applyProtection="0"/>
    <xf numFmtId="176" fontId="39" fillId="58"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0" fontId="40" fillId="45"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41" fillId="45" borderId="0" applyNumberFormat="0" applyBorder="0" applyAlignment="0" applyProtection="0"/>
    <xf numFmtId="176" fontId="39" fillId="58" borderId="0" applyNumberFormat="0" applyBorder="0" applyAlignment="0" applyProtection="0"/>
    <xf numFmtId="176" fontId="39" fillId="58"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40" fillId="49" borderId="0" applyNumberFormat="0" applyBorder="0" applyAlignment="0" applyProtection="0"/>
    <xf numFmtId="176" fontId="40" fillId="49" borderId="0" applyNumberFormat="0" applyBorder="0" applyAlignment="0" applyProtection="0"/>
    <xf numFmtId="176" fontId="40"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39" fillId="53" borderId="0" applyNumberFormat="0" applyBorder="0" applyAlignment="0" applyProtection="0"/>
    <xf numFmtId="176" fontId="41" fillId="49" borderId="0" applyNumberFormat="0" applyBorder="0" applyAlignment="0" applyProtection="0"/>
    <xf numFmtId="176" fontId="39" fillId="53"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0" fontId="40" fillId="49"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41" fillId="49"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40" fillId="26" borderId="0" applyNumberFormat="0" applyBorder="0" applyAlignment="0" applyProtection="0"/>
    <xf numFmtId="176" fontId="40" fillId="26" borderId="0" applyNumberFormat="0" applyBorder="0" applyAlignment="0" applyProtection="0"/>
    <xf numFmtId="176" fontId="40"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39" fillId="68" borderId="0" applyNumberFormat="0" applyBorder="0" applyAlignment="0" applyProtection="0"/>
    <xf numFmtId="176" fontId="41" fillId="26" borderId="0" applyNumberFormat="0" applyBorder="0" applyAlignment="0" applyProtection="0"/>
    <xf numFmtId="176" fontId="39" fillId="68"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0" fontId="40" fillId="26"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41" fillId="26" borderId="0" applyNumberFormat="0" applyBorder="0" applyAlignment="0" applyProtection="0"/>
    <xf numFmtId="176" fontId="39" fillId="68" borderId="0" applyNumberFormat="0" applyBorder="0" applyAlignment="0" applyProtection="0"/>
    <xf numFmtId="176" fontId="39" fillId="68"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40" fillId="30" borderId="0" applyNumberFormat="0" applyBorder="0" applyAlignment="0" applyProtection="0"/>
    <xf numFmtId="176" fontId="40" fillId="30" borderId="0" applyNumberFormat="0" applyBorder="0" applyAlignment="0" applyProtection="0"/>
    <xf numFmtId="176" fontId="40"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39" fillId="63" borderId="0" applyNumberFormat="0" applyBorder="0" applyAlignment="0" applyProtection="0"/>
    <xf numFmtId="176" fontId="41" fillId="30" borderId="0" applyNumberFormat="0" applyBorder="0" applyAlignment="0" applyProtection="0"/>
    <xf numFmtId="176" fontId="39" fillId="63"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0" fontId="40" fillId="30"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41" fillId="30"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40" fillId="34" borderId="0" applyNumberFormat="0" applyBorder="0" applyAlignment="0" applyProtection="0"/>
    <xf numFmtId="176" fontId="40" fillId="34" borderId="0" applyNumberFormat="0" applyBorder="0" applyAlignment="0" applyProtection="0"/>
    <xf numFmtId="176" fontId="40"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39" fillId="61" borderId="0" applyNumberFormat="0" applyBorder="0" applyAlignment="0" applyProtection="0"/>
    <xf numFmtId="176" fontId="41" fillId="34" borderId="0" applyNumberFormat="0" applyBorder="0" applyAlignment="0" applyProtection="0"/>
    <xf numFmtId="176" fontId="39" fillId="61"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0" fontId="40" fillId="34"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41" fillId="34" borderId="0" applyNumberFormat="0" applyBorder="0" applyAlignment="0" applyProtection="0"/>
    <xf numFmtId="176" fontId="39" fillId="61" borderId="0" applyNumberFormat="0" applyBorder="0" applyAlignment="0" applyProtection="0"/>
    <xf numFmtId="176" fontId="39" fillId="61"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40" fillId="38" borderId="0" applyNumberFormat="0" applyBorder="0" applyAlignment="0" applyProtection="0"/>
    <xf numFmtId="176" fontId="40" fillId="38" borderId="0" applyNumberFormat="0" applyBorder="0" applyAlignment="0" applyProtection="0"/>
    <xf numFmtId="176" fontId="40"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39" fillId="71" borderId="0" applyNumberFormat="0" applyBorder="0" applyAlignment="0" applyProtection="0"/>
    <xf numFmtId="176" fontId="41" fillId="38" borderId="0" applyNumberFormat="0" applyBorder="0" applyAlignment="0" applyProtection="0"/>
    <xf numFmtId="176" fontId="39" fillId="71"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0" fontId="40" fillId="38"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41" fillId="38" borderId="0" applyNumberFormat="0" applyBorder="0" applyAlignment="0" applyProtection="0"/>
    <xf numFmtId="176" fontId="39" fillId="71" borderId="0" applyNumberFormat="0" applyBorder="0" applyAlignment="0" applyProtection="0"/>
    <xf numFmtId="176" fontId="39" fillId="71"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40" fillId="42" borderId="0" applyNumberFormat="0" applyBorder="0" applyAlignment="0" applyProtection="0"/>
    <xf numFmtId="176" fontId="40" fillId="42" borderId="0" applyNumberFormat="0" applyBorder="0" applyAlignment="0" applyProtection="0"/>
    <xf numFmtId="176" fontId="40"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39" fillId="65" borderId="0" applyNumberFormat="0" applyBorder="0" applyAlignment="0" applyProtection="0"/>
    <xf numFmtId="176" fontId="41" fillId="42" borderId="0" applyNumberFormat="0" applyBorder="0" applyAlignment="0" applyProtection="0"/>
    <xf numFmtId="176" fontId="39" fillId="65"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0" fontId="40" fillId="42"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41" fillId="42"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40" fillId="46" borderId="0" applyNumberFormat="0" applyBorder="0" applyAlignment="0" applyProtection="0"/>
    <xf numFmtId="176" fontId="40" fillId="46" borderId="0" applyNumberFormat="0" applyBorder="0" applyAlignment="0" applyProtection="0"/>
    <xf numFmtId="176" fontId="40"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39" fillId="69" borderId="0" applyNumberFormat="0" applyBorder="0" applyAlignment="0" applyProtection="0"/>
    <xf numFmtId="176" fontId="41" fillId="46" borderId="0" applyNumberFormat="0" applyBorder="0" applyAlignment="0" applyProtection="0"/>
    <xf numFmtId="176" fontId="39" fillId="69"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0" fontId="40" fillId="46"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41" fillId="46"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3" fillId="20" borderId="0" applyNumberFormat="0" applyBorder="0" applyAlignment="0" applyProtection="0"/>
    <xf numFmtId="176" fontId="43" fillId="20" borderId="0" applyNumberFormat="0" applyBorder="0" applyAlignment="0" applyProtection="0"/>
    <xf numFmtId="176" fontId="43"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2" fillId="56" borderId="0" applyNumberFormat="0" applyBorder="0" applyAlignment="0" applyProtection="0"/>
    <xf numFmtId="176" fontId="44" fillId="20" borderId="0" applyNumberFormat="0" applyBorder="0" applyAlignment="0" applyProtection="0"/>
    <xf numFmtId="176" fontId="42" fillId="56"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0" fontId="43" fillId="20"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4" fillId="20" borderId="0" applyNumberFormat="0" applyBorder="0" applyAlignment="0" applyProtection="0"/>
    <xf numFmtId="176" fontId="42" fillId="56" borderId="0" applyNumberFormat="0" applyBorder="0" applyAlignment="0" applyProtection="0"/>
    <xf numFmtId="176" fontId="42" fillId="56"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2" fillId="52" borderId="0" applyNumberFormat="0" applyBorder="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6" fillId="23" borderId="27" applyNumberFormat="0" applyAlignment="0" applyProtection="0"/>
    <xf numFmtId="176" fontId="46" fillId="23" borderId="27" applyNumberFormat="0" applyAlignment="0" applyProtection="0"/>
    <xf numFmtId="176" fontId="46"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8" fillId="73" borderId="33" applyNumberFormat="0" applyAlignment="0" applyProtection="0"/>
    <xf numFmtId="176" fontId="47" fillId="23" borderId="27" applyNumberFormat="0" applyAlignment="0" applyProtection="0"/>
    <xf numFmtId="176" fontId="48" fillId="73" borderId="33" applyNumberFormat="0" applyAlignment="0" applyProtection="0"/>
    <xf numFmtId="0" fontId="46" fillId="23" borderId="27" applyNumberFormat="0" applyAlignment="0" applyProtection="0"/>
    <xf numFmtId="0" fontId="46" fillId="23" borderId="27" applyNumberFormat="0" applyAlignment="0" applyProtection="0"/>
    <xf numFmtId="0" fontId="46" fillId="23" borderId="27" applyNumberFormat="0" applyAlignment="0" applyProtection="0"/>
    <xf numFmtId="0" fontId="46" fillId="23" borderId="27" applyNumberFormat="0" applyAlignment="0" applyProtection="0"/>
    <xf numFmtId="176" fontId="48" fillId="73" borderId="33" applyNumberFormat="0" applyAlignment="0" applyProtection="0"/>
    <xf numFmtId="176" fontId="48" fillId="73" borderId="33" applyNumberFormat="0" applyAlignment="0" applyProtection="0"/>
    <xf numFmtId="176" fontId="48" fillId="73" borderId="33" applyNumberFormat="0" applyAlignment="0" applyProtection="0"/>
    <xf numFmtId="0" fontId="46" fillId="23" borderId="27" applyNumberFormat="0" applyAlignment="0" applyProtection="0"/>
    <xf numFmtId="176" fontId="48" fillId="73" borderId="33" applyNumberFormat="0" applyAlignment="0" applyProtection="0"/>
    <xf numFmtId="176" fontId="48" fillId="73" borderId="33" applyNumberFormat="0" applyAlignment="0" applyProtection="0"/>
    <xf numFmtId="176" fontId="48" fillId="73" borderId="33" applyNumberFormat="0" applyAlignment="0" applyProtection="0"/>
    <xf numFmtId="176" fontId="47"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7" fillId="23" borderId="27" applyNumberFormat="0" applyAlignment="0" applyProtection="0"/>
    <xf numFmtId="176" fontId="48" fillId="73" borderId="33" applyNumberFormat="0" applyAlignment="0" applyProtection="0"/>
    <xf numFmtId="176" fontId="48" fillId="73"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5" fillId="72" borderId="33"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50" fillId="24" borderId="30" applyNumberFormat="0" applyAlignment="0" applyProtection="0"/>
    <xf numFmtId="176" fontId="50" fillId="24" borderId="30" applyNumberFormat="0" applyAlignment="0" applyProtection="0"/>
    <xf numFmtId="176" fontId="50"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49" fillId="74" borderId="34" applyNumberFormat="0" applyAlignment="0" applyProtection="0"/>
    <xf numFmtId="176" fontId="51" fillId="24" borderId="30" applyNumberFormat="0" applyAlignment="0" applyProtection="0"/>
    <xf numFmtId="176" fontId="49" fillId="74" borderId="34" applyNumberFormat="0" applyAlignment="0" applyProtection="0"/>
    <xf numFmtId="0" fontId="50" fillId="24" borderId="30" applyNumberFormat="0" applyAlignment="0" applyProtection="0"/>
    <xf numFmtId="0" fontId="50" fillId="24" borderId="30" applyNumberFormat="0" applyAlignment="0" applyProtection="0"/>
    <xf numFmtId="0" fontId="50" fillId="24" borderId="30" applyNumberFormat="0" applyAlignment="0" applyProtection="0"/>
    <xf numFmtId="0" fontId="50" fillId="24" borderId="30"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0" fontId="50" fillId="24" borderId="30"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51"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51" fillId="24" borderId="30"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176" fontId="49" fillId="74" borderId="3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0" fillId="0" borderId="0" applyFont="0" applyFill="0" applyBorder="0" applyAlignment="0" applyProtection="0"/>
    <xf numFmtId="182" fontId="10" fillId="0" borderId="0" applyFont="0" applyFill="0" applyBorder="0" applyAlignment="0" applyProtection="0"/>
    <xf numFmtId="176" fontId="10" fillId="0" borderId="0" applyFon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3" fillId="0" borderId="0" applyNumberFormat="0" applyFill="0" applyBorder="0" applyAlignment="0" applyProtection="0"/>
    <xf numFmtId="176" fontId="53" fillId="0" borderId="0" applyNumberFormat="0" applyFill="0" applyBorder="0" applyAlignment="0" applyProtection="0"/>
    <xf numFmtId="176" fontId="53"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2" fillId="0" borderId="0" applyNumberFormat="0" applyFill="0" applyBorder="0" applyAlignment="0" applyProtection="0"/>
    <xf numFmtId="176" fontId="54" fillId="0" borderId="0" applyNumberFormat="0" applyFill="0" applyBorder="0" applyAlignment="0" applyProtection="0"/>
    <xf numFmtId="176" fontId="5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0" fontId="53"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4"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2" fillId="0" borderId="0" applyNumberFormat="0" applyFill="0" applyBorder="0" applyAlignment="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11" fillId="0" borderId="0" applyProtection="0"/>
    <xf numFmtId="176" fontId="11" fillId="0" borderId="0" applyProtection="0"/>
    <xf numFmtId="176" fontId="11" fillId="0" borderId="0" applyProtection="0"/>
    <xf numFmtId="176" fontId="11" fillId="0" borderId="0" applyProtection="0"/>
    <xf numFmtId="176" fontId="11" fillId="0" borderId="0" applyProtection="0"/>
    <xf numFmtId="176" fontId="11" fillId="0" borderId="0" applyProtection="0"/>
    <xf numFmtId="176" fontId="11" fillId="0" borderId="0" applyProtection="0"/>
    <xf numFmtId="176" fontId="56" fillId="0" borderId="0" applyProtection="0"/>
    <xf numFmtId="176" fontId="56" fillId="0" borderId="0" applyProtection="0"/>
    <xf numFmtId="176" fontId="56" fillId="0" borderId="0" applyProtection="0"/>
    <xf numFmtId="176" fontId="56" fillId="0" borderId="0" applyProtection="0"/>
    <xf numFmtId="176" fontId="56" fillId="0" borderId="0" applyProtection="0"/>
    <xf numFmtId="176" fontId="56" fillId="0" borderId="0" applyProtection="0"/>
    <xf numFmtId="176" fontId="56" fillId="0" borderId="0" applyProtection="0"/>
    <xf numFmtId="176" fontId="57" fillId="0" borderId="0" applyProtection="0"/>
    <xf numFmtId="176" fontId="57" fillId="0" borderId="0" applyProtection="0"/>
    <xf numFmtId="176" fontId="57" fillId="0" borderId="0" applyProtection="0"/>
    <xf numFmtId="176" fontId="57" fillId="0" borderId="0" applyProtection="0"/>
    <xf numFmtId="176" fontId="57" fillId="0" borderId="0" applyProtection="0"/>
    <xf numFmtId="176" fontId="57" fillId="0" borderId="0" applyProtection="0"/>
    <xf numFmtId="176" fontId="57" fillId="0" borderId="0" applyProtection="0"/>
    <xf numFmtId="176" fontId="10" fillId="0" borderId="0" applyProtection="0"/>
    <xf numFmtId="176" fontId="10" fillId="0" borderId="0" applyProtection="0"/>
    <xf numFmtId="176" fontId="10" fillId="0" borderId="0" applyProtection="0"/>
    <xf numFmtId="176" fontId="10" fillId="0" borderId="0" applyProtection="0"/>
    <xf numFmtId="176" fontId="10" fillId="0" borderId="0" applyProtection="0"/>
    <xf numFmtId="176" fontId="10" fillId="0" borderId="0" applyProtection="0"/>
    <xf numFmtId="176" fontId="10"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5" fillId="0" borderId="0" applyProtection="0"/>
    <xf numFmtId="176" fontId="58" fillId="0" borderId="0" applyProtection="0"/>
    <xf numFmtId="176" fontId="58" fillId="0" borderId="0" applyProtection="0"/>
    <xf numFmtId="176" fontId="58" fillId="0" borderId="0" applyProtection="0"/>
    <xf numFmtId="176" fontId="58" fillId="0" borderId="0" applyProtection="0"/>
    <xf numFmtId="176" fontId="58" fillId="0" borderId="0" applyProtection="0"/>
    <xf numFmtId="176" fontId="58" fillId="0" borderId="0" applyProtection="0"/>
    <xf numFmtId="176" fontId="58" fillId="0" borderId="0" applyProtection="0"/>
    <xf numFmtId="2" fontId="10" fillId="0" borderId="0" applyFont="0" applyFill="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60" fillId="19" borderId="0" applyNumberFormat="0" applyBorder="0" applyAlignment="0" applyProtection="0"/>
    <xf numFmtId="176" fontId="60" fillId="19" borderId="0" applyNumberFormat="0" applyBorder="0" applyAlignment="0" applyProtection="0"/>
    <xf numFmtId="176" fontId="60"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59" fillId="58" borderId="0" applyNumberFormat="0" applyBorder="0" applyAlignment="0" applyProtection="0"/>
    <xf numFmtId="176" fontId="61" fillId="19" borderId="0" applyNumberFormat="0" applyBorder="0" applyAlignment="0" applyProtection="0"/>
    <xf numFmtId="176" fontId="59" fillId="58"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0" fontId="60" fillId="19"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61" fillId="19" borderId="0" applyNumberFormat="0" applyBorder="0" applyAlignment="0" applyProtection="0"/>
    <xf numFmtId="176" fontId="59" fillId="58" borderId="0" applyNumberFormat="0" applyBorder="0" applyAlignment="0" applyProtection="0"/>
    <xf numFmtId="176" fontId="59" fillId="58"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59" fillId="54" borderId="0" applyNumberFormat="0" applyBorder="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3" fillId="0" borderId="24" applyNumberFormat="0" applyFill="0" applyAlignment="0" applyProtection="0"/>
    <xf numFmtId="176" fontId="63" fillId="0" borderId="24" applyNumberFormat="0" applyFill="0" applyAlignment="0" applyProtection="0"/>
    <xf numFmtId="176" fontId="63" fillId="0" borderId="24" applyNumberFormat="0" applyFill="0" applyAlignment="0" applyProtection="0"/>
    <xf numFmtId="176" fontId="24" fillId="0" borderId="24" applyNumberFormat="0" applyFill="0" applyAlignment="0" applyProtection="0"/>
    <xf numFmtId="176" fontId="24" fillId="0" borderId="24" applyNumberFormat="0" applyFill="0" applyAlignment="0" applyProtection="0"/>
    <xf numFmtId="176" fontId="64" fillId="0" borderId="36" applyNumberFormat="0" applyFill="0" applyAlignment="0" applyProtection="0"/>
    <xf numFmtId="176" fontId="24" fillId="0" borderId="24" applyNumberFormat="0" applyFill="0" applyAlignment="0" applyProtection="0"/>
    <xf numFmtId="176" fontId="64" fillId="0" borderId="36"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0" fontId="63" fillId="0" borderId="24"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176" fontId="24" fillId="0" borderId="24" applyNumberFormat="0" applyFill="0" applyAlignment="0" applyProtection="0"/>
    <xf numFmtId="176" fontId="24" fillId="0" borderId="24" applyNumberFormat="0" applyFill="0" applyAlignment="0" applyProtection="0"/>
    <xf numFmtId="176" fontId="24" fillId="0" borderId="24" applyNumberFormat="0" applyFill="0" applyAlignment="0" applyProtection="0"/>
    <xf numFmtId="176" fontId="65" fillId="0" borderId="0" applyNumberFormat="0" applyFill="0" applyBorder="0" applyAlignment="0" applyProtection="0"/>
    <xf numFmtId="176" fontId="65" fillId="0" borderId="0" applyNumberFormat="0" applyFill="0" applyBorder="0" applyAlignment="0" applyProtection="0"/>
    <xf numFmtId="176" fontId="24" fillId="0" borderId="24" applyNumberFormat="0" applyFill="0" applyAlignment="0" applyProtection="0"/>
    <xf numFmtId="176" fontId="24" fillId="0" borderId="24" applyNumberFormat="0" applyFill="0" applyAlignment="0" applyProtection="0"/>
    <xf numFmtId="176" fontId="24" fillId="0" borderId="24" applyNumberFormat="0" applyFill="0" applyAlignment="0" applyProtection="0"/>
    <xf numFmtId="176" fontId="64" fillId="0" borderId="36" applyNumberFormat="0" applyFill="0" applyAlignment="0" applyProtection="0"/>
    <xf numFmtId="176" fontId="64" fillId="0" borderId="36"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2" fillId="0" borderId="35"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7" fillId="0" borderId="25" applyNumberFormat="0" applyFill="0" applyAlignment="0" applyProtection="0"/>
    <xf numFmtId="176" fontId="67" fillId="0" borderId="25" applyNumberFormat="0" applyFill="0" applyAlignment="0" applyProtection="0"/>
    <xf numFmtId="176" fontId="67" fillId="0" borderId="25" applyNumberFormat="0" applyFill="0" applyAlignment="0" applyProtection="0"/>
    <xf numFmtId="176" fontId="25" fillId="0" borderId="25" applyNumberFormat="0" applyFill="0" applyAlignment="0" applyProtection="0"/>
    <xf numFmtId="176" fontId="25" fillId="0" borderId="25" applyNumberFormat="0" applyFill="0" applyAlignment="0" applyProtection="0"/>
    <xf numFmtId="176" fontId="68" fillId="0" borderId="38" applyNumberFormat="0" applyFill="0" applyAlignment="0" applyProtection="0"/>
    <xf numFmtId="176" fontId="25" fillId="0" borderId="25" applyNumberFormat="0" applyFill="0" applyAlignment="0" applyProtection="0"/>
    <xf numFmtId="176" fontId="68" fillId="0" borderId="38"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0" fontId="67" fillId="0" borderId="25"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0" fontId="67" fillId="0" borderId="25"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176" fontId="25" fillId="0" borderId="25" applyNumberFormat="0" applyFill="0" applyAlignment="0" applyProtection="0"/>
    <xf numFmtId="176" fontId="25" fillId="0" borderId="25" applyNumberFormat="0" applyFill="0" applyAlignment="0" applyProtection="0"/>
    <xf numFmtId="176" fontId="25" fillId="0" borderId="25" applyNumberFormat="0" applyFill="0" applyAlignment="0" applyProtection="0"/>
    <xf numFmtId="176" fontId="69" fillId="0" borderId="0" applyNumberFormat="0" applyFill="0" applyBorder="0" applyAlignment="0" applyProtection="0"/>
    <xf numFmtId="176" fontId="69" fillId="0" borderId="0" applyNumberFormat="0" applyFill="0" applyBorder="0" applyAlignment="0" applyProtection="0"/>
    <xf numFmtId="176" fontId="25" fillId="0" borderId="25" applyNumberFormat="0" applyFill="0" applyAlignment="0" applyProtection="0"/>
    <xf numFmtId="176" fontId="25" fillId="0" borderId="25" applyNumberFormat="0" applyFill="0" applyAlignment="0" applyProtection="0"/>
    <xf numFmtId="176" fontId="25" fillId="0" borderId="25" applyNumberFormat="0" applyFill="0" applyAlignment="0" applyProtection="0"/>
    <xf numFmtId="176" fontId="68" fillId="0" borderId="38" applyNumberFormat="0" applyFill="0" applyAlignment="0" applyProtection="0"/>
    <xf numFmtId="176" fontId="68" fillId="0" borderId="38"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66" fillId="0" borderId="37"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1" fillId="0" borderId="26" applyNumberFormat="0" applyFill="0" applyAlignment="0" applyProtection="0"/>
    <xf numFmtId="176" fontId="71" fillId="0" borderId="26" applyNumberFormat="0" applyFill="0" applyAlignment="0" applyProtection="0"/>
    <xf numFmtId="176" fontId="71"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72" fillId="0" borderId="40" applyNumberFormat="0" applyFill="0" applyAlignment="0" applyProtection="0"/>
    <xf numFmtId="176" fontId="26" fillId="0" borderId="26" applyNumberFormat="0" applyFill="0" applyAlignment="0" applyProtection="0"/>
    <xf numFmtId="176" fontId="72" fillId="0" borderId="40"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0" fontId="71" fillId="0" borderId="26"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26" fillId="0" borderId="26" applyNumberFormat="0" applyFill="0" applyAlignment="0" applyProtection="0"/>
    <xf numFmtId="176" fontId="72" fillId="0" borderId="40" applyNumberFormat="0" applyFill="0" applyAlignment="0" applyProtection="0"/>
    <xf numFmtId="176" fontId="72" fillId="0" borderId="40"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39" applyNumberFormat="0" applyFill="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72" fillId="0" borderId="0" applyNumberFormat="0" applyFill="0" applyBorder="0" applyAlignment="0" applyProtection="0"/>
    <xf numFmtId="176" fontId="26" fillId="0" borderId="0" applyNumberFormat="0" applyFill="0" applyBorder="0" applyAlignment="0" applyProtection="0"/>
    <xf numFmtId="176" fontId="7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0" fontId="71"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0" fillId="0" borderId="0" applyNumberFormat="0" applyFill="0" applyBorder="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4" fillId="22" borderId="27" applyNumberFormat="0" applyAlignment="0" applyProtection="0"/>
    <xf numFmtId="176" fontId="74" fillId="22" borderId="27" applyNumberFormat="0" applyAlignment="0" applyProtection="0"/>
    <xf numFmtId="176" fontId="74"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3" fillId="60" borderId="33" applyNumberFormat="0" applyAlignment="0" applyProtection="0"/>
    <xf numFmtId="176" fontId="75" fillId="22" borderId="27" applyNumberFormat="0" applyAlignment="0" applyProtection="0"/>
    <xf numFmtId="176" fontId="73" fillId="60" borderId="33" applyNumberFormat="0" applyAlignment="0" applyProtection="0"/>
    <xf numFmtId="0" fontId="74" fillId="22" borderId="27" applyNumberFormat="0" applyAlignment="0" applyProtection="0"/>
    <xf numFmtId="0" fontId="74" fillId="22" borderId="27" applyNumberFormat="0" applyAlignment="0" applyProtection="0"/>
    <xf numFmtId="0" fontId="74" fillId="22" borderId="27" applyNumberFormat="0" applyAlignment="0" applyProtection="0"/>
    <xf numFmtId="0" fontId="74" fillId="22" borderId="27" applyNumberFormat="0" applyAlignment="0" applyProtection="0"/>
    <xf numFmtId="176" fontId="73" fillId="60" borderId="33" applyNumberFormat="0" applyAlignment="0" applyProtection="0"/>
    <xf numFmtId="176" fontId="73" fillId="60" borderId="33" applyNumberFormat="0" applyAlignment="0" applyProtection="0"/>
    <xf numFmtId="176" fontId="73" fillId="60" borderId="33" applyNumberFormat="0" applyAlignment="0" applyProtection="0"/>
    <xf numFmtId="0" fontId="74" fillId="22" borderId="27" applyNumberFormat="0" applyAlignment="0" applyProtection="0"/>
    <xf numFmtId="176" fontId="73" fillId="60" borderId="33" applyNumberFormat="0" applyAlignment="0" applyProtection="0"/>
    <xf numFmtId="176" fontId="73" fillId="60" borderId="33" applyNumberFormat="0" applyAlignment="0" applyProtection="0"/>
    <xf numFmtId="176" fontId="73" fillId="60" borderId="33" applyNumberFormat="0" applyAlignment="0" applyProtection="0"/>
    <xf numFmtId="176" fontId="75"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5" fillId="22" borderId="27" applyNumberFormat="0" applyAlignment="0" applyProtection="0"/>
    <xf numFmtId="176" fontId="73" fillId="60" borderId="33" applyNumberFormat="0" applyAlignment="0" applyProtection="0"/>
    <xf numFmtId="176" fontId="73" fillId="60"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3" fillId="57" borderId="33" applyNumberFormat="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7" fillId="0" borderId="29" applyNumberFormat="0" applyFill="0" applyAlignment="0" applyProtection="0"/>
    <xf numFmtId="176" fontId="77" fillId="0" borderId="29" applyNumberFormat="0" applyFill="0" applyAlignment="0" applyProtection="0"/>
    <xf numFmtId="176" fontId="77"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9" fillId="0" borderId="42" applyNumberFormat="0" applyFill="0" applyAlignment="0" applyProtection="0"/>
    <xf numFmtId="176" fontId="78" fillId="0" borderId="29" applyNumberFormat="0" applyFill="0" applyAlignment="0" applyProtection="0"/>
    <xf numFmtId="176" fontId="79" fillId="0" borderId="42"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0" fontId="77" fillId="0" borderId="29"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0" fontId="77" fillId="0" borderId="29"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8" fillId="0" borderId="29" applyNumberFormat="0" applyFill="0" applyAlignment="0" applyProtection="0"/>
    <xf numFmtId="176" fontId="79" fillId="0" borderId="42" applyNumberFormat="0" applyFill="0" applyAlignment="0" applyProtection="0"/>
    <xf numFmtId="176" fontId="79" fillId="0" borderId="42"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76" fillId="0" borderId="41" applyNumberFormat="0" applyFill="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1" fillId="21" borderId="0" applyNumberFormat="0" applyBorder="0" applyAlignment="0" applyProtection="0"/>
    <xf numFmtId="176" fontId="81" fillId="21" borderId="0" applyNumberFormat="0" applyBorder="0" applyAlignment="0" applyProtection="0"/>
    <xf numFmtId="176" fontId="81"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3" fillId="60" borderId="0" applyNumberFormat="0" applyBorder="0" applyAlignment="0" applyProtection="0"/>
    <xf numFmtId="176" fontId="82" fillId="21" borderId="0" applyNumberFormat="0" applyBorder="0" applyAlignment="0" applyProtection="0"/>
    <xf numFmtId="176" fontId="83" fillId="6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0" fontId="81" fillId="21"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2" fillId="21" borderId="0" applyNumberFormat="0" applyBorder="0" applyAlignment="0" applyProtection="0"/>
    <xf numFmtId="176" fontId="83" fillId="60" borderId="0" applyNumberFormat="0" applyBorder="0" applyAlignment="0" applyProtection="0"/>
    <xf numFmtId="176" fontId="83"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1" fontId="36" fillId="0" borderId="0"/>
    <xf numFmtId="0" fontId="20" fillId="0" borderId="0"/>
    <xf numFmtId="0" fontId="20" fillId="0" borderId="0"/>
    <xf numFmtId="0" fontId="20" fillId="0" borderId="0"/>
    <xf numFmtId="0" fontId="20" fillId="0" borderId="0"/>
    <xf numFmtId="0" fontId="20" fillId="0" borderId="0"/>
    <xf numFmtId="176" fontId="10" fillId="0" borderId="0"/>
    <xf numFmtId="176" fontId="10" fillId="0" borderId="0"/>
    <xf numFmtId="176" fontId="10" fillId="0" borderId="0"/>
    <xf numFmtId="41" fontId="36" fillId="0" borderId="0"/>
    <xf numFmtId="41" fontId="36" fillId="0" borderId="0"/>
    <xf numFmtId="41" fontId="36"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20" fillId="0" borderId="0"/>
    <xf numFmtId="176" fontId="20" fillId="0" borderId="0"/>
    <xf numFmtId="176" fontId="20" fillId="0" borderId="0"/>
    <xf numFmtId="176" fontId="20" fillId="0" borderId="0"/>
    <xf numFmtId="176" fontId="2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38" fillId="0" borderId="0"/>
    <xf numFmtId="176" fontId="10"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84" fillId="0" borderId="0"/>
    <xf numFmtId="176" fontId="38" fillId="0" borderId="0"/>
    <xf numFmtId="41" fontId="36" fillId="0" borderId="0"/>
    <xf numFmtId="41" fontId="36" fillId="0" borderId="0"/>
    <xf numFmtId="41" fontId="36" fillId="0" borderId="0"/>
    <xf numFmtId="41" fontId="36" fillId="0" borderId="0"/>
    <xf numFmtId="41" fontId="36" fillId="0" borderId="0"/>
    <xf numFmtId="176" fontId="38" fillId="0" borderId="0"/>
    <xf numFmtId="176" fontId="38" fillId="0" borderId="0"/>
    <xf numFmtId="176" fontId="10" fillId="0" borderId="0"/>
    <xf numFmtId="41" fontId="36" fillId="0" borderId="0"/>
    <xf numFmtId="41" fontId="36" fillId="0" borderId="0"/>
    <xf numFmtId="41" fontId="36" fillId="0" borderId="0"/>
    <xf numFmtId="41" fontId="36" fillId="0" borderId="0"/>
    <xf numFmtId="41" fontId="36" fillId="0" borderId="0"/>
    <xf numFmtId="41" fontId="36"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38" fillId="0" borderId="0"/>
    <xf numFmtId="176" fontId="38" fillId="0" borderId="0"/>
    <xf numFmtId="176" fontId="38" fillId="0" borderId="0"/>
    <xf numFmtId="176" fontId="38" fillId="0" borderId="0"/>
    <xf numFmtId="176" fontId="38" fillId="0" borderId="0"/>
    <xf numFmtId="176" fontId="38" fillId="0" borderId="0"/>
    <xf numFmtId="176" fontId="38" fillId="0" borderId="0"/>
    <xf numFmtId="176" fontId="38" fillId="0" borderId="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86" fillId="55" borderId="43" applyNumberFormat="0" applyFont="0" applyAlignment="0" applyProtection="0"/>
    <xf numFmtId="176" fontId="86" fillId="55" borderId="43" applyNumberFormat="0" applyFont="0" applyAlignment="0" applyProtection="0"/>
    <xf numFmtId="176" fontId="86" fillId="55" borderId="43"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38"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20"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0" fontId="20"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38" fillId="25" borderId="31"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11" fillId="55" borderId="43" applyNumberFormat="0" applyFon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8" fillId="23" borderId="28" applyNumberFormat="0" applyAlignment="0" applyProtection="0"/>
    <xf numFmtId="176" fontId="88" fillId="23" borderId="28" applyNumberFormat="0" applyAlignment="0" applyProtection="0"/>
    <xf numFmtId="176" fontId="88"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7" fillId="73" borderId="44" applyNumberFormat="0" applyAlignment="0" applyProtection="0"/>
    <xf numFmtId="176" fontId="89" fillId="23" borderId="28" applyNumberFormat="0" applyAlignment="0" applyProtection="0"/>
    <xf numFmtId="176" fontId="87" fillId="73" borderId="44" applyNumberFormat="0" applyAlignment="0" applyProtection="0"/>
    <xf numFmtId="0" fontId="88" fillId="23" borderId="28" applyNumberFormat="0" applyAlignment="0" applyProtection="0"/>
    <xf numFmtId="0" fontId="88" fillId="23" borderId="28" applyNumberFormat="0" applyAlignment="0" applyProtection="0"/>
    <xf numFmtId="0" fontId="88" fillId="23" borderId="28" applyNumberFormat="0" applyAlignment="0" applyProtection="0"/>
    <xf numFmtId="0" fontId="88" fillId="23" borderId="28" applyNumberFormat="0" applyAlignment="0" applyProtection="0"/>
    <xf numFmtId="176" fontId="87" fillId="73" borderId="44" applyNumberFormat="0" applyAlignment="0" applyProtection="0"/>
    <xf numFmtId="176" fontId="87" fillId="73" borderId="44" applyNumberFormat="0" applyAlignment="0" applyProtection="0"/>
    <xf numFmtId="176" fontId="87" fillId="73" borderId="44" applyNumberFormat="0" applyAlignment="0" applyProtection="0"/>
    <xf numFmtId="0" fontId="88" fillId="23" borderId="28" applyNumberFormat="0" applyAlignment="0" applyProtection="0"/>
    <xf numFmtId="176" fontId="87" fillId="73" borderId="44" applyNumberFormat="0" applyAlignment="0" applyProtection="0"/>
    <xf numFmtId="176" fontId="87" fillId="73" borderId="44" applyNumberFormat="0" applyAlignment="0" applyProtection="0"/>
    <xf numFmtId="176" fontId="87" fillId="73" borderId="44" applyNumberFormat="0" applyAlignment="0" applyProtection="0"/>
    <xf numFmtId="176" fontId="89"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9" fillId="23" borderId="28" applyNumberFormat="0" applyAlignment="0" applyProtection="0"/>
    <xf numFmtId="176" fontId="87" fillId="73" borderId="44" applyNumberFormat="0" applyAlignment="0" applyProtection="0"/>
    <xf numFmtId="176" fontId="87" fillId="73"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176" fontId="87" fillId="72" borderId="44" applyNumberFormat="0" applyAlignment="0" applyProtection="0"/>
    <xf numFmtId="4" fontId="85" fillId="75" borderId="0">
      <alignment horizontal="right"/>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0" fillId="75" borderId="0">
      <alignment horizontal="center" vertical="center"/>
    </xf>
    <xf numFmtId="176" fontId="91" fillId="75" borderId="4"/>
    <xf numFmtId="176" fontId="91" fillId="75" borderId="4"/>
    <xf numFmtId="176" fontId="91" fillId="75" borderId="4"/>
    <xf numFmtId="176" fontId="91" fillId="75" borderId="4"/>
    <xf numFmtId="176" fontId="91" fillId="75" borderId="4"/>
    <xf numFmtId="176" fontId="91" fillId="75" borderId="4"/>
    <xf numFmtId="176" fontId="91" fillId="75" borderId="4"/>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0"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176" fontId="92" fillId="75" borderId="0" applyBorder="0">
      <alignment horizontal="centerContinuous"/>
    </xf>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0"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94" fillId="0" borderId="0" applyNumberFormat="0" applyFill="0" applyBorder="0" applyAlignment="0" applyProtection="0"/>
    <xf numFmtId="176" fontId="23"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176"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3" fillId="0" borderId="0" applyNumberFormat="0" applyFill="0" applyBorder="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6" fillId="0" borderId="32" applyNumberFormat="0" applyFill="0" applyAlignment="0" applyProtection="0"/>
    <xf numFmtId="176" fontId="96" fillId="0" borderId="32" applyNumberFormat="0" applyFill="0" applyAlignment="0" applyProtection="0"/>
    <xf numFmtId="176" fontId="96" fillId="0" borderId="32" applyNumberForma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95" fillId="0" borderId="46" applyNumberFormat="0" applyFill="0" applyAlignment="0" applyProtection="0"/>
    <xf numFmtId="176" fontId="97" fillId="0" borderId="32" applyNumberFormat="0" applyFill="0" applyAlignment="0" applyProtection="0"/>
    <xf numFmtId="176" fontId="95" fillId="0" borderId="46" applyNumberFormat="0" applyFill="0" applyAlignment="0" applyProtection="0"/>
    <xf numFmtId="0" fontId="96" fillId="0" borderId="32" applyNumberFormat="0" applyFill="0" applyAlignment="0" applyProtection="0"/>
    <xf numFmtId="0" fontId="96" fillId="0" borderId="32" applyNumberFormat="0" applyFill="0" applyAlignment="0" applyProtection="0"/>
    <xf numFmtId="0" fontId="96" fillId="0" borderId="32" applyNumberFormat="0" applyFill="0" applyAlignment="0" applyProtection="0"/>
    <xf numFmtId="0" fontId="96" fillId="0" borderId="32"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0" fontId="96" fillId="0" borderId="32"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10" fillId="0" borderId="47" applyNumberFormat="0" applyFont="0" applyFill="0" applyAlignment="0" applyProtection="0"/>
    <xf numFmtId="176" fontId="10" fillId="0" borderId="47" applyNumberFormat="0" applyFon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97" fillId="0" borderId="32" applyNumberFormat="0" applyFill="0" applyAlignment="0" applyProtection="0"/>
    <xf numFmtId="176" fontId="95" fillId="0" borderId="46" applyNumberFormat="0" applyFill="0" applyAlignment="0" applyProtection="0"/>
    <xf numFmtId="176" fontId="95" fillId="0" borderId="46"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95" fillId="0" borderId="45" applyNumberFormat="0" applyFill="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79" fillId="0" borderId="0" applyNumberFormat="0" applyFill="0" applyBorder="0" applyAlignment="0" applyProtection="0"/>
    <xf numFmtId="176" fontId="99" fillId="0" borderId="0" applyNumberFormat="0" applyFill="0" applyBorder="0" applyAlignment="0" applyProtection="0"/>
    <xf numFmtId="176" fontId="7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0" fontId="98"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9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41" fontId="36" fillId="0" borderId="0"/>
    <xf numFmtId="9" fontId="57" fillId="0" borderId="0" applyFont="0" applyFill="0" applyBorder="0" applyAlignment="0" applyProtection="0"/>
    <xf numFmtId="41" fontId="101" fillId="0" borderId="0"/>
    <xf numFmtId="0" fontId="20" fillId="0" borderId="0"/>
    <xf numFmtId="0" fontId="20"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10" fillId="0" borderId="0"/>
    <xf numFmtId="0" fontId="10" fillId="80" borderId="0"/>
    <xf numFmtId="0" fontId="10" fillId="80" borderId="0"/>
    <xf numFmtId="176" fontId="10" fillId="0" borderId="0"/>
    <xf numFmtId="176" fontId="10" fillId="0" borderId="0"/>
    <xf numFmtId="176" fontId="10" fillId="0" borderId="0"/>
    <xf numFmtId="176" fontId="10" fillId="0" borderId="0"/>
    <xf numFmtId="0" fontId="10"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6" fontId="37"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6" fontId="37"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52"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4" borderId="0" applyNumberFormat="0" applyBorder="0" applyAlignment="0" applyProtection="0"/>
    <xf numFmtId="0" fontId="1" fillId="35"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6" fontId="37"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5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7" fillId="5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37" fillId="56"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6" fontId="37" fillId="5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7"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57" borderId="0" applyNumberFormat="0" applyBorder="0" applyAlignment="0" applyProtection="0"/>
    <xf numFmtId="0" fontId="1" fillId="4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6" fontId="37" fillId="5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7" fillId="5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1" borderId="0" applyNumberFormat="0" applyBorder="0" applyAlignment="0" applyProtection="0"/>
    <xf numFmtId="0" fontId="1" fillId="2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76" fontId="3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7"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76" fontId="37" fillId="5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7" fillId="5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59" borderId="0" applyNumberFormat="0" applyBorder="0" applyAlignment="0" applyProtection="0"/>
    <xf numFmtId="0" fontId="1" fillId="3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6" fontId="37" fillId="5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6" borderId="0" applyNumberFormat="0" applyBorder="0" applyAlignment="0" applyProtection="0"/>
    <xf numFmtId="0" fontId="1" fillId="40"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6" fontId="37"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7" fillId="56"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51" borderId="0" applyNumberFormat="0" applyBorder="0" applyAlignment="0" applyProtection="0"/>
    <xf numFmtId="0" fontId="1" fillId="44"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5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6" fontId="37" fillId="5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5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61" borderId="0" applyNumberFormat="0" applyBorder="0" applyAlignment="0" applyProtection="0"/>
    <xf numFmtId="0" fontId="1" fillId="48"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5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6" fontId="37" fillId="61"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61" borderId="0" applyNumberFormat="0" applyBorder="0" applyAlignment="0" applyProtection="0"/>
    <xf numFmtId="0" fontId="39" fillId="62" borderId="0" applyNumberFormat="0" applyBorder="0" applyAlignment="0" applyProtection="0"/>
    <xf numFmtId="176" fontId="39" fillId="62" borderId="0" applyNumberFormat="0" applyBorder="0" applyAlignment="0" applyProtection="0"/>
    <xf numFmtId="176" fontId="39" fillId="62" borderId="0" applyNumberFormat="0" applyBorder="0" applyAlignment="0" applyProtection="0"/>
    <xf numFmtId="0" fontId="39" fillId="53" borderId="0" applyNumberFormat="0" applyBorder="0" applyAlignment="0" applyProtection="0"/>
    <xf numFmtId="176" fontId="39" fillId="53" borderId="0" applyNumberFormat="0" applyBorder="0" applyAlignment="0" applyProtection="0"/>
    <xf numFmtId="176" fontId="39" fillId="53" borderId="0" applyNumberFormat="0" applyBorder="0" applyAlignment="0" applyProtection="0"/>
    <xf numFmtId="0" fontId="39" fillId="59" borderId="0" applyNumberFormat="0" applyBorder="0" applyAlignment="0" applyProtection="0"/>
    <xf numFmtId="176" fontId="39" fillId="59" borderId="0" applyNumberFormat="0" applyBorder="0" applyAlignment="0" applyProtection="0"/>
    <xf numFmtId="176" fontId="39" fillId="59" borderId="0" applyNumberFormat="0" applyBorder="0" applyAlignment="0" applyProtection="0"/>
    <xf numFmtId="0"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0" fontId="39" fillId="65"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0" fontId="39" fillId="66" borderId="0" applyNumberFormat="0" applyBorder="0" applyAlignment="0" applyProtection="0"/>
    <xf numFmtId="176" fontId="39" fillId="66" borderId="0" applyNumberFormat="0" applyBorder="0" applyAlignment="0" applyProtection="0"/>
    <xf numFmtId="176" fontId="39" fillId="66" borderId="0" applyNumberFormat="0" applyBorder="0" applyAlignment="0" applyProtection="0"/>
    <xf numFmtId="0" fontId="134" fillId="0" borderId="5" applyBorder="0"/>
    <xf numFmtId="0" fontId="39" fillId="67" borderId="0" applyNumberFormat="0" applyBorder="0" applyAlignment="0" applyProtection="0"/>
    <xf numFmtId="176" fontId="39" fillId="67" borderId="0" applyNumberFormat="0" applyBorder="0" applyAlignment="0" applyProtection="0"/>
    <xf numFmtId="176" fontId="39" fillId="67" borderId="0" applyNumberFormat="0" applyBorder="0" applyAlignment="0" applyProtection="0"/>
    <xf numFmtId="0" fontId="39" fillId="69" borderId="0" applyNumberFormat="0" applyBorder="0" applyAlignment="0" applyProtection="0"/>
    <xf numFmtId="176" fontId="39" fillId="69" borderId="0" applyNumberFormat="0" applyBorder="0" applyAlignment="0" applyProtection="0"/>
    <xf numFmtId="176" fontId="39" fillId="69" borderId="0" applyNumberFormat="0" applyBorder="0" applyAlignment="0" applyProtection="0"/>
    <xf numFmtId="0" fontId="39" fillId="70" borderId="0" applyNumberFormat="0" applyBorder="0" applyAlignment="0" applyProtection="0"/>
    <xf numFmtId="176" fontId="39" fillId="70" borderId="0" applyNumberFormat="0" applyBorder="0" applyAlignment="0" applyProtection="0"/>
    <xf numFmtId="176" fontId="39" fillId="70" borderId="0" applyNumberFormat="0" applyBorder="0" applyAlignment="0" applyProtection="0"/>
    <xf numFmtId="0" fontId="39" fillId="64" borderId="0" applyNumberFormat="0" applyBorder="0" applyAlignment="0" applyProtection="0"/>
    <xf numFmtId="176" fontId="39" fillId="64" borderId="0" applyNumberFormat="0" applyBorder="0" applyAlignment="0" applyProtection="0"/>
    <xf numFmtId="176" fontId="39" fillId="64" borderId="0" applyNumberFormat="0" applyBorder="0" applyAlignment="0" applyProtection="0"/>
    <xf numFmtId="176" fontId="39" fillId="65" borderId="0" applyNumberFormat="0" applyBorder="0" applyAlignment="0" applyProtection="0"/>
    <xf numFmtId="176" fontId="39" fillId="65" borderId="0" applyNumberFormat="0" applyBorder="0" applyAlignment="0" applyProtection="0"/>
    <xf numFmtId="0" fontId="39" fillId="63" borderId="0" applyNumberFormat="0" applyBorder="0" applyAlignment="0" applyProtection="0"/>
    <xf numFmtId="176" fontId="39" fillId="63" borderId="0" applyNumberFormat="0" applyBorder="0" applyAlignment="0" applyProtection="0"/>
    <xf numFmtId="176" fontId="39" fillId="63" borderId="0" applyNumberFormat="0" applyBorder="0" applyAlignment="0" applyProtection="0"/>
    <xf numFmtId="0" fontId="42" fillId="52" borderId="0" applyNumberFormat="0" applyBorder="0" applyAlignment="0" applyProtection="0"/>
    <xf numFmtId="176" fontId="42" fillId="52" borderId="0" applyNumberFormat="0" applyBorder="0" applyAlignment="0" applyProtection="0"/>
    <xf numFmtId="165" fontId="135" fillId="0" borderId="49"/>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1" fontId="47" fillId="23" borderId="27"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1" fontId="47" fillId="23" borderId="27"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6" fillId="23" borderId="27" applyNumberFormat="0" applyAlignment="0" applyProtection="0"/>
    <xf numFmtId="173" fontId="136" fillId="81" borderId="59" applyNumberFormat="0" applyAlignment="0" applyProtection="0"/>
    <xf numFmtId="0" fontId="46" fillId="23" borderId="27"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3" fontId="136" fillId="81" borderId="59" applyNumberFormat="0" applyAlignment="0" applyProtection="0"/>
    <xf numFmtId="176" fontId="45" fillId="72" borderId="59" applyNumberFormat="0" applyAlignment="0" applyProtection="0"/>
    <xf numFmtId="0" fontId="48" fillId="73" borderId="59" applyNumberFormat="0" applyAlignment="0" applyProtection="0"/>
    <xf numFmtId="173" fontId="136" fillId="81"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5" fillId="72"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0" fontId="48" fillId="73" borderId="59" applyNumberFormat="0" applyAlignment="0" applyProtection="0"/>
    <xf numFmtId="176" fontId="49" fillId="74" borderId="34" applyNumberFormat="0" applyAlignment="0" applyProtection="0"/>
    <xf numFmtId="198" fontId="137" fillId="0" borderId="4" applyBorder="0">
      <alignment horizontal="center" vertical="center"/>
    </xf>
    <xf numFmtId="199" fontId="138" fillId="82" borderId="0">
      <alignment horizontal="left"/>
    </xf>
    <xf numFmtId="0" fontId="138" fillId="82" borderId="0">
      <alignment horizontal="left"/>
    </xf>
    <xf numFmtId="0" fontId="138" fillId="82" borderId="0">
      <alignment horizontal="left"/>
    </xf>
    <xf numFmtId="199" fontId="138" fillId="82" borderId="0">
      <alignment horizontal="left"/>
    </xf>
    <xf numFmtId="173" fontId="138" fillId="82" borderId="0">
      <alignment horizontal="left"/>
    </xf>
    <xf numFmtId="199" fontId="139" fillId="82" borderId="0">
      <alignment horizontal="right"/>
    </xf>
    <xf numFmtId="0" fontId="139" fillId="82" borderId="0">
      <alignment horizontal="right"/>
    </xf>
    <xf numFmtId="0" fontId="139" fillId="82" borderId="0">
      <alignment horizontal="right"/>
    </xf>
    <xf numFmtId="199" fontId="139" fillId="82" borderId="0">
      <alignment horizontal="right"/>
    </xf>
    <xf numFmtId="173" fontId="139" fillId="82" borderId="0">
      <alignment horizontal="right"/>
    </xf>
    <xf numFmtId="199" fontId="140" fillId="73" borderId="0">
      <alignment horizontal="center"/>
    </xf>
    <xf numFmtId="0" fontId="140" fillId="73" borderId="0">
      <alignment horizontal="center"/>
    </xf>
    <xf numFmtId="0" fontId="140" fillId="73" borderId="0">
      <alignment horizontal="center"/>
    </xf>
    <xf numFmtId="199" fontId="140" fillId="73" borderId="0">
      <alignment horizontal="center"/>
    </xf>
    <xf numFmtId="173" fontId="140" fillId="73" borderId="0">
      <alignment horizontal="center"/>
    </xf>
    <xf numFmtId="199" fontId="139" fillId="82" borderId="0">
      <alignment horizontal="right"/>
    </xf>
    <xf numFmtId="0" fontId="139" fillId="82" borderId="0">
      <alignment horizontal="right"/>
    </xf>
    <xf numFmtId="0" fontId="139" fillId="82" borderId="0">
      <alignment horizontal="right"/>
    </xf>
    <xf numFmtId="199" fontId="139" fillId="82" borderId="0">
      <alignment horizontal="right"/>
    </xf>
    <xf numFmtId="173" fontId="139" fillId="82" borderId="0">
      <alignment horizontal="right"/>
    </xf>
    <xf numFmtId="199" fontId="141" fillId="73" borderId="0">
      <alignment horizontal="left"/>
    </xf>
    <xf numFmtId="0" fontId="141" fillId="73" borderId="0">
      <alignment horizontal="left"/>
    </xf>
    <xf numFmtId="199" fontId="141" fillId="73" borderId="0">
      <alignment horizontal="left"/>
    </xf>
    <xf numFmtId="173" fontId="141" fillId="73" borderId="0">
      <alignment horizontal="left"/>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3" fontId="145"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83" borderId="0"/>
    <xf numFmtId="3" fontId="10" fillId="0" borderId="0" applyFont="0" applyFill="0" applyBorder="0" applyAlignment="0" applyProtection="0"/>
    <xf numFmtId="3" fontId="10" fillId="83" borderId="0"/>
    <xf numFmtId="3" fontId="10" fillId="0" borderId="0" applyFont="0" applyFill="0" applyBorder="0" applyAlignment="0" applyProtection="0"/>
    <xf numFmtId="3" fontId="145" fillId="0" borderId="0" applyFont="0" applyFill="0" applyBorder="0" applyAlignment="0" applyProtection="0"/>
    <xf numFmtId="3" fontId="10" fillId="0" borderId="0" applyFont="0" applyFill="0" applyBorder="0" applyAlignment="0" applyProtection="0"/>
    <xf numFmtId="3" fontId="10" fillId="83" borderId="0"/>
    <xf numFmtId="3" fontId="10" fillId="83" borderId="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43"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4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0" fontId="146" fillId="0" borderId="0"/>
    <xf numFmtId="0" fontId="146" fillId="0" borderId="60"/>
    <xf numFmtId="173"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3"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59" borderId="61" applyNumberFormat="0" applyFont="0" applyAlignment="0">
      <protection locked="0"/>
    </xf>
    <xf numFmtId="0" fontId="10" fillId="59" borderId="61" applyNumberFormat="0" applyFont="0" applyAlignment="0">
      <protection locked="0"/>
    </xf>
    <xf numFmtId="200" fontId="10" fillId="0" borderId="0" applyFont="0" applyFill="0" applyBorder="0" applyAlignment="0" applyProtection="0"/>
    <xf numFmtId="200" fontId="10" fillId="0" borderId="0" applyFont="0" applyFill="0" applyBorder="0" applyAlignment="0" applyProtection="0"/>
    <xf numFmtId="17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17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176" fontId="52" fillId="0" borderId="0" applyNumberFormat="0" applyFill="0" applyBorder="0" applyAlignment="0" applyProtection="0"/>
    <xf numFmtId="0" fontId="55" fillId="0" borderId="0" applyProtection="0"/>
    <xf numFmtId="0" fontId="55" fillId="0" borderId="0" applyProtection="0"/>
    <xf numFmtId="171" fontId="55" fillId="0" borderId="0" applyProtection="0"/>
    <xf numFmtId="171" fontId="55" fillId="0" borderId="0" applyProtection="0"/>
    <xf numFmtId="0" fontId="55" fillId="0" borderId="0" applyProtection="0"/>
    <xf numFmtId="0" fontId="11" fillId="0" borderId="0" applyProtection="0"/>
    <xf numFmtId="0" fontId="11" fillId="0" borderId="0" applyProtection="0"/>
    <xf numFmtId="171" fontId="11" fillId="0" borderId="0" applyProtection="0"/>
    <xf numFmtId="171" fontId="11" fillId="0" borderId="0" applyProtection="0"/>
    <xf numFmtId="0" fontId="11" fillId="0" borderId="0" applyProtection="0"/>
    <xf numFmtId="0" fontId="56" fillId="0" borderId="0" applyProtection="0"/>
    <xf numFmtId="0" fontId="56" fillId="0" borderId="0" applyProtection="0"/>
    <xf numFmtId="171" fontId="56" fillId="0" borderId="0" applyProtection="0"/>
    <xf numFmtId="171" fontId="56" fillId="0" borderId="0" applyProtection="0"/>
    <xf numFmtId="0" fontId="56" fillId="0" borderId="0" applyProtection="0"/>
    <xf numFmtId="0" fontId="57" fillId="0" borderId="0" applyProtection="0"/>
    <xf numFmtId="0" fontId="57" fillId="0" borderId="0" applyProtection="0"/>
    <xf numFmtId="171" fontId="57" fillId="0" borderId="0" applyProtection="0"/>
    <xf numFmtId="171" fontId="57" fillId="0" borderId="0" applyProtection="0"/>
    <xf numFmtId="0" fontId="57" fillId="0" borderId="0" applyProtection="0"/>
    <xf numFmtId="0" fontId="10" fillId="0" borderId="0" applyProtection="0"/>
    <xf numFmtId="0" fontId="10" fillId="0" borderId="0" applyProtection="0"/>
    <xf numFmtId="0" fontId="10" fillId="0" borderId="0" applyProtection="0"/>
    <xf numFmtId="173" fontId="10" fillId="0" borderId="0" applyProtection="0"/>
    <xf numFmtId="0" fontId="10" fillId="0" borderId="0" applyProtection="0"/>
    <xf numFmtId="0" fontId="10" fillId="0" borderId="0" applyProtection="0"/>
    <xf numFmtId="171" fontId="10" fillId="0" borderId="0" applyProtection="0"/>
    <xf numFmtId="171" fontId="10" fillId="0" borderId="0" applyProtection="0"/>
    <xf numFmtId="0" fontId="10" fillId="0" borderId="0" applyProtection="0"/>
    <xf numFmtId="0" fontId="55" fillId="0" borderId="0" applyProtection="0"/>
    <xf numFmtId="0" fontId="55" fillId="0" borderId="0" applyProtection="0"/>
    <xf numFmtId="171" fontId="55" fillId="0" borderId="0" applyProtection="0"/>
    <xf numFmtId="171" fontId="55" fillId="0" borderId="0" applyProtection="0"/>
    <xf numFmtId="0" fontId="55" fillId="0" borderId="0" applyProtection="0"/>
    <xf numFmtId="0" fontId="58" fillId="0" borderId="0" applyProtection="0"/>
    <xf numFmtId="0" fontId="58" fillId="0" borderId="0" applyProtection="0"/>
    <xf numFmtId="171" fontId="58" fillId="0" borderId="0" applyProtection="0"/>
    <xf numFmtId="171" fontId="58" fillId="0" borderId="0" applyProtection="0"/>
    <xf numFmtId="0" fontId="58" fillId="0" borderId="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0" fontId="59" fillId="54" borderId="0" applyNumberFormat="0" applyBorder="0" applyAlignment="0" applyProtection="0"/>
    <xf numFmtId="176" fontId="59" fillId="54" borderId="0" applyNumberFormat="0" applyBorder="0" applyAlignment="0" applyProtection="0"/>
    <xf numFmtId="0" fontId="65" fillId="0" borderId="0" applyNumberFormat="0" applyFill="0" applyBorder="0" applyAlignment="0" applyProtection="0"/>
    <xf numFmtId="199" fontId="147" fillId="0" borderId="0" applyNumberFormat="0" applyFont="0" applyFill="0" applyAlignment="0" applyProtection="0"/>
    <xf numFmtId="0" fontId="62" fillId="0" borderId="35" applyNumberFormat="0" applyFill="0" applyAlignment="0" applyProtection="0"/>
    <xf numFmtId="173" fontId="148" fillId="0" borderId="62" applyNumberFormat="0" applyFill="0" applyAlignment="0" applyProtection="0"/>
    <xf numFmtId="0" fontId="65" fillId="0" borderId="0" applyNumberFormat="0" applyFill="0" applyBorder="0" applyAlignment="0" applyProtection="0"/>
    <xf numFmtId="0" fontId="69" fillId="0" borderId="0" applyNumberFormat="0" applyFill="0" applyBorder="0" applyAlignment="0" applyProtection="0"/>
    <xf numFmtId="199" fontId="57" fillId="0" borderId="0" applyNumberFormat="0" applyFont="0" applyFill="0" applyAlignment="0" applyProtection="0"/>
    <xf numFmtId="0" fontId="66" fillId="0" borderId="37" applyNumberFormat="0" applyFill="0" applyAlignment="0" applyProtection="0"/>
    <xf numFmtId="173" fontId="149" fillId="0" borderId="63" applyNumberFormat="0" applyFill="0" applyAlignment="0" applyProtection="0"/>
    <xf numFmtId="0" fontId="69" fillId="0" borderId="0" applyNumberFormat="0" applyFill="0" applyBorder="0" applyAlignment="0" applyProtection="0"/>
    <xf numFmtId="0" fontId="70" fillId="0" borderId="64" applyNumberFormat="0" applyFill="0" applyAlignment="0" applyProtection="0"/>
    <xf numFmtId="176" fontId="70" fillId="0" borderId="64" applyNumberFormat="0" applyFill="0" applyAlignment="0" applyProtection="0"/>
    <xf numFmtId="176" fontId="70" fillId="0" borderId="64" applyNumberFormat="0" applyFill="0" applyAlignment="0" applyProtection="0"/>
    <xf numFmtId="176" fontId="70" fillId="0" borderId="64" applyNumberFormat="0" applyFill="0" applyAlignment="0" applyProtection="0"/>
    <xf numFmtId="0" fontId="70" fillId="0" borderId="0" applyNumberFormat="0" applyFill="0" applyBorder="0" applyAlignment="0" applyProtection="0"/>
    <xf numFmtId="176" fontId="70" fillId="0" borderId="0" applyNumberFormat="0" applyFill="0" applyBorder="0" applyAlignment="0" applyProtection="0"/>
    <xf numFmtId="199" fontId="150" fillId="0" borderId="0" applyNumberFormat="0" applyFill="0" applyBorder="0" applyAlignment="0" applyProtection="0">
      <alignment vertical="top"/>
      <protection locked="0"/>
    </xf>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1" fontId="75" fillId="22" borderId="27"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1" fontId="75" fillId="22" borderId="27"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4" fillId="22" borderId="27" applyNumberFormat="0" applyAlignment="0" applyProtection="0"/>
    <xf numFmtId="173" fontId="151" fillId="57" borderId="59" applyNumberFormat="0" applyAlignment="0" applyProtection="0"/>
    <xf numFmtId="0" fontId="74" fillId="22" borderId="27"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3" fontId="151" fillId="57" borderId="59" applyNumberFormat="0" applyAlignment="0" applyProtection="0"/>
    <xf numFmtId="176" fontId="73" fillId="57" borderId="59" applyNumberFormat="0" applyAlignment="0" applyProtection="0"/>
    <xf numFmtId="0" fontId="73" fillId="60" borderId="59" applyNumberFormat="0" applyAlignment="0" applyProtection="0"/>
    <xf numFmtId="173" fontId="151"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176"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57"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73" fillId="60" borderId="59" applyNumberFormat="0" applyAlignment="0" applyProtection="0"/>
    <xf numFmtId="0" fontId="152" fillId="84" borderId="60"/>
    <xf numFmtId="199" fontId="138" fillId="82" borderId="0">
      <alignment horizontal="left"/>
    </xf>
    <xf numFmtId="0" fontId="138" fillId="82" borderId="0">
      <alignment horizontal="left"/>
    </xf>
    <xf numFmtId="0" fontId="138" fillId="82" borderId="0">
      <alignment horizontal="left"/>
    </xf>
    <xf numFmtId="199" fontId="138" fillId="82" borderId="0">
      <alignment horizontal="left"/>
    </xf>
    <xf numFmtId="173" fontId="138" fillId="82" borderId="0">
      <alignment horizontal="left"/>
    </xf>
    <xf numFmtId="199" fontId="91" fillId="73" borderId="0">
      <alignment horizontal="left"/>
    </xf>
    <xf numFmtId="0" fontId="91" fillId="73" borderId="0">
      <alignment horizontal="left"/>
    </xf>
    <xf numFmtId="0" fontId="91" fillId="73" borderId="0">
      <alignment horizontal="left"/>
    </xf>
    <xf numFmtId="199" fontId="91" fillId="73" borderId="0">
      <alignment horizontal="left"/>
    </xf>
    <xf numFmtId="0" fontId="91" fillId="73" borderId="0">
      <alignment horizontal="left"/>
    </xf>
    <xf numFmtId="173" fontId="91" fillId="73" borderId="0">
      <alignment horizontal="left"/>
    </xf>
    <xf numFmtId="0" fontId="76" fillId="0" borderId="41" applyNumberFormat="0" applyFill="0" applyAlignment="0" applyProtection="0"/>
    <xf numFmtId="176" fontId="76" fillId="0" borderId="41" applyNumberFormat="0" applyFill="0" applyAlignment="0" applyProtection="0"/>
    <xf numFmtId="202" fontId="10" fillId="0" borderId="0" applyFont="0" applyFill="0" applyBorder="0" applyAlignment="0" applyProtection="0"/>
    <xf numFmtId="203" fontId="10" fillId="0" borderId="0" applyFont="0" applyFill="0" applyBorder="0" applyAlignment="0" applyProtection="0"/>
    <xf numFmtId="204" fontId="10" fillId="0" borderId="0" applyFont="0" applyFill="0" applyBorder="0" applyAlignment="0" applyProtection="0"/>
    <xf numFmtId="205" fontId="10" fillId="0" borderId="0" applyFont="0" applyFill="0" applyBorder="0" applyAlignment="0" applyProtection="0"/>
    <xf numFmtId="0" fontId="80" fillId="60" borderId="0" applyNumberFormat="0" applyBorder="0" applyAlignment="0" applyProtection="0"/>
    <xf numFmtId="176" fontId="80" fillId="60" borderId="0" applyNumberFormat="0" applyBorder="0" applyAlignment="0" applyProtection="0"/>
    <xf numFmtId="206" fontId="10"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xf numFmtId="173"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176" fontId="10" fillId="0" borderId="0"/>
    <xf numFmtId="0" fontId="1" fillId="0" borderId="0"/>
    <xf numFmtId="0" fontId="1" fillId="0" borderId="0"/>
    <xf numFmtId="176" fontId="10" fillId="0" borderId="0"/>
    <xf numFmtId="176" fontId="10" fillId="0" borderId="0"/>
    <xf numFmtId="0" fontId="143" fillId="0" borderId="0"/>
    <xf numFmtId="0" fontId="143" fillId="0" borderId="0"/>
    <xf numFmtId="199" fontId="10" fillId="0" borderId="0"/>
    <xf numFmtId="0" fontId="143" fillId="0" borderId="0"/>
    <xf numFmtId="17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0" fontId="10" fillId="0" borderId="0"/>
    <xf numFmtId="176"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43" fillId="0" borderId="0"/>
    <xf numFmtId="173" fontId="10" fillId="0" borderId="0"/>
    <xf numFmtId="176" fontId="10" fillId="0" borderId="0"/>
    <xf numFmtId="0" fontId="10"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76" fontId="10" fillId="0" borderId="0"/>
    <xf numFmtId="176" fontId="10" fillId="0" borderId="0"/>
    <xf numFmtId="176" fontId="10" fillId="0" borderId="0"/>
    <xf numFmtId="0" fontId="10" fillId="0" borderId="0"/>
    <xf numFmtId="176" fontId="10" fillId="0" borderId="0"/>
    <xf numFmtId="176" fontId="10" fillId="0" borderId="0"/>
    <xf numFmtId="176" fontId="10" fillId="0" borderId="0"/>
    <xf numFmtId="176" fontId="10" fillId="0" borderId="0"/>
    <xf numFmtId="176"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176" fontId="10" fillId="0" borderId="0"/>
    <xf numFmtId="176" fontId="10" fillId="0" borderId="0"/>
    <xf numFmtId="199"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176"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0" fillId="0" borderId="0"/>
    <xf numFmtId="176" fontId="10" fillId="0" borderId="0"/>
    <xf numFmtId="0" fontId="36" fillId="0" borderId="0"/>
    <xf numFmtId="0" fontId="10" fillId="0" borderId="0"/>
    <xf numFmtId="0" fontId="10"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176" fontId="10" fillId="0" borderId="0"/>
    <xf numFmtId="0" fontId="38" fillId="0" borderId="0"/>
    <xf numFmtId="0" fontId="1" fillId="0" borderId="0"/>
    <xf numFmtId="0" fontId="1" fillId="0" borderId="0"/>
    <xf numFmtId="0" fontId="1" fillId="0" borderId="0"/>
    <xf numFmtId="176" fontId="84" fillId="0" borderId="0"/>
    <xf numFmtId="176" fontId="10" fillId="0" borderId="0"/>
    <xf numFmtId="0" fontId="1" fillId="0" borderId="0"/>
    <xf numFmtId="0" fontId="1" fillId="0" borderId="0"/>
    <xf numFmtId="0" fontId="1" fillId="0" borderId="0"/>
    <xf numFmtId="176" fontId="84" fillId="0" borderId="0"/>
    <xf numFmtId="176" fontId="84" fillId="0" borderId="0"/>
    <xf numFmtId="176" fontId="84"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0" fillId="0" borderId="0"/>
    <xf numFmtId="37" fontId="153" fillId="0" borderId="0"/>
    <xf numFmtId="0" fontId="1" fillId="0" borderId="0"/>
    <xf numFmtId="0" fontId="1"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37" fontId="153" fillId="0" borderId="0"/>
    <xf numFmtId="0" fontId="1" fillId="0" borderId="0"/>
    <xf numFmtId="0" fontId="1" fillId="0" borderId="0"/>
    <xf numFmtId="0" fontId="10" fillId="0" borderId="0"/>
    <xf numFmtId="0" fontId="1" fillId="0" borderId="0"/>
    <xf numFmtId="0" fontId="1" fillId="0" borderId="0"/>
    <xf numFmtId="37" fontId="153"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43" fillId="0" borderId="0"/>
    <xf numFmtId="0" fontId="143" fillId="0" borderId="0"/>
    <xf numFmtId="0" fontId="1" fillId="0" borderId="0"/>
    <xf numFmtId="207" fontId="10" fillId="0" borderId="0"/>
    <xf numFmtId="0" fontId="1" fillId="0" borderId="0"/>
    <xf numFmtId="0" fontId="1" fillId="0" borderId="0"/>
    <xf numFmtId="37" fontId="153"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0" fillId="0" borderId="0"/>
    <xf numFmtId="207" fontId="1" fillId="0" borderId="0"/>
    <xf numFmtId="176" fontId="1" fillId="0" borderId="0"/>
    <xf numFmtId="176" fontId="1" fillId="0" borderId="0"/>
    <xf numFmtId="207" fontId="1" fillId="0" borderId="0"/>
    <xf numFmtId="176" fontId="1" fillId="0" borderId="0"/>
    <xf numFmtId="207" fontId="1" fillId="0" borderId="0"/>
    <xf numFmtId="207"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207"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176" fontId="1" fillId="0" borderId="0"/>
    <xf numFmtId="207" fontId="1" fillId="0" borderId="0"/>
    <xf numFmtId="176" fontId="1" fillId="0" borderId="0"/>
    <xf numFmtId="207"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207"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207" fontId="1" fillId="0" borderId="0"/>
    <xf numFmtId="207" fontId="1" fillId="0" borderId="0"/>
    <xf numFmtId="207" fontId="1" fillId="0" borderId="0"/>
    <xf numFmtId="207" fontId="1" fillId="0" borderId="0"/>
    <xf numFmtId="207" fontId="1" fillId="0" borderId="0"/>
    <xf numFmtId="207" fontId="1" fillId="0" borderId="0"/>
    <xf numFmtId="207" fontId="1" fillId="0" borderId="0"/>
    <xf numFmtId="207" fontId="1" fillId="0" borderId="0"/>
    <xf numFmtId="176" fontId="10" fillId="0" borderId="0"/>
    <xf numFmtId="207" fontId="1" fillId="0" borderId="0"/>
    <xf numFmtId="207" fontId="1" fillId="0" borderId="0"/>
    <xf numFmtId="207" fontId="1" fillId="0" borderId="0"/>
    <xf numFmtId="207" fontId="1" fillId="0" borderId="0"/>
    <xf numFmtId="207" fontId="1" fillId="0" borderId="0"/>
    <xf numFmtId="207" fontId="1" fillId="0" borderId="0"/>
    <xf numFmtId="207" fontId="1" fillId="0" borderId="0"/>
    <xf numFmtId="171" fontId="38" fillId="0" borderId="0"/>
    <xf numFmtId="207" fontId="1" fillId="0" borderId="0"/>
    <xf numFmtId="207" fontId="1" fillId="0" borderId="0"/>
    <xf numFmtId="207" fontId="1" fillId="0" borderId="0"/>
    <xf numFmtId="207" fontId="1" fillId="0" borderId="0"/>
    <xf numFmtId="0" fontId="1" fillId="0" borderId="0"/>
    <xf numFmtId="207" fontId="1" fillId="0" borderId="0"/>
    <xf numFmtId="0" fontId="1" fillId="0" borderId="0"/>
    <xf numFmtId="207" fontId="1" fillId="0" borderId="0"/>
    <xf numFmtId="207" fontId="1" fillId="0" borderId="0"/>
    <xf numFmtId="0" fontId="1" fillId="0" borderId="0"/>
    <xf numFmtId="207" fontId="1" fillId="0" borderId="0"/>
    <xf numFmtId="0" fontId="1" fillId="0" borderId="0"/>
    <xf numFmtId="0" fontId="1" fillId="0" borderId="0"/>
    <xf numFmtId="0" fontId="10" fillId="0" borderId="0"/>
    <xf numFmtId="207" fontId="1" fillId="0" borderId="0"/>
    <xf numFmtId="207" fontId="1" fillId="0" borderId="0"/>
    <xf numFmtId="207" fontId="1" fillId="0" borderId="0"/>
    <xf numFmtId="0" fontId="1" fillId="0" borderId="0"/>
    <xf numFmtId="207" fontId="1" fillId="0" borderId="0"/>
    <xf numFmtId="176" fontId="10" fillId="0" borderId="0"/>
    <xf numFmtId="207" fontId="1" fillId="0" borderId="0"/>
    <xf numFmtId="207" fontId="1" fillId="0" borderId="0"/>
    <xf numFmtId="0" fontId="1" fillId="0" borderId="0"/>
    <xf numFmtId="207" fontId="1" fillId="0" borderId="0"/>
    <xf numFmtId="0" fontId="1" fillId="0" borderId="0"/>
    <xf numFmtId="207" fontId="1" fillId="0" borderId="0"/>
    <xf numFmtId="0" fontId="1"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0" fillId="0" borderId="0"/>
    <xf numFmtId="173" fontId="1" fillId="0" borderId="0"/>
    <xf numFmtId="171" fontId="38"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6" fontId="1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1" fontId="38"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0" fillId="0" borderId="0"/>
    <xf numFmtId="173" fontId="1" fillId="0" borderId="0"/>
    <xf numFmtId="171" fontId="38"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0" fontId="1" fillId="0" borderId="0"/>
    <xf numFmtId="173" fontId="1" fillId="0" borderId="0"/>
    <xf numFmtId="173" fontId="1"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3" fillId="0" borderId="0"/>
    <xf numFmtId="0" fontId="143" fillId="0" borderId="0"/>
    <xf numFmtId="0" fontId="10" fillId="0" borderId="0"/>
    <xf numFmtId="0" fontId="10" fillId="0" borderId="0"/>
    <xf numFmtId="0" fontId="10" fillId="0" borderId="0"/>
    <xf numFmtId="0" fontId="10" fillId="0" borderId="0"/>
    <xf numFmtId="0" fontId="143"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43" fillId="0" borderId="0"/>
    <xf numFmtId="37" fontId="153" fillId="0" borderId="0"/>
    <xf numFmtId="37" fontId="153" fillId="0" borderId="0"/>
    <xf numFmtId="0" fontId="10" fillId="0" borderId="0"/>
    <xf numFmtId="0" fontId="10" fillId="0" borderId="0"/>
    <xf numFmtId="0" fontId="143" fillId="0" borderId="0"/>
    <xf numFmtId="0" fontId="143" fillId="0" borderId="0"/>
    <xf numFmtId="0" fontId="143" fillId="0" borderId="0"/>
    <xf numFmtId="37"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53" fillId="0" borderId="0"/>
    <xf numFmtId="37" fontId="15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0"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25" borderId="31" applyNumberFormat="0" applyFont="0" applyAlignment="0" applyProtection="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0" borderId="0"/>
    <xf numFmtId="0" fontId="1" fillId="0" borderId="0"/>
    <xf numFmtId="0" fontId="1" fillId="0" borderId="0"/>
    <xf numFmtId="0" fontId="1" fillId="25" borderId="31" applyNumberFormat="0" applyFont="0" applyAlignment="0" applyProtection="0"/>
    <xf numFmtId="0" fontId="1" fillId="25" borderId="31" applyNumberFormat="0" applyFont="0" applyAlignment="0" applyProtection="0"/>
    <xf numFmtId="0" fontId="1" fillId="0" borderId="0"/>
    <xf numFmtId="0" fontId="1" fillId="0" borderId="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25" borderId="31"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1" fillId="0" borderId="0"/>
    <xf numFmtId="0" fontId="1" fillId="0" borderId="0"/>
    <xf numFmtId="0" fontId="1" fillId="25" borderId="31" applyNumberFormat="0" applyFont="0" applyAlignment="0" applyProtection="0"/>
    <xf numFmtId="0" fontId="1" fillId="0" borderId="0"/>
    <xf numFmtId="0" fontId="1" fillId="25" borderId="31"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1" fillId="55" borderId="65" applyNumberFormat="0" applyFont="0" applyAlignment="0" applyProtection="0"/>
    <xf numFmtId="0" fontId="1" fillId="0" borderId="0"/>
    <xf numFmtId="0" fontId="1" fillId="0" borderId="0"/>
    <xf numFmtId="0" fontId="1" fillId="25" borderId="31" applyNumberFormat="0" applyFont="0" applyAlignment="0" applyProtection="0"/>
    <xf numFmtId="0" fontId="36" fillId="55" borderId="65"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1" fillId="0" borderId="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1"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1" fillId="0" borderId="0"/>
    <xf numFmtId="0" fontId="1" fillId="0" borderId="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6" fontId="8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171" fontId="86" fillId="25" borderId="31"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86" fillId="55" borderId="65"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1" fillId="0" borderId="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36" fillId="55" borderId="65" applyNumberFormat="0" applyFont="0" applyAlignment="0" applyProtection="0"/>
    <xf numFmtId="0" fontId="87" fillId="72" borderId="66" applyNumberFormat="0" applyAlignment="0" applyProtection="0"/>
    <xf numFmtId="0" fontId="87" fillId="73" borderId="66" applyNumberFormat="0" applyAlignment="0" applyProtection="0"/>
    <xf numFmtId="0" fontId="87" fillId="73" borderId="66" applyNumberFormat="0" applyAlignment="0" applyProtection="0"/>
    <xf numFmtId="0" fontId="87" fillId="73" borderId="66" applyNumberFormat="0" applyAlignment="0" applyProtection="0"/>
    <xf numFmtId="0" fontId="87" fillId="73" borderId="66" applyNumberFormat="0" applyAlignment="0" applyProtection="0"/>
    <xf numFmtId="0" fontId="1" fillId="0" borderId="0"/>
    <xf numFmtId="176" fontId="87" fillId="72" borderId="66" applyNumberFormat="0" applyAlignment="0" applyProtection="0"/>
    <xf numFmtId="208" fontId="85" fillId="73" borderId="0">
      <alignment horizontal="right"/>
    </xf>
    <xf numFmtId="4" fontId="85" fillId="75" borderId="0">
      <alignment horizontal="right"/>
    </xf>
    <xf numFmtId="40" fontId="154" fillId="75" borderId="0">
      <alignment horizontal="right"/>
    </xf>
    <xf numFmtId="40" fontId="154" fillId="75" borderId="0">
      <alignment horizontal="right"/>
    </xf>
    <xf numFmtId="208" fontId="85" fillId="73" borderId="0">
      <alignment horizontal="right"/>
    </xf>
    <xf numFmtId="208" fontId="85" fillId="73" borderId="0">
      <alignment horizontal="right"/>
    </xf>
    <xf numFmtId="208" fontId="85" fillId="73" borderId="0">
      <alignment horizontal="right"/>
    </xf>
    <xf numFmtId="40" fontId="154" fillId="75" borderId="0">
      <alignment horizontal="right"/>
    </xf>
    <xf numFmtId="4" fontId="85" fillId="75" borderId="0">
      <alignment horizontal="right"/>
    </xf>
    <xf numFmtId="40" fontId="154" fillId="75" borderId="0">
      <alignment horizontal="right"/>
    </xf>
    <xf numFmtId="40" fontId="154" fillId="75"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208" fontId="85" fillId="73"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4" fontId="85" fillId="75" borderId="0">
      <alignment horizontal="right"/>
    </xf>
    <xf numFmtId="0" fontId="1" fillId="0" borderId="0"/>
    <xf numFmtId="208" fontId="85" fillId="73" borderId="0">
      <alignment horizontal="right"/>
    </xf>
    <xf numFmtId="208" fontId="85" fillId="73" borderId="0">
      <alignment horizontal="right"/>
    </xf>
    <xf numFmtId="208" fontId="85" fillId="73" borderId="0">
      <alignment horizontal="right"/>
    </xf>
    <xf numFmtId="208" fontId="85" fillId="73" borderId="0">
      <alignment horizontal="right"/>
    </xf>
    <xf numFmtId="208" fontId="85" fillId="73" borderId="0">
      <alignment horizontal="right"/>
    </xf>
    <xf numFmtId="40" fontId="154" fillId="75" borderId="0">
      <alignment horizontal="right"/>
    </xf>
    <xf numFmtId="0" fontId="90" fillId="84" borderId="0">
      <alignment horizontal="center"/>
    </xf>
    <xf numFmtId="0" fontId="90" fillId="84" borderId="0">
      <alignment horizontal="center"/>
    </xf>
    <xf numFmtId="199" fontId="90" fillId="84" borderId="0">
      <alignment horizontal="center"/>
    </xf>
    <xf numFmtId="0" fontId="90" fillId="75" borderId="0">
      <alignment horizontal="center" vertical="center"/>
    </xf>
    <xf numFmtId="0" fontId="1" fillId="0" borderId="0"/>
    <xf numFmtId="0" fontId="90" fillId="84" borderId="0">
      <alignment horizontal="center"/>
    </xf>
    <xf numFmtId="0" fontId="155" fillId="75" borderId="0">
      <alignment horizontal="right"/>
    </xf>
    <xf numFmtId="0" fontId="155" fillId="75" borderId="0">
      <alignment horizontal="right"/>
    </xf>
    <xf numFmtId="0" fontId="155" fillId="75" borderId="0">
      <alignment horizontal="right"/>
    </xf>
    <xf numFmtId="0" fontId="155" fillId="75" borderId="0">
      <alignment horizontal="right"/>
    </xf>
    <xf numFmtId="0" fontId="155" fillId="75" borderId="0">
      <alignment horizontal="right"/>
    </xf>
    <xf numFmtId="0" fontId="90" fillId="84" borderId="0">
      <alignment horizontal="center"/>
    </xf>
    <xf numFmtId="199" fontId="90" fillId="84" borderId="0">
      <alignment horizontal="center"/>
    </xf>
    <xf numFmtId="0" fontId="155" fillId="75" borderId="0">
      <alignment horizontal="right"/>
    </xf>
    <xf numFmtId="0" fontId="155" fillId="75" borderId="0">
      <alignment horizontal="right"/>
    </xf>
    <xf numFmtId="0" fontId="90" fillId="75" borderId="0">
      <alignment horizontal="center" vertical="center"/>
    </xf>
    <xf numFmtId="0" fontId="90" fillId="75" borderId="0">
      <alignment horizontal="center" vertical="center"/>
    </xf>
    <xf numFmtId="171" fontId="90" fillId="75" borderId="0">
      <alignment horizontal="center" vertical="center"/>
    </xf>
    <xf numFmtId="171" fontId="90" fillId="75" borderId="0">
      <alignment horizontal="center" vertical="center"/>
    </xf>
    <xf numFmtId="0" fontId="155" fillId="75" borderId="0">
      <alignment horizontal="right"/>
    </xf>
    <xf numFmtId="0" fontId="138" fillId="85" borderId="0"/>
    <xf numFmtId="0" fontId="138" fillId="85" borderId="0"/>
    <xf numFmtId="199" fontId="138" fillId="85" borderId="0"/>
    <xf numFmtId="0" fontId="91" fillId="75" borderId="4"/>
    <xf numFmtId="0" fontId="91" fillId="75" borderId="4"/>
    <xf numFmtId="176" fontId="156" fillId="75" borderId="4"/>
    <xf numFmtId="0" fontId="91" fillId="75" borderId="4"/>
    <xf numFmtId="0" fontId="1" fillId="0" borderId="0"/>
    <xf numFmtId="0" fontId="138" fillId="85" borderId="0"/>
    <xf numFmtId="0" fontId="156" fillId="75" borderId="4"/>
    <xf numFmtId="0" fontId="156" fillId="75" borderId="4"/>
    <xf numFmtId="0" fontId="156" fillId="75" borderId="4"/>
    <xf numFmtId="0" fontId="156" fillId="75" borderId="4"/>
    <xf numFmtId="0" fontId="156" fillId="75" borderId="4"/>
    <xf numFmtId="0" fontId="138" fillId="85" borderId="0"/>
    <xf numFmtId="176" fontId="156" fillId="75" borderId="4"/>
    <xf numFmtId="0" fontId="156" fillId="75" borderId="4"/>
    <xf numFmtId="0" fontId="156" fillId="75" borderId="4"/>
    <xf numFmtId="0" fontId="91" fillId="75" borderId="4"/>
    <xf numFmtId="171" fontId="91" fillId="75" borderId="4"/>
    <xf numFmtId="171" fontId="91" fillId="75" borderId="4"/>
    <xf numFmtId="0" fontId="156" fillId="75" borderId="4"/>
    <xf numFmtId="0" fontId="157" fillId="73" borderId="0" applyBorder="0">
      <alignment horizontal="centerContinuous"/>
    </xf>
    <xf numFmtId="0" fontId="157" fillId="73" borderId="0" applyBorder="0">
      <alignment horizontal="centerContinuous"/>
    </xf>
    <xf numFmtId="199" fontId="157" fillId="73" borderId="0" applyBorder="0">
      <alignment horizontal="centerContinuous"/>
    </xf>
    <xf numFmtId="0" fontId="90" fillId="75" borderId="0" applyBorder="0">
      <alignment horizontal="centerContinuous"/>
    </xf>
    <xf numFmtId="0" fontId="1" fillId="0" borderId="0"/>
    <xf numFmtId="0" fontId="157" fillId="73" borderId="0" applyBorder="0">
      <alignment horizontal="centerContinuous"/>
    </xf>
    <xf numFmtId="0" fontId="156" fillId="0" borderId="0" applyBorder="0">
      <alignment horizontal="centerContinuous"/>
    </xf>
    <xf numFmtId="0" fontId="156" fillId="0" borderId="0" applyBorder="0">
      <alignment horizontal="centerContinuous"/>
    </xf>
    <xf numFmtId="0" fontId="156" fillId="0" borderId="0" applyBorder="0">
      <alignment horizontal="centerContinuous"/>
    </xf>
    <xf numFmtId="0" fontId="156" fillId="0" borderId="0" applyBorder="0">
      <alignment horizontal="centerContinuous"/>
    </xf>
    <xf numFmtId="0" fontId="156" fillId="0" borderId="0" applyBorder="0">
      <alignment horizontal="centerContinuous"/>
    </xf>
    <xf numFmtId="0" fontId="157" fillId="73" borderId="0" applyBorder="0">
      <alignment horizontal="centerContinuous"/>
    </xf>
    <xf numFmtId="199" fontId="157" fillId="73" borderId="0" applyBorder="0">
      <alignment horizontal="centerContinuous"/>
    </xf>
    <xf numFmtId="0" fontId="156" fillId="0" borderId="0" applyBorder="0">
      <alignment horizontal="centerContinuous"/>
    </xf>
    <xf numFmtId="0" fontId="156" fillId="0" borderId="0" applyBorder="0">
      <alignment horizontal="centerContinuous"/>
    </xf>
    <xf numFmtId="0" fontId="90" fillId="75" borderId="0" applyBorder="0">
      <alignment horizontal="centerContinuous"/>
    </xf>
    <xf numFmtId="0" fontId="90" fillId="75" borderId="0" applyBorder="0">
      <alignment horizontal="centerContinuous"/>
    </xf>
    <xf numFmtId="171" fontId="90" fillId="75" borderId="0" applyBorder="0">
      <alignment horizontal="centerContinuous"/>
    </xf>
    <xf numFmtId="171" fontId="90" fillId="75" borderId="0" applyBorder="0">
      <alignment horizontal="centerContinuous"/>
    </xf>
    <xf numFmtId="0" fontId="156" fillId="0" borderId="0" applyBorder="0">
      <alignment horizontal="centerContinuous"/>
    </xf>
    <xf numFmtId="0" fontId="158" fillId="85" borderId="0" applyBorder="0">
      <alignment horizontal="centerContinuous"/>
    </xf>
    <xf numFmtId="0" fontId="158" fillId="85" borderId="0" applyBorder="0">
      <alignment horizontal="centerContinuous"/>
    </xf>
    <xf numFmtId="199" fontId="158" fillId="85" borderId="0" applyBorder="0">
      <alignment horizontal="centerContinuous"/>
    </xf>
    <xf numFmtId="0" fontId="159" fillId="85" borderId="0" applyBorder="0">
      <alignment horizontal="centerContinuous"/>
    </xf>
    <xf numFmtId="0" fontId="92" fillId="75" borderId="0" applyBorder="0">
      <alignment horizontal="centerContinuous"/>
    </xf>
    <xf numFmtId="0" fontId="1" fillId="0" borderId="0"/>
    <xf numFmtId="0" fontId="158" fillId="85" borderId="0" applyBorder="0">
      <alignment horizontal="centerContinuous"/>
    </xf>
    <xf numFmtId="0" fontId="160" fillId="0" borderId="0" applyBorder="0">
      <alignment horizontal="centerContinuous"/>
    </xf>
    <xf numFmtId="0" fontId="160" fillId="0" borderId="0" applyBorder="0">
      <alignment horizontal="centerContinuous"/>
    </xf>
    <xf numFmtId="0" fontId="160" fillId="0" borderId="0" applyBorder="0">
      <alignment horizontal="centerContinuous"/>
    </xf>
    <xf numFmtId="0" fontId="160" fillId="0" borderId="0" applyBorder="0">
      <alignment horizontal="centerContinuous"/>
    </xf>
    <xf numFmtId="0" fontId="160" fillId="0" borderId="0" applyBorder="0">
      <alignment horizontal="centerContinuous"/>
    </xf>
    <xf numFmtId="0" fontId="158" fillId="85" borderId="0" applyBorder="0">
      <alignment horizontal="centerContinuous"/>
    </xf>
    <xf numFmtId="199" fontId="158" fillId="85" borderId="0" applyBorder="0">
      <alignment horizontal="centerContinuous"/>
    </xf>
    <xf numFmtId="0" fontId="160" fillId="0" borderId="0" applyBorder="0">
      <alignment horizontal="centerContinuous"/>
    </xf>
    <xf numFmtId="0" fontId="160" fillId="0" borderId="0" applyBorder="0">
      <alignment horizontal="centerContinuous"/>
    </xf>
    <xf numFmtId="0" fontId="92" fillId="75" borderId="0" applyBorder="0">
      <alignment horizontal="centerContinuous"/>
    </xf>
    <xf numFmtId="0" fontId="92" fillId="75" borderId="0" applyBorder="0">
      <alignment horizontal="centerContinuous"/>
    </xf>
    <xf numFmtId="171" fontId="92" fillId="75" borderId="0" applyBorder="0">
      <alignment horizontal="centerContinuous"/>
    </xf>
    <xf numFmtId="171" fontId="92" fillId="75" borderId="0" applyBorder="0">
      <alignment horizontal="centerContinuous"/>
    </xf>
    <xf numFmtId="0" fontId="160" fillId="0" borderId="0" applyBorder="0">
      <alignment horizontal="centerContinuous"/>
    </xf>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5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74" fontId="161" fillId="86" borderId="54">
      <alignment horizontal="left"/>
    </xf>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62" fillId="0" borderId="58">
      <alignment horizontal="center"/>
    </xf>
    <xf numFmtId="3" fontId="84" fillId="0" borderId="0" applyFont="0" applyFill="0" applyBorder="0" applyAlignment="0" applyProtection="0"/>
    <xf numFmtId="0" fontId="84" fillId="87" borderId="0" applyNumberFormat="0" applyFont="0" applyBorder="0" applyAlignment="0" applyProtection="0"/>
    <xf numFmtId="199" fontId="91" fillId="60" borderId="0">
      <alignment horizontal="center"/>
    </xf>
    <xf numFmtId="0" fontId="91" fillId="60" borderId="0">
      <alignment horizontal="center"/>
    </xf>
    <xf numFmtId="0" fontId="91" fillId="60" borderId="0">
      <alignment horizontal="center"/>
    </xf>
    <xf numFmtId="199" fontId="91" fillId="60" borderId="0">
      <alignment horizontal="center"/>
    </xf>
    <xf numFmtId="0" fontId="91" fillId="60" borderId="0">
      <alignment horizontal="center"/>
    </xf>
    <xf numFmtId="0" fontId="1" fillId="0" borderId="0"/>
    <xf numFmtId="49" fontId="163" fillId="73" borderId="0">
      <alignment horizontal="center"/>
    </xf>
    <xf numFmtId="0" fontId="1" fillId="0" borderId="0"/>
    <xf numFmtId="49" fontId="163" fillId="73" borderId="0">
      <alignment horizontal="center"/>
    </xf>
    <xf numFmtId="0" fontId="146" fillId="0" borderId="0"/>
    <xf numFmtId="199" fontId="139" fillId="82" borderId="0">
      <alignment horizontal="center"/>
    </xf>
    <xf numFmtId="0" fontId="139" fillId="82" borderId="0">
      <alignment horizontal="center"/>
    </xf>
    <xf numFmtId="0" fontId="139" fillId="82" borderId="0">
      <alignment horizontal="center"/>
    </xf>
    <xf numFmtId="199" fontId="139" fillId="82" borderId="0">
      <alignment horizontal="center"/>
    </xf>
    <xf numFmtId="0" fontId="1" fillId="0" borderId="0"/>
    <xf numFmtId="199" fontId="139" fillId="82" borderId="0">
      <alignment horizontal="centerContinuous"/>
    </xf>
    <xf numFmtId="0" fontId="139" fillId="82" borderId="0">
      <alignment horizontal="centerContinuous"/>
    </xf>
    <xf numFmtId="0" fontId="139" fillId="82" borderId="0">
      <alignment horizontal="centerContinuous"/>
    </xf>
    <xf numFmtId="199" fontId="139" fillId="82" borderId="0">
      <alignment horizontal="centerContinuous"/>
    </xf>
    <xf numFmtId="0" fontId="1" fillId="0" borderId="0"/>
    <xf numFmtId="199" fontId="164" fillId="73" borderId="0">
      <alignment horizontal="left"/>
    </xf>
    <xf numFmtId="0" fontId="164" fillId="73" borderId="0">
      <alignment horizontal="left"/>
    </xf>
    <xf numFmtId="0" fontId="164" fillId="73" borderId="0">
      <alignment horizontal="left"/>
    </xf>
    <xf numFmtId="199" fontId="164" fillId="73" borderId="0">
      <alignment horizontal="left"/>
    </xf>
    <xf numFmtId="0" fontId="1" fillId="0" borderId="0"/>
    <xf numFmtId="49" fontId="164" fillId="73" borderId="0">
      <alignment horizontal="center"/>
    </xf>
    <xf numFmtId="0" fontId="1" fillId="0" borderId="0"/>
    <xf numFmtId="49" fontId="164" fillId="73" borderId="0">
      <alignment horizontal="center"/>
    </xf>
    <xf numFmtId="199" fontId="138" fillId="82" borderId="0">
      <alignment horizontal="left"/>
    </xf>
    <xf numFmtId="0" fontId="138" fillId="82" borderId="0">
      <alignment horizontal="left"/>
    </xf>
    <xf numFmtId="0" fontId="138" fillId="82" borderId="0">
      <alignment horizontal="left"/>
    </xf>
    <xf numFmtId="199" fontId="138" fillId="82" borderId="0">
      <alignment horizontal="left"/>
    </xf>
    <xf numFmtId="0" fontId="1" fillId="0" borderId="0"/>
    <xf numFmtId="49" fontId="164" fillId="73" borderId="0">
      <alignment horizontal="left"/>
    </xf>
    <xf numFmtId="0" fontId="1" fillId="0" borderId="0"/>
    <xf numFmtId="49" fontId="164" fillId="73" borderId="0">
      <alignment horizontal="left"/>
    </xf>
    <xf numFmtId="199" fontId="138" fillId="82" borderId="0">
      <alignment horizontal="centerContinuous"/>
    </xf>
    <xf numFmtId="0" fontId="138" fillId="82" borderId="0">
      <alignment horizontal="centerContinuous"/>
    </xf>
    <xf numFmtId="0" fontId="138" fillId="82" borderId="0">
      <alignment horizontal="centerContinuous"/>
    </xf>
    <xf numFmtId="199" fontId="138" fillId="82" borderId="0">
      <alignment horizontal="centerContinuous"/>
    </xf>
    <xf numFmtId="0" fontId="1" fillId="0" borderId="0"/>
    <xf numFmtId="199" fontId="138" fillId="82" borderId="0">
      <alignment horizontal="right"/>
    </xf>
    <xf numFmtId="0" fontId="138" fillId="82" borderId="0">
      <alignment horizontal="right"/>
    </xf>
    <xf numFmtId="0" fontId="138" fillId="82" borderId="0">
      <alignment horizontal="right"/>
    </xf>
    <xf numFmtId="199" fontId="138" fillId="82" borderId="0">
      <alignment horizontal="right"/>
    </xf>
    <xf numFmtId="0" fontId="1" fillId="0" borderId="0"/>
    <xf numFmtId="49" fontId="91" fillId="73" borderId="0">
      <alignment horizontal="left"/>
    </xf>
    <xf numFmtId="49" fontId="91" fillId="73" borderId="0">
      <alignment horizontal="left"/>
    </xf>
    <xf numFmtId="49" fontId="91" fillId="73" borderId="0">
      <alignment horizontal="left"/>
    </xf>
    <xf numFmtId="0" fontId="1" fillId="0" borderId="0"/>
    <xf numFmtId="199" fontId="139" fillId="82" borderId="0">
      <alignment horizontal="right"/>
    </xf>
    <xf numFmtId="0" fontId="139" fillId="82" borderId="0">
      <alignment horizontal="right"/>
    </xf>
    <xf numFmtId="0" fontId="139" fillId="82" borderId="0">
      <alignment horizontal="right"/>
    </xf>
    <xf numFmtId="199" fontId="139" fillId="82" borderId="0">
      <alignment horizontal="right"/>
    </xf>
    <xf numFmtId="0" fontId="1" fillId="0" borderId="0"/>
    <xf numFmtId="199" fontId="164" fillId="57" borderId="0">
      <alignment horizontal="center"/>
    </xf>
    <xf numFmtId="0" fontId="164" fillId="57" borderId="0">
      <alignment horizontal="center"/>
    </xf>
    <xf numFmtId="0" fontId="164" fillId="57" borderId="0">
      <alignment horizontal="center"/>
    </xf>
    <xf numFmtId="199" fontId="164" fillId="57" borderId="0">
      <alignment horizontal="center"/>
    </xf>
    <xf numFmtId="0" fontId="1" fillId="0" borderId="0"/>
    <xf numFmtId="199" fontId="165" fillId="57" borderId="0">
      <alignment horizontal="center"/>
    </xf>
    <xf numFmtId="0" fontId="165" fillId="57" borderId="0">
      <alignment horizontal="center"/>
    </xf>
    <xf numFmtId="0" fontId="165" fillId="57" borderId="0">
      <alignment horizontal="center"/>
    </xf>
    <xf numFmtId="199" fontId="165" fillId="57" borderId="0">
      <alignment horizontal="center"/>
    </xf>
    <xf numFmtId="0" fontId="1" fillId="0" borderId="0"/>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55" fillId="88" borderId="67"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166" fillId="88" borderId="68" applyNumberFormat="0" applyProtection="0">
      <alignment vertical="center"/>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4" fontId="55" fillId="88" borderId="67" applyNumberFormat="0" applyProtection="0">
      <alignment horizontal="left" vertical="center"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0" fontId="55" fillId="89" borderId="68" applyNumberFormat="0" applyProtection="0">
      <alignment horizontal="left" vertical="top" indent="1"/>
    </xf>
    <xf numFmtId="4" fontId="55" fillId="85" borderId="0" applyNumberFormat="0" applyProtection="0">
      <alignment horizontal="left" vertical="center" indent="1"/>
    </xf>
    <xf numFmtId="4" fontId="55" fillId="85" borderId="0" applyNumberFormat="0" applyProtection="0">
      <alignment horizontal="left" vertical="center" indent="1"/>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0" fillId="88"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0"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67" fillId="91"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60"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1"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0" fillId="52"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9"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67" fillId="66"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10" fillId="65" borderId="68" applyNumberFormat="0" applyProtection="0">
      <alignment horizontal="right" vertical="center"/>
    </xf>
    <xf numFmtId="4" fontId="55" fillId="92" borderId="0" applyNumberFormat="0" applyProtection="0">
      <alignment horizontal="left" vertical="center" indent="1"/>
    </xf>
    <xf numFmtId="4" fontId="55" fillId="92" borderId="0" applyNumberFormat="0" applyProtection="0">
      <alignment horizontal="left" vertical="center" indent="1"/>
    </xf>
    <xf numFmtId="4" fontId="10" fillId="63" borderId="0" applyNumberFormat="0" applyProtection="0">
      <alignment horizontal="left" vertical="center" indent="1"/>
    </xf>
    <xf numFmtId="4" fontId="10" fillId="63" borderId="0" applyNumberFormat="0" applyProtection="0">
      <alignment horizontal="left" vertical="center" indent="1"/>
    </xf>
    <xf numFmtId="4" fontId="163" fillId="93" borderId="0" applyNumberFormat="0" applyProtection="0">
      <alignment horizontal="left" vertical="center" indent="1"/>
    </xf>
    <xf numFmtId="4" fontId="163" fillId="93" borderId="0" applyNumberFormat="0" applyProtection="0">
      <alignment horizontal="left" vertical="center" indent="1"/>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67" applyNumberFormat="0" applyProtection="0">
      <alignment horizontal="right" vertical="center"/>
    </xf>
    <xf numFmtId="4" fontId="10" fillId="63" borderId="0" applyNumberFormat="0" applyProtection="0">
      <alignment horizontal="left" vertical="center" indent="1"/>
    </xf>
    <xf numFmtId="4" fontId="10" fillId="63" borderId="0" applyNumberFormat="0" applyProtection="0">
      <alignment horizontal="left" vertical="center" indent="1"/>
    </xf>
    <xf numFmtId="4" fontId="10" fillId="89" borderId="0" applyNumberFormat="0" applyProtection="0">
      <alignment horizontal="left" vertical="center" indent="1"/>
    </xf>
    <xf numFmtId="4" fontId="10" fillId="89" borderId="0"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7"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85"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68" fillId="94" borderId="68" applyNumberFormat="0" applyProtection="0">
      <alignment vertical="center"/>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4" fontId="10" fillId="63" borderId="68" applyNumberFormat="0" applyProtection="0">
      <alignment horizontal="left" vertical="center"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0" fontId="10" fillId="63" borderId="68" applyNumberFormat="0" applyProtection="0">
      <alignment horizontal="left" vertical="top" indent="1"/>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10"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55" fillId="95" borderId="67" applyNumberFormat="0" applyProtection="0">
      <alignment horizontal="right" vertical="center"/>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4" fontId="10" fillId="63" borderId="67" applyNumberFormat="0" applyProtection="0">
      <alignment horizontal="left" vertical="center"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0" fontId="10" fillId="63" borderId="67" applyNumberFormat="0" applyProtection="0">
      <alignment horizontal="left" vertical="top" indent="1"/>
    </xf>
    <xf numFmtId="4" fontId="169" fillId="0" borderId="0" applyNumberFormat="0" applyProtection="0">
      <alignment horizontal="left" vertical="center" indent="1"/>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4" fontId="10" fillId="0" borderId="68" applyNumberFormat="0" applyProtection="0">
      <alignment horizontal="right" vertical="center"/>
    </xf>
    <xf numFmtId="209" fontId="170" fillId="0" borderId="69" applyNumberFormat="0" applyProtection="0">
      <alignment horizontal="right" vertical="center"/>
    </xf>
    <xf numFmtId="209" fontId="171" fillId="0" borderId="70" applyNumberFormat="0" applyProtection="0">
      <alignment horizontal="right" vertical="center"/>
    </xf>
    <xf numFmtId="0" fontId="171" fillId="96" borderId="71" applyNumberFormat="0" applyAlignment="0" applyProtection="0">
      <alignment horizontal="left" vertical="center" indent="1"/>
    </xf>
    <xf numFmtId="0" fontId="172" fillId="0" borderId="72" applyNumberFormat="0" applyFill="0" applyBorder="0" applyAlignment="0" applyProtection="0"/>
    <xf numFmtId="0" fontId="173" fillId="97" borderId="71" applyNumberFormat="0" applyAlignment="0" applyProtection="0">
      <alignment horizontal="left" vertical="center" indent="1"/>
    </xf>
    <xf numFmtId="0" fontId="173" fillId="98" borderId="71" applyNumberFormat="0" applyAlignment="0" applyProtection="0">
      <alignment horizontal="left" vertical="center" indent="1"/>
    </xf>
    <xf numFmtId="0" fontId="173" fillId="99" borderId="71" applyNumberFormat="0" applyAlignment="0" applyProtection="0">
      <alignment horizontal="left" vertical="center" indent="1"/>
    </xf>
    <xf numFmtId="0" fontId="173" fillId="100" borderId="71" applyNumberFormat="0" applyAlignment="0" applyProtection="0">
      <alignment horizontal="left" vertical="center" indent="1"/>
    </xf>
    <xf numFmtId="0" fontId="173" fillId="101" borderId="70" applyNumberFormat="0" applyAlignment="0" applyProtection="0">
      <alignment horizontal="left" vertical="center" indent="1"/>
    </xf>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0" fontId="10" fillId="0" borderId="73" applyNumberFormat="0" applyFont="0" applyFill="0" applyBorder="0" applyAlignment="0" applyProtection="0"/>
    <xf numFmtId="209" fontId="170" fillId="102" borderId="71" applyNumberFormat="0" applyAlignment="0" applyProtection="0">
      <alignment horizontal="left" vertical="center" indent="1"/>
    </xf>
    <xf numFmtId="0" fontId="171" fillId="96" borderId="70" applyNumberFormat="0" applyAlignment="0" applyProtection="0">
      <alignment horizontal="left" vertical="center" indent="1"/>
    </xf>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 fillId="0" borderId="0"/>
    <xf numFmtId="0" fontId="1" fillId="0" borderId="0"/>
    <xf numFmtId="0" fontId="10" fillId="0" borderId="0"/>
    <xf numFmtId="0" fontId="10" fillId="0" borderId="0"/>
    <xf numFmtId="0" fontId="10" fillId="0" borderId="0"/>
    <xf numFmtId="0" fontId="146" fillId="0" borderId="60"/>
    <xf numFmtId="49" fontId="10" fillId="0" borderId="55">
      <alignment horizontal="center" vertical="center"/>
      <protection locked="0"/>
    </xf>
    <xf numFmtId="0" fontId="174" fillId="82" borderId="0"/>
    <xf numFmtId="176" fontId="93" fillId="0" borderId="0" applyNumberFormat="0" applyFill="0" applyBorder="0" applyAlignment="0" applyProtection="0"/>
    <xf numFmtId="0" fontId="10" fillId="0" borderId="47" applyNumberFormat="0" applyFont="0" applyFill="0" applyAlignment="0" applyProtection="0"/>
    <xf numFmtId="199" fontId="145" fillId="0" borderId="74" applyNumberFormat="0" applyFont="0" applyBorder="0" applyAlignment="0" applyProtection="0"/>
    <xf numFmtId="0" fontId="95" fillId="0" borderId="75" applyNumberFormat="0" applyFill="0" applyAlignment="0" applyProtection="0"/>
    <xf numFmtId="0" fontId="95" fillId="0" borderId="76" applyNumberFormat="0" applyFill="0" applyAlignment="0" applyProtection="0"/>
    <xf numFmtId="0" fontId="95" fillId="0" borderId="76" applyNumberFormat="0" applyFill="0" applyAlignment="0" applyProtection="0"/>
    <xf numFmtId="0" fontId="95" fillId="0" borderId="76" applyNumberFormat="0" applyFill="0" applyAlignment="0" applyProtection="0"/>
    <xf numFmtId="0" fontId="95" fillId="0" borderId="76" applyNumberFormat="0" applyFill="0" applyAlignment="0" applyProtection="0"/>
    <xf numFmtId="0" fontId="95" fillId="0" borderId="76" applyNumberFormat="0" applyFill="0" applyAlignment="0" applyProtection="0"/>
    <xf numFmtId="0" fontId="1" fillId="0" borderId="0"/>
    <xf numFmtId="0" fontId="10" fillId="0" borderId="47" applyNumberFormat="0" applyFont="0" applyFill="0" applyAlignment="0" applyProtection="0"/>
    <xf numFmtId="0" fontId="1" fillId="0" borderId="0"/>
    <xf numFmtId="199" fontId="145" fillId="0" borderId="74" applyNumberFormat="0" applyFont="0" applyBorder="0" applyAlignment="0" applyProtection="0"/>
    <xf numFmtId="0" fontId="152" fillId="0" borderId="77"/>
    <xf numFmtId="0" fontId="152" fillId="0" borderId="60"/>
    <xf numFmtId="0" fontId="153" fillId="0" borderId="0"/>
    <xf numFmtId="0" fontId="153" fillId="0" borderId="0"/>
    <xf numFmtId="199" fontId="175" fillId="73" borderId="0">
      <alignment horizontal="center"/>
    </xf>
    <xf numFmtId="0" fontId="175" fillId="73" borderId="0">
      <alignment horizontal="center"/>
    </xf>
    <xf numFmtId="199" fontId="175" fillId="73" borderId="0">
      <alignment horizontal="center"/>
    </xf>
    <xf numFmtId="0" fontId="1" fillId="0" borderId="0"/>
    <xf numFmtId="176" fontId="79" fillId="0" borderId="0" applyNumberFormat="0" applyFill="0" applyBorder="0" applyAlignment="0" applyProtection="0"/>
    <xf numFmtId="176" fontId="79" fillId="0" borderId="0" applyNumberFormat="0" applyFill="0" applyBorder="0" applyAlignment="0" applyProtection="0"/>
  </cellStyleXfs>
  <cellXfs count="1318">
    <xf numFmtId="0" fontId="0" fillId="0" borderId="0" xfId="0"/>
    <xf numFmtId="17" fontId="0" fillId="0" borderId="0" xfId="0" applyNumberFormat="1"/>
    <xf numFmtId="0" fontId="0" fillId="0" borderId="0" xfId="0" applyAlignment="1">
      <alignment horizontal="center" wrapText="1"/>
    </xf>
    <xf numFmtId="43" fontId="0" fillId="0" borderId="0" xfId="1" applyFont="1"/>
    <xf numFmtId="14" fontId="0" fillId="0" borderId="0" xfId="0" applyNumberFormat="1"/>
    <xf numFmtId="0" fontId="0" fillId="2" borderId="0" xfId="0" applyFill="1"/>
    <xf numFmtId="0" fontId="0" fillId="3" borderId="0" xfId="0" applyFill="1"/>
    <xf numFmtId="0" fontId="0" fillId="4" borderId="0" xfId="0" applyFill="1"/>
    <xf numFmtId="0" fontId="0" fillId="5" borderId="0" xfId="0" applyFill="1"/>
    <xf numFmtId="44" fontId="0" fillId="0" borderId="0" xfId="2" applyFont="1"/>
    <xf numFmtId="0" fontId="0" fillId="6" borderId="0" xfId="0" applyFill="1"/>
    <xf numFmtId="44" fontId="0" fillId="6" borderId="0" xfId="2" applyFont="1" applyFill="1"/>
    <xf numFmtId="0" fontId="0" fillId="7" borderId="0" xfId="0" applyFill="1"/>
    <xf numFmtId="14" fontId="0" fillId="4" borderId="0" xfId="0" applyNumberFormat="1" applyFill="1"/>
    <xf numFmtId="44" fontId="0" fillId="0" borderId="0" xfId="0" applyNumberFormat="1"/>
    <xf numFmtId="0" fontId="0" fillId="0" borderId="0" xfId="0" quotePrefix="1" applyAlignment="1">
      <alignment horizontal="left"/>
    </xf>
    <xf numFmtId="44" fontId="0" fillId="0" borderId="0" xfId="2" applyFont="1" applyFill="1"/>
    <xf numFmtId="0" fontId="0" fillId="0" borderId="0" xfId="0" applyFill="1"/>
    <xf numFmtId="0" fontId="0" fillId="12" borderId="0" xfId="0" applyFill="1"/>
    <xf numFmtId="0" fontId="0" fillId="13" borderId="0" xfId="0" applyFill="1"/>
    <xf numFmtId="0" fontId="0" fillId="14" borderId="0" xfId="0" applyFill="1"/>
    <xf numFmtId="0" fontId="0" fillId="2" borderId="0" xfId="0" quotePrefix="1" applyFill="1" applyAlignment="1">
      <alignment horizontal="left"/>
    </xf>
    <xf numFmtId="165" fontId="0" fillId="0" borderId="0" xfId="1" applyNumberFormat="1" applyFont="1"/>
    <xf numFmtId="0" fontId="4" fillId="4" borderId="0" xfId="0" applyFont="1" applyFill="1"/>
    <xf numFmtId="14" fontId="0" fillId="15" borderId="0" xfId="0" applyNumberFormat="1" applyFill="1"/>
    <xf numFmtId="165" fontId="0" fillId="0" borderId="0" xfId="0" applyNumberFormat="1" applyFill="1"/>
    <xf numFmtId="165" fontId="0" fillId="0" borderId="0" xfId="1" applyNumberFormat="1" applyFont="1" applyFill="1"/>
    <xf numFmtId="0" fontId="0" fillId="14" borderId="0" xfId="0" quotePrefix="1" applyFill="1" applyAlignment="1">
      <alignment horizontal="left"/>
    </xf>
    <xf numFmtId="49" fontId="3" fillId="8" borderId="3" xfId="0" applyNumberFormat="1" applyFont="1" applyFill="1" applyBorder="1" applyAlignment="1">
      <alignment horizontal="left" vertical="center"/>
    </xf>
    <xf numFmtId="44" fontId="0" fillId="14" borderId="0" xfId="2" applyFont="1" applyFill="1"/>
    <xf numFmtId="0" fontId="0" fillId="0" borderId="0" xfId="0" applyNumberFormat="1"/>
    <xf numFmtId="0" fontId="0" fillId="0" borderId="0" xfId="0" applyAlignment="1">
      <alignment horizontal="right"/>
    </xf>
    <xf numFmtId="0" fontId="0" fillId="0" borderId="0" xfId="0" applyAlignment="1"/>
    <xf numFmtId="44" fontId="0" fillId="0" borderId="0" xfId="0" applyNumberFormat="1" applyFill="1"/>
    <xf numFmtId="0" fontId="0" fillId="0" borderId="0" xfId="0" applyAlignment="1">
      <alignment horizontal="center"/>
    </xf>
    <xf numFmtId="14" fontId="0" fillId="0" borderId="0" xfId="0" quotePrefix="1" applyNumberFormat="1" applyAlignment="1">
      <alignment horizontal="left"/>
    </xf>
    <xf numFmtId="174" fontId="0" fillId="0" borderId="0" xfId="1" applyNumberFormat="1" applyFont="1" applyAlignment="1">
      <alignment horizontal="center"/>
    </xf>
    <xf numFmtId="174" fontId="7" fillId="0" borderId="0" xfId="0" applyNumberFormat="1" applyFont="1" applyAlignment="1">
      <alignment horizontal="center" wrapText="1"/>
    </xf>
    <xf numFmtId="37" fontId="0" fillId="0" borderId="0" xfId="0" applyNumberFormat="1"/>
    <xf numFmtId="37" fontId="8" fillId="0" borderId="0" xfId="0" applyNumberFormat="1" applyFont="1"/>
    <xf numFmtId="0" fontId="0" fillId="0" borderId="0" xfId="0" applyBorder="1" applyAlignment="1">
      <alignment horizontal="center"/>
    </xf>
    <xf numFmtId="0" fontId="0" fillId="0" borderId="0" xfId="0" applyBorder="1"/>
    <xf numFmtId="37" fontId="0" fillId="0" borderId="0" xfId="0" applyNumberFormat="1" applyFont="1"/>
    <xf numFmtId="175" fontId="0" fillId="0" borderId="0" xfId="2" applyNumberFormat="1" applyFont="1"/>
    <xf numFmtId="175" fontId="5" fillId="0" borderId="0" xfId="2" applyNumberFormat="1" applyFont="1"/>
    <xf numFmtId="175" fontId="0" fillId="0" borderId="0" xfId="0" applyNumberFormat="1"/>
    <xf numFmtId="166" fontId="0" fillId="0" borderId="0" xfId="0" applyNumberFormat="1"/>
    <xf numFmtId="37" fontId="9" fillId="0" borderId="0" xfId="0" applyNumberFormat="1" applyFont="1"/>
    <xf numFmtId="0" fontId="9" fillId="0" borderId="0" xfId="0" applyFont="1"/>
    <xf numFmtId="0" fontId="0" fillId="0" borderId="0" xfId="0" quotePrefix="1" applyAlignment="1">
      <alignment horizontal="left" wrapText="1"/>
    </xf>
    <xf numFmtId="0" fontId="0" fillId="0" borderId="0" xfId="0" applyAlignment="1">
      <alignment horizontal="left" indent="1"/>
    </xf>
    <xf numFmtId="0" fontId="0" fillId="0" borderId="0" xfId="0" quotePrefix="1" applyAlignment="1">
      <alignment horizontal="left" indent="1"/>
    </xf>
    <xf numFmtId="0" fontId="0" fillId="0" borderId="0" xfId="0" applyAlignment="1">
      <alignment horizontal="left"/>
    </xf>
    <xf numFmtId="165" fontId="8" fillId="0" borderId="0" xfId="1" applyNumberFormat="1" applyFont="1"/>
    <xf numFmtId="165" fontId="5" fillId="0" borderId="0" xfId="1" applyNumberFormat="1" applyFont="1"/>
    <xf numFmtId="176" fontId="11" fillId="0" borderId="0" xfId="4" applyFont="1"/>
    <xf numFmtId="175" fontId="11" fillId="0" borderId="0" xfId="2" applyNumberFormat="1" applyFont="1" applyBorder="1"/>
    <xf numFmtId="175" fontId="14" fillId="0" borderId="0" xfId="2" applyNumberFormat="1" applyFont="1" applyBorder="1"/>
    <xf numFmtId="165" fontId="15" fillId="0" borderId="0" xfId="4" applyNumberFormat="1" applyFont="1" applyBorder="1"/>
    <xf numFmtId="175" fontId="16" fillId="0" borderId="0" xfId="2" applyNumberFormat="1" applyFont="1" applyBorder="1"/>
    <xf numFmtId="14" fontId="17" fillId="0" borderId="0" xfId="0" applyNumberFormat="1" applyFont="1"/>
    <xf numFmtId="0" fontId="0" fillId="15" borderId="0" xfId="0" applyFill="1"/>
    <xf numFmtId="176" fontId="11" fillId="15" borderId="0" xfId="4" applyFont="1" applyFill="1"/>
    <xf numFmtId="49" fontId="19" fillId="8" borderId="7" xfId="5" applyNumberFormat="1" applyFont="1" applyFill="1" applyBorder="1" applyAlignment="1">
      <alignment vertical="center"/>
    </xf>
    <xf numFmtId="49" fontId="19" fillId="8" borderId="8" xfId="5" applyNumberFormat="1" applyFont="1" applyFill="1" applyBorder="1" applyAlignment="1">
      <alignment vertical="center"/>
    </xf>
    <xf numFmtId="0" fontId="19" fillId="0" borderId="0" xfId="5" applyFont="1" applyBorder="1" applyAlignment="1">
      <alignment horizontal="center"/>
    </xf>
    <xf numFmtId="0" fontId="21" fillId="0" borderId="0" xfId="0" applyFont="1" applyAlignment="1">
      <alignment horizontal="center" wrapText="1"/>
    </xf>
    <xf numFmtId="0" fontId="21" fillId="0" borderId="0" xfId="0" quotePrefix="1" applyFont="1" applyFill="1" applyAlignment="1">
      <alignment horizontal="center" wrapText="1"/>
    </xf>
    <xf numFmtId="0" fontId="21" fillId="0" borderId="0" xfId="0" applyFont="1" applyFill="1" applyAlignment="1">
      <alignment horizontal="center" wrapText="1"/>
    </xf>
    <xf numFmtId="167" fontId="21" fillId="0" borderId="0" xfId="1" applyNumberFormat="1" applyFont="1" applyFill="1" applyAlignment="1">
      <alignment horizontal="center" wrapText="1"/>
    </xf>
    <xf numFmtId="0" fontId="21" fillId="0" borderId="0" xfId="0" quotePrefix="1" applyFont="1" applyAlignment="1">
      <alignment horizontal="center" wrapText="1"/>
    </xf>
    <xf numFmtId="0" fontId="21" fillId="0" borderId="0" xfId="0" applyFont="1"/>
    <xf numFmtId="173" fontId="0" fillId="0" borderId="0" xfId="0" applyNumberFormat="1"/>
    <xf numFmtId="0" fontId="8" fillId="0" borderId="0" xfId="0" applyFont="1"/>
    <xf numFmtId="0" fontId="0" fillId="0" borderId="0" xfId="0" applyFont="1"/>
    <xf numFmtId="37" fontId="0" fillId="0" borderId="0" xfId="0" quotePrefix="1" applyNumberFormat="1" applyAlignment="1">
      <alignment horizontal="left"/>
    </xf>
    <xf numFmtId="175" fontId="22" fillId="0" borderId="0" xfId="0" applyNumberFormat="1" applyFont="1"/>
    <xf numFmtId="0" fontId="17" fillId="0" borderId="0" xfId="0" applyFont="1"/>
    <xf numFmtId="0" fontId="0" fillId="0" borderId="0" xfId="0" quotePrefix="1" applyAlignment="1">
      <alignment horizontal="center" wrapText="1"/>
    </xf>
    <xf numFmtId="0" fontId="17" fillId="0" borderId="0" xfId="0" applyFont="1" applyFill="1"/>
    <xf numFmtId="0" fontId="17" fillId="0" borderId="0" xfId="0" quotePrefix="1" applyFont="1" applyAlignment="1">
      <alignment horizontal="left"/>
    </xf>
    <xf numFmtId="177" fontId="27" fillId="0" borderId="0" xfId="4" quotePrefix="1" applyNumberFormat="1" applyFont="1" applyAlignment="1" applyProtection="1">
      <alignment horizontal="left"/>
    </xf>
    <xf numFmtId="176" fontId="27" fillId="0" borderId="0" xfId="4" applyFont="1" applyBorder="1"/>
    <xf numFmtId="176" fontId="27" fillId="0" borderId="0" xfId="4" applyFont="1" applyBorder="1" applyAlignment="1">
      <alignment horizontal="right"/>
    </xf>
    <xf numFmtId="177" fontId="27" fillId="0" borderId="0" xfId="4" applyNumberFormat="1" applyFont="1" applyAlignment="1" applyProtection="1">
      <alignment horizontal="right"/>
    </xf>
    <xf numFmtId="176" fontId="27" fillId="0" borderId="0" xfId="4" applyFont="1"/>
    <xf numFmtId="176" fontId="27" fillId="0" borderId="0" xfId="4" applyFont="1" applyBorder="1" applyAlignment="1">
      <alignment horizontal="center"/>
    </xf>
    <xf numFmtId="176" fontId="27" fillId="0" borderId="0" xfId="4" applyFont="1" applyFill="1" applyBorder="1" applyAlignment="1">
      <alignment horizontal="center"/>
    </xf>
    <xf numFmtId="177" fontId="27" fillId="0" borderId="0" xfId="4" applyNumberFormat="1" applyFont="1" applyProtection="1"/>
    <xf numFmtId="176" fontId="27" fillId="0" borderId="0" xfId="4" quotePrefix="1" applyFont="1" applyFill="1" applyBorder="1" applyAlignment="1">
      <alignment horizontal="center"/>
    </xf>
    <xf numFmtId="176" fontId="27" fillId="0" borderId="0" xfId="4" applyFont="1" applyAlignment="1">
      <alignment horizontal="center"/>
    </xf>
    <xf numFmtId="177" fontId="28" fillId="0" borderId="0" xfId="4" applyNumberFormat="1" applyFont="1" applyProtection="1"/>
    <xf numFmtId="16" fontId="27" fillId="0" borderId="5" xfId="4" quotePrefix="1" applyNumberFormat="1" applyFont="1" applyBorder="1" applyAlignment="1">
      <alignment horizontal="center"/>
    </xf>
    <xf numFmtId="176" fontId="27" fillId="0" borderId="5" xfId="4" applyFont="1" applyBorder="1" applyAlignment="1">
      <alignment horizontal="center"/>
    </xf>
    <xf numFmtId="16" fontId="27" fillId="0" borderId="0" xfId="4" applyNumberFormat="1" applyFont="1" applyBorder="1" applyAlignment="1">
      <alignment horizontal="right"/>
    </xf>
    <xf numFmtId="177" fontId="27" fillId="0" borderId="0" xfId="4" applyNumberFormat="1" applyFont="1" applyBorder="1" applyAlignment="1" applyProtection="1">
      <alignment horizontal="right"/>
    </xf>
    <xf numFmtId="176" fontId="27" fillId="0" borderId="0" xfId="4" applyFont="1" applyFill="1" applyBorder="1" applyAlignment="1">
      <alignment horizontal="right"/>
    </xf>
    <xf numFmtId="176" fontId="29" fillId="0" borderId="21" xfId="4" applyFont="1" applyBorder="1" applyAlignment="1">
      <alignment horizontal="left"/>
    </xf>
    <xf numFmtId="176" fontId="27" fillId="0" borderId="22" xfId="4" applyFont="1" applyBorder="1"/>
    <xf numFmtId="165" fontId="27" fillId="0" borderId="22" xfId="4" applyNumberFormat="1" applyFont="1" applyBorder="1" applyAlignment="1">
      <alignment horizontal="right"/>
    </xf>
    <xf numFmtId="165" fontId="27" fillId="0" borderId="23" xfId="4" applyNumberFormat="1" applyFont="1" applyBorder="1" applyAlignment="1">
      <alignment horizontal="right"/>
    </xf>
    <xf numFmtId="165" fontId="27" fillId="0" borderId="0" xfId="4" applyNumberFormat="1" applyFont="1" applyFill="1" applyAlignment="1">
      <alignment horizontal="right"/>
    </xf>
    <xf numFmtId="176" fontId="27" fillId="0" borderId="14" xfId="4" applyFont="1" applyBorder="1" applyAlignment="1">
      <alignment horizontal="left"/>
    </xf>
    <xf numFmtId="165" fontId="27" fillId="0" borderId="0" xfId="4" applyNumberFormat="1" applyFont="1" applyBorder="1" applyAlignment="1">
      <alignment horizontal="right"/>
    </xf>
    <xf numFmtId="165" fontId="27" fillId="0" borderId="15" xfId="4" applyNumberFormat="1" applyFont="1" applyBorder="1" applyAlignment="1">
      <alignment horizontal="right"/>
    </xf>
    <xf numFmtId="165" fontId="27" fillId="0" borderId="14" xfId="1" applyNumberFormat="1" applyFont="1" applyBorder="1" applyAlignment="1">
      <alignment horizontal="left" indent="1"/>
    </xf>
    <xf numFmtId="44" fontId="27" fillId="0" borderId="0" xfId="2" applyFont="1" applyFill="1" applyBorder="1"/>
    <xf numFmtId="175" fontId="27" fillId="0" borderId="0" xfId="2" applyNumberFormat="1" applyFont="1" applyFill="1" applyBorder="1"/>
    <xf numFmtId="176" fontId="27" fillId="0" borderId="0" xfId="4" applyFont="1" applyFill="1" applyBorder="1"/>
    <xf numFmtId="176" fontId="27" fillId="0" borderId="15" xfId="4" applyFont="1" applyBorder="1"/>
    <xf numFmtId="175" fontId="27" fillId="0" borderId="0" xfId="2" applyNumberFormat="1" applyFont="1" applyFill="1"/>
    <xf numFmtId="0" fontId="30" fillId="0" borderId="0" xfId="0" applyFont="1" applyFill="1"/>
    <xf numFmtId="165" fontId="27" fillId="0" borderId="14" xfId="1" applyNumberFormat="1" applyFont="1" applyBorder="1" applyAlignment="1">
      <alignment horizontal="left" indent="2"/>
    </xf>
    <xf numFmtId="176" fontId="31" fillId="0" borderId="0" xfId="4" applyFont="1" applyBorder="1"/>
    <xf numFmtId="165" fontId="27" fillId="0" borderId="0" xfId="4" applyNumberFormat="1" applyFont="1" applyBorder="1"/>
    <xf numFmtId="44" fontId="27" fillId="0" borderId="0" xfId="2" applyFont="1" applyBorder="1"/>
    <xf numFmtId="165" fontId="27" fillId="0" borderId="14" xfId="1" quotePrefix="1" applyNumberFormat="1" applyFont="1" applyBorder="1" applyAlignment="1">
      <alignment horizontal="left" indent="2"/>
    </xf>
    <xf numFmtId="176" fontId="31" fillId="0" borderId="0" xfId="4" quotePrefix="1" applyFont="1" applyBorder="1" applyAlignment="1">
      <alignment horizontal="left"/>
    </xf>
    <xf numFmtId="178" fontId="27" fillId="0" borderId="0" xfId="2" applyNumberFormat="1" applyFont="1" applyFill="1" applyBorder="1"/>
    <xf numFmtId="165" fontId="27" fillId="0" borderId="0" xfId="1" applyNumberFormat="1" applyFont="1" applyFill="1" applyBorder="1"/>
    <xf numFmtId="166" fontId="27" fillId="0" borderId="0" xfId="2" applyNumberFormat="1" applyFont="1" applyFill="1" applyBorder="1"/>
    <xf numFmtId="165" fontId="27" fillId="0" borderId="15" xfId="4" applyNumberFormat="1" applyFont="1" applyBorder="1"/>
    <xf numFmtId="165" fontId="27" fillId="0" borderId="0" xfId="4" applyNumberFormat="1" applyFont="1" applyFill="1" applyBorder="1"/>
    <xf numFmtId="175" fontId="32" fillId="0" borderId="0" xfId="2" applyNumberFormat="1" applyFont="1" applyFill="1" applyBorder="1"/>
    <xf numFmtId="176" fontId="27" fillId="0" borderId="0" xfId="4" applyFont="1" applyFill="1"/>
    <xf numFmtId="165" fontId="27" fillId="0" borderId="14" xfId="1" quotePrefix="1" applyNumberFormat="1" applyFont="1" applyBorder="1" applyAlignment="1">
      <alignment horizontal="left"/>
    </xf>
    <xf numFmtId="178" fontId="27" fillId="0" borderId="0" xfId="2" applyNumberFormat="1" applyFont="1" applyBorder="1"/>
    <xf numFmtId="165" fontId="27" fillId="0" borderId="0" xfId="1" applyNumberFormat="1" applyFont="1" applyBorder="1"/>
    <xf numFmtId="165" fontId="27" fillId="0" borderId="14" xfId="1" applyNumberFormat="1" applyFont="1" applyBorder="1" applyAlignment="1">
      <alignment horizontal="left"/>
    </xf>
    <xf numFmtId="0" fontId="17" fillId="0" borderId="0" xfId="0" applyFont="1" applyBorder="1"/>
    <xf numFmtId="166" fontId="27" fillId="0" borderId="0" xfId="2" applyNumberFormat="1" applyFont="1" applyBorder="1"/>
    <xf numFmtId="175" fontId="27" fillId="0" borderId="0" xfId="2" applyNumberFormat="1" applyFont="1" applyBorder="1"/>
    <xf numFmtId="43" fontId="27" fillId="0" borderId="0" xfId="1" applyFont="1" applyBorder="1"/>
    <xf numFmtId="0" fontId="17" fillId="0" borderId="0" xfId="0" quotePrefix="1" applyFont="1" applyFill="1" applyAlignment="1">
      <alignment horizontal="left"/>
    </xf>
    <xf numFmtId="176" fontId="29" fillId="0" borderId="14" xfId="4" applyFont="1" applyBorder="1" applyAlignment="1">
      <alignment horizontal="right"/>
    </xf>
    <xf numFmtId="165" fontId="32" fillId="0" borderId="0" xfId="1" applyNumberFormat="1" applyFont="1" applyBorder="1"/>
    <xf numFmtId="175" fontId="32" fillId="0" borderId="0" xfId="2" applyNumberFormat="1" applyFont="1" applyBorder="1"/>
    <xf numFmtId="0" fontId="32" fillId="0" borderId="0" xfId="2" applyNumberFormat="1" applyFont="1" applyBorder="1"/>
    <xf numFmtId="175" fontId="32" fillId="0" borderId="15" xfId="2" applyNumberFormat="1" applyFont="1" applyBorder="1"/>
    <xf numFmtId="0" fontId="27" fillId="0" borderId="0" xfId="4" applyNumberFormat="1" applyFont="1" applyBorder="1"/>
    <xf numFmtId="179" fontId="27" fillId="0" borderId="15" xfId="4" applyNumberFormat="1" applyFont="1" applyBorder="1"/>
    <xf numFmtId="179" fontId="27" fillId="0" borderId="0" xfId="4" applyNumberFormat="1" applyFont="1" applyFill="1"/>
    <xf numFmtId="179" fontId="27" fillId="0" borderId="0" xfId="4" applyNumberFormat="1" applyFont="1" applyFill="1" applyBorder="1"/>
    <xf numFmtId="176" fontId="27" fillId="0" borderId="14" xfId="4" quotePrefix="1" applyFont="1" applyBorder="1" applyAlignment="1">
      <alignment horizontal="left"/>
    </xf>
    <xf numFmtId="180" fontId="27" fillId="0" borderId="0" xfId="4" applyNumberFormat="1" applyFont="1" applyFill="1" applyBorder="1"/>
    <xf numFmtId="175" fontId="33" fillId="0" borderId="0" xfId="2" applyNumberFormat="1" applyFont="1" applyFill="1" applyBorder="1"/>
    <xf numFmtId="175" fontId="27" fillId="0" borderId="15" xfId="2" applyNumberFormat="1" applyFont="1" applyBorder="1"/>
    <xf numFmtId="165" fontId="33" fillId="0" borderId="0" xfId="4" applyNumberFormat="1" applyFont="1" applyFill="1" applyBorder="1"/>
    <xf numFmtId="175" fontId="34" fillId="0" borderId="0" xfId="2" applyNumberFormat="1" applyFont="1" applyFill="1" applyBorder="1"/>
    <xf numFmtId="165" fontId="27" fillId="0" borderId="14" xfId="1" applyNumberFormat="1" applyFont="1" applyBorder="1" applyAlignment="1">
      <alignment horizontal="left" indent="5"/>
    </xf>
    <xf numFmtId="176" fontId="29" fillId="0" borderId="14" xfId="4" quotePrefix="1" applyFont="1" applyBorder="1" applyAlignment="1">
      <alignment horizontal="right"/>
    </xf>
    <xf numFmtId="176" fontId="29" fillId="0" borderId="14" xfId="4" applyFont="1" applyBorder="1" applyAlignment="1">
      <alignment horizontal="left"/>
    </xf>
    <xf numFmtId="176" fontId="27" fillId="0" borderId="14" xfId="4" applyFont="1" applyBorder="1" applyAlignment="1">
      <alignment horizontal="right"/>
    </xf>
    <xf numFmtId="165" fontId="33" fillId="0" borderId="0" xfId="1" applyNumberFormat="1" applyFont="1" applyBorder="1"/>
    <xf numFmtId="0" fontId="27" fillId="0" borderId="0" xfId="1" applyNumberFormat="1" applyFont="1" applyBorder="1"/>
    <xf numFmtId="175" fontId="33" fillId="0" borderId="0" xfId="2" applyNumberFormat="1" applyFont="1" applyBorder="1"/>
    <xf numFmtId="41" fontId="27" fillId="0" borderId="0" xfId="4" applyNumberFormat="1" applyFont="1" applyBorder="1"/>
    <xf numFmtId="179" fontId="27" fillId="0" borderId="0" xfId="4" applyNumberFormat="1" applyFont="1" applyBorder="1"/>
    <xf numFmtId="180" fontId="27" fillId="0" borderId="0" xfId="4" applyNumberFormat="1" applyFont="1" applyBorder="1"/>
    <xf numFmtId="176" fontId="29" fillId="0" borderId="14" xfId="4" quotePrefix="1" applyFont="1" applyBorder="1" applyAlignment="1">
      <alignment horizontal="left"/>
    </xf>
    <xf numFmtId="165" fontId="33" fillId="0" borderId="0" xfId="4" applyNumberFormat="1" applyFont="1" applyBorder="1"/>
    <xf numFmtId="176" fontId="29" fillId="0" borderId="14" xfId="4" quotePrefix="1" applyFont="1" applyBorder="1" applyAlignment="1">
      <alignment horizontal="center"/>
    </xf>
    <xf numFmtId="176" fontId="29" fillId="0" borderId="16" xfId="4" quotePrefix="1" applyFont="1" applyBorder="1" applyAlignment="1">
      <alignment horizontal="left"/>
    </xf>
    <xf numFmtId="176" fontId="27" fillId="0" borderId="6" xfId="4" applyFont="1" applyBorder="1"/>
    <xf numFmtId="165" fontId="27" fillId="0" borderId="6" xfId="4" applyNumberFormat="1" applyFont="1" applyBorder="1"/>
    <xf numFmtId="176" fontId="27" fillId="0" borderId="6" xfId="4" applyFont="1" applyBorder="1" applyAlignment="1">
      <alignment horizontal="right"/>
    </xf>
    <xf numFmtId="165" fontId="33" fillId="0" borderId="6" xfId="4" applyNumberFormat="1" applyFont="1" applyBorder="1"/>
    <xf numFmtId="176" fontId="27" fillId="0" borderId="17" xfId="4" applyFont="1" applyBorder="1"/>
    <xf numFmtId="0" fontId="31" fillId="0" borderId="0" xfId="0" quotePrefix="1" applyFont="1" applyFill="1" applyAlignment="1">
      <alignment horizontal="center" wrapText="1"/>
    </xf>
    <xf numFmtId="165" fontId="17" fillId="0" borderId="0" xfId="0" applyNumberFormat="1" applyFont="1" applyFill="1"/>
    <xf numFmtId="165" fontId="17" fillId="14" borderId="0" xfId="1" applyNumberFormat="1" applyFont="1" applyFill="1"/>
    <xf numFmtId="43" fontId="27" fillId="0" borderId="0" xfId="1" applyFont="1" applyAlignment="1">
      <alignment horizontal="left" indent="2"/>
    </xf>
    <xf numFmtId="0" fontId="31" fillId="0" borderId="0" xfId="4" quotePrefix="1" applyNumberFormat="1" applyFont="1" applyBorder="1" applyAlignment="1">
      <alignment horizontal="left"/>
    </xf>
    <xf numFmtId="43" fontId="100" fillId="0" borderId="0" xfId="12" applyFont="1"/>
    <xf numFmtId="0" fontId="6" fillId="0" borderId="0" xfId="11" applyFont="1"/>
    <xf numFmtId="181" fontId="6" fillId="0" borderId="0" xfId="11" applyNumberFormat="1" applyFont="1"/>
    <xf numFmtId="14" fontId="6" fillId="0" borderId="0" xfId="11" applyNumberFormat="1" applyFont="1"/>
    <xf numFmtId="0" fontId="6" fillId="0" borderId="0" xfId="11" quotePrefix="1" applyFont="1" applyAlignment="1">
      <alignment horizontal="left"/>
    </xf>
    <xf numFmtId="43" fontId="6" fillId="0" borderId="0" xfId="11" applyNumberFormat="1" applyFont="1"/>
    <xf numFmtId="43" fontId="6" fillId="0" borderId="0" xfId="13" applyFont="1"/>
    <xf numFmtId="44" fontId="4" fillId="4" borderId="0" xfId="2" applyFont="1" applyFill="1"/>
    <xf numFmtId="183" fontId="0" fillId="13" borderId="0" xfId="2" applyNumberFormat="1" applyFont="1" applyFill="1"/>
    <xf numFmtId="44" fontId="0" fillId="5" borderId="0" xfId="2" applyFont="1" applyFill="1"/>
    <xf numFmtId="2" fontId="0" fillId="0" borderId="0" xfId="0" applyNumberFormat="1" applyAlignment="1">
      <alignment horizontal="right"/>
    </xf>
    <xf numFmtId="2" fontId="21" fillId="0" borderId="0" xfId="0" applyNumberFormat="1" applyFont="1" applyAlignment="1">
      <alignment horizontal="right"/>
    </xf>
    <xf numFmtId="165" fontId="0" fillId="7" borderId="0" xfId="1" applyNumberFormat="1" applyFont="1" applyFill="1"/>
    <xf numFmtId="44" fontId="0" fillId="5" borderId="0" xfId="2" applyFont="1" applyFill="1" applyBorder="1"/>
    <xf numFmtId="37" fontId="0" fillId="17" borderId="0" xfId="0" applyNumberFormat="1" applyFill="1"/>
    <xf numFmtId="175" fontId="0" fillId="17" borderId="0" xfId="2" applyNumberFormat="1" applyFont="1" applyFill="1"/>
    <xf numFmtId="37" fontId="0" fillId="0" borderId="0" xfId="0" applyNumberFormat="1" applyFill="1"/>
    <xf numFmtId="0" fontId="4" fillId="14" borderId="0" xfId="0" quotePrefix="1" applyNumberFormat="1" applyFont="1" applyFill="1" applyAlignment="1">
      <alignment horizontal="left"/>
    </xf>
    <xf numFmtId="0" fontId="0" fillId="0" borderId="0" xfId="0" quotePrefix="1" applyBorder="1" applyAlignment="1">
      <alignment horizontal="left"/>
    </xf>
    <xf numFmtId="0" fontId="0" fillId="0" borderId="0" xfId="0" applyBorder="1" applyAlignment="1">
      <alignment horizontal="center" wrapText="1"/>
    </xf>
    <xf numFmtId="0" fontId="0" fillId="0" borderId="0" xfId="0" applyNumberFormat="1" applyBorder="1"/>
    <xf numFmtId="41" fontId="11" fillId="0" borderId="0" xfId="2105" applyFont="1"/>
    <xf numFmtId="41" fontId="11" fillId="0" borderId="0" xfId="2105" quotePrefix="1" applyFont="1" applyAlignment="1">
      <alignment horizontal="left"/>
    </xf>
    <xf numFmtId="176" fontId="13" fillId="0" borderId="0" xfId="4" applyFont="1" applyAlignment="1">
      <alignment horizontal="right"/>
    </xf>
    <xf numFmtId="176" fontId="13" fillId="0" borderId="6" xfId="4" quotePrefix="1" applyNumberFormat="1" applyFont="1" applyBorder="1" applyAlignment="1">
      <alignment horizontal="center"/>
    </xf>
    <xf numFmtId="15" fontId="13" fillId="0" borderId="6" xfId="4" applyNumberFormat="1" applyFont="1" applyBorder="1" applyAlignment="1">
      <alignment horizontal="right"/>
    </xf>
    <xf numFmtId="176" fontId="13" fillId="0" borderId="0" xfId="4" applyFont="1"/>
    <xf numFmtId="176" fontId="11" fillId="0" borderId="0" xfId="4" applyFont="1" applyAlignment="1">
      <alignment horizontal="right"/>
    </xf>
    <xf numFmtId="176" fontId="12" fillId="0" borderId="0" xfId="4" applyFont="1" applyAlignment="1">
      <alignment horizontal="right"/>
    </xf>
    <xf numFmtId="164" fontId="12" fillId="0" borderId="0" xfId="13" applyNumberFormat="1" applyFont="1" applyAlignment="1">
      <alignment horizontal="right"/>
    </xf>
    <xf numFmtId="185" fontId="12" fillId="0" borderId="0" xfId="1360" applyNumberFormat="1" applyFont="1" applyAlignment="1" applyProtection="1">
      <alignment horizontal="right"/>
    </xf>
    <xf numFmtId="176" fontId="11" fillId="0" borderId="0" xfId="4" quotePrefix="1" applyFont="1" applyAlignment="1">
      <alignment horizontal="left"/>
    </xf>
    <xf numFmtId="176" fontId="11" fillId="0" borderId="0" xfId="4" quotePrefix="1" applyFont="1" applyAlignment="1">
      <alignment horizontal="left" indent="2"/>
    </xf>
    <xf numFmtId="165" fontId="11" fillId="0" borderId="0" xfId="13" applyNumberFormat="1" applyFont="1"/>
    <xf numFmtId="165" fontId="11" fillId="0" borderId="0" xfId="13" applyNumberFormat="1" applyFont="1" applyFill="1"/>
    <xf numFmtId="165" fontId="14" fillId="0" borderId="0" xfId="13" applyNumberFormat="1" applyFont="1"/>
    <xf numFmtId="176" fontId="11" fillId="0" borderId="0" xfId="4" applyFont="1" applyAlignment="1">
      <alignment horizontal="left"/>
    </xf>
    <xf numFmtId="41" fontId="11" fillId="0" borderId="0" xfId="2105" applyFont="1" applyAlignment="1">
      <alignment horizontal="left" indent="1"/>
    </xf>
    <xf numFmtId="41" fontId="11" fillId="0" borderId="0" xfId="2105" quotePrefix="1" applyFont="1" applyAlignment="1">
      <alignment horizontal="left" indent="1"/>
    </xf>
    <xf numFmtId="41" fontId="11" fillId="0" borderId="0" xfId="2105" applyFont="1" applyAlignment="1">
      <alignment horizontal="left"/>
    </xf>
    <xf numFmtId="165" fontId="11" fillId="0" borderId="0" xfId="13" applyNumberFormat="1" applyFont="1" applyAlignment="1">
      <alignment horizontal="center"/>
    </xf>
    <xf numFmtId="43" fontId="102" fillId="0" borderId="0" xfId="4" applyNumberFormat="1" applyFont="1" applyFill="1" applyAlignment="1">
      <alignment horizontal="center"/>
    </xf>
    <xf numFmtId="176" fontId="102" fillId="0" borderId="0" xfId="4" applyFont="1" applyFill="1" applyAlignment="1">
      <alignment horizontal="center"/>
    </xf>
    <xf numFmtId="165" fontId="12" fillId="0" borderId="0" xfId="13" applyNumberFormat="1" applyFont="1"/>
    <xf numFmtId="165" fontId="13" fillId="0" borderId="0" xfId="13" quotePrefix="1" applyNumberFormat="1" applyFont="1" applyBorder="1" applyAlignment="1">
      <alignment horizontal="center"/>
    </xf>
    <xf numFmtId="165" fontId="13" fillId="0" borderId="0" xfId="13" applyNumberFormat="1" applyFont="1" applyBorder="1" applyAlignment="1">
      <alignment horizontal="center"/>
    </xf>
    <xf numFmtId="164" fontId="103" fillId="0" borderId="0" xfId="13" quotePrefix="1" applyNumberFormat="1" applyFont="1" applyBorder="1" applyAlignment="1">
      <alignment horizontal="center"/>
    </xf>
    <xf numFmtId="176" fontId="102" fillId="76" borderId="0" xfId="4" applyFont="1" applyFill="1" applyAlignment="1">
      <alignment horizontal="center"/>
    </xf>
    <xf numFmtId="43" fontId="102" fillId="76" borderId="0" xfId="4" applyNumberFormat="1" applyFont="1" applyFill="1" applyAlignment="1">
      <alignment horizontal="center"/>
    </xf>
    <xf numFmtId="37" fontId="0" fillId="0" borderId="0" xfId="0" applyNumberFormat="1" applyFont="1" applyFill="1"/>
    <xf numFmtId="175" fontId="5" fillId="0" borderId="0" xfId="2" applyNumberFormat="1" applyFont="1" applyFill="1"/>
    <xf numFmtId="165" fontId="100" fillId="0" borderId="0" xfId="1" applyNumberFormat="1" applyFont="1"/>
    <xf numFmtId="0" fontId="100" fillId="0" borderId="0" xfId="0" applyFont="1"/>
    <xf numFmtId="173" fontId="4" fillId="0" borderId="0" xfId="0" applyNumberFormat="1" applyFont="1" applyProtection="1">
      <protection locked="0"/>
    </xf>
    <xf numFmtId="14" fontId="4" fillId="0" borderId="0" xfId="0" applyNumberFormat="1" applyFont="1" applyProtection="1">
      <protection locked="0"/>
    </xf>
    <xf numFmtId="0" fontId="4" fillId="0" borderId="0" xfId="0" applyFont="1" applyProtection="1">
      <protection locked="0"/>
    </xf>
    <xf numFmtId="0" fontId="4" fillId="0" borderId="0" xfId="0" applyNumberFormat="1" applyFont="1" applyProtection="1">
      <protection locked="0"/>
    </xf>
    <xf numFmtId="0" fontId="4" fillId="0" borderId="0" xfId="0" quotePrefix="1" applyNumberFormat="1" applyFont="1" applyAlignment="1" applyProtection="1">
      <alignment horizontal="left"/>
      <protection locked="0"/>
    </xf>
    <xf numFmtId="0" fontId="4" fillId="0" borderId="0" xfId="0" applyNumberFormat="1" applyFont="1" applyAlignment="1" applyProtection="1">
      <alignment horizontal="left"/>
      <protection locked="0"/>
    </xf>
    <xf numFmtId="0" fontId="4" fillId="0" borderId="0" xfId="0" quotePrefix="1" applyFont="1" applyAlignment="1" applyProtection="1">
      <alignment horizontal="left"/>
      <protection locked="0"/>
    </xf>
    <xf numFmtId="0" fontId="4" fillId="5" borderId="0" xfId="0" quotePrefix="1" applyNumberFormat="1" applyFont="1" applyFill="1" applyAlignment="1" applyProtection="1">
      <alignment horizontal="left"/>
      <protection locked="0"/>
    </xf>
    <xf numFmtId="0" fontId="4" fillId="5" borderId="0" xfId="0" applyNumberFormat="1" applyFont="1" applyFill="1" applyProtection="1">
      <protection locked="0"/>
    </xf>
    <xf numFmtId="165" fontId="2" fillId="0" borderId="0" xfId="1" applyNumberFormat="1" applyFont="1"/>
    <xf numFmtId="37" fontId="104" fillId="0" borderId="0" xfId="0" applyNumberFormat="1" applyFont="1"/>
    <xf numFmtId="175" fontId="11" fillId="0" borderId="0" xfId="2" applyNumberFormat="1" applyFont="1"/>
    <xf numFmtId="186" fontId="11" fillId="0" borderId="0" xfId="4" applyNumberFormat="1" applyFont="1"/>
    <xf numFmtId="176" fontId="11" fillId="0" borderId="0" xfId="4" applyFont="1" applyAlignment="1">
      <alignment horizontal="left" indent="2"/>
    </xf>
    <xf numFmtId="175" fontId="14" fillId="0" borderId="0" xfId="2" applyNumberFormat="1" applyFont="1"/>
    <xf numFmtId="165" fontId="14" fillId="0" borderId="0" xfId="13" applyNumberFormat="1" applyFont="1" applyFill="1"/>
    <xf numFmtId="175" fontId="11" fillId="0" borderId="0" xfId="2" applyNumberFormat="1" applyFont="1" applyAlignment="1">
      <alignment horizontal="center"/>
    </xf>
    <xf numFmtId="165" fontId="105" fillId="15" borderId="0" xfId="13" applyNumberFormat="1" applyFont="1" applyFill="1" applyAlignment="1">
      <alignment horizontal="center"/>
    </xf>
    <xf numFmtId="165" fontId="11" fillId="15" borderId="0" xfId="13" applyNumberFormat="1" applyFont="1" applyFill="1"/>
    <xf numFmtId="165" fontId="11" fillId="15" borderId="0" xfId="13" quotePrefix="1" applyNumberFormat="1" applyFont="1" applyFill="1" applyAlignment="1">
      <alignment horizontal="left"/>
    </xf>
    <xf numFmtId="165" fontId="11" fillId="15" borderId="0" xfId="13" applyNumberFormat="1" applyFont="1" applyFill="1" applyAlignment="1">
      <alignment horizontal="left"/>
    </xf>
    <xf numFmtId="176" fontId="13" fillId="15" borderId="0" xfId="4" applyFont="1" applyFill="1"/>
    <xf numFmtId="41" fontId="11" fillId="15" borderId="0" xfId="2105" applyFont="1" applyFill="1" applyAlignment="1">
      <alignment horizontal="left"/>
    </xf>
    <xf numFmtId="41" fontId="11" fillId="15" borderId="0" xfId="2105" applyFont="1" applyFill="1"/>
    <xf numFmtId="165" fontId="11" fillId="15" borderId="0" xfId="13" applyNumberFormat="1" applyFont="1" applyFill="1" applyAlignment="1">
      <alignment horizontal="center"/>
    </xf>
    <xf numFmtId="41" fontId="11" fillId="0" borderId="0" xfId="1782" applyFont="1" applyFill="1"/>
    <xf numFmtId="41" fontId="11" fillId="0" borderId="0" xfId="1782" applyFont="1" applyFill="1" applyAlignment="1">
      <alignment horizontal="center"/>
    </xf>
    <xf numFmtId="41" fontId="13" fillId="0" borderId="0" xfId="1782" applyFont="1" applyFill="1" applyBorder="1" applyAlignment="1">
      <alignment horizontal="left"/>
    </xf>
    <xf numFmtId="0" fontId="100" fillId="0" borderId="0" xfId="0" applyFont="1" applyAlignment="1">
      <alignment horizontal="center" wrapText="1"/>
    </xf>
    <xf numFmtId="0" fontId="100" fillId="0" borderId="0" xfId="0" quotePrefix="1" applyFont="1" applyAlignment="1">
      <alignment horizontal="center" wrapText="1"/>
    </xf>
    <xf numFmtId="44" fontId="100" fillId="0" borderId="0" xfId="0" applyNumberFormat="1" applyFont="1"/>
    <xf numFmtId="44" fontId="100" fillId="0" borderId="0" xfId="2" applyFont="1"/>
    <xf numFmtId="0" fontId="100" fillId="0" borderId="0" xfId="0" applyFont="1" applyFill="1"/>
    <xf numFmtId="0" fontId="100" fillId="0" borderId="0" xfId="0" quotePrefix="1" applyFont="1" applyAlignment="1">
      <alignment horizontal="left"/>
    </xf>
    <xf numFmtId="165" fontId="100" fillId="0" borderId="0" xfId="0" applyNumberFormat="1" applyFont="1"/>
    <xf numFmtId="0" fontId="100" fillId="0" borderId="0" xfId="0" applyFont="1" applyAlignment="1">
      <alignment horizontal="left"/>
    </xf>
    <xf numFmtId="44" fontId="100" fillId="7" borderId="0" xfId="0" applyNumberFormat="1" applyFont="1" applyFill="1"/>
    <xf numFmtId="184" fontId="0" fillId="0" borderId="0" xfId="1" applyNumberFormat="1" applyFont="1"/>
    <xf numFmtId="166" fontId="0" fillId="0" borderId="0" xfId="2" applyNumberFormat="1" applyFont="1"/>
    <xf numFmtId="175" fontId="2" fillId="0" borderId="0" xfId="2" applyNumberFormat="1" applyFont="1"/>
    <xf numFmtId="44" fontId="2" fillId="0" borderId="0" xfId="2" applyFont="1"/>
    <xf numFmtId="41" fontId="11" fillId="0" borderId="0" xfId="1782" applyFont="1"/>
    <xf numFmtId="41" fontId="11" fillId="0" borderId="0" xfId="1782" quotePrefix="1" applyFont="1" applyAlignment="1">
      <alignment horizontal="left"/>
    </xf>
    <xf numFmtId="41" fontId="11" fillId="0" borderId="0" xfId="1782" applyFont="1" applyAlignment="1">
      <alignment horizontal="center"/>
    </xf>
    <xf numFmtId="41" fontId="11" fillId="0" borderId="0" xfId="1782" applyFont="1" applyAlignment="1">
      <alignment horizontal="left" indent="1"/>
    </xf>
    <xf numFmtId="41" fontId="14" fillId="0" borderId="0" xfId="1782" applyFont="1"/>
    <xf numFmtId="41" fontId="11" fillId="0" borderId="0" xfId="1782" applyFont="1" applyAlignment="1">
      <alignment horizontal="left"/>
    </xf>
    <xf numFmtId="41" fontId="11" fillId="0" borderId="0" xfId="1782" applyFont="1" applyAlignment="1">
      <alignment horizontal="right"/>
    </xf>
    <xf numFmtId="41" fontId="11" fillId="0" borderId="0" xfId="1782" quotePrefix="1" applyFont="1" applyAlignment="1">
      <alignment horizontal="right"/>
    </xf>
    <xf numFmtId="44" fontId="11" fillId="0" borderId="0" xfId="1360" applyFont="1" applyFill="1"/>
    <xf numFmtId="0" fontId="100" fillId="0" borderId="0" xfId="0" quotePrefix="1" applyFont="1" applyAlignment="1">
      <alignment horizontal="centerContinuous" wrapText="1"/>
    </xf>
    <xf numFmtId="0" fontId="100" fillId="0" borderId="0" xfId="0" applyFont="1" applyAlignment="1">
      <alignment horizontal="centerContinuous" wrapText="1"/>
    </xf>
    <xf numFmtId="175" fontId="5" fillId="0" borderId="0" xfId="0" applyNumberFormat="1" applyFont="1"/>
    <xf numFmtId="175" fontId="0" fillId="0" borderId="0" xfId="0" quotePrefix="1" applyNumberFormat="1" applyAlignment="1">
      <alignment horizontal="left"/>
    </xf>
    <xf numFmtId="175" fontId="0" fillId="0" borderId="0" xfId="2" applyNumberFormat="1" applyFont="1" applyFill="1"/>
    <xf numFmtId="41" fontId="13" fillId="0" borderId="0" xfId="1782" applyFont="1" applyFill="1" applyBorder="1" applyAlignment="1">
      <alignment horizontal="center"/>
    </xf>
    <xf numFmtId="175" fontId="0" fillId="0" borderId="13" xfId="2" applyNumberFormat="1" applyFont="1" applyBorder="1"/>
    <xf numFmtId="43" fontId="17" fillId="0" borderId="0" xfId="1" applyFont="1" applyFill="1"/>
    <xf numFmtId="43" fontId="6" fillId="4" borderId="0" xfId="11" applyNumberFormat="1" applyFont="1" applyFill="1"/>
    <xf numFmtId="43" fontId="19" fillId="0" borderId="0" xfId="5" applyNumberFormat="1" applyFont="1" applyBorder="1" applyAlignment="1">
      <alignment horizontal="center"/>
    </xf>
    <xf numFmtId="0" fontId="100" fillId="0" borderId="0" xfId="0" quotePrefix="1" applyFont="1" applyAlignment="1">
      <alignment horizontal="center" wrapText="1"/>
    </xf>
    <xf numFmtId="0" fontId="100" fillId="0" borderId="0" xfId="0" applyFont="1" applyAlignment="1">
      <alignment horizontal="center" wrapText="1"/>
    </xf>
    <xf numFmtId="165" fontId="0" fillId="0" borderId="0" xfId="1" quotePrefix="1" applyNumberFormat="1" applyFont="1" applyAlignment="1">
      <alignment horizontal="left"/>
    </xf>
    <xf numFmtId="165" fontId="0" fillId="0" borderId="0" xfId="1" applyNumberFormat="1" applyFont="1" applyAlignment="1">
      <alignment horizontal="left" indent="1"/>
    </xf>
    <xf numFmtId="175" fontId="0" fillId="0" borderId="0" xfId="2" quotePrefix="1" applyNumberFormat="1" applyFont="1" applyAlignment="1">
      <alignment horizontal="left"/>
    </xf>
    <xf numFmtId="165" fontId="0" fillId="0" borderId="0" xfId="1" applyNumberFormat="1" applyFont="1" applyAlignment="1">
      <alignment horizontal="centerContinuous"/>
    </xf>
    <xf numFmtId="166" fontId="0" fillId="0" borderId="0" xfId="2" quotePrefix="1" applyNumberFormat="1" applyFont="1" applyAlignment="1">
      <alignment horizontal="left"/>
    </xf>
    <xf numFmtId="165" fontId="100" fillId="0" borderId="0" xfId="1" applyNumberFormat="1" applyFont="1" applyFill="1"/>
    <xf numFmtId="0" fontId="100" fillId="0" borderId="0" xfId="0" quotePrefix="1" applyFont="1" applyFill="1" applyAlignment="1">
      <alignment horizontal="left"/>
    </xf>
    <xf numFmtId="168" fontId="106" fillId="0" borderId="0" xfId="0" applyNumberFormat="1" applyFont="1" applyFill="1" applyBorder="1" applyAlignment="1">
      <alignment horizontal="left" vertical="center" wrapText="1"/>
    </xf>
    <xf numFmtId="0" fontId="0" fillId="0" borderId="0" xfId="0" applyFont="1" applyAlignment="1">
      <alignment horizontal="center" wrapText="1"/>
    </xf>
    <xf numFmtId="0" fontId="0" fillId="0" borderId="0" xfId="0" quotePrefix="1" applyFont="1" applyAlignment="1">
      <alignment horizontal="center" wrapText="1"/>
    </xf>
    <xf numFmtId="0" fontId="0" fillId="0" borderId="0" xfId="0" quotePrefix="1" applyFont="1" applyAlignment="1">
      <alignment horizontal="left"/>
    </xf>
    <xf numFmtId="41" fontId="17" fillId="0" borderId="0" xfId="0" applyNumberFormat="1" applyFont="1" applyFill="1"/>
    <xf numFmtId="0" fontId="0" fillId="0" borderId="0" xfId="0" applyFont="1" applyFill="1"/>
    <xf numFmtId="174" fontId="0" fillId="0" borderId="0" xfId="0" applyNumberFormat="1" applyFont="1" applyAlignment="1">
      <alignment horizontal="center"/>
    </xf>
    <xf numFmtId="0" fontId="0" fillId="0" borderId="0" xfId="0" applyFont="1" applyAlignment="1">
      <alignment horizontal="centerContinuous"/>
    </xf>
    <xf numFmtId="0" fontId="0" fillId="0" borderId="0" xfId="0" applyFont="1" applyAlignment="1">
      <alignment horizontal="right"/>
    </xf>
    <xf numFmtId="0" fontId="0" fillId="0" borderId="0" xfId="0" applyFont="1" applyAlignment="1">
      <alignment horizontal="left"/>
    </xf>
    <xf numFmtId="175" fontId="0" fillId="0" borderId="0" xfId="0" applyNumberFormat="1" applyFont="1"/>
    <xf numFmtId="0" fontId="100" fillId="78" borderId="0" xfId="0" applyFont="1" applyFill="1"/>
    <xf numFmtId="0" fontId="0" fillId="78" borderId="0" xfId="0" applyFill="1"/>
    <xf numFmtId="37" fontId="0" fillId="78" borderId="0" xfId="0" applyNumberFormat="1" applyFill="1"/>
    <xf numFmtId="175" fontId="0" fillId="0" borderId="0" xfId="0" applyNumberFormat="1" applyFill="1"/>
    <xf numFmtId="0" fontId="4" fillId="5" borderId="0" xfId="0" applyFont="1" applyFill="1" applyProtection="1">
      <protection locked="0"/>
    </xf>
    <xf numFmtId="0" fontId="4" fillId="0" borderId="0" xfId="0" applyFont="1" applyFill="1" applyProtection="1">
      <protection locked="0"/>
    </xf>
    <xf numFmtId="43" fontId="11" fillId="0" borderId="0" xfId="13" applyFont="1"/>
    <xf numFmtId="0" fontId="11" fillId="0" borderId="0" xfId="1782" applyNumberFormat="1" applyFont="1"/>
    <xf numFmtId="41" fontId="11" fillId="0" borderId="0" xfId="1782" quotePrefix="1" applyFont="1" applyAlignment="1">
      <alignment horizontal="center"/>
    </xf>
    <xf numFmtId="0" fontId="100" fillId="0" borderId="21" xfId="0" applyFont="1" applyBorder="1"/>
    <xf numFmtId="0" fontId="100" fillId="0" borderId="14" xfId="0" quotePrefix="1" applyFont="1" applyBorder="1" applyAlignment="1">
      <alignment horizontal="center" wrapText="1"/>
    </xf>
    <xf numFmtId="0" fontId="100" fillId="0" borderId="0" xfId="0" quotePrefix="1" applyFont="1" applyBorder="1" applyAlignment="1">
      <alignment horizontal="center" wrapText="1"/>
    </xf>
    <xf numFmtId="0" fontId="100" fillId="0" borderId="15" xfId="0" quotePrefix="1" applyFont="1" applyBorder="1" applyAlignment="1">
      <alignment horizontal="center" wrapText="1"/>
    </xf>
    <xf numFmtId="0" fontId="100" fillId="0" borderId="14" xfId="0" applyFont="1" applyBorder="1"/>
    <xf numFmtId="0" fontId="100" fillId="0" borderId="0" xfId="0" applyFont="1" applyBorder="1"/>
    <xf numFmtId="0" fontId="100" fillId="0" borderId="15" xfId="0" applyFont="1" applyBorder="1"/>
    <xf numFmtId="165" fontId="100" fillId="0" borderId="14" xfId="0" applyNumberFormat="1" applyFont="1" applyBorder="1"/>
    <xf numFmtId="165" fontId="100" fillId="0" borderId="0" xfId="0" applyNumberFormat="1" applyFont="1" applyBorder="1"/>
    <xf numFmtId="165" fontId="100" fillId="0" borderId="15" xfId="0" applyNumberFormat="1" applyFont="1" applyBorder="1"/>
    <xf numFmtId="165" fontId="107" fillId="0" borderId="14" xfId="0" applyNumberFormat="1" applyFont="1" applyBorder="1"/>
    <xf numFmtId="165" fontId="107" fillId="0" borderId="0" xfId="0" applyNumberFormat="1" applyFont="1" applyBorder="1"/>
    <xf numFmtId="165" fontId="107" fillId="0" borderId="15" xfId="0" applyNumberFormat="1" applyFont="1" applyBorder="1"/>
    <xf numFmtId="165" fontId="100" fillId="0" borderId="16" xfId="0" applyNumberFormat="1" applyFont="1" applyBorder="1"/>
    <xf numFmtId="165" fontId="100" fillId="0" borderId="6" xfId="0" applyNumberFormat="1" applyFont="1" applyBorder="1"/>
    <xf numFmtId="165" fontId="100" fillId="0" borderId="17" xfId="0" applyNumberFormat="1" applyFont="1" applyBorder="1"/>
    <xf numFmtId="0" fontId="100" fillId="0" borderId="21" xfId="0" quotePrefix="1" applyFont="1" applyBorder="1" applyAlignment="1">
      <alignment horizontal="centerContinuous" wrapText="1"/>
    </xf>
    <xf numFmtId="0" fontId="100" fillId="0" borderId="22" xfId="0" applyFont="1" applyBorder="1" applyAlignment="1">
      <alignment horizontal="centerContinuous" wrapText="1"/>
    </xf>
    <xf numFmtId="0" fontId="100" fillId="0" borderId="23" xfId="0" applyFont="1" applyBorder="1" applyAlignment="1">
      <alignment horizontal="centerContinuous" wrapText="1"/>
    </xf>
    <xf numFmtId="0" fontId="100" fillId="0" borderId="0" xfId="0" applyFont="1" applyBorder="1" applyAlignment="1">
      <alignment horizontal="center" wrapText="1"/>
    </xf>
    <xf numFmtId="44" fontId="100" fillId="0" borderId="14" xfId="2" applyFont="1" applyBorder="1"/>
    <xf numFmtId="44" fontId="100" fillId="0" borderId="0" xfId="2" applyFont="1" applyBorder="1"/>
    <xf numFmtId="44" fontId="100" fillId="0" borderId="15" xfId="2" applyFont="1" applyBorder="1"/>
    <xf numFmtId="44" fontId="107" fillId="0" borderId="14" xfId="2" applyFont="1" applyBorder="1"/>
    <xf numFmtId="44" fontId="107" fillId="0" borderId="0" xfId="2" applyFont="1" applyBorder="1"/>
    <xf numFmtId="44" fontId="107" fillId="0" borderId="15" xfId="2" applyFont="1" applyBorder="1"/>
    <xf numFmtId="0" fontId="100" fillId="0" borderId="21" xfId="0" applyFont="1" applyBorder="1" applyAlignment="1">
      <alignment horizontal="centerContinuous" wrapText="1"/>
    </xf>
    <xf numFmtId="44" fontId="110" fillId="0" borderId="16" xfId="2" applyFont="1" applyBorder="1"/>
    <xf numFmtId="44" fontId="110" fillId="0" borderId="6" xfId="2" applyFont="1" applyBorder="1"/>
    <xf numFmtId="44" fontId="110" fillId="0" borderId="17" xfId="2" applyFont="1" applyBorder="1"/>
    <xf numFmtId="44" fontId="100" fillId="0" borderId="18" xfId="0" applyNumberFormat="1" applyFont="1" applyBorder="1"/>
    <xf numFmtId="44" fontId="100" fillId="0" borderId="19" xfId="0" applyNumberFormat="1" applyFont="1" applyBorder="1"/>
    <xf numFmtId="44" fontId="100" fillId="0" borderId="20" xfId="0" applyNumberFormat="1" applyFont="1" applyBorder="1"/>
    <xf numFmtId="10" fontId="11" fillId="0" borderId="0" xfId="3" applyNumberFormat="1" applyFont="1"/>
    <xf numFmtId="165" fontId="0" fillId="15" borderId="0" xfId="1" applyNumberFormat="1" applyFont="1" applyFill="1"/>
    <xf numFmtId="43" fontId="19" fillId="6" borderId="0" xfId="1" applyFont="1" applyFill="1" applyBorder="1" applyAlignment="1">
      <alignment horizontal="right"/>
    </xf>
    <xf numFmtId="43" fontId="18" fillId="0" borderId="0" xfId="1" applyFont="1" applyAlignment="1"/>
    <xf numFmtId="175" fontId="113" fillId="0" borderId="0" xfId="0" applyNumberFormat="1" applyFont="1"/>
    <xf numFmtId="175" fontId="14" fillId="0" borderId="0" xfId="1360" applyNumberFormat="1" applyFont="1"/>
    <xf numFmtId="175" fontId="11" fillId="0" borderId="0" xfId="1360" applyNumberFormat="1" applyFont="1"/>
    <xf numFmtId="0" fontId="21" fillId="0" borderId="0" xfId="0" quotePrefix="1" applyFont="1" applyAlignment="1">
      <alignment horizontal="left" indent="1"/>
    </xf>
    <xf numFmtId="0" fontId="7" fillId="0" borderId="0" xfId="0" quotePrefix="1" applyFont="1" applyAlignment="1">
      <alignment horizontal="left" indent="1"/>
    </xf>
    <xf numFmtId="174" fontId="11" fillId="0" borderId="0" xfId="1782" applyNumberFormat="1" applyFont="1" applyAlignment="1">
      <alignment horizontal="center"/>
    </xf>
    <xf numFmtId="41" fontId="0" fillId="0" borderId="0" xfId="0" applyNumberFormat="1"/>
    <xf numFmtId="196" fontId="0" fillId="0" borderId="0" xfId="0" applyNumberFormat="1"/>
    <xf numFmtId="41" fontId="5" fillId="0" borderId="0" xfId="0" applyNumberFormat="1" applyFont="1"/>
    <xf numFmtId="0" fontId="111" fillId="15" borderId="0" xfId="0" applyFont="1" applyFill="1"/>
    <xf numFmtId="0" fontId="0" fillId="15" borderId="0" xfId="0" applyFill="1" applyAlignment="1">
      <alignment wrapText="1"/>
    </xf>
    <xf numFmtId="0" fontId="0" fillId="15" borderId="0" xfId="0" applyFill="1" applyAlignment="1">
      <alignment horizontal="center" wrapText="1"/>
    </xf>
    <xf numFmtId="9" fontId="0" fillId="15" borderId="0" xfId="3" applyFont="1" applyFill="1"/>
    <xf numFmtId="0" fontId="13" fillId="0" borderId="0" xfId="1782" applyNumberFormat="1" applyFont="1" applyFill="1" applyBorder="1" applyAlignment="1">
      <alignment horizontal="center"/>
    </xf>
    <xf numFmtId="41" fontId="11" fillId="0" borderId="0" xfId="1782" applyFont="1" applyBorder="1" applyAlignment="1">
      <alignment horizontal="center" vertical="center" wrapText="1"/>
    </xf>
    <xf numFmtId="41" fontId="11" fillId="0" borderId="0" xfId="1782" applyFont="1" applyAlignment="1">
      <alignment horizontal="center" vertical="center" wrapText="1"/>
    </xf>
    <xf numFmtId="41" fontId="11" fillId="0" borderId="0" xfId="1782" quotePrefix="1" applyFont="1" applyAlignment="1">
      <alignment horizontal="center" vertical="center" wrapText="1"/>
    </xf>
    <xf numFmtId="41" fontId="11" fillId="0" borderId="0" xfId="1782" quotePrefix="1" applyFont="1" applyFill="1" applyAlignment="1">
      <alignment horizontal="center" vertical="center" wrapText="1"/>
    </xf>
    <xf numFmtId="41" fontId="11" fillId="0" borderId="0" xfId="1782" applyFont="1" applyFill="1" applyAlignment="1">
      <alignment horizontal="center" vertical="center" wrapText="1"/>
    </xf>
    <xf numFmtId="43" fontId="11" fillId="0" borderId="0" xfId="13" quotePrefix="1" applyFont="1" applyAlignment="1">
      <alignment horizontal="center" wrapText="1"/>
    </xf>
    <xf numFmtId="41" fontId="11" fillId="0" borderId="0" xfId="1782" applyFont="1" applyAlignment="1">
      <alignment horizontal="center" wrapText="1"/>
    </xf>
    <xf numFmtId="41" fontId="11" fillId="0" borderId="0" xfId="1782" applyFont="1" applyFill="1" applyAlignment="1">
      <alignment horizontal="center" wrapText="1"/>
    </xf>
    <xf numFmtId="41" fontId="11" fillId="0" borderId="0" xfId="1782" quotePrefix="1" applyFont="1" applyFill="1" applyAlignment="1">
      <alignment horizontal="center" wrapText="1"/>
    </xf>
    <xf numFmtId="0" fontId="102" fillId="0" borderId="5" xfId="1782" quotePrefix="1" applyNumberFormat="1" applyFont="1" applyBorder="1" applyAlignment="1">
      <alignment horizontal="left"/>
    </xf>
    <xf numFmtId="41" fontId="102" fillId="0" borderId="5" xfId="1782" applyFont="1" applyBorder="1"/>
    <xf numFmtId="41" fontId="102" fillId="0" borderId="5" xfId="1782" quotePrefix="1" applyFont="1" applyBorder="1" applyAlignment="1">
      <alignment horizontal="center"/>
    </xf>
    <xf numFmtId="41" fontId="102" fillId="0" borderId="5" xfId="1782" applyFont="1" applyBorder="1" applyAlignment="1">
      <alignment horizontal="center"/>
    </xf>
    <xf numFmtId="41" fontId="102" fillId="0" borderId="5" xfId="1782" applyFont="1" applyBorder="1" applyAlignment="1">
      <alignment horizontal="center" wrapText="1"/>
    </xf>
    <xf numFmtId="41" fontId="102" fillId="0" borderId="5" xfId="1782" quotePrefix="1" applyFont="1" applyBorder="1" applyAlignment="1">
      <alignment horizontal="center" wrapText="1"/>
    </xf>
    <xf numFmtId="0" fontId="11" fillId="0" borderId="0" xfId="2103" applyNumberFormat="1" applyFont="1" applyBorder="1"/>
    <xf numFmtId="166" fontId="11" fillId="0" borderId="0" xfId="1360" applyNumberFormat="1" applyFont="1"/>
    <xf numFmtId="44" fontId="11" fillId="0" borderId="0" xfId="1360" applyFont="1"/>
    <xf numFmtId="10" fontId="11" fillId="0" borderId="0" xfId="1986" applyNumberFormat="1" applyFont="1"/>
    <xf numFmtId="166" fontId="11" fillId="0" borderId="0" xfId="2" applyNumberFormat="1" applyFont="1"/>
    <xf numFmtId="0" fontId="11" fillId="0" borderId="0" xfId="2103" quotePrefix="1" applyNumberFormat="1" applyFont="1" applyBorder="1" applyAlignment="1">
      <alignment horizontal="left"/>
    </xf>
    <xf numFmtId="0" fontId="11" fillId="0" borderId="0" xfId="13" applyNumberFormat="1" applyFont="1" applyBorder="1" applyAlignment="1" applyProtection="1">
      <alignment horizontal="center"/>
    </xf>
    <xf numFmtId="44" fontId="11" fillId="0" borderId="0" xfId="2" applyFont="1"/>
    <xf numFmtId="44" fontId="11" fillId="0" borderId="0" xfId="1360" applyNumberFormat="1" applyFont="1"/>
    <xf numFmtId="43" fontId="11" fillId="0" borderId="0" xfId="1" applyFont="1"/>
    <xf numFmtId="0" fontId="0" fillId="0" borderId="0" xfId="1" applyNumberFormat="1" applyFont="1" applyFill="1"/>
    <xf numFmtId="0" fontId="0" fillId="0" borderId="0" xfId="1" quotePrefix="1" applyNumberFormat="1" applyFont="1" applyFill="1" applyAlignment="1">
      <alignment horizontal="left"/>
    </xf>
    <xf numFmtId="41" fontId="11" fillId="0" borderId="0" xfId="1782" quotePrefix="1" applyFont="1" applyAlignment="1">
      <alignment horizontal="center" wrapText="1"/>
    </xf>
    <xf numFmtId="41" fontId="11" fillId="0" borderId="0" xfId="1782" applyNumberFormat="1" applyFont="1"/>
    <xf numFmtId="0" fontId="11" fillId="0" borderId="0" xfId="1" applyNumberFormat="1" applyFont="1"/>
    <xf numFmtId="41" fontId="13" fillId="15" borderId="0" xfId="1782" applyFont="1" applyFill="1"/>
    <xf numFmtId="41" fontId="11" fillId="15" borderId="0" xfId="1782" applyFont="1" applyFill="1"/>
    <xf numFmtId="43" fontId="11" fillId="0" borderId="0" xfId="13" applyFont="1" applyAlignment="1">
      <alignment horizontal="center" wrapText="1"/>
    </xf>
    <xf numFmtId="41" fontId="11" fillId="15" borderId="0" xfId="1782" quotePrefix="1" applyFont="1" applyFill="1" applyAlignment="1">
      <alignment horizontal="left"/>
    </xf>
    <xf numFmtId="0" fontId="0" fillId="15" borderId="0" xfId="0" quotePrefix="1" applyFill="1" applyAlignment="1">
      <alignment horizontal="left"/>
    </xf>
    <xf numFmtId="193" fontId="11" fillId="0" borderId="0" xfId="3" applyNumberFormat="1" applyFont="1"/>
    <xf numFmtId="188" fontId="11" fillId="0" borderId="0" xfId="1782" applyNumberFormat="1" applyFont="1"/>
    <xf numFmtId="41" fontId="102" fillId="0" borderId="5" xfId="1782" quotePrefix="1" applyFont="1" applyBorder="1" applyAlignment="1"/>
    <xf numFmtId="0" fontId="113" fillId="0" borderId="0" xfId="0" quotePrefix="1" applyFont="1" applyAlignment="1">
      <alignment horizontal="centerContinuous"/>
    </xf>
    <xf numFmtId="0" fontId="11" fillId="0" borderId="0" xfId="13" quotePrefix="1" applyNumberFormat="1" applyFont="1" applyBorder="1" applyAlignment="1" applyProtection="1">
      <alignment horizontal="center"/>
    </xf>
    <xf numFmtId="0" fontId="0" fillId="0" borderId="0" xfId="1" applyNumberFormat="1" applyFont="1" applyFill="1" applyAlignment="1">
      <alignment horizontal="left"/>
    </xf>
    <xf numFmtId="0" fontId="11" fillId="16" borderId="0" xfId="13" applyNumberFormat="1" applyFont="1" applyFill="1" applyBorder="1" applyAlignment="1" applyProtection="1">
      <alignment horizontal="center"/>
    </xf>
    <xf numFmtId="0" fontId="0" fillId="16" borderId="0" xfId="1" quotePrefix="1" applyNumberFormat="1" applyFont="1" applyFill="1" applyAlignment="1">
      <alignment horizontal="left"/>
    </xf>
    <xf numFmtId="0" fontId="0" fillId="16" borderId="0" xfId="0" quotePrefix="1" applyFill="1" applyAlignment="1">
      <alignment horizontal="left"/>
    </xf>
    <xf numFmtId="0" fontId="0" fillId="16" borderId="0" xfId="0" applyFill="1"/>
    <xf numFmtId="0" fontId="11" fillId="0" borderId="0" xfId="13" applyNumberFormat="1" applyFont="1" applyBorder="1" applyAlignment="1" applyProtection="1">
      <alignment horizontal="left"/>
    </xf>
    <xf numFmtId="197" fontId="11" fillId="0" borderId="0" xfId="1782" applyNumberFormat="1" applyFont="1"/>
    <xf numFmtId="0" fontId="0" fillId="4" borderId="14" xfId="0" applyFill="1" applyBorder="1"/>
    <xf numFmtId="0" fontId="0" fillId="4" borderId="0" xfId="0" applyFill="1" applyBorder="1"/>
    <xf numFmtId="44" fontId="0" fillId="6" borderId="0" xfId="2" applyFont="1" applyFill="1" applyBorder="1"/>
    <xf numFmtId="44" fontId="0" fillId="7" borderId="0" xfId="2" applyFont="1" applyFill="1" applyBorder="1"/>
    <xf numFmtId="183" fontId="0" fillId="13" borderId="0" xfId="2" applyNumberFormat="1" applyFont="1" applyFill="1" applyBorder="1"/>
    <xf numFmtId="44" fontId="0" fillId="0" borderId="0" xfId="0" applyNumberFormat="1" applyBorder="1"/>
    <xf numFmtId="0" fontId="0" fillId="4" borderId="16" xfId="0" applyFill="1" applyBorder="1"/>
    <xf numFmtId="0" fontId="0" fillId="4" borderId="58" xfId="0" applyFill="1" applyBorder="1"/>
    <xf numFmtId="44" fontId="0" fillId="6" borderId="58" xfId="2" applyFont="1" applyFill="1" applyBorder="1"/>
    <xf numFmtId="183" fontId="0" fillId="13" borderId="58" xfId="2" applyNumberFormat="1" applyFont="1" applyFill="1" applyBorder="1"/>
    <xf numFmtId="44" fontId="0" fillId="5" borderId="58" xfId="2" applyFont="1" applyFill="1" applyBorder="1"/>
    <xf numFmtId="44" fontId="0" fillId="0" borderId="58" xfId="0" applyNumberFormat="1" applyBorder="1"/>
    <xf numFmtId="165" fontId="17" fillId="14" borderId="0" xfId="1" applyNumberFormat="1" applyFont="1" applyFill="1" applyBorder="1"/>
    <xf numFmtId="165" fontId="17" fillId="14" borderId="58" xfId="1" applyNumberFormat="1" applyFont="1" applyFill="1" applyBorder="1"/>
    <xf numFmtId="14" fontId="0" fillId="4" borderId="0" xfId="0" applyNumberFormat="1" applyFill="1" applyBorder="1"/>
    <xf numFmtId="0" fontId="4" fillId="4" borderId="0" xfId="0" applyFont="1" applyFill="1" applyBorder="1"/>
    <xf numFmtId="165" fontId="0" fillId="7" borderId="0" xfId="1" applyNumberFormat="1" applyFont="1" applyFill="1" applyBorder="1"/>
    <xf numFmtId="44" fontId="4" fillId="4" borderId="0" xfId="2" applyFont="1" applyFill="1" applyBorder="1"/>
    <xf numFmtId="44" fontId="0" fillId="14" borderId="0" xfId="2" applyFont="1" applyFill="1" applyBorder="1"/>
    <xf numFmtId="0" fontId="0" fillId="0" borderId="0" xfId="0" quotePrefix="1" applyBorder="1" applyAlignment="1">
      <alignment horizontal="center" wrapText="1"/>
    </xf>
    <xf numFmtId="0" fontId="114" fillId="4" borderId="0" xfId="0" applyFont="1" applyFill="1" applyAlignment="1">
      <alignment horizontal="center" wrapText="1"/>
    </xf>
    <xf numFmtId="0" fontId="114" fillId="0" borderId="0" xfId="0" applyFont="1" applyAlignment="1">
      <alignment horizontal="center" wrapText="1"/>
    </xf>
    <xf numFmtId="0" fontId="115" fillId="0" borderId="0" xfId="0" applyFont="1" applyFill="1"/>
    <xf numFmtId="43" fontId="115" fillId="0" borderId="0" xfId="1" applyFont="1" applyFill="1"/>
    <xf numFmtId="43" fontId="115" fillId="0" borderId="0" xfId="1" applyFont="1" applyFill="1" applyAlignment="1">
      <alignment horizontal="left"/>
    </xf>
    <xf numFmtId="167" fontId="115" fillId="0" borderId="0" xfId="1" applyNumberFormat="1" applyFont="1" applyFill="1"/>
    <xf numFmtId="0" fontId="115" fillId="0" borderId="0" xfId="0" applyFont="1"/>
    <xf numFmtId="0" fontId="114" fillId="0" borderId="0" xfId="0" applyFont="1"/>
    <xf numFmtId="165" fontId="115" fillId="0" borderId="0" xfId="0" applyNumberFormat="1" applyFont="1" applyFill="1"/>
    <xf numFmtId="0" fontId="115" fillId="0" borderId="0" xfId="0" quotePrefix="1" applyFont="1" applyFill="1" applyAlignment="1">
      <alignment horizontal="left"/>
    </xf>
    <xf numFmtId="0" fontId="115" fillId="0" borderId="0" xfId="0" applyFont="1" applyFill="1" applyAlignment="1">
      <alignment horizontal="left"/>
    </xf>
    <xf numFmtId="0" fontId="114" fillId="0" borderId="0" xfId="0" applyFont="1" applyFill="1" applyAlignment="1">
      <alignment horizontal="center" wrapText="1"/>
    </xf>
    <xf numFmtId="0" fontId="114" fillId="0" borderId="0" xfId="0" quotePrefix="1" applyFont="1" applyFill="1" applyAlignment="1">
      <alignment horizontal="center" wrapText="1"/>
    </xf>
    <xf numFmtId="43" fontId="114" fillId="0" borderId="0" xfId="1" quotePrefix="1" applyFont="1" applyFill="1" applyAlignment="1">
      <alignment horizontal="center" wrapText="1"/>
    </xf>
    <xf numFmtId="0" fontId="115" fillId="0" borderId="0" xfId="0" quotePrefix="1" applyFont="1" applyAlignment="1">
      <alignment horizontal="left"/>
    </xf>
    <xf numFmtId="0" fontId="115" fillId="4" borderId="0" xfId="0" applyFont="1" applyFill="1"/>
    <xf numFmtId="0" fontId="117" fillId="0" borderId="0" xfId="0" applyNumberFormat="1" applyFont="1"/>
    <xf numFmtId="165" fontId="118" fillId="2" borderId="0" xfId="1" applyNumberFormat="1" applyFont="1" applyFill="1"/>
    <xf numFmtId="44" fontId="115" fillId="6" borderId="0" xfId="2" applyFont="1" applyFill="1"/>
    <xf numFmtId="166" fontId="115" fillId="6" borderId="0" xfId="2" applyNumberFormat="1" applyFont="1" applyFill="1"/>
    <xf numFmtId="44" fontId="115" fillId="7" borderId="0" xfId="2" applyFont="1" applyFill="1"/>
    <xf numFmtId="44" fontId="115" fillId="5" borderId="0" xfId="2" applyFont="1" applyFill="1"/>
    <xf numFmtId="43" fontId="115" fillId="0" borderId="0" xfId="1" quotePrefix="1" applyFont="1" applyFill="1" applyAlignment="1">
      <alignment horizontal="left"/>
    </xf>
    <xf numFmtId="14" fontId="115" fillId="15" borderId="0" xfId="0" applyNumberFormat="1" applyFont="1" applyFill="1"/>
    <xf numFmtId="0" fontId="115" fillId="7" borderId="0" xfId="0" applyFont="1" applyFill="1"/>
    <xf numFmtId="0" fontId="115" fillId="14" borderId="0" xfId="0" applyFont="1" applyFill="1"/>
    <xf numFmtId="14" fontId="115" fillId="4" borderId="0" xfId="0" applyNumberFormat="1" applyFont="1" applyFill="1"/>
    <xf numFmtId="165" fontId="118" fillId="0" borderId="0" xfId="0" applyNumberFormat="1" applyFont="1" applyFill="1"/>
    <xf numFmtId="0" fontId="118" fillId="0" borderId="0" xfId="0" applyFont="1" applyFill="1"/>
    <xf numFmtId="165" fontId="115" fillId="0" borderId="0" xfId="0" applyNumberFormat="1" applyFont="1"/>
    <xf numFmtId="37" fontId="0" fillId="3" borderId="0" xfId="0" applyNumberFormat="1" applyFill="1"/>
    <xf numFmtId="37" fontId="0" fillId="14" borderId="0" xfId="0" applyNumberFormat="1" applyFill="1"/>
    <xf numFmtId="37" fontId="0" fillId="5" borderId="0" xfId="0" applyNumberFormat="1" applyFill="1"/>
    <xf numFmtId="0" fontId="0" fillId="7" borderId="0" xfId="0" applyFill="1" applyBorder="1"/>
    <xf numFmtId="0" fontId="0" fillId="0" borderId="0" xfId="0" applyBorder="1" applyAlignment="1">
      <alignment horizontal="right"/>
    </xf>
    <xf numFmtId="0" fontId="4" fillId="14" borderId="0" xfId="0" quotePrefix="1" applyNumberFormat="1" applyFont="1" applyFill="1" applyBorder="1" applyAlignment="1">
      <alignment horizontal="left"/>
    </xf>
    <xf numFmtId="0" fontId="0" fillId="0" borderId="15" xfId="0" applyBorder="1"/>
    <xf numFmtId="14" fontId="0" fillId="4" borderId="58" xfId="0" applyNumberFormat="1" applyFill="1" applyBorder="1"/>
    <xf numFmtId="0" fontId="4" fillId="4" borderId="58" xfId="0" applyFont="1" applyFill="1" applyBorder="1"/>
    <xf numFmtId="165" fontId="0" fillId="7" borderId="58" xfId="1" applyNumberFormat="1" applyFont="1" applyFill="1" applyBorder="1"/>
    <xf numFmtId="44" fontId="4" fillId="4" borderId="58" xfId="2" applyFont="1" applyFill="1" applyBorder="1"/>
    <xf numFmtId="44" fontId="0" fillId="14" borderId="58" xfId="2" applyFont="1" applyFill="1" applyBorder="1"/>
    <xf numFmtId="0" fontId="0" fillId="0" borderId="58" xfId="0" applyBorder="1"/>
    <xf numFmtId="0" fontId="0" fillId="7" borderId="58" xfId="0" applyFill="1" applyBorder="1"/>
    <xf numFmtId="0" fontId="0" fillId="0" borderId="58" xfId="0" applyBorder="1" applyAlignment="1">
      <alignment horizontal="right"/>
    </xf>
    <xf numFmtId="0" fontId="4" fillId="14" borderId="58" xfId="0" quotePrefix="1" applyNumberFormat="1" applyFont="1" applyFill="1" applyBorder="1" applyAlignment="1">
      <alignment horizontal="left"/>
    </xf>
    <xf numFmtId="0" fontId="115" fillId="0" borderId="0" xfId="0" applyFont="1" applyAlignment="1">
      <alignment horizontal="center" wrapText="1"/>
    </xf>
    <xf numFmtId="0" fontId="119" fillId="0" borderId="0" xfId="0" quotePrefix="1" applyFont="1" applyFill="1" applyAlignment="1">
      <alignment horizontal="center" wrapText="1"/>
    </xf>
    <xf numFmtId="0" fontId="115" fillId="0" borderId="0" xfId="0" quotePrefix="1" applyFont="1" applyAlignment="1">
      <alignment horizontal="center" wrapText="1"/>
    </xf>
    <xf numFmtId="43" fontId="118" fillId="2" borderId="0" xfId="1" applyFont="1" applyFill="1"/>
    <xf numFmtId="167" fontId="114" fillId="0" borderId="0" xfId="1" applyNumberFormat="1" applyFont="1" applyFill="1" applyAlignment="1">
      <alignment horizontal="center" wrapText="1"/>
    </xf>
    <xf numFmtId="0" fontId="114" fillId="0" borderId="0" xfId="0" quotePrefix="1" applyFont="1" applyAlignment="1">
      <alignment horizontal="center" wrapText="1"/>
    </xf>
    <xf numFmtId="0" fontId="117" fillId="4" borderId="0" xfId="0" applyFont="1" applyFill="1"/>
    <xf numFmtId="165" fontId="115" fillId="14" borderId="0" xfId="1" applyNumberFormat="1" applyFont="1" applyFill="1"/>
    <xf numFmtId="44" fontId="115" fillId="0" borderId="0" xfId="0" applyNumberFormat="1" applyFont="1"/>
    <xf numFmtId="0" fontId="115" fillId="0" borderId="0" xfId="0" applyFont="1" applyAlignment="1">
      <alignment horizontal="right"/>
    </xf>
    <xf numFmtId="0" fontId="117" fillId="14" borderId="0" xfId="0" quotePrefix="1" applyNumberFormat="1" applyFont="1" applyFill="1" applyAlignment="1">
      <alignment horizontal="left"/>
    </xf>
    <xf numFmtId="44" fontId="115" fillId="0" borderId="0" xfId="2" applyFont="1" applyFill="1"/>
    <xf numFmtId="44" fontId="115" fillId="0" borderId="0" xfId="0" applyNumberFormat="1" applyFont="1" applyFill="1"/>
    <xf numFmtId="0" fontId="114" fillId="0" borderId="0" xfId="0" quotePrefix="1" applyFont="1" applyFill="1" applyAlignment="1">
      <alignment horizontal="left"/>
    </xf>
    <xf numFmtId="44" fontId="115" fillId="7" borderId="0" xfId="2" applyFont="1" applyFill="1" applyBorder="1"/>
    <xf numFmtId="183" fontId="115" fillId="13" borderId="0" xfId="2" applyNumberFormat="1" applyFont="1" applyFill="1" applyBorder="1"/>
    <xf numFmtId="44" fontId="115" fillId="16" borderId="0" xfId="2" applyFont="1" applyFill="1"/>
    <xf numFmtId="44" fontId="115" fillId="16" borderId="0" xfId="0" applyNumberFormat="1" applyFont="1" applyFill="1"/>
    <xf numFmtId="0" fontId="115" fillId="15" borderId="0" xfId="0" applyFont="1" applyFill="1"/>
    <xf numFmtId="0" fontId="115" fillId="4" borderId="14" xfId="0" applyFont="1" applyFill="1" applyBorder="1"/>
    <xf numFmtId="0" fontId="115" fillId="4" borderId="0" xfId="0" applyFont="1" applyFill="1" applyBorder="1"/>
    <xf numFmtId="0" fontId="117" fillId="0" borderId="0" xfId="0" applyNumberFormat="1" applyFont="1" applyBorder="1"/>
    <xf numFmtId="165" fontId="118" fillId="2" borderId="0" xfId="1" applyNumberFormat="1" applyFont="1" applyFill="1" applyBorder="1"/>
    <xf numFmtId="43" fontId="118" fillId="2" borderId="0" xfId="1" applyFont="1" applyFill="1" applyBorder="1"/>
    <xf numFmtId="44" fontId="115" fillId="6" borderId="0" xfId="2" applyFont="1" applyFill="1" applyBorder="1"/>
    <xf numFmtId="166" fontId="115" fillId="6" borderId="0" xfId="2" applyNumberFormat="1" applyFont="1" applyFill="1" applyBorder="1"/>
    <xf numFmtId="44" fontId="115" fillId="5" borderId="0" xfId="2" applyFont="1" applyFill="1" applyBorder="1"/>
    <xf numFmtId="44" fontId="115" fillId="0" borderId="0" xfId="0" applyNumberFormat="1" applyFont="1" applyFill="1" applyBorder="1"/>
    <xf numFmtId="44" fontId="115" fillId="0" borderId="0" xfId="0" applyNumberFormat="1" applyFont="1" applyBorder="1"/>
    <xf numFmtId="44" fontId="115" fillId="16" borderId="0" xfId="2" applyFont="1" applyFill="1" applyBorder="1"/>
    <xf numFmtId="44" fontId="115" fillId="16" borderId="15" xfId="0" applyNumberFormat="1" applyFont="1" applyFill="1" applyBorder="1"/>
    <xf numFmtId="44" fontId="115" fillId="16" borderId="0" xfId="0" applyNumberFormat="1" applyFont="1" applyFill="1" applyBorder="1"/>
    <xf numFmtId="0" fontId="115" fillId="0" borderId="0" xfId="0" applyFont="1" applyBorder="1"/>
    <xf numFmtId="14" fontId="115" fillId="4" borderId="0" xfId="0" applyNumberFormat="1" applyFont="1" applyFill="1" applyBorder="1"/>
    <xf numFmtId="0" fontId="115" fillId="7" borderId="0" xfId="0" applyFont="1" applyFill="1" applyBorder="1"/>
    <xf numFmtId="0" fontId="115" fillId="0" borderId="15" xfId="0" applyFont="1" applyBorder="1"/>
    <xf numFmtId="0" fontId="115" fillId="4" borderId="58" xfId="0" applyFont="1" applyFill="1" applyBorder="1"/>
    <xf numFmtId="0" fontId="117" fillId="0" borderId="58" xfId="0" applyNumberFormat="1" applyFont="1" applyBorder="1"/>
    <xf numFmtId="165" fontId="118" fillId="2" borderId="58" xfId="1" applyNumberFormat="1" applyFont="1" applyFill="1" applyBorder="1"/>
    <xf numFmtId="43" fontId="118" fillId="2" borderId="58" xfId="1" applyFont="1" applyFill="1" applyBorder="1"/>
    <xf numFmtId="44" fontId="115" fillId="6" borderId="58" xfId="2" applyFont="1" applyFill="1" applyBorder="1"/>
    <xf numFmtId="166" fontId="115" fillId="6" borderId="58" xfId="2" applyNumberFormat="1" applyFont="1" applyFill="1" applyBorder="1"/>
    <xf numFmtId="44" fontId="115" fillId="7" borderId="58" xfId="2" applyFont="1" applyFill="1" applyBorder="1"/>
    <xf numFmtId="44" fontId="115" fillId="5" borderId="58" xfId="2" applyFont="1" applyFill="1" applyBorder="1"/>
    <xf numFmtId="44" fontId="115" fillId="0" borderId="58" xfId="0" applyNumberFormat="1" applyFont="1" applyFill="1" applyBorder="1"/>
    <xf numFmtId="44" fontId="115" fillId="0" borderId="58" xfId="0" applyNumberFormat="1" applyFont="1" applyBorder="1"/>
    <xf numFmtId="44" fontId="115" fillId="16" borderId="58" xfId="2" applyFont="1" applyFill="1" applyBorder="1"/>
    <xf numFmtId="44" fontId="115" fillId="16" borderId="58" xfId="0" applyNumberFormat="1" applyFont="1" applyFill="1" applyBorder="1"/>
    <xf numFmtId="43" fontId="115" fillId="0" borderId="0" xfId="0" applyNumberFormat="1" applyFont="1"/>
    <xf numFmtId="165" fontId="115" fillId="0" borderId="0" xfId="1" applyNumberFormat="1" applyFont="1" applyFill="1"/>
    <xf numFmtId="44" fontId="0" fillId="7" borderId="58" xfId="2" applyFont="1" applyFill="1" applyBorder="1"/>
    <xf numFmtId="49" fontId="121" fillId="8" borderId="8" xfId="5" applyNumberFormat="1" applyFont="1" applyFill="1" applyBorder="1" applyAlignment="1">
      <alignment horizontal="center" vertical="center"/>
    </xf>
    <xf numFmtId="49" fontId="121" fillId="8" borderId="3" xfId="0" applyNumberFormat="1" applyFont="1" applyFill="1" applyBorder="1" applyAlignment="1">
      <alignment horizontal="left" vertical="center"/>
    </xf>
    <xf numFmtId="43" fontId="121" fillId="8" borderId="8" xfId="1" applyFont="1" applyFill="1" applyBorder="1" applyAlignment="1">
      <alignment horizontal="center" vertical="center"/>
    </xf>
    <xf numFmtId="49" fontId="121" fillId="8" borderId="9" xfId="5" applyNumberFormat="1" applyFont="1" applyFill="1" applyBorder="1" applyAlignment="1">
      <alignment horizontal="center" vertical="center"/>
    </xf>
    <xf numFmtId="49" fontId="121" fillId="8" borderId="10" xfId="5" applyNumberFormat="1" applyFont="1" applyFill="1" applyBorder="1" applyAlignment="1">
      <alignment horizontal="center" vertical="center"/>
    </xf>
    <xf numFmtId="49" fontId="121" fillId="8" borderId="0" xfId="5" applyNumberFormat="1" applyFont="1" applyFill="1" applyBorder="1" applyAlignment="1">
      <alignment vertical="center"/>
    </xf>
    <xf numFmtId="49" fontId="121" fillId="8" borderId="0" xfId="5" applyNumberFormat="1" applyFont="1" applyFill="1" applyBorder="1" applyAlignment="1">
      <alignment horizontal="center" vertical="center"/>
    </xf>
    <xf numFmtId="49" fontId="121" fillId="8" borderId="3" xfId="0" applyNumberFormat="1" applyFont="1" applyFill="1" applyBorder="1" applyAlignment="1">
      <alignment horizontal="right" vertical="center"/>
    </xf>
    <xf numFmtId="49" fontId="121" fillId="8" borderId="11" xfId="5" applyNumberFormat="1" applyFont="1" applyFill="1" applyBorder="1" applyAlignment="1">
      <alignment horizontal="center" vertical="center"/>
    </xf>
    <xf numFmtId="43" fontId="121" fillId="8" borderId="11" xfId="1" applyFont="1" applyFill="1" applyBorder="1" applyAlignment="1">
      <alignment horizontal="center" vertical="center"/>
    </xf>
    <xf numFmtId="49" fontId="121" fillId="8" borderId="12" xfId="5" applyNumberFormat="1" applyFont="1" applyFill="1" applyBorder="1" applyAlignment="1">
      <alignment horizontal="center" vertical="center"/>
    </xf>
    <xf numFmtId="49" fontId="120" fillId="8" borderId="3" xfId="0" applyNumberFormat="1" applyFont="1" applyFill="1" applyBorder="1" applyAlignment="1">
      <alignment horizontal="left" vertical="center"/>
    </xf>
    <xf numFmtId="49" fontId="120" fillId="8" borderId="0" xfId="0" applyNumberFormat="1" applyFont="1" applyFill="1" applyBorder="1" applyAlignment="1">
      <alignment horizontal="left" vertical="center"/>
    </xf>
    <xf numFmtId="169" fontId="120" fillId="9" borderId="3" xfId="0" applyNumberFormat="1" applyFont="1" applyFill="1" applyBorder="1" applyAlignment="1">
      <alignment horizontal="right" vertical="center"/>
    </xf>
    <xf numFmtId="168" fontId="120" fillId="9" borderId="3" xfId="0" applyNumberFormat="1" applyFont="1" applyFill="1" applyBorder="1" applyAlignment="1">
      <alignment horizontal="right" vertical="center"/>
    </xf>
    <xf numFmtId="49" fontId="120" fillId="9" borderId="3" xfId="0" applyNumberFormat="1" applyFont="1" applyFill="1" applyBorder="1" applyAlignment="1">
      <alignment horizontal="right" vertical="center"/>
    </xf>
    <xf numFmtId="43" fontId="120" fillId="2" borderId="3" xfId="7" applyFont="1" applyFill="1" applyBorder="1" applyAlignment="1">
      <alignment horizontal="right" vertical="center"/>
    </xf>
    <xf numFmtId="43" fontId="120" fillId="2" borderId="3" xfId="1" applyFont="1" applyFill="1" applyBorder="1" applyAlignment="1">
      <alignment horizontal="right" vertical="center"/>
    </xf>
    <xf numFmtId="0" fontId="18" fillId="0" borderId="0" xfId="5" applyFont="1" applyAlignment="1"/>
    <xf numFmtId="169" fontId="120" fillId="10" borderId="3" xfId="0" applyNumberFormat="1" applyFont="1" applyFill="1" applyBorder="1" applyAlignment="1">
      <alignment horizontal="right" vertical="center"/>
    </xf>
    <xf numFmtId="168" fontId="120" fillId="10" borderId="3" xfId="0" applyNumberFormat="1" applyFont="1" applyFill="1" applyBorder="1" applyAlignment="1">
      <alignment horizontal="right" vertical="center"/>
    </xf>
    <xf numFmtId="49" fontId="120" fillId="10" borderId="3" xfId="0" applyNumberFormat="1" applyFont="1" applyFill="1" applyBorder="1" applyAlignment="1">
      <alignment horizontal="right" vertical="center"/>
    </xf>
    <xf numFmtId="0" fontId="120" fillId="8" borderId="0" xfId="0" quotePrefix="1" applyNumberFormat="1" applyFont="1" applyFill="1" applyBorder="1" applyAlignment="1">
      <alignment horizontal="left" vertical="center"/>
    </xf>
    <xf numFmtId="0" fontId="120" fillId="8" borderId="0" xfId="9" applyNumberFormat="1" applyFont="1" applyFill="1" applyBorder="1" applyAlignment="1">
      <alignment horizontal="left" vertical="center"/>
    </xf>
    <xf numFmtId="49" fontId="120" fillId="8" borderId="0" xfId="0" quotePrefix="1" applyNumberFormat="1" applyFont="1" applyFill="1" applyBorder="1" applyAlignment="1">
      <alignment horizontal="left" vertical="center"/>
    </xf>
    <xf numFmtId="0" fontId="120" fillId="8" borderId="0" xfId="9" quotePrefix="1" applyNumberFormat="1" applyFont="1" applyFill="1" applyBorder="1" applyAlignment="1">
      <alignment horizontal="left" vertical="center"/>
    </xf>
    <xf numFmtId="49" fontId="120" fillId="11" borderId="1" xfId="0" applyNumberFormat="1" applyFont="1" applyFill="1" applyBorder="1" applyAlignment="1">
      <alignment horizontal="left" vertical="center"/>
    </xf>
    <xf numFmtId="49" fontId="120" fillId="11" borderId="2" xfId="0" applyNumberFormat="1" applyFont="1" applyFill="1" applyBorder="1" applyAlignment="1">
      <alignment horizontal="left" vertical="center"/>
    </xf>
    <xf numFmtId="169" fontId="120" fillId="11" borderId="3" xfId="0" applyNumberFormat="1" applyFont="1" applyFill="1" applyBorder="1" applyAlignment="1">
      <alignment horizontal="right" vertical="center"/>
    </xf>
    <xf numFmtId="168" fontId="120" fillId="11" borderId="3" xfId="0" applyNumberFormat="1" applyFont="1" applyFill="1" applyBorder="1" applyAlignment="1">
      <alignment horizontal="right" vertical="center"/>
    </xf>
    <xf numFmtId="49" fontId="120" fillId="8" borderId="3" xfId="0" applyNumberFormat="1" applyFont="1" applyFill="1" applyBorder="1" applyAlignment="1">
      <alignment horizontal="right" vertical="center"/>
    </xf>
    <xf numFmtId="0" fontId="120" fillId="8" borderId="0" xfId="0" applyNumberFormat="1" applyFont="1" applyFill="1" applyBorder="1" applyAlignment="1">
      <alignment horizontal="left" vertical="center"/>
    </xf>
    <xf numFmtId="49" fontId="120" fillId="11" borderId="1" xfId="0" applyNumberFormat="1" applyFont="1" applyFill="1" applyBorder="1" applyAlignment="1">
      <alignment vertical="center"/>
    </xf>
    <xf numFmtId="49" fontId="120" fillId="11" borderId="2" xfId="0" applyNumberFormat="1" applyFont="1" applyFill="1" applyBorder="1" applyAlignment="1">
      <alignment vertical="center"/>
    </xf>
    <xf numFmtId="43" fontId="18" fillId="0" borderId="0" xfId="5" applyNumberFormat="1" applyFont="1" applyAlignment="1"/>
    <xf numFmtId="49" fontId="18" fillId="8" borderId="1" xfId="0" applyNumberFormat="1" applyFont="1" applyFill="1" applyBorder="1" applyAlignment="1">
      <alignment vertical="center"/>
    </xf>
    <xf numFmtId="49" fontId="18" fillId="8" borderId="2" xfId="0" applyNumberFormat="1" applyFont="1" applyFill="1" applyBorder="1" applyAlignment="1">
      <alignment vertical="center"/>
    </xf>
    <xf numFmtId="43" fontId="18" fillId="0" borderId="0" xfId="7" applyFont="1" applyAlignment="1"/>
    <xf numFmtId="43" fontId="18" fillId="0" borderId="0" xfId="7" applyFont="1" applyFill="1" applyAlignment="1"/>
    <xf numFmtId="43" fontId="18" fillId="77" borderId="0" xfId="7" applyFont="1" applyFill="1" applyBorder="1" applyAlignment="1"/>
    <xf numFmtId="43" fontId="18" fillId="0" borderId="0" xfId="7" applyFont="1" applyBorder="1" applyAlignment="1"/>
    <xf numFmtId="43" fontId="18" fillId="0" borderId="0" xfId="7" applyFont="1" applyFill="1" applyBorder="1" applyAlignment="1"/>
    <xf numFmtId="43" fontId="18" fillId="77" borderId="0" xfId="7" applyFont="1" applyFill="1" applyAlignment="1"/>
    <xf numFmtId="49" fontId="18" fillId="8" borderId="3" xfId="0" applyNumberFormat="1" applyFont="1" applyFill="1" applyBorder="1" applyAlignment="1">
      <alignment horizontal="right" vertical="center"/>
    </xf>
    <xf numFmtId="0" fontId="18" fillId="0" borderId="0" xfId="1772" applyNumberFormat="1" applyFont="1" applyAlignment="1"/>
    <xf numFmtId="43" fontId="18" fillId="0" borderId="51" xfId="7" applyFont="1" applyBorder="1" applyAlignment="1"/>
    <xf numFmtId="43" fontId="18" fillId="0" borderId="52" xfId="7" applyFont="1" applyBorder="1" applyAlignment="1"/>
    <xf numFmtId="43" fontId="18" fillId="0" borderId="52" xfId="7" applyFont="1" applyFill="1" applyBorder="1" applyAlignment="1"/>
    <xf numFmtId="0" fontId="18" fillId="0" borderId="0" xfId="1858" applyNumberFormat="1" applyFont="1" applyAlignment="1"/>
    <xf numFmtId="0" fontId="18" fillId="0" borderId="0" xfId="1858" applyNumberFormat="1" applyFont="1" applyBorder="1" applyAlignment="1"/>
    <xf numFmtId="0" fontId="18" fillId="0" borderId="0" xfId="0" applyFont="1" applyAlignment="1"/>
    <xf numFmtId="49" fontId="120" fillId="8" borderId="3" xfId="0" applyNumberFormat="1" applyFont="1" applyFill="1" applyBorder="1" applyAlignment="1">
      <alignment horizontal="left" vertical="center" wrapText="1"/>
    </xf>
    <xf numFmtId="49" fontId="120" fillId="9" borderId="3" xfId="0" applyNumberFormat="1" applyFont="1" applyFill="1" applyBorder="1" applyAlignment="1">
      <alignment horizontal="right" vertical="center" wrapText="1"/>
    </xf>
    <xf numFmtId="168" fontId="120" fillId="0" borderId="0" xfId="0" applyNumberFormat="1" applyFont="1" applyFill="1" applyBorder="1" applyAlignment="1">
      <alignment horizontal="right" vertical="center"/>
    </xf>
    <xf numFmtId="49" fontId="120" fillId="10" borderId="3" xfId="0" applyNumberFormat="1" applyFont="1" applyFill="1" applyBorder="1" applyAlignment="1">
      <alignment horizontal="right" vertical="center" wrapText="1"/>
    </xf>
    <xf numFmtId="168" fontId="120" fillId="10" borderId="3" xfId="0" applyNumberFormat="1" applyFont="1" applyFill="1" applyBorder="1" applyAlignment="1">
      <alignment horizontal="right" vertical="center" wrapText="1"/>
    </xf>
    <xf numFmtId="168" fontId="120" fillId="9" borderId="3" xfId="0" applyNumberFormat="1" applyFont="1" applyFill="1" applyBorder="1" applyAlignment="1">
      <alignment horizontal="right" vertical="center" wrapText="1"/>
    </xf>
    <xf numFmtId="49" fontId="120" fillId="11" borderId="3" xfId="0" applyNumberFormat="1" applyFont="1" applyFill="1" applyBorder="1" applyAlignment="1">
      <alignment horizontal="left" vertical="center" wrapText="1"/>
    </xf>
    <xf numFmtId="169" fontId="120" fillId="11" borderId="3" xfId="0" applyNumberFormat="1" applyFont="1" applyFill="1" applyBorder="1" applyAlignment="1">
      <alignment horizontal="right" vertical="center" wrapText="1"/>
    </xf>
    <xf numFmtId="168" fontId="120" fillId="11" borderId="3" xfId="0" applyNumberFormat="1" applyFont="1" applyFill="1" applyBorder="1" applyAlignment="1">
      <alignment horizontal="right" vertical="center" wrapText="1"/>
    </xf>
    <xf numFmtId="172" fontId="120" fillId="11" borderId="3" xfId="0" applyNumberFormat="1" applyFont="1" applyFill="1" applyBorder="1" applyAlignment="1">
      <alignment horizontal="right" vertical="center" wrapText="1"/>
    </xf>
    <xf numFmtId="172" fontId="120" fillId="11" borderId="3" xfId="0" applyNumberFormat="1" applyFont="1" applyFill="1" applyBorder="1" applyAlignment="1">
      <alignment horizontal="right" vertical="center"/>
    </xf>
    <xf numFmtId="49" fontId="120" fillId="11" borderId="3" xfId="0" applyNumberFormat="1" applyFont="1" applyFill="1" applyBorder="1" applyAlignment="1">
      <alignment horizontal="left" vertical="center"/>
    </xf>
    <xf numFmtId="0" fontId="18" fillId="0" borderId="0" xfId="0" applyFont="1"/>
    <xf numFmtId="0" fontId="18" fillId="0" borderId="0" xfId="0" applyFont="1" applyFill="1" applyBorder="1"/>
    <xf numFmtId="49" fontId="120" fillId="0" borderId="0" xfId="0" applyNumberFormat="1" applyFont="1" applyFill="1" applyBorder="1" applyAlignment="1"/>
    <xf numFmtId="49" fontId="120" fillId="8" borderId="3" xfId="0" quotePrefix="1" applyNumberFormat="1" applyFont="1" applyFill="1" applyBorder="1" applyAlignment="1">
      <alignment horizontal="left" vertical="center"/>
    </xf>
    <xf numFmtId="43" fontId="118" fillId="0" borderId="0" xfId="1" applyFont="1" applyFill="1"/>
    <xf numFmtId="17" fontId="115" fillId="0" borderId="0" xfId="0" applyNumberFormat="1" applyFont="1"/>
    <xf numFmtId="0" fontId="115" fillId="0" borderId="0" xfId="0" applyNumberFormat="1" applyFont="1"/>
    <xf numFmtId="43" fontId="115" fillId="0" borderId="0" xfId="1" applyFont="1"/>
    <xf numFmtId="44" fontId="115" fillId="0" borderId="0" xfId="2" applyFont="1"/>
    <xf numFmtId="165" fontId="115" fillId="0" borderId="0" xfId="1" applyNumberFormat="1" applyFont="1"/>
    <xf numFmtId="165" fontId="122" fillId="0" borderId="0" xfId="1" applyNumberFormat="1" applyFont="1"/>
    <xf numFmtId="0" fontId="0" fillId="0" borderId="17" xfId="0" applyBorder="1"/>
    <xf numFmtId="0" fontId="0" fillId="4" borderId="21" xfId="0" applyFill="1" applyBorder="1"/>
    <xf numFmtId="14" fontId="0" fillId="4" borderId="22" xfId="0" applyNumberFormat="1" applyFill="1" applyBorder="1"/>
    <xf numFmtId="0" fontId="4" fillId="4" borderId="22" xfId="0" applyFont="1" applyFill="1" applyBorder="1"/>
    <xf numFmtId="165" fontId="17" fillId="14" borderId="22" xfId="1" applyNumberFormat="1" applyFont="1" applyFill="1" applyBorder="1"/>
    <xf numFmtId="165" fontId="0" fillId="7" borderId="22" xfId="1" applyNumberFormat="1" applyFont="1" applyFill="1" applyBorder="1"/>
    <xf numFmtId="44" fontId="0" fillId="6" borderId="22" xfId="2" applyFont="1" applyFill="1" applyBorder="1"/>
    <xf numFmtId="44" fontId="0" fillId="7" borderId="22" xfId="2" applyFont="1" applyFill="1" applyBorder="1"/>
    <xf numFmtId="44" fontId="4" fillId="4" borderId="22" xfId="2" applyFont="1" applyFill="1" applyBorder="1"/>
    <xf numFmtId="44" fontId="0" fillId="5" borderId="22" xfId="2" applyFont="1" applyFill="1" applyBorder="1"/>
    <xf numFmtId="44" fontId="0" fillId="14" borderId="22" xfId="2" applyFont="1" applyFill="1" applyBorder="1"/>
    <xf numFmtId="183" fontId="0" fillId="13" borderId="22" xfId="2" applyNumberFormat="1" applyFont="1" applyFill="1" applyBorder="1"/>
    <xf numFmtId="44" fontId="0" fillId="0" borderId="22" xfId="0" applyNumberFormat="1" applyBorder="1"/>
    <xf numFmtId="0" fontId="0" fillId="0" borderId="22" xfId="0" applyBorder="1"/>
    <xf numFmtId="0" fontId="0" fillId="4" borderId="22" xfId="0" applyFill="1" applyBorder="1"/>
    <xf numFmtId="0" fontId="0" fillId="7" borderId="22" xfId="0" applyFill="1" applyBorder="1"/>
    <xf numFmtId="0" fontId="0" fillId="0" borderId="22" xfId="0" applyBorder="1" applyAlignment="1">
      <alignment horizontal="right"/>
    </xf>
    <xf numFmtId="0" fontId="4" fillId="14" borderId="22" xfId="0" quotePrefix="1" applyNumberFormat="1" applyFont="1" applyFill="1" applyBorder="1" applyAlignment="1">
      <alignment horizontal="left"/>
    </xf>
    <xf numFmtId="0" fontId="0" fillId="0" borderId="23" xfId="0" applyBorder="1"/>
    <xf numFmtId="0" fontId="115" fillId="0" borderId="0" xfId="0" applyNumberFormat="1" applyFont="1" applyFill="1"/>
    <xf numFmtId="0" fontId="115" fillId="0" borderId="0" xfId="0" applyNumberFormat="1" applyFont="1" applyAlignment="1">
      <alignment horizontal="center" wrapText="1"/>
    </xf>
    <xf numFmtId="171" fontId="115" fillId="0" borderId="0" xfId="0" quotePrefix="1" applyNumberFormat="1" applyFont="1" applyAlignment="1">
      <alignment horizontal="center" wrapText="1"/>
    </xf>
    <xf numFmtId="171" fontId="115" fillId="0" borderId="0" xfId="0" applyNumberFormat="1" applyFont="1" applyAlignment="1">
      <alignment horizontal="center" wrapText="1"/>
    </xf>
    <xf numFmtId="171" fontId="115" fillId="0" borderId="0" xfId="0" quotePrefix="1" applyNumberFormat="1" applyFont="1" applyFill="1" applyAlignment="1">
      <alignment horizontal="center" wrapText="1"/>
    </xf>
    <xf numFmtId="0" fontId="115" fillId="0" borderId="0" xfId="0" quotePrefix="1" applyFont="1" applyAlignment="1">
      <alignment horizontal="left" wrapText="1"/>
    </xf>
    <xf numFmtId="0" fontId="118" fillId="4" borderId="0" xfId="0" applyFont="1" applyFill="1" applyAlignment="1">
      <alignment horizontal="left"/>
    </xf>
    <xf numFmtId="0" fontId="117" fillId="4" borderId="0" xfId="0" applyNumberFormat="1" applyFont="1" applyFill="1"/>
    <xf numFmtId="43" fontId="115" fillId="4" borderId="0" xfId="1" applyFont="1" applyFill="1"/>
    <xf numFmtId="164" fontId="115" fillId="0" borderId="0" xfId="1" applyNumberFormat="1" applyFont="1" applyFill="1"/>
    <xf numFmtId="164" fontId="115" fillId="4" borderId="0" xfId="1" applyNumberFormat="1" applyFont="1" applyFill="1"/>
    <xf numFmtId="0" fontId="118" fillId="4" borderId="0" xfId="0" applyFont="1" applyFill="1"/>
    <xf numFmtId="0" fontId="117" fillId="4" borderId="0" xfId="0" quotePrefix="1" applyNumberFormat="1" applyFont="1" applyFill="1" applyAlignment="1">
      <alignment horizontal="left"/>
    </xf>
    <xf numFmtId="0" fontId="118" fillId="4" borderId="0" xfId="0" quotePrefix="1" applyFont="1" applyFill="1" applyAlignment="1">
      <alignment horizontal="left"/>
    </xf>
    <xf numFmtId="0" fontId="117" fillId="4" borderId="0" xfId="0" applyNumberFormat="1" applyFont="1" applyFill="1" applyAlignment="1">
      <alignment horizontal="left"/>
    </xf>
    <xf numFmtId="0" fontId="117" fillId="17" borderId="0" xfId="0" applyFont="1" applyFill="1"/>
    <xf numFmtId="0" fontId="118" fillId="17" borderId="0" xfId="0" applyFont="1" applyFill="1" applyAlignment="1">
      <alignment horizontal="left"/>
    </xf>
    <xf numFmtId="0" fontId="117" fillId="17" borderId="0" xfId="0" applyNumberFormat="1" applyFont="1" applyFill="1"/>
    <xf numFmtId="0" fontId="115" fillId="17" borderId="0" xfId="0" applyNumberFormat="1" applyFont="1" applyFill="1"/>
    <xf numFmtId="43" fontId="115" fillId="17" borderId="0" xfId="1" applyFont="1" applyFill="1"/>
    <xf numFmtId="164" fontId="115" fillId="17" borderId="0" xfId="1" applyNumberFormat="1" applyFont="1" applyFill="1"/>
    <xf numFmtId="0" fontId="118" fillId="17" borderId="0" xfId="0" applyFont="1" applyFill="1"/>
    <xf numFmtId="0" fontId="117" fillId="17" borderId="0" xfId="0" quotePrefix="1" applyNumberFormat="1" applyFont="1" applyFill="1" applyAlignment="1">
      <alignment horizontal="left"/>
    </xf>
    <xf numFmtId="0" fontId="118" fillId="17" borderId="0" xfId="0" quotePrefix="1" applyFont="1" applyFill="1" applyAlignment="1">
      <alignment horizontal="left"/>
    </xf>
    <xf numFmtId="0" fontId="117" fillId="17" borderId="0" xfId="0" applyNumberFormat="1" applyFont="1" applyFill="1" applyAlignment="1">
      <alignment horizontal="left"/>
    </xf>
    <xf numFmtId="0" fontId="118" fillId="5" borderId="0" xfId="0" applyFont="1" applyFill="1"/>
    <xf numFmtId="0" fontId="118" fillId="5" borderId="0" xfId="0" applyFont="1" applyFill="1" applyAlignment="1">
      <alignment horizontal="left"/>
    </xf>
    <xf numFmtId="0" fontId="117" fillId="5" borderId="0" xfId="0" applyNumberFormat="1" applyFont="1" applyFill="1"/>
    <xf numFmtId="0" fontId="115" fillId="5" borderId="0" xfId="0" applyNumberFormat="1" applyFont="1" applyFill="1"/>
    <xf numFmtId="43" fontId="115" fillId="5" borderId="0" xfId="1" applyFont="1" applyFill="1"/>
    <xf numFmtId="164" fontId="115" fillId="5" borderId="0" xfId="1" applyNumberFormat="1" applyFont="1" applyFill="1"/>
    <xf numFmtId="0" fontId="117" fillId="5" borderId="0" xfId="0" quotePrefix="1" applyNumberFormat="1" applyFont="1" applyFill="1" applyAlignment="1">
      <alignment horizontal="left"/>
    </xf>
    <xf numFmtId="0" fontId="118" fillId="5" borderId="0" xfId="0" quotePrefix="1" applyFont="1" applyFill="1" applyAlignment="1">
      <alignment horizontal="left"/>
    </xf>
    <xf numFmtId="0" fontId="117" fillId="5" borderId="0" xfId="0" applyNumberFormat="1" applyFont="1" applyFill="1" applyAlignment="1">
      <alignment horizontal="left"/>
    </xf>
    <xf numFmtId="0" fontId="118" fillId="14" borderId="0" xfId="0" applyFont="1" applyFill="1" applyAlignment="1">
      <alignment horizontal="right"/>
    </xf>
    <xf numFmtId="0" fontId="118" fillId="14" borderId="0" xfId="0" applyFont="1" applyFill="1" applyAlignment="1">
      <alignment horizontal="left"/>
    </xf>
    <xf numFmtId="0" fontId="117" fillId="14" borderId="0" xfId="0" applyNumberFormat="1" applyFont="1" applyFill="1"/>
    <xf numFmtId="0" fontId="115" fillId="14" borderId="0" xfId="0" applyNumberFormat="1" applyFont="1" applyFill="1"/>
    <xf numFmtId="43" fontId="115" fillId="14" borderId="0" xfId="1" applyFont="1" applyFill="1"/>
    <xf numFmtId="164" fontId="115" fillId="14" borderId="0" xfId="1" applyNumberFormat="1" applyFont="1" applyFill="1"/>
    <xf numFmtId="0" fontId="118" fillId="14" borderId="0" xfId="0" quotePrefix="1" applyFont="1" applyFill="1" applyAlignment="1">
      <alignment horizontal="left"/>
    </xf>
    <xf numFmtId="0" fontId="117" fillId="14" borderId="0" xfId="0" applyNumberFormat="1" applyFont="1" applyFill="1" applyAlignment="1">
      <alignment horizontal="left"/>
    </xf>
    <xf numFmtId="0" fontId="118" fillId="12" borderId="0" xfId="0" applyFont="1" applyFill="1" applyAlignment="1">
      <alignment horizontal="right"/>
    </xf>
    <xf numFmtId="0" fontId="118" fillId="12" borderId="0" xfId="0" applyFont="1" applyFill="1" applyAlignment="1">
      <alignment horizontal="left"/>
    </xf>
    <xf numFmtId="0" fontId="117" fillId="12" borderId="0" xfId="0" applyNumberFormat="1" applyFont="1" applyFill="1"/>
    <xf numFmtId="0" fontId="115" fillId="12" borderId="0" xfId="0" applyNumberFormat="1" applyFont="1" applyFill="1"/>
    <xf numFmtId="43" fontId="115" fillId="12" borderId="0" xfId="1" applyFont="1" applyFill="1"/>
    <xf numFmtId="164" fontId="115" fillId="12" borderId="0" xfId="1" applyNumberFormat="1" applyFont="1" applyFill="1"/>
    <xf numFmtId="0" fontId="117" fillId="12" borderId="0" xfId="0" quotePrefix="1" applyNumberFormat="1" applyFont="1" applyFill="1" applyAlignment="1">
      <alignment horizontal="left"/>
    </xf>
    <xf numFmtId="0" fontId="118" fillId="12" borderId="0" xfId="0" quotePrefix="1" applyFont="1" applyFill="1" applyAlignment="1">
      <alignment horizontal="left"/>
    </xf>
    <xf numFmtId="0" fontId="117" fillId="12" borderId="0" xfId="0" applyNumberFormat="1" applyFont="1" applyFill="1" applyAlignment="1">
      <alignment horizontal="left"/>
    </xf>
    <xf numFmtId="0" fontId="118" fillId="3" borderId="0" xfId="0" applyFont="1" applyFill="1" applyAlignment="1">
      <alignment horizontal="right"/>
    </xf>
    <xf numFmtId="0" fontId="118" fillId="3" borderId="0" xfId="0" applyFont="1" applyFill="1" applyAlignment="1">
      <alignment horizontal="left"/>
    </xf>
    <xf numFmtId="0" fontId="117" fillId="3" borderId="0" xfId="0" applyNumberFormat="1" applyFont="1" applyFill="1"/>
    <xf numFmtId="0" fontId="115" fillId="3" borderId="0" xfId="0" applyNumberFormat="1" applyFont="1" applyFill="1"/>
    <xf numFmtId="43" fontId="115" fillId="3" borderId="0" xfId="1" applyFont="1" applyFill="1"/>
    <xf numFmtId="164" fontId="115" fillId="3" borderId="0" xfId="1" applyNumberFormat="1" applyFont="1" applyFill="1"/>
    <xf numFmtId="0" fontId="117" fillId="3" borderId="0" xfId="0" quotePrefix="1" applyNumberFormat="1" applyFont="1" applyFill="1" applyAlignment="1">
      <alignment horizontal="left"/>
    </xf>
    <xf numFmtId="0" fontId="118" fillId="3" borderId="0" xfId="0" quotePrefix="1" applyFont="1" applyFill="1" applyAlignment="1">
      <alignment horizontal="left"/>
    </xf>
    <xf numFmtId="0" fontId="117" fillId="3" borderId="0" xfId="0" applyNumberFormat="1" applyFont="1" applyFill="1" applyAlignment="1">
      <alignment horizontal="left"/>
    </xf>
    <xf numFmtId="0" fontId="115" fillId="0" borderId="0" xfId="0" quotePrefix="1" applyFont="1" applyFill="1" applyAlignment="1">
      <alignment horizontal="center"/>
    </xf>
    <xf numFmtId="0" fontId="115" fillId="0" borderId="0" xfId="0" applyFont="1" applyAlignment="1">
      <alignment horizontal="center"/>
    </xf>
    <xf numFmtId="0" fontId="115" fillId="0" borderId="0" xfId="0" applyNumberFormat="1" applyFont="1" applyFill="1" applyAlignment="1">
      <alignment horizontal="center" wrapText="1"/>
    </xf>
    <xf numFmtId="0" fontId="115" fillId="0" borderId="0" xfId="0" quotePrefix="1" applyFont="1" applyFill="1" applyAlignment="1">
      <alignment horizontal="center" wrapText="1"/>
    </xf>
    <xf numFmtId="0" fontId="115" fillId="4" borderId="0" xfId="0" applyNumberFormat="1" applyFont="1" applyFill="1"/>
    <xf numFmtId="165" fontId="115" fillId="4" borderId="0" xfId="1" applyNumberFormat="1" applyFont="1" applyFill="1"/>
    <xf numFmtId="165" fontId="115" fillId="17" borderId="0" xfId="1" applyNumberFormat="1" applyFont="1" applyFill="1"/>
    <xf numFmtId="0" fontId="115" fillId="17" borderId="0" xfId="0" applyFont="1" applyFill="1"/>
    <xf numFmtId="0" fontId="115" fillId="17" borderId="0" xfId="0" quotePrefix="1" applyFont="1" applyFill="1" applyAlignment="1">
      <alignment horizontal="left"/>
    </xf>
    <xf numFmtId="49" fontId="120" fillId="17" borderId="10" xfId="2106" applyNumberFormat="1" applyFont="1" applyFill="1" applyBorder="1" applyAlignment="1">
      <alignment horizontal="left" vertical="center"/>
    </xf>
    <xf numFmtId="43" fontId="115" fillId="17" borderId="0" xfId="1" quotePrefix="1" applyFont="1" applyFill="1" applyAlignment="1">
      <alignment horizontal="left"/>
    </xf>
    <xf numFmtId="43" fontId="118" fillId="5" borderId="0" xfId="1" applyFont="1" applyFill="1"/>
    <xf numFmtId="165" fontId="115" fillId="5" borderId="0" xfId="1" applyNumberFormat="1" applyFont="1" applyFill="1"/>
    <xf numFmtId="0" fontId="115" fillId="5" borderId="0" xfId="0" applyFont="1" applyFill="1"/>
    <xf numFmtId="0" fontId="115" fillId="5" borderId="0" xfId="0" quotePrefix="1" applyFont="1" applyFill="1" applyAlignment="1">
      <alignment horizontal="left"/>
    </xf>
    <xf numFmtId="0" fontId="115" fillId="0" borderId="0" xfId="5" applyFont="1"/>
    <xf numFmtId="0" fontId="115" fillId="0" borderId="0" xfId="5" applyNumberFormat="1" applyFont="1"/>
    <xf numFmtId="0" fontId="118" fillId="5" borderId="0" xfId="5" applyFont="1" applyFill="1"/>
    <xf numFmtId="0" fontId="117" fillId="5" borderId="0" xfId="5" applyNumberFormat="1" applyFont="1" applyFill="1"/>
    <xf numFmtId="0" fontId="117" fillId="5" borderId="0" xfId="5" quotePrefix="1" applyNumberFormat="1" applyFont="1" applyFill="1" applyAlignment="1">
      <alignment horizontal="left"/>
    </xf>
    <xf numFmtId="0" fontId="115" fillId="5" borderId="0" xfId="5" applyNumberFormat="1" applyFont="1" applyFill="1"/>
    <xf numFmtId="43" fontId="118" fillId="5" borderId="0" xfId="7" applyFont="1" applyFill="1"/>
    <xf numFmtId="165" fontId="115" fillId="5" borderId="0" xfId="7" applyNumberFormat="1" applyFont="1" applyFill="1"/>
    <xf numFmtId="43" fontId="115" fillId="5" borderId="0" xfId="7" applyFont="1" applyFill="1"/>
    <xf numFmtId="0" fontId="115" fillId="5" borderId="0" xfId="5" quotePrefix="1" applyFont="1" applyFill="1" applyAlignment="1">
      <alignment horizontal="left"/>
    </xf>
    <xf numFmtId="0" fontId="115" fillId="5" borderId="0" xfId="5" applyFont="1" applyFill="1"/>
    <xf numFmtId="43" fontId="115" fillId="5" borderId="0" xfId="1" quotePrefix="1" applyFont="1" applyFill="1" applyAlignment="1">
      <alignment horizontal="left"/>
    </xf>
    <xf numFmtId="43" fontId="118" fillId="14" borderId="0" xfId="1" applyFont="1" applyFill="1"/>
    <xf numFmtId="0" fontId="115" fillId="14" borderId="0" xfId="0" quotePrefix="1" applyFont="1" applyFill="1" applyAlignment="1">
      <alignment horizontal="left"/>
    </xf>
    <xf numFmtId="43" fontId="118" fillId="14" borderId="0" xfId="7" applyFont="1" applyFill="1"/>
    <xf numFmtId="0" fontId="117" fillId="14" borderId="0" xfId="5" quotePrefix="1" applyNumberFormat="1" applyFont="1" applyFill="1" applyAlignment="1">
      <alignment horizontal="left"/>
    </xf>
    <xf numFmtId="0" fontId="115" fillId="14" borderId="0" xfId="5" applyNumberFormat="1" applyFont="1" applyFill="1"/>
    <xf numFmtId="165" fontId="115" fillId="14" borderId="0" xfId="7" applyNumberFormat="1" applyFont="1" applyFill="1"/>
    <xf numFmtId="43" fontId="115" fillId="14" borderId="0" xfId="7" applyFont="1" applyFill="1"/>
    <xf numFmtId="0" fontId="115" fillId="14" borderId="0" xfId="5" quotePrefix="1" applyFont="1" applyFill="1" applyAlignment="1">
      <alignment horizontal="left"/>
    </xf>
    <xf numFmtId="0" fontId="115" fillId="14" borderId="0" xfId="5" applyFont="1" applyFill="1"/>
    <xf numFmtId="43" fontId="115" fillId="14" borderId="0" xfId="1" quotePrefix="1" applyFont="1" applyFill="1" applyAlignment="1">
      <alignment horizontal="left"/>
    </xf>
    <xf numFmtId="43" fontId="118" fillId="12" borderId="0" xfId="1" applyFont="1" applyFill="1"/>
    <xf numFmtId="165" fontId="115" fillId="12" borderId="0" xfId="1" applyNumberFormat="1" applyFont="1" applyFill="1"/>
    <xf numFmtId="0" fontId="115" fillId="12" borderId="0" xfId="0" applyFont="1" applyFill="1"/>
    <xf numFmtId="0" fontId="115" fillId="12" borderId="0" xfId="0" quotePrefix="1" applyFont="1" applyFill="1" applyAlignment="1">
      <alignment horizontal="left"/>
    </xf>
    <xf numFmtId="43" fontId="118" fillId="12" borderId="0" xfId="7" applyFont="1" applyFill="1"/>
    <xf numFmtId="0" fontId="117" fillId="12" borderId="0" xfId="5" quotePrefix="1" applyNumberFormat="1" applyFont="1" applyFill="1" applyAlignment="1">
      <alignment horizontal="left"/>
    </xf>
    <xf numFmtId="0" fontId="115" fillId="12" borderId="0" xfId="5" applyNumberFormat="1" applyFont="1" applyFill="1"/>
    <xf numFmtId="165" fontId="115" fillId="12" borderId="0" xfId="7" applyNumberFormat="1" applyFont="1" applyFill="1"/>
    <xf numFmtId="43" fontId="115" fillId="12" borderId="0" xfId="7" applyFont="1" applyFill="1"/>
    <xf numFmtId="0" fontId="115" fillId="12" borderId="0" xfId="5" quotePrefix="1" applyFont="1" applyFill="1" applyAlignment="1">
      <alignment horizontal="left"/>
    </xf>
    <xf numFmtId="0" fontId="115" fillId="12" borderId="0" xfId="5" applyFont="1" applyFill="1"/>
    <xf numFmtId="43" fontId="115" fillId="12" borderId="0" xfId="1" quotePrefix="1" applyFont="1" applyFill="1" applyAlignment="1">
      <alignment horizontal="left"/>
    </xf>
    <xf numFmtId="43" fontId="118" fillId="3" borderId="0" xfId="1" applyFont="1" applyFill="1"/>
    <xf numFmtId="165" fontId="115" fillId="3" borderId="0" xfId="1" applyNumberFormat="1" applyFont="1" applyFill="1"/>
    <xf numFmtId="0" fontId="115" fillId="3" borderId="0" xfId="0" applyFont="1" applyFill="1"/>
    <xf numFmtId="0" fontId="115" fillId="3" borderId="0" xfId="0" quotePrefix="1" applyFont="1" applyFill="1" applyAlignment="1">
      <alignment horizontal="left"/>
    </xf>
    <xf numFmtId="0" fontId="117" fillId="3" borderId="0" xfId="5" quotePrefix="1" applyNumberFormat="1" applyFont="1" applyFill="1" applyAlignment="1">
      <alignment horizontal="left"/>
    </xf>
    <xf numFmtId="0" fontId="115" fillId="3" borderId="0" xfId="5" applyNumberFormat="1" applyFont="1" applyFill="1"/>
    <xf numFmtId="165" fontId="115" fillId="3" borderId="0" xfId="7" applyNumberFormat="1" applyFont="1" applyFill="1"/>
    <xf numFmtId="43" fontId="115" fillId="3" borderId="0" xfId="7" applyFont="1" applyFill="1"/>
    <xf numFmtId="0" fontId="115" fillId="3" borderId="0" xfId="5" quotePrefix="1" applyFont="1" applyFill="1" applyAlignment="1">
      <alignment horizontal="left"/>
    </xf>
    <xf numFmtId="0" fontId="115" fillId="3" borderId="0" xfId="5" applyFont="1" applyFill="1"/>
    <xf numFmtId="43" fontId="115" fillId="3" borderId="0" xfId="1" quotePrefix="1" applyFont="1" applyFill="1" applyAlignment="1">
      <alignment horizontal="left"/>
    </xf>
    <xf numFmtId="0" fontId="117" fillId="0" borderId="0" xfId="0" applyNumberFormat="1" applyFont="1" applyFill="1"/>
    <xf numFmtId="0" fontId="117" fillId="0" borderId="0" xfId="0" quotePrefix="1" applyNumberFormat="1" applyFont="1" applyFill="1" applyAlignment="1">
      <alignment horizontal="left"/>
    </xf>
    <xf numFmtId="0" fontId="118" fillId="0" borderId="0" xfId="5" applyFont="1" applyFill="1"/>
    <xf numFmtId="0" fontId="117" fillId="0" borderId="0" xfId="5" applyNumberFormat="1" applyFont="1" applyFill="1"/>
    <xf numFmtId="0" fontId="117" fillId="0" borderId="0" xfId="5" quotePrefix="1" applyNumberFormat="1" applyFont="1" applyFill="1" applyAlignment="1">
      <alignment horizontal="left"/>
    </xf>
    <xf numFmtId="0" fontId="115" fillId="0" borderId="0" xfId="5" applyNumberFormat="1" applyFont="1" applyFill="1"/>
    <xf numFmtId="43" fontId="118" fillId="0" borderId="0" xfId="7" applyFont="1" applyFill="1"/>
    <xf numFmtId="165" fontId="115" fillId="0" borderId="0" xfId="7" applyNumberFormat="1" applyFont="1" applyFill="1"/>
    <xf numFmtId="43" fontId="115" fillId="0" borderId="0" xfId="7" applyFont="1" applyFill="1"/>
    <xf numFmtId="0" fontId="115" fillId="0" borderId="0" xfId="5" quotePrefix="1" applyFont="1" applyFill="1" applyAlignment="1">
      <alignment horizontal="left"/>
    </xf>
    <xf numFmtId="0" fontId="115" fillId="0" borderId="0" xfId="5" applyFont="1" applyFill="1"/>
    <xf numFmtId="0" fontId="117" fillId="0" borderId="0" xfId="0" applyNumberFormat="1" applyFont="1" applyFill="1" applyAlignment="1">
      <alignment horizontal="left"/>
    </xf>
    <xf numFmtId="184" fontId="115" fillId="0" borderId="0" xfId="1" applyNumberFormat="1" applyFont="1"/>
    <xf numFmtId="175" fontId="115" fillId="0" borderId="0" xfId="2" applyNumberFormat="1" applyFont="1"/>
    <xf numFmtId="184" fontId="0" fillId="0" borderId="0" xfId="1" applyNumberFormat="1" applyFont="1" applyFill="1"/>
    <xf numFmtId="186" fontId="115" fillId="0" borderId="0" xfId="0" applyNumberFormat="1" applyFont="1" applyFill="1"/>
    <xf numFmtId="175" fontId="115" fillId="0" borderId="0" xfId="0" applyNumberFormat="1" applyFont="1"/>
    <xf numFmtId="37" fontId="115" fillId="0" borderId="0" xfId="0" applyNumberFormat="1" applyFont="1"/>
    <xf numFmtId="37" fontId="115" fillId="17" borderId="0" xfId="0" applyNumberFormat="1" applyFont="1" applyFill="1"/>
    <xf numFmtId="0" fontId="115" fillId="0" borderId="0" xfId="0" applyFont="1" applyAlignment="1">
      <alignment horizontal="left" indent="1"/>
    </xf>
    <xf numFmtId="165" fontId="115" fillId="0" borderId="0" xfId="1" applyNumberFormat="1" applyFont="1" applyAlignment="1">
      <alignment horizontal="left" indent="1"/>
    </xf>
    <xf numFmtId="0" fontId="115" fillId="0" borderId="0" xfId="0" applyFont="1" applyAlignment="1">
      <alignment horizontal="center"/>
    </xf>
    <xf numFmtId="176" fontId="123" fillId="0" borderId="0" xfId="4" applyFont="1" applyFill="1" applyBorder="1"/>
    <xf numFmtId="44" fontId="123" fillId="0" borderId="0" xfId="2" applyFont="1" applyFill="1" applyBorder="1"/>
    <xf numFmtId="175" fontId="123" fillId="0" borderId="0" xfId="2" applyNumberFormat="1" applyFont="1" applyFill="1" applyBorder="1"/>
    <xf numFmtId="175" fontId="123" fillId="0" borderId="0" xfId="2" applyNumberFormat="1" applyFont="1" applyFill="1"/>
    <xf numFmtId="165" fontId="123" fillId="0" borderId="0" xfId="4" applyNumberFormat="1" applyFont="1" applyFill="1" applyBorder="1"/>
    <xf numFmtId="178" fontId="123" fillId="0" borderId="0" xfId="2" applyNumberFormat="1" applyFont="1" applyFill="1" applyBorder="1"/>
    <xf numFmtId="165" fontId="123" fillId="0" borderId="0" xfId="1" applyNumberFormat="1" applyFont="1" applyFill="1" applyBorder="1"/>
    <xf numFmtId="166" fontId="123" fillId="0" borderId="0" xfId="2" applyNumberFormat="1" applyFont="1" applyFill="1" applyBorder="1"/>
    <xf numFmtId="175" fontId="127" fillId="0" borderId="0" xfId="2" applyNumberFormat="1" applyFont="1" applyFill="1" applyBorder="1"/>
    <xf numFmtId="0" fontId="119" fillId="0" borderId="0" xfId="4" quotePrefix="1" applyNumberFormat="1" applyFont="1" applyFill="1" applyBorder="1" applyAlignment="1">
      <alignment horizontal="left"/>
    </xf>
    <xf numFmtId="0" fontId="118" fillId="0" borderId="0" xfId="0" applyFont="1" applyFill="1" applyBorder="1"/>
    <xf numFmtId="175" fontId="129" fillId="0" borderId="0" xfId="2" applyNumberFormat="1" applyFont="1" applyFill="1" applyBorder="1"/>
    <xf numFmtId="0" fontId="115" fillId="0" borderId="0" xfId="0" applyFont="1" applyFill="1" applyBorder="1"/>
    <xf numFmtId="175" fontId="115" fillId="0" borderId="0" xfId="0" applyNumberFormat="1" applyFont="1" applyFill="1"/>
    <xf numFmtId="176" fontId="125" fillId="0" borderId="0" xfId="4" quotePrefix="1" applyFont="1" applyFill="1" applyBorder="1" applyAlignment="1">
      <alignment horizontal="left"/>
    </xf>
    <xf numFmtId="165" fontId="0" fillId="17" borderId="0" xfId="0" applyNumberFormat="1" applyFill="1"/>
    <xf numFmtId="165" fontId="0" fillId="17" borderId="0" xfId="1" applyNumberFormat="1" applyFont="1" applyFill="1"/>
    <xf numFmtId="174" fontId="115" fillId="0" borderId="0" xfId="1" applyNumberFormat="1" applyFont="1" applyAlignment="1">
      <alignment horizontal="center"/>
    </xf>
    <xf numFmtId="174" fontId="18" fillId="0" borderId="0" xfId="0" applyNumberFormat="1" applyFont="1" applyAlignment="1">
      <alignment horizontal="center" wrapText="1"/>
    </xf>
    <xf numFmtId="41" fontId="118" fillId="0" borderId="5" xfId="0" applyNumberFormat="1" applyFont="1" applyFill="1" applyBorder="1"/>
    <xf numFmtId="175" fontId="118" fillId="0" borderId="56" xfId="1360" applyNumberFormat="1" applyFont="1" applyFill="1" applyBorder="1"/>
    <xf numFmtId="41" fontId="118" fillId="0" borderId="0" xfId="0" applyNumberFormat="1" applyFont="1" applyFill="1"/>
    <xf numFmtId="175" fontId="122" fillId="0" borderId="0" xfId="2" applyNumberFormat="1" applyFont="1"/>
    <xf numFmtId="0" fontId="115" fillId="0" borderId="0" xfId="0" applyFont="1" applyAlignment="1">
      <alignment horizontal="left" indent="2"/>
    </xf>
    <xf numFmtId="174" fontId="115" fillId="0" borderId="0" xfId="0" applyNumberFormat="1" applyFont="1" applyAlignment="1">
      <alignment horizontal="center"/>
    </xf>
    <xf numFmtId="165" fontId="115" fillId="0" borderId="0" xfId="1" applyNumberFormat="1" applyFont="1" applyAlignment="1">
      <alignment horizontal="centerContinuous"/>
    </xf>
    <xf numFmtId="165" fontId="122" fillId="0" borderId="0" xfId="1" applyNumberFormat="1" applyFont="1" applyAlignment="1">
      <alignment horizontal="centerContinuous"/>
    </xf>
    <xf numFmtId="192" fontId="118" fillId="0" borderId="0" xfId="0" applyNumberFormat="1" applyFont="1" applyFill="1"/>
    <xf numFmtId="41" fontId="118" fillId="0" borderId="0" xfId="0" quotePrefix="1" applyNumberFormat="1" applyFont="1" applyFill="1" applyAlignment="1">
      <alignment horizontal="left"/>
    </xf>
    <xf numFmtId="165" fontId="115" fillId="0" borderId="0" xfId="1" quotePrefix="1" applyNumberFormat="1" applyFont="1" applyAlignment="1">
      <alignment horizontal="left"/>
    </xf>
    <xf numFmtId="166" fontId="115" fillId="0" borderId="0" xfId="2" applyNumberFormat="1" applyFont="1"/>
    <xf numFmtId="0" fontId="115" fillId="0" borderId="0" xfId="0" quotePrefix="1" applyFont="1" applyFill="1" applyAlignment="1">
      <alignment horizontal="right"/>
    </xf>
    <xf numFmtId="44" fontId="115" fillId="7" borderId="0" xfId="0" applyNumberFormat="1" applyFont="1" applyFill="1"/>
    <xf numFmtId="168" fontId="131" fillId="0" borderId="0" xfId="0" applyNumberFormat="1" applyFont="1" applyFill="1" applyBorder="1" applyAlignment="1">
      <alignment horizontal="left" vertical="center" wrapText="1"/>
    </xf>
    <xf numFmtId="168" fontId="131" fillId="0" borderId="0" xfId="0" quotePrefix="1" applyNumberFormat="1" applyFont="1" applyFill="1" applyBorder="1" applyAlignment="1">
      <alignment horizontal="left" vertical="center" wrapText="1"/>
    </xf>
    <xf numFmtId="168" fontId="131" fillId="0" borderId="0" xfId="0" quotePrefix="1" applyNumberFormat="1" applyFont="1" applyFill="1" applyBorder="1" applyAlignment="1">
      <alignment horizontal="right" vertical="center" wrapText="1"/>
    </xf>
    <xf numFmtId="0" fontId="115" fillId="0" borderId="0" xfId="0" quotePrefix="1" applyFont="1" applyAlignment="1">
      <alignment horizontal="right"/>
    </xf>
    <xf numFmtId="16" fontId="115" fillId="0" borderId="0" xfId="0" applyNumberFormat="1" applyFont="1"/>
    <xf numFmtId="165" fontId="115" fillId="0" borderId="14" xfId="0" applyNumberFormat="1" applyFont="1" applyBorder="1"/>
    <xf numFmtId="165" fontId="115" fillId="0" borderId="0" xfId="0" applyNumberFormat="1" applyFont="1" applyBorder="1"/>
    <xf numFmtId="165" fontId="115" fillId="0" borderId="15" xfId="0" applyNumberFormat="1" applyFont="1" applyBorder="1"/>
    <xf numFmtId="44" fontId="115" fillId="0" borderId="14" xfId="2" applyFont="1" applyBorder="1"/>
    <xf numFmtId="44" fontId="115" fillId="0" borderId="0" xfId="2" applyFont="1" applyBorder="1"/>
    <xf numFmtId="44" fontId="115" fillId="0" borderId="15" xfId="2" applyFont="1" applyBorder="1"/>
    <xf numFmtId="165" fontId="122" fillId="0" borderId="14" xfId="0" applyNumberFormat="1" applyFont="1" applyBorder="1"/>
    <xf numFmtId="165" fontId="122" fillId="0" borderId="0" xfId="0" applyNumberFormat="1" applyFont="1" applyBorder="1"/>
    <xf numFmtId="165" fontId="122" fillId="0" borderId="15" xfId="0" applyNumberFormat="1" applyFont="1" applyBorder="1"/>
    <xf numFmtId="44" fontId="122" fillId="0" borderId="14" xfId="2" applyFont="1" applyBorder="1"/>
    <xf numFmtId="44" fontId="122" fillId="0" borderId="0" xfId="2" applyFont="1" applyBorder="1"/>
    <xf numFmtId="44" fontId="122" fillId="0" borderId="15" xfId="2" applyFont="1" applyBorder="1"/>
    <xf numFmtId="44" fontId="115" fillId="0" borderId="14" xfId="2" applyFont="1" applyFill="1" applyBorder="1"/>
    <xf numFmtId="44" fontId="122" fillId="0" borderId="0" xfId="0" applyNumberFormat="1" applyFont="1"/>
    <xf numFmtId="0" fontId="115" fillId="0" borderId="14" xfId="0" applyFont="1" applyBorder="1"/>
    <xf numFmtId="0" fontId="115" fillId="7" borderId="0" xfId="0" quotePrefix="1" applyFont="1" applyFill="1" applyAlignment="1">
      <alignment horizontal="left"/>
    </xf>
    <xf numFmtId="0" fontId="115" fillId="7" borderId="0" xfId="0" applyFont="1" applyFill="1" applyAlignment="1">
      <alignment horizontal="left"/>
    </xf>
    <xf numFmtId="0" fontId="115" fillId="0" borderId="0" xfId="0" applyFont="1" applyAlignment="1">
      <alignment horizontal="left"/>
    </xf>
    <xf numFmtId="44" fontId="132" fillId="0" borderId="0" xfId="0" applyNumberFormat="1" applyFont="1"/>
    <xf numFmtId="0" fontId="115" fillId="0" borderId="14" xfId="0" applyFont="1" applyFill="1" applyBorder="1"/>
    <xf numFmtId="165" fontId="115" fillId="7" borderId="14" xfId="0" applyNumberFormat="1" applyFont="1" applyFill="1" applyBorder="1"/>
    <xf numFmtId="165" fontId="115" fillId="0" borderId="16" xfId="0" applyNumberFormat="1" applyFont="1" applyBorder="1"/>
    <xf numFmtId="165" fontId="115" fillId="0" borderId="6" xfId="0" applyNumberFormat="1" applyFont="1" applyBorder="1"/>
    <xf numFmtId="165" fontId="115" fillId="0" borderId="17" xfId="0" applyNumberFormat="1" applyFont="1" applyBorder="1"/>
    <xf numFmtId="44" fontId="133" fillId="0" borderId="16" xfId="0" applyNumberFormat="1" applyFont="1" applyBorder="1"/>
    <xf numFmtId="44" fontId="133" fillId="0" borderId="6" xfId="0" applyNumberFormat="1" applyFont="1" applyBorder="1"/>
    <xf numFmtId="44" fontId="133" fillId="0" borderId="17" xfId="0" applyNumberFormat="1" applyFont="1" applyBorder="1"/>
    <xf numFmtId="169" fontId="120" fillId="79" borderId="3" xfId="0" applyNumberFormat="1" applyFont="1" applyFill="1" applyBorder="1" applyAlignment="1">
      <alignment horizontal="right" vertical="center"/>
    </xf>
    <xf numFmtId="0" fontId="115" fillId="0" borderId="0" xfId="0" applyFont="1" applyAlignment="1"/>
    <xf numFmtId="0" fontId="115" fillId="4" borderId="0" xfId="0" quotePrefix="1" applyFont="1" applyFill="1" applyAlignment="1">
      <alignment horizontal="left"/>
    </xf>
    <xf numFmtId="44" fontId="18" fillId="8" borderId="1" xfId="0" applyNumberFormat="1" applyFont="1" applyFill="1" applyBorder="1" applyAlignment="1">
      <alignment horizontal="left" vertical="center"/>
    </xf>
    <xf numFmtId="44" fontId="18" fillId="8" borderId="2" xfId="0" applyNumberFormat="1" applyFont="1" applyFill="1" applyBorder="1" applyAlignment="1">
      <alignment horizontal="left" vertical="center"/>
    </xf>
    <xf numFmtId="44" fontId="120" fillId="8" borderId="3" xfId="0" applyNumberFormat="1" applyFont="1" applyFill="1" applyBorder="1" applyAlignment="1">
      <alignment horizontal="right" vertical="center"/>
    </xf>
    <xf numFmtId="44" fontId="120" fillId="8" borderId="3" xfId="0" applyNumberFormat="1" applyFont="1" applyFill="1" applyBorder="1" applyAlignment="1">
      <alignment horizontal="left" vertical="center"/>
    </xf>
    <xf numFmtId="44" fontId="18" fillId="0" borderId="0" xfId="0" applyNumberFormat="1" applyFont="1"/>
    <xf numFmtId="44" fontId="120" fillId="8" borderId="3" xfId="0" applyNumberFormat="1" applyFont="1" applyFill="1" applyBorder="1" applyAlignment="1">
      <alignment horizontal="left" vertical="center" wrapText="1"/>
    </xf>
    <xf numFmtId="44" fontId="120" fillId="0" borderId="0" xfId="0" applyNumberFormat="1" applyFont="1" applyFill="1" applyBorder="1" applyAlignment="1">
      <alignment horizontal="right" vertical="center"/>
    </xf>
    <xf numFmtId="44" fontId="18" fillId="0" borderId="0" xfId="0" applyNumberFormat="1" applyFont="1" applyAlignment="1"/>
    <xf numFmtId="0" fontId="120" fillId="8" borderId="3" xfId="0" applyNumberFormat="1" applyFont="1" applyFill="1" applyBorder="1" applyAlignment="1">
      <alignment horizontal="left" vertical="center"/>
    </xf>
    <xf numFmtId="0" fontId="18" fillId="0" borderId="0" xfId="0" applyNumberFormat="1" applyFont="1"/>
    <xf numFmtId="43" fontId="120" fillId="8" borderId="3" xfId="1" applyFont="1" applyFill="1" applyBorder="1" applyAlignment="1">
      <alignment horizontal="left" vertical="center"/>
    </xf>
    <xf numFmtId="43" fontId="120" fillId="10" borderId="3" xfId="1" applyFont="1" applyFill="1" applyBorder="1" applyAlignment="1">
      <alignment horizontal="right" vertical="center" wrapText="1"/>
    </xf>
    <xf numFmtId="43" fontId="120" fillId="9" borderId="3" xfId="1" applyFont="1" applyFill="1" applyBorder="1" applyAlignment="1">
      <alignment horizontal="right" vertical="center" wrapText="1"/>
    </xf>
    <xf numFmtId="43" fontId="120" fillId="0" borderId="0" xfId="1" applyFont="1" applyFill="1" applyBorder="1" applyAlignment="1">
      <alignment horizontal="right" vertical="center"/>
    </xf>
    <xf numFmtId="43" fontId="18" fillId="0" borderId="0" xfId="1" applyFont="1"/>
    <xf numFmtId="165" fontId="120" fillId="8" borderId="3" xfId="1" applyNumberFormat="1" applyFont="1" applyFill="1" applyBorder="1" applyAlignment="1">
      <alignment horizontal="left" vertical="center"/>
    </xf>
    <xf numFmtId="165" fontId="18" fillId="0" borderId="0" xfId="1" applyNumberFormat="1" applyFont="1"/>
    <xf numFmtId="41" fontId="123" fillId="0" borderId="0" xfId="1782" applyFont="1" applyFill="1" applyBorder="1"/>
    <xf numFmtId="41" fontId="123" fillId="0" borderId="14" xfId="1782" applyFont="1" applyFill="1" applyBorder="1"/>
    <xf numFmtId="41" fontId="123" fillId="0" borderId="0" xfId="1782" quotePrefix="1" applyFont="1" applyFill="1" applyBorder="1" applyAlignment="1">
      <alignment horizontal="right"/>
    </xf>
    <xf numFmtId="44" fontId="123" fillId="0" borderId="0" xfId="1360" applyFont="1" applyFill="1" applyBorder="1" applyProtection="1">
      <protection locked="0"/>
    </xf>
    <xf numFmtId="175" fontId="123" fillId="0" borderId="0" xfId="1360" applyNumberFormat="1" applyFont="1" applyFill="1" applyBorder="1"/>
    <xf numFmtId="41" fontId="123" fillId="0" borderId="0" xfId="1782" applyFont="1" applyFill="1" applyBorder="1" applyAlignment="1">
      <alignment horizontal="right"/>
    </xf>
    <xf numFmtId="166" fontId="123" fillId="0" borderId="0" xfId="1360" applyNumberFormat="1" applyFont="1" applyFill="1" applyBorder="1" applyProtection="1">
      <protection locked="0"/>
    </xf>
    <xf numFmtId="175" fontId="127" fillId="0" borderId="0" xfId="1360" applyNumberFormat="1" applyFont="1" applyFill="1" applyBorder="1"/>
    <xf numFmtId="41" fontId="123" fillId="0" borderId="0" xfId="1782" applyFont="1" applyFill="1" applyBorder="1" applyAlignment="1">
      <alignment horizontal="left"/>
    </xf>
    <xf numFmtId="166" fontId="123" fillId="0" borderId="0" xfId="1782" applyNumberFormat="1" applyFont="1" applyFill="1" applyBorder="1"/>
    <xf numFmtId="41" fontId="125" fillId="0" borderId="0" xfId="1782" applyFont="1" applyFill="1" applyBorder="1" applyAlignment="1">
      <alignment horizontal="right"/>
    </xf>
    <xf numFmtId="175" fontId="125" fillId="0" borderId="0" xfId="1360" applyNumberFormat="1" applyFont="1" applyFill="1" applyBorder="1"/>
    <xf numFmtId="179" fontId="130" fillId="0" borderId="0" xfId="4" applyNumberFormat="1" applyFont="1" applyFill="1" applyBorder="1"/>
    <xf numFmtId="165" fontId="123" fillId="0" borderId="0" xfId="13" applyNumberFormat="1" applyFont="1" applyFill="1" applyBorder="1"/>
    <xf numFmtId="41" fontId="123" fillId="0" borderId="0" xfId="1782" quotePrefix="1" applyFont="1" applyFill="1" applyBorder="1" applyAlignment="1">
      <alignment horizontal="left"/>
    </xf>
    <xf numFmtId="41" fontId="125" fillId="0" borderId="0" xfId="1782" quotePrefix="1" applyFont="1" applyFill="1" applyBorder="1" applyAlignment="1">
      <alignment horizontal="center"/>
    </xf>
    <xf numFmtId="175" fontId="129" fillId="0" borderId="0" xfId="1360" applyNumberFormat="1" applyFont="1" applyFill="1" applyBorder="1"/>
    <xf numFmtId="41" fontId="123" fillId="0" borderId="0" xfId="1782" quotePrefix="1" applyFont="1" applyFill="1" applyBorder="1" applyAlignment="1">
      <alignment horizontal="center"/>
    </xf>
    <xf numFmtId="175" fontId="128" fillId="0" borderId="0" xfId="1360" applyNumberFormat="1" applyFont="1" applyFill="1" applyBorder="1"/>
    <xf numFmtId="41" fontId="125" fillId="0" borderId="0" xfId="1782" applyFont="1" applyFill="1" applyBorder="1" applyAlignment="1">
      <alignment horizontal="left"/>
    </xf>
    <xf numFmtId="41" fontId="123" fillId="0" borderId="0" xfId="1782" applyFont="1" applyFill="1"/>
    <xf numFmtId="41" fontId="123" fillId="0" borderId="0" xfId="1782" applyFont="1" applyFill="1" applyBorder="1" applyAlignment="1">
      <alignment horizontal="center"/>
    </xf>
    <xf numFmtId="165" fontId="123" fillId="0" borderId="0" xfId="13" applyNumberFormat="1" applyFont="1" applyFill="1" applyBorder="1" applyAlignment="1">
      <alignment horizontal="center"/>
    </xf>
    <xf numFmtId="41" fontId="123" fillId="0" borderId="5" xfId="1782" applyFont="1" applyFill="1" applyBorder="1" applyAlignment="1">
      <alignment horizontal="center"/>
    </xf>
    <xf numFmtId="14" fontId="123" fillId="0" borderId="5" xfId="1782" applyNumberFormat="1" applyFont="1" applyFill="1" applyBorder="1" applyAlignment="1">
      <alignment horizontal="center"/>
    </xf>
    <xf numFmtId="165" fontId="123" fillId="0" borderId="5" xfId="13" applyNumberFormat="1" applyFont="1" applyFill="1" applyBorder="1" applyAlignment="1">
      <alignment horizontal="center"/>
    </xf>
    <xf numFmtId="41" fontId="123" fillId="0" borderId="5" xfId="1782" applyFont="1" applyFill="1" applyBorder="1"/>
    <xf numFmtId="175" fontId="130" fillId="0" borderId="0" xfId="2" applyNumberFormat="1" applyFont="1" applyFill="1" applyBorder="1"/>
    <xf numFmtId="41" fontId="123" fillId="0" borderId="5" xfId="1782" quotePrefix="1" applyFont="1" applyFill="1" applyBorder="1" applyAlignment="1">
      <alignment horizontal="center"/>
    </xf>
    <xf numFmtId="175" fontId="125" fillId="0" borderId="0" xfId="2" applyNumberFormat="1" applyFont="1" applyFill="1" applyBorder="1"/>
    <xf numFmtId="179" fontId="130" fillId="0" borderId="0" xfId="2" applyNumberFormat="1" applyFont="1" applyFill="1" applyBorder="1"/>
    <xf numFmtId="190" fontId="130" fillId="0" borderId="0" xfId="2" applyNumberFormat="1" applyFont="1" applyFill="1" applyBorder="1"/>
    <xf numFmtId="41" fontId="123" fillId="0" borderId="0" xfId="1791" applyFont="1" applyFill="1" applyBorder="1"/>
    <xf numFmtId="165" fontId="127" fillId="0" borderId="0" xfId="13" applyNumberFormat="1" applyFont="1" applyFill="1" applyBorder="1"/>
    <xf numFmtId="41" fontId="125" fillId="0" borderId="0" xfId="1782" applyFont="1" applyFill="1" applyBorder="1" applyAlignment="1">
      <alignment horizontal="center"/>
    </xf>
    <xf numFmtId="41" fontId="123" fillId="0" borderId="0" xfId="1792" applyFont="1" applyFill="1" applyBorder="1"/>
    <xf numFmtId="41" fontId="123" fillId="0" borderId="0" xfId="1793" applyFont="1" applyFill="1" applyBorder="1"/>
    <xf numFmtId="41" fontId="125" fillId="0" borderId="0" xfId="1782" applyFont="1" applyFill="1" applyBorder="1"/>
    <xf numFmtId="175" fontId="177" fillId="0" borderId="0" xfId="1360" applyNumberFormat="1" applyFont="1" applyFill="1" applyBorder="1"/>
    <xf numFmtId="165" fontId="125" fillId="0" borderId="0" xfId="13" applyNumberFormat="1" applyFont="1" applyFill="1" applyBorder="1" applyAlignment="1">
      <alignment horizontal="left"/>
    </xf>
    <xf numFmtId="179" fontId="127" fillId="0" borderId="0" xfId="4" applyNumberFormat="1" applyFont="1" applyFill="1" applyBorder="1"/>
    <xf numFmtId="0" fontId="115" fillId="0" borderId="0" xfId="0" applyFont="1" applyFill="1" applyBorder="1" applyAlignment="1">
      <alignment horizontal="center"/>
    </xf>
    <xf numFmtId="176" fontId="125" fillId="0" borderId="0" xfId="4" applyFont="1" applyFill="1" applyBorder="1"/>
    <xf numFmtId="14" fontId="123" fillId="0" borderId="0" xfId="1782" applyNumberFormat="1" applyFont="1" applyFill="1" applyBorder="1" applyAlignment="1">
      <alignment horizontal="center"/>
    </xf>
    <xf numFmtId="193" fontId="115" fillId="0" borderId="0" xfId="0" applyNumberFormat="1" applyFont="1" applyFill="1"/>
    <xf numFmtId="10" fontId="115" fillId="0" borderId="0" xfId="3" applyNumberFormat="1" applyFont="1" applyFill="1"/>
    <xf numFmtId="41" fontId="115" fillId="0" borderId="0" xfId="0" applyNumberFormat="1" applyFont="1" applyFill="1"/>
    <xf numFmtId="10" fontId="115" fillId="0" borderId="0" xfId="2" applyNumberFormat="1" applyFont="1" applyFill="1"/>
    <xf numFmtId="165" fontId="123" fillId="0" borderId="0" xfId="1782" applyNumberFormat="1" applyFont="1" applyFill="1"/>
    <xf numFmtId="41" fontId="126" fillId="0" borderId="0" xfId="1782" applyFont="1" applyFill="1" applyBorder="1" applyAlignment="1">
      <alignment horizontal="center"/>
    </xf>
    <xf numFmtId="41" fontId="126" fillId="0" borderId="0" xfId="1782" applyFont="1" applyFill="1" applyBorder="1"/>
    <xf numFmtId="41" fontId="126" fillId="0" borderId="0" xfId="1782" quotePrefix="1" applyFont="1" applyFill="1" applyBorder="1" applyAlignment="1">
      <alignment horizontal="left"/>
    </xf>
    <xf numFmtId="9" fontId="123" fillId="0" borderId="0" xfId="1986" applyFont="1" applyFill="1" applyBorder="1"/>
    <xf numFmtId="165" fontId="123" fillId="0" borderId="0" xfId="13" applyNumberFormat="1" applyFont="1" applyFill="1" applyBorder="1" applyAlignment="1">
      <alignment horizontal="left"/>
    </xf>
    <xf numFmtId="9" fontId="115" fillId="0" borderId="0" xfId="0" applyNumberFormat="1" applyFont="1" applyFill="1" applyBorder="1"/>
    <xf numFmtId="41" fontId="126" fillId="0" borderId="0" xfId="1782" quotePrefix="1" applyFont="1" applyFill="1" applyAlignment="1">
      <alignment horizontal="left"/>
    </xf>
    <xf numFmtId="175" fontId="115" fillId="0" borderId="0" xfId="2" applyNumberFormat="1" applyFont="1" applyFill="1"/>
    <xf numFmtId="175" fontId="122" fillId="0" borderId="0" xfId="2" applyNumberFormat="1" applyFont="1" applyFill="1"/>
    <xf numFmtId="43" fontId="123" fillId="0" borderId="0" xfId="1" applyFont="1" applyFill="1" applyBorder="1"/>
    <xf numFmtId="0" fontId="118" fillId="0" borderId="0" xfId="0" quotePrefix="1" applyFont="1" applyFill="1" applyBorder="1" applyAlignment="1">
      <alignment horizontal="left"/>
    </xf>
    <xf numFmtId="0" fontId="126" fillId="0" borderId="0" xfId="0" applyFont="1" applyFill="1" applyBorder="1"/>
    <xf numFmtId="0" fontId="125" fillId="0" borderId="0" xfId="4" applyNumberFormat="1" applyFont="1" applyFill="1" applyBorder="1" applyAlignment="1">
      <alignment horizontal="left"/>
    </xf>
    <xf numFmtId="0" fontId="126" fillId="0" borderId="0" xfId="1782" applyNumberFormat="1" applyFont="1" applyFill="1" applyBorder="1" applyAlignment="1">
      <alignment horizontal="center"/>
    </xf>
    <xf numFmtId="43" fontId="123" fillId="0" borderId="0" xfId="1" applyFont="1" applyFill="1" applyBorder="1" applyAlignment="1">
      <alignment horizontal="left" indent="2"/>
    </xf>
    <xf numFmtId="175" fontId="122" fillId="0" borderId="0" xfId="0" applyNumberFormat="1" applyFont="1" applyFill="1" applyBorder="1"/>
    <xf numFmtId="175" fontId="115" fillId="0" borderId="0" xfId="2" applyNumberFormat="1" applyFont="1" applyFill="1" applyBorder="1"/>
    <xf numFmtId="10" fontId="115" fillId="0" borderId="0" xfId="0" applyNumberFormat="1" applyFont="1" applyFill="1"/>
    <xf numFmtId="179" fontId="132" fillId="0" borderId="0" xfId="0" applyNumberFormat="1" applyFont="1" applyFill="1" applyBorder="1"/>
    <xf numFmtId="194" fontId="115" fillId="0" borderId="0" xfId="0" applyNumberFormat="1" applyFont="1" applyFill="1"/>
    <xf numFmtId="10" fontId="123" fillId="0" borderId="0" xfId="1986" applyNumberFormat="1" applyFont="1" applyFill="1" applyBorder="1"/>
    <xf numFmtId="0" fontId="179" fillId="0" borderId="0" xfId="0" quotePrefix="1" applyFont="1" applyAlignment="1">
      <alignment horizontal="right"/>
    </xf>
    <xf numFmtId="41" fontId="123" fillId="0" borderId="0" xfId="1782" applyFont="1" applyFill="1" applyAlignment="1">
      <alignment horizontal="left"/>
    </xf>
    <xf numFmtId="175" fontId="176" fillId="0" borderId="0" xfId="2" applyNumberFormat="1" applyFont="1" applyFill="1"/>
    <xf numFmtId="175" fontId="180" fillId="0" borderId="0" xfId="2" applyNumberFormat="1" applyFont="1" applyFill="1"/>
    <xf numFmtId="165" fontId="176" fillId="0" borderId="0" xfId="1" applyNumberFormat="1" applyFont="1" applyFill="1"/>
    <xf numFmtId="0" fontId="176" fillId="0" borderId="0" xfId="0" applyFont="1" applyFill="1"/>
    <xf numFmtId="37" fontId="176" fillId="0" borderId="0" xfId="0" applyNumberFormat="1" applyFont="1" applyFill="1"/>
    <xf numFmtId="41" fontId="125" fillId="0" borderId="0" xfId="1782" applyFont="1" applyFill="1"/>
    <xf numFmtId="41" fontId="123" fillId="0" borderId="0" xfId="1782" quotePrefix="1" applyFont="1" applyFill="1" applyAlignment="1">
      <alignment horizontal="left"/>
    </xf>
    <xf numFmtId="41" fontId="182" fillId="0" borderId="0" xfId="1782" applyFont="1" applyFill="1"/>
    <xf numFmtId="41" fontId="123" fillId="0" borderId="0" xfId="1782" applyFont="1" applyFill="1" applyAlignment="1">
      <alignment horizontal="center"/>
    </xf>
    <xf numFmtId="41" fontId="123" fillId="0" borderId="0" xfId="1782" applyFont="1" applyBorder="1" applyAlignment="1">
      <alignment horizontal="center"/>
    </xf>
    <xf numFmtId="41" fontId="123" fillId="0" borderId="0" xfId="1782" quotePrefix="1" applyFont="1" applyFill="1" applyAlignment="1">
      <alignment horizontal="left" indent="1"/>
    </xf>
    <xf numFmtId="41" fontId="123" fillId="0" borderId="0" xfId="0" quotePrefix="1" applyNumberFormat="1" applyFont="1" applyFill="1" applyAlignment="1">
      <alignment horizontal="left"/>
    </xf>
    <xf numFmtId="41" fontId="176" fillId="0" borderId="0" xfId="0" applyNumberFormat="1" applyFont="1" applyFill="1"/>
    <xf numFmtId="41" fontId="123" fillId="0" borderId="0" xfId="0" applyNumberFormat="1" applyFont="1" applyFill="1"/>
    <xf numFmtId="41" fontId="123" fillId="0" borderId="0" xfId="1782" applyFont="1" applyFill="1" applyAlignment="1">
      <alignment horizontal="right"/>
    </xf>
    <xf numFmtId="165" fontId="123" fillId="0" borderId="0" xfId="1" applyNumberFormat="1" applyFont="1" applyFill="1"/>
    <xf numFmtId="49" fontId="120" fillId="8" borderId="3" xfId="0" quotePrefix="1" applyNumberFormat="1" applyFont="1" applyFill="1" applyBorder="1" applyAlignment="1">
      <alignment horizontal="left" vertical="center" wrapText="1"/>
    </xf>
    <xf numFmtId="176" fontId="125" fillId="0" borderId="0" xfId="4" applyFont="1" applyFill="1" applyBorder="1" applyAlignment="1">
      <alignment horizontal="right"/>
    </xf>
    <xf numFmtId="176" fontId="125" fillId="0" borderId="0" xfId="4" applyFont="1" applyFill="1" applyBorder="1" applyAlignment="1">
      <alignment horizontal="left"/>
    </xf>
    <xf numFmtId="176" fontId="123" fillId="0" borderId="0" xfId="4" applyFont="1" applyFill="1" applyBorder="1" applyAlignment="1">
      <alignment horizontal="left"/>
    </xf>
    <xf numFmtId="177" fontId="124" fillId="0" borderId="5" xfId="4" applyNumberFormat="1" applyFont="1" applyFill="1" applyBorder="1" applyProtection="1"/>
    <xf numFmtId="41" fontId="125" fillId="0" borderId="0" xfId="1782" applyFont="1" applyBorder="1" applyAlignment="1">
      <alignment horizontal="left"/>
    </xf>
    <xf numFmtId="41" fontId="125" fillId="0" borderId="0" xfId="1782" quotePrefix="1" applyFont="1" applyFill="1" applyBorder="1" applyAlignment="1">
      <alignment horizontal="right"/>
    </xf>
    <xf numFmtId="41" fontId="123" fillId="0" borderId="0" xfId="1782" applyFont="1" applyBorder="1" applyAlignment="1">
      <alignment horizontal="left"/>
    </xf>
    <xf numFmtId="177" fontId="124" fillId="0" borderId="0" xfId="4" applyNumberFormat="1" applyFont="1" applyFill="1" applyBorder="1" applyProtection="1"/>
    <xf numFmtId="41" fontId="127" fillId="0" borderId="0" xfId="1782" applyFont="1" applyFill="1" applyBorder="1"/>
    <xf numFmtId="165" fontId="125" fillId="0" borderId="0" xfId="13" quotePrefix="1" applyNumberFormat="1" applyFont="1" applyFill="1" applyBorder="1" applyAlignment="1">
      <alignment horizontal="right"/>
    </xf>
    <xf numFmtId="177" fontId="124" fillId="0" borderId="53" xfId="4" applyNumberFormat="1" applyFont="1" applyFill="1" applyBorder="1" applyProtection="1"/>
    <xf numFmtId="41" fontId="125" fillId="0" borderId="53" xfId="1782" quotePrefix="1" applyFont="1" applyFill="1" applyBorder="1" applyAlignment="1">
      <alignment horizontal="center"/>
    </xf>
    <xf numFmtId="41" fontId="123" fillId="0" borderId="53" xfId="1782" applyFont="1" applyFill="1" applyBorder="1" applyAlignment="1">
      <alignment horizontal="center"/>
    </xf>
    <xf numFmtId="165" fontId="123" fillId="0" borderId="53" xfId="13" applyNumberFormat="1" applyFont="1" applyFill="1" applyBorder="1" applyAlignment="1">
      <alignment horizontal="center"/>
    </xf>
    <xf numFmtId="188" fontId="123" fillId="0" borderId="0" xfId="1782" applyNumberFormat="1" applyFont="1" applyFill="1" applyBorder="1"/>
    <xf numFmtId="10" fontId="123" fillId="0" borderId="0" xfId="1782" applyNumberFormat="1" applyFont="1" applyFill="1" applyBorder="1"/>
    <xf numFmtId="189" fontId="123" fillId="0" borderId="0" xfId="1986" applyNumberFormat="1" applyFont="1" applyFill="1" applyBorder="1"/>
    <xf numFmtId="44" fontId="123" fillId="0" borderId="0" xfId="1360" applyFont="1" applyFill="1" applyBorder="1"/>
    <xf numFmtId="187" fontId="123" fillId="0" borderId="0" xfId="1782" applyNumberFormat="1" applyFont="1" applyFill="1" applyBorder="1"/>
    <xf numFmtId="9" fontId="123" fillId="0" borderId="0" xfId="3" applyFont="1" applyFill="1" applyBorder="1"/>
    <xf numFmtId="164" fontId="123" fillId="0" borderId="0" xfId="13" applyNumberFormat="1" applyFont="1" applyFill="1" applyBorder="1"/>
    <xf numFmtId="43" fontId="123" fillId="0" borderId="0" xfId="1782" applyNumberFormat="1" applyFont="1" applyFill="1" applyBorder="1"/>
    <xf numFmtId="187" fontId="123" fillId="15" borderId="0" xfId="1782" applyNumberFormat="1" applyFont="1" applyFill="1" applyBorder="1"/>
    <xf numFmtId="176" fontId="125" fillId="0" borderId="0" xfId="4" applyFont="1" applyFill="1" applyBorder="1" applyAlignment="1">
      <alignment horizontal="left" indent="1"/>
    </xf>
    <xf numFmtId="176" fontId="125" fillId="0" borderId="0" xfId="4" quotePrefix="1" applyFont="1" applyFill="1" applyBorder="1" applyAlignment="1">
      <alignment horizontal="left" indent="2"/>
    </xf>
    <xf numFmtId="176" fontId="125" fillId="0" borderId="0" xfId="4" applyFont="1" applyFill="1" applyBorder="1" applyAlignment="1">
      <alignment horizontal="left" indent="5"/>
    </xf>
    <xf numFmtId="176" fontId="125" fillId="0" borderId="0" xfId="4" quotePrefix="1" applyFont="1" applyFill="1" applyBorder="1" applyAlignment="1">
      <alignment horizontal="left" indent="5"/>
    </xf>
    <xf numFmtId="176" fontId="125" fillId="0" borderId="0" xfId="4" applyFont="1" applyFill="1" applyBorder="1" applyAlignment="1">
      <alignment horizontal="left" indent="2"/>
    </xf>
    <xf numFmtId="165" fontId="125" fillId="0" borderId="0" xfId="13" quotePrefix="1" applyNumberFormat="1" applyFont="1" applyFill="1" applyBorder="1" applyAlignment="1">
      <alignment horizontal="left"/>
    </xf>
    <xf numFmtId="0" fontId="178" fillId="0" borderId="0" xfId="0" quotePrefix="1" applyFont="1" applyFill="1" applyBorder="1" applyAlignment="1">
      <alignment horizontal="left"/>
    </xf>
    <xf numFmtId="176" fontId="125" fillId="0" borderId="0" xfId="4" quotePrefix="1" applyFont="1" applyFill="1" applyBorder="1" applyAlignment="1">
      <alignment horizontal="left" indent="1"/>
    </xf>
    <xf numFmtId="43" fontId="125" fillId="0" borderId="0" xfId="1" quotePrefix="1" applyFont="1" applyBorder="1" applyAlignment="1">
      <alignment horizontal="left"/>
    </xf>
    <xf numFmtId="49" fontId="120" fillId="8" borderId="78" xfId="0" applyNumberFormat="1" applyFont="1" applyFill="1" applyBorder="1" applyAlignment="1">
      <alignment horizontal="left" vertical="center"/>
    </xf>
    <xf numFmtId="49" fontId="120" fillId="11" borderId="7" xfId="0" applyNumberFormat="1" applyFont="1" applyFill="1" applyBorder="1" applyAlignment="1">
      <alignment vertical="center"/>
    </xf>
    <xf numFmtId="49" fontId="120" fillId="11" borderId="9" xfId="0" applyNumberFormat="1" applyFont="1" applyFill="1" applyBorder="1" applyAlignment="1">
      <alignment vertical="center"/>
    </xf>
    <xf numFmtId="49" fontId="120" fillId="11" borderId="9" xfId="0" applyNumberFormat="1" applyFont="1" applyFill="1" applyBorder="1" applyAlignment="1">
      <alignment horizontal="left" vertical="center"/>
    </xf>
    <xf numFmtId="169" fontId="120" fillId="11" borderId="78" xfId="0" applyNumberFormat="1" applyFont="1" applyFill="1" applyBorder="1" applyAlignment="1">
      <alignment horizontal="right" vertical="center"/>
    </xf>
    <xf numFmtId="168" fontId="120" fillId="11" borderId="78" xfId="0" applyNumberFormat="1" applyFont="1" applyFill="1" applyBorder="1" applyAlignment="1">
      <alignment horizontal="right" vertical="center"/>
    </xf>
    <xf numFmtId="43" fontId="120" fillId="2" borderId="78" xfId="7" applyFont="1" applyFill="1" applyBorder="1" applyAlignment="1">
      <alignment horizontal="right" vertical="center"/>
    </xf>
    <xf numFmtId="43" fontId="120" fillId="2" borderId="78" xfId="1" applyFont="1" applyFill="1" applyBorder="1" applyAlignment="1">
      <alignment horizontal="right" vertical="center"/>
    </xf>
    <xf numFmtId="49" fontId="120" fillId="0" borderId="0" xfId="0" applyNumberFormat="1" applyFont="1" applyFill="1" applyBorder="1" applyAlignment="1">
      <alignment horizontal="left" vertical="center"/>
    </xf>
    <xf numFmtId="169" fontId="120" fillId="0" borderId="0" xfId="0" applyNumberFormat="1" applyFont="1" applyFill="1" applyBorder="1" applyAlignment="1">
      <alignment horizontal="right" vertical="center"/>
    </xf>
    <xf numFmtId="49" fontId="120" fillId="0" borderId="0" xfId="0" applyNumberFormat="1" applyFont="1" applyFill="1" applyBorder="1" applyAlignment="1">
      <alignment horizontal="right" vertical="center"/>
    </xf>
    <xf numFmtId="43" fontId="120" fillId="0" borderId="0" xfId="7" applyFont="1" applyFill="1" applyBorder="1" applyAlignment="1">
      <alignment horizontal="right" vertical="center"/>
    </xf>
    <xf numFmtId="0" fontId="18" fillId="0" borderId="0" xfId="5" applyFont="1" applyFill="1" applyBorder="1" applyAlignment="1"/>
    <xf numFmtId="43" fontId="19" fillId="0" borderId="0" xfId="1" applyFont="1" applyFill="1" applyBorder="1" applyAlignment="1">
      <alignment horizontal="right"/>
    </xf>
    <xf numFmtId="43" fontId="19" fillId="0" borderId="0" xfId="5" applyNumberFormat="1" applyFont="1" applyFill="1" applyBorder="1" applyAlignment="1">
      <alignment horizontal="center"/>
    </xf>
    <xf numFmtId="0" fontId="120" fillId="0" borderId="0" xfId="0" quotePrefix="1" applyNumberFormat="1" applyFont="1" applyFill="1" applyBorder="1" applyAlignment="1">
      <alignment horizontal="left" vertical="center"/>
    </xf>
    <xf numFmtId="43" fontId="18" fillId="0" borderId="0" xfId="1" applyFont="1" applyFill="1" applyBorder="1" applyAlignment="1"/>
    <xf numFmtId="175" fontId="120" fillId="10" borderId="3" xfId="2" applyNumberFormat="1" applyFont="1" applyFill="1" applyBorder="1" applyAlignment="1">
      <alignment horizontal="right" vertical="center"/>
    </xf>
    <xf numFmtId="0" fontId="19" fillId="0" borderId="0" xfId="0" applyFont="1"/>
    <xf numFmtId="0" fontId="184" fillId="103" borderId="0" xfId="0" applyFont="1" applyFill="1"/>
    <xf numFmtId="0" fontId="18" fillId="0" borderId="0" xfId="0" applyFont="1" applyAlignment="1">
      <alignment wrapText="1"/>
    </xf>
    <xf numFmtId="0" fontId="18" fillId="18" borderId="0" xfId="0" applyFont="1" applyFill="1"/>
    <xf numFmtId="165" fontId="185" fillId="103" borderId="0" xfId="1" applyNumberFormat="1" applyFont="1" applyFill="1"/>
    <xf numFmtId="210" fontId="126" fillId="0" borderId="0" xfId="1" applyNumberFormat="1" applyFont="1" applyFill="1" applyBorder="1"/>
    <xf numFmtId="0" fontId="18" fillId="18" borderId="0" xfId="0" applyFont="1" applyFill="1" applyAlignment="1"/>
    <xf numFmtId="210" fontId="18" fillId="0" borderId="0" xfId="1" applyNumberFormat="1" applyFont="1" applyFill="1" applyBorder="1"/>
    <xf numFmtId="165" fontId="184" fillId="103" borderId="0" xfId="1" applyNumberFormat="1" applyFont="1" applyFill="1" applyAlignment="1"/>
    <xf numFmtId="0" fontId="18" fillId="18" borderId="0" xfId="0" quotePrefix="1" applyFont="1" applyFill="1" applyAlignment="1">
      <alignment horizontal="left"/>
    </xf>
    <xf numFmtId="165" fontId="19" fillId="0" borderId="0" xfId="1" applyNumberFormat="1" applyFont="1" applyAlignment="1"/>
    <xf numFmtId="0" fontId="19" fillId="0" borderId="0" xfId="0" applyFont="1" applyAlignment="1"/>
    <xf numFmtId="0" fontId="19" fillId="0" borderId="0" xfId="0" applyFont="1" applyFill="1" applyAlignment="1"/>
    <xf numFmtId="165" fontId="126" fillId="0" borderId="0" xfId="1" applyNumberFormat="1" applyFont="1" applyFill="1"/>
    <xf numFmtId="0" fontId="19" fillId="0" borderId="0" xfId="0" applyFont="1" applyFill="1" applyBorder="1" applyAlignment="1"/>
    <xf numFmtId="0" fontId="18" fillId="0" borderId="0" xfId="0" applyFont="1" applyFill="1"/>
    <xf numFmtId="0" fontId="184" fillId="103" borderId="0" xfId="0" applyFont="1" applyFill="1" applyAlignment="1"/>
    <xf numFmtId="0" fontId="19" fillId="0" borderId="0" xfId="0" applyFont="1" applyBorder="1" applyAlignment="1"/>
    <xf numFmtId="165" fontId="19" fillId="0" borderId="0" xfId="1" applyNumberFormat="1" applyFont="1" applyBorder="1" applyAlignment="1"/>
    <xf numFmtId="0" fontId="18" fillId="0" borderId="0" xfId="0" applyFont="1" applyBorder="1"/>
    <xf numFmtId="0" fontId="120" fillId="0" borderId="0" xfId="0" applyNumberFormat="1" applyFont="1" applyFill="1" applyBorder="1" applyAlignment="1"/>
    <xf numFmtId="169" fontId="120" fillId="0" borderId="0" xfId="0" quotePrefix="1" applyNumberFormat="1" applyFont="1" applyFill="1" applyBorder="1" applyAlignment="1">
      <alignment horizontal="left"/>
    </xf>
    <xf numFmtId="44" fontId="120" fillId="0" borderId="0" xfId="0" applyNumberFormat="1" applyFont="1" applyFill="1" applyBorder="1" applyAlignment="1"/>
    <xf numFmtId="44" fontId="120" fillId="0" borderId="0" xfId="2" applyFont="1" applyFill="1" applyBorder="1" applyAlignment="1"/>
    <xf numFmtId="44" fontId="186" fillId="0" borderId="0" xfId="0" applyNumberFormat="1" applyFont="1" applyFill="1" applyBorder="1" applyAlignment="1"/>
    <xf numFmtId="49" fontId="120" fillId="0" borderId="0" xfId="0" quotePrefix="1" applyNumberFormat="1" applyFont="1" applyFill="1" applyBorder="1" applyAlignment="1">
      <alignment horizontal="left"/>
    </xf>
    <xf numFmtId="165" fontId="120" fillId="0" borderId="0" xfId="1" applyNumberFormat="1" applyFont="1" applyFill="1" applyBorder="1" applyAlignment="1"/>
    <xf numFmtId="49" fontId="18" fillId="0" borderId="0" xfId="0" applyNumberFormat="1" applyFont="1" applyFill="1" applyBorder="1" applyAlignment="1">
      <alignment vertical="center"/>
    </xf>
    <xf numFmtId="0" fontId="18" fillId="0" borderId="0" xfId="0" applyFont="1" applyFill="1" applyBorder="1" applyAlignment="1"/>
    <xf numFmtId="49" fontId="18" fillId="0" borderId="0" xfId="0" applyNumberFormat="1" applyFont="1" applyFill="1" applyBorder="1" applyAlignment="1">
      <alignment horizontal="right" vertical="center"/>
    </xf>
    <xf numFmtId="49" fontId="120" fillId="0" borderId="0" xfId="0" quotePrefix="1" applyNumberFormat="1" applyFont="1" applyFill="1" applyBorder="1" applyAlignment="1">
      <alignment horizontal="left" vertical="center"/>
    </xf>
    <xf numFmtId="44" fontId="18" fillId="0" borderId="0" xfId="0" applyNumberFormat="1" applyFont="1" applyFill="1" applyBorder="1" applyAlignment="1"/>
    <xf numFmtId="49" fontId="120" fillId="0" borderId="0" xfId="0" applyNumberFormat="1" applyFont="1" applyFill="1" applyBorder="1" applyAlignment="1">
      <alignment vertical="center"/>
    </xf>
    <xf numFmtId="165" fontId="120" fillId="0" borderId="0" xfId="0" applyNumberFormat="1" applyFont="1" applyFill="1" applyBorder="1" applyAlignment="1">
      <alignment horizontal="right" vertical="center"/>
    </xf>
    <xf numFmtId="49" fontId="18" fillId="0" borderId="0" xfId="0" applyNumberFormat="1" applyFont="1" applyFill="1" applyBorder="1" applyAlignment="1">
      <alignment horizontal="left" vertical="center"/>
    </xf>
    <xf numFmtId="49" fontId="115" fillId="0" borderId="0" xfId="0" applyNumberFormat="1" applyFont="1" applyFill="1" applyBorder="1" applyAlignment="1">
      <alignment vertical="center"/>
    </xf>
    <xf numFmtId="0" fontId="115" fillId="0" borderId="0" xfId="0" applyFont="1" applyFill="1" applyBorder="1" applyAlignment="1"/>
    <xf numFmtId="0" fontId="18" fillId="0" borderId="0" xfId="0" applyNumberFormat="1" applyFont="1" applyFill="1" applyBorder="1" applyAlignment="1"/>
    <xf numFmtId="165" fontId="18" fillId="0" borderId="0" xfId="1" applyNumberFormat="1" applyFont="1" applyFill="1" applyBorder="1" applyAlignment="1"/>
    <xf numFmtId="49" fontId="120" fillId="15" borderId="0" xfId="0" applyNumberFormat="1" applyFont="1" applyFill="1" applyBorder="1" applyAlignment="1">
      <alignment horizontal="left" vertical="center"/>
    </xf>
    <xf numFmtId="49" fontId="120" fillId="15" borderId="0" xfId="0" applyNumberFormat="1" applyFont="1" applyFill="1" applyBorder="1" applyAlignment="1">
      <alignment vertical="center"/>
    </xf>
    <xf numFmtId="169" fontId="120" fillId="15" borderId="0" xfId="0" applyNumberFormat="1" applyFont="1" applyFill="1" applyBorder="1" applyAlignment="1">
      <alignment horizontal="right" vertical="center"/>
    </xf>
    <xf numFmtId="49" fontId="120" fillId="15" borderId="0" xfId="0" applyNumberFormat="1" applyFont="1" applyFill="1" applyBorder="1" applyAlignment="1"/>
    <xf numFmtId="165" fontId="120" fillId="15" borderId="0" xfId="0" applyNumberFormat="1" applyFont="1" applyFill="1" applyBorder="1" applyAlignment="1"/>
    <xf numFmtId="44" fontId="120" fillId="15" borderId="0" xfId="0" applyNumberFormat="1" applyFont="1" applyFill="1" applyBorder="1" applyAlignment="1"/>
    <xf numFmtId="0" fontId="120" fillId="0" borderId="0" xfId="1" applyNumberFormat="1" applyFont="1" applyFill="1" applyBorder="1" applyAlignment="1"/>
    <xf numFmtId="0" fontId="120" fillId="0" borderId="0" xfId="0" applyFont="1" applyFill="1" applyBorder="1" applyAlignment="1"/>
    <xf numFmtId="49" fontId="120" fillId="0" borderId="0" xfId="0" quotePrefix="1" applyNumberFormat="1" applyFont="1" applyFill="1" applyBorder="1" applyAlignment="1">
      <alignment horizontal="left" vertical="center" wrapText="1"/>
    </xf>
    <xf numFmtId="44" fontId="18" fillId="15" borderId="0" xfId="0" applyNumberFormat="1" applyFont="1" applyFill="1" applyBorder="1" applyAlignment="1"/>
    <xf numFmtId="44" fontId="120" fillId="8" borderId="3" xfId="0" quotePrefix="1" applyNumberFormat="1" applyFont="1" applyFill="1" applyBorder="1" applyAlignment="1">
      <alignment horizontal="left" vertical="center" wrapText="1"/>
    </xf>
    <xf numFmtId="0" fontId="115" fillId="0" borderId="0" xfId="0" applyFont="1" applyAlignment="1">
      <alignment horizontal="center"/>
    </xf>
    <xf numFmtId="0" fontId="96" fillId="0" borderId="0" xfId="0" applyFont="1"/>
    <xf numFmtId="41" fontId="123" fillId="0" borderId="0" xfId="1782" applyFont="1" applyBorder="1" applyAlignment="1">
      <alignment horizontal="centerContinuous"/>
    </xf>
    <xf numFmtId="41" fontId="176" fillId="0" borderId="0" xfId="0" applyNumberFormat="1" applyFont="1" applyBorder="1" applyAlignment="1">
      <alignment horizontal="center"/>
    </xf>
    <xf numFmtId="0" fontId="179" fillId="0" borderId="0" xfId="0" applyFont="1"/>
    <xf numFmtId="195" fontId="115" fillId="0" borderId="0" xfId="0" applyNumberFormat="1" applyFont="1"/>
    <xf numFmtId="0" fontId="115" fillId="0" borderId="79" xfId="0" applyFont="1" applyBorder="1"/>
    <xf numFmtId="0" fontId="115" fillId="0" borderId="80" xfId="0" applyFont="1" applyBorder="1"/>
    <xf numFmtId="174" fontId="115" fillId="0" borderId="80" xfId="0" quotePrefix="1" applyNumberFormat="1" applyFont="1" applyBorder="1" applyAlignment="1">
      <alignment horizontal="center"/>
    </xf>
    <xf numFmtId="174" fontId="115" fillId="0" borderId="80" xfId="0" applyNumberFormat="1" applyFont="1" applyBorder="1" applyAlignment="1">
      <alignment horizontal="center"/>
    </xf>
    <xf numFmtId="174" fontId="115" fillId="0" borderId="81" xfId="0" applyNumberFormat="1" applyFont="1" applyBorder="1" applyAlignment="1">
      <alignment horizontal="center"/>
    </xf>
    <xf numFmtId="0" fontId="115" fillId="0" borderId="80" xfId="0" quotePrefix="1" applyFont="1" applyBorder="1" applyAlignment="1">
      <alignment horizontal="center" wrapText="1"/>
    </xf>
    <xf numFmtId="0" fontId="115" fillId="0" borderId="80" xfId="0" applyFont="1" applyBorder="1" applyAlignment="1">
      <alignment horizontal="center" wrapText="1"/>
    </xf>
    <xf numFmtId="0" fontId="115" fillId="0" borderId="81" xfId="0" applyFont="1" applyBorder="1"/>
    <xf numFmtId="0" fontId="178" fillId="0" borderId="79" xfId="0" quotePrefix="1" applyFont="1" applyBorder="1" applyAlignment="1">
      <alignment horizontal="left" wrapText="1"/>
    </xf>
    <xf numFmtId="0" fontId="178" fillId="0" borderId="0" xfId="0" applyFont="1" applyBorder="1" applyAlignment="1">
      <alignment horizontal="center" wrapText="1"/>
    </xf>
    <xf numFmtId="0" fontId="115" fillId="0" borderId="4" xfId="0" applyFont="1" applyBorder="1"/>
    <xf numFmtId="0" fontId="96" fillId="0" borderId="82" xfId="0" applyFont="1" applyBorder="1"/>
    <xf numFmtId="0" fontId="96" fillId="0" borderId="0" xfId="0" applyFont="1" applyBorder="1"/>
    <xf numFmtId="0" fontId="18" fillId="0" borderId="0" xfId="0" quotePrefix="1" applyFont="1" applyBorder="1" applyAlignment="1">
      <alignment horizontal="center"/>
    </xf>
    <xf numFmtId="0" fontId="18" fillId="0" borderId="4" xfId="0" quotePrefix="1" applyFont="1" applyBorder="1" applyAlignment="1">
      <alignment horizontal="center"/>
    </xf>
    <xf numFmtId="0" fontId="18" fillId="0" borderId="82" xfId="0" quotePrefix="1" applyFont="1" applyBorder="1" applyAlignment="1">
      <alignment horizontal="center"/>
    </xf>
    <xf numFmtId="0" fontId="18" fillId="0" borderId="0" xfId="0" quotePrefix="1" applyFont="1" applyBorder="1" applyAlignment="1">
      <alignment horizontal="center" wrapText="1"/>
    </xf>
    <xf numFmtId="0" fontId="18" fillId="0" borderId="4" xfId="0" quotePrefix="1" applyFont="1" applyBorder="1" applyAlignment="1">
      <alignment horizontal="center" wrapText="1"/>
    </xf>
    <xf numFmtId="0" fontId="115" fillId="0" borderId="82" xfId="0" applyFont="1" applyBorder="1"/>
    <xf numFmtId="184" fontId="115" fillId="0" borderId="0" xfId="1" applyNumberFormat="1" applyFont="1" applyBorder="1"/>
    <xf numFmtId="43" fontId="115" fillId="0" borderId="0" xfId="1" applyFont="1" applyBorder="1"/>
    <xf numFmtId="43" fontId="115" fillId="0" borderId="0" xfId="0" applyNumberFormat="1" applyFont="1" applyBorder="1"/>
    <xf numFmtId="43" fontId="115" fillId="0" borderId="4" xfId="0" applyNumberFormat="1" applyFont="1" applyBorder="1"/>
    <xf numFmtId="165" fontId="123" fillId="0" borderId="4" xfId="4" applyNumberFormat="1" applyFont="1" applyBorder="1"/>
    <xf numFmtId="0" fontId="115" fillId="0" borderId="83" xfId="0" applyFont="1" applyBorder="1"/>
    <xf numFmtId="165" fontId="123" fillId="0" borderId="84" xfId="4" applyNumberFormat="1" applyFont="1" applyBorder="1"/>
    <xf numFmtId="0" fontId="115" fillId="0" borderId="5" xfId="0" applyFont="1" applyBorder="1"/>
    <xf numFmtId="43" fontId="115" fillId="0" borderId="5" xfId="1" applyFont="1" applyBorder="1"/>
    <xf numFmtId="43" fontId="115" fillId="0" borderId="5" xfId="0" applyNumberFormat="1" applyFont="1" applyBorder="1"/>
    <xf numFmtId="0" fontId="115" fillId="0" borderId="84" xfId="0" applyFont="1" applyBorder="1"/>
    <xf numFmtId="0" fontId="178" fillId="0" borderId="82" xfId="0" applyFont="1" applyBorder="1"/>
    <xf numFmtId="44" fontId="115" fillId="0" borderId="4" xfId="0" applyNumberFormat="1" applyFont="1" applyBorder="1"/>
    <xf numFmtId="43" fontId="115" fillId="0" borderId="82" xfId="0" applyNumberFormat="1" applyFont="1" applyBorder="1"/>
    <xf numFmtId="0" fontId="115" fillId="0" borderId="0" xfId="0" applyFont="1" applyBorder="1" applyAlignment="1">
      <alignment horizontal="center"/>
    </xf>
    <xf numFmtId="0" fontId="115" fillId="0" borderId="0" xfId="0" applyFont="1" applyBorder="1" applyAlignment="1">
      <alignment horizontal="center" wrapText="1"/>
    </xf>
    <xf numFmtId="0" fontId="115" fillId="0" borderId="0" xfId="0" quotePrefix="1" applyFont="1" applyBorder="1" applyAlignment="1">
      <alignment horizontal="center" wrapText="1"/>
    </xf>
    <xf numFmtId="44" fontId="122" fillId="0" borderId="0" xfId="0" applyNumberFormat="1" applyFont="1" applyBorder="1"/>
    <xf numFmtId="44" fontId="115" fillId="0" borderId="5" xfId="2" applyFont="1" applyBorder="1"/>
    <xf numFmtId="44" fontId="115" fillId="0" borderId="5" xfId="0" applyNumberFormat="1" applyFont="1" applyBorder="1"/>
    <xf numFmtId="0" fontId="115" fillId="0" borderId="48" xfId="0" applyFont="1" applyBorder="1"/>
    <xf numFmtId="0" fontId="115" fillId="0" borderId="49" xfId="0" applyFont="1" applyBorder="1"/>
    <xf numFmtId="170" fontId="115" fillId="0" borderId="0" xfId="3" applyNumberFormat="1" applyFont="1"/>
    <xf numFmtId="0" fontId="115" fillId="0" borderId="55" xfId="0" applyFont="1" applyBorder="1"/>
    <xf numFmtId="0" fontId="178" fillId="0" borderId="79" xfId="0" applyFont="1" applyBorder="1" applyAlignment="1">
      <alignment wrapText="1"/>
    </xf>
    <xf numFmtId="0" fontId="178" fillId="0" borderId="82" xfId="0" applyFont="1" applyBorder="1" applyAlignment="1">
      <alignment horizontal="center" wrapText="1"/>
    </xf>
    <xf numFmtId="0" fontId="178" fillId="0" borderId="4" xfId="0" applyFont="1" applyBorder="1" applyAlignment="1">
      <alignment horizontal="center" wrapText="1"/>
    </xf>
    <xf numFmtId="0" fontId="178" fillId="0" borderId="82" xfId="0" quotePrefix="1" applyFont="1" applyBorder="1" applyAlignment="1">
      <alignment horizontal="left" wrapText="1"/>
    </xf>
    <xf numFmtId="0" fontId="178" fillId="0" borderId="0" xfId="0" quotePrefix="1" applyFont="1" applyBorder="1" applyAlignment="1">
      <alignment horizontal="left" wrapText="1"/>
    </xf>
    <xf numFmtId="0" fontId="115" fillId="0" borderId="82" xfId="0" quotePrefix="1" applyFont="1" applyBorder="1" applyAlignment="1">
      <alignment horizontal="left"/>
    </xf>
    <xf numFmtId="44" fontId="115" fillId="0" borderId="82" xfId="0" applyNumberFormat="1" applyFont="1" applyBorder="1"/>
    <xf numFmtId="174" fontId="115" fillId="0" borderId="82" xfId="0" applyNumberFormat="1" applyFont="1" applyBorder="1" applyAlignment="1">
      <alignment horizontal="center"/>
    </xf>
    <xf numFmtId="174" fontId="115" fillId="0" borderId="0" xfId="0" applyNumberFormat="1" applyFont="1" applyBorder="1" applyAlignment="1">
      <alignment horizontal="center"/>
    </xf>
    <xf numFmtId="0" fontId="115" fillId="0" borderId="0" xfId="0" quotePrefix="1" applyFont="1" applyBorder="1" applyAlignment="1">
      <alignment horizontal="center"/>
    </xf>
    <xf numFmtId="0" fontId="115" fillId="0" borderId="4" xfId="0" quotePrefix="1" applyFont="1" applyBorder="1" applyAlignment="1">
      <alignment horizontal="center"/>
    </xf>
    <xf numFmtId="0" fontId="115" fillId="0" borderId="82" xfId="0" quotePrefix="1" applyFont="1" applyBorder="1" applyAlignment="1">
      <alignment horizontal="center"/>
    </xf>
    <xf numFmtId="0" fontId="115" fillId="0" borderId="4" xfId="0" quotePrefix="1" applyFont="1" applyBorder="1" applyAlignment="1">
      <alignment horizontal="center" wrapText="1"/>
    </xf>
    <xf numFmtId="0" fontId="115" fillId="0" borderId="0" xfId="0" quotePrefix="1" applyFont="1" applyBorder="1" applyAlignment="1">
      <alignment horizontal="left"/>
    </xf>
    <xf numFmtId="0" fontId="178" fillId="0" borderId="0" xfId="0" applyFont="1" applyBorder="1"/>
    <xf numFmtId="0" fontId="178" fillId="0" borderId="0" xfId="0" quotePrefix="1" applyFont="1" applyBorder="1" applyAlignment="1">
      <alignment horizontal="centerContinuous" wrapText="1"/>
    </xf>
    <xf numFmtId="0" fontId="178" fillId="0" borderId="0" xfId="0" applyFont="1" applyBorder="1" applyAlignment="1">
      <alignment horizontal="centerContinuous"/>
    </xf>
    <xf numFmtId="10" fontId="115" fillId="0" borderId="0" xfId="3" applyNumberFormat="1" applyFont="1" applyBorder="1"/>
    <xf numFmtId="10" fontId="115" fillId="0" borderId="0" xfId="0" applyNumberFormat="1" applyFont="1" applyBorder="1"/>
    <xf numFmtId="43" fontId="122" fillId="0" borderId="0" xfId="1" applyFont="1" applyBorder="1"/>
    <xf numFmtId="43" fontId="122" fillId="0" borderId="0" xfId="0" applyNumberFormat="1" applyFont="1" applyBorder="1"/>
    <xf numFmtId="0" fontId="178" fillId="0" borderId="0" xfId="0" quotePrefix="1" applyFont="1" applyBorder="1" applyAlignment="1">
      <alignment horizontal="left"/>
    </xf>
    <xf numFmtId="43" fontId="115" fillId="0" borderId="0" xfId="1" quotePrefix="1" applyFont="1" applyBorder="1" applyAlignment="1">
      <alignment horizontal="left"/>
    </xf>
    <xf numFmtId="210" fontId="115" fillId="0" borderId="0" xfId="0" applyNumberFormat="1" applyFont="1" applyBorder="1"/>
    <xf numFmtId="49" fontId="131" fillId="8" borderId="3" xfId="0" applyNumberFormat="1" applyFont="1" applyFill="1" applyBorder="1" applyAlignment="1">
      <alignment horizontal="left" vertical="center" wrapText="1"/>
    </xf>
    <xf numFmtId="49" fontId="131" fillId="8" borderId="0" xfId="0" applyNumberFormat="1" applyFont="1" applyFill="1" applyBorder="1" applyAlignment="1">
      <alignment horizontal="left" vertical="center" wrapText="1"/>
    </xf>
    <xf numFmtId="191" fontId="115" fillId="0" borderId="0" xfId="3" applyNumberFormat="1" applyFont="1"/>
    <xf numFmtId="191" fontId="115" fillId="0" borderId="0" xfId="0" applyNumberFormat="1" applyFont="1"/>
    <xf numFmtId="211" fontId="115" fillId="0" borderId="0" xfId="3" applyNumberFormat="1" applyFont="1"/>
    <xf numFmtId="41" fontId="123" fillId="0" borderId="0" xfId="1782" applyFont="1" applyFill="1" applyAlignment="1">
      <alignment horizontal="left" indent="1"/>
    </xf>
    <xf numFmtId="0" fontId="21" fillId="0" borderId="0" xfId="0" applyFont="1" applyAlignment="1">
      <alignment wrapText="1"/>
    </xf>
    <xf numFmtId="49" fontId="131" fillId="8" borderId="3" xfId="0" quotePrefix="1" applyNumberFormat="1" applyFont="1" applyFill="1" applyBorder="1" applyAlignment="1">
      <alignment horizontal="left" vertical="center" wrapText="1"/>
    </xf>
    <xf numFmtId="187" fontId="123" fillId="0" borderId="0" xfId="1782" applyNumberFormat="1" applyFont="1" applyFill="1" applyAlignment="1">
      <alignment horizontal="center"/>
    </xf>
    <xf numFmtId="187" fontId="123" fillId="0" borderId="0" xfId="1782" applyNumberFormat="1" applyFont="1" applyFill="1"/>
    <xf numFmtId="165" fontId="127" fillId="0" borderId="0" xfId="1" applyNumberFormat="1" applyFont="1" applyFill="1"/>
    <xf numFmtId="187" fontId="127" fillId="0" borderId="0" xfId="1782" applyNumberFormat="1" applyFont="1" applyFill="1" applyAlignment="1">
      <alignment horizontal="center"/>
    </xf>
    <xf numFmtId="41" fontId="127" fillId="0" borderId="0" xfId="1782" applyFont="1" applyFill="1"/>
    <xf numFmtId="187" fontId="127" fillId="0" borderId="0" xfId="1782" applyNumberFormat="1" applyFont="1" applyFill="1"/>
    <xf numFmtId="42" fontId="123" fillId="0" borderId="0" xfId="1782" applyNumberFormat="1" applyFont="1" applyFill="1"/>
    <xf numFmtId="0" fontId="115" fillId="0" borderId="0" xfId="0" quotePrefix="1" applyFont="1" applyAlignment="1">
      <alignment horizontal="center"/>
    </xf>
    <xf numFmtId="0" fontId="115" fillId="0" borderId="0" xfId="0" applyFont="1" applyAlignment="1">
      <alignment horizontal="center"/>
    </xf>
    <xf numFmtId="17" fontId="115" fillId="0" borderId="0" xfId="0" quotePrefix="1" applyNumberFormat="1" applyFont="1" applyAlignment="1">
      <alignment horizontal="left"/>
    </xf>
    <xf numFmtId="9" fontId="115" fillId="0" borderId="0" xfId="3" applyFont="1"/>
    <xf numFmtId="0" fontId="178" fillId="0" borderId="81" xfId="0" applyFont="1" applyBorder="1" applyAlignment="1">
      <alignment horizontal="center" vertical="center" wrapText="1"/>
    </xf>
    <xf numFmtId="176" fontId="123" fillId="0" borderId="0" xfId="4" applyFont="1" applyFill="1" applyBorder="1" applyAlignment="1">
      <alignment horizontal="left" indent="5"/>
    </xf>
    <xf numFmtId="176" fontId="123" fillId="0" borderId="0" xfId="4" quotePrefix="1" applyFont="1" applyFill="1" applyBorder="1" applyAlignment="1">
      <alignment horizontal="left" indent="5"/>
    </xf>
    <xf numFmtId="176" fontId="123" fillId="0" borderId="0" xfId="4" quotePrefix="1" applyFont="1" applyFill="1" applyBorder="1" applyAlignment="1">
      <alignment horizontal="left" indent="6"/>
    </xf>
    <xf numFmtId="14" fontId="115" fillId="0" borderId="0" xfId="0" quotePrefix="1" applyNumberFormat="1" applyFont="1" applyAlignment="1">
      <alignment horizontal="left"/>
    </xf>
    <xf numFmtId="0" fontId="115" fillId="3" borderId="0" xfId="0" applyFont="1" applyFill="1" applyAlignment="1">
      <alignment horizontal="center"/>
    </xf>
    <xf numFmtId="175" fontId="115" fillId="3" borderId="0" xfId="0" applyNumberFormat="1" applyFont="1" applyFill="1"/>
    <xf numFmtId="175" fontId="115" fillId="3" borderId="0" xfId="0" quotePrefix="1" applyNumberFormat="1" applyFont="1" applyFill="1" applyAlignment="1">
      <alignment horizontal="left"/>
    </xf>
    <xf numFmtId="41" fontId="115" fillId="3" borderId="0" xfId="0" applyNumberFormat="1" applyFont="1" applyFill="1"/>
    <xf numFmtId="165" fontId="132" fillId="0" borderId="0" xfId="1" applyNumberFormat="1" applyFont="1"/>
    <xf numFmtId="37" fontId="115" fillId="0" borderId="0" xfId="0" quotePrefix="1" applyNumberFormat="1" applyFont="1" applyAlignment="1">
      <alignment horizontal="left"/>
    </xf>
    <xf numFmtId="175" fontId="132" fillId="0" borderId="0" xfId="2" applyNumberFormat="1" applyFont="1"/>
    <xf numFmtId="0" fontId="115" fillId="0" borderId="0" xfId="0" quotePrefix="1" applyFont="1" applyAlignment="1">
      <alignment horizontal="left" indent="1"/>
    </xf>
    <xf numFmtId="175" fontId="133" fillId="0" borderId="0" xfId="0" applyNumberFormat="1" applyFont="1"/>
    <xf numFmtId="41" fontId="123" fillId="0" borderId="85" xfId="1782" applyFont="1" applyFill="1" applyBorder="1" applyAlignment="1">
      <alignment horizontal="center"/>
    </xf>
    <xf numFmtId="41" fontId="123" fillId="0" borderId="85" xfId="1782" applyFont="1" applyFill="1" applyBorder="1"/>
    <xf numFmtId="43" fontId="125" fillId="0" borderId="0" xfId="1" quotePrefix="1" applyFont="1" applyFill="1" applyBorder="1" applyAlignment="1">
      <alignment horizontal="left"/>
    </xf>
    <xf numFmtId="0" fontId="179" fillId="0" borderId="0" xfId="0" quotePrefix="1" applyFont="1" applyFill="1" applyAlignment="1">
      <alignment horizontal="right"/>
    </xf>
    <xf numFmtId="41" fontId="125" fillId="0" borderId="0" xfId="1782" applyFont="1" applyFill="1" applyAlignment="1">
      <alignment horizontal="left"/>
    </xf>
    <xf numFmtId="0" fontId="179" fillId="0" borderId="0" xfId="0" applyFont="1" applyFill="1" applyAlignment="1">
      <alignment horizontal="right"/>
    </xf>
    <xf numFmtId="41" fontId="125" fillId="0" borderId="0" xfId="1782" quotePrefix="1" applyFont="1" applyFill="1" applyAlignment="1">
      <alignment horizontal="left"/>
    </xf>
    <xf numFmtId="10" fontId="176" fillId="0" borderId="0" xfId="1986" applyNumberFormat="1" applyFont="1" applyFill="1"/>
    <xf numFmtId="43" fontId="123" fillId="0" borderId="0" xfId="1782" applyNumberFormat="1" applyFont="1" applyFill="1"/>
    <xf numFmtId="10" fontId="176" fillId="0" borderId="0" xfId="1986" applyNumberFormat="1" applyFont="1" applyFill="1" applyBorder="1"/>
    <xf numFmtId="175" fontId="127" fillId="0" borderId="0" xfId="2" applyNumberFormat="1" applyFont="1" applyFill="1"/>
    <xf numFmtId="10" fontId="180" fillId="0" borderId="0" xfId="1986" applyNumberFormat="1" applyFont="1" applyFill="1"/>
    <xf numFmtId="41" fontId="176" fillId="0" borderId="0" xfId="0" applyNumberFormat="1" applyFont="1" applyFill="1" applyBorder="1"/>
    <xf numFmtId="175" fontId="176" fillId="0" borderId="49" xfId="1360" applyNumberFormat="1" applyFont="1" applyFill="1" applyBorder="1"/>
    <xf numFmtId="10" fontId="176" fillId="0" borderId="49" xfId="1986" applyNumberFormat="1" applyFont="1" applyFill="1" applyBorder="1"/>
    <xf numFmtId="41" fontId="123" fillId="0" borderId="0" xfId="1782" quotePrefix="1" applyFont="1" applyFill="1"/>
    <xf numFmtId="14" fontId="125" fillId="0" borderId="0" xfId="1782" applyNumberFormat="1" applyFont="1" applyFill="1" applyBorder="1" applyAlignment="1">
      <alignment horizontal="left"/>
    </xf>
    <xf numFmtId="14" fontId="176" fillId="0" borderId="0" xfId="0" quotePrefix="1" applyNumberFormat="1" applyFont="1" applyFill="1" applyAlignment="1">
      <alignment horizontal="left"/>
    </xf>
    <xf numFmtId="174" fontId="176" fillId="0" borderId="0" xfId="1" applyNumberFormat="1" applyFont="1" applyFill="1" applyAlignment="1">
      <alignment horizontal="center"/>
    </xf>
    <xf numFmtId="0" fontId="176" fillId="0" borderId="86" xfId="0" applyFont="1" applyFill="1" applyBorder="1" applyAlignment="1">
      <alignment horizontal="center" wrapText="1"/>
    </xf>
    <xf numFmtId="0" fontId="176" fillId="0" borderId="0" xfId="0" applyFont="1" applyFill="1" applyAlignment="1">
      <alignment horizontal="center" wrapText="1"/>
    </xf>
    <xf numFmtId="174" fontId="176" fillId="0" borderId="0" xfId="0" applyNumberFormat="1" applyFont="1" applyFill="1" applyAlignment="1">
      <alignment horizontal="center" wrapText="1"/>
    </xf>
    <xf numFmtId="174" fontId="176" fillId="0" borderId="0" xfId="0" quotePrefix="1" applyNumberFormat="1" applyFont="1" applyFill="1" applyAlignment="1">
      <alignment horizontal="center" wrapText="1"/>
    </xf>
    <xf numFmtId="0" fontId="176" fillId="0" borderId="0" xfId="0" applyFont="1" applyFill="1" applyAlignment="1">
      <alignment horizontal="left" indent="1"/>
    </xf>
    <xf numFmtId="175" fontId="176" fillId="0" borderId="0" xfId="0" applyNumberFormat="1" applyFont="1" applyFill="1"/>
    <xf numFmtId="0" fontId="176" fillId="0" borderId="0" xfId="0" quotePrefix="1" applyFont="1" applyFill="1" applyAlignment="1">
      <alignment horizontal="left"/>
    </xf>
    <xf numFmtId="165" fontId="180" fillId="0" borderId="0" xfId="1" applyNumberFormat="1" applyFont="1" applyFill="1"/>
    <xf numFmtId="37" fontId="176" fillId="0" borderId="0" xfId="0" quotePrefix="1" applyNumberFormat="1" applyFont="1" applyFill="1" applyAlignment="1">
      <alignment horizontal="left"/>
    </xf>
    <xf numFmtId="0" fontId="176" fillId="0" borderId="0" xfId="0" quotePrefix="1" applyFont="1" applyFill="1" applyAlignment="1">
      <alignment horizontal="left" indent="1"/>
    </xf>
    <xf numFmtId="43" fontId="176" fillId="0" borderId="0" xfId="1" applyFont="1" applyFill="1"/>
    <xf numFmtId="175" fontId="181" fillId="0" borderId="0" xfId="0" applyNumberFormat="1" applyFont="1" applyFill="1"/>
    <xf numFmtId="41" fontId="125" fillId="0" borderId="0" xfId="1782" applyFont="1" applyFill="1" applyAlignment="1">
      <alignment horizontal="centerContinuous"/>
    </xf>
    <xf numFmtId="41" fontId="123" fillId="0" borderId="0" xfId="1782" applyFont="1" applyFill="1" applyAlignment="1">
      <alignment horizontal="centerContinuous"/>
    </xf>
    <xf numFmtId="41" fontId="183" fillId="0" borderId="0" xfId="1782" applyFont="1" applyFill="1"/>
    <xf numFmtId="41" fontId="125" fillId="0" borderId="0" xfId="1782" applyFont="1" applyFill="1" applyAlignment="1">
      <alignment horizontal="center"/>
    </xf>
    <xf numFmtId="41" fontId="125" fillId="0" borderId="0" xfId="1782" quotePrefix="1" applyFont="1" applyFill="1" applyAlignment="1">
      <alignment horizontal="center"/>
    </xf>
    <xf numFmtId="0" fontId="125" fillId="0" borderId="0" xfId="1782" applyNumberFormat="1" applyFont="1" applyFill="1" applyAlignment="1">
      <alignment horizontal="center"/>
    </xf>
    <xf numFmtId="41" fontId="125" fillId="0" borderId="0" xfId="1782" quotePrefix="1" applyFont="1" applyFill="1" applyAlignment="1">
      <alignment horizontal="left" indent="1"/>
    </xf>
    <xf numFmtId="41" fontId="128" fillId="0" borderId="0" xfId="1782" applyFont="1" applyFill="1"/>
    <xf numFmtId="187" fontId="128" fillId="0" borderId="0" xfId="1782" applyNumberFormat="1" applyFont="1" applyFill="1"/>
    <xf numFmtId="41" fontId="123" fillId="0" borderId="0" xfId="1782" quotePrefix="1" applyFont="1" applyFill="1" applyAlignment="1">
      <alignment horizontal="right"/>
    </xf>
    <xf numFmtId="41" fontId="123" fillId="0" borderId="0" xfId="1782" applyFont="1" applyFill="1" applyAlignment="1">
      <alignment horizontal="center" wrapText="1"/>
    </xf>
    <xf numFmtId="175" fontId="123" fillId="0" borderId="0" xfId="1360" quotePrefix="1" applyNumberFormat="1" applyFont="1" applyFill="1" applyBorder="1" applyAlignment="1">
      <alignment horizontal="center" wrapText="1"/>
    </xf>
    <xf numFmtId="175" fontId="123" fillId="0" borderId="0" xfId="1360" applyNumberFormat="1" applyFont="1" applyFill="1" applyBorder="1" applyAlignment="1">
      <alignment horizontal="center" wrapText="1"/>
    </xf>
    <xf numFmtId="41" fontId="183" fillId="0" borderId="0" xfId="1782" applyFont="1"/>
    <xf numFmtId="41" fontId="123" fillId="0" borderId="0" xfId="1782" applyFont="1"/>
    <xf numFmtId="41" fontId="123" fillId="2" borderId="0" xfId="1782" applyFont="1" applyFill="1" applyAlignment="1">
      <alignment horizontal="center"/>
    </xf>
    <xf numFmtId="41" fontId="123" fillId="2" borderId="0" xfId="1782" applyFont="1" applyFill="1"/>
    <xf numFmtId="41" fontId="123" fillId="2" borderId="0" xfId="1782" quotePrefix="1" applyFont="1" applyFill="1" applyAlignment="1">
      <alignment horizontal="left"/>
    </xf>
    <xf numFmtId="165" fontId="181" fillId="0" borderId="0" xfId="1" applyNumberFormat="1" applyFont="1" applyFill="1"/>
    <xf numFmtId="44" fontId="176" fillId="0" borderId="0" xfId="2" applyFont="1" applyFill="1"/>
    <xf numFmtId="10" fontId="123" fillId="0" borderId="0" xfId="3" applyNumberFormat="1" applyFont="1" applyFill="1" applyAlignment="1">
      <alignment horizontal="center"/>
    </xf>
    <xf numFmtId="44" fontId="176" fillId="0" borderId="0" xfId="2" applyFont="1" applyFill="1" applyAlignment="1">
      <alignment horizontal="center"/>
    </xf>
    <xf numFmtId="44" fontId="176" fillId="0" borderId="86" xfId="2" applyFont="1" applyFill="1" applyBorder="1" applyAlignment="1">
      <alignment horizontal="center" wrapText="1"/>
    </xf>
    <xf numFmtId="44" fontId="180" fillId="0" borderId="0" xfId="2" applyFont="1" applyFill="1"/>
    <xf numFmtId="44" fontId="181" fillId="0" borderId="0" xfId="2" applyFont="1" applyFill="1"/>
    <xf numFmtId="44" fontId="176" fillId="0" borderId="0" xfId="2" applyFont="1" applyFill="1" applyAlignment="1">
      <alignment horizontal="center" wrapText="1"/>
    </xf>
    <xf numFmtId="0" fontId="119" fillId="0" borderId="0" xfId="4" quotePrefix="1" applyNumberFormat="1" applyFont="1" applyFill="1" applyBorder="1" applyAlignment="1">
      <alignment horizontal="center"/>
    </xf>
    <xf numFmtId="10" fontId="128" fillId="0" borderId="0" xfId="3" applyNumberFormat="1" applyFont="1" applyFill="1"/>
    <xf numFmtId="41" fontId="123" fillId="2" borderId="0" xfId="1782" quotePrefix="1" applyFont="1" applyFill="1" applyAlignment="1">
      <alignment horizontal="center"/>
    </xf>
    <xf numFmtId="41" fontId="127" fillId="2" borderId="0" xfId="1782" applyFont="1" applyFill="1"/>
    <xf numFmtId="41" fontId="183" fillId="0" borderId="0" xfId="1782" quotePrefix="1" applyFont="1" applyAlignment="1">
      <alignment horizontal="left"/>
    </xf>
    <xf numFmtId="44" fontId="123" fillId="0" borderId="0" xfId="2" applyFont="1" applyFill="1" applyBorder="1" applyProtection="1">
      <protection locked="0"/>
    </xf>
    <xf numFmtId="41" fontId="123" fillId="0" borderId="0" xfId="1782" applyFont="1" applyFill="1" applyBorder="1" applyAlignment="1">
      <alignment horizontal="left" indent="2"/>
    </xf>
    <xf numFmtId="0" fontId="176" fillId="0" borderId="86" xfId="0" quotePrefix="1" applyFont="1" applyFill="1" applyBorder="1" applyAlignment="1">
      <alignment horizontal="center" wrapText="1"/>
    </xf>
    <xf numFmtId="10" fontId="176" fillId="0" borderId="0" xfId="3" applyNumberFormat="1" applyFont="1" applyFill="1"/>
    <xf numFmtId="41" fontId="36" fillId="0" borderId="0" xfId="1782"/>
    <xf numFmtId="41" fontId="13" fillId="0" borderId="0" xfId="1782" applyFont="1"/>
    <xf numFmtId="41" fontId="11" fillId="0" borderId="21" xfId="1782" applyFont="1" applyFill="1" applyBorder="1"/>
    <xf numFmtId="41" fontId="11" fillId="0" borderId="22" xfId="1782" applyFont="1" applyFill="1" applyBorder="1"/>
    <xf numFmtId="41" fontId="11" fillId="0" borderId="23" xfId="1782" applyFont="1" applyFill="1" applyBorder="1"/>
    <xf numFmtId="41" fontId="11" fillId="0" borderId="14" xfId="1782" applyFont="1" applyFill="1" applyBorder="1"/>
    <xf numFmtId="41" fontId="11" fillId="0" borderId="0" xfId="1782" applyFont="1" applyFill="1" applyBorder="1"/>
    <xf numFmtId="41" fontId="11" fillId="0" borderId="15" xfId="1782" applyFont="1" applyFill="1" applyBorder="1"/>
    <xf numFmtId="41" fontId="11" fillId="0" borderId="0" xfId="1782" applyFont="1" applyFill="1" applyBorder="1" applyAlignment="1">
      <alignment horizontal="center"/>
    </xf>
    <xf numFmtId="41" fontId="11" fillId="0" borderId="14" xfId="1782" applyFont="1" applyFill="1" applyBorder="1" applyAlignment="1">
      <alignment horizontal="center"/>
    </xf>
    <xf numFmtId="9" fontId="11" fillId="0" borderId="0" xfId="1986" applyFont="1" applyFill="1" applyBorder="1" applyAlignment="1">
      <alignment horizontal="center"/>
    </xf>
    <xf numFmtId="41" fontId="11" fillId="0" borderId="15" xfId="1782" applyFont="1" applyFill="1" applyBorder="1" applyAlignment="1">
      <alignment horizontal="center"/>
    </xf>
    <xf numFmtId="41" fontId="11" fillId="0" borderId="0" xfId="1782" quotePrefix="1" applyFont="1" applyFill="1" applyBorder="1" applyAlignment="1">
      <alignment horizontal="center"/>
    </xf>
    <xf numFmtId="41" fontId="11" fillId="17" borderId="0" xfId="1782" quotePrefix="1" applyFont="1" applyFill="1" applyBorder="1" applyAlignment="1">
      <alignment horizontal="center"/>
    </xf>
    <xf numFmtId="41" fontId="11" fillId="5" borderId="0" xfId="1782" applyFont="1" applyFill="1" applyAlignment="1">
      <alignment horizontal="left"/>
    </xf>
    <xf numFmtId="9" fontId="11" fillId="15" borderId="0" xfId="1782" applyNumberFormat="1" applyFont="1" applyFill="1" applyAlignment="1">
      <alignment horizontal="center"/>
    </xf>
    <xf numFmtId="41" fontId="11" fillId="5" borderId="0" xfId="1782" applyFont="1" applyFill="1" applyAlignment="1">
      <alignment horizontal="center"/>
    </xf>
    <xf numFmtId="41" fontId="36" fillId="0" borderId="14" xfId="1782" applyBorder="1"/>
    <xf numFmtId="10" fontId="0" fillId="3" borderId="13" xfId="1986" applyNumberFormat="1" applyFont="1" applyFill="1" applyBorder="1"/>
    <xf numFmtId="41" fontId="36" fillId="0" borderId="0" xfId="1782" applyBorder="1"/>
    <xf numFmtId="41" fontId="11" fillId="0" borderId="0" xfId="1782" applyFont="1" applyBorder="1"/>
    <xf numFmtId="41" fontId="11" fillId="0" borderId="0" xfId="1782" applyFont="1" applyBorder="1" applyAlignment="1">
      <alignment horizontal="center"/>
    </xf>
    <xf numFmtId="41" fontId="11" fillId="0" borderId="15" xfId="1782" applyFont="1" applyBorder="1" applyAlignment="1">
      <alignment horizontal="center"/>
    </xf>
    <xf numFmtId="41" fontId="11" fillId="5" borderId="0" xfId="1782" applyFont="1" applyFill="1" applyBorder="1"/>
    <xf numFmtId="41" fontId="11" fillId="5" borderId="0" xfId="1782" applyFont="1" applyFill="1"/>
    <xf numFmtId="41" fontId="11" fillId="0" borderId="5" xfId="1782" applyFont="1" applyBorder="1"/>
    <xf numFmtId="41" fontId="11" fillId="5" borderId="5" xfId="1782" applyFont="1" applyFill="1" applyBorder="1"/>
    <xf numFmtId="165" fontId="143" fillId="0" borderId="14" xfId="1" applyNumberFormat="1" applyFont="1" applyBorder="1"/>
    <xf numFmtId="41" fontId="143" fillId="0" borderId="0" xfId="1782" applyFont="1" applyBorder="1"/>
    <xf numFmtId="43" fontId="143" fillId="0" borderId="0" xfId="1782" applyNumberFormat="1" applyFont="1" applyBorder="1"/>
    <xf numFmtId="10" fontId="189" fillId="0" borderId="0" xfId="1986" applyNumberFormat="1" applyFont="1" applyBorder="1"/>
    <xf numFmtId="10" fontId="11" fillId="17" borderId="0" xfId="3" applyNumberFormat="1" applyFont="1" applyFill="1" applyBorder="1"/>
    <xf numFmtId="41" fontId="11" fillId="17" borderId="0" xfId="1782" applyFont="1" applyFill="1" applyBorder="1"/>
    <xf numFmtId="41" fontId="123" fillId="17" borderId="0" xfId="1782" applyFont="1" applyFill="1"/>
    <xf numFmtId="43" fontId="11" fillId="5" borderId="0" xfId="1782" applyNumberFormat="1" applyFont="1" applyFill="1"/>
    <xf numFmtId="41" fontId="143" fillId="0" borderId="14" xfId="1782" applyFont="1" applyBorder="1"/>
    <xf numFmtId="41" fontId="190" fillId="5" borderId="0" xfId="0" applyNumberFormat="1" applyFont="1" applyFill="1" applyBorder="1"/>
    <xf numFmtId="41" fontId="190" fillId="17" borderId="0" xfId="0" applyNumberFormat="1" applyFont="1" applyFill="1" applyBorder="1"/>
    <xf numFmtId="41" fontId="11" fillId="5" borderId="0" xfId="1782" quotePrefix="1" applyFont="1" applyFill="1" applyBorder="1" applyAlignment="1">
      <alignment horizontal="left"/>
    </xf>
    <xf numFmtId="10" fontId="191" fillId="0" borderId="0" xfId="1986" applyNumberFormat="1" applyFont="1" applyBorder="1"/>
    <xf numFmtId="41" fontId="36" fillId="0" borderId="0" xfId="1782" applyFill="1"/>
    <xf numFmtId="41" fontId="11" fillId="0" borderId="0" xfId="1782" quotePrefix="1" applyFont="1" applyBorder="1" applyAlignment="1">
      <alignment horizontal="left"/>
    </xf>
    <xf numFmtId="41" fontId="11" fillId="0" borderId="15" xfId="1782" applyFont="1" applyBorder="1"/>
    <xf numFmtId="41" fontId="189" fillId="0" borderId="0" xfId="1986" applyNumberFormat="1" applyFont="1" applyBorder="1"/>
    <xf numFmtId="41" fontId="189" fillId="15" borderId="0" xfId="1986" applyNumberFormat="1" applyFont="1" applyFill="1" applyBorder="1"/>
    <xf numFmtId="41" fontId="189" fillId="0" borderId="0" xfId="0" applyNumberFormat="1" applyFont="1" applyBorder="1"/>
    <xf numFmtId="41" fontId="190" fillId="0" borderId="0" xfId="0" applyNumberFormat="1" applyFont="1" applyBorder="1"/>
    <xf numFmtId="41" fontId="190" fillId="0" borderId="15" xfId="0" applyNumberFormat="1" applyFont="1" applyBorder="1"/>
    <xf numFmtId="41" fontId="189" fillId="0" borderId="14" xfId="0" applyNumberFormat="1" applyFont="1" applyBorder="1"/>
    <xf numFmtId="41" fontId="192" fillId="0" borderId="0" xfId="0" applyNumberFormat="1" applyFont="1" applyBorder="1"/>
    <xf numFmtId="175" fontId="189" fillId="0" borderId="57" xfId="1360" applyNumberFormat="1" applyFont="1" applyBorder="1"/>
    <xf numFmtId="175" fontId="189" fillId="0" borderId="86" xfId="1360" applyNumberFormat="1" applyFont="1" applyBorder="1"/>
    <xf numFmtId="41" fontId="143" fillId="0" borderId="0" xfId="3" applyNumberFormat="1" applyFont="1" applyBorder="1"/>
    <xf numFmtId="41" fontId="123" fillId="3" borderId="13" xfId="1782" applyFont="1" applyFill="1" applyBorder="1"/>
    <xf numFmtId="41" fontId="123" fillId="0" borderId="0" xfId="1782" quotePrefix="1" applyFont="1" applyAlignment="1">
      <alignment horizontal="right"/>
    </xf>
    <xf numFmtId="191" fontId="123" fillId="0" borderId="0" xfId="3" applyNumberFormat="1" applyFont="1"/>
    <xf numFmtId="10" fontId="123" fillId="0" borderId="0" xfId="3" applyNumberFormat="1" applyFont="1" applyBorder="1"/>
    <xf numFmtId="41" fontId="11" fillId="0" borderId="0" xfId="1782" quotePrefix="1" applyFont="1" applyFill="1" applyAlignment="1">
      <alignment horizontal="left"/>
    </xf>
    <xf numFmtId="41" fontId="11" fillId="0" borderId="0" xfId="1782" quotePrefix="1" applyFont="1" applyFill="1" applyAlignment="1">
      <alignment horizontal="center"/>
    </xf>
    <xf numFmtId="42" fontId="123" fillId="15" borderId="0" xfId="1782" applyNumberFormat="1" applyFont="1" applyFill="1"/>
    <xf numFmtId="175" fontId="123" fillId="15" borderId="0" xfId="2" applyNumberFormat="1" applyFont="1" applyFill="1"/>
    <xf numFmtId="10" fontId="123" fillId="0" borderId="0" xfId="3" applyNumberFormat="1" applyFont="1"/>
    <xf numFmtId="44" fontId="176" fillId="0" borderId="0" xfId="0" applyNumberFormat="1" applyFont="1" applyFill="1"/>
    <xf numFmtId="43" fontId="193" fillId="0" borderId="0" xfId="1" quotePrefix="1" applyFont="1" applyFill="1" applyBorder="1" applyAlignment="1">
      <alignment horizontal="left"/>
    </xf>
    <xf numFmtId="41" fontId="193" fillId="0" borderId="0" xfId="1782" applyFont="1" applyFill="1" applyAlignment="1">
      <alignment horizontal="left"/>
    </xf>
    <xf numFmtId="41" fontId="194" fillId="0" borderId="0" xfId="1782" applyFont="1" applyFill="1" applyAlignment="1">
      <alignment horizontal="left"/>
    </xf>
    <xf numFmtId="41" fontId="194" fillId="0" borderId="0" xfId="1782" applyFont="1" applyFill="1"/>
    <xf numFmtId="41" fontId="195" fillId="0" borderId="0" xfId="1782" applyFont="1" applyFill="1"/>
    <xf numFmtId="41" fontId="194" fillId="0" borderId="0" xfId="1782" applyFont="1" applyFill="1" applyAlignment="1">
      <alignment horizontal="center"/>
    </xf>
    <xf numFmtId="41" fontId="194" fillId="0" borderId="0" xfId="1782" quotePrefix="1" applyFont="1" applyFill="1" applyAlignment="1">
      <alignment horizontal="left" indent="1"/>
    </xf>
    <xf numFmtId="0" fontId="194" fillId="0" borderId="0" xfId="0" applyFont="1" applyFill="1"/>
    <xf numFmtId="37" fontId="194" fillId="0" borderId="0" xfId="0" applyNumberFormat="1" applyFont="1" applyFill="1"/>
    <xf numFmtId="37" fontId="194" fillId="0" borderId="0" xfId="0" quotePrefix="1" applyNumberFormat="1" applyFont="1" applyFill="1" applyAlignment="1">
      <alignment horizontal="left"/>
    </xf>
    <xf numFmtId="0" fontId="194" fillId="0" borderId="0" xfId="0" quotePrefix="1" applyFont="1" applyFill="1" applyAlignment="1">
      <alignment horizontal="left"/>
    </xf>
    <xf numFmtId="41" fontId="194" fillId="0" borderId="0" xfId="0" quotePrefix="1" applyNumberFormat="1" applyFont="1" applyFill="1" applyAlignment="1">
      <alignment horizontal="left"/>
    </xf>
    <xf numFmtId="41" fontId="194" fillId="0" borderId="0" xfId="0" applyNumberFormat="1" applyFont="1" applyFill="1"/>
    <xf numFmtId="41" fontId="193" fillId="0" borderId="0" xfId="1782" applyFont="1" applyFill="1"/>
    <xf numFmtId="41" fontId="194" fillId="0" borderId="0" xfId="1782" applyFont="1" applyFill="1" applyAlignment="1">
      <alignment horizontal="right"/>
    </xf>
    <xf numFmtId="41" fontId="194" fillId="0" borderId="0" xfId="1782" quotePrefix="1" applyFont="1" applyFill="1" applyAlignment="1">
      <alignment horizontal="left"/>
    </xf>
    <xf numFmtId="41" fontId="126" fillId="0" borderId="0" xfId="1782" applyFont="1"/>
    <xf numFmtId="10" fontId="176" fillId="0" borderId="0" xfId="1986" quotePrefix="1" applyNumberFormat="1" applyFont="1"/>
    <xf numFmtId="41" fontId="123" fillId="15" borderId="0" xfId="1782" applyFont="1" applyFill="1" applyBorder="1"/>
    <xf numFmtId="176" fontId="13" fillId="0" borderId="48" xfId="4" quotePrefix="1" applyFont="1" applyBorder="1" applyAlignment="1">
      <alignment horizontal="center"/>
    </xf>
    <xf numFmtId="176" fontId="13" fillId="0" borderId="49" xfId="4" applyFont="1" applyBorder="1" applyAlignment="1">
      <alignment horizontal="center"/>
    </xf>
    <xf numFmtId="176" fontId="13" fillId="0" borderId="50" xfId="4" applyFont="1" applyBorder="1" applyAlignment="1">
      <alignment horizontal="center"/>
    </xf>
    <xf numFmtId="165" fontId="13" fillId="0" borderId="48" xfId="13" quotePrefix="1" applyNumberFormat="1" applyFont="1" applyBorder="1" applyAlignment="1">
      <alignment horizontal="center"/>
    </xf>
    <xf numFmtId="165" fontId="13" fillId="0" borderId="49" xfId="13" applyNumberFormat="1" applyFont="1" applyBorder="1" applyAlignment="1">
      <alignment horizontal="center"/>
    </xf>
    <xf numFmtId="165" fontId="13" fillId="0" borderId="50" xfId="13" applyNumberFormat="1" applyFont="1" applyBorder="1" applyAlignment="1">
      <alignment horizontal="center"/>
    </xf>
    <xf numFmtId="0" fontId="100" fillId="0" borderId="0" xfId="0" quotePrefix="1" applyFont="1" applyAlignment="1">
      <alignment horizontal="center" wrapText="1"/>
    </xf>
    <xf numFmtId="0" fontId="100" fillId="0" borderId="0" xfId="0" applyFont="1" applyAlignment="1">
      <alignment horizontal="center" wrapText="1"/>
    </xf>
    <xf numFmtId="0" fontId="100" fillId="0" borderId="0" xfId="0" applyFont="1" applyAlignment="1">
      <alignment horizontal="center"/>
    </xf>
    <xf numFmtId="0" fontId="100" fillId="0" borderId="0" xfId="0" quotePrefix="1" applyFont="1" applyAlignment="1">
      <alignment horizontal="center"/>
    </xf>
    <xf numFmtId="0" fontId="100" fillId="0" borderId="22" xfId="0" quotePrefix="1" applyFont="1" applyBorder="1" applyAlignment="1">
      <alignment horizontal="center" wrapText="1"/>
    </xf>
    <xf numFmtId="0" fontId="100" fillId="0" borderId="22" xfId="0" applyFont="1" applyBorder="1" applyAlignment="1">
      <alignment horizontal="center" wrapText="1"/>
    </xf>
    <xf numFmtId="0" fontId="100" fillId="0" borderId="23" xfId="0" applyFont="1" applyBorder="1" applyAlignment="1">
      <alignment horizontal="center" wrapText="1"/>
    </xf>
    <xf numFmtId="0" fontId="112" fillId="0" borderId="0" xfId="0" applyFont="1" applyAlignment="1">
      <alignment horizontal="center"/>
    </xf>
    <xf numFmtId="0" fontId="113" fillId="0" borderId="0" xfId="0" quotePrefix="1" applyFont="1" applyAlignment="1">
      <alignment horizontal="center"/>
    </xf>
    <xf numFmtId="0" fontId="113" fillId="0" borderId="0" xfId="0" applyFont="1" applyAlignment="1">
      <alignment horizontal="center"/>
    </xf>
    <xf numFmtId="41" fontId="102" fillId="0" borderId="5" xfId="1782" applyFont="1" applyBorder="1" applyAlignment="1">
      <alignment horizontal="center"/>
    </xf>
    <xf numFmtId="41" fontId="102" fillId="0" borderId="5" xfId="1782" quotePrefix="1" applyFont="1" applyBorder="1" applyAlignment="1">
      <alignment horizontal="center"/>
    </xf>
    <xf numFmtId="0" fontId="116" fillId="15" borderId="0" xfId="0" quotePrefix="1" applyFont="1" applyFill="1" applyAlignment="1">
      <alignment horizontal="center" wrapText="1"/>
    </xf>
    <xf numFmtId="0" fontId="115" fillId="0" borderId="0" xfId="0" quotePrefix="1" applyFont="1" applyAlignment="1">
      <alignment horizontal="center"/>
    </xf>
    <xf numFmtId="0" fontId="115" fillId="0" borderId="0" xfId="0" applyFont="1" applyAlignment="1">
      <alignment horizontal="center"/>
    </xf>
    <xf numFmtId="0" fontId="115" fillId="0" borderId="0" xfId="0" applyFont="1" applyFill="1" applyAlignment="1">
      <alignment horizontal="center"/>
    </xf>
    <xf numFmtId="0" fontId="6" fillId="0" borderId="0" xfId="11" applyFont="1" applyAlignment="1">
      <alignment horizontal="center"/>
    </xf>
    <xf numFmtId="0" fontId="178" fillId="0" borderId="79" xfId="0" quotePrefix="1" applyFont="1" applyBorder="1" applyAlignment="1">
      <alignment horizontal="left" wrapText="1"/>
    </xf>
    <xf numFmtId="0" fontId="178" fillId="0" borderId="80" xfId="0" quotePrefix="1" applyFont="1" applyBorder="1" applyAlignment="1">
      <alignment horizontal="left" wrapText="1"/>
    </xf>
  </cellXfs>
  <cellStyles count="15121">
    <cellStyle name="_Row1" xfId="2114"/>
    <cellStyle name="_Row1 2" xfId="2115"/>
    <cellStyle name="=C:\WINNT\SYSTEM32\COMMAND.COM" xfId="2116"/>
    <cellStyle name="=C:\WINNT\SYSTEM32\COMMAND.COM 2" xfId="2117"/>
    <cellStyle name="=C:\WINNT\SYSTEM32\COMMAND.COM 2 2" xfId="2118"/>
    <cellStyle name="=C:\WINNT\SYSTEM32\COMMAND.COM 3" xfId="2119"/>
    <cellStyle name="=C:\WINNT35\SYSTEM32\COMMAND.COM" xfId="2120"/>
    <cellStyle name="20% - Accent1 10" xfId="14"/>
    <cellStyle name="20% - Accent1 10 2" xfId="2121"/>
    <cellStyle name="20% - Accent1 10 2 2" xfId="2122"/>
    <cellStyle name="20% - Accent1 10 3" xfId="2123"/>
    <cellStyle name="20% - Accent1 10 4" xfId="2124"/>
    <cellStyle name="20% - Accent1 11" xfId="15"/>
    <cellStyle name="20% - Accent1 11 2" xfId="2125"/>
    <cellStyle name="20% - Accent1 11 2 2" xfId="2126"/>
    <cellStyle name="20% - Accent1 11 3" xfId="2127"/>
    <cellStyle name="20% - Accent1 11 4" xfId="2128"/>
    <cellStyle name="20% - Accent1 12" xfId="16"/>
    <cellStyle name="20% - Accent1 12 2" xfId="2129"/>
    <cellStyle name="20% - Accent1 12 3" xfId="2130"/>
    <cellStyle name="20% - Accent1 13" xfId="17"/>
    <cellStyle name="20% - Accent1 13 2" xfId="2131"/>
    <cellStyle name="20% - Accent1 14" xfId="18"/>
    <cellStyle name="20% - Accent1 15" xfId="19"/>
    <cellStyle name="20% - Accent1 15 2" xfId="20"/>
    <cellStyle name="20% - Accent1 15 3" xfId="21"/>
    <cellStyle name="20% - Accent1 15 4" xfId="22"/>
    <cellStyle name="20% - Accent1 15 5" xfId="23"/>
    <cellStyle name="20% - Accent1 16" xfId="24"/>
    <cellStyle name="20% - Accent1 16 2" xfId="25"/>
    <cellStyle name="20% - Accent1 16 3" xfId="26"/>
    <cellStyle name="20% - Accent1 16 4" xfId="27"/>
    <cellStyle name="20% - Accent1 16 5" xfId="28"/>
    <cellStyle name="20% - Accent1 17" xfId="29"/>
    <cellStyle name="20% - Accent1 17 2" xfId="30"/>
    <cellStyle name="20% - Accent1 17 3" xfId="31"/>
    <cellStyle name="20% - Accent1 17 4" xfId="32"/>
    <cellStyle name="20% - Accent1 17 5" xfId="33"/>
    <cellStyle name="20% - Accent1 18" xfId="34"/>
    <cellStyle name="20% - Accent1 19" xfId="35"/>
    <cellStyle name="20% - Accent1 2" xfId="36"/>
    <cellStyle name="20% - Accent1 2 2" xfId="37"/>
    <cellStyle name="20% - Accent1 2 2 2" xfId="38"/>
    <cellStyle name="20% - Accent1 2 2 2 2" xfId="39"/>
    <cellStyle name="20% - Accent1 2 2 2 2 2" xfId="2132"/>
    <cellStyle name="20% - Accent1 2 2 2 2 2 2" xfId="2133"/>
    <cellStyle name="20% - Accent1 2 2 2 2 2 2 2" xfId="2134"/>
    <cellStyle name="20% - Accent1 2 2 2 2 2 3" xfId="2135"/>
    <cellStyle name="20% - Accent1 2 2 2 2 3" xfId="2136"/>
    <cellStyle name="20% - Accent1 2 2 2 2 3 2" xfId="2137"/>
    <cellStyle name="20% - Accent1 2 2 2 2 4" xfId="2138"/>
    <cellStyle name="20% - Accent1 2 2 2 2 5" xfId="2139"/>
    <cellStyle name="20% - Accent1 2 2 2 3" xfId="40"/>
    <cellStyle name="20% - Accent1 2 2 2 3 2" xfId="2140"/>
    <cellStyle name="20% - Accent1 2 2 2 3 2 2" xfId="2141"/>
    <cellStyle name="20% - Accent1 2 2 2 3 3" xfId="2142"/>
    <cellStyle name="20% - Accent1 2 2 2 4" xfId="41"/>
    <cellStyle name="20% - Accent1 2 2 2 4 2" xfId="2143"/>
    <cellStyle name="20% - Accent1 2 2 2 5" xfId="42"/>
    <cellStyle name="20% - Accent1 2 2 2 6" xfId="2144"/>
    <cellStyle name="20% - Accent1 2 2 3" xfId="43"/>
    <cellStyle name="20% - Accent1 2 2 3 2" xfId="2145"/>
    <cellStyle name="20% - Accent1 2 2 3 2 2" xfId="2146"/>
    <cellStyle name="20% - Accent1 2 2 3 2 2 2" xfId="2147"/>
    <cellStyle name="20% - Accent1 2 2 3 2 3" xfId="2148"/>
    <cellStyle name="20% - Accent1 2 2 3 3" xfId="2149"/>
    <cellStyle name="20% - Accent1 2 2 3 3 2" xfId="2150"/>
    <cellStyle name="20% - Accent1 2 2 3 4" xfId="2151"/>
    <cellStyle name="20% - Accent1 2 2 3 5" xfId="2152"/>
    <cellStyle name="20% - Accent1 2 2 4" xfId="44"/>
    <cellStyle name="20% - Accent1 2 2 4 2" xfId="2153"/>
    <cellStyle name="20% - Accent1 2 2 4 2 2" xfId="2154"/>
    <cellStyle name="20% - Accent1 2 2 4 3" xfId="2155"/>
    <cellStyle name="20% - Accent1 2 2 5" xfId="45"/>
    <cellStyle name="20% - Accent1 2 2 5 2" xfId="2156"/>
    <cellStyle name="20% - Accent1 2 2 6" xfId="2157"/>
    <cellStyle name="20% - Accent1 2 2 7" xfId="2158"/>
    <cellStyle name="20% - Accent1 2 3" xfId="46"/>
    <cellStyle name="20% - Accent1 2 3 2" xfId="2159"/>
    <cellStyle name="20% - Accent1 2 3 2 2" xfId="2160"/>
    <cellStyle name="20% - Accent1 2 3 2 2 2" xfId="2161"/>
    <cellStyle name="20% - Accent1 2 3 2 2 2 2" xfId="2162"/>
    <cellStyle name="20% - Accent1 2 3 2 2 3" xfId="2163"/>
    <cellStyle name="20% - Accent1 2 3 2 3" xfId="2164"/>
    <cellStyle name="20% - Accent1 2 3 2 3 2" xfId="2165"/>
    <cellStyle name="20% - Accent1 2 3 2 4" xfId="2166"/>
    <cellStyle name="20% - Accent1 2 3 3" xfId="2167"/>
    <cellStyle name="20% - Accent1 2 3 3 2" xfId="2168"/>
    <cellStyle name="20% - Accent1 2 3 3 2 2" xfId="2169"/>
    <cellStyle name="20% - Accent1 2 3 3 3" xfId="2170"/>
    <cellStyle name="20% - Accent1 2 3 4" xfId="2171"/>
    <cellStyle name="20% - Accent1 2 3 4 2" xfId="2172"/>
    <cellStyle name="20% - Accent1 2 3 5" xfId="2173"/>
    <cellStyle name="20% - Accent1 2 3 6" xfId="2174"/>
    <cellStyle name="20% - Accent1 2 4" xfId="47"/>
    <cellStyle name="20% - Accent1 2 4 2" xfId="2175"/>
    <cellStyle name="20% - Accent1 2 4 2 2" xfId="2176"/>
    <cellStyle name="20% - Accent1 2 4 2 2 2" xfId="2177"/>
    <cellStyle name="20% - Accent1 2 4 2 3" xfId="2178"/>
    <cellStyle name="20% - Accent1 2 4 3" xfId="2179"/>
    <cellStyle name="20% - Accent1 2 4 3 2" xfId="2180"/>
    <cellStyle name="20% - Accent1 2 4 4" xfId="2181"/>
    <cellStyle name="20% - Accent1 2 4 5" xfId="2182"/>
    <cellStyle name="20% - Accent1 2 5" xfId="48"/>
    <cellStyle name="20% - Accent1 2 5 2" xfId="2183"/>
    <cellStyle name="20% - Accent1 2 5 2 2" xfId="2184"/>
    <cellStyle name="20% - Accent1 2 5 3" xfId="2185"/>
    <cellStyle name="20% - Accent1 2 5 4" xfId="2186"/>
    <cellStyle name="20% - Accent1 2 6" xfId="49"/>
    <cellStyle name="20% - Accent1 2 6 2" xfId="2187"/>
    <cellStyle name="20% - Accent1 2 6 3" xfId="2188"/>
    <cellStyle name="20% - Accent1 2 7" xfId="50"/>
    <cellStyle name="20% - Accent1 2 8" xfId="51"/>
    <cellStyle name="20% - Accent1 2 9" xfId="52"/>
    <cellStyle name="20% - Accent1 20" xfId="53"/>
    <cellStyle name="20% - Accent1 21" xfId="54"/>
    <cellStyle name="20% - Accent1 22" xfId="55"/>
    <cellStyle name="20% - Accent1 23" xfId="56"/>
    <cellStyle name="20% - Accent1 24" xfId="57"/>
    <cellStyle name="20% - Accent1 25" xfId="58"/>
    <cellStyle name="20% - Accent1 26" xfId="59"/>
    <cellStyle name="20% - Accent1 27" xfId="60"/>
    <cellStyle name="20% - Accent1 28" xfId="61"/>
    <cellStyle name="20% - Accent1 29" xfId="62"/>
    <cellStyle name="20% - Accent1 3" xfId="63"/>
    <cellStyle name="20% - Accent1 3 2" xfId="2189"/>
    <cellStyle name="20% - Accent1 3 2 2" xfId="2190"/>
    <cellStyle name="20% - Accent1 3 2 2 2" xfId="2191"/>
    <cellStyle name="20% - Accent1 3 2 2 2 2" xfId="2192"/>
    <cellStyle name="20% - Accent1 3 2 2 2 2 2" xfId="2193"/>
    <cellStyle name="20% - Accent1 3 2 2 2 2 2 2" xfId="2194"/>
    <cellStyle name="20% - Accent1 3 2 2 2 2 3" xfId="2195"/>
    <cellStyle name="20% - Accent1 3 2 2 2 3" xfId="2196"/>
    <cellStyle name="20% - Accent1 3 2 2 2 3 2" xfId="2197"/>
    <cellStyle name="20% - Accent1 3 2 2 2 4" xfId="2198"/>
    <cellStyle name="20% - Accent1 3 2 2 3" xfId="2199"/>
    <cellStyle name="20% - Accent1 3 2 2 3 2" xfId="2200"/>
    <cellStyle name="20% - Accent1 3 2 2 3 2 2" xfId="2201"/>
    <cellStyle name="20% - Accent1 3 2 2 3 3" xfId="2202"/>
    <cellStyle name="20% - Accent1 3 2 2 4" xfId="2203"/>
    <cellStyle name="20% - Accent1 3 2 2 4 2" xfId="2204"/>
    <cellStyle name="20% - Accent1 3 2 2 5" xfId="2205"/>
    <cellStyle name="20% - Accent1 3 2 2 6" xfId="2206"/>
    <cellStyle name="20% - Accent1 3 2 3" xfId="2207"/>
    <cellStyle name="20% - Accent1 3 2 3 2" xfId="2208"/>
    <cellStyle name="20% - Accent1 3 2 3 2 2" xfId="2209"/>
    <cellStyle name="20% - Accent1 3 2 3 2 2 2" xfId="2210"/>
    <cellStyle name="20% - Accent1 3 2 3 2 3" xfId="2211"/>
    <cellStyle name="20% - Accent1 3 2 3 3" xfId="2212"/>
    <cellStyle name="20% - Accent1 3 2 3 3 2" xfId="2213"/>
    <cellStyle name="20% - Accent1 3 2 3 4" xfId="2214"/>
    <cellStyle name="20% - Accent1 3 2 4" xfId="2215"/>
    <cellStyle name="20% - Accent1 3 2 4 2" xfId="2216"/>
    <cellStyle name="20% - Accent1 3 2 4 2 2" xfId="2217"/>
    <cellStyle name="20% - Accent1 3 2 4 3" xfId="2218"/>
    <cellStyle name="20% - Accent1 3 2 5" xfId="2219"/>
    <cellStyle name="20% - Accent1 3 2 5 2" xfId="2220"/>
    <cellStyle name="20% - Accent1 3 2 6" xfId="2221"/>
    <cellStyle name="20% - Accent1 3 2 7" xfId="2222"/>
    <cellStyle name="20% - Accent1 3 3" xfId="2223"/>
    <cellStyle name="20% - Accent1 3 3 2" xfId="2224"/>
    <cellStyle name="20% - Accent1 3 3 2 2" xfId="2225"/>
    <cellStyle name="20% - Accent1 3 3 2 2 2" xfId="2226"/>
    <cellStyle name="20% - Accent1 3 3 2 2 2 2" xfId="2227"/>
    <cellStyle name="20% - Accent1 3 3 2 2 3" xfId="2228"/>
    <cellStyle name="20% - Accent1 3 3 2 3" xfId="2229"/>
    <cellStyle name="20% - Accent1 3 3 2 3 2" xfId="2230"/>
    <cellStyle name="20% - Accent1 3 3 2 4" xfId="2231"/>
    <cellStyle name="20% - Accent1 3 3 3" xfId="2232"/>
    <cellStyle name="20% - Accent1 3 3 3 2" xfId="2233"/>
    <cellStyle name="20% - Accent1 3 3 3 2 2" xfId="2234"/>
    <cellStyle name="20% - Accent1 3 3 3 3" xfId="2235"/>
    <cellStyle name="20% - Accent1 3 3 4" xfId="2236"/>
    <cellStyle name="20% - Accent1 3 3 4 2" xfId="2237"/>
    <cellStyle name="20% - Accent1 3 3 5" xfId="2238"/>
    <cellStyle name="20% - Accent1 3 3 6" xfId="2239"/>
    <cellStyle name="20% - Accent1 3 4" xfId="2240"/>
    <cellStyle name="20% - Accent1 3 4 2" xfId="2241"/>
    <cellStyle name="20% - Accent1 3 4 2 2" xfId="2242"/>
    <cellStyle name="20% - Accent1 3 4 2 2 2" xfId="2243"/>
    <cellStyle name="20% - Accent1 3 4 2 3" xfId="2244"/>
    <cellStyle name="20% - Accent1 3 4 3" xfId="2245"/>
    <cellStyle name="20% - Accent1 3 4 3 2" xfId="2246"/>
    <cellStyle name="20% - Accent1 3 4 4" xfId="2247"/>
    <cellStyle name="20% - Accent1 3 4 5" xfId="2248"/>
    <cellStyle name="20% - Accent1 3 5" xfId="2249"/>
    <cellStyle name="20% - Accent1 3 5 2" xfId="2250"/>
    <cellStyle name="20% - Accent1 3 5 2 2" xfId="2251"/>
    <cellStyle name="20% - Accent1 3 5 3" xfId="2252"/>
    <cellStyle name="20% - Accent1 3 6" xfId="2253"/>
    <cellStyle name="20% - Accent1 3 6 2" xfId="2254"/>
    <cellStyle name="20% - Accent1 3 7" xfId="2255"/>
    <cellStyle name="20% - Accent1 3 8" xfId="2256"/>
    <cellStyle name="20% - Accent1 3 9" xfId="2257"/>
    <cellStyle name="20% - Accent1 30" xfId="64"/>
    <cellStyle name="20% - Accent1 31" xfId="65"/>
    <cellStyle name="20% - Accent1 32" xfId="66"/>
    <cellStyle name="20% - Accent1 33" xfId="67"/>
    <cellStyle name="20% - Accent1 34" xfId="68"/>
    <cellStyle name="20% - Accent1 35" xfId="69"/>
    <cellStyle name="20% - Accent1 4" xfId="70"/>
    <cellStyle name="20% - Accent1 4 2" xfId="2258"/>
    <cellStyle name="20% - Accent1 4 2 2" xfId="2259"/>
    <cellStyle name="20% - Accent1 4 2 2 2" xfId="2260"/>
    <cellStyle name="20% - Accent1 4 2 2 2 2" xfId="2261"/>
    <cellStyle name="20% - Accent1 4 2 2 2 2 2" xfId="2262"/>
    <cellStyle name="20% - Accent1 4 2 2 2 3" xfId="2263"/>
    <cellStyle name="20% - Accent1 4 2 2 3" xfId="2264"/>
    <cellStyle name="20% - Accent1 4 2 2 3 2" xfId="2265"/>
    <cellStyle name="20% - Accent1 4 2 2 4" xfId="2266"/>
    <cellStyle name="20% - Accent1 4 2 3" xfId="2267"/>
    <cellStyle name="20% - Accent1 4 2 3 2" xfId="2268"/>
    <cellStyle name="20% - Accent1 4 2 3 2 2" xfId="2269"/>
    <cellStyle name="20% - Accent1 4 2 3 3" xfId="2270"/>
    <cellStyle name="20% - Accent1 4 2 4" xfId="2271"/>
    <cellStyle name="20% - Accent1 4 2 4 2" xfId="2272"/>
    <cellStyle name="20% - Accent1 4 2 5" xfId="2273"/>
    <cellStyle name="20% - Accent1 4 2 6" xfId="2274"/>
    <cellStyle name="20% - Accent1 4 3" xfId="2275"/>
    <cellStyle name="20% - Accent1 4 3 2" xfId="2276"/>
    <cellStyle name="20% - Accent1 4 3 2 2" xfId="2277"/>
    <cellStyle name="20% - Accent1 4 3 2 2 2" xfId="2278"/>
    <cellStyle name="20% - Accent1 4 3 2 3" xfId="2279"/>
    <cellStyle name="20% - Accent1 4 3 3" xfId="2280"/>
    <cellStyle name="20% - Accent1 4 3 3 2" xfId="2281"/>
    <cellStyle name="20% - Accent1 4 3 4" xfId="2282"/>
    <cellStyle name="20% - Accent1 4 3 5" xfId="2283"/>
    <cellStyle name="20% - Accent1 4 4" xfId="2284"/>
    <cellStyle name="20% - Accent1 4 4 2" xfId="2285"/>
    <cellStyle name="20% - Accent1 4 4 2 2" xfId="2286"/>
    <cellStyle name="20% - Accent1 4 4 3" xfId="2287"/>
    <cellStyle name="20% - Accent1 4 5" xfId="2288"/>
    <cellStyle name="20% - Accent1 4 5 2" xfId="2289"/>
    <cellStyle name="20% - Accent1 4 6" xfId="2290"/>
    <cellStyle name="20% - Accent1 4 7" xfId="2291"/>
    <cellStyle name="20% - Accent1 5" xfId="71"/>
    <cellStyle name="20% - Accent1 5 2" xfId="2292"/>
    <cellStyle name="20% - Accent1 5 2 2" xfId="2293"/>
    <cellStyle name="20% - Accent1 5 2 2 2" xfId="2294"/>
    <cellStyle name="20% - Accent1 5 2 2 2 2" xfId="2295"/>
    <cellStyle name="20% - Accent1 5 2 2 3" xfId="2296"/>
    <cellStyle name="20% - Accent1 5 2 3" xfId="2297"/>
    <cellStyle name="20% - Accent1 5 2 3 2" xfId="2298"/>
    <cellStyle name="20% - Accent1 5 2 4" xfId="2299"/>
    <cellStyle name="20% - Accent1 5 2 5" xfId="2300"/>
    <cellStyle name="20% - Accent1 5 3" xfId="2301"/>
    <cellStyle name="20% - Accent1 5 3 2" xfId="2302"/>
    <cellStyle name="20% - Accent1 5 3 2 2" xfId="2303"/>
    <cellStyle name="20% - Accent1 5 3 3" xfId="2304"/>
    <cellStyle name="20% - Accent1 5 4" xfId="2305"/>
    <cellStyle name="20% - Accent1 5 4 2" xfId="2306"/>
    <cellStyle name="20% - Accent1 5 5" xfId="2307"/>
    <cellStyle name="20% - Accent1 5 6" xfId="2308"/>
    <cellStyle name="20% - Accent1 6" xfId="72"/>
    <cellStyle name="20% - Accent1 6 2" xfId="2309"/>
    <cellStyle name="20% - Accent1 6 2 2" xfId="2310"/>
    <cellStyle name="20% - Accent1 6 2 2 2" xfId="2311"/>
    <cellStyle name="20% - Accent1 6 2 3" xfId="2312"/>
    <cellStyle name="20% - Accent1 6 2 4" xfId="2313"/>
    <cellStyle name="20% - Accent1 6 2 5" xfId="2314"/>
    <cellStyle name="20% - Accent1 6 3" xfId="2315"/>
    <cellStyle name="20% - Accent1 6 3 2" xfId="2316"/>
    <cellStyle name="20% - Accent1 6 4" xfId="2317"/>
    <cellStyle name="20% - Accent1 6 5" xfId="2318"/>
    <cellStyle name="20% - Accent1 7" xfId="73"/>
    <cellStyle name="20% - Accent1 7 2" xfId="2319"/>
    <cellStyle name="20% - Accent1 7 2 2" xfId="2320"/>
    <cellStyle name="20% - Accent1 7 2 2 2" xfId="2321"/>
    <cellStyle name="20% - Accent1 7 2 3" xfId="2322"/>
    <cellStyle name="20% - Accent1 7 3" xfId="2323"/>
    <cellStyle name="20% - Accent1 7 3 2" xfId="2324"/>
    <cellStyle name="20% - Accent1 7 4" xfId="2325"/>
    <cellStyle name="20% - Accent1 7 5" xfId="2326"/>
    <cellStyle name="20% - Accent1 8" xfId="74"/>
    <cellStyle name="20% - Accent1 8 2" xfId="2327"/>
    <cellStyle name="20% - Accent1 8 2 2" xfId="2328"/>
    <cellStyle name="20% - Accent1 8 2 2 2" xfId="2329"/>
    <cellStyle name="20% - Accent1 8 2 3" xfId="2330"/>
    <cellStyle name="20% - Accent1 8 3" xfId="2331"/>
    <cellStyle name="20% - Accent1 8 3 2" xfId="2332"/>
    <cellStyle name="20% - Accent1 8 4" xfId="2333"/>
    <cellStyle name="20% - Accent1 8 5" xfId="2334"/>
    <cellStyle name="20% - Accent1 9" xfId="75"/>
    <cellStyle name="20% - Accent1 9 2" xfId="2335"/>
    <cellStyle name="20% - Accent1 9 2 2" xfId="2336"/>
    <cellStyle name="20% - Accent1 9 3" xfId="2337"/>
    <cellStyle name="20% - Accent1 9 4" xfId="2338"/>
    <cellStyle name="20% - Accent2 10" xfId="76"/>
    <cellStyle name="20% - Accent2 10 2" xfId="2339"/>
    <cellStyle name="20% - Accent2 10 2 2" xfId="2340"/>
    <cellStyle name="20% - Accent2 10 3" xfId="2341"/>
    <cellStyle name="20% - Accent2 10 4" xfId="2342"/>
    <cellStyle name="20% - Accent2 11" xfId="77"/>
    <cellStyle name="20% - Accent2 11 2" xfId="2343"/>
    <cellStyle name="20% - Accent2 11 2 2" xfId="2344"/>
    <cellStyle name="20% - Accent2 11 3" xfId="2345"/>
    <cellStyle name="20% - Accent2 11 4" xfId="2346"/>
    <cellStyle name="20% - Accent2 12" xfId="78"/>
    <cellStyle name="20% - Accent2 12 2" xfId="2347"/>
    <cellStyle name="20% - Accent2 12 3" xfId="2348"/>
    <cellStyle name="20% - Accent2 13" xfId="79"/>
    <cellStyle name="20% - Accent2 13 2" xfId="2349"/>
    <cellStyle name="20% - Accent2 14" xfId="80"/>
    <cellStyle name="20% - Accent2 15" xfId="81"/>
    <cellStyle name="20% - Accent2 15 2" xfId="82"/>
    <cellStyle name="20% - Accent2 15 3" xfId="83"/>
    <cellStyle name="20% - Accent2 15 4" xfId="84"/>
    <cellStyle name="20% - Accent2 15 5" xfId="85"/>
    <cellStyle name="20% - Accent2 16" xfId="86"/>
    <cellStyle name="20% - Accent2 16 2" xfId="87"/>
    <cellStyle name="20% - Accent2 16 3" xfId="88"/>
    <cellStyle name="20% - Accent2 16 4" xfId="89"/>
    <cellStyle name="20% - Accent2 16 5" xfId="90"/>
    <cellStyle name="20% - Accent2 17" xfId="91"/>
    <cellStyle name="20% - Accent2 17 2" xfId="92"/>
    <cellStyle name="20% - Accent2 17 3" xfId="93"/>
    <cellStyle name="20% - Accent2 17 4" xfId="94"/>
    <cellStyle name="20% - Accent2 17 5" xfId="95"/>
    <cellStyle name="20% - Accent2 18" xfId="96"/>
    <cellStyle name="20% - Accent2 19" xfId="97"/>
    <cellStyle name="20% - Accent2 2" xfId="98"/>
    <cellStyle name="20% - Accent2 2 2" xfId="99"/>
    <cellStyle name="20% - Accent2 2 2 2" xfId="100"/>
    <cellStyle name="20% - Accent2 2 2 2 2" xfId="101"/>
    <cellStyle name="20% - Accent2 2 2 2 2 2" xfId="2350"/>
    <cellStyle name="20% - Accent2 2 2 2 2 2 2" xfId="2351"/>
    <cellStyle name="20% - Accent2 2 2 2 2 2 2 2" xfId="2352"/>
    <cellStyle name="20% - Accent2 2 2 2 2 2 3" xfId="2353"/>
    <cellStyle name="20% - Accent2 2 2 2 2 3" xfId="2354"/>
    <cellStyle name="20% - Accent2 2 2 2 2 3 2" xfId="2355"/>
    <cellStyle name="20% - Accent2 2 2 2 2 4" xfId="2356"/>
    <cellStyle name="20% - Accent2 2 2 2 2 5" xfId="2357"/>
    <cellStyle name="20% - Accent2 2 2 2 3" xfId="102"/>
    <cellStyle name="20% - Accent2 2 2 2 3 2" xfId="2358"/>
    <cellStyle name="20% - Accent2 2 2 2 3 2 2" xfId="2359"/>
    <cellStyle name="20% - Accent2 2 2 2 3 3" xfId="2360"/>
    <cellStyle name="20% - Accent2 2 2 2 4" xfId="103"/>
    <cellStyle name="20% - Accent2 2 2 2 4 2" xfId="2361"/>
    <cellStyle name="20% - Accent2 2 2 2 5" xfId="104"/>
    <cellStyle name="20% - Accent2 2 2 2 6" xfId="2362"/>
    <cellStyle name="20% - Accent2 2 2 3" xfId="105"/>
    <cellStyle name="20% - Accent2 2 2 3 2" xfId="2363"/>
    <cellStyle name="20% - Accent2 2 2 3 2 2" xfId="2364"/>
    <cellStyle name="20% - Accent2 2 2 3 2 2 2" xfId="2365"/>
    <cellStyle name="20% - Accent2 2 2 3 2 3" xfId="2366"/>
    <cellStyle name="20% - Accent2 2 2 3 3" xfId="2367"/>
    <cellStyle name="20% - Accent2 2 2 3 3 2" xfId="2368"/>
    <cellStyle name="20% - Accent2 2 2 3 4" xfId="2369"/>
    <cellStyle name="20% - Accent2 2 2 3 5" xfId="2370"/>
    <cellStyle name="20% - Accent2 2 2 4" xfId="106"/>
    <cellStyle name="20% - Accent2 2 2 4 2" xfId="2371"/>
    <cellStyle name="20% - Accent2 2 2 4 2 2" xfId="2372"/>
    <cellStyle name="20% - Accent2 2 2 4 3" xfId="2373"/>
    <cellStyle name="20% - Accent2 2 2 5" xfId="107"/>
    <cellStyle name="20% - Accent2 2 2 5 2" xfId="2374"/>
    <cellStyle name="20% - Accent2 2 2 6" xfId="2375"/>
    <cellStyle name="20% - Accent2 2 2 7" xfId="2376"/>
    <cellStyle name="20% - Accent2 2 3" xfId="108"/>
    <cellStyle name="20% - Accent2 2 3 2" xfId="2377"/>
    <cellStyle name="20% - Accent2 2 3 2 2" xfId="2378"/>
    <cellStyle name="20% - Accent2 2 3 2 2 2" xfId="2379"/>
    <cellStyle name="20% - Accent2 2 3 2 2 2 2" xfId="2380"/>
    <cellStyle name="20% - Accent2 2 3 2 2 3" xfId="2381"/>
    <cellStyle name="20% - Accent2 2 3 2 3" xfId="2382"/>
    <cellStyle name="20% - Accent2 2 3 2 3 2" xfId="2383"/>
    <cellStyle name="20% - Accent2 2 3 2 4" xfId="2384"/>
    <cellStyle name="20% - Accent2 2 3 3" xfId="2385"/>
    <cellStyle name="20% - Accent2 2 3 3 2" xfId="2386"/>
    <cellStyle name="20% - Accent2 2 3 3 2 2" xfId="2387"/>
    <cellStyle name="20% - Accent2 2 3 3 3" xfId="2388"/>
    <cellStyle name="20% - Accent2 2 3 4" xfId="2389"/>
    <cellStyle name="20% - Accent2 2 3 4 2" xfId="2390"/>
    <cellStyle name="20% - Accent2 2 3 5" xfId="2391"/>
    <cellStyle name="20% - Accent2 2 3 6" xfId="2392"/>
    <cellStyle name="20% - Accent2 2 4" xfId="109"/>
    <cellStyle name="20% - Accent2 2 4 2" xfId="2393"/>
    <cellStyle name="20% - Accent2 2 4 2 2" xfId="2394"/>
    <cellStyle name="20% - Accent2 2 4 2 2 2" xfId="2395"/>
    <cellStyle name="20% - Accent2 2 4 2 3" xfId="2396"/>
    <cellStyle name="20% - Accent2 2 4 3" xfId="2397"/>
    <cellStyle name="20% - Accent2 2 4 3 2" xfId="2398"/>
    <cellStyle name="20% - Accent2 2 4 4" xfId="2399"/>
    <cellStyle name="20% - Accent2 2 4 5" xfId="2400"/>
    <cellStyle name="20% - Accent2 2 5" xfId="110"/>
    <cellStyle name="20% - Accent2 2 5 2" xfId="2401"/>
    <cellStyle name="20% - Accent2 2 5 2 2" xfId="2402"/>
    <cellStyle name="20% - Accent2 2 5 3" xfId="2403"/>
    <cellStyle name="20% - Accent2 2 5 4" xfId="2404"/>
    <cellStyle name="20% - Accent2 2 6" xfId="111"/>
    <cellStyle name="20% - Accent2 2 6 2" xfId="2405"/>
    <cellStyle name="20% - Accent2 2 6 3" xfId="2406"/>
    <cellStyle name="20% - Accent2 2 7" xfId="112"/>
    <cellStyle name="20% - Accent2 2 8" xfId="113"/>
    <cellStyle name="20% - Accent2 2 9" xfId="114"/>
    <cellStyle name="20% - Accent2 20" xfId="115"/>
    <cellStyle name="20% - Accent2 21" xfId="116"/>
    <cellStyle name="20% - Accent2 22" xfId="117"/>
    <cellStyle name="20% - Accent2 23" xfId="118"/>
    <cellStyle name="20% - Accent2 24" xfId="119"/>
    <cellStyle name="20% - Accent2 25" xfId="120"/>
    <cellStyle name="20% - Accent2 26" xfId="121"/>
    <cellStyle name="20% - Accent2 27" xfId="122"/>
    <cellStyle name="20% - Accent2 28" xfId="123"/>
    <cellStyle name="20% - Accent2 29" xfId="124"/>
    <cellStyle name="20% - Accent2 3" xfId="125"/>
    <cellStyle name="20% - Accent2 3 2" xfId="2407"/>
    <cellStyle name="20% - Accent2 3 2 2" xfId="2408"/>
    <cellStyle name="20% - Accent2 3 2 2 2" xfId="2409"/>
    <cellStyle name="20% - Accent2 3 2 2 2 2" xfId="2410"/>
    <cellStyle name="20% - Accent2 3 2 2 2 2 2" xfId="2411"/>
    <cellStyle name="20% - Accent2 3 2 2 2 2 2 2" xfId="2412"/>
    <cellStyle name="20% - Accent2 3 2 2 2 2 3" xfId="2413"/>
    <cellStyle name="20% - Accent2 3 2 2 2 3" xfId="2414"/>
    <cellStyle name="20% - Accent2 3 2 2 2 3 2" xfId="2415"/>
    <cellStyle name="20% - Accent2 3 2 2 2 4" xfId="2416"/>
    <cellStyle name="20% - Accent2 3 2 2 3" xfId="2417"/>
    <cellStyle name="20% - Accent2 3 2 2 3 2" xfId="2418"/>
    <cellStyle name="20% - Accent2 3 2 2 3 2 2" xfId="2419"/>
    <cellStyle name="20% - Accent2 3 2 2 3 3" xfId="2420"/>
    <cellStyle name="20% - Accent2 3 2 2 4" xfId="2421"/>
    <cellStyle name="20% - Accent2 3 2 2 4 2" xfId="2422"/>
    <cellStyle name="20% - Accent2 3 2 2 5" xfId="2423"/>
    <cellStyle name="20% - Accent2 3 2 2 6" xfId="2424"/>
    <cellStyle name="20% - Accent2 3 2 3" xfId="2425"/>
    <cellStyle name="20% - Accent2 3 2 3 2" xfId="2426"/>
    <cellStyle name="20% - Accent2 3 2 3 2 2" xfId="2427"/>
    <cellStyle name="20% - Accent2 3 2 3 2 2 2" xfId="2428"/>
    <cellStyle name="20% - Accent2 3 2 3 2 3" xfId="2429"/>
    <cellStyle name="20% - Accent2 3 2 3 3" xfId="2430"/>
    <cellStyle name="20% - Accent2 3 2 3 3 2" xfId="2431"/>
    <cellStyle name="20% - Accent2 3 2 3 4" xfId="2432"/>
    <cellStyle name="20% - Accent2 3 2 4" xfId="2433"/>
    <cellStyle name="20% - Accent2 3 2 4 2" xfId="2434"/>
    <cellStyle name="20% - Accent2 3 2 4 2 2" xfId="2435"/>
    <cellStyle name="20% - Accent2 3 2 4 3" xfId="2436"/>
    <cellStyle name="20% - Accent2 3 2 5" xfId="2437"/>
    <cellStyle name="20% - Accent2 3 2 5 2" xfId="2438"/>
    <cellStyle name="20% - Accent2 3 2 6" xfId="2439"/>
    <cellStyle name="20% - Accent2 3 2 7" xfId="2440"/>
    <cellStyle name="20% - Accent2 3 3" xfId="2441"/>
    <cellStyle name="20% - Accent2 3 3 2" xfId="2442"/>
    <cellStyle name="20% - Accent2 3 3 2 2" xfId="2443"/>
    <cellStyle name="20% - Accent2 3 3 2 2 2" xfId="2444"/>
    <cellStyle name="20% - Accent2 3 3 2 2 2 2" xfId="2445"/>
    <cellStyle name="20% - Accent2 3 3 2 2 3" xfId="2446"/>
    <cellStyle name="20% - Accent2 3 3 2 3" xfId="2447"/>
    <cellStyle name="20% - Accent2 3 3 2 3 2" xfId="2448"/>
    <cellStyle name="20% - Accent2 3 3 2 4" xfId="2449"/>
    <cellStyle name="20% - Accent2 3 3 3" xfId="2450"/>
    <cellStyle name="20% - Accent2 3 3 3 2" xfId="2451"/>
    <cellStyle name="20% - Accent2 3 3 3 2 2" xfId="2452"/>
    <cellStyle name="20% - Accent2 3 3 3 3" xfId="2453"/>
    <cellStyle name="20% - Accent2 3 3 4" xfId="2454"/>
    <cellStyle name="20% - Accent2 3 3 4 2" xfId="2455"/>
    <cellStyle name="20% - Accent2 3 3 5" xfId="2456"/>
    <cellStyle name="20% - Accent2 3 3 6" xfId="2457"/>
    <cellStyle name="20% - Accent2 3 4" xfId="2458"/>
    <cellStyle name="20% - Accent2 3 4 2" xfId="2459"/>
    <cellStyle name="20% - Accent2 3 4 2 2" xfId="2460"/>
    <cellStyle name="20% - Accent2 3 4 2 2 2" xfId="2461"/>
    <cellStyle name="20% - Accent2 3 4 2 3" xfId="2462"/>
    <cellStyle name="20% - Accent2 3 4 3" xfId="2463"/>
    <cellStyle name="20% - Accent2 3 4 3 2" xfId="2464"/>
    <cellStyle name="20% - Accent2 3 4 4" xfId="2465"/>
    <cellStyle name="20% - Accent2 3 4 5" xfId="2466"/>
    <cellStyle name="20% - Accent2 3 5" xfId="2467"/>
    <cellStyle name="20% - Accent2 3 5 2" xfId="2468"/>
    <cellStyle name="20% - Accent2 3 5 2 2" xfId="2469"/>
    <cellStyle name="20% - Accent2 3 5 3" xfId="2470"/>
    <cellStyle name="20% - Accent2 3 6" xfId="2471"/>
    <cellStyle name="20% - Accent2 3 6 2" xfId="2472"/>
    <cellStyle name="20% - Accent2 3 7" xfId="2473"/>
    <cellStyle name="20% - Accent2 3 8" xfId="2474"/>
    <cellStyle name="20% - Accent2 3 9" xfId="2475"/>
    <cellStyle name="20% - Accent2 30" xfId="126"/>
    <cellStyle name="20% - Accent2 31" xfId="127"/>
    <cellStyle name="20% - Accent2 32" xfId="128"/>
    <cellStyle name="20% - Accent2 33" xfId="129"/>
    <cellStyle name="20% - Accent2 34" xfId="130"/>
    <cellStyle name="20% - Accent2 35" xfId="131"/>
    <cellStyle name="20% - Accent2 4" xfId="132"/>
    <cellStyle name="20% - Accent2 4 2" xfId="2476"/>
    <cellStyle name="20% - Accent2 4 2 2" xfId="2477"/>
    <cellStyle name="20% - Accent2 4 2 2 2" xfId="2478"/>
    <cellStyle name="20% - Accent2 4 2 2 2 2" xfId="2479"/>
    <cellStyle name="20% - Accent2 4 2 2 2 2 2" xfId="2480"/>
    <cellStyle name="20% - Accent2 4 2 2 2 3" xfId="2481"/>
    <cellStyle name="20% - Accent2 4 2 2 3" xfId="2482"/>
    <cellStyle name="20% - Accent2 4 2 2 3 2" xfId="2483"/>
    <cellStyle name="20% - Accent2 4 2 2 4" xfId="2484"/>
    <cellStyle name="20% - Accent2 4 2 3" xfId="2485"/>
    <cellStyle name="20% - Accent2 4 2 3 2" xfId="2486"/>
    <cellStyle name="20% - Accent2 4 2 3 2 2" xfId="2487"/>
    <cellStyle name="20% - Accent2 4 2 3 3" xfId="2488"/>
    <cellStyle name="20% - Accent2 4 2 4" xfId="2489"/>
    <cellStyle name="20% - Accent2 4 2 4 2" xfId="2490"/>
    <cellStyle name="20% - Accent2 4 2 5" xfId="2491"/>
    <cellStyle name="20% - Accent2 4 2 6" xfId="2492"/>
    <cellStyle name="20% - Accent2 4 3" xfId="2493"/>
    <cellStyle name="20% - Accent2 4 3 2" xfId="2494"/>
    <cellStyle name="20% - Accent2 4 3 2 2" xfId="2495"/>
    <cellStyle name="20% - Accent2 4 3 2 2 2" xfId="2496"/>
    <cellStyle name="20% - Accent2 4 3 2 3" xfId="2497"/>
    <cellStyle name="20% - Accent2 4 3 3" xfId="2498"/>
    <cellStyle name="20% - Accent2 4 3 3 2" xfId="2499"/>
    <cellStyle name="20% - Accent2 4 3 4" xfId="2500"/>
    <cellStyle name="20% - Accent2 4 3 5" xfId="2501"/>
    <cellStyle name="20% - Accent2 4 4" xfId="2502"/>
    <cellStyle name="20% - Accent2 4 4 2" xfId="2503"/>
    <cellStyle name="20% - Accent2 4 4 2 2" xfId="2504"/>
    <cellStyle name="20% - Accent2 4 4 3" xfId="2505"/>
    <cellStyle name="20% - Accent2 4 5" xfId="2506"/>
    <cellStyle name="20% - Accent2 4 5 2" xfId="2507"/>
    <cellStyle name="20% - Accent2 4 6" xfId="2508"/>
    <cellStyle name="20% - Accent2 4 7" xfId="2509"/>
    <cellStyle name="20% - Accent2 5" xfId="133"/>
    <cellStyle name="20% - Accent2 5 2" xfId="2510"/>
    <cellStyle name="20% - Accent2 5 2 2" xfId="2511"/>
    <cellStyle name="20% - Accent2 5 2 2 2" xfId="2512"/>
    <cellStyle name="20% - Accent2 5 2 2 2 2" xfId="2513"/>
    <cellStyle name="20% - Accent2 5 2 2 3" xfId="2514"/>
    <cellStyle name="20% - Accent2 5 2 3" xfId="2515"/>
    <cellStyle name="20% - Accent2 5 2 3 2" xfId="2516"/>
    <cellStyle name="20% - Accent2 5 2 4" xfId="2517"/>
    <cellStyle name="20% - Accent2 5 2 5" xfId="2518"/>
    <cellStyle name="20% - Accent2 5 3" xfId="2519"/>
    <cellStyle name="20% - Accent2 5 3 2" xfId="2520"/>
    <cellStyle name="20% - Accent2 5 3 2 2" xfId="2521"/>
    <cellStyle name="20% - Accent2 5 3 3" xfId="2522"/>
    <cellStyle name="20% - Accent2 5 4" xfId="2523"/>
    <cellStyle name="20% - Accent2 5 4 2" xfId="2524"/>
    <cellStyle name="20% - Accent2 5 5" xfId="2525"/>
    <cellStyle name="20% - Accent2 5 6" xfId="2526"/>
    <cellStyle name="20% - Accent2 6" xfId="134"/>
    <cellStyle name="20% - Accent2 6 2" xfId="2527"/>
    <cellStyle name="20% - Accent2 6 2 2" xfId="2528"/>
    <cellStyle name="20% - Accent2 6 2 2 2" xfId="2529"/>
    <cellStyle name="20% - Accent2 6 2 3" xfId="2530"/>
    <cellStyle name="20% - Accent2 6 2 4" xfId="2531"/>
    <cellStyle name="20% - Accent2 6 2 5" xfId="2532"/>
    <cellStyle name="20% - Accent2 6 3" xfId="2533"/>
    <cellStyle name="20% - Accent2 6 3 2" xfId="2534"/>
    <cellStyle name="20% - Accent2 6 4" xfId="2535"/>
    <cellStyle name="20% - Accent2 6 5" xfId="2536"/>
    <cellStyle name="20% - Accent2 7" xfId="135"/>
    <cellStyle name="20% - Accent2 7 2" xfId="2537"/>
    <cellStyle name="20% - Accent2 7 2 2" xfId="2538"/>
    <cellStyle name="20% - Accent2 7 2 2 2" xfId="2539"/>
    <cellStyle name="20% - Accent2 7 2 3" xfId="2540"/>
    <cellStyle name="20% - Accent2 7 3" xfId="2541"/>
    <cellStyle name="20% - Accent2 7 3 2" xfId="2542"/>
    <cellStyle name="20% - Accent2 7 4" xfId="2543"/>
    <cellStyle name="20% - Accent2 7 5" xfId="2544"/>
    <cellStyle name="20% - Accent2 8" xfId="136"/>
    <cellStyle name="20% - Accent2 8 2" xfId="2545"/>
    <cellStyle name="20% - Accent2 8 2 2" xfId="2546"/>
    <cellStyle name="20% - Accent2 8 2 2 2" xfId="2547"/>
    <cellStyle name="20% - Accent2 8 2 3" xfId="2548"/>
    <cellStyle name="20% - Accent2 8 3" xfId="2549"/>
    <cellStyle name="20% - Accent2 8 3 2" xfId="2550"/>
    <cellStyle name="20% - Accent2 8 4" xfId="2551"/>
    <cellStyle name="20% - Accent2 8 5" xfId="2552"/>
    <cellStyle name="20% - Accent2 9" xfId="137"/>
    <cellStyle name="20% - Accent2 9 2" xfId="2553"/>
    <cellStyle name="20% - Accent2 9 2 2" xfId="2554"/>
    <cellStyle name="20% - Accent2 9 3" xfId="2555"/>
    <cellStyle name="20% - Accent2 9 4" xfId="2556"/>
    <cellStyle name="20% - Accent3 10" xfId="138"/>
    <cellStyle name="20% - Accent3 10 2" xfId="2557"/>
    <cellStyle name="20% - Accent3 10 2 2" xfId="2558"/>
    <cellStyle name="20% - Accent3 10 3" xfId="2559"/>
    <cellStyle name="20% - Accent3 10 4" xfId="2560"/>
    <cellStyle name="20% - Accent3 11" xfId="139"/>
    <cellStyle name="20% - Accent3 11 2" xfId="2561"/>
    <cellStyle name="20% - Accent3 11 2 2" xfId="2562"/>
    <cellStyle name="20% - Accent3 11 3" xfId="2563"/>
    <cellStyle name="20% - Accent3 11 4" xfId="2564"/>
    <cellStyle name="20% - Accent3 12" xfId="140"/>
    <cellStyle name="20% - Accent3 12 2" xfId="2565"/>
    <cellStyle name="20% - Accent3 12 3" xfId="2566"/>
    <cellStyle name="20% - Accent3 13" xfId="141"/>
    <cellStyle name="20% - Accent3 13 2" xfId="2567"/>
    <cellStyle name="20% - Accent3 14" xfId="142"/>
    <cellStyle name="20% - Accent3 15" xfId="143"/>
    <cellStyle name="20% - Accent3 15 2" xfId="144"/>
    <cellStyle name="20% - Accent3 15 3" xfId="145"/>
    <cellStyle name="20% - Accent3 15 4" xfId="146"/>
    <cellStyle name="20% - Accent3 15 5" xfId="147"/>
    <cellStyle name="20% - Accent3 16" xfId="148"/>
    <cellStyle name="20% - Accent3 16 2" xfId="149"/>
    <cellStyle name="20% - Accent3 16 3" xfId="150"/>
    <cellStyle name="20% - Accent3 16 4" xfId="151"/>
    <cellStyle name="20% - Accent3 16 5" xfId="152"/>
    <cellStyle name="20% - Accent3 17" xfId="153"/>
    <cellStyle name="20% - Accent3 17 2" xfId="154"/>
    <cellStyle name="20% - Accent3 17 3" xfId="155"/>
    <cellStyle name="20% - Accent3 17 4" xfId="156"/>
    <cellStyle name="20% - Accent3 17 5" xfId="157"/>
    <cellStyle name="20% - Accent3 18" xfId="158"/>
    <cellStyle name="20% - Accent3 19" xfId="159"/>
    <cellStyle name="20% - Accent3 2" xfId="160"/>
    <cellStyle name="20% - Accent3 2 2" xfId="161"/>
    <cellStyle name="20% - Accent3 2 2 2" xfId="162"/>
    <cellStyle name="20% - Accent3 2 2 2 2" xfId="163"/>
    <cellStyle name="20% - Accent3 2 2 2 2 2" xfId="2568"/>
    <cellStyle name="20% - Accent3 2 2 2 2 2 2" xfId="2569"/>
    <cellStyle name="20% - Accent3 2 2 2 2 2 2 2" xfId="2570"/>
    <cellStyle name="20% - Accent3 2 2 2 2 2 3" xfId="2571"/>
    <cellStyle name="20% - Accent3 2 2 2 2 3" xfId="2572"/>
    <cellStyle name="20% - Accent3 2 2 2 2 3 2" xfId="2573"/>
    <cellStyle name="20% - Accent3 2 2 2 2 4" xfId="2574"/>
    <cellStyle name="20% - Accent3 2 2 2 2 5" xfId="2575"/>
    <cellStyle name="20% - Accent3 2 2 2 3" xfId="164"/>
    <cellStyle name="20% - Accent3 2 2 2 3 2" xfId="2576"/>
    <cellStyle name="20% - Accent3 2 2 2 3 2 2" xfId="2577"/>
    <cellStyle name="20% - Accent3 2 2 2 3 3" xfId="2578"/>
    <cellStyle name="20% - Accent3 2 2 2 4" xfId="165"/>
    <cellStyle name="20% - Accent3 2 2 2 4 2" xfId="2579"/>
    <cellStyle name="20% - Accent3 2 2 2 5" xfId="166"/>
    <cellStyle name="20% - Accent3 2 2 2 6" xfId="2580"/>
    <cellStyle name="20% - Accent3 2 2 3" xfId="167"/>
    <cellStyle name="20% - Accent3 2 2 3 2" xfId="2581"/>
    <cellStyle name="20% - Accent3 2 2 3 2 2" xfId="2582"/>
    <cellStyle name="20% - Accent3 2 2 3 2 2 2" xfId="2583"/>
    <cellStyle name="20% - Accent3 2 2 3 2 3" xfId="2584"/>
    <cellStyle name="20% - Accent3 2 2 3 3" xfId="2585"/>
    <cellStyle name="20% - Accent3 2 2 3 3 2" xfId="2586"/>
    <cellStyle name="20% - Accent3 2 2 3 4" xfId="2587"/>
    <cellStyle name="20% - Accent3 2 2 3 5" xfId="2588"/>
    <cellStyle name="20% - Accent3 2 2 4" xfId="168"/>
    <cellStyle name="20% - Accent3 2 2 4 2" xfId="2589"/>
    <cellStyle name="20% - Accent3 2 2 4 2 2" xfId="2590"/>
    <cellStyle name="20% - Accent3 2 2 4 3" xfId="2591"/>
    <cellStyle name="20% - Accent3 2 2 5" xfId="169"/>
    <cellStyle name="20% - Accent3 2 2 5 2" xfId="2592"/>
    <cellStyle name="20% - Accent3 2 2 6" xfId="2593"/>
    <cellStyle name="20% - Accent3 2 2 7" xfId="2594"/>
    <cellStyle name="20% - Accent3 2 3" xfId="170"/>
    <cellStyle name="20% - Accent3 2 3 2" xfId="2595"/>
    <cellStyle name="20% - Accent3 2 3 2 2" xfId="2596"/>
    <cellStyle name="20% - Accent3 2 3 2 2 2" xfId="2597"/>
    <cellStyle name="20% - Accent3 2 3 2 2 2 2" xfId="2598"/>
    <cellStyle name="20% - Accent3 2 3 2 2 3" xfId="2599"/>
    <cellStyle name="20% - Accent3 2 3 2 3" xfId="2600"/>
    <cellStyle name="20% - Accent3 2 3 2 3 2" xfId="2601"/>
    <cellStyle name="20% - Accent3 2 3 2 4" xfId="2602"/>
    <cellStyle name="20% - Accent3 2 3 3" xfId="2603"/>
    <cellStyle name="20% - Accent3 2 3 3 2" xfId="2604"/>
    <cellStyle name="20% - Accent3 2 3 3 2 2" xfId="2605"/>
    <cellStyle name="20% - Accent3 2 3 3 3" xfId="2606"/>
    <cellStyle name="20% - Accent3 2 3 4" xfId="2607"/>
    <cellStyle name="20% - Accent3 2 3 4 2" xfId="2608"/>
    <cellStyle name="20% - Accent3 2 3 5" xfId="2609"/>
    <cellStyle name="20% - Accent3 2 3 6" xfId="2610"/>
    <cellStyle name="20% - Accent3 2 4" xfId="171"/>
    <cellStyle name="20% - Accent3 2 4 2" xfId="2611"/>
    <cellStyle name="20% - Accent3 2 4 2 2" xfId="2612"/>
    <cellStyle name="20% - Accent3 2 4 2 2 2" xfId="2613"/>
    <cellStyle name="20% - Accent3 2 4 2 3" xfId="2614"/>
    <cellStyle name="20% - Accent3 2 4 3" xfId="2615"/>
    <cellStyle name="20% - Accent3 2 4 3 2" xfId="2616"/>
    <cellStyle name="20% - Accent3 2 4 4" xfId="2617"/>
    <cellStyle name="20% - Accent3 2 4 5" xfId="2618"/>
    <cellStyle name="20% - Accent3 2 5" xfId="172"/>
    <cellStyle name="20% - Accent3 2 5 2" xfId="2619"/>
    <cellStyle name="20% - Accent3 2 5 2 2" xfId="2620"/>
    <cellStyle name="20% - Accent3 2 5 3" xfId="2621"/>
    <cellStyle name="20% - Accent3 2 5 4" xfId="2622"/>
    <cellStyle name="20% - Accent3 2 6" xfId="173"/>
    <cellStyle name="20% - Accent3 2 6 2" xfId="2623"/>
    <cellStyle name="20% - Accent3 2 6 3" xfId="2624"/>
    <cellStyle name="20% - Accent3 2 7" xfId="174"/>
    <cellStyle name="20% - Accent3 2 8" xfId="175"/>
    <cellStyle name="20% - Accent3 2 9" xfId="176"/>
    <cellStyle name="20% - Accent3 20" xfId="177"/>
    <cellStyle name="20% - Accent3 21" xfId="178"/>
    <cellStyle name="20% - Accent3 22" xfId="179"/>
    <cellStyle name="20% - Accent3 23" xfId="180"/>
    <cellStyle name="20% - Accent3 24" xfId="181"/>
    <cellStyle name="20% - Accent3 25" xfId="182"/>
    <cellStyle name="20% - Accent3 26" xfId="183"/>
    <cellStyle name="20% - Accent3 27" xfId="184"/>
    <cellStyle name="20% - Accent3 28" xfId="185"/>
    <cellStyle name="20% - Accent3 29" xfId="186"/>
    <cellStyle name="20% - Accent3 3" xfId="187"/>
    <cellStyle name="20% - Accent3 3 2" xfId="2625"/>
    <cellStyle name="20% - Accent3 3 2 2" xfId="2626"/>
    <cellStyle name="20% - Accent3 3 2 2 2" xfId="2627"/>
    <cellStyle name="20% - Accent3 3 2 2 2 2" xfId="2628"/>
    <cellStyle name="20% - Accent3 3 2 2 2 2 2" xfId="2629"/>
    <cellStyle name="20% - Accent3 3 2 2 2 2 2 2" xfId="2630"/>
    <cellStyle name="20% - Accent3 3 2 2 2 2 3" xfId="2631"/>
    <cellStyle name="20% - Accent3 3 2 2 2 3" xfId="2632"/>
    <cellStyle name="20% - Accent3 3 2 2 2 3 2" xfId="2633"/>
    <cellStyle name="20% - Accent3 3 2 2 2 4" xfId="2634"/>
    <cellStyle name="20% - Accent3 3 2 2 3" xfId="2635"/>
    <cellStyle name="20% - Accent3 3 2 2 3 2" xfId="2636"/>
    <cellStyle name="20% - Accent3 3 2 2 3 2 2" xfId="2637"/>
    <cellStyle name="20% - Accent3 3 2 2 3 3" xfId="2638"/>
    <cellStyle name="20% - Accent3 3 2 2 4" xfId="2639"/>
    <cellStyle name="20% - Accent3 3 2 2 4 2" xfId="2640"/>
    <cellStyle name="20% - Accent3 3 2 2 5" xfId="2641"/>
    <cellStyle name="20% - Accent3 3 2 2 6" xfId="2642"/>
    <cellStyle name="20% - Accent3 3 2 3" xfId="2643"/>
    <cellStyle name="20% - Accent3 3 2 3 2" xfId="2644"/>
    <cellStyle name="20% - Accent3 3 2 3 2 2" xfId="2645"/>
    <cellStyle name="20% - Accent3 3 2 3 2 2 2" xfId="2646"/>
    <cellStyle name="20% - Accent3 3 2 3 2 3" xfId="2647"/>
    <cellStyle name="20% - Accent3 3 2 3 3" xfId="2648"/>
    <cellStyle name="20% - Accent3 3 2 3 3 2" xfId="2649"/>
    <cellStyle name="20% - Accent3 3 2 3 4" xfId="2650"/>
    <cellStyle name="20% - Accent3 3 2 4" xfId="2651"/>
    <cellStyle name="20% - Accent3 3 2 4 2" xfId="2652"/>
    <cellStyle name="20% - Accent3 3 2 4 2 2" xfId="2653"/>
    <cellStyle name="20% - Accent3 3 2 4 3" xfId="2654"/>
    <cellStyle name="20% - Accent3 3 2 5" xfId="2655"/>
    <cellStyle name="20% - Accent3 3 2 5 2" xfId="2656"/>
    <cellStyle name="20% - Accent3 3 2 6" xfId="2657"/>
    <cellStyle name="20% - Accent3 3 2 7" xfId="2658"/>
    <cellStyle name="20% - Accent3 3 3" xfId="2659"/>
    <cellStyle name="20% - Accent3 3 3 2" xfId="2660"/>
    <cellStyle name="20% - Accent3 3 3 2 2" xfId="2661"/>
    <cellStyle name="20% - Accent3 3 3 2 2 2" xfId="2662"/>
    <cellStyle name="20% - Accent3 3 3 2 2 2 2" xfId="2663"/>
    <cellStyle name="20% - Accent3 3 3 2 2 3" xfId="2664"/>
    <cellStyle name="20% - Accent3 3 3 2 3" xfId="2665"/>
    <cellStyle name="20% - Accent3 3 3 2 3 2" xfId="2666"/>
    <cellStyle name="20% - Accent3 3 3 2 4" xfId="2667"/>
    <cellStyle name="20% - Accent3 3 3 3" xfId="2668"/>
    <cellStyle name="20% - Accent3 3 3 3 2" xfId="2669"/>
    <cellStyle name="20% - Accent3 3 3 3 2 2" xfId="2670"/>
    <cellStyle name="20% - Accent3 3 3 3 3" xfId="2671"/>
    <cellStyle name="20% - Accent3 3 3 4" xfId="2672"/>
    <cellStyle name="20% - Accent3 3 3 4 2" xfId="2673"/>
    <cellStyle name="20% - Accent3 3 3 5" xfId="2674"/>
    <cellStyle name="20% - Accent3 3 3 6" xfId="2675"/>
    <cellStyle name="20% - Accent3 3 4" xfId="2676"/>
    <cellStyle name="20% - Accent3 3 4 2" xfId="2677"/>
    <cellStyle name="20% - Accent3 3 4 2 2" xfId="2678"/>
    <cellStyle name="20% - Accent3 3 4 2 2 2" xfId="2679"/>
    <cellStyle name="20% - Accent3 3 4 2 3" xfId="2680"/>
    <cellStyle name="20% - Accent3 3 4 3" xfId="2681"/>
    <cellStyle name="20% - Accent3 3 4 3 2" xfId="2682"/>
    <cellStyle name="20% - Accent3 3 4 4" xfId="2683"/>
    <cellStyle name="20% - Accent3 3 4 5" xfId="2684"/>
    <cellStyle name="20% - Accent3 3 5" xfId="2685"/>
    <cellStyle name="20% - Accent3 3 5 2" xfId="2686"/>
    <cellStyle name="20% - Accent3 3 5 2 2" xfId="2687"/>
    <cellStyle name="20% - Accent3 3 5 3" xfId="2688"/>
    <cellStyle name="20% - Accent3 3 6" xfId="2689"/>
    <cellStyle name="20% - Accent3 3 6 2" xfId="2690"/>
    <cellStyle name="20% - Accent3 3 7" xfId="2691"/>
    <cellStyle name="20% - Accent3 3 8" xfId="2692"/>
    <cellStyle name="20% - Accent3 3 9" xfId="2693"/>
    <cellStyle name="20% - Accent3 30" xfId="188"/>
    <cellStyle name="20% - Accent3 31" xfId="189"/>
    <cellStyle name="20% - Accent3 32" xfId="190"/>
    <cellStyle name="20% - Accent3 33" xfId="191"/>
    <cellStyle name="20% - Accent3 34" xfId="192"/>
    <cellStyle name="20% - Accent3 35" xfId="193"/>
    <cellStyle name="20% - Accent3 4" xfId="194"/>
    <cellStyle name="20% - Accent3 4 2" xfId="2694"/>
    <cellStyle name="20% - Accent3 4 2 2" xfId="2695"/>
    <cellStyle name="20% - Accent3 4 2 2 2" xfId="2696"/>
    <cellStyle name="20% - Accent3 4 2 2 2 2" xfId="2697"/>
    <cellStyle name="20% - Accent3 4 2 2 2 2 2" xfId="2698"/>
    <cellStyle name="20% - Accent3 4 2 2 2 3" xfId="2699"/>
    <cellStyle name="20% - Accent3 4 2 2 3" xfId="2700"/>
    <cellStyle name="20% - Accent3 4 2 2 3 2" xfId="2701"/>
    <cellStyle name="20% - Accent3 4 2 2 4" xfId="2702"/>
    <cellStyle name="20% - Accent3 4 2 3" xfId="2703"/>
    <cellStyle name="20% - Accent3 4 2 3 2" xfId="2704"/>
    <cellStyle name="20% - Accent3 4 2 3 2 2" xfId="2705"/>
    <cellStyle name="20% - Accent3 4 2 3 3" xfId="2706"/>
    <cellStyle name="20% - Accent3 4 2 4" xfId="2707"/>
    <cellStyle name="20% - Accent3 4 2 4 2" xfId="2708"/>
    <cellStyle name="20% - Accent3 4 2 5" xfId="2709"/>
    <cellStyle name="20% - Accent3 4 2 6" xfId="2710"/>
    <cellStyle name="20% - Accent3 4 3" xfId="2711"/>
    <cellStyle name="20% - Accent3 4 3 2" xfId="2712"/>
    <cellStyle name="20% - Accent3 4 3 2 2" xfId="2713"/>
    <cellStyle name="20% - Accent3 4 3 2 2 2" xfId="2714"/>
    <cellStyle name="20% - Accent3 4 3 2 3" xfId="2715"/>
    <cellStyle name="20% - Accent3 4 3 3" xfId="2716"/>
    <cellStyle name="20% - Accent3 4 3 3 2" xfId="2717"/>
    <cellStyle name="20% - Accent3 4 3 4" xfId="2718"/>
    <cellStyle name="20% - Accent3 4 3 5" xfId="2719"/>
    <cellStyle name="20% - Accent3 4 4" xfId="2720"/>
    <cellStyle name="20% - Accent3 4 4 2" xfId="2721"/>
    <cellStyle name="20% - Accent3 4 4 2 2" xfId="2722"/>
    <cellStyle name="20% - Accent3 4 4 3" xfId="2723"/>
    <cellStyle name="20% - Accent3 4 5" xfId="2724"/>
    <cellStyle name="20% - Accent3 4 5 2" xfId="2725"/>
    <cellStyle name="20% - Accent3 4 6" xfId="2726"/>
    <cellStyle name="20% - Accent3 4 7" xfId="2727"/>
    <cellStyle name="20% - Accent3 5" xfId="195"/>
    <cellStyle name="20% - Accent3 5 2" xfId="2728"/>
    <cellStyle name="20% - Accent3 5 2 2" xfId="2729"/>
    <cellStyle name="20% - Accent3 5 2 2 2" xfId="2730"/>
    <cellStyle name="20% - Accent3 5 2 2 2 2" xfId="2731"/>
    <cellStyle name="20% - Accent3 5 2 2 3" xfId="2732"/>
    <cellStyle name="20% - Accent3 5 2 3" xfId="2733"/>
    <cellStyle name="20% - Accent3 5 2 3 2" xfId="2734"/>
    <cellStyle name="20% - Accent3 5 2 4" xfId="2735"/>
    <cellStyle name="20% - Accent3 5 2 5" xfId="2736"/>
    <cellStyle name="20% - Accent3 5 3" xfId="2737"/>
    <cellStyle name="20% - Accent3 5 3 2" xfId="2738"/>
    <cellStyle name="20% - Accent3 5 3 2 2" xfId="2739"/>
    <cellStyle name="20% - Accent3 5 3 3" xfId="2740"/>
    <cellStyle name="20% - Accent3 5 4" xfId="2741"/>
    <cellStyle name="20% - Accent3 5 4 2" xfId="2742"/>
    <cellStyle name="20% - Accent3 5 5" xfId="2743"/>
    <cellStyle name="20% - Accent3 5 6" xfId="2744"/>
    <cellStyle name="20% - Accent3 6" xfId="196"/>
    <cellStyle name="20% - Accent3 6 2" xfId="2745"/>
    <cellStyle name="20% - Accent3 6 2 2" xfId="2746"/>
    <cellStyle name="20% - Accent3 6 2 2 2" xfId="2747"/>
    <cellStyle name="20% - Accent3 6 2 3" xfId="2748"/>
    <cellStyle name="20% - Accent3 6 2 4" xfId="2749"/>
    <cellStyle name="20% - Accent3 6 2 5" xfId="2750"/>
    <cellStyle name="20% - Accent3 6 3" xfId="2751"/>
    <cellStyle name="20% - Accent3 6 3 2" xfId="2752"/>
    <cellStyle name="20% - Accent3 6 4" xfId="2753"/>
    <cellStyle name="20% - Accent3 6 5" xfId="2754"/>
    <cellStyle name="20% - Accent3 7" xfId="197"/>
    <cellStyle name="20% - Accent3 7 2" xfId="2755"/>
    <cellStyle name="20% - Accent3 7 2 2" xfId="2756"/>
    <cellStyle name="20% - Accent3 7 2 2 2" xfId="2757"/>
    <cellStyle name="20% - Accent3 7 2 3" xfId="2758"/>
    <cellStyle name="20% - Accent3 7 3" xfId="2759"/>
    <cellStyle name="20% - Accent3 7 3 2" xfId="2760"/>
    <cellStyle name="20% - Accent3 7 4" xfId="2761"/>
    <cellStyle name="20% - Accent3 7 5" xfId="2762"/>
    <cellStyle name="20% - Accent3 8" xfId="198"/>
    <cellStyle name="20% - Accent3 8 2" xfId="2763"/>
    <cellStyle name="20% - Accent3 8 2 2" xfId="2764"/>
    <cellStyle name="20% - Accent3 8 2 2 2" xfId="2765"/>
    <cellStyle name="20% - Accent3 8 2 3" xfId="2766"/>
    <cellStyle name="20% - Accent3 8 3" xfId="2767"/>
    <cellStyle name="20% - Accent3 8 3 2" xfId="2768"/>
    <cellStyle name="20% - Accent3 8 4" xfId="2769"/>
    <cellStyle name="20% - Accent3 8 5" xfId="2770"/>
    <cellStyle name="20% - Accent3 9" xfId="199"/>
    <cellStyle name="20% - Accent3 9 2" xfId="2771"/>
    <cellStyle name="20% - Accent3 9 2 2" xfId="2772"/>
    <cellStyle name="20% - Accent3 9 3" xfId="2773"/>
    <cellStyle name="20% - Accent3 9 4" xfId="2774"/>
    <cellStyle name="20% - Accent4 10" xfId="200"/>
    <cellStyle name="20% - Accent4 10 2" xfId="2775"/>
    <cellStyle name="20% - Accent4 10 2 2" xfId="2776"/>
    <cellStyle name="20% - Accent4 10 3" xfId="2777"/>
    <cellStyle name="20% - Accent4 10 4" xfId="2778"/>
    <cellStyle name="20% - Accent4 11" xfId="201"/>
    <cellStyle name="20% - Accent4 11 2" xfId="2779"/>
    <cellStyle name="20% - Accent4 11 2 2" xfId="2780"/>
    <cellStyle name="20% - Accent4 11 3" xfId="2781"/>
    <cellStyle name="20% - Accent4 11 4" xfId="2782"/>
    <cellStyle name="20% - Accent4 12" xfId="202"/>
    <cellStyle name="20% - Accent4 12 2" xfId="2783"/>
    <cellStyle name="20% - Accent4 12 2 2" xfId="2784"/>
    <cellStyle name="20% - Accent4 12 3" xfId="2785"/>
    <cellStyle name="20% - Accent4 12 4" xfId="2786"/>
    <cellStyle name="20% - Accent4 13" xfId="203"/>
    <cellStyle name="20% - Accent4 13 2" xfId="2787"/>
    <cellStyle name="20% - Accent4 13 3" xfId="2788"/>
    <cellStyle name="20% - Accent4 14" xfId="204"/>
    <cellStyle name="20% - Accent4 14 2" xfId="2789"/>
    <cellStyle name="20% - Accent4 15" xfId="205"/>
    <cellStyle name="20% - Accent4 15 2" xfId="206"/>
    <cellStyle name="20% - Accent4 15 3" xfId="207"/>
    <cellStyle name="20% - Accent4 15 4" xfId="208"/>
    <cellStyle name="20% - Accent4 15 5" xfId="209"/>
    <cellStyle name="20% - Accent4 16" xfId="210"/>
    <cellStyle name="20% - Accent4 16 2" xfId="211"/>
    <cellStyle name="20% - Accent4 16 3" xfId="212"/>
    <cellStyle name="20% - Accent4 16 4" xfId="213"/>
    <cellStyle name="20% - Accent4 16 5" xfId="214"/>
    <cellStyle name="20% - Accent4 17" xfId="215"/>
    <cellStyle name="20% - Accent4 17 2" xfId="216"/>
    <cellStyle name="20% - Accent4 17 3" xfId="217"/>
    <cellStyle name="20% - Accent4 17 4" xfId="218"/>
    <cellStyle name="20% - Accent4 17 5" xfId="219"/>
    <cellStyle name="20% - Accent4 18" xfId="220"/>
    <cellStyle name="20% - Accent4 19" xfId="221"/>
    <cellStyle name="20% - Accent4 2" xfId="222"/>
    <cellStyle name="20% - Accent4 2 10" xfId="2790"/>
    <cellStyle name="20% - Accent4 2 11" xfId="2791"/>
    <cellStyle name="20% - Accent4 2 12" xfId="2792"/>
    <cellStyle name="20% - Accent4 2 13" xfId="2793"/>
    <cellStyle name="20% - Accent4 2 2" xfId="223"/>
    <cellStyle name="20% - Accent4 2 2 10" xfId="2794"/>
    <cellStyle name="20% - Accent4 2 2 2" xfId="224"/>
    <cellStyle name="20% - Accent4 2 2 2 2" xfId="225"/>
    <cellStyle name="20% - Accent4 2 2 2 2 2" xfId="2795"/>
    <cellStyle name="20% - Accent4 2 2 2 2 2 2" xfId="2796"/>
    <cellStyle name="20% - Accent4 2 2 2 2 2 2 2" xfId="2797"/>
    <cellStyle name="20% - Accent4 2 2 2 2 2 3" xfId="2798"/>
    <cellStyle name="20% - Accent4 2 2 2 2 3" xfId="2799"/>
    <cellStyle name="20% - Accent4 2 2 2 2 3 2" xfId="2800"/>
    <cellStyle name="20% - Accent4 2 2 2 2 4" xfId="2801"/>
    <cellStyle name="20% - Accent4 2 2 2 2 5" xfId="2802"/>
    <cellStyle name="20% - Accent4 2 2 2 2 6" xfId="2803"/>
    <cellStyle name="20% - Accent4 2 2 2 3" xfId="226"/>
    <cellStyle name="20% - Accent4 2 2 2 3 2" xfId="2804"/>
    <cellStyle name="20% - Accent4 2 2 2 3 2 2" xfId="2805"/>
    <cellStyle name="20% - Accent4 2 2 2 3 3" xfId="2806"/>
    <cellStyle name="20% - Accent4 2 2 2 4" xfId="227"/>
    <cellStyle name="20% - Accent4 2 2 2 4 2" xfId="2807"/>
    <cellStyle name="20% - Accent4 2 2 2 5" xfId="228"/>
    <cellStyle name="20% - Accent4 2 2 2 6" xfId="2808"/>
    <cellStyle name="20% - Accent4 2 2 2 7" xfId="2809"/>
    <cellStyle name="20% - Accent4 2 2 3" xfId="229"/>
    <cellStyle name="20% - Accent4 2 2 3 2" xfId="2810"/>
    <cellStyle name="20% - Accent4 2 2 3 2 2" xfId="2811"/>
    <cellStyle name="20% - Accent4 2 2 3 2 2 2" xfId="2812"/>
    <cellStyle name="20% - Accent4 2 2 3 2 3" xfId="2813"/>
    <cellStyle name="20% - Accent4 2 2 3 3" xfId="2814"/>
    <cellStyle name="20% - Accent4 2 2 3 3 2" xfId="2815"/>
    <cellStyle name="20% - Accent4 2 2 3 4" xfId="2816"/>
    <cellStyle name="20% - Accent4 2 2 3 5" xfId="2817"/>
    <cellStyle name="20% - Accent4 2 2 3 6" xfId="2818"/>
    <cellStyle name="20% - Accent4 2 2 4" xfId="230"/>
    <cellStyle name="20% - Accent4 2 2 4 2" xfId="2819"/>
    <cellStyle name="20% - Accent4 2 2 4 2 2" xfId="2820"/>
    <cellStyle name="20% - Accent4 2 2 4 3" xfId="2821"/>
    <cellStyle name="20% - Accent4 2 2 4 4" xfId="2822"/>
    <cellStyle name="20% - Accent4 2 2 5" xfId="231"/>
    <cellStyle name="20% - Accent4 2 2 5 2" xfId="2823"/>
    <cellStyle name="20% - Accent4 2 2 5 3" xfId="2824"/>
    <cellStyle name="20% - Accent4 2 2 6" xfId="2825"/>
    <cellStyle name="20% - Accent4 2 2 6 2" xfId="2826"/>
    <cellStyle name="20% - Accent4 2 2 7" xfId="2827"/>
    <cellStyle name="20% - Accent4 2 2 8" xfId="2828"/>
    <cellStyle name="20% - Accent4 2 2 9" xfId="2829"/>
    <cellStyle name="20% - Accent4 2 3" xfId="232"/>
    <cellStyle name="20% - Accent4 2 3 2" xfId="2830"/>
    <cellStyle name="20% - Accent4 2 3 2 2" xfId="2831"/>
    <cellStyle name="20% - Accent4 2 3 2 2 2" xfId="2832"/>
    <cellStyle name="20% - Accent4 2 3 2 2 2 2" xfId="2833"/>
    <cellStyle name="20% - Accent4 2 3 2 2 3" xfId="2834"/>
    <cellStyle name="20% - Accent4 2 3 2 2 4" xfId="2835"/>
    <cellStyle name="20% - Accent4 2 3 2 3" xfId="2836"/>
    <cellStyle name="20% - Accent4 2 3 2 3 2" xfId="2837"/>
    <cellStyle name="20% - Accent4 2 3 2 4" xfId="2838"/>
    <cellStyle name="20% - Accent4 2 3 2 5" xfId="2839"/>
    <cellStyle name="20% - Accent4 2 3 3" xfId="2840"/>
    <cellStyle name="20% - Accent4 2 3 3 2" xfId="2841"/>
    <cellStyle name="20% - Accent4 2 3 3 2 2" xfId="2842"/>
    <cellStyle name="20% - Accent4 2 3 3 3" xfId="2843"/>
    <cellStyle name="20% - Accent4 2 3 3 4" xfId="2844"/>
    <cellStyle name="20% - Accent4 2 3 4" xfId="2845"/>
    <cellStyle name="20% - Accent4 2 3 4 2" xfId="2846"/>
    <cellStyle name="20% - Accent4 2 3 5" xfId="2847"/>
    <cellStyle name="20% - Accent4 2 3 6" xfId="2848"/>
    <cellStyle name="20% - Accent4 2 3 7" xfId="2849"/>
    <cellStyle name="20% - Accent4 2 4" xfId="233"/>
    <cellStyle name="20% - Accent4 2 4 2" xfId="2850"/>
    <cellStyle name="20% - Accent4 2 4 2 2" xfId="2851"/>
    <cellStyle name="20% - Accent4 2 4 2 2 2" xfId="2852"/>
    <cellStyle name="20% - Accent4 2 4 2 2 2 2" xfId="2853"/>
    <cellStyle name="20% - Accent4 2 4 2 2 3" xfId="2854"/>
    <cellStyle name="20% - Accent4 2 4 2 2 4" xfId="2855"/>
    <cellStyle name="20% - Accent4 2 4 2 3" xfId="2856"/>
    <cellStyle name="20% - Accent4 2 4 2 3 2" xfId="2857"/>
    <cellStyle name="20% - Accent4 2 4 2 4" xfId="2858"/>
    <cellStyle name="20% - Accent4 2 4 2 5" xfId="2859"/>
    <cellStyle name="20% - Accent4 2 4 3" xfId="2860"/>
    <cellStyle name="20% - Accent4 2 4 3 2" xfId="2861"/>
    <cellStyle name="20% - Accent4 2 4 3 2 2" xfId="2862"/>
    <cellStyle name="20% - Accent4 2 4 3 3" xfId="2863"/>
    <cellStyle name="20% - Accent4 2 4 3 4" xfId="2864"/>
    <cellStyle name="20% - Accent4 2 4 4" xfId="2865"/>
    <cellStyle name="20% - Accent4 2 4 4 2" xfId="2866"/>
    <cellStyle name="20% - Accent4 2 4 5" xfId="2867"/>
    <cellStyle name="20% - Accent4 2 4 6" xfId="2868"/>
    <cellStyle name="20% - Accent4 2 4 7" xfId="2869"/>
    <cellStyle name="20% - Accent4 2 5" xfId="234"/>
    <cellStyle name="20% - Accent4 2 5 2" xfId="2870"/>
    <cellStyle name="20% - Accent4 2 5 2 2" xfId="2871"/>
    <cellStyle name="20% - Accent4 2 5 2 2 2" xfId="2872"/>
    <cellStyle name="20% - Accent4 2 5 2 3" xfId="2873"/>
    <cellStyle name="20% - Accent4 2 5 2 4" xfId="2874"/>
    <cellStyle name="20% - Accent4 2 5 3" xfId="2875"/>
    <cellStyle name="20% - Accent4 2 5 3 2" xfId="2876"/>
    <cellStyle name="20% - Accent4 2 5 4" xfId="2877"/>
    <cellStyle name="20% - Accent4 2 5 5" xfId="2878"/>
    <cellStyle name="20% - Accent4 2 5 6" xfId="2879"/>
    <cellStyle name="20% - Accent4 2 6" xfId="235"/>
    <cellStyle name="20% - Accent4 2 6 2" xfId="2880"/>
    <cellStyle name="20% - Accent4 2 6 2 2" xfId="2881"/>
    <cellStyle name="20% - Accent4 2 6 3" xfId="2882"/>
    <cellStyle name="20% - Accent4 2 6 4" xfId="2883"/>
    <cellStyle name="20% - Accent4 2 6 5" xfId="2884"/>
    <cellStyle name="20% - Accent4 2 7" xfId="236"/>
    <cellStyle name="20% - Accent4 2 7 2" xfId="2885"/>
    <cellStyle name="20% - Accent4 2 7 3" xfId="2886"/>
    <cellStyle name="20% - Accent4 2 7 4" xfId="2887"/>
    <cellStyle name="20% - Accent4 2 8" xfId="237"/>
    <cellStyle name="20% - Accent4 2 8 2" xfId="2888"/>
    <cellStyle name="20% - Accent4 2 8 3" xfId="2889"/>
    <cellStyle name="20% - Accent4 2 9" xfId="238"/>
    <cellStyle name="20% - Accent4 2 9 2" xfId="2890"/>
    <cellStyle name="20% - Accent4 20" xfId="239"/>
    <cellStyle name="20% - Accent4 21" xfId="240"/>
    <cellStyle name="20% - Accent4 22" xfId="241"/>
    <cellStyle name="20% - Accent4 23" xfId="242"/>
    <cellStyle name="20% - Accent4 24" xfId="243"/>
    <cellStyle name="20% - Accent4 25" xfId="244"/>
    <cellStyle name="20% - Accent4 26" xfId="245"/>
    <cellStyle name="20% - Accent4 27" xfId="246"/>
    <cellStyle name="20% - Accent4 28" xfId="247"/>
    <cellStyle name="20% - Accent4 29" xfId="248"/>
    <cellStyle name="20% - Accent4 3" xfId="249"/>
    <cellStyle name="20% - Accent4 3 2" xfId="2891"/>
    <cellStyle name="20% - Accent4 3 2 2" xfId="2892"/>
    <cellStyle name="20% - Accent4 3 2 2 2" xfId="2893"/>
    <cellStyle name="20% - Accent4 3 2 2 2 2" xfId="2894"/>
    <cellStyle name="20% - Accent4 3 2 2 2 2 2" xfId="2895"/>
    <cellStyle name="20% - Accent4 3 2 2 2 2 2 2" xfId="2896"/>
    <cellStyle name="20% - Accent4 3 2 2 2 2 3" xfId="2897"/>
    <cellStyle name="20% - Accent4 3 2 2 2 3" xfId="2898"/>
    <cellStyle name="20% - Accent4 3 2 2 2 3 2" xfId="2899"/>
    <cellStyle name="20% - Accent4 3 2 2 2 4" xfId="2900"/>
    <cellStyle name="20% - Accent4 3 2 2 2 5" xfId="2901"/>
    <cellStyle name="20% - Accent4 3 2 2 3" xfId="2902"/>
    <cellStyle name="20% - Accent4 3 2 2 3 2" xfId="2903"/>
    <cellStyle name="20% - Accent4 3 2 2 3 2 2" xfId="2904"/>
    <cellStyle name="20% - Accent4 3 2 2 3 3" xfId="2905"/>
    <cellStyle name="20% - Accent4 3 2 2 4" xfId="2906"/>
    <cellStyle name="20% - Accent4 3 2 2 4 2" xfId="2907"/>
    <cellStyle name="20% - Accent4 3 2 2 5" xfId="2908"/>
    <cellStyle name="20% - Accent4 3 2 2 6" xfId="2909"/>
    <cellStyle name="20% - Accent4 3 2 2 7" xfId="2910"/>
    <cellStyle name="20% - Accent4 3 2 3" xfId="2911"/>
    <cellStyle name="20% - Accent4 3 2 3 2" xfId="2912"/>
    <cellStyle name="20% - Accent4 3 2 3 2 2" xfId="2913"/>
    <cellStyle name="20% - Accent4 3 2 3 2 2 2" xfId="2914"/>
    <cellStyle name="20% - Accent4 3 2 3 2 3" xfId="2915"/>
    <cellStyle name="20% - Accent4 3 2 3 3" xfId="2916"/>
    <cellStyle name="20% - Accent4 3 2 3 3 2" xfId="2917"/>
    <cellStyle name="20% - Accent4 3 2 3 4" xfId="2918"/>
    <cellStyle name="20% - Accent4 3 2 3 5" xfId="2919"/>
    <cellStyle name="20% - Accent4 3 2 4" xfId="2920"/>
    <cellStyle name="20% - Accent4 3 2 4 2" xfId="2921"/>
    <cellStyle name="20% - Accent4 3 2 4 2 2" xfId="2922"/>
    <cellStyle name="20% - Accent4 3 2 4 3" xfId="2923"/>
    <cellStyle name="20% - Accent4 3 2 4 4" xfId="2924"/>
    <cellStyle name="20% - Accent4 3 2 5" xfId="2925"/>
    <cellStyle name="20% - Accent4 3 2 5 2" xfId="2926"/>
    <cellStyle name="20% - Accent4 3 2 6" xfId="2927"/>
    <cellStyle name="20% - Accent4 3 2 7" xfId="2928"/>
    <cellStyle name="20% - Accent4 3 2 8" xfId="2929"/>
    <cellStyle name="20% - Accent4 3 2 9" xfId="2930"/>
    <cellStyle name="20% - Accent4 3 3" xfId="2931"/>
    <cellStyle name="20% - Accent4 3 3 2" xfId="2932"/>
    <cellStyle name="20% - Accent4 3 3 2 2" xfId="2933"/>
    <cellStyle name="20% - Accent4 3 3 2 2 2" xfId="2934"/>
    <cellStyle name="20% - Accent4 3 3 2 2 2 2" xfId="2935"/>
    <cellStyle name="20% - Accent4 3 3 2 2 3" xfId="2936"/>
    <cellStyle name="20% - Accent4 3 3 2 2 4" xfId="2937"/>
    <cellStyle name="20% - Accent4 3 3 2 3" xfId="2938"/>
    <cellStyle name="20% - Accent4 3 3 2 3 2" xfId="2939"/>
    <cellStyle name="20% - Accent4 3 3 2 4" xfId="2940"/>
    <cellStyle name="20% - Accent4 3 3 2 5" xfId="2941"/>
    <cellStyle name="20% - Accent4 3 3 3" xfId="2942"/>
    <cellStyle name="20% - Accent4 3 3 3 2" xfId="2943"/>
    <cellStyle name="20% - Accent4 3 3 3 2 2" xfId="2944"/>
    <cellStyle name="20% - Accent4 3 3 3 3" xfId="2945"/>
    <cellStyle name="20% - Accent4 3 3 3 4" xfId="2946"/>
    <cellStyle name="20% - Accent4 3 3 4" xfId="2947"/>
    <cellStyle name="20% - Accent4 3 3 4 2" xfId="2948"/>
    <cellStyle name="20% - Accent4 3 3 4 3" xfId="2949"/>
    <cellStyle name="20% - Accent4 3 3 4 4" xfId="2950"/>
    <cellStyle name="20% - Accent4 3 3 5" xfId="2951"/>
    <cellStyle name="20% - Accent4 3 3 5 2" xfId="2952"/>
    <cellStyle name="20% - Accent4 3 3 6" xfId="2953"/>
    <cellStyle name="20% - Accent4 3 3 7" xfId="2954"/>
    <cellStyle name="20% - Accent4 3 3 8" xfId="2955"/>
    <cellStyle name="20% - Accent4 3 3 9" xfId="2956"/>
    <cellStyle name="20% - Accent4 3 4" xfId="2957"/>
    <cellStyle name="20% - Accent4 3 4 2" xfId="2958"/>
    <cellStyle name="20% - Accent4 3 4 2 2" xfId="2959"/>
    <cellStyle name="20% - Accent4 3 4 2 2 2" xfId="2960"/>
    <cellStyle name="20% - Accent4 3 4 2 2 2 2" xfId="2961"/>
    <cellStyle name="20% - Accent4 3 4 2 2 3" xfId="2962"/>
    <cellStyle name="20% - Accent4 3 4 2 2 4" xfId="2963"/>
    <cellStyle name="20% - Accent4 3 4 2 3" xfId="2964"/>
    <cellStyle name="20% - Accent4 3 4 2 3 2" xfId="2965"/>
    <cellStyle name="20% - Accent4 3 4 2 4" xfId="2966"/>
    <cellStyle name="20% - Accent4 3 4 2 5" xfId="2967"/>
    <cellStyle name="20% - Accent4 3 4 3" xfId="2968"/>
    <cellStyle name="20% - Accent4 3 4 3 2" xfId="2969"/>
    <cellStyle name="20% - Accent4 3 4 3 2 2" xfId="2970"/>
    <cellStyle name="20% - Accent4 3 4 3 3" xfId="2971"/>
    <cellStyle name="20% - Accent4 3 4 3 4" xfId="2972"/>
    <cellStyle name="20% - Accent4 3 4 4" xfId="2973"/>
    <cellStyle name="20% - Accent4 3 4 4 2" xfId="2974"/>
    <cellStyle name="20% - Accent4 3 4 4 3" xfId="2975"/>
    <cellStyle name="20% - Accent4 3 4 4 4" xfId="2976"/>
    <cellStyle name="20% - Accent4 3 4 5" xfId="2977"/>
    <cellStyle name="20% - Accent4 3 4 5 2" xfId="2978"/>
    <cellStyle name="20% - Accent4 3 4 6" xfId="2979"/>
    <cellStyle name="20% - Accent4 3 4 7" xfId="2980"/>
    <cellStyle name="20% - Accent4 3 4 8" xfId="2981"/>
    <cellStyle name="20% - Accent4 3 4 9" xfId="2982"/>
    <cellStyle name="20% - Accent4 3 5" xfId="2983"/>
    <cellStyle name="20% - Accent4 3 5 2" xfId="2984"/>
    <cellStyle name="20% - Accent4 3 5 2 2" xfId="2985"/>
    <cellStyle name="20% - Accent4 3 5 2 2 2" xfId="2986"/>
    <cellStyle name="20% - Accent4 3 5 2 3" xfId="2987"/>
    <cellStyle name="20% - Accent4 3 5 2 4" xfId="2988"/>
    <cellStyle name="20% - Accent4 3 5 3" xfId="2989"/>
    <cellStyle name="20% - Accent4 3 5 3 2" xfId="2990"/>
    <cellStyle name="20% - Accent4 3 5 4" xfId="2991"/>
    <cellStyle name="20% - Accent4 3 5 5" xfId="2992"/>
    <cellStyle name="20% - Accent4 3 6" xfId="2993"/>
    <cellStyle name="20% - Accent4 3 6 2" xfId="2994"/>
    <cellStyle name="20% - Accent4 3 6 2 2" xfId="2995"/>
    <cellStyle name="20% - Accent4 3 6 3" xfId="2996"/>
    <cellStyle name="20% - Accent4 3 6 4" xfId="2997"/>
    <cellStyle name="20% - Accent4 3 7" xfId="2998"/>
    <cellStyle name="20% - Accent4 3 7 2" xfId="2999"/>
    <cellStyle name="20% - Accent4 3 7 3" xfId="3000"/>
    <cellStyle name="20% - Accent4 3 7 4" xfId="3001"/>
    <cellStyle name="20% - Accent4 3 8" xfId="3002"/>
    <cellStyle name="20% - Accent4 3 9" xfId="3003"/>
    <cellStyle name="20% - Accent4 30" xfId="250"/>
    <cellStyle name="20% - Accent4 31" xfId="251"/>
    <cellStyle name="20% - Accent4 32" xfId="252"/>
    <cellStyle name="20% - Accent4 33" xfId="253"/>
    <cellStyle name="20% - Accent4 34" xfId="254"/>
    <cellStyle name="20% - Accent4 35" xfId="255"/>
    <cellStyle name="20% - Accent4 4" xfId="256"/>
    <cellStyle name="20% - Accent4 4 2" xfId="3004"/>
    <cellStyle name="20% - Accent4 4 2 2" xfId="3005"/>
    <cellStyle name="20% - Accent4 4 2 2 2" xfId="3006"/>
    <cellStyle name="20% - Accent4 4 2 2 2 2" xfId="3007"/>
    <cellStyle name="20% - Accent4 4 2 2 2 2 2" xfId="3008"/>
    <cellStyle name="20% - Accent4 4 2 2 2 2 2 2" xfId="3009"/>
    <cellStyle name="20% - Accent4 4 2 2 2 2 3" xfId="3010"/>
    <cellStyle name="20% - Accent4 4 2 2 2 3" xfId="3011"/>
    <cellStyle name="20% - Accent4 4 2 2 2 3 2" xfId="3012"/>
    <cellStyle name="20% - Accent4 4 2 2 2 4" xfId="3013"/>
    <cellStyle name="20% - Accent4 4 2 2 2 5" xfId="3014"/>
    <cellStyle name="20% - Accent4 4 2 2 3" xfId="3015"/>
    <cellStyle name="20% - Accent4 4 2 2 3 2" xfId="3016"/>
    <cellStyle name="20% - Accent4 4 2 2 3 2 2" xfId="3017"/>
    <cellStyle name="20% - Accent4 4 2 2 3 3" xfId="3018"/>
    <cellStyle name="20% - Accent4 4 2 2 4" xfId="3019"/>
    <cellStyle name="20% - Accent4 4 2 2 4 2" xfId="3020"/>
    <cellStyle name="20% - Accent4 4 2 2 5" xfId="3021"/>
    <cellStyle name="20% - Accent4 4 2 2 6" xfId="3022"/>
    <cellStyle name="20% - Accent4 4 2 3" xfId="3023"/>
    <cellStyle name="20% - Accent4 4 2 3 2" xfId="3024"/>
    <cellStyle name="20% - Accent4 4 2 3 2 2" xfId="3025"/>
    <cellStyle name="20% - Accent4 4 2 3 2 2 2" xfId="3026"/>
    <cellStyle name="20% - Accent4 4 2 3 2 3" xfId="3027"/>
    <cellStyle name="20% - Accent4 4 2 3 3" xfId="3028"/>
    <cellStyle name="20% - Accent4 4 2 3 3 2" xfId="3029"/>
    <cellStyle name="20% - Accent4 4 2 3 4" xfId="3030"/>
    <cellStyle name="20% - Accent4 4 2 3 5" xfId="3031"/>
    <cellStyle name="20% - Accent4 4 2 4" xfId="3032"/>
    <cellStyle name="20% - Accent4 4 2 4 2" xfId="3033"/>
    <cellStyle name="20% - Accent4 4 2 4 2 2" xfId="3034"/>
    <cellStyle name="20% - Accent4 4 2 4 3" xfId="3035"/>
    <cellStyle name="20% - Accent4 4 2 4 4" xfId="3036"/>
    <cellStyle name="20% - Accent4 4 2 5" xfId="3037"/>
    <cellStyle name="20% - Accent4 4 2 5 2" xfId="3038"/>
    <cellStyle name="20% - Accent4 4 2 6" xfId="3039"/>
    <cellStyle name="20% - Accent4 4 2 7" xfId="3040"/>
    <cellStyle name="20% - Accent4 4 2 8" xfId="3041"/>
    <cellStyle name="20% - Accent4 4 2 9" xfId="3042"/>
    <cellStyle name="20% - Accent4 4 3" xfId="3043"/>
    <cellStyle name="20% - Accent4 4 3 2" xfId="3044"/>
    <cellStyle name="20% - Accent4 4 3 2 2" xfId="3045"/>
    <cellStyle name="20% - Accent4 4 3 2 2 2" xfId="3046"/>
    <cellStyle name="20% - Accent4 4 3 2 2 2 2" xfId="3047"/>
    <cellStyle name="20% - Accent4 4 3 2 2 3" xfId="3048"/>
    <cellStyle name="20% - Accent4 4 3 2 2 4" xfId="3049"/>
    <cellStyle name="20% - Accent4 4 3 2 3" xfId="3050"/>
    <cellStyle name="20% - Accent4 4 3 2 3 2" xfId="3051"/>
    <cellStyle name="20% - Accent4 4 3 2 4" xfId="3052"/>
    <cellStyle name="20% - Accent4 4 3 2 5" xfId="3053"/>
    <cellStyle name="20% - Accent4 4 3 3" xfId="3054"/>
    <cellStyle name="20% - Accent4 4 3 3 2" xfId="3055"/>
    <cellStyle name="20% - Accent4 4 3 3 2 2" xfId="3056"/>
    <cellStyle name="20% - Accent4 4 3 3 3" xfId="3057"/>
    <cellStyle name="20% - Accent4 4 3 3 4" xfId="3058"/>
    <cellStyle name="20% - Accent4 4 3 4" xfId="3059"/>
    <cellStyle name="20% - Accent4 4 3 4 2" xfId="3060"/>
    <cellStyle name="20% - Accent4 4 3 4 3" xfId="3061"/>
    <cellStyle name="20% - Accent4 4 3 4 4" xfId="3062"/>
    <cellStyle name="20% - Accent4 4 3 5" xfId="3063"/>
    <cellStyle name="20% - Accent4 4 3 5 2" xfId="3064"/>
    <cellStyle name="20% - Accent4 4 3 6" xfId="3065"/>
    <cellStyle name="20% - Accent4 4 3 7" xfId="3066"/>
    <cellStyle name="20% - Accent4 4 3 8" xfId="3067"/>
    <cellStyle name="20% - Accent4 4 3 9" xfId="3068"/>
    <cellStyle name="20% - Accent4 4 4" xfId="3069"/>
    <cellStyle name="20% - Accent4 4 4 2" xfId="3070"/>
    <cellStyle name="20% - Accent4 4 4 2 2" xfId="3071"/>
    <cellStyle name="20% - Accent4 4 4 2 2 2" xfId="3072"/>
    <cellStyle name="20% - Accent4 4 4 2 2 2 2" xfId="3073"/>
    <cellStyle name="20% - Accent4 4 4 2 2 3" xfId="3074"/>
    <cellStyle name="20% - Accent4 4 4 2 2 4" xfId="3075"/>
    <cellStyle name="20% - Accent4 4 4 2 3" xfId="3076"/>
    <cellStyle name="20% - Accent4 4 4 2 3 2" xfId="3077"/>
    <cellStyle name="20% - Accent4 4 4 2 4" xfId="3078"/>
    <cellStyle name="20% - Accent4 4 4 2 5" xfId="3079"/>
    <cellStyle name="20% - Accent4 4 4 3" xfId="3080"/>
    <cellStyle name="20% - Accent4 4 4 3 2" xfId="3081"/>
    <cellStyle name="20% - Accent4 4 4 3 2 2" xfId="3082"/>
    <cellStyle name="20% - Accent4 4 4 3 3" xfId="3083"/>
    <cellStyle name="20% - Accent4 4 4 3 4" xfId="3084"/>
    <cellStyle name="20% - Accent4 4 4 4" xfId="3085"/>
    <cellStyle name="20% - Accent4 4 4 4 2" xfId="3086"/>
    <cellStyle name="20% - Accent4 4 4 5" xfId="3087"/>
    <cellStyle name="20% - Accent4 4 4 6" xfId="3088"/>
    <cellStyle name="20% - Accent4 4 5" xfId="3089"/>
    <cellStyle name="20% - Accent4 4 5 2" xfId="3090"/>
    <cellStyle name="20% - Accent4 4 5 2 2" xfId="3091"/>
    <cellStyle name="20% - Accent4 4 5 2 2 2" xfId="3092"/>
    <cellStyle name="20% - Accent4 4 5 2 3" xfId="3093"/>
    <cellStyle name="20% - Accent4 4 5 2 4" xfId="3094"/>
    <cellStyle name="20% - Accent4 4 5 3" xfId="3095"/>
    <cellStyle name="20% - Accent4 4 5 3 2" xfId="3096"/>
    <cellStyle name="20% - Accent4 4 5 4" xfId="3097"/>
    <cellStyle name="20% - Accent4 4 5 5" xfId="3098"/>
    <cellStyle name="20% - Accent4 4 6" xfId="3099"/>
    <cellStyle name="20% - Accent4 4 6 2" xfId="3100"/>
    <cellStyle name="20% - Accent4 4 6 2 2" xfId="3101"/>
    <cellStyle name="20% - Accent4 4 6 3" xfId="3102"/>
    <cellStyle name="20% - Accent4 4 6 4" xfId="3103"/>
    <cellStyle name="20% - Accent4 4 7" xfId="3104"/>
    <cellStyle name="20% - Accent4 4 7 2" xfId="3105"/>
    <cellStyle name="20% - Accent4 4 7 3" xfId="3106"/>
    <cellStyle name="20% - Accent4 4 7 4" xfId="3107"/>
    <cellStyle name="20% - Accent4 4 8" xfId="3108"/>
    <cellStyle name="20% - Accent4 4 9" xfId="3109"/>
    <cellStyle name="20% - Accent4 5" xfId="257"/>
    <cellStyle name="20% - Accent4 5 2" xfId="3110"/>
    <cellStyle name="20% - Accent4 5 2 2" xfId="3111"/>
    <cellStyle name="20% - Accent4 5 2 2 2" xfId="3112"/>
    <cellStyle name="20% - Accent4 5 2 2 2 2" xfId="3113"/>
    <cellStyle name="20% - Accent4 5 2 2 2 2 2" xfId="3114"/>
    <cellStyle name="20% - Accent4 5 2 2 2 3" xfId="3115"/>
    <cellStyle name="20% - Accent4 5 2 2 3" xfId="3116"/>
    <cellStyle name="20% - Accent4 5 2 2 3 2" xfId="3117"/>
    <cellStyle name="20% - Accent4 5 2 2 4" xfId="3118"/>
    <cellStyle name="20% - Accent4 5 2 3" xfId="3119"/>
    <cellStyle name="20% - Accent4 5 2 3 2" xfId="3120"/>
    <cellStyle name="20% - Accent4 5 2 3 2 2" xfId="3121"/>
    <cellStyle name="20% - Accent4 5 2 3 3" xfId="3122"/>
    <cellStyle name="20% - Accent4 5 2 4" xfId="3123"/>
    <cellStyle name="20% - Accent4 5 2 4 2" xfId="3124"/>
    <cellStyle name="20% - Accent4 5 2 5" xfId="3125"/>
    <cellStyle name="20% - Accent4 5 2 6" xfId="3126"/>
    <cellStyle name="20% - Accent4 5 3" xfId="3127"/>
    <cellStyle name="20% - Accent4 5 3 2" xfId="3128"/>
    <cellStyle name="20% - Accent4 5 3 2 2" xfId="3129"/>
    <cellStyle name="20% - Accent4 5 3 2 2 2" xfId="3130"/>
    <cellStyle name="20% - Accent4 5 3 2 3" xfId="3131"/>
    <cellStyle name="20% - Accent4 5 3 3" xfId="3132"/>
    <cellStyle name="20% - Accent4 5 3 3 2" xfId="3133"/>
    <cellStyle name="20% - Accent4 5 3 4" xfId="3134"/>
    <cellStyle name="20% - Accent4 5 4" xfId="3135"/>
    <cellStyle name="20% - Accent4 5 4 2" xfId="3136"/>
    <cellStyle name="20% - Accent4 5 4 2 2" xfId="3137"/>
    <cellStyle name="20% - Accent4 5 4 3" xfId="3138"/>
    <cellStyle name="20% - Accent4 5 5" xfId="3139"/>
    <cellStyle name="20% - Accent4 5 5 2" xfId="3140"/>
    <cellStyle name="20% - Accent4 5 6" xfId="3141"/>
    <cellStyle name="20% - Accent4 5 7" xfId="3142"/>
    <cellStyle name="20% - Accent4 5 8" xfId="3143"/>
    <cellStyle name="20% - Accent4 6" xfId="258"/>
    <cellStyle name="20% - Accent4 6 2" xfId="3144"/>
    <cellStyle name="20% - Accent4 6 2 2" xfId="3145"/>
    <cellStyle name="20% - Accent4 6 2 2 2" xfId="3146"/>
    <cellStyle name="20% - Accent4 6 2 2 2 2" xfId="3147"/>
    <cellStyle name="20% - Accent4 6 2 2 3" xfId="3148"/>
    <cellStyle name="20% - Accent4 6 2 3" xfId="3149"/>
    <cellStyle name="20% - Accent4 6 2 3 2" xfId="3150"/>
    <cellStyle name="20% - Accent4 6 2 4" xfId="3151"/>
    <cellStyle name="20% - Accent4 6 2 5" xfId="3152"/>
    <cellStyle name="20% - Accent4 6 3" xfId="3153"/>
    <cellStyle name="20% - Accent4 6 3 2" xfId="3154"/>
    <cellStyle name="20% - Accent4 6 3 2 2" xfId="3155"/>
    <cellStyle name="20% - Accent4 6 3 3" xfId="3156"/>
    <cellStyle name="20% - Accent4 6 4" xfId="3157"/>
    <cellStyle name="20% - Accent4 6 4 2" xfId="3158"/>
    <cellStyle name="20% - Accent4 6 5" xfId="3159"/>
    <cellStyle name="20% - Accent4 6 6" xfId="3160"/>
    <cellStyle name="20% - Accent4 7" xfId="259"/>
    <cellStyle name="20% - Accent4 7 2" xfId="3161"/>
    <cellStyle name="20% - Accent4 7 2 2" xfId="3162"/>
    <cellStyle name="20% - Accent4 7 2 2 2" xfId="3163"/>
    <cellStyle name="20% - Accent4 7 2 3" xfId="3164"/>
    <cellStyle name="20% - Accent4 7 3" xfId="3165"/>
    <cellStyle name="20% - Accent4 7 3 2" xfId="3166"/>
    <cellStyle name="20% - Accent4 7 4" xfId="3167"/>
    <cellStyle name="20% - Accent4 7 5" xfId="3168"/>
    <cellStyle name="20% - Accent4 8" xfId="260"/>
    <cellStyle name="20% - Accent4 8 2" xfId="3169"/>
    <cellStyle name="20% - Accent4 8 2 2" xfId="3170"/>
    <cellStyle name="20% - Accent4 8 2 2 2" xfId="3171"/>
    <cellStyle name="20% - Accent4 8 2 3" xfId="3172"/>
    <cellStyle name="20% - Accent4 8 3" xfId="3173"/>
    <cellStyle name="20% - Accent4 8 3 2" xfId="3174"/>
    <cellStyle name="20% - Accent4 8 4" xfId="3175"/>
    <cellStyle name="20% - Accent4 8 5" xfId="3176"/>
    <cellStyle name="20% - Accent4 9" xfId="261"/>
    <cellStyle name="20% - Accent4 9 2" xfId="3177"/>
    <cellStyle name="20% - Accent4 9 2 2" xfId="3178"/>
    <cellStyle name="20% - Accent4 9 2 2 2" xfId="3179"/>
    <cellStyle name="20% - Accent4 9 2 3" xfId="3180"/>
    <cellStyle name="20% - Accent4 9 3" xfId="3181"/>
    <cellStyle name="20% - Accent4 9 3 2" xfId="3182"/>
    <cellStyle name="20% - Accent4 9 4" xfId="3183"/>
    <cellStyle name="20% - Accent4 9 5" xfId="3184"/>
    <cellStyle name="20% - Accent5 10" xfId="262"/>
    <cellStyle name="20% - Accent5 10 2" xfId="3185"/>
    <cellStyle name="20% - Accent5 10 2 2" xfId="3186"/>
    <cellStyle name="20% - Accent5 10 3" xfId="3187"/>
    <cellStyle name="20% - Accent5 10 4" xfId="3188"/>
    <cellStyle name="20% - Accent5 11" xfId="263"/>
    <cellStyle name="20% - Accent5 11 2" xfId="3189"/>
    <cellStyle name="20% - Accent5 11 2 2" xfId="3190"/>
    <cellStyle name="20% - Accent5 11 3" xfId="3191"/>
    <cellStyle name="20% - Accent5 11 4" xfId="3192"/>
    <cellStyle name="20% - Accent5 12" xfId="264"/>
    <cellStyle name="20% - Accent5 12 2" xfId="3193"/>
    <cellStyle name="20% - Accent5 12 3" xfId="3194"/>
    <cellStyle name="20% - Accent5 13" xfId="265"/>
    <cellStyle name="20% - Accent5 13 2" xfId="3195"/>
    <cellStyle name="20% - Accent5 14" xfId="266"/>
    <cellStyle name="20% - Accent5 15" xfId="267"/>
    <cellStyle name="20% - Accent5 15 2" xfId="268"/>
    <cellStyle name="20% - Accent5 15 3" xfId="269"/>
    <cellStyle name="20% - Accent5 15 4" xfId="270"/>
    <cellStyle name="20% - Accent5 15 5" xfId="271"/>
    <cellStyle name="20% - Accent5 16" xfId="272"/>
    <cellStyle name="20% - Accent5 16 2" xfId="273"/>
    <cellStyle name="20% - Accent5 16 3" xfId="274"/>
    <cellStyle name="20% - Accent5 16 4" xfId="275"/>
    <cellStyle name="20% - Accent5 16 5" xfId="276"/>
    <cellStyle name="20% - Accent5 17" xfId="277"/>
    <cellStyle name="20% - Accent5 17 2" xfId="278"/>
    <cellStyle name="20% - Accent5 17 3" xfId="279"/>
    <cellStyle name="20% - Accent5 17 4" xfId="280"/>
    <cellStyle name="20% - Accent5 17 5" xfId="281"/>
    <cellStyle name="20% - Accent5 18" xfId="282"/>
    <cellStyle name="20% - Accent5 19" xfId="283"/>
    <cellStyle name="20% - Accent5 2" xfId="284"/>
    <cellStyle name="20% - Accent5 2 2" xfId="285"/>
    <cellStyle name="20% - Accent5 2 2 2" xfId="286"/>
    <cellStyle name="20% - Accent5 2 2 2 2" xfId="287"/>
    <cellStyle name="20% - Accent5 2 2 2 2 2" xfId="3196"/>
    <cellStyle name="20% - Accent5 2 2 2 2 2 2" xfId="3197"/>
    <cellStyle name="20% - Accent5 2 2 2 2 2 2 2" xfId="3198"/>
    <cellStyle name="20% - Accent5 2 2 2 2 2 3" xfId="3199"/>
    <cellStyle name="20% - Accent5 2 2 2 2 3" xfId="3200"/>
    <cellStyle name="20% - Accent5 2 2 2 2 3 2" xfId="3201"/>
    <cellStyle name="20% - Accent5 2 2 2 2 4" xfId="3202"/>
    <cellStyle name="20% - Accent5 2 2 2 2 5" xfId="3203"/>
    <cellStyle name="20% - Accent5 2 2 2 3" xfId="288"/>
    <cellStyle name="20% - Accent5 2 2 2 3 2" xfId="3204"/>
    <cellStyle name="20% - Accent5 2 2 2 3 2 2" xfId="3205"/>
    <cellStyle name="20% - Accent5 2 2 2 3 3" xfId="3206"/>
    <cellStyle name="20% - Accent5 2 2 2 4" xfId="289"/>
    <cellStyle name="20% - Accent5 2 2 2 4 2" xfId="3207"/>
    <cellStyle name="20% - Accent5 2 2 2 5" xfId="290"/>
    <cellStyle name="20% - Accent5 2 2 2 6" xfId="3208"/>
    <cellStyle name="20% - Accent5 2 2 3" xfId="291"/>
    <cellStyle name="20% - Accent5 2 2 3 2" xfId="3209"/>
    <cellStyle name="20% - Accent5 2 2 3 2 2" xfId="3210"/>
    <cellStyle name="20% - Accent5 2 2 3 2 2 2" xfId="3211"/>
    <cellStyle name="20% - Accent5 2 2 3 2 3" xfId="3212"/>
    <cellStyle name="20% - Accent5 2 2 3 3" xfId="3213"/>
    <cellStyle name="20% - Accent5 2 2 3 3 2" xfId="3214"/>
    <cellStyle name="20% - Accent5 2 2 3 4" xfId="3215"/>
    <cellStyle name="20% - Accent5 2 2 3 5" xfId="3216"/>
    <cellStyle name="20% - Accent5 2 2 4" xfId="292"/>
    <cellStyle name="20% - Accent5 2 2 4 2" xfId="3217"/>
    <cellStyle name="20% - Accent5 2 2 4 2 2" xfId="3218"/>
    <cellStyle name="20% - Accent5 2 2 4 3" xfId="3219"/>
    <cellStyle name="20% - Accent5 2 2 5" xfId="293"/>
    <cellStyle name="20% - Accent5 2 2 5 2" xfId="3220"/>
    <cellStyle name="20% - Accent5 2 2 6" xfId="3221"/>
    <cellStyle name="20% - Accent5 2 2 7" xfId="3222"/>
    <cellStyle name="20% - Accent5 2 3" xfId="294"/>
    <cellStyle name="20% - Accent5 2 3 2" xfId="3223"/>
    <cellStyle name="20% - Accent5 2 3 2 2" xfId="3224"/>
    <cellStyle name="20% - Accent5 2 3 2 2 2" xfId="3225"/>
    <cellStyle name="20% - Accent5 2 3 2 2 2 2" xfId="3226"/>
    <cellStyle name="20% - Accent5 2 3 2 2 3" xfId="3227"/>
    <cellStyle name="20% - Accent5 2 3 2 3" xfId="3228"/>
    <cellStyle name="20% - Accent5 2 3 2 3 2" xfId="3229"/>
    <cellStyle name="20% - Accent5 2 3 2 4" xfId="3230"/>
    <cellStyle name="20% - Accent5 2 3 3" xfId="3231"/>
    <cellStyle name="20% - Accent5 2 3 3 2" xfId="3232"/>
    <cellStyle name="20% - Accent5 2 3 3 2 2" xfId="3233"/>
    <cellStyle name="20% - Accent5 2 3 3 3" xfId="3234"/>
    <cellStyle name="20% - Accent5 2 3 4" xfId="3235"/>
    <cellStyle name="20% - Accent5 2 3 4 2" xfId="3236"/>
    <cellStyle name="20% - Accent5 2 3 5" xfId="3237"/>
    <cellStyle name="20% - Accent5 2 3 6" xfId="3238"/>
    <cellStyle name="20% - Accent5 2 4" xfId="295"/>
    <cellStyle name="20% - Accent5 2 4 2" xfId="3239"/>
    <cellStyle name="20% - Accent5 2 4 2 2" xfId="3240"/>
    <cellStyle name="20% - Accent5 2 4 2 2 2" xfId="3241"/>
    <cellStyle name="20% - Accent5 2 4 2 3" xfId="3242"/>
    <cellStyle name="20% - Accent5 2 4 3" xfId="3243"/>
    <cellStyle name="20% - Accent5 2 4 3 2" xfId="3244"/>
    <cellStyle name="20% - Accent5 2 4 4" xfId="3245"/>
    <cellStyle name="20% - Accent5 2 4 5" xfId="3246"/>
    <cellStyle name="20% - Accent5 2 5" xfId="296"/>
    <cellStyle name="20% - Accent5 2 5 2" xfId="3247"/>
    <cellStyle name="20% - Accent5 2 5 2 2" xfId="3248"/>
    <cellStyle name="20% - Accent5 2 5 3" xfId="3249"/>
    <cellStyle name="20% - Accent5 2 5 4" xfId="3250"/>
    <cellStyle name="20% - Accent5 2 6" xfId="297"/>
    <cellStyle name="20% - Accent5 2 6 2" xfId="3251"/>
    <cellStyle name="20% - Accent5 2 6 3" xfId="3252"/>
    <cellStyle name="20% - Accent5 2 7" xfId="298"/>
    <cellStyle name="20% - Accent5 2 8" xfId="299"/>
    <cellStyle name="20% - Accent5 2 9" xfId="300"/>
    <cellStyle name="20% - Accent5 20" xfId="301"/>
    <cellStyle name="20% - Accent5 21" xfId="302"/>
    <cellStyle name="20% - Accent5 22" xfId="303"/>
    <cellStyle name="20% - Accent5 23" xfId="304"/>
    <cellStyle name="20% - Accent5 24" xfId="305"/>
    <cellStyle name="20% - Accent5 25" xfId="306"/>
    <cellStyle name="20% - Accent5 26" xfId="307"/>
    <cellStyle name="20% - Accent5 27" xfId="308"/>
    <cellStyle name="20% - Accent5 28" xfId="309"/>
    <cellStyle name="20% - Accent5 29" xfId="310"/>
    <cellStyle name="20% - Accent5 3" xfId="311"/>
    <cellStyle name="20% - Accent5 3 2" xfId="3253"/>
    <cellStyle name="20% - Accent5 3 2 2" xfId="3254"/>
    <cellStyle name="20% - Accent5 3 2 2 2" xfId="3255"/>
    <cellStyle name="20% - Accent5 3 2 2 2 2" xfId="3256"/>
    <cellStyle name="20% - Accent5 3 2 2 2 2 2" xfId="3257"/>
    <cellStyle name="20% - Accent5 3 2 2 2 2 2 2" xfId="3258"/>
    <cellStyle name="20% - Accent5 3 2 2 2 2 3" xfId="3259"/>
    <cellStyle name="20% - Accent5 3 2 2 2 3" xfId="3260"/>
    <cellStyle name="20% - Accent5 3 2 2 2 3 2" xfId="3261"/>
    <cellStyle name="20% - Accent5 3 2 2 2 4" xfId="3262"/>
    <cellStyle name="20% - Accent5 3 2 2 3" xfId="3263"/>
    <cellStyle name="20% - Accent5 3 2 2 3 2" xfId="3264"/>
    <cellStyle name="20% - Accent5 3 2 2 3 2 2" xfId="3265"/>
    <cellStyle name="20% - Accent5 3 2 2 3 3" xfId="3266"/>
    <cellStyle name="20% - Accent5 3 2 2 4" xfId="3267"/>
    <cellStyle name="20% - Accent5 3 2 2 4 2" xfId="3268"/>
    <cellStyle name="20% - Accent5 3 2 2 5" xfId="3269"/>
    <cellStyle name="20% - Accent5 3 2 2 6" xfId="3270"/>
    <cellStyle name="20% - Accent5 3 2 3" xfId="3271"/>
    <cellStyle name="20% - Accent5 3 2 3 2" xfId="3272"/>
    <cellStyle name="20% - Accent5 3 2 3 2 2" xfId="3273"/>
    <cellStyle name="20% - Accent5 3 2 3 2 2 2" xfId="3274"/>
    <cellStyle name="20% - Accent5 3 2 3 2 3" xfId="3275"/>
    <cellStyle name="20% - Accent5 3 2 3 3" xfId="3276"/>
    <cellStyle name="20% - Accent5 3 2 3 3 2" xfId="3277"/>
    <cellStyle name="20% - Accent5 3 2 3 4" xfId="3278"/>
    <cellStyle name="20% - Accent5 3 2 4" xfId="3279"/>
    <cellStyle name="20% - Accent5 3 2 4 2" xfId="3280"/>
    <cellStyle name="20% - Accent5 3 2 4 2 2" xfId="3281"/>
    <cellStyle name="20% - Accent5 3 2 4 3" xfId="3282"/>
    <cellStyle name="20% - Accent5 3 2 5" xfId="3283"/>
    <cellStyle name="20% - Accent5 3 2 5 2" xfId="3284"/>
    <cellStyle name="20% - Accent5 3 2 6" xfId="3285"/>
    <cellStyle name="20% - Accent5 3 2 7" xfId="3286"/>
    <cellStyle name="20% - Accent5 3 3" xfId="3287"/>
    <cellStyle name="20% - Accent5 3 3 2" xfId="3288"/>
    <cellStyle name="20% - Accent5 3 3 2 2" xfId="3289"/>
    <cellStyle name="20% - Accent5 3 3 2 2 2" xfId="3290"/>
    <cellStyle name="20% - Accent5 3 3 2 2 2 2" xfId="3291"/>
    <cellStyle name="20% - Accent5 3 3 2 2 3" xfId="3292"/>
    <cellStyle name="20% - Accent5 3 3 2 3" xfId="3293"/>
    <cellStyle name="20% - Accent5 3 3 2 3 2" xfId="3294"/>
    <cellStyle name="20% - Accent5 3 3 2 4" xfId="3295"/>
    <cellStyle name="20% - Accent5 3 3 3" xfId="3296"/>
    <cellStyle name="20% - Accent5 3 3 3 2" xfId="3297"/>
    <cellStyle name="20% - Accent5 3 3 3 2 2" xfId="3298"/>
    <cellStyle name="20% - Accent5 3 3 3 3" xfId="3299"/>
    <cellStyle name="20% - Accent5 3 3 4" xfId="3300"/>
    <cellStyle name="20% - Accent5 3 3 4 2" xfId="3301"/>
    <cellStyle name="20% - Accent5 3 3 5" xfId="3302"/>
    <cellStyle name="20% - Accent5 3 3 6" xfId="3303"/>
    <cellStyle name="20% - Accent5 3 4" xfId="3304"/>
    <cellStyle name="20% - Accent5 3 4 2" xfId="3305"/>
    <cellStyle name="20% - Accent5 3 4 2 2" xfId="3306"/>
    <cellStyle name="20% - Accent5 3 4 2 2 2" xfId="3307"/>
    <cellStyle name="20% - Accent5 3 4 2 3" xfId="3308"/>
    <cellStyle name="20% - Accent5 3 4 3" xfId="3309"/>
    <cellStyle name="20% - Accent5 3 4 3 2" xfId="3310"/>
    <cellStyle name="20% - Accent5 3 4 4" xfId="3311"/>
    <cellStyle name="20% - Accent5 3 4 5" xfId="3312"/>
    <cellStyle name="20% - Accent5 3 5" xfId="3313"/>
    <cellStyle name="20% - Accent5 3 5 2" xfId="3314"/>
    <cellStyle name="20% - Accent5 3 5 2 2" xfId="3315"/>
    <cellStyle name="20% - Accent5 3 5 3" xfId="3316"/>
    <cellStyle name="20% - Accent5 3 6" xfId="3317"/>
    <cellStyle name="20% - Accent5 3 6 2" xfId="3318"/>
    <cellStyle name="20% - Accent5 3 7" xfId="3319"/>
    <cellStyle name="20% - Accent5 3 8" xfId="3320"/>
    <cellStyle name="20% - Accent5 3 9" xfId="3321"/>
    <cellStyle name="20% - Accent5 30" xfId="312"/>
    <cellStyle name="20% - Accent5 31" xfId="313"/>
    <cellStyle name="20% - Accent5 32" xfId="314"/>
    <cellStyle name="20% - Accent5 33" xfId="315"/>
    <cellStyle name="20% - Accent5 34" xfId="316"/>
    <cellStyle name="20% - Accent5 35" xfId="317"/>
    <cellStyle name="20% - Accent5 4" xfId="318"/>
    <cellStyle name="20% - Accent5 4 2" xfId="3322"/>
    <cellStyle name="20% - Accent5 4 2 2" xfId="3323"/>
    <cellStyle name="20% - Accent5 4 2 2 2" xfId="3324"/>
    <cellStyle name="20% - Accent5 4 2 2 2 2" xfId="3325"/>
    <cellStyle name="20% - Accent5 4 2 2 2 2 2" xfId="3326"/>
    <cellStyle name="20% - Accent5 4 2 2 2 3" xfId="3327"/>
    <cellStyle name="20% - Accent5 4 2 2 3" xfId="3328"/>
    <cellStyle name="20% - Accent5 4 2 2 3 2" xfId="3329"/>
    <cellStyle name="20% - Accent5 4 2 2 4" xfId="3330"/>
    <cellStyle name="20% - Accent5 4 2 3" xfId="3331"/>
    <cellStyle name="20% - Accent5 4 2 3 2" xfId="3332"/>
    <cellStyle name="20% - Accent5 4 2 3 2 2" xfId="3333"/>
    <cellStyle name="20% - Accent5 4 2 3 3" xfId="3334"/>
    <cellStyle name="20% - Accent5 4 2 4" xfId="3335"/>
    <cellStyle name="20% - Accent5 4 2 4 2" xfId="3336"/>
    <cellStyle name="20% - Accent5 4 2 5" xfId="3337"/>
    <cellStyle name="20% - Accent5 4 2 6" xfId="3338"/>
    <cellStyle name="20% - Accent5 4 3" xfId="3339"/>
    <cellStyle name="20% - Accent5 4 3 2" xfId="3340"/>
    <cellStyle name="20% - Accent5 4 3 2 2" xfId="3341"/>
    <cellStyle name="20% - Accent5 4 3 2 2 2" xfId="3342"/>
    <cellStyle name="20% - Accent5 4 3 2 3" xfId="3343"/>
    <cellStyle name="20% - Accent5 4 3 3" xfId="3344"/>
    <cellStyle name="20% - Accent5 4 3 3 2" xfId="3345"/>
    <cellStyle name="20% - Accent5 4 3 4" xfId="3346"/>
    <cellStyle name="20% - Accent5 4 3 5" xfId="3347"/>
    <cellStyle name="20% - Accent5 4 4" xfId="3348"/>
    <cellStyle name="20% - Accent5 4 4 2" xfId="3349"/>
    <cellStyle name="20% - Accent5 4 4 2 2" xfId="3350"/>
    <cellStyle name="20% - Accent5 4 4 3" xfId="3351"/>
    <cellStyle name="20% - Accent5 4 5" xfId="3352"/>
    <cellStyle name="20% - Accent5 4 5 2" xfId="3353"/>
    <cellStyle name="20% - Accent5 4 6" xfId="3354"/>
    <cellStyle name="20% - Accent5 4 7" xfId="3355"/>
    <cellStyle name="20% - Accent5 5" xfId="319"/>
    <cellStyle name="20% - Accent5 5 2" xfId="3356"/>
    <cellStyle name="20% - Accent5 5 2 2" xfId="3357"/>
    <cellStyle name="20% - Accent5 5 2 2 2" xfId="3358"/>
    <cellStyle name="20% - Accent5 5 2 2 2 2" xfId="3359"/>
    <cellStyle name="20% - Accent5 5 2 2 3" xfId="3360"/>
    <cellStyle name="20% - Accent5 5 2 3" xfId="3361"/>
    <cellStyle name="20% - Accent5 5 2 3 2" xfId="3362"/>
    <cellStyle name="20% - Accent5 5 2 4" xfId="3363"/>
    <cellStyle name="20% - Accent5 5 2 5" xfId="3364"/>
    <cellStyle name="20% - Accent5 5 3" xfId="3365"/>
    <cellStyle name="20% - Accent5 5 3 2" xfId="3366"/>
    <cellStyle name="20% - Accent5 5 3 2 2" xfId="3367"/>
    <cellStyle name="20% - Accent5 5 3 3" xfId="3368"/>
    <cellStyle name="20% - Accent5 5 4" xfId="3369"/>
    <cellStyle name="20% - Accent5 5 4 2" xfId="3370"/>
    <cellStyle name="20% - Accent5 5 5" xfId="3371"/>
    <cellStyle name="20% - Accent5 5 6" xfId="3372"/>
    <cellStyle name="20% - Accent5 6" xfId="320"/>
    <cellStyle name="20% - Accent5 6 2" xfId="3373"/>
    <cellStyle name="20% - Accent5 6 2 2" xfId="3374"/>
    <cellStyle name="20% - Accent5 6 2 2 2" xfId="3375"/>
    <cellStyle name="20% - Accent5 6 2 3" xfId="3376"/>
    <cellStyle name="20% - Accent5 6 2 4" xfId="3377"/>
    <cellStyle name="20% - Accent5 6 2 5" xfId="3378"/>
    <cellStyle name="20% - Accent5 6 3" xfId="3379"/>
    <cellStyle name="20% - Accent5 6 3 2" xfId="3380"/>
    <cellStyle name="20% - Accent5 6 4" xfId="3381"/>
    <cellStyle name="20% - Accent5 6 5" xfId="3382"/>
    <cellStyle name="20% - Accent5 7" xfId="321"/>
    <cellStyle name="20% - Accent5 7 2" xfId="3383"/>
    <cellStyle name="20% - Accent5 7 2 2" xfId="3384"/>
    <cellStyle name="20% - Accent5 7 2 2 2" xfId="3385"/>
    <cellStyle name="20% - Accent5 7 2 3" xfId="3386"/>
    <cellStyle name="20% - Accent5 7 3" xfId="3387"/>
    <cellStyle name="20% - Accent5 7 3 2" xfId="3388"/>
    <cellStyle name="20% - Accent5 7 4" xfId="3389"/>
    <cellStyle name="20% - Accent5 7 5" xfId="3390"/>
    <cellStyle name="20% - Accent5 8" xfId="322"/>
    <cellStyle name="20% - Accent5 8 2" xfId="3391"/>
    <cellStyle name="20% - Accent5 8 2 2" xfId="3392"/>
    <cellStyle name="20% - Accent5 8 2 2 2" xfId="3393"/>
    <cellStyle name="20% - Accent5 8 2 3" xfId="3394"/>
    <cellStyle name="20% - Accent5 8 3" xfId="3395"/>
    <cellStyle name="20% - Accent5 8 3 2" xfId="3396"/>
    <cellStyle name="20% - Accent5 8 4" xfId="3397"/>
    <cellStyle name="20% - Accent5 8 5" xfId="3398"/>
    <cellStyle name="20% - Accent5 9" xfId="323"/>
    <cellStyle name="20% - Accent5 9 2" xfId="3399"/>
    <cellStyle name="20% - Accent5 9 2 2" xfId="3400"/>
    <cellStyle name="20% - Accent5 9 3" xfId="3401"/>
    <cellStyle name="20% - Accent5 9 4" xfId="3402"/>
    <cellStyle name="20% - Accent6 10" xfId="324"/>
    <cellStyle name="20% - Accent6 10 2" xfId="3403"/>
    <cellStyle name="20% - Accent6 10 2 2" xfId="3404"/>
    <cellStyle name="20% - Accent6 10 3" xfId="3405"/>
    <cellStyle name="20% - Accent6 10 4" xfId="3406"/>
    <cellStyle name="20% - Accent6 11" xfId="325"/>
    <cellStyle name="20% - Accent6 11 2" xfId="3407"/>
    <cellStyle name="20% - Accent6 11 2 2" xfId="3408"/>
    <cellStyle name="20% - Accent6 11 3" xfId="3409"/>
    <cellStyle name="20% - Accent6 11 4" xfId="3410"/>
    <cellStyle name="20% - Accent6 12" xfId="326"/>
    <cellStyle name="20% - Accent6 12 2" xfId="3411"/>
    <cellStyle name="20% - Accent6 12 3" xfId="3412"/>
    <cellStyle name="20% - Accent6 13" xfId="327"/>
    <cellStyle name="20% - Accent6 13 2" xfId="3413"/>
    <cellStyle name="20% - Accent6 14" xfId="328"/>
    <cellStyle name="20% - Accent6 15" xfId="329"/>
    <cellStyle name="20% - Accent6 15 2" xfId="330"/>
    <cellStyle name="20% - Accent6 15 3" xfId="331"/>
    <cellStyle name="20% - Accent6 15 4" xfId="332"/>
    <cellStyle name="20% - Accent6 15 5" xfId="333"/>
    <cellStyle name="20% - Accent6 16" xfId="334"/>
    <cellStyle name="20% - Accent6 16 2" xfId="335"/>
    <cellStyle name="20% - Accent6 16 3" xfId="336"/>
    <cellStyle name="20% - Accent6 16 4" xfId="337"/>
    <cellStyle name="20% - Accent6 16 5" xfId="338"/>
    <cellStyle name="20% - Accent6 17" xfId="339"/>
    <cellStyle name="20% - Accent6 17 2" xfId="340"/>
    <cellStyle name="20% - Accent6 17 3" xfId="341"/>
    <cellStyle name="20% - Accent6 17 4" xfId="342"/>
    <cellStyle name="20% - Accent6 17 5" xfId="343"/>
    <cellStyle name="20% - Accent6 18" xfId="344"/>
    <cellStyle name="20% - Accent6 19" xfId="345"/>
    <cellStyle name="20% - Accent6 2" xfId="346"/>
    <cellStyle name="20% - Accent6 2 2" xfId="347"/>
    <cellStyle name="20% - Accent6 2 2 2" xfId="348"/>
    <cellStyle name="20% - Accent6 2 2 2 2" xfId="349"/>
    <cellStyle name="20% - Accent6 2 2 2 2 2" xfId="3414"/>
    <cellStyle name="20% - Accent6 2 2 2 2 2 2" xfId="3415"/>
    <cellStyle name="20% - Accent6 2 2 2 2 2 2 2" xfId="3416"/>
    <cellStyle name="20% - Accent6 2 2 2 2 2 3" xfId="3417"/>
    <cellStyle name="20% - Accent6 2 2 2 2 3" xfId="3418"/>
    <cellStyle name="20% - Accent6 2 2 2 2 3 2" xfId="3419"/>
    <cellStyle name="20% - Accent6 2 2 2 2 4" xfId="3420"/>
    <cellStyle name="20% - Accent6 2 2 2 2 5" xfId="3421"/>
    <cellStyle name="20% - Accent6 2 2 2 3" xfId="350"/>
    <cellStyle name="20% - Accent6 2 2 2 3 2" xfId="3422"/>
    <cellStyle name="20% - Accent6 2 2 2 3 2 2" xfId="3423"/>
    <cellStyle name="20% - Accent6 2 2 2 3 3" xfId="3424"/>
    <cellStyle name="20% - Accent6 2 2 2 4" xfId="351"/>
    <cellStyle name="20% - Accent6 2 2 2 4 2" xfId="3425"/>
    <cellStyle name="20% - Accent6 2 2 2 5" xfId="352"/>
    <cellStyle name="20% - Accent6 2 2 2 6" xfId="3426"/>
    <cellStyle name="20% - Accent6 2 2 3" xfId="353"/>
    <cellStyle name="20% - Accent6 2 2 3 2" xfId="3427"/>
    <cellStyle name="20% - Accent6 2 2 3 2 2" xfId="3428"/>
    <cellStyle name="20% - Accent6 2 2 3 2 2 2" xfId="3429"/>
    <cellStyle name="20% - Accent6 2 2 3 2 3" xfId="3430"/>
    <cellStyle name="20% - Accent6 2 2 3 3" xfId="3431"/>
    <cellStyle name="20% - Accent6 2 2 3 3 2" xfId="3432"/>
    <cellStyle name="20% - Accent6 2 2 3 4" xfId="3433"/>
    <cellStyle name="20% - Accent6 2 2 3 5" xfId="3434"/>
    <cellStyle name="20% - Accent6 2 2 4" xfId="354"/>
    <cellStyle name="20% - Accent6 2 2 4 2" xfId="3435"/>
    <cellStyle name="20% - Accent6 2 2 4 2 2" xfId="3436"/>
    <cellStyle name="20% - Accent6 2 2 4 3" xfId="3437"/>
    <cellStyle name="20% - Accent6 2 2 5" xfId="355"/>
    <cellStyle name="20% - Accent6 2 2 5 2" xfId="3438"/>
    <cellStyle name="20% - Accent6 2 2 6" xfId="3439"/>
    <cellStyle name="20% - Accent6 2 2 7" xfId="3440"/>
    <cellStyle name="20% - Accent6 2 3" xfId="356"/>
    <cellStyle name="20% - Accent6 2 3 2" xfId="3441"/>
    <cellStyle name="20% - Accent6 2 3 2 2" xfId="3442"/>
    <cellStyle name="20% - Accent6 2 3 2 2 2" xfId="3443"/>
    <cellStyle name="20% - Accent6 2 3 2 2 2 2" xfId="3444"/>
    <cellStyle name="20% - Accent6 2 3 2 2 3" xfId="3445"/>
    <cellStyle name="20% - Accent6 2 3 2 3" xfId="3446"/>
    <cellStyle name="20% - Accent6 2 3 2 3 2" xfId="3447"/>
    <cellStyle name="20% - Accent6 2 3 2 4" xfId="3448"/>
    <cellStyle name="20% - Accent6 2 3 3" xfId="3449"/>
    <cellStyle name="20% - Accent6 2 3 3 2" xfId="3450"/>
    <cellStyle name="20% - Accent6 2 3 3 2 2" xfId="3451"/>
    <cellStyle name="20% - Accent6 2 3 3 3" xfId="3452"/>
    <cellStyle name="20% - Accent6 2 3 4" xfId="3453"/>
    <cellStyle name="20% - Accent6 2 3 4 2" xfId="3454"/>
    <cellStyle name="20% - Accent6 2 3 5" xfId="3455"/>
    <cellStyle name="20% - Accent6 2 3 6" xfId="3456"/>
    <cellStyle name="20% - Accent6 2 4" xfId="357"/>
    <cellStyle name="20% - Accent6 2 4 2" xfId="3457"/>
    <cellStyle name="20% - Accent6 2 4 2 2" xfId="3458"/>
    <cellStyle name="20% - Accent6 2 4 2 2 2" xfId="3459"/>
    <cellStyle name="20% - Accent6 2 4 2 3" xfId="3460"/>
    <cellStyle name="20% - Accent6 2 4 3" xfId="3461"/>
    <cellStyle name="20% - Accent6 2 4 3 2" xfId="3462"/>
    <cellStyle name="20% - Accent6 2 4 4" xfId="3463"/>
    <cellStyle name="20% - Accent6 2 4 5" xfId="3464"/>
    <cellStyle name="20% - Accent6 2 5" xfId="358"/>
    <cellStyle name="20% - Accent6 2 5 2" xfId="3465"/>
    <cellStyle name="20% - Accent6 2 5 2 2" xfId="3466"/>
    <cellStyle name="20% - Accent6 2 5 3" xfId="3467"/>
    <cellStyle name="20% - Accent6 2 5 4" xfId="3468"/>
    <cellStyle name="20% - Accent6 2 6" xfId="359"/>
    <cellStyle name="20% - Accent6 2 6 2" xfId="3469"/>
    <cellStyle name="20% - Accent6 2 6 3" xfId="3470"/>
    <cellStyle name="20% - Accent6 2 7" xfId="360"/>
    <cellStyle name="20% - Accent6 2 8" xfId="361"/>
    <cellStyle name="20% - Accent6 2 9" xfId="362"/>
    <cellStyle name="20% - Accent6 20" xfId="363"/>
    <cellStyle name="20% - Accent6 21" xfId="364"/>
    <cellStyle name="20% - Accent6 22" xfId="365"/>
    <cellStyle name="20% - Accent6 23" xfId="366"/>
    <cellStyle name="20% - Accent6 24" xfId="367"/>
    <cellStyle name="20% - Accent6 25" xfId="368"/>
    <cellStyle name="20% - Accent6 26" xfId="369"/>
    <cellStyle name="20% - Accent6 27" xfId="370"/>
    <cellStyle name="20% - Accent6 28" xfId="371"/>
    <cellStyle name="20% - Accent6 29" xfId="372"/>
    <cellStyle name="20% - Accent6 3" xfId="373"/>
    <cellStyle name="20% - Accent6 3 2" xfId="3471"/>
    <cellStyle name="20% - Accent6 3 2 2" xfId="3472"/>
    <cellStyle name="20% - Accent6 3 2 2 2" xfId="3473"/>
    <cellStyle name="20% - Accent6 3 2 2 2 2" xfId="3474"/>
    <cellStyle name="20% - Accent6 3 2 2 2 2 2" xfId="3475"/>
    <cellStyle name="20% - Accent6 3 2 2 2 2 2 2" xfId="3476"/>
    <cellStyle name="20% - Accent6 3 2 2 2 2 3" xfId="3477"/>
    <cellStyle name="20% - Accent6 3 2 2 2 3" xfId="3478"/>
    <cellStyle name="20% - Accent6 3 2 2 2 3 2" xfId="3479"/>
    <cellStyle name="20% - Accent6 3 2 2 2 4" xfId="3480"/>
    <cellStyle name="20% - Accent6 3 2 2 3" xfId="3481"/>
    <cellStyle name="20% - Accent6 3 2 2 3 2" xfId="3482"/>
    <cellStyle name="20% - Accent6 3 2 2 3 2 2" xfId="3483"/>
    <cellStyle name="20% - Accent6 3 2 2 3 3" xfId="3484"/>
    <cellStyle name="20% - Accent6 3 2 2 4" xfId="3485"/>
    <cellStyle name="20% - Accent6 3 2 2 4 2" xfId="3486"/>
    <cellStyle name="20% - Accent6 3 2 2 5" xfId="3487"/>
    <cellStyle name="20% - Accent6 3 2 2 6" xfId="3488"/>
    <cellStyle name="20% - Accent6 3 2 3" xfId="3489"/>
    <cellStyle name="20% - Accent6 3 2 3 2" xfId="3490"/>
    <cellStyle name="20% - Accent6 3 2 3 2 2" xfId="3491"/>
    <cellStyle name="20% - Accent6 3 2 3 2 2 2" xfId="3492"/>
    <cellStyle name="20% - Accent6 3 2 3 2 3" xfId="3493"/>
    <cellStyle name="20% - Accent6 3 2 3 3" xfId="3494"/>
    <cellStyle name="20% - Accent6 3 2 3 3 2" xfId="3495"/>
    <cellStyle name="20% - Accent6 3 2 3 4" xfId="3496"/>
    <cellStyle name="20% - Accent6 3 2 4" xfId="3497"/>
    <cellStyle name="20% - Accent6 3 2 4 2" xfId="3498"/>
    <cellStyle name="20% - Accent6 3 2 4 2 2" xfId="3499"/>
    <cellStyle name="20% - Accent6 3 2 4 3" xfId="3500"/>
    <cellStyle name="20% - Accent6 3 2 5" xfId="3501"/>
    <cellStyle name="20% - Accent6 3 2 5 2" xfId="3502"/>
    <cellStyle name="20% - Accent6 3 2 6" xfId="3503"/>
    <cellStyle name="20% - Accent6 3 2 7" xfId="3504"/>
    <cellStyle name="20% - Accent6 3 3" xfId="3505"/>
    <cellStyle name="20% - Accent6 3 3 2" xfId="3506"/>
    <cellStyle name="20% - Accent6 3 3 2 2" xfId="3507"/>
    <cellStyle name="20% - Accent6 3 3 2 2 2" xfId="3508"/>
    <cellStyle name="20% - Accent6 3 3 2 2 2 2" xfId="3509"/>
    <cellStyle name="20% - Accent6 3 3 2 2 3" xfId="3510"/>
    <cellStyle name="20% - Accent6 3 3 2 3" xfId="3511"/>
    <cellStyle name="20% - Accent6 3 3 2 3 2" xfId="3512"/>
    <cellStyle name="20% - Accent6 3 3 2 4" xfId="3513"/>
    <cellStyle name="20% - Accent6 3 3 3" xfId="3514"/>
    <cellStyle name="20% - Accent6 3 3 3 2" xfId="3515"/>
    <cellStyle name="20% - Accent6 3 3 3 2 2" xfId="3516"/>
    <cellStyle name="20% - Accent6 3 3 3 3" xfId="3517"/>
    <cellStyle name="20% - Accent6 3 3 4" xfId="3518"/>
    <cellStyle name="20% - Accent6 3 3 4 2" xfId="3519"/>
    <cellStyle name="20% - Accent6 3 3 5" xfId="3520"/>
    <cellStyle name="20% - Accent6 3 3 6" xfId="3521"/>
    <cellStyle name="20% - Accent6 3 4" xfId="3522"/>
    <cellStyle name="20% - Accent6 3 4 2" xfId="3523"/>
    <cellStyle name="20% - Accent6 3 4 2 2" xfId="3524"/>
    <cellStyle name="20% - Accent6 3 4 2 2 2" xfId="3525"/>
    <cellStyle name="20% - Accent6 3 4 2 3" xfId="3526"/>
    <cellStyle name="20% - Accent6 3 4 3" xfId="3527"/>
    <cellStyle name="20% - Accent6 3 4 3 2" xfId="3528"/>
    <cellStyle name="20% - Accent6 3 4 4" xfId="3529"/>
    <cellStyle name="20% - Accent6 3 4 5" xfId="3530"/>
    <cellStyle name="20% - Accent6 3 5" xfId="3531"/>
    <cellStyle name="20% - Accent6 3 5 2" xfId="3532"/>
    <cellStyle name="20% - Accent6 3 5 2 2" xfId="3533"/>
    <cellStyle name="20% - Accent6 3 5 3" xfId="3534"/>
    <cellStyle name="20% - Accent6 3 6" xfId="3535"/>
    <cellStyle name="20% - Accent6 3 6 2" xfId="3536"/>
    <cellStyle name="20% - Accent6 3 7" xfId="3537"/>
    <cellStyle name="20% - Accent6 3 8" xfId="3538"/>
    <cellStyle name="20% - Accent6 3 9" xfId="3539"/>
    <cellStyle name="20% - Accent6 30" xfId="374"/>
    <cellStyle name="20% - Accent6 31" xfId="375"/>
    <cellStyle name="20% - Accent6 32" xfId="376"/>
    <cellStyle name="20% - Accent6 33" xfId="377"/>
    <cellStyle name="20% - Accent6 34" xfId="378"/>
    <cellStyle name="20% - Accent6 35" xfId="379"/>
    <cellStyle name="20% - Accent6 4" xfId="380"/>
    <cellStyle name="20% - Accent6 4 2" xfId="3540"/>
    <cellStyle name="20% - Accent6 4 2 2" xfId="3541"/>
    <cellStyle name="20% - Accent6 4 2 2 2" xfId="3542"/>
    <cellStyle name="20% - Accent6 4 2 2 2 2" xfId="3543"/>
    <cellStyle name="20% - Accent6 4 2 2 2 2 2" xfId="3544"/>
    <cellStyle name="20% - Accent6 4 2 2 2 3" xfId="3545"/>
    <cellStyle name="20% - Accent6 4 2 2 3" xfId="3546"/>
    <cellStyle name="20% - Accent6 4 2 2 3 2" xfId="3547"/>
    <cellStyle name="20% - Accent6 4 2 2 4" xfId="3548"/>
    <cellStyle name="20% - Accent6 4 2 3" xfId="3549"/>
    <cellStyle name="20% - Accent6 4 2 3 2" xfId="3550"/>
    <cellStyle name="20% - Accent6 4 2 3 2 2" xfId="3551"/>
    <cellStyle name="20% - Accent6 4 2 3 3" xfId="3552"/>
    <cellStyle name="20% - Accent6 4 2 4" xfId="3553"/>
    <cellStyle name="20% - Accent6 4 2 4 2" xfId="3554"/>
    <cellStyle name="20% - Accent6 4 2 5" xfId="3555"/>
    <cellStyle name="20% - Accent6 4 2 6" xfId="3556"/>
    <cellStyle name="20% - Accent6 4 3" xfId="3557"/>
    <cellStyle name="20% - Accent6 4 3 2" xfId="3558"/>
    <cellStyle name="20% - Accent6 4 3 2 2" xfId="3559"/>
    <cellStyle name="20% - Accent6 4 3 2 2 2" xfId="3560"/>
    <cellStyle name="20% - Accent6 4 3 2 3" xfId="3561"/>
    <cellStyle name="20% - Accent6 4 3 3" xfId="3562"/>
    <cellStyle name="20% - Accent6 4 3 3 2" xfId="3563"/>
    <cellStyle name="20% - Accent6 4 3 4" xfId="3564"/>
    <cellStyle name="20% - Accent6 4 3 5" xfId="3565"/>
    <cellStyle name="20% - Accent6 4 4" xfId="3566"/>
    <cellStyle name="20% - Accent6 4 4 2" xfId="3567"/>
    <cellStyle name="20% - Accent6 4 4 2 2" xfId="3568"/>
    <cellStyle name="20% - Accent6 4 4 3" xfId="3569"/>
    <cellStyle name="20% - Accent6 4 5" xfId="3570"/>
    <cellStyle name="20% - Accent6 4 5 2" xfId="3571"/>
    <cellStyle name="20% - Accent6 4 6" xfId="3572"/>
    <cellStyle name="20% - Accent6 4 7" xfId="3573"/>
    <cellStyle name="20% - Accent6 5" xfId="381"/>
    <cellStyle name="20% - Accent6 5 2" xfId="3574"/>
    <cellStyle name="20% - Accent6 5 2 2" xfId="3575"/>
    <cellStyle name="20% - Accent6 5 2 2 2" xfId="3576"/>
    <cellStyle name="20% - Accent6 5 2 2 2 2" xfId="3577"/>
    <cellStyle name="20% - Accent6 5 2 2 3" xfId="3578"/>
    <cellStyle name="20% - Accent6 5 2 3" xfId="3579"/>
    <cellStyle name="20% - Accent6 5 2 3 2" xfId="3580"/>
    <cellStyle name="20% - Accent6 5 2 4" xfId="3581"/>
    <cellStyle name="20% - Accent6 5 2 5" xfId="3582"/>
    <cellStyle name="20% - Accent6 5 3" xfId="3583"/>
    <cellStyle name="20% - Accent6 5 3 2" xfId="3584"/>
    <cellStyle name="20% - Accent6 5 3 2 2" xfId="3585"/>
    <cellStyle name="20% - Accent6 5 3 3" xfId="3586"/>
    <cellStyle name="20% - Accent6 5 4" xfId="3587"/>
    <cellStyle name="20% - Accent6 5 4 2" xfId="3588"/>
    <cellStyle name="20% - Accent6 5 5" xfId="3589"/>
    <cellStyle name="20% - Accent6 5 6" xfId="3590"/>
    <cellStyle name="20% - Accent6 6" xfId="382"/>
    <cellStyle name="20% - Accent6 6 2" xfId="3591"/>
    <cellStyle name="20% - Accent6 6 2 2" xfId="3592"/>
    <cellStyle name="20% - Accent6 6 2 2 2" xfId="3593"/>
    <cellStyle name="20% - Accent6 6 2 3" xfId="3594"/>
    <cellStyle name="20% - Accent6 6 2 4" xfId="3595"/>
    <cellStyle name="20% - Accent6 6 2 5" xfId="3596"/>
    <cellStyle name="20% - Accent6 6 3" xfId="3597"/>
    <cellStyle name="20% - Accent6 6 3 2" xfId="3598"/>
    <cellStyle name="20% - Accent6 6 4" xfId="3599"/>
    <cellStyle name="20% - Accent6 6 5" xfId="3600"/>
    <cellStyle name="20% - Accent6 7" xfId="383"/>
    <cellStyle name="20% - Accent6 7 2" xfId="3601"/>
    <cellStyle name="20% - Accent6 7 2 2" xfId="3602"/>
    <cellStyle name="20% - Accent6 7 2 2 2" xfId="3603"/>
    <cellStyle name="20% - Accent6 7 2 3" xfId="3604"/>
    <cellStyle name="20% - Accent6 7 3" xfId="3605"/>
    <cellStyle name="20% - Accent6 7 3 2" xfId="3606"/>
    <cellStyle name="20% - Accent6 7 4" xfId="3607"/>
    <cellStyle name="20% - Accent6 7 5" xfId="3608"/>
    <cellStyle name="20% - Accent6 8" xfId="384"/>
    <cellStyle name="20% - Accent6 8 2" xfId="3609"/>
    <cellStyle name="20% - Accent6 8 2 2" xfId="3610"/>
    <cellStyle name="20% - Accent6 8 2 2 2" xfId="3611"/>
    <cellStyle name="20% - Accent6 8 2 3" xfId="3612"/>
    <cellStyle name="20% - Accent6 8 3" xfId="3613"/>
    <cellStyle name="20% - Accent6 8 3 2" xfId="3614"/>
    <cellStyle name="20% - Accent6 8 4" xfId="3615"/>
    <cellStyle name="20% - Accent6 8 5" xfId="3616"/>
    <cellStyle name="20% - Accent6 9" xfId="385"/>
    <cellStyle name="20% - Accent6 9 2" xfId="3617"/>
    <cellStyle name="20% - Accent6 9 2 2" xfId="3618"/>
    <cellStyle name="20% - Accent6 9 3" xfId="3619"/>
    <cellStyle name="20% - Accent6 9 4" xfId="3620"/>
    <cellStyle name="40% - Accent1 10" xfId="386"/>
    <cellStyle name="40% - Accent1 10 2" xfId="3621"/>
    <cellStyle name="40% - Accent1 10 2 2" xfId="3622"/>
    <cellStyle name="40% - Accent1 10 3" xfId="3623"/>
    <cellStyle name="40% - Accent1 10 4" xfId="3624"/>
    <cellStyle name="40% - Accent1 11" xfId="387"/>
    <cellStyle name="40% - Accent1 11 2" xfId="3625"/>
    <cellStyle name="40% - Accent1 11 2 2" xfId="3626"/>
    <cellStyle name="40% - Accent1 11 3" xfId="3627"/>
    <cellStyle name="40% - Accent1 11 4" xfId="3628"/>
    <cellStyle name="40% - Accent1 12" xfId="388"/>
    <cellStyle name="40% - Accent1 12 2" xfId="3629"/>
    <cellStyle name="40% - Accent1 12 3" xfId="3630"/>
    <cellStyle name="40% - Accent1 13" xfId="389"/>
    <cellStyle name="40% - Accent1 13 2" xfId="3631"/>
    <cellStyle name="40% - Accent1 14" xfId="390"/>
    <cellStyle name="40% - Accent1 15" xfId="391"/>
    <cellStyle name="40% - Accent1 15 2" xfId="392"/>
    <cellStyle name="40% - Accent1 15 3" xfId="393"/>
    <cellStyle name="40% - Accent1 15 4" xfId="394"/>
    <cellStyle name="40% - Accent1 15 5" xfId="395"/>
    <cellStyle name="40% - Accent1 16" xfId="396"/>
    <cellStyle name="40% - Accent1 16 2" xfId="397"/>
    <cellStyle name="40% - Accent1 16 3" xfId="398"/>
    <cellStyle name="40% - Accent1 16 4" xfId="399"/>
    <cellStyle name="40% - Accent1 16 5" xfId="400"/>
    <cellStyle name="40% - Accent1 17" xfId="401"/>
    <cellStyle name="40% - Accent1 17 2" xfId="402"/>
    <cellStyle name="40% - Accent1 17 3" xfId="403"/>
    <cellStyle name="40% - Accent1 17 4" xfId="404"/>
    <cellStyle name="40% - Accent1 17 5" xfId="405"/>
    <cellStyle name="40% - Accent1 18" xfId="406"/>
    <cellStyle name="40% - Accent1 19" xfId="407"/>
    <cellStyle name="40% - Accent1 2" xfId="408"/>
    <cellStyle name="40% - Accent1 2 2" xfId="409"/>
    <cellStyle name="40% - Accent1 2 2 2" xfId="410"/>
    <cellStyle name="40% - Accent1 2 2 2 2" xfId="411"/>
    <cellStyle name="40% - Accent1 2 2 2 2 2" xfId="3632"/>
    <cellStyle name="40% - Accent1 2 2 2 2 2 2" xfId="3633"/>
    <cellStyle name="40% - Accent1 2 2 2 2 2 2 2" xfId="3634"/>
    <cellStyle name="40% - Accent1 2 2 2 2 2 3" xfId="3635"/>
    <cellStyle name="40% - Accent1 2 2 2 2 3" xfId="3636"/>
    <cellStyle name="40% - Accent1 2 2 2 2 3 2" xfId="3637"/>
    <cellStyle name="40% - Accent1 2 2 2 2 4" xfId="3638"/>
    <cellStyle name="40% - Accent1 2 2 2 2 5" xfId="3639"/>
    <cellStyle name="40% - Accent1 2 2 2 3" xfId="412"/>
    <cellStyle name="40% - Accent1 2 2 2 3 2" xfId="3640"/>
    <cellStyle name="40% - Accent1 2 2 2 3 2 2" xfId="3641"/>
    <cellStyle name="40% - Accent1 2 2 2 3 3" xfId="3642"/>
    <cellStyle name="40% - Accent1 2 2 2 4" xfId="413"/>
    <cellStyle name="40% - Accent1 2 2 2 4 2" xfId="3643"/>
    <cellStyle name="40% - Accent1 2 2 2 5" xfId="414"/>
    <cellStyle name="40% - Accent1 2 2 2 6" xfId="3644"/>
    <cellStyle name="40% - Accent1 2 2 3" xfId="415"/>
    <cellStyle name="40% - Accent1 2 2 3 2" xfId="3645"/>
    <cellStyle name="40% - Accent1 2 2 3 2 2" xfId="3646"/>
    <cellStyle name="40% - Accent1 2 2 3 2 2 2" xfId="3647"/>
    <cellStyle name="40% - Accent1 2 2 3 2 3" xfId="3648"/>
    <cellStyle name="40% - Accent1 2 2 3 3" xfId="3649"/>
    <cellStyle name="40% - Accent1 2 2 3 3 2" xfId="3650"/>
    <cellStyle name="40% - Accent1 2 2 3 4" xfId="3651"/>
    <cellStyle name="40% - Accent1 2 2 3 5" xfId="3652"/>
    <cellStyle name="40% - Accent1 2 2 4" xfId="416"/>
    <cellStyle name="40% - Accent1 2 2 4 2" xfId="3653"/>
    <cellStyle name="40% - Accent1 2 2 4 2 2" xfId="3654"/>
    <cellStyle name="40% - Accent1 2 2 4 3" xfId="3655"/>
    <cellStyle name="40% - Accent1 2 2 5" xfId="417"/>
    <cellStyle name="40% - Accent1 2 2 5 2" xfId="3656"/>
    <cellStyle name="40% - Accent1 2 2 6" xfId="3657"/>
    <cellStyle name="40% - Accent1 2 2 7" xfId="3658"/>
    <cellStyle name="40% - Accent1 2 3" xfId="418"/>
    <cellStyle name="40% - Accent1 2 3 2" xfId="3659"/>
    <cellStyle name="40% - Accent1 2 3 2 2" xfId="3660"/>
    <cellStyle name="40% - Accent1 2 3 2 2 2" xfId="3661"/>
    <cellStyle name="40% - Accent1 2 3 2 2 2 2" xfId="3662"/>
    <cellStyle name="40% - Accent1 2 3 2 2 3" xfId="3663"/>
    <cellStyle name="40% - Accent1 2 3 2 3" xfId="3664"/>
    <cellStyle name="40% - Accent1 2 3 2 3 2" xfId="3665"/>
    <cellStyle name="40% - Accent1 2 3 2 4" xfId="3666"/>
    <cellStyle name="40% - Accent1 2 3 3" xfId="3667"/>
    <cellStyle name="40% - Accent1 2 3 3 2" xfId="3668"/>
    <cellStyle name="40% - Accent1 2 3 3 2 2" xfId="3669"/>
    <cellStyle name="40% - Accent1 2 3 3 3" xfId="3670"/>
    <cellStyle name="40% - Accent1 2 3 4" xfId="3671"/>
    <cellStyle name="40% - Accent1 2 3 4 2" xfId="3672"/>
    <cellStyle name="40% - Accent1 2 3 5" xfId="3673"/>
    <cellStyle name="40% - Accent1 2 3 6" xfId="3674"/>
    <cellStyle name="40% - Accent1 2 4" xfId="419"/>
    <cellStyle name="40% - Accent1 2 4 2" xfId="3675"/>
    <cellStyle name="40% - Accent1 2 4 2 2" xfId="3676"/>
    <cellStyle name="40% - Accent1 2 4 2 2 2" xfId="3677"/>
    <cellStyle name="40% - Accent1 2 4 2 3" xfId="3678"/>
    <cellStyle name="40% - Accent1 2 4 3" xfId="3679"/>
    <cellStyle name="40% - Accent1 2 4 3 2" xfId="3680"/>
    <cellStyle name="40% - Accent1 2 4 4" xfId="3681"/>
    <cellStyle name="40% - Accent1 2 4 5" xfId="3682"/>
    <cellStyle name="40% - Accent1 2 5" xfId="420"/>
    <cellStyle name="40% - Accent1 2 5 2" xfId="3683"/>
    <cellStyle name="40% - Accent1 2 5 2 2" xfId="3684"/>
    <cellStyle name="40% - Accent1 2 5 3" xfId="3685"/>
    <cellStyle name="40% - Accent1 2 5 4" xfId="3686"/>
    <cellStyle name="40% - Accent1 2 6" xfId="421"/>
    <cellStyle name="40% - Accent1 2 6 2" xfId="3687"/>
    <cellStyle name="40% - Accent1 2 6 3" xfId="3688"/>
    <cellStyle name="40% - Accent1 2 7" xfId="422"/>
    <cellStyle name="40% - Accent1 2 8" xfId="423"/>
    <cellStyle name="40% - Accent1 2 9" xfId="424"/>
    <cellStyle name="40% - Accent1 20" xfId="425"/>
    <cellStyle name="40% - Accent1 21" xfId="426"/>
    <cellStyle name="40% - Accent1 22" xfId="427"/>
    <cellStyle name="40% - Accent1 23" xfId="428"/>
    <cellStyle name="40% - Accent1 24" xfId="429"/>
    <cellStyle name="40% - Accent1 25" xfId="430"/>
    <cellStyle name="40% - Accent1 26" xfId="431"/>
    <cellStyle name="40% - Accent1 27" xfId="432"/>
    <cellStyle name="40% - Accent1 28" xfId="433"/>
    <cellStyle name="40% - Accent1 29" xfId="434"/>
    <cellStyle name="40% - Accent1 3" xfId="435"/>
    <cellStyle name="40% - Accent1 3 2" xfId="3689"/>
    <cellStyle name="40% - Accent1 3 2 2" xfId="3690"/>
    <cellStyle name="40% - Accent1 3 2 2 2" xfId="3691"/>
    <cellStyle name="40% - Accent1 3 2 2 2 2" xfId="3692"/>
    <cellStyle name="40% - Accent1 3 2 2 2 2 2" xfId="3693"/>
    <cellStyle name="40% - Accent1 3 2 2 2 2 2 2" xfId="3694"/>
    <cellStyle name="40% - Accent1 3 2 2 2 2 3" xfId="3695"/>
    <cellStyle name="40% - Accent1 3 2 2 2 3" xfId="3696"/>
    <cellStyle name="40% - Accent1 3 2 2 2 3 2" xfId="3697"/>
    <cellStyle name="40% - Accent1 3 2 2 2 4" xfId="3698"/>
    <cellStyle name="40% - Accent1 3 2 2 3" xfId="3699"/>
    <cellStyle name="40% - Accent1 3 2 2 3 2" xfId="3700"/>
    <cellStyle name="40% - Accent1 3 2 2 3 2 2" xfId="3701"/>
    <cellStyle name="40% - Accent1 3 2 2 3 3" xfId="3702"/>
    <cellStyle name="40% - Accent1 3 2 2 4" xfId="3703"/>
    <cellStyle name="40% - Accent1 3 2 2 4 2" xfId="3704"/>
    <cellStyle name="40% - Accent1 3 2 2 5" xfId="3705"/>
    <cellStyle name="40% - Accent1 3 2 2 6" xfId="3706"/>
    <cellStyle name="40% - Accent1 3 2 3" xfId="3707"/>
    <cellStyle name="40% - Accent1 3 2 3 2" xfId="3708"/>
    <cellStyle name="40% - Accent1 3 2 3 2 2" xfId="3709"/>
    <cellStyle name="40% - Accent1 3 2 3 2 2 2" xfId="3710"/>
    <cellStyle name="40% - Accent1 3 2 3 2 3" xfId="3711"/>
    <cellStyle name="40% - Accent1 3 2 3 3" xfId="3712"/>
    <cellStyle name="40% - Accent1 3 2 3 3 2" xfId="3713"/>
    <cellStyle name="40% - Accent1 3 2 3 4" xfId="3714"/>
    <cellStyle name="40% - Accent1 3 2 4" xfId="3715"/>
    <cellStyle name="40% - Accent1 3 2 4 2" xfId="3716"/>
    <cellStyle name="40% - Accent1 3 2 4 2 2" xfId="3717"/>
    <cellStyle name="40% - Accent1 3 2 4 3" xfId="3718"/>
    <cellStyle name="40% - Accent1 3 2 5" xfId="3719"/>
    <cellStyle name="40% - Accent1 3 2 5 2" xfId="3720"/>
    <cellStyle name="40% - Accent1 3 2 6" xfId="3721"/>
    <cellStyle name="40% - Accent1 3 2 7" xfId="3722"/>
    <cellStyle name="40% - Accent1 3 3" xfId="3723"/>
    <cellStyle name="40% - Accent1 3 3 2" xfId="3724"/>
    <cellStyle name="40% - Accent1 3 3 2 2" xfId="3725"/>
    <cellStyle name="40% - Accent1 3 3 2 2 2" xfId="3726"/>
    <cellStyle name="40% - Accent1 3 3 2 2 2 2" xfId="3727"/>
    <cellStyle name="40% - Accent1 3 3 2 2 3" xfId="3728"/>
    <cellStyle name="40% - Accent1 3 3 2 3" xfId="3729"/>
    <cellStyle name="40% - Accent1 3 3 2 3 2" xfId="3730"/>
    <cellStyle name="40% - Accent1 3 3 2 4" xfId="3731"/>
    <cellStyle name="40% - Accent1 3 3 3" xfId="3732"/>
    <cellStyle name="40% - Accent1 3 3 3 2" xfId="3733"/>
    <cellStyle name="40% - Accent1 3 3 3 2 2" xfId="3734"/>
    <cellStyle name="40% - Accent1 3 3 3 3" xfId="3735"/>
    <cellStyle name="40% - Accent1 3 3 4" xfId="3736"/>
    <cellStyle name="40% - Accent1 3 3 4 2" xfId="3737"/>
    <cellStyle name="40% - Accent1 3 3 5" xfId="3738"/>
    <cellStyle name="40% - Accent1 3 3 6" xfId="3739"/>
    <cellStyle name="40% - Accent1 3 4" xfId="3740"/>
    <cellStyle name="40% - Accent1 3 4 2" xfId="3741"/>
    <cellStyle name="40% - Accent1 3 4 2 2" xfId="3742"/>
    <cellStyle name="40% - Accent1 3 4 2 2 2" xfId="3743"/>
    <cellStyle name="40% - Accent1 3 4 2 3" xfId="3744"/>
    <cellStyle name="40% - Accent1 3 4 3" xfId="3745"/>
    <cellStyle name="40% - Accent1 3 4 3 2" xfId="3746"/>
    <cellStyle name="40% - Accent1 3 4 4" xfId="3747"/>
    <cellStyle name="40% - Accent1 3 4 5" xfId="3748"/>
    <cellStyle name="40% - Accent1 3 5" xfId="3749"/>
    <cellStyle name="40% - Accent1 3 5 2" xfId="3750"/>
    <cellStyle name="40% - Accent1 3 5 2 2" xfId="3751"/>
    <cellStyle name="40% - Accent1 3 5 3" xfId="3752"/>
    <cellStyle name="40% - Accent1 3 6" xfId="3753"/>
    <cellStyle name="40% - Accent1 3 6 2" xfId="3754"/>
    <cellStyle name="40% - Accent1 3 7" xfId="3755"/>
    <cellStyle name="40% - Accent1 3 8" xfId="3756"/>
    <cellStyle name="40% - Accent1 3 9" xfId="3757"/>
    <cellStyle name="40% - Accent1 30" xfId="436"/>
    <cellStyle name="40% - Accent1 31" xfId="437"/>
    <cellStyle name="40% - Accent1 32" xfId="438"/>
    <cellStyle name="40% - Accent1 33" xfId="439"/>
    <cellStyle name="40% - Accent1 34" xfId="440"/>
    <cellStyle name="40% - Accent1 35" xfId="441"/>
    <cellStyle name="40% - Accent1 4" xfId="442"/>
    <cellStyle name="40% - Accent1 4 2" xfId="3758"/>
    <cellStyle name="40% - Accent1 4 2 2" xfId="3759"/>
    <cellStyle name="40% - Accent1 4 2 2 2" xfId="3760"/>
    <cellStyle name="40% - Accent1 4 2 2 2 2" xfId="3761"/>
    <cellStyle name="40% - Accent1 4 2 2 2 2 2" xfId="3762"/>
    <cellStyle name="40% - Accent1 4 2 2 2 3" xfId="3763"/>
    <cellStyle name="40% - Accent1 4 2 2 3" xfId="3764"/>
    <cellStyle name="40% - Accent1 4 2 2 3 2" xfId="3765"/>
    <cellStyle name="40% - Accent1 4 2 2 4" xfId="3766"/>
    <cellStyle name="40% - Accent1 4 2 3" xfId="3767"/>
    <cellStyle name="40% - Accent1 4 2 3 2" xfId="3768"/>
    <cellStyle name="40% - Accent1 4 2 3 2 2" xfId="3769"/>
    <cellStyle name="40% - Accent1 4 2 3 3" xfId="3770"/>
    <cellStyle name="40% - Accent1 4 2 4" xfId="3771"/>
    <cellStyle name="40% - Accent1 4 2 4 2" xfId="3772"/>
    <cellStyle name="40% - Accent1 4 2 5" xfId="3773"/>
    <cellStyle name="40% - Accent1 4 2 6" xfId="3774"/>
    <cellStyle name="40% - Accent1 4 3" xfId="3775"/>
    <cellStyle name="40% - Accent1 4 3 2" xfId="3776"/>
    <cellStyle name="40% - Accent1 4 3 2 2" xfId="3777"/>
    <cellStyle name="40% - Accent1 4 3 2 2 2" xfId="3778"/>
    <cellStyle name="40% - Accent1 4 3 2 3" xfId="3779"/>
    <cellStyle name="40% - Accent1 4 3 3" xfId="3780"/>
    <cellStyle name="40% - Accent1 4 3 3 2" xfId="3781"/>
    <cellStyle name="40% - Accent1 4 3 4" xfId="3782"/>
    <cellStyle name="40% - Accent1 4 3 5" xfId="3783"/>
    <cellStyle name="40% - Accent1 4 4" xfId="3784"/>
    <cellStyle name="40% - Accent1 4 4 2" xfId="3785"/>
    <cellStyle name="40% - Accent1 4 4 2 2" xfId="3786"/>
    <cellStyle name="40% - Accent1 4 4 3" xfId="3787"/>
    <cellStyle name="40% - Accent1 4 5" xfId="3788"/>
    <cellStyle name="40% - Accent1 4 5 2" xfId="3789"/>
    <cellStyle name="40% - Accent1 4 6" xfId="3790"/>
    <cellStyle name="40% - Accent1 4 7" xfId="3791"/>
    <cellStyle name="40% - Accent1 5" xfId="443"/>
    <cellStyle name="40% - Accent1 5 2" xfId="3792"/>
    <cellStyle name="40% - Accent1 5 2 2" xfId="3793"/>
    <cellStyle name="40% - Accent1 5 2 2 2" xfId="3794"/>
    <cellStyle name="40% - Accent1 5 2 2 2 2" xfId="3795"/>
    <cellStyle name="40% - Accent1 5 2 2 3" xfId="3796"/>
    <cellStyle name="40% - Accent1 5 2 3" xfId="3797"/>
    <cellStyle name="40% - Accent1 5 2 3 2" xfId="3798"/>
    <cellStyle name="40% - Accent1 5 2 4" xfId="3799"/>
    <cellStyle name="40% - Accent1 5 2 5" xfId="3800"/>
    <cellStyle name="40% - Accent1 5 3" xfId="3801"/>
    <cellStyle name="40% - Accent1 5 3 2" xfId="3802"/>
    <cellStyle name="40% - Accent1 5 3 2 2" xfId="3803"/>
    <cellStyle name="40% - Accent1 5 3 3" xfId="3804"/>
    <cellStyle name="40% - Accent1 5 4" xfId="3805"/>
    <cellStyle name="40% - Accent1 5 4 2" xfId="3806"/>
    <cellStyle name="40% - Accent1 5 5" xfId="3807"/>
    <cellStyle name="40% - Accent1 5 6" xfId="3808"/>
    <cellStyle name="40% - Accent1 6" xfId="444"/>
    <cellStyle name="40% - Accent1 6 2" xfId="3809"/>
    <cellStyle name="40% - Accent1 6 2 2" xfId="3810"/>
    <cellStyle name="40% - Accent1 6 2 2 2" xfId="3811"/>
    <cellStyle name="40% - Accent1 6 2 3" xfId="3812"/>
    <cellStyle name="40% - Accent1 6 2 4" xfId="3813"/>
    <cellStyle name="40% - Accent1 6 2 5" xfId="3814"/>
    <cellStyle name="40% - Accent1 6 3" xfId="3815"/>
    <cellStyle name="40% - Accent1 6 3 2" xfId="3816"/>
    <cellStyle name="40% - Accent1 6 4" xfId="3817"/>
    <cellStyle name="40% - Accent1 6 5" xfId="3818"/>
    <cellStyle name="40% - Accent1 7" xfId="445"/>
    <cellStyle name="40% - Accent1 7 2" xfId="3819"/>
    <cellStyle name="40% - Accent1 7 2 2" xfId="3820"/>
    <cellStyle name="40% - Accent1 7 2 2 2" xfId="3821"/>
    <cellStyle name="40% - Accent1 7 2 3" xfId="3822"/>
    <cellStyle name="40% - Accent1 7 3" xfId="3823"/>
    <cellStyle name="40% - Accent1 7 3 2" xfId="3824"/>
    <cellStyle name="40% - Accent1 7 4" xfId="3825"/>
    <cellStyle name="40% - Accent1 7 5" xfId="3826"/>
    <cellStyle name="40% - Accent1 8" xfId="446"/>
    <cellStyle name="40% - Accent1 8 2" xfId="3827"/>
    <cellStyle name="40% - Accent1 8 2 2" xfId="3828"/>
    <cellStyle name="40% - Accent1 8 2 2 2" xfId="3829"/>
    <cellStyle name="40% - Accent1 8 2 3" xfId="3830"/>
    <cellStyle name="40% - Accent1 8 3" xfId="3831"/>
    <cellStyle name="40% - Accent1 8 3 2" xfId="3832"/>
    <cellStyle name="40% - Accent1 8 4" xfId="3833"/>
    <cellStyle name="40% - Accent1 8 5" xfId="3834"/>
    <cellStyle name="40% - Accent1 9" xfId="447"/>
    <cellStyle name="40% - Accent1 9 2" xfId="3835"/>
    <cellStyle name="40% - Accent1 9 2 2" xfId="3836"/>
    <cellStyle name="40% - Accent1 9 3" xfId="3837"/>
    <cellStyle name="40% - Accent1 9 4" xfId="3838"/>
    <cellStyle name="40% - Accent2 10" xfId="448"/>
    <cellStyle name="40% - Accent2 10 2" xfId="3839"/>
    <cellStyle name="40% - Accent2 10 2 2" xfId="3840"/>
    <cellStyle name="40% - Accent2 10 3" xfId="3841"/>
    <cellStyle name="40% - Accent2 10 4" xfId="3842"/>
    <cellStyle name="40% - Accent2 11" xfId="449"/>
    <cellStyle name="40% - Accent2 11 2" xfId="3843"/>
    <cellStyle name="40% - Accent2 11 2 2" xfId="3844"/>
    <cellStyle name="40% - Accent2 11 3" xfId="3845"/>
    <cellStyle name="40% - Accent2 11 4" xfId="3846"/>
    <cellStyle name="40% - Accent2 12" xfId="450"/>
    <cellStyle name="40% - Accent2 12 2" xfId="3847"/>
    <cellStyle name="40% - Accent2 12 3" xfId="3848"/>
    <cellStyle name="40% - Accent2 13" xfId="451"/>
    <cellStyle name="40% - Accent2 13 2" xfId="3849"/>
    <cellStyle name="40% - Accent2 14" xfId="452"/>
    <cellStyle name="40% - Accent2 15" xfId="453"/>
    <cellStyle name="40% - Accent2 15 2" xfId="454"/>
    <cellStyle name="40% - Accent2 15 3" xfId="455"/>
    <cellStyle name="40% - Accent2 15 4" xfId="456"/>
    <cellStyle name="40% - Accent2 15 5" xfId="457"/>
    <cellStyle name="40% - Accent2 16" xfId="458"/>
    <cellStyle name="40% - Accent2 16 2" xfId="459"/>
    <cellStyle name="40% - Accent2 16 3" xfId="460"/>
    <cellStyle name="40% - Accent2 16 4" xfId="461"/>
    <cellStyle name="40% - Accent2 16 5" xfId="462"/>
    <cellStyle name="40% - Accent2 17" xfId="463"/>
    <cellStyle name="40% - Accent2 17 2" xfId="464"/>
    <cellStyle name="40% - Accent2 17 3" xfId="465"/>
    <cellStyle name="40% - Accent2 17 4" xfId="466"/>
    <cellStyle name="40% - Accent2 17 5" xfId="467"/>
    <cellStyle name="40% - Accent2 18" xfId="468"/>
    <cellStyle name="40% - Accent2 19" xfId="469"/>
    <cellStyle name="40% - Accent2 2" xfId="470"/>
    <cellStyle name="40% - Accent2 2 2" xfId="471"/>
    <cellStyle name="40% - Accent2 2 2 2" xfId="472"/>
    <cellStyle name="40% - Accent2 2 2 2 2" xfId="473"/>
    <cellStyle name="40% - Accent2 2 2 2 2 2" xfId="3850"/>
    <cellStyle name="40% - Accent2 2 2 2 2 2 2" xfId="3851"/>
    <cellStyle name="40% - Accent2 2 2 2 2 2 2 2" xfId="3852"/>
    <cellStyle name="40% - Accent2 2 2 2 2 2 3" xfId="3853"/>
    <cellStyle name="40% - Accent2 2 2 2 2 3" xfId="3854"/>
    <cellStyle name="40% - Accent2 2 2 2 2 3 2" xfId="3855"/>
    <cellStyle name="40% - Accent2 2 2 2 2 4" xfId="3856"/>
    <cellStyle name="40% - Accent2 2 2 2 2 5" xfId="3857"/>
    <cellStyle name="40% - Accent2 2 2 2 3" xfId="474"/>
    <cellStyle name="40% - Accent2 2 2 2 3 2" xfId="3858"/>
    <cellStyle name="40% - Accent2 2 2 2 3 2 2" xfId="3859"/>
    <cellStyle name="40% - Accent2 2 2 2 3 3" xfId="3860"/>
    <cellStyle name="40% - Accent2 2 2 2 4" xfId="475"/>
    <cellStyle name="40% - Accent2 2 2 2 4 2" xfId="3861"/>
    <cellStyle name="40% - Accent2 2 2 2 5" xfId="476"/>
    <cellStyle name="40% - Accent2 2 2 2 6" xfId="3862"/>
    <cellStyle name="40% - Accent2 2 2 3" xfId="477"/>
    <cellStyle name="40% - Accent2 2 2 3 2" xfId="3863"/>
    <cellStyle name="40% - Accent2 2 2 3 2 2" xfId="3864"/>
    <cellStyle name="40% - Accent2 2 2 3 2 2 2" xfId="3865"/>
    <cellStyle name="40% - Accent2 2 2 3 2 3" xfId="3866"/>
    <cellStyle name="40% - Accent2 2 2 3 3" xfId="3867"/>
    <cellStyle name="40% - Accent2 2 2 3 3 2" xfId="3868"/>
    <cellStyle name="40% - Accent2 2 2 3 4" xfId="3869"/>
    <cellStyle name="40% - Accent2 2 2 3 5" xfId="3870"/>
    <cellStyle name="40% - Accent2 2 2 4" xfId="478"/>
    <cellStyle name="40% - Accent2 2 2 4 2" xfId="3871"/>
    <cellStyle name="40% - Accent2 2 2 4 2 2" xfId="3872"/>
    <cellStyle name="40% - Accent2 2 2 4 3" xfId="3873"/>
    <cellStyle name="40% - Accent2 2 2 5" xfId="479"/>
    <cellStyle name="40% - Accent2 2 2 5 2" xfId="3874"/>
    <cellStyle name="40% - Accent2 2 2 6" xfId="3875"/>
    <cellStyle name="40% - Accent2 2 2 7" xfId="3876"/>
    <cellStyle name="40% - Accent2 2 3" xfId="480"/>
    <cellStyle name="40% - Accent2 2 3 2" xfId="3877"/>
    <cellStyle name="40% - Accent2 2 3 2 2" xfId="3878"/>
    <cellStyle name="40% - Accent2 2 3 2 2 2" xfId="3879"/>
    <cellStyle name="40% - Accent2 2 3 2 2 2 2" xfId="3880"/>
    <cellStyle name="40% - Accent2 2 3 2 2 3" xfId="3881"/>
    <cellStyle name="40% - Accent2 2 3 2 3" xfId="3882"/>
    <cellStyle name="40% - Accent2 2 3 2 3 2" xfId="3883"/>
    <cellStyle name="40% - Accent2 2 3 2 4" xfId="3884"/>
    <cellStyle name="40% - Accent2 2 3 3" xfId="3885"/>
    <cellStyle name="40% - Accent2 2 3 3 2" xfId="3886"/>
    <cellStyle name="40% - Accent2 2 3 3 2 2" xfId="3887"/>
    <cellStyle name="40% - Accent2 2 3 3 3" xfId="3888"/>
    <cellStyle name="40% - Accent2 2 3 4" xfId="3889"/>
    <cellStyle name="40% - Accent2 2 3 4 2" xfId="3890"/>
    <cellStyle name="40% - Accent2 2 3 5" xfId="3891"/>
    <cellStyle name="40% - Accent2 2 3 6" xfId="3892"/>
    <cellStyle name="40% - Accent2 2 4" xfId="481"/>
    <cellStyle name="40% - Accent2 2 4 2" xfId="3893"/>
    <cellStyle name="40% - Accent2 2 4 2 2" xfId="3894"/>
    <cellStyle name="40% - Accent2 2 4 2 2 2" xfId="3895"/>
    <cellStyle name="40% - Accent2 2 4 2 3" xfId="3896"/>
    <cellStyle name="40% - Accent2 2 4 3" xfId="3897"/>
    <cellStyle name="40% - Accent2 2 4 3 2" xfId="3898"/>
    <cellStyle name="40% - Accent2 2 4 4" xfId="3899"/>
    <cellStyle name="40% - Accent2 2 4 5" xfId="3900"/>
    <cellStyle name="40% - Accent2 2 5" xfId="482"/>
    <cellStyle name="40% - Accent2 2 5 2" xfId="3901"/>
    <cellStyle name="40% - Accent2 2 5 2 2" xfId="3902"/>
    <cellStyle name="40% - Accent2 2 5 3" xfId="3903"/>
    <cellStyle name="40% - Accent2 2 5 4" xfId="3904"/>
    <cellStyle name="40% - Accent2 2 6" xfId="483"/>
    <cellStyle name="40% - Accent2 2 6 2" xfId="3905"/>
    <cellStyle name="40% - Accent2 2 6 3" xfId="3906"/>
    <cellStyle name="40% - Accent2 2 7" xfId="484"/>
    <cellStyle name="40% - Accent2 2 8" xfId="485"/>
    <cellStyle name="40% - Accent2 2 9" xfId="486"/>
    <cellStyle name="40% - Accent2 20" xfId="487"/>
    <cellStyle name="40% - Accent2 21" xfId="488"/>
    <cellStyle name="40% - Accent2 22" xfId="489"/>
    <cellStyle name="40% - Accent2 23" xfId="490"/>
    <cellStyle name="40% - Accent2 24" xfId="491"/>
    <cellStyle name="40% - Accent2 25" xfId="492"/>
    <cellStyle name="40% - Accent2 26" xfId="493"/>
    <cellStyle name="40% - Accent2 27" xfId="494"/>
    <cellStyle name="40% - Accent2 28" xfId="495"/>
    <cellStyle name="40% - Accent2 29" xfId="496"/>
    <cellStyle name="40% - Accent2 3" xfId="497"/>
    <cellStyle name="40% - Accent2 3 2" xfId="3907"/>
    <cellStyle name="40% - Accent2 3 2 2" xfId="3908"/>
    <cellStyle name="40% - Accent2 3 2 2 2" xfId="3909"/>
    <cellStyle name="40% - Accent2 3 2 2 2 2" xfId="3910"/>
    <cellStyle name="40% - Accent2 3 2 2 2 2 2" xfId="3911"/>
    <cellStyle name="40% - Accent2 3 2 2 2 2 2 2" xfId="3912"/>
    <cellStyle name="40% - Accent2 3 2 2 2 2 3" xfId="3913"/>
    <cellStyle name="40% - Accent2 3 2 2 2 3" xfId="3914"/>
    <cellStyle name="40% - Accent2 3 2 2 2 3 2" xfId="3915"/>
    <cellStyle name="40% - Accent2 3 2 2 2 4" xfId="3916"/>
    <cellStyle name="40% - Accent2 3 2 2 3" xfId="3917"/>
    <cellStyle name="40% - Accent2 3 2 2 3 2" xfId="3918"/>
    <cellStyle name="40% - Accent2 3 2 2 3 2 2" xfId="3919"/>
    <cellStyle name="40% - Accent2 3 2 2 3 3" xfId="3920"/>
    <cellStyle name="40% - Accent2 3 2 2 4" xfId="3921"/>
    <cellStyle name="40% - Accent2 3 2 2 4 2" xfId="3922"/>
    <cellStyle name="40% - Accent2 3 2 2 5" xfId="3923"/>
    <cellStyle name="40% - Accent2 3 2 2 6" xfId="3924"/>
    <cellStyle name="40% - Accent2 3 2 3" xfId="3925"/>
    <cellStyle name="40% - Accent2 3 2 3 2" xfId="3926"/>
    <cellStyle name="40% - Accent2 3 2 3 2 2" xfId="3927"/>
    <cellStyle name="40% - Accent2 3 2 3 2 2 2" xfId="3928"/>
    <cellStyle name="40% - Accent2 3 2 3 2 3" xfId="3929"/>
    <cellStyle name="40% - Accent2 3 2 3 3" xfId="3930"/>
    <cellStyle name="40% - Accent2 3 2 3 3 2" xfId="3931"/>
    <cellStyle name="40% - Accent2 3 2 3 4" xfId="3932"/>
    <cellStyle name="40% - Accent2 3 2 4" xfId="3933"/>
    <cellStyle name="40% - Accent2 3 2 4 2" xfId="3934"/>
    <cellStyle name="40% - Accent2 3 2 4 2 2" xfId="3935"/>
    <cellStyle name="40% - Accent2 3 2 4 3" xfId="3936"/>
    <cellStyle name="40% - Accent2 3 2 5" xfId="3937"/>
    <cellStyle name="40% - Accent2 3 2 5 2" xfId="3938"/>
    <cellStyle name="40% - Accent2 3 2 6" xfId="3939"/>
    <cellStyle name="40% - Accent2 3 2 7" xfId="3940"/>
    <cellStyle name="40% - Accent2 3 3" xfId="3941"/>
    <cellStyle name="40% - Accent2 3 3 2" xfId="3942"/>
    <cellStyle name="40% - Accent2 3 3 2 2" xfId="3943"/>
    <cellStyle name="40% - Accent2 3 3 2 2 2" xfId="3944"/>
    <cellStyle name="40% - Accent2 3 3 2 2 2 2" xfId="3945"/>
    <cellStyle name="40% - Accent2 3 3 2 2 3" xfId="3946"/>
    <cellStyle name="40% - Accent2 3 3 2 3" xfId="3947"/>
    <cellStyle name="40% - Accent2 3 3 2 3 2" xfId="3948"/>
    <cellStyle name="40% - Accent2 3 3 2 4" xfId="3949"/>
    <cellStyle name="40% - Accent2 3 3 3" xfId="3950"/>
    <cellStyle name="40% - Accent2 3 3 3 2" xfId="3951"/>
    <cellStyle name="40% - Accent2 3 3 3 2 2" xfId="3952"/>
    <cellStyle name="40% - Accent2 3 3 3 3" xfId="3953"/>
    <cellStyle name="40% - Accent2 3 3 4" xfId="3954"/>
    <cellStyle name="40% - Accent2 3 3 4 2" xfId="3955"/>
    <cellStyle name="40% - Accent2 3 3 5" xfId="3956"/>
    <cellStyle name="40% - Accent2 3 3 6" xfId="3957"/>
    <cellStyle name="40% - Accent2 3 4" xfId="3958"/>
    <cellStyle name="40% - Accent2 3 4 2" xfId="3959"/>
    <cellStyle name="40% - Accent2 3 4 2 2" xfId="3960"/>
    <cellStyle name="40% - Accent2 3 4 2 2 2" xfId="3961"/>
    <cellStyle name="40% - Accent2 3 4 2 3" xfId="3962"/>
    <cellStyle name="40% - Accent2 3 4 3" xfId="3963"/>
    <cellStyle name="40% - Accent2 3 4 3 2" xfId="3964"/>
    <cellStyle name="40% - Accent2 3 4 4" xfId="3965"/>
    <cellStyle name="40% - Accent2 3 4 5" xfId="3966"/>
    <cellStyle name="40% - Accent2 3 5" xfId="3967"/>
    <cellStyle name="40% - Accent2 3 5 2" xfId="3968"/>
    <cellStyle name="40% - Accent2 3 5 2 2" xfId="3969"/>
    <cellStyle name="40% - Accent2 3 5 3" xfId="3970"/>
    <cellStyle name="40% - Accent2 3 6" xfId="3971"/>
    <cellStyle name="40% - Accent2 3 6 2" xfId="3972"/>
    <cellStyle name="40% - Accent2 3 7" xfId="3973"/>
    <cellStyle name="40% - Accent2 3 8" xfId="3974"/>
    <cellStyle name="40% - Accent2 3 9" xfId="3975"/>
    <cellStyle name="40% - Accent2 30" xfId="498"/>
    <cellStyle name="40% - Accent2 31" xfId="499"/>
    <cellStyle name="40% - Accent2 32" xfId="500"/>
    <cellStyle name="40% - Accent2 33" xfId="501"/>
    <cellStyle name="40% - Accent2 34" xfId="502"/>
    <cellStyle name="40% - Accent2 35" xfId="503"/>
    <cellStyle name="40% - Accent2 4" xfId="504"/>
    <cellStyle name="40% - Accent2 4 2" xfId="3976"/>
    <cellStyle name="40% - Accent2 4 2 2" xfId="3977"/>
    <cellStyle name="40% - Accent2 4 2 2 2" xfId="3978"/>
    <cellStyle name="40% - Accent2 4 2 2 2 2" xfId="3979"/>
    <cellStyle name="40% - Accent2 4 2 2 2 2 2" xfId="3980"/>
    <cellStyle name="40% - Accent2 4 2 2 2 3" xfId="3981"/>
    <cellStyle name="40% - Accent2 4 2 2 3" xfId="3982"/>
    <cellStyle name="40% - Accent2 4 2 2 3 2" xfId="3983"/>
    <cellStyle name="40% - Accent2 4 2 2 4" xfId="3984"/>
    <cellStyle name="40% - Accent2 4 2 3" xfId="3985"/>
    <cellStyle name="40% - Accent2 4 2 3 2" xfId="3986"/>
    <cellStyle name="40% - Accent2 4 2 3 2 2" xfId="3987"/>
    <cellStyle name="40% - Accent2 4 2 3 3" xfId="3988"/>
    <cellStyle name="40% - Accent2 4 2 4" xfId="3989"/>
    <cellStyle name="40% - Accent2 4 2 4 2" xfId="3990"/>
    <cellStyle name="40% - Accent2 4 2 5" xfId="3991"/>
    <cellStyle name="40% - Accent2 4 2 6" xfId="3992"/>
    <cellStyle name="40% - Accent2 4 3" xfId="3993"/>
    <cellStyle name="40% - Accent2 4 3 2" xfId="3994"/>
    <cellStyle name="40% - Accent2 4 3 2 2" xfId="3995"/>
    <cellStyle name="40% - Accent2 4 3 2 2 2" xfId="3996"/>
    <cellStyle name="40% - Accent2 4 3 2 3" xfId="3997"/>
    <cellStyle name="40% - Accent2 4 3 3" xfId="3998"/>
    <cellStyle name="40% - Accent2 4 3 3 2" xfId="3999"/>
    <cellStyle name="40% - Accent2 4 3 4" xfId="4000"/>
    <cellStyle name="40% - Accent2 4 3 5" xfId="4001"/>
    <cellStyle name="40% - Accent2 4 4" xfId="4002"/>
    <cellStyle name="40% - Accent2 4 4 2" xfId="4003"/>
    <cellStyle name="40% - Accent2 4 4 2 2" xfId="4004"/>
    <cellStyle name="40% - Accent2 4 4 3" xfId="4005"/>
    <cellStyle name="40% - Accent2 4 5" xfId="4006"/>
    <cellStyle name="40% - Accent2 4 5 2" xfId="4007"/>
    <cellStyle name="40% - Accent2 4 6" xfId="4008"/>
    <cellStyle name="40% - Accent2 4 7" xfId="4009"/>
    <cellStyle name="40% - Accent2 5" xfId="505"/>
    <cellStyle name="40% - Accent2 5 2" xfId="4010"/>
    <cellStyle name="40% - Accent2 5 2 2" xfId="4011"/>
    <cellStyle name="40% - Accent2 5 2 2 2" xfId="4012"/>
    <cellStyle name="40% - Accent2 5 2 2 2 2" xfId="4013"/>
    <cellStyle name="40% - Accent2 5 2 2 3" xfId="4014"/>
    <cellStyle name="40% - Accent2 5 2 3" xfId="4015"/>
    <cellStyle name="40% - Accent2 5 2 3 2" xfId="4016"/>
    <cellStyle name="40% - Accent2 5 2 4" xfId="4017"/>
    <cellStyle name="40% - Accent2 5 2 5" xfId="4018"/>
    <cellStyle name="40% - Accent2 5 3" xfId="4019"/>
    <cellStyle name="40% - Accent2 5 3 2" xfId="4020"/>
    <cellStyle name="40% - Accent2 5 3 2 2" xfId="4021"/>
    <cellStyle name="40% - Accent2 5 3 3" xfId="4022"/>
    <cellStyle name="40% - Accent2 5 4" xfId="4023"/>
    <cellStyle name="40% - Accent2 5 4 2" xfId="4024"/>
    <cellStyle name="40% - Accent2 5 5" xfId="4025"/>
    <cellStyle name="40% - Accent2 5 6" xfId="4026"/>
    <cellStyle name="40% - Accent2 6" xfId="506"/>
    <cellStyle name="40% - Accent2 6 2" xfId="4027"/>
    <cellStyle name="40% - Accent2 6 2 2" xfId="4028"/>
    <cellStyle name="40% - Accent2 6 2 2 2" xfId="4029"/>
    <cellStyle name="40% - Accent2 6 2 3" xfId="4030"/>
    <cellStyle name="40% - Accent2 6 2 4" xfId="4031"/>
    <cellStyle name="40% - Accent2 6 2 5" xfId="4032"/>
    <cellStyle name="40% - Accent2 6 3" xfId="4033"/>
    <cellStyle name="40% - Accent2 6 3 2" xfId="4034"/>
    <cellStyle name="40% - Accent2 6 4" xfId="4035"/>
    <cellStyle name="40% - Accent2 6 5" xfId="4036"/>
    <cellStyle name="40% - Accent2 7" xfId="507"/>
    <cellStyle name="40% - Accent2 7 2" xfId="4037"/>
    <cellStyle name="40% - Accent2 7 2 2" xfId="4038"/>
    <cellStyle name="40% - Accent2 7 2 2 2" xfId="4039"/>
    <cellStyle name="40% - Accent2 7 2 3" xfId="4040"/>
    <cellStyle name="40% - Accent2 7 3" xfId="4041"/>
    <cellStyle name="40% - Accent2 7 3 2" xfId="4042"/>
    <cellStyle name="40% - Accent2 7 4" xfId="4043"/>
    <cellStyle name="40% - Accent2 7 5" xfId="4044"/>
    <cellStyle name="40% - Accent2 8" xfId="508"/>
    <cellStyle name="40% - Accent2 8 2" xfId="4045"/>
    <cellStyle name="40% - Accent2 8 2 2" xfId="4046"/>
    <cellStyle name="40% - Accent2 8 2 2 2" xfId="4047"/>
    <cellStyle name="40% - Accent2 8 2 3" xfId="4048"/>
    <cellStyle name="40% - Accent2 8 3" xfId="4049"/>
    <cellStyle name="40% - Accent2 8 3 2" xfId="4050"/>
    <cellStyle name="40% - Accent2 8 4" xfId="4051"/>
    <cellStyle name="40% - Accent2 8 5" xfId="4052"/>
    <cellStyle name="40% - Accent2 9" xfId="509"/>
    <cellStyle name="40% - Accent2 9 2" xfId="4053"/>
    <cellStyle name="40% - Accent2 9 2 2" xfId="4054"/>
    <cellStyle name="40% - Accent2 9 3" xfId="4055"/>
    <cellStyle name="40% - Accent2 9 4" xfId="4056"/>
    <cellStyle name="40% - Accent3 10" xfId="510"/>
    <cellStyle name="40% - Accent3 10 2" xfId="4057"/>
    <cellStyle name="40% - Accent3 10 2 2" xfId="4058"/>
    <cellStyle name="40% - Accent3 10 3" xfId="4059"/>
    <cellStyle name="40% - Accent3 10 4" xfId="4060"/>
    <cellStyle name="40% - Accent3 11" xfId="511"/>
    <cellStyle name="40% - Accent3 11 2" xfId="4061"/>
    <cellStyle name="40% - Accent3 11 2 2" xfId="4062"/>
    <cellStyle name="40% - Accent3 11 3" xfId="4063"/>
    <cellStyle name="40% - Accent3 11 4" xfId="4064"/>
    <cellStyle name="40% - Accent3 12" xfId="512"/>
    <cellStyle name="40% - Accent3 12 2" xfId="4065"/>
    <cellStyle name="40% - Accent3 12 3" xfId="4066"/>
    <cellStyle name="40% - Accent3 13" xfId="513"/>
    <cellStyle name="40% - Accent3 13 2" xfId="4067"/>
    <cellStyle name="40% - Accent3 14" xfId="514"/>
    <cellStyle name="40% - Accent3 15" xfId="515"/>
    <cellStyle name="40% - Accent3 15 2" xfId="516"/>
    <cellStyle name="40% - Accent3 15 3" xfId="517"/>
    <cellStyle name="40% - Accent3 15 4" xfId="518"/>
    <cellStyle name="40% - Accent3 15 5" xfId="519"/>
    <cellStyle name="40% - Accent3 16" xfId="520"/>
    <cellStyle name="40% - Accent3 16 2" xfId="521"/>
    <cellStyle name="40% - Accent3 16 3" xfId="522"/>
    <cellStyle name="40% - Accent3 16 4" xfId="523"/>
    <cellStyle name="40% - Accent3 16 5" xfId="524"/>
    <cellStyle name="40% - Accent3 17" xfId="525"/>
    <cellStyle name="40% - Accent3 17 2" xfId="526"/>
    <cellStyle name="40% - Accent3 17 3" xfId="527"/>
    <cellStyle name="40% - Accent3 17 4" xfId="528"/>
    <cellStyle name="40% - Accent3 17 5" xfId="529"/>
    <cellStyle name="40% - Accent3 18" xfId="530"/>
    <cellStyle name="40% - Accent3 19" xfId="531"/>
    <cellStyle name="40% - Accent3 2" xfId="532"/>
    <cellStyle name="40% - Accent3 2 2" xfId="533"/>
    <cellStyle name="40% - Accent3 2 2 2" xfId="534"/>
    <cellStyle name="40% - Accent3 2 2 2 2" xfId="535"/>
    <cellStyle name="40% - Accent3 2 2 2 2 2" xfId="4068"/>
    <cellStyle name="40% - Accent3 2 2 2 2 2 2" xfId="4069"/>
    <cellStyle name="40% - Accent3 2 2 2 2 2 2 2" xfId="4070"/>
    <cellStyle name="40% - Accent3 2 2 2 2 2 3" xfId="4071"/>
    <cellStyle name="40% - Accent3 2 2 2 2 3" xfId="4072"/>
    <cellStyle name="40% - Accent3 2 2 2 2 3 2" xfId="4073"/>
    <cellStyle name="40% - Accent3 2 2 2 2 4" xfId="4074"/>
    <cellStyle name="40% - Accent3 2 2 2 2 5" xfId="4075"/>
    <cellStyle name="40% - Accent3 2 2 2 3" xfId="536"/>
    <cellStyle name="40% - Accent3 2 2 2 3 2" xfId="4076"/>
    <cellStyle name="40% - Accent3 2 2 2 3 2 2" xfId="4077"/>
    <cellStyle name="40% - Accent3 2 2 2 3 3" xfId="4078"/>
    <cellStyle name="40% - Accent3 2 2 2 4" xfId="537"/>
    <cellStyle name="40% - Accent3 2 2 2 4 2" xfId="4079"/>
    <cellStyle name="40% - Accent3 2 2 2 5" xfId="538"/>
    <cellStyle name="40% - Accent3 2 2 2 6" xfId="4080"/>
    <cellStyle name="40% - Accent3 2 2 3" xfId="539"/>
    <cellStyle name="40% - Accent3 2 2 3 2" xfId="4081"/>
    <cellStyle name="40% - Accent3 2 2 3 2 2" xfId="4082"/>
    <cellStyle name="40% - Accent3 2 2 3 2 2 2" xfId="4083"/>
    <cellStyle name="40% - Accent3 2 2 3 2 3" xfId="4084"/>
    <cellStyle name="40% - Accent3 2 2 3 3" xfId="4085"/>
    <cellStyle name="40% - Accent3 2 2 3 3 2" xfId="4086"/>
    <cellStyle name="40% - Accent3 2 2 3 4" xfId="4087"/>
    <cellStyle name="40% - Accent3 2 2 3 5" xfId="4088"/>
    <cellStyle name="40% - Accent3 2 2 4" xfId="540"/>
    <cellStyle name="40% - Accent3 2 2 4 2" xfId="4089"/>
    <cellStyle name="40% - Accent3 2 2 4 2 2" xfId="4090"/>
    <cellStyle name="40% - Accent3 2 2 4 3" xfId="4091"/>
    <cellStyle name="40% - Accent3 2 2 5" xfId="541"/>
    <cellStyle name="40% - Accent3 2 2 5 2" xfId="4092"/>
    <cellStyle name="40% - Accent3 2 2 6" xfId="4093"/>
    <cellStyle name="40% - Accent3 2 2 7" xfId="4094"/>
    <cellStyle name="40% - Accent3 2 3" xfId="542"/>
    <cellStyle name="40% - Accent3 2 3 2" xfId="4095"/>
    <cellStyle name="40% - Accent3 2 3 2 2" xfId="4096"/>
    <cellStyle name="40% - Accent3 2 3 2 2 2" xfId="4097"/>
    <cellStyle name="40% - Accent3 2 3 2 2 2 2" xfId="4098"/>
    <cellStyle name="40% - Accent3 2 3 2 2 3" xfId="4099"/>
    <cellStyle name="40% - Accent3 2 3 2 3" xfId="4100"/>
    <cellStyle name="40% - Accent3 2 3 2 3 2" xfId="4101"/>
    <cellStyle name="40% - Accent3 2 3 2 4" xfId="4102"/>
    <cellStyle name="40% - Accent3 2 3 3" xfId="4103"/>
    <cellStyle name="40% - Accent3 2 3 3 2" xfId="4104"/>
    <cellStyle name="40% - Accent3 2 3 3 2 2" xfId="4105"/>
    <cellStyle name="40% - Accent3 2 3 3 3" xfId="4106"/>
    <cellStyle name="40% - Accent3 2 3 4" xfId="4107"/>
    <cellStyle name="40% - Accent3 2 3 4 2" xfId="4108"/>
    <cellStyle name="40% - Accent3 2 3 5" xfId="4109"/>
    <cellStyle name="40% - Accent3 2 3 6" xfId="4110"/>
    <cellStyle name="40% - Accent3 2 4" xfId="543"/>
    <cellStyle name="40% - Accent3 2 4 2" xfId="4111"/>
    <cellStyle name="40% - Accent3 2 4 2 2" xfId="4112"/>
    <cellStyle name="40% - Accent3 2 4 2 2 2" xfId="4113"/>
    <cellStyle name="40% - Accent3 2 4 2 3" xfId="4114"/>
    <cellStyle name="40% - Accent3 2 4 3" xfId="4115"/>
    <cellStyle name="40% - Accent3 2 4 3 2" xfId="4116"/>
    <cellStyle name="40% - Accent3 2 4 4" xfId="4117"/>
    <cellStyle name="40% - Accent3 2 4 5" xfId="4118"/>
    <cellStyle name="40% - Accent3 2 5" xfId="544"/>
    <cellStyle name="40% - Accent3 2 5 2" xfId="4119"/>
    <cellStyle name="40% - Accent3 2 5 2 2" xfId="4120"/>
    <cellStyle name="40% - Accent3 2 5 3" xfId="4121"/>
    <cellStyle name="40% - Accent3 2 5 4" xfId="4122"/>
    <cellStyle name="40% - Accent3 2 6" xfId="545"/>
    <cellStyle name="40% - Accent3 2 6 2" xfId="4123"/>
    <cellStyle name="40% - Accent3 2 6 3" xfId="4124"/>
    <cellStyle name="40% - Accent3 2 7" xfId="546"/>
    <cellStyle name="40% - Accent3 2 8" xfId="547"/>
    <cellStyle name="40% - Accent3 2 9" xfId="548"/>
    <cellStyle name="40% - Accent3 20" xfId="549"/>
    <cellStyle name="40% - Accent3 21" xfId="550"/>
    <cellStyle name="40% - Accent3 22" xfId="551"/>
    <cellStyle name="40% - Accent3 23" xfId="552"/>
    <cellStyle name="40% - Accent3 24" xfId="553"/>
    <cellStyle name="40% - Accent3 25" xfId="554"/>
    <cellStyle name="40% - Accent3 26" xfId="555"/>
    <cellStyle name="40% - Accent3 27" xfId="556"/>
    <cellStyle name="40% - Accent3 28" xfId="557"/>
    <cellStyle name="40% - Accent3 29" xfId="558"/>
    <cellStyle name="40% - Accent3 3" xfId="559"/>
    <cellStyle name="40% - Accent3 3 2" xfId="4125"/>
    <cellStyle name="40% - Accent3 3 2 2" xfId="4126"/>
    <cellStyle name="40% - Accent3 3 2 2 2" xfId="4127"/>
    <cellStyle name="40% - Accent3 3 2 2 2 2" xfId="4128"/>
    <cellStyle name="40% - Accent3 3 2 2 2 2 2" xfId="4129"/>
    <cellStyle name="40% - Accent3 3 2 2 2 2 2 2" xfId="4130"/>
    <cellStyle name="40% - Accent3 3 2 2 2 2 3" xfId="4131"/>
    <cellStyle name="40% - Accent3 3 2 2 2 3" xfId="4132"/>
    <cellStyle name="40% - Accent3 3 2 2 2 3 2" xfId="4133"/>
    <cellStyle name="40% - Accent3 3 2 2 2 4" xfId="4134"/>
    <cellStyle name="40% - Accent3 3 2 2 3" xfId="4135"/>
    <cellStyle name="40% - Accent3 3 2 2 3 2" xfId="4136"/>
    <cellStyle name="40% - Accent3 3 2 2 3 2 2" xfId="4137"/>
    <cellStyle name="40% - Accent3 3 2 2 3 3" xfId="4138"/>
    <cellStyle name="40% - Accent3 3 2 2 4" xfId="4139"/>
    <cellStyle name="40% - Accent3 3 2 2 4 2" xfId="4140"/>
    <cellStyle name="40% - Accent3 3 2 2 5" xfId="4141"/>
    <cellStyle name="40% - Accent3 3 2 2 6" xfId="4142"/>
    <cellStyle name="40% - Accent3 3 2 3" xfId="4143"/>
    <cellStyle name="40% - Accent3 3 2 3 2" xfId="4144"/>
    <cellStyle name="40% - Accent3 3 2 3 2 2" xfId="4145"/>
    <cellStyle name="40% - Accent3 3 2 3 2 2 2" xfId="4146"/>
    <cellStyle name="40% - Accent3 3 2 3 2 3" xfId="4147"/>
    <cellStyle name="40% - Accent3 3 2 3 3" xfId="4148"/>
    <cellStyle name="40% - Accent3 3 2 3 3 2" xfId="4149"/>
    <cellStyle name="40% - Accent3 3 2 3 4" xfId="4150"/>
    <cellStyle name="40% - Accent3 3 2 4" xfId="4151"/>
    <cellStyle name="40% - Accent3 3 2 4 2" xfId="4152"/>
    <cellStyle name="40% - Accent3 3 2 4 2 2" xfId="4153"/>
    <cellStyle name="40% - Accent3 3 2 4 3" xfId="4154"/>
    <cellStyle name="40% - Accent3 3 2 5" xfId="4155"/>
    <cellStyle name="40% - Accent3 3 2 5 2" xfId="4156"/>
    <cellStyle name="40% - Accent3 3 2 6" xfId="4157"/>
    <cellStyle name="40% - Accent3 3 2 7" xfId="4158"/>
    <cellStyle name="40% - Accent3 3 3" xfId="4159"/>
    <cellStyle name="40% - Accent3 3 3 2" xfId="4160"/>
    <cellStyle name="40% - Accent3 3 3 2 2" xfId="4161"/>
    <cellStyle name="40% - Accent3 3 3 2 2 2" xfId="4162"/>
    <cellStyle name="40% - Accent3 3 3 2 2 2 2" xfId="4163"/>
    <cellStyle name="40% - Accent3 3 3 2 2 3" xfId="4164"/>
    <cellStyle name="40% - Accent3 3 3 2 3" xfId="4165"/>
    <cellStyle name="40% - Accent3 3 3 2 3 2" xfId="4166"/>
    <cellStyle name="40% - Accent3 3 3 2 4" xfId="4167"/>
    <cellStyle name="40% - Accent3 3 3 3" xfId="4168"/>
    <cellStyle name="40% - Accent3 3 3 3 2" xfId="4169"/>
    <cellStyle name="40% - Accent3 3 3 3 2 2" xfId="4170"/>
    <cellStyle name="40% - Accent3 3 3 3 3" xfId="4171"/>
    <cellStyle name="40% - Accent3 3 3 4" xfId="4172"/>
    <cellStyle name="40% - Accent3 3 3 4 2" xfId="4173"/>
    <cellStyle name="40% - Accent3 3 3 5" xfId="4174"/>
    <cellStyle name="40% - Accent3 3 3 6" xfId="4175"/>
    <cellStyle name="40% - Accent3 3 4" xfId="4176"/>
    <cellStyle name="40% - Accent3 3 4 2" xfId="4177"/>
    <cellStyle name="40% - Accent3 3 4 2 2" xfId="4178"/>
    <cellStyle name="40% - Accent3 3 4 2 2 2" xfId="4179"/>
    <cellStyle name="40% - Accent3 3 4 2 3" xfId="4180"/>
    <cellStyle name="40% - Accent3 3 4 3" xfId="4181"/>
    <cellStyle name="40% - Accent3 3 4 3 2" xfId="4182"/>
    <cellStyle name="40% - Accent3 3 4 4" xfId="4183"/>
    <cellStyle name="40% - Accent3 3 4 5" xfId="4184"/>
    <cellStyle name="40% - Accent3 3 5" xfId="4185"/>
    <cellStyle name="40% - Accent3 3 5 2" xfId="4186"/>
    <cellStyle name="40% - Accent3 3 5 2 2" xfId="4187"/>
    <cellStyle name="40% - Accent3 3 5 3" xfId="4188"/>
    <cellStyle name="40% - Accent3 3 6" xfId="4189"/>
    <cellStyle name="40% - Accent3 3 6 2" xfId="4190"/>
    <cellStyle name="40% - Accent3 3 7" xfId="4191"/>
    <cellStyle name="40% - Accent3 3 8" xfId="4192"/>
    <cellStyle name="40% - Accent3 3 9" xfId="4193"/>
    <cellStyle name="40% - Accent3 30" xfId="560"/>
    <cellStyle name="40% - Accent3 31" xfId="561"/>
    <cellStyle name="40% - Accent3 32" xfId="562"/>
    <cellStyle name="40% - Accent3 33" xfId="563"/>
    <cellStyle name="40% - Accent3 34" xfId="564"/>
    <cellStyle name="40% - Accent3 35" xfId="565"/>
    <cellStyle name="40% - Accent3 4" xfId="566"/>
    <cellStyle name="40% - Accent3 4 2" xfId="4194"/>
    <cellStyle name="40% - Accent3 4 2 2" xfId="4195"/>
    <cellStyle name="40% - Accent3 4 2 2 2" xfId="4196"/>
    <cellStyle name="40% - Accent3 4 2 2 2 2" xfId="4197"/>
    <cellStyle name="40% - Accent3 4 2 2 2 2 2" xfId="4198"/>
    <cellStyle name="40% - Accent3 4 2 2 2 3" xfId="4199"/>
    <cellStyle name="40% - Accent3 4 2 2 3" xfId="4200"/>
    <cellStyle name="40% - Accent3 4 2 2 3 2" xfId="4201"/>
    <cellStyle name="40% - Accent3 4 2 2 4" xfId="4202"/>
    <cellStyle name="40% - Accent3 4 2 3" xfId="4203"/>
    <cellStyle name="40% - Accent3 4 2 3 2" xfId="4204"/>
    <cellStyle name="40% - Accent3 4 2 3 2 2" xfId="4205"/>
    <cellStyle name="40% - Accent3 4 2 3 3" xfId="4206"/>
    <cellStyle name="40% - Accent3 4 2 4" xfId="4207"/>
    <cellStyle name="40% - Accent3 4 2 4 2" xfId="4208"/>
    <cellStyle name="40% - Accent3 4 2 5" xfId="4209"/>
    <cellStyle name="40% - Accent3 4 2 6" xfId="4210"/>
    <cellStyle name="40% - Accent3 4 3" xfId="4211"/>
    <cellStyle name="40% - Accent3 4 3 2" xfId="4212"/>
    <cellStyle name="40% - Accent3 4 3 2 2" xfId="4213"/>
    <cellStyle name="40% - Accent3 4 3 2 2 2" xfId="4214"/>
    <cellStyle name="40% - Accent3 4 3 2 3" xfId="4215"/>
    <cellStyle name="40% - Accent3 4 3 3" xfId="4216"/>
    <cellStyle name="40% - Accent3 4 3 3 2" xfId="4217"/>
    <cellStyle name="40% - Accent3 4 3 4" xfId="4218"/>
    <cellStyle name="40% - Accent3 4 3 5" xfId="4219"/>
    <cellStyle name="40% - Accent3 4 4" xfId="4220"/>
    <cellStyle name="40% - Accent3 4 4 2" xfId="4221"/>
    <cellStyle name="40% - Accent3 4 4 2 2" xfId="4222"/>
    <cellStyle name="40% - Accent3 4 4 3" xfId="4223"/>
    <cellStyle name="40% - Accent3 4 5" xfId="4224"/>
    <cellStyle name="40% - Accent3 4 5 2" xfId="4225"/>
    <cellStyle name="40% - Accent3 4 6" xfId="4226"/>
    <cellStyle name="40% - Accent3 4 7" xfId="4227"/>
    <cellStyle name="40% - Accent3 5" xfId="567"/>
    <cellStyle name="40% - Accent3 5 2" xfId="4228"/>
    <cellStyle name="40% - Accent3 5 2 2" xfId="4229"/>
    <cellStyle name="40% - Accent3 5 2 2 2" xfId="4230"/>
    <cellStyle name="40% - Accent3 5 2 2 2 2" xfId="4231"/>
    <cellStyle name="40% - Accent3 5 2 2 3" xfId="4232"/>
    <cellStyle name="40% - Accent3 5 2 3" xfId="4233"/>
    <cellStyle name="40% - Accent3 5 2 3 2" xfId="4234"/>
    <cellStyle name="40% - Accent3 5 2 4" xfId="4235"/>
    <cellStyle name="40% - Accent3 5 2 5" xfId="4236"/>
    <cellStyle name="40% - Accent3 5 3" xfId="4237"/>
    <cellStyle name="40% - Accent3 5 3 2" xfId="4238"/>
    <cellStyle name="40% - Accent3 5 3 2 2" xfId="4239"/>
    <cellStyle name="40% - Accent3 5 3 3" xfId="4240"/>
    <cellStyle name="40% - Accent3 5 4" xfId="4241"/>
    <cellStyle name="40% - Accent3 5 4 2" xfId="4242"/>
    <cellStyle name="40% - Accent3 5 5" xfId="4243"/>
    <cellStyle name="40% - Accent3 5 6" xfId="4244"/>
    <cellStyle name="40% - Accent3 6" xfId="568"/>
    <cellStyle name="40% - Accent3 6 2" xfId="4245"/>
    <cellStyle name="40% - Accent3 6 2 2" xfId="4246"/>
    <cellStyle name="40% - Accent3 6 2 2 2" xfId="4247"/>
    <cellStyle name="40% - Accent3 6 2 3" xfId="4248"/>
    <cellStyle name="40% - Accent3 6 2 4" xfId="4249"/>
    <cellStyle name="40% - Accent3 6 2 5" xfId="4250"/>
    <cellStyle name="40% - Accent3 6 3" xfId="4251"/>
    <cellStyle name="40% - Accent3 6 3 2" xfId="4252"/>
    <cellStyle name="40% - Accent3 6 4" xfId="4253"/>
    <cellStyle name="40% - Accent3 6 5" xfId="4254"/>
    <cellStyle name="40% - Accent3 7" xfId="569"/>
    <cellStyle name="40% - Accent3 7 2" xfId="4255"/>
    <cellStyle name="40% - Accent3 7 2 2" xfId="4256"/>
    <cellStyle name="40% - Accent3 7 2 2 2" xfId="4257"/>
    <cellStyle name="40% - Accent3 7 2 3" xfId="4258"/>
    <cellStyle name="40% - Accent3 7 3" xfId="4259"/>
    <cellStyle name="40% - Accent3 7 3 2" xfId="4260"/>
    <cellStyle name="40% - Accent3 7 4" xfId="4261"/>
    <cellStyle name="40% - Accent3 7 5" xfId="4262"/>
    <cellStyle name="40% - Accent3 8" xfId="570"/>
    <cellStyle name="40% - Accent3 8 2" xfId="4263"/>
    <cellStyle name="40% - Accent3 8 2 2" xfId="4264"/>
    <cellStyle name="40% - Accent3 8 2 2 2" xfId="4265"/>
    <cellStyle name="40% - Accent3 8 2 3" xfId="4266"/>
    <cellStyle name="40% - Accent3 8 3" xfId="4267"/>
    <cellStyle name="40% - Accent3 8 3 2" xfId="4268"/>
    <cellStyle name="40% - Accent3 8 4" xfId="4269"/>
    <cellStyle name="40% - Accent3 8 5" xfId="4270"/>
    <cellStyle name="40% - Accent3 9" xfId="571"/>
    <cellStyle name="40% - Accent3 9 2" xfId="4271"/>
    <cellStyle name="40% - Accent3 9 2 2" xfId="4272"/>
    <cellStyle name="40% - Accent3 9 3" xfId="4273"/>
    <cellStyle name="40% - Accent3 9 4" xfId="4274"/>
    <cellStyle name="40% - Accent4 10" xfId="572"/>
    <cellStyle name="40% - Accent4 10 2" xfId="4275"/>
    <cellStyle name="40% - Accent4 10 2 2" xfId="4276"/>
    <cellStyle name="40% - Accent4 10 3" xfId="4277"/>
    <cellStyle name="40% - Accent4 10 4" xfId="4278"/>
    <cellStyle name="40% - Accent4 11" xfId="573"/>
    <cellStyle name="40% - Accent4 11 2" xfId="4279"/>
    <cellStyle name="40% - Accent4 11 2 2" xfId="4280"/>
    <cellStyle name="40% - Accent4 11 3" xfId="4281"/>
    <cellStyle name="40% - Accent4 11 4" xfId="4282"/>
    <cellStyle name="40% - Accent4 12" xfId="574"/>
    <cellStyle name="40% - Accent4 12 2" xfId="4283"/>
    <cellStyle name="40% - Accent4 12 3" xfId="4284"/>
    <cellStyle name="40% - Accent4 13" xfId="575"/>
    <cellStyle name="40% - Accent4 13 2" xfId="4285"/>
    <cellStyle name="40% - Accent4 14" xfId="576"/>
    <cellStyle name="40% - Accent4 15" xfId="577"/>
    <cellStyle name="40% - Accent4 15 2" xfId="578"/>
    <cellStyle name="40% - Accent4 15 3" xfId="579"/>
    <cellStyle name="40% - Accent4 15 4" xfId="580"/>
    <cellStyle name="40% - Accent4 15 5" xfId="581"/>
    <cellStyle name="40% - Accent4 16" xfId="582"/>
    <cellStyle name="40% - Accent4 16 2" xfId="583"/>
    <cellStyle name="40% - Accent4 16 3" xfId="584"/>
    <cellStyle name="40% - Accent4 16 4" xfId="585"/>
    <cellStyle name="40% - Accent4 16 5" xfId="586"/>
    <cellStyle name="40% - Accent4 17" xfId="587"/>
    <cellStyle name="40% - Accent4 17 2" xfId="588"/>
    <cellStyle name="40% - Accent4 17 3" xfId="589"/>
    <cellStyle name="40% - Accent4 17 4" xfId="590"/>
    <cellStyle name="40% - Accent4 17 5" xfId="591"/>
    <cellStyle name="40% - Accent4 18" xfId="592"/>
    <cellStyle name="40% - Accent4 19" xfId="593"/>
    <cellStyle name="40% - Accent4 2" xfId="594"/>
    <cellStyle name="40% - Accent4 2 2" xfId="595"/>
    <cellStyle name="40% - Accent4 2 2 2" xfId="596"/>
    <cellStyle name="40% - Accent4 2 2 2 2" xfId="597"/>
    <cellStyle name="40% - Accent4 2 2 2 2 2" xfId="4286"/>
    <cellStyle name="40% - Accent4 2 2 2 2 2 2" xfId="4287"/>
    <cellStyle name="40% - Accent4 2 2 2 2 2 2 2" xfId="4288"/>
    <cellStyle name="40% - Accent4 2 2 2 2 2 3" xfId="4289"/>
    <cellStyle name="40% - Accent4 2 2 2 2 3" xfId="4290"/>
    <cellStyle name="40% - Accent4 2 2 2 2 3 2" xfId="4291"/>
    <cellStyle name="40% - Accent4 2 2 2 2 4" xfId="4292"/>
    <cellStyle name="40% - Accent4 2 2 2 2 5" xfId="4293"/>
    <cellStyle name="40% - Accent4 2 2 2 3" xfId="598"/>
    <cellStyle name="40% - Accent4 2 2 2 3 2" xfId="4294"/>
    <cellStyle name="40% - Accent4 2 2 2 3 2 2" xfId="4295"/>
    <cellStyle name="40% - Accent4 2 2 2 3 3" xfId="4296"/>
    <cellStyle name="40% - Accent4 2 2 2 4" xfId="599"/>
    <cellStyle name="40% - Accent4 2 2 2 4 2" xfId="4297"/>
    <cellStyle name="40% - Accent4 2 2 2 5" xfId="600"/>
    <cellStyle name="40% - Accent4 2 2 2 6" xfId="4298"/>
    <cellStyle name="40% - Accent4 2 2 3" xfId="601"/>
    <cellStyle name="40% - Accent4 2 2 3 2" xfId="4299"/>
    <cellStyle name="40% - Accent4 2 2 3 2 2" xfId="4300"/>
    <cellStyle name="40% - Accent4 2 2 3 2 2 2" xfId="4301"/>
    <cellStyle name="40% - Accent4 2 2 3 2 3" xfId="4302"/>
    <cellStyle name="40% - Accent4 2 2 3 3" xfId="4303"/>
    <cellStyle name="40% - Accent4 2 2 3 3 2" xfId="4304"/>
    <cellStyle name="40% - Accent4 2 2 3 4" xfId="4305"/>
    <cellStyle name="40% - Accent4 2 2 3 5" xfId="4306"/>
    <cellStyle name="40% - Accent4 2 2 4" xfId="602"/>
    <cellStyle name="40% - Accent4 2 2 4 2" xfId="4307"/>
    <cellStyle name="40% - Accent4 2 2 4 2 2" xfId="4308"/>
    <cellStyle name="40% - Accent4 2 2 4 3" xfId="4309"/>
    <cellStyle name="40% - Accent4 2 2 5" xfId="603"/>
    <cellStyle name="40% - Accent4 2 2 5 2" xfId="4310"/>
    <cellStyle name="40% - Accent4 2 2 6" xfId="4311"/>
    <cellStyle name="40% - Accent4 2 2 7" xfId="4312"/>
    <cellStyle name="40% - Accent4 2 3" xfId="604"/>
    <cellStyle name="40% - Accent4 2 3 2" xfId="4313"/>
    <cellStyle name="40% - Accent4 2 3 2 2" xfId="4314"/>
    <cellStyle name="40% - Accent4 2 3 2 2 2" xfId="4315"/>
    <cellStyle name="40% - Accent4 2 3 2 2 2 2" xfId="4316"/>
    <cellStyle name="40% - Accent4 2 3 2 2 3" xfId="4317"/>
    <cellStyle name="40% - Accent4 2 3 2 3" xfId="4318"/>
    <cellStyle name="40% - Accent4 2 3 2 3 2" xfId="4319"/>
    <cellStyle name="40% - Accent4 2 3 2 4" xfId="4320"/>
    <cellStyle name="40% - Accent4 2 3 3" xfId="4321"/>
    <cellStyle name="40% - Accent4 2 3 3 2" xfId="4322"/>
    <cellStyle name="40% - Accent4 2 3 3 2 2" xfId="4323"/>
    <cellStyle name="40% - Accent4 2 3 3 3" xfId="4324"/>
    <cellStyle name="40% - Accent4 2 3 4" xfId="4325"/>
    <cellStyle name="40% - Accent4 2 3 4 2" xfId="4326"/>
    <cellStyle name="40% - Accent4 2 3 5" xfId="4327"/>
    <cellStyle name="40% - Accent4 2 3 6" xfId="4328"/>
    <cellStyle name="40% - Accent4 2 4" xfId="605"/>
    <cellStyle name="40% - Accent4 2 4 2" xfId="4329"/>
    <cellStyle name="40% - Accent4 2 4 2 2" xfId="4330"/>
    <cellStyle name="40% - Accent4 2 4 2 2 2" xfId="4331"/>
    <cellStyle name="40% - Accent4 2 4 2 3" xfId="4332"/>
    <cellStyle name="40% - Accent4 2 4 3" xfId="4333"/>
    <cellStyle name="40% - Accent4 2 4 3 2" xfId="4334"/>
    <cellStyle name="40% - Accent4 2 4 4" xfId="4335"/>
    <cellStyle name="40% - Accent4 2 4 5" xfId="4336"/>
    <cellStyle name="40% - Accent4 2 5" xfId="606"/>
    <cellStyle name="40% - Accent4 2 5 2" xfId="4337"/>
    <cellStyle name="40% - Accent4 2 5 2 2" xfId="4338"/>
    <cellStyle name="40% - Accent4 2 5 3" xfId="4339"/>
    <cellStyle name="40% - Accent4 2 5 4" xfId="4340"/>
    <cellStyle name="40% - Accent4 2 6" xfId="607"/>
    <cellStyle name="40% - Accent4 2 6 2" xfId="4341"/>
    <cellStyle name="40% - Accent4 2 6 3" xfId="4342"/>
    <cellStyle name="40% - Accent4 2 7" xfId="608"/>
    <cellStyle name="40% - Accent4 2 8" xfId="609"/>
    <cellStyle name="40% - Accent4 2 9" xfId="610"/>
    <cellStyle name="40% - Accent4 20" xfId="611"/>
    <cellStyle name="40% - Accent4 21" xfId="612"/>
    <cellStyle name="40% - Accent4 22" xfId="613"/>
    <cellStyle name="40% - Accent4 23" xfId="614"/>
    <cellStyle name="40% - Accent4 24" xfId="615"/>
    <cellStyle name="40% - Accent4 25" xfId="616"/>
    <cellStyle name="40% - Accent4 26" xfId="617"/>
    <cellStyle name="40% - Accent4 27" xfId="618"/>
    <cellStyle name="40% - Accent4 28" xfId="619"/>
    <cellStyle name="40% - Accent4 29" xfId="620"/>
    <cellStyle name="40% - Accent4 3" xfId="621"/>
    <cellStyle name="40% - Accent4 3 2" xfId="4343"/>
    <cellStyle name="40% - Accent4 3 2 2" xfId="4344"/>
    <cellStyle name="40% - Accent4 3 2 2 2" xfId="4345"/>
    <cellStyle name="40% - Accent4 3 2 2 2 2" xfId="4346"/>
    <cellStyle name="40% - Accent4 3 2 2 2 2 2" xfId="4347"/>
    <cellStyle name="40% - Accent4 3 2 2 2 2 2 2" xfId="4348"/>
    <cellStyle name="40% - Accent4 3 2 2 2 2 3" xfId="4349"/>
    <cellStyle name="40% - Accent4 3 2 2 2 3" xfId="4350"/>
    <cellStyle name="40% - Accent4 3 2 2 2 3 2" xfId="4351"/>
    <cellStyle name="40% - Accent4 3 2 2 2 4" xfId="4352"/>
    <cellStyle name="40% - Accent4 3 2 2 3" xfId="4353"/>
    <cellStyle name="40% - Accent4 3 2 2 3 2" xfId="4354"/>
    <cellStyle name="40% - Accent4 3 2 2 3 2 2" xfId="4355"/>
    <cellStyle name="40% - Accent4 3 2 2 3 3" xfId="4356"/>
    <cellStyle name="40% - Accent4 3 2 2 4" xfId="4357"/>
    <cellStyle name="40% - Accent4 3 2 2 4 2" xfId="4358"/>
    <cellStyle name="40% - Accent4 3 2 2 5" xfId="4359"/>
    <cellStyle name="40% - Accent4 3 2 2 6" xfId="4360"/>
    <cellStyle name="40% - Accent4 3 2 3" xfId="4361"/>
    <cellStyle name="40% - Accent4 3 2 3 2" xfId="4362"/>
    <cellStyle name="40% - Accent4 3 2 3 2 2" xfId="4363"/>
    <cellStyle name="40% - Accent4 3 2 3 2 2 2" xfId="4364"/>
    <cellStyle name="40% - Accent4 3 2 3 2 3" xfId="4365"/>
    <cellStyle name="40% - Accent4 3 2 3 3" xfId="4366"/>
    <cellStyle name="40% - Accent4 3 2 3 3 2" xfId="4367"/>
    <cellStyle name="40% - Accent4 3 2 3 4" xfId="4368"/>
    <cellStyle name="40% - Accent4 3 2 4" xfId="4369"/>
    <cellStyle name="40% - Accent4 3 2 4 2" xfId="4370"/>
    <cellStyle name="40% - Accent4 3 2 4 2 2" xfId="4371"/>
    <cellStyle name="40% - Accent4 3 2 4 3" xfId="4372"/>
    <cellStyle name="40% - Accent4 3 2 5" xfId="4373"/>
    <cellStyle name="40% - Accent4 3 2 5 2" xfId="4374"/>
    <cellStyle name="40% - Accent4 3 2 6" xfId="4375"/>
    <cellStyle name="40% - Accent4 3 2 7" xfId="4376"/>
    <cellStyle name="40% - Accent4 3 3" xfId="4377"/>
    <cellStyle name="40% - Accent4 3 3 2" xfId="4378"/>
    <cellStyle name="40% - Accent4 3 3 2 2" xfId="4379"/>
    <cellStyle name="40% - Accent4 3 3 2 2 2" xfId="4380"/>
    <cellStyle name="40% - Accent4 3 3 2 2 2 2" xfId="4381"/>
    <cellStyle name="40% - Accent4 3 3 2 2 3" xfId="4382"/>
    <cellStyle name="40% - Accent4 3 3 2 3" xfId="4383"/>
    <cellStyle name="40% - Accent4 3 3 2 3 2" xfId="4384"/>
    <cellStyle name="40% - Accent4 3 3 2 4" xfId="4385"/>
    <cellStyle name="40% - Accent4 3 3 3" xfId="4386"/>
    <cellStyle name="40% - Accent4 3 3 3 2" xfId="4387"/>
    <cellStyle name="40% - Accent4 3 3 3 2 2" xfId="4388"/>
    <cellStyle name="40% - Accent4 3 3 3 3" xfId="4389"/>
    <cellStyle name="40% - Accent4 3 3 4" xfId="4390"/>
    <cellStyle name="40% - Accent4 3 3 4 2" xfId="4391"/>
    <cellStyle name="40% - Accent4 3 3 5" xfId="4392"/>
    <cellStyle name="40% - Accent4 3 3 6" xfId="4393"/>
    <cellStyle name="40% - Accent4 3 4" xfId="4394"/>
    <cellStyle name="40% - Accent4 3 4 2" xfId="4395"/>
    <cellStyle name="40% - Accent4 3 4 2 2" xfId="4396"/>
    <cellStyle name="40% - Accent4 3 4 2 2 2" xfId="4397"/>
    <cellStyle name="40% - Accent4 3 4 2 3" xfId="4398"/>
    <cellStyle name="40% - Accent4 3 4 3" xfId="4399"/>
    <cellStyle name="40% - Accent4 3 4 3 2" xfId="4400"/>
    <cellStyle name="40% - Accent4 3 4 4" xfId="4401"/>
    <cellStyle name="40% - Accent4 3 4 5" xfId="4402"/>
    <cellStyle name="40% - Accent4 3 5" xfId="4403"/>
    <cellStyle name="40% - Accent4 3 5 2" xfId="4404"/>
    <cellStyle name="40% - Accent4 3 5 2 2" xfId="4405"/>
    <cellStyle name="40% - Accent4 3 5 3" xfId="4406"/>
    <cellStyle name="40% - Accent4 3 6" xfId="4407"/>
    <cellStyle name="40% - Accent4 3 6 2" xfId="4408"/>
    <cellStyle name="40% - Accent4 3 7" xfId="4409"/>
    <cellStyle name="40% - Accent4 3 8" xfId="4410"/>
    <cellStyle name="40% - Accent4 3 9" xfId="4411"/>
    <cellStyle name="40% - Accent4 30" xfId="622"/>
    <cellStyle name="40% - Accent4 31" xfId="623"/>
    <cellStyle name="40% - Accent4 32" xfId="624"/>
    <cellStyle name="40% - Accent4 33" xfId="625"/>
    <cellStyle name="40% - Accent4 34" xfId="626"/>
    <cellStyle name="40% - Accent4 35" xfId="627"/>
    <cellStyle name="40% - Accent4 4" xfId="628"/>
    <cellStyle name="40% - Accent4 4 2" xfId="4412"/>
    <cellStyle name="40% - Accent4 4 2 2" xfId="4413"/>
    <cellStyle name="40% - Accent4 4 2 2 2" xfId="4414"/>
    <cellStyle name="40% - Accent4 4 2 2 2 2" xfId="4415"/>
    <cellStyle name="40% - Accent4 4 2 2 2 2 2" xfId="4416"/>
    <cellStyle name="40% - Accent4 4 2 2 2 3" xfId="4417"/>
    <cellStyle name="40% - Accent4 4 2 2 3" xfId="4418"/>
    <cellStyle name="40% - Accent4 4 2 2 3 2" xfId="4419"/>
    <cellStyle name="40% - Accent4 4 2 2 4" xfId="4420"/>
    <cellStyle name="40% - Accent4 4 2 3" xfId="4421"/>
    <cellStyle name="40% - Accent4 4 2 3 2" xfId="4422"/>
    <cellStyle name="40% - Accent4 4 2 3 2 2" xfId="4423"/>
    <cellStyle name="40% - Accent4 4 2 3 3" xfId="4424"/>
    <cellStyle name="40% - Accent4 4 2 4" xfId="4425"/>
    <cellStyle name="40% - Accent4 4 2 4 2" xfId="4426"/>
    <cellStyle name="40% - Accent4 4 2 5" xfId="4427"/>
    <cellStyle name="40% - Accent4 4 2 6" xfId="4428"/>
    <cellStyle name="40% - Accent4 4 3" xfId="4429"/>
    <cellStyle name="40% - Accent4 4 3 2" xfId="4430"/>
    <cellStyle name="40% - Accent4 4 3 2 2" xfId="4431"/>
    <cellStyle name="40% - Accent4 4 3 2 2 2" xfId="4432"/>
    <cellStyle name="40% - Accent4 4 3 2 3" xfId="4433"/>
    <cellStyle name="40% - Accent4 4 3 3" xfId="4434"/>
    <cellStyle name="40% - Accent4 4 3 3 2" xfId="4435"/>
    <cellStyle name="40% - Accent4 4 3 4" xfId="4436"/>
    <cellStyle name="40% - Accent4 4 3 5" xfId="4437"/>
    <cellStyle name="40% - Accent4 4 4" xfId="4438"/>
    <cellStyle name="40% - Accent4 4 4 2" xfId="4439"/>
    <cellStyle name="40% - Accent4 4 4 2 2" xfId="4440"/>
    <cellStyle name="40% - Accent4 4 4 3" xfId="4441"/>
    <cellStyle name="40% - Accent4 4 5" xfId="4442"/>
    <cellStyle name="40% - Accent4 4 5 2" xfId="4443"/>
    <cellStyle name="40% - Accent4 4 6" xfId="4444"/>
    <cellStyle name="40% - Accent4 4 7" xfId="4445"/>
    <cellStyle name="40% - Accent4 5" xfId="629"/>
    <cellStyle name="40% - Accent4 5 2" xfId="4446"/>
    <cellStyle name="40% - Accent4 5 2 2" xfId="4447"/>
    <cellStyle name="40% - Accent4 5 2 2 2" xfId="4448"/>
    <cellStyle name="40% - Accent4 5 2 2 2 2" xfId="4449"/>
    <cellStyle name="40% - Accent4 5 2 2 3" xfId="4450"/>
    <cellStyle name="40% - Accent4 5 2 3" xfId="4451"/>
    <cellStyle name="40% - Accent4 5 2 3 2" xfId="4452"/>
    <cellStyle name="40% - Accent4 5 2 4" xfId="4453"/>
    <cellStyle name="40% - Accent4 5 2 5" xfId="4454"/>
    <cellStyle name="40% - Accent4 5 3" xfId="4455"/>
    <cellStyle name="40% - Accent4 5 3 2" xfId="4456"/>
    <cellStyle name="40% - Accent4 5 3 2 2" xfId="4457"/>
    <cellStyle name="40% - Accent4 5 3 3" xfId="4458"/>
    <cellStyle name="40% - Accent4 5 4" xfId="4459"/>
    <cellStyle name="40% - Accent4 5 4 2" xfId="4460"/>
    <cellStyle name="40% - Accent4 5 5" xfId="4461"/>
    <cellStyle name="40% - Accent4 5 6" xfId="4462"/>
    <cellStyle name="40% - Accent4 6" xfId="630"/>
    <cellStyle name="40% - Accent4 6 2" xfId="4463"/>
    <cellStyle name="40% - Accent4 6 2 2" xfId="4464"/>
    <cellStyle name="40% - Accent4 6 2 2 2" xfId="4465"/>
    <cellStyle name="40% - Accent4 6 2 3" xfId="4466"/>
    <cellStyle name="40% - Accent4 6 2 4" xfId="4467"/>
    <cellStyle name="40% - Accent4 6 2 5" xfId="4468"/>
    <cellStyle name="40% - Accent4 6 3" xfId="4469"/>
    <cellStyle name="40% - Accent4 6 3 2" xfId="4470"/>
    <cellStyle name="40% - Accent4 6 4" xfId="4471"/>
    <cellStyle name="40% - Accent4 6 5" xfId="4472"/>
    <cellStyle name="40% - Accent4 7" xfId="631"/>
    <cellStyle name="40% - Accent4 7 2" xfId="4473"/>
    <cellStyle name="40% - Accent4 7 2 2" xfId="4474"/>
    <cellStyle name="40% - Accent4 7 2 2 2" xfId="4475"/>
    <cellStyle name="40% - Accent4 7 2 3" xfId="4476"/>
    <cellStyle name="40% - Accent4 7 3" xfId="4477"/>
    <cellStyle name="40% - Accent4 7 3 2" xfId="4478"/>
    <cellStyle name="40% - Accent4 7 4" xfId="4479"/>
    <cellStyle name="40% - Accent4 7 5" xfId="4480"/>
    <cellStyle name="40% - Accent4 8" xfId="632"/>
    <cellStyle name="40% - Accent4 8 2" xfId="4481"/>
    <cellStyle name="40% - Accent4 8 2 2" xfId="4482"/>
    <cellStyle name="40% - Accent4 8 2 2 2" xfId="4483"/>
    <cellStyle name="40% - Accent4 8 2 3" xfId="4484"/>
    <cellStyle name="40% - Accent4 8 3" xfId="4485"/>
    <cellStyle name="40% - Accent4 8 3 2" xfId="4486"/>
    <cellStyle name="40% - Accent4 8 4" xfId="4487"/>
    <cellStyle name="40% - Accent4 8 5" xfId="4488"/>
    <cellStyle name="40% - Accent4 9" xfId="633"/>
    <cellStyle name="40% - Accent4 9 2" xfId="4489"/>
    <cellStyle name="40% - Accent4 9 2 2" xfId="4490"/>
    <cellStyle name="40% - Accent4 9 3" xfId="4491"/>
    <cellStyle name="40% - Accent4 9 4" xfId="4492"/>
    <cellStyle name="40% - Accent5 10" xfId="634"/>
    <cellStyle name="40% - Accent5 10 2" xfId="4493"/>
    <cellStyle name="40% - Accent5 10 2 2" xfId="4494"/>
    <cellStyle name="40% - Accent5 10 3" xfId="4495"/>
    <cellStyle name="40% - Accent5 10 4" xfId="4496"/>
    <cellStyle name="40% - Accent5 11" xfId="635"/>
    <cellStyle name="40% - Accent5 11 2" xfId="4497"/>
    <cellStyle name="40% - Accent5 11 2 2" xfId="4498"/>
    <cellStyle name="40% - Accent5 11 3" xfId="4499"/>
    <cellStyle name="40% - Accent5 11 4" xfId="4500"/>
    <cellStyle name="40% - Accent5 12" xfId="636"/>
    <cellStyle name="40% - Accent5 12 2" xfId="4501"/>
    <cellStyle name="40% - Accent5 12 3" xfId="4502"/>
    <cellStyle name="40% - Accent5 13" xfId="637"/>
    <cellStyle name="40% - Accent5 13 2" xfId="4503"/>
    <cellStyle name="40% - Accent5 14" xfId="638"/>
    <cellStyle name="40% - Accent5 15" xfId="639"/>
    <cellStyle name="40% - Accent5 15 2" xfId="640"/>
    <cellStyle name="40% - Accent5 15 3" xfId="641"/>
    <cellStyle name="40% - Accent5 15 4" xfId="642"/>
    <cellStyle name="40% - Accent5 15 5" xfId="643"/>
    <cellStyle name="40% - Accent5 16" xfId="644"/>
    <cellStyle name="40% - Accent5 16 2" xfId="645"/>
    <cellStyle name="40% - Accent5 16 3" xfId="646"/>
    <cellStyle name="40% - Accent5 16 4" xfId="647"/>
    <cellStyle name="40% - Accent5 16 5" xfId="648"/>
    <cellStyle name="40% - Accent5 17" xfId="649"/>
    <cellStyle name="40% - Accent5 17 2" xfId="650"/>
    <cellStyle name="40% - Accent5 17 3" xfId="651"/>
    <cellStyle name="40% - Accent5 17 4" xfId="652"/>
    <cellStyle name="40% - Accent5 17 5" xfId="653"/>
    <cellStyle name="40% - Accent5 18" xfId="654"/>
    <cellStyle name="40% - Accent5 19" xfId="655"/>
    <cellStyle name="40% - Accent5 2" xfId="656"/>
    <cellStyle name="40% - Accent5 2 2" xfId="657"/>
    <cellStyle name="40% - Accent5 2 2 2" xfId="658"/>
    <cellStyle name="40% - Accent5 2 2 2 2" xfId="659"/>
    <cellStyle name="40% - Accent5 2 2 2 2 2" xfId="4504"/>
    <cellStyle name="40% - Accent5 2 2 2 2 2 2" xfId="4505"/>
    <cellStyle name="40% - Accent5 2 2 2 2 2 2 2" xfId="4506"/>
    <cellStyle name="40% - Accent5 2 2 2 2 2 3" xfId="4507"/>
    <cellStyle name="40% - Accent5 2 2 2 2 3" xfId="4508"/>
    <cellStyle name="40% - Accent5 2 2 2 2 3 2" xfId="4509"/>
    <cellStyle name="40% - Accent5 2 2 2 2 4" xfId="4510"/>
    <cellStyle name="40% - Accent5 2 2 2 2 5" xfId="4511"/>
    <cellStyle name="40% - Accent5 2 2 2 3" xfId="660"/>
    <cellStyle name="40% - Accent5 2 2 2 3 2" xfId="4512"/>
    <cellStyle name="40% - Accent5 2 2 2 3 2 2" xfId="4513"/>
    <cellStyle name="40% - Accent5 2 2 2 3 3" xfId="4514"/>
    <cellStyle name="40% - Accent5 2 2 2 4" xfId="661"/>
    <cellStyle name="40% - Accent5 2 2 2 4 2" xfId="4515"/>
    <cellStyle name="40% - Accent5 2 2 2 5" xfId="662"/>
    <cellStyle name="40% - Accent5 2 2 2 6" xfId="4516"/>
    <cellStyle name="40% - Accent5 2 2 3" xfId="663"/>
    <cellStyle name="40% - Accent5 2 2 3 2" xfId="4517"/>
    <cellStyle name="40% - Accent5 2 2 3 2 2" xfId="4518"/>
    <cellStyle name="40% - Accent5 2 2 3 2 2 2" xfId="4519"/>
    <cellStyle name="40% - Accent5 2 2 3 2 3" xfId="4520"/>
    <cellStyle name="40% - Accent5 2 2 3 3" xfId="4521"/>
    <cellStyle name="40% - Accent5 2 2 3 3 2" xfId="4522"/>
    <cellStyle name="40% - Accent5 2 2 3 4" xfId="4523"/>
    <cellStyle name="40% - Accent5 2 2 3 5" xfId="4524"/>
    <cellStyle name="40% - Accent5 2 2 4" xfId="664"/>
    <cellStyle name="40% - Accent5 2 2 4 2" xfId="4525"/>
    <cellStyle name="40% - Accent5 2 2 4 2 2" xfId="4526"/>
    <cellStyle name="40% - Accent5 2 2 4 3" xfId="4527"/>
    <cellStyle name="40% - Accent5 2 2 5" xfId="665"/>
    <cellStyle name="40% - Accent5 2 2 5 2" xfId="4528"/>
    <cellStyle name="40% - Accent5 2 2 6" xfId="4529"/>
    <cellStyle name="40% - Accent5 2 2 7" xfId="4530"/>
    <cellStyle name="40% - Accent5 2 3" xfId="666"/>
    <cellStyle name="40% - Accent5 2 3 2" xfId="4531"/>
    <cellStyle name="40% - Accent5 2 3 2 2" xfId="4532"/>
    <cellStyle name="40% - Accent5 2 3 2 2 2" xfId="4533"/>
    <cellStyle name="40% - Accent5 2 3 2 2 2 2" xfId="4534"/>
    <cellStyle name="40% - Accent5 2 3 2 2 3" xfId="4535"/>
    <cellStyle name="40% - Accent5 2 3 2 3" xfId="4536"/>
    <cellStyle name="40% - Accent5 2 3 2 3 2" xfId="4537"/>
    <cellStyle name="40% - Accent5 2 3 2 4" xfId="4538"/>
    <cellStyle name="40% - Accent5 2 3 3" xfId="4539"/>
    <cellStyle name="40% - Accent5 2 3 3 2" xfId="4540"/>
    <cellStyle name="40% - Accent5 2 3 3 2 2" xfId="4541"/>
    <cellStyle name="40% - Accent5 2 3 3 3" xfId="4542"/>
    <cellStyle name="40% - Accent5 2 3 4" xfId="4543"/>
    <cellStyle name="40% - Accent5 2 3 4 2" xfId="4544"/>
    <cellStyle name="40% - Accent5 2 3 5" xfId="4545"/>
    <cellStyle name="40% - Accent5 2 3 6" xfId="4546"/>
    <cellStyle name="40% - Accent5 2 4" xfId="667"/>
    <cellStyle name="40% - Accent5 2 4 2" xfId="4547"/>
    <cellStyle name="40% - Accent5 2 4 2 2" xfId="4548"/>
    <cellStyle name="40% - Accent5 2 4 2 2 2" xfId="4549"/>
    <cellStyle name="40% - Accent5 2 4 2 3" xfId="4550"/>
    <cellStyle name="40% - Accent5 2 4 3" xfId="4551"/>
    <cellStyle name="40% - Accent5 2 4 3 2" xfId="4552"/>
    <cellStyle name="40% - Accent5 2 4 4" xfId="4553"/>
    <cellStyle name="40% - Accent5 2 4 5" xfId="4554"/>
    <cellStyle name="40% - Accent5 2 5" xfId="668"/>
    <cellStyle name="40% - Accent5 2 5 2" xfId="4555"/>
    <cellStyle name="40% - Accent5 2 5 2 2" xfId="4556"/>
    <cellStyle name="40% - Accent5 2 5 3" xfId="4557"/>
    <cellStyle name="40% - Accent5 2 5 4" xfId="4558"/>
    <cellStyle name="40% - Accent5 2 6" xfId="669"/>
    <cellStyle name="40% - Accent5 2 6 2" xfId="4559"/>
    <cellStyle name="40% - Accent5 2 6 3" xfId="4560"/>
    <cellStyle name="40% - Accent5 2 7" xfId="670"/>
    <cellStyle name="40% - Accent5 2 8" xfId="671"/>
    <cellStyle name="40% - Accent5 2 9" xfId="672"/>
    <cellStyle name="40% - Accent5 20" xfId="673"/>
    <cellStyle name="40% - Accent5 21" xfId="674"/>
    <cellStyle name="40% - Accent5 22" xfId="675"/>
    <cellStyle name="40% - Accent5 23" xfId="676"/>
    <cellStyle name="40% - Accent5 24" xfId="677"/>
    <cellStyle name="40% - Accent5 25" xfId="678"/>
    <cellStyle name="40% - Accent5 26" xfId="679"/>
    <cellStyle name="40% - Accent5 27" xfId="680"/>
    <cellStyle name="40% - Accent5 28" xfId="681"/>
    <cellStyle name="40% - Accent5 29" xfId="682"/>
    <cellStyle name="40% - Accent5 3" xfId="683"/>
    <cellStyle name="40% - Accent5 3 2" xfId="4561"/>
    <cellStyle name="40% - Accent5 3 2 2" xfId="4562"/>
    <cellStyle name="40% - Accent5 3 2 2 2" xfId="4563"/>
    <cellStyle name="40% - Accent5 3 2 2 2 2" xfId="4564"/>
    <cellStyle name="40% - Accent5 3 2 2 2 2 2" xfId="4565"/>
    <cellStyle name="40% - Accent5 3 2 2 2 2 2 2" xfId="4566"/>
    <cellStyle name="40% - Accent5 3 2 2 2 2 3" xfId="4567"/>
    <cellStyle name="40% - Accent5 3 2 2 2 3" xfId="4568"/>
    <cellStyle name="40% - Accent5 3 2 2 2 3 2" xfId="4569"/>
    <cellStyle name="40% - Accent5 3 2 2 2 4" xfId="4570"/>
    <cellStyle name="40% - Accent5 3 2 2 3" xfId="4571"/>
    <cellStyle name="40% - Accent5 3 2 2 3 2" xfId="4572"/>
    <cellStyle name="40% - Accent5 3 2 2 3 2 2" xfId="4573"/>
    <cellStyle name="40% - Accent5 3 2 2 3 3" xfId="4574"/>
    <cellStyle name="40% - Accent5 3 2 2 4" xfId="4575"/>
    <cellStyle name="40% - Accent5 3 2 2 4 2" xfId="4576"/>
    <cellStyle name="40% - Accent5 3 2 2 5" xfId="4577"/>
    <cellStyle name="40% - Accent5 3 2 2 6" xfId="4578"/>
    <cellStyle name="40% - Accent5 3 2 3" xfId="4579"/>
    <cellStyle name="40% - Accent5 3 2 3 2" xfId="4580"/>
    <cellStyle name="40% - Accent5 3 2 3 2 2" xfId="4581"/>
    <cellStyle name="40% - Accent5 3 2 3 2 2 2" xfId="4582"/>
    <cellStyle name="40% - Accent5 3 2 3 2 3" xfId="4583"/>
    <cellStyle name="40% - Accent5 3 2 3 3" xfId="4584"/>
    <cellStyle name="40% - Accent5 3 2 3 3 2" xfId="4585"/>
    <cellStyle name="40% - Accent5 3 2 3 4" xfId="4586"/>
    <cellStyle name="40% - Accent5 3 2 4" xfId="4587"/>
    <cellStyle name="40% - Accent5 3 2 4 2" xfId="4588"/>
    <cellStyle name="40% - Accent5 3 2 4 2 2" xfId="4589"/>
    <cellStyle name="40% - Accent5 3 2 4 3" xfId="4590"/>
    <cellStyle name="40% - Accent5 3 2 5" xfId="4591"/>
    <cellStyle name="40% - Accent5 3 2 5 2" xfId="4592"/>
    <cellStyle name="40% - Accent5 3 2 6" xfId="4593"/>
    <cellStyle name="40% - Accent5 3 2 7" xfId="4594"/>
    <cellStyle name="40% - Accent5 3 3" xfId="4595"/>
    <cellStyle name="40% - Accent5 3 3 2" xfId="4596"/>
    <cellStyle name="40% - Accent5 3 3 2 2" xfId="4597"/>
    <cellStyle name="40% - Accent5 3 3 2 2 2" xfId="4598"/>
    <cellStyle name="40% - Accent5 3 3 2 2 2 2" xfId="4599"/>
    <cellStyle name="40% - Accent5 3 3 2 2 3" xfId="4600"/>
    <cellStyle name="40% - Accent5 3 3 2 3" xfId="4601"/>
    <cellStyle name="40% - Accent5 3 3 2 3 2" xfId="4602"/>
    <cellStyle name="40% - Accent5 3 3 2 4" xfId="4603"/>
    <cellStyle name="40% - Accent5 3 3 3" xfId="4604"/>
    <cellStyle name="40% - Accent5 3 3 3 2" xfId="4605"/>
    <cellStyle name="40% - Accent5 3 3 3 2 2" xfId="4606"/>
    <cellStyle name="40% - Accent5 3 3 3 3" xfId="4607"/>
    <cellStyle name="40% - Accent5 3 3 4" xfId="4608"/>
    <cellStyle name="40% - Accent5 3 3 4 2" xfId="4609"/>
    <cellStyle name="40% - Accent5 3 3 5" xfId="4610"/>
    <cellStyle name="40% - Accent5 3 3 6" xfId="4611"/>
    <cellStyle name="40% - Accent5 3 4" xfId="4612"/>
    <cellStyle name="40% - Accent5 3 4 2" xfId="4613"/>
    <cellStyle name="40% - Accent5 3 4 2 2" xfId="4614"/>
    <cellStyle name="40% - Accent5 3 4 2 2 2" xfId="4615"/>
    <cellStyle name="40% - Accent5 3 4 2 3" xfId="4616"/>
    <cellStyle name="40% - Accent5 3 4 3" xfId="4617"/>
    <cellStyle name="40% - Accent5 3 4 3 2" xfId="4618"/>
    <cellStyle name="40% - Accent5 3 4 4" xfId="4619"/>
    <cellStyle name="40% - Accent5 3 4 5" xfId="4620"/>
    <cellStyle name="40% - Accent5 3 5" xfId="4621"/>
    <cellStyle name="40% - Accent5 3 5 2" xfId="4622"/>
    <cellStyle name="40% - Accent5 3 5 2 2" xfId="4623"/>
    <cellStyle name="40% - Accent5 3 5 3" xfId="4624"/>
    <cellStyle name="40% - Accent5 3 6" xfId="4625"/>
    <cellStyle name="40% - Accent5 3 6 2" xfId="4626"/>
    <cellStyle name="40% - Accent5 3 7" xfId="4627"/>
    <cellStyle name="40% - Accent5 3 8" xfId="4628"/>
    <cellStyle name="40% - Accent5 3 9" xfId="4629"/>
    <cellStyle name="40% - Accent5 30" xfId="684"/>
    <cellStyle name="40% - Accent5 31" xfId="685"/>
    <cellStyle name="40% - Accent5 32" xfId="686"/>
    <cellStyle name="40% - Accent5 33" xfId="687"/>
    <cellStyle name="40% - Accent5 34" xfId="688"/>
    <cellStyle name="40% - Accent5 35" xfId="689"/>
    <cellStyle name="40% - Accent5 4" xfId="690"/>
    <cellStyle name="40% - Accent5 4 2" xfId="4630"/>
    <cellStyle name="40% - Accent5 4 2 2" xfId="4631"/>
    <cellStyle name="40% - Accent5 4 2 2 2" xfId="4632"/>
    <cellStyle name="40% - Accent5 4 2 2 2 2" xfId="4633"/>
    <cellStyle name="40% - Accent5 4 2 2 2 2 2" xfId="4634"/>
    <cellStyle name="40% - Accent5 4 2 2 2 3" xfId="4635"/>
    <cellStyle name="40% - Accent5 4 2 2 3" xfId="4636"/>
    <cellStyle name="40% - Accent5 4 2 2 3 2" xfId="4637"/>
    <cellStyle name="40% - Accent5 4 2 2 4" xfId="4638"/>
    <cellStyle name="40% - Accent5 4 2 3" xfId="4639"/>
    <cellStyle name="40% - Accent5 4 2 3 2" xfId="4640"/>
    <cellStyle name="40% - Accent5 4 2 3 2 2" xfId="4641"/>
    <cellStyle name="40% - Accent5 4 2 3 3" xfId="4642"/>
    <cellStyle name="40% - Accent5 4 2 4" xfId="4643"/>
    <cellStyle name="40% - Accent5 4 2 4 2" xfId="4644"/>
    <cellStyle name="40% - Accent5 4 2 5" xfId="4645"/>
    <cellStyle name="40% - Accent5 4 2 6" xfId="4646"/>
    <cellStyle name="40% - Accent5 4 3" xfId="4647"/>
    <cellStyle name="40% - Accent5 4 3 2" xfId="4648"/>
    <cellStyle name="40% - Accent5 4 3 2 2" xfId="4649"/>
    <cellStyle name="40% - Accent5 4 3 2 2 2" xfId="4650"/>
    <cellStyle name="40% - Accent5 4 3 2 3" xfId="4651"/>
    <cellStyle name="40% - Accent5 4 3 3" xfId="4652"/>
    <cellStyle name="40% - Accent5 4 3 3 2" xfId="4653"/>
    <cellStyle name="40% - Accent5 4 3 4" xfId="4654"/>
    <cellStyle name="40% - Accent5 4 3 5" xfId="4655"/>
    <cellStyle name="40% - Accent5 4 4" xfId="4656"/>
    <cellStyle name="40% - Accent5 4 4 2" xfId="4657"/>
    <cellStyle name="40% - Accent5 4 4 2 2" xfId="4658"/>
    <cellStyle name="40% - Accent5 4 4 3" xfId="4659"/>
    <cellStyle name="40% - Accent5 4 5" xfId="4660"/>
    <cellStyle name="40% - Accent5 4 5 2" xfId="4661"/>
    <cellStyle name="40% - Accent5 4 6" xfId="4662"/>
    <cellStyle name="40% - Accent5 4 7" xfId="4663"/>
    <cellStyle name="40% - Accent5 5" xfId="691"/>
    <cellStyle name="40% - Accent5 5 2" xfId="4664"/>
    <cellStyle name="40% - Accent5 5 2 2" xfId="4665"/>
    <cellStyle name="40% - Accent5 5 2 2 2" xfId="4666"/>
    <cellStyle name="40% - Accent5 5 2 2 2 2" xfId="4667"/>
    <cellStyle name="40% - Accent5 5 2 2 3" xfId="4668"/>
    <cellStyle name="40% - Accent5 5 2 3" xfId="4669"/>
    <cellStyle name="40% - Accent5 5 2 3 2" xfId="4670"/>
    <cellStyle name="40% - Accent5 5 2 4" xfId="4671"/>
    <cellStyle name="40% - Accent5 5 2 5" xfId="4672"/>
    <cellStyle name="40% - Accent5 5 3" xfId="4673"/>
    <cellStyle name="40% - Accent5 5 3 2" xfId="4674"/>
    <cellStyle name="40% - Accent5 5 3 2 2" xfId="4675"/>
    <cellStyle name="40% - Accent5 5 3 3" xfId="4676"/>
    <cellStyle name="40% - Accent5 5 4" xfId="4677"/>
    <cellStyle name="40% - Accent5 5 4 2" xfId="4678"/>
    <cellStyle name="40% - Accent5 5 5" xfId="4679"/>
    <cellStyle name="40% - Accent5 5 6" xfId="4680"/>
    <cellStyle name="40% - Accent5 6" xfId="692"/>
    <cellStyle name="40% - Accent5 6 2" xfId="4681"/>
    <cellStyle name="40% - Accent5 6 2 2" xfId="4682"/>
    <cellStyle name="40% - Accent5 6 2 2 2" xfId="4683"/>
    <cellStyle name="40% - Accent5 6 2 3" xfId="4684"/>
    <cellStyle name="40% - Accent5 6 2 4" xfId="4685"/>
    <cellStyle name="40% - Accent5 6 2 5" xfId="4686"/>
    <cellStyle name="40% - Accent5 6 3" xfId="4687"/>
    <cellStyle name="40% - Accent5 6 3 2" xfId="4688"/>
    <cellStyle name="40% - Accent5 6 4" xfId="4689"/>
    <cellStyle name="40% - Accent5 6 5" xfId="4690"/>
    <cellStyle name="40% - Accent5 7" xfId="693"/>
    <cellStyle name="40% - Accent5 7 2" xfId="4691"/>
    <cellStyle name="40% - Accent5 7 2 2" xfId="4692"/>
    <cellStyle name="40% - Accent5 7 2 2 2" xfId="4693"/>
    <cellStyle name="40% - Accent5 7 2 3" xfId="4694"/>
    <cellStyle name="40% - Accent5 7 3" xfId="4695"/>
    <cellStyle name="40% - Accent5 7 3 2" xfId="4696"/>
    <cellStyle name="40% - Accent5 7 4" xfId="4697"/>
    <cellStyle name="40% - Accent5 7 5" xfId="4698"/>
    <cellStyle name="40% - Accent5 8" xfId="694"/>
    <cellStyle name="40% - Accent5 8 2" xfId="4699"/>
    <cellStyle name="40% - Accent5 8 2 2" xfId="4700"/>
    <cellStyle name="40% - Accent5 8 2 2 2" xfId="4701"/>
    <cellStyle name="40% - Accent5 8 2 3" xfId="4702"/>
    <cellStyle name="40% - Accent5 8 3" xfId="4703"/>
    <cellStyle name="40% - Accent5 8 3 2" xfId="4704"/>
    <cellStyle name="40% - Accent5 8 4" xfId="4705"/>
    <cellStyle name="40% - Accent5 8 5" xfId="4706"/>
    <cellStyle name="40% - Accent5 9" xfId="695"/>
    <cellStyle name="40% - Accent5 9 2" xfId="4707"/>
    <cellStyle name="40% - Accent5 9 2 2" xfId="4708"/>
    <cellStyle name="40% - Accent5 9 3" xfId="4709"/>
    <cellStyle name="40% - Accent5 9 4" xfId="4710"/>
    <cellStyle name="40% - Accent6 10" xfId="696"/>
    <cellStyle name="40% - Accent6 10 2" xfId="4711"/>
    <cellStyle name="40% - Accent6 10 2 2" xfId="4712"/>
    <cellStyle name="40% - Accent6 10 3" xfId="4713"/>
    <cellStyle name="40% - Accent6 10 4" xfId="4714"/>
    <cellStyle name="40% - Accent6 11" xfId="697"/>
    <cellStyle name="40% - Accent6 11 2" xfId="4715"/>
    <cellStyle name="40% - Accent6 11 2 2" xfId="4716"/>
    <cellStyle name="40% - Accent6 11 3" xfId="4717"/>
    <cellStyle name="40% - Accent6 11 4" xfId="4718"/>
    <cellStyle name="40% - Accent6 12" xfId="698"/>
    <cellStyle name="40% - Accent6 12 2" xfId="4719"/>
    <cellStyle name="40% - Accent6 12 3" xfId="4720"/>
    <cellStyle name="40% - Accent6 13" xfId="699"/>
    <cellStyle name="40% - Accent6 13 2" xfId="4721"/>
    <cellStyle name="40% - Accent6 14" xfId="700"/>
    <cellStyle name="40% - Accent6 15" xfId="701"/>
    <cellStyle name="40% - Accent6 15 2" xfId="702"/>
    <cellStyle name="40% - Accent6 15 3" xfId="703"/>
    <cellStyle name="40% - Accent6 15 4" xfId="704"/>
    <cellStyle name="40% - Accent6 15 5" xfId="705"/>
    <cellStyle name="40% - Accent6 16" xfId="706"/>
    <cellStyle name="40% - Accent6 16 2" xfId="707"/>
    <cellStyle name="40% - Accent6 16 3" xfId="708"/>
    <cellStyle name="40% - Accent6 16 4" xfId="709"/>
    <cellStyle name="40% - Accent6 16 5" xfId="710"/>
    <cellStyle name="40% - Accent6 17" xfId="711"/>
    <cellStyle name="40% - Accent6 17 2" xfId="712"/>
    <cellStyle name="40% - Accent6 17 3" xfId="713"/>
    <cellStyle name="40% - Accent6 17 4" xfId="714"/>
    <cellStyle name="40% - Accent6 17 5" xfId="715"/>
    <cellStyle name="40% - Accent6 18" xfId="716"/>
    <cellStyle name="40% - Accent6 19" xfId="717"/>
    <cellStyle name="40% - Accent6 2" xfId="718"/>
    <cellStyle name="40% - Accent6 2 2" xfId="719"/>
    <cellStyle name="40% - Accent6 2 2 2" xfId="720"/>
    <cellStyle name="40% - Accent6 2 2 2 2" xfId="721"/>
    <cellStyle name="40% - Accent6 2 2 2 2 2" xfId="4722"/>
    <cellStyle name="40% - Accent6 2 2 2 2 2 2" xfId="4723"/>
    <cellStyle name="40% - Accent6 2 2 2 2 2 2 2" xfId="4724"/>
    <cellStyle name="40% - Accent6 2 2 2 2 2 3" xfId="4725"/>
    <cellStyle name="40% - Accent6 2 2 2 2 3" xfId="4726"/>
    <cellStyle name="40% - Accent6 2 2 2 2 3 2" xfId="4727"/>
    <cellStyle name="40% - Accent6 2 2 2 2 4" xfId="4728"/>
    <cellStyle name="40% - Accent6 2 2 2 2 5" xfId="4729"/>
    <cellStyle name="40% - Accent6 2 2 2 3" xfId="722"/>
    <cellStyle name="40% - Accent6 2 2 2 3 2" xfId="4730"/>
    <cellStyle name="40% - Accent6 2 2 2 3 2 2" xfId="4731"/>
    <cellStyle name="40% - Accent6 2 2 2 3 3" xfId="4732"/>
    <cellStyle name="40% - Accent6 2 2 2 4" xfId="723"/>
    <cellStyle name="40% - Accent6 2 2 2 4 2" xfId="4733"/>
    <cellStyle name="40% - Accent6 2 2 2 5" xfId="724"/>
    <cellStyle name="40% - Accent6 2 2 2 6" xfId="4734"/>
    <cellStyle name="40% - Accent6 2 2 3" xfId="725"/>
    <cellStyle name="40% - Accent6 2 2 3 2" xfId="4735"/>
    <cellStyle name="40% - Accent6 2 2 3 2 2" xfId="4736"/>
    <cellStyle name="40% - Accent6 2 2 3 2 2 2" xfId="4737"/>
    <cellStyle name="40% - Accent6 2 2 3 2 3" xfId="4738"/>
    <cellStyle name="40% - Accent6 2 2 3 3" xfId="4739"/>
    <cellStyle name="40% - Accent6 2 2 3 3 2" xfId="4740"/>
    <cellStyle name="40% - Accent6 2 2 3 4" xfId="4741"/>
    <cellStyle name="40% - Accent6 2 2 3 5" xfId="4742"/>
    <cellStyle name="40% - Accent6 2 2 4" xfId="726"/>
    <cellStyle name="40% - Accent6 2 2 4 2" xfId="4743"/>
    <cellStyle name="40% - Accent6 2 2 4 2 2" xfId="4744"/>
    <cellStyle name="40% - Accent6 2 2 4 3" xfId="4745"/>
    <cellStyle name="40% - Accent6 2 2 5" xfId="727"/>
    <cellStyle name="40% - Accent6 2 2 5 2" xfId="4746"/>
    <cellStyle name="40% - Accent6 2 2 6" xfId="4747"/>
    <cellStyle name="40% - Accent6 2 2 7" xfId="4748"/>
    <cellStyle name="40% - Accent6 2 3" xfId="728"/>
    <cellStyle name="40% - Accent6 2 3 2" xfId="4749"/>
    <cellStyle name="40% - Accent6 2 3 2 2" xfId="4750"/>
    <cellStyle name="40% - Accent6 2 3 2 2 2" xfId="4751"/>
    <cellStyle name="40% - Accent6 2 3 2 2 2 2" xfId="4752"/>
    <cellStyle name="40% - Accent6 2 3 2 2 3" xfId="4753"/>
    <cellStyle name="40% - Accent6 2 3 2 3" xfId="4754"/>
    <cellStyle name="40% - Accent6 2 3 2 3 2" xfId="4755"/>
    <cellStyle name="40% - Accent6 2 3 2 4" xfId="4756"/>
    <cellStyle name="40% - Accent6 2 3 3" xfId="4757"/>
    <cellStyle name="40% - Accent6 2 3 3 2" xfId="4758"/>
    <cellStyle name="40% - Accent6 2 3 3 2 2" xfId="4759"/>
    <cellStyle name="40% - Accent6 2 3 3 3" xfId="4760"/>
    <cellStyle name="40% - Accent6 2 3 4" xfId="4761"/>
    <cellStyle name="40% - Accent6 2 3 4 2" xfId="4762"/>
    <cellStyle name="40% - Accent6 2 3 5" xfId="4763"/>
    <cellStyle name="40% - Accent6 2 3 6" xfId="4764"/>
    <cellStyle name="40% - Accent6 2 4" xfId="729"/>
    <cellStyle name="40% - Accent6 2 4 2" xfId="4765"/>
    <cellStyle name="40% - Accent6 2 4 2 2" xfId="4766"/>
    <cellStyle name="40% - Accent6 2 4 2 2 2" xfId="4767"/>
    <cellStyle name="40% - Accent6 2 4 2 3" xfId="4768"/>
    <cellStyle name="40% - Accent6 2 4 3" xfId="4769"/>
    <cellStyle name="40% - Accent6 2 4 3 2" xfId="4770"/>
    <cellStyle name="40% - Accent6 2 4 4" xfId="4771"/>
    <cellStyle name="40% - Accent6 2 4 5" xfId="4772"/>
    <cellStyle name="40% - Accent6 2 5" xfId="730"/>
    <cellStyle name="40% - Accent6 2 5 2" xfId="4773"/>
    <cellStyle name="40% - Accent6 2 5 2 2" xfId="4774"/>
    <cellStyle name="40% - Accent6 2 5 3" xfId="4775"/>
    <cellStyle name="40% - Accent6 2 5 4" xfId="4776"/>
    <cellStyle name="40% - Accent6 2 6" xfId="731"/>
    <cellStyle name="40% - Accent6 2 6 2" xfId="4777"/>
    <cellStyle name="40% - Accent6 2 6 3" xfId="4778"/>
    <cellStyle name="40% - Accent6 2 7" xfId="732"/>
    <cellStyle name="40% - Accent6 2 8" xfId="733"/>
    <cellStyle name="40% - Accent6 2 9" xfId="734"/>
    <cellStyle name="40% - Accent6 20" xfId="735"/>
    <cellStyle name="40% - Accent6 21" xfId="736"/>
    <cellStyle name="40% - Accent6 22" xfId="737"/>
    <cellStyle name="40% - Accent6 23" xfId="738"/>
    <cellStyle name="40% - Accent6 24" xfId="739"/>
    <cellStyle name="40% - Accent6 25" xfId="740"/>
    <cellStyle name="40% - Accent6 26" xfId="741"/>
    <cellStyle name="40% - Accent6 27" xfId="742"/>
    <cellStyle name="40% - Accent6 28" xfId="743"/>
    <cellStyle name="40% - Accent6 29" xfId="744"/>
    <cellStyle name="40% - Accent6 3" xfId="745"/>
    <cellStyle name="40% - Accent6 3 2" xfId="4779"/>
    <cellStyle name="40% - Accent6 3 2 2" xfId="4780"/>
    <cellStyle name="40% - Accent6 3 2 2 2" xfId="4781"/>
    <cellStyle name="40% - Accent6 3 2 2 2 2" xfId="4782"/>
    <cellStyle name="40% - Accent6 3 2 2 2 2 2" xfId="4783"/>
    <cellStyle name="40% - Accent6 3 2 2 2 2 2 2" xfId="4784"/>
    <cellStyle name="40% - Accent6 3 2 2 2 2 3" xfId="4785"/>
    <cellStyle name="40% - Accent6 3 2 2 2 3" xfId="4786"/>
    <cellStyle name="40% - Accent6 3 2 2 2 3 2" xfId="4787"/>
    <cellStyle name="40% - Accent6 3 2 2 2 4" xfId="4788"/>
    <cellStyle name="40% - Accent6 3 2 2 3" xfId="4789"/>
    <cellStyle name="40% - Accent6 3 2 2 3 2" xfId="4790"/>
    <cellStyle name="40% - Accent6 3 2 2 3 2 2" xfId="4791"/>
    <cellStyle name="40% - Accent6 3 2 2 3 3" xfId="4792"/>
    <cellStyle name="40% - Accent6 3 2 2 4" xfId="4793"/>
    <cellStyle name="40% - Accent6 3 2 2 4 2" xfId="4794"/>
    <cellStyle name="40% - Accent6 3 2 2 5" xfId="4795"/>
    <cellStyle name="40% - Accent6 3 2 2 6" xfId="4796"/>
    <cellStyle name="40% - Accent6 3 2 3" xfId="4797"/>
    <cellStyle name="40% - Accent6 3 2 3 2" xfId="4798"/>
    <cellStyle name="40% - Accent6 3 2 3 2 2" xfId="4799"/>
    <cellStyle name="40% - Accent6 3 2 3 2 2 2" xfId="4800"/>
    <cellStyle name="40% - Accent6 3 2 3 2 3" xfId="4801"/>
    <cellStyle name="40% - Accent6 3 2 3 3" xfId="4802"/>
    <cellStyle name="40% - Accent6 3 2 3 3 2" xfId="4803"/>
    <cellStyle name="40% - Accent6 3 2 3 4" xfId="4804"/>
    <cellStyle name="40% - Accent6 3 2 4" xfId="4805"/>
    <cellStyle name="40% - Accent6 3 2 4 2" xfId="4806"/>
    <cellStyle name="40% - Accent6 3 2 4 2 2" xfId="4807"/>
    <cellStyle name="40% - Accent6 3 2 4 3" xfId="4808"/>
    <cellStyle name="40% - Accent6 3 2 5" xfId="4809"/>
    <cellStyle name="40% - Accent6 3 2 5 2" xfId="4810"/>
    <cellStyle name="40% - Accent6 3 2 6" xfId="4811"/>
    <cellStyle name="40% - Accent6 3 2 7" xfId="4812"/>
    <cellStyle name="40% - Accent6 3 3" xfId="4813"/>
    <cellStyle name="40% - Accent6 3 3 2" xfId="4814"/>
    <cellStyle name="40% - Accent6 3 3 2 2" xfId="4815"/>
    <cellStyle name="40% - Accent6 3 3 2 2 2" xfId="4816"/>
    <cellStyle name="40% - Accent6 3 3 2 2 2 2" xfId="4817"/>
    <cellStyle name="40% - Accent6 3 3 2 2 3" xfId="4818"/>
    <cellStyle name="40% - Accent6 3 3 2 3" xfId="4819"/>
    <cellStyle name="40% - Accent6 3 3 2 3 2" xfId="4820"/>
    <cellStyle name="40% - Accent6 3 3 2 4" xfId="4821"/>
    <cellStyle name="40% - Accent6 3 3 3" xfId="4822"/>
    <cellStyle name="40% - Accent6 3 3 3 2" xfId="4823"/>
    <cellStyle name="40% - Accent6 3 3 3 2 2" xfId="4824"/>
    <cellStyle name="40% - Accent6 3 3 3 3" xfId="4825"/>
    <cellStyle name="40% - Accent6 3 3 4" xfId="4826"/>
    <cellStyle name="40% - Accent6 3 3 4 2" xfId="4827"/>
    <cellStyle name="40% - Accent6 3 3 5" xfId="4828"/>
    <cellStyle name="40% - Accent6 3 3 6" xfId="4829"/>
    <cellStyle name="40% - Accent6 3 4" xfId="4830"/>
    <cellStyle name="40% - Accent6 3 4 2" xfId="4831"/>
    <cellStyle name="40% - Accent6 3 4 2 2" xfId="4832"/>
    <cellStyle name="40% - Accent6 3 4 2 2 2" xfId="4833"/>
    <cellStyle name="40% - Accent6 3 4 2 3" xfId="4834"/>
    <cellStyle name="40% - Accent6 3 4 3" xfId="4835"/>
    <cellStyle name="40% - Accent6 3 4 3 2" xfId="4836"/>
    <cellStyle name="40% - Accent6 3 4 4" xfId="4837"/>
    <cellStyle name="40% - Accent6 3 4 5" xfId="4838"/>
    <cellStyle name="40% - Accent6 3 5" xfId="4839"/>
    <cellStyle name="40% - Accent6 3 5 2" xfId="4840"/>
    <cellStyle name="40% - Accent6 3 5 2 2" xfId="4841"/>
    <cellStyle name="40% - Accent6 3 5 3" xfId="4842"/>
    <cellStyle name="40% - Accent6 3 6" xfId="4843"/>
    <cellStyle name="40% - Accent6 3 6 2" xfId="4844"/>
    <cellStyle name="40% - Accent6 3 7" xfId="4845"/>
    <cellStyle name="40% - Accent6 3 8" xfId="4846"/>
    <cellStyle name="40% - Accent6 3 9" xfId="4847"/>
    <cellStyle name="40% - Accent6 30" xfId="746"/>
    <cellStyle name="40% - Accent6 31" xfId="747"/>
    <cellStyle name="40% - Accent6 32" xfId="748"/>
    <cellStyle name="40% - Accent6 33" xfId="749"/>
    <cellStyle name="40% - Accent6 34" xfId="750"/>
    <cellStyle name="40% - Accent6 35" xfId="751"/>
    <cellStyle name="40% - Accent6 4" xfId="752"/>
    <cellStyle name="40% - Accent6 4 2" xfId="4848"/>
    <cellStyle name="40% - Accent6 4 2 2" xfId="4849"/>
    <cellStyle name="40% - Accent6 4 2 2 2" xfId="4850"/>
    <cellStyle name="40% - Accent6 4 2 2 2 2" xfId="4851"/>
    <cellStyle name="40% - Accent6 4 2 2 2 2 2" xfId="4852"/>
    <cellStyle name="40% - Accent6 4 2 2 2 3" xfId="4853"/>
    <cellStyle name="40% - Accent6 4 2 2 3" xfId="4854"/>
    <cellStyle name="40% - Accent6 4 2 2 3 2" xfId="4855"/>
    <cellStyle name="40% - Accent6 4 2 2 4" xfId="4856"/>
    <cellStyle name="40% - Accent6 4 2 3" xfId="4857"/>
    <cellStyle name="40% - Accent6 4 2 3 2" xfId="4858"/>
    <cellStyle name="40% - Accent6 4 2 3 2 2" xfId="4859"/>
    <cellStyle name="40% - Accent6 4 2 3 3" xfId="4860"/>
    <cellStyle name="40% - Accent6 4 2 4" xfId="4861"/>
    <cellStyle name="40% - Accent6 4 2 4 2" xfId="4862"/>
    <cellStyle name="40% - Accent6 4 2 5" xfId="4863"/>
    <cellStyle name="40% - Accent6 4 2 6" xfId="4864"/>
    <cellStyle name="40% - Accent6 4 3" xfId="4865"/>
    <cellStyle name="40% - Accent6 4 3 2" xfId="4866"/>
    <cellStyle name="40% - Accent6 4 3 2 2" xfId="4867"/>
    <cellStyle name="40% - Accent6 4 3 2 2 2" xfId="4868"/>
    <cellStyle name="40% - Accent6 4 3 2 3" xfId="4869"/>
    <cellStyle name="40% - Accent6 4 3 3" xfId="4870"/>
    <cellStyle name="40% - Accent6 4 3 3 2" xfId="4871"/>
    <cellStyle name="40% - Accent6 4 3 4" xfId="4872"/>
    <cellStyle name="40% - Accent6 4 3 5" xfId="4873"/>
    <cellStyle name="40% - Accent6 4 4" xfId="4874"/>
    <cellStyle name="40% - Accent6 4 4 2" xfId="4875"/>
    <cellStyle name="40% - Accent6 4 4 2 2" xfId="4876"/>
    <cellStyle name="40% - Accent6 4 4 3" xfId="4877"/>
    <cellStyle name="40% - Accent6 4 5" xfId="4878"/>
    <cellStyle name="40% - Accent6 4 5 2" xfId="4879"/>
    <cellStyle name="40% - Accent6 4 6" xfId="4880"/>
    <cellStyle name="40% - Accent6 4 7" xfId="4881"/>
    <cellStyle name="40% - Accent6 5" xfId="753"/>
    <cellStyle name="40% - Accent6 5 2" xfId="4882"/>
    <cellStyle name="40% - Accent6 5 2 2" xfId="4883"/>
    <cellStyle name="40% - Accent6 5 2 2 2" xfId="4884"/>
    <cellStyle name="40% - Accent6 5 2 2 2 2" xfId="4885"/>
    <cellStyle name="40% - Accent6 5 2 2 3" xfId="4886"/>
    <cellStyle name="40% - Accent6 5 2 3" xfId="4887"/>
    <cellStyle name="40% - Accent6 5 2 3 2" xfId="4888"/>
    <cellStyle name="40% - Accent6 5 2 4" xfId="4889"/>
    <cellStyle name="40% - Accent6 5 2 5" xfId="4890"/>
    <cellStyle name="40% - Accent6 5 3" xfId="4891"/>
    <cellStyle name="40% - Accent6 5 3 2" xfId="4892"/>
    <cellStyle name="40% - Accent6 5 3 2 2" xfId="4893"/>
    <cellStyle name="40% - Accent6 5 3 3" xfId="4894"/>
    <cellStyle name="40% - Accent6 5 4" xfId="4895"/>
    <cellStyle name="40% - Accent6 5 4 2" xfId="4896"/>
    <cellStyle name="40% - Accent6 5 5" xfId="4897"/>
    <cellStyle name="40% - Accent6 5 6" xfId="4898"/>
    <cellStyle name="40% - Accent6 6" xfId="754"/>
    <cellStyle name="40% - Accent6 6 2" xfId="4899"/>
    <cellStyle name="40% - Accent6 6 2 2" xfId="4900"/>
    <cellStyle name="40% - Accent6 6 2 2 2" xfId="4901"/>
    <cellStyle name="40% - Accent6 6 2 3" xfId="4902"/>
    <cellStyle name="40% - Accent6 6 2 4" xfId="4903"/>
    <cellStyle name="40% - Accent6 6 2 5" xfId="4904"/>
    <cellStyle name="40% - Accent6 6 3" xfId="4905"/>
    <cellStyle name="40% - Accent6 6 3 2" xfId="4906"/>
    <cellStyle name="40% - Accent6 6 4" xfId="4907"/>
    <cellStyle name="40% - Accent6 6 5" xfId="4908"/>
    <cellStyle name="40% - Accent6 7" xfId="755"/>
    <cellStyle name="40% - Accent6 7 2" xfId="4909"/>
    <cellStyle name="40% - Accent6 7 2 2" xfId="4910"/>
    <cellStyle name="40% - Accent6 7 2 2 2" xfId="4911"/>
    <cellStyle name="40% - Accent6 7 2 3" xfId="4912"/>
    <cellStyle name="40% - Accent6 7 3" xfId="4913"/>
    <cellStyle name="40% - Accent6 7 3 2" xfId="4914"/>
    <cellStyle name="40% - Accent6 7 4" xfId="4915"/>
    <cellStyle name="40% - Accent6 7 5" xfId="4916"/>
    <cellStyle name="40% - Accent6 8" xfId="756"/>
    <cellStyle name="40% - Accent6 8 2" xfId="4917"/>
    <cellStyle name="40% - Accent6 8 2 2" xfId="4918"/>
    <cellStyle name="40% - Accent6 8 2 2 2" xfId="4919"/>
    <cellStyle name="40% - Accent6 8 2 3" xfId="4920"/>
    <cellStyle name="40% - Accent6 8 3" xfId="4921"/>
    <cellStyle name="40% - Accent6 8 3 2" xfId="4922"/>
    <cellStyle name="40% - Accent6 8 4" xfId="4923"/>
    <cellStyle name="40% - Accent6 8 5" xfId="4924"/>
    <cellStyle name="40% - Accent6 9" xfId="757"/>
    <cellStyle name="40% - Accent6 9 2" xfId="4925"/>
    <cellStyle name="40% - Accent6 9 2 2" xfId="4926"/>
    <cellStyle name="40% - Accent6 9 3" xfId="4927"/>
    <cellStyle name="40% - Accent6 9 4" xfId="4928"/>
    <cellStyle name="60% - Accent1 10" xfId="758"/>
    <cellStyle name="60% - Accent1 11" xfId="759"/>
    <cellStyle name="60% - Accent1 12" xfId="760"/>
    <cellStyle name="60% - Accent1 13" xfId="761"/>
    <cellStyle name="60% - Accent1 14" xfId="762"/>
    <cellStyle name="60% - Accent1 15" xfId="763"/>
    <cellStyle name="60% - Accent1 16" xfId="764"/>
    <cellStyle name="60% - Accent1 17" xfId="765"/>
    <cellStyle name="60% - Accent1 17 2" xfId="4929"/>
    <cellStyle name="60% - Accent1 18" xfId="766"/>
    <cellStyle name="60% - Accent1 19" xfId="767"/>
    <cellStyle name="60% - Accent1 2" xfId="768"/>
    <cellStyle name="60% - Accent1 2 2" xfId="769"/>
    <cellStyle name="60% - Accent1 2 2 2" xfId="770"/>
    <cellStyle name="60% - Accent1 2 2 2 2" xfId="771"/>
    <cellStyle name="60% - Accent1 2 2 2 3" xfId="772"/>
    <cellStyle name="60% - Accent1 2 2 2 4" xfId="773"/>
    <cellStyle name="60% - Accent1 2 2 2 5" xfId="774"/>
    <cellStyle name="60% - Accent1 2 2 3" xfId="775"/>
    <cellStyle name="60% - Accent1 2 2 4" xfId="776"/>
    <cellStyle name="60% - Accent1 2 2 5" xfId="777"/>
    <cellStyle name="60% - Accent1 2 3" xfId="778"/>
    <cellStyle name="60% - Accent1 2 4" xfId="779"/>
    <cellStyle name="60% - Accent1 2 5" xfId="780"/>
    <cellStyle name="60% - Accent1 2 6" xfId="781"/>
    <cellStyle name="60% - Accent1 2 7" xfId="782"/>
    <cellStyle name="60% - Accent1 2 8" xfId="783"/>
    <cellStyle name="60% - Accent1 2 9" xfId="784"/>
    <cellStyle name="60% - Accent1 20" xfId="785"/>
    <cellStyle name="60% - Accent1 21" xfId="786"/>
    <cellStyle name="60% - Accent1 22" xfId="787"/>
    <cellStyle name="60% - Accent1 3" xfId="788"/>
    <cellStyle name="60% - Accent1 3 2" xfId="4930"/>
    <cellStyle name="60% - Accent1 4" xfId="789"/>
    <cellStyle name="60% - Accent1 4 2" xfId="4931"/>
    <cellStyle name="60% - Accent1 5" xfId="790"/>
    <cellStyle name="60% - Accent1 6" xfId="791"/>
    <cellStyle name="60% - Accent1 7" xfId="792"/>
    <cellStyle name="60% - Accent1 8" xfId="793"/>
    <cellStyle name="60% - Accent1 9" xfId="794"/>
    <cellStyle name="60% - Accent2 10" xfId="795"/>
    <cellStyle name="60% - Accent2 11" xfId="796"/>
    <cellStyle name="60% - Accent2 12" xfId="797"/>
    <cellStyle name="60% - Accent2 13" xfId="798"/>
    <cellStyle name="60% - Accent2 14" xfId="799"/>
    <cellStyle name="60% - Accent2 15" xfId="800"/>
    <cellStyle name="60% - Accent2 16" xfId="801"/>
    <cellStyle name="60% - Accent2 17" xfId="802"/>
    <cellStyle name="60% - Accent2 17 2" xfId="4932"/>
    <cellStyle name="60% - Accent2 18" xfId="803"/>
    <cellStyle name="60% - Accent2 19" xfId="804"/>
    <cellStyle name="60% - Accent2 2" xfId="805"/>
    <cellStyle name="60% - Accent2 2 2" xfId="806"/>
    <cellStyle name="60% - Accent2 2 2 2" xfId="807"/>
    <cellStyle name="60% - Accent2 2 2 2 2" xfId="808"/>
    <cellStyle name="60% - Accent2 2 2 2 3" xfId="809"/>
    <cellStyle name="60% - Accent2 2 2 2 4" xfId="810"/>
    <cellStyle name="60% - Accent2 2 2 2 5" xfId="811"/>
    <cellStyle name="60% - Accent2 2 2 3" xfId="812"/>
    <cellStyle name="60% - Accent2 2 2 4" xfId="813"/>
    <cellStyle name="60% - Accent2 2 2 5" xfId="814"/>
    <cellStyle name="60% - Accent2 2 3" xfId="815"/>
    <cellStyle name="60% - Accent2 2 4" xfId="816"/>
    <cellStyle name="60% - Accent2 2 5" xfId="817"/>
    <cellStyle name="60% - Accent2 2 6" xfId="818"/>
    <cellStyle name="60% - Accent2 2 7" xfId="819"/>
    <cellStyle name="60% - Accent2 2 8" xfId="820"/>
    <cellStyle name="60% - Accent2 2 9" xfId="821"/>
    <cellStyle name="60% - Accent2 20" xfId="822"/>
    <cellStyle name="60% - Accent2 21" xfId="823"/>
    <cellStyle name="60% - Accent2 22" xfId="824"/>
    <cellStyle name="60% - Accent2 3" xfId="825"/>
    <cellStyle name="60% - Accent2 3 2" xfId="4933"/>
    <cellStyle name="60% - Accent2 4" xfId="826"/>
    <cellStyle name="60% - Accent2 4 2" xfId="4934"/>
    <cellStyle name="60% - Accent2 5" xfId="827"/>
    <cellStyle name="60% - Accent2 6" xfId="828"/>
    <cellStyle name="60% - Accent2 7" xfId="829"/>
    <cellStyle name="60% - Accent2 8" xfId="830"/>
    <cellStyle name="60% - Accent2 9" xfId="831"/>
    <cellStyle name="60% - Accent3 10" xfId="832"/>
    <cellStyle name="60% - Accent3 11" xfId="833"/>
    <cellStyle name="60% - Accent3 12" xfId="834"/>
    <cellStyle name="60% - Accent3 13" xfId="835"/>
    <cellStyle name="60% - Accent3 14" xfId="836"/>
    <cellStyle name="60% - Accent3 15" xfId="837"/>
    <cellStyle name="60% - Accent3 16" xfId="838"/>
    <cellStyle name="60% - Accent3 17" xfId="839"/>
    <cellStyle name="60% - Accent3 17 2" xfId="4935"/>
    <cellStyle name="60% - Accent3 18" xfId="840"/>
    <cellStyle name="60% - Accent3 19" xfId="841"/>
    <cellStyle name="60% - Accent3 2" xfId="842"/>
    <cellStyle name="60% - Accent3 2 2" xfId="843"/>
    <cellStyle name="60% - Accent3 2 2 2" xfId="844"/>
    <cellStyle name="60% - Accent3 2 2 2 2" xfId="845"/>
    <cellStyle name="60% - Accent3 2 2 2 3" xfId="846"/>
    <cellStyle name="60% - Accent3 2 2 2 4" xfId="847"/>
    <cellStyle name="60% - Accent3 2 2 2 5" xfId="848"/>
    <cellStyle name="60% - Accent3 2 2 3" xfId="849"/>
    <cellStyle name="60% - Accent3 2 2 4" xfId="850"/>
    <cellStyle name="60% - Accent3 2 2 5" xfId="851"/>
    <cellStyle name="60% - Accent3 2 3" xfId="852"/>
    <cellStyle name="60% - Accent3 2 4" xfId="853"/>
    <cellStyle name="60% - Accent3 2 5" xfId="854"/>
    <cellStyle name="60% - Accent3 2 6" xfId="855"/>
    <cellStyle name="60% - Accent3 2 7" xfId="856"/>
    <cellStyle name="60% - Accent3 2 8" xfId="857"/>
    <cellStyle name="60% - Accent3 2 9" xfId="858"/>
    <cellStyle name="60% - Accent3 20" xfId="859"/>
    <cellStyle name="60% - Accent3 21" xfId="860"/>
    <cellStyle name="60% - Accent3 22" xfId="861"/>
    <cellStyle name="60% - Accent3 3" xfId="862"/>
    <cellStyle name="60% - Accent3 3 2" xfId="4936"/>
    <cellStyle name="60% - Accent3 4" xfId="863"/>
    <cellStyle name="60% - Accent3 4 2" xfId="4937"/>
    <cellStyle name="60% - Accent3 5" xfId="864"/>
    <cellStyle name="60% - Accent3 6" xfId="865"/>
    <cellStyle name="60% - Accent3 7" xfId="866"/>
    <cellStyle name="60% - Accent3 8" xfId="867"/>
    <cellStyle name="60% - Accent3 9" xfId="868"/>
    <cellStyle name="60% - Accent4 10" xfId="869"/>
    <cellStyle name="60% - Accent4 11" xfId="870"/>
    <cellStyle name="60% - Accent4 12" xfId="871"/>
    <cellStyle name="60% - Accent4 13" xfId="872"/>
    <cellStyle name="60% - Accent4 14" xfId="873"/>
    <cellStyle name="60% - Accent4 15" xfId="874"/>
    <cellStyle name="60% - Accent4 16" xfId="875"/>
    <cellStyle name="60% - Accent4 17" xfId="876"/>
    <cellStyle name="60% - Accent4 17 2" xfId="4938"/>
    <cellStyle name="60% - Accent4 18" xfId="877"/>
    <cellStyle name="60% - Accent4 19" xfId="878"/>
    <cellStyle name="60% - Accent4 2" xfId="879"/>
    <cellStyle name="60% - Accent4 2 2" xfId="880"/>
    <cellStyle name="60% - Accent4 2 2 2" xfId="881"/>
    <cellStyle name="60% - Accent4 2 2 2 2" xfId="882"/>
    <cellStyle name="60% - Accent4 2 2 2 3" xfId="883"/>
    <cellStyle name="60% - Accent4 2 2 2 4" xfId="884"/>
    <cellStyle name="60% - Accent4 2 2 2 5" xfId="885"/>
    <cellStyle name="60% - Accent4 2 2 3" xfId="886"/>
    <cellStyle name="60% - Accent4 2 2 4" xfId="887"/>
    <cellStyle name="60% - Accent4 2 2 5" xfId="888"/>
    <cellStyle name="60% - Accent4 2 3" xfId="889"/>
    <cellStyle name="60% - Accent4 2 4" xfId="890"/>
    <cellStyle name="60% - Accent4 2 5" xfId="891"/>
    <cellStyle name="60% - Accent4 2 6" xfId="892"/>
    <cellStyle name="60% - Accent4 2 7" xfId="893"/>
    <cellStyle name="60% - Accent4 2 8" xfId="894"/>
    <cellStyle name="60% - Accent4 2 9" xfId="895"/>
    <cellStyle name="60% - Accent4 20" xfId="896"/>
    <cellStyle name="60% - Accent4 21" xfId="897"/>
    <cellStyle name="60% - Accent4 22" xfId="898"/>
    <cellStyle name="60% - Accent4 3" xfId="899"/>
    <cellStyle name="60% - Accent4 3 2" xfId="4939"/>
    <cellStyle name="60% - Accent4 4" xfId="900"/>
    <cellStyle name="60% - Accent4 4 2" xfId="4940"/>
    <cellStyle name="60% - Accent4 5" xfId="901"/>
    <cellStyle name="60% - Accent4 6" xfId="902"/>
    <cellStyle name="60% - Accent4 7" xfId="903"/>
    <cellStyle name="60% - Accent4 8" xfId="904"/>
    <cellStyle name="60% - Accent4 9" xfId="905"/>
    <cellStyle name="60% - Accent5 10" xfId="906"/>
    <cellStyle name="60% - Accent5 11" xfId="907"/>
    <cellStyle name="60% - Accent5 12" xfId="908"/>
    <cellStyle name="60% - Accent5 13" xfId="909"/>
    <cellStyle name="60% - Accent5 14" xfId="910"/>
    <cellStyle name="60% - Accent5 15" xfId="911"/>
    <cellStyle name="60% - Accent5 16" xfId="912"/>
    <cellStyle name="60% - Accent5 17" xfId="913"/>
    <cellStyle name="60% - Accent5 17 2" xfId="4941"/>
    <cellStyle name="60% - Accent5 18" xfId="914"/>
    <cellStyle name="60% - Accent5 19" xfId="915"/>
    <cellStyle name="60% - Accent5 2" xfId="916"/>
    <cellStyle name="60% - Accent5 2 2" xfId="917"/>
    <cellStyle name="60% - Accent5 2 2 2" xfId="918"/>
    <cellStyle name="60% - Accent5 2 2 2 2" xfId="919"/>
    <cellStyle name="60% - Accent5 2 2 2 3" xfId="920"/>
    <cellStyle name="60% - Accent5 2 2 2 4" xfId="921"/>
    <cellStyle name="60% - Accent5 2 2 2 5" xfId="922"/>
    <cellStyle name="60% - Accent5 2 2 3" xfId="923"/>
    <cellStyle name="60% - Accent5 2 2 4" xfId="924"/>
    <cellStyle name="60% - Accent5 2 2 5" xfId="925"/>
    <cellStyle name="60% - Accent5 2 3" xfId="926"/>
    <cellStyle name="60% - Accent5 2 4" xfId="927"/>
    <cellStyle name="60% - Accent5 2 5" xfId="928"/>
    <cellStyle name="60% - Accent5 2 6" xfId="929"/>
    <cellStyle name="60% - Accent5 2 7" xfId="930"/>
    <cellStyle name="60% - Accent5 2 8" xfId="931"/>
    <cellStyle name="60% - Accent5 2 9" xfId="932"/>
    <cellStyle name="60% - Accent5 20" xfId="933"/>
    <cellStyle name="60% - Accent5 21" xfId="934"/>
    <cellStyle name="60% - Accent5 22" xfId="935"/>
    <cellStyle name="60% - Accent5 3" xfId="936"/>
    <cellStyle name="60% - Accent5 3 2" xfId="4942"/>
    <cellStyle name="60% - Accent5 4" xfId="937"/>
    <cellStyle name="60% - Accent5 4 2" xfId="4943"/>
    <cellStyle name="60% - Accent5 5" xfId="938"/>
    <cellStyle name="60% - Accent5 6" xfId="939"/>
    <cellStyle name="60% - Accent5 7" xfId="940"/>
    <cellStyle name="60% - Accent5 8" xfId="941"/>
    <cellStyle name="60% - Accent5 9" xfId="942"/>
    <cellStyle name="60% - Accent6 10" xfId="943"/>
    <cellStyle name="60% - Accent6 11" xfId="944"/>
    <cellStyle name="60% - Accent6 12" xfId="945"/>
    <cellStyle name="60% - Accent6 13" xfId="946"/>
    <cellStyle name="60% - Accent6 14" xfId="947"/>
    <cellStyle name="60% - Accent6 15" xfId="948"/>
    <cellStyle name="60% - Accent6 16" xfId="949"/>
    <cellStyle name="60% - Accent6 17" xfId="950"/>
    <cellStyle name="60% - Accent6 17 2" xfId="4944"/>
    <cellStyle name="60% - Accent6 18" xfId="951"/>
    <cellStyle name="60% - Accent6 19" xfId="952"/>
    <cellStyle name="60% - Accent6 2" xfId="953"/>
    <cellStyle name="60% - Accent6 2 2" xfId="954"/>
    <cellStyle name="60% - Accent6 2 2 2" xfId="955"/>
    <cellStyle name="60% - Accent6 2 2 2 2" xfId="956"/>
    <cellStyle name="60% - Accent6 2 2 2 3" xfId="957"/>
    <cellStyle name="60% - Accent6 2 2 2 4" xfId="958"/>
    <cellStyle name="60% - Accent6 2 2 2 5" xfId="959"/>
    <cellStyle name="60% - Accent6 2 2 3" xfId="960"/>
    <cellStyle name="60% - Accent6 2 2 4" xfId="961"/>
    <cellStyle name="60% - Accent6 2 2 5" xfId="962"/>
    <cellStyle name="60% - Accent6 2 3" xfId="963"/>
    <cellStyle name="60% - Accent6 2 4" xfId="964"/>
    <cellStyle name="60% - Accent6 2 5" xfId="965"/>
    <cellStyle name="60% - Accent6 2 6" xfId="966"/>
    <cellStyle name="60% - Accent6 2 7" xfId="967"/>
    <cellStyle name="60% - Accent6 2 8" xfId="968"/>
    <cellStyle name="60% - Accent6 2 9" xfId="969"/>
    <cellStyle name="60% - Accent6 20" xfId="970"/>
    <cellStyle name="60% - Accent6 21" xfId="971"/>
    <cellStyle name="60% - Accent6 22" xfId="972"/>
    <cellStyle name="60% - Accent6 3" xfId="973"/>
    <cellStyle name="60% - Accent6 3 2" xfId="4945"/>
    <cellStyle name="60% - Accent6 4" xfId="974"/>
    <cellStyle name="60% - Accent6 4 2" xfId="4946"/>
    <cellStyle name="60% - Accent6 5" xfId="975"/>
    <cellStyle name="60% - Accent6 6" xfId="976"/>
    <cellStyle name="60% - Accent6 7" xfId="977"/>
    <cellStyle name="60% - Accent6 8" xfId="978"/>
    <cellStyle name="60% - Accent6 9" xfId="979"/>
    <cellStyle name="ac" xfId="4947"/>
    <cellStyle name="Accent1 10" xfId="980"/>
    <cellStyle name="Accent1 11" xfId="981"/>
    <cellStyle name="Accent1 12" xfId="982"/>
    <cellStyle name="Accent1 13" xfId="983"/>
    <cellStyle name="Accent1 14" xfId="984"/>
    <cellStyle name="Accent1 15" xfId="985"/>
    <cellStyle name="Accent1 16" xfId="986"/>
    <cellStyle name="Accent1 17" xfId="987"/>
    <cellStyle name="Accent1 17 2" xfId="4948"/>
    <cellStyle name="Accent1 18" xfId="988"/>
    <cellStyle name="Accent1 19" xfId="989"/>
    <cellStyle name="Accent1 2" xfId="990"/>
    <cellStyle name="Accent1 2 2" xfId="991"/>
    <cellStyle name="Accent1 2 2 2" xfId="992"/>
    <cellStyle name="Accent1 2 2 2 2" xfId="993"/>
    <cellStyle name="Accent1 2 2 2 3" xfId="994"/>
    <cellStyle name="Accent1 2 2 2 4" xfId="995"/>
    <cellStyle name="Accent1 2 2 2 5" xfId="996"/>
    <cellStyle name="Accent1 2 2 3" xfId="997"/>
    <cellStyle name="Accent1 2 2 4" xfId="998"/>
    <cellStyle name="Accent1 2 2 5" xfId="999"/>
    <cellStyle name="Accent1 2 3" xfId="1000"/>
    <cellStyle name="Accent1 2 4" xfId="1001"/>
    <cellStyle name="Accent1 2 5" xfId="1002"/>
    <cellStyle name="Accent1 2 6" xfId="1003"/>
    <cellStyle name="Accent1 2 7" xfId="1004"/>
    <cellStyle name="Accent1 2 8" xfId="1005"/>
    <cellStyle name="Accent1 2 9" xfId="1006"/>
    <cellStyle name="Accent1 20" xfId="1007"/>
    <cellStyle name="Accent1 21" xfId="1008"/>
    <cellStyle name="Accent1 22" xfId="1009"/>
    <cellStyle name="Accent1 3" xfId="1010"/>
    <cellStyle name="Accent1 3 2" xfId="4949"/>
    <cellStyle name="Accent1 4" xfId="1011"/>
    <cellStyle name="Accent1 4 2" xfId="4950"/>
    <cellStyle name="Accent1 5" xfId="1012"/>
    <cellStyle name="Accent1 6" xfId="1013"/>
    <cellStyle name="Accent1 7" xfId="1014"/>
    <cellStyle name="Accent1 8" xfId="1015"/>
    <cellStyle name="Accent1 9" xfId="1016"/>
    <cellStyle name="Accent2 10" xfId="1017"/>
    <cellStyle name="Accent2 11" xfId="1018"/>
    <cellStyle name="Accent2 12" xfId="1019"/>
    <cellStyle name="Accent2 13" xfId="1020"/>
    <cellStyle name="Accent2 14" xfId="1021"/>
    <cellStyle name="Accent2 15" xfId="1022"/>
    <cellStyle name="Accent2 16" xfId="1023"/>
    <cellStyle name="Accent2 17" xfId="1024"/>
    <cellStyle name="Accent2 17 2" xfId="4951"/>
    <cellStyle name="Accent2 18" xfId="1025"/>
    <cellStyle name="Accent2 19" xfId="1026"/>
    <cellStyle name="Accent2 2" xfId="1027"/>
    <cellStyle name="Accent2 2 2" xfId="1028"/>
    <cellStyle name="Accent2 2 2 2" xfId="1029"/>
    <cellStyle name="Accent2 2 2 2 2" xfId="1030"/>
    <cellStyle name="Accent2 2 2 2 3" xfId="1031"/>
    <cellStyle name="Accent2 2 2 2 4" xfId="1032"/>
    <cellStyle name="Accent2 2 2 2 5" xfId="1033"/>
    <cellStyle name="Accent2 2 2 3" xfId="1034"/>
    <cellStyle name="Accent2 2 2 4" xfId="1035"/>
    <cellStyle name="Accent2 2 2 5" xfId="1036"/>
    <cellStyle name="Accent2 2 3" xfId="1037"/>
    <cellStyle name="Accent2 2 4" xfId="1038"/>
    <cellStyle name="Accent2 2 5" xfId="1039"/>
    <cellStyle name="Accent2 2 6" xfId="1040"/>
    <cellStyle name="Accent2 2 7" xfId="1041"/>
    <cellStyle name="Accent2 2 8" xfId="1042"/>
    <cellStyle name="Accent2 2 9" xfId="1043"/>
    <cellStyle name="Accent2 20" xfId="1044"/>
    <cellStyle name="Accent2 21" xfId="1045"/>
    <cellStyle name="Accent2 22" xfId="1046"/>
    <cellStyle name="Accent2 3" xfId="1047"/>
    <cellStyle name="Accent2 3 2" xfId="4952"/>
    <cellStyle name="Accent2 4" xfId="1048"/>
    <cellStyle name="Accent2 4 2" xfId="4953"/>
    <cellStyle name="Accent2 5" xfId="1049"/>
    <cellStyle name="Accent2 6" xfId="1050"/>
    <cellStyle name="Accent2 7" xfId="1051"/>
    <cellStyle name="Accent2 8" xfId="1052"/>
    <cellStyle name="Accent2 9" xfId="1053"/>
    <cellStyle name="Accent3 10" xfId="1054"/>
    <cellStyle name="Accent3 11" xfId="1055"/>
    <cellStyle name="Accent3 12" xfId="1056"/>
    <cellStyle name="Accent3 13" xfId="1057"/>
    <cellStyle name="Accent3 14" xfId="1058"/>
    <cellStyle name="Accent3 15" xfId="1059"/>
    <cellStyle name="Accent3 16" xfId="1060"/>
    <cellStyle name="Accent3 17" xfId="1061"/>
    <cellStyle name="Accent3 17 2" xfId="4954"/>
    <cellStyle name="Accent3 18" xfId="1062"/>
    <cellStyle name="Accent3 19" xfId="1063"/>
    <cellStyle name="Accent3 2" xfId="1064"/>
    <cellStyle name="Accent3 2 2" xfId="1065"/>
    <cellStyle name="Accent3 2 2 2" xfId="1066"/>
    <cellStyle name="Accent3 2 2 2 2" xfId="1067"/>
    <cellStyle name="Accent3 2 2 2 3" xfId="1068"/>
    <cellStyle name="Accent3 2 2 2 4" xfId="1069"/>
    <cellStyle name="Accent3 2 2 2 5" xfId="1070"/>
    <cellStyle name="Accent3 2 2 3" xfId="1071"/>
    <cellStyle name="Accent3 2 2 4" xfId="1072"/>
    <cellStyle name="Accent3 2 2 5" xfId="1073"/>
    <cellStyle name="Accent3 2 3" xfId="1074"/>
    <cellStyle name="Accent3 2 4" xfId="1075"/>
    <cellStyle name="Accent3 2 5" xfId="1076"/>
    <cellStyle name="Accent3 2 6" xfId="1077"/>
    <cellStyle name="Accent3 2 7" xfId="1078"/>
    <cellStyle name="Accent3 2 8" xfId="1079"/>
    <cellStyle name="Accent3 2 9" xfId="1080"/>
    <cellStyle name="Accent3 20" xfId="1081"/>
    <cellStyle name="Accent3 21" xfId="1082"/>
    <cellStyle name="Accent3 22" xfId="1083"/>
    <cellStyle name="Accent3 3" xfId="1084"/>
    <cellStyle name="Accent3 3 2" xfId="4955"/>
    <cellStyle name="Accent3 4" xfId="1085"/>
    <cellStyle name="Accent3 4 2" xfId="4956"/>
    <cellStyle name="Accent3 5" xfId="1086"/>
    <cellStyle name="Accent3 6" xfId="1087"/>
    <cellStyle name="Accent3 7" xfId="1088"/>
    <cellStyle name="Accent3 8" xfId="1089"/>
    <cellStyle name="Accent3 9" xfId="1090"/>
    <cellStyle name="Accent4 10" xfId="1091"/>
    <cellStyle name="Accent4 11" xfId="1092"/>
    <cellStyle name="Accent4 12" xfId="1093"/>
    <cellStyle name="Accent4 13" xfId="1094"/>
    <cellStyle name="Accent4 14" xfId="1095"/>
    <cellStyle name="Accent4 15" xfId="1096"/>
    <cellStyle name="Accent4 16" xfId="1097"/>
    <cellStyle name="Accent4 17" xfId="1098"/>
    <cellStyle name="Accent4 17 2" xfId="4957"/>
    <cellStyle name="Accent4 18" xfId="1099"/>
    <cellStyle name="Accent4 19" xfId="1100"/>
    <cellStyle name="Accent4 2" xfId="1101"/>
    <cellStyle name="Accent4 2 2" xfId="1102"/>
    <cellStyle name="Accent4 2 2 2" xfId="1103"/>
    <cellStyle name="Accent4 2 2 2 2" xfId="1104"/>
    <cellStyle name="Accent4 2 2 2 3" xfId="1105"/>
    <cellStyle name="Accent4 2 2 2 4" xfId="1106"/>
    <cellStyle name="Accent4 2 2 2 5" xfId="1107"/>
    <cellStyle name="Accent4 2 2 3" xfId="1108"/>
    <cellStyle name="Accent4 2 2 4" xfId="1109"/>
    <cellStyle name="Accent4 2 2 5" xfId="1110"/>
    <cellStyle name="Accent4 2 3" xfId="1111"/>
    <cellStyle name="Accent4 2 4" xfId="1112"/>
    <cellStyle name="Accent4 2 5" xfId="1113"/>
    <cellStyle name="Accent4 2 6" xfId="1114"/>
    <cellStyle name="Accent4 2 7" xfId="1115"/>
    <cellStyle name="Accent4 2 8" xfId="1116"/>
    <cellStyle name="Accent4 2 9" xfId="1117"/>
    <cellStyle name="Accent4 20" xfId="1118"/>
    <cellStyle name="Accent4 21" xfId="1119"/>
    <cellStyle name="Accent4 22" xfId="1120"/>
    <cellStyle name="Accent4 3" xfId="1121"/>
    <cellStyle name="Accent4 3 2" xfId="4958"/>
    <cellStyle name="Accent4 4" xfId="1122"/>
    <cellStyle name="Accent4 4 2" xfId="4959"/>
    <cellStyle name="Accent4 5" xfId="1123"/>
    <cellStyle name="Accent4 6" xfId="1124"/>
    <cellStyle name="Accent4 7" xfId="1125"/>
    <cellStyle name="Accent4 8" xfId="1126"/>
    <cellStyle name="Accent4 9" xfId="1127"/>
    <cellStyle name="Accent5 10" xfId="1128"/>
    <cellStyle name="Accent5 11" xfId="1129"/>
    <cellStyle name="Accent5 12" xfId="1130"/>
    <cellStyle name="Accent5 13" xfId="1131"/>
    <cellStyle name="Accent5 14" xfId="1132"/>
    <cellStyle name="Accent5 15" xfId="1133"/>
    <cellStyle name="Accent5 16" xfId="1134"/>
    <cellStyle name="Accent5 17" xfId="1135"/>
    <cellStyle name="Accent5 18" xfId="1136"/>
    <cellStyle name="Accent5 19" xfId="1137"/>
    <cellStyle name="Accent5 2" xfId="1138"/>
    <cellStyle name="Accent5 2 2" xfId="1139"/>
    <cellStyle name="Accent5 2 2 2" xfId="1140"/>
    <cellStyle name="Accent5 2 2 2 2" xfId="1141"/>
    <cellStyle name="Accent5 2 2 2 3" xfId="1142"/>
    <cellStyle name="Accent5 2 2 2 4" xfId="1143"/>
    <cellStyle name="Accent5 2 2 2 5" xfId="1144"/>
    <cellStyle name="Accent5 2 2 3" xfId="1145"/>
    <cellStyle name="Accent5 2 2 4" xfId="1146"/>
    <cellStyle name="Accent5 2 2 5" xfId="1147"/>
    <cellStyle name="Accent5 2 3" xfId="1148"/>
    <cellStyle name="Accent5 2 4" xfId="1149"/>
    <cellStyle name="Accent5 2 5" xfId="1150"/>
    <cellStyle name="Accent5 2 6" xfId="1151"/>
    <cellStyle name="Accent5 2 7" xfId="1152"/>
    <cellStyle name="Accent5 2 8" xfId="1153"/>
    <cellStyle name="Accent5 2 9" xfId="1154"/>
    <cellStyle name="Accent5 20" xfId="1155"/>
    <cellStyle name="Accent5 21" xfId="1156"/>
    <cellStyle name="Accent5 22" xfId="1157"/>
    <cellStyle name="Accent5 3" xfId="1158"/>
    <cellStyle name="Accent5 3 2" xfId="4960"/>
    <cellStyle name="Accent5 4" xfId="1159"/>
    <cellStyle name="Accent5 4 2" xfId="4961"/>
    <cellStyle name="Accent5 5" xfId="1160"/>
    <cellStyle name="Accent5 6" xfId="1161"/>
    <cellStyle name="Accent5 7" xfId="1162"/>
    <cellStyle name="Accent5 8" xfId="1163"/>
    <cellStyle name="Accent5 9" xfId="1164"/>
    <cellStyle name="Accent6 10" xfId="1165"/>
    <cellStyle name="Accent6 11" xfId="1166"/>
    <cellStyle name="Accent6 12" xfId="1167"/>
    <cellStyle name="Accent6 13" xfId="1168"/>
    <cellStyle name="Accent6 14" xfId="1169"/>
    <cellStyle name="Accent6 15" xfId="1170"/>
    <cellStyle name="Accent6 16" xfId="1171"/>
    <cellStyle name="Accent6 17" xfId="1172"/>
    <cellStyle name="Accent6 17 2" xfId="4962"/>
    <cellStyle name="Accent6 18" xfId="1173"/>
    <cellStyle name="Accent6 19" xfId="1174"/>
    <cellStyle name="Accent6 2" xfId="1175"/>
    <cellStyle name="Accent6 2 2" xfId="1176"/>
    <cellStyle name="Accent6 2 2 2" xfId="1177"/>
    <cellStyle name="Accent6 2 2 2 2" xfId="1178"/>
    <cellStyle name="Accent6 2 2 2 3" xfId="1179"/>
    <cellStyle name="Accent6 2 2 2 4" xfId="1180"/>
    <cellStyle name="Accent6 2 2 2 5" xfId="1181"/>
    <cellStyle name="Accent6 2 2 3" xfId="1182"/>
    <cellStyle name="Accent6 2 2 4" xfId="1183"/>
    <cellStyle name="Accent6 2 2 5" xfId="1184"/>
    <cellStyle name="Accent6 2 3" xfId="1185"/>
    <cellStyle name="Accent6 2 4" xfId="1186"/>
    <cellStyle name="Accent6 2 5" xfId="1187"/>
    <cellStyle name="Accent6 2 6" xfId="1188"/>
    <cellStyle name="Accent6 2 7" xfId="1189"/>
    <cellStyle name="Accent6 2 8" xfId="1190"/>
    <cellStyle name="Accent6 2 9" xfId="1191"/>
    <cellStyle name="Accent6 20" xfId="1192"/>
    <cellStyle name="Accent6 21" xfId="1193"/>
    <cellStyle name="Accent6 22" xfId="1194"/>
    <cellStyle name="Accent6 3" xfId="1195"/>
    <cellStyle name="Accent6 3 2" xfId="4963"/>
    <cellStyle name="Accent6 4" xfId="1196"/>
    <cellStyle name="Accent6 4 2" xfId="4964"/>
    <cellStyle name="Accent6 5" xfId="1197"/>
    <cellStyle name="Accent6 6" xfId="1198"/>
    <cellStyle name="Accent6 7" xfId="1199"/>
    <cellStyle name="Accent6 8" xfId="1200"/>
    <cellStyle name="Accent6 9" xfId="1201"/>
    <cellStyle name="Bad 10" xfId="1202"/>
    <cellStyle name="Bad 11" xfId="1203"/>
    <cellStyle name="Bad 12" xfId="1204"/>
    <cellStyle name="Bad 13" xfId="1205"/>
    <cellStyle name="Bad 14" xfId="1206"/>
    <cellStyle name="Bad 15" xfId="1207"/>
    <cellStyle name="Bad 16" xfId="1208"/>
    <cellStyle name="Bad 17" xfId="1209"/>
    <cellStyle name="Bad 17 2" xfId="4965"/>
    <cellStyle name="Bad 18" xfId="1210"/>
    <cellStyle name="Bad 19" xfId="1211"/>
    <cellStyle name="Bad 2" xfId="1212"/>
    <cellStyle name="Bad 2 2" xfId="1213"/>
    <cellStyle name="Bad 2 2 2" xfId="1214"/>
    <cellStyle name="Bad 2 2 2 2" xfId="1215"/>
    <cellStyle name="Bad 2 2 2 3" xfId="1216"/>
    <cellStyle name="Bad 2 2 2 4" xfId="1217"/>
    <cellStyle name="Bad 2 2 2 5" xfId="1218"/>
    <cellStyle name="Bad 2 2 3" xfId="1219"/>
    <cellStyle name="Bad 2 2 4" xfId="1220"/>
    <cellStyle name="Bad 2 2 5" xfId="1221"/>
    <cellStyle name="Bad 2 3" xfId="1222"/>
    <cellStyle name="Bad 2 4" xfId="1223"/>
    <cellStyle name="Bad 2 5" xfId="1224"/>
    <cellStyle name="Bad 2 6" xfId="1225"/>
    <cellStyle name="Bad 2 7" xfId="1226"/>
    <cellStyle name="Bad 2 8" xfId="1227"/>
    <cellStyle name="Bad 2 9" xfId="1228"/>
    <cellStyle name="Bad 20" xfId="1229"/>
    <cellStyle name="Bad 21" xfId="1230"/>
    <cellStyle name="Bad 22" xfId="1231"/>
    <cellStyle name="Bad 3" xfId="1232"/>
    <cellStyle name="Bad 3 2" xfId="4966"/>
    <cellStyle name="Bad 4" xfId="1233"/>
    <cellStyle name="Bad 5" xfId="1234"/>
    <cellStyle name="Bad 6" xfId="1235"/>
    <cellStyle name="Bad 7" xfId="1236"/>
    <cellStyle name="Bad 8" xfId="1237"/>
    <cellStyle name="Bad 9" xfId="1238"/>
    <cellStyle name="c" xfId="4967"/>
    <cellStyle name="Calculation 10" xfId="1239"/>
    <cellStyle name="Calculation 10 10" xfId="4968"/>
    <cellStyle name="Calculation 10 11" xfId="4969"/>
    <cellStyle name="Calculation 10 12" xfId="4970"/>
    <cellStyle name="Calculation 10 2" xfId="4971"/>
    <cellStyle name="Calculation 10 2 2" xfId="4972"/>
    <cellStyle name="Calculation 10 2 2 2" xfId="4973"/>
    <cellStyle name="Calculation 10 2 3" xfId="4974"/>
    <cellStyle name="Calculation 10 2 3 2" xfId="4975"/>
    <cellStyle name="Calculation 10 2 4" xfId="4976"/>
    <cellStyle name="Calculation 10 2 4 2" xfId="4977"/>
    <cellStyle name="Calculation 10 2 5" xfId="4978"/>
    <cellStyle name="Calculation 10 2 5 2" xfId="4979"/>
    <cellStyle name="Calculation 10 2 6" xfId="4980"/>
    <cellStyle name="Calculation 10 2 6 2" xfId="4981"/>
    <cellStyle name="Calculation 10 2 7" xfId="4982"/>
    <cellStyle name="Calculation 10 2 7 2" xfId="4983"/>
    <cellStyle name="Calculation 10 2 8" xfId="4984"/>
    <cellStyle name="Calculation 10 2 8 2" xfId="4985"/>
    <cellStyle name="Calculation 10 2 9" xfId="4986"/>
    <cellStyle name="Calculation 10 3" xfId="4987"/>
    <cellStyle name="Calculation 10 3 2" xfId="4988"/>
    <cellStyle name="Calculation 10 4" xfId="4989"/>
    <cellStyle name="Calculation 10 4 2" xfId="4990"/>
    <cellStyle name="Calculation 10 5" xfId="4991"/>
    <cellStyle name="Calculation 10 5 2" xfId="4992"/>
    <cellStyle name="Calculation 10 6" xfId="4993"/>
    <cellStyle name="Calculation 10 6 2" xfId="4994"/>
    <cellStyle name="Calculation 10 7" xfId="4995"/>
    <cellStyle name="Calculation 10 7 2" xfId="4996"/>
    <cellStyle name="Calculation 10 8" xfId="4997"/>
    <cellStyle name="Calculation 10 8 2" xfId="4998"/>
    <cellStyle name="Calculation 10 9" xfId="4999"/>
    <cellStyle name="Calculation 10 9 2" xfId="5000"/>
    <cellStyle name="Calculation 11" xfId="1240"/>
    <cellStyle name="Calculation 11 10" xfId="5001"/>
    <cellStyle name="Calculation 11 11" xfId="5002"/>
    <cellStyle name="Calculation 11 12" xfId="5003"/>
    <cellStyle name="Calculation 11 2" xfId="5004"/>
    <cellStyle name="Calculation 11 2 2" xfId="5005"/>
    <cellStyle name="Calculation 11 2 2 2" xfId="5006"/>
    <cellStyle name="Calculation 11 2 3" xfId="5007"/>
    <cellStyle name="Calculation 11 2 3 2" xfId="5008"/>
    <cellStyle name="Calculation 11 2 4" xfId="5009"/>
    <cellStyle name="Calculation 11 2 4 2" xfId="5010"/>
    <cellStyle name="Calculation 11 2 5" xfId="5011"/>
    <cellStyle name="Calculation 11 2 5 2" xfId="5012"/>
    <cellStyle name="Calculation 11 2 6" xfId="5013"/>
    <cellStyle name="Calculation 11 2 6 2" xfId="5014"/>
    <cellStyle name="Calculation 11 2 7" xfId="5015"/>
    <cellStyle name="Calculation 11 2 7 2" xfId="5016"/>
    <cellStyle name="Calculation 11 2 8" xfId="5017"/>
    <cellStyle name="Calculation 11 2 8 2" xfId="5018"/>
    <cellStyle name="Calculation 11 2 9" xfId="5019"/>
    <cellStyle name="Calculation 11 3" xfId="5020"/>
    <cellStyle name="Calculation 11 3 2" xfId="5021"/>
    <cellStyle name="Calculation 11 4" xfId="5022"/>
    <cellStyle name="Calculation 11 4 2" xfId="5023"/>
    <cellStyle name="Calculation 11 5" xfId="5024"/>
    <cellStyle name="Calculation 11 5 2" xfId="5025"/>
    <cellStyle name="Calculation 11 6" xfId="5026"/>
    <cellStyle name="Calculation 11 6 2" xfId="5027"/>
    <cellStyle name="Calculation 11 7" xfId="5028"/>
    <cellStyle name="Calculation 11 7 2" xfId="5029"/>
    <cellStyle name="Calculation 11 8" xfId="5030"/>
    <cellStyle name="Calculation 11 8 2" xfId="5031"/>
    <cellStyle name="Calculation 11 9" xfId="5032"/>
    <cellStyle name="Calculation 11 9 2" xfId="5033"/>
    <cellStyle name="Calculation 12" xfId="1241"/>
    <cellStyle name="Calculation 12 10" xfId="5034"/>
    <cellStyle name="Calculation 12 11" xfId="5035"/>
    <cellStyle name="Calculation 12 12" xfId="5036"/>
    <cellStyle name="Calculation 12 2" xfId="5037"/>
    <cellStyle name="Calculation 12 2 2" xfId="5038"/>
    <cellStyle name="Calculation 12 2 2 2" xfId="5039"/>
    <cellStyle name="Calculation 12 2 3" xfId="5040"/>
    <cellStyle name="Calculation 12 2 3 2" xfId="5041"/>
    <cellStyle name="Calculation 12 2 4" xfId="5042"/>
    <cellStyle name="Calculation 12 2 4 2" xfId="5043"/>
    <cellStyle name="Calculation 12 2 5" xfId="5044"/>
    <cellStyle name="Calculation 12 2 5 2" xfId="5045"/>
    <cellStyle name="Calculation 12 2 6" xfId="5046"/>
    <cellStyle name="Calculation 12 2 6 2" xfId="5047"/>
    <cellStyle name="Calculation 12 2 7" xfId="5048"/>
    <cellStyle name="Calculation 12 2 7 2" xfId="5049"/>
    <cellStyle name="Calculation 12 2 8" xfId="5050"/>
    <cellStyle name="Calculation 12 2 8 2" xfId="5051"/>
    <cellStyle name="Calculation 12 2 9" xfId="5052"/>
    <cellStyle name="Calculation 12 3" xfId="5053"/>
    <cellStyle name="Calculation 12 3 2" xfId="5054"/>
    <cellStyle name="Calculation 12 4" xfId="5055"/>
    <cellStyle name="Calculation 12 4 2" xfId="5056"/>
    <cellStyle name="Calculation 12 5" xfId="5057"/>
    <cellStyle name="Calculation 12 5 2" xfId="5058"/>
    <cellStyle name="Calculation 12 6" xfId="5059"/>
    <cellStyle name="Calculation 12 6 2" xfId="5060"/>
    <cellStyle name="Calculation 12 7" xfId="5061"/>
    <cellStyle name="Calculation 12 7 2" xfId="5062"/>
    <cellStyle name="Calculation 12 8" xfId="5063"/>
    <cellStyle name="Calculation 12 8 2" xfId="5064"/>
    <cellStyle name="Calculation 12 9" xfId="5065"/>
    <cellStyle name="Calculation 12 9 2" xfId="5066"/>
    <cellStyle name="Calculation 13" xfId="1242"/>
    <cellStyle name="Calculation 13 10" xfId="5067"/>
    <cellStyle name="Calculation 13 11" xfId="5068"/>
    <cellStyle name="Calculation 13 12" xfId="5069"/>
    <cellStyle name="Calculation 13 2" xfId="5070"/>
    <cellStyle name="Calculation 13 2 2" xfId="5071"/>
    <cellStyle name="Calculation 13 2 2 2" xfId="5072"/>
    <cellStyle name="Calculation 13 2 3" xfId="5073"/>
    <cellStyle name="Calculation 13 2 3 2" xfId="5074"/>
    <cellStyle name="Calculation 13 2 4" xfId="5075"/>
    <cellStyle name="Calculation 13 2 4 2" xfId="5076"/>
    <cellStyle name="Calculation 13 2 5" xfId="5077"/>
    <cellStyle name="Calculation 13 2 5 2" xfId="5078"/>
    <cellStyle name="Calculation 13 2 6" xfId="5079"/>
    <cellStyle name="Calculation 13 2 6 2" xfId="5080"/>
    <cellStyle name="Calculation 13 2 7" xfId="5081"/>
    <cellStyle name="Calculation 13 2 7 2" xfId="5082"/>
    <cellStyle name="Calculation 13 2 8" xfId="5083"/>
    <cellStyle name="Calculation 13 2 8 2" xfId="5084"/>
    <cellStyle name="Calculation 13 2 9" xfId="5085"/>
    <cellStyle name="Calculation 13 3" xfId="5086"/>
    <cellStyle name="Calculation 13 3 2" xfId="5087"/>
    <cellStyle name="Calculation 13 4" xfId="5088"/>
    <cellStyle name="Calculation 13 4 2" xfId="5089"/>
    <cellStyle name="Calculation 13 5" xfId="5090"/>
    <cellStyle name="Calculation 13 5 2" xfId="5091"/>
    <cellStyle name="Calculation 13 6" xfId="5092"/>
    <cellStyle name="Calculation 13 6 2" xfId="5093"/>
    <cellStyle name="Calculation 13 7" xfId="5094"/>
    <cellStyle name="Calculation 13 7 2" xfId="5095"/>
    <cellStyle name="Calculation 13 8" xfId="5096"/>
    <cellStyle name="Calculation 13 8 2" xfId="5097"/>
    <cellStyle name="Calculation 13 9" xfId="5098"/>
    <cellStyle name="Calculation 13 9 2" xfId="5099"/>
    <cellStyle name="Calculation 14" xfId="1243"/>
    <cellStyle name="Calculation 14 10" xfId="5100"/>
    <cellStyle name="Calculation 14 11" xfId="5101"/>
    <cellStyle name="Calculation 14 12" xfId="5102"/>
    <cellStyle name="Calculation 14 2" xfId="5103"/>
    <cellStyle name="Calculation 14 2 2" xfId="5104"/>
    <cellStyle name="Calculation 14 2 2 2" xfId="5105"/>
    <cellStyle name="Calculation 14 2 3" xfId="5106"/>
    <cellStyle name="Calculation 14 2 3 2" xfId="5107"/>
    <cellStyle name="Calculation 14 2 4" xfId="5108"/>
    <cellStyle name="Calculation 14 2 4 2" xfId="5109"/>
    <cellStyle name="Calculation 14 2 5" xfId="5110"/>
    <cellStyle name="Calculation 14 2 5 2" xfId="5111"/>
    <cellStyle name="Calculation 14 2 6" xfId="5112"/>
    <cellStyle name="Calculation 14 2 6 2" xfId="5113"/>
    <cellStyle name="Calculation 14 2 7" xfId="5114"/>
    <cellStyle name="Calculation 14 2 7 2" xfId="5115"/>
    <cellStyle name="Calculation 14 2 8" xfId="5116"/>
    <cellStyle name="Calculation 14 2 8 2" xfId="5117"/>
    <cellStyle name="Calculation 14 2 9" xfId="5118"/>
    <cellStyle name="Calculation 14 3" xfId="5119"/>
    <cellStyle name="Calculation 14 3 2" xfId="5120"/>
    <cellStyle name="Calculation 14 4" xfId="5121"/>
    <cellStyle name="Calculation 14 4 2" xfId="5122"/>
    <cellStyle name="Calculation 14 5" xfId="5123"/>
    <cellStyle name="Calculation 14 5 2" xfId="5124"/>
    <cellStyle name="Calculation 14 6" xfId="5125"/>
    <cellStyle name="Calculation 14 6 2" xfId="5126"/>
    <cellStyle name="Calculation 14 7" xfId="5127"/>
    <cellStyle name="Calculation 14 7 2" xfId="5128"/>
    <cellStyle name="Calculation 14 8" xfId="5129"/>
    <cellStyle name="Calculation 14 8 2" xfId="5130"/>
    <cellStyle name="Calculation 14 9" xfId="5131"/>
    <cellStyle name="Calculation 14 9 2" xfId="5132"/>
    <cellStyle name="Calculation 15" xfId="1244"/>
    <cellStyle name="Calculation 15 10" xfId="5133"/>
    <cellStyle name="Calculation 15 11" xfId="5134"/>
    <cellStyle name="Calculation 15 12" xfId="5135"/>
    <cellStyle name="Calculation 15 2" xfId="5136"/>
    <cellStyle name="Calculation 15 2 2" xfId="5137"/>
    <cellStyle name="Calculation 15 2 2 2" xfId="5138"/>
    <cellStyle name="Calculation 15 2 3" xfId="5139"/>
    <cellStyle name="Calculation 15 2 3 2" xfId="5140"/>
    <cellStyle name="Calculation 15 2 4" xfId="5141"/>
    <cellStyle name="Calculation 15 2 4 2" xfId="5142"/>
    <cellStyle name="Calculation 15 2 5" xfId="5143"/>
    <cellStyle name="Calculation 15 2 5 2" xfId="5144"/>
    <cellStyle name="Calculation 15 2 6" xfId="5145"/>
    <cellStyle name="Calculation 15 2 6 2" xfId="5146"/>
    <cellStyle name="Calculation 15 2 7" xfId="5147"/>
    <cellStyle name="Calculation 15 2 7 2" xfId="5148"/>
    <cellStyle name="Calculation 15 2 8" xfId="5149"/>
    <cellStyle name="Calculation 15 2 8 2" xfId="5150"/>
    <cellStyle name="Calculation 15 2 9" xfId="5151"/>
    <cellStyle name="Calculation 15 3" xfId="5152"/>
    <cellStyle name="Calculation 15 3 2" xfId="5153"/>
    <cellStyle name="Calculation 15 4" xfId="5154"/>
    <cellStyle name="Calculation 15 4 2" xfId="5155"/>
    <cellStyle name="Calculation 15 5" xfId="5156"/>
    <cellStyle name="Calculation 15 5 2" xfId="5157"/>
    <cellStyle name="Calculation 15 6" xfId="5158"/>
    <cellStyle name="Calculation 15 6 2" xfId="5159"/>
    <cellStyle name="Calculation 15 7" xfId="5160"/>
    <cellStyle name="Calculation 15 7 2" xfId="5161"/>
    <cellStyle name="Calculation 15 8" xfId="5162"/>
    <cellStyle name="Calculation 15 8 2" xfId="5163"/>
    <cellStyle name="Calculation 15 9" xfId="5164"/>
    <cellStyle name="Calculation 15 9 2" xfId="5165"/>
    <cellStyle name="Calculation 16" xfId="1245"/>
    <cellStyle name="Calculation 16 10" xfId="5166"/>
    <cellStyle name="Calculation 16 11" xfId="5167"/>
    <cellStyle name="Calculation 16 12" xfId="5168"/>
    <cellStyle name="Calculation 16 2" xfId="5169"/>
    <cellStyle name="Calculation 16 2 2" xfId="5170"/>
    <cellStyle name="Calculation 16 2 2 2" xfId="5171"/>
    <cellStyle name="Calculation 16 2 3" xfId="5172"/>
    <cellStyle name="Calculation 16 2 3 2" xfId="5173"/>
    <cellStyle name="Calculation 16 2 4" xfId="5174"/>
    <cellStyle name="Calculation 16 2 4 2" xfId="5175"/>
    <cellStyle name="Calculation 16 2 5" xfId="5176"/>
    <cellStyle name="Calculation 16 2 5 2" xfId="5177"/>
    <cellStyle name="Calculation 16 2 6" xfId="5178"/>
    <cellStyle name="Calculation 16 2 6 2" xfId="5179"/>
    <cellStyle name="Calculation 16 2 7" xfId="5180"/>
    <cellStyle name="Calculation 16 2 7 2" xfId="5181"/>
    <cellStyle name="Calculation 16 2 8" xfId="5182"/>
    <cellStyle name="Calculation 16 2 8 2" xfId="5183"/>
    <cellStyle name="Calculation 16 2 9" xfId="5184"/>
    <cellStyle name="Calculation 16 3" xfId="5185"/>
    <cellStyle name="Calculation 16 3 2" xfId="5186"/>
    <cellStyle name="Calculation 16 4" xfId="5187"/>
    <cellStyle name="Calculation 16 4 2" xfId="5188"/>
    <cellStyle name="Calculation 16 5" xfId="5189"/>
    <cellStyle name="Calculation 16 5 2" xfId="5190"/>
    <cellStyle name="Calculation 16 6" xfId="5191"/>
    <cellStyle name="Calculation 16 6 2" xfId="5192"/>
    <cellStyle name="Calculation 16 7" xfId="5193"/>
    <cellStyle name="Calculation 16 7 2" xfId="5194"/>
    <cellStyle name="Calculation 16 8" xfId="5195"/>
    <cellStyle name="Calculation 16 8 2" xfId="5196"/>
    <cellStyle name="Calculation 16 9" xfId="5197"/>
    <cellStyle name="Calculation 16 9 2" xfId="5198"/>
    <cellStyle name="Calculation 17" xfId="1246"/>
    <cellStyle name="Calculation 17 10" xfId="5199"/>
    <cellStyle name="Calculation 17 11" xfId="5200"/>
    <cellStyle name="Calculation 17 2" xfId="5201"/>
    <cellStyle name="Calculation 17 2 2" xfId="5202"/>
    <cellStyle name="Calculation 17 2 2 2" xfId="5203"/>
    <cellStyle name="Calculation 17 2 3" xfId="5204"/>
    <cellStyle name="Calculation 17 2 3 2" xfId="5205"/>
    <cellStyle name="Calculation 17 2 4" xfId="5206"/>
    <cellStyle name="Calculation 17 2 4 2" xfId="5207"/>
    <cellStyle name="Calculation 17 2 5" xfId="5208"/>
    <cellStyle name="Calculation 17 2 5 2" xfId="5209"/>
    <cellStyle name="Calculation 17 2 6" xfId="5210"/>
    <cellStyle name="Calculation 17 2 6 2" xfId="5211"/>
    <cellStyle name="Calculation 17 2 7" xfId="5212"/>
    <cellStyle name="Calculation 17 2 7 2" xfId="5213"/>
    <cellStyle name="Calculation 17 2 8" xfId="5214"/>
    <cellStyle name="Calculation 17 2 8 2" xfId="5215"/>
    <cellStyle name="Calculation 17 2 9" xfId="5216"/>
    <cellStyle name="Calculation 17 3" xfId="5217"/>
    <cellStyle name="Calculation 17 3 2" xfId="5218"/>
    <cellStyle name="Calculation 17 4" xfId="5219"/>
    <cellStyle name="Calculation 17 4 2" xfId="5220"/>
    <cellStyle name="Calculation 17 5" xfId="5221"/>
    <cellStyle name="Calculation 17 5 2" xfId="5222"/>
    <cellStyle name="Calculation 17 6" xfId="5223"/>
    <cellStyle name="Calculation 17 6 2" xfId="5224"/>
    <cellStyle name="Calculation 17 7" xfId="5225"/>
    <cellStyle name="Calculation 17 7 2" xfId="5226"/>
    <cellStyle name="Calculation 17 8" xfId="5227"/>
    <cellStyle name="Calculation 17 8 2" xfId="5228"/>
    <cellStyle name="Calculation 17 9" xfId="5229"/>
    <cellStyle name="Calculation 17 9 2" xfId="5230"/>
    <cellStyle name="Calculation 18" xfId="1247"/>
    <cellStyle name="Calculation 18 10" xfId="5231"/>
    <cellStyle name="Calculation 18 2" xfId="5232"/>
    <cellStyle name="Calculation 18 2 2" xfId="5233"/>
    <cellStyle name="Calculation 18 2 2 2" xfId="5234"/>
    <cellStyle name="Calculation 18 2 3" xfId="5235"/>
    <cellStyle name="Calculation 18 2 3 2" xfId="5236"/>
    <cellStyle name="Calculation 18 2 4" xfId="5237"/>
    <cellStyle name="Calculation 18 2 4 2" xfId="5238"/>
    <cellStyle name="Calculation 18 2 5" xfId="5239"/>
    <cellStyle name="Calculation 18 2 5 2" xfId="5240"/>
    <cellStyle name="Calculation 18 2 6" xfId="5241"/>
    <cellStyle name="Calculation 18 2 6 2" xfId="5242"/>
    <cellStyle name="Calculation 18 2 7" xfId="5243"/>
    <cellStyle name="Calculation 18 2 7 2" xfId="5244"/>
    <cellStyle name="Calculation 18 2 8" xfId="5245"/>
    <cellStyle name="Calculation 18 2 8 2" xfId="5246"/>
    <cellStyle name="Calculation 18 2 9" xfId="5247"/>
    <cellStyle name="Calculation 18 3" xfId="5248"/>
    <cellStyle name="Calculation 18 3 2" xfId="5249"/>
    <cellStyle name="Calculation 18 4" xfId="5250"/>
    <cellStyle name="Calculation 18 4 2" xfId="5251"/>
    <cellStyle name="Calculation 18 5" xfId="5252"/>
    <cellStyle name="Calculation 18 5 2" xfId="5253"/>
    <cellStyle name="Calculation 18 6" xfId="5254"/>
    <cellStyle name="Calculation 18 6 2" xfId="5255"/>
    <cellStyle name="Calculation 18 7" xfId="5256"/>
    <cellStyle name="Calculation 18 7 2" xfId="5257"/>
    <cellStyle name="Calculation 18 8" xfId="5258"/>
    <cellStyle name="Calculation 18 8 2" xfId="5259"/>
    <cellStyle name="Calculation 18 9" xfId="5260"/>
    <cellStyle name="Calculation 18 9 2" xfId="5261"/>
    <cellStyle name="Calculation 19" xfId="1248"/>
    <cellStyle name="Calculation 19 10" xfId="5262"/>
    <cellStyle name="Calculation 19 2" xfId="5263"/>
    <cellStyle name="Calculation 19 2 2" xfId="5264"/>
    <cellStyle name="Calculation 19 2 2 2" xfId="5265"/>
    <cellStyle name="Calculation 19 2 3" xfId="5266"/>
    <cellStyle name="Calculation 19 2 3 2" xfId="5267"/>
    <cellStyle name="Calculation 19 2 4" xfId="5268"/>
    <cellStyle name="Calculation 19 2 4 2" xfId="5269"/>
    <cellStyle name="Calculation 19 2 5" xfId="5270"/>
    <cellStyle name="Calculation 19 2 5 2" xfId="5271"/>
    <cellStyle name="Calculation 19 2 6" xfId="5272"/>
    <cellStyle name="Calculation 19 2 6 2" xfId="5273"/>
    <cellStyle name="Calculation 19 2 7" xfId="5274"/>
    <cellStyle name="Calculation 19 2 7 2" xfId="5275"/>
    <cellStyle name="Calculation 19 2 8" xfId="5276"/>
    <cellStyle name="Calculation 19 2 8 2" xfId="5277"/>
    <cellStyle name="Calculation 19 2 9" xfId="5278"/>
    <cellStyle name="Calculation 19 3" xfId="5279"/>
    <cellStyle name="Calculation 19 3 2" xfId="5280"/>
    <cellStyle name="Calculation 19 4" xfId="5281"/>
    <cellStyle name="Calculation 19 4 2" xfId="5282"/>
    <cellStyle name="Calculation 19 5" xfId="5283"/>
    <cellStyle name="Calculation 19 5 2" xfId="5284"/>
    <cellStyle name="Calculation 19 6" xfId="5285"/>
    <cellStyle name="Calculation 19 6 2" xfId="5286"/>
    <cellStyle name="Calculation 19 7" xfId="5287"/>
    <cellStyle name="Calculation 19 7 2" xfId="5288"/>
    <cellStyle name="Calculation 19 8" xfId="5289"/>
    <cellStyle name="Calculation 19 8 2" xfId="5290"/>
    <cellStyle name="Calculation 19 9" xfId="5291"/>
    <cellStyle name="Calculation 19 9 2" xfId="5292"/>
    <cellStyle name="Calculation 2" xfId="1249"/>
    <cellStyle name="Calculation 2 10" xfId="5293"/>
    <cellStyle name="Calculation 2 2" xfId="1250"/>
    <cellStyle name="Calculation 2 2 10" xfId="5294"/>
    <cellStyle name="Calculation 2 2 11" xfId="5295"/>
    <cellStyle name="Calculation 2 2 2" xfId="1251"/>
    <cellStyle name="Calculation 2 2 2 2" xfId="1252"/>
    <cellStyle name="Calculation 2 2 2 3" xfId="1253"/>
    <cellStyle name="Calculation 2 2 2 4" xfId="1254"/>
    <cellStyle name="Calculation 2 2 2 5" xfId="1255"/>
    <cellStyle name="Calculation 2 2 3" xfId="1256"/>
    <cellStyle name="Calculation 2 2 3 2" xfId="5296"/>
    <cellStyle name="Calculation 2 2 4" xfId="1257"/>
    <cellStyle name="Calculation 2 2 4 2" xfId="5297"/>
    <cellStyle name="Calculation 2 2 5" xfId="1258"/>
    <cellStyle name="Calculation 2 2 5 2" xfId="5298"/>
    <cellStyle name="Calculation 2 2 6" xfId="5299"/>
    <cellStyle name="Calculation 2 2 6 2" xfId="5300"/>
    <cellStyle name="Calculation 2 2 7" xfId="5301"/>
    <cellStyle name="Calculation 2 2 7 2" xfId="5302"/>
    <cellStyle name="Calculation 2 2 8" xfId="5303"/>
    <cellStyle name="Calculation 2 2 8 2" xfId="5304"/>
    <cellStyle name="Calculation 2 2 9" xfId="5305"/>
    <cellStyle name="Calculation 2 3" xfId="1259"/>
    <cellStyle name="Calculation 2 3 2" xfId="5306"/>
    <cellStyle name="Calculation 2 4" xfId="1260"/>
    <cellStyle name="Calculation 2 4 2" xfId="5307"/>
    <cellStyle name="Calculation 2 5" xfId="1261"/>
    <cellStyle name="Calculation 2 5 2" xfId="5308"/>
    <cellStyle name="Calculation 2 6" xfId="1262"/>
    <cellStyle name="Calculation 2 6 2" xfId="5309"/>
    <cellStyle name="Calculation 2 7" xfId="1263"/>
    <cellStyle name="Calculation 2 7 2" xfId="5310"/>
    <cellStyle name="Calculation 2 8" xfId="1264"/>
    <cellStyle name="Calculation 2 8 2" xfId="5311"/>
    <cellStyle name="Calculation 2 9" xfId="1265"/>
    <cellStyle name="Calculation 20" xfId="1266"/>
    <cellStyle name="Calculation 20 10" xfId="5312"/>
    <cellStyle name="Calculation 20 2" xfId="5313"/>
    <cellStyle name="Calculation 20 2 2" xfId="5314"/>
    <cellStyle name="Calculation 20 2 2 2" xfId="5315"/>
    <cellStyle name="Calculation 20 2 3" xfId="5316"/>
    <cellStyle name="Calculation 20 2 3 2" xfId="5317"/>
    <cellStyle name="Calculation 20 2 4" xfId="5318"/>
    <cellStyle name="Calculation 20 2 4 2" xfId="5319"/>
    <cellStyle name="Calculation 20 2 5" xfId="5320"/>
    <cellStyle name="Calculation 20 2 5 2" xfId="5321"/>
    <cellStyle name="Calculation 20 2 6" xfId="5322"/>
    <cellStyle name="Calculation 20 2 6 2" xfId="5323"/>
    <cellStyle name="Calculation 20 2 7" xfId="5324"/>
    <cellStyle name="Calculation 20 2 7 2" xfId="5325"/>
    <cellStyle name="Calculation 20 2 8" xfId="5326"/>
    <cellStyle name="Calculation 20 2 8 2" xfId="5327"/>
    <cellStyle name="Calculation 20 2 9" xfId="5328"/>
    <cellStyle name="Calculation 20 3" xfId="5329"/>
    <cellStyle name="Calculation 20 3 2" xfId="5330"/>
    <cellStyle name="Calculation 20 4" xfId="5331"/>
    <cellStyle name="Calculation 20 4 2" xfId="5332"/>
    <cellStyle name="Calculation 20 5" xfId="5333"/>
    <cellStyle name="Calculation 20 5 2" xfId="5334"/>
    <cellStyle name="Calculation 20 6" xfId="5335"/>
    <cellStyle name="Calculation 20 6 2" xfId="5336"/>
    <cellStyle name="Calculation 20 7" xfId="5337"/>
    <cellStyle name="Calculation 20 7 2" xfId="5338"/>
    <cellStyle name="Calculation 20 8" xfId="5339"/>
    <cellStyle name="Calculation 20 8 2" xfId="5340"/>
    <cellStyle name="Calculation 20 9" xfId="5341"/>
    <cellStyle name="Calculation 20 9 2" xfId="5342"/>
    <cellStyle name="Calculation 21" xfId="1267"/>
    <cellStyle name="Calculation 21 10" xfId="5343"/>
    <cellStyle name="Calculation 21 2" xfId="5344"/>
    <cellStyle name="Calculation 21 2 2" xfId="5345"/>
    <cellStyle name="Calculation 21 2 2 2" xfId="5346"/>
    <cellStyle name="Calculation 21 2 3" xfId="5347"/>
    <cellStyle name="Calculation 21 2 3 2" xfId="5348"/>
    <cellStyle name="Calculation 21 2 4" xfId="5349"/>
    <cellStyle name="Calculation 21 2 4 2" xfId="5350"/>
    <cellStyle name="Calculation 21 2 5" xfId="5351"/>
    <cellStyle name="Calculation 21 2 5 2" xfId="5352"/>
    <cellStyle name="Calculation 21 2 6" xfId="5353"/>
    <cellStyle name="Calculation 21 2 6 2" xfId="5354"/>
    <cellStyle name="Calculation 21 2 7" xfId="5355"/>
    <cellStyle name="Calculation 21 2 7 2" xfId="5356"/>
    <cellStyle name="Calculation 21 2 8" xfId="5357"/>
    <cellStyle name="Calculation 21 2 8 2" xfId="5358"/>
    <cellStyle name="Calculation 21 2 9" xfId="5359"/>
    <cellStyle name="Calculation 21 3" xfId="5360"/>
    <cellStyle name="Calculation 21 3 2" xfId="5361"/>
    <cellStyle name="Calculation 21 4" xfId="5362"/>
    <cellStyle name="Calculation 21 4 2" xfId="5363"/>
    <cellStyle name="Calculation 21 5" xfId="5364"/>
    <cellStyle name="Calculation 21 5 2" xfId="5365"/>
    <cellStyle name="Calculation 21 6" xfId="5366"/>
    <cellStyle name="Calculation 21 6 2" xfId="5367"/>
    <cellStyle name="Calculation 21 7" xfId="5368"/>
    <cellStyle name="Calculation 21 7 2" xfId="5369"/>
    <cellStyle name="Calculation 21 8" xfId="5370"/>
    <cellStyle name="Calculation 21 8 2" xfId="5371"/>
    <cellStyle name="Calculation 21 9" xfId="5372"/>
    <cellStyle name="Calculation 21 9 2" xfId="5373"/>
    <cellStyle name="Calculation 22" xfId="1268"/>
    <cellStyle name="Calculation 22 2" xfId="5374"/>
    <cellStyle name="Calculation 22 2 2" xfId="5375"/>
    <cellStyle name="Calculation 22 3" xfId="5376"/>
    <cellStyle name="Calculation 22 3 2" xfId="5377"/>
    <cellStyle name="Calculation 22 4" xfId="5378"/>
    <cellStyle name="Calculation 22 4 2" xfId="5379"/>
    <cellStyle name="Calculation 22 5" xfId="5380"/>
    <cellStyle name="Calculation 22 5 2" xfId="5381"/>
    <cellStyle name="Calculation 22 6" xfId="5382"/>
    <cellStyle name="Calculation 22 6 2" xfId="5383"/>
    <cellStyle name="Calculation 22 7" xfId="5384"/>
    <cellStyle name="Calculation 22 7 2" xfId="5385"/>
    <cellStyle name="Calculation 22 8" xfId="5386"/>
    <cellStyle name="Calculation 22 8 2" xfId="5387"/>
    <cellStyle name="Calculation 22 9" xfId="5388"/>
    <cellStyle name="Calculation 3" xfId="1269"/>
    <cellStyle name="Calculation 3 10" xfId="5389"/>
    <cellStyle name="Calculation 3 11" xfId="5390"/>
    <cellStyle name="Calculation 3 2" xfId="5391"/>
    <cellStyle name="Calculation 3 2 10" xfId="5392"/>
    <cellStyle name="Calculation 3 2 2" xfId="5393"/>
    <cellStyle name="Calculation 3 2 2 2" xfId="5394"/>
    <cellStyle name="Calculation 3 2 3" xfId="5395"/>
    <cellStyle name="Calculation 3 2 3 2" xfId="5396"/>
    <cellStyle name="Calculation 3 2 4" xfId="5397"/>
    <cellStyle name="Calculation 3 2 4 2" xfId="5398"/>
    <cellStyle name="Calculation 3 2 5" xfId="5399"/>
    <cellStyle name="Calculation 3 2 5 2" xfId="5400"/>
    <cellStyle name="Calculation 3 2 6" xfId="5401"/>
    <cellStyle name="Calculation 3 2 6 2" xfId="5402"/>
    <cellStyle name="Calculation 3 2 7" xfId="5403"/>
    <cellStyle name="Calculation 3 2 7 2" xfId="5404"/>
    <cellStyle name="Calculation 3 2 8" xfId="5405"/>
    <cellStyle name="Calculation 3 2 8 2" xfId="5406"/>
    <cellStyle name="Calculation 3 2 9" xfId="5407"/>
    <cellStyle name="Calculation 3 3" xfId="5408"/>
    <cellStyle name="Calculation 3 3 2" xfId="5409"/>
    <cellStyle name="Calculation 3 4" xfId="5410"/>
    <cellStyle name="Calculation 3 4 2" xfId="5411"/>
    <cellStyle name="Calculation 3 5" xfId="5412"/>
    <cellStyle name="Calculation 3 5 2" xfId="5413"/>
    <cellStyle name="Calculation 3 6" xfId="5414"/>
    <cellStyle name="Calculation 3 6 2" xfId="5415"/>
    <cellStyle name="Calculation 3 7" xfId="5416"/>
    <cellStyle name="Calculation 3 7 2" xfId="5417"/>
    <cellStyle name="Calculation 3 8" xfId="5418"/>
    <cellStyle name="Calculation 3 8 2" xfId="5419"/>
    <cellStyle name="Calculation 3 9" xfId="5420"/>
    <cellStyle name="Calculation 3 9 2" xfId="5421"/>
    <cellStyle name="Calculation 4" xfId="1270"/>
    <cellStyle name="Calculation 4 10" xfId="5422"/>
    <cellStyle name="Calculation 4 11" xfId="5423"/>
    <cellStyle name="Calculation 4 12" xfId="5424"/>
    <cellStyle name="Calculation 4 2" xfId="5425"/>
    <cellStyle name="Calculation 4 2 2" xfId="5426"/>
    <cellStyle name="Calculation 4 2 2 2" xfId="5427"/>
    <cellStyle name="Calculation 4 2 3" xfId="5428"/>
    <cellStyle name="Calculation 4 2 3 2" xfId="5429"/>
    <cellStyle name="Calculation 4 2 4" xfId="5430"/>
    <cellStyle name="Calculation 4 2 4 2" xfId="5431"/>
    <cellStyle name="Calculation 4 2 5" xfId="5432"/>
    <cellStyle name="Calculation 4 2 5 2" xfId="5433"/>
    <cellStyle name="Calculation 4 2 6" xfId="5434"/>
    <cellStyle name="Calculation 4 2 6 2" xfId="5435"/>
    <cellStyle name="Calculation 4 2 7" xfId="5436"/>
    <cellStyle name="Calculation 4 2 7 2" xfId="5437"/>
    <cellStyle name="Calculation 4 2 8" xfId="5438"/>
    <cellStyle name="Calculation 4 2 8 2" xfId="5439"/>
    <cellStyle name="Calculation 4 2 9" xfId="5440"/>
    <cellStyle name="Calculation 4 3" xfId="5441"/>
    <cellStyle name="Calculation 4 3 2" xfId="5442"/>
    <cellStyle name="Calculation 4 4" xfId="5443"/>
    <cellStyle name="Calculation 4 4 2" xfId="5444"/>
    <cellStyle name="Calculation 4 5" xfId="5445"/>
    <cellStyle name="Calculation 4 5 2" xfId="5446"/>
    <cellStyle name="Calculation 4 6" xfId="5447"/>
    <cellStyle name="Calculation 4 6 2" xfId="5448"/>
    <cellStyle name="Calculation 4 7" xfId="5449"/>
    <cellStyle name="Calculation 4 7 2" xfId="5450"/>
    <cellStyle name="Calculation 4 8" xfId="5451"/>
    <cellStyle name="Calculation 4 8 2" xfId="5452"/>
    <cellStyle name="Calculation 4 9" xfId="5453"/>
    <cellStyle name="Calculation 4 9 2" xfId="5454"/>
    <cellStyle name="Calculation 5" xfId="1271"/>
    <cellStyle name="Calculation 5 10" xfId="5455"/>
    <cellStyle name="Calculation 5 11" xfId="5456"/>
    <cellStyle name="Calculation 5 12" xfId="5457"/>
    <cellStyle name="Calculation 5 2" xfId="5458"/>
    <cellStyle name="Calculation 5 2 2" xfId="5459"/>
    <cellStyle name="Calculation 5 2 2 2" xfId="5460"/>
    <cellStyle name="Calculation 5 2 3" xfId="5461"/>
    <cellStyle name="Calculation 5 2 3 2" xfId="5462"/>
    <cellStyle name="Calculation 5 2 4" xfId="5463"/>
    <cellStyle name="Calculation 5 2 4 2" xfId="5464"/>
    <cellStyle name="Calculation 5 2 5" xfId="5465"/>
    <cellStyle name="Calculation 5 2 5 2" xfId="5466"/>
    <cellStyle name="Calculation 5 2 6" xfId="5467"/>
    <cellStyle name="Calculation 5 2 6 2" xfId="5468"/>
    <cellStyle name="Calculation 5 2 7" xfId="5469"/>
    <cellStyle name="Calculation 5 2 7 2" xfId="5470"/>
    <cellStyle name="Calculation 5 2 8" xfId="5471"/>
    <cellStyle name="Calculation 5 2 8 2" xfId="5472"/>
    <cellStyle name="Calculation 5 2 9" xfId="5473"/>
    <cellStyle name="Calculation 5 3" xfId="5474"/>
    <cellStyle name="Calculation 5 3 2" xfId="5475"/>
    <cellStyle name="Calculation 5 4" xfId="5476"/>
    <cellStyle name="Calculation 5 4 2" xfId="5477"/>
    <cellStyle name="Calculation 5 5" xfId="5478"/>
    <cellStyle name="Calculation 5 5 2" xfId="5479"/>
    <cellStyle name="Calculation 5 6" xfId="5480"/>
    <cellStyle name="Calculation 5 6 2" xfId="5481"/>
    <cellStyle name="Calculation 5 7" xfId="5482"/>
    <cellStyle name="Calculation 5 7 2" xfId="5483"/>
    <cellStyle name="Calculation 5 8" xfId="5484"/>
    <cellStyle name="Calculation 5 8 2" xfId="5485"/>
    <cellStyle name="Calculation 5 9" xfId="5486"/>
    <cellStyle name="Calculation 5 9 2" xfId="5487"/>
    <cellStyle name="Calculation 6" xfId="1272"/>
    <cellStyle name="Calculation 6 10" xfId="5488"/>
    <cellStyle name="Calculation 6 11" xfId="5489"/>
    <cellStyle name="Calculation 6 12" xfId="5490"/>
    <cellStyle name="Calculation 6 2" xfId="5491"/>
    <cellStyle name="Calculation 6 2 2" xfId="5492"/>
    <cellStyle name="Calculation 6 2 2 2" xfId="5493"/>
    <cellStyle name="Calculation 6 2 3" xfId="5494"/>
    <cellStyle name="Calculation 6 2 3 2" xfId="5495"/>
    <cellStyle name="Calculation 6 2 4" xfId="5496"/>
    <cellStyle name="Calculation 6 2 4 2" xfId="5497"/>
    <cellStyle name="Calculation 6 2 5" xfId="5498"/>
    <cellStyle name="Calculation 6 2 5 2" xfId="5499"/>
    <cellStyle name="Calculation 6 2 6" xfId="5500"/>
    <cellStyle name="Calculation 6 2 6 2" xfId="5501"/>
    <cellStyle name="Calculation 6 2 7" xfId="5502"/>
    <cellStyle name="Calculation 6 2 7 2" xfId="5503"/>
    <cellStyle name="Calculation 6 2 8" xfId="5504"/>
    <cellStyle name="Calculation 6 2 8 2" xfId="5505"/>
    <cellStyle name="Calculation 6 2 9" xfId="5506"/>
    <cellStyle name="Calculation 6 3" xfId="5507"/>
    <cellStyle name="Calculation 6 3 2" xfId="5508"/>
    <cellStyle name="Calculation 6 4" xfId="5509"/>
    <cellStyle name="Calculation 6 4 2" xfId="5510"/>
    <cellStyle name="Calculation 6 5" xfId="5511"/>
    <cellStyle name="Calculation 6 5 2" xfId="5512"/>
    <cellStyle name="Calculation 6 6" xfId="5513"/>
    <cellStyle name="Calculation 6 6 2" xfId="5514"/>
    <cellStyle name="Calculation 6 7" xfId="5515"/>
    <cellStyle name="Calculation 6 7 2" xfId="5516"/>
    <cellStyle name="Calculation 6 8" xfId="5517"/>
    <cellStyle name="Calculation 6 8 2" xfId="5518"/>
    <cellStyle name="Calculation 6 9" xfId="5519"/>
    <cellStyle name="Calculation 6 9 2" xfId="5520"/>
    <cellStyle name="Calculation 7" xfId="1273"/>
    <cellStyle name="Calculation 7 10" xfId="5521"/>
    <cellStyle name="Calculation 7 11" xfId="5522"/>
    <cellStyle name="Calculation 7 12" xfId="5523"/>
    <cellStyle name="Calculation 7 2" xfId="5524"/>
    <cellStyle name="Calculation 7 2 2" xfId="5525"/>
    <cellStyle name="Calculation 7 2 2 2" xfId="5526"/>
    <cellStyle name="Calculation 7 2 3" xfId="5527"/>
    <cellStyle name="Calculation 7 2 3 2" xfId="5528"/>
    <cellStyle name="Calculation 7 2 4" xfId="5529"/>
    <cellStyle name="Calculation 7 2 4 2" xfId="5530"/>
    <cellStyle name="Calculation 7 2 5" xfId="5531"/>
    <cellStyle name="Calculation 7 2 5 2" xfId="5532"/>
    <cellStyle name="Calculation 7 2 6" xfId="5533"/>
    <cellStyle name="Calculation 7 2 6 2" xfId="5534"/>
    <cellStyle name="Calculation 7 2 7" xfId="5535"/>
    <cellStyle name="Calculation 7 2 7 2" xfId="5536"/>
    <cellStyle name="Calculation 7 2 8" xfId="5537"/>
    <cellStyle name="Calculation 7 2 8 2" xfId="5538"/>
    <cellStyle name="Calculation 7 2 9" xfId="5539"/>
    <cellStyle name="Calculation 7 3" xfId="5540"/>
    <cellStyle name="Calculation 7 3 2" xfId="5541"/>
    <cellStyle name="Calculation 7 4" xfId="5542"/>
    <cellStyle name="Calculation 7 4 2" xfId="5543"/>
    <cellStyle name="Calculation 7 5" xfId="5544"/>
    <cellStyle name="Calculation 7 5 2" xfId="5545"/>
    <cellStyle name="Calculation 7 6" xfId="5546"/>
    <cellStyle name="Calculation 7 6 2" xfId="5547"/>
    <cellStyle name="Calculation 7 7" xfId="5548"/>
    <cellStyle name="Calculation 7 7 2" xfId="5549"/>
    <cellStyle name="Calculation 7 8" xfId="5550"/>
    <cellStyle name="Calculation 7 8 2" xfId="5551"/>
    <cellStyle name="Calculation 7 9" xfId="5552"/>
    <cellStyle name="Calculation 7 9 2" xfId="5553"/>
    <cellStyle name="Calculation 8" xfId="1274"/>
    <cellStyle name="Calculation 8 10" xfId="5554"/>
    <cellStyle name="Calculation 8 11" xfId="5555"/>
    <cellStyle name="Calculation 8 12" xfId="5556"/>
    <cellStyle name="Calculation 8 2" xfId="5557"/>
    <cellStyle name="Calculation 8 2 2" xfId="5558"/>
    <cellStyle name="Calculation 8 2 2 2" xfId="5559"/>
    <cellStyle name="Calculation 8 2 3" xfId="5560"/>
    <cellStyle name="Calculation 8 2 3 2" xfId="5561"/>
    <cellStyle name="Calculation 8 2 4" xfId="5562"/>
    <cellStyle name="Calculation 8 2 4 2" xfId="5563"/>
    <cellStyle name="Calculation 8 2 5" xfId="5564"/>
    <cellStyle name="Calculation 8 2 5 2" xfId="5565"/>
    <cellStyle name="Calculation 8 2 6" xfId="5566"/>
    <cellStyle name="Calculation 8 2 6 2" xfId="5567"/>
    <cellStyle name="Calculation 8 2 7" xfId="5568"/>
    <cellStyle name="Calculation 8 2 7 2" xfId="5569"/>
    <cellStyle name="Calculation 8 2 8" xfId="5570"/>
    <cellStyle name="Calculation 8 2 8 2" xfId="5571"/>
    <cellStyle name="Calculation 8 2 9" xfId="5572"/>
    <cellStyle name="Calculation 8 3" xfId="5573"/>
    <cellStyle name="Calculation 8 3 2" xfId="5574"/>
    <cellStyle name="Calculation 8 4" xfId="5575"/>
    <cellStyle name="Calculation 8 4 2" xfId="5576"/>
    <cellStyle name="Calculation 8 5" xfId="5577"/>
    <cellStyle name="Calculation 8 5 2" xfId="5578"/>
    <cellStyle name="Calculation 8 6" xfId="5579"/>
    <cellStyle name="Calculation 8 6 2" xfId="5580"/>
    <cellStyle name="Calculation 8 7" xfId="5581"/>
    <cellStyle name="Calculation 8 7 2" xfId="5582"/>
    <cellStyle name="Calculation 8 8" xfId="5583"/>
    <cellStyle name="Calculation 8 8 2" xfId="5584"/>
    <cellStyle name="Calculation 8 9" xfId="5585"/>
    <cellStyle name="Calculation 8 9 2" xfId="5586"/>
    <cellStyle name="Calculation 9" xfId="1275"/>
    <cellStyle name="Calculation 9 10" xfId="5587"/>
    <cellStyle name="Calculation 9 11" xfId="5588"/>
    <cellStyle name="Calculation 9 12" xfId="5589"/>
    <cellStyle name="Calculation 9 2" xfId="5590"/>
    <cellStyle name="Calculation 9 2 2" xfId="5591"/>
    <cellStyle name="Calculation 9 2 2 2" xfId="5592"/>
    <cellStyle name="Calculation 9 2 3" xfId="5593"/>
    <cellStyle name="Calculation 9 2 3 2" xfId="5594"/>
    <cellStyle name="Calculation 9 2 4" xfId="5595"/>
    <cellStyle name="Calculation 9 2 4 2" xfId="5596"/>
    <cellStyle name="Calculation 9 2 5" xfId="5597"/>
    <cellStyle name="Calculation 9 2 5 2" xfId="5598"/>
    <cellStyle name="Calculation 9 2 6" xfId="5599"/>
    <cellStyle name="Calculation 9 2 6 2" xfId="5600"/>
    <cellStyle name="Calculation 9 2 7" xfId="5601"/>
    <cellStyle name="Calculation 9 2 7 2" xfId="5602"/>
    <cellStyle name="Calculation 9 2 8" xfId="5603"/>
    <cellStyle name="Calculation 9 2 8 2" xfId="5604"/>
    <cellStyle name="Calculation 9 2 9" xfId="5605"/>
    <cellStyle name="Calculation 9 3" xfId="5606"/>
    <cellStyle name="Calculation 9 3 2" xfId="5607"/>
    <cellStyle name="Calculation 9 4" xfId="5608"/>
    <cellStyle name="Calculation 9 4 2" xfId="5609"/>
    <cellStyle name="Calculation 9 5" xfId="5610"/>
    <cellStyle name="Calculation 9 5 2" xfId="5611"/>
    <cellStyle name="Calculation 9 6" xfId="5612"/>
    <cellStyle name="Calculation 9 6 2" xfId="5613"/>
    <cellStyle name="Calculation 9 7" xfId="5614"/>
    <cellStyle name="Calculation 9 7 2" xfId="5615"/>
    <cellStyle name="Calculation 9 8" xfId="5616"/>
    <cellStyle name="Calculation 9 8 2" xfId="5617"/>
    <cellStyle name="Calculation 9 9" xfId="5618"/>
    <cellStyle name="Calculation 9 9 2" xfId="5619"/>
    <cellStyle name="Check Cell 10" xfId="1276"/>
    <cellStyle name="Check Cell 11" xfId="1277"/>
    <cellStyle name="Check Cell 12" xfId="1278"/>
    <cellStyle name="Check Cell 13" xfId="1279"/>
    <cellStyle name="Check Cell 14" xfId="1280"/>
    <cellStyle name="Check Cell 15" xfId="1281"/>
    <cellStyle name="Check Cell 16" xfId="1282"/>
    <cellStyle name="Check Cell 17" xfId="1283"/>
    <cellStyle name="Check Cell 18" xfId="1284"/>
    <cellStyle name="Check Cell 19" xfId="1285"/>
    <cellStyle name="Check Cell 2" xfId="1286"/>
    <cellStyle name="Check Cell 2 2" xfId="1287"/>
    <cellStyle name="Check Cell 2 2 2" xfId="1288"/>
    <cellStyle name="Check Cell 2 2 2 2" xfId="1289"/>
    <cellStyle name="Check Cell 2 2 2 3" xfId="1290"/>
    <cellStyle name="Check Cell 2 2 2 4" xfId="1291"/>
    <cellStyle name="Check Cell 2 2 2 5" xfId="1292"/>
    <cellStyle name="Check Cell 2 2 3" xfId="1293"/>
    <cellStyle name="Check Cell 2 2 4" xfId="1294"/>
    <cellStyle name="Check Cell 2 2 5" xfId="1295"/>
    <cellStyle name="Check Cell 2 3" xfId="1296"/>
    <cellStyle name="Check Cell 2 4" xfId="1297"/>
    <cellStyle name="Check Cell 2 5" xfId="1298"/>
    <cellStyle name="Check Cell 2 6" xfId="1299"/>
    <cellStyle name="Check Cell 2 7" xfId="1300"/>
    <cellStyle name="Check Cell 2 8" xfId="1301"/>
    <cellStyle name="Check Cell 2 9" xfId="1302"/>
    <cellStyle name="Check Cell 20" xfId="1303"/>
    <cellStyle name="Check Cell 21" xfId="1304"/>
    <cellStyle name="Check Cell 22" xfId="1305"/>
    <cellStyle name="Check Cell 3" xfId="1306"/>
    <cellStyle name="Check Cell 3 2" xfId="5620"/>
    <cellStyle name="Check Cell 4" xfId="1307"/>
    <cellStyle name="Check Cell 5" xfId="1308"/>
    <cellStyle name="Check Cell 6" xfId="1309"/>
    <cellStyle name="Check Cell 7" xfId="1310"/>
    <cellStyle name="Check Cell 8" xfId="1311"/>
    <cellStyle name="Check Cell 9" xfId="1312"/>
    <cellStyle name="CodeEingabe" xfId="5621"/>
    <cellStyle name="ColumnAttributeAbovePrompt" xfId="5622"/>
    <cellStyle name="ColumnAttributeAbovePrompt 2" xfId="5623"/>
    <cellStyle name="ColumnAttributeAbovePrompt 2 2" xfId="5624"/>
    <cellStyle name="ColumnAttributeAbovePrompt 2 3" xfId="5625"/>
    <cellStyle name="ColumnAttributeAbovePrompt 3" xfId="5626"/>
    <cellStyle name="ColumnAttributePrompt" xfId="5627"/>
    <cellStyle name="ColumnAttributePrompt 2" xfId="5628"/>
    <cellStyle name="ColumnAttributePrompt 2 2" xfId="5629"/>
    <cellStyle name="ColumnAttributePrompt 2 3" xfId="5630"/>
    <cellStyle name="ColumnAttributePrompt 3" xfId="5631"/>
    <cellStyle name="ColumnAttributeValue" xfId="5632"/>
    <cellStyle name="ColumnAttributeValue 2" xfId="5633"/>
    <cellStyle name="ColumnAttributeValue 2 2" xfId="5634"/>
    <cellStyle name="ColumnAttributeValue 2 3" xfId="5635"/>
    <cellStyle name="ColumnAttributeValue 3" xfId="5636"/>
    <cellStyle name="ColumnHeadingPrompt" xfId="5637"/>
    <cellStyle name="ColumnHeadingPrompt 2" xfId="5638"/>
    <cellStyle name="ColumnHeadingPrompt 2 2" xfId="5639"/>
    <cellStyle name="ColumnHeadingPrompt 2 3" xfId="5640"/>
    <cellStyle name="ColumnHeadingPrompt 3" xfId="5641"/>
    <cellStyle name="ColumnHeadingValue" xfId="5642"/>
    <cellStyle name="ColumnHeadingValue 2" xfId="5643"/>
    <cellStyle name="ColumnHeadingValue 2 2" xfId="5644"/>
    <cellStyle name="ColumnHeadingValue 3" xfId="5645"/>
    <cellStyle name="Comma" xfId="1" builtinId="3"/>
    <cellStyle name="Comma [0] 2" xfId="5646"/>
    <cellStyle name="Comma [0] 2 2" xfId="5647"/>
    <cellStyle name="Comma [0] 3" xfId="5648"/>
    <cellStyle name="Comma [0] 3 2" xfId="5649"/>
    <cellStyle name="Comma [0] 3 2 2" xfId="5650"/>
    <cellStyle name="Comma [0] 3 2 2 2" xfId="5651"/>
    <cellStyle name="Comma [0] 3 2 3" xfId="5652"/>
    <cellStyle name="Comma [0] 3 2 4" xfId="5653"/>
    <cellStyle name="Comma [0] 3 3" xfId="5654"/>
    <cellStyle name="Comma [0] 3 4" xfId="5655"/>
    <cellStyle name="Comma [0] 3 4 2" xfId="5656"/>
    <cellStyle name="Comma [0] 3 5" xfId="5657"/>
    <cellStyle name="Comma [0] 4" xfId="5658"/>
    <cellStyle name="Comma [0] 4 2" xfId="5659"/>
    <cellStyle name="Comma [0] 5" xfId="5660"/>
    <cellStyle name="Comma [0] 5 2" xfId="5661"/>
    <cellStyle name="Comma [0] 5 2 2" xfId="5662"/>
    <cellStyle name="Comma [0] 5 2 3" xfId="5663"/>
    <cellStyle name="Comma [0] 5 3" xfId="5664"/>
    <cellStyle name="Comma [0] 5 4" xfId="5665"/>
    <cellStyle name="Comma [0] 6" xfId="5666"/>
    <cellStyle name="Comma [0] 6 2" xfId="5667"/>
    <cellStyle name="Comma [0] 6 2 2" xfId="5668"/>
    <cellStyle name="Comma [0] 6 3" xfId="5669"/>
    <cellStyle name="Comma 10" xfId="1313"/>
    <cellStyle name="Comma 10 2" xfId="5670"/>
    <cellStyle name="Comma 10 2 2" xfId="5671"/>
    <cellStyle name="Comma 10 2 2 2" xfId="5672"/>
    <cellStyle name="Comma 10 2 2 2 2" xfId="5673"/>
    <cellStyle name="Comma 10 2 2 2 2 2" xfId="5674"/>
    <cellStyle name="Comma 10 2 2 2 2 2 2" xfId="5675"/>
    <cellStyle name="Comma 10 2 2 2 2 3" xfId="5676"/>
    <cellStyle name="Comma 10 2 2 2 3" xfId="5677"/>
    <cellStyle name="Comma 10 2 2 2 3 2" xfId="5678"/>
    <cellStyle name="Comma 10 2 2 2 4" xfId="5679"/>
    <cellStyle name="Comma 10 2 2 3" xfId="5680"/>
    <cellStyle name="Comma 10 2 2 3 2" xfId="5681"/>
    <cellStyle name="Comma 10 2 2 3 2 2" xfId="5682"/>
    <cellStyle name="Comma 10 2 2 3 3" xfId="5683"/>
    <cellStyle name="Comma 10 2 2 4" xfId="5684"/>
    <cellStyle name="Comma 10 2 2 4 2" xfId="5685"/>
    <cellStyle name="Comma 10 2 2 5" xfId="5686"/>
    <cellStyle name="Comma 10 2 2 6" xfId="5687"/>
    <cellStyle name="Comma 10 2 3" xfId="5688"/>
    <cellStyle name="Comma 10 2 3 2" xfId="5689"/>
    <cellStyle name="Comma 10 2 3 2 2" xfId="5690"/>
    <cellStyle name="Comma 10 2 3 2 2 2" xfId="5691"/>
    <cellStyle name="Comma 10 2 3 2 3" xfId="5692"/>
    <cellStyle name="Comma 10 2 3 3" xfId="5693"/>
    <cellStyle name="Comma 10 2 3 3 2" xfId="5694"/>
    <cellStyle name="Comma 10 2 3 4" xfId="5695"/>
    <cellStyle name="Comma 10 2 4" xfId="5696"/>
    <cellStyle name="Comma 10 2 4 2" xfId="5697"/>
    <cellStyle name="Comma 10 2 4 2 2" xfId="5698"/>
    <cellStyle name="Comma 10 2 4 3" xfId="5699"/>
    <cellStyle name="Comma 10 2 5" xfId="5700"/>
    <cellStyle name="Comma 10 2 5 2" xfId="5701"/>
    <cellStyle name="Comma 10 2 6" xfId="5702"/>
    <cellStyle name="Comma 10 2 7" xfId="5703"/>
    <cellStyle name="Comma 10 3" xfId="5704"/>
    <cellStyle name="Comma 10 3 2" xfId="5705"/>
    <cellStyle name="Comma 10 3 2 2" xfId="5706"/>
    <cellStyle name="Comma 10 3 2 2 2" xfId="5707"/>
    <cellStyle name="Comma 10 3 2 2 2 2" xfId="5708"/>
    <cellStyle name="Comma 10 3 2 2 3" xfId="5709"/>
    <cellStyle name="Comma 10 3 2 3" xfId="5710"/>
    <cellStyle name="Comma 10 3 2 3 2" xfId="5711"/>
    <cellStyle name="Comma 10 3 2 4" xfId="5712"/>
    <cellStyle name="Comma 10 3 3" xfId="5713"/>
    <cellStyle name="Comma 10 3 3 2" xfId="5714"/>
    <cellStyle name="Comma 10 3 3 2 2" xfId="5715"/>
    <cellStyle name="Comma 10 3 3 3" xfId="5716"/>
    <cellStyle name="Comma 10 3 4" xfId="5717"/>
    <cellStyle name="Comma 10 3 4 2" xfId="5718"/>
    <cellStyle name="Comma 10 3 5" xfId="5719"/>
    <cellStyle name="Comma 10 3 6" xfId="5720"/>
    <cellStyle name="Comma 10 4" xfId="5721"/>
    <cellStyle name="Comma 10 4 2" xfId="5722"/>
    <cellStyle name="Comma 10 4 2 2" xfId="5723"/>
    <cellStyle name="Comma 10 4 2 2 2" xfId="5724"/>
    <cellStyle name="Comma 10 4 2 3" xfId="5725"/>
    <cellStyle name="Comma 10 4 3" xfId="5726"/>
    <cellStyle name="Comma 10 4 3 2" xfId="5727"/>
    <cellStyle name="Comma 10 4 4" xfId="5728"/>
    <cellStyle name="Comma 10 5" xfId="5729"/>
    <cellStyle name="Comma 10 5 2" xfId="5730"/>
    <cellStyle name="Comma 10 5 2 2" xfId="5731"/>
    <cellStyle name="Comma 10 5 3" xfId="5732"/>
    <cellStyle name="Comma 10 6" xfId="5733"/>
    <cellStyle name="Comma 10 6 2" xfId="5734"/>
    <cellStyle name="Comma 10 7" xfId="5735"/>
    <cellStyle name="Comma 10 8" xfId="5736"/>
    <cellStyle name="Comma 10 9" xfId="5737"/>
    <cellStyle name="Comma 11" xfId="1314"/>
    <cellStyle name="Comma 11 10" xfId="5738"/>
    <cellStyle name="Comma 11 2" xfId="5739"/>
    <cellStyle name="Comma 11 2 2" xfId="5740"/>
    <cellStyle name="Comma 11 2 2 2" xfId="5741"/>
    <cellStyle name="Comma 11 2 2 2 2" xfId="5742"/>
    <cellStyle name="Comma 11 2 2 2 3" xfId="5743"/>
    <cellStyle name="Comma 11 2 2 3" xfId="5744"/>
    <cellStyle name="Comma 11 2 2 3 2" xfId="5745"/>
    <cellStyle name="Comma 11 2 2 4" xfId="5746"/>
    <cellStyle name="Comma 11 2 2 5" xfId="5747"/>
    <cellStyle name="Comma 11 2 3" xfId="5748"/>
    <cellStyle name="Comma 11 2 3 2" xfId="5749"/>
    <cellStyle name="Comma 11 2 3 3" xfId="5750"/>
    <cellStyle name="Comma 11 2 4" xfId="5751"/>
    <cellStyle name="Comma 11 2 4 2" xfId="5752"/>
    <cellStyle name="Comma 11 2 5" xfId="5753"/>
    <cellStyle name="Comma 11 2 6" xfId="5754"/>
    <cellStyle name="Comma 11 3" xfId="5755"/>
    <cellStyle name="Comma 11 3 2" xfId="5756"/>
    <cellStyle name="Comma 11 3 2 2" xfId="5757"/>
    <cellStyle name="Comma 11 3 2 2 2" xfId="5758"/>
    <cellStyle name="Comma 11 3 2 3" xfId="5759"/>
    <cellStyle name="Comma 11 3 2 4" xfId="5760"/>
    <cellStyle name="Comma 11 3 2 5" xfId="5761"/>
    <cellStyle name="Comma 11 3 3" xfId="5762"/>
    <cellStyle name="Comma 11 3 3 2" xfId="5763"/>
    <cellStyle name="Comma 11 3 4" xfId="5764"/>
    <cellStyle name="Comma 11 3 5" xfId="5765"/>
    <cellStyle name="Comma 11 3 6" xfId="5766"/>
    <cellStyle name="Comma 11 4" xfId="5767"/>
    <cellStyle name="Comma 11 4 2" xfId="5768"/>
    <cellStyle name="Comma 11 4 2 2" xfId="5769"/>
    <cellStyle name="Comma 11 4 3" xfId="5770"/>
    <cellStyle name="Comma 11 4 4" xfId="5771"/>
    <cellStyle name="Comma 11 4 5" xfId="5772"/>
    <cellStyle name="Comma 11 5" xfId="5773"/>
    <cellStyle name="Comma 11 5 2" xfId="5774"/>
    <cellStyle name="Comma 11 5 2 2" xfId="5775"/>
    <cellStyle name="Comma 11 5 3" xfId="5776"/>
    <cellStyle name="Comma 11 5 4" xfId="5777"/>
    <cellStyle name="Comma 11 5 5" xfId="5778"/>
    <cellStyle name="Comma 11 6" xfId="5779"/>
    <cellStyle name="Comma 11 6 2" xfId="5780"/>
    <cellStyle name="Comma 11 6 3" xfId="5781"/>
    <cellStyle name="Comma 11 7" xfId="5782"/>
    <cellStyle name="Comma 11 7 2" xfId="5783"/>
    <cellStyle name="Comma 11 8" xfId="5784"/>
    <cellStyle name="Comma 11 9" xfId="5785"/>
    <cellStyle name="Comma 12" xfId="1315"/>
    <cellStyle name="Comma 12 2" xfId="5786"/>
    <cellStyle name="Comma 12 2 2" xfId="5787"/>
    <cellStyle name="Comma 12 2 3" xfId="5788"/>
    <cellStyle name="Comma 12 3" xfId="5789"/>
    <cellStyle name="Comma 12 3 2" xfId="5790"/>
    <cellStyle name="Comma 12 4" xfId="5791"/>
    <cellStyle name="Comma 12 5" xfId="5792"/>
    <cellStyle name="Comma 12 6" xfId="5793"/>
    <cellStyle name="Comma 13" xfId="1316"/>
    <cellStyle name="Comma 13 2" xfId="5794"/>
    <cellStyle name="Comma 13 2 2" xfId="5795"/>
    <cellStyle name="Comma 13 2 3" xfId="5796"/>
    <cellStyle name="Comma 13 2 4" xfId="5797"/>
    <cellStyle name="Comma 13 3" xfId="5798"/>
    <cellStyle name="Comma 13 3 2" xfId="5799"/>
    <cellStyle name="Comma 13 4" xfId="5800"/>
    <cellStyle name="Comma 13 5" xfId="5801"/>
    <cellStyle name="Comma 13 6" xfId="5802"/>
    <cellStyle name="Comma 14" xfId="1317"/>
    <cellStyle name="Comma 14 2" xfId="5803"/>
    <cellStyle name="Comma 14 2 2" xfId="5804"/>
    <cellStyle name="Comma 14 3" xfId="5805"/>
    <cellStyle name="Comma 14 4" xfId="5806"/>
    <cellStyle name="Comma 14 5" xfId="5807"/>
    <cellStyle name="Comma 15" xfId="1318"/>
    <cellStyle name="Comma 15 2" xfId="5808"/>
    <cellStyle name="Comma 15 2 2" xfId="5809"/>
    <cellStyle name="Comma 15 3" xfId="5810"/>
    <cellStyle name="Comma 15 4" xfId="5811"/>
    <cellStyle name="Comma 15 5" xfId="5812"/>
    <cellStyle name="Comma 16" xfId="12"/>
    <cellStyle name="Comma 16 2" xfId="5813"/>
    <cellStyle name="Comma 16 2 2" xfId="5814"/>
    <cellStyle name="Comma 16 3" xfId="5815"/>
    <cellStyle name="Comma 16 4" xfId="5816"/>
    <cellStyle name="Comma 16 5" xfId="5817"/>
    <cellStyle name="Comma 17" xfId="1319"/>
    <cellStyle name="Comma 17 2" xfId="5818"/>
    <cellStyle name="Comma 17 2 2" xfId="5819"/>
    <cellStyle name="Comma 17 3" xfId="5820"/>
    <cellStyle name="Comma 17 4" xfId="5821"/>
    <cellStyle name="Comma 17 5" xfId="5822"/>
    <cellStyle name="Comma 18" xfId="2110"/>
    <cellStyle name="Comma 18 2" xfId="5823"/>
    <cellStyle name="Comma 18 2 2" xfId="5824"/>
    <cellStyle name="Comma 18 3" xfId="5825"/>
    <cellStyle name="Comma 18 4" xfId="5826"/>
    <cellStyle name="Comma 18 5" xfId="5827"/>
    <cellStyle name="Comma 19" xfId="5828"/>
    <cellStyle name="Comma 19 2" xfId="5829"/>
    <cellStyle name="Comma 2" xfId="7"/>
    <cellStyle name="Comma 2 10" xfId="1320"/>
    <cellStyle name="Comma 2 10 2" xfId="5830"/>
    <cellStyle name="Comma 2 10 2 2" xfId="5831"/>
    <cellStyle name="Comma 2 10 2 2 2" xfId="5832"/>
    <cellStyle name="Comma 2 10 2 3" xfId="5833"/>
    <cellStyle name="Comma 2 10 2 4" xfId="5834"/>
    <cellStyle name="Comma 2 10 2 5" xfId="5835"/>
    <cellStyle name="Comma 2 10 3" xfId="5836"/>
    <cellStyle name="Comma 2 10 3 2" xfId="5837"/>
    <cellStyle name="Comma 2 10 3 2 2" xfId="5838"/>
    <cellStyle name="Comma 2 10 3 3" xfId="5839"/>
    <cellStyle name="Comma 2 10 3 4" xfId="5840"/>
    <cellStyle name="Comma 2 10 3 5" xfId="5841"/>
    <cellStyle name="Comma 2 10 4" xfId="5842"/>
    <cellStyle name="Comma 2 11" xfId="1321"/>
    <cellStyle name="Comma 2 11 2" xfId="5843"/>
    <cellStyle name="Comma 2 11 2 2" xfId="5844"/>
    <cellStyle name="Comma 2 11 2 2 2" xfId="5845"/>
    <cellStyle name="Comma 2 11 2 3" xfId="5846"/>
    <cellStyle name="Comma 2 11 2 4" xfId="5847"/>
    <cellStyle name="Comma 2 11 2 5" xfId="5848"/>
    <cellStyle name="Comma 2 11 2 6" xfId="5849"/>
    <cellStyle name="Comma 2 11 3" xfId="5850"/>
    <cellStyle name="Comma 2 12" xfId="1322"/>
    <cellStyle name="Comma 2 12 2" xfId="5851"/>
    <cellStyle name="Comma 2 12 3" xfId="5852"/>
    <cellStyle name="Comma 2 13" xfId="1323"/>
    <cellStyle name="Comma 2 13 2" xfId="5853"/>
    <cellStyle name="Comma 2 14" xfId="1324"/>
    <cellStyle name="Comma 2 14 2" xfId="5854"/>
    <cellStyle name="Comma 2 15" xfId="1325"/>
    <cellStyle name="Comma 2 15 2" xfId="5855"/>
    <cellStyle name="Comma 2 16" xfId="1326"/>
    <cellStyle name="Comma 2 17" xfId="1327"/>
    <cellStyle name="Comma 2 18" xfId="1328"/>
    <cellStyle name="Comma 2 19" xfId="1329"/>
    <cellStyle name="Comma 2 2" xfId="1330"/>
    <cellStyle name="Comma 2 2 2" xfId="5856"/>
    <cellStyle name="Comma 2 2 2 2" xfId="5857"/>
    <cellStyle name="Comma 2 2 2 2 2" xfId="5858"/>
    <cellStyle name="Comma 2 2 2 2 2 2" xfId="5859"/>
    <cellStyle name="Comma 2 2 2 2 2 2 2" xfId="5860"/>
    <cellStyle name="Comma 2 2 2 2 2 3" xfId="5861"/>
    <cellStyle name="Comma 2 2 2 2 2 4" xfId="5862"/>
    <cellStyle name="Comma 2 2 2 2 3" xfId="5863"/>
    <cellStyle name="Comma 2 2 2 2 3 2" xfId="5864"/>
    <cellStyle name="Comma 2 2 2 2 4" xfId="5865"/>
    <cellStyle name="Comma 2 2 2 2 5" xfId="5866"/>
    <cellStyle name="Comma 2 2 2 2 6" xfId="5867"/>
    <cellStyle name="Comma 2 2 2 3" xfId="5868"/>
    <cellStyle name="Comma 2 2 2 3 2" xfId="5869"/>
    <cellStyle name="Comma 2 2 2 3 2 2" xfId="5870"/>
    <cellStyle name="Comma 2 2 2 3 3" xfId="5871"/>
    <cellStyle name="Comma 2 2 2 3 4" xfId="5872"/>
    <cellStyle name="Comma 2 2 2 4" xfId="5873"/>
    <cellStyle name="Comma 2 2 2 4 2" xfId="5874"/>
    <cellStyle name="Comma 2 2 2 5" xfId="5875"/>
    <cellStyle name="Comma 2 2 2 5 2" xfId="5876"/>
    <cellStyle name="Comma 2 2 2 6" xfId="5877"/>
    <cellStyle name="Comma 2 2 2 7" xfId="5878"/>
    <cellStyle name="Comma 2 2 2 8" xfId="5879"/>
    <cellStyle name="Comma 2 2 3" xfId="5880"/>
    <cellStyle name="Comma 2 2 3 2" xfId="5881"/>
    <cellStyle name="Comma 2 2 3 3" xfId="5882"/>
    <cellStyle name="Comma 2 2 4" xfId="5883"/>
    <cellStyle name="Comma 2 2 5" xfId="5884"/>
    <cellStyle name="Comma 2 20" xfId="1331"/>
    <cellStyle name="Comma 2 21" xfId="1332"/>
    <cellStyle name="Comma 2 3" xfId="1333"/>
    <cellStyle name="Comma 2 3 2" xfId="5885"/>
    <cellStyle name="Comma 2 3 2 2" xfId="5886"/>
    <cellStyle name="Comma 2 3 2 2 2" xfId="5887"/>
    <cellStyle name="Comma 2 3 2 2 2 2" xfId="5888"/>
    <cellStyle name="Comma 2 3 2 2 2 2 2" xfId="5889"/>
    <cellStyle name="Comma 2 3 2 2 2 3" xfId="5890"/>
    <cellStyle name="Comma 2 3 2 2 3" xfId="5891"/>
    <cellStyle name="Comma 2 3 2 2 3 2" xfId="5892"/>
    <cellStyle name="Comma 2 3 2 2 4" xfId="5893"/>
    <cellStyle name="Comma 2 3 2 2 5" xfId="5894"/>
    <cellStyle name="Comma 2 3 2 2 6" xfId="5895"/>
    <cellStyle name="Comma 2 3 2 3" xfId="5896"/>
    <cellStyle name="Comma 2 3 2 3 2" xfId="5897"/>
    <cellStyle name="Comma 2 3 2 3 2 2" xfId="5898"/>
    <cellStyle name="Comma 2 3 2 3 3" xfId="5899"/>
    <cellStyle name="Comma 2 3 2 3 4" xfId="5900"/>
    <cellStyle name="Comma 2 3 2 4" xfId="5901"/>
    <cellStyle name="Comma 2 3 2 4 2" xfId="5902"/>
    <cellStyle name="Comma 2 3 2 5" xfId="5903"/>
    <cellStyle name="Comma 2 3 2 5 2" xfId="5904"/>
    <cellStyle name="Comma 2 3 2 6" xfId="5905"/>
    <cellStyle name="Comma 2 3 2 7" xfId="5906"/>
    <cellStyle name="Comma 2 3 2 8" xfId="5907"/>
    <cellStyle name="Comma 2 3 3" xfId="5908"/>
    <cellStyle name="Comma 2 3 3 2" xfId="5909"/>
    <cellStyle name="Comma 2 3 3 2 2" xfId="5910"/>
    <cellStyle name="Comma 2 3 3 2 2 2" xfId="5911"/>
    <cellStyle name="Comma 2 3 3 2 3" xfId="5912"/>
    <cellStyle name="Comma 2 3 3 3" xfId="5913"/>
    <cellStyle name="Comma 2 3 3 3 2" xfId="5914"/>
    <cellStyle name="Comma 2 3 3 4" xfId="5915"/>
    <cellStyle name="Comma 2 3 3 5" xfId="5916"/>
    <cellStyle name="Comma 2 3 3 6" xfId="5917"/>
    <cellStyle name="Comma 2 3 4" xfId="5918"/>
    <cellStyle name="Comma 2 3 4 2" xfId="5919"/>
    <cellStyle name="Comma 2 3 4 2 2" xfId="5920"/>
    <cellStyle name="Comma 2 3 4 3" xfId="5921"/>
    <cellStyle name="Comma 2 3 4 4" xfId="5922"/>
    <cellStyle name="Comma 2 3 5" xfId="5923"/>
    <cellStyle name="Comma 2 3 5 2" xfId="5924"/>
    <cellStyle name="Comma 2 3 6" xfId="5925"/>
    <cellStyle name="Comma 2 3 7" xfId="5926"/>
    <cellStyle name="Comma 2 4" xfId="1334"/>
    <cellStyle name="Comma 2 4 2" xfId="5927"/>
    <cellStyle name="Comma 2 4 2 10" xfId="5928"/>
    <cellStyle name="Comma 2 4 2 2" xfId="5929"/>
    <cellStyle name="Comma 2 4 2 2 2" xfId="5930"/>
    <cellStyle name="Comma 2 4 2 2 2 2" xfId="5931"/>
    <cellStyle name="Comma 2 4 2 2 2 2 2" xfId="5932"/>
    <cellStyle name="Comma 2 4 2 2 2 2 2 2" xfId="5933"/>
    <cellStyle name="Comma 2 4 2 2 2 2 2 3" xfId="5934"/>
    <cellStyle name="Comma 2 4 2 2 2 2 3" xfId="5935"/>
    <cellStyle name="Comma 2 4 2 2 2 2 3 2" xfId="5936"/>
    <cellStyle name="Comma 2 4 2 2 2 2 4" xfId="5937"/>
    <cellStyle name="Comma 2 4 2 2 2 2 5" xfId="5938"/>
    <cellStyle name="Comma 2 4 2 2 2 3" xfId="5939"/>
    <cellStyle name="Comma 2 4 2 2 2 3 2" xfId="5940"/>
    <cellStyle name="Comma 2 4 2 2 2 3 3" xfId="5941"/>
    <cellStyle name="Comma 2 4 2 2 2 4" xfId="5942"/>
    <cellStyle name="Comma 2 4 2 2 2 4 2" xfId="5943"/>
    <cellStyle name="Comma 2 4 2 2 2 5" xfId="5944"/>
    <cellStyle name="Comma 2 4 2 2 2 6" xfId="5945"/>
    <cellStyle name="Comma 2 4 2 2 3" xfId="5946"/>
    <cellStyle name="Comma 2 4 2 2 3 2" xfId="5947"/>
    <cellStyle name="Comma 2 4 2 2 3 2 2" xfId="5948"/>
    <cellStyle name="Comma 2 4 2 2 3 2 2 2" xfId="5949"/>
    <cellStyle name="Comma 2 4 2 2 3 2 3" xfId="5950"/>
    <cellStyle name="Comma 2 4 2 2 3 2 4" xfId="5951"/>
    <cellStyle name="Comma 2 4 2 2 3 2 5" xfId="5952"/>
    <cellStyle name="Comma 2 4 2 2 3 3" xfId="5953"/>
    <cellStyle name="Comma 2 4 2 2 3 3 2" xfId="5954"/>
    <cellStyle name="Comma 2 4 2 2 3 4" xfId="5955"/>
    <cellStyle name="Comma 2 4 2 2 3 5" xfId="5956"/>
    <cellStyle name="Comma 2 4 2 2 3 6" xfId="5957"/>
    <cellStyle name="Comma 2 4 2 2 4" xfId="5958"/>
    <cellStyle name="Comma 2 4 2 2 4 2" xfId="5959"/>
    <cellStyle name="Comma 2 4 2 2 4 2 2" xfId="5960"/>
    <cellStyle name="Comma 2 4 2 2 4 3" xfId="5961"/>
    <cellStyle name="Comma 2 4 2 2 4 4" xfId="5962"/>
    <cellStyle name="Comma 2 4 2 2 4 5" xfId="5963"/>
    <cellStyle name="Comma 2 4 2 2 5" xfId="5964"/>
    <cellStyle name="Comma 2 4 2 2 5 2" xfId="5965"/>
    <cellStyle name="Comma 2 4 2 2 5 2 2" xfId="5966"/>
    <cellStyle name="Comma 2 4 2 2 5 3" xfId="5967"/>
    <cellStyle name="Comma 2 4 2 2 5 4" xfId="5968"/>
    <cellStyle name="Comma 2 4 2 2 5 5" xfId="5969"/>
    <cellStyle name="Comma 2 4 2 2 6" xfId="5970"/>
    <cellStyle name="Comma 2 4 2 2 6 2" xfId="5971"/>
    <cellStyle name="Comma 2 4 2 2 7" xfId="5972"/>
    <cellStyle name="Comma 2 4 2 2 8" xfId="5973"/>
    <cellStyle name="Comma 2 4 2 2 9" xfId="5974"/>
    <cellStyle name="Comma 2 4 2 3" xfId="5975"/>
    <cellStyle name="Comma 2 4 2 3 2" xfId="5976"/>
    <cellStyle name="Comma 2 4 2 3 2 2" xfId="5977"/>
    <cellStyle name="Comma 2 4 2 3 2 2 2" xfId="5978"/>
    <cellStyle name="Comma 2 4 2 3 2 2 3" xfId="5979"/>
    <cellStyle name="Comma 2 4 2 3 2 3" xfId="5980"/>
    <cellStyle name="Comma 2 4 2 3 2 3 2" xfId="5981"/>
    <cellStyle name="Comma 2 4 2 3 2 4" xfId="5982"/>
    <cellStyle name="Comma 2 4 2 3 2 5" xfId="5983"/>
    <cellStyle name="Comma 2 4 2 3 3" xfId="5984"/>
    <cellStyle name="Comma 2 4 2 3 3 2" xfId="5985"/>
    <cellStyle name="Comma 2 4 2 3 3 3" xfId="5986"/>
    <cellStyle name="Comma 2 4 2 3 4" xfId="5987"/>
    <cellStyle name="Comma 2 4 2 3 4 2" xfId="5988"/>
    <cellStyle name="Comma 2 4 2 3 5" xfId="5989"/>
    <cellStyle name="Comma 2 4 2 3 6" xfId="5990"/>
    <cellStyle name="Comma 2 4 2 4" xfId="5991"/>
    <cellStyle name="Comma 2 4 2 4 2" xfId="5992"/>
    <cellStyle name="Comma 2 4 2 4 2 2" xfId="5993"/>
    <cellStyle name="Comma 2 4 2 4 2 2 2" xfId="5994"/>
    <cellStyle name="Comma 2 4 2 4 2 3" xfId="5995"/>
    <cellStyle name="Comma 2 4 2 4 2 4" xfId="5996"/>
    <cellStyle name="Comma 2 4 2 4 2 5" xfId="5997"/>
    <cellStyle name="Comma 2 4 2 4 3" xfId="5998"/>
    <cellStyle name="Comma 2 4 2 4 3 2" xfId="5999"/>
    <cellStyle name="Comma 2 4 2 4 4" xfId="6000"/>
    <cellStyle name="Comma 2 4 2 4 5" xfId="6001"/>
    <cellStyle name="Comma 2 4 2 4 6" xfId="6002"/>
    <cellStyle name="Comma 2 4 2 5" xfId="6003"/>
    <cellStyle name="Comma 2 4 2 5 2" xfId="6004"/>
    <cellStyle name="Comma 2 4 2 5 2 2" xfId="6005"/>
    <cellStyle name="Comma 2 4 2 5 3" xfId="6006"/>
    <cellStyle name="Comma 2 4 2 5 4" xfId="6007"/>
    <cellStyle name="Comma 2 4 2 5 5" xfId="6008"/>
    <cellStyle name="Comma 2 4 2 6" xfId="6009"/>
    <cellStyle name="Comma 2 4 2 6 2" xfId="6010"/>
    <cellStyle name="Comma 2 4 2 6 2 2" xfId="6011"/>
    <cellStyle name="Comma 2 4 2 6 3" xfId="6012"/>
    <cellStyle name="Comma 2 4 2 6 4" xfId="6013"/>
    <cellStyle name="Comma 2 4 2 6 5" xfId="6014"/>
    <cellStyle name="Comma 2 4 2 7" xfId="6015"/>
    <cellStyle name="Comma 2 4 2 7 2" xfId="6016"/>
    <cellStyle name="Comma 2 4 2 8" xfId="6017"/>
    <cellStyle name="Comma 2 4 2 9" xfId="6018"/>
    <cellStyle name="Comma 2 4 3" xfId="6019"/>
    <cellStyle name="Comma 2 4 3 2" xfId="6020"/>
    <cellStyle name="Comma 2 4 3 2 2" xfId="6021"/>
    <cellStyle name="Comma 2 4 3 2 2 2" xfId="6022"/>
    <cellStyle name="Comma 2 4 3 2 2 2 2" xfId="6023"/>
    <cellStyle name="Comma 2 4 3 2 2 2 3" xfId="6024"/>
    <cellStyle name="Comma 2 4 3 2 2 3" xfId="6025"/>
    <cellStyle name="Comma 2 4 3 2 2 3 2" xfId="6026"/>
    <cellStyle name="Comma 2 4 3 2 2 4" xfId="6027"/>
    <cellStyle name="Comma 2 4 3 2 2 5" xfId="6028"/>
    <cellStyle name="Comma 2 4 3 2 3" xfId="6029"/>
    <cellStyle name="Comma 2 4 3 2 3 2" xfId="6030"/>
    <cellStyle name="Comma 2 4 3 2 3 3" xfId="6031"/>
    <cellStyle name="Comma 2 4 3 2 4" xfId="6032"/>
    <cellStyle name="Comma 2 4 3 2 4 2" xfId="6033"/>
    <cellStyle name="Comma 2 4 3 2 5" xfId="6034"/>
    <cellStyle name="Comma 2 4 3 2 6" xfId="6035"/>
    <cellStyle name="Comma 2 4 3 3" xfId="6036"/>
    <cellStyle name="Comma 2 4 3 3 2" xfId="6037"/>
    <cellStyle name="Comma 2 4 3 3 2 2" xfId="6038"/>
    <cellStyle name="Comma 2 4 3 3 2 2 2" xfId="6039"/>
    <cellStyle name="Comma 2 4 3 3 2 3" xfId="6040"/>
    <cellStyle name="Comma 2 4 3 3 2 4" xfId="6041"/>
    <cellStyle name="Comma 2 4 3 3 2 5" xfId="6042"/>
    <cellStyle name="Comma 2 4 3 3 3" xfId="6043"/>
    <cellStyle name="Comma 2 4 3 3 3 2" xfId="6044"/>
    <cellStyle name="Comma 2 4 3 3 4" xfId="6045"/>
    <cellStyle name="Comma 2 4 3 3 5" xfId="6046"/>
    <cellStyle name="Comma 2 4 3 3 6" xfId="6047"/>
    <cellStyle name="Comma 2 4 3 4" xfId="6048"/>
    <cellStyle name="Comma 2 4 3 4 2" xfId="6049"/>
    <cellStyle name="Comma 2 4 3 4 2 2" xfId="6050"/>
    <cellStyle name="Comma 2 4 3 4 3" xfId="6051"/>
    <cellStyle name="Comma 2 4 3 4 4" xfId="6052"/>
    <cellStyle name="Comma 2 4 3 4 5" xfId="6053"/>
    <cellStyle name="Comma 2 4 3 5" xfId="6054"/>
    <cellStyle name="Comma 2 4 3 5 2" xfId="6055"/>
    <cellStyle name="Comma 2 4 3 5 2 2" xfId="6056"/>
    <cellStyle name="Comma 2 4 3 5 3" xfId="6057"/>
    <cellStyle name="Comma 2 4 3 5 4" xfId="6058"/>
    <cellStyle name="Comma 2 4 3 5 5" xfId="6059"/>
    <cellStyle name="Comma 2 4 3 6" xfId="6060"/>
    <cellStyle name="Comma 2 4 3 6 2" xfId="6061"/>
    <cellStyle name="Comma 2 4 3 7" xfId="6062"/>
    <cellStyle name="Comma 2 4 3 8" xfId="6063"/>
    <cellStyle name="Comma 2 4 3 9" xfId="6064"/>
    <cellStyle name="Comma 2 4 4" xfId="6065"/>
    <cellStyle name="Comma 2 4 4 2" xfId="6066"/>
    <cellStyle name="Comma 2 4 4 2 2" xfId="6067"/>
    <cellStyle name="Comma 2 4 4 2 2 2" xfId="6068"/>
    <cellStyle name="Comma 2 4 4 2 2 3" xfId="6069"/>
    <cellStyle name="Comma 2 4 4 2 3" xfId="6070"/>
    <cellStyle name="Comma 2 4 4 2 3 2" xfId="6071"/>
    <cellStyle name="Comma 2 4 4 2 4" xfId="6072"/>
    <cellStyle name="Comma 2 4 4 2 5" xfId="6073"/>
    <cellStyle name="Comma 2 4 4 3" xfId="6074"/>
    <cellStyle name="Comma 2 4 4 3 2" xfId="6075"/>
    <cellStyle name="Comma 2 4 4 3 3" xfId="6076"/>
    <cellStyle name="Comma 2 4 4 4" xfId="6077"/>
    <cellStyle name="Comma 2 4 4 4 2" xfId="6078"/>
    <cellStyle name="Comma 2 4 4 5" xfId="6079"/>
    <cellStyle name="Comma 2 4 4 6" xfId="6080"/>
    <cellStyle name="Comma 2 4 5" xfId="6081"/>
    <cellStyle name="Comma 2 4 5 2" xfId="6082"/>
    <cellStyle name="Comma 2 4 5 2 2" xfId="6083"/>
    <cellStyle name="Comma 2 4 5 2 2 2" xfId="6084"/>
    <cellStyle name="Comma 2 4 5 2 3" xfId="6085"/>
    <cellStyle name="Comma 2 4 5 2 4" xfId="6086"/>
    <cellStyle name="Comma 2 4 5 2 5" xfId="6087"/>
    <cellStyle name="Comma 2 4 5 3" xfId="6088"/>
    <cellStyle name="Comma 2 4 5 3 2" xfId="6089"/>
    <cellStyle name="Comma 2 4 5 4" xfId="6090"/>
    <cellStyle name="Comma 2 4 5 5" xfId="6091"/>
    <cellStyle name="Comma 2 4 5 6" xfId="6092"/>
    <cellStyle name="Comma 2 4 6" xfId="6093"/>
    <cellStyle name="Comma 2 4 6 2" xfId="6094"/>
    <cellStyle name="Comma 2 4 6 2 2" xfId="6095"/>
    <cellStyle name="Comma 2 4 6 3" xfId="6096"/>
    <cellStyle name="Comma 2 4 6 4" xfId="6097"/>
    <cellStyle name="Comma 2 4 6 5" xfId="6098"/>
    <cellStyle name="Comma 2 4 7" xfId="6099"/>
    <cellStyle name="Comma 2 4 7 2" xfId="6100"/>
    <cellStyle name="Comma 2 4 7 2 2" xfId="6101"/>
    <cellStyle name="Comma 2 4 7 3" xfId="6102"/>
    <cellStyle name="Comma 2 4 7 4" xfId="6103"/>
    <cellStyle name="Comma 2 4 7 5" xfId="6104"/>
    <cellStyle name="Comma 2 4 8" xfId="6105"/>
    <cellStyle name="Comma 2 4 8 2" xfId="6106"/>
    <cellStyle name="Comma 2 4 8 2 2" xfId="6107"/>
    <cellStyle name="Comma 2 4 8 3" xfId="6108"/>
    <cellStyle name="Comma 2 4 8 4" xfId="6109"/>
    <cellStyle name="Comma 2 4 8 5" xfId="6110"/>
    <cellStyle name="Comma 2 4 9" xfId="6111"/>
    <cellStyle name="Comma 2 5" xfId="1335"/>
    <cellStyle name="Comma 2 5 2" xfId="6112"/>
    <cellStyle name="Comma 2 5 2 10" xfId="6113"/>
    <cellStyle name="Comma 2 5 2 2" xfId="6114"/>
    <cellStyle name="Comma 2 5 2 2 2" xfId="6115"/>
    <cellStyle name="Comma 2 5 2 2 2 2" xfId="6116"/>
    <cellStyle name="Comma 2 5 2 2 2 2 2" xfId="6117"/>
    <cellStyle name="Comma 2 5 2 2 2 2 2 2" xfId="6118"/>
    <cellStyle name="Comma 2 5 2 2 2 2 2 3" xfId="6119"/>
    <cellStyle name="Comma 2 5 2 2 2 2 3" xfId="6120"/>
    <cellStyle name="Comma 2 5 2 2 2 2 3 2" xfId="6121"/>
    <cellStyle name="Comma 2 5 2 2 2 2 4" xfId="6122"/>
    <cellStyle name="Comma 2 5 2 2 2 2 5" xfId="6123"/>
    <cellStyle name="Comma 2 5 2 2 2 3" xfId="6124"/>
    <cellStyle name="Comma 2 5 2 2 2 3 2" xfId="6125"/>
    <cellStyle name="Comma 2 5 2 2 2 3 3" xfId="6126"/>
    <cellStyle name="Comma 2 5 2 2 2 4" xfId="6127"/>
    <cellStyle name="Comma 2 5 2 2 2 4 2" xfId="6128"/>
    <cellStyle name="Comma 2 5 2 2 2 5" xfId="6129"/>
    <cellStyle name="Comma 2 5 2 2 2 6" xfId="6130"/>
    <cellStyle name="Comma 2 5 2 2 3" xfId="6131"/>
    <cellStyle name="Comma 2 5 2 2 3 2" xfId="6132"/>
    <cellStyle name="Comma 2 5 2 2 3 2 2" xfId="6133"/>
    <cellStyle name="Comma 2 5 2 2 3 2 2 2" xfId="6134"/>
    <cellStyle name="Comma 2 5 2 2 3 2 3" xfId="6135"/>
    <cellStyle name="Comma 2 5 2 2 3 2 4" xfId="6136"/>
    <cellStyle name="Comma 2 5 2 2 3 2 5" xfId="6137"/>
    <cellStyle name="Comma 2 5 2 2 3 3" xfId="6138"/>
    <cellStyle name="Comma 2 5 2 2 3 3 2" xfId="6139"/>
    <cellStyle name="Comma 2 5 2 2 3 4" xfId="6140"/>
    <cellStyle name="Comma 2 5 2 2 3 5" xfId="6141"/>
    <cellStyle name="Comma 2 5 2 2 3 6" xfId="6142"/>
    <cellStyle name="Comma 2 5 2 2 4" xfId="6143"/>
    <cellStyle name="Comma 2 5 2 2 4 2" xfId="6144"/>
    <cellStyle name="Comma 2 5 2 2 4 2 2" xfId="6145"/>
    <cellStyle name="Comma 2 5 2 2 4 3" xfId="6146"/>
    <cellStyle name="Comma 2 5 2 2 4 4" xfId="6147"/>
    <cellStyle name="Comma 2 5 2 2 4 5" xfId="6148"/>
    <cellStyle name="Comma 2 5 2 2 5" xfId="6149"/>
    <cellStyle name="Comma 2 5 2 2 5 2" xfId="6150"/>
    <cellStyle name="Comma 2 5 2 2 5 2 2" xfId="6151"/>
    <cellStyle name="Comma 2 5 2 2 5 3" xfId="6152"/>
    <cellStyle name="Comma 2 5 2 2 5 4" xfId="6153"/>
    <cellStyle name="Comma 2 5 2 2 5 5" xfId="6154"/>
    <cellStyle name="Comma 2 5 2 2 6" xfId="6155"/>
    <cellStyle name="Comma 2 5 2 2 6 2" xfId="6156"/>
    <cellStyle name="Comma 2 5 2 2 7" xfId="6157"/>
    <cellStyle name="Comma 2 5 2 2 8" xfId="6158"/>
    <cellStyle name="Comma 2 5 2 2 9" xfId="6159"/>
    <cellStyle name="Comma 2 5 2 3" xfId="6160"/>
    <cellStyle name="Comma 2 5 2 3 2" xfId="6161"/>
    <cellStyle name="Comma 2 5 2 3 2 2" xfId="6162"/>
    <cellStyle name="Comma 2 5 2 3 2 2 2" xfId="6163"/>
    <cellStyle name="Comma 2 5 2 3 2 2 3" xfId="6164"/>
    <cellStyle name="Comma 2 5 2 3 2 3" xfId="6165"/>
    <cellStyle name="Comma 2 5 2 3 2 3 2" xfId="6166"/>
    <cellStyle name="Comma 2 5 2 3 2 4" xfId="6167"/>
    <cellStyle name="Comma 2 5 2 3 2 5" xfId="6168"/>
    <cellStyle name="Comma 2 5 2 3 3" xfId="6169"/>
    <cellStyle name="Comma 2 5 2 3 3 2" xfId="6170"/>
    <cellStyle name="Comma 2 5 2 3 3 3" xfId="6171"/>
    <cellStyle name="Comma 2 5 2 3 4" xfId="6172"/>
    <cellStyle name="Comma 2 5 2 3 4 2" xfId="6173"/>
    <cellStyle name="Comma 2 5 2 3 5" xfId="6174"/>
    <cellStyle name="Comma 2 5 2 3 6" xfId="6175"/>
    <cellStyle name="Comma 2 5 2 4" xfId="6176"/>
    <cellStyle name="Comma 2 5 2 4 2" xfId="6177"/>
    <cellStyle name="Comma 2 5 2 4 2 2" xfId="6178"/>
    <cellStyle name="Comma 2 5 2 4 2 2 2" xfId="6179"/>
    <cellStyle name="Comma 2 5 2 4 2 3" xfId="6180"/>
    <cellStyle name="Comma 2 5 2 4 2 4" xfId="6181"/>
    <cellStyle name="Comma 2 5 2 4 2 5" xfId="6182"/>
    <cellStyle name="Comma 2 5 2 4 3" xfId="6183"/>
    <cellStyle name="Comma 2 5 2 4 3 2" xfId="6184"/>
    <cellStyle name="Comma 2 5 2 4 4" xfId="6185"/>
    <cellStyle name="Comma 2 5 2 4 5" xfId="6186"/>
    <cellStyle name="Comma 2 5 2 4 6" xfId="6187"/>
    <cellStyle name="Comma 2 5 2 5" xfId="6188"/>
    <cellStyle name="Comma 2 5 2 5 2" xfId="6189"/>
    <cellStyle name="Comma 2 5 2 5 2 2" xfId="6190"/>
    <cellStyle name="Comma 2 5 2 5 3" xfId="6191"/>
    <cellStyle name="Comma 2 5 2 5 4" xfId="6192"/>
    <cellStyle name="Comma 2 5 2 5 5" xfId="6193"/>
    <cellStyle name="Comma 2 5 2 6" xfId="6194"/>
    <cellStyle name="Comma 2 5 2 6 2" xfId="6195"/>
    <cellStyle name="Comma 2 5 2 6 2 2" xfId="6196"/>
    <cellStyle name="Comma 2 5 2 6 3" xfId="6197"/>
    <cellStyle name="Comma 2 5 2 6 4" xfId="6198"/>
    <cellStyle name="Comma 2 5 2 6 5" xfId="6199"/>
    <cellStyle name="Comma 2 5 2 7" xfId="6200"/>
    <cellStyle name="Comma 2 5 2 7 2" xfId="6201"/>
    <cellStyle name="Comma 2 5 2 8" xfId="6202"/>
    <cellStyle name="Comma 2 5 2 9" xfId="6203"/>
    <cellStyle name="Comma 2 5 3" xfId="6204"/>
    <cellStyle name="Comma 2 5 3 2" xfId="6205"/>
    <cellStyle name="Comma 2 5 3 2 2" xfId="6206"/>
    <cellStyle name="Comma 2 5 3 2 2 2" xfId="6207"/>
    <cellStyle name="Comma 2 5 3 2 2 2 2" xfId="6208"/>
    <cellStyle name="Comma 2 5 3 2 2 2 3" xfId="6209"/>
    <cellStyle name="Comma 2 5 3 2 2 3" xfId="6210"/>
    <cellStyle name="Comma 2 5 3 2 2 3 2" xfId="6211"/>
    <cellStyle name="Comma 2 5 3 2 2 4" xfId="6212"/>
    <cellStyle name="Comma 2 5 3 2 2 5" xfId="6213"/>
    <cellStyle name="Comma 2 5 3 2 3" xfId="6214"/>
    <cellStyle name="Comma 2 5 3 2 3 2" xfId="6215"/>
    <cellStyle name="Comma 2 5 3 2 3 3" xfId="6216"/>
    <cellStyle name="Comma 2 5 3 2 4" xfId="6217"/>
    <cellStyle name="Comma 2 5 3 2 4 2" xfId="6218"/>
    <cellStyle name="Comma 2 5 3 2 5" xfId="6219"/>
    <cellStyle name="Comma 2 5 3 2 6" xfId="6220"/>
    <cellStyle name="Comma 2 5 3 3" xfId="6221"/>
    <cellStyle name="Comma 2 5 3 3 2" xfId="6222"/>
    <cellStyle name="Comma 2 5 3 3 2 2" xfId="6223"/>
    <cellStyle name="Comma 2 5 3 3 2 2 2" xfId="6224"/>
    <cellStyle name="Comma 2 5 3 3 2 3" xfId="6225"/>
    <cellStyle name="Comma 2 5 3 3 2 4" xfId="6226"/>
    <cellStyle name="Comma 2 5 3 3 2 5" xfId="6227"/>
    <cellStyle name="Comma 2 5 3 3 3" xfId="6228"/>
    <cellStyle name="Comma 2 5 3 3 3 2" xfId="6229"/>
    <cellStyle name="Comma 2 5 3 3 4" xfId="6230"/>
    <cellStyle name="Comma 2 5 3 3 5" xfId="6231"/>
    <cellStyle name="Comma 2 5 3 3 6" xfId="6232"/>
    <cellStyle name="Comma 2 5 3 4" xfId="6233"/>
    <cellStyle name="Comma 2 5 3 4 2" xfId="6234"/>
    <cellStyle name="Comma 2 5 3 4 2 2" xfId="6235"/>
    <cellStyle name="Comma 2 5 3 4 3" xfId="6236"/>
    <cellStyle name="Comma 2 5 3 4 4" xfId="6237"/>
    <cellStyle name="Comma 2 5 3 4 5" xfId="6238"/>
    <cellStyle name="Comma 2 5 3 5" xfId="6239"/>
    <cellStyle name="Comma 2 5 3 5 2" xfId="6240"/>
    <cellStyle name="Comma 2 5 3 5 2 2" xfId="6241"/>
    <cellStyle name="Comma 2 5 3 5 3" xfId="6242"/>
    <cellStyle name="Comma 2 5 3 5 4" xfId="6243"/>
    <cellStyle name="Comma 2 5 3 5 5" xfId="6244"/>
    <cellStyle name="Comma 2 5 3 6" xfId="6245"/>
    <cellStyle name="Comma 2 5 3 6 2" xfId="6246"/>
    <cellStyle name="Comma 2 5 3 7" xfId="6247"/>
    <cellStyle name="Comma 2 5 3 8" xfId="6248"/>
    <cellStyle name="Comma 2 5 3 9" xfId="6249"/>
    <cellStyle name="Comma 2 5 4" xfId="6250"/>
    <cellStyle name="Comma 2 5 4 2" xfId="6251"/>
    <cellStyle name="Comma 2 5 4 2 2" xfId="6252"/>
    <cellStyle name="Comma 2 5 4 2 2 2" xfId="6253"/>
    <cellStyle name="Comma 2 5 4 2 2 3" xfId="6254"/>
    <cellStyle name="Comma 2 5 4 2 3" xfId="6255"/>
    <cellStyle name="Comma 2 5 4 2 3 2" xfId="6256"/>
    <cellStyle name="Comma 2 5 4 2 4" xfId="6257"/>
    <cellStyle name="Comma 2 5 4 2 5" xfId="6258"/>
    <cellStyle name="Comma 2 5 4 3" xfId="6259"/>
    <cellStyle name="Comma 2 5 4 3 2" xfId="6260"/>
    <cellStyle name="Comma 2 5 4 3 3" xfId="6261"/>
    <cellStyle name="Comma 2 5 4 4" xfId="6262"/>
    <cellStyle name="Comma 2 5 4 4 2" xfId="6263"/>
    <cellStyle name="Comma 2 5 4 5" xfId="6264"/>
    <cellStyle name="Comma 2 5 4 6" xfId="6265"/>
    <cellStyle name="Comma 2 5 5" xfId="6266"/>
    <cellStyle name="Comma 2 5 5 2" xfId="6267"/>
    <cellStyle name="Comma 2 5 5 2 2" xfId="6268"/>
    <cellStyle name="Comma 2 5 5 2 2 2" xfId="6269"/>
    <cellStyle name="Comma 2 5 5 2 3" xfId="6270"/>
    <cellStyle name="Comma 2 5 5 2 4" xfId="6271"/>
    <cellStyle name="Comma 2 5 5 2 5" xfId="6272"/>
    <cellStyle name="Comma 2 5 5 3" xfId="6273"/>
    <cellStyle name="Comma 2 5 5 3 2" xfId="6274"/>
    <cellStyle name="Comma 2 5 5 4" xfId="6275"/>
    <cellStyle name="Comma 2 5 5 5" xfId="6276"/>
    <cellStyle name="Comma 2 5 5 6" xfId="6277"/>
    <cellStyle name="Comma 2 5 6" xfId="6278"/>
    <cellStyle name="Comma 2 5 6 2" xfId="6279"/>
    <cellStyle name="Comma 2 5 6 2 2" xfId="6280"/>
    <cellStyle name="Comma 2 5 6 3" xfId="6281"/>
    <cellStyle name="Comma 2 5 6 4" xfId="6282"/>
    <cellStyle name="Comma 2 5 6 5" xfId="6283"/>
    <cellStyle name="Comma 2 5 7" xfId="6284"/>
    <cellStyle name="Comma 2 5 7 2" xfId="6285"/>
    <cellStyle name="Comma 2 5 7 2 2" xfId="6286"/>
    <cellStyle name="Comma 2 5 7 3" xfId="6287"/>
    <cellStyle name="Comma 2 5 7 4" xfId="6288"/>
    <cellStyle name="Comma 2 5 7 5" xfId="6289"/>
    <cellStyle name="Comma 2 5 8" xfId="6290"/>
    <cellStyle name="Comma 2 5 8 2" xfId="6291"/>
    <cellStyle name="Comma 2 5 8 2 2" xfId="6292"/>
    <cellStyle name="Comma 2 5 8 3" xfId="6293"/>
    <cellStyle name="Comma 2 5 8 4" xfId="6294"/>
    <cellStyle name="Comma 2 5 8 5" xfId="6295"/>
    <cellStyle name="Comma 2 5 9" xfId="6296"/>
    <cellStyle name="Comma 2 6" xfId="1336"/>
    <cellStyle name="Comma 2 6 2" xfId="6297"/>
    <cellStyle name="Comma 2 6 2 2" xfId="6298"/>
    <cellStyle name="Comma 2 6 2 2 2" xfId="6299"/>
    <cellStyle name="Comma 2 6 2 2 2 2" xfId="6300"/>
    <cellStyle name="Comma 2 6 2 2 2 2 2" xfId="6301"/>
    <cellStyle name="Comma 2 6 2 2 2 2 3" xfId="6302"/>
    <cellStyle name="Comma 2 6 2 2 2 3" xfId="6303"/>
    <cellStyle name="Comma 2 6 2 2 2 3 2" xfId="6304"/>
    <cellStyle name="Comma 2 6 2 2 2 4" xfId="6305"/>
    <cellStyle name="Comma 2 6 2 2 2 5" xfId="6306"/>
    <cellStyle name="Comma 2 6 2 2 3" xfId="6307"/>
    <cellStyle name="Comma 2 6 2 2 3 2" xfId="6308"/>
    <cellStyle name="Comma 2 6 2 2 3 3" xfId="6309"/>
    <cellStyle name="Comma 2 6 2 2 4" xfId="6310"/>
    <cellStyle name="Comma 2 6 2 2 4 2" xfId="6311"/>
    <cellStyle name="Comma 2 6 2 2 5" xfId="6312"/>
    <cellStyle name="Comma 2 6 2 2 6" xfId="6313"/>
    <cellStyle name="Comma 2 6 2 3" xfId="6314"/>
    <cellStyle name="Comma 2 6 2 3 2" xfId="6315"/>
    <cellStyle name="Comma 2 6 2 3 2 2" xfId="6316"/>
    <cellStyle name="Comma 2 6 2 3 2 2 2" xfId="6317"/>
    <cellStyle name="Comma 2 6 2 3 2 3" xfId="6318"/>
    <cellStyle name="Comma 2 6 2 3 2 4" xfId="6319"/>
    <cellStyle name="Comma 2 6 2 3 2 5" xfId="6320"/>
    <cellStyle name="Comma 2 6 2 3 3" xfId="6321"/>
    <cellStyle name="Comma 2 6 2 3 3 2" xfId="6322"/>
    <cellStyle name="Comma 2 6 2 3 4" xfId="6323"/>
    <cellStyle name="Comma 2 6 2 3 5" xfId="6324"/>
    <cellStyle name="Comma 2 6 2 3 6" xfId="6325"/>
    <cellStyle name="Comma 2 6 2 4" xfId="6326"/>
    <cellStyle name="Comma 2 6 2 4 2" xfId="6327"/>
    <cellStyle name="Comma 2 6 2 4 2 2" xfId="6328"/>
    <cellStyle name="Comma 2 6 2 4 3" xfId="6329"/>
    <cellStyle name="Comma 2 6 2 4 4" xfId="6330"/>
    <cellStyle name="Comma 2 6 2 4 5" xfId="6331"/>
    <cellStyle name="Comma 2 6 2 5" xfId="6332"/>
    <cellStyle name="Comma 2 6 2 5 2" xfId="6333"/>
    <cellStyle name="Comma 2 6 2 5 2 2" xfId="6334"/>
    <cellStyle name="Comma 2 6 2 5 3" xfId="6335"/>
    <cellStyle name="Comma 2 6 2 5 4" xfId="6336"/>
    <cellStyle name="Comma 2 6 2 5 5" xfId="6337"/>
    <cellStyle name="Comma 2 6 2 6" xfId="6338"/>
    <cellStyle name="Comma 2 6 2 6 2" xfId="6339"/>
    <cellStyle name="Comma 2 6 2 7" xfId="6340"/>
    <cellStyle name="Comma 2 6 2 8" xfId="6341"/>
    <cellStyle name="Comma 2 6 2 9" xfId="6342"/>
    <cellStyle name="Comma 2 6 3" xfId="6343"/>
    <cellStyle name="Comma 2 6 3 2" xfId="6344"/>
    <cellStyle name="Comma 2 6 3 2 2" xfId="6345"/>
    <cellStyle name="Comma 2 6 3 2 2 2" xfId="6346"/>
    <cellStyle name="Comma 2 6 3 2 2 3" xfId="6347"/>
    <cellStyle name="Comma 2 6 3 2 3" xfId="6348"/>
    <cellStyle name="Comma 2 6 3 2 3 2" xfId="6349"/>
    <cellStyle name="Comma 2 6 3 2 4" xfId="6350"/>
    <cellStyle name="Comma 2 6 3 2 5" xfId="6351"/>
    <cellStyle name="Comma 2 6 3 3" xfId="6352"/>
    <cellStyle name="Comma 2 6 3 3 2" xfId="6353"/>
    <cellStyle name="Comma 2 6 3 3 3" xfId="6354"/>
    <cellStyle name="Comma 2 6 3 4" xfId="6355"/>
    <cellStyle name="Comma 2 6 3 4 2" xfId="6356"/>
    <cellStyle name="Comma 2 6 3 5" xfId="6357"/>
    <cellStyle name="Comma 2 6 3 6" xfId="6358"/>
    <cellStyle name="Comma 2 6 4" xfId="6359"/>
    <cellStyle name="Comma 2 6 4 2" xfId="6360"/>
    <cellStyle name="Comma 2 6 4 2 2" xfId="6361"/>
    <cellStyle name="Comma 2 6 4 2 2 2" xfId="6362"/>
    <cellStyle name="Comma 2 6 4 2 3" xfId="6363"/>
    <cellStyle name="Comma 2 6 4 2 4" xfId="6364"/>
    <cellStyle name="Comma 2 6 4 2 5" xfId="6365"/>
    <cellStyle name="Comma 2 6 4 3" xfId="6366"/>
    <cellStyle name="Comma 2 6 4 3 2" xfId="6367"/>
    <cellStyle name="Comma 2 6 4 4" xfId="6368"/>
    <cellStyle name="Comma 2 6 4 5" xfId="6369"/>
    <cellStyle name="Comma 2 6 4 6" xfId="6370"/>
    <cellStyle name="Comma 2 6 5" xfId="6371"/>
    <cellStyle name="Comma 2 6 5 2" xfId="6372"/>
    <cellStyle name="Comma 2 6 5 2 2" xfId="6373"/>
    <cellStyle name="Comma 2 6 5 3" xfId="6374"/>
    <cellStyle name="Comma 2 6 5 4" xfId="6375"/>
    <cellStyle name="Comma 2 6 5 5" xfId="6376"/>
    <cellStyle name="Comma 2 6 6" xfId="6377"/>
    <cellStyle name="Comma 2 6 6 2" xfId="6378"/>
    <cellStyle name="Comma 2 6 6 2 2" xfId="6379"/>
    <cellStyle name="Comma 2 6 6 3" xfId="6380"/>
    <cellStyle name="Comma 2 6 6 4" xfId="6381"/>
    <cellStyle name="Comma 2 6 6 5" xfId="6382"/>
    <cellStyle name="Comma 2 6 7" xfId="6383"/>
    <cellStyle name="Comma 2 6 7 2" xfId="6384"/>
    <cellStyle name="Comma 2 6 7 2 2" xfId="6385"/>
    <cellStyle name="Comma 2 6 7 3" xfId="6386"/>
    <cellStyle name="Comma 2 6 7 4" xfId="6387"/>
    <cellStyle name="Comma 2 6 7 5" xfId="6388"/>
    <cellStyle name="Comma 2 6 8" xfId="6389"/>
    <cellStyle name="Comma 2 7" xfId="1337"/>
    <cellStyle name="Comma 2 7 2" xfId="6390"/>
    <cellStyle name="Comma 2 7 2 2" xfId="6391"/>
    <cellStyle name="Comma 2 7 2 2 2" xfId="6392"/>
    <cellStyle name="Comma 2 7 2 2 2 2" xfId="6393"/>
    <cellStyle name="Comma 2 7 2 2 2 3" xfId="6394"/>
    <cellStyle name="Comma 2 7 2 2 3" xfId="6395"/>
    <cellStyle name="Comma 2 7 2 2 3 2" xfId="6396"/>
    <cellStyle name="Comma 2 7 2 2 4" xfId="6397"/>
    <cellStyle name="Comma 2 7 2 2 5" xfId="6398"/>
    <cellStyle name="Comma 2 7 2 3" xfId="6399"/>
    <cellStyle name="Comma 2 7 2 3 2" xfId="6400"/>
    <cellStyle name="Comma 2 7 2 3 3" xfId="6401"/>
    <cellStyle name="Comma 2 7 2 4" xfId="6402"/>
    <cellStyle name="Comma 2 7 2 4 2" xfId="6403"/>
    <cellStyle name="Comma 2 7 2 5" xfId="6404"/>
    <cellStyle name="Comma 2 7 2 6" xfId="6405"/>
    <cellStyle name="Comma 2 7 3" xfId="6406"/>
    <cellStyle name="Comma 2 7 3 2" xfId="6407"/>
    <cellStyle name="Comma 2 7 3 2 2" xfId="6408"/>
    <cellStyle name="Comma 2 7 3 2 2 2" xfId="6409"/>
    <cellStyle name="Comma 2 7 3 2 3" xfId="6410"/>
    <cellStyle name="Comma 2 7 3 2 4" xfId="6411"/>
    <cellStyle name="Comma 2 7 3 2 5" xfId="6412"/>
    <cellStyle name="Comma 2 7 3 3" xfId="6413"/>
    <cellStyle name="Comma 2 7 3 3 2" xfId="6414"/>
    <cellStyle name="Comma 2 7 3 4" xfId="6415"/>
    <cellStyle name="Comma 2 7 3 5" xfId="6416"/>
    <cellStyle name="Comma 2 7 3 6" xfId="6417"/>
    <cellStyle name="Comma 2 7 4" xfId="6418"/>
    <cellStyle name="Comma 2 7 4 2" xfId="6419"/>
    <cellStyle name="Comma 2 7 4 2 2" xfId="6420"/>
    <cellStyle name="Comma 2 7 4 3" xfId="6421"/>
    <cellStyle name="Comma 2 7 4 4" xfId="6422"/>
    <cellStyle name="Comma 2 7 4 5" xfId="6423"/>
    <cellStyle name="Comma 2 7 5" xfId="6424"/>
    <cellStyle name="Comma 2 7 5 2" xfId="6425"/>
    <cellStyle name="Comma 2 7 5 2 2" xfId="6426"/>
    <cellStyle name="Comma 2 7 5 3" xfId="6427"/>
    <cellStyle name="Comma 2 7 5 4" xfId="6428"/>
    <cellStyle name="Comma 2 7 5 5" xfId="6429"/>
    <cellStyle name="Comma 2 7 6" xfId="6430"/>
    <cellStyle name="Comma 2 7 6 2" xfId="6431"/>
    <cellStyle name="Comma 2 7 6 2 2" xfId="6432"/>
    <cellStyle name="Comma 2 7 6 3" xfId="6433"/>
    <cellStyle name="Comma 2 7 6 4" xfId="6434"/>
    <cellStyle name="Comma 2 7 6 5" xfId="6435"/>
    <cellStyle name="Comma 2 7 7" xfId="6436"/>
    <cellStyle name="Comma 2 8" xfId="1338"/>
    <cellStyle name="Comma 2 8 2" xfId="6437"/>
    <cellStyle name="Comma 2 8 2 2" xfId="6438"/>
    <cellStyle name="Comma 2 8 2 2 2" xfId="6439"/>
    <cellStyle name="Comma 2 8 2 2 3" xfId="6440"/>
    <cellStyle name="Comma 2 8 2 3" xfId="6441"/>
    <cellStyle name="Comma 2 8 2 3 2" xfId="6442"/>
    <cellStyle name="Comma 2 8 2 4" xfId="6443"/>
    <cellStyle name="Comma 2 8 2 5" xfId="6444"/>
    <cellStyle name="Comma 2 8 3" xfId="6445"/>
    <cellStyle name="Comma 2 8 3 2" xfId="6446"/>
    <cellStyle name="Comma 2 8 3 2 2" xfId="6447"/>
    <cellStyle name="Comma 2 8 3 3" xfId="6448"/>
    <cellStyle name="Comma 2 8 3 4" xfId="6449"/>
    <cellStyle name="Comma 2 8 3 5" xfId="6450"/>
    <cellStyle name="Comma 2 8 4" xfId="6451"/>
    <cellStyle name="Comma 2 8 4 2" xfId="6452"/>
    <cellStyle name="Comma 2 8 4 2 2" xfId="6453"/>
    <cellStyle name="Comma 2 8 4 3" xfId="6454"/>
    <cellStyle name="Comma 2 8 4 4" xfId="6455"/>
    <cellStyle name="Comma 2 8 4 5" xfId="6456"/>
    <cellStyle name="Comma 2 8 5" xfId="6457"/>
    <cellStyle name="Comma 2 9" xfId="1339"/>
    <cellStyle name="Comma 2 9 2" xfId="6458"/>
    <cellStyle name="Comma 2 9 2 2" xfId="6459"/>
    <cellStyle name="Comma 2 9 2 2 2" xfId="6460"/>
    <cellStyle name="Comma 2 9 2 3" xfId="6461"/>
    <cellStyle name="Comma 2 9 2 4" xfId="6462"/>
    <cellStyle name="Comma 2 9 2 5" xfId="6463"/>
    <cellStyle name="Comma 2 9 3" xfId="6464"/>
    <cellStyle name="Comma 2 9 3 2" xfId="6465"/>
    <cellStyle name="Comma 2 9 3 2 2" xfId="6466"/>
    <cellStyle name="Comma 2 9 3 3" xfId="6467"/>
    <cellStyle name="Comma 2 9 3 4" xfId="6468"/>
    <cellStyle name="Comma 2 9 3 5" xfId="6469"/>
    <cellStyle name="Comma 2 9 4" xfId="6470"/>
    <cellStyle name="Comma 20" xfId="6471"/>
    <cellStyle name="Comma 20 2" xfId="6472"/>
    <cellStyle name="Comma 21" xfId="6473"/>
    <cellStyle name="Comma 21 2" xfId="6474"/>
    <cellStyle name="Comma 22" xfId="6475"/>
    <cellStyle name="Comma 23" xfId="6476"/>
    <cellStyle name="Comma 24" xfId="6477"/>
    <cellStyle name="Comma 25" xfId="6478"/>
    <cellStyle name="Comma 26" xfId="6479"/>
    <cellStyle name="Comma 27" xfId="6480"/>
    <cellStyle name="Comma 28" xfId="6481"/>
    <cellStyle name="Comma 29" xfId="6482"/>
    <cellStyle name="Comma 29 2" xfId="6483"/>
    <cellStyle name="Comma 3" xfId="13"/>
    <cellStyle name="Comma 3 10" xfId="6484"/>
    <cellStyle name="Comma 3 11" xfId="6485"/>
    <cellStyle name="Comma 3 2" xfId="1340"/>
    <cellStyle name="Comma 3 2 2" xfId="2108"/>
    <cellStyle name="Comma 3 2 2 2" xfId="6486"/>
    <cellStyle name="Comma 3 2 2 2 2" xfId="6487"/>
    <cellStyle name="Comma 3 2 2 2 2 2" xfId="6488"/>
    <cellStyle name="Comma 3 2 2 2 2 2 2" xfId="6489"/>
    <cellStyle name="Comma 3 2 2 2 2 2 2 2" xfId="6490"/>
    <cellStyle name="Comma 3 2 2 2 2 2 3" xfId="6491"/>
    <cellStyle name="Comma 3 2 2 2 2 3" xfId="6492"/>
    <cellStyle name="Comma 3 2 2 2 2 3 2" xfId="6493"/>
    <cellStyle name="Comma 3 2 2 2 2 4" xfId="6494"/>
    <cellStyle name="Comma 3 2 2 2 3" xfId="6495"/>
    <cellStyle name="Comma 3 2 2 2 3 2" xfId="6496"/>
    <cellStyle name="Comma 3 2 2 2 3 2 2" xfId="6497"/>
    <cellStyle name="Comma 3 2 2 2 3 3" xfId="6498"/>
    <cellStyle name="Comma 3 2 2 2 4" xfId="6499"/>
    <cellStyle name="Comma 3 2 2 2 4 2" xfId="6500"/>
    <cellStyle name="Comma 3 2 2 2 5" xfId="6501"/>
    <cellStyle name="Comma 3 2 2 2 6" xfId="6502"/>
    <cellStyle name="Comma 3 2 2 2 7" xfId="6503"/>
    <cellStyle name="Comma 3 2 2 3" xfId="6504"/>
    <cellStyle name="Comma 3 2 2 3 2" xfId="6505"/>
    <cellStyle name="Comma 3 2 2 3 2 2" xfId="6506"/>
    <cellStyle name="Comma 3 2 2 3 2 2 2" xfId="6507"/>
    <cellStyle name="Comma 3 2 2 3 2 3" xfId="6508"/>
    <cellStyle name="Comma 3 2 2 3 3" xfId="6509"/>
    <cellStyle name="Comma 3 2 2 3 3 2" xfId="6510"/>
    <cellStyle name="Comma 3 2 2 3 4" xfId="6511"/>
    <cellStyle name="Comma 3 2 2 4" xfId="6512"/>
    <cellStyle name="Comma 3 2 2 4 2" xfId="6513"/>
    <cellStyle name="Comma 3 2 2 4 2 2" xfId="6514"/>
    <cellStyle name="Comma 3 2 2 4 3" xfId="6515"/>
    <cellStyle name="Comma 3 2 2 5" xfId="6516"/>
    <cellStyle name="Comma 3 2 2 5 2" xfId="6517"/>
    <cellStyle name="Comma 3 2 2 6" xfId="6518"/>
    <cellStyle name="Comma 3 2 2 7" xfId="6519"/>
    <cellStyle name="Comma 3 2 2 8" xfId="6520"/>
    <cellStyle name="Comma 3 2 3" xfId="6521"/>
    <cellStyle name="Comma 3 2 3 2" xfId="6522"/>
    <cellStyle name="Comma 3 2 3 2 2" xfId="6523"/>
    <cellStyle name="Comma 3 2 3 2 2 2" xfId="6524"/>
    <cellStyle name="Comma 3 2 3 2 2 2 2" xfId="6525"/>
    <cellStyle name="Comma 3 2 3 2 2 3" xfId="6526"/>
    <cellStyle name="Comma 3 2 3 2 3" xfId="6527"/>
    <cellStyle name="Comma 3 2 3 2 3 2" xfId="6528"/>
    <cellStyle name="Comma 3 2 3 2 4" xfId="6529"/>
    <cellStyle name="Comma 3 2 3 3" xfId="6530"/>
    <cellStyle name="Comma 3 2 3 3 2" xfId="6531"/>
    <cellStyle name="Comma 3 2 3 3 2 2" xfId="6532"/>
    <cellStyle name="Comma 3 2 3 3 3" xfId="6533"/>
    <cellStyle name="Comma 3 2 3 4" xfId="6534"/>
    <cellStyle name="Comma 3 2 3 4 2" xfId="6535"/>
    <cellStyle name="Comma 3 2 3 5" xfId="6536"/>
    <cellStyle name="Comma 3 2 3 6" xfId="6537"/>
    <cellStyle name="Comma 3 2 3 7" xfId="6538"/>
    <cellStyle name="Comma 3 2 4" xfId="6539"/>
    <cellStyle name="Comma 3 2 4 2" xfId="6540"/>
    <cellStyle name="Comma 3 2 4 2 2" xfId="6541"/>
    <cellStyle name="Comma 3 2 4 2 2 2" xfId="6542"/>
    <cellStyle name="Comma 3 2 4 2 2 2 2" xfId="6543"/>
    <cellStyle name="Comma 3 2 4 2 2 3" xfId="6544"/>
    <cellStyle name="Comma 3 2 4 2 3" xfId="6545"/>
    <cellStyle name="Comma 3 2 4 2 3 2" xfId="6546"/>
    <cellStyle name="Comma 3 2 4 2 4" xfId="6547"/>
    <cellStyle name="Comma 3 2 4 3" xfId="6548"/>
    <cellStyle name="Comma 3 2 4 3 2" xfId="6549"/>
    <cellStyle name="Comma 3 2 4 3 2 2" xfId="6550"/>
    <cellStyle name="Comma 3 2 4 3 3" xfId="6551"/>
    <cellStyle name="Comma 3 2 4 4" xfId="6552"/>
    <cellStyle name="Comma 3 2 4 4 2" xfId="6553"/>
    <cellStyle name="Comma 3 2 4 5" xfId="6554"/>
    <cellStyle name="Comma 3 2 5" xfId="6555"/>
    <cellStyle name="Comma 3 2 5 2" xfId="6556"/>
    <cellStyle name="Comma 3 2 5 2 2" xfId="6557"/>
    <cellStyle name="Comma 3 2 5 2 2 2" xfId="6558"/>
    <cellStyle name="Comma 3 2 5 2 3" xfId="6559"/>
    <cellStyle name="Comma 3 2 5 3" xfId="6560"/>
    <cellStyle name="Comma 3 2 5 3 2" xfId="6561"/>
    <cellStyle name="Comma 3 2 5 4" xfId="6562"/>
    <cellStyle name="Comma 3 2 6" xfId="6563"/>
    <cellStyle name="Comma 3 2 6 2" xfId="6564"/>
    <cellStyle name="Comma 3 2 6 2 2" xfId="6565"/>
    <cellStyle name="Comma 3 2 6 3" xfId="6566"/>
    <cellStyle name="Comma 3 2 7" xfId="6567"/>
    <cellStyle name="Comma 3 2 7 2" xfId="6568"/>
    <cellStyle name="Comma 3 2 8" xfId="6569"/>
    <cellStyle name="Comma 3 3" xfId="1341"/>
    <cellStyle name="Comma 3 3 2" xfId="6570"/>
    <cellStyle name="Comma 3 3 2 2" xfId="6571"/>
    <cellStyle name="Comma 3 3 2 2 2" xfId="6572"/>
    <cellStyle name="Comma 3 3 2 2 2 2" xfId="6573"/>
    <cellStyle name="Comma 3 3 2 2 2 2 2" xfId="6574"/>
    <cellStyle name="Comma 3 3 2 2 2 3" xfId="6575"/>
    <cellStyle name="Comma 3 3 2 2 3" xfId="6576"/>
    <cellStyle name="Comma 3 3 2 2 3 2" xfId="6577"/>
    <cellStyle name="Comma 3 3 2 2 4" xfId="6578"/>
    <cellStyle name="Comma 3 3 2 2 5" xfId="6579"/>
    <cellStyle name="Comma 3 3 2 2 6" xfId="6580"/>
    <cellStyle name="Comma 3 3 2 3" xfId="6581"/>
    <cellStyle name="Comma 3 3 2 3 2" xfId="6582"/>
    <cellStyle name="Comma 3 3 2 3 2 2" xfId="6583"/>
    <cellStyle name="Comma 3 3 2 3 3" xfId="6584"/>
    <cellStyle name="Comma 3 3 2 4" xfId="6585"/>
    <cellStyle name="Comma 3 3 2 4 2" xfId="6586"/>
    <cellStyle name="Comma 3 3 2 5" xfId="6587"/>
    <cellStyle name="Comma 3 3 2 6" xfId="6588"/>
    <cellStyle name="Comma 3 3 2 7" xfId="6589"/>
    <cellStyle name="Comma 3 3 3" xfId="6590"/>
    <cellStyle name="Comma 3 3 3 2" xfId="6591"/>
    <cellStyle name="Comma 3 3 3 2 2" xfId="6592"/>
    <cellStyle name="Comma 3 3 3 2 2 2" xfId="6593"/>
    <cellStyle name="Comma 3 3 3 2 3" xfId="6594"/>
    <cellStyle name="Comma 3 3 3 3" xfId="6595"/>
    <cellStyle name="Comma 3 3 3 3 2" xfId="6596"/>
    <cellStyle name="Comma 3 3 3 4" xfId="6597"/>
    <cellStyle name="Comma 3 3 3 5" xfId="6598"/>
    <cellStyle name="Comma 3 3 3 6" xfId="6599"/>
    <cellStyle name="Comma 3 3 4" xfId="6600"/>
    <cellStyle name="Comma 3 3 4 2" xfId="6601"/>
    <cellStyle name="Comma 3 3 4 2 2" xfId="6602"/>
    <cellStyle name="Comma 3 3 4 3" xfId="6603"/>
    <cellStyle name="Comma 3 3 5" xfId="6604"/>
    <cellStyle name="Comma 3 3 5 2" xfId="6605"/>
    <cellStyle name="Comma 3 3 6" xfId="6606"/>
    <cellStyle name="Comma 3 3 7" xfId="6607"/>
    <cellStyle name="Comma 3 3 8" xfId="6608"/>
    <cellStyle name="Comma 3 4" xfId="1342"/>
    <cellStyle name="Comma 3 4 2" xfId="6609"/>
    <cellStyle name="Comma 3 4 2 2" xfId="6610"/>
    <cellStyle name="Comma 3 4 2 2 2" xfId="6611"/>
    <cellStyle name="Comma 3 4 2 2 2 2" xfId="6612"/>
    <cellStyle name="Comma 3 4 2 2 3" xfId="6613"/>
    <cellStyle name="Comma 3 4 2 2 4" xfId="6614"/>
    <cellStyle name="Comma 3 4 2 3" xfId="6615"/>
    <cellStyle name="Comma 3 4 2 3 2" xfId="6616"/>
    <cellStyle name="Comma 3 4 2 4" xfId="6617"/>
    <cellStyle name="Comma 3 4 2 5" xfId="6618"/>
    <cellStyle name="Comma 3 4 2 6" xfId="6619"/>
    <cellStyle name="Comma 3 4 3" xfId="6620"/>
    <cellStyle name="Comma 3 4 3 2" xfId="6621"/>
    <cellStyle name="Comma 3 4 3 2 2" xfId="6622"/>
    <cellStyle name="Comma 3 4 3 3" xfId="6623"/>
    <cellStyle name="Comma 3 4 3 4" xfId="6624"/>
    <cellStyle name="Comma 3 4 4" xfId="6625"/>
    <cellStyle name="Comma 3 4 4 2" xfId="6626"/>
    <cellStyle name="Comma 3 4 5" xfId="6627"/>
    <cellStyle name="Comma 3 4 5 2" xfId="6628"/>
    <cellStyle name="Comma 3 4 6" xfId="6629"/>
    <cellStyle name="Comma 3 4 7" xfId="6630"/>
    <cellStyle name="Comma 3 4 8" xfId="6631"/>
    <cellStyle name="Comma 3 5" xfId="1343"/>
    <cellStyle name="Comma 3 5 2" xfId="6632"/>
    <cellStyle name="Comma 3 5 2 2" xfId="6633"/>
    <cellStyle name="Comma 3 5 2 2 2" xfId="6634"/>
    <cellStyle name="Comma 3 5 2 2 2 2" xfId="6635"/>
    <cellStyle name="Comma 3 5 2 2 3" xfId="6636"/>
    <cellStyle name="Comma 3 5 2 3" xfId="6637"/>
    <cellStyle name="Comma 3 5 2 3 2" xfId="6638"/>
    <cellStyle name="Comma 3 5 2 4" xfId="6639"/>
    <cellStyle name="Comma 3 5 2 5" xfId="6640"/>
    <cellStyle name="Comma 3 5 3" xfId="6641"/>
    <cellStyle name="Comma 3 5 3 2" xfId="6642"/>
    <cellStyle name="Comma 3 5 3 2 2" xfId="6643"/>
    <cellStyle name="Comma 3 5 3 3" xfId="6644"/>
    <cellStyle name="Comma 3 5 4" xfId="6645"/>
    <cellStyle name="Comma 3 5 4 2" xfId="6646"/>
    <cellStyle name="Comma 3 5 5" xfId="6647"/>
    <cellStyle name="Comma 3 5 6" xfId="6648"/>
    <cellStyle name="Comma 3 5 7" xfId="6649"/>
    <cellStyle name="Comma 3 6" xfId="6650"/>
    <cellStyle name="Comma 3 6 2" xfId="6651"/>
    <cellStyle name="Comma 3 6 2 2" xfId="6652"/>
    <cellStyle name="Comma 3 6 2 2 2" xfId="6653"/>
    <cellStyle name="Comma 3 6 2 3" xfId="6654"/>
    <cellStyle name="Comma 3 6 2 4" xfId="6655"/>
    <cellStyle name="Comma 3 6 3" xfId="6656"/>
    <cellStyle name="Comma 3 6 3 2" xfId="6657"/>
    <cellStyle name="Comma 3 6 4" xfId="6658"/>
    <cellStyle name="Comma 3 6 5" xfId="6659"/>
    <cellStyle name="Comma 3 7" xfId="6660"/>
    <cellStyle name="Comma 3 7 2" xfId="6661"/>
    <cellStyle name="Comma 3 7 2 2" xfId="6662"/>
    <cellStyle name="Comma 3 7 3" xfId="6663"/>
    <cellStyle name="Comma 3 7 4" xfId="6664"/>
    <cellStyle name="Comma 3 8" xfId="6665"/>
    <cellStyle name="Comma 3 8 2" xfId="6666"/>
    <cellStyle name="Comma 3 8 2 2" xfId="6667"/>
    <cellStyle name="Comma 3 8 3" xfId="6668"/>
    <cellStyle name="Comma 3 9" xfId="6669"/>
    <cellStyle name="Comma 3 9 2" xfId="6670"/>
    <cellStyle name="Comma 30" xfId="6671"/>
    <cellStyle name="Comma 30 2" xfId="6672"/>
    <cellStyle name="Comma 30 2 2" xfId="6673"/>
    <cellStyle name="Comma 30 2 2 2" xfId="6674"/>
    <cellStyle name="Comma 30 2 3" xfId="6675"/>
    <cellStyle name="Comma 30 3" xfId="6676"/>
    <cellStyle name="Comma 30 3 2" xfId="6677"/>
    <cellStyle name="Comma 30 4" xfId="6678"/>
    <cellStyle name="Comma 30 5" xfId="6679"/>
    <cellStyle name="Comma 31" xfId="6680"/>
    <cellStyle name="Comma 31 2" xfId="6681"/>
    <cellStyle name="Comma 32" xfId="6682"/>
    <cellStyle name="Comma 33" xfId="6683"/>
    <cellStyle name="Comma 33 2" xfId="6684"/>
    <cellStyle name="Comma 34" xfId="6685"/>
    <cellStyle name="Comma 34 2" xfId="6686"/>
    <cellStyle name="Comma 35" xfId="6687"/>
    <cellStyle name="Comma 35 2" xfId="6688"/>
    <cellStyle name="Comma 36" xfId="6689"/>
    <cellStyle name="Comma 36 2" xfId="6690"/>
    <cellStyle name="Comma 37" xfId="6691"/>
    <cellStyle name="Comma 37 2" xfId="6692"/>
    <cellStyle name="Comma 38" xfId="6693"/>
    <cellStyle name="Comma 39" xfId="6694"/>
    <cellStyle name="Comma 4" xfId="1344"/>
    <cellStyle name="Comma 4 10" xfId="6695"/>
    <cellStyle name="Comma 4 2" xfId="1345"/>
    <cellStyle name="Comma 4 2 2" xfId="6696"/>
    <cellStyle name="Comma 4 2 2 2" xfId="6697"/>
    <cellStyle name="Comma 4 2 2 2 2" xfId="6698"/>
    <cellStyle name="Comma 4 2 2 2 2 2" xfId="6699"/>
    <cellStyle name="Comma 4 2 2 2 3" xfId="6700"/>
    <cellStyle name="Comma 4 2 2 2 4" xfId="6701"/>
    <cellStyle name="Comma 4 2 2 2 5" xfId="6702"/>
    <cellStyle name="Comma 4 2 2 3" xfId="6703"/>
    <cellStyle name="Comma 4 2 2 3 2" xfId="6704"/>
    <cellStyle name="Comma 4 2 2 4" xfId="6705"/>
    <cellStyle name="Comma 4 2 2 4 2" xfId="6706"/>
    <cellStyle name="Comma 4 2 2 5" xfId="6707"/>
    <cellStyle name="Comma 4 2 2 6" xfId="6708"/>
    <cellStyle name="Comma 4 2 3" xfId="6709"/>
    <cellStyle name="Comma 4 2 3 2" xfId="6710"/>
    <cellStyle name="Comma 4 2 3 2 2" xfId="6711"/>
    <cellStyle name="Comma 4 2 3 3" xfId="6712"/>
    <cellStyle name="Comma 4 2 3 3 2" xfId="6713"/>
    <cellStyle name="Comma 4 2 3 4" xfId="6714"/>
    <cellStyle name="Comma 4 2 3 5" xfId="6715"/>
    <cellStyle name="Comma 4 2 4" xfId="6716"/>
    <cellStyle name="Comma 4 2 4 2" xfId="6717"/>
    <cellStyle name="Comma 4 2 4 3" xfId="6718"/>
    <cellStyle name="Comma 4 2 4 4" xfId="6719"/>
    <cellStyle name="Comma 4 2 5" xfId="6720"/>
    <cellStyle name="Comma 4 2 5 2" xfId="6721"/>
    <cellStyle name="Comma 4 2 6" xfId="6722"/>
    <cellStyle name="Comma 4 2 7" xfId="6723"/>
    <cellStyle name="Comma 4 2 8" xfId="6724"/>
    <cellStyle name="Comma 4 2 9" xfId="6725"/>
    <cellStyle name="Comma 4 3" xfId="1346"/>
    <cellStyle name="Comma 4 3 2" xfId="6726"/>
    <cellStyle name="Comma 4 3 2 2" xfId="6727"/>
    <cellStyle name="Comma 4 3 2 2 2" xfId="6728"/>
    <cellStyle name="Comma 4 3 2 2 2 2" xfId="6729"/>
    <cellStyle name="Comma 4 3 2 2 2 2 2" xfId="6730"/>
    <cellStyle name="Comma 4 3 2 2 2 3" xfId="6731"/>
    <cellStyle name="Comma 4 3 2 2 3" xfId="6732"/>
    <cellStyle name="Comma 4 3 2 2 3 2" xfId="6733"/>
    <cellStyle name="Comma 4 3 2 2 4" xfId="6734"/>
    <cellStyle name="Comma 4 3 2 2 5" xfId="6735"/>
    <cellStyle name="Comma 4 3 2 3" xfId="6736"/>
    <cellStyle name="Comma 4 3 2 3 2" xfId="6737"/>
    <cellStyle name="Comma 4 3 2 3 2 2" xfId="6738"/>
    <cellStyle name="Comma 4 3 2 3 3" xfId="6739"/>
    <cellStyle name="Comma 4 3 2 4" xfId="6740"/>
    <cellStyle name="Comma 4 3 2 4 2" xfId="6741"/>
    <cellStyle name="Comma 4 3 2 5" xfId="6742"/>
    <cellStyle name="Comma 4 3 2 6" xfId="6743"/>
    <cellStyle name="Comma 4 3 2 7" xfId="6744"/>
    <cellStyle name="Comma 4 3 3" xfId="6745"/>
    <cellStyle name="Comma 4 3 3 2" xfId="6746"/>
    <cellStyle name="Comma 4 3 3 2 2" xfId="6747"/>
    <cellStyle name="Comma 4 3 3 2 2 2" xfId="6748"/>
    <cellStyle name="Comma 4 3 3 2 3" xfId="6749"/>
    <cellStyle name="Comma 4 3 3 3" xfId="6750"/>
    <cellStyle name="Comma 4 3 3 3 2" xfId="6751"/>
    <cellStyle name="Comma 4 3 3 4" xfId="6752"/>
    <cellStyle name="Comma 4 3 3 5" xfId="6753"/>
    <cellStyle name="Comma 4 3 4" xfId="6754"/>
    <cellStyle name="Comma 4 3 4 2" xfId="6755"/>
    <cellStyle name="Comma 4 3 4 2 2" xfId="6756"/>
    <cellStyle name="Comma 4 3 4 3" xfId="6757"/>
    <cellStyle name="Comma 4 3 5" xfId="6758"/>
    <cellStyle name="Comma 4 3 5 2" xfId="6759"/>
    <cellStyle name="Comma 4 3 6" xfId="6760"/>
    <cellStyle name="Comma 4 3 7" xfId="6761"/>
    <cellStyle name="Comma 4 3 8" xfId="6762"/>
    <cellStyle name="Comma 4 4" xfId="1347"/>
    <cellStyle name="Comma 4 4 2" xfId="6763"/>
    <cellStyle name="Comma 4 4 2 2" xfId="6764"/>
    <cellStyle name="Comma 4 4 2 2 2" xfId="6765"/>
    <cellStyle name="Comma 4 4 2 2 2 2" xfId="6766"/>
    <cellStyle name="Comma 4 4 2 2 3" xfId="6767"/>
    <cellStyle name="Comma 4 4 2 2 4" xfId="6768"/>
    <cellStyle name="Comma 4 4 2 3" xfId="6769"/>
    <cellStyle name="Comma 4 4 2 3 2" xfId="6770"/>
    <cellStyle name="Comma 4 4 2 4" xfId="6771"/>
    <cellStyle name="Comma 4 4 2 5" xfId="6772"/>
    <cellStyle name="Comma 4 4 3" xfId="6773"/>
    <cellStyle name="Comma 4 4 3 2" xfId="6774"/>
    <cellStyle name="Comma 4 4 3 2 2" xfId="6775"/>
    <cellStyle name="Comma 4 4 3 3" xfId="6776"/>
    <cellStyle name="Comma 4 4 3 4" xfId="6777"/>
    <cellStyle name="Comma 4 4 4" xfId="6778"/>
    <cellStyle name="Comma 4 4 4 2" xfId="6779"/>
    <cellStyle name="Comma 4 4 5" xfId="6780"/>
    <cellStyle name="Comma 4 4 6" xfId="6781"/>
    <cellStyle name="Comma 4 4 7" xfId="6782"/>
    <cellStyle name="Comma 4 5" xfId="1348"/>
    <cellStyle name="Comma 4 5 2" xfId="6783"/>
    <cellStyle name="Comma 4 5 2 2" xfId="6784"/>
    <cellStyle name="Comma 4 5 2 2 2" xfId="6785"/>
    <cellStyle name="Comma 4 5 2 3" xfId="6786"/>
    <cellStyle name="Comma 4 5 2 4" xfId="6787"/>
    <cellStyle name="Comma 4 5 3" xfId="6788"/>
    <cellStyle name="Comma 4 5 3 2" xfId="6789"/>
    <cellStyle name="Comma 4 5 4" xfId="6790"/>
    <cellStyle name="Comma 4 5 5" xfId="6791"/>
    <cellStyle name="Comma 4 6" xfId="6792"/>
    <cellStyle name="Comma 4 6 2" xfId="6793"/>
    <cellStyle name="Comma 4 6 2 2" xfId="6794"/>
    <cellStyle name="Comma 4 6 3" xfId="6795"/>
    <cellStyle name="Comma 4 6 4" xfId="6796"/>
    <cellStyle name="Comma 4 7" xfId="6797"/>
    <cellStyle name="Comma 4 7 2" xfId="6798"/>
    <cellStyle name="Comma 4 8" xfId="6799"/>
    <cellStyle name="Comma 4 9" xfId="6800"/>
    <cellStyle name="Comma 40" xfId="6801"/>
    <cellStyle name="Comma 41" xfId="6802"/>
    <cellStyle name="Comma 42" xfId="6803"/>
    <cellStyle name="Comma 43" xfId="6804"/>
    <cellStyle name="Comma 44" xfId="6805"/>
    <cellStyle name="Comma 45" xfId="6806"/>
    <cellStyle name="Comma 46" xfId="6807"/>
    <cellStyle name="Comma 47" xfId="6808"/>
    <cellStyle name="Comma 48" xfId="6809"/>
    <cellStyle name="Comma 49" xfId="6810"/>
    <cellStyle name="Comma 5" xfId="1349"/>
    <cellStyle name="Comma 5 2" xfId="6811"/>
    <cellStyle name="Comma 5 2 2" xfId="6812"/>
    <cellStyle name="Comma 5 2 3" xfId="6813"/>
    <cellStyle name="Comma 5 3" xfId="6814"/>
    <cellStyle name="Comma 50" xfId="6815"/>
    <cellStyle name="Comma 50 2" xfId="6816"/>
    <cellStyle name="Comma 51" xfId="6817"/>
    <cellStyle name="Comma 52" xfId="6818"/>
    <cellStyle name="Comma 53" xfId="6819"/>
    <cellStyle name="Comma 54" xfId="6820"/>
    <cellStyle name="Comma 55" xfId="6821"/>
    <cellStyle name="Comma 56" xfId="6822"/>
    <cellStyle name="Comma 57" xfId="6823"/>
    <cellStyle name="Comma 58" xfId="6824"/>
    <cellStyle name="Comma 59" xfId="6825"/>
    <cellStyle name="Comma 6" xfId="1350"/>
    <cellStyle name="Comma 6 10" xfId="6826"/>
    <cellStyle name="Comma 6 10 2" xfId="6827"/>
    <cellStyle name="Comma 6 11" xfId="6828"/>
    <cellStyle name="Comma 6 12" xfId="6829"/>
    <cellStyle name="Comma 6 13" xfId="6830"/>
    <cellStyle name="Comma 6 2" xfId="6831"/>
    <cellStyle name="Comma 6 2 2" xfId="6832"/>
    <cellStyle name="Comma 6 2 2 2" xfId="6833"/>
    <cellStyle name="Comma 6 2 3" xfId="6834"/>
    <cellStyle name="Comma 6 2 3 2" xfId="6835"/>
    <cellStyle name="Comma 6 2 3 3" xfId="6836"/>
    <cellStyle name="Comma 6 2 3 4" xfId="6837"/>
    <cellStyle name="Comma 6 2 4" xfId="6838"/>
    <cellStyle name="Comma 6 2 4 2" xfId="6839"/>
    <cellStyle name="Comma 6 2 5" xfId="6840"/>
    <cellStyle name="Comma 6 2 6" xfId="6841"/>
    <cellStyle name="Comma 6 2 7" xfId="6842"/>
    <cellStyle name="Comma 6 3" xfId="6843"/>
    <cellStyle name="Comma 6 3 2" xfId="6844"/>
    <cellStyle name="Comma 6 3 2 2" xfId="6845"/>
    <cellStyle name="Comma 6 3 2 2 2" xfId="6846"/>
    <cellStyle name="Comma 6 3 2 2 2 2" xfId="6847"/>
    <cellStyle name="Comma 6 3 2 2 2 3" xfId="6848"/>
    <cellStyle name="Comma 6 3 2 2 3" xfId="6849"/>
    <cellStyle name="Comma 6 3 2 2 3 2" xfId="6850"/>
    <cellStyle name="Comma 6 3 2 2 4" xfId="6851"/>
    <cellStyle name="Comma 6 3 2 2 5" xfId="6852"/>
    <cellStyle name="Comma 6 3 2 3" xfId="6853"/>
    <cellStyle name="Comma 6 3 2 3 2" xfId="6854"/>
    <cellStyle name="Comma 6 3 2 3 3" xfId="6855"/>
    <cellStyle name="Comma 6 3 2 4" xfId="6856"/>
    <cellStyle name="Comma 6 3 2 4 2" xfId="6857"/>
    <cellStyle name="Comma 6 3 2 5" xfId="6858"/>
    <cellStyle name="Comma 6 3 2 6" xfId="6859"/>
    <cellStyle name="Comma 6 3 3" xfId="6860"/>
    <cellStyle name="Comma 6 3 3 2" xfId="6861"/>
    <cellStyle name="Comma 6 3 3 2 2" xfId="6862"/>
    <cellStyle name="Comma 6 3 3 2 2 2" xfId="6863"/>
    <cellStyle name="Comma 6 3 3 2 3" xfId="6864"/>
    <cellStyle name="Comma 6 3 3 2 4" xfId="6865"/>
    <cellStyle name="Comma 6 3 3 2 5" xfId="6866"/>
    <cellStyle name="Comma 6 3 3 3" xfId="6867"/>
    <cellStyle name="Comma 6 3 3 3 2" xfId="6868"/>
    <cellStyle name="Comma 6 3 3 4" xfId="6869"/>
    <cellStyle name="Comma 6 3 3 5" xfId="6870"/>
    <cellStyle name="Comma 6 3 3 6" xfId="6871"/>
    <cellStyle name="Comma 6 3 4" xfId="6872"/>
    <cellStyle name="Comma 6 3 4 2" xfId="6873"/>
    <cellStyle name="Comma 6 3 4 2 2" xfId="6874"/>
    <cellStyle name="Comma 6 3 4 3" xfId="6875"/>
    <cellStyle name="Comma 6 3 4 4" xfId="6876"/>
    <cellStyle name="Comma 6 3 4 5" xfId="6877"/>
    <cellStyle name="Comma 6 3 5" xfId="6878"/>
    <cellStyle name="Comma 6 3 5 2" xfId="6879"/>
    <cellStyle name="Comma 6 3 5 2 2" xfId="6880"/>
    <cellStyle name="Comma 6 3 5 3" xfId="6881"/>
    <cellStyle name="Comma 6 3 5 4" xfId="6882"/>
    <cellStyle name="Comma 6 3 5 5" xfId="6883"/>
    <cellStyle name="Comma 6 3 6" xfId="6884"/>
    <cellStyle name="Comma 6 3 6 2" xfId="6885"/>
    <cellStyle name="Comma 6 3 6 3" xfId="6886"/>
    <cellStyle name="Comma 6 3 7" xfId="6887"/>
    <cellStyle name="Comma 6 3 8" xfId="6888"/>
    <cellStyle name="Comma 6 3 9" xfId="6889"/>
    <cellStyle name="Comma 6 4" xfId="6890"/>
    <cellStyle name="Comma 6 4 2" xfId="6891"/>
    <cellStyle name="Comma 6 4 2 2" xfId="6892"/>
    <cellStyle name="Comma 6 4 2 2 2" xfId="6893"/>
    <cellStyle name="Comma 6 4 2 2 3" xfId="6894"/>
    <cellStyle name="Comma 6 4 2 3" xfId="6895"/>
    <cellStyle name="Comma 6 4 2 3 2" xfId="6896"/>
    <cellStyle name="Comma 6 4 2 4" xfId="6897"/>
    <cellStyle name="Comma 6 4 2 5" xfId="6898"/>
    <cellStyle name="Comma 6 4 3" xfId="6899"/>
    <cellStyle name="Comma 6 4 3 2" xfId="6900"/>
    <cellStyle name="Comma 6 4 3 3" xfId="6901"/>
    <cellStyle name="Comma 6 4 4" xfId="6902"/>
    <cellStyle name="Comma 6 4 4 2" xfId="6903"/>
    <cellStyle name="Comma 6 4 5" xfId="6904"/>
    <cellStyle name="Comma 6 4 6" xfId="6905"/>
    <cellStyle name="Comma 6 5" xfId="6906"/>
    <cellStyle name="Comma 6 5 2" xfId="6907"/>
    <cellStyle name="Comma 6 5 2 2" xfId="6908"/>
    <cellStyle name="Comma 6 5 2 2 2" xfId="6909"/>
    <cellStyle name="Comma 6 5 2 3" xfId="6910"/>
    <cellStyle name="Comma 6 5 2 4" xfId="6911"/>
    <cellStyle name="Comma 6 5 2 5" xfId="6912"/>
    <cellStyle name="Comma 6 5 3" xfId="6913"/>
    <cellStyle name="Comma 6 5 3 2" xfId="6914"/>
    <cellStyle name="Comma 6 5 4" xfId="6915"/>
    <cellStyle name="Comma 6 5 5" xfId="6916"/>
    <cellStyle name="Comma 6 5 6" xfId="6917"/>
    <cellStyle name="Comma 6 6" xfId="6918"/>
    <cellStyle name="Comma 6 6 2" xfId="6919"/>
    <cellStyle name="Comma 6 6 2 2" xfId="6920"/>
    <cellStyle name="Comma 6 6 3" xfId="6921"/>
    <cellStyle name="Comma 6 6 4" xfId="6922"/>
    <cellStyle name="Comma 6 6 5" xfId="6923"/>
    <cellStyle name="Comma 6 7" xfId="6924"/>
    <cellStyle name="Comma 6 7 2" xfId="6925"/>
    <cellStyle name="Comma 6 7 2 2" xfId="6926"/>
    <cellStyle name="Comma 6 7 3" xfId="6927"/>
    <cellStyle name="Comma 6 7 4" xfId="6928"/>
    <cellStyle name="Comma 6 7 5" xfId="6929"/>
    <cellStyle name="Comma 6 8" xfId="6930"/>
    <cellStyle name="Comma 6 8 2" xfId="6931"/>
    <cellStyle name="Comma 6 8 2 2" xfId="6932"/>
    <cellStyle name="Comma 6 8 3" xfId="6933"/>
    <cellStyle name="Comma 6 8 4" xfId="6934"/>
    <cellStyle name="Comma 6 8 5" xfId="6935"/>
    <cellStyle name="Comma 6 9" xfId="6936"/>
    <cellStyle name="Comma 6 9 2" xfId="6937"/>
    <cellStyle name="Comma 6 9 3" xfId="6938"/>
    <cellStyle name="Comma 60" xfId="6939"/>
    <cellStyle name="Comma 61" xfId="6940"/>
    <cellStyle name="Comma 62" xfId="6941"/>
    <cellStyle name="Comma 62 2" xfId="6942"/>
    <cellStyle name="Comma 62 2 2" xfId="6943"/>
    <cellStyle name="Comma 62 3" xfId="6944"/>
    <cellStyle name="Comma 63" xfId="6945"/>
    <cellStyle name="Comma 63 2" xfId="6946"/>
    <cellStyle name="Comma 63 2 2" xfId="6947"/>
    <cellStyle name="Comma 63 3" xfId="6948"/>
    <cellStyle name="Comma 64" xfId="6949"/>
    <cellStyle name="Comma 64 2" xfId="6950"/>
    <cellStyle name="Comma 64 2 2" xfId="6951"/>
    <cellStyle name="Comma 64 3" xfId="6952"/>
    <cellStyle name="Comma 65" xfId="6953"/>
    <cellStyle name="Comma 65 2" xfId="6954"/>
    <cellStyle name="Comma 66" xfId="6955"/>
    <cellStyle name="Comma 66 2" xfId="6956"/>
    <cellStyle name="Comma 67" xfId="6957"/>
    <cellStyle name="Comma 68" xfId="6958"/>
    <cellStyle name="Comma 69" xfId="6959"/>
    <cellStyle name="Comma 7" xfId="1351"/>
    <cellStyle name="Comma 7 2" xfId="6960"/>
    <cellStyle name="Comma 7 2 2" xfId="6961"/>
    <cellStyle name="Comma 7 2 2 2" xfId="6962"/>
    <cellStyle name="Comma 7 2 2 2 2" xfId="6963"/>
    <cellStyle name="Comma 7 2 2 2 2 2" xfId="6964"/>
    <cellStyle name="Comma 7 2 2 2 3" xfId="6965"/>
    <cellStyle name="Comma 7 2 2 2 4" xfId="6966"/>
    <cellStyle name="Comma 7 2 2 2 5" xfId="6967"/>
    <cellStyle name="Comma 7 2 2 3" xfId="6968"/>
    <cellStyle name="Comma 7 2 2 3 2" xfId="6969"/>
    <cellStyle name="Comma 7 2 2 4" xfId="6970"/>
    <cellStyle name="Comma 7 2 2 4 2" xfId="6971"/>
    <cellStyle name="Comma 7 2 2 5" xfId="6972"/>
    <cellStyle name="Comma 7 2 2 6" xfId="6973"/>
    <cellStyle name="Comma 7 2 3" xfId="6974"/>
    <cellStyle name="Comma 7 2 3 2" xfId="6975"/>
    <cellStyle name="Comma 7 2 3 2 2" xfId="6976"/>
    <cellStyle name="Comma 7 2 3 3" xfId="6977"/>
    <cellStyle name="Comma 7 2 3 4" xfId="6978"/>
    <cellStyle name="Comma 7 2 3 5" xfId="6979"/>
    <cellStyle name="Comma 7 2 4" xfId="6980"/>
    <cellStyle name="Comma 7 2 4 2" xfId="6981"/>
    <cellStyle name="Comma 7 2 5" xfId="6982"/>
    <cellStyle name="Comma 7 2 5 2" xfId="6983"/>
    <cellStyle name="Comma 7 2 6" xfId="6984"/>
    <cellStyle name="Comma 7 2 7" xfId="6985"/>
    <cellStyle name="Comma 7 3" xfId="6986"/>
    <cellStyle name="Comma 7 3 2" xfId="6987"/>
    <cellStyle name="Comma 7 3 2 2" xfId="6988"/>
    <cellStyle name="Comma 7 3 2 2 2" xfId="6989"/>
    <cellStyle name="Comma 7 3 2 3" xfId="6990"/>
    <cellStyle name="Comma 7 3 2 4" xfId="6991"/>
    <cellStyle name="Comma 7 3 3" xfId="6992"/>
    <cellStyle name="Comma 7 3 3 2" xfId="6993"/>
    <cellStyle name="Comma 7 3 4" xfId="6994"/>
    <cellStyle name="Comma 7 3 5" xfId="6995"/>
    <cellStyle name="Comma 7 3 6" xfId="6996"/>
    <cellStyle name="Comma 7 4" xfId="6997"/>
    <cellStyle name="Comma 7 4 2" xfId="6998"/>
    <cellStyle name="Comma 7 4 2 2" xfId="6999"/>
    <cellStyle name="Comma 7 4 2 2 2" xfId="7000"/>
    <cellStyle name="Comma 7 4 2 3" xfId="7001"/>
    <cellStyle name="Comma 7 4 2 4" xfId="7002"/>
    <cellStyle name="Comma 7 4 3" xfId="7003"/>
    <cellStyle name="Comma 7 4 3 2" xfId="7004"/>
    <cellStyle name="Comma 7 4 4" xfId="7005"/>
    <cellStyle name="Comma 7 4 5" xfId="7006"/>
    <cellStyle name="Comma 7 5" xfId="7007"/>
    <cellStyle name="Comma 7 5 2" xfId="7008"/>
    <cellStyle name="Comma 7 5 2 2" xfId="7009"/>
    <cellStyle name="Comma 7 5 2 2 2" xfId="7010"/>
    <cellStyle name="Comma 7 5 2 3" xfId="7011"/>
    <cellStyle name="Comma 7 5 2 4" xfId="7012"/>
    <cellStyle name="Comma 7 5 3" xfId="7013"/>
    <cellStyle name="Comma 7 5 3 2" xfId="7014"/>
    <cellStyle name="Comma 7 5 4" xfId="7015"/>
    <cellStyle name="Comma 7 5 5" xfId="7016"/>
    <cellStyle name="Comma 7 6" xfId="7017"/>
    <cellStyle name="Comma 7 6 2" xfId="7018"/>
    <cellStyle name="Comma 7 6 2 2" xfId="7019"/>
    <cellStyle name="Comma 7 6 2 2 2" xfId="7020"/>
    <cellStyle name="Comma 7 6 2 3" xfId="7021"/>
    <cellStyle name="Comma 7 6 2 4" xfId="7022"/>
    <cellStyle name="Comma 7 6 3" xfId="7023"/>
    <cellStyle name="Comma 7 6 3 2" xfId="7024"/>
    <cellStyle name="Comma 7 6 4" xfId="7025"/>
    <cellStyle name="Comma 7 6 5" xfId="7026"/>
    <cellStyle name="Comma 7 7" xfId="7027"/>
    <cellStyle name="Comma 7 7 2" xfId="7028"/>
    <cellStyle name="Comma 7 7 2 2" xfId="7029"/>
    <cellStyle name="Comma 7 7 3" xfId="7030"/>
    <cellStyle name="Comma 7 7 4" xfId="7031"/>
    <cellStyle name="Comma 7 8" xfId="7032"/>
    <cellStyle name="Comma 70" xfId="7033"/>
    <cellStyle name="Comma 71" xfId="7034"/>
    <cellStyle name="Comma 71 2" xfId="7035"/>
    <cellStyle name="Comma 72" xfId="7036"/>
    <cellStyle name="Comma 73" xfId="7037"/>
    <cellStyle name="Comma 73 2" xfId="7038"/>
    <cellStyle name="Comma 73 3" xfId="7039"/>
    <cellStyle name="Comma 74" xfId="7040"/>
    <cellStyle name="Comma 74 2" xfId="7041"/>
    <cellStyle name="Comma 74 3" xfId="7042"/>
    <cellStyle name="Comma 75" xfId="7043"/>
    <cellStyle name="Comma 76" xfId="7044"/>
    <cellStyle name="Comma 77" xfId="7045"/>
    <cellStyle name="Comma 78" xfId="7046"/>
    <cellStyle name="Comma 79" xfId="7047"/>
    <cellStyle name="Comma 8" xfId="1352"/>
    <cellStyle name="Comma 8 2" xfId="7048"/>
    <cellStyle name="Comma 8 2 2" xfId="7049"/>
    <cellStyle name="Comma 8 2 2 2" xfId="7050"/>
    <cellStyle name="Comma 8 2 2 2 2" xfId="7051"/>
    <cellStyle name="Comma 8 2 2 3" xfId="7052"/>
    <cellStyle name="Comma 8 2 2 3 2" xfId="7053"/>
    <cellStyle name="Comma 8 2 2 4" xfId="7054"/>
    <cellStyle name="Comma 8 2 2 5" xfId="7055"/>
    <cellStyle name="Comma 8 2 3" xfId="7056"/>
    <cellStyle name="Comma 8 2 3 2" xfId="7057"/>
    <cellStyle name="Comma 8 2 3 3" xfId="7058"/>
    <cellStyle name="Comma 8 2 3 4" xfId="7059"/>
    <cellStyle name="Comma 8 2 3 5" xfId="7060"/>
    <cellStyle name="Comma 8 2 4" xfId="7061"/>
    <cellStyle name="Comma 8 2 4 2" xfId="7062"/>
    <cellStyle name="Comma 8 2 5" xfId="7063"/>
    <cellStyle name="Comma 8 2 6" xfId="7064"/>
    <cellStyle name="Comma 8 2 7" xfId="7065"/>
    <cellStyle name="Comma 8 2 8" xfId="7066"/>
    <cellStyle name="Comma 8 3" xfId="7067"/>
    <cellStyle name="Comma 8 3 2" xfId="7068"/>
    <cellStyle name="Comma 8 3 2 2" xfId="7069"/>
    <cellStyle name="Comma 8 3 3" xfId="7070"/>
    <cellStyle name="Comma 8 3 3 2" xfId="7071"/>
    <cellStyle name="Comma 8 3 4" xfId="7072"/>
    <cellStyle name="Comma 8 3 5" xfId="7073"/>
    <cellStyle name="Comma 8 4" xfId="7074"/>
    <cellStyle name="Comma 8 4 2" xfId="7075"/>
    <cellStyle name="Comma 8 4 3" xfId="7076"/>
    <cellStyle name="Comma 8 4 3 2" xfId="7077"/>
    <cellStyle name="Comma 8 4 4" xfId="7078"/>
    <cellStyle name="Comma 8 4 5" xfId="7079"/>
    <cellStyle name="Comma 8 5" xfId="7080"/>
    <cellStyle name="Comma 8 5 2" xfId="7081"/>
    <cellStyle name="Comma 8 6" xfId="7082"/>
    <cellStyle name="Comma 8 7" xfId="7083"/>
    <cellStyle name="Comma 8 8" xfId="7084"/>
    <cellStyle name="Comma 8 9" xfId="7085"/>
    <cellStyle name="Comma 80" xfId="7086"/>
    <cellStyle name="Comma 81" xfId="7087"/>
    <cellStyle name="Comma 82" xfId="7088"/>
    <cellStyle name="Comma 83" xfId="7089"/>
    <cellStyle name="Comma 84" xfId="7090"/>
    <cellStyle name="Comma 85" xfId="7091"/>
    <cellStyle name="Comma 86" xfId="7092"/>
    <cellStyle name="Comma 87" xfId="7093"/>
    <cellStyle name="Comma 9" xfId="1353"/>
    <cellStyle name="Comma 9 2" xfId="7094"/>
    <cellStyle name="Comma 9 2 2" xfId="7095"/>
    <cellStyle name="Comma 9 2 2 2" xfId="7096"/>
    <cellStyle name="Comma 9 2 2 2 2" xfId="7097"/>
    <cellStyle name="Comma 9 2 2 2 2 2" xfId="7098"/>
    <cellStyle name="Comma 9 2 2 2 2 2 2" xfId="7099"/>
    <cellStyle name="Comma 9 2 2 2 2 3" xfId="7100"/>
    <cellStyle name="Comma 9 2 2 2 3" xfId="7101"/>
    <cellStyle name="Comma 9 2 2 2 3 2" xfId="7102"/>
    <cellStyle name="Comma 9 2 2 2 4" xfId="7103"/>
    <cellStyle name="Comma 9 2 2 3" xfId="7104"/>
    <cellStyle name="Comma 9 2 2 3 2" xfId="7105"/>
    <cellStyle name="Comma 9 2 2 3 2 2" xfId="7106"/>
    <cellStyle name="Comma 9 2 2 3 3" xfId="7107"/>
    <cellStyle name="Comma 9 2 2 4" xfId="7108"/>
    <cellStyle name="Comma 9 2 2 4 2" xfId="7109"/>
    <cellStyle name="Comma 9 2 2 5" xfId="7110"/>
    <cellStyle name="Comma 9 2 2 6" xfId="7111"/>
    <cellStyle name="Comma 9 2 3" xfId="7112"/>
    <cellStyle name="Comma 9 2 3 2" xfId="7113"/>
    <cellStyle name="Comma 9 2 3 2 2" xfId="7114"/>
    <cellStyle name="Comma 9 2 3 2 2 2" xfId="7115"/>
    <cellStyle name="Comma 9 2 3 2 3" xfId="7116"/>
    <cellStyle name="Comma 9 2 3 3" xfId="7117"/>
    <cellStyle name="Comma 9 2 3 3 2" xfId="7118"/>
    <cellStyle name="Comma 9 2 3 4" xfId="7119"/>
    <cellStyle name="Comma 9 2 4" xfId="7120"/>
    <cellStyle name="Comma 9 2 4 2" xfId="7121"/>
    <cellStyle name="Comma 9 2 4 2 2" xfId="7122"/>
    <cellStyle name="Comma 9 2 4 3" xfId="7123"/>
    <cellStyle name="Comma 9 2 5" xfId="7124"/>
    <cellStyle name="Comma 9 2 5 2" xfId="7125"/>
    <cellStyle name="Comma 9 2 6" xfId="7126"/>
    <cellStyle name="Comma 9 2 7" xfId="7127"/>
    <cellStyle name="Comma 9 3" xfId="7128"/>
    <cellStyle name="Comma 9 3 2" xfId="7129"/>
    <cellStyle name="Comma 9 3 2 2" xfId="7130"/>
    <cellStyle name="Comma 9 3 2 2 2" xfId="7131"/>
    <cellStyle name="Comma 9 3 2 2 2 2" xfId="7132"/>
    <cellStyle name="Comma 9 3 2 2 3" xfId="7133"/>
    <cellStyle name="Comma 9 3 2 3" xfId="7134"/>
    <cellStyle name="Comma 9 3 2 3 2" xfId="7135"/>
    <cellStyle name="Comma 9 3 2 4" xfId="7136"/>
    <cellStyle name="Comma 9 3 3" xfId="7137"/>
    <cellStyle name="Comma 9 3 3 2" xfId="7138"/>
    <cellStyle name="Comma 9 3 3 2 2" xfId="7139"/>
    <cellStyle name="Comma 9 3 3 3" xfId="7140"/>
    <cellStyle name="Comma 9 3 4" xfId="7141"/>
    <cellStyle name="Comma 9 3 4 2" xfId="7142"/>
    <cellStyle name="Comma 9 3 5" xfId="7143"/>
    <cellStyle name="Comma 9 3 6" xfId="7144"/>
    <cellStyle name="Comma 9 4" xfId="7145"/>
    <cellStyle name="Comma 9 4 2" xfId="7146"/>
    <cellStyle name="Comma 9 4 2 2" xfId="7147"/>
    <cellStyle name="Comma 9 4 2 2 2" xfId="7148"/>
    <cellStyle name="Comma 9 4 2 3" xfId="7149"/>
    <cellStyle name="Comma 9 4 3" xfId="7150"/>
    <cellStyle name="Comma 9 4 3 2" xfId="7151"/>
    <cellStyle name="Comma 9 4 4" xfId="7152"/>
    <cellStyle name="Comma 9 5" xfId="7153"/>
    <cellStyle name="Comma 9 5 2" xfId="7154"/>
    <cellStyle name="Comma 9 5 2 2" xfId="7155"/>
    <cellStyle name="Comma 9 5 3" xfId="7156"/>
    <cellStyle name="Comma 9 6" xfId="7157"/>
    <cellStyle name="Comma 9 6 2" xfId="7158"/>
    <cellStyle name="Comma 9 7" xfId="7159"/>
    <cellStyle name="Comma 9 8" xfId="7160"/>
    <cellStyle name="Comma 9 9" xfId="7161"/>
    <cellStyle name="Comma0" xfId="1354"/>
    <cellStyle name="Comma0 2" xfId="7162"/>
    <cellStyle name="Comma0 2 2" xfId="7163"/>
    <cellStyle name="Comma0 2 2 2" xfId="7164"/>
    <cellStyle name="Comma0 2 3" xfId="7165"/>
    <cellStyle name="Comma0 2 4" xfId="7166"/>
    <cellStyle name="Comma0 3" xfId="7167"/>
    <cellStyle name="Comma0 3 2" xfId="7168"/>
    <cellStyle name="Comma0 3 2 2" xfId="7169"/>
    <cellStyle name="Comma0 3 3" xfId="7170"/>
    <cellStyle name="Comma0 3 4" xfId="7171"/>
    <cellStyle name="Comma0 4" xfId="7172"/>
    <cellStyle name="Comma0_SCH11 Not Done" xfId="7173"/>
    <cellStyle name="Currency" xfId="2" builtinId="4"/>
    <cellStyle name="Currency [0] 2" xfId="7174"/>
    <cellStyle name="Currency [0] 2 2" xfId="7175"/>
    <cellStyle name="Currency [0] 2 2 2" xfId="7176"/>
    <cellStyle name="Currency [0] 2 2 2 2" xfId="7177"/>
    <cellStyle name="Currency [0] 2 2 3" xfId="7178"/>
    <cellStyle name="Currency [0] 2 2 4" xfId="7179"/>
    <cellStyle name="Currency [0] 2 3" xfId="7180"/>
    <cellStyle name="Currency [0] 2 3 2" xfId="7181"/>
    <cellStyle name="Currency [0] 2 4" xfId="7182"/>
    <cellStyle name="Currency [0] 2 4 2" xfId="7183"/>
    <cellStyle name="Currency [0] 2 5" xfId="7184"/>
    <cellStyle name="Currency [0] 2 6" xfId="7185"/>
    <cellStyle name="Currency [0] 3" xfId="7186"/>
    <cellStyle name="Currency [0] 3 2" xfId="7187"/>
    <cellStyle name="Currency [0] 3 2 2" xfId="7188"/>
    <cellStyle name="Currency [0] 3 3" xfId="7189"/>
    <cellStyle name="Currency [0] 3 4" xfId="7190"/>
    <cellStyle name="Currency [0] 4" xfId="7191"/>
    <cellStyle name="Currency [0] 4 2" xfId="7192"/>
    <cellStyle name="Currency [0] 5" xfId="7193"/>
    <cellStyle name="Currency [0] 5 2" xfId="7194"/>
    <cellStyle name="Currency 10" xfId="7195"/>
    <cellStyle name="Currency 10 2" xfId="7196"/>
    <cellStyle name="Currency 10 2 2" xfId="7197"/>
    <cellStyle name="Currency 10 2 3" xfId="7198"/>
    <cellStyle name="Currency 10 3" xfId="7199"/>
    <cellStyle name="Currency 10 3 2" xfId="7200"/>
    <cellStyle name="Currency 10 4" xfId="7201"/>
    <cellStyle name="Currency 10 5" xfId="7202"/>
    <cellStyle name="Currency 10 6" xfId="7203"/>
    <cellStyle name="Currency 100" xfId="7204"/>
    <cellStyle name="Currency 101" xfId="7205"/>
    <cellStyle name="Currency 102" xfId="7206"/>
    <cellStyle name="Currency 103" xfId="7207"/>
    <cellStyle name="Currency 104" xfId="7208"/>
    <cellStyle name="Currency 105" xfId="7209"/>
    <cellStyle name="Currency 106" xfId="7210"/>
    <cellStyle name="Currency 107" xfId="7211"/>
    <cellStyle name="Currency 108" xfId="7212"/>
    <cellStyle name="Currency 109" xfId="7213"/>
    <cellStyle name="Currency 11" xfId="7214"/>
    <cellStyle name="Currency 11 2" xfId="7215"/>
    <cellStyle name="Currency 11 2 2" xfId="7216"/>
    <cellStyle name="Currency 11 3" xfId="7217"/>
    <cellStyle name="Currency 11 3 2" xfId="7218"/>
    <cellStyle name="Currency 11 4" xfId="7219"/>
    <cellStyle name="Currency 11 5" xfId="7220"/>
    <cellStyle name="Currency 110" xfId="7221"/>
    <cellStyle name="Currency 111" xfId="7222"/>
    <cellStyle name="Currency 112" xfId="7223"/>
    <cellStyle name="Currency 113" xfId="7224"/>
    <cellStyle name="Currency 114" xfId="7225"/>
    <cellStyle name="Currency 115" xfId="7226"/>
    <cellStyle name="Currency 116" xfId="7227"/>
    <cellStyle name="Currency 117" xfId="7228"/>
    <cellStyle name="Currency 118" xfId="7229"/>
    <cellStyle name="Currency 119" xfId="7230"/>
    <cellStyle name="Currency 12" xfId="7231"/>
    <cellStyle name="Currency 12 2" xfId="7232"/>
    <cellStyle name="Currency 12 2 2" xfId="7233"/>
    <cellStyle name="Currency 12 3" xfId="7234"/>
    <cellStyle name="Currency 12 3 2" xfId="7235"/>
    <cellStyle name="Currency 12 4" xfId="7236"/>
    <cellStyle name="Currency 12 5" xfId="7237"/>
    <cellStyle name="Currency 120" xfId="7238"/>
    <cellStyle name="Currency 120 2" xfId="7239"/>
    <cellStyle name="Currency 120 3" xfId="7240"/>
    <cellStyle name="Currency 121" xfId="7241"/>
    <cellStyle name="Currency 121 2" xfId="7242"/>
    <cellStyle name="Currency 121 3" xfId="7243"/>
    <cellStyle name="Currency 122" xfId="7244"/>
    <cellStyle name="Currency 122 2" xfId="7245"/>
    <cellStyle name="Currency 123" xfId="7246"/>
    <cellStyle name="Currency 123 2" xfId="7247"/>
    <cellStyle name="Currency 124" xfId="7248"/>
    <cellStyle name="Currency 124 2" xfId="7249"/>
    <cellStyle name="Currency 125" xfId="7250"/>
    <cellStyle name="Currency 126" xfId="7251"/>
    <cellStyle name="Currency 127" xfId="7252"/>
    <cellStyle name="Currency 128" xfId="7253"/>
    <cellStyle name="Currency 129" xfId="7254"/>
    <cellStyle name="Currency 13" xfId="7255"/>
    <cellStyle name="Currency 13 2" xfId="7256"/>
    <cellStyle name="Currency 13 2 2" xfId="7257"/>
    <cellStyle name="Currency 13 3" xfId="7258"/>
    <cellStyle name="Currency 13 3 2" xfId="7259"/>
    <cellStyle name="Currency 13 4" xfId="7260"/>
    <cellStyle name="Currency 13 5" xfId="7261"/>
    <cellStyle name="Currency 130" xfId="7262"/>
    <cellStyle name="Currency 131" xfId="7263"/>
    <cellStyle name="Currency 132" xfId="7264"/>
    <cellStyle name="Currency 133" xfId="7265"/>
    <cellStyle name="Currency 134" xfId="7266"/>
    <cellStyle name="Currency 135" xfId="7267"/>
    <cellStyle name="Currency 136" xfId="7268"/>
    <cellStyle name="Currency 136 2" xfId="7269"/>
    <cellStyle name="Currency 137" xfId="7270"/>
    <cellStyle name="Currency 138" xfId="7271"/>
    <cellStyle name="Currency 139" xfId="7272"/>
    <cellStyle name="Currency 14" xfId="7273"/>
    <cellStyle name="Currency 14 2" xfId="7274"/>
    <cellStyle name="Currency 14 2 2" xfId="7275"/>
    <cellStyle name="Currency 14 3" xfId="7276"/>
    <cellStyle name="Currency 14 3 2" xfId="7277"/>
    <cellStyle name="Currency 14 4" xfId="7278"/>
    <cellStyle name="Currency 14 5" xfId="7279"/>
    <cellStyle name="Currency 140" xfId="7280"/>
    <cellStyle name="Currency 141" xfId="7281"/>
    <cellStyle name="Currency 142" xfId="7282"/>
    <cellStyle name="Currency 143" xfId="7283"/>
    <cellStyle name="Currency 144" xfId="7284"/>
    <cellStyle name="Currency 145" xfId="7285"/>
    <cellStyle name="Currency 146" xfId="7286"/>
    <cellStyle name="Currency 147" xfId="7287"/>
    <cellStyle name="Currency 148" xfId="7288"/>
    <cellStyle name="Currency 149" xfId="7289"/>
    <cellStyle name="Currency 15" xfId="7290"/>
    <cellStyle name="Currency 15 2" xfId="7291"/>
    <cellStyle name="Currency 15 2 2" xfId="7292"/>
    <cellStyle name="Currency 15 3" xfId="7293"/>
    <cellStyle name="Currency 15 3 2" xfId="7294"/>
    <cellStyle name="Currency 15 4" xfId="7295"/>
    <cellStyle name="Currency 15 5" xfId="7296"/>
    <cellStyle name="Currency 150" xfId="7297"/>
    <cellStyle name="Currency 150 2" xfId="7298"/>
    <cellStyle name="Currency 151" xfId="7299"/>
    <cellStyle name="Currency 152" xfId="7300"/>
    <cellStyle name="Currency 153" xfId="7301"/>
    <cellStyle name="Currency 154" xfId="7302"/>
    <cellStyle name="Currency 155" xfId="7303"/>
    <cellStyle name="Currency 156" xfId="7304"/>
    <cellStyle name="Currency 157" xfId="7305"/>
    <cellStyle name="Currency 158" xfId="7306"/>
    <cellStyle name="Currency 159" xfId="7307"/>
    <cellStyle name="Currency 16" xfId="7308"/>
    <cellStyle name="Currency 16 2" xfId="7309"/>
    <cellStyle name="Currency 16 2 2" xfId="7310"/>
    <cellStyle name="Currency 16 3" xfId="7311"/>
    <cellStyle name="Currency 16 3 2" xfId="7312"/>
    <cellStyle name="Currency 16 4" xfId="7313"/>
    <cellStyle name="Currency 16 5" xfId="7314"/>
    <cellStyle name="Currency 160" xfId="7315"/>
    <cellStyle name="Currency 161" xfId="7316"/>
    <cellStyle name="Currency 162" xfId="7317"/>
    <cellStyle name="Currency 163" xfId="7318"/>
    <cellStyle name="Currency 17" xfId="7319"/>
    <cellStyle name="Currency 17 2" xfId="7320"/>
    <cellStyle name="Currency 17 2 2" xfId="7321"/>
    <cellStyle name="Currency 17 3" xfId="7322"/>
    <cellStyle name="Currency 17 3 2" xfId="7323"/>
    <cellStyle name="Currency 17 4" xfId="7324"/>
    <cellStyle name="Currency 17 5" xfId="7325"/>
    <cellStyle name="Currency 18" xfId="7326"/>
    <cellStyle name="Currency 18 2" xfId="7327"/>
    <cellStyle name="Currency 18 2 2" xfId="7328"/>
    <cellStyle name="Currency 18 3" xfId="7329"/>
    <cellStyle name="Currency 18 3 2" xfId="7330"/>
    <cellStyle name="Currency 18 4" xfId="7331"/>
    <cellStyle name="Currency 18 5" xfId="7332"/>
    <cellStyle name="Currency 19" xfId="7333"/>
    <cellStyle name="Currency 19 2" xfId="7334"/>
    <cellStyle name="Currency 19 2 2" xfId="7335"/>
    <cellStyle name="Currency 19 3" xfId="7336"/>
    <cellStyle name="Currency 19 3 2" xfId="7337"/>
    <cellStyle name="Currency 19 4" xfId="7338"/>
    <cellStyle name="Currency 19 5" xfId="7339"/>
    <cellStyle name="Currency 2" xfId="1355"/>
    <cellStyle name="Currency 2 2" xfId="1356"/>
    <cellStyle name="Currency 2 2 2" xfId="7340"/>
    <cellStyle name="Currency 2 2 2 2" xfId="7341"/>
    <cellStyle name="Currency 2 2 3" xfId="7342"/>
    <cellStyle name="Currency 2 3" xfId="1357"/>
    <cellStyle name="Currency 2 3 2" xfId="7343"/>
    <cellStyle name="Currency 2 3 2 2" xfId="7344"/>
    <cellStyle name="Currency 2 3 3" xfId="7345"/>
    <cellStyle name="Currency 2 4" xfId="1358"/>
    <cellStyle name="Currency 2 5" xfId="1359"/>
    <cellStyle name="Currency 20" xfId="7346"/>
    <cellStyle name="Currency 20 2" xfId="7347"/>
    <cellStyle name="Currency 20 2 2" xfId="7348"/>
    <cellStyle name="Currency 20 3" xfId="7349"/>
    <cellStyle name="Currency 20 3 2" xfId="7350"/>
    <cellStyle name="Currency 20 4" xfId="7351"/>
    <cellStyle name="Currency 20 5" xfId="7352"/>
    <cellStyle name="Currency 21" xfId="7353"/>
    <cellStyle name="Currency 21 2" xfId="7354"/>
    <cellStyle name="Currency 21 2 2" xfId="7355"/>
    <cellStyle name="Currency 21 3" xfId="7356"/>
    <cellStyle name="Currency 21 3 2" xfId="7357"/>
    <cellStyle name="Currency 21 4" xfId="7358"/>
    <cellStyle name="Currency 21 5" xfId="7359"/>
    <cellStyle name="Currency 22" xfId="7360"/>
    <cellStyle name="Currency 22 2" xfId="7361"/>
    <cellStyle name="Currency 22 2 2" xfId="7362"/>
    <cellStyle name="Currency 22 3" xfId="7363"/>
    <cellStyle name="Currency 22 3 2" xfId="7364"/>
    <cellStyle name="Currency 22 4" xfId="7365"/>
    <cellStyle name="Currency 22 5" xfId="7366"/>
    <cellStyle name="Currency 23" xfId="7367"/>
    <cellStyle name="Currency 23 2" xfId="7368"/>
    <cellStyle name="Currency 23 2 2" xfId="7369"/>
    <cellStyle name="Currency 23 3" xfId="7370"/>
    <cellStyle name="Currency 23 3 2" xfId="7371"/>
    <cellStyle name="Currency 23 4" xfId="7372"/>
    <cellStyle name="Currency 23 5" xfId="7373"/>
    <cellStyle name="Currency 24" xfId="7374"/>
    <cellStyle name="Currency 24 2" xfId="7375"/>
    <cellStyle name="Currency 24 2 2" xfId="7376"/>
    <cellStyle name="Currency 24 3" xfId="7377"/>
    <cellStyle name="Currency 24 3 2" xfId="7378"/>
    <cellStyle name="Currency 24 4" xfId="7379"/>
    <cellStyle name="Currency 24 5" xfId="7380"/>
    <cellStyle name="Currency 25" xfId="7381"/>
    <cellStyle name="Currency 25 2" xfId="7382"/>
    <cellStyle name="Currency 25 2 2" xfId="7383"/>
    <cellStyle name="Currency 25 3" xfId="7384"/>
    <cellStyle name="Currency 25 3 2" xfId="7385"/>
    <cellStyle name="Currency 25 4" xfId="7386"/>
    <cellStyle name="Currency 25 5" xfId="7387"/>
    <cellStyle name="Currency 26" xfId="7388"/>
    <cellStyle name="Currency 26 2" xfId="7389"/>
    <cellStyle name="Currency 26 2 2" xfId="7390"/>
    <cellStyle name="Currency 26 3" xfId="7391"/>
    <cellStyle name="Currency 26 3 2" xfId="7392"/>
    <cellStyle name="Currency 26 4" xfId="7393"/>
    <cellStyle name="Currency 26 5" xfId="7394"/>
    <cellStyle name="Currency 27" xfId="7395"/>
    <cellStyle name="Currency 27 2" xfId="7396"/>
    <cellStyle name="Currency 27 2 2" xfId="7397"/>
    <cellStyle name="Currency 27 2 2 2" xfId="7398"/>
    <cellStyle name="Currency 27 2 3" xfId="7399"/>
    <cellStyle name="Currency 27 2 4" xfId="7400"/>
    <cellStyle name="Currency 27 3" xfId="7401"/>
    <cellStyle name="Currency 27 3 2" xfId="7402"/>
    <cellStyle name="Currency 27 4" xfId="7403"/>
    <cellStyle name="Currency 27 4 2" xfId="7404"/>
    <cellStyle name="Currency 27 5" xfId="7405"/>
    <cellStyle name="Currency 27 6" xfId="7406"/>
    <cellStyle name="Currency 28" xfId="7407"/>
    <cellStyle name="Currency 28 2" xfId="7408"/>
    <cellStyle name="Currency 28 2 2" xfId="7409"/>
    <cellStyle name="Currency 28 3" xfId="7410"/>
    <cellStyle name="Currency 28 3 2" xfId="7411"/>
    <cellStyle name="Currency 28 4" xfId="7412"/>
    <cellStyle name="Currency 28 5" xfId="7413"/>
    <cellStyle name="Currency 29" xfId="7414"/>
    <cellStyle name="Currency 29 2" xfId="7415"/>
    <cellStyle name="Currency 29 2 2" xfId="7416"/>
    <cellStyle name="Currency 29 3" xfId="7417"/>
    <cellStyle name="Currency 29 3 2" xfId="7418"/>
    <cellStyle name="Currency 29 4" xfId="7419"/>
    <cellStyle name="Currency 29 5" xfId="7420"/>
    <cellStyle name="Currency 3" xfId="1360"/>
    <cellStyle name="Currency 3 2" xfId="1361"/>
    <cellStyle name="Currency 3 2 2" xfId="7421"/>
    <cellStyle name="Currency 3 2 2 2" xfId="7422"/>
    <cellStyle name="Currency 3 2 2 2 2" xfId="7423"/>
    <cellStyle name="Currency 3 2 2 3" xfId="7424"/>
    <cellStyle name="Currency 3 2 2 3 2" xfId="7425"/>
    <cellStyle name="Currency 3 2 2 4" xfId="7426"/>
    <cellStyle name="Currency 3 2 2 5" xfId="7427"/>
    <cellStyle name="Currency 3 2 2 6" xfId="7428"/>
    <cellStyle name="Currency 3 2 3" xfId="7429"/>
    <cellStyle name="Currency 3 2 3 2" xfId="7430"/>
    <cellStyle name="Currency 3 2 3 3" xfId="7431"/>
    <cellStyle name="Currency 3 2 3 4" xfId="7432"/>
    <cellStyle name="Currency 3 2 4" xfId="7433"/>
    <cellStyle name="Currency 3 2 5" xfId="7434"/>
    <cellStyle name="Currency 3 3" xfId="1362"/>
    <cellStyle name="Currency 3 3 2" xfId="7435"/>
    <cellStyle name="Currency 3 3 2 2" xfId="7436"/>
    <cellStyle name="Currency 3 3 3" xfId="7437"/>
    <cellStyle name="Currency 3 3 3 2" xfId="7438"/>
    <cellStyle name="Currency 3 3 4" xfId="7439"/>
    <cellStyle name="Currency 3 3 5" xfId="7440"/>
    <cellStyle name="Currency 3 4" xfId="1363"/>
    <cellStyle name="Currency 3 4 2" xfId="7441"/>
    <cellStyle name="Currency 3 4 3" xfId="7442"/>
    <cellStyle name="Currency 3 4 3 2" xfId="7443"/>
    <cellStyle name="Currency 3 4 4" xfId="7444"/>
    <cellStyle name="Currency 3 4 5" xfId="7445"/>
    <cellStyle name="Currency 3 5" xfId="1364"/>
    <cellStyle name="Currency 3 6" xfId="7446"/>
    <cellStyle name="Currency 30" xfId="7447"/>
    <cellStyle name="Currency 30 2" xfId="7448"/>
    <cellStyle name="Currency 30 2 2" xfId="7449"/>
    <cellStyle name="Currency 30 3" xfId="7450"/>
    <cellStyle name="Currency 30 3 2" xfId="7451"/>
    <cellStyle name="Currency 30 4" xfId="7452"/>
    <cellStyle name="Currency 30 5" xfId="7453"/>
    <cellStyle name="Currency 31" xfId="7454"/>
    <cellStyle name="Currency 31 2" xfId="7455"/>
    <cellStyle name="Currency 31 2 2" xfId="7456"/>
    <cellStyle name="Currency 31 3" xfId="7457"/>
    <cellStyle name="Currency 31 3 2" xfId="7458"/>
    <cellStyle name="Currency 31 4" xfId="7459"/>
    <cellStyle name="Currency 31 5" xfId="7460"/>
    <cellStyle name="Currency 32" xfId="7461"/>
    <cellStyle name="Currency 32 2" xfId="7462"/>
    <cellStyle name="Currency 32 2 2" xfId="7463"/>
    <cellStyle name="Currency 32 3" xfId="7464"/>
    <cellStyle name="Currency 32 3 2" xfId="7465"/>
    <cellStyle name="Currency 32 4" xfId="7466"/>
    <cellStyle name="Currency 32 5" xfId="7467"/>
    <cellStyle name="Currency 33" xfId="7468"/>
    <cellStyle name="Currency 34" xfId="7469"/>
    <cellStyle name="Currency 35" xfId="7470"/>
    <cellStyle name="Currency 36" xfId="7471"/>
    <cellStyle name="Currency 37" xfId="7472"/>
    <cellStyle name="Currency 38" xfId="7473"/>
    <cellStyle name="Currency 39" xfId="7474"/>
    <cellStyle name="Currency 4" xfId="1365"/>
    <cellStyle name="Currency 4 2" xfId="7475"/>
    <cellStyle name="Currency 4 2 2" xfId="7476"/>
    <cellStyle name="Currency 4 2 2 2" xfId="7477"/>
    <cellStyle name="Currency 4 2 2 2 2" xfId="7478"/>
    <cellStyle name="Currency 4 2 2 3" xfId="7479"/>
    <cellStyle name="Currency 4 2 2 4" xfId="7480"/>
    <cellStyle name="Currency 4 2 3" xfId="7481"/>
    <cellStyle name="Currency 4 2 3 2" xfId="7482"/>
    <cellStyle name="Currency 4 2 3 2 2" xfId="7483"/>
    <cellStyle name="Currency 4 2 3 3" xfId="7484"/>
    <cellStyle name="Currency 4 2 3 4" xfId="7485"/>
    <cellStyle name="Currency 4 2 4" xfId="7486"/>
    <cellStyle name="Currency 4 2 4 2" xfId="7487"/>
    <cellStyle name="Currency 4 2 4 3" xfId="7488"/>
    <cellStyle name="Currency 4 2 4 4" xfId="7489"/>
    <cellStyle name="Currency 4 2 5" xfId="7490"/>
    <cellStyle name="Currency 4 2 6" xfId="7491"/>
    <cellStyle name="Currency 4 3" xfId="7492"/>
    <cellStyle name="Currency 4 3 2" xfId="7493"/>
    <cellStyle name="Currency 4 3 2 2" xfId="7494"/>
    <cellStyle name="Currency 4 3 3" xfId="7495"/>
    <cellStyle name="Currency 4 3 4" xfId="7496"/>
    <cellStyle name="Currency 4 3 5" xfId="7497"/>
    <cellStyle name="Currency 4 4" xfId="7498"/>
    <cellStyle name="Currency 4 4 2" xfId="7499"/>
    <cellStyle name="Currency 4 4 2 2" xfId="7500"/>
    <cellStyle name="Currency 4 4 3" xfId="7501"/>
    <cellStyle name="Currency 4 4 4" xfId="7502"/>
    <cellStyle name="Currency 4 5" xfId="7503"/>
    <cellStyle name="Currency 40" xfId="7504"/>
    <cellStyle name="Currency 41" xfId="7505"/>
    <cellStyle name="Currency 42" xfId="7506"/>
    <cellStyle name="Currency 43" xfId="7507"/>
    <cellStyle name="Currency 44" xfId="7508"/>
    <cellStyle name="Currency 45" xfId="7509"/>
    <cellStyle name="Currency 46" xfId="7510"/>
    <cellStyle name="Currency 47" xfId="7511"/>
    <cellStyle name="Currency 48" xfId="7512"/>
    <cellStyle name="Currency 49" xfId="7513"/>
    <cellStyle name="Currency 5" xfId="2111"/>
    <cellStyle name="Currency 5 2" xfId="7514"/>
    <cellStyle name="Currency 5 2 2" xfId="7515"/>
    <cellStyle name="Currency 5 2 2 2" xfId="7516"/>
    <cellStyle name="Currency 5 2 2 3" xfId="7517"/>
    <cellStyle name="Currency 5 2 2 4" xfId="7518"/>
    <cellStyle name="Currency 5 2 3" xfId="7519"/>
    <cellStyle name="Currency 5 2 3 2" xfId="7520"/>
    <cellStyle name="Currency 5 2 4" xfId="7521"/>
    <cellStyle name="Currency 5 2 5" xfId="7522"/>
    <cellStyle name="Currency 5 2 6" xfId="7523"/>
    <cellStyle name="Currency 5 2 7" xfId="7524"/>
    <cellStyle name="Currency 5 3" xfId="7525"/>
    <cellStyle name="Currency 5 3 2" xfId="7526"/>
    <cellStyle name="Currency 5 3 3" xfId="7527"/>
    <cellStyle name="Currency 5 3 4" xfId="7528"/>
    <cellStyle name="Currency 5 4" xfId="7529"/>
    <cellStyle name="Currency 5 4 2" xfId="7530"/>
    <cellStyle name="Currency 5 5" xfId="7531"/>
    <cellStyle name="Currency 5 6" xfId="7532"/>
    <cellStyle name="Currency 5 7" xfId="7533"/>
    <cellStyle name="Currency 5 8" xfId="7534"/>
    <cellStyle name="Currency 50" xfId="7535"/>
    <cellStyle name="Currency 51" xfId="7536"/>
    <cellStyle name="Currency 52" xfId="7537"/>
    <cellStyle name="Currency 53" xfId="7538"/>
    <cellStyle name="Currency 54" xfId="7539"/>
    <cellStyle name="Currency 55" xfId="7540"/>
    <cellStyle name="Currency 56" xfId="7541"/>
    <cellStyle name="Currency 56 2" xfId="7542"/>
    <cellStyle name="Currency 57" xfId="7543"/>
    <cellStyle name="Currency 57 2" xfId="7544"/>
    <cellStyle name="Currency 58" xfId="7545"/>
    <cellStyle name="Currency 59" xfId="7546"/>
    <cellStyle name="Currency 6" xfId="7547"/>
    <cellStyle name="Currency 6 2" xfId="7548"/>
    <cellStyle name="Currency 6 2 2" xfId="7549"/>
    <cellStyle name="Currency 6 2 2 2" xfId="7550"/>
    <cellStyle name="Currency 6 2 2 2 2" xfId="7551"/>
    <cellStyle name="Currency 6 2 2 2 3" xfId="7552"/>
    <cellStyle name="Currency 6 2 2 3" xfId="7553"/>
    <cellStyle name="Currency 6 2 2 3 2" xfId="7554"/>
    <cellStyle name="Currency 6 2 2 4" xfId="7555"/>
    <cellStyle name="Currency 6 2 2 5" xfId="7556"/>
    <cellStyle name="Currency 6 2 2 6" xfId="7557"/>
    <cellStyle name="Currency 6 2 3" xfId="7558"/>
    <cellStyle name="Currency 6 2 3 2" xfId="7559"/>
    <cellStyle name="Currency 6 2 3 3" xfId="7560"/>
    <cellStyle name="Currency 6 2 4" xfId="7561"/>
    <cellStyle name="Currency 6 2 4 2" xfId="7562"/>
    <cellStyle name="Currency 6 2 5" xfId="7563"/>
    <cellStyle name="Currency 6 3" xfId="7564"/>
    <cellStyle name="Currency 6 3 2" xfId="7565"/>
    <cellStyle name="Currency 6 3 2 2" xfId="7566"/>
    <cellStyle name="Currency 6 3 2 2 2" xfId="7567"/>
    <cellStyle name="Currency 6 3 2 3" xfId="7568"/>
    <cellStyle name="Currency 6 3 2 4" xfId="7569"/>
    <cellStyle name="Currency 6 3 2 5" xfId="7570"/>
    <cellStyle name="Currency 6 3 3" xfId="7571"/>
    <cellStyle name="Currency 6 3 3 2" xfId="7572"/>
    <cellStyle name="Currency 6 3 4" xfId="7573"/>
    <cellStyle name="Currency 6 3 5" xfId="7574"/>
    <cellStyle name="Currency 6 3 6" xfId="7575"/>
    <cellStyle name="Currency 6 3 7" xfId="7576"/>
    <cellStyle name="Currency 6 4" xfId="7577"/>
    <cellStyle name="Currency 6 4 2" xfId="7578"/>
    <cellStyle name="Currency 6 4 2 2" xfId="7579"/>
    <cellStyle name="Currency 6 4 3" xfId="7580"/>
    <cellStyle name="Currency 6 4 4" xfId="7581"/>
    <cellStyle name="Currency 6 4 5" xfId="7582"/>
    <cellStyle name="Currency 6 5" xfId="7583"/>
    <cellStyle name="Currency 6 5 2" xfId="7584"/>
    <cellStyle name="Currency 6 5 2 2" xfId="7585"/>
    <cellStyle name="Currency 6 5 3" xfId="7586"/>
    <cellStyle name="Currency 6 5 4" xfId="7587"/>
    <cellStyle name="Currency 6 5 5" xfId="7588"/>
    <cellStyle name="Currency 6 6" xfId="7589"/>
    <cellStyle name="Currency 6 6 2" xfId="7590"/>
    <cellStyle name="Currency 6 6 2 2" xfId="7591"/>
    <cellStyle name="Currency 6 6 3" xfId="7592"/>
    <cellStyle name="Currency 6 6 4" xfId="7593"/>
    <cellStyle name="Currency 6 6 5" xfId="7594"/>
    <cellStyle name="Currency 6 7" xfId="7595"/>
    <cellStyle name="Currency 60" xfId="7596"/>
    <cellStyle name="Currency 61" xfId="7597"/>
    <cellStyle name="Currency 62" xfId="7598"/>
    <cellStyle name="Currency 62 2" xfId="7599"/>
    <cellStyle name="Currency 63" xfId="7600"/>
    <cellStyle name="Currency 64" xfId="7601"/>
    <cellStyle name="Currency 65" xfId="7602"/>
    <cellStyle name="Currency 66" xfId="7603"/>
    <cellStyle name="Currency 67" xfId="7604"/>
    <cellStyle name="Currency 68" xfId="7605"/>
    <cellStyle name="Currency 69" xfId="7606"/>
    <cellStyle name="Currency 7" xfId="7607"/>
    <cellStyle name="Currency 7 2" xfId="7608"/>
    <cellStyle name="Currency 7 2 2" xfId="7609"/>
    <cellStyle name="Currency 7 2 2 2" xfId="7610"/>
    <cellStyle name="Currency 7 2 3" xfId="7611"/>
    <cellStyle name="Currency 7 2 4" xfId="7612"/>
    <cellStyle name="Currency 7 3" xfId="7613"/>
    <cellStyle name="Currency 7 3 2" xfId="7614"/>
    <cellStyle name="Currency 7 3 3" xfId="7615"/>
    <cellStyle name="Currency 7 3 4" xfId="7616"/>
    <cellStyle name="Currency 7 4" xfId="7617"/>
    <cellStyle name="Currency 7 4 2" xfId="7618"/>
    <cellStyle name="Currency 7 5" xfId="7619"/>
    <cellStyle name="Currency 7 6" xfId="7620"/>
    <cellStyle name="Currency 7 7" xfId="7621"/>
    <cellStyle name="Currency 7 8" xfId="7622"/>
    <cellStyle name="Currency 70" xfId="7623"/>
    <cellStyle name="Currency 71" xfId="7624"/>
    <cellStyle name="Currency 72" xfId="7625"/>
    <cellStyle name="Currency 73" xfId="7626"/>
    <cellStyle name="Currency 74" xfId="7627"/>
    <cellStyle name="Currency 75" xfId="7628"/>
    <cellStyle name="Currency 76" xfId="7629"/>
    <cellStyle name="Currency 77" xfId="7630"/>
    <cellStyle name="Currency 78" xfId="7631"/>
    <cellStyle name="Currency 79" xfId="7632"/>
    <cellStyle name="Currency 8" xfId="7633"/>
    <cellStyle name="Currency 8 2" xfId="7634"/>
    <cellStyle name="Currency 8 2 2" xfId="7635"/>
    <cellStyle name="Currency 8 2 3" xfId="7636"/>
    <cellStyle name="Currency 8 2 3 2" xfId="7637"/>
    <cellStyle name="Currency 8 2 4" xfId="7638"/>
    <cellStyle name="Currency 8 2 5" xfId="7639"/>
    <cellStyle name="Currency 8 3" xfId="7640"/>
    <cellStyle name="Currency 8 3 2" xfId="7641"/>
    <cellStyle name="Currency 8 3 3" xfId="7642"/>
    <cellStyle name="Currency 8 4" xfId="7643"/>
    <cellStyle name="Currency 8 5" xfId="7644"/>
    <cellStyle name="Currency 8 6" xfId="7645"/>
    <cellStyle name="Currency 8 7" xfId="7646"/>
    <cellStyle name="Currency 80" xfId="7647"/>
    <cellStyle name="Currency 81" xfId="7648"/>
    <cellStyle name="Currency 82" xfId="7649"/>
    <cellStyle name="Currency 83" xfId="7650"/>
    <cellStyle name="Currency 84" xfId="7651"/>
    <cellStyle name="Currency 85" xfId="7652"/>
    <cellStyle name="Currency 86" xfId="7653"/>
    <cellStyle name="Currency 87" xfId="7654"/>
    <cellStyle name="Currency 88" xfId="7655"/>
    <cellStyle name="Currency 89" xfId="7656"/>
    <cellStyle name="Currency 9" xfId="7657"/>
    <cellStyle name="Currency 9 2" xfId="7658"/>
    <cellStyle name="Currency 9 2 2" xfId="7659"/>
    <cellStyle name="Currency 9 2 3" xfId="7660"/>
    <cellStyle name="Currency 9 3" xfId="7661"/>
    <cellStyle name="Currency 9 3 2" xfId="7662"/>
    <cellStyle name="Currency 9 4" xfId="7663"/>
    <cellStyle name="Currency 9 5" xfId="7664"/>
    <cellStyle name="Currency 9 6" xfId="7665"/>
    <cellStyle name="Currency 90" xfId="7666"/>
    <cellStyle name="Currency 91" xfId="7667"/>
    <cellStyle name="Currency 92" xfId="7668"/>
    <cellStyle name="Currency 93" xfId="7669"/>
    <cellStyle name="Currency 94" xfId="7670"/>
    <cellStyle name="Currency 95" xfId="7671"/>
    <cellStyle name="Currency 96" xfId="7672"/>
    <cellStyle name="Currency 97" xfId="7673"/>
    <cellStyle name="Currency 98" xfId="7674"/>
    <cellStyle name="Currency 99" xfId="7675"/>
    <cellStyle name="Currency0" xfId="1366"/>
    <cellStyle name="Currency0 2" xfId="7676"/>
    <cellStyle name="Currency0 2 2" xfId="7677"/>
    <cellStyle name="Currency0 2 3" xfId="7678"/>
    <cellStyle name="Currency0 3" xfId="7679"/>
    <cellStyle name="Currency0 3 2" xfId="7680"/>
    <cellStyle name="Currency0 3 3" xfId="7681"/>
    <cellStyle name="Custom - Style1" xfId="7682"/>
    <cellStyle name="Data   - Style2" xfId="7683"/>
    <cellStyle name="Date" xfId="1367"/>
    <cellStyle name="Date 2" xfId="7684"/>
    <cellStyle name="Date 2 2" xfId="7685"/>
    <cellStyle name="Date 2 3" xfId="7686"/>
    <cellStyle name="Date 3" xfId="7687"/>
    <cellStyle name="Date 3 2" xfId="7688"/>
    <cellStyle name="Date 3 3" xfId="7689"/>
    <cellStyle name="Eingabe" xfId="7690"/>
    <cellStyle name="Eingabe 2" xfId="7691"/>
    <cellStyle name="Euro" xfId="7692"/>
    <cellStyle name="Euro 2" xfId="7693"/>
    <cellStyle name="Euro 2 2" xfId="7694"/>
    <cellStyle name="Euro 2 2 2" xfId="7695"/>
    <cellStyle name="Euro 2 3" xfId="7696"/>
    <cellStyle name="Euro 3" xfId="7697"/>
    <cellStyle name="Euro 3 2" xfId="7698"/>
    <cellStyle name="Euro 3 3" xfId="7699"/>
    <cellStyle name="Explanatory Text 10" xfId="1368"/>
    <cellStyle name="Explanatory Text 11" xfId="1369"/>
    <cellStyle name="Explanatory Text 12" xfId="1370"/>
    <cellStyle name="Explanatory Text 13" xfId="1371"/>
    <cellStyle name="Explanatory Text 14" xfId="1372"/>
    <cellStyle name="Explanatory Text 15" xfId="1373"/>
    <cellStyle name="Explanatory Text 16" xfId="1374"/>
    <cellStyle name="Explanatory Text 17" xfId="1375"/>
    <cellStyle name="Explanatory Text 18" xfId="1376"/>
    <cellStyle name="Explanatory Text 19" xfId="1377"/>
    <cellStyle name="Explanatory Text 2" xfId="1378"/>
    <cellStyle name="Explanatory Text 2 2" xfId="1379"/>
    <cellStyle name="Explanatory Text 2 2 2" xfId="1380"/>
    <cellStyle name="Explanatory Text 2 2 2 2" xfId="1381"/>
    <cellStyle name="Explanatory Text 2 2 2 3" xfId="1382"/>
    <cellStyle name="Explanatory Text 2 2 2 4" xfId="1383"/>
    <cellStyle name="Explanatory Text 2 2 2 5" xfId="1384"/>
    <cellStyle name="Explanatory Text 2 2 3" xfId="1385"/>
    <cellStyle name="Explanatory Text 2 2 4" xfId="1386"/>
    <cellStyle name="Explanatory Text 2 2 5" xfId="1387"/>
    <cellStyle name="Explanatory Text 2 3" xfId="1388"/>
    <cellStyle name="Explanatory Text 2 4" xfId="1389"/>
    <cellStyle name="Explanatory Text 2 5" xfId="1390"/>
    <cellStyle name="Explanatory Text 2 6" xfId="1391"/>
    <cellStyle name="Explanatory Text 2 7" xfId="1392"/>
    <cellStyle name="Explanatory Text 2 8" xfId="1393"/>
    <cellStyle name="Explanatory Text 2 9" xfId="1394"/>
    <cellStyle name="Explanatory Text 20" xfId="1395"/>
    <cellStyle name="Explanatory Text 21" xfId="1396"/>
    <cellStyle name="Explanatory Text 22" xfId="1397"/>
    <cellStyle name="Explanatory Text 3" xfId="1398"/>
    <cellStyle name="Explanatory Text 3 2" xfId="7700"/>
    <cellStyle name="Explanatory Text 4" xfId="1399"/>
    <cellStyle name="Explanatory Text 5" xfId="1400"/>
    <cellStyle name="Explanatory Text 6" xfId="1401"/>
    <cellStyle name="Explanatory Text 7" xfId="1402"/>
    <cellStyle name="Explanatory Text 8" xfId="1403"/>
    <cellStyle name="Explanatory Text 9" xfId="1404"/>
    <cellStyle name="F2" xfId="1405"/>
    <cellStyle name="F2 2" xfId="1406"/>
    <cellStyle name="F2 2 2" xfId="7701"/>
    <cellStyle name="F2 3" xfId="1407"/>
    <cellStyle name="F2 3 2" xfId="7702"/>
    <cellStyle name="F2 4" xfId="1408"/>
    <cellStyle name="F2 5" xfId="1409"/>
    <cellStyle name="F2 6" xfId="1410"/>
    <cellStyle name="F2 7" xfId="1411"/>
    <cellStyle name="F2 8" xfId="7703"/>
    <cellStyle name="F2 9" xfId="7704"/>
    <cellStyle name="F2_Regenerated Revenues LGE Gas 2008-04 with Elec Gen-Seelye final version " xfId="7705"/>
    <cellStyle name="F3" xfId="1412"/>
    <cellStyle name="F3 2" xfId="1413"/>
    <cellStyle name="F3 2 2" xfId="7706"/>
    <cellStyle name="F3 3" xfId="1414"/>
    <cellStyle name="F3 3 2" xfId="7707"/>
    <cellStyle name="F3 4" xfId="1415"/>
    <cellStyle name="F3 5" xfId="1416"/>
    <cellStyle name="F3 6" xfId="1417"/>
    <cellStyle name="F3 7" xfId="1418"/>
    <cellStyle name="F3 8" xfId="7708"/>
    <cellStyle name="F3 9" xfId="7709"/>
    <cellStyle name="F3_Regenerated Revenues LGE Gas 2008-04 with Elec Gen-Seelye final version " xfId="7710"/>
    <cellStyle name="F4" xfId="1419"/>
    <cellStyle name="F4 2" xfId="1420"/>
    <cellStyle name="F4 2 2" xfId="7711"/>
    <cellStyle name="F4 3" xfId="1421"/>
    <cellStyle name="F4 3 2" xfId="7712"/>
    <cellStyle name="F4 4" xfId="1422"/>
    <cellStyle name="F4 5" xfId="1423"/>
    <cellStyle name="F4 6" xfId="1424"/>
    <cellStyle name="F4 7" xfId="1425"/>
    <cellStyle name="F4 8" xfId="7713"/>
    <cellStyle name="F4 9" xfId="7714"/>
    <cellStyle name="F4_Regenerated Revenues LGE Gas 2008-04 with Elec Gen-Seelye final version " xfId="7715"/>
    <cellStyle name="F5" xfId="1426"/>
    <cellStyle name="F5 2" xfId="1427"/>
    <cellStyle name="F5 2 2" xfId="7716"/>
    <cellStyle name="F5 3" xfId="1428"/>
    <cellStyle name="F5 3 2" xfId="7717"/>
    <cellStyle name="F5 4" xfId="1429"/>
    <cellStyle name="F5 5" xfId="1430"/>
    <cellStyle name="F5 6" xfId="1431"/>
    <cellStyle name="F5 7" xfId="1432"/>
    <cellStyle name="F5 8" xfId="7718"/>
    <cellStyle name="F5 9" xfId="7719"/>
    <cellStyle name="F5_Regenerated Revenues LGE Gas 2008-04 with Elec Gen-Seelye final version " xfId="7720"/>
    <cellStyle name="F6" xfId="1433"/>
    <cellStyle name="F6 10" xfId="7721"/>
    <cellStyle name="F6 10 2" xfId="7722"/>
    <cellStyle name="F6 11" xfId="7723"/>
    <cellStyle name="F6 2" xfId="1434"/>
    <cellStyle name="F6 2 2" xfId="7724"/>
    <cellStyle name="F6 2 2 2" xfId="7725"/>
    <cellStyle name="F6 3" xfId="1435"/>
    <cellStyle name="F6 3 2" xfId="7726"/>
    <cellStyle name="F6 4" xfId="1436"/>
    <cellStyle name="F6 5" xfId="1437"/>
    <cellStyle name="F6 6" xfId="1438"/>
    <cellStyle name="F6 7" xfId="1439"/>
    <cellStyle name="F6 8" xfId="7727"/>
    <cellStyle name="F6 9" xfId="7728"/>
    <cellStyle name="F6_Regenerated Revenues LGE Gas 2008-04 with Elec Gen-Seelye final version " xfId="7729"/>
    <cellStyle name="F7" xfId="1440"/>
    <cellStyle name="F7 2" xfId="1441"/>
    <cellStyle name="F7 2 2" xfId="7730"/>
    <cellStyle name="F7 3" xfId="1442"/>
    <cellStyle name="F7 3 2" xfId="7731"/>
    <cellStyle name="F7 4" xfId="1443"/>
    <cellStyle name="F7 5" xfId="1444"/>
    <cellStyle name="F7 6" xfId="1445"/>
    <cellStyle name="F7 7" xfId="1446"/>
    <cellStyle name="F7 8" xfId="7732"/>
    <cellStyle name="F7 9" xfId="7733"/>
    <cellStyle name="F7_Regenerated Revenues LGE Gas 2008-04 with Elec Gen-Seelye final version " xfId="7734"/>
    <cellStyle name="F8" xfId="1447"/>
    <cellStyle name="F8 2" xfId="1448"/>
    <cellStyle name="F8 2 2" xfId="7735"/>
    <cellStyle name="F8 3" xfId="1449"/>
    <cellStyle name="F8 3 2" xfId="7736"/>
    <cellStyle name="F8 4" xfId="1450"/>
    <cellStyle name="F8 5" xfId="1451"/>
    <cellStyle name="F8 6" xfId="1452"/>
    <cellStyle name="F8 7" xfId="1453"/>
    <cellStyle name="F8 8" xfId="7737"/>
    <cellStyle name="F8 9" xfId="7738"/>
    <cellStyle name="F8_Regenerated Revenues LGE Gas 2008-04 with Elec Gen-Seelye final version " xfId="7739"/>
    <cellStyle name="Fixed" xfId="1454"/>
    <cellStyle name="Fixed 2" xfId="7740"/>
    <cellStyle name="Fixed 2 2" xfId="7741"/>
    <cellStyle name="Fixed 2 3" xfId="7742"/>
    <cellStyle name="Fixed 3" xfId="7743"/>
    <cellStyle name="Fixed 3 2" xfId="7744"/>
    <cellStyle name="Fixed 3 3" xfId="7745"/>
    <cellStyle name="Good 10" xfId="1455"/>
    <cellStyle name="Good 11" xfId="1456"/>
    <cellStyle name="Good 12" xfId="1457"/>
    <cellStyle name="Good 13" xfId="1458"/>
    <cellStyle name="Good 14" xfId="1459"/>
    <cellStyle name="Good 15" xfId="1460"/>
    <cellStyle name="Good 16" xfId="1461"/>
    <cellStyle name="Good 17" xfId="1462"/>
    <cellStyle name="Good 17 2" xfId="7746"/>
    <cellStyle name="Good 18" xfId="1463"/>
    <cellStyle name="Good 19" xfId="1464"/>
    <cellStyle name="Good 2" xfId="1465"/>
    <cellStyle name="Good 2 2" xfId="1466"/>
    <cellStyle name="Good 2 2 2" xfId="1467"/>
    <cellStyle name="Good 2 2 2 2" xfId="1468"/>
    <cellStyle name="Good 2 2 2 3" xfId="1469"/>
    <cellStyle name="Good 2 2 2 4" xfId="1470"/>
    <cellStyle name="Good 2 2 2 5" xfId="1471"/>
    <cellStyle name="Good 2 2 3" xfId="1472"/>
    <cellStyle name="Good 2 2 4" xfId="1473"/>
    <cellStyle name="Good 2 2 5" xfId="1474"/>
    <cellStyle name="Good 2 3" xfId="1475"/>
    <cellStyle name="Good 2 4" xfId="1476"/>
    <cellStyle name="Good 2 5" xfId="1477"/>
    <cellStyle name="Good 2 6" xfId="1478"/>
    <cellStyle name="Good 2 7" xfId="1479"/>
    <cellStyle name="Good 2 8" xfId="1480"/>
    <cellStyle name="Good 2 9" xfId="1481"/>
    <cellStyle name="Good 20" xfId="1482"/>
    <cellStyle name="Good 21" xfId="1483"/>
    <cellStyle name="Good 22" xfId="1484"/>
    <cellStyle name="Good 3" xfId="1485"/>
    <cellStyle name="Good 3 2" xfId="7747"/>
    <cellStyle name="Good 4" xfId="1486"/>
    <cellStyle name="Good 5" xfId="1487"/>
    <cellStyle name="Good 6" xfId="1488"/>
    <cellStyle name="Good 7" xfId="1489"/>
    <cellStyle name="Good 8" xfId="1490"/>
    <cellStyle name="Good 9" xfId="1491"/>
    <cellStyle name="Heading 1 10" xfId="1492"/>
    <cellStyle name="Heading 1 11" xfId="1493"/>
    <cellStyle name="Heading 1 12" xfId="1494"/>
    <cellStyle name="Heading 1 13" xfId="1495"/>
    <cellStyle name="Heading 1 14" xfId="1496"/>
    <cellStyle name="Heading 1 15" xfId="1497"/>
    <cellStyle name="Heading 1 16" xfId="1498"/>
    <cellStyle name="Heading 1 17" xfId="1499"/>
    <cellStyle name="Heading 1 17 2" xfId="7748"/>
    <cellStyle name="Heading 1 17 3" xfId="7749"/>
    <cellStyle name="Heading 1 17 4" xfId="7750"/>
    <cellStyle name="Heading 1 18" xfId="1500"/>
    <cellStyle name="Heading 1 19" xfId="1501"/>
    <cellStyle name="Heading 1 2" xfId="1502"/>
    <cellStyle name="Heading 1 2 2" xfId="1503"/>
    <cellStyle name="Heading 1 2 2 2" xfId="1504"/>
    <cellStyle name="Heading 1 2 2 2 2" xfId="1505"/>
    <cellStyle name="Heading 1 2 2 2 3" xfId="1506"/>
    <cellStyle name="Heading 1 2 2 2 4" xfId="1507"/>
    <cellStyle name="Heading 1 2 2 2 5" xfId="1508"/>
    <cellStyle name="Heading 1 2 2 3" xfId="1509"/>
    <cellStyle name="Heading 1 2 2 4" xfId="1510"/>
    <cellStyle name="Heading 1 2 2 5" xfId="1511"/>
    <cellStyle name="Heading 1 2 3" xfId="1512"/>
    <cellStyle name="Heading 1 2 4" xfId="1513"/>
    <cellStyle name="Heading 1 2 5" xfId="1514"/>
    <cellStyle name="Heading 1 2 6" xfId="1515"/>
    <cellStyle name="Heading 1 2 7" xfId="1516"/>
    <cellStyle name="Heading 1 2 8" xfId="1517"/>
    <cellStyle name="Heading 1 2 9" xfId="1518"/>
    <cellStyle name="Heading 1 20" xfId="1519"/>
    <cellStyle name="Heading 1 21" xfId="1520"/>
    <cellStyle name="Heading 1 22" xfId="1521"/>
    <cellStyle name="Heading 1 23" xfId="1522"/>
    <cellStyle name="Heading 1 24" xfId="1523"/>
    <cellStyle name="Heading 1 3" xfId="1524"/>
    <cellStyle name="Heading 1 3 2" xfId="7751"/>
    <cellStyle name="Heading 1 3 2 2" xfId="7752"/>
    <cellStyle name="Heading 1 4" xfId="1525"/>
    <cellStyle name="Heading 1 5" xfId="1526"/>
    <cellStyle name="Heading 1 6" xfId="1527"/>
    <cellStyle name="Heading 1 7" xfId="1528"/>
    <cellStyle name="Heading 1 8" xfId="1529"/>
    <cellStyle name="Heading 1 9" xfId="1530"/>
    <cellStyle name="Heading 2 10" xfId="1531"/>
    <cellStyle name="Heading 2 11" xfId="1532"/>
    <cellStyle name="Heading 2 12" xfId="1533"/>
    <cellStyle name="Heading 2 13" xfId="1534"/>
    <cellStyle name="Heading 2 14" xfId="1535"/>
    <cellStyle name="Heading 2 15" xfId="1536"/>
    <cellStyle name="Heading 2 16" xfId="1537"/>
    <cellStyle name="Heading 2 17" xfId="1538"/>
    <cellStyle name="Heading 2 17 2" xfId="7753"/>
    <cellStyle name="Heading 2 17 3" xfId="7754"/>
    <cellStyle name="Heading 2 17 4" xfId="7755"/>
    <cellStyle name="Heading 2 18" xfId="1539"/>
    <cellStyle name="Heading 2 19" xfId="1540"/>
    <cellStyle name="Heading 2 2" xfId="1541"/>
    <cellStyle name="Heading 2 2 2" xfId="1542"/>
    <cellStyle name="Heading 2 2 2 2" xfId="1543"/>
    <cellStyle name="Heading 2 2 2 2 2" xfId="1544"/>
    <cellStyle name="Heading 2 2 2 2 3" xfId="1545"/>
    <cellStyle name="Heading 2 2 2 2 4" xfId="1546"/>
    <cellStyle name="Heading 2 2 2 2 5" xfId="1547"/>
    <cellStyle name="Heading 2 2 2 3" xfId="1548"/>
    <cellStyle name="Heading 2 2 2 4" xfId="1549"/>
    <cellStyle name="Heading 2 2 2 5" xfId="1550"/>
    <cellStyle name="Heading 2 2 3" xfId="1551"/>
    <cellStyle name="Heading 2 2 4" xfId="1552"/>
    <cellStyle name="Heading 2 2 5" xfId="1553"/>
    <cellStyle name="Heading 2 2 6" xfId="1554"/>
    <cellStyle name="Heading 2 2 7" xfId="1555"/>
    <cellStyle name="Heading 2 2 8" xfId="1556"/>
    <cellStyle name="Heading 2 2 9" xfId="1557"/>
    <cellStyle name="Heading 2 20" xfId="1558"/>
    <cellStyle name="Heading 2 21" xfId="1559"/>
    <cellStyle name="Heading 2 22" xfId="1560"/>
    <cellStyle name="Heading 2 23" xfId="1561"/>
    <cellStyle name="Heading 2 24" xfId="1562"/>
    <cellStyle name="Heading 2 3" xfId="1563"/>
    <cellStyle name="Heading 2 3 2" xfId="7756"/>
    <cellStyle name="Heading 2 3 2 2" xfId="7757"/>
    <cellStyle name="Heading 2 4" xfId="1564"/>
    <cellStyle name="Heading 2 5" xfId="1565"/>
    <cellStyle name="Heading 2 6" xfId="1566"/>
    <cellStyle name="Heading 2 7" xfId="1567"/>
    <cellStyle name="Heading 2 8" xfId="1568"/>
    <cellStyle name="Heading 2 9" xfId="1569"/>
    <cellStyle name="Heading 3 10" xfId="1570"/>
    <cellStyle name="Heading 3 11" xfId="1571"/>
    <cellStyle name="Heading 3 12" xfId="1572"/>
    <cellStyle name="Heading 3 13" xfId="1573"/>
    <cellStyle name="Heading 3 14" xfId="1574"/>
    <cellStyle name="Heading 3 15" xfId="1575"/>
    <cellStyle name="Heading 3 16" xfId="1576"/>
    <cellStyle name="Heading 3 17" xfId="1577"/>
    <cellStyle name="Heading 3 17 2" xfId="7758"/>
    <cellStyle name="Heading 3 18" xfId="1578"/>
    <cellStyle name="Heading 3 19" xfId="1579"/>
    <cellStyle name="Heading 3 2" xfId="1580"/>
    <cellStyle name="Heading 3 2 2" xfId="1581"/>
    <cellStyle name="Heading 3 2 2 2" xfId="1582"/>
    <cellStyle name="Heading 3 2 2 2 2" xfId="1583"/>
    <cellStyle name="Heading 3 2 2 2 3" xfId="1584"/>
    <cellStyle name="Heading 3 2 2 2 4" xfId="1585"/>
    <cellStyle name="Heading 3 2 2 2 5" xfId="1586"/>
    <cellStyle name="Heading 3 2 2 3" xfId="1587"/>
    <cellStyle name="Heading 3 2 2 4" xfId="1588"/>
    <cellStyle name="Heading 3 2 2 5" xfId="1589"/>
    <cellStyle name="Heading 3 2 3" xfId="1590"/>
    <cellStyle name="Heading 3 2 4" xfId="1591"/>
    <cellStyle name="Heading 3 2 5" xfId="1592"/>
    <cellStyle name="Heading 3 2 6" xfId="1593"/>
    <cellStyle name="Heading 3 2 7" xfId="1594"/>
    <cellStyle name="Heading 3 2 8" xfId="1595"/>
    <cellStyle name="Heading 3 2 9" xfId="1596"/>
    <cellStyle name="Heading 3 20" xfId="1597"/>
    <cellStyle name="Heading 3 21" xfId="1598"/>
    <cellStyle name="Heading 3 22" xfId="1599"/>
    <cellStyle name="Heading 3 3" xfId="1600"/>
    <cellStyle name="Heading 3 3 2" xfId="7759"/>
    <cellStyle name="Heading 3 4" xfId="1601"/>
    <cellStyle name="Heading 3 4 2" xfId="7760"/>
    <cellStyle name="Heading 3 5" xfId="1602"/>
    <cellStyle name="Heading 3 5 2" xfId="7761"/>
    <cellStyle name="Heading 3 6" xfId="1603"/>
    <cellStyle name="Heading 3 7" xfId="1604"/>
    <cellStyle name="Heading 3 8" xfId="1605"/>
    <cellStyle name="Heading 3 9" xfId="1606"/>
    <cellStyle name="Heading 4 10" xfId="1607"/>
    <cellStyle name="Heading 4 11" xfId="1608"/>
    <cellStyle name="Heading 4 12" xfId="1609"/>
    <cellStyle name="Heading 4 13" xfId="1610"/>
    <cellStyle name="Heading 4 14" xfId="1611"/>
    <cellStyle name="Heading 4 15" xfId="1612"/>
    <cellStyle name="Heading 4 16" xfId="1613"/>
    <cellStyle name="Heading 4 17" xfId="1614"/>
    <cellStyle name="Heading 4 17 2" xfId="7762"/>
    <cellStyle name="Heading 4 18" xfId="1615"/>
    <cellStyle name="Heading 4 19" xfId="1616"/>
    <cellStyle name="Heading 4 2" xfId="1617"/>
    <cellStyle name="Heading 4 2 2" xfId="1618"/>
    <cellStyle name="Heading 4 2 2 2" xfId="1619"/>
    <cellStyle name="Heading 4 2 2 2 2" xfId="1620"/>
    <cellStyle name="Heading 4 2 2 2 3" xfId="1621"/>
    <cellStyle name="Heading 4 2 2 2 4" xfId="1622"/>
    <cellStyle name="Heading 4 2 2 2 5" xfId="1623"/>
    <cellStyle name="Heading 4 2 2 3" xfId="1624"/>
    <cellStyle name="Heading 4 2 2 4" xfId="1625"/>
    <cellStyle name="Heading 4 2 2 5" xfId="1626"/>
    <cellStyle name="Heading 4 2 3" xfId="1627"/>
    <cellStyle name="Heading 4 2 4" xfId="1628"/>
    <cellStyle name="Heading 4 2 5" xfId="1629"/>
    <cellStyle name="Heading 4 2 6" xfId="1630"/>
    <cellStyle name="Heading 4 2 7" xfId="1631"/>
    <cellStyle name="Heading 4 2 8" xfId="1632"/>
    <cellStyle name="Heading 4 2 9" xfId="1633"/>
    <cellStyle name="Heading 4 20" xfId="1634"/>
    <cellStyle name="Heading 4 21" xfId="1635"/>
    <cellStyle name="Heading 4 22" xfId="1636"/>
    <cellStyle name="Heading 4 3" xfId="1637"/>
    <cellStyle name="Heading 4 3 2" xfId="7763"/>
    <cellStyle name="Heading 4 4" xfId="1638"/>
    <cellStyle name="Heading 4 5" xfId="1639"/>
    <cellStyle name="Heading 4 6" xfId="1640"/>
    <cellStyle name="Heading 4 7" xfId="1641"/>
    <cellStyle name="Heading 4 8" xfId="1642"/>
    <cellStyle name="Heading 4 9" xfId="1643"/>
    <cellStyle name="Hyperlink 2" xfId="7764"/>
    <cellStyle name="Input 10" xfId="1644"/>
    <cellStyle name="Input 10 10" xfId="7765"/>
    <cellStyle name="Input 10 11" xfId="7766"/>
    <cellStyle name="Input 10 12" xfId="7767"/>
    <cellStyle name="Input 10 2" xfId="7768"/>
    <cellStyle name="Input 10 2 2" xfId="7769"/>
    <cellStyle name="Input 10 2 2 2" xfId="7770"/>
    <cellStyle name="Input 10 2 3" xfId="7771"/>
    <cellStyle name="Input 10 2 3 2" xfId="7772"/>
    <cellStyle name="Input 10 2 4" xfId="7773"/>
    <cellStyle name="Input 10 2 4 2" xfId="7774"/>
    <cellStyle name="Input 10 2 5" xfId="7775"/>
    <cellStyle name="Input 10 2 5 2" xfId="7776"/>
    <cellStyle name="Input 10 2 6" xfId="7777"/>
    <cellStyle name="Input 10 2 6 2" xfId="7778"/>
    <cellStyle name="Input 10 2 7" xfId="7779"/>
    <cellStyle name="Input 10 2 7 2" xfId="7780"/>
    <cellStyle name="Input 10 2 8" xfId="7781"/>
    <cellStyle name="Input 10 2 8 2" xfId="7782"/>
    <cellStyle name="Input 10 2 9" xfId="7783"/>
    <cellStyle name="Input 10 3" xfId="7784"/>
    <cellStyle name="Input 10 3 2" xfId="7785"/>
    <cellStyle name="Input 10 4" xfId="7786"/>
    <cellStyle name="Input 10 4 2" xfId="7787"/>
    <cellStyle name="Input 10 5" xfId="7788"/>
    <cellStyle name="Input 10 5 2" xfId="7789"/>
    <cellStyle name="Input 10 6" xfId="7790"/>
    <cellStyle name="Input 10 6 2" xfId="7791"/>
    <cellStyle name="Input 10 7" xfId="7792"/>
    <cellStyle name="Input 10 7 2" xfId="7793"/>
    <cellStyle name="Input 10 8" xfId="7794"/>
    <cellStyle name="Input 10 8 2" xfId="7795"/>
    <cellStyle name="Input 10 9" xfId="7796"/>
    <cellStyle name="Input 10 9 2" xfId="7797"/>
    <cellStyle name="Input 11" xfId="1645"/>
    <cellStyle name="Input 11 10" xfId="7798"/>
    <cellStyle name="Input 11 11" xfId="7799"/>
    <cellStyle name="Input 11 12" xfId="7800"/>
    <cellStyle name="Input 11 2" xfId="7801"/>
    <cellStyle name="Input 11 2 2" xfId="7802"/>
    <cellStyle name="Input 11 2 2 2" xfId="7803"/>
    <cellStyle name="Input 11 2 3" xfId="7804"/>
    <cellStyle name="Input 11 2 3 2" xfId="7805"/>
    <cellStyle name="Input 11 2 4" xfId="7806"/>
    <cellStyle name="Input 11 2 4 2" xfId="7807"/>
    <cellStyle name="Input 11 2 5" xfId="7808"/>
    <cellStyle name="Input 11 2 5 2" xfId="7809"/>
    <cellStyle name="Input 11 2 6" xfId="7810"/>
    <cellStyle name="Input 11 2 6 2" xfId="7811"/>
    <cellStyle name="Input 11 2 7" xfId="7812"/>
    <cellStyle name="Input 11 2 7 2" xfId="7813"/>
    <cellStyle name="Input 11 2 8" xfId="7814"/>
    <cellStyle name="Input 11 2 8 2" xfId="7815"/>
    <cellStyle name="Input 11 2 9" xfId="7816"/>
    <cellStyle name="Input 11 3" xfId="7817"/>
    <cellStyle name="Input 11 3 2" xfId="7818"/>
    <cellStyle name="Input 11 4" xfId="7819"/>
    <cellStyle name="Input 11 4 2" xfId="7820"/>
    <cellStyle name="Input 11 5" xfId="7821"/>
    <cellStyle name="Input 11 5 2" xfId="7822"/>
    <cellStyle name="Input 11 6" xfId="7823"/>
    <cellStyle name="Input 11 6 2" xfId="7824"/>
    <cellStyle name="Input 11 7" xfId="7825"/>
    <cellStyle name="Input 11 7 2" xfId="7826"/>
    <cellStyle name="Input 11 8" xfId="7827"/>
    <cellStyle name="Input 11 8 2" xfId="7828"/>
    <cellStyle name="Input 11 9" xfId="7829"/>
    <cellStyle name="Input 11 9 2" xfId="7830"/>
    <cellStyle name="Input 12" xfId="1646"/>
    <cellStyle name="Input 12 10" xfId="7831"/>
    <cellStyle name="Input 12 11" xfId="7832"/>
    <cellStyle name="Input 12 12" xfId="7833"/>
    <cellStyle name="Input 12 2" xfId="7834"/>
    <cellStyle name="Input 12 2 2" xfId="7835"/>
    <cellStyle name="Input 12 2 2 2" xfId="7836"/>
    <cellStyle name="Input 12 2 3" xfId="7837"/>
    <cellStyle name="Input 12 2 3 2" xfId="7838"/>
    <cellStyle name="Input 12 2 4" xfId="7839"/>
    <cellStyle name="Input 12 2 4 2" xfId="7840"/>
    <cellStyle name="Input 12 2 5" xfId="7841"/>
    <cellStyle name="Input 12 2 5 2" xfId="7842"/>
    <cellStyle name="Input 12 2 6" xfId="7843"/>
    <cellStyle name="Input 12 2 6 2" xfId="7844"/>
    <cellStyle name="Input 12 2 7" xfId="7845"/>
    <cellStyle name="Input 12 2 7 2" xfId="7846"/>
    <cellStyle name="Input 12 2 8" xfId="7847"/>
    <cellStyle name="Input 12 2 8 2" xfId="7848"/>
    <cellStyle name="Input 12 2 9" xfId="7849"/>
    <cellStyle name="Input 12 3" xfId="7850"/>
    <cellStyle name="Input 12 3 2" xfId="7851"/>
    <cellStyle name="Input 12 4" xfId="7852"/>
    <cellStyle name="Input 12 4 2" xfId="7853"/>
    <cellStyle name="Input 12 5" xfId="7854"/>
    <cellStyle name="Input 12 5 2" xfId="7855"/>
    <cellStyle name="Input 12 6" xfId="7856"/>
    <cellStyle name="Input 12 6 2" xfId="7857"/>
    <cellStyle name="Input 12 7" xfId="7858"/>
    <cellStyle name="Input 12 7 2" xfId="7859"/>
    <cellStyle name="Input 12 8" xfId="7860"/>
    <cellStyle name="Input 12 8 2" xfId="7861"/>
    <cellStyle name="Input 12 9" xfId="7862"/>
    <cellStyle name="Input 12 9 2" xfId="7863"/>
    <cellStyle name="Input 13" xfId="1647"/>
    <cellStyle name="Input 13 10" xfId="7864"/>
    <cellStyle name="Input 13 11" xfId="7865"/>
    <cellStyle name="Input 13 12" xfId="7866"/>
    <cellStyle name="Input 13 2" xfId="7867"/>
    <cellStyle name="Input 13 2 2" xfId="7868"/>
    <cellStyle name="Input 13 2 2 2" xfId="7869"/>
    <cellStyle name="Input 13 2 3" xfId="7870"/>
    <cellStyle name="Input 13 2 3 2" xfId="7871"/>
    <cellStyle name="Input 13 2 4" xfId="7872"/>
    <cellStyle name="Input 13 2 4 2" xfId="7873"/>
    <cellStyle name="Input 13 2 5" xfId="7874"/>
    <cellStyle name="Input 13 2 5 2" xfId="7875"/>
    <cellStyle name="Input 13 2 6" xfId="7876"/>
    <cellStyle name="Input 13 2 6 2" xfId="7877"/>
    <cellStyle name="Input 13 2 7" xfId="7878"/>
    <cellStyle name="Input 13 2 7 2" xfId="7879"/>
    <cellStyle name="Input 13 2 8" xfId="7880"/>
    <cellStyle name="Input 13 2 8 2" xfId="7881"/>
    <cellStyle name="Input 13 2 9" xfId="7882"/>
    <cellStyle name="Input 13 3" xfId="7883"/>
    <cellStyle name="Input 13 3 2" xfId="7884"/>
    <cellStyle name="Input 13 4" xfId="7885"/>
    <cellStyle name="Input 13 4 2" xfId="7886"/>
    <cellStyle name="Input 13 5" xfId="7887"/>
    <cellStyle name="Input 13 5 2" xfId="7888"/>
    <cellStyle name="Input 13 6" xfId="7889"/>
    <cellStyle name="Input 13 6 2" xfId="7890"/>
    <cellStyle name="Input 13 7" xfId="7891"/>
    <cellStyle name="Input 13 7 2" xfId="7892"/>
    <cellStyle name="Input 13 8" xfId="7893"/>
    <cellStyle name="Input 13 8 2" xfId="7894"/>
    <cellStyle name="Input 13 9" xfId="7895"/>
    <cellStyle name="Input 13 9 2" xfId="7896"/>
    <cellStyle name="Input 14" xfId="1648"/>
    <cellStyle name="Input 14 10" xfId="7897"/>
    <cellStyle name="Input 14 11" xfId="7898"/>
    <cellStyle name="Input 14 12" xfId="7899"/>
    <cellStyle name="Input 14 2" xfId="7900"/>
    <cellStyle name="Input 14 2 2" xfId="7901"/>
    <cellStyle name="Input 14 2 2 2" xfId="7902"/>
    <cellStyle name="Input 14 2 3" xfId="7903"/>
    <cellStyle name="Input 14 2 3 2" xfId="7904"/>
    <cellStyle name="Input 14 2 4" xfId="7905"/>
    <cellStyle name="Input 14 2 4 2" xfId="7906"/>
    <cellStyle name="Input 14 2 5" xfId="7907"/>
    <cellStyle name="Input 14 2 5 2" xfId="7908"/>
    <cellStyle name="Input 14 2 6" xfId="7909"/>
    <cellStyle name="Input 14 2 6 2" xfId="7910"/>
    <cellStyle name="Input 14 2 7" xfId="7911"/>
    <cellStyle name="Input 14 2 7 2" xfId="7912"/>
    <cellStyle name="Input 14 2 8" xfId="7913"/>
    <cellStyle name="Input 14 2 8 2" xfId="7914"/>
    <cellStyle name="Input 14 2 9" xfId="7915"/>
    <cellStyle name="Input 14 3" xfId="7916"/>
    <cellStyle name="Input 14 3 2" xfId="7917"/>
    <cellStyle name="Input 14 4" xfId="7918"/>
    <cellStyle name="Input 14 4 2" xfId="7919"/>
    <cellStyle name="Input 14 5" xfId="7920"/>
    <cellStyle name="Input 14 5 2" xfId="7921"/>
    <cellStyle name="Input 14 6" xfId="7922"/>
    <cellStyle name="Input 14 6 2" xfId="7923"/>
    <cellStyle name="Input 14 7" xfId="7924"/>
    <cellStyle name="Input 14 7 2" xfId="7925"/>
    <cellStyle name="Input 14 8" xfId="7926"/>
    <cellStyle name="Input 14 8 2" xfId="7927"/>
    <cellStyle name="Input 14 9" xfId="7928"/>
    <cellStyle name="Input 14 9 2" xfId="7929"/>
    <cellStyle name="Input 15" xfId="1649"/>
    <cellStyle name="Input 15 10" xfId="7930"/>
    <cellStyle name="Input 15 11" xfId="7931"/>
    <cellStyle name="Input 15 12" xfId="7932"/>
    <cellStyle name="Input 15 2" xfId="7933"/>
    <cellStyle name="Input 15 2 2" xfId="7934"/>
    <cellStyle name="Input 15 2 2 2" xfId="7935"/>
    <cellStyle name="Input 15 2 3" xfId="7936"/>
    <cellStyle name="Input 15 2 3 2" xfId="7937"/>
    <cellStyle name="Input 15 2 4" xfId="7938"/>
    <cellStyle name="Input 15 2 4 2" xfId="7939"/>
    <cellStyle name="Input 15 2 5" xfId="7940"/>
    <cellStyle name="Input 15 2 5 2" xfId="7941"/>
    <cellStyle name="Input 15 2 6" xfId="7942"/>
    <cellStyle name="Input 15 2 6 2" xfId="7943"/>
    <cellStyle name="Input 15 2 7" xfId="7944"/>
    <cellStyle name="Input 15 2 7 2" xfId="7945"/>
    <cellStyle name="Input 15 2 8" xfId="7946"/>
    <cellStyle name="Input 15 2 8 2" xfId="7947"/>
    <cellStyle name="Input 15 2 9" xfId="7948"/>
    <cellStyle name="Input 15 3" xfId="7949"/>
    <cellStyle name="Input 15 3 2" xfId="7950"/>
    <cellStyle name="Input 15 4" xfId="7951"/>
    <cellStyle name="Input 15 4 2" xfId="7952"/>
    <cellStyle name="Input 15 5" xfId="7953"/>
    <cellStyle name="Input 15 5 2" xfId="7954"/>
    <cellStyle name="Input 15 6" xfId="7955"/>
    <cellStyle name="Input 15 6 2" xfId="7956"/>
    <cellStyle name="Input 15 7" xfId="7957"/>
    <cellStyle name="Input 15 7 2" xfId="7958"/>
    <cellStyle name="Input 15 8" xfId="7959"/>
    <cellStyle name="Input 15 8 2" xfId="7960"/>
    <cellStyle name="Input 15 9" xfId="7961"/>
    <cellStyle name="Input 15 9 2" xfId="7962"/>
    <cellStyle name="Input 16" xfId="1650"/>
    <cellStyle name="Input 16 10" xfId="7963"/>
    <cellStyle name="Input 16 11" xfId="7964"/>
    <cellStyle name="Input 16 12" xfId="7965"/>
    <cellStyle name="Input 16 2" xfId="7966"/>
    <cellStyle name="Input 16 2 2" xfId="7967"/>
    <cellStyle name="Input 16 2 2 2" xfId="7968"/>
    <cellStyle name="Input 16 2 3" xfId="7969"/>
    <cellStyle name="Input 16 2 3 2" xfId="7970"/>
    <cellStyle name="Input 16 2 4" xfId="7971"/>
    <cellStyle name="Input 16 2 4 2" xfId="7972"/>
    <cellStyle name="Input 16 2 5" xfId="7973"/>
    <cellStyle name="Input 16 2 5 2" xfId="7974"/>
    <cellStyle name="Input 16 2 6" xfId="7975"/>
    <cellStyle name="Input 16 2 6 2" xfId="7976"/>
    <cellStyle name="Input 16 2 7" xfId="7977"/>
    <cellStyle name="Input 16 2 7 2" xfId="7978"/>
    <cellStyle name="Input 16 2 8" xfId="7979"/>
    <cellStyle name="Input 16 2 8 2" xfId="7980"/>
    <cellStyle name="Input 16 2 9" xfId="7981"/>
    <cellStyle name="Input 16 3" xfId="7982"/>
    <cellStyle name="Input 16 3 2" xfId="7983"/>
    <cellStyle name="Input 16 4" xfId="7984"/>
    <cellStyle name="Input 16 4 2" xfId="7985"/>
    <cellStyle name="Input 16 5" xfId="7986"/>
    <cellStyle name="Input 16 5 2" xfId="7987"/>
    <cellStyle name="Input 16 6" xfId="7988"/>
    <cellStyle name="Input 16 6 2" xfId="7989"/>
    <cellStyle name="Input 16 7" xfId="7990"/>
    <cellStyle name="Input 16 7 2" xfId="7991"/>
    <cellStyle name="Input 16 8" xfId="7992"/>
    <cellStyle name="Input 16 8 2" xfId="7993"/>
    <cellStyle name="Input 16 9" xfId="7994"/>
    <cellStyle name="Input 16 9 2" xfId="7995"/>
    <cellStyle name="Input 17" xfId="1651"/>
    <cellStyle name="Input 17 10" xfId="7996"/>
    <cellStyle name="Input 17 11" xfId="7997"/>
    <cellStyle name="Input 17 2" xfId="7998"/>
    <cellStyle name="Input 17 2 2" xfId="7999"/>
    <cellStyle name="Input 17 2 2 2" xfId="8000"/>
    <cellStyle name="Input 17 2 3" xfId="8001"/>
    <cellStyle name="Input 17 2 3 2" xfId="8002"/>
    <cellStyle name="Input 17 2 4" xfId="8003"/>
    <cellStyle name="Input 17 2 4 2" xfId="8004"/>
    <cellStyle name="Input 17 2 5" xfId="8005"/>
    <cellStyle name="Input 17 2 5 2" xfId="8006"/>
    <cellStyle name="Input 17 2 6" xfId="8007"/>
    <cellStyle name="Input 17 2 6 2" xfId="8008"/>
    <cellStyle name="Input 17 2 7" xfId="8009"/>
    <cellStyle name="Input 17 2 7 2" xfId="8010"/>
    <cellStyle name="Input 17 2 8" xfId="8011"/>
    <cellStyle name="Input 17 2 8 2" xfId="8012"/>
    <cellStyle name="Input 17 2 9" xfId="8013"/>
    <cellStyle name="Input 17 3" xfId="8014"/>
    <cellStyle name="Input 17 3 2" xfId="8015"/>
    <cellStyle name="Input 17 4" xfId="8016"/>
    <cellStyle name="Input 17 4 2" xfId="8017"/>
    <cellStyle name="Input 17 5" xfId="8018"/>
    <cellStyle name="Input 17 5 2" xfId="8019"/>
    <cellStyle name="Input 17 6" xfId="8020"/>
    <cellStyle name="Input 17 6 2" xfId="8021"/>
    <cellStyle name="Input 17 7" xfId="8022"/>
    <cellStyle name="Input 17 7 2" xfId="8023"/>
    <cellStyle name="Input 17 8" xfId="8024"/>
    <cellStyle name="Input 17 8 2" xfId="8025"/>
    <cellStyle name="Input 17 9" xfId="8026"/>
    <cellStyle name="Input 17 9 2" xfId="8027"/>
    <cellStyle name="Input 18" xfId="1652"/>
    <cellStyle name="Input 18 10" xfId="8028"/>
    <cellStyle name="Input 18 2" xfId="8029"/>
    <cellStyle name="Input 18 2 2" xfId="8030"/>
    <cellStyle name="Input 18 2 2 2" xfId="8031"/>
    <cellStyle name="Input 18 2 3" xfId="8032"/>
    <cellStyle name="Input 18 2 3 2" xfId="8033"/>
    <cellStyle name="Input 18 2 4" xfId="8034"/>
    <cellStyle name="Input 18 2 4 2" xfId="8035"/>
    <cellStyle name="Input 18 2 5" xfId="8036"/>
    <cellStyle name="Input 18 2 5 2" xfId="8037"/>
    <cellStyle name="Input 18 2 6" xfId="8038"/>
    <cellStyle name="Input 18 2 6 2" xfId="8039"/>
    <cellStyle name="Input 18 2 7" xfId="8040"/>
    <cellStyle name="Input 18 2 7 2" xfId="8041"/>
    <cellStyle name="Input 18 2 8" xfId="8042"/>
    <cellStyle name="Input 18 2 8 2" xfId="8043"/>
    <cellStyle name="Input 18 2 9" xfId="8044"/>
    <cellStyle name="Input 18 3" xfId="8045"/>
    <cellStyle name="Input 18 3 2" xfId="8046"/>
    <cellStyle name="Input 18 4" xfId="8047"/>
    <cellStyle name="Input 18 4 2" xfId="8048"/>
    <cellStyle name="Input 18 5" xfId="8049"/>
    <cellStyle name="Input 18 5 2" xfId="8050"/>
    <cellStyle name="Input 18 6" xfId="8051"/>
    <cellStyle name="Input 18 6 2" xfId="8052"/>
    <cellStyle name="Input 18 7" xfId="8053"/>
    <cellStyle name="Input 18 7 2" xfId="8054"/>
    <cellStyle name="Input 18 8" xfId="8055"/>
    <cellStyle name="Input 18 8 2" xfId="8056"/>
    <cellStyle name="Input 18 9" xfId="8057"/>
    <cellStyle name="Input 18 9 2" xfId="8058"/>
    <cellStyle name="Input 19" xfId="1653"/>
    <cellStyle name="Input 19 10" xfId="8059"/>
    <cellStyle name="Input 19 2" xfId="8060"/>
    <cellStyle name="Input 19 2 2" xfId="8061"/>
    <cellStyle name="Input 19 2 2 2" xfId="8062"/>
    <cellStyle name="Input 19 2 3" xfId="8063"/>
    <cellStyle name="Input 19 2 3 2" xfId="8064"/>
    <cellStyle name="Input 19 2 4" xfId="8065"/>
    <cellStyle name="Input 19 2 4 2" xfId="8066"/>
    <cellStyle name="Input 19 2 5" xfId="8067"/>
    <cellStyle name="Input 19 2 5 2" xfId="8068"/>
    <cellStyle name="Input 19 2 6" xfId="8069"/>
    <cellStyle name="Input 19 2 6 2" xfId="8070"/>
    <cellStyle name="Input 19 2 7" xfId="8071"/>
    <cellStyle name="Input 19 2 7 2" xfId="8072"/>
    <cellStyle name="Input 19 2 8" xfId="8073"/>
    <cellStyle name="Input 19 2 8 2" xfId="8074"/>
    <cellStyle name="Input 19 2 9" xfId="8075"/>
    <cellStyle name="Input 19 3" xfId="8076"/>
    <cellStyle name="Input 19 3 2" xfId="8077"/>
    <cellStyle name="Input 19 4" xfId="8078"/>
    <cellStyle name="Input 19 4 2" xfId="8079"/>
    <cellStyle name="Input 19 5" xfId="8080"/>
    <cellStyle name="Input 19 5 2" xfId="8081"/>
    <cellStyle name="Input 19 6" xfId="8082"/>
    <cellStyle name="Input 19 6 2" xfId="8083"/>
    <cellStyle name="Input 19 7" xfId="8084"/>
    <cellStyle name="Input 19 7 2" xfId="8085"/>
    <cellStyle name="Input 19 8" xfId="8086"/>
    <cellStyle name="Input 19 8 2" xfId="8087"/>
    <cellStyle name="Input 19 9" xfId="8088"/>
    <cellStyle name="Input 19 9 2" xfId="8089"/>
    <cellStyle name="Input 2" xfId="1654"/>
    <cellStyle name="Input 2 10" xfId="8090"/>
    <cellStyle name="Input 2 2" xfId="1655"/>
    <cellStyle name="Input 2 2 10" xfId="8091"/>
    <cellStyle name="Input 2 2 11" xfId="8092"/>
    <cellStyle name="Input 2 2 2" xfId="1656"/>
    <cellStyle name="Input 2 2 2 2" xfId="1657"/>
    <cellStyle name="Input 2 2 2 3" xfId="1658"/>
    <cellStyle name="Input 2 2 2 4" xfId="1659"/>
    <cellStyle name="Input 2 2 2 5" xfId="1660"/>
    <cellStyle name="Input 2 2 3" xfId="1661"/>
    <cellStyle name="Input 2 2 3 2" xfId="8093"/>
    <cellStyle name="Input 2 2 4" xfId="1662"/>
    <cellStyle name="Input 2 2 4 2" xfId="8094"/>
    <cellStyle name="Input 2 2 5" xfId="1663"/>
    <cellStyle name="Input 2 2 5 2" xfId="8095"/>
    <cellStyle name="Input 2 2 6" xfId="8096"/>
    <cellStyle name="Input 2 2 6 2" xfId="8097"/>
    <cellStyle name="Input 2 2 7" xfId="8098"/>
    <cellStyle name="Input 2 2 7 2" xfId="8099"/>
    <cellStyle name="Input 2 2 8" xfId="8100"/>
    <cellStyle name="Input 2 2 8 2" xfId="8101"/>
    <cellStyle name="Input 2 2 9" xfId="8102"/>
    <cellStyle name="Input 2 3" xfId="1664"/>
    <cellStyle name="Input 2 3 2" xfId="8103"/>
    <cellStyle name="Input 2 4" xfId="1665"/>
    <cellStyle name="Input 2 4 2" xfId="8104"/>
    <cellStyle name="Input 2 5" xfId="1666"/>
    <cellStyle name="Input 2 5 2" xfId="8105"/>
    <cellStyle name="Input 2 6" xfId="1667"/>
    <cellStyle name="Input 2 6 2" xfId="8106"/>
    <cellStyle name="Input 2 7" xfId="1668"/>
    <cellStyle name="Input 2 7 2" xfId="8107"/>
    <cellStyle name="Input 2 8" xfId="1669"/>
    <cellStyle name="Input 2 8 2" xfId="8108"/>
    <cellStyle name="Input 2 9" xfId="1670"/>
    <cellStyle name="Input 20" xfId="1671"/>
    <cellStyle name="Input 20 10" xfId="8109"/>
    <cellStyle name="Input 20 2" xfId="8110"/>
    <cellStyle name="Input 20 2 2" xfId="8111"/>
    <cellStyle name="Input 20 2 2 2" xfId="8112"/>
    <cellStyle name="Input 20 2 3" xfId="8113"/>
    <cellStyle name="Input 20 2 3 2" xfId="8114"/>
    <cellStyle name="Input 20 2 4" xfId="8115"/>
    <cellStyle name="Input 20 2 4 2" xfId="8116"/>
    <cellStyle name="Input 20 2 5" xfId="8117"/>
    <cellStyle name="Input 20 2 5 2" xfId="8118"/>
    <cellStyle name="Input 20 2 6" xfId="8119"/>
    <cellStyle name="Input 20 2 6 2" xfId="8120"/>
    <cellStyle name="Input 20 2 7" xfId="8121"/>
    <cellStyle name="Input 20 2 7 2" xfId="8122"/>
    <cellStyle name="Input 20 2 8" xfId="8123"/>
    <cellStyle name="Input 20 2 8 2" xfId="8124"/>
    <cellStyle name="Input 20 2 9" xfId="8125"/>
    <cellStyle name="Input 20 3" xfId="8126"/>
    <cellStyle name="Input 20 3 2" xfId="8127"/>
    <cellStyle name="Input 20 4" xfId="8128"/>
    <cellStyle name="Input 20 4 2" xfId="8129"/>
    <cellStyle name="Input 20 5" xfId="8130"/>
    <cellStyle name="Input 20 5 2" xfId="8131"/>
    <cellStyle name="Input 20 6" xfId="8132"/>
    <cellStyle name="Input 20 6 2" xfId="8133"/>
    <cellStyle name="Input 20 7" xfId="8134"/>
    <cellStyle name="Input 20 7 2" xfId="8135"/>
    <cellStyle name="Input 20 8" xfId="8136"/>
    <cellStyle name="Input 20 8 2" xfId="8137"/>
    <cellStyle name="Input 20 9" xfId="8138"/>
    <cellStyle name="Input 20 9 2" xfId="8139"/>
    <cellStyle name="Input 21" xfId="1672"/>
    <cellStyle name="Input 21 10" xfId="8140"/>
    <cellStyle name="Input 21 2" xfId="8141"/>
    <cellStyle name="Input 21 2 2" xfId="8142"/>
    <cellStyle name="Input 21 2 2 2" xfId="8143"/>
    <cellStyle name="Input 21 2 3" xfId="8144"/>
    <cellStyle name="Input 21 2 3 2" xfId="8145"/>
    <cellStyle name="Input 21 2 4" xfId="8146"/>
    <cellStyle name="Input 21 2 4 2" xfId="8147"/>
    <cellStyle name="Input 21 2 5" xfId="8148"/>
    <cellStyle name="Input 21 2 5 2" xfId="8149"/>
    <cellStyle name="Input 21 2 6" xfId="8150"/>
    <cellStyle name="Input 21 2 6 2" xfId="8151"/>
    <cellStyle name="Input 21 2 7" xfId="8152"/>
    <cellStyle name="Input 21 2 7 2" xfId="8153"/>
    <cellStyle name="Input 21 2 8" xfId="8154"/>
    <cellStyle name="Input 21 2 8 2" xfId="8155"/>
    <cellStyle name="Input 21 2 9" xfId="8156"/>
    <cellStyle name="Input 21 3" xfId="8157"/>
    <cellStyle name="Input 21 3 2" xfId="8158"/>
    <cellStyle name="Input 21 4" xfId="8159"/>
    <cellStyle name="Input 21 4 2" xfId="8160"/>
    <cellStyle name="Input 21 5" xfId="8161"/>
    <cellStyle name="Input 21 5 2" xfId="8162"/>
    <cellStyle name="Input 21 6" xfId="8163"/>
    <cellStyle name="Input 21 6 2" xfId="8164"/>
    <cellStyle name="Input 21 7" xfId="8165"/>
    <cellStyle name="Input 21 7 2" xfId="8166"/>
    <cellStyle name="Input 21 8" xfId="8167"/>
    <cellStyle name="Input 21 8 2" xfId="8168"/>
    <cellStyle name="Input 21 9" xfId="8169"/>
    <cellStyle name="Input 21 9 2" xfId="8170"/>
    <cellStyle name="Input 22" xfId="1673"/>
    <cellStyle name="Input 22 2" xfId="8171"/>
    <cellStyle name="Input 22 2 2" xfId="8172"/>
    <cellStyle name="Input 22 3" xfId="8173"/>
    <cellStyle name="Input 22 3 2" xfId="8174"/>
    <cellStyle name="Input 22 4" xfId="8175"/>
    <cellStyle name="Input 22 4 2" xfId="8176"/>
    <cellStyle name="Input 22 5" xfId="8177"/>
    <cellStyle name="Input 22 5 2" xfId="8178"/>
    <cellStyle name="Input 22 6" xfId="8179"/>
    <cellStyle name="Input 22 6 2" xfId="8180"/>
    <cellStyle name="Input 22 7" xfId="8181"/>
    <cellStyle name="Input 22 7 2" xfId="8182"/>
    <cellStyle name="Input 22 8" xfId="8183"/>
    <cellStyle name="Input 22 8 2" xfId="8184"/>
    <cellStyle name="Input 22 9" xfId="8185"/>
    <cellStyle name="Input 3" xfId="1674"/>
    <cellStyle name="Input 3 10" xfId="8186"/>
    <cellStyle name="Input 3 11" xfId="8187"/>
    <cellStyle name="Input 3 2" xfId="8188"/>
    <cellStyle name="Input 3 2 10" xfId="8189"/>
    <cellStyle name="Input 3 2 2" xfId="8190"/>
    <cellStyle name="Input 3 2 2 2" xfId="8191"/>
    <cellStyle name="Input 3 2 3" xfId="8192"/>
    <cellStyle name="Input 3 2 3 2" xfId="8193"/>
    <cellStyle name="Input 3 2 4" xfId="8194"/>
    <cellStyle name="Input 3 2 4 2" xfId="8195"/>
    <cellStyle name="Input 3 2 5" xfId="8196"/>
    <cellStyle name="Input 3 2 5 2" xfId="8197"/>
    <cellStyle name="Input 3 2 6" xfId="8198"/>
    <cellStyle name="Input 3 2 6 2" xfId="8199"/>
    <cellStyle name="Input 3 2 7" xfId="8200"/>
    <cellStyle name="Input 3 2 7 2" xfId="8201"/>
    <cellStyle name="Input 3 2 8" xfId="8202"/>
    <cellStyle name="Input 3 2 8 2" xfId="8203"/>
    <cellStyle name="Input 3 2 9" xfId="8204"/>
    <cellStyle name="Input 3 3" xfId="8205"/>
    <cellStyle name="Input 3 3 2" xfId="8206"/>
    <cellStyle name="Input 3 4" xfId="8207"/>
    <cellStyle name="Input 3 4 2" xfId="8208"/>
    <cellStyle name="Input 3 5" xfId="8209"/>
    <cellStyle name="Input 3 5 2" xfId="8210"/>
    <cellStyle name="Input 3 6" xfId="8211"/>
    <cellStyle name="Input 3 6 2" xfId="8212"/>
    <cellStyle name="Input 3 7" xfId="8213"/>
    <cellStyle name="Input 3 7 2" xfId="8214"/>
    <cellStyle name="Input 3 8" xfId="8215"/>
    <cellStyle name="Input 3 8 2" xfId="8216"/>
    <cellStyle name="Input 3 9" xfId="8217"/>
    <cellStyle name="Input 3 9 2" xfId="8218"/>
    <cellStyle name="Input 4" xfId="1675"/>
    <cellStyle name="Input 4 10" xfId="8219"/>
    <cellStyle name="Input 4 11" xfId="8220"/>
    <cellStyle name="Input 4 12" xfId="8221"/>
    <cellStyle name="Input 4 2" xfId="8222"/>
    <cellStyle name="Input 4 2 2" xfId="8223"/>
    <cellStyle name="Input 4 2 2 2" xfId="8224"/>
    <cellStyle name="Input 4 2 3" xfId="8225"/>
    <cellStyle name="Input 4 2 3 2" xfId="8226"/>
    <cellStyle name="Input 4 2 4" xfId="8227"/>
    <cellStyle name="Input 4 2 4 2" xfId="8228"/>
    <cellStyle name="Input 4 2 5" xfId="8229"/>
    <cellStyle name="Input 4 2 5 2" xfId="8230"/>
    <cellStyle name="Input 4 2 6" xfId="8231"/>
    <cellStyle name="Input 4 2 6 2" xfId="8232"/>
    <cellStyle name="Input 4 2 7" xfId="8233"/>
    <cellStyle name="Input 4 2 7 2" xfId="8234"/>
    <cellStyle name="Input 4 2 8" xfId="8235"/>
    <cellStyle name="Input 4 2 8 2" xfId="8236"/>
    <cellStyle name="Input 4 2 9" xfId="8237"/>
    <cellStyle name="Input 4 3" xfId="8238"/>
    <cellStyle name="Input 4 3 2" xfId="8239"/>
    <cellStyle name="Input 4 4" xfId="8240"/>
    <cellStyle name="Input 4 4 2" xfId="8241"/>
    <cellStyle name="Input 4 5" xfId="8242"/>
    <cellStyle name="Input 4 5 2" xfId="8243"/>
    <cellStyle name="Input 4 6" xfId="8244"/>
    <cellStyle name="Input 4 6 2" xfId="8245"/>
    <cellStyle name="Input 4 7" xfId="8246"/>
    <cellStyle name="Input 4 7 2" xfId="8247"/>
    <cellStyle name="Input 4 8" xfId="8248"/>
    <cellStyle name="Input 4 8 2" xfId="8249"/>
    <cellStyle name="Input 4 9" xfId="8250"/>
    <cellStyle name="Input 4 9 2" xfId="8251"/>
    <cellStyle name="Input 5" xfId="1676"/>
    <cellStyle name="Input 5 10" xfId="8252"/>
    <cellStyle name="Input 5 11" xfId="8253"/>
    <cellStyle name="Input 5 12" xfId="8254"/>
    <cellStyle name="Input 5 2" xfId="8255"/>
    <cellStyle name="Input 5 2 2" xfId="8256"/>
    <cellStyle name="Input 5 2 2 2" xfId="8257"/>
    <cellStyle name="Input 5 2 3" xfId="8258"/>
    <cellStyle name="Input 5 2 3 2" xfId="8259"/>
    <cellStyle name="Input 5 2 4" xfId="8260"/>
    <cellStyle name="Input 5 2 4 2" xfId="8261"/>
    <cellStyle name="Input 5 2 5" xfId="8262"/>
    <cellStyle name="Input 5 2 5 2" xfId="8263"/>
    <cellStyle name="Input 5 2 6" xfId="8264"/>
    <cellStyle name="Input 5 2 6 2" xfId="8265"/>
    <cellStyle name="Input 5 2 7" xfId="8266"/>
    <cellStyle name="Input 5 2 7 2" xfId="8267"/>
    <cellStyle name="Input 5 2 8" xfId="8268"/>
    <cellStyle name="Input 5 2 8 2" xfId="8269"/>
    <cellStyle name="Input 5 2 9" xfId="8270"/>
    <cellStyle name="Input 5 3" xfId="8271"/>
    <cellStyle name="Input 5 3 2" xfId="8272"/>
    <cellStyle name="Input 5 4" xfId="8273"/>
    <cellStyle name="Input 5 4 2" xfId="8274"/>
    <cellStyle name="Input 5 5" xfId="8275"/>
    <cellStyle name="Input 5 5 2" xfId="8276"/>
    <cellStyle name="Input 5 6" xfId="8277"/>
    <cellStyle name="Input 5 6 2" xfId="8278"/>
    <cellStyle name="Input 5 7" xfId="8279"/>
    <cellStyle name="Input 5 7 2" xfId="8280"/>
    <cellStyle name="Input 5 8" xfId="8281"/>
    <cellStyle name="Input 5 8 2" xfId="8282"/>
    <cellStyle name="Input 5 9" xfId="8283"/>
    <cellStyle name="Input 5 9 2" xfId="8284"/>
    <cellStyle name="Input 6" xfId="1677"/>
    <cellStyle name="Input 6 10" xfId="8285"/>
    <cellStyle name="Input 6 11" xfId="8286"/>
    <cellStyle name="Input 6 12" xfId="8287"/>
    <cellStyle name="Input 6 2" xfId="8288"/>
    <cellStyle name="Input 6 2 2" xfId="8289"/>
    <cellStyle name="Input 6 2 2 2" xfId="8290"/>
    <cellStyle name="Input 6 2 3" xfId="8291"/>
    <cellStyle name="Input 6 2 3 2" xfId="8292"/>
    <cellStyle name="Input 6 2 4" xfId="8293"/>
    <cellStyle name="Input 6 2 4 2" xfId="8294"/>
    <cellStyle name="Input 6 2 5" xfId="8295"/>
    <cellStyle name="Input 6 2 5 2" xfId="8296"/>
    <cellStyle name="Input 6 2 6" xfId="8297"/>
    <cellStyle name="Input 6 2 6 2" xfId="8298"/>
    <cellStyle name="Input 6 2 7" xfId="8299"/>
    <cellStyle name="Input 6 2 7 2" xfId="8300"/>
    <cellStyle name="Input 6 2 8" xfId="8301"/>
    <cellStyle name="Input 6 2 8 2" xfId="8302"/>
    <cellStyle name="Input 6 2 9" xfId="8303"/>
    <cellStyle name="Input 6 3" xfId="8304"/>
    <cellStyle name="Input 6 3 2" xfId="8305"/>
    <cellStyle name="Input 6 4" xfId="8306"/>
    <cellStyle name="Input 6 4 2" xfId="8307"/>
    <cellStyle name="Input 6 5" xfId="8308"/>
    <cellStyle name="Input 6 5 2" xfId="8309"/>
    <cellStyle name="Input 6 6" xfId="8310"/>
    <cellStyle name="Input 6 6 2" xfId="8311"/>
    <cellStyle name="Input 6 7" xfId="8312"/>
    <cellStyle name="Input 6 7 2" xfId="8313"/>
    <cellStyle name="Input 6 8" xfId="8314"/>
    <cellStyle name="Input 6 8 2" xfId="8315"/>
    <cellStyle name="Input 6 9" xfId="8316"/>
    <cellStyle name="Input 6 9 2" xfId="8317"/>
    <cellStyle name="Input 7" xfId="1678"/>
    <cellStyle name="Input 7 10" xfId="8318"/>
    <cellStyle name="Input 7 11" xfId="8319"/>
    <cellStyle name="Input 7 12" xfId="8320"/>
    <cellStyle name="Input 7 2" xfId="8321"/>
    <cellStyle name="Input 7 2 2" xfId="8322"/>
    <cellStyle name="Input 7 2 2 2" xfId="8323"/>
    <cellStyle name="Input 7 2 3" xfId="8324"/>
    <cellStyle name="Input 7 2 3 2" xfId="8325"/>
    <cellStyle name="Input 7 2 4" xfId="8326"/>
    <cellStyle name="Input 7 2 4 2" xfId="8327"/>
    <cellStyle name="Input 7 2 5" xfId="8328"/>
    <cellStyle name="Input 7 2 5 2" xfId="8329"/>
    <cellStyle name="Input 7 2 6" xfId="8330"/>
    <cellStyle name="Input 7 2 6 2" xfId="8331"/>
    <cellStyle name="Input 7 2 7" xfId="8332"/>
    <cellStyle name="Input 7 2 7 2" xfId="8333"/>
    <cellStyle name="Input 7 2 8" xfId="8334"/>
    <cellStyle name="Input 7 2 8 2" xfId="8335"/>
    <cellStyle name="Input 7 2 9" xfId="8336"/>
    <cellStyle name="Input 7 3" xfId="8337"/>
    <cellStyle name="Input 7 3 2" xfId="8338"/>
    <cellStyle name="Input 7 4" xfId="8339"/>
    <cellStyle name="Input 7 4 2" xfId="8340"/>
    <cellStyle name="Input 7 5" xfId="8341"/>
    <cellStyle name="Input 7 5 2" xfId="8342"/>
    <cellStyle name="Input 7 6" xfId="8343"/>
    <cellStyle name="Input 7 6 2" xfId="8344"/>
    <cellStyle name="Input 7 7" xfId="8345"/>
    <cellStyle name="Input 7 7 2" xfId="8346"/>
    <cellStyle name="Input 7 8" xfId="8347"/>
    <cellStyle name="Input 7 8 2" xfId="8348"/>
    <cellStyle name="Input 7 9" xfId="8349"/>
    <cellStyle name="Input 7 9 2" xfId="8350"/>
    <cellStyle name="Input 8" xfId="1679"/>
    <cellStyle name="Input 8 10" xfId="8351"/>
    <cellStyle name="Input 8 11" xfId="8352"/>
    <cellStyle name="Input 8 12" xfId="8353"/>
    <cellStyle name="Input 8 2" xfId="8354"/>
    <cellStyle name="Input 8 2 2" xfId="8355"/>
    <cellStyle name="Input 8 2 2 2" xfId="8356"/>
    <cellStyle name="Input 8 2 3" xfId="8357"/>
    <cellStyle name="Input 8 2 3 2" xfId="8358"/>
    <cellStyle name="Input 8 2 4" xfId="8359"/>
    <cellStyle name="Input 8 2 4 2" xfId="8360"/>
    <cellStyle name="Input 8 2 5" xfId="8361"/>
    <cellStyle name="Input 8 2 5 2" xfId="8362"/>
    <cellStyle name="Input 8 2 6" xfId="8363"/>
    <cellStyle name="Input 8 2 6 2" xfId="8364"/>
    <cellStyle name="Input 8 2 7" xfId="8365"/>
    <cellStyle name="Input 8 2 7 2" xfId="8366"/>
    <cellStyle name="Input 8 2 8" xfId="8367"/>
    <cellStyle name="Input 8 2 8 2" xfId="8368"/>
    <cellStyle name="Input 8 2 9" xfId="8369"/>
    <cellStyle name="Input 8 3" xfId="8370"/>
    <cellStyle name="Input 8 3 2" xfId="8371"/>
    <cellStyle name="Input 8 4" xfId="8372"/>
    <cellStyle name="Input 8 4 2" xfId="8373"/>
    <cellStyle name="Input 8 5" xfId="8374"/>
    <cellStyle name="Input 8 5 2" xfId="8375"/>
    <cellStyle name="Input 8 6" xfId="8376"/>
    <cellStyle name="Input 8 6 2" xfId="8377"/>
    <cellStyle name="Input 8 7" xfId="8378"/>
    <cellStyle name="Input 8 7 2" xfId="8379"/>
    <cellStyle name="Input 8 8" xfId="8380"/>
    <cellStyle name="Input 8 8 2" xfId="8381"/>
    <cellStyle name="Input 8 9" xfId="8382"/>
    <cellStyle name="Input 8 9 2" xfId="8383"/>
    <cellStyle name="Input 9" xfId="1680"/>
    <cellStyle name="Input 9 10" xfId="8384"/>
    <cellStyle name="Input 9 11" xfId="8385"/>
    <cellStyle name="Input 9 12" xfId="8386"/>
    <cellStyle name="Input 9 2" xfId="8387"/>
    <cellStyle name="Input 9 2 2" xfId="8388"/>
    <cellStyle name="Input 9 2 2 2" xfId="8389"/>
    <cellStyle name="Input 9 2 3" xfId="8390"/>
    <cellStyle name="Input 9 2 3 2" xfId="8391"/>
    <cellStyle name="Input 9 2 4" xfId="8392"/>
    <cellStyle name="Input 9 2 4 2" xfId="8393"/>
    <cellStyle name="Input 9 2 5" xfId="8394"/>
    <cellStyle name="Input 9 2 5 2" xfId="8395"/>
    <cellStyle name="Input 9 2 6" xfId="8396"/>
    <cellStyle name="Input 9 2 6 2" xfId="8397"/>
    <cellStyle name="Input 9 2 7" xfId="8398"/>
    <cellStyle name="Input 9 2 7 2" xfId="8399"/>
    <cellStyle name="Input 9 2 8" xfId="8400"/>
    <cellStyle name="Input 9 2 8 2" xfId="8401"/>
    <cellStyle name="Input 9 2 9" xfId="8402"/>
    <cellStyle name="Input 9 3" xfId="8403"/>
    <cellStyle name="Input 9 3 2" xfId="8404"/>
    <cellStyle name="Input 9 4" xfId="8405"/>
    <cellStyle name="Input 9 4 2" xfId="8406"/>
    <cellStyle name="Input 9 5" xfId="8407"/>
    <cellStyle name="Input 9 5 2" xfId="8408"/>
    <cellStyle name="Input 9 6" xfId="8409"/>
    <cellStyle name="Input 9 6 2" xfId="8410"/>
    <cellStyle name="Input 9 7" xfId="8411"/>
    <cellStyle name="Input 9 7 2" xfId="8412"/>
    <cellStyle name="Input 9 8" xfId="8413"/>
    <cellStyle name="Input 9 8 2" xfId="8414"/>
    <cellStyle name="Input 9 9" xfId="8415"/>
    <cellStyle name="Input 9 9 2" xfId="8416"/>
    <cellStyle name="Labels - Style3" xfId="8417"/>
    <cellStyle name="LineItemPrompt" xfId="8418"/>
    <cellStyle name="LineItemPrompt 2" xfId="8419"/>
    <cellStyle name="LineItemPrompt 2 2" xfId="8420"/>
    <cellStyle name="LineItemPrompt 2 3" xfId="8421"/>
    <cellStyle name="LineItemPrompt 3" xfId="8422"/>
    <cellStyle name="LineItemValue" xfId="8423"/>
    <cellStyle name="LineItemValue 2" xfId="8424"/>
    <cellStyle name="LineItemValue 2 2" xfId="8425"/>
    <cellStyle name="LineItemValue 2 3" xfId="8426"/>
    <cellStyle name="LineItemValue 3" xfId="8427"/>
    <cellStyle name="LineItemValue 4" xfId="8428"/>
    <cellStyle name="Linked Cell 10" xfId="1681"/>
    <cellStyle name="Linked Cell 11" xfId="1682"/>
    <cellStyle name="Linked Cell 12" xfId="1683"/>
    <cellStyle name="Linked Cell 13" xfId="1684"/>
    <cellStyle name="Linked Cell 14" xfId="1685"/>
    <cellStyle name="Linked Cell 15" xfId="1686"/>
    <cellStyle name="Linked Cell 16" xfId="1687"/>
    <cellStyle name="Linked Cell 17" xfId="1688"/>
    <cellStyle name="Linked Cell 17 2" xfId="8429"/>
    <cellStyle name="Linked Cell 18" xfId="1689"/>
    <cellStyle name="Linked Cell 19" xfId="1690"/>
    <cellStyle name="Linked Cell 2" xfId="1691"/>
    <cellStyle name="Linked Cell 2 2" xfId="1692"/>
    <cellStyle name="Linked Cell 2 2 2" xfId="1693"/>
    <cellStyle name="Linked Cell 2 2 2 2" xfId="1694"/>
    <cellStyle name="Linked Cell 2 2 2 3" xfId="1695"/>
    <cellStyle name="Linked Cell 2 2 2 4" xfId="1696"/>
    <cellStyle name="Linked Cell 2 2 2 5" xfId="1697"/>
    <cellStyle name="Linked Cell 2 2 3" xfId="1698"/>
    <cellStyle name="Linked Cell 2 2 4" xfId="1699"/>
    <cellStyle name="Linked Cell 2 2 5" xfId="1700"/>
    <cellStyle name="Linked Cell 2 3" xfId="1701"/>
    <cellStyle name="Linked Cell 2 4" xfId="1702"/>
    <cellStyle name="Linked Cell 2 5" xfId="1703"/>
    <cellStyle name="Linked Cell 2 6" xfId="1704"/>
    <cellStyle name="Linked Cell 2 7" xfId="1705"/>
    <cellStyle name="Linked Cell 2 8" xfId="1706"/>
    <cellStyle name="Linked Cell 2 9" xfId="1707"/>
    <cellStyle name="Linked Cell 20" xfId="1708"/>
    <cellStyle name="Linked Cell 21" xfId="1709"/>
    <cellStyle name="Linked Cell 22" xfId="1710"/>
    <cellStyle name="Linked Cell 3" xfId="1711"/>
    <cellStyle name="Linked Cell 3 2" xfId="8430"/>
    <cellStyle name="Linked Cell 4" xfId="1712"/>
    <cellStyle name="Linked Cell 5" xfId="1713"/>
    <cellStyle name="Linked Cell 6" xfId="1714"/>
    <cellStyle name="Linked Cell 7" xfId="1715"/>
    <cellStyle name="Linked Cell 8" xfId="1716"/>
    <cellStyle name="Linked Cell 9" xfId="1717"/>
    <cellStyle name="Milliers [0]_EDYAN" xfId="8431"/>
    <cellStyle name="Milliers_EDYAN" xfId="8432"/>
    <cellStyle name="Monétaire [0]_EDYAN" xfId="8433"/>
    <cellStyle name="Monétaire_EDYAN" xfId="8434"/>
    <cellStyle name="Neutral 10" xfId="1718"/>
    <cellStyle name="Neutral 11" xfId="1719"/>
    <cellStyle name="Neutral 12" xfId="1720"/>
    <cellStyle name="Neutral 13" xfId="1721"/>
    <cellStyle name="Neutral 14" xfId="1722"/>
    <cellStyle name="Neutral 15" xfId="1723"/>
    <cellStyle name="Neutral 16" xfId="1724"/>
    <cellStyle name="Neutral 17" xfId="1725"/>
    <cellStyle name="Neutral 17 2" xfId="8435"/>
    <cellStyle name="Neutral 18" xfId="1726"/>
    <cellStyle name="Neutral 19" xfId="1727"/>
    <cellStyle name="Neutral 2" xfId="1728"/>
    <cellStyle name="Neutral 2 2" xfId="1729"/>
    <cellStyle name="Neutral 2 2 2" xfId="1730"/>
    <cellStyle name="Neutral 2 2 2 2" xfId="1731"/>
    <cellStyle name="Neutral 2 2 2 3" xfId="1732"/>
    <cellStyle name="Neutral 2 2 2 4" xfId="1733"/>
    <cellStyle name="Neutral 2 2 2 5" xfId="1734"/>
    <cellStyle name="Neutral 2 2 3" xfId="1735"/>
    <cellStyle name="Neutral 2 2 4" xfId="1736"/>
    <cellStyle name="Neutral 2 2 5" xfId="1737"/>
    <cellStyle name="Neutral 2 3" xfId="1738"/>
    <cellStyle name="Neutral 2 4" xfId="1739"/>
    <cellStyle name="Neutral 2 5" xfId="1740"/>
    <cellStyle name="Neutral 2 6" xfId="1741"/>
    <cellStyle name="Neutral 2 7" xfId="1742"/>
    <cellStyle name="Neutral 2 8" xfId="1743"/>
    <cellStyle name="Neutral 2 9" xfId="1744"/>
    <cellStyle name="Neutral 20" xfId="1745"/>
    <cellStyle name="Neutral 21" xfId="1746"/>
    <cellStyle name="Neutral 22" xfId="1747"/>
    <cellStyle name="Neutral 3" xfId="1748"/>
    <cellStyle name="Neutral 3 2" xfId="8436"/>
    <cellStyle name="Neutral 4" xfId="1749"/>
    <cellStyle name="Neutral 5" xfId="1750"/>
    <cellStyle name="Neutral 6" xfId="1751"/>
    <cellStyle name="Neutral 7" xfId="1752"/>
    <cellStyle name="Neutral 8" xfId="1753"/>
    <cellStyle name="Neutral 9" xfId="1754"/>
    <cellStyle name="Normal" xfId="0" builtinId="0" customBuiltin="1"/>
    <cellStyle name="Normal - Style1" xfId="8437"/>
    <cellStyle name="Normal - Style1 2" xfId="8438"/>
    <cellStyle name="Normal - Style2" xfId="8439"/>
    <cellStyle name="Normal - Style3" xfId="8440"/>
    <cellStyle name="Normal - Style4" xfId="8441"/>
    <cellStyle name="Normal - Style5" xfId="8442"/>
    <cellStyle name="Normal - Style6" xfId="8443"/>
    <cellStyle name="Normal - Style7" xfId="8444"/>
    <cellStyle name="Normal - Style8" xfId="8445"/>
    <cellStyle name="Normal 10" xfId="1755"/>
    <cellStyle name="Normal 10 2" xfId="2107"/>
    <cellStyle name="Normal 10 2 2" xfId="8446"/>
    <cellStyle name="Normal 10 3" xfId="8447"/>
    <cellStyle name="Normal 11" xfId="1756"/>
    <cellStyle name="Normal 11 2" xfId="1757"/>
    <cellStyle name="Normal 11 2 2" xfId="8448"/>
    <cellStyle name="Normal 11 3" xfId="1758"/>
    <cellStyle name="Normal 11 4" xfId="1759"/>
    <cellStyle name="Normal 11 5" xfId="1760"/>
    <cellStyle name="Normal 12" xfId="1761"/>
    <cellStyle name="Normal 12 2" xfId="8449"/>
    <cellStyle name="Normal 12 2 2" xfId="8450"/>
    <cellStyle name="Normal 12 2 2 2" xfId="8451"/>
    <cellStyle name="Normal 12 2 2 2 2" xfId="8452"/>
    <cellStyle name="Normal 12 2 2 2 2 2" xfId="8453"/>
    <cellStyle name="Normal 12 2 2 2 2 2 2" xfId="8454"/>
    <cellStyle name="Normal 12 2 2 2 2 3" xfId="8455"/>
    <cellStyle name="Normal 12 2 2 2 3" xfId="8456"/>
    <cellStyle name="Normal 12 2 2 2 3 2" xfId="8457"/>
    <cellStyle name="Normal 12 2 2 2 4" xfId="8458"/>
    <cellStyle name="Normal 12 2 2 2 5" xfId="8459"/>
    <cellStyle name="Normal 12 2 2 3" xfId="8460"/>
    <cellStyle name="Normal 12 2 2 3 2" xfId="8461"/>
    <cellStyle name="Normal 12 2 2 3 2 2" xfId="8462"/>
    <cellStyle name="Normal 12 2 2 3 3" xfId="8463"/>
    <cellStyle name="Normal 12 2 2 4" xfId="8464"/>
    <cellStyle name="Normal 12 2 2 4 2" xfId="8465"/>
    <cellStyle name="Normal 12 2 2 5" xfId="8466"/>
    <cellStyle name="Normal 12 2 2 6" xfId="8467"/>
    <cellStyle name="Normal 12 2 3" xfId="8468"/>
    <cellStyle name="Normal 12 2 3 2" xfId="8469"/>
    <cellStyle name="Normal 12 2 3 2 2" xfId="8470"/>
    <cellStyle name="Normal 12 2 3 2 2 2" xfId="8471"/>
    <cellStyle name="Normal 12 2 3 2 3" xfId="8472"/>
    <cellStyle name="Normal 12 2 3 3" xfId="8473"/>
    <cellStyle name="Normal 12 2 3 3 2" xfId="8474"/>
    <cellStyle name="Normal 12 2 3 4" xfId="8475"/>
    <cellStyle name="Normal 12 2 3 5" xfId="8476"/>
    <cellStyle name="Normal 12 2 4" xfId="8477"/>
    <cellStyle name="Normal 12 2 4 2" xfId="8478"/>
    <cellStyle name="Normal 12 2 4 2 2" xfId="8479"/>
    <cellStyle name="Normal 12 2 4 3" xfId="8480"/>
    <cellStyle name="Normal 12 2 5" xfId="8481"/>
    <cellStyle name="Normal 12 2 5 2" xfId="8482"/>
    <cellStyle name="Normal 12 2 6" xfId="8483"/>
    <cellStyle name="Normal 12 2 7" xfId="8484"/>
    <cellStyle name="Normal 12 3" xfId="8485"/>
    <cellStyle name="Normal 12 3 2" xfId="8486"/>
    <cellStyle name="Normal 12 3 2 2" xfId="8487"/>
    <cellStyle name="Normal 12 3 2 2 2" xfId="8488"/>
    <cellStyle name="Normal 12 3 2 2 2 2" xfId="8489"/>
    <cellStyle name="Normal 12 3 2 2 3" xfId="8490"/>
    <cellStyle name="Normal 12 3 2 3" xfId="8491"/>
    <cellStyle name="Normal 12 3 2 3 2" xfId="8492"/>
    <cellStyle name="Normal 12 3 2 4" xfId="8493"/>
    <cellStyle name="Normal 12 3 3" xfId="8494"/>
    <cellStyle name="Normal 12 3 3 2" xfId="8495"/>
    <cellStyle name="Normal 12 3 3 2 2" xfId="8496"/>
    <cellStyle name="Normal 12 3 3 3" xfId="8497"/>
    <cellStyle name="Normal 12 3 4" xfId="8498"/>
    <cellStyle name="Normal 12 3 4 2" xfId="8499"/>
    <cellStyle name="Normal 12 3 5" xfId="8500"/>
    <cellStyle name="Normal 12 3 6" xfId="8501"/>
    <cellStyle name="Normal 12 4" xfId="8502"/>
    <cellStyle name="Normal 12 4 2" xfId="8503"/>
    <cellStyle name="Normal 12 4 2 2" xfId="8504"/>
    <cellStyle name="Normal 12 4 2 2 2" xfId="8505"/>
    <cellStyle name="Normal 12 4 2 3" xfId="8506"/>
    <cellStyle name="Normal 12 4 3" xfId="8507"/>
    <cellStyle name="Normal 12 4 3 2" xfId="8508"/>
    <cellStyle name="Normal 12 4 4" xfId="8509"/>
    <cellStyle name="Normal 12 5" xfId="8510"/>
    <cellStyle name="Normal 12 5 2" xfId="8511"/>
    <cellStyle name="Normal 12 5 2 2" xfId="8512"/>
    <cellStyle name="Normal 12 5 3" xfId="8513"/>
    <cellStyle name="Normal 12 6" xfId="8514"/>
    <cellStyle name="Normal 12 6 2" xfId="8515"/>
    <cellStyle name="Normal 12 7" xfId="8516"/>
    <cellStyle name="Normal 12 8" xfId="8517"/>
    <cellStyle name="Normal 13" xfId="1762"/>
    <cellStyle name="Normal 13 2" xfId="1763"/>
    <cellStyle name="Normal 13 2 2" xfId="8518"/>
    <cellStyle name="Normal 13 2 3" xfId="8519"/>
    <cellStyle name="Normal 13 3" xfId="1764"/>
    <cellStyle name="Normal 13 4" xfId="1765"/>
    <cellStyle name="Normal 13 5" xfId="1766"/>
    <cellStyle name="Normal 14" xfId="1767"/>
    <cellStyle name="Normal 14 2" xfId="8520"/>
    <cellStyle name="Normal 14 2 2" xfId="8521"/>
    <cellStyle name="Normal 14 2 2 2" xfId="8522"/>
    <cellStyle name="Normal 14 2 2 2 2" xfId="8523"/>
    <cellStyle name="Normal 14 2 2 3" xfId="8524"/>
    <cellStyle name="Normal 14 2 2 4" xfId="8525"/>
    <cellStyle name="Normal 14 2 3" xfId="8526"/>
    <cellStyle name="Normal 14 2 3 2" xfId="8527"/>
    <cellStyle name="Normal 14 2 4" xfId="8528"/>
    <cellStyle name="Normal 14 2 4 2" xfId="8529"/>
    <cellStyle name="Normal 14 2 5" xfId="8530"/>
    <cellStyle name="Normal 14 2 6" xfId="8531"/>
    <cellStyle name="Normal 14 2 7" xfId="8532"/>
    <cellStyle name="Normal 14 3" xfId="8533"/>
    <cellStyle name="Normal 14 3 2" xfId="8534"/>
    <cellStyle name="Normal 14 3 2 2" xfId="8535"/>
    <cellStyle name="Normal 14 3 3" xfId="8536"/>
    <cellStyle name="Normal 14 3 4" xfId="8537"/>
    <cellStyle name="Normal 14 4" xfId="8538"/>
    <cellStyle name="Normal 14 4 2" xfId="8539"/>
    <cellStyle name="Normal 14 4 3" xfId="8540"/>
    <cellStyle name="Normal 14 4 4" xfId="8541"/>
    <cellStyle name="Normal 14 5" xfId="8542"/>
    <cellStyle name="Normal 15" xfId="1768"/>
    <cellStyle name="Normal 15 2" xfId="8543"/>
    <cellStyle name="Normal 15 2 10" xfId="8544"/>
    <cellStyle name="Normal 15 2 11" xfId="8545"/>
    <cellStyle name="Normal 15 2 2" xfId="8546"/>
    <cellStyle name="Normal 15 2 2 2" xfId="8547"/>
    <cellStyle name="Normal 15 2 2 2 2" xfId="8548"/>
    <cellStyle name="Normal 15 2 2 2 2 2" xfId="8549"/>
    <cellStyle name="Normal 15 2 2 2 2 3" xfId="8550"/>
    <cellStyle name="Normal 15 2 2 2 3" xfId="8551"/>
    <cellStyle name="Normal 15 2 2 2 3 2" xfId="8552"/>
    <cellStyle name="Normal 15 2 2 2 4" xfId="8553"/>
    <cellStyle name="Normal 15 2 2 2 5" xfId="8554"/>
    <cellStyle name="Normal 15 2 2 2 6" xfId="8555"/>
    <cellStyle name="Normal 15 2 2 3" xfId="8556"/>
    <cellStyle name="Normal 15 2 2 3 2" xfId="8557"/>
    <cellStyle name="Normal 15 2 2 3 3" xfId="8558"/>
    <cellStyle name="Normal 15 2 2 4" xfId="8559"/>
    <cellStyle name="Normal 15 2 2 4 2" xfId="8560"/>
    <cellStyle name="Normal 15 2 2 5" xfId="8561"/>
    <cellStyle name="Normal 15 2 2 6" xfId="8562"/>
    <cellStyle name="Normal 15 2 2 7" xfId="8563"/>
    <cellStyle name="Normal 15 2 3" xfId="8564"/>
    <cellStyle name="Normal 15 2 3 2" xfId="8565"/>
    <cellStyle name="Normal 15 2 3 2 2" xfId="8566"/>
    <cellStyle name="Normal 15 2 3 2 2 2" xfId="8567"/>
    <cellStyle name="Normal 15 2 3 2 3" xfId="8568"/>
    <cellStyle name="Normal 15 2 3 2 4" xfId="8569"/>
    <cellStyle name="Normal 15 2 3 2 5" xfId="8570"/>
    <cellStyle name="Normal 15 2 3 2 6" xfId="8571"/>
    <cellStyle name="Normal 15 2 3 3" xfId="8572"/>
    <cellStyle name="Normal 15 2 3 3 2" xfId="8573"/>
    <cellStyle name="Normal 15 2 3 4" xfId="8574"/>
    <cellStyle name="Normal 15 2 3 5" xfId="8575"/>
    <cellStyle name="Normal 15 2 3 6" xfId="8576"/>
    <cellStyle name="Normal 15 2 3 7" xfId="8577"/>
    <cellStyle name="Normal 15 2 4" xfId="8578"/>
    <cellStyle name="Normal 15 2 4 2" xfId="8579"/>
    <cellStyle name="Normal 15 2 4 2 2" xfId="8580"/>
    <cellStyle name="Normal 15 2 4 3" xfId="8581"/>
    <cellStyle name="Normal 15 2 4 4" xfId="8582"/>
    <cellStyle name="Normal 15 2 4 5" xfId="8583"/>
    <cellStyle name="Normal 15 2 4 6" xfId="8584"/>
    <cellStyle name="Normal 15 2 5" xfId="8585"/>
    <cellStyle name="Normal 15 2 5 2" xfId="8586"/>
    <cellStyle name="Normal 15 2 5 2 2" xfId="8587"/>
    <cellStyle name="Normal 15 2 5 3" xfId="8588"/>
    <cellStyle name="Normal 15 2 5 4" xfId="8589"/>
    <cellStyle name="Normal 15 2 5 5" xfId="8590"/>
    <cellStyle name="Normal 15 2 6" xfId="8591"/>
    <cellStyle name="Normal 15 2 6 2" xfId="8592"/>
    <cellStyle name="Normal 15 2 7" xfId="8593"/>
    <cellStyle name="Normal 15 2 8" xfId="8594"/>
    <cellStyle name="Normal 15 2 9" xfId="8595"/>
    <cellStyle name="Normal 15 3" xfId="8596"/>
    <cellStyle name="Normal 15 3 2" xfId="8597"/>
    <cellStyle name="Normal 15 3 2 2" xfId="8598"/>
    <cellStyle name="Normal 15 3 2 2 2" xfId="8599"/>
    <cellStyle name="Normal 15 3 2 2 3" xfId="8600"/>
    <cellStyle name="Normal 15 3 2 3" xfId="8601"/>
    <cellStyle name="Normal 15 3 2 3 2" xfId="8602"/>
    <cellStyle name="Normal 15 3 2 4" xfId="8603"/>
    <cellStyle name="Normal 15 3 2 5" xfId="8604"/>
    <cellStyle name="Normal 15 3 2 6" xfId="8605"/>
    <cellStyle name="Normal 15 3 3" xfId="8606"/>
    <cellStyle name="Normal 15 3 3 2" xfId="8607"/>
    <cellStyle name="Normal 15 3 3 3" xfId="8608"/>
    <cellStyle name="Normal 15 3 4" xfId="8609"/>
    <cellStyle name="Normal 15 3 4 2" xfId="8610"/>
    <cellStyle name="Normal 15 3 5" xfId="8611"/>
    <cellStyle name="Normal 15 3 6" xfId="8612"/>
    <cellStyle name="Normal 15 3 7" xfId="8613"/>
    <cellStyle name="Normal 15 4" xfId="8614"/>
    <cellStyle name="Normal 15 4 2" xfId="8615"/>
    <cellStyle name="Normal 15 4 2 2" xfId="8616"/>
    <cellStyle name="Normal 15 4 2 2 2" xfId="8617"/>
    <cellStyle name="Normal 15 4 2 3" xfId="8618"/>
    <cellStyle name="Normal 15 4 2 4" xfId="8619"/>
    <cellStyle name="Normal 15 4 2 5" xfId="8620"/>
    <cellStyle name="Normal 15 4 2 6" xfId="8621"/>
    <cellStyle name="Normal 15 4 3" xfId="8622"/>
    <cellStyle name="Normal 15 4 3 2" xfId="8623"/>
    <cellStyle name="Normal 15 4 4" xfId="8624"/>
    <cellStyle name="Normal 15 4 5" xfId="8625"/>
    <cellStyle name="Normal 15 4 6" xfId="8626"/>
    <cellStyle name="Normal 15 4 7" xfId="8627"/>
    <cellStyle name="Normal 15 5" xfId="8628"/>
    <cellStyle name="Normal 15 5 2" xfId="8629"/>
    <cellStyle name="Normal 15 5 2 2" xfId="8630"/>
    <cellStyle name="Normal 15 5 2 3" xfId="8631"/>
    <cellStyle name="Normal 15 5 3" xfId="8632"/>
    <cellStyle name="Normal 15 5 4" xfId="8633"/>
    <cellStyle name="Normal 15 5 5" xfId="8634"/>
    <cellStyle name="Normal 15 6" xfId="8635"/>
    <cellStyle name="Normal 15 6 2" xfId="8636"/>
    <cellStyle name="Normal 15 6 2 2" xfId="8637"/>
    <cellStyle name="Normal 15 6 3" xfId="8638"/>
    <cellStyle name="Normal 15 6 4" xfId="8639"/>
    <cellStyle name="Normal 15 6 5" xfId="8640"/>
    <cellStyle name="Normal 15 7" xfId="8641"/>
    <cellStyle name="Normal 15 7 2" xfId="8642"/>
    <cellStyle name="Normal 15 7 2 2" xfId="8643"/>
    <cellStyle name="Normal 15 7 3" xfId="8644"/>
    <cellStyle name="Normal 15 7 4" xfId="8645"/>
    <cellStyle name="Normal 15 7 5" xfId="8646"/>
    <cellStyle name="Normal 16" xfId="1769"/>
    <cellStyle name="Normal 16 2" xfId="8647"/>
    <cellStyle name="Normal 16 2 2" xfId="8648"/>
    <cellStyle name="Normal 17" xfId="1770"/>
    <cellStyle name="Normal 17 2" xfId="8649"/>
    <cellStyle name="Normal 17 2 2" xfId="8650"/>
    <cellStyle name="Normal 17 2 2 2" xfId="8651"/>
    <cellStyle name="Normal 17 2 2 2 2" xfId="8652"/>
    <cellStyle name="Normal 17 2 2 2 3" xfId="8653"/>
    <cellStyle name="Normal 17 2 2 3" xfId="8654"/>
    <cellStyle name="Normal 17 2 2 3 2" xfId="8655"/>
    <cellStyle name="Normal 17 2 2 4" xfId="8656"/>
    <cellStyle name="Normal 17 2 2 5" xfId="8657"/>
    <cellStyle name="Normal 17 2 2 6" xfId="8658"/>
    <cellStyle name="Normal 17 2 3" xfId="8659"/>
    <cellStyle name="Normal 17 2 3 2" xfId="8660"/>
    <cellStyle name="Normal 17 2 3 3" xfId="8661"/>
    <cellStyle name="Normal 17 2 4" xfId="8662"/>
    <cellStyle name="Normal 17 2 4 2" xfId="8663"/>
    <cellStyle name="Normal 17 2 5" xfId="8664"/>
    <cellStyle name="Normal 17 2 6" xfId="8665"/>
    <cellStyle name="Normal 17 2 7" xfId="8666"/>
    <cellStyle name="Normal 17 2 8" xfId="8667"/>
    <cellStyle name="Normal 17 3" xfId="8668"/>
    <cellStyle name="Normal 17 3 2" xfId="8669"/>
    <cellStyle name="Normal 17 3 2 2" xfId="8670"/>
    <cellStyle name="Normal 17 3 2 2 2" xfId="8671"/>
    <cellStyle name="Normal 17 3 2 3" xfId="8672"/>
    <cellStyle name="Normal 17 3 2 4" xfId="8673"/>
    <cellStyle name="Normal 17 3 2 5" xfId="8674"/>
    <cellStyle name="Normal 17 3 3" xfId="8675"/>
    <cellStyle name="Normal 17 3 3 2" xfId="8676"/>
    <cellStyle name="Normal 17 3 4" xfId="8677"/>
    <cellStyle name="Normal 17 3 5" xfId="8678"/>
    <cellStyle name="Normal 17 3 6" xfId="8679"/>
    <cellStyle name="Normal 17 3 7" xfId="8680"/>
    <cellStyle name="Normal 17 4" xfId="8681"/>
    <cellStyle name="Normal 17 4 2" xfId="8682"/>
    <cellStyle name="Normal 17 4 2 2" xfId="8683"/>
    <cellStyle name="Normal 17 4 3" xfId="8684"/>
    <cellStyle name="Normal 17 4 4" xfId="8685"/>
    <cellStyle name="Normal 17 4 5" xfId="8686"/>
    <cellStyle name="Normal 17 5" xfId="8687"/>
    <cellStyle name="Normal 17 5 2" xfId="8688"/>
    <cellStyle name="Normal 17 5 2 2" xfId="8689"/>
    <cellStyle name="Normal 17 5 3" xfId="8690"/>
    <cellStyle name="Normal 17 5 4" xfId="8691"/>
    <cellStyle name="Normal 17 5 5" xfId="8692"/>
    <cellStyle name="Normal 17 6" xfId="8693"/>
    <cellStyle name="Normal 17 6 2" xfId="8694"/>
    <cellStyle name="Normal 17 6 2 2" xfId="8695"/>
    <cellStyle name="Normal 17 6 3" xfId="8696"/>
    <cellStyle name="Normal 17 6 4" xfId="8697"/>
    <cellStyle name="Normal 17 6 5" xfId="8698"/>
    <cellStyle name="Normal 17 7" xfId="8699"/>
    <cellStyle name="Normal 18" xfId="1771"/>
    <cellStyle name="Normal 18 2" xfId="8700"/>
    <cellStyle name="Normal 18 2 2" xfId="8701"/>
    <cellStyle name="Normal 18 2 2 2" xfId="8702"/>
    <cellStyle name="Normal 18 2 2 3" xfId="8703"/>
    <cellStyle name="Normal 18 2 3" xfId="8704"/>
    <cellStyle name="Normal 18 2 4" xfId="8705"/>
    <cellStyle name="Normal 18 2 5" xfId="8706"/>
    <cellStyle name="Normal 18 2 6" xfId="8707"/>
    <cellStyle name="Normal 18 2 7" xfId="8708"/>
    <cellStyle name="Normal 18 3" xfId="8709"/>
    <cellStyle name="Normal 18 3 2" xfId="8710"/>
    <cellStyle name="Normal 18 3 2 2" xfId="8711"/>
    <cellStyle name="Normal 18 3 3" xfId="8712"/>
    <cellStyle name="Normal 18 3 4" xfId="8713"/>
    <cellStyle name="Normal 18 3 5" xfId="8714"/>
    <cellStyle name="Normal 18 3 6" xfId="8715"/>
    <cellStyle name="Normal 18 4" xfId="8716"/>
    <cellStyle name="Normal 19" xfId="1772"/>
    <cellStyle name="Normal 19 2" xfId="8717"/>
    <cellStyle name="Normal 19 2 2" xfId="8718"/>
    <cellStyle name="Normal 19 3" xfId="2112"/>
    <cellStyle name="Normal 2" xfId="5"/>
    <cellStyle name="Normal 2 10" xfId="1773"/>
    <cellStyle name="Normal 2 10 2" xfId="8719"/>
    <cellStyle name="Normal 2 10 2 2" xfId="8720"/>
    <cellStyle name="Normal 2 10 3" xfId="8721"/>
    <cellStyle name="Normal 2 11" xfId="1774"/>
    <cellStyle name="Normal 2 11 2" xfId="8722"/>
    <cellStyle name="Normal 2 11 2 2" xfId="8723"/>
    <cellStyle name="Normal 2 11 3" xfId="8724"/>
    <cellStyle name="Normal 2 12" xfId="1775"/>
    <cellStyle name="Normal 2 12 2" xfId="8725"/>
    <cellStyle name="Normal 2 13" xfId="1776"/>
    <cellStyle name="Normal 2 14" xfId="1777"/>
    <cellStyle name="Normal 2 15" xfId="1778"/>
    <cellStyle name="Normal 2 16" xfId="1779"/>
    <cellStyle name="Normal 2 17" xfId="1780"/>
    <cellStyle name="Normal 2 18" xfId="1781"/>
    <cellStyle name="Normal 2 18 2" xfId="8726"/>
    <cellStyle name="Normal 2 18 2 2" xfId="8727"/>
    <cellStyle name="Normal 2 18 3" xfId="8728"/>
    <cellStyle name="Normal 2 18 4" xfId="8729"/>
    <cellStyle name="Normal 2 19" xfId="1782"/>
    <cellStyle name="Normal 2 19 2" xfId="1783"/>
    <cellStyle name="Normal 2 19 3" xfId="1784"/>
    <cellStyle name="Normal 2 19 4" xfId="1785"/>
    <cellStyle name="Normal 2 19 5" xfId="1786"/>
    <cellStyle name="Normal 2 2" xfId="6"/>
    <cellStyle name="Normal 2 2 2" xfId="1787"/>
    <cellStyle name="Normal 2 2 2 2" xfId="8730"/>
    <cellStyle name="Normal 2 2 2 2 2" xfId="8731"/>
    <cellStyle name="Normal 2 2 2 3" xfId="8732"/>
    <cellStyle name="Normal 2 2 2 3 2" xfId="8733"/>
    <cellStyle name="Normal 2 2 2 4" xfId="8734"/>
    <cellStyle name="Normal 2 2 2 4 2" xfId="8735"/>
    <cellStyle name="Normal 2 2 2 5" xfId="8736"/>
    <cellStyle name="Normal 2 2 3" xfId="8737"/>
    <cellStyle name="Normal 2 2 3 2" xfId="8738"/>
    <cellStyle name="Normal 2 2 3 3" xfId="8739"/>
    <cellStyle name="Normal 2 2 4" xfId="8740"/>
    <cellStyle name="Normal 2 2 4 2" xfId="8741"/>
    <cellStyle name="Normal 2 2 4 2 2" xfId="8742"/>
    <cellStyle name="Normal 2 2 4 2 2 2" xfId="8743"/>
    <cellStyle name="Normal 2 2 4 2 2 2 2" xfId="8744"/>
    <cellStyle name="Normal 2 2 4 2 2 3" xfId="8745"/>
    <cellStyle name="Normal 2 2 4 2 2 4" xfId="8746"/>
    <cellStyle name="Normal 2 2 4 2 3" xfId="8747"/>
    <cellStyle name="Normal 2 2 4 2 3 2" xfId="8748"/>
    <cellStyle name="Normal 2 2 4 2 4" xfId="8749"/>
    <cellStyle name="Normal 2 2 4 2 5" xfId="8750"/>
    <cellStyle name="Normal 2 2 4 3" xfId="8751"/>
    <cellStyle name="Normal 2 2 4 3 2" xfId="8752"/>
    <cellStyle name="Normal 2 2 4 3 2 2" xfId="8753"/>
    <cellStyle name="Normal 2 2 4 3 3" xfId="8754"/>
    <cellStyle name="Normal 2 2 4 3 4" xfId="8755"/>
    <cellStyle name="Normal 2 2 4 4" xfId="8756"/>
    <cellStyle name="Normal 2 2 4 4 2" xfId="8757"/>
    <cellStyle name="Normal 2 2 4 5" xfId="8758"/>
    <cellStyle name="Normal 2 2 4 5 2" xfId="8759"/>
    <cellStyle name="Normal 2 2 4 6" xfId="8760"/>
    <cellStyle name="Normal 2 2 4 7" xfId="8761"/>
    <cellStyle name="Normal 2 2 5" xfId="8762"/>
    <cellStyle name="Normal 2 2 5 2" xfId="8763"/>
    <cellStyle name="Normal 2 2 5 2 2" xfId="8764"/>
    <cellStyle name="Normal 2 2 5 2 3" xfId="8765"/>
    <cellStyle name="Normal 2 2 5 3" xfId="8766"/>
    <cellStyle name="Normal 2 2 5 4" xfId="8767"/>
    <cellStyle name="Normal 2 2 5 5" xfId="8768"/>
    <cellStyle name="Normal 2 2 5 6" xfId="8769"/>
    <cellStyle name="Normal 2 2 6" xfId="8770"/>
    <cellStyle name="Normal 2 2 6 2" xfId="8771"/>
    <cellStyle name="Normal 2 2 6 2 2" xfId="8772"/>
    <cellStyle name="Normal 2 2 6 3" xfId="8773"/>
    <cellStyle name="Normal 2 2 6 4" xfId="8774"/>
    <cellStyle name="Normal 2 2 6 5" xfId="8775"/>
    <cellStyle name="Normal 2 2 7" xfId="8776"/>
    <cellStyle name="Normal 2 2 8" xfId="8777"/>
    <cellStyle name="Normal 2 2 8 2" xfId="8778"/>
    <cellStyle name="Normal 2 2 8 3" xfId="8779"/>
    <cellStyle name="Normal 2 20" xfId="1788"/>
    <cellStyle name="Normal 2 20 2" xfId="8780"/>
    <cellStyle name="Normal 2 20 3" xfId="8781"/>
    <cellStyle name="Normal 2 21" xfId="1789"/>
    <cellStyle name="Normal 2 21 2" xfId="8782"/>
    <cellStyle name="Normal 2 22" xfId="1790"/>
    <cellStyle name="Normal 2 23" xfId="1791"/>
    <cellStyle name="Normal 2 24" xfId="1792"/>
    <cellStyle name="Normal 2 25" xfId="1793"/>
    <cellStyle name="Normal 2 3" xfId="1794"/>
    <cellStyle name="Normal 2 3 2" xfId="8783"/>
    <cellStyle name="Normal 2 3 2 2" xfId="8784"/>
    <cellStyle name="Normal 2 3 2 3" xfId="8785"/>
    <cellStyle name="Normal 2 3 3" xfId="8786"/>
    <cellStyle name="Normal 2 3 4" xfId="8787"/>
    <cellStyle name="Normal 2 3 4 2" xfId="8788"/>
    <cellStyle name="Normal 2 3 4 2 2" xfId="8789"/>
    <cellStyle name="Normal 2 3 4 3" xfId="8790"/>
    <cellStyle name="Normal 2 3 4 4" xfId="8791"/>
    <cellStyle name="Normal 2 3 4 5" xfId="8792"/>
    <cellStyle name="Normal 2 3 5" xfId="8793"/>
    <cellStyle name="Normal 2 3 5 2" xfId="8794"/>
    <cellStyle name="Normal 2 3 5 2 2" xfId="8795"/>
    <cellStyle name="Normal 2 3 5 3" xfId="8796"/>
    <cellStyle name="Normal 2 3 5 4" xfId="8797"/>
    <cellStyle name="Normal 2 3 5 5" xfId="8798"/>
    <cellStyle name="Normal 2 3 6" xfId="8799"/>
    <cellStyle name="Normal 2 3 6 2" xfId="8800"/>
    <cellStyle name="Normal 2 4" xfId="1795"/>
    <cellStyle name="Normal 2 4 2" xfId="8801"/>
    <cellStyle name="Normal 2 4 2 2" xfId="8802"/>
    <cellStyle name="Normal 2 4 2 3" xfId="8803"/>
    <cellStyle name="Normal 2 4 3" xfId="8804"/>
    <cellStyle name="Normal 2 4 3 2" xfId="8805"/>
    <cellStyle name="Normal 2 4 4" xfId="8806"/>
    <cellStyle name="Normal 2 4 4 2" xfId="8807"/>
    <cellStyle name="Normal 2 4 5" xfId="8808"/>
    <cellStyle name="Normal 2 41" xfId="8809"/>
    <cellStyle name="Normal 2 43" xfId="8810"/>
    <cellStyle name="Normal 2 5" xfId="1796"/>
    <cellStyle name="Normal 2 5 2" xfId="8811"/>
    <cellStyle name="Normal 2 5 2 2" xfId="8812"/>
    <cellStyle name="Normal 2 5 2 2 2" xfId="8813"/>
    <cellStyle name="Normal 2 5 2 2 2 2" xfId="8814"/>
    <cellStyle name="Normal 2 5 2 2 3" xfId="8815"/>
    <cellStyle name="Normal 2 5 2 2 4" xfId="8816"/>
    <cellStyle name="Normal 2 5 2 3" xfId="8817"/>
    <cellStyle name="Normal 2 5 2 3 2" xfId="8818"/>
    <cellStyle name="Normal 2 5 2 3 2 2" xfId="8819"/>
    <cellStyle name="Normal 2 5 2 3 3" xfId="8820"/>
    <cellStyle name="Normal 2 5 2 3 4" xfId="8821"/>
    <cellStyle name="Normal 2 5 2 4" xfId="8822"/>
    <cellStyle name="Normal 2 5 2 4 2" xfId="8823"/>
    <cellStyle name="Normal 2 5 2 5" xfId="8824"/>
    <cellStyle name="Normal 2 5 2 6" xfId="8825"/>
    <cellStyle name="Normal 2 5 2 7" xfId="8826"/>
    <cellStyle name="Normal 2 5 3" xfId="8827"/>
    <cellStyle name="Normal 2 5 3 2" xfId="8828"/>
    <cellStyle name="Normal 2 5 3 2 2" xfId="8829"/>
    <cellStyle name="Normal 2 5 3 3" xfId="8830"/>
    <cellStyle name="Normal 2 5 3 4" xfId="8831"/>
    <cellStyle name="Normal 2 5 4" xfId="8832"/>
    <cellStyle name="Normal 2 5 4 2" xfId="8833"/>
    <cellStyle name="Normal 2 5 4 2 2" xfId="8834"/>
    <cellStyle name="Normal 2 5 4 3" xfId="8835"/>
    <cellStyle name="Normal 2 5 4 4" xfId="8836"/>
    <cellStyle name="Normal 2 5 5" xfId="8837"/>
    <cellStyle name="Normal 2 5 6" xfId="8838"/>
    <cellStyle name="Normal 2 6" xfId="1797"/>
    <cellStyle name="Normal 2 6 2" xfId="8839"/>
    <cellStyle name="Normal 2 6 3" xfId="8840"/>
    <cellStyle name="Normal 2 7" xfId="1798"/>
    <cellStyle name="Normal 2 7 2" xfId="8841"/>
    <cellStyle name="Normal 2 7 2 2" xfId="8842"/>
    <cellStyle name="Normal 2 7 2 2 2" xfId="8843"/>
    <cellStyle name="Normal 2 7 2 2 3" xfId="8844"/>
    <cellStyle name="Normal 2 7 2 3" xfId="8845"/>
    <cellStyle name="Normal 2 7 2 3 2" xfId="8846"/>
    <cellStyle name="Normal 2 7 2 4" xfId="8847"/>
    <cellStyle name="Normal 2 7 2 5" xfId="8848"/>
    <cellStyle name="Normal 2 7 3" xfId="8849"/>
    <cellStyle name="Normal 2 7 3 2" xfId="8850"/>
    <cellStyle name="Normal 2 7 3 2 2" xfId="8851"/>
    <cellStyle name="Normal 2 7 3 3" xfId="8852"/>
    <cellStyle name="Normal 2 7 3 4" xfId="8853"/>
    <cellStyle name="Normal 2 7 3 5" xfId="8854"/>
    <cellStyle name="Normal 2 7 4" xfId="8855"/>
    <cellStyle name="Normal 2 7 4 2" xfId="8856"/>
    <cellStyle name="Normal 2 7 4 2 2" xfId="8857"/>
    <cellStyle name="Normal 2 7 4 3" xfId="8858"/>
    <cellStyle name="Normal 2 7 4 4" xfId="8859"/>
    <cellStyle name="Normal 2 7 4 5" xfId="8860"/>
    <cellStyle name="Normal 2 7 5" xfId="8861"/>
    <cellStyle name="Normal 2 8" xfId="1799"/>
    <cellStyle name="Normal 2 8 2" xfId="8862"/>
    <cellStyle name="Normal 2 8 2 2" xfId="8863"/>
    <cellStyle name="Normal 2 8 2 2 2" xfId="8864"/>
    <cellStyle name="Normal 2 8 2 3" xfId="8865"/>
    <cellStyle name="Normal 2 8 2 4" xfId="8866"/>
    <cellStyle name="Normal 2 8 2 5" xfId="8867"/>
    <cellStyle name="Normal 2 8 3" xfId="8868"/>
    <cellStyle name="Normal 2 8 3 2" xfId="8869"/>
    <cellStyle name="Normal 2 8 3 2 2" xfId="8870"/>
    <cellStyle name="Normal 2 8 3 3" xfId="8871"/>
    <cellStyle name="Normal 2 8 3 4" xfId="8872"/>
    <cellStyle name="Normal 2 8 3 5" xfId="8873"/>
    <cellStyle name="Normal 2 8 4" xfId="8874"/>
    <cellStyle name="Normal 2 9" xfId="1800"/>
    <cellStyle name="Normal 2 9 2" xfId="8875"/>
    <cellStyle name="Normal 2 9 2 2" xfId="8876"/>
    <cellStyle name="Normal 2 9 2 2 2" xfId="8877"/>
    <cellStyle name="Normal 2 9 2 3" xfId="8878"/>
    <cellStyle name="Normal 2 9 2 4" xfId="8879"/>
    <cellStyle name="Normal 2 9 2 5" xfId="8880"/>
    <cellStyle name="Normal 2 9 3" xfId="8881"/>
    <cellStyle name="Normal 2_LGEElecBillingDeterminants2009-10" xfId="8882"/>
    <cellStyle name="Normal 20" xfId="1801"/>
    <cellStyle name="Normal 20 2" xfId="1802"/>
    <cellStyle name="Normal 20 2 2" xfId="8883"/>
    <cellStyle name="Normal 20 2 2 2" xfId="8884"/>
    <cellStyle name="Normal 20 2 3" xfId="8885"/>
    <cellStyle name="Normal 20 2 4" xfId="8886"/>
    <cellStyle name="Normal 20 2 5" xfId="8887"/>
    <cellStyle name="Normal 20 3" xfId="1803"/>
    <cellStyle name="Normal 20 3 2" xfId="8888"/>
    <cellStyle name="Normal 20 3 3" xfId="8889"/>
    <cellStyle name="Normal 20 3 4" xfId="8890"/>
    <cellStyle name="Normal 20 4" xfId="1804"/>
    <cellStyle name="Normal 20 5" xfId="1805"/>
    <cellStyle name="Normal 21" xfId="1806"/>
    <cellStyle name="Normal 21 2" xfId="8891"/>
    <cellStyle name="Normal 22" xfId="1807"/>
    <cellStyle name="Normal 22 2" xfId="8892"/>
    <cellStyle name="Normal 22 2 2" xfId="8893"/>
    <cellStyle name="Normal 22 2 3" xfId="8894"/>
    <cellStyle name="Normal 22 2 4" xfId="8895"/>
    <cellStyle name="Normal 22 2 5" xfId="8896"/>
    <cellStyle name="Normal 22 3" xfId="8897"/>
    <cellStyle name="Normal 23" xfId="1808"/>
    <cellStyle name="Normal 23 2" xfId="8898"/>
    <cellStyle name="Normal 23 2 2" xfId="8899"/>
    <cellStyle name="Normal 23 2 3" xfId="8900"/>
    <cellStyle name="Normal 23 2 4" xfId="8901"/>
    <cellStyle name="Normal 23 2 5" xfId="8902"/>
    <cellStyle name="Normal 23 3" xfId="8903"/>
    <cellStyle name="Normal 24" xfId="1809"/>
    <cellStyle name="Normal 24 2" xfId="8904"/>
    <cellStyle name="Normal 24 3" xfId="8905"/>
    <cellStyle name="Normal 25" xfId="1810"/>
    <cellStyle name="Normal 25 2" xfId="8906"/>
    <cellStyle name="Normal 26" xfId="1811"/>
    <cellStyle name="Normal 26 2" xfId="8907"/>
    <cellStyle name="Normal 26 2 2" xfId="8908"/>
    <cellStyle name="Normal 26 3" xfId="8909"/>
    <cellStyle name="Normal 26 3 2" xfId="8910"/>
    <cellStyle name="Normal 26 3 3" xfId="8911"/>
    <cellStyle name="Normal 26 4" xfId="8912"/>
    <cellStyle name="Normal 26 4 2" xfId="8913"/>
    <cellStyle name="Normal 26 4 3" xfId="8914"/>
    <cellStyle name="Normal 26 5" xfId="8915"/>
    <cellStyle name="Normal 26 5 2" xfId="8916"/>
    <cellStyle name="Normal 26 6" xfId="8917"/>
    <cellStyle name="Normal 26 7" xfId="8918"/>
    <cellStyle name="Normal 26 8" xfId="8919"/>
    <cellStyle name="Normal 27" xfId="1812"/>
    <cellStyle name="Normal 27 2" xfId="8920"/>
    <cellStyle name="Normal 27 2 2" xfId="8921"/>
    <cellStyle name="Normal 27 2 2 2" xfId="8922"/>
    <cellStyle name="Normal 27 2 2 3" xfId="8923"/>
    <cellStyle name="Normal 27 2 3" xfId="8924"/>
    <cellStyle name="Normal 27 2 4" xfId="8925"/>
    <cellStyle name="Normal 27 3" xfId="8926"/>
    <cellStyle name="Normal 27 3 2" xfId="8927"/>
    <cellStyle name="Normal 27 3 3" xfId="8928"/>
    <cellStyle name="Normal 27 4" xfId="8929"/>
    <cellStyle name="Normal 27 5" xfId="8930"/>
    <cellStyle name="Normal 28" xfId="1813"/>
    <cellStyle name="Normal 28 2" xfId="8931"/>
    <cellStyle name="Normal 28 2 2" xfId="8932"/>
    <cellStyle name="Normal 28 2 2 2" xfId="8933"/>
    <cellStyle name="Normal 28 2 3" xfId="8934"/>
    <cellStyle name="Normal 28 2 3 2" xfId="8935"/>
    <cellStyle name="Normal 28 2 4" xfId="8936"/>
    <cellStyle name="Normal 28 3" xfId="8937"/>
    <cellStyle name="Normal 28 3 2" xfId="8938"/>
    <cellStyle name="Normal 28 4" xfId="8939"/>
    <cellStyle name="Normal 28 4 2" xfId="8940"/>
    <cellStyle name="Normal 28 4 3" xfId="8941"/>
    <cellStyle name="Normal 28 5" xfId="8942"/>
    <cellStyle name="Normal 28 5 2" xfId="8943"/>
    <cellStyle name="Normal 28 6" xfId="8944"/>
    <cellStyle name="Normal 28 7" xfId="8945"/>
    <cellStyle name="Normal 28 8" xfId="8946"/>
    <cellStyle name="Normal 29" xfId="1814"/>
    <cellStyle name="Normal 29 2" xfId="8947"/>
    <cellStyle name="Normal 29 2 2" xfId="8948"/>
    <cellStyle name="Normal 29 2 3" xfId="8949"/>
    <cellStyle name="Normal 29 2 4" xfId="8950"/>
    <cellStyle name="Normal 29 3" xfId="8951"/>
    <cellStyle name="Normal 29 3 2" xfId="8952"/>
    <cellStyle name="Normal 29 4" xfId="8953"/>
    <cellStyle name="Normal 29 5" xfId="8954"/>
    <cellStyle name="Normal 29 6" xfId="8955"/>
    <cellStyle name="Normal 3" xfId="8"/>
    <cellStyle name="Normal 3 10" xfId="1815"/>
    <cellStyle name="Normal 3 11" xfId="1816"/>
    <cellStyle name="Normal 3 12" xfId="1817"/>
    <cellStyle name="Normal 3 13" xfId="1818"/>
    <cellStyle name="Normal 3 14" xfId="1819"/>
    <cellStyle name="Normal 3 15" xfId="1820"/>
    <cellStyle name="Normal 3 16" xfId="1821"/>
    <cellStyle name="Normal 3 17" xfId="1822"/>
    <cellStyle name="Normal 3 17 2" xfId="8956"/>
    <cellStyle name="Normal 3 17 2 2" xfId="8957"/>
    <cellStyle name="Normal 3 17 3" xfId="8958"/>
    <cellStyle name="Normal 3 18" xfId="1823"/>
    <cellStyle name="Normal 3 18 2" xfId="8959"/>
    <cellStyle name="Normal 3 18 2 2" xfId="8960"/>
    <cellStyle name="Normal 3 18 2 3" xfId="8961"/>
    <cellStyle name="Normal 3 18 3" xfId="8962"/>
    <cellStyle name="Normal 3 18 3 2" xfId="8963"/>
    <cellStyle name="Normal 3 18 4" xfId="8964"/>
    <cellStyle name="Normal 3 18 5" xfId="8965"/>
    <cellStyle name="Normal 3 18 6" xfId="8966"/>
    <cellStyle name="Normal 3 19" xfId="8967"/>
    <cellStyle name="Normal 3 19 2" xfId="8968"/>
    <cellStyle name="Normal 3 19 3" xfId="8969"/>
    <cellStyle name="Normal 3 2" xfId="1824"/>
    <cellStyle name="Normal 3 2 2" xfId="8970"/>
    <cellStyle name="Normal 3 2 2 2" xfId="8971"/>
    <cellStyle name="Normal 3 2 2 3" xfId="8972"/>
    <cellStyle name="Normal 3 2 3" xfId="8973"/>
    <cellStyle name="Normal 3 2 3 2" xfId="8974"/>
    <cellStyle name="Normal 3 2 4" xfId="8975"/>
    <cellStyle name="Normal 3 2 4 2" xfId="8976"/>
    <cellStyle name="Normal 3 2 4 3" xfId="8977"/>
    <cellStyle name="Normal 3 2 4 4" xfId="8978"/>
    <cellStyle name="Normal 3 20" xfId="8979"/>
    <cellStyle name="Normal 3 20 2" xfId="8980"/>
    <cellStyle name="Normal 3 20 3" xfId="8981"/>
    <cellStyle name="Normal 3 21" xfId="8982"/>
    <cellStyle name="Normal 3 22" xfId="8983"/>
    <cellStyle name="Normal 3 23" xfId="8984"/>
    <cellStyle name="Normal 3 3" xfId="1825"/>
    <cellStyle name="Normal 3 3 2" xfId="8985"/>
    <cellStyle name="Normal 3 3 2 2" xfId="8986"/>
    <cellStyle name="Normal 3 3 2 3" xfId="8987"/>
    <cellStyle name="Normal 3 3 3" xfId="8988"/>
    <cellStyle name="Normal 3 3 3 2" xfId="8989"/>
    <cellStyle name="Normal 3 3 4" xfId="8990"/>
    <cellStyle name="Normal 3 3 5" xfId="8991"/>
    <cellStyle name="Normal 3 4" xfId="1826"/>
    <cellStyle name="Normal 3 4 2" xfId="8992"/>
    <cellStyle name="Normal 3 4 3" xfId="8993"/>
    <cellStyle name="Normal 3 4 3 2" xfId="8994"/>
    <cellStyle name="Normal 3 4 4" xfId="8995"/>
    <cellStyle name="Normal 3 4 5" xfId="8996"/>
    <cellStyle name="Normal 3 5" xfId="1827"/>
    <cellStyle name="Normal 3 5 2" xfId="8997"/>
    <cellStyle name="Normal 3 6" xfId="1828"/>
    <cellStyle name="Normal 3 7" xfId="1829"/>
    <cellStyle name="Normal 3 8" xfId="1830"/>
    <cellStyle name="Normal 3 9" xfId="1831"/>
    <cellStyle name="Normal 3_LGEElecBillingDeterminants2009-10" xfId="8998"/>
    <cellStyle name="Normal 30" xfId="1832"/>
    <cellStyle name="Normal 30 2" xfId="8999"/>
    <cellStyle name="Normal 30 2 2" xfId="9000"/>
    <cellStyle name="Normal 30 2 3" xfId="9001"/>
    <cellStyle name="Normal 30 2 4" xfId="9002"/>
    <cellStyle name="Normal 30 3" xfId="9003"/>
    <cellStyle name="Normal 30 3 2" xfId="9004"/>
    <cellStyle name="Normal 30 4" xfId="9005"/>
    <cellStyle name="Normal 30 5" xfId="9006"/>
    <cellStyle name="Normal 30 6" xfId="9007"/>
    <cellStyle name="Normal 30 7" xfId="9008"/>
    <cellStyle name="Normal 31" xfId="1833"/>
    <cellStyle name="Normal 31 2" xfId="1834"/>
    <cellStyle name="Normal 31 2 2" xfId="9009"/>
    <cellStyle name="Normal 31 2 3" xfId="9010"/>
    <cellStyle name="Normal 31 2 4" xfId="9011"/>
    <cellStyle name="Normal 31 3" xfId="1835"/>
    <cellStyle name="Normal 31 3 2" xfId="9012"/>
    <cellStyle name="Normal 31 4" xfId="1836"/>
    <cellStyle name="Normal 31 5" xfId="1837"/>
    <cellStyle name="Normal 31 6" xfId="9013"/>
    <cellStyle name="Normal 31 7" xfId="9014"/>
    <cellStyle name="Normal 32" xfId="1838"/>
    <cellStyle name="Normal 32 2" xfId="9015"/>
    <cellStyle name="Normal 32 2 2" xfId="9016"/>
    <cellStyle name="Normal 32 2 3" xfId="9017"/>
    <cellStyle name="Normal 32 2 4" xfId="9018"/>
    <cellStyle name="Normal 32 3" xfId="9019"/>
    <cellStyle name="Normal 32 3 2" xfId="9020"/>
    <cellStyle name="Normal 32 4" xfId="9021"/>
    <cellStyle name="Normal 32 5" xfId="9022"/>
    <cellStyle name="Normal 32 6" xfId="9023"/>
    <cellStyle name="Normal 32 7" xfId="9024"/>
    <cellStyle name="Normal 33" xfId="1839"/>
    <cellStyle name="Normal 33 2" xfId="9025"/>
    <cellStyle name="Normal 33 2 2" xfId="9026"/>
    <cellStyle name="Normal 33 2 3" xfId="9027"/>
    <cellStyle name="Normal 33 2 4" xfId="9028"/>
    <cellStyle name="Normal 33 3" xfId="9029"/>
    <cellStyle name="Normal 33 4" xfId="9030"/>
    <cellStyle name="Normal 33 5" xfId="9031"/>
    <cellStyle name="Normal 33 6" xfId="9032"/>
    <cellStyle name="Normal 34" xfId="1840"/>
    <cellStyle name="Normal 34 2" xfId="9033"/>
    <cellStyle name="Normal 34 2 2" xfId="9034"/>
    <cellStyle name="Normal 34 3" xfId="9035"/>
    <cellStyle name="Normal 34 4" xfId="9036"/>
    <cellStyle name="Normal 34 4 2" xfId="9037"/>
    <cellStyle name="Normal 34 4 3" xfId="9038"/>
    <cellStyle name="Normal 34 5" xfId="9039"/>
    <cellStyle name="Normal 34 6" xfId="9040"/>
    <cellStyle name="Normal 34 7" xfId="9041"/>
    <cellStyle name="Normal 35" xfId="11"/>
    <cellStyle name="Normal 35 2" xfId="9042"/>
    <cellStyle name="Normal 35 2 2" xfId="9043"/>
    <cellStyle name="Normal 35 2 3" xfId="9044"/>
    <cellStyle name="Normal 35 3" xfId="9045"/>
    <cellStyle name="Normal 35 4" xfId="9046"/>
    <cellStyle name="Normal 35 5" xfId="9047"/>
    <cellStyle name="Normal 36" xfId="2105"/>
    <cellStyle name="Normal 36 2" xfId="1841"/>
    <cellStyle name="Normal 36 2 2" xfId="9048"/>
    <cellStyle name="Normal 36 2 3" xfId="9049"/>
    <cellStyle name="Normal 36 3" xfId="1842"/>
    <cellStyle name="Normal 36 4" xfId="1843"/>
    <cellStyle name="Normal 36 5" xfId="1844"/>
    <cellStyle name="Normal 37" xfId="1845"/>
    <cellStyle name="Normal 37 2" xfId="9050"/>
    <cellStyle name="Normal 37 2 2" xfId="9051"/>
    <cellStyle name="Normal 37 3" xfId="9052"/>
    <cellStyle name="Normal 37 4" xfId="9053"/>
    <cellStyle name="Normal 37 5" xfId="9054"/>
    <cellStyle name="Normal 38" xfId="1846"/>
    <cellStyle name="Normal 38 2" xfId="9055"/>
    <cellStyle name="Normal 38 2 2" xfId="9056"/>
    <cellStyle name="Normal 38 3" xfId="9057"/>
    <cellStyle name="Normal 38 4" xfId="9058"/>
    <cellStyle name="Normal 38 5" xfId="9059"/>
    <cellStyle name="Normal 39" xfId="9060"/>
    <cellStyle name="Normal 39 2" xfId="9061"/>
    <cellStyle name="Normal 39 3" xfId="9062"/>
    <cellStyle name="Normal 4" xfId="9"/>
    <cellStyle name="Normal 4 10" xfId="9063"/>
    <cellStyle name="Normal 4 11" xfId="9064"/>
    <cellStyle name="Normal 4 2" xfId="10"/>
    <cellStyle name="Normal 4 2 10" xfId="9065"/>
    <cellStyle name="Normal 4 2 10 2" xfId="9066"/>
    <cellStyle name="Normal 4 2 10 2 2" xfId="9067"/>
    <cellStyle name="Normal 4 2 10 3" xfId="9068"/>
    <cellStyle name="Normal 4 2 10 4" xfId="9069"/>
    <cellStyle name="Normal 4 2 10 5" xfId="9070"/>
    <cellStyle name="Normal 4 2 11" xfId="9071"/>
    <cellStyle name="Normal 4 2 2" xfId="9072"/>
    <cellStyle name="Normal 4 2 2 10" xfId="9073"/>
    <cellStyle name="Normal 4 2 2 11" xfId="9074"/>
    <cellStyle name="Normal 4 2 2 2" xfId="9075"/>
    <cellStyle name="Normal 4 2 2 2 10" xfId="9076"/>
    <cellStyle name="Normal 4 2 2 2 2" xfId="9077"/>
    <cellStyle name="Normal 4 2 2 2 2 2" xfId="9078"/>
    <cellStyle name="Normal 4 2 2 2 2 2 2" xfId="9079"/>
    <cellStyle name="Normal 4 2 2 2 2 2 2 2" xfId="9080"/>
    <cellStyle name="Normal 4 2 2 2 2 2 2 2 2" xfId="9081"/>
    <cellStyle name="Normal 4 2 2 2 2 2 2 2 3" xfId="9082"/>
    <cellStyle name="Normal 4 2 2 2 2 2 2 3" xfId="9083"/>
    <cellStyle name="Normal 4 2 2 2 2 2 2 3 2" xfId="9084"/>
    <cellStyle name="Normal 4 2 2 2 2 2 2 4" xfId="9085"/>
    <cellStyle name="Normal 4 2 2 2 2 2 2 5" xfId="9086"/>
    <cellStyle name="Normal 4 2 2 2 2 2 3" xfId="9087"/>
    <cellStyle name="Normal 4 2 2 2 2 2 3 2" xfId="9088"/>
    <cellStyle name="Normal 4 2 2 2 2 2 3 3" xfId="9089"/>
    <cellStyle name="Normal 4 2 2 2 2 2 4" xfId="9090"/>
    <cellStyle name="Normal 4 2 2 2 2 2 4 2" xfId="9091"/>
    <cellStyle name="Normal 4 2 2 2 2 2 5" xfId="9092"/>
    <cellStyle name="Normal 4 2 2 2 2 2 6" xfId="9093"/>
    <cellStyle name="Normal 4 2 2 2 2 3" xfId="9094"/>
    <cellStyle name="Normal 4 2 2 2 2 3 2" xfId="9095"/>
    <cellStyle name="Normal 4 2 2 2 2 3 2 2" xfId="9096"/>
    <cellStyle name="Normal 4 2 2 2 2 3 2 2 2" xfId="9097"/>
    <cellStyle name="Normal 4 2 2 2 2 3 2 3" xfId="9098"/>
    <cellStyle name="Normal 4 2 2 2 2 3 2 4" xfId="9099"/>
    <cellStyle name="Normal 4 2 2 2 2 3 2 5" xfId="9100"/>
    <cellStyle name="Normal 4 2 2 2 2 3 3" xfId="9101"/>
    <cellStyle name="Normal 4 2 2 2 2 3 3 2" xfId="9102"/>
    <cellStyle name="Normal 4 2 2 2 2 3 4" xfId="9103"/>
    <cellStyle name="Normal 4 2 2 2 2 3 5" xfId="9104"/>
    <cellStyle name="Normal 4 2 2 2 2 3 6" xfId="9105"/>
    <cellStyle name="Normal 4 2 2 2 2 4" xfId="9106"/>
    <cellStyle name="Normal 4 2 2 2 2 4 2" xfId="9107"/>
    <cellStyle name="Normal 4 2 2 2 2 4 2 2" xfId="9108"/>
    <cellStyle name="Normal 4 2 2 2 2 4 3" xfId="9109"/>
    <cellStyle name="Normal 4 2 2 2 2 4 4" xfId="9110"/>
    <cellStyle name="Normal 4 2 2 2 2 4 5" xfId="9111"/>
    <cellStyle name="Normal 4 2 2 2 2 5" xfId="9112"/>
    <cellStyle name="Normal 4 2 2 2 2 5 2" xfId="9113"/>
    <cellStyle name="Normal 4 2 2 2 2 5 2 2" xfId="9114"/>
    <cellStyle name="Normal 4 2 2 2 2 5 3" xfId="9115"/>
    <cellStyle name="Normal 4 2 2 2 2 5 4" xfId="9116"/>
    <cellStyle name="Normal 4 2 2 2 2 5 5" xfId="9117"/>
    <cellStyle name="Normal 4 2 2 2 2 6" xfId="9118"/>
    <cellStyle name="Normal 4 2 2 2 2 6 2" xfId="9119"/>
    <cellStyle name="Normal 4 2 2 2 2 7" xfId="9120"/>
    <cellStyle name="Normal 4 2 2 2 2 8" xfId="9121"/>
    <cellStyle name="Normal 4 2 2 2 2 9" xfId="9122"/>
    <cellStyle name="Normal 4 2 2 2 3" xfId="9123"/>
    <cellStyle name="Normal 4 2 2 2 3 2" xfId="9124"/>
    <cellStyle name="Normal 4 2 2 2 3 2 2" xfId="9125"/>
    <cellStyle name="Normal 4 2 2 2 3 2 2 2" xfId="9126"/>
    <cellStyle name="Normal 4 2 2 2 3 2 2 3" xfId="9127"/>
    <cellStyle name="Normal 4 2 2 2 3 2 3" xfId="9128"/>
    <cellStyle name="Normal 4 2 2 2 3 2 3 2" xfId="9129"/>
    <cellStyle name="Normal 4 2 2 2 3 2 4" xfId="9130"/>
    <cellStyle name="Normal 4 2 2 2 3 2 5" xfId="9131"/>
    <cellStyle name="Normal 4 2 2 2 3 3" xfId="9132"/>
    <cellStyle name="Normal 4 2 2 2 3 3 2" xfId="9133"/>
    <cellStyle name="Normal 4 2 2 2 3 3 3" xfId="9134"/>
    <cellStyle name="Normal 4 2 2 2 3 4" xfId="9135"/>
    <cellStyle name="Normal 4 2 2 2 3 4 2" xfId="9136"/>
    <cellStyle name="Normal 4 2 2 2 3 5" xfId="9137"/>
    <cellStyle name="Normal 4 2 2 2 3 6" xfId="9138"/>
    <cellStyle name="Normal 4 2 2 2 4" xfId="9139"/>
    <cellStyle name="Normal 4 2 2 2 4 2" xfId="9140"/>
    <cellStyle name="Normal 4 2 2 2 4 2 2" xfId="9141"/>
    <cellStyle name="Normal 4 2 2 2 4 2 2 2" xfId="9142"/>
    <cellStyle name="Normal 4 2 2 2 4 2 3" xfId="9143"/>
    <cellStyle name="Normal 4 2 2 2 4 2 4" xfId="9144"/>
    <cellStyle name="Normal 4 2 2 2 4 2 5" xfId="9145"/>
    <cellStyle name="Normal 4 2 2 2 4 3" xfId="9146"/>
    <cellStyle name="Normal 4 2 2 2 4 3 2" xfId="9147"/>
    <cellStyle name="Normal 4 2 2 2 4 4" xfId="9148"/>
    <cellStyle name="Normal 4 2 2 2 4 5" xfId="9149"/>
    <cellStyle name="Normal 4 2 2 2 4 6" xfId="9150"/>
    <cellStyle name="Normal 4 2 2 2 5" xfId="9151"/>
    <cellStyle name="Normal 4 2 2 2 5 2" xfId="9152"/>
    <cellStyle name="Normal 4 2 2 2 5 2 2" xfId="9153"/>
    <cellStyle name="Normal 4 2 2 2 5 3" xfId="9154"/>
    <cellStyle name="Normal 4 2 2 2 5 4" xfId="9155"/>
    <cellStyle name="Normal 4 2 2 2 5 5" xfId="9156"/>
    <cellStyle name="Normal 4 2 2 2 6" xfId="9157"/>
    <cellStyle name="Normal 4 2 2 2 6 2" xfId="9158"/>
    <cellStyle name="Normal 4 2 2 2 6 2 2" xfId="9159"/>
    <cellStyle name="Normal 4 2 2 2 6 3" xfId="9160"/>
    <cellStyle name="Normal 4 2 2 2 6 4" xfId="9161"/>
    <cellStyle name="Normal 4 2 2 2 6 5" xfId="9162"/>
    <cellStyle name="Normal 4 2 2 2 7" xfId="9163"/>
    <cellStyle name="Normal 4 2 2 2 7 2" xfId="9164"/>
    <cellStyle name="Normal 4 2 2 2 8" xfId="9165"/>
    <cellStyle name="Normal 4 2 2 2 9" xfId="9166"/>
    <cellStyle name="Normal 4 2 2 3" xfId="9167"/>
    <cellStyle name="Normal 4 2 2 3 2" xfId="9168"/>
    <cellStyle name="Normal 4 2 2 3 2 2" xfId="9169"/>
    <cellStyle name="Normal 4 2 2 3 2 2 2" xfId="9170"/>
    <cellStyle name="Normal 4 2 2 3 2 2 2 2" xfId="9171"/>
    <cellStyle name="Normal 4 2 2 3 2 2 2 3" xfId="9172"/>
    <cellStyle name="Normal 4 2 2 3 2 2 3" xfId="9173"/>
    <cellStyle name="Normal 4 2 2 3 2 2 3 2" xfId="9174"/>
    <cellStyle name="Normal 4 2 2 3 2 2 4" xfId="9175"/>
    <cellStyle name="Normal 4 2 2 3 2 2 5" xfId="9176"/>
    <cellStyle name="Normal 4 2 2 3 2 3" xfId="9177"/>
    <cellStyle name="Normal 4 2 2 3 2 3 2" xfId="9178"/>
    <cellStyle name="Normal 4 2 2 3 2 3 3" xfId="9179"/>
    <cellStyle name="Normal 4 2 2 3 2 4" xfId="9180"/>
    <cellStyle name="Normal 4 2 2 3 2 4 2" xfId="9181"/>
    <cellStyle name="Normal 4 2 2 3 2 5" xfId="9182"/>
    <cellStyle name="Normal 4 2 2 3 2 6" xfId="9183"/>
    <cellStyle name="Normal 4 2 2 3 3" xfId="9184"/>
    <cellStyle name="Normal 4 2 2 3 3 2" xfId="9185"/>
    <cellStyle name="Normal 4 2 2 3 3 2 2" xfId="9186"/>
    <cellStyle name="Normal 4 2 2 3 3 2 2 2" xfId="9187"/>
    <cellStyle name="Normal 4 2 2 3 3 2 3" xfId="9188"/>
    <cellStyle name="Normal 4 2 2 3 3 2 4" xfId="9189"/>
    <cellStyle name="Normal 4 2 2 3 3 2 5" xfId="9190"/>
    <cellStyle name="Normal 4 2 2 3 3 3" xfId="9191"/>
    <cellStyle name="Normal 4 2 2 3 3 3 2" xfId="9192"/>
    <cellStyle name="Normal 4 2 2 3 3 4" xfId="9193"/>
    <cellStyle name="Normal 4 2 2 3 3 5" xfId="9194"/>
    <cellStyle name="Normal 4 2 2 3 3 6" xfId="9195"/>
    <cellStyle name="Normal 4 2 2 3 4" xfId="9196"/>
    <cellStyle name="Normal 4 2 2 3 4 2" xfId="9197"/>
    <cellStyle name="Normal 4 2 2 3 4 2 2" xfId="9198"/>
    <cellStyle name="Normal 4 2 2 3 4 3" xfId="9199"/>
    <cellStyle name="Normal 4 2 2 3 4 4" xfId="9200"/>
    <cellStyle name="Normal 4 2 2 3 4 5" xfId="9201"/>
    <cellStyle name="Normal 4 2 2 3 5" xfId="9202"/>
    <cellStyle name="Normal 4 2 2 3 5 2" xfId="9203"/>
    <cellStyle name="Normal 4 2 2 3 5 2 2" xfId="9204"/>
    <cellStyle name="Normal 4 2 2 3 5 3" xfId="9205"/>
    <cellStyle name="Normal 4 2 2 3 5 4" xfId="9206"/>
    <cellStyle name="Normal 4 2 2 3 5 5" xfId="9207"/>
    <cellStyle name="Normal 4 2 2 3 6" xfId="9208"/>
    <cellStyle name="Normal 4 2 2 3 6 2" xfId="9209"/>
    <cellStyle name="Normal 4 2 2 3 7" xfId="9210"/>
    <cellStyle name="Normal 4 2 2 3 8" xfId="9211"/>
    <cellStyle name="Normal 4 2 2 3 9" xfId="9212"/>
    <cellStyle name="Normal 4 2 2 4" xfId="9213"/>
    <cellStyle name="Normal 4 2 2 4 2" xfId="9214"/>
    <cellStyle name="Normal 4 2 2 4 2 2" xfId="9215"/>
    <cellStyle name="Normal 4 2 2 4 2 2 2" xfId="9216"/>
    <cellStyle name="Normal 4 2 2 4 2 2 3" xfId="9217"/>
    <cellStyle name="Normal 4 2 2 4 2 3" xfId="9218"/>
    <cellStyle name="Normal 4 2 2 4 2 3 2" xfId="9219"/>
    <cellStyle name="Normal 4 2 2 4 2 4" xfId="9220"/>
    <cellStyle name="Normal 4 2 2 4 2 5" xfId="9221"/>
    <cellStyle name="Normal 4 2 2 4 3" xfId="9222"/>
    <cellStyle name="Normal 4 2 2 4 3 2" xfId="9223"/>
    <cellStyle name="Normal 4 2 2 4 3 3" xfId="9224"/>
    <cellStyle name="Normal 4 2 2 4 4" xfId="9225"/>
    <cellStyle name="Normal 4 2 2 4 4 2" xfId="9226"/>
    <cellStyle name="Normal 4 2 2 4 5" xfId="9227"/>
    <cellStyle name="Normal 4 2 2 4 6" xfId="9228"/>
    <cellStyle name="Normal 4 2 2 5" xfId="9229"/>
    <cellStyle name="Normal 4 2 2 5 2" xfId="9230"/>
    <cellStyle name="Normal 4 2 2 5 2 2" xfId="9231"/>
    <cellStyle name="Normal 4 2 2 5 2 2 2" xfId="9232"/>
    <cellStyle name="Normal 4 2 2 5 2 3" xfId="9233"/>
    <cellStyle name="Normal 4 2 2 5 2 4" xfId="9234"/>
    <cellStyle name="Normal 4 2 2 5 2 5" xfId="9235"/>
    <cellStyle name="Normal 4 2 2 5 3" xfId="9236"/>
    <cellStyle name="Normal 4 2 2 5 3 2" xfId="9237"/>
    <cellStyle name="Normal 4 2 2 5 4" xfId="9238"/>
    <cellStyle name="Normal 4 2 2 5 5" xfId="9239"/>
    <cellStyle name="Normal 4 2 2 5 6" xfId="9240"/>
    <cellStyle name="Normal 4 2 2 6" xfId="9241"/>
    <cellStyle name="Normal 4 2 2 6 2" xfId="9242"/>
    <cellStyle name="Normal 4 2 2 6 2 2" xfId="9243"/>
    <cellStyle name="Normal 4 2 2 6 3" xfId="9244"/>
    <cellStyle name="Normal 4 2 2 6 4" xfId="9245"/>
    <cellStyle name="Normal 4 2 2 6 5" xfId="9246"/>
    <cellStyle name="Normal 4 2 2 7" xfId="9247"/>
    <cellStyle name="Normal 4 2 2 7 2" xfId="9248"/>
    <cellStyle name="Normal 4 2 2 7 2 2" xfId="9249"/>
    <cellStyle name="Normal 4 2 2 7 3" xfId="9250"/>
    <cellStyle name="Normal 4 2 2 7 4" xfId="9251"/>
    <cellStyle name="Normal 4 2 2 7 5" xfId="9252"/>
    <cellStyle name="Normal 4 2 2 8" xfId="9253"/>
    <cellStyle name="Normal 4 2 2 8 2" xfId="9254"/>
    <cellStyle name="Normal 4 2 2 9" xfId="9255"/>
    <cellStyle name="Normal 4 2 3" xfId="9256"/>
    <cellStyle name="Normal 4 2 3 10" xfId="9257"/>
    <cellStyle name="Normal 4 2 3 11" xfId="9258"/>
    <cellStyle name="Normal 4 2 3 2" xfId="9259"/>
    <cellStyle name="Normal 4 2 3 2 10" xfId="9260"/>
    <cellStyle name="Normal 4 2 3 2 2" xfId="9261"/>
    <cellStyle name="Normal 4 2 3 2 2 2" xfId="9262"/>
    <cellStyle name="Normal 4 2 3 2 2 2 2" xfId="9263"/>
    <cellStyle name="Normal 4 2 3 2 2 2 2 2" xfId="9264"/>
    <cellStyle name="Normal 4 2 3 2 2 2 2 2 2" xfId="9265"/>
    <cellStyle name="Normal 4 2 3 2 2 2 2 2 3" xfId="9266"/>
    <cellStyle name="Normal 4 2 3 2 2 2 2 3" xfId="9267"/>
    <cellStyle name="Normal 4 2 3 2 2 2 2 3 2" xfId="9268"/>
    <cellStyle name="Normal 4 2 3 2 2 2 2 4" xfId="9269"/>
    <cellStyle name="Normal 4 2 3 2 2 2 2 5" xfId="9270"/>
    <cellStyle name="Normal 4 2 3 2 2 2 3" xfId="9271"/>
    <cellStyle name="Normal 4 2 3 2 2 2 3 2" xfId="9272"/>
    <cellStyle name="Normal 4 2 3 2 2 2 3 3" xfId="9273"/>
    <cellStyle name="Normal 4 2 3 2 2 2 4" xfId="9274"/>
    <cellStyle name="Normal 4 2 3 2 2 2 4 2" xfId="9275"/>
    <cellStyle name="Normal 4 2 3 2 2 2 5" xfId="9276"/>
    <cellStyle name="Normal 4 2 3 2 2 2 6" xfId="9277"/>
    <cellStyle name="Normal 4 2 3 2 2 3" xfId="9278"/>
    <cellStyle name="Normal 4 2 3 2 2 3 2" xfId="9279"/>
    <cellStyle name="Normal 4 2 3 2 2 3 2 2" xfId="9280"/>
    <cellStyle name="Normal 4 2 3 2 2 3 2 2 2" xfId="9281"/>
    <cellStyle name="Normal 4 2 3 2 2 3 2 3" xfId="9282"/>
    <cellStyle name="Normal 4 2 3 2 2 3 2 4" xfId="9283"/>
    <cellStyle name="Normal 4 2 3 2 2 3 2 5" xfId="9284"/>
    <cellStyle name="Normal 4 2 3 2 2 3 3" xfId="9285"/>
    <cellStyle name="Normal 4 2 3 2 2 3 3 2" xfId="9286"/>
    <cellStyle name="Normal 4 2 3 2 2 3 4" xfId="9287"/>
    <cellStyle name="Normal 4 2 3 2 2 3 5" xfId="9288"/>
    <cellStyle name="Normal 4 2 3 2 2 3 6" xfId="9289"/>
    <cellStyle name="Normal 4 2 3 2 2 4" xfId="9290"/>
    <cellStyle name="Normal 4 2 3 2 2 4 2" xfId="9291"/>
    <cellStyle name="Normal 4 2 3 2 2 4 2 2" xfId="9292"/>
    <cellStyle name="Normal 4 2 3 2 2 4 3" xfId="9293"/>
    <cellStyle name="Normal 4 2 3 2 2 4 4" xfId="9294"/>
    <cellStyle name="Normal 4 2 3 2 2 4 5" xfId="9295"/>
    <cellStyle name="Normal 4 2 3 2 2 5" xfId="9296"/>
    <cellStyle name="Normal 4 2 3 2 2 5 2" xfId="9297"/>
    <cellStyle name="Normal 4 2 3 2 2 5 2 2" xfId="9298"/>
    <cellStyle name="Normal 4 2 3 2 2 5 3" xfId="9299"/>
    <cellStyle name="Normal 4 2 3 2 2 5 4" xfId="9300"/>
    <cellStyle name="Normal 4 2 3 2 2 5 5" xfId="9301"/>
    <cellStyle name="Normal 4 2 3 2 2 6" xfId="9302"/>
    <cellStyle name="Normal 4 2 3 2 2 6 2" xfId="9303"/>
    <cellStyle name="Normal 4 2 3 2 2 7" xfId="9304"/>
    <cellStyle name="Normal 4 2 3 2 2 8" xfId="9305"/>
    <cellStyle name="Normal 4 2 3 2 2 9" xfId="9306"/>
    <cellStyle name="Normal 4 2 3 2 3" xfId="9307"/>
    <cellStyle name="Normal 4 2 3 2 3 2" xfId="9308"/>
    <cellStyle name="Normal 4 2 3 2 3 2 2" xfId="9309"/>
    <cellStyle name="Normal 4 2 3 2 3 2 2 2" xfId="9310"/>
    <cellStyle name="Normal 4 2 3 2 3 2 2 3" xfId="9311"/>
    <cellStyle name="Normal 4 2 3 2 3 2 3" xfId="9312"/>
    <cellStyle name="Normal 4 2 3 2 3 2 3 2" xfId="9313"/>
    <cellStyle name="Normal 4 2 3 2 3 2 4" xfId="9314"/>
    <cellStyle name="Normal 4 2 3 2 3 2 5" xfId="9315"/>
    <cellStyle name="Normal 4 2 3 2 3 3" xfId="9316"/>
    <cellStyle name="Normal 4 2 3 2 3 3 2" xfId="9317"/>
    <cellStyle name="Normal 4 2 3 2 3 3 3" xfId="9318"/>
    <cellStyle name="Normal 4 2 3 2 3 4" xfId="9319"/>
    <cellStyle name="Normal 4 2 3 2 3 4 2" xfId="9320"/>
    <cellStyle name="Normal 4 2 3 2 3 5" xfId="9321"/>
    <cellStyle name="Normal 4 2 3 2 3 6" xfId="9322"/>
    <cellStyle name="Normal 4 2 3 2 4" xfId="9323"/>
    <cellStyle name="Normal 4 2 3 2 4 2" xfId="9324"/>
    <cellStyle name="Normal 4 2 3 2 4 2 2" xfId="9325"/>
    <cellStyle name="Normal 4 2 3 2 4 2 2 2" xfId="9326"/>
    <cellStyle name="Normal 4 2 3 2 4 2 3" xfId="9327"/>
    <cellStyle name="Normal 4 2 3 2 4 2 4" xfId="9328"/>
    <cellStyle name="Normal 4 2 3 2 4 2 5" xfId="9329"/>
    <cellStyle name="Normal 4 2 3 2 4 3" xfId="9330"/>
    <cellStyle name="Normal 4 2 3 2 4 3 2" xfId="9331"/>
    <cellStyle name="Normal 4 2 3 2 4 4" xfId="9332"/>
    <cellStyle name="Normal 4 2 3 2 4 5" xfId="9333"/>
    <cellStyle name="Normal 4 2 3 2 4 6" xfId="9334"/>
    <cellStyle name="Normal 4 2 3 2 5" xfId="9335"/>
    <cellStyle name="Normal 4 2 3 2 5 2" xfId="9336"/>
    <cellStyle name="Normal 4 2 3 2 5 2 2" xfId="9337"/>
    <cellStyle name="Normal 4 2 3 2 5 3" xfId="9338"/>
    <cellStyle name="Normal 4 2 3 2 5 4" xfId="9339"/>
    <cellStyle name="Normal 4 2 3 2 5 5" xfId="9340"/>
    <cellStyle name="Normal 4 2 3 2 6" xfId="9341"/>
    <cellStyle name="Normal 4 2 3 2 6 2" xfId="9342"/>
    <cellStyle name="Normal 4 2 3 2 6 2 2" xfId="9343"/>
    <cellStyle name="Normal 4 2 3 2 6 3" xfId="9344"/>
    <cellStyle name="Normal 4 2 3 2 6 4" xfId="9345"/>
    <cellStyle name="Normal 4 2 3 2 6 5" xfId="9346"/>
    <cellStyle name="Normal 4 2 3 2 7" xfId="9347"/>
    <cellStyle name="Normal 4 2 3 2 7 2" xfId="9348"/>
    <cellStyle name="Normal 4 2 3 2 8" xfId="9349"/>
    <cellStyle name="Normal 4 2 3 2 9" xfId="9350"/>
    <cellStyle name="Normal 4 2 3 3" xfId="9351"/>
    <cellStyle name="Normal 4 2 3 3 2" xfId="9352"/>
    <cellStyle name="Normal 4 2 3 3 2 2" xfId="9353"/>
    <cellStyle name="Normal 4 2 3 3 2 2 2" xfId="9354"/>
    <cellStyle name="Normal 4 2 3 3 2 2 2 2" xfId="9355"/>
    <cellStyle name="Normal 4 2 3 3 2 2 2 3" xfId="9356"/>
    <cellStyle name="Normal 4 2 3 3 2 2 3" xfId="9357"/>
    <cellStyle name="Normal 4 2 3 3 2 2 3 2" xfId="9358"/>
    <cellStyle name="Normal 4 2 3 3 2 2 4" xfId="9359"/>
    <cellStyle name="Normal 4 2 3 3 2 2 5" xfId="9360"/>
    <cellStyle name="Normal 4 2 3 3 2 3" xfId="9361"/>
    <cellStyle name="Normal 4 2 3 3 2 3 2" xfId="9362"/>
    <cellStyle name="Normal 4 2 3 3 2 3 3" xfId="9363"/>
    <cellStyle name="Normal 4 2 3 3 2 4" xfId="9364"/>
    <cellStyle name="Normal 4 2 3 3 2 4 2" xfId="9365"/>
    <cellStyle name="Normal 4 2 3 3 2 5" xfId="9366"/>
    <cellStyle name="Normal 4 2 3 3 2 6" xfId="9367"/>
    <cellStyle name="Normal 4 2 3 3 3" xfId="9368"/>
    <cellStyle name="Normal 4 2 3 3 3 2" xfId="9369"/>
    <cellStyle name="Normal 4 2 3 3 3 2 2" xfId="9370"/>
    <cellStyle name="Normal 4 2 3 3 3 2 2 2" xfId="9371"/>
    <cellStyle name="Normal 4 2 3 3 3 2 3" xfId="9372"/>
    <cellStyle name="Normal 4 2 3 3 3 2 4" xfId="9373"/>
    <cellStyle name="Normal 4 2 3 3 3 2 5" xfId="9374"/>
    <cellStyle name="Normal 4 2 3 3 3 3" xfId="9375"/>
    <cellStyle name="Normal 4 2 3 3 3 3 2" xfId="9376"/>
    <cellStyle name="Normal 4 2 3 3 3 4" xfId="9377"/>
    <cellStyle name="Normal 4 2 3 3 3 5" xfId="9378"/>
    <cellStyle name="Normal 4 2 3 3 3 6" xfId="9379"/>
    <cellStyle name="Normal 4 2 3 3 4" xfId="9380"/>
    <cellStyle name="Normal 4 2 3 3 4 2" xfId="9381"/>
    <cellStyle name="Normal 4 2 3 3 4 2 2" xfId="9382"/>
    <cellStyle name="Normal 4 2 3 3 4 3" xfId="9383"/>
    <cellStyle name="Normal 4 2 3 3 4 4" xfId="9384"/>
    <cellStyle name="Normal 4 2 3 3 4 5" xfId="9385"/>
    <cellStyle name="Normal 4 2 3 3 5" xfId="9386"/>
    <cellStyle name="Normal 4 2 3 3 5 2" xfId="9387"/>
    <cellStyle name="Normal 4 2 3 3 5 2 2" xfId="9388"/>
    <cellStyle name="Normal 4 2 3 3 5 3" xfId="9389"/>
    <cellStyle name="Normal 4 2 3 3 5 4" xfId="9390"/>
    <cellStyle name="Normal 4 2 3 3 5 5" xfId="9391"/>
    <cellStyle name="Normal 4 2 3 3 6" xfId="9392"/>
    <cellStyle name="Normal 4 2 3 3 6 2" xfId="9393"/>
    <cellStyle name="Normal 4 2 3 3 7" xfId="9394"/>
    <cellStyle name="Normal 4 2 3 3 8" xfId="9395"/>
    <cellStyle name="Normal 4 2 3 3 9" xfId="9396"/>
    <cellStyle name="Normal 4 2 3 4" xfId="9397"/>
    <cellStyle name="Normal 4 2 3 4 2" xfId="9398"/>
    <cellStyle name="Normal 4 2 3 4 2 2" xfId="9399"/>
    <cellStyle name="Normal 4 2 3 4 2 2 2" xfId="9400"/>
    <cellStyle name="Normal 4 2 3 4 2 2 3" xfId="9401"/>
    <cellStyle name="Normal 4 2 3 4 2 3" xfId="9402"/>
    <cellStyle name="Normal 4 2 3 4 2 3 2" xfId="9403"/>
    <cellStyle name="Normal 4 2 3 4 2 4" xfId="9404"/>
    <cellStyle name="Normal 4 2 3 4 2 5" xfId="9405"/>
    <cellStyle name="Normal 4 2 3 4 3" xfId="9406"/>
    <cellStyle name="Normal 4 2 3 4 3 2" xfId="9407"/>
    <cellStyle name="Normal 4 2 3 4 3 3" xfId="9408"/>
    <cellStyle name="Normal 4 2 3 4 4" xfId="9409"/>
    <cellStyle name="Normal 4 2 3 4 4 2" xfId="9410"/>
    <cellStyle name="Normal 4 2 3 4 5" xfId="9411"/>
    <cellStyle name="Normal 4 2 3 4 6" xfId="9412"/>
    <cellStyle name="Normal 4 2 3 5" xfId="9413"/>
    <cellStyle name="Normal 4 2 3 5 2" xfId="9414"/>
    <cellStyle name="Normal 4 2 3 5 2 2" xfId="9415"/>
    <cellStyle name="Normal 4 2 3 5 2 2 2" xfId="9416"/>
    <cellStyle name="Normal 4 2 3 5 2 3" xfId="9417"/>
    <cellStyle name="Normal 4 2 3 5 2 4" xfId="9418"/>
    <cellStyle name="Normal 4 2 3 5 2 5" xfId="9419"/>
    <cellStyle name="Normal 4 2 3 5 3" xfId="9420"/>
    <cellStyle name="Normal 4 2 3 5 3 2" xfId="9421"/>
    <cellStyle name="Normal 4 2 3 5 4" xfId="9422"/>
    <cellStyle name="Normal 4 2 3 5 5" xfId="9423"/>
    <cellStyle name="Normal 4 2 3 5 6" xfId="9424"/>
    <cellStyle name="Normal 4 2 3 6" xfId="9425"/>
    <cellStyle name="Normal 4 2 3 6 2" xfId="9426"/>
    <cellStyle name="Normal 4 2 3 6 2 2" xfId="9427"/>
    <cellStyle name="Normal 4 2 3 6 3" xfId="9428"/>
    <cellStyle name="Normal 4 2 3 6 4" xfId="9429"/>
    <cellStyle name="Normal 4 2 3 6 5" xfId="9430"/>
    <cellStyle name="Normal 4 2 3 7" xfId="9431"/>
    <cellStyle name="Normal 4 2 3 7 2" xfId="9432"/>
    <cellStyle name="Normal 4 2 3 7 2 2" xfId="9433"/>
    <cellStyle name="Normal 4 2 3 7 3" xfId="9434"/>
    <cellStyle name="Normal 4 2 3 7 4" xfId="9435"/>
    <cellStyle name="Normal 4 2 3 7 5" xfId="9436"/>
    <cellStyle name="Normal 4 2 3 8" xfId="9437"/>
    <cellStyle name="Normal 4 2 3 8 2" xfId="9438"/>
    <cellStyle name="Normal 4 2 3 9" xfId="9439"/>
    <cellStyle name="Normal 4 2 4" xfId="9440"/>
    <cellStyle name="Normal 4 2 4 10" xfId="9441"/>
    <cellStyle name="Normal 4 2 4 2" xfId="9442"/>
    <cellStyle name="Normal 4 2 4 2 2" xfId="9443"/>
    <cellStyle name="Normal 4 2 4 2 2 2" xfId="9444"/>
    <cellStyle name="Normal 4 2 4 2 2 2 2" xfId="9445"/>
    <cellStyle name="Normal 4 2 4 2 2 2 2 2" xfId="9446"/>
    <cellStyle name="Normal 4 2 4 2 2 2 2 3" xfId="9447"/>
    <cellStyle name="Normal 4 2 4 2 2 2 3" xfId="9448"/>
    <cellStyle name="Normal 4 2 4 2 2 2 3 2" xfId="9449"/>
    <cellStyle name="Normal 4 2 4 2 2 2 4" xfId="9450"/>
    <cellStyle name="Normal 4 2 4 2 2 2 5" xfId="9451"/>
    <cellStyle name="Normal 4 2 4 2 2 3" xfId="9452"/>
    <cellStyle name="Normal 4 2 4 2 2 3 2" xfId="9453"/>
    <cellStyle name="Normal 4 2 4 2 2 3 3" xfId="9454"/>
    <cellStyle name="Normal 4 2 4 2 2 4" xfId="9455"/>
    <cellStyle name="Normal 4 2 4 2 2 4 2" xfId="9456"/>
    <cellStyle name="Normal 4 2 4 2 2 5" xfId="9457"/>
    <cellStyle name="Normal 4 2 4 2 2 6" xfId="9458"/>
    <cellStyle name="Normal 4 2 4 2 3" xfId="9459"/>
    <cellStyle name="Normal 4 2 4 2 3 2" xfId="9460"/>
    <cellStyle name="Normal 4 2 4 2 3 2 2" xfId="9461"/>
    <cellStyle name="Normal 4 2 4 2 3 2 2 2" xfId="9462"/>
    <cellStyle name="Normal 4 2 4 2 3 2 3" xfId="9463"/>
    <cellStyle name="Normal 4 2 4 2 3 2 4" xfId="9464"/>
    <cellStyle name="Normal 4 2 4 2 3 2 5" xfId="9465"/>
    <cellStyle name="Normal 4 2 4 2 3 3" xfId="9466"/>
    <cellStyle name="Normal 4 2 4 2 3 3 2" xfId="9467"/>
    <cellStyle name="Normal 4 2 4 2 3 4" xfId="9468"/>
    <cellStyle name="Normal 4 2 4 2 3 5" xfId="9469"/>
    <cellStyle name="Normal 4 2 4 2 3 6" xfId="9470"/>
    <cellStyle name="Normal 4 2 4 2 4" xfId="9471"/>
    <cellStyle name="Normal 4 2 4 2 4 2" xfId="9472"/>
    <cellStyle name="Normal 4 2 4 2 4 2 2" xfId="9473"/>
    <cellStyle name="Normal 4 2 4 2 4 3" xfId="9474"/>
    <cellStyle name="Normal 4 2 4 2 4 4" xfId="9475"/>
    <cellStyle name="Normal 4 2 4 2 4 5" xfId="9476"/>
    <cellStyle name="Normal 4 2 4 2 5" xfId="9477"/>
    <cellStyle name="Normal 4 2 4 2 5 2" xfId="9478"/>
    <cellStyle name="Normal 4 2 4 2 5 2 2" xfId="9479"/>
    <cellStyle name="Normal 4 2 4 2 5 3" xfId="9480"/>
    <cellStyle name="Normal 4 2 4 2 5 4" xfId="9481"/>
    <cellStyle name="Normal 4 2 4 2 5 5" xfId="9482"/>
    <cellStyle name="Normal 4 2 4 2 6" xfId="9483"/>
    <cellStyle name="Normal 4 2 4 2 6 2" xfId="9484"/>
    <cellStyle name="Normal 4 2 4 2 7" xfId="9485"/>
    <cellStyle name="Normal 4 2 4 2 8" xfId="9486"/>
    <cellStyle name="Normal 4 2 4 2 9" xfId="9487"/>
    <cellStyle name="Normal 4 2 4 3" xfId="9488"/>
    <cellStyle name="Normal 4 2 4 3 2" xfId="9489"/>
    <cellStyle name="Normal 4 2 4 3 2 2" xfId="9490"/>
    <cellStyle name="Normal 4 2 4 3 2 2 2" xfId="9491"/>
    <cellStyle name="Normal 4 2 4 3 2 2 3" xfId="9492"/>
    <cellStyle name="Normal 4 2 4 3 2 3" xfId="9493"/>
    <cellStyle name="Normal 4 2 4 3 2 3 2" xfId="9494"/>
    <cellStyle name="Normal 4 2 4 3 2 4" xfId="9495"/>
    <cellStyle name="Normal 4 2 4 3 2 5" xfId="9496"/>
    <cellStyle name="Normal 4 2 4 3 3" xfId="9497"/>
    <cellStyle name="Normal 4 2 4 3 3 2" xfId="9498"/>
    <cellStyle name="Normal 4 2 4 3 3 3" xfId="9499"/>
    <cellStyle name="Normal 4 2 4 3 4" xfId="9500"/>
    <cellStyle name="Normal 4 2 4 3 4 2" xfId="9501"/>
    <cellStyle name="Normal 4 2 4 3 5" xfId="9502"/>
    <cellStyle name="Normal 4 2 4 3 6" xfId="9503"/>
    <cellStyle name="Normal 4 2 4 4" xfId="9504"/>
    <cellStyle name="Normal 4 2 4 4 2" xfId="9505"/>
    <cellStyle name="Normal 4 2 4 4 2 2" xfId="9506"/>
    <cellStyle name="Normal 4 2 4 4 2 2 2" xfId="9507"/>
    <cellStyle name="Normal 4 2 4 4 2 3" xfId="9508"/>
    <cellStyle name="Normal 4 2 4 4 2 4" xfId="9509"/>
    <cellStyle name="Normal 4 2 4 4 2 5" xfId="9510"/>
    <cellStyle name="Normal 4 2 4 4 3" xfId="9511"/>
    <cellStyle name="Normal 4 2 4 4 3 2" xfId="9512"/>
    <cellStyle name="Normal 4 2 4 4 4" xfId="9513"/>
    <cellStyle name="Normal 4 2 4 4 5" xfId="9514"/>
    <cellStyle name="Normal 4 2 4 4 6" xfId="9515"/>
    <cellStyle name="Normal 4 2 4 5" xfId="9516"/>
    <cellStyle name="Normal 4 2 4 5 2" xfId="9517"/>
    <cellStyle name="Normal 4 2 4 5 2 2" xfId="9518"/>
    <cellStyle name="Normal 4 2 4 5 3" xfId="9519"/>
    <cellStyle name="Normal 4 2 4 5 4" xfId="9520"/>
    <cellStyle name="Normal 4 2 4 5 5" xfId="9521"/>
    <cellStyle name="Normal 4 2 4 6" xfId="9522"/>
    <cellStyle name="Normal 4 2 4 6 2" xfId="9523"/>
    <cellStyle name="Normal 4 2 4 6 2 2" xfId="9524"/>
    <cellStyle name="Normal 4 2 4 6 3" xfId="9525"/>
    <cellStyle name="Normal 4 2 4 6 4" xfId="9526"/>
    <cellStyle name="Normal 4 2 4 6 5" xfId="9527"/>
    <cellStyle name="Normal 4 2 4 7" xfId="9528"/>
    <cellStyle name="Normal 4 2 4 7 2" xfId="9529"/>
    <cellStyle name="Normal 4 2 4 8" xfId="9530"/>
    <cellStyle name="Normal 4 2 4 9" xfId="9531"/>
    <cellStyle name="Normal 4 2 5" xfId="9532"/>
    <cellStyle name="Normal 4 2 5 2" xfId="9533"/>
    <cellStyle name="Normal 4 2 5 2 2" xfId="9534"/>
    <cellStyle name="Normal 4 2 5 2 2 2" xfId="9535"/>
    <cellStyle name="Normal 4 2 5 2 2 2 2" xfId="9536"/>
    <cellStyle name="Normal 4 2 5 2 2 2 3" xfId="9537"/>
    <cellStyle name="Normal 4 2 5 2 2 3" xfId="9538"/>
    <cellStyle name="Normal 4 2 5 2 2 3 2" xfId="9539"/>
    <cellStyle name="Normal 4 2 5 2 2 4" xfId="9540"/>
    <cellStyle name="Normal 4 2 5 2 2 5" xfId="9541"/>
    <cellStyle name="Normal 4 2 5 2 3" xfId="9542"/>
    <cellStyle name="Normal 4 2 5 2 3 2" xfId="9543"/>
    <cellStyle name="Normal 4 2 5 2 3 3" xfId="9544"/>
    <cellStyle name="Normal 4 2 5 2 4" xfId="9545"/>
    <cellStyle name="Normal 4 2 5 2 4 2" xfId="9546"/>
    <cellStyle name="Normal 4 2 5 2 5" xfId="9547"/>
    <cellStyle name="Normal 4 2 5 2 6" xfId="9548"/>
    <cellStyle name="Normal 4 2 5 3" xfId="9549"/>
    <cellStyle name="Normal 4 2 5 3 2" xfId="9550"/>
    <cellStyle name="Normal 4 2 5 3 2 2" xfId="9551"/>
    <cellStyle name="Normal 4 2 5 3 2 2 2" xfId="9552"/>
    <cellStyle name="Normal 4 2 5 3 2 3" xfId="9553"/>
    <cellStyle name="Normal 4 2 5 3 2 4" xfId="9554"/>
    <cellStyle name="Normal 4 2 5 3 2 5" xfId="9555"/>
    <cellStyle name="Normal 4 2 5 3 3" xfId="9556"/>
    <cellStyle name="Normal 4 2 5 3 3 2" xfId="9557"/>
    <cellStyle name="Normal 4 2 5 3 4" xfId="9558"/>
    <cellStyle name="Normal 4 2 5 3 5" xfId="9559"/>
    <cellStyle name="Normal 4 2 5 3 6" xfId="9560"/>
    <cellStyle name="Normal 4 2 5 4" xfId="9561"/>
    <cellStyle name="Normal 4 2 5 4 2" xfId="9562"/>
    <cellStyle name="Normal 4 2 5 4 2 2" xfId="9563"/>
    <cellStyle name="Normal 4 2 5 4 3" xfId="9564"/>
    <cellStyle name="Normal 4 2 5 4 4" xfId="9565"/>
    <cellStyle name="Normal 4 2 5 4 5" xfId="9566"/>
    <cellStyle name="Normal 4 2 5 5" xfId="9567"/>
    <cellStyle name="Normal 4 2 5 5 2" xfId="9568"/>
    <cellStyle name="Normal 4 2 5 5 2 2" xfId="9569"/>
    <cellStyle name="Normal 4 2 5 5 3" xfId="9570"/>
    <cellStyle name="Normal 4 2 5 5 4" xfId="9571"/>
    <cellStyle name="Normal 4 2 5 5 5" xfId="9572"/>
    <cellStyle name="Normal 4 2 5 6" xfId="9573"/>
    <cellStyle name="Normal 4 2 5 6 2" xfId="9574"/>
    <cellStyle name="Normal 4 2 5 7" xfId="9575"/>
    <cellStyle name="Normal 4 2 5 8" xfId="9576"/>
    <cellStyle name="Normal 4 2 5 9" xfId="9577"/>
    <cellStyle name="Normal 4 2 6" xfId="9578"/>
    <cellStyle name="Normal 4 2 6 2" xfId="9579"/>
    <cellStyle name="Normal 4 2 6 2 2" xfId="9580"/>
    <cellStyle name="Normal 4 2 6 2 2 2" xfId="9581"/>
    <cellStyle name="Normal 4 2 6 2 2 3" xfId="9582"/>
    <cellStyle name="Normal 4 2 6 2 3" xfId="9583"/>
    <cellStyle name="Normal 4 2 6 2 3 2" xfId="9584"/>
    <cellStyle name="Normal 4 2 6 2 4" xfId="9585"/>
    <cellStyle name="Normal 4 2 6 2 5" xfId="9586"/>
    <cellStyle name="Normal 4 2 6 3" xfId="9587"/>
    <cellStyle name="Normal 4 2 6 3 2" xfId="9588"/>
    <cellStyle name="Normal 4 2 6 3 3" xfId="9589"/>
    <cellStyle name="Normal 4 2 6 4" xfId="9590"/>
    <cellStyle name="Normal 4 2 6 4 2" xfId="9591"/>
    <cellStyle name="Normal 4 2 6 5" xfId="9592"/>
    <cellStyle name="Normal 4 2 6 6" xfId="9593"/>
    <cellStyle name="Normal 4 2 7" xfId="9594"/>
    <cellStyle name="Normal 4 2 7 2" xfId="9595"/>
    <cellStyle name="Normal 4 2 7 2 2" xfId="9596"/>
    <cellStyle name="Normal 4 2 7 2 2 2" xfId="9597"/>
    <cellStyle name="Normal 4 2 7 2 3" xfId="9598"/>
    <cellStyle name="Normal 4 2 7 2 4" xfId="9599"/>
    <cellStyle name="Normal 4 2 7 2 5" xfId="9600"/>
    <cellStyle name="Normal 4 2 7 3" xfId="9601"/>
    <cellStyle name="Normal 4 2 7 3 2" xfId="9602"/>
    <cellStyle name="Normal 4 2 7 4" xfId="9603"/>
    <cellStyle name="Normal 4 2 7 5" xfId="9604"/>
    <cellStyle name="Normal 4 2 7 6" xfId="9605"/>
    <cellStyle name="Normal 4 2 8" xfId="9606"/>
    <cellStyle name="Normal 4 2 8 2" xfId="9607"/>
    <cellStyle name="Normal 4 2 8 2 2" xfId="9608"/>
    <cellStyle name="Normal 4 2 8 3" xfId="9609"/>
    <cellStyle name="Normal 4 2 8 4" xfId="9610"/>
    <cellStyle name="Normal 4 2 8 5" xfId="9611"/>
    <cellStyle name="Normal 4 2 9" xfId="9612"/>
    <cellStyle name="Normal 4 2 9 2" xfId="9613"/>
    <cellStyle name="Normal 4 2 9 2 2" xfId="9614"/>
    <cellStyle name="Normal 4 2 9 3" xfId="9615"/>
    <cellStyle name="Normal 4 2 9 4" xfId="9616"/>
    <cellStyle name="Normal 4 2 9 5" xfId="9617"/>
    <cellStyle name="Normal 4 3" xfId="2103"/>
    <cellStyle name="Normal 4 3 2" xfId="9618"/>
    <cellStyle name="Normal 4 3 2 2" xfId="9619"/>
    <cellStyle name="Normal 4 3 2 2 2" xfId="9620"/>
    <cellStyle name="Normal 4 3 2 2 2 2" xfId="9621"/>
    <cellStyle name="Normal 4 3 2 2 3" xfId="9622"/>
    <cellStyle name="Normal 4 3 2 3" xfId="9623"/>
    <cellStyle name="Normal 4 3 2 3 2" xfId="9624"/>
    <cellStyle name="Normal 4 3 2 4" xfId="9625"/>
    <cellStyle name="Normal 4 3 2 5" xfId="9626"/>
    <cellStyle name="Normal 4 3 3" xfId="9627"/>
    <cellStyle name="Normal 4 3 3 2" xfId="9628"/>
    <cellStyle name="Normal 4 3 3 2 2" xfId="9629"/>
    <cellStyle name="Normal 4 3 3 3" xfId="9630"/>
    <cellStyle name="Normal 4 3 4" xfId="9631"/>
    <cellStyle name="Normal 4 3 4 2" xfId="9632"/>
    <cellStyle name="Normal 4 3 5" xfId="9633"/>
    <cellStyle name="Normal 4 3 6" xfId="9634"/>
    <cellStyle name="Normal 4 4" xfId="9635"/>
    <cellStyle name="Normal 4 4 2" xfId="9636"/>
    <cellStyle name="Normal 4 4 2 2" xfId="9637"/>
    <cellStyle name="Normal 4 4 2 2 2" xfId="9638"/>
    <cellStyle name="Normal 4 4 2 2 3" xfId="9639"/>
    <cellStyle name="Normal 4 4 2 3" xfId="9640"/>
    <cellStyle name="Normal 4 4 2 4" xfId="9641"/>
    <cellStyle name="Normal 4 4 3" xfId="9642"/>
    <cellStyle name="Normal 4 4 3 2" xfId="9643"/>
    <cellStyle name="Normal 4 4 3 3" xfId="9644"/>
    <cellStyle name="Normal 4 4 4" xfId="9645"/>
    <cellStyle name="Normal 4 4 5" xfId="9646"/>
    <cellStyle name="Normal 4 4 6" xfId="9647"/>
    <cellStyle name="Normal 4 4 7" xfId="9648"/>
    <cellStyle name="Normal 4 5" xfId="9649"/>
    <cellStyle name="Normal 4 5 2" xfId="9650"/>
    <cellStyle name="Normal 4 5 2 2" xfId="9651"/>
    <cellStyle name="Normal 4 5 2 3" xfId="9652"/>
    <cellStyle name="Normal 4 5 3" xfId="9653"/>
    <cellStyle name="Normal 4 5 4" xfId="9654"/>
    <cellStyle name="Normal 4 6" xfId="9655"/>
    <cellStyle name="Normal 4 6 2" xfId="9656"/>
    <cellStyle name="Normal 4 6 3" xfId="9657"/>
    <cellStyle name="Normal 4 7" xfId="9658"/>
    <cellStyle name="Normal 4 7 2" xfId="9659"/>
    <cellStyle name="Normal 4 8" xfId="9660"/>
    <cellStyle name="Normal 4 9" xfId="9661"/>
    <cellStyle name="Normal 4_Regenerated Revenues LGE Gas 10312009" xfId="9662"/>
    <cellStyle name="Normal 40" xfId="1847"/>
    <cellStyle name="Normal 40 2" xfId="9663"/>
    <cellStyle name="Normal 41" xfId="9664"/>
    <cellStyle name="Normal 41 2" xfId="9665"/>
    <cellStyle name="Normal 42" xfId="1848"/>
    <cellStyle name="Normal 42 2" xfId="9666"/>
    <cellStyle name="Normal 42 3" xfId="9667"/>
    <cellStyle name="Normal 42 4" xfId="9668"/>
    <cellStyle name="Normal 43" xfId="1849"/>
    <cellStyle name="Normal 43 2" xfId="9669"/>
    <cellStyle name="Normal 43 3" xfId="9670"/>
    <cellStyle name="Normal 44" xfId="9671"/>
    <cellStyle name="Normal 44 2" xfId="9672"/>
    <cellStyle name="Normal 44 3" xfId="9673"/>
    <cellStyle name="Normal 45" xfId="1850"/>
    <cellStyle name="Normal 45 2" xfId="9674"/>
    <cellStyle name="Normal 45 3" xfId="9675"/>
    <cellStyle name="Normal 46" xfId="1851"/>
    <cellStyle name="Normal 46 2" xfId="9676"/>
    <cellStyle name="Normal 46 3" xfId="9677"/>
    <cellStyle name="Normal 47" xfId="2113"/>
    <cellStyle name="Normal 47 2" xfId="9678"/>
    <cellStyle name="Normal 47 3" xfId="9679"/>
    <cellStyle name="Normal 48" xfId="1852"/>
    <cellStyle name="Normal 48 2" xfId="9680"/>
    <cellStyle name="Normal 48 3" xfId="9681"/>
    <cellStyle name="Normal 49" xfId="1853"/>
    <cellStyle name="Normal 49 2" xfId="9682"/>
    <cellStyle name="Normal 49 3" xfId="9683"/>
    <cellStyle name="Normal 5" xfId="1854"/>
    <cellStyle name="Normal 5 10" xfId="9684"/>
    <cellStyle name="Normal 5 10 2" xfId="9685"/>
    <cellStyle name="Normal 5 10 2 2" xfId="9686"/>
    <cellStyle name="Normal 5 10 2 2 2" xfId="9687"/>
    <cellStyle name="Normal 5 10 2 3" xfId="9688"/>
    <cellStyle name="Normal 5 10 3" xfId="9689"/>
    <cellStyle name="Normal 5 10 3 2" xfId="9690"/>
    <cellStyle name="Normal 5 10 4" xfId="9691"/>
    <cellStyle name="Normal 5 11" xfId="9692"/>
    <cellStyle name="Normal 5 11 2" xfId="9693"/>
    <cellStyle name="Normal 5 11 2 2" xfId="9694"/>
    <cellStyle name="Normal 5 11 3" xfId="9695"/>
    <cellStyle name="Normal 5 12" xfId="9696"/>
    <cellStyle name="Normal 5 12 2" xfId="9697"/>
    <cellStyle name="Normal 5 2" xfId="9698"/>
    <cellStyle name="Normal 5 2 10" xfId="9699"/>
    <cellStyle name="Normal 5 2 11" xfId="9700"/>
    <cellStyle name="Normal 5 2 2" xfId="9701"/>
    <cellStyle name="Normal 5 2 2 2" xfId="9702"/>
    <cellStyle name="Normal 5 2 2 2 2" xfId="9703"/>
    <cellStyle name="Normal 5 2 2 2 2 2" xfId="9704"/>
    <cellStyle name="Normal 5 2 2 2 2 2 2" xfId="9705"/>
    <cellStyle name="Normal 5 2 2 2 2 2 2 2" xfId="9706"/>
    <cellStyle name="Normal 5 2 2 2 2 2 2 2 2" xfId="9707"/>
    <cellStyle name="Normal 5 2 2 2 2 2 2 3" xfId="9708"/>
    <cellStyle name="Normal 5 2 2 2 2 2 3" xfId="9709"/>
    <cellStyle name="Normal 5 2 2 2 2 2 3 2" xfId="9710"/>
    <cellStyle name="Normal 5 2 2 2 2 2 4" xfId="9711"/>
    <cellStyle name="Normal 5 2 2 2 2 3" xfId="9712"/>
    <cellStyle name="Normal 5 2 2 2 2 3 2" xfId="9713"/>
    <cellStyle name="Normal 5 2 2 2 2 3 2 2" xfId="9714"/>
    <cellStyle name="Normal 5 2 2 2 2 3 3" xfId="9715"/>
    <cellStyle name="Normal 5 2 2 2 2 4" xfId="9716"/>
    <cellStyle name="Normal 5 2 2 2 2 4 2" xfId="9717"/>
    <cellStyle name="Normal 5 2 2 2 2 5" xfId="9718"/>
    <cellStyle name="Normal 5 2 2 2 2 6" xfId="9719"/>
    <cellStyle name="Normal 5 2 2 2 3" xfId="9720"/>
    <cellStyle name="Normal 5 2 2 2 3 2" xfId="9721"/>
    <cellStyle name="Normal 5 2 2 2 3 2 2" xfId="9722"/>
    <cellStyle name="Normal 5 2 2 2 3 2 2 2" xfId="9723"/>
    <cellStyle name="Normal 5 2 2 2 3 2 3" xfId="9724"/>
    <cellStyle name="Normal 5 2 2 2 3 3" xfId="9725"/>
    <cellStyle name="Normal 5 2 2 2 3 3 2" xfId="9726"/>
    <cellStyle name="Normal 5 2 2 2 3 4" xfId="9727"/>
    <cellStyle name="Normal 5 2 2 2 4" xfId="9728"/>
    <cellStyle name="Normal 5 2 2 2 4 2" xfId="9729"/>
    <cellStyle name="Normal 5 2 2 2 4 2 2" xfId="9730"/>
    <cellStyle name="Normal 5 2 2 2 4 3" xfId="9731"/>
    <cellStyle name="Normal 5 2 2 2 5" xfId="9732"/>
    <cellStyle name="Normal 5 2 2 2 5 2" xfId="9733"/>
    <cellStyle name="Normal 5 2 2 2 6" xfId="9734"/>
    <cellStyle name="Normal 5 2 2 2 7" xfId="9735"/>
    <cellStyle name="Normal 5 2 2 3" xfId="9736"/>
    <cellStyle name="Normal 5 2 2 3 2" xfId="9737"/>
    <cellStyle name="Normal 5 2 2 3 2 2" xfId="9738"/>
    <cellStyle name="Normal 5 2 2 3 2 2 2" xfId="9739"/>
    <cellStyle name="Normal 5 2 2 3 2 2 2 2" xfId="9740"/>
    <cellStyle name="Normal 5 2 2 3 2 2 3" xfId="9741"/>
    <cellStyle name="Normal 5 2 2 3 2 3" xfId="9742"/>
    <cellStyle name="Normal 5 2 2 3 2 3 2" xfId="9743"/>
    <cellStyle name="Normal 5 2 2 3 2 4" xfId="9744"/>
    <cellStyle name="Normal 5 2 2 3 3" xfId="9745"/>
    <cellStyle name="Normal 5 2 2 3 3 2" xfId="9746"/>
    <cellStyle name="Normal 5 2 2 3 3 2 2" xfId="9747"/>
    <cellStyle name="Normal 5 2 2 3 3 3" xfId="9748"/>
    <cellStyle name="Normal 5 2 2 3 4" xfId="9749"/>
    <cellStyle name="Normal 5 2 2 3 4 2" xfId="9750"/>
    <cellStyle name="Normal 5 2 2 3 5" xfId="9751"/>
    <cellStyle name="Normal 5 2 2 3 6" xfId="9752"/>
    <cellStyle name="Normal 5 2 2 4" xfId="9753"/>
    <cellStyle name="Normal 5 2 2 4 2" xfId="9754"/>
    <cellStyle name="Normal 5 2 2 4 2 2" xfId="9755"/>
    <cellStyle name="Normal 5 2 2 4 2 2 2" xfId="9756"/>
    <cellStyle name="Normal 5 2 2 4 2 2 2 2" xfId="9757"/>
    <cellStyle name="Normal 5 2 2 4 2 2 3" xfId="9758"/>
    <cellStyle name="Normal 5 2 2 4 2 3" xfId="9759"/>
    <cellStyle name="Normal 5 2 2 4 2 3 2" xfId="9760"/>
    <cellStyle name="Normal 5 2 2 4 2 4" xfId="9761"/>
    <cellStyle name="Normal 5 2 2 4 3" xfId="9762"/>
    <cellStyle name="Normal 5 2 2 4 3 2" xfId="9763"/>
    <cellStyle name="Normal 5 2 2 4 3 2 2" xfId="9764"/>
    <cellStyle name="Normal 5 2 2 4 3 3" xfId="9765"/>
    <cellStyle name="Normal 5 2 2 4 4" xfId="9766"/>
    <cellStyle name="Normal 5 2 2 4 4 2" xfId="9767"/>
    <cellStyle name="Normal 5 2 2 4 5" xfId="9768"/>
    <cellStyle name="Normal 5 2 2 5" xfId="9769"/>
    <cellStyle name="Normal 5 2 2 5 2" xfId="9770"/>
    <cellStyle name="Normal 5 2 2 5 2 2" xfId="9771"/>
    <cellStyle name="Normal 5 2 2 5 2 2 2" xfId="9772"/>
    <cellStyle name="Normal 5 2 2 5 2 3" xfId="9773"/>
    <cellStyle name="Normal 5 2 2 5 3" xfId="9774"/>
    <cellStyle name="Normal 5 2 2 5 3 2" xfId="9775"/>
    <cellStyle name="Normal 5 2 2 5 4" xfId="9776"/>
    <cellStyle name="Normal 5 2 2 6" xfId="9777"/>
    <cellStyle name="Normal 5 2 2 6 2" xfId="9778"/>
    <cellStyle name="Normal 5 2 2 6 2 2" xfId="9779"/>
    <cellStyle name="Normal 5 2 2 6 3" xfId="9780"/>
    <cellStyle name="Normal 5 2 2 7" xfId="9781"/>
    <cellStyle name="Normal 5 2 2 7 2" xfId="9782"/>
    <cellStyle name="Normal 5 2 2 8" xfId="9783"/>
    <cellStyle name="Normal 5 2 2 9" xfId="9784"/>
    <cellStyle name="Normal 5 2 3" xfId="9785"/>
    <cellStyle name="Normal 5 2 3 2" xfId="9786"/>
    <cellStyle name="Normal 5 2 3 2 2" xfId="9787"/>
    <cellStyle name="Normal 5 2 3 2 2 2" xfId="9788"/>
    <cellStyle name="Normal 5 2 3 2 2 2 2" xfId="9789"/>
    <cellStyle name="Normal 5 2 3 2 2 2 2 2" xfId="9790"/>
    <cellStyle name="Normal 5 2 3 2 2 2 3" xfId="9791"/>
    <cellStyle name="Normal 5 2 3 2 2 3" xfId="9792"/>
    <cellStyle name="Normal 5 2 3 2 2 3 2" xfId="9793"/>
    <cellStyle name="Normal 5 2 3 2 2 4" xfId="9794"/>
    <cellStyle name="Normal 5 2 3 2 3" xfId="9795"/>
    <cellStyle name="Normal 5 2 3 2 3 2" xfId="9796"/>
    <cellStyle name="Normal 5 2 3 2 3 2 2" xfId="9797"/>
    <cellStyle name="Normal 5 2 3 2 3 3" xfId="9798"/>
    <cellStyle name="Normal 5 2 3 2 4" xfId="9799"/>
    <cellStyle name="Normal 5 2 3 2 4 2" xfId="9800"/>
    <cellStyle name="Normal 5 2 3 2 5" xfId="9801"/>
    <cellStyle name="Normal 5 2 3 3" xfId="9802"/>
    <cellStyle name="Normal 5 2 3 3 2" xfId="9803"/>
    <cellStyle name="Normal 5 2 3 3 2 2" xfId="9804"/>
    <cellStyle name="Normal 5 2 3 3 2 2 2" xfId="9805"/>
    <cellStyle name="Normal 5 2 3 3 2 3" xfId="9806"/>
    <cellStyle name="Normal 5 2 3 3 3" xfId="9807"/>
    <cellStyle name="Normal 5 2 3 3 3 2" xfId="9808"/>
    <cellStyle name="Normal 5 2 3 3 4" xfId="9809"/>
    <cellStyle name="Normal 5 2 3 4" xfId="9810"/>
    <cellStyle name="Normal 5 2 3 4 2" xfId="9811"/>
    <cellStyle name="Normal 5 2 3 4 2 2" xfId="9812"/>
    <cellStyle name="Normal 5 2 3 4 3" xfId="9813"/>
    <cellStyle name="Normal 5 2 3 5" xfId="9814"/>
    <cellStyle name="Normal 5 2 3 5 2" xfId="9815"/>
    <cellStyle name="Normal 5 2 3 6" xfId="9816"/>
    <cellStyle name="Normal 5 2 3 7" xfId="9817"/>
    <cellStyle name="Normal 5 2 4" xfId="9818"/>
    <cellStyle name="Normal 5 2 4 2" xfId="9819"/>
    <cellStyle name="Normal 5 2 4 2 2" xfId="9820"/>
    <cellStyle name="Normal 5 2 4 2 2 2" xfId="9821"/>
    <cellStyle name="Normal 5 2 4 2 2 2 2" xfId="9822"/>
    <cellStyle name="Normal 5 2 4 2 2 3" xfId="9823"/>
    <cellStyle name="Normal 5 2 4 2 3" xfId="9824"/>
    <cellStyle name="Normal 5 2 4 2 3 2" xfId="9825"/>
    <cellStyle name="Normal 5 2 4 2 4" xfId="9826"/>
    <cellStyle name="Normal 5 2 4 2 5" xfId="9827"/>
    <cellStyle name="Normal 5 2 4 3" xfId="9828"/>
    <cellStyle name="Normal 5 2 4 3 2" xfId="9829"/>
    <cellStyle name="Normal 5 2 4 3 2 2" xfId="9830"/>
    <cellStyle name="Normal 5 2 4 3 3" xfId="9831"/>
    <cellStyle name="Normal 5 2 4 4" xfId="9832"/>
    <cellStyle name="Normal 5 2 4 4 2" xfId="9833"/>
    <cellStyle name="Normal 5 2 4 5" xfId="9834"/>
    <cellStyle name="Normal 5 2 4 6" xfId="9835"/>
    <cellStyle name="Normal 5 2 5" xfId="9836"/>
    <cellStyle name="Normal 5 2 5 2" xfId="9837"/>
    <cellStyle name="Normal 5 2 5 2 2" xfId="9838"/>
    <cellStyle name="Normal 5 2 5 2 2 2" xfId="9839"/>
    <cellStyle name="Normal 5 2 5 2 2 2 2" xfId="9840"/>
    <cellStyle name="Normal 5 2 5 2 2 3" xfId="9841"/>
    <cellStyle name="Normal 5 2 5 2 3" xfId="9842"/>
    <cellStyle name="Normal 5 2 5 2 3 2" xfId="9843"/>
    <cellStyle name="Normal 5 2 5 2 4" xfId="9844"/>
    <cellStyle name="Normal 5 2 5 3" xfId="9845"/>
    <cellStyle name="Normal 5 2 5 3 2" xfId="9846"/>
    <cellStyle name="Normal 5 2 5 3 2 2" xfId="9847"/>
    <cellStyle name="Normal 5 2 5 3 3" xfId="9848"/>
    <cellStyle name="Normal 5 2 5 4" xfId="9849"/>
    <cellStyle name="Normal 5 2 5 4 2" xfId="9850"/>
    <cellStyle name="Normal 5 2 5 5" xfId="9851"/>
    <cellStyle name="Normal 5 2 5 6" xfId="9852"/>
    <cellStyle name="Normal 5 2 6" xfId="9853"/>
    <cellStyle name="Normal 5 2 6 2" xfId="9854"/>
    <cellStyle name="Normal 5 2 6 2 2" xfId="9855"/>
    <cellStyle name="Normal 5 2 6 2 2 2" xfId="9856"/>
    <cellStyle name="Normal 5 2 6 2 3" xfId="9857"/>
    <cellStyle name="Normal 5 2 6 3" xfId="9858"/>
    <cellStyle name="Normal 5 2 6 3 2" xfId="9859"/>
    <cellStyle name="Normal 5 2 6 4" xfId="9860"/>
    <cellStyle name="Normal 5 2 7" xfId="9861"/>
    <cellStyle name="Normal 5 2 7 2" xfId="9862"/>
    <cellStyle name="Normal 5 2 7 2 2" xfId="9863"/>
    <cellStyle name="Normal 5 2 7 3" xfId="9864"/>
    <cellStyle name="Normal 5 2 8" xfId="9865"/>
    <cellStyle name="Normal 5 2 8 2" xfId="9866"/>
    <cellStyle name="Normal 5 2 9" xfId="9867"/>
    <cellStyle name="Normal 5 3" xfId="9868"/>
    <cellStyle name="Normal 5 3 10" xfId="9869"/>
    <cellStyle name="Normal 5 3 11" xfId="9870"/>
    <cellStyle name="Normal 5 3 2" xfId="9871"/>
    <cellStyle name="Normal 5 3 2 2" xfId="9872"/>
    <cellStyle name="Normal 5 3 2 2 2" xfId="9873"/>
    <cellStyle name="Normal 5 3 2 2 2 2" xfId="9874"/>
    <cellStyle name="Normal 5 3 2 2 2 2 2" xfId="9875"/>
    <cellStyle name="Normal 5 3 2 2 2 2 2 2" xfId="9876"/>
    <cellStyle name="Normal 5 3 2 2 2 2 2 2 2" xfId="9877"/>
    <cellStyle name="Normal 5 3 2 2 2 2 2 3" xfId="9878"/>
    <cellStyle name="Normal 5 3 2 2 2 2 3" xfId="9879"/>
    <cellStyle name="Normal 5 3 2 2 2 2 3 2" xfId="9880"/>
    <cellStyle name="Normal 5 3 2 2 2 2 4" xfId="9881"/>
    <cellStyle name="Normal 5 3 2 2 2 3" xfId="9882"/>
    <cellStyle name="Normal 5 3 2 2 2 3 2" xfId="9883"/>
    <cellStyle name="Normal 5 3 2 2 2 3 2 2" xfId="9884"/>
    <cellStyle name="Normal 5 3 2 2 2 3 3" xfId="9885"/>
    <cellStyle name="Normal 5 3 2 2 2 4" xfId="9886"/>
    <cellStyle name="Normal 5 3 2 2 2 4 2" xfId="9887"/>
    <cellStyle name="Normal 5 3 2 2 2 5" xfId="9888"/>
    <cellStyle name="Normal 5 3 2 2 3" xfId="9889"/>
    <cellStyle name="Normal 5 3 2 2 3 2" xfId="9890"/>
    <cellStyle name="Normal 5 3 2 2 3 2 2" xfId="9891"/>
    <cellStyle name="Normal 5 3 2 2 3 2 2 2" xfId="9892"/>
    <cellStyle name="Normal 5 3 2 2 3 2 3" xfId="9893"/>
    <cellStyle name="Normal 5 3 2 2 3 3" xfId="9894"/>
    <cellStyle name="Normal 5 3 2 2 3 3 2" xfId="9895"/>
    <cellStyle name="Normal 5 3 2 2 3 4" xfId="9896"/>
    <cellStyle name="Normal 5 3 2 2 4" xfId="9897"/>
    <cellStyle name="Normal 5 3 2 2 4 2" xfId="9898"/>
    <cellStyle name="Normal 5 3 2 2 4 2 2" xfId="9899"/>
    <cellStyle name="Normal 5 3 2 2 4 3" xfId="9900"/>
    <cellStyle name="Normal 5 3 2 2 5" xfId="9901"/>
    <cellStyle name="Normal 5 3 2 2 5 2" xfId="9902"/>
    <cellStyle name="Normal 5 3 2 2 6" xfId="9903"/>
    <cellStyle name="Normal 5 3 2 3" xfId="9904"/>
    <cellStyle name="Normal 5 3 2 3 2" xfId="9905"/>
    <cellStyle name="Normal 5 3 2 3 2 2" xfId="9906"/>
    <cellStyle name="Normal 5 3 2 3 2 2 2" xfId="9907"/>
    <cellStyle name="Normal 5 3 2 3 2 2 2 2" xfId="9908"/>
    <cellStyle name="Normal 5 3 2 3 2 2 3" xfId="9909"/>
    <cellStyle name="Normal 5 3 2 3 2 3" xfId="9910"/>
    <cellStyle name="Normal 5 3 2 3 2 3 2" xfId="9911"/>
    <cellStyle name="Normal 5 3 2 3 2 4" xfId="9912"/>
    <cellStyle name="Normal 5 3 2 3 3" xfId="9913"/>
    <cellStyle name="Normal 5 3 2 3 3 2" xfId="9914"/>
    <cellStyle name="Normal 5 3 2 3 3 2 2" xfId="9915"/>
    <cellStyle name="Normal 5 3 2 3 3 3" xfId="9916"/>
    <cellStyle name="Normal 5 3 2 3 4" xfId="9917"/>
    <cellStyle name="Normal 5 3 2 3 4 2" xfId="9918"/>
    <cellStyle name="Normal 5 3 2 3 5" xfId="9919"/>
    <cellStyle name="Normal 5 3 2 4" xfId="9920"/>
    <cellStyle name="Normal 5 3 2 4 2" xfId="9921"/>
    <cellStyle name="Normal 5 3 2 4 2 2" xfId="9922"/>
    <cellStyle name="Normal 5 3 2 4 2 2 2" xfId="9923"/>
    <cellStyle name="Normal 5 3 2 4 2 2 2 2" xfId="9924"/>
    <cellStyle name="Normal 5 3 2 4 2 2 3" xfId="9925"/>
    <cellStyle name="Normal 5 3 2 4 2 3" xfId="9926"/>
    <cellStyle name="Normal 5 3 2 4 2 3 2" xfId="9927"/>
    <cellStyle name="Normal 5 3 2 4 2 4" xfId="9928"/>
    <cellStyle name="Normal 5 3 2 4 3" xfId="9929"/>
    <cellStyle name="Normal 5 3 2 4 3 2" xfId="9930"/>
    <cellStyle name="Normal 5 3 2 4 3 2 2" xfId="9931"/>
    <cellStyle name="Normal 5 3 2 4 3 3" xfId="9932"/>
    <cellStyle name="Normal 5 3 2 4 4" xfId="9933"/>
    <cellStyle name="Normal 5 3 2 4 4 2" xfId="9934"/>
    <cellStyle name="Normal 5 3 2 4 5" xfId="9935"/>
    <cellStyle name="Normal 5 3 2 5" xfId="9936"/>
    <cellStyle name="Normal 5 3 2 5 2" xfId="9937"/>
    <cellStyle name="Normal 5 3 2 5 2 2" xfId="9938"/>
    <cellStyle name="Normal 5 3 2 5 2 2 2" xfId="9939"/>
    <cellStyle name="Normal 5 3 2 5 2 3" xfId="9940"/>
    <cellStyle name="Normal 5 3 2 5 3" xfId="9941"/>
    <cellStyle name="Normal 5 3 2 5 3 2" xfId="9942"/>
    <cellStyle name="Normal 5 3 2 5 4" xfId="9943"/>
    <cellStyle name="Normal 5 3 2 6" xfId="9944"/>
    <cellStyle name="Normal 5 3 2 6 2" xfId="9945"/>
    <cellStyle name="Normal 5 3 2 6 2 2" xfId="9946"/>
    <cellStyle name="Normal 5 3 2 6 3" xfId="9947"/>
    <cellStyle name="Normal 5 3 2 7" xfId="9948"/>
    <cellStyle name="Normal 5 3 2 7 2" xfId="9949"/>
    <cellStyle name="Normal 5 3 2 8" xfId="9950"/>
    <cellStyle name="Normal 5 3 3" xfId="9951"/>
    <cellStyle name="Normal 5 3 3 2" xfId="9952"/>
    <cellStyle name="Normal 5 3 3 2 2" xfId="9953"/>
    <cellStyle name="Normal 5 3 3 2 2 2" xfId="9954"/>
    <cellStyle name="Normal 5 3 3 2 2 2 2" xfId="9955"/>
    <cellStyle name="Normal 5 3 3 2 2 2 2 2" xfId="9956"/>
    <cellStyle name="Normal 5 3 3 2 2 2 3" xfId="9957"/>
    <cellStyle name="Normal 5 3 3 2 2 3" xfId="9958"/>
    <cellStyle name="Normal 5 3 3 2 2 3 2" xfId="9959"/>
    <cellStyle name="Normal 5 3 3 2 2 4" xfId="9960"/>
    <cellStyle name="Normal 5 3 3 2 3" xfId="9961"/>
    <cellStyle name="Normal 5 3 3 2 3 2" xfId="9962"/>
    <cellStyle name="Normal 5 3 3 2 3 2 2" xfId="9963"/>
    <cellStyle name="Normal 5 3 3 2 3 3" xfId="9964"/>
    <cellStyle name="Normal 5 3 3 2 4" xfId="9965"/>
    <cellStyle name="Normal 5 3 3 2 4 2" xfId="9966"/>
    <cellStyle name="Normal 5 3 3 2 5" xfId="9967"/>
    <cellStyle name="Normal 5 3 3 3" xfId="9968"/>
    <cellStyle name="Normal 5 3 3 3 2" xfId="9969"/>
    <cellStyle name="Normal 5 3 3 3 2 2" xfId="9970"/>
    <cellStyle name="Normal 5 3 3 3 2 2 2" xfId="9971"/>
    <cellStyle name="Normal 5 3 3 3 2 3" xfId="9972"/>
    <cellStyle name="Normal 5 3 3 3 3" xfId="9973"/>
    <cellStyle name="Normal 5 3 3 3 3 2" xfId="9974"/>
    <cellStyle name="Normal 5 3 3 3 4" xfId="9975"/>
    <cellStyle name="Normal 5 3 3 4" xfId="9976"/>
    <cellStyle name="Normal 5 3 3 4 2" xfId="9977"/>
    <cellStyle name="Normal 5 3 3 4 2 2" xfId="9978"/>
    <cellStyle name="Normal 5 3 3 4 3" xfId="9979"/>
    <cellStyle name="Normal 5 3 3 5" xfId="9980"/>
    <cellStyle name="Normal 5 3 3 5 2" xfId="9981"/>
    <cellStyle name="Normal 5 3 3 6" xfId="9982"/>
    <cellStyle name="Normal 5 3 4" xfId="9983"/>
    <cellStyle name="Normal 5 3 4 2" xfId="9984"/>
    <cellStyle name="Normal 5 3 4 2 2" xfId="9985"/>
    <cellStyle name="Normal 5 3 4 2 2 2" xfId="9986"/>
    <cellStyle name="Normal 5 3 4 2 2 2 2" xfId="9987"/>
    <cellStyle name="Normal 5 3 4 2 2 3" xfId="9988"/>
    <cellStyle name="Normal 5 3 4 2 3" xfId="9989"/>
    <cellStyle name="Normal 5 3 4 2 3 2" xfId="9990"/>
    <cellStyle name="Normal 5 3 4 2 4" xfId="9991"/>
    <cellStyle name="Normal 5 3 4 3" xfId="9992"/>
    <cellStyle name="Normal 5 3 4 3 2" xfId="9993"/>
    <cellStyle name="Normal 5 3 4 3 2 2" xfId="9994"/>
    <cellStyle name="Normal 5 3 4 3 3" xfId="9995"/>
    <cellStyle name="Normal 5 3 4 4" xfId="9996"/>
    <cellStyle name="Normal 5 3 4 4 2" xfId="9997"/>
    <cellStyle name="Normal 5 3 4 5" xfId="9998"/>
    <cellStyle name="Normal 5 3 5" xfId="9999"/>
    <cellStyle name="Normal 5 3 5 2" xfId="10000"/>
    <cellStyle name="Normal 5 3 5 2 2" xfId="10001"/>
    <cellStyle name="Normal 5 3 5 2 2 2" xfId="10002"/>
    <cellStyle name="Normal 5 3 5 2 2 2 2" xfId="10003"/>
    <cellStyle name="Normal 5 3 5 2 2 3" xfId="10004"/>
    <cellStyle name="Normal 5 3 5 2 3" xfId="10005"/>
    <cellStyle name="Normal 5 3 5 2 3 2" xfId="10006"/>
    <cellStyle name="Normal 5 3 5 2 4" xfId="10007"/>
    <cellStyle name="Normal 5 3 5 3" xfId="10008"/>
    <cellStyle name="Normal 5 3 5 3 2" xfId="10009"/>
    <cellStyle name="Normal 5 3 5 3 2 2" xfId="10010"/>
    <cellStyle name="Normal 5 3 5 3 3" xfId="10011"/>
    <cellStyle name="Normal 5 3 5 4" xfId="10012"/>
    <cellStyle name="Normal 5 3 5 4 2" xfId="10013"/>
    <cellStyle name="Normal 5 3 5 5" xfId="10014"/>
    <cellStyle name="Normal 5 3 6" xfId="10015"/>
    <cellStyle name="Normal 5 3 6 2" xfId="10016"/>
    <cellStyle name="Normal 5 3 6 2 2" xfId="10017"/>
    <cellStyle name="Normal 5 3 6 2 2 2" xfId="10018"/>
    <cellStyle name="Normal 5 3 6 2 3" xfId="10019"/>
    <cellStyle name="Normal 5 3 6 3" xfId="10020"/>
    <cellStyle name="Normal 5 3 6 3 2" xfId="10021"/>
    <cellStyle name="Normal 5 3 6 4" xfId="10022"/>
    <cellStyle name="Normal 5 3 7" xfId="10023"/>
    <cellStyle name="Normal 5 3 7 2" xfId="10024"/>
    <cellStyle name="Normal 5 3 7 2 2" xfId="10025"/>
    <cellStyle name="Normal 5 3 7 3" xfId="10026"/>
    <cellStyle name="Normal 5 3 8" xfId="10027"/>
    <cellStyle name="Normal 5 3 8 2" xfId="10028"/>
    <cellStyle name="Normal 5 3 9" xfId="10029"/>
    <cellStyle name="Normal 5 4" xfId="10030"/>
    <cellStyle name="Normal 5 4 10" xfId="10031"/>
    <cellStyle name="Normal 5 4 2" xfId="10032"/>
    <cellStyle name="Normal 5 4 2 2" xfId="10033"/>
    <cellStyle name="Normal 5 4 2 2 2" xfId="10034"/>
    <cellStyle name="Normal 5 4 2 2 2 2" xfId="10035"/>
    <cellStyle name="Normal 5 4 2 2 2 2 2" xfId="10036"/>
    <cellStyle name="Normal 5 4 2 2 2 2 2 2" xfId="10037"/>
    <cellStyle name="Normal 5 4 2 2 2 2 3" xfId="10038"/>
    <cellStyle name="Normal 5 4 2 2 2 3" xfId="10039"/>
    <cellStyle name="Normal 5 4 2 2 2 3 2" xfId="10040"/>
    <cellStyle name="Normal 5 4 2 2 2 4" xfId="10041"/>
    <cellStyle name="Normal 5 4 2 2 3" xfId="10042"/>
    <cellStyle name="Normal 5 4 2 2 3 2" xfId="10043"/>
    <cellStyle name="Normal 5 4 2 2 3 2 2" xfId="10044"/>
    <cellStyle name="Normal 5 4 2 2 3 3" xfId="10045"/>
    <cellStyle name="Normal 5 4 2 2 4" xfId="10046"/>
    <cellStyle name="Normal 5 4 2 2 4 2" xfId="10047"/>
    <cellStyle name="Normal 5 4 2 2 5" xfId="10048"/>
    <cellStyle name="Normal 5 4 2 2 6" xfId="10049"/>
    <cellStyle name="Normal 5 4 2 3" xfId="10050"/>
    <cellStyle name="Normal 5 4 2 3 2" xfId="10051"/>
    <cellStyle name="Normal 5 4 2 3 2 2" xfId="10052"/>
    <cellStyle name="Normal 5 4 2 3 2 2 2" xfId="10053"/>
    <cellStyle name="Normal 5 4 2 3 2 2 2 2" xfId="10054"/>
    <cellStyle name="Normal 5 4 2 3 2 2 3" xfId="10055"/>
    <cellStyle name="Normal 5 4 2 3 2 3" xfId="10056"/>
    <cellStyle name="Normal 5 4 2 3 2 3 2" xfId="10057"/>
    <cellStyle name="Normal 5 4 2 3 2 4" xfId="10058"/>
    <cellStyle name="Normal 5 4 2 3 3" xfId="10059"/>
    <cellStyle name="Normal 5 4 2 3 3 2" xfId="10060"/>
    <cellStyle name="Normal 5 4 2 3 3 2 2" xfId="10061"/>
    <cellStyle name="Normal 5 4 2 3 3 3" xfId="10062"/>
    <cellStyle name="Normal 5 4 2 3 4" xfId="10063"/>
    <cellStyle name="Normal 5 4 2 3 4 2" xfId="10064"/>
    <cellStyle name="Normal 5 4 2 3 5" xfId="10065"/>
    <cellStyle name="Normal 5 4 2 4" xfId="10066"/>
    <cellStyle name="Normal 5 4 2 4 2" xfId="10067"/>
    <cellStyle name="Normal 5 4 2 4 2 2" xfId="10068"/>
    <cellStyle name="Normal 5 4 2 4 2 2 2" xfId="10069"/>
    <cellStyle name="Normal 5 4 2 4 2 3" xfId="10070"/>
    <cellStyle name="Normal 5 4 2 4 3" xfId="10071"/>
    <cellStyle name="Normal 5 4 2 4 3 2" xfId="10072"/>
    <cellStyle name="Normal 5 4 2 4 4" xfId="10073"/>
    <cellStyle name="Normal 5 4 2 5" xfId="10074"/>
    <cellStyle name="Normal 5 4 2 5 2" xfId="10075"/>
    <cellStyle name="Normal 5 4 2 5 2 2" xfId="10076"/>
    <cellStyle name="Normal 5 4 2 5 3" xfId="10077"/>
    <cellStyle name="Normal 5 4 2 6" xfId="10078"/>
    <cellStyle name="Normal 5 4 2 6 2" xfId="10079"/>
    <cellStyle name="Normal 5 4 2 7" xfId="10080"/>
    <cellStyle name="Normal 5 4 2 8" xfId="10081"/>
    <cellStyle name="Normal 5 4 3" xfId="10082"/>
    <cellStyle name="Normal 5 4 3 2" xfId="10083"/>
    <cellStyle name="Normal 5 4 3 2 2" xfId="10084"/>
    <cellStyle name="Normal 5 4 3 2 2 2" xfId="10085"/>
    <cellStyle name="Normal 5 4 3 2 2 2 2" xfId="10086"/>
    <cellStyle name="Normal 5 4 3 2 2 2 2 2" xfId="10087"/>
    <cellStyle name="Normal 5 4 3 2 2 2 3" xfId="10088"/>
    <cellStyle name="Normal 5 4 3 2 2 3" xfId="10089"/>
    <cellStyle name="Normal 5 4 3 2 2 3 2" xfId="10090"/>
    <cellStyle name="Normal 5 4 3 2 2 4" xfId="10091"/>
    <cellStyle name="Normal 5 4 3 2 3" xfId="10092"/>
    <cellStyle name="Normal 5 4 3 2 3 2" xfId="10093"/>
    <cellStyle name="Normal 5 4 3 2 3 2 2" xfId="10094"/>
    <cellStyle name="Normal 5 4 3 2 3 3" xfId="10095"/>
    <cellStyle name="Normal 5 4 3 2 4" xfId="10096"/>
    <cellStyle name="Normal 5 4 3 2 4 2" xfId="10097"/>
    <cellStyle name="Normal 5 4 3 2 5" xfId="10098"/>
    <cellStyle name="Normal 5 4 3 3" xfId="10099"/>
    <cellStyle name="Normal 5 4 3 3 2" xfId="10100"/>
    <cellStyle name="Normal 5 4 3 3 2 2" xfId="10101"/>
    <cellStyle name="Normal 5 4 3 3 2 2 2" xfId="10102"/>
    <cellStyle name="Normal 5 4 3 3 2 3" xfId="10103"/>
    <cellStyle name="Normal 5 4 3 3 3" xfId="10104"/>
    <cellStyle name="Normal 5 4 3 3 3 2" xfId="10105"/>
    <cellStyle name="Normal 5 4 3 3 4" xfId="10106"/>
    <cellStyle name="Normal 5 4 3 4" xfId="10107"/>
    <cellStyle name="Normal 5 4 3 4 2" xfId="10108"/>
    <cellStyle name="Normal 5 4 3 4 2 2" xfId="10109"/>
    <cellStyle name="Normal 5 4 3 4 3" xfId="10110"/>
    <cellStyle name="Normal 5 4 3 5" xfId="10111"/>
    <cellStyle name="Normal 5 4 3 5 2" xfId="10112"/>
    <cellStyle name="Normal 5 4 3 6" xfId="10113"/>
    <cellStyle name="Normal 5 4 3 7" xfId="10114"/>
    <cellStyle name="Normal 5 4 4" xfId="10115"/>
    <cellStyle name="Normal 5 4 4 2" xfId="10116"/>
    <cellStyle name="Normal 5 4 4 2 2" xfId="10117"/>
    <cellStyle name="Normal 5 4 4 2 2 2" xfId="10118"/>
    <cellStyle name="Normal 5 4 4 2 2 2 2" xfId="10119"/>
    <cellStyle name="Normal 5 4 4 2 2 3" xfId="10120"/>
    <cellStyle name="Normal 5 4 4 2 3" xfId="10121"/>
    <cellStyle name="Normal 5 4 4 2 3 2" xfId="10122"/>
    <cellStyle name="Normal 5 4 4 2 4" xfId="10123"/>
    <cellStyle name="Normal 5 4 4 3" xfId="10124"/>
    <cellStyle name="Normal 5 4 4 3 2" xfId="10125"/>
    <cellStyle name="Normal 5 4 4 3 2 2" xfId="10126"/>
    <cellStyle name="Normal 5 4 4 3 3" xfId="10127"/>
    <cellStyle name="Normal 5 4 4 4" xfId="10128"/>
    <cellStyle name="Normal 5 4 4 4 2" xfId="10129"/>
    <cellStyle name="Normal 5 4 4 5" xfId="10130"/>
    <cellStyle name="Normal 5 4 5" xfId="10131"/>
    <cellStyle name="Normal 5 4 5 2" xfId="10132"/>
    <cellStyle name="Normal 5 4 5 2 2" xfId="10133"/>
    <cellStyle name="Normal 5 4 5 2 2 2" xfId="10134"/>
    <cellStyle name="Normal 5 4 5 2 2 2 2" xfId="10135"/>
    <cellStyle name="Normal 5 4 5 2 2 3" xfId="10136"/>
    <cellStyle name="Normal 5 4 5 2 3" xfId="10137"/>
    <cellStyle name="Normal 5 4 5 2 3 2" xfId="10138"/>
    <cellStyle name="Normal 5 4 5 2 4" xfId="10139"/>
    <cellStyle name="Normal 5 4 5 3" xfId="10140"/>
    <cellStyle name="Normal 5 4 5 3 2" xfId="10141"/>
    <cellStyle name="Normal 5 4 5 3 2 2" xfId="10142"/>
    <cellStyle name="Normal 5 4 5 3 3" xfId="10143"/>
    <cellStyle name="Normal 5 4 5 4" xfId="10144"/>
    <cellStyle name="Normal 5 4 5 4 2" xfId="10145"/>
    <cellStyle name="Normal 5 4 5 5" xfId="10146"/>
    <cellStyle name="Normal 5 4 6" xfId="10147"/>
    <cellStyle name="Normal 5 4 6 2" xfId="10148"/>
    <cellStyle name="Normal 5 4 6 2 2" xfId="10149"/>
    <cellStyle name="Normal 5 4 6 2 2 2" xfId="10150"/>
    <cellStyle name="Normal 5 4 6 2 3" xfId="10151"/>
    <cellStyle name="Normal 5 4 6 3" xfId="10152"/>
    <cellStyle name="Normal 5 4 6 3 2" xfId="10153"/>
    <cellStyle name="Normal 5 4 6 4" xfId="10154"/>
    <cellStyle name="Normal 5 4 7" xfId="10155"/>
    <cellStyle name="Normal 5 4 7 2" xfId="10156"/>
    <cellStyle name="Normal 5 4 7 2 2" xfId="10157"/>
    <cellStyle name="Normal 5 4 7 3" xfId="10158"/>
    <cellStyle name="Normal 5 4 8" xfId="10159"/>
    <cellStyle name="Normal 5 4 8 2" xfId="10160"/>
    <cellStyle name="Normal 5 4 9" xfId="10161"/>
    <cellStyle name="Normal 5 5" xfId="10162"/>
    <cellStyle name="Normal 5 5 2" xfId="10163"/>
    <cellStyle name="Normal 5 5 2 2" xfId="10164"/>
    <cellStyle name="Normal 5 5 2 2 2" xfId="10165"/>
    <cellStyle name="Normal 5 5 2 2 2 2" xfId="10166"/>
    <cellStyle name="Normal 5 5 2 2 2 2 2" xfId="10167"/>
    <cellStyle name="Normal 5 5 2 2 2 3" xfId="10168"/>
    <cellStyle name="Normal 5 5 2 2 3" xfId="10169"/>
    <cellStyle name="Normal 5 5 2 2 3 2" xfId="10170"/>
    <cellStyle name="Normal 5 5 2 2 4" xfId="10171"/>
    <cellStyle name="Normal 5 5 2 3" xfId="10172"/>
    <cellStyle name="Normal 5 5 2 3 2" xfId="10173"/>
    <cellStyle name="Normal 5 5 2 3 2 2" xfId="10174"/>
    <cellStyle name="Normal 5 5 2 3 3" xfId="10175"/>
    <cellStyle name="Normal 5 5 2 4" xfId="10176"/>
    <cellStyle name="Normal 5 5 2 4 2" xfId="10177"/>
    <cellStyle name="Normal 5 5 2 5" xfId="10178"/>
    <cellStyle name="Normal 5 5 3" xfId="10179"/>
    <cellStyle name="Normal 5 5 3 2" xfId="10180"/>
    <cellStyle name="Normal 5 5 3 2 2" xfId="10181"/>
    <cellStyle name="Normal 5 5 3 2 2 2" xfId="10182"/>
    <cellStyle name="Normal 5 5 3 2 2 2 2" xfId="10183"/>
    <cellStyle name="Normal 5 5 3 2 2 3" xfId="10184"/>
    <cellStyle name="Normal 5 5 3 2 3" xfId="10185"/>
    <cellStyle name="Normal 5 5 3 2 3 2" xfId="10186"/>
    <cellStyle name="Normal 5 5 3 2 4" xfId="10187"/>
    <cellStyle name="Normal 5 5 3 3" xfId="10188"/>
    <cellStyle name="Normal 5 5 3 3 2" xfId="10189"/>
    <cellStyle name="Normal 5 5 3 3 2 2" xfId="10190"/>
    <cellStyle name="Normal 5 5 3 3 3" xfId="10191"/>
    <cellStyle name="Normal 5 5 3 4" xfId="10192"/>
    <cellStyle name="Normal 5 5 3 4 2" xfId="10193"/>
    <cellStyle name="Normal 5 5 3 5" xfId="10194"/>
    <cellStyle name="Normal 5 5 4" xfId="10195"/>
    <cellStyle name="Normal 5 5 4 2" xfId="10196"/>
    <cellStyle name="Normal 5 5 4 2 2" xfId="10197"/>
    <cellStyle name="Normal 5 5 4 2 2 2" xfId="10198"/>
    <cellStyle name="Normal 5 5 4 2 3" xfId="10199"/>
    <cellStyle name="Normal 5 5 4 3" xfId="10200"/>
    <cellStyle name="Normal 5 5 4 3 2" xfId="10201"/>
    <cellStyle name="Normal 5 5 4 4" xfId="10202"/>
    <cellStyle name="Normal 5 5 5" xfId="10203"/>
    <cellStyle name="Normal 5 5 5 2" xfId="10204"/>
    <cellStyle name="Normal 5 5 5 2 2" xfId="10205"/>
    <cellStyle name="Normal 5 5 5 3" xfId="10206"/>
    <cellStyle name="Normal 5 5 6" xfId="10207"/>
    <cellStyle name="Normal 5 5 6 2" xfId="10208"/>
    <cellStyle name="Normal 5 5 7" xfId="10209"/>
    <cellStyle name="Normal 5 6" xfId="10210"/>
    <cellStyle name="Normal 5 6 2" xfId="10211"/>
    <cellStyle name="Normal 5 6 2 2" xfId="10212"/>
    <cellStyle name="Normal 5 6 2 2 2" xfId="10213"/>
    <cellStyle name="Normal 5 6 2 2 2 2" xfId="10214"/>
    <cellStyle name="Normal 5 6 2 2 2 2 2" xfId="10215"/>
    <cellStyle name="Normal 5 6 2 2 2 3" xfId="10216"/>
    <cellStyle name="Normal 5 6 2 2 3" xfId="10217"/>
    <cellStyle name="Normal 5 6 2 2 3 2" xfId="10218"/>
    <cellStyle name="Normal 5 6 2 2 4" xfId="10219"/>
    <cellStyle name="Normal 5 6 2 3" xfId="10220"/>
    <cellStyle name="Normal 5 6 2 3 2" xfId="10221"/>
    <cellStyle name="Normal 5 6 2 3 2 2" xfId="10222"/>
    <cellStyle name="Normal 5 6 2 3 3" xfId="10223"/>
    <cellStyle name="Normal 5 6 2 4" xfId="10224"/>
    <cellStyle name="Normal 5 6 2 4 2" xfId="10225"/>
    <cellStyle name="Normal 5 6 2 5" xfId="10226"/>
    <cellStyle name="Normal 5 6 3" xfId="10227"/>
    <cellStyle name="Normal 5 6 3 2" xfId="10228"/>
    <cellStyle name="Normal 5 6 3 2 2" xfId="10229"/>
    <cellStyle name="Normal 5 6 3 2 2 2" xfId="10230"/>
    <cellStyle name="Normal 5 6 3 2 3" xfId="10231"/>
    <cellStyle name="Normal 5 6 3 3" xfId="10232"/>
    <cellStyle name="Normal 5 6 3 3 2" xfId="10233"/>
    <cellStyle name="Normal 5 6 3 4" xfId="10234"/>
    <cellStyle name="Normal 5 6 4" xfId="10235"/>
    <cellStyle name="Normal 5 6 4 2" xfId="10236"/>
    <cellStyle name="Normal 5 6 4 2 2" xfId="10237"/>
    <cellStyle name="Normal 5 6 4 3" xfId="10238"/>
    <cellStyle name="Normal 5 6 5" xfId="10239"/>
    <cellStyle name="Normal 5 6 5 2" xfId="10240"/>
    <cellStyle name="Normal 5 6 6" xfId="10241"/>
    <cellStyle name="Normal 5 7" xfId="10242"/>
    <cellStyle name="Normal 5 7 2" xfId="10243"/>
    <cellStyle name="Normal 5 7 2 2" xfId="10244"/>
    <cellStyle name="Normal 5 7 2 2 2" xfId="10245"/>
    <cellStyle name="Normal 5 7 2 2 2 2" xfId="10246"/>
    <cellStyle name="Normal 5 7 2 2 3" xfId="10247"/>
    <cellStyle name="Normal 5 7 2 3" xfId="10248"/>
    <cellStyle name="Normal 5 7 2 3 2" xfId="10249"/>
    <cellStyle name="Normal 5 7 2 4" xfId="10250"/>
    <cellStyle name="Normal 5 7 3" xfId="10251"/>
    <cellStyle name="Normal 5 7 3 2" xfId="10252"/>
    <cellStyle name="Normal 5 7 3 2 2" xfId="10253"/>
    <cellStyle name="Normal 5 7 3 3" xfId="10254"/>
    <cellStyle name="Normal 5 7 4" xfId="10255"/>
    <cellStyle name="Normal 5 7 4 2" xfId="10256"/>
    <cellStyle name="Normal 5 7 5" xfId="10257"/>
    <cellStyle name="Normal 5 8" xfId="10258"/>
    <cellStyle name="Normal 5 8 2" xfId="10259"/>
    <cellStyle name="Normal 5 8 2 2" xfId="10260"/>
    <cellStyle name="Normal 5 8 2 2 2" xfId="10261"/>
    <cellStyle name="Normal 5 8 2 2 2 2" xfId="10262"/>
    <cellStyle name="Normal 5 8 2 2 3" xfId="10263"/>
    <cellStyle name="Normal 5 8 2 3" xfId="10264"/>
    <cellStyle name="Normal 5 8 2 3 2" xfId="10265"/>
    <cellStyle name="Normal 5 8 2 4" xfId="10266"/>
    <cellStyle name="Normal 5 8 3" xfId="10267"/>
    <cellStyle name="Normal 5 8 3 2" xfId="10268"/>
    <cellStyle name="Normal 5 8 3 2 2" xfId="10269"/>
    <cellStyle name="Normal 5 8 3 3" xfId="10270"/>
    <cellStyle name="Normal 5 8 4" xfId="10271"/>
    <cellStyle name="Normal 5 8 4 2" xfId="10272"/>
    <cellStyle name="Normal 5 8 5" xfId="10273"/>
    <cellStyle name="Normal 5 9" xfId="10274"/>
    <cellStyle name="Normal 5 9 2" xfId="10275"/>
    <cellStyle name="Normal 5 9 2 2" xfId="10276"/>
    <cellStyle name="Normal 5 9 2 2 2" xfId="10277"/>
    <cellStyle name="Normal 5 9 2 3" xfId="10278"/>
    <cellStyle name="Normal 5 9 3" xfId="10279"/>
    <cellStyle name="Normal 5 9 3 2" xfId="10280"/>
    <cellStyle name="Normal 5 9 4" xfId="10281"/>
    <cellStyle name="Normal 50" xfId="1855"/>
    <cellStyle name="Normal 50 2" xfId="10282"/>
    <cellStyle name="Normal 50 3" xfId="10283"/>
    <cellStyle name="Normal 51" xfId="1856"/>
    <cellStyle name="Normal 51 2" xfId="10284"/>
    <cellStyle name="Normal 51 3" xfId="10285"/>
    <cellStyle name="Normal 52" xfId="1857"/>
    <cellStyle name="Normal 52 2" xfId="10286"/>
    <cellStyle name="Normal 52 3" xfId="10287"/>
    <cellStyle name="Normal 53" xfId="10288"/>
    <cellStyle name="Normal 53 2" xfId="10289"/>
    <cellStyle name="Normal 53 3" xfId="10290"/>
    <cellStyle name="Normal 54" xfId="10291"/>
    <cellStyle name="Normal 54 2" xfId="10292"/>
    <cellStyle name="Normal 54 3" xfId="10293"/>
    <cellStyle name="Normal 55" xfId="10294"/>
    <cellStyle name="Normal 55 2" xfId="10295"/>
    <cellStyle name="Normal 55 3" xfId="10296"/>
    <cellStyle name="Normal 56" xfId="10297"/>
    <cellStyle name="Normal 56 2" xfId="10298"/>
    <cellStyle name="Normal 57" xfId="10299"/>
    <cellStyle name="Normal 57 2" xfId="10300"/>
    <cellStyle name="Normal 58" xfId="10301"/>
    <cellStyle name="Normal 58 2" xfId="10302"/>
    <cellStyle name="Normal 59" xfId="10303"/>
    <cellStyle name="Normal 6" xfId="1858"/>
    <cellStyle name="Normal 6 10" xfId="10304"/>
    <cellStyle name="Normal 6 11" xfId="10305"/>
    <cellStyle name="Normal 6 2" xfId="10306"/>
    <cellStyle name="Normal 6 2 2" xfId="10307"/>
    <cellStyle name="Normal 6 2 2 2" xfId="10308"/>
    <cellStyle name="Normal 6 2 2 2 2" xfId="10309"/>
    <cellStyle name="Normal 6 2 2 2 2 2" xfId="10310"/>
    <cellStyle name="Normal 6 2 2 2 2 2 2" xfId="10311"/>
    <cellStyle name="Normal 6 2 2 2 2 3" xfId="10312"/>
    <cellStyle name="Normal 6 2 2 2 3" xfId="10313"/>
    <cellStyle name="Normal 6 2 2 2 3 2" xfId="10314"/>
    <cellStyle name="Normal 6 2 2 2 4" xfId="10315"/>
    <cellStyle name="Normal 6 2 2 2 5" xfId="10316"/>
    <cellStyle name="Normal 6 2 2 3" xfId="10317"/>
    <cellStyle name="Normal 6 2 2 3 2" xfId="10318"/>
    <cellStyle name="Normal 6 2 2 3 2 2" xfId="10319"/>
    <cellStyle name="Normal 6 2 2 3 3" xfId="10320"/>
    <cellStyle name="Normal 6 2 2 4" xfId="10321"/>
    <cellStyle name="Normal 6 2 2 4 2" xfId="10322"/>
    <cellStyle name="Normal 6 2 2 5" xfId="10323"/>
    <cellStyle name="Normal 6 2 2 6" xfId="10324"/>
    <cellStyle name="Normal 6 2 3" xfId="10325"/>
    <cellStyle name="Normal 6 2 3 2" xfId="10326"/>
    <cellStyle name="Normal 6 2 3 2 2" xfId="10327"/>
    <cellStyle name="Normal 6 2 3 2 2 2" xfId="10328"/>
    <cellStyle name="Normal 6 2 3 2 3" xfId="10329"/>
    <cellStyle name="Normal 6 2 3 3" xfId="10330"/>
    <cellStyle name="Normal 6 2 3 3 2" xfId="10331"/>
    <cellStyle name="Normal 6 2 3 4" xfId="10332"/>
    <cellStyle name="Normal 6 2 3 5" xfId="10333"/>
    <cellStyle name="Normal 6 2 4" xfId="10334"/>
    <cellStyle name="Normal 6 2 4 2" xfId="10335"/>
    <cellStyle name="Normal 6 2 4 2 2" xfId="10336"/>
    <cellStyle name="Normal 6 2 4 3" xfId="10337"/>
    <cellStyle name="Normal 6 2 5" xfId="10338"/>
    <cellStyle name="Normal 6 2 5 2" xfId="10339"/>
    <cellStyle name="Normal 6 2 6" xfId="10340"/>
    <cellStyle name="Normal 6 2 7" xfId="10341"/>
    <cellStyle name="Normal 6 2 8" xfId="10342"/>
    <cellStyle name="Normal 6 3" xfId="10343"/>
    <cellStyle name="Normal 6 3 2" xfId="10344"/>
    <cellStyle name="Normal 6 3 2 2" xfId="10345"/>
    <cellStyle name="Normal 6 3 2 2 2" xfId="10346"/>
    <cellStyle name="Normal 6 3 2 2 2 2" xfId="10347"/>
    <cellStyle name="Normal 6 3 2 2 3" xfId="10348"/>
    <cellStyle name="Normal 6 3 2 3" xfId="10349"/>
    <cellStyle name="Normal 6 3 2 3 2" xfId="10350"/>
    <cellStyle name="Normal 6 3 2 4" xfId="10351"/>
    <cellStyle name="Normal 6 3 2 5" xfId="10352"/>
    <cellStyle name="Normal 6 3 3" xfId="10353"/>
    <cellStyle name="Normal 6 3 3 2" xfId="10354"/>
    <cellStyle name="Normal 6 3 3 2 2" xfId="10355"/>
    <cellStyle name="Normal 6 3 3 3" xfId="10356"/>
    <cellStyle name="Normal 6 3 4" xfId="10357"/>
    <cellStyle name="Normal 6 3 4 2" xfId="10358"/>
    <cellStyle name="Normal 6 3 5" xfId="10359"/>
    <cellStyle name="Normal 6 3 6" xfId="10360"/>
    <cellStyle name="Normal 6 3 7" xfId="10361"/>
    <cellStyle name="Normal 6 4" xfId="10362"/>
    <cellStyle name="Normal 6 4 2" xfId="10363"/>
    <cellStyle name="Normal 6 4 2 2" xfId="10364"/>
    <cellStyle name="Normal 6 4 2 2 2" xfId="10365"/>
    <cellStyle name="Normal 6 4 2 2 3" xfId="10366"/>
    <cellStyle name="Normal 6 4 2 3" xfId="10367"/>
    <cellStyle name="Normal 6 4 2 3 2" xfId="10368"/>
    <cellStyle name="Normal 6 4 2 4" xfId="10369"/>
    <cellStyle name="Normal 6 4 2 5" xfId="10370"/>
    <cellStyle name="Normal 6 4 2 6" xfId="10371"/>
    <cellStyle name="Normal 6 4 3" xfId="10372"/>
    <cellStyle name="Normal 6 4 3 2" xfId="10373"/>
    <cellStyle name="Normal 6 4 3 3" xfId="10374"/>
    <cellStyle name="Normal 6 4 4" xfId="10375"/>
    <cellStyle name="Normal 6 4 4 2" xfId="10376"/>
    <cellStyle name="Normal 6 4 4 3" xfId="10377"/>
    <cellStyle name="Normal 6 4 5" xfId="10378"/>
    <cellStyle name="Normal 6 4 5 2" xfId="10379"/>
    <cellStyle name="Normal 6 4 6" xfId="10380"/>
    <cellStyle name="Normal 6 4 7" xfId="10381"/>
    <cellStyle name="Normal 6 4 8" xfId="10382"/>
    <cellStyle name="Normal 6 5" xfId="10383"/>
    <cellStyle name="Normal 6 5 2" xfId="10384"/>
    <cellStyle name="Normal 6 5 2 2" xfId="10385"/>
    <cellStyle name="Normal 6 5 2 2 2" xfId="10386"/>
    <cellStyle name="Normal 6 5 2 3" xfId="10387"/>
    <cellStyle name="Normal 6 5 3" xfId="10388"/>
    <cellStyle name="Normal 6 5 3 2" xfId="10389"/>
    <cellStyle name="Normal 6 5 4" xfId="10390"/>
    <cellStyle name="Normal 6 5 5" xfId="10391"/>
    <cellStyle name="Normal 6 5 6" xfId="10392"/>
    <cellStyle name="Normal 6 6" xfId="10393"/>
    <cellStyle name="Normal 6 6 2" xfId="10394"/>
    <cellStyle name="Normal 6 6 2 2" xfId="10395"/>
    <cellStyle name="Normal 6 6 3" xfId="10396"/>
    <cellStyle name="Normal 6 6 4" xfId="10397"/>
    <cellStyle name="Normal 6 6 5" xfId="10398"/>
    <cellStyle name="Normal 6 7" xfId="10399"/>
    <cellStyle name="Normal 6 7 2" xfId="10400"/>
    <cellStyle name="Normal 6 7 3" xfId="10401"/>
    <cellStyle name="Normal 6 8" xfId="10402"/>
    <cellStyle name="Normal 6 8 2" xfId="10403"/>
    <cellStyle name="Normal 6 8 3" xfId="10404"/>
    <cellStyle name="Normal 6 9" xfId="10405"/>
    <cellStyle name="Normal 60" xfId="10406"/>
    <cellStyle name="Normal 61" xfId="10407"/>
    <cellStyle name="Normal 62" xfId="10408"/>
    <cellStyle name="Normal 63" xfId="10409"/>
    <cellStyle name="Normal 64" xfId="10410"/>
    <cellStyle name="Normal 65" xfId="10411"/>
    <cellStyle name="Normal 66" xfId="10412"/>
    <cellStyle name="Normal 67" xfId="10413"/>
    <cellStyle name="Normal 68" xfId="10414"/>
    <cellStyle name="Normal 69" xfId="10415"/>
    <cellStyle name="Normal 7" xfId="1859"/>
    <cellStyle name="Normal 7 10" xfId="10416"/>
    <cellStyle name="Normal 7 11" xfId="10417"/>
    <cellStyle name="Normal 7 2" xfId="10418"/>
    <cellStyle name="Normal 7 2 2" xfId="10419"/>
    <cellStyle name="Normal 7 2 2 2" xfId="10420"/>
    <cellStyle name="Normal 7 2 2 2 2" xfId="10421"/>
    <cellStyle name="Normal 7 2 2 2 2 2" xfId="10422"/>
    <cellStyle name="Normal 7 2 2 2 2 2 2" xfId="10423"/>
    <cellStyle name="Normal 7 2 2 2 2 2 2 2" xfId="10424"/>
    <cellStyle name="Normal 7 2 2 2 2 2 3" xfId="10425"/>
    <cellStyle name="Normal 7 2 2 2 2 3" xfId="10426"/>
    <cellStyle name="Normal 7 2 2 2 2 3 2" xfId="10427"/>
    <cellStyle name="Normal 7 2 2 2 2 4" xfId="10428"/>
    <cellStyle name="Normal 7 2 2 2 3" xfId="10429"/>
    <cellStyle name="Normal 7 2 2 2 3 2" xfId="10430"/>
    <cellStyle name="Normal 7 2 2 2 3 2 2" xfId="10431"/>
    <cellStyle name="Normal 7 2 2 2 3 3" xfId="10432"/>
    <cellStyle name="Normal 7 2 2 2 4" xfId="10433"/>
    <cellStyle name="Normal 7 2 2 2 4 2" xfId="10434"/>
    <cellStyle name="Normal 7 2 2 2 5" xfId="10435"/>
    <cellStyle name="Normal 7 2 2 2 6" xfId="10436"/>
    <cellStyle name="Normal 7 2 2 3" xfId="10437"/>
    <cellStyle name="Normal 7 2 2 3 2" xfId="10438"/>
    <cellStyle name="Normal 7 2 2 3 2 2" xfId="10439"/>
    <cellStyle name="Normal 7 2 2 3 2 2 2" xfId="10440"/>
    <cellStyle name="Normal 7 2 2 3 2 3" xfId="10441"/>
    <cellStyle name="Normal 7 2 2 3 3" xfId="10442"/>
    <cellStyle name="Normal 7 2 2 3 3 2" xfId="10443"/>
    <cellStyle name="Normal 7 2 2 3 4" xfId="10444"/>
    <cellStyle name="Normal 7 2 2 4" xfId="10445"/>
    <cellStyle name="Normal 7 2 2 4 2" xfId="10446"/>
    <cellStyle name="Normal 7 2 2 4 2 2" xfId="10447"/>
    <cellStyle name="Normal 7 2 2 4 3" xfId="10448"/>
    <cellStyle name="Normal 7 2 2 5" xfId="10449"/>
    <cellStyle name="Normal 7 2 2 5 2" xfId="10450"/>
    <cellStyle name="Normal 7 2 2 6" xfId="10451"/>
    <cellStyle name="Normal 7 2 2 7" xfId="10452"/>
    <cellStyle name="Normal 7 2 3" xfId="10453"/>
    <cellStyle name="Normal 7 2 3 2" xfId="10454"/>
    <cellStyle name="Normal 7 2 3 2 2" xfId="10455"/>
    <cellStyle name="Normal 7 2 3 2 2 2" xfId="10456"/>
    <cellStyle name="Normal 7 2 3 2 2 2 2" xfId="10457"/>
    <cellStyle name="Normal 7 2 3 2 2 3" xfId="10458"/>
    <cellStyle name="Normal 7 2 3 2 3" xfId="10459"/>
    <cellStyle name="Normal 7 2 3 2 3 2" xfId="10460"/>
    <cellStyle name="Normal 7 2 3 2 4" xfId="10461"/>
    <cellStyle name="Normal 7 2 3 3" xfId="10462"/>
    <cellStyle name="Normal 7 2 3 3 2" xfId="10463"/>
    <cellStyle name="Normal 7 2 3 3 2 2" xfId="10464"/>
    <cellStyle name="Normal 7 2 3 3 3" xfId="10465"/>
    <cellStyle name="Normal 7 2 3 4" xfId="10466"/>
    <cellStyle name="Normal 7 2 3 4 2" xfId="10467"/>
    <cellStyle name="Normal 7 2 3 5" xfId="10468"/>
    <cellStyle name="Normal 7 2 3 6" xfId="10469"/>
    <cellStyle name="Normal 7 2 4" xfId="10470"/>
    <cellStyle name="Normal 7 2 4 2" xfId="10471"/>
    <cellStyle name="Normal 7 2 4 2 2" xfId="10472"/>
    <cellStyle name="Normal 7 2 4 2 2 2" xfId="10473"/>
    <cellStyle name="Normal 7 2 4 2 2 2 2" xfId="10474"/>
    <cellStyle name="Normal 7 2 4 2 2 3" xfId="10475"/>
    <cellStyle name="Normal 7 2 4 2 3" xfId="10476"/>
    <cellStyle name="Normal 7 2 4 2 3 2" xfId="10477"/>
    <cellStyle name="Normal 7 2 4 2 4" xfId="10478"/>
    <cellStyle name="Normal 7 2 4 3" xfId="10479"/>
    <cellStyle name="Normal 7 2 4 3 2" xfId="10480"/>
    <cellStyle name="Normal 7 2 4 3 2 2" xfId="10481"/>
    <cellStyle name="Normal 7 2 4 3 3" xfId="10482"/>
    <cellStyle name="Normal 7 2 4 4" xfId="10483"/>
    <cellStyle name="Normal 7 2 4 4 2" xfId="10484"/>
    <cellStyle name="Normal 7 2 4 5" xfId="10485"/>
    <cellStyle name="Normal 7 2 5" xfId="10486"/>
    <cellStyle name="Normal 7 2 5 2" xfId="10487"/>
    <cellStyle name="Normal 7 2 5 2 2" xfId="10488"/>
    <cellStyle name="Normal 7 2 5 2 2 2" xfId="10489"/>
    <cellStyle name="Normal 7 2 5 2 3" xfId="10490"/>
    <cellStyle name="Normal 7 2 5 3" xfId="10491"/>
    <cellStyle name="Normal 7 2 5 3 2" xfId="10492"/>
    <cellStyle name="Normal 7 2 5 4" xfId="10493"/>
    <cellStyle name="Normal 7 2 6" xfId="10494"/>
    <cellStyle name="Normal 7 2 6 2" xfId="10495"/>
    <cellStyle name="Normal 7 2 6 2 2" xfId="10496"/>
    <cellStyle name="Normal 7 2 6 3" xfId="10497"/>
    <cellStyle name="Normal 7 2 7" xfId="10498"/>
    <cellStyle name="Normal 7 2 7 2" xfId="10499"/>
    <cellStyle name="Normal 7 2 8" xfId="10500"/>
    <cellStyle name="Normal 7 2 9" xfId="10501"/>
    <cellStyle name="Normal 7 3" xfId="10502"/>
    <cellStyle name="Normal 7 3 2" xfId="10503"/>
    <cellStyle name="Normal 7 3 2 2" xfId="10504"/>
    <cellStyle name="Normal 7 3 2 2 2" xfId="10505"/>
    <cellStyle name="Normal 7 3 2 2 2 2" xfId="10506"/>
    <cellStyle name="Normal 7 3 2 2 2 2 2" xfId="10507"/>
    <cellStyle name="Normal 7 3 2 2 2 3" xfId="10508"/>
    <cellStyle name="Normal 7 3 2 2 3" xfId="10509"/>
    <cellStyle name="Normal 7 3 2 2 3 2" xfId="10510"/>
    <cellStyle name="Normal 7 3 2 2 4" xfId="10511"/>
    <cellStyle name="Normal 7 3 2 3" xfId="10512"/>
    <cellStyle name="Normal 7 3 2 3 2" xfId="10513"/>
    <cellStyle name="Normal 7 3 2 3 2 2" xfId="10514"/>
    <cellStyle name="Normal 7 3 2 3 3" xfId="10515"/>
    <cellStyle name="Normal 7 3 2 4" xfId="10516"/>
    <cellStyle name="Normal 7 3 2 4 2" xfId="10517"/>
    <cellStyle name="Normal 7 3 2 5" xfId="10518"/>
    <cellStyle name="Normal 7 3 2 6" xfId="10519"/>
    <cellStyle name="Normal 7 3 3" xfId="10520"/>
    <cellStyle name="Normal 7 3 3 2" xfId="10521"/>
    <cellStyle name="Normal 7 3 3 2 2" xfId="10522"/>
    <cellStyle name="Normal 7 3 3 2 2 2" xfId="10523"/>
    <cellStyle name="Normal 7 3 3 2 3" xfId="10524"/>
    <cellStyle name="Normal 7 3 3 3" xfId="10525"/>
    <cellStyle name="Normal 7 3 3 3 2" xfId="10526"/>
    <cellStyle name="Normal 7 3 3 4" xfId="10527"/>
    <cellStyle name="Normal 7 3 4" xfId="10528"/>
    <cellStyle name="Normal 7 3 4 2" xfId="10529"/>
    <cellStyle name="Normal 7 3 4 2 2" xfId="10530"/>
    <cellStyle name="Normal 7 3 4 3" xfId="10531"/>
    <cellStyle name="Normal 7 3 5" xfId="10532"/>
    <cellStyle name="Normal 7 3 5 2" xfId="10533"/>
    <cellStyle name="Normal 7 3 6" xfId="10534"/>
    <cellStyle name="Normal 7 3 7" xfId="10535"/>
    <cellStyle name="Normal 7 4" xfId="10536"/>
    <cellStyle name="Normal 7 4 2" xfId="10537"/>
    <cellStyle name="Normal 7 4 2 2" xfId="10538"/>
    <cellStyle name="Normal 7 4 2 2 2" xfId="10539"/>
    <cellStyle name="Normal 7 4 2 2 2 2" xfId="10540"/>
    <cellStyle name="Normal 7 4 2 2 3" xfId="10541"/>
    <cellStyle name="Normal 7 4 2 3" xfId="10542"/>
    <cellStyle name="Normal 7 4 2 3 2" xfId="10543"/>
    <cellStyle name="Normal 7 4 2 4" xfId="10544"/>
    <cellStyle name="Normal 7 4 2 5" xfId="10545"/>
    <cellStyle name="Normal 7 4 3" xfId="10546"/>
    <cellStyle name="Normal 7 4 3 2" xfId="10547"/>
    <cellStyle name="Normal 7 4 3 2 2" xfId="10548"/>
    <cellStyle name="Normal 7 4 3 3" xfId="10549"/>
    <cellStyle name="Normal 7 4 4" xfId="10550"/>
    <cellStyle name="Normal 7 4 4 2" xfId="10551"/>
    <cellStyle name="Normal 7 4 5" xfId="10552"/>
    <cellStyle name="Normal 7 4 6" xfId="10553"/>
    <cellStyle name="Normal 7 4 7" xfId="10554"/>
    <cellStyle name="Normal 7 5" xfId="10555"/>
    <cellStyle name="Normal 7 5 2" xfId="10556"/>
    <cellStyle name="Normal 7 5 2 2" xfId="10557"/>
    <cellStyle name="Normal 7 5 2 2 2" xfId="10558"/>
    <cellStyle name="Normal 7 5 2 2 2 2" xfId="10559"/>
    <cellStyle name="Normal 7 5 2 2 3" xfId="10560"/>
    <cellStyle name="Normal 7 5 2 3" xfId="10561"/>
    <cellStyle name="Normal 7 5 2 3 2" xfId="10562"/>
    <cellStyle name="Normal 7 5 2 4" xfId="10563"/>
    <cellStyle name="Normal 7 5 3" xfId="10564"/>
    <cellStyle name="Normal 7 5 3 2" xfId="10565"/>
    <cellStyle name="Normal 7 5 3 2 2" xfId="10566"/>
    <cellStyle name="Normal 7 5 3 3" xfId="10567"/>
    <cellStyle name="Normal 7 5 4" xfId="10568"/>
    <cellStyle name="Normal 7 5 4 2" xfId="10569"/>
    <cellStyle name="Normal 7 5 5" xfId="10570"/>
    <cellStyle name="Normal 7 5 6" xfId="10571"/>
    <cellStyle name="Normal 7 6" xfId="10572"/>
    <cellStyle name="Normal 7 6 2" xfId="10573"/>
    <cellStyle name="Normal 7 6 2 2" xfId="10574"/>
    <cellStyle name="Normal 7 6 2 2 2" xfId="10575"/>
    <cellStyle name="Normal 7 6 2 3" xfId="10576"/>
    <cellStyle name="Normal 7 6 3" xfId="10577"/>
    <cellStyle name="Normal 7 6 3 2" xfId="10578"/>
    <cellStyle name="Normal 7 6 4" xfId="10579"/>
    <cellStyle name="Normal 7 7" xfId="10580"/>
    <cellStyle name="Normal 7 7 2" xfId="10581"/>
    <cellStyle name="Normal 7 7 2 2" xfId="10582"/>
    <cellStyle name="Normal 7 7 3" xfId="10583"/>
    <cellStyle name="Normal 7 8" xfId="10584"/>
    <cellStyle name="Normal 7 8 2" xfId="10585"/>
    <cellStyle name="Normal 7 8 2 2" xfId="10586"/>
    <cellStyle name="Normal 7 8 3" xfId="10587"/>
    <cellStyle name="Normal 7 9" xfId="10588"/>
    <cellStyle name="Normal 7 9 2" xfId="10589"/>
    <cellStyle name="Normal 70" xfId="10590"/>
    <cellStyle name="Normal 71" xfId="10591"/>
    <cellStyle name="Normal 8" xfId="1860"/>
    <cellStyle name="Normal 8 2" xfId="10592"/>
    <cellStyle name="Normal 8 2 2" xfId="2106"/>
    <cellStyle name="Normal 8 2 2 2" xfId="10593"/>
    <cellStyle name="Normal 8 2 2 2 2" xfId="10594"/>
    <cellStyle name="Normal 8 2 2 2 2 2" xfId="10595"/>
    <cellStyle name="Normal 8 2 2 2 2 2 2" xfId="10596"/>
    <cellStyle name="Normal 8 2 2 2 2 3" xfId="10597"/>
    <cellStyle name="Normal 8 2 2 2 3" xfId="10598"/>
    <cellStyle name="Normal 8 2 2 2 3 2" xfId="10599"/>
    <cellStyle name="Normal 8 2 2 2 4" xfId="10600"/>
    <cellStyle name="Normal 8 2 2 2 5" xfId="10601"/>
    <cellStyle name="Normal 8 2 2 3" xfId="10602"/>
    <cellStyle name="Normal 8 2 2 3 2" xfId="10603"/>
    <cellStyle name="Normal 8 2 2 3 2 2" xfId="10604"/>
    <cellStyle name="Normal 8 2 2 3 3" xfId="10605"/>
    <cellStyle name="Normal 8 2 2 4" xfId="10606"/>
    <cellStyle name="Normal 8 2 2 4 2" xfId="10607"/>
    <cellStyle name="Normal 8 2 2 5" xfId="10608"/>
    <cellStyle name="Normal 8 2 2 6" xfId="10609"/>
    <cellStyle name="Normal 8 2 3" xfId="10610"/>
    <cellStyle name="Normal 8 2 3 2" xfId="10611"/>
    <cellStyle name="Normal 8 2 3 2 2" xfId="10612"/>
    <cellStyle name="Normal 8 2 3 2 2 2" xfId="10613"/>
    <cellStyle name="Normal 8 2 3 2 3" xfId="10614"/>
    <cellStyle name="Normal 8 2 3 3" xfId="10615"/>
    <cellStyle name="Normal 8 2 3 3 2" xfId="10616"/>
    <cellStyle name="Normal 8 2 3 4" xfId="10617"/>
    <cellStyle name="Normal 8 2 3 5" xfId="10618"/>
    <cellStyle name="Normal 8 2 4" xfId="10619"/>
    <cellStyle name="Normal 8 2 4 2" xfId="10620"/>
    <cellStyle name="Normal 8 2 4 2 2" xfId="10621"/>
    <cellStyle name="Normal 8 2 4 3" xfId="10622"/>
    <cellStyle name="Normal 8 2 5" xfId="10623"/>
    <cellStyle name="Normal 8 2 5 2" xfId="10624"/>
    <cellStyle name="Normal 8 2 6" xfId="10625"/>
    <cellStyle name="Normal 8 2 7" xfId="10626"/>
    <cellStyle name="Normal 8 2 8" xfId="10627"/>
    <cellStyle name="Normal 8 3" xfId="2109"/>
    <cellStyle name="Normal 8 3 2" xfId="10628"/>
    <cellStyle name="Normal 8 3 2 2" xfId="10629"/>
    <cellStyle name="Normal 8 3 2 2 2" xfId="10630"/>
    <cellStyle name="Normal 8 3 2 2 2 2" xfId="10631"/>
    <cellStyle name="Normal 8 3 2 2 3" xfId="10632"/>
    <cellStyle name="Normal 8 3 2 3" xfId="10633"/>
    <cellStyle name="Normal 8 3 2 3 2" xfId="10634"/>
    <cellStyle name="Normal 8 3 2 4" xfId="10635"/>
    <cellStyle name="Normal 8 3 2 5" xfId="10636"/>
    <cellStyle name="Normal 8 3 3" xfId="10637"/>
    <cellStyle name="Normal 8 3 3 2" xfId="10638"/>
    <cellStyle name="Normal 8 3 3 2 2" xfId="10639"/>
    <cellStyle name="Normal 8 3 3 3" xfId="10640"/>
    <cellStyle name="Normal 8 3 4" xfId="10641"/>
    <cellStyle name="Normal 8 3 4 2" xfId="10642"/>
    <cellStyle name="Normal 8 3 5" xfId="10643"/>
    <cellStyle name="Normal 8 3 6" xfId="10644"/>
    <cellStyle name="Normal 8 4" xfId="10645"/>
    <cellStyle name="Normal 8 4 2" xfId="10646"/>
    <cellStyle name="Normal 8 4 2 2" xfId="10647"/>
    <cellStyle name="Normal 8 4 2 2 2" xfId="10648"/>
    <cellStyle name="Normal 8 4 2 3" xfId="10649"/>
    <cellStyle name="Normal 8 4 3" xfId="10650"/>
    <cellStyle name="Normal 8 4 3 2" xfId="10651"/>
    <cellStyle name="Normal 8 4 4" xfId="10652"/>
    <cellStyle name="Normal 8 4 5" xfId="10653"/>
    <cellStyle name="Normal 8 5" xfId="10654"/>
    <cellStyle name="Normal 8 5 2" xfId="10655"/>
    <cellStyle name="Normal 8 5 2 2" xfId="10656"/>
    <cellStyle name="Normal 8 5 3" xfId="10657"/>
    <cellStyle name="Normal 8 6" xfId="10658"/>
    <cellStyle name="Normal 8 6 2" xfId="10659"/>
    <cellStyle name="Normal 8 7" xfId="10660"/>
    <cellStyle name="Normal 8 8" xfId="10661"/>
    <cellStyle name="Normal 9" xfId="1861"/>
    <cellStyle name="Normal 9 2" xfId="10662"/>
    <cellStyle name="Normal 9 2 2" xfId="10663"/>
    <cellStyle name="Normal 9 2 2 2" xfId="10664"/>
    <cellStyle name="Normal 9 2 2 2 2" xfId="10665"/>
    <cellStyle name="Normal 9 2 2 2 2 2" xfId="10666"/>
    <cellStyle name="Normal 9 2 2 2 2 2 2" xfId="10667"/>
    <cellStyle name="Normal 9 2 2 2 2 3" xfId="10668"/>
    <cellStyle name="Normal 9 2 2 2 3" xfId="10669"/>
    <cellStyle name="Normal 9 2 2 2 3 2" xfId="10670"/>
    <cellStyle name="Normal 9 2 2 2 4" xfId="10671"/>
    <cellStyle name="Normal 9 2 2 2 5" xfId="10672"/>
    <cellStyle name="Normal 9 2 2 2 6" xfId="10673"/>
    <cellStyle name="Normal 9 2 2 3" xfId="10674"/>
    <cellStyle name="Normal 9 2 2 3 2" xfId="10675"/>
    <cellStyle name="Normal 9 2 2 3 2 2" xfId="10676"/>
    <cellStyle name="Normal 9 2 2 3 3" xfId="10677"/>
    <cellStyle name="Normal 9 2 2 4" xfId="10678"/>
    <cellStyle name="Normal 9 2 2 4 2" xfId="10679"/>
    <cellStyle name="Normal 9 2 2 5" xfId="10680"/>
    <cellStyle name="Normal 9 2 2 6" xfId="10681"/>
    <cellStyle name="Normal 9 2 2 7" xfId="10682"/>
    <cellStyle name="Normal 9 2 3" xfId="10683"/>
    <cellStyle name="Normal 9 2 3 2" xfId="10684"/>
    <cellStyle name="Normal 9 2 3 2 2" xfId="10685"/>
    <cellStyle name="Normal 9 2 3 2 2 2" xfId="10686"/>
    <cellStyle name="Normal 9 2 3 2 3" xfId="10687"/>
    <cellStyle name="Normal 9 2 3 3" xfId="10688"/>
    <cellStyle name="Normal 9 2 3 3 2" xfId="10689"/>
    <cellStyle name="Normal 9 2 3 4" xfId="10690"/>
    <cellStyle name="Normal 9 2 3 5" xfId="10691"/>
    <cellStyle name="Normal 9 2 3 6" xfId="10692"/>
    <cellStyle name="Normal 9 2 4" xfId="10693"/>
    <cellStyle name="Normal 9 2 4 2" xfId="10694"/>
    <cellStyle name="Normal 9 2 4 2 2" xfId="10695"/>
    <cellStyle name="Normal 9 2 4 3" xfId="10696"/>
    <cellStyle name="Normal 9 2 4 4" xfId="10697"/>
    <cellStyle name="Normal 9 2 5" xfId="10698"/>
    <cellStyle name="Normal 9 2 5 2" xfId="10699"/>
    <cellStyle name="Normal 9 2 6" xfId="10700"/>
    <cellStyle name="Normal 9 2 7" xfId="10701"/>
    <cellStyle name="Normal 9 2 8" xfId="10702"/>
    <cellStyle name="Normal 9 3" xfId="10703"/>
    <cellStyle name="Normal 9 3 2" xfId="10704"/>
    <cellStyle name="Normal 9 3 2 2" xfId="10705"/>
    <cellStyle name="Normal 9 3 2 2 2" xfId="10706"/>
    <cellStyle name="Normal 9 3 2 2 2 2" xfId="10707"/>
    <cellStyle name="Normal 9 3 2 2 3" xfId="10708"/>
    <cellStyle name="Normal 9 3 2 3" xfId="10709"/>
    <cellStyle name="Normal 9 3 2 3 2" xfId="10710"/>
    <cellStyle name="Normal 9 3 2 4" xfId="10711"/>
    <cellStyle name="Normal 9 3 2 5" xfId="10712"/>
    <cellStyle name="Normal 9 3 2 6" xfId="10713"/>
    <cellStyle name="Normal 9 3 3" xfId="10714"/>
    <cellStyle name="Normal 9 3 3 2" xfId="10715"/>
    <cellStyle name="Normal 9 3 3 2 2" xfId="10716"/>
    <cellStyle name="Normal 9 3 3 3" xfId="10717"/>
    <cellStyle name="Normal 9 3 3 4" xfId="10718"/>
    <cellStyle name="Normal 9 3 4" xfId="10719"/>
    <cellStyle name="Normal 9 3 4 2" xfId="10720"/>
    <cellStyle name="Normal 9 3 5" xfId="10721"/>
    <cellStyle name="Normal 9 3 6" xfId="10722"/>
    <cellStyle name="Normal 9 3 7" xfId="10723"/>
    <cellStyle name="Normal 9 4" xfId="10724"/>
    <cellStyle name="Normal 9 4 2" xfId="10725"/>
    <cellStyle name="Normal 9 4 2 2" xfId="10726"/>
    <cellStyle name="Normal 9 4 2 2 2" xfId="10727"/>
    <cellStyle name="Normal 9 4 2 3" xfId="10728"/>
    <cellStyle name="Normal 9 4 3" xfId="10729"/>
    <cellStyle name="Normal 9 4 3 2" xfId="10730"/>
    <cellStyle name="Normal 9 4 4" xfId="10731"/>
    <cellStyle name="Normal 9 4 5" xfId="10732"/>
    <cellStyle name="Normal 9 4 6" xfId="10733"/>
    <cellStyle name="Normal 9 5" xfId="10734"/>
    <cellStyle name="Normal 9 5 2" xfId="10735"/>
    <cellStyle name="Normal 9 5 2 2" xfId="10736"/>
    <cellStyle name="Normal 9 5 3" xfId="10737"/>
    <cellStyle name="Normal 9 5 4" xfId="10738"/>
    <cellStyle name="Normal 9 6" xfId="10739"/>
    <cellStyle name="Normal 9 6 2" xfId="10740"/>
    <cellStyle name="Normal 9 7" xfId="10741"/>
    <cellStyle name="Normal 9 8" xfId="10742"/>
    <cellStyle name="Normal 9 9" xfId="10743"/>
    <cellStyle name="Normal_LGE Filed Test Period Billing Exhibits - SBR Summary" xfId="4"/>
    <cellStyle name="Note 10" xfId="1862"/>
    <cellStyle name="Note 10 10" xfId="10744"/>
    <cellStyle name="Note 10 10 2" xfId="10745"/>
    <cellStyle name="Note 10 11" xfId="10746"/>
    <cellStyle name="Note 10 12" xfId="10747"/>
    <cellStyle name="Note 10 13" xfId="10748"/>
    <cellStyle name="Note 10 2" xfId="1863"/>
    <cellStyle name="Note 10 2 10" xfId="10749"/>
    <cellStyle name="Note 10 2 2" xfId="10750"/>
    <cellStyle name="Note 10 2 2 2" xfId="10751"/>
    <cellStyle name="Note 10 2 3" xfId="10752"/>
    <cellStyle name="Note 10 2 3 2" xfId="10753"/>
    <cellStyle name="Note 10 2 4" xfId="10754"/>
    <cellStyle name="Note 10 2 4 2" xfId="10755"/>
    <cellStyle name="Note 10 2 5" xfId="10756"/>
    <cellStyle name="Note 10 2 5 2" xfId="10757"/>
    <cellStyle name="Note 10 2 6" xfId="10758"/>
    <cellStyle name="Note 10 2 6 2" xfId="10759"/>
    <cellStyle name="Note 10 2 7" xfId="10760"/>
    <cellStyle name="Note 10 2 7 2" xfId="10761"/>
    <cellStyle name="Note 10 2 8" xfId="10762"/>
    <cellStyle name="Note 10 2 8 2" xfId="10763"/>
    <cellStyle name="Note 10 2 9" xfId="10764"/>
    <cellStyle name="Note 10 2 9 2" xfId="10765"/>
    <cellStyle name="Note 10 3" xfId="1864"/>
    <cellStyle name="Note 10 3 2" xfId="10766"/>
    <cellStyle name="Note 10 4" xfId="1865"/>
    <cellStyle name="Note 10 4 2" xfId="10767"/>
    <cellStyle name="Note 10 5" xfId="1866"/>
    <cellStyle name="Note 10 5 2" xfId="10768"/>
    <cellStyle name="Note 10 6" xfId="10769"/>
    <cellStyle name="Note 10 6 2" xfId="10770"/>
    <cellStyle name="Note 10 7" xfId="10771"/>
    <cellStyle name="Note 10 7 2" xfId="10772"/>
    <cellStyle name="Note 10 8" xfId="10773"/>
    <cellStyle name="Note 10 8 2" xfId="10774"/>
    <cellStyle name="Note 10 9" xfId="10775"/>
    <cellStyle name="Note 10 9 2" xfId="10776"/>
    <cellStyle name="Note 11" xfId="1867"/>
    <cellStyle name="Note 11 10" xfId="10777"/>
    <cellStyle name="Note 11 10 2" xfId="10778"/>
    <cellStyle name="Note 11 11" xfId="10779"/>
    <cellStyle name="Note 11 12" xfId="10780"/>
    <cellStyle name="Note 11 13" xfId="10781"/>
    <cellStyle name="Note 11 2" xfId="1868"/>
    <cellStyle name="Note 11 2 10" xfId="10782"/>
    <cellStyle name="Note 11 2 2" xfId="10783"/>
    <cellStyle name="Note 11 2 2 2" xfId="10784"/>
    <cellStyle name="Note 11 2 3" xfId="10785"/>
    <cellStyle name="Note 11 2 3 2" xfId="10786"/>
    <cellStyle name="Note 11 2 4" xfId="10787"/>
    <cellStyle name="Note 11 2 4 2" xfId="10788"/>
    <cellStyle name="Note 11 2 5" xfId="10789"/>
    <cellStyle name="Note 11 2 5 2" xfId="10790"/>
    <cellStyle name="Note 11 2 6" xfId="10791"/>
    <cellStyle name="Note 11 2 6 2" xfId="10792"/>
    <cellStyle name="Note 11 2 7" xfId="10793"/>
    <cellStyle name="Note 11 2 7 2" xfId="10794"/>
    <cellStyle name="Note 11 2 8" xfId="10795"/>
    <cellStyle name="Note 11 2 8 2" xfId="10796"/>
    <cellStyle name="Note 11 2 9" xfId="10797"/>
    <cellStyle name="Note 11 2 9 2" xfId="10798"/>
    <cellStyle name="Note 11 3" xfId="1869"/>
    <cellStyle name="Note 11 3 2" xfId="10799"/>
    <cellStyle name="Note 11 4" xfId="1870"/>
    <cellStyle name="Note 11 4 2" xfId="10800"/>
    <cellStyle name="Note 11 5" xfId="1871"/>
    <cellStyle name="Note 11 5 2" xfId="10801"/>
    <cellStyle name="Note 11 6" xfId="10802"/>
    <cellStyle name="Note 11 6 2" xfId="10803"/>
    <cellStyle name="Note 11 7" xfId="10804"/>
    <cellStyle name="Note 11 7 2" xfId="10805"/>
    <cellStyle name="Note 11 8" xfId="10806"/>
    <cellStyle name="Note 11 8 2" xfId="10807"/>
    <cellStyle name="Note 11 9" xfId="10808"/>
    <cellStyle name="Note 11 9 2" xfId="10809"/>
    <cellStyle name="Note 12" xfId="1872"/>
    <cellStyle name="Note 12 10" xfId="10810"/>
    <cellStyle name="Note 12 10 2" xfId="10811"/>
    <cellStyle name="Note 12 11" xfId="10812"/>
    <cellStyle name="Note 12 12" xfId="10813"/>
    <cellStyle name="Note 12 13" xfId="10814"/>
    <cellStyle name="Note 12 2" xfId="10815"/>
    <cellStyle name="Note 12 2 10" xfId="10816"/>
    <cellStyle name="Note 12 2 2" xfId="10817"/>
    <cellStyle name="Note 12 2 2 2" xfId="10818"/>
    <cellStyle name="Note 12 2 3" xfId="10819"/>
    <cellStyle name="Note 12 2 3 2" xfId="10820"/>
    <cellStyle name="Note 12 2 4" xfId="10821"/>
    <cellStyle name="Note 12 2 4 2" xfId="10822"/>
    <cellStyle name="Note 12 2 5" xfId="10823"/>
    <cellStyle name="Note 12 2 5 2" xfId="10824"/>
    <cellStyle name="Note 12 2 6" xfId="10825"/>
    <cellStyle name="Note 12 2 6 2" xfId="10826"/>
    <cellStyle name="Note 12 2 7" xfId="10827"/>
    <cellStyle name="Note 12 2 7 2" xfId="10828"/>
    <cellStyle name="Note 12 2 8" xfId="10829"/>
    <cellStyle name="Note 12 2 8 2" xfId="10830"/>
    <cellStyle name="Note 12 2 9" xfId="10831"/>
    <cellStyle name="Note 12 2 9 2" xfId="10832"/>
    <cellStyle name="Note 12 3" xfId="10833"/>
    <cellStyle name="Note 12 3 2" xfId="10834"/>
    <cellStyle name="Note 12 4" xfId="10835"/>
    <cellStyle name="Note 12 4 2" xfId="10836"/>
    <cellStyle name="Note 12 5" xfId="10837"/>
    <cellStyle name="Note 12 5 2" xfId="10838"/>
    <cellStyle name="Note 12 6" xfId="10839"/>
    <cellStyle name="Note 12 6 2" xfId="10840"/>
    <cellStyle name="Note 12 7" xfId="10841"/>
    <cellStyle name="Note 12 7 2" xfId="10842"/>
    <cellStyle name="Note 12 8" xfId="10843"/>
    <cellStyle name="Note 12 8 2" xfId="10844"/>
    <cellStyle name="Note 12 9" xfId="10845"/>
    <cellStyle name="Note 12 9 2" xfId="10846"/>
    <cellStyle name="Note 13" xfId="1873"/>
    <cellStyle name="Note 13 10" xfId="10847"/>
    <cellStyle name="Note 13 10 2" xfId="10848"/>
    <cellStyle name="Note 13 11" xfId="10849"/>
    <cellStyle name="Note 13 12" xfId="10850"/>
    <cellStyle name="Note 13 13" xfId="10851"/>
    <cellStyle name="Note 13 2" xfId="10852"/>
    <cellStyle name="Note 13 2 10" xfId="10853"/>
    <cellStyle name="Note 13 2 2" xfId="10854"/>
    <cellStyle name="Note 13 2 2 2" xfId="10855"/>
    <cellStyle name="Note 13 2 3" xfId="10856"/>
    <cellStyle name="Note 13 2 3 2" xfId="10857"/>
    <cellStyle name="Note 13 2 4" xfId="10858"/>
    <cellStyle name="Note 13 2 4 2" xfId="10859"/>
    <cellStyle name="Note 13 2 5" xfId="10860"/>
    <cellStyle name="Note 13 2 5 2" xfId="10861"/>
    <cellStyle name="Note 13 2 6" xfId="10862"/>
    <cellStyle name="Note 13 2 6 2" xfId="10863"/>
    <cellStyle name="Note 13 2 7" xfId="10864"/>
    <cellStyle name="Note 13 2 7 2" xfId="10865"/>
    <cellStyle name="Note 13 2 8" xfId="10866"/>
    <cellStyle name="Note 13 2 8 2" xfId="10867"/>
    <cellStyle name="Note 13 2 9" xfId="10868"/>
    <cellStyle name="Note 13 2 9 2" xfId="10869"/>
    <cellStyle name="Note 13 3" xfId="10870"/>
    <cellStyle name="Note 13 3 2" xfId="10871"/>
    <cellStyle name="Note 13 4" xfId="10872"/>
    <cellStyle name="Note 13 4 2" xfId="10873"/>
    <cellStyle name="Note 13 5" xfId="10874"/>
    <cellStyle name="Note 13 5 2" xfId="10875"/>
    <cellStyle name="Note 13 6" xfId="10876"/>
    <cellStyle name="Note 13 6 2" xfId="10877"/>
    <cellStyle name="Note 13 7" xfId="10878"/>
    <cellStyle name="Note 13 7 2" xfId="10879"/>
    <cellStyle name="Note 13 8" xfId="10880"/>
    <cellStyle name="Note 13 8 2" xfId="10881"/>
    <cellStyle name="Note 13 9" xfId="10882"/>
    <cellStyle name="Note 13 9 2" xfId="10883"/>
    <cellStyle name="Note 14" xfId="1874"/>
    <cellStyle name="Note 14 10" xfId="10884"/>
    <cellStyle name="Note 14 10 2" xfId="10885"/>
    <cellStyle name="Note 14 11" xfId="10886"/>
    <cellStyle name="Note 14 12" xfId="10887"/>
    <cellStyle name="Note 14 13" xfId="10888"/>
    <cellStyle name="Note 14 2" xfId="10889"/>
    <cellStyle name="Note 14 2 10" xfId="10890"/>
    <cellStyle name="Note 14 2 2" xfId="10891"/>
    <cellStyle name="Note 14 2 2 2" xfId="10892"/>
    <cellStyle name="Note 14 2 3" xfId="10893"/>
    <cellStyle name="Note 14 2 3 2" xfId="10894"/>
    <cellStyle name="Note 14 2 4" xfId="10895"/>
    <cellStyle name="Note 14 2 4 2" xfId="10896"/>
    <cellStyle name="Note 14 2 5" xfId="10897"/>
    <cellStyle name="Note 14 2 5 2" xfId="10898"/>
    <cellStyle name="Note 14 2 6" xfId="10899"/>
    <cellStyle name="Note 14 2 6 2" xfId="10900"/>
    <cellStyle name="Note 14 2 7" xfId="10901"/>
    <cellStyle name="Note 14 2 7 2" xfId="10902"/>
    <cellStyle name="Note 14 2 8" xfId="10903"/>
    <cellStyle name="Note 14 2 8 2" xfId="10904"/>
    <cellStyle name="Note 14 2 9" xfId="10905"/>
    <cellStyle name="Note 14 2 9 2" xfId="10906"/>
    <cellStyle name="Note 14 3" xfId="10907"/>
    <cellStyle name="Note 14 3 2" xfId="10908"/>
    <cellStyle name="Note 14 4" xfId="10909"/>
    <cellStyle name="Note 14 4 2" xfId="10910"/>
    <cellStyle name="Note 14 5" xfId="10911"/>
    <cellStyle name="Note 14 5 2" xfId="10912"/>
    <cellStyle name="Note 14 6" xfId="10913"/>
    <cellStyle name="Note 14 6 2" xfId="10914"/>
    <cellStyle name="Note 14 7" xfId="10915"/>
    <cellStyle name="Note 14 7 2" xfId="10916"/>
    <cellStyle name="Note 14 8" xfId="10917"/>
    <cellStyle name="Note 14 8 2" xfId="10918"/>
    <cellStyle name="Note 14 9" xfId="10919"/>
    <cellStyle name="Note 14 9 2" xfId="10920"/>
    <cellStyle name="Note 15" xfId="1875"/>
    <cellStyle name="Note 15 10" xfId="10921"/>
    <cellStyle name="Note 15 10 2" xfId="10922"/>
    <cellStyle name="Note 15 11" xfId="10923"/>
    <cellStyle name="Note 15 12" xfId="10924"/>
    <cellStyle name="Note 15 2" xfId="1876"/>
    <cellStyle name="Note 15 2 10" xfId="10925"/>
    <cellStyle name="Note 15 2 2" xfId="10926"/>
    <cellStyle name="Note 15 2 2 2" xfId="10927"/>
    <cellStyle name="Note 15 2 3" xfId="10928"/>
    <cellStyle name="Note 15 2 3 2" xfId="10929"/>
    <cellStyle name="Note 15 2 4" xfId="10930"/>
    <cellStyle name="Note 15 2 4 2" xfId="10931"/>
    <cellStyle name="Note 15 2 5" xfId="10932"/>
    <cellStyle name="Note 15 2 5 2" xfId="10933"/>
    <cellStyle name="Note 15 2 6" xfId="10934"/>
    <cellStyle name="Note 15 2 6 2" xfId="10935"/>
    <cellStyle name="Note 15 2 7" xfId="10936"/>
    <cellStyle name="Note 15 2 7 2" xfId="10937"/>
    <cellStyle name="Note 15 2 8" xfId="10938"/>
    <cellStyle name="Note 15 2 8 2" xfId="10939"/>
    <cellStyle name="Note 15 2 9" xfId="10940"/>
    <cellStyle name="Note 15 2 9 2" xfId="10941"/>
    <cellStyle name="Note 15 3" xfId="1877"/>
    <cellStyle name="Note 15 3 2" xfId="10942"/>
    <cellStyle name="Note 15 4" xfId="1878"/>
    <cellStyle name="Note 15 4 2" xfId="10943"/>
    <cellStyle name="Note 15 5" xfId="1879"/>
    <cellStyle name="Note 15 5 2" xfId="10944"/>
    <cellStyle name="Note 15 6" xfId="10945"/>
    <cellStyle name="Note 15 6 2" xfId="10946"/>
    <cellStyle name="Note 15 7" xfId="10947"/>
    <cellStyle name="Note 15 7 2" xfId="10948"/>
    <cellStyle name="Note 15 8" xfId="10949"/>
    <cellStyle name="Note 15 8 2" xfId="10950"/>
    <cellStyle name="Note 15 9" xfId="10951"/>
    <cellStyle name="Note 15 9 2" xfId="10952"/>
    <cellStyle name="Note 16" xfId="1880"/>
    <cellStyle name="Note 16 10" xfId="10953"/>
    <cellStyle name="Note 16 10 2" xfId="10954"/>
    <cellStyle name="Note 16 11" xfId="10955"/>
    <cellStyle name="Note 16 2" xfId="1881"/>
    <cellStyle name="Note 16 2 10" xfId="10956"/>
    <cellStyle name="Note 16 2 2" xfId="10957"/>
    <cellStyle name="Note 16 2 2 2" xfId="10958"/>
    <cellStyle name="Note 16 2 3" xfId="10959"/>
    <cellStyle name="Note 16 2 3 2" xfId="10960"/>
    <cellStyle name="Note 16 2 4" xfId="10961"/>
    <cellStyle name="Note 16 2 4 2" xfId="10962"/>
    <cellStyle name="Note 16 2 5" xfId="10963"/>
    <cellStyle name="Note 16 2 5 2" xfId="10964"/>
    <cellStyle name="Note 16 2 6" xfId="10965"/>
    <cellStyle name="Note 16 2 6 2" xfId="10966"/>
    <cellStyle name="Note 16 2 7" xfId="10967"/>
    <cellStyle name="Note 16 2 7 2" xfId="10968"/>
    <cellStyle name="Note 16 2 8" xfId="10969"/>
    <cellStyle name="Note 16 2 8 2" xfId="10970"/>
    <cellStyle name="Note 16 2 9" xfId="10971"/>
    <cellStyle name="Note 16 2 9 2" xfId="10972"/>
    <cellStyle name="Note 16 3" xfId="1882"/>
    <cellStyle name="Note 16 3 2" xfId="10973"/>
    <cellStyle name="Note 16 4" xfId="1883"/>
    <cellStyle name="Note 16 4 2" xfId="10974"/>
    <cellStyle name="Note 16 5" xfId="1884"/>
    <cellStyle name="Note 16 5 2" xfId="10975"/>
    <cellStyle name="Note 16 6" xfId="10976"/>
    <cellStyle name="Note 16 6 2" xfId="10977"/>
    <cellStyle name="Note 16 7" xfId="10978"/>
    <cellStyle name="Note 16 7 2" xfId="10979"/>
    <cellStyle name="Note 16 8" xfId="10980"/>
    <cellStyle name="Note 16 8 2" xfId="10981"/>
    <cellStyle name="Note 16 9" xfId="10982"/>
    <cellStyle name="Note 16 9 2" xfId="10983"/>
    <cellStyle name="Note 17" xfId="1885"/>
    <cellStyle name="Note 17 10" xfId="10984"/>
    <cellStyle name="Note 17 10 2" xfId="10985"/>
    <cellStyle name="Note 17 11" xfId="10986"/>
    <cellStyle name="Note 17 2" xfId="10987"/>
    <cellStyle name="Note 17 2 10" xfId="10988"/>
    <cellStyle name="Note 17 2 2" xfId="10989"/>
    <cellStyle name="Note 17 2 2 2" xfId="10990"/>
    <cellStyle name="Note 17 2 3" xfId="10991"/>
    <cellStyle name="Note 17 2 3 2" xfId="10992"/>
    <cellStyle name="Note 17 2 4" xfId="10993"/>
    <cellStyle name="Note 17 2 4 2" xfId="10994"/>
    <cellStyle name="Note 17 2 5" xfId="10995"/>
    <cellStyle name="Note 17 2 5 2" xfId="10996"/>
    <cellStyle name="Note 17 2 6" xfId="10997"/>
    <cellStyle name="Note 17 2 6 2" xfId="10998"/>
    <cellStyle name="Note 17 2 7" xfId="10999"/>
    <cellStyle name="Note 17 2 7 2" xfId="11000"/>
    <cellStyle name="Note 17 2 8" xfId="11001"/>
    <cellStyle name="Note 17 2 8 2" xfId="11002"/>
    <cellStyle name="Note 17 2 9" xfId="11003"/>
    <cellStyle name="Note 17 2 9 2" xfId="11004"/>
    <cellStyle name="Note 17 3" xfId="11005"/>
    <cellStyle name="Note 17 3 2" xfId="11006"/>
    <cellStyle name="Note 17 4" xfId="11007"/>
    <cellStyle name="Note 17 4 2" xfId="11008"/>
    <cellStyle name="Note 17 5" xfId="11009"/>
    <cellStyle name="Note 17 5 2" xfId="11010"/>
    <cellStyle name="Note 17 6" xfId="11011"/>
    <cellStyle name="Note 17 6 2" xfId="11012"/>
    <cellStyle name="Note 17 7" xfId="11013"/>
    <cellStyle name="Note 17 7 2" xfId="11014"/>
    <cellStyle name="Note 17 8" xfId="11015"/>
    <cellStyle name="Note 17 8 2" xfId="11016"/>
    <cellStyle name="Note 17 9" xfId="11017"/>
    <cellStyle name="Note 17 9 2" xfId="11018"/>
    <cellStyle name="Note 18" xfId="1886"/>
    <cellStyle name="Note 18 10" xfId="11019"/>
    <cellStyle name="Note 18 10 2" xfId="11020"/>
    <cellStyle name="Note 18 11" xfId="11021"/>
    <cellStyle name="Note 18 2" xfId="1887"/>
    <cellStyle name="Note 18 2 10" xfId="11022"/>
    <cellStyle name="Note 18 2 2" xfId="11023"/>
    <cellStyle name="Note 18 2 2 2" xfId="11024"/>
    <cellStyle name="Note 18 2 3" xfId="11025"/>
    <cellStyle name="Note 18 2 3 2" xfId="11026"/>
    <cellStyle name="Note 18 2 4" xfId="11027"/>
    <cellStyle name="Note 18 2 4 2" xfId="11028"/>
    <cellStyle name="Note 18 2 5" xfId="11029"/>
    <cellStyle name="Note 18 2 5 2" xfId="11030"/>
    <cellStyle name="Note 18 2 6" xfId="11031"/>
    <cellStyle name="Note 18 2 6 2" xfId="11032"/>
    <cellStyle name="Note 18 2 7" xfId="11033"/>
    <cellStyle name="Note 18 2 7 2" xfId="11034"/>
    <cellStyle name="Note 18 2 8" xfId="11035"/>
    <cellStyle name="Note 18 2 8 2" xfId="11036"/>
    <cellStyle name="Note 18 2 9" xfId="11037"/>
    <cellStyle name="Note 18 2 9 2" xfId="11038"/>
    <cellStyle name="Note 18 3" xfId="1888"/>
    <cellStyle name="Note 18 3 2" xfId="11039"/>
    <cellStyle name="Note 18 4" xfId="1889"/>
    <cellStyle name="Note 18 4 2" xfId="11040"/>
    <cellStyle name="Note 18 5" xfId="1890"/>
    <cellStyle name="Note 18 5 2" xfId="11041"/>
    <cellStyle name="Note 18 6" xfId="11042"/>
    <cellStyle name="Note 18 6 2" xfId="11043"/>
    <cellStyle name="Note 18 7" xfId="11044"/>
    <cellStyle name="Note 18 7 2" xfId="11045"/>
    <cellStyle name="Note 18 8" xfId="11046"/>
    <cellStyle name="Note 18 8 2" xfId="11047"/>
    <cellStyle name="Note 18 9" xfId="11048"/>
    <cellStyle name="Note 18 9 2" xfId="11049"/>
    <cellStyle name="Note 19" xfId="1891"/>
    <cellStyle name="Note 19 10" xfId="11050"/>
    <cellStyle name="Note 19 10 2" xfId="11051"/>
    <cellStyle name="Note 19 11" xfId="11052"/>
    <cellStyle name="Note 19 2" xfId="11053"/>
    <cellStyle name="Note 19 2 10" xfId="11054"/>
    <cellStyle name="Note 19 2 2" xfId="11055"/>
    <cellStyle name="Note 19 2 2 2" xfId="11056"/>
    <cellStyle name="Note 19 2 3" xfId="11057"/>
    <cellStyle name="Note 19 2 3 2" xfId="11058"/>
    <cellStyle name="Note 19 2 4" xfId="11059"/>
    <cellStyle name="Note 19 2 4 2" xfId="11060"/>
    <cellStyle name="Note 19 2 5" xfId="11061"/>
    <cellStyle name="Note 19 2 5 2" xfId="11062"/>
    <cellStyle name="Note 19 2 6" xfId="11063"/>
    <cellStyle name="Note 19 2 6 2" xfId="11064"/>
    <cellStyle name="Note 19 2 7" xfId="11065"/>
    <cellStyle name="Note 19 2 7 2" xfId="11066"/>
    <cellStyle name="Note 19 2 8" xfId="11067"/>
    <cellStyle name="Note 19 2 8 2" xfId="11068"/>
    <cellStyle name="Note 19 2 9" xfId="11069"/>
    <cellStyle name="Note 19 2 9 2" xfId="11070"/>
    <cellStyle name="Note 19 3" xfId="11071"/>
    <cellStyle name="Note 19 3 2" xfId="11072"/>
    <cellStyle name="Note 19 4" xfId="11073"/>
    <cellStyle name="Note 19 4 2" xfId="11074"/>
    <cellStyle name="Note 19 5" xfId="11075"/>
    <cellStyle name="Note 19 5 2" xfId="11076"/>
    <cellStyle name="Note 19 6" xfId="11077"/>
    <cellStyle name="Note 19 6 2" xfId="11078"/>
    <cellStyle name="Note 19 7" xfId="11079"/>
    <cellStyle name="Note 19 7 2" xfId="11080"/>
    <cellStyle name="Note 19 8" xfId="11081"/>
    <cellStyle name="Note 19 8 2" xfId="11082"/>
    <cellStyle name="Note 19 9" xfId="11083"/>
    <cellStyle name="Note 19 9 2" xfId="11084"/>
    <cellStyle name="Note 2" xfId="1892"/>
    <cellStyle name="Note 2 10" xfId="11085"/>
    <cellStyle name="Note 2 10 2" xfId="11086"/>
    <cellStyle name="Note 2 11" xfId="11087"/>
    <cellStyle name="Note 2 12" xfId="11088"/>
    <cellStyle name="Note 2 12 2" xfId="11089"/>
    <cellStyle name="Note 2 12 3" xfId="11090"/>
    <cellStyle name="Note 2 12 4" xfId="11091"/>
    <cellStyle name="Note 2 13" xfId="11092"/>
    <cellStyle name="Note 2 14" xfId="11093"/>
    <cellStyle name="Note 2 15" xfId="11094"/>
    <cellStyle name="Note 2 16" xfId="11095"/>
    <cellStyle name="Note 2 2" xfId="1893"/>
    <cellStyle name="Note 2 2 10" xfId="11096"/>
    <cellStyle name="Note 2 2 11" xfId="11097"/>
    <cellStyle name="Note 2 2 12" xfId="11098"/>
    <cellStyle name="Note 2 2 2" xfId="11099"/>
    <cellStyle name="Note 2 2 2 2" xfId="11100"/>
    <cellStyle name="Note 2 2 2 2 2" xfId="11101"/>
    <cellStyle name="Note 2 2 2 2 2 2" xfId="11102"/>
    <cellStyle name="Note 2 2 2 2 2 2 2" xfId="11103"/>
    <cellStyle name="Note 2 2 2 2 2 3" xfId="11104"/>
    <cellStyle name="Note 2 2 2 2 3" xfId="11105"/>
    <cellStyle name="Note 2 2 2 2 3 2" xfId="11106"/>
    <cellStyle name="Note 2 2 2 2 4" xfId="11107"/>
    <cellStyle name="Note 2 2 2 2 5" xfId="11108"/>
    <cellStyle name="Note 2 2 2 3" xfId="11109"/>
    <cellStyle name="Note 2 2 2 3 2" xfId="11110"/>
    <cellStyle name="Note 2 2 2 3 2 2" xfId="11111"/>
    <cellStyle name="Note 2 2 2 3 3" xfId="11112"/>
    <cellStyle name="Note 2 2 2 3 4" xfId="11113"/>
    <cellStyle name="Note 2 2 2 4" xfId="11114"/>
    <cellStyle name="Note 2 2 2 4 2" xfId="11115"/>
    <cellStyle name="Note 2 2 2 5" xfId="11116"/>
    <cellStyle name="Note 2 2 2 6" xfId="11117"/>
    <cellStyle name="Note 2 2 2 7" xfId="11118"/>
    <cellStyle name="Note 2 2 3" xfId="11119"/>
    <cellStyle name="Note 2 2 3 2" xfId="11120"/>
    <cellStyle name="Note 2 2 3 2 2" xfId="11121"/>
    <cellStyle name="Note 2 2 3 2 2 2" xfId="11122"/>
    <cellStyle name="Note 2 2 3 2 3" xfId="11123"/>
    <cellStyle name="Note 2 2 3 2 4" xfId="11124"/>
    <cellStyle name="Note 2 2 3 2 5" xfId="11125"/>
    <cellStyle name="Note 2 2 3 3" xfId="11126"/>
    <cellStyle name="Note 2 2 3 3 2" xfId="11127"/>
    <cellStyle name="Note 2 2 3 4" xfId="11128"/>
    <cellStyle name="Note 2 2 3 5" xfId="11129"/>
    <cellStyle name="Note 2 2 3 6" xfId="11130"/>
    <cellStyle name="Note 2 2 4" xfId="11131"/>
    <cellStyle name="Note 2 2 4 2" xfId="11132"/>
    <cellStyle name="Note 2 2 4 2 2" xfId="11133"/>
    <cellStyle name="Note 2 2 4 2 3" xfId="11134"/>
    <cellStyle name="Note 2 2 4 2 4" xfId="11135"/>
    <cellStyle name="Note 2 2 4 3" xfId="11136"/>
    <cellStyle name="Note 2 2 4 4" xfId="11137"/>
    <cellStyle name="Note 2 2 4 5" xfId="11138"/>
    <cellStyle name="Note 2 2 5" xfId="11139"/>
    <cellStyle name="Note 2 2 5 2" xfId="11140"/>
    <cellStyle name="Note 2 2 5 3" xfId="11141"/>
    <cellStyle name="Note 2 2 6" xfId="11142"/>
    <cellStyle name="Note 2 2 6 2" xfId="11143"/>
    <cellStyle name="Note 2 2 7" xfId="11144"/>
    <cellStyle name="Note 2 2 7 2" xfId="11145"/>
    <cellStyle name="Note 2 2 8" xfId="11146"/>
    <cellStyle name="Note 2 2 8 2" xfId="11147"/>
    <cellStyle name="Note 2 2 9" xfId="11148"/>
    <cellStyle name="Note 2 2 9 2" xfId="11149"/>
    <cellStyle name="Note 2 3" xfId="11150"/>
    <cellStyle name="Note 2 3 2" xfId="11151"/>
    <cellStyle name="Note 2 3 2 2" xfId="11152"/>
    <cellStyle name="Note 2 3 2 2 2" xfId="11153"/>
    <cellStyle name="Note 2 3 2 2 2 2" xfId="11154"/>
    <cellStyle name="Note 2 3 2 2 3" xfId="11155"/>
    <cellStyle name="Note 2 3 2 2 4" xfId="11156"/>
    <cellStyle name="Note 2 3 2 3" xfId="11157"/>
    <cellStyle name="Note 2 3 2 3 2" xfId="11158"/>
    <cellStyle name="Note 2 3 2 4" xfId="11159"/>
    <cellStyle name="Note 2 3 2 5" xfId="11160"/>
    <cellStyle name="Note 2 3 3" xfId="11161"/>
    <cellStyle name="Note 2 3 3 2" xfId="11162"/>
    <cellStyle name="Note 2 3 3 2 2" xfId="11163"/>
    <cellStyle name="Note 2 3 3 3" xfId="11164"/>
    <cellStyle name="Note 2 3 3 4" xfId="11165"/>
    <cellStyle name="Note 2 3 3 5" xfId="11166"/>
    <cellStyle name="Note 2 3 4" xfId="11167"/>
    <cellStyle name="Note 2 3 4 2" xfId="11168"/>
    <cellStyle name="Note 2 3 5" xfId="11169"/>
    <cellStyle name="Note 2 3 6" xfId="11170"/>
    <cellStyle name="Note 2 3 7" xfId="11171"/>
    <cellStyle name="Note 2 4" xfId="11172"/>
    <cellStyle name="Note 2 4 2" xfId="11173"/>
    <cellStyle name="Note 2 4 2 2" xfId="11174"/>
    <cellStyle name="Note 2 4 2 2 2" xfId="11175"/>
    <cellStyle name="Note 2 4 2 2 3" xfId="11176"/>
    <cellStyle name="Note 2 4 2 3" xfId="11177"/>
    <cellStyle name="Note 2 4 2 4" xfId="11178"/>
    <cellStyle name="Note 2 4 2 5" xfId="11179"/>
    <cellStyle name="Note 2 4 3" xfId="11180"/>
    <cellStyle name="Note 2 4 3 2" xfId="11181"/>
    <cellStyle name="Note 2 4 3 3" xfId="11182"/>
    <cellStyle name="Note 2 4 4" xfId="11183"/>
    <cellStyle name="Note 2 4 4 2" xfId="11184"/>
    <cellStyle name="Note 2 4 5" xfId="11185"/>
    <cellStyle name="Note 2 4 6" xfId="11186"/>
    <cellStyle name="Note 2 4 7" xfId="11187"/>
    <cellStyle name="Note 2 5" xfId="11188"/>
    <cellStyle name="Note 2 5 2" xfId="11189"/>
    <cellStyle name="Note 2 5 2 2" xfId="11190"/>
    <cellStyle name="Note 2 5 2 3" xfId="11191"/>
    <cellStyle name="Note 2 5 2 4" xfId="11192"/>
    <cellStyle name="Note 2 5 2 5" xfId="11193"/>
    <cellStyle name="Note 2 5 3" xfId="11194"/>
    <cellStyle name="Note 2 5 4" xfId="11195"/>
    <cellStyle name="Note 2 5 5" xfId="11196"/>
    <cellStyle name="Note 2 6" xfId="11197"/>
    <cellStyle name="Note 2 6 2" xfId="11198"/>
    <cellStyle name="Note 2 6 2 2" xfId="11199"/>
    <cellStyle name="Note 2 6 2 3" xfId="11200"/>
    <cellStyle name="Note 2 6 2 4" xfId="11201"/>
    <cellStyle name="Note 2 6 3" xfId="11202"/>
    <cellStyle name="Note 2 6 4" xfId="11203"/>
    <cellStyle name="Note 2 6 5" xfId="11204"/>
    <cellStyle name="Note 2 7" xfId="11205"/>
    <cellStyle name="Note 2 7 2" xfId="11206"/>
    <cellStyle name="Note 2 7 2 2" xfId="11207"/>
    <cellStyle name="Note 2 7 2 3" xfId="11208"/>
    <cellStyle name="Note 2 7 2 4" xfId="11209"/>
    <cellStyle name="Note 2 7 3" xfId="11210"/>
    <cellStyle name="Note 2 7 4" xfId="11211"/>
    <cellStyle name="Note 2 7 5" xfId="11212"/>
    <cellStyle name="Note 2 8" xfId="11213"/>
    <cellStyle name="Note 2 8 2" xfId="11214"/>
    <cellStyle name="Note 2 9" xfId="11215"/>
    <cellStyle name="Note 2 9 2" xfId="11216"/>
    <cellStyle name="Note 20" xfId="1894"/>
    <cellStyle name="Note 20 10" xfId="11217"/>
    <cellStyle name="Note 20 10 2" xfId="11218"/>
    <cellStyle name="Note 20 11" xfId="11219"/>
    <cellStyle name="Note 20 2" xfId="11220"/>
    <cellStyle name="Note 20 2 10" xfId="11221"/>
    <cellStyle name="Note 20 2 2" xfId="11222"/>
    <cellStyle name="Note 20 2 2 2" xfId="11223"/>
    <cellStyle name="Note 20 2 3" xfId="11224"/>
    <cellStyle name="Note 20 2 3 2" xfId="11225"/>
    <cellStyle name="Note 20 2 4" xfId="11226"/>
    <cellStyle name="Note 20 2 4 2" xfId="11227"/>
    <cellStyle name="Note 20 2 5" xfId="11228"/>
    <cellStyle name="Note 20 2 5 2" xfId="11229"/>
    <cellStyle name="Note 20 2 6" xfId="11230"/>
    <cellStyle name="Note 20 2 6 2" xfId="11231"/>
    <cellStyle name="Note 20 2 7" xfId="11232"/>
    <cellStyle name="Note 20 2 7 2" xfId="11233"/>
    <cellStyle name="Note 20 2 8" xfId="11234"/>
    <cellStyle name="Note 20 2 8 2" xfId="11235"/>
    <cellStyle name="Note 20 2 9" xfId="11236"/>
    <cellStyle name="Note 20 2 9 2" xfId="11237"/>
    <cellStyle name="Note 20 3" xfId="11238"/>
    <cellStyle name="Note 20 3 2" xfId="11239"/>
    <cellStyle name="Note 20 4" xfId="11240"/>
    <cellStyle name="Note 20 4 2" xfId="11241"/>
    <cellStyle name="Note 20 5" xfId="11242"/>
    <cellStyle name="Note 20 5 2" xfId="11243"/>
    <cellStyle name="Note 20 6" xfId="11244"/>
    <cellStyle name="Note 20 6 2" xfId="11245"/>
    <cellStyle name="Note 20 7" xfId="11246"/>
    <cellStyle name="Note 20 7 2" xfId="11247"/>
    <cellStyle name="Note 20 8" xfId="11248"/>
    <cellStyle name="Note 20 8 2" xfId="11249"/>
    <cellStyle name="Note 20 9" xfId="11250"/>
    <cellStyle name="Note 20 9 2" xfId="11251"/>
    <cellStyle name="Note 21" xfId="1895"/>
    <cellStyle name="Note 21 10" xfId="11252"/>
    <cellStyle name="Note 21 10 2" xfId="11253"/>
    <cellStyle name="Note 21 11" xfId="11254"/>
    <cellStyle name="Note 21 2" xfId="11255"/>
    <cellStyle name="Note 21 2 10" xfId="11256"/>
    <cellStyle name="Note 21 2 2" xfId="11257"/>
    <cellStyle name="Note 21 2 2 2" xfId="11258"/>
    <cellStyle name="Note 21 2 3" xfId="11259"/>
    <cellStyle name="Note 21 2 3 2" xfId="11260"/>
    <cellStyle name="Note 21 2 4" xfId="11261"/>
    <cellStyle name="Note 21 2 4 2" xfId="11262"/>
    <cellStyle name="Note 21 2 5" xfId="11263"/>
    <cellStyle name="Note 21 2 5 2" xfId="11264"/>
    <cellStyle name="Note 21 2 6" xfId="11265"/>
    <cellStyle name="Note 21 2 6 2" xfId="11266"/>
    <cellStyle name="Note 21 2 7" xfId="11267"/>
    <cellStyle name="Note 21 2 7 2" xfId="11268"/>
    <cellStyle name="Note 21 2 8" xfId="11269"/>
    <cellStyle name="Note 21 2 8 2" xfId="11270"/>
    <cellStyle name="Note 21 2 9" xfId="11271"/>
    <cellStyle name="Note 21 2 9 2" xfId="11272"/>
    <cellStyle name="Note 21 3" xfId="11273"/>
    <cellStyle name="Note 21 3 2" xfId="11274"/>
    <cellStyle name="Note 21 4" xfId="11275"/>
    <cellStyle name="Note 21 4 2" xfId="11276"/>
    <cellStyle name="Note 21 5" xfId="11277"/>
    <cellStyle name="Note 21 5 2" xfId="11278"/>
    <cellStyle name="Note 21 6" xfId="11279"/>
    <cellStyle name="Note 21 6 2" xfId="11280"/>
    <cellStyle name="Note 21 7" xfId="11281"/>
    <cellStyle name="Note 21 7 2" xfId="11282"/>
    <cellStyle name="Note 21 8" xfId="11283"/>
    <cellStyle name="Note 21 8 2" xfId="11284"/>
    <cellStyle name="Note 21 9" xfId="11285"/>
    <cellStyle name="Note 21 9 2" xfId="11286"/>
    <cellStyle name="Note 22" xfId="1896"/>
    <cellStyle name="Note 22 10" xfId="11287"/>
    <cellStyle name="Note 22 2" xfId="11288"/>
    <cellStyle name="Note 22 2 2" xfId="11289"/>
    <cellStyle name="Note 22 3" xfId="11290"/>
    <cellStyle name="Note 22 3 2" xfId="11291"/>
    <cellStyle name="Note 22 4" xfId="11292"/>
    <cellStyle name="Note 22 4 2" xfId="11293"/>
    <cellStyle name="Note 22 5" xfId="11294"/>
    <cellStyle name="Note 22 5 2" xfId="11295"/>
    <cellStyle name="Note 22 6" xfId="11296"/>
    <cellStyle name="Note 22 6 2" xfId="11297"/>
    <cellStyle name="Note 22 7" xfId="11298"/>
    <cellStyle name="Note 22 7 2" xfId="11299"/>
    <cellStyle name="Note 22 8" xfId="11300"/>
    <cellStyle name="Note 22 8 2" xfId="11301"/>
    <cellStyle name="Note 22 9" xfId="11302"/>
    <cellStyle name="Note 22 9 2" xfId="11303"/>
    <cellStyle name="Note 23" xfId="1897"/>
    <cellStyle name="Note 23 2" xfId="11304"/>
    <cellStyle name="Note 23 2 2" xfId="11305"/>
    <cellStyle name="Note 23 3" xfId="11306"/>
    <cellStyle name="Note 23 4" xfId="11307"/>
    <cellStyle name="Note 24" xfId="1898"/>
    <cellStyle name="Note 25" xfId="1899"/>
    <cellStyle name="Note 26" xfId="1900"/>
    <cellStyle name="Note 27" xfId="1901"/>
    <cellStyle name="Note 28" xfId="1902"/>
    <cellStyle name="Note 29" xfId="1903"/>
    <cellStyle name="Note 3" xfId="1904"/>
    <cellStyle name="Note 3 10" xfId="11308"/>
    <cellStyle name="Note 3 10 2" xfId="11309"/>
    <cellStyle name="Note 3 11" xfId="11310"/>
    <cellStyle name="Note 3 12" xfId="11311"/>
    <cellStyle name="Note 3 2" xfId="11312"/>
    <cellStyle name="Note 3 2 10" xfId="11313"/>
    <cellStyle name="Note 3 2 11" xfId="11314"/>
    <cellStyle name="Note 3 2 12" xfId="11315"/>
    <cellStyle name="Note 3 2 2" xfId="11316"/>
    <cellStyle name="Note 3 2 2 2" xfId="11317"/>
    <cellStyle name="Note 3 2 2 2 2" xfId="11318"/>
    <cellStyle name="Note 3 2 2 2 2 2" xfId="11319"/>
    <cellStyle name="Note 3 2 2 2 2 2 2" xfId="11320"/>
    <cellStyle name="Note 3 2 2 2 2 3" xfId="11321"/>
    <cellStyle name="Note 3 2 2 2 3" xfId="11322"/>
    <cellStyle name="Note 3 2 2 2 3 2" xfId="11323"/>
    <cellStyle name="Note 3 2 2 2 4" xfId="11324"/>
    <cellStyle name="Note 3 2 2 3" xfId="11325"/>
    <cellStyle name="Note 3 2 2 3 2" xfId="11326"/>
    <cellStyle name="Note 3 2 2 3 2 2" xfId="11327"/>
    <cellStyle name="Note 3 2 2 3 3" xfId="11328"/>
    <cellStyle name="Note 3 2 2 4" xfId="11329"/>
    <cellStyle name="Note 3 2 2 4 2" xfId="11330"/>
    <cellStyle name="Note 3 2 2 5" xfId="11331"/>
    <cellStyle name="Note 3 2 2 6" xfId="11332"/>
    <cellStyle name="Note 3 2 3" xfId="11333"/>
    <cellStyle name="Note 3 2 3 2" xfId="11334"/>
    <cellStyle name="Note 3 2 3 2 2" xfId="11335"/>
    <cellStyle name="Note 3 2 3 2 2 2" xfId="11336"/>
    <cellStyle name="Note 3 2 3 2 3" xfId="11337"/>
    <cellStyle name="Note 3 2 3 3" xfId="11338"/>
    <cellStyle name="Note 3 2 3 3 2" xfId="11339"/>
    <cellStyle name="Note 3 2 3 4" xfId="11340"/>
    <cellStyle name="Note 3 2 3 5" xfId="11341"/>
    <cellStyle name="Note 3 2 4" xfId="11342"/>
    <cellStyle name="Note 3 2 4 2" xfId="11343"/>
    <cellStyle name="Note 3 2 4 2 2" xfId="11344"/>
    <cellStyle name="Note 3 2 4 3" xfId="11345"/>
    <cellStyle name="Note 3 2 4 4" xfId="11346"/>
    <cellStyle name="Note 3 2 5" xfId="11347"/>
    <cellStyle name="Note 3 2 5 2" xfId="11348"/>
    <cellStyle name="Note 3 2 5 3" xfId="11349"/>
    <cellStyle name="Note 3 2 6" xfId="11350"/>
    <cellStyle name="Note 3 2 6 2" xfId="11351"/>
    <cellStyle name="Note 3 2 7" xfId="11352"/>
    <cellStyle name="Note 3 2 7 2" xfId="11353"/>
    <cellStyle name="Note 3 2 8" xfId="11354"/>
    <cellStyle name="Note 3 2 8 2" xfId="11355"/>
    <cellStyle name="Note 3 2 9" xfId="11356"/>
    <cellStyle name="Note 3 2 9 2" xfId="11357"/>
    <cellStyle name="Note 3 3" xfId="11358"/>
    <cellStyle name="Note 3 3 2" xfId="11359"/>
    <cellStyle name="Note 3 3 2 2" xfId="11360"/>
    <cellStyle name="Note 3 3 2 2 2" xfId="11361"/>
    <cellStyle name="Note 3 3 2 2 2 2" xfId="11362"/>
    <cellStyle name="Note 3 3 2 2 3" xfId="11363"/>
    <cellStyle name="Note 3 3 2 3" xfId="11364"/>
    <cellStyle name="Note 3 3 2 3 2" xfId="11365"/>
    <cellStyle name="Note 3 3 2 4" xfId="11366"/>
    <cellStyle name="Note 3 3 3" xfId="11367"/>
    <cellStyle name="Note 3 3 3 2" xfId="11368"/>
    <cellStyle name="Note 3 3 3 2 2" xfId="11369"/>
    <cellStyle name="Note 3 3 3 3" xfId="11370"/>
    <cellStyle name="Note 3 3 4" xfId="11371"/>
    <cellStyle name="Note 3 3 4 2" xfId="11372"/>
    <cellStyle name="Note 3 3 5" xfId="11373"/>
    <cellStyle name="Note 3 3 6" xfId="11374"/>
    <cellStyle name="Note 3 3 7" xfId="11375"/>
    <cellStyle name="Note 3 4" xfId="11376"/>
    <cellStyle name="Note 3 4 2" xfId="11377"/>
    <cellStyle name="Note 3 4 2 2" xfId="11378"/>
    <cellStyle name="Note 3 4 2 2 2" xfId="11379"/>
    <cellStyle name="Note 3 4 2 3" xfId="11380"/>
    <cellStyle name="Note 3 4 2 4" xfId="11381"/>
    <cellStyle name="Note 3 4 3" xfId="11382"/>
    <cellStyle name="Note 3 4 3 2" xfId="11383"/>
    <cellStyle name="Note 3 4 4" xfId="11384"/>
    <cellStyle name="Note 3 4 5" xfId="11385"/>
    <cellStyle name="Note 3 5" xfId="11386"/>
    <cellStyle name="Note 3 5 2" xfId="11387"/>
    <cellStyle name="Note 3 5 2 2" xfId="11388"/>
    <cellStyle name="Note 3 5 3" xfId="11389"/>
    <cellStyle name="Note 3 5 4" xfId="11390"/>
    <cellStyle name="Note 3 6" xfId="11391"/>
    <cellStyle name="Note 3 6 2" xfId="11392"/>
    <cellStyle name="Note 3 6 3" xfId="11393"/>
    <cellStyle name="Note 3 7" xfId="11394"/>
    <cellStyle name="Note 3 7 2" xfId="11395"/>
    <cellStyle name="Note 3 8" xfId="11396"/>
    <cellStyle name="Note 3 8 2" xfId="11397"/>
    <cellStyle name="Note 3 9" xfId="11398"/>
    <cellStyle name="Note 3 9 2" xfId="11399"/>
    <cellStyle name="Note 30" xfId="1905"/>
    <cellStyle name="Note 31" xfId="1906"/>
    <cellStyle name="Note 32" xfId="1907"/>
    <cellStyle name="Note 33" xfId="1908"/>
    <cellStyle name="Note 34" xfId="1909"/>
    <cellStyle name="Note 4" xfId="1910"/>
    <cellStyle name="Note 4 10" xfId="11400"/>
    <cellStyle name="Note 4 10 2" xfId="11401"/>
    <cellStyle name="Note 4 11" xfId="11402"/>
    <cellStyle name="Note 4 12" xfId="11403"/>
    <cellStyle name="Note 4 13" xfId="11404"/>
    <cellStyle name="Note 4 2" xfId="11405"/>
    <cellStyle name="Note 4 2 10" xfId="11406"/>
    <cellStyle name="Note 4 2 11" xfId="11407"/>
    <cellStyle name="Note 4 2 12" xfId="11408"/>
    <cellStyle name="Note 4 2 2" xfId="11409"/>
    <cellStyle name="Note 4 2 2 2" xfId="11410"/>
    <cellStyle name="Note 4 2 2 2 2" xfId="11411"/>
    <cellStyle name="Note 4 2 2 2 2 2" xfId="11412"/>
    <cellStyle name="Note 4 2 2 2 2 2 2" xfId="11413"/>
    <cellStyle name="Note 4 2 2 2 2 3" xfId="11414"/>
    <cellStyle name="Note 4 2 2 2 3" xfId="11415"/>
    <cellStyle name="Note 4 2 2 2 3 2" xfId="11416"/>
    <cellStyle name="Note 4 2 2 2 4" xfId="11417"/>
    <cellStyle name="Note 4 2 2 3" xfId="11418"/>
    <cellStyle name="Note 4 2 2 3 2" xfId="11419"/>
    <cellStyle name="Note 4 2 2 3 2 2" xfId="11420"/>
    <cellStyle name="Note 4 2 2 3 3" xfId="11421"/>
    <cellStyle name="Note 4 2 2 4" xfId="11422"/>
    <cellStyle name="Note 4 2 2 4 2" xfId="11423"/>
    <cellStyle name="Note 4 2 2 5" xfId="11424"/>
    <cellStyle name="Note 4 2 2 6" xfId="11425"/>
    <cellStyle name="Note 4 2 3" xfId="11426"/>
    <cellStyle name="Note 4 2 3 2" xfId="11427"/>
    <cellStyle name="Note 4 2 3 2 2" xfId="11428"/>
    <cellStyle name="Note 4 2 3 2 2 2" xfId="11429"/>
    <cellStyle name="Note 4 2 3 2 3" xfId="11430"/>
    <cellStyle name="Note 4 2 3 3" xfId="11431"/>
    <cellStyle name="Note 4 2 3 3 2" xfId="11432"/>
    <cellStyle name="Note 4 2 3 4" xfId="11433"/>
    <cellStyle name="Note 4 2 3 5" xfId="11434"/>
    <cellStyle name="Note 4 2 4" xfId="11435"/>
    <cellStyle name="Note 4 2 4 2" xfId="11436"/>
    <cellStyle name="Note 4 2 4 2 2" xfId="11437"/>
    <cellStyle name="Note 4 2 4 3" xfId="11438"/>
    <cellStyle name="Note 4 2 4 4" xfId="11439"/>
    <cellStyle name="Note 4 2 5" xfId="11440"/>
    <cellStyle name="Note 4 2 5 2" xfId="11441"/>
    <cellStyle name="Note 4 2 5 3" xfId="11442"/>
    <cellStyle name="Note 4 2 6" xfId="11443"/>
    <cellStyle name="Note 4 2 6 2" xfId="11444"/>
    <cellStyle name="Note 4 2 7" xfId="11445"/>
    <cellStyle name="Note 4 2 7 2" xfId="11446"/>
    <cellStyle name="Note 4 2 8" xfId="11447"/>
    <cellStyle name="Note 4 2 8 2" xfId="11448"/>
    <cellStyle name="Note 4 2 9" xfId="11449"/>
    <cellStyle name="Note 4 2 9 2" xfId="11450"/>
    <cellStyle name="Note 4 3" xfId="11451"/>
    <cellStyle name="Note 4 3 2" xfId="11452"/>
    <cellStyle name="Note 4 3 2 2" xfId="11453"/>
    <cellStyle name="Note 4 3 2 2 2" xfId="11454"/>
    <cellStyle name="Note 4 3 2 2 2 2" xfId="11455"/>
    <cellStyle name="Note 4 3 2 2 3" xfId="11456"/>
    <cellStyle name="Note 4 3 2 3" xfId="11457"/>
    <cellStyle name="Note 4 3 2 3 2" xfId="11458"/>
    <cellStyle name="Note 4 3 2 4" xfId="11459"/>
    <cellStyle name="Note 4 3 3" xfId="11460"/>
    <cellStyle name="Note 4 3 3 2" xfId="11461"/>
    <cellStyle name="Note 4 3 3 2 2" xfId="11462"/>
    <cellStyle name="Note 4 3 3 3" xfId="11463"/>
    <cellStyle name="Note 4 3 4" xfId="11464"/>
    <cellStyle name="Note 4 3 4 2" xfId="11465"/>
    <cellStyle name="Note 4 3 5" xfId="11466"/>
    <cellStyle name="Note 4 3 6" xfId="11467"/>
    <cellStyle name="Note 4 3 7" xfId="11468"/>
    <cellStyle name="Note 4 4" xfId="11469"/>
    <cellStyle name="Note 4 4 2" xfId="11470"/>
    <cellStyle name="Note 4 4 2 2" xfId="11471"/>
    <cellStyle name="Note 4 4 2 2 2" xfId="11472"/>
    <cellStyle name="Note 4 4 2 3" xfId="11473"/>
    <cellStyle name="Note 4 4 3" xfId="11474"/>
    <cellStyle name="Note 4 4 3 2" xfId="11475"/>
    <cellStyle name="Note 4 4 4" xfId="11476"/>
    <cellStyle name="Note 4 4 5" xfId="11477"/>
    <cellStyle name="Note 4 5" xfId="11478"/>
    <cellStyle name="Note 4 5 2" xfId="11479"/>
    <cellStyle name="Note 4 5 2 2" xfId="11480"/>
    <cellStyle name="Note 4 5 3" xfId="11481"/>
    <cellStyle name="Note 4 5 4" xfId="11482"/>
    <cellStyle name="Note 4 6" xfId="11483"/>
    <cellStyle name="Note 4 6 2" xfId="11484"/>
    <cellStyle name="Note 4 6 3" xfId="11485"/>
    <cellStyle name="Note 4 7" xfId="11486"/>
    <cellStyle name="Note 4 7 2" xfId="11487"/>
    <cellStyle name="Note 4 8" xfId="11488"/>
    <cellStyle name="Note 4 8 2" xfId="11489"/>
    <cellStyle name="Note 4 9" xfId="11490"/>
    <cellStyle name="Note 4 9 2" xfId="11491"/>
    <cellStyle name="Note 5" xfId="1911"/>
    <cellStyle name="Note 5 10" xfId="11492"/>
    <cellStyle name="Note 5 10 2" xfId="11493"/>
    <cellStyle name="Note 5 11" xfId="11494"/>
    <cellStyle name="Note 5 12" xfId="11495"/>
    <cellStyle name="Note 5 13" xfId="11496"/>
    <cellStyle name="Note 5 2" xfId="11497"/>
    <cellStyle name="Note 5 2 10" xfId="11498"/>
    <cellStyle name="Note 5 2 11" xfId="11499"/>
    <cellStyle name="Note 5 2 12" xfId="11500"/>
    <cellStyle name="Note 5 2 2" xfId="11501"/>
    <cellStyle name="Note 5 2 2 2" xfId="11502"/>
    <cellStyle name="Note 5 2 2 3" xfId="11503"/>
    <cellStyle name="Note 5 2 3" xfId="11504"/>
    <cellStyle name="Note 5 2 3 2" xfId="11505"/>
    <cellStyle name="Note 5 2 4" xfId="11506"/>
    <cellStyle name="Note 5 2 4 2" xfId="11507"/>
    <cellStyle name="Note 5 2 5" xfId="11508"/>
    <cellStyle name="Note 5 2 5 2" xfId="11509"/>
    <cellStyle name="Note 5 2 6" xfId="11510"/>
    <cellStyle name="Note 5 2 6 2" xfId="11511"/>
    <cellStyle name="Note 5 2 7" xfId="11512"/>
    <cellStyle name="Note 5 2 7 2" xfId="11513"/>
    <cellStyle name="Note 5 2 8" xfId="11514"/>
    <cellStyle name="Note 5 2 8 2" xfId="11515"/>
    <cellStyle name="Note 5 2 9" xfId="11516"/>
    <cellStyle name="Note 5 2 9 2" xfId="11517"/>
    <cellStyle name="Note 5 3" xfId="11518"/>
    <cellStyle name="Note 5 3 2" xfId="11519"/>
    <cellStyle name="Note 5 3 3" xfId="11520"/>
    <cellStyle name="Note 5 3 4" xfId="11521"/>
    <cellStyle name="Note 5 4" xfId="11522"/>
    <cellStyle name="Note 5 4 2" xfId="11523"/>
    <cellStyle name="Note 5 5" xfId="11524"/>
    <cellStyle name="Note 5 5 2" xfId="11525"/>
    <cellStyle name="Note 5 6" xfId="11526"/>
    <cellStyle name="Note 5 6 2" xfId="11527"/>
    <cellStyle name="Note 5 7" xfId="11528"/>
    <cellStyle name="Note 5 7 2" xfId="11529"/>
    <cellStyle name="Note 5 8" xfId="11530"/>
    <cellStyle name="Note 5 8 2" xfId="11531"/>
    <cellStyle name="Note 5 9" xfId="11532"/>
    <cellStyle name="Note 5 9 2" xfId="11533"/>
    <cellStyle name="Note 6" xfId="1912"/>
    <cellStyle name="Note 6 10" xfId="11534"/>
    <cellStyle name="Note 6 10 2" xfId="11535"/>
    <cellStyle name="Note 6 11" xfId="11536"/>
    <cellStyle name="Note 6 12" xfId="11537"/>
    <cellStyle name="Note 6 13" xfId="11538"/>
    <cellStyle name="Note 6 2" xfId="11539"/>
    <cellStyle name="Note 6 2 10" xfId="11540"/>
    <cellStyle name="Note 6 2 11" xfId="11541"/>
    <cellStyle name="Note 6 2 12" xfId="11542"/>
    <cellStyle name="Note 6 2 2" xfId="11543"/>
    <cellStyle name="Note 6 2 2 2" xfId="11544"/>
    <cellStyle name="Note 6 2 2 3" xfId="11545"/>
    <cellStyle name="Note 6 2 3" xfId="11546"/>
    <cellStyle name="Note 6 2 3 2" xfId="11547"/>
    <cellStyle name="Note 6 2 4" xfId="11548"/>
    <cellStyle name="Note 6 2 4 2" xfId="11549"/>
    <cellStyle name="Note 6 2 5" xfId="11550"/>
    <cellStyle name="Note 6 2 5 2" xfId="11551"/>
    <cellStyle name="Note 6 2 6" xfId="11552"/>
    <cellStyle name="Note 6 2 6 2" xfId="11553"/>
    <cellStyle name="Note 6 2 7" xfId="11554"/>
    <cellStyle name="Note 6 2 7 2" xfId="11555"/>
    <cellStyle name="Note 6 2 8" xfId="11556"/>
    <cellStyle name="Note 6 2 8 2" xfId="11557"/>
    <cellStyle name="Note 6 2 9" xfId="11558"/>
    <cellStyle name="Note 6 2 9 2" xfId="11559"/>
    <cellStyle name="Note 6 3" xfId="11560"/>
    <cellStyle name="Note 6 3 2" xfId="11561"/>
    <cellStyle name="Note 6 3 3" xfId="11562"/>
    <cellStyle name="Note 6 3 4" xfId="11563"/>
    <cellStyle name="Note 6 4" xfId="11564"/>
    <cellStyle name="Note 6 4 2" xfId="11565"/>
    <cellStyle name="Note 6 5" xfId="11566"/>
    <cellStyle name="Note 6 5 2" xfId="11567"/>
    <cellStyle name="Note 6 6" xfId="11568"/>
    <cellStyle name="Note 6 6 2" xfId="11569"/>
    <cellStyle name="Note 6 7" xfId="11570"/>
    <cellStyle name="Note 6 7 2" xfId="11571"/>
    <cellStyle name="Note 6 8" xfId="11572"/>
    <cellStyle name="Note 6 8 2" xfId="11573"/>
    <cellStyle name="Note 6 9" xfId="11574"/>
    <cellStyle name="Note 6 9 2" xfId="11575"/>
    <cellStyle name="Note 7" xfId="1913"/>
    <cellStyle name="Note 7 10" xfId="11576"/>
    <cellStyle name="Note 7 10 2" xfId="11577"/>
    <cellStyle name="Note 7 11" xfId="11578"/>
    <cellStyle name="Note 7 12" xfId="11579"/>
    <cellStyle name="Note 7 13" xfId="11580"/>
    <cellStyle name="Note 7 2" xfId="11581"/>
    <cellStyle name="Note 7 2 10" xfId="11582"/>
    <cellStyle name="Note 7 2 11" xfId="11583"/>
    <cellStyle name="Note 7 2 12" xfId="11584"/>
    <cellStyle name="Note 7 2 2" xfId="11585"/>
    <cellStyle name="Note 7 2 2 2" xfId="11586"/>
    <cellStyle name="Note 7 2 3" xfId="11587"/>
    <cellStyle name="Note 7 2 3 2" xfId="11588"/>
    <cellStyle name="Note 7 2 4" xfId="11589"/>
    <cellStyle name="Note 7 2 4 2" xfId="11590"/>
    <cellStyle name="Note 7 2 5" xfId="11591"/>
    <cellStyle name="Note 7 2 5 2" xfId="11592"/>
    <cellStyle name="Note 7 2 6" xfId="11593"/>
    <cellStyle name="Note 7 2 6 2" xfId="11594"/>
    <cellStyle name="Note 7 2 7" xfId="11595"/>
    <cellStyle name="Note 7 2 7 2" xfId="11596"/>
    <cellStyle name="Note 7 2 8" xfId="11597"/>
    <cellStyle name="Note 7 2 8 2" xfId="11598"/>
    <cellStyle name="Note 7 2 9" xfId="11599"/>
    <cellStyle name="Note 7 2 9 2" xfId="11600"/>
    <cellStyle name="Note 7 3" xfId="11601"/>
    <cellStyle name="Note 7 3 2" xfId="11602"/>
    <cellStyle name="Note 7 3 3" xfId="11603"/>
    <cellStyle name="Note 7 4" xfId="11604"/>
    <cellStyle name="Note 7 4 2" xfId="11605"/>
    <cellStyle name="Note 7 5" xfId="11606"/>
    <cellStyle name="Note 7 5 2" xfId="11607"/>
    <cellStyle name="Note 7 6" xfId="11608"/>
    <cellStyle name="Note 7 6 2" xfId="11609"/>
    <cellStyle name="Note 7 7" xfId="11610"/>
    <cellStyle name="Note 7 7 2" xfId="11611"/>
    <cellStyle name="Note 7 8" xfId="11612"/>
    <cellStyle name="Note 7 8 2" xfId="11613"/>
    <cellStyle name="Note 7 9" xfId="11614"/>
    <cellStyle name="Note 7 9 2" xfId="11615"/>
    <cellStyle name="Note 8" xfId="1914"/>
    <cellStyle name="Note 8 10" xfId="11616"/>
    <cellStyle name="Note 8 10 2" xfId="11617"/>
    <cellStyle name="Note 8 11" xfId="11618"/>
    <cellStyle name="Note 8 12" xfId="11619"/>
    <cellStyle name="Note 8 13" xfId="11620"/>
    <cellStyle name="Note 8 2" xfId="11621"/>
    <cellStyle name="Note 8 2 10" xfId="11622"/>
    <cellStyle name="Note 8 2 11" xfId="11623"/>
    <cellStyle name="Note 8 2 12" xfId="11624"/>
    <cellStyle name="Note 8 2 2" xfId="11625"/>
    <cellStyle name="Note 8 2 2 2" xfId="11626"/>
    <cellStyle name="Note 8 2 3" xfId="11627"/>
    <cellStyle name="Note 8 2 3 2" xfId="11628"/>
    <cellStyle name="Note 8 2 4" xfId="11629"/>
    <cellStyle name="Note 8 2 4 2" xfId="11630"/>
    <cellStyle name="Note 8 2 5" xfId="11631"/>
    <cellStyle name="Note 8 2 5 2" xfId="11632"/>
    <cellStyle name="Note 8 2 6" xfId="11633"/>
    <cellStyle name="Note 8 2 6 2" xfId="11634"/>
    <cellStyle name="Note 8 2 7" xfId="11635"/>
    <cellStyle name="Note 8 2 7 2" xfId="11636"/>
    <cellStyle name="Note 8 2 8" xfId="11637"/>
    <cellStyle name="Note 8 2 8 2" xfId="11638"/>
    <cellStyle name="Note 8 2 9" xfId="11639"/>
    <cellStyle name="Note 8 2 9 2" xfId="11640"/>
    <cellStyle name="Note 8 3" xfId="11641"/>
    <cellStyle name="Note 8 3 2" xfId="11642"/>
    <cellStyle name="Note 8 3 3" xfId="11643"/>
    <cellStyle name="Note 8 4" xfId="11644"/>
    <cellStyle name="Note 8 4 2" xfId="11645"/>
    <cellStyle name="Note 8 5" xfId="11646"/>
    <cellStyle name="Note 8 5 2" xfId="11647"/>
    <cellStyle name="Note 8 6" xfId="11648"/>
    <cellStyle name="Note 8 6 2" xfId="11649"/>
    <cellStyle name="Note 8 7" xfId="11650"/>
    <cellStyle name="Note 8 7 2" xfId="11651"/>
    <cellStyle name="Note 8 8" xfId="11652"/>
    <cellStyle name="Note 8 8 2" xfId="11653"/>
    <cellStyle name="Note 8 9" xfId="11654"/>
    <cellStyle name="Note 8 9 2" xfId="11655"/>
    <cellStyle name="Note 9" xfId="1915"/>
    <cellStyle name="Note 9 10" xfId="11656"/>
    <cellStyle name="Note 9 10 2" xfId="11657"/>
    <cellStyle name="Note 9 11" xfId="11658"/>
    <cellStyle name="Note 9 12" xfId="11659"/>
    <cellStyle name="Note 9 13" xfId="11660"/>
    <cellStyle name="Note 9 2" xfId="1916"/>
    <cellStyle name="Note 9 2 10" xfId="11661"/>
    <cellStyle name="Note 9 2 11" xfId="11662"/>
    <cellStyle name="Note 9 2 2" xfId="11663"/>
    <cellStyle name="Note 9 2 2 2" xfId="11664"/>
    <cellStyle name="Note 9 2 3" xfId="11665"/>
    <cellStyle name="Note 9 2 3 2" xfId="11666"/>
    <cellStyle name="Note 9 2 4" xfId="11667"/>
    <cellStyle name="Note 9 2 4 2" xfId="11668"/>
    <cellStyle name="Note 9 2 5" xfId="11669"/>
    <cellStyle name="Note 9 2 5 2" xfId="11670"/>
    <cellStyle name="Note 9 2 6" xfId="11671"/>
    <cellStyle name="Note 9 2 6 2" xfId="11672"/>
    <cellStyle name="Note 9 2 7" xfId="11673"/>
    <cellStyle name="Note 9 2 7 2" xfId="11674"/>
    <cellStyle name="Note 9 2 8" xfId="11675"/>
    <cellStyle name="Note 9 2 8 2" xfId="11676"/>
    <cellStyle name="Note 9 2 9" xfId="11677"/>
    <cellStyle name="Note 9 2 9 2" xfId="11678"/>
    <cellStyle name="Note 9 3" xfId="1917"/>
    <cellStyle name="Note 9 3 2" xfId="11679"/>
    <cellStyle name="Note 9 4" xfId="1918"/>
    <cellStyle name="Note 9 4 2" xfId="11680"/>
    <cellStyle name="Note 9 5" xfId="1919"/>
    <cellStyle name="Note 9 5 2" xfId="11681"/>
    <cellStyle name="Note 9 6" xfId="11682"/>
    <cellStyle name="Note 9 6 2" xfId="11683"/>
    <cellStyle name="Note 9 7" xfId="11684"/>
    <cellStyle name="Note 9 7 2" xfId="11685"/>
    <cellStyle name="Note 9 8" xfId="11686"/>
    <cellStyle name="Note 9 8 2" xfId="11687"/>
    <cellStyle name="Note 9 9" xfId="11688"/>
    <cellStyle name="Note 9 9 2" xfId="11689"/>
    <cellStyle name="Output 10" xfId="1920"/>
    <cellStyle name="Output 11" xfId="1921"/>
    <cellStyle name="Output 12" xfId="1922"/>
    <cellStyle name="Output 13" xfId="1923"/>
    <cellStyle name="Output 14" xfId="1924"/>
    <cellStyle name="Output 15" xfId="1925"/>
    <cellStyle name="Output 16" xfId="1926"/>
    <cellStyle name="Output 17" xfId="1927"/>
    <cellStyle name="Output 17 2" xfId="11690"/>
    <cellStyle name="Output 18" xfId="1928"/>
    <cellStyle name="Output 19" xfId="1929"/>
    <cellStyle name="Output 2" xfId="1930"/>
    <cellStyle name="Output 2 2" xfId="1931"/>
    <cellStyle name="Output 2 2 2" xfId="1932"/>
    <cellStyle name="Output 2 2 2 2" xfId="1933"/>
    <cellStyle name="Output 2 2 2 3" xfId="1934"/>
    <cellStyle name="Output 2 2 2 4" xfId="1935"/>
    <cellStyle name="Output 2 2 2 5" xfId="1936"/>
    <cellStyle name="Output 2 2 3" xfId="1937"/>
    <cellStyle name="Output 2 2 4" xfId="1938"/>
    <cellStyle name="Output 2 2 5" xfId="1939"/>
    <cellStyle name="Output 2 3" xfId="1940"/>
    <cellStyle name="Output 2 3 2" xfId="11691"/>
    <cellStyle name="Output 2 4" xfId="1941"/>
    <cellStyle name="Output 2 4 2" xfId="11692"/>
    <cellStyle name="Output 2 5" xfId="1942"/>
    <cellStyle name="Output 2 5 2" xfId="11693"/>
    <cellStyle name="Output 2 6" xfId="1943"/>
    <cellStyle name="Output 2 6 2" xfId="11694"/>
    <cellStyle name="Output 2 7" xfId="1944"/>
    <cellStyle name="Output 2 8" xfId="1945"/>
    <cellStyle name="Output 2 9" xfId="1946"/>
    <cellStyle name="Output 20" xfId="1947"/>
    <cellStyle name="Output 21" xfId="1948"/>
    <cellStyle name="Output 22" xfId="1949"/>
    <cellStyle name="Output 3" xfId="1950"/>
    <cellStyle name="Output 3 2" xfId="11695"/>
    <cellStyle name="Output 3 3" xfId="11696"/>
    <cellStyle name="Output 4" xfId="1951"/>
    <cellStyle name="Output 5" xfId="1952"/>
    <cellStyle name="Output 6" xfId="1953"/>
    <cellStyle name="Output 7" xfId="1954"/>
    <cellStyle name="Output 8" xfId="1955"/>
    <cellStyle name="Output 9" xfId="1956"/>
    <cellStyle name="Output Amounts" xfId="1957"/>
    <cellStyle name="OUTPUT AMOUNTS 10" xfId="11697"/>
    <cellStyle name="Output Amounts 11" xfId="11698"/>
    <cellStyle name="Output Amounts 2" xfId="11699"/>
    <cellStyle name="Output Amounts 2 10" xfId="11700"/>
    <cellStyle name="OUTPUT AMOUNTS 2 11" xfId="11701"/>
    <cellStyle name="OUTPUT AMOUNTS 2 2" xfId="11702"/>
    <cellStyle name="OUTPUT AMOUNTS 2 3" xfId="11703"/>
    <cellStyle name="Output Amounts 2 3 2" xfId="11704"/>
    <cellStyle name="Output Amounts 2 4" xfId="11705"/>
    <cellStyle name="Output Amounts 2 5" xfId="11706"/>
    <cellStyle name="Output Amounts 2 6" xfId="11707"/>
    <cellStyle name="Output Amounts 2 7" xfId="11708"/>
    <cellStyle name="Output Amounts 2 8" xfId="11709"/>
    <cellStyle name="Output Amounts 2 9" xfId="11710"/>
    <cellStyle name="Output Amounts 3" xfId="11711"/>
    <cellStyle name="OUTPUT AMOUNTS 3 2" xfId="11712"/>
    <cellStyle name="Output Amounts 3 3" xfId="11713"/>
    <cellStyle name="Output Amounts 3 4" xfId="11714"/>
    <cellStyle name="Output Amounts 3 5" xfId="11715"/>
    <cellStyle name="Output Amounts 3 6" xfId="11716"/>
    <cellStyle name="Output Amounts 3 7" xfId="11717"/>
    <cellStyle name="Output Amounts 3 8" xfId="11718"/>
    <cellStyle name="Output Amounts 3 9" xfId="11719"/>
    <cellStyle name="Output Amounts 4" xfId="11720"/>
    <cellStyle name="OUTPUT AMOUNTS 5" xfId="11721"/>
    <cellStyle name="OUTPUT AMOUNTS 6" xfId="11722"/>
    <cellStyle name="OUTPUT AMOUNTS 7" xfId="11723"/>
    <cellStyle name="OUTPUT AMOUNTS 8" xfId="11724"/>
    <cellStyle name="OUTPUT AMOUNTS 9" xfId="11725"/>
    <cellStyle name="Output Amounts_d1" xfId="11726"/>
    <cellStyle name="Output Column Headings" xfId="1958"/>
    <cellStyle name="OUTPUT COLUMN HEADINGS 10" xfId="11727"/>
    <cellStyle name="OUTPUT COLUMN HEADINGS 10 2" xfId="11728"/>
    <cellStyle name="OUTPUT COLUMN HEADINGS 10 3" xfId="11729"/>
    <cellStyle name="Output Column Headings 11" xfId="11730"/>
    <cellStyle name="Output Column Headings 2" xfId="1959"/>
    <cellStyle name="Output Column Headings 2 2" xfId="11731"/>
    <cellStyle name="OUTPUT COLUMN HEADINGS 2 2 2" xfId="11732"/>
    <cellStyle name="Output Column Headings 2 2 3" xfId="11733"/>
    <cellStyle name="Output Column Headings 2 2 4" xfId="11734"/>
    <cellStyle name="Output Column Headings 2 2 5" xfId="11735"/>
    <cellStyle name="Output Column Headings 2 2 6" xfId="11736"/>
    <cellStyle name="Output Column Headings 2 2 7" xfId="11737"/>
    <cellStyle name="OUTPUT COLUMN HEADINGS 2 3" xfId="11738"/>
    <cellStyle name="OUTPUT COLUMN HEADINGS 2 3 2" xfId="11739"/>
    <cellStyle name="Output Column Headings 2 4" xfId="11740"/>
    <cellStyle name="Output Column Headings 2 5" xfId="11741"/>
    <cellStyle name="Output Column Headings 2 6" xfId="11742"/>
    <cellStyle name="Output Column Headings 3" xfId="1960"/>
    <cellStyle name="Output Column Headings 4" xfId="1961"/>
    <cellStyle name="Output Column Headings 4 2" xfId="11743"/>
    <cellStyle name="Output Column Headings 5" xfId="1962"/>
    <cellStyle name="Output Column Headings 6" xfId="1963"/>
    <cellStyle name="Output Column Headings 7" xfId="1964"/>
    <cellStyle name="Output Column Headings 8" xfId="11744"/>
    <cellStyle name="Output Column Headings 9" xfId="11745"/>
    <cellStyle name="Output Column Headings_d1" xfId="11746"/>
    <cellStyle name="Output Line Items" xfId="1965"/>
    <cellStyle name="OUTPUT LINE ITEMS 10" xfId="11747"/>
    <cellStyle name="OUTPUT LINE ITEMS 10 2" xfId="11748"/>
    <cellStyle name="OUTPUT LINE ITEMS 10 3" xfId="11749"/>
    <cellStyle name="Output Line Items 11" xfId="11750"/>
    <cellStyle name="Output Line Items 2" xfId="1966"/>
    <cellStyle name="Output Line Items 2 2" xfId="11751"/>
    <cellStyle name="Output Line Items 2 2 2" xfId="11752"/>
    <cellStyle name="Output Line Items 2 2 3" xfId="11753"/>
    <cellStyle name="Output Line Items 2 3" xfId="11754"/>
    <cellStyle name="OUTPUT LINE ITEMS 2 3 2" xfId="11755"/>
    <cellStyle name="Output Line Items 2 3 3" xfId="11756"/>
    <cellStyle name="Output Line Items 2 3 4" xfId="11757"/>
    <cellStyle name="Output Line Items 2 3 5" xfId="11758"/>
    <cellStyle name="Output Line Items 2 3 6" xfId="11759"/>
    <cellStyle name="Output Line Items 2 3 7" xfId="11760"/>
    <cellStyle name="OUTPUT LINE ITEMS 2 4" xfId="11761"/>
    <cellStyle name="Output Line Items 2 5" xfId="11762"/>
    <cellStyle name="Output Line Items 2 6" xfId="11763"/>
    <cellStyle name="Output Line Items 2 7" xfId="11764"/>
    <cellStyle name="Output Line Items 3" xfId="1967"/>
    <cellStyle name="Output Line Items 4" xfId="1968"/>
    <cellStyle name="Output Line Items 4 2" xfId="11765"/>
    <cellStyle name="Output Line Items 5" xfId="1969"/>
    <cellStyle name="Output Line Items 6" xfId="1970"/>
    <cellStyle name="Output Line Items 7" xfId="1971"/>
    <cellStyle name="Output Line Items 8" xfId="11766"/>
    <cellStyle name="Output Line Items 9" xfId="11767"/>
    <cellStyle name="Output Line Items_d1" xfId="11768"/>
    <cellStyle name="Output Report Heading" xfId="1972"/>
    <cellStyle name="OUTPUT REPORT HEADING 10" xfId="11769"/>
    <cellStyle name="OUTPUT REPORT HEADING 10 2" xfId="11770"/>
    <cellStyle name="OUTPUT REPORT HEADING 10 3" xfId="11771"/>
    <cellStyle name="Output Report Heading 11" xfId="11772"/>
    <cellStyle name="Output Report Heading 2" xfId="1973"/>
    <cellStyle name="Output Report Heading 2 2" xfId="11773"/>
    <cellStyle name="OUTPUT REPORT HEADING 2 2 2" xfId="11774"/>
    <cellStyle name="Output Report Heading 2 2 3" xfId="11775"/>
    <cellStyle name="Output Report Heading 2 2 4" xfId="11776"/>
    <cellStyle name="Output Report Heading 2 2 5" xfId="11777"/>
    <cellStyle name="Output Report Heading 2 2 6" xfId="11778"/>
    <cellStyle name="Output Report Heading 2 2 7" xfId="11779"/>
    <cellStyle name="OUTPUT REPORT HEADING 2 3" xfId="11780"/>
    <cellStyle name="OUTPUT REPORT HEADING 2 3 2" xfId="11781"/>
    <cellStyle name="Output Report Heading 2 4" xfId="11782"/>
    <cellStyle name="Output Report Heading 2 5" xfId="11783"/>
    <cellStyle name="Output Report Heading 2 6" xfId="11784"/>
    <cellStyle name="Output Report Heading 3" xfId="1974"/>
    <cellStyle name="Output Report Heading 4" xfId="1975"/>
    <cellStyle name="Output Report Heading 4 2" xfId="11785"/>
    <cellStyle name="Output Report Heading 5" xfId="1976"/>
    <cellStyle name="Output Report Heading 6" xfId="1977"/>
    <cellStyle name="Output Report Heading 7" xfId="1978"/>
    <cellStyle name="Output Report Heading 8" xfId="11786"/>
    <cellStyle name="Output Report Heading 9" xfId="11787"/>
    <cellStyle name="Output Report Heading_d1" xfId="11788"/>
    <cellStyle name="Output Report Title" xfId="1979"/>
    <cellStyle name="OUTPUT REPORT TITLE 10" xfId="11789"/>
    <cellStyle name="OUTPUT REPORT TITLE 10 2" xfId="11790"/>
    <cellStyle name="OUTPUT REPORT TITLE 10 3" xfId="11791"/>
    <cellStyle name="OUTPUT REPORT TITLE 11" xfId="11792"/>
    <cellStyle name="Output Report Title 12" xfId="11793"/>
    <cellStyle name="Output Report Title 2" xfId="1980"/>
    <cellStyle name="Output Report Title 2 2" xfId="11794"/>
    <cellStyle name="OUTPUT REPORT TITLE 2 2 2" xfId="11795"/>
    <cellStyle name="Output Report Title 2 2 3" xfId="11796"/>
    <cellStyle name="Output Report Title 2 2 4" xfId="11797"/>
    <cellStyle name="Output Report Title 2 2 5" xfId="11798"/>
    <cellStyle name="Output Report Title 2 2 6" xfId="11799"/>
    <cellStyle name="Output Report Title 2 2 7" xfId="11800"/>
    <cellStyle name="OUTPUT REPORT TITLE 2 3" xfId="11801"/>
    <cellStyle name="OUTPUT REPORT TITLE 2 3 2" xfId="11802"/>
    <cellStyle name="Output Report Title 2 4" xfId="11803"/>
    <cellStyle name="Output Report Title 2 5" xfId="11804"/>
    <cellStyle name="Output Report Title 2 6" xfId="11805"/>
    <cellStyle name="Output Report Title 3" xfId="1981"/>
    <cellStyle name="Output Report Title 4" xfId="1982"/>
    <cellStyle name="Output Report Title 4 2" xfId="11806"/>
    <cellStyle name="Output Report Title 5" xfId="1983"/>
    <cellStyle name="Output Report Title 6" xfId="1984"/>
    <cellStyle name="Output Report Title 7" xfId="1985"/>
    <cellStyle name="Output Report Title 8" xfId="11807"/>
    <cellStyle name="Output Report Title 9" xfId="11808"/>
    <cellStyle name="Output Report Title_d1" xfId="11809"/>
    <cellStyle name="Percent" xfId="3" builtinId="5"/>
    <cellStyle name="Percent 10" xfId="11810"/>
    <cellStyle name="Percent 10 2" xfId="11811"/>
    <cellStyle name="Percent 10 2 2" xfId="11812"/>
    <cellStyle name="Percent 10 2 3" xfId="11813"/>
    <cellStyle name="Percent 10 3" xfId="11814"/>
    <cellStyle name="Percent 10 3 2" xfId="11815"/>
    <cellStyle name="Percent 10 4" xfId="11816"/>
    <cellStyle name="Percent 10 5" xfId="11817"/>
    <cellStyle name="Percent 10 6" xfId="11818"/>
    <cellStyle name="Percent 11" xfId="11819"/>
    <cellStyle name="Percent 11 2" xfId="11820"/>
    <cellStyle name="Percent 11 3" xfId="11821"/>
    <cellStyle name="Percent 12" xfId="11822"/>
    <cellStyle name="Percent 13" xfId="11823"/>
    <cellStyle name="Percent 13 2" xfId="11824"/>
    <cellStyle name="Percent 14" xfId="11825"/>
    <cellStyle name="Percent 15" xfId="11826"/>
    <cellStyle name="Percent 2" xfId="1986"/>
    <cellStyle name="Percent 2 2" xfId="1987"/>
    <cellStyle name="Percent 2 2 2" xfId="11827"/>
    <cellStyle name="Percent 2 2 2 2" xfId="11828"/>
    <cellStyle name="Percent 2 2 2 2 2" xfId="11829"/>
    <cellStyle name="Percent 2 2 2 2 2 2" xfId="11830"/>
    <cellStyle name="Percent 2 2 2 2 2 2 2" xfId="11831"/>
    <cellStyle name="Percent 2 2 2 2 2 3" xfId="11832"/>
    <cellStyle name="Percent 2 2 2 2 3" xfId="11833"/>
    <cellStyle name="Percent 2 2 2 2 3 2" xfId="11834"/>
    <cellStyle name="Percent 2 2 2 2 4" xfId="11835"/>
    <cellStyle name="Percent 2 2 2 3" xfId="11836"/>
    <cellStyle name="Percent 2 2 2 3 2" xfId="11837"/>
    <cellStyle name="Percent 2 2 2 3 2 2" xfId="11838"/>
    <cellStyle name="Percent 2 2 2 3 3" xfId="11839"/>
    <cellStyle name="Percent 2 2 2 4" xfId="11840"/>
    <cellStyle name="Percent 2 2 2 4 2" xfId="11841"/>
    <cellStyle name="Percent 2 2 2 5" xfId="11842"/>
    <cellStyle name="Percent 2 2 3" xfId="11843"/>
    <cellStyle name="Percent 2 2 3 2" xfId="11844"/>
    <cellStyle name="Percent 2 2 3 2 2" xfId="11845"/>
    <cellStyle name="Percent 2 2 3 2 2 2" xfId="11846"/>
    <cellStyle name="Percent 2 2 3 2 3" xfId="11847"/>
    <cellStyle name="Percent 2 2 3 3" xfId="11848"/>
    <cellStyle name="Percent 2 2 3 3 2" xfId="11849"/>
    <cellStyle name="Percent 2 2 3 4" xfId="11850"/>
    <cellStyle name="Percent 2 2 4" xfId="11851"/>
    <cellStyle name="Percent 2 2 4 2" xfId="11852"/>
    <cellStyle name="Percent 2 2 4 2 2" xfId="11853"/>
    <cellStyle name="Percent 2 2 4 3" xfId="11854"/>
    <cellStyle name="Percent 2 2 5" xfId="11855"/>
    <cellStyle name="Percent 2 2 5 2" xfId="11856"/>
    <cellStyle name="Percent 2 2 6" xfId="11857"/>
    <cellStyle name="Percent 2 2 7" xfId="11858"/>
    <cellStyle name="Percent 2 3" xfId="1988"/>
    <cellStyle name="Percent 2 3 2" xfId="11859"/>
    <cellStyle name="Percent 2 3 2 2" xfId="11860"/>
    <cellStyle name="Percent 2 3 2 2 2" xfId="11861"/>
    <cellStyle name="Percent 2 3 2 3" xfId="11862"/>
    <cellStyle name="Percent 2 3 2 4" xfId="11863"/>
    <cellStyle name="Percent 2 3 3" xfId="11864"/>
    <cellStyle name="Percent 2 3 3 2" xfId="11865"/>
    <cellStyle name="Percent 2 3 4" xfId="11866"/>
    <cellStyle name="Percent 2 3 5" xfId="11867"/>
    <cellStyle name="Percent 2 4" xfId="1989"/>
    <cellStyle name="Percent 2 4 2" xfId="11868"/>
    <cellStyle name="Percent 2 5" xfId="1990"/>
    <cellStyle name="Percent 3" xfId="2104"/>
    <cellStyle name="Percent 3 10" xfId="11869"/>
    <cellStyle name="Percent 3 2" xfId="11870"/>
    <cellStyle name="Percent 3 2 2" xfId="11871"/>
    <cellStyle name="Percent 3 2 2 2" xfId="11872"/>
    <cellStyle name="Percent 3 2 2 2 2" xfId="11873"/>
    <cellStyle name="Percent 3 2 2 2 2 2" xfId="11874"/>
    <cellStyle name="Percent 3 2 2 2 2 2 2" xfId="11875"/>
    <cellStyle name="Percent 3 2 2 2 2 2 2 2" xfId="11876"/>
    <cellStyle name="Percent 3 2 2 2 2 2 3" xfId="11877"/>
    <cellStyle name="Percent 3 2 2 2 2 3" xfId="11878"/>
    <cellStyle name="Percent 3 2 2 2 2 3 2" xfId="11879"/>
    <cellStyle name="Percent 3 2 2 2 2 4" xfId="11880"/>
    <cellStyle name="Percent 3 2 2 2 3" xfId="11881"/>
    <cellStyle name="Percent 3 2 2 2 3 2" xfId="11882"/>
    <cellStyle name="Percent 3 2 2 2 3 2 2" xfId="11883"/>
    <cellStyle name="Percent 3 2 2 2 3 3" xfId="11884"/>
    <cellStyle name="Percent 3 2 2 2 4" xfId="11885"/>
    <cellStyle name="Percent 3 2 2 2 4 2" xfId="11886"/>
    <cellStyle name="Percent 3 2 2 2 5" xfId="11887"/>
    <cellStyle name="Percent 3 2 2 2 6" xfId="11888"/>
    <cellStyle name="Percent 3 2 2 3" xfId="11889"/>
    <cellStyle name="Percent 3 2 2 3 2" xfId="11890"/>
    <cellStyle name="Percent 3 2 2 3 2 2" xfId="11891"/>
    <cellStyle name="Percent 3 2 2 3 2 2 2" xfId="11892"/>
    <cellStyle name="Percent 3 2 2 3 2 3" xfId="11893"/>
    <cellStyle name="Percent 3 2 2 3 3" xfId="11894"/>
    <cellStyle name="Percent 3 2 2 3 3 2" xfId="11895"/>
    <cellStyle name="Percent 3 2 2 3 4" xfId="11896"/>
    <cellStyle name="Percent 3 2 2 4" xfId="11897"/>
    <cellStyle name="Percent 3 2 2 4 2" xfId="11898"/>
    <cellStyle name="Percent 3 2 2 4 2 2" xfId="11899"/>
    <cellStyle name="Percent 3 2 2 4 3" xfId="11900"/>
    <cellStyle name="Percent 3 2 2 5" xfId="11901"/>
    <cellStyle name="Percent 3 2 2 5 2" xfId="11902"/>
    <cellStyle name="Percent 3 2 2 6" xfId="11903"/>
    <cellStyle name="Percent 3 2 2 7" xfId="11904"/>
    <cellStyle name="Percent 3 2 3" xfId="11905"/>
    <cellStyle name="Percent 3 2 3 2" xfId="11906"/>
    <cellStyle name="Percent 3 2 3 2 2" xfId="11907"/>
    <cellStyle name="Percent 3 2 3 2 2 2" xfId="11908"/>
    <cellStyle name="Percent 3 2 3 2 2 2 2" xfId="11909"/>
    <cellStyle name="Percent 3 2 3 2 2 3" xfId="11910"/>
    <cellStyle name="Percent 3 2 3 2 3" xfId="11911"/>
    <cellStyle name="Percent 3 2 3 2 3 2" xfId="11912"/>
    <cellStyle name="Percent 3 2 3 2 4" xfId="11913"/>
    <cellStyle name="Percent 3 2 3 3" xfId="11914"/>
    <cellStyle name="Percent 3 2 3 3 2" xfId="11915"/>
    <cellStyle name="Percent 3 2 3 3 2 2" xfId="11916"/>
    <cellStyle name="Percent 3 2 3 3 3" xfId="11917"/>
    <cellStyle name="Percent 3 2 3 4" xfId="11918"/>
    <cellStyle name="Percent 3 2 3 4 2" xfId="11919"/>
    <cellStyle name="Percent 3 2 3 5" xfId="11920"/>
    <cellStyle name="Percent 3 2 3 6" xfId="11921"/>
    <cellStyle name="Percent 3 2 4" xfId="11922"/>
    <cellStyle name="Percent 3 2 4 2" xfId="11923"/>
    <cellStyle name="Percent 3 2 4 2 2" xfId="11924"/>
    <cellStyle name="Percent 3 2 4 2 2 2" xfId="11925"/>
    <cellStyle name="Percent 3 2 4 2 2 2 2" xfId="11926"/>
    <cellStyle name="Percent 3 2 4 2 2 3" xfId="11927"/>
    <cellStyle name="Percent 3 2 4 2 3" xfId="11928"/>
    <cellStyle name="Percent 3 2 4 2 3 2" xfId="11929"/>
    <cellStyle name="Percent 3 2 4 2 4" xfId="11930"/>
    <cellStyle name="Percent 3 2 4 3" xfId="11931"/>
    <cellStyle name="Percent 3 2 4 3 2" xfId="11932"/>
    <cellStyle name="Percent 3 2 4 3 2 2" xfId="11933"/>
    <cellStyle name="Percent 3 2 4 3 3" xfId="11934"/>
    <cellStyle name="Percent 3 2 4 4" xfId="11935"/>
    <cellStyle name="Percent 3 2 4 4 2" xfId="11936"/>
    <cellStyle name="Percent 3 2 4 5" xfId="11937"/>
    <cellStyle name="Percent 3 2 5" xfId="11938"/>
    <cellStyle name="Percent 3 2 5 2" xfId="11939"/>
    <cellStyle name="Percent 3 2 5 2 2" xfId="11940"/>
    <cellStyle name="Percent 3 2 5 2 2 2" xfId="11941"/>
    <cellStyle name="Percent 3 2 5 2 3" xfId="11942"/>
    <cellStyle name="Percent 3 2 5 3" xfId="11943"/>
    <cellStyle name="Percent 3 2 5 3 2" xfId="11944"/>
    <cellStyle name="Percent 3 2 5 4" xfId="11945"/>
    <cellStyle name="Percent 3 2 6" xfId="11946"/>
    <cellStyle name="Percent 3 2 6 2" xfId="11947"/>
    <cellStyle name="Percent 3 2 6 2 2" xfId="11948"/>
    <cellStyle name="Percent 3 2 6 3" xfId="11949"/>
    <cellStyle name="Percent 3 2 7" xfId="11950"/>
    <cellStyle name="Percent 3 2 7 2" xfId="11951"/>
    <cellStyle name="Percent 3 2 8" xfId="11952"/>
    <cellStyle name="Percent 3 2 9" xfId="11953"/>
    <cellStyle name="Percent 3 3" xfId="11954"/>
    <cellStyle name="Percent 3 3 2" xfId="11955"/>
    <cellStyle name="Percent 3 3 2 2" xfId="11956"/>
    <cellStyle name="Percent 3 3 2 2 2" xfId="11957"/>
    <cellStyle name="Percent 3 3 2 2 2 2" xfId="11958"/>
    <cellStyle name="Percent 3 3 2 2 2 2 2" xfId="11959"/>
    <cellStyle name="Percent 3 3 2 2 2 3" xfId="11960"/>
    <cellStyle name="Percent 3 3 2 2 3" xfId="11961"/>
    <cellStyle name="Percent 3 3 2 2 3 2" xfId="11962"/>
    <cellStyle name="Percent 3 3 2 2 4" xfId="11963"/>
    <cellStyle name="Percent 3 3 2 3" xfId="11964"/>
    <cellStyle name="Percent 3 3 2 3 2" xfId="11965"/>
    <cellStyle name="Percent 3 3 2 3 2 2" xfId="11966"/>
    <cellStyle name="Percent 3 3 2 3 3" xfId="11967"/>
    <cellStyle name="Percent 3 3 2 4" xfId="11968"/>
    <cellStyle name="Percent 3 3 2 4 2" xfId="11969"/>
    <cellStyle name="Percent 3 3 2 5" xfId="11970"/>
    <cellStyle name="Percent 3 3 3" xfId="11971"/>
    <cellStyle name="Percent 3 3 3 2" xfId="11972"/>
    <cellStyle name="Percent 3 3 3 2 2" xfId="11973"/>
    <cellStyle name="Percent 3 3 3 2 2 2" xfId="11974"/>
    <cellStyle name="Percent 3 3 3 2 3" xfId="11975"/>
    <cellStyle name="Percent 3 3 3 3" xfId="11976"/>
    <cellStyle name="Percent 3 3 3 3 2" xfId="11977"/>
    <cellStyle name="Percent 3 3 3 4" xfId="11978"/>
    <cellStyle name="Percent 3 3 4" xfId="11979"/>
    <cellStyle name="Percent 3 3 4 2" xfId="11980"/>
    <cellStyle name="Percent 3 3 4 2 2" xfId="11981"/>
    <cellStyle name="Percent 3 3 4 3" xfId="11982"/>
    <cellStyle name="Percent 3 3 5" xfId="11983"/>
    <cellStyle name="Percent 3 3 5 2" xfId="11984"/>
    <cellStyle name="Percent 3 3 6" xfId="11985"/>
    <cellStyle name="Percent 3 3 7" xfId="11986"/>
    <cellStyle name="Percent 3 4" xfId="11987"/>
    <cellStyle name="Percent 3 4 2" xfId="11988"/>
    <cellStyle name="Percent 3 4 2 2" xfId="11989"/>
    <cellStyle name="Percent 3 4 2 2 2" xfId="11990"/>
    <cellStyle name="Percent 3 4 2 2 2 2" xfId="11991"/>
    <cellStyle name="Percent 3 4 2 2 3" xfId="11992"/>
    <cellStyle name="Percent 3 4 2 3" xfId="11993"/>
    <cellStyle name="Percent 3 4 2 3 2" xfId="11994"/>
    <cellStyle name="Percent 3 4 2 4" xfId="11995"/>
    <cellStyle name="Percent 3 4 2 5" xfId="11996"/>
    <cellStyle name="Percent 3 4 3" xfId="11997"/>
    <cellStyle name="Percent 3 4 3 2" xfId="11998"/>
    <cellStyle name="Percent 3 4 3 2 2" xfId="11999"/>
    <cellStyle name="Percent 3 4 3 3" xfId="12000"/>
    <cellStyle name="Percent 3 4 4" xfId="12001"/>
    <cellStyle name="Percent 3 4 4 2" xfId="12002"/>
    <cellStyle name="Percent 3 4 5" xfId="12003"/>
    <cellStyle name="Percent 3 4 6" xfId="12004"/>
    <cellStyle name="Percent 3 5" xfId="12005"/>
    <cellStyle name="Percent 3 5 2" xfId="12006"/>
    <cellStyle name="Percent 3 5 2 2" xfId="12007"/>
    <cellStyle name="Percent 3 5 2 2 2" xfId="12008"/>
    <cellStyle name="Percent 3 5 2 2 2 2" xfId="12009"/>
    <cellStyle name="Percent 3 5 2 2 3" xfId="12010"/>
    <cellStyle name="Percent 3 5 2 3" xfId="12011"/>
    <cellStyle name="Percent 3 5 2 3 2" xfId="12012"/>
    <cellStyle name="Percent 3 5 2 4" xfId="12013"/>
    <cellStyle name="Percent 3 5 3" xfId="12014"/>
    <cellStyle name="Percent 3 5 3 2" xfId="12015"/>
    <cellStyle name="Percent 3 5 3 2 2" xfId="12016"/>
    <cellStyle name="Percent 3 5 3 3" xfId="12017"/>
    <cellStyle name="Percent 3 5 4" xfId="12018"/>
    <cellStyle name="Percent 3 5 4 2" xfId="12019"/>
    <cellStyle name="Percent 3 5 5" xfId="12020"/>
    <cellStyle name="Percent 3 5 6" xfId="12021"/>
    <cellStyle name="Percent 3 6" xfId="12022"/>
    <cellStyle name="Percent 3 6 2" xfId="12023"/>
    <cellStyle name="Percent 3 6 2 2" xfId="12024"/>
    <cellStyle name="Percent 3 6 2 2 2" xfId="12025"/>
    <cellStyle name="Percent 3 6 2 3" xfId="12026"/>
    <cellStyle name="Percent 3 6 3" xfId="12027"/>
    <cellStyle name="Percent 3 6 3 2" xfId="12028"/>
    <cellStyle name="Percent 3 6 4" xfId="12029"/>
    <cellStyle name="Percent 3 7" xfId="12030"/>
    <cellStyle name="Percent 3 7 2" xfId="12031"/>
    <cellStyle name="Percent 3 7 2 2" xfId="12032"/>
    <cellStyle name="Percent 3 7 3" xfId="12033"/>
    <cellStyle name="Percent 3 8" xfId="12034"/>
    <cellStyle name="Percent 3 8 2" xfId="12035"/>
    <cellStyle name="Percent 3 9" xfId="12036"/>
    <cellStyle name="Percent 4" xfId="12037"/>
    <cellStyle name="Percent 4 2" xfId="12038"/>
    <cellStyle name="Percent 4 2 2" xfId="12039"/>
    <cellStyle name="Percent 4 2 2 2" xfId="12040"/>
    <cellStyle name="Percent 4 2 2 2 2" xfId="12041"/>
    <cellStyle name="Percent 4 2 2 2 2 2" xfId="12042"/>
    <cellStyle name="Percent 4 2 2 2 3" xfId="12043"/>
    <cellStyle name="Percent 4 2 2 2 4" xfId="12044"/>
    <cellStyle name="Percent 4 2 2 3" xfId="12045"/>
    <cellStyle name="Percent 4 2 2 3 2" xfId="12046"/>
    <cellStyle name="Percent 4 2 2 4" xfId="12047"/>
    <cellStyle name="Percent 4 2 2 5" xfId="12048"/>
    <cellStyle name="Percent 4 2 3" xfId="12049"/>
    <cellStyle name="Percent 4 2 3 2" xfId="12050"/>
    <cellStyle name="Percent 4 2 3 2 2" xfId="12051"/>
    <cellStyle name="Percent 4 2 3 3" xfId="12052"/>
    <cellStyle name="Percent 4 2 3 4" xfId="12053"/>
    <cellStyle name="Percent 4 2 4" xfId="12054"/>
    <cellStyle name="Percent 4 2 4 2" xfId="12055"/>
    <cellStyle name="Percent 4 2 5" xfId="12056"/>
    <cellStyle name="Percent 4 2 6" xfId="12057"/>
    <cellStyle name="Percent 4 3" xfId="12058"/>
    <cellStyle name="Percent 4 3 2" xfId="12059"/>
    <cellStyle name="Percent 4 3 2 2" xfId="12060"/>
    <cellStyle name="Percent 4 3 2 2 2" xfId="12061"/>
    <cellStyle name="Percent 4 3 2 3" xfId="12062"/>
    <cellStyle name="Percent 4 3 3" xfId="12063"/>
    <cellStyle name="Percent 4 3 3 2" xfId="12064"/>
    <cellStyle name="Percent 4 3 4" xfId="12065"/>
    <cellStyle name="Percent 4 3 5" xfId="12066"/>
    <cellStyle name="Percent 4 4" xfId="12067"/>
    <cellStyle name="Percent 4 4 2" xfId="12068"/>
    <cellStyle name="Percent 4 4 2 2" xfId="12069"/>
    <cellStyle name="Percent 4 4 3" xfId="12070"/>
    <cellStyle name="Percent 4 5" xfId="12071"/>
    <cellStyle name="Percent 4 5 2" xfId="12072"/>
    <cellStyle name="Percent 4 6" xfId="12073"/>
    <cellStyle name="Percent 4 7" xfId="12074"/>
    <cellStyle name="Percent 4 8" xfId="12075"/>
    <cellStyle name="Percent 5" xfId="12076"/>
    <cellStyle name="Percent 5 2" xfId="12077"/>
    <cellStyle name="Percent 5 2 2" xfId="12078"/>
    <cellStyle name="Percent 5 3" xfId="12079"/>
    <cellStyle name="Percent 6" xfId="12080"/>
    <cellStyle name="Percent 6 2" xfId="12081"/>
    <cellStyle name="Percent 6 3" xfId="12082"/>
    <cellStyle name="Percent 7" xfId="12083"/>
    <cellStyle name="Percent 7 2" xfId="12084"/>
    <cellStyle name="Percent 7 2 2" xfId="12085"/>
    <cellStyle name="Percent 7 2 2 2" xfId="12086"/>
    <cellStyle name="Percent 7 2 2 3" xfId="12087"/>
    <cellStyle name="Percent 7 2 3" xfId="12088"/>
    <cellStyle name="Percent 7 2 4" xfId="12089"/>
    <cellStyle name="Percent 7 3" xfId="12090"/>
    <cellStyle name="Percent 7 3 2" xfId="12091"/>
    <cellStyle name="Percent 7 3 3" xfId="12092"/>
    <cellStyle name="Percent 7 4" xfId="12093"/>
    <cellStyle name="Percent 7 5" xfId="12094"/>
    <cellStyle name="Percent 7 6" xfId="12095"/>
    <cellStyle name="Percent 8" xfId="12096"/>
    <cellStyle name="Percent 8 2" xfId="12097"/>
    <cellStyle name="Percent 8 2 2" xfId="12098"/>
    <cellStyle name="Percent 8 2 2 2" xfId="12099"/>
    <cellStyle name="Percent 8 2 3" xfId="12100"/>
    <cellStyle name="Percent 8 3" xfId="12101"/>
    <cellStyle name="Percent 8 3 2" xfId="12102"/>
    <cellStyle name="Percent 8 4" xfId="12103"/>
    <cellStyle name="Percent 8 5" xfId="12104"/>
    <cellStyle name="Percent 8 6" xfId="12105"/>
    <cellStyle name="Percent 9" xfId="12106"/>
    <cellStyle name="Percent 9 2" xfId="12107"/>
    <cellStyle name="Percent 9 2 2" xfId="12108"/>
    <cellStyle name="Percent 9 2 3" xfId="12109"/>
    <cellStyle name="Percent 9 3" xfId="12110"/>
    <cellStyle name="Percent 9 3 2" xfId="12111"/>
    <cellStyle name="Percent 9 4" xfId="12112"/>
    <cellStyle name="Percent 9 5" xfId="12113"/>
    <cellStyle name="Percent 9 6" xfId="12114"/>
    <cellStyle name="Project Overview Data Entry" xfId="12115"/>
    <cellStyle name="Project Overview Data Entry 2" xfId="12116"/>
    <cellStyle name="PSChar" xfId="12117"/>
    <cellStyle name="PSDate" xfId="12118"/>
    <cellStyle name="PSDec" xfId="12119"/>
    <cellStyle name="PSHeading" xfId="12120"/>
    <cellStyle name="PSInt" xfId="12121"/>
    <cellStyle name="PSSpacer" xfId="12122"/>
    <cellStyle name="ReportTitlePrompt" xfId="12123"/>
    <cellStyle name="ReportTitlePrompt 2" xfId="12124"/>
    <cellStyle name="ReportTitlePrompt 2 2" xfId="12125"/>
    <cellStyle name="ReportTitlePrompt 2 3" xfId="12126"/>
    <cellStyle name="ReportTitlePrompt 3" xfId="12127"/>
    <cellStyle name="ReportTitlePrompt 4" xfId="12128"/>
    <cellStyle name="ReportTitleValue" xfId="12129"/>
    <cellStyle name="ReportTitleValue 2" xfId="12130"/>
    <cellStyle name="ReportTitleValue 2 2" xfId="12131"/>
    <cellStyle name="Reset  - Style4" xfId="12132"/>
    <cellStyle name="RowAcctAbovePrompt" xfId="12133"/>
    <cellStyle name="RowAcctAbovePrompt 2" xfId="12134"/>
    <cellStyle name="RowAcctAbovePrompt 2 2" xfId="12135"/>
    <cellStyle name="RowAcctAbovePrompt 2 3" xfId="12136"/>
    <cellStyle name="RowAcctAbovePrompt 3" xfId="12137"/>
    <cellStyle name="RowAcctSOBAbovePrompt" xfId="12138"/>
    <cellStyle name="RowAcctSOBAbovePrompt 2" xfId="12139"/>
    <cellStyle name="RowAcctSOBAbovePrompt 2 2" xfId="12140"/>
    <cellStyle name="RowAcctSOBAbovePrompt 2 3" xfId="12141"/>
    <cellStyle name="RowAcctSOBAbovePrompt 3" xfId="12142"/>
    <cellStyle name="RowAcctSOBValue" xfId="12143"/>
    <cellStyle name="RowAcctSOBValue 2" xfId="12144"/>
    <cellStyle name="RowAcctSOBValue 2 2" xfId="12145"/>
    <cellStyle name="RowAcctSOBValue 2 3" xfId="12146"/>
    <cellStyle name="RowAcctSOBValue 3" xfId="12147"/>
    <cellStyle name="RowAcctValue" xfId="12148"/>
    <cellStyle name="RowAcctValue 2" xfId="12149"/>
    <cellStyle name="RowAcctValue 2 2" xfId="12150"/>
    <cellStyle name="RowAttrAbovePrompt" xfId="12151"/>
    <cellStyle name="RowAttrAbovePrompt 2" xfId="12152"/>
    <cellStyle name="RowAttrAbovePrompt 2 2" xfId="12153"/>
    <cellStyle name="RowAttrAbovePrompt 2 3" xfId="12154"/>
    <cellStyle name="RowAttrAbovePrompt 3" xfId="12155"/>
    <cellStyle name="RowAttrValue" xfId="12156"/>
    <cellStyle name="RowAttrValue 2" xfId="12157"/>
    <cellStyle name="RowAttrValue 2 2" xfId="12158"/>
    <cellStyle name="RowColSetAbovePrompt" xfId="12159"/>
    <cellStyle name="RowColSetAbovePrompt 2" xfId="12160"/>
    <cellStyle name="RowColSetAbovePrompt 2 2" xfId="12161"/>
    <cellStyle name="RowColSetAbovePrompt 2 3" xfId="12162"/>
    <cellStyle name="RowColSetAbovePrompt 3" xfId="12163"/>
    <cellStyle name="RowColSetLeftPrompt" xfId="12164"/>
    <cellStyle name="RowColSetLeftPrompt 2" xfId="12165"/>
    <cellStyle name="RowColSetLeftPrompt 2 2" xfId="12166"/>
    <cellStyle name="RowColSetLeftPrompt 2 3" xfId="12167"/>
    <cellStyle name="RowColSetLeftPrompt 3" xfId="12168"/>
    <cellStyle name="RowColSetValue" xfId="12169"/>
    <cellStyle name="RowColSetValue 2" xfId="12170"/>
    <cellStyle name="RowColSetValue 2 2" xfId="12171"/>
    <cellStyle name="RowColSetValue 3" xfId="12172"/>
    <cellStyle name="RowLeftPrompt" xfId="12173"/>
    <cellStyle name="RowLeftPrompt 2" xfId="12174"/>
    <cellStyle name="RowLeftPrompt 2 2" xfId="12175"/>
    <cellStyle name="RowLeftPrompt 2 3" xfId="12176"/>
    <cellStyle name="RowLeftPrompt 3" xfId="12177"/>
    <cellStyle name="SampleUsingFormatMask" xfId="12178"/>
    <cellStyle name="SampleUsingFormatMask 2" xfId="12179"/>
    <cellStyle name="SampleUsingFormatMask 2 2" xfId="12180"/>
    <cellStyle name="SampleUsingFormatMask 2 3" xfId="12181"/>
    <cellStyle name="SampleUsingFormatMask 3" xfId="12182"/>
    <cellStyle name="SampleWithNoFormatMask" xfId="12183"/>
    <cellStyle name="SampleWithNoFormatMask 2" xfId="12184"/>
    <cellStyle name="SampleWithNoFormatMask 2 2" xfId="12185"/>
    <cellStyle name="SampleWithNoFormatMask 2 3" xfId="12186"/>
    <cellStyle name="SampleWithNoFormatMask 3" xfId="12187"/>
    <cellStyle name="SAPBEXaggData" xfId="12188"/>
    <cellStyle name="SAPBEXaggData 10" xfId="12189"/>
    <cellStyle name="SAPBEXaggData 10 2" xfId="12190"/>
    <cellStyle name="SAPBEXaggData 11" xfId="12191"/>
    <cellStyle name="SAPBEXaggData 11 2" xfId="12192"/>
    <cellStyle name="SAPBEXaggData 12" xfId="12193"/>
    <cellStyle name="SAPBEXaggData 2" xfId="12194"/>
    <cellStyle name="SAPBEXaggData 2 10" xfId="12195"/>
    <cellStyle name="SAPBEXaggData 2 10 2" xfId="12196"/>
    <cellStyle name="SAPBEXaggData 2 11" xfId="12197"/>
    <cellStyle name="SAPBEXaggData 2 2" xfId="12198"/>
    <cellStyle name="SAPBEXaggData 2 2 2" xfId="12199"/>
    <cellStyle name="SAPBEXaggData 2 3" xfId="12200"/>
    <cellStyle name="SAPBEXaggData 2 3 2" xfId="12201"/>
    <cellStyle name="SAPBEXaggData 2 4" xfId="12202"/>
    <cellStyle name="SAPBEXaggData 2 4 2" xfId="12203"/>
    <cellStyle name="SAPBEXaggData 2 5" xfId="12204"/>
    <cellStyle name="SAPBEXaggData 2 5 2" xfId="12205"/>
    <cellStyle name="SAPBEXaggData 2 6" xfId="12206"/>
    <cellStyle name="SAPBEXaggData 2 6 2" xfId="12207"/>
    <cellStyle name="SAPBEXaggData 2 7" xfId="12208"/>
    <cellStyle name="SAPBEXaggData 2 7 2" xfId="12209"/>
    <cellStyle name="SAPBEXaggData 2 8" xfId="12210"/>
    <cellStyle name="SAPBEXaggData 2 8 2" xfId="12211"/>
    <cellStyle name="SAPBEXaggData 2 9" xfId="12212"/>
    <cellStyle name="SAPBEXaggData 2 9 2" xfId="12213"/>
    <cellStyle name="SAPBEXaggData 3" xfId="12214"/>
    <cellStyle name="SAPBEXaggData 3 2" xfId="12215"/>
    <cellStyle name="SAPBEXaggData 4" xfId="12216"/>
    <cellStyle name="SAPBEXaggData 4 2" xfId="12217"/>
    <cellStyle name="SAPBEXaggData 5" xfId="12218"/>
    <cellStyle name="SAPBEXaggData 5 2" xfId="12219"/>
    <cellStyle name="SAPBEXaggData 6" xfId="12220"/>
    <cellStyle name="SAPBEXaggData 6 2" xfId="12221"/>
    <cellStyle name="SAPBEXaggData 7" xfId="12222"/>
    <cellStyle name="SAPBEXaggData 7 2" xfId="12223"/>
    <cellStyle name="SAPBEXaggData 8" xfId="12224"/>
    <cellStyle name="SAPBEXaggData 8 2" xfId="12225"/>
    <cellStyle name="SAPBEXaggData 9" xfId="12226"/>
    <cellStyle name="SAPBEXaggData 9 2" xfId="12227"/>
    <cellStyle name="SAPBEXaggDataEmph" xfId="12228"/>
    <cellStyle name="SAPBEXaggDataEmph 10" xfId="12229"/>
    <cellStyle name="SAPBEXaggDataEmph 10 2" xfId="12230"/>
    <cellStyle name="SAPBEXaggDataEmph 11" xfId="12231"/>
    <cellStyle name="SAPBEXaggDataEmph 2" xfId="12232"/>
    <cellStyle name="SAPBEXaggDataEmph 2 2" xfId="12233"/>
    <cellStyle name="SAPBEXaggDataEmph 3" xfId="12234"/>
    <cellStyle name="SAPBEXaggDataEmph 3 2" xfId="12235"/>
    <cellStyle name="SAPBEXaggDataEmph 4" xfId="12236"/>
    <cellStyle name="SAPBEXaggDataEmph 4 2" xfId="12237"/>
    <cellStyle name="SAPBEXaggDataEmph 5" xfId="12238"/>
    <cellStyle name="SAPBEXaggDataEmph 5 2" xfId="12239"/>
    <cellStyle name="SAPBEXaggDataEmph 6" xfId="12240"/>
    <cellStyle name="SAPBEXaggDataEmph 6 2" xfId="12241"/>
    <cellStyle name="SAPBEXaggDataEmph 7" xfId="12242"/>
    <cellStyle name="SAPBEXaggDataEmph 7 2" xfId="12243"/>
    <cellStyle name="SAPBEXaggDataEmph 8" xfId="12244"/>
    <cellStyle name="SAPBEXaggDataEmph 8 2" xfId="12245"/>
    <cellStyle name="SAPBEXaggDataEmph 9" xfId="12246"/>
    <cellStyle name="SAPBEXaggDataEmph 9 2" xfId="12247"/>
    <cellStyle name="SAPBEXaggItem" xfId="12248"/>
    <cellStyle name="SAPBEXaggItem 10" xfId="12249"/>
    <cellStyle name="SAPBEXaggItem 10 2" xfId="12250"/>
    <cellStyle name="SAPBEXaggItem 11" xfId="12251"/>
    <cellStyle name="SAPBEXaggItem 11 2" xfId="12252"/>
    <cellStyle name="SAPBEXaggItem 12" xfId="12253"/>
    <cellStyle name="SAPBEXaggItem 2" xfId="12254"/>
    <cellStyle name="SAPBEXaggItem 2 10" xfId="12255"/>
    <cellStyle name="SAPBEXaggItem 2 10 2" xfId="12256"/>
    <cellStyle name="SAPBEXaggItem 2 11" xfId="12257"/>
    <cellStyle name="SAPBEXaggItem 2 2" xfId="12258"/>
    <cellStyle name="SAPBEXaggItem 2 2 2" xfId="12259"/>
    <cellStyle name="SAPBEXaggItem 2 3" xfId="12260"/>
    <cellStyle name="SAPBEXaggItem 2 3 2" xfId="12261"/>
    <cellStyle name="SAPBEXaggItem 2 4" xfId="12262"/>
    <cellStyle name="SAPBEXaggItem 2 4 2" xfId="12263"/>
    <cellStyle name="SAPBEXaggItem 2 5" xfId="12264"/>
    <cellStyle name="SAPBEXaggItem 2 5 2" xfId="12265"/>
    <cellStyle name="SAPBEXaggItem 2 6" xfId="12266"/>
    <cellStyle name="SAPBEXaggItem 2 6 2" xfId="12267"/>
    <cellStyle name="SAPBEXaggItem 2 7" xfId="12268"/>
    <cellStyle name="SAPBEXaggItem 2 7 2" xfId="12269"/>
    <cellStyle name="SAPBEXaggItem 2 8" xfId="12270"/>
    <cellStyle name="SAPBEXaggItem 2 8 2" xfId="12271"/>
    <cellStyle name="SAPBEXaggItem 2 9" xfId="12272"/>
    <cellStyle name="SAPBEXaggItem 2 9 2" xfId="12273"/>
    <cellStyle name="SAPBEXaggItem 3" xfId="12274"/>
    <cellStyle name="SAPBEXaggItem 3 2" xfId="12275"/>
    <cellStyle name="SAPBEXaggItem 4" xfId="12276"/>
    <cellStyle name="SAPBEXaggItem 4 2" xfId="12277"/>
    <cellStyle name="SAPBEXaggItem 5" xfId="12278"/>
    <cellStyle name="SAPBEXaggItem 5 2" xfId="12279"/>
    <cellStyle name="SAPBEXaggItem 6" xfId="12280"/>
    <cellStyle name="SAPBEXaggItem 6 2" xfId="12281"/>
    <cellStyle name="SAPBEXaggItem 7" xfId="12282"/>
    <cellStyle name="SAPBEXaggItem 7 2" xfId="12283"/>
    <cellStyle name="SAPBEXaggItem 8" xfId="12284"/>
    <cellStyle name="SAPBEXaggItem 8 2" xfId="12285"/>
    <cellStyle name="SAPBEXaggItem 9" xfId="12286"/>
    <cellStyle name="SAPBEXaggItem 9 2" xfId="12287"/>
    <cellStyle name="SAPBEXaggItemX" xfId="12288"/>
    <cellStyle name="SAPBEXaggItemX 10" xfId="12289"/>
    <cellStyle name="SAPBEXaggItemX 10 2" xfId="12290"/>
    <cellStyle name="SAPBEXaggItemX 11" xfId="12291"/>
    <cellStyle name="SAPBEXaggItemX 11 2" xfId="12292"/>
    <cellStyle name="SAPBEXaggItemX 12" xfId="12293"/>
    <cellStyle name="SAPBEXaggItemX 2" xfId="12294"/>
    <cellStyle name="SAPBEXaggItemX 2 10" xfId="12295"/>
    <cellStyle name="SAPBEXaggItemX 2 10 2" xfId="12296"/>
    <cellStyle name="SAPBEXaggItemX 2 11" xfId="12297"/>
    <cellStyle name="SAPBEXaggItemX 2 2" xfId="12298"/>
    <cellStyle name="SAPBEXaggItemX 2 2 2" xfId="12299"/>
    <cellStyle name="SAPBEXaggItemX 2 3" xfId="12300"/>
    <cellStyle name="SAPBEXaggItemX 2 3 2" xfId="12301"/>
    <cellStyle name="SAPBEXaggItemX 2 4" xfId="12302"/>
    <cellStyle name="SAPBEXaggItemX 2 4 2" xfId="12303"/>
    <cellStyle name="SAPBEXaggItemX 2 5" xfId="12304"/>
    <cellStyle name="SAPBEXaggItemX 2 5 2" xfId="12305"/>
    <cellStyle name="SAPBEXaggItemX 2 6" xfId="12306"/>
    <cellStyle name="SAPBEXaggItemX 2 6 2" xfId="12307"/>
    <cellStyle name="SAPBEXaggItemX 2 7" xfId="12308"/>
    <cellStyle name="SAPBEXaggItemX 2 7 2" xfId="12309"/>
    <cellStyle name="SAPBEXaggItemX 2 8" xfId="12310"/>
    <cellStyle name="SAPBEXaggItemX 2 8 2" xfId="12311"/>
    <cellStyle name="SAPBEXaggItemX 2 9" xfId="12312"/>
    <cellStyle name="SAPBEXaggItemX 2 9 2" xfId="12313"/>
    <cellStyle name="SAPBEXaggItemX 3" xfId="12314"/>
    <cellStyle name="SAPBEXaggItemX 3 2" xfId="12315"/>
    <cellStyle name="SAPBEXaggItemX 4" xfId="12316"/>
    <cellStyle name="SAPBEXaggItemX 4 2" xfId="12317"/>
    <cellStyle name="SAPBEXaggItemX 5" xfId="12318"/>
    <cellStyle name="SAPBEXaggItemX 5 2" xfId="12319"/>
    <cellStyle name="SAPBEXaggItemX 6" xfId="12320"/>
    <cellStyle name="SAPBEXaggItemX 6 2" xfId="12321"/>
    <cellStyle name="SAPBEXaggItemX 7" xfId="12322"/>
    <cellStyle name="SAPBEXaggItemX 7 2" xfId="12323"/>
    <cellStyle name="SAPBEXaggItemX 8" xfId="12324"/>
    <cellStyle name="SAPBEXaggItemX 8 2" xfId="12325"/>
    <cellStyle name="SAPBEXaggItemX 9" xfId="12326"/>
    <cellStyle name="SAPBEXaggItemX 9 2" xfId="12327"/>
    <cellStyle name="SAPBEXchaText" xfId="12328"/>
    <cellStyle name="SAPBEXchaText 2" xfId="12329"/>
    <cellStyle name="SAPBEXexcBad7" xfId="12330"/>
    <cellStyle name="SAPBEXexcBad7 10" xfId="12331"/>
    <cellStyle name="SAPBEXexcBad7 10 2" xfId="12332"/>
    <cellStyle name="SAPBEXexcBad7 11" xfId="12333"/>
    <cellStyle name="SAPBEXexcBad7 11 2" xfId="12334"/>
    <cellStyle name="SAPBEXexcBad7 12" xfId="12335"/>
    <cellStyle name="SAPBEXexcBad7 2" xfId="12336"/>
    <cellStyle name="SAPBEXexcBad7 2 10" xfId="12337"/>
    <cellStyle name="SAPBEXexcBad7 2 10 2" xfId="12338"/>
    <cellStyle name="SAPBEXexcBad7 2 11" xfId="12339"/>
    <cellStyle name="SAPBEXexcBad7 2 2" xfId="12340"/>
    <cellStyle name="SAPBEXexcBad7 2 2 2" xfId="12341"/>
    <cellStyle name="SAPBEXexcBad7 2 3" xfId="12342"/>
    <cellStyle name="SAPBEXexcBad7 2 3 2" xfId="12343"/>
    <cellStyle name="SAPBEXexcBad7 2 4" xfId="12344"/>
    <cellStyle name="SAPBEXexcBad7 2 4 2" xfId="12345"/>
    <cellStyle name="SAPBEXexcBad7 2 5" xfId="12346"/>
    <cellStyle name="SAPBEXexcBad7 2 5 2" xfId="12347"/>
    <cellStyle name="SAPBEXexcBad7 2 6" xfId="12348"/>
    <cellStyle name="SAPBEXexcBad7 2 6 2" xfId="12349"/>
    <cellStyle name="SAPBEXexcBad7 2 7" xfId="12350"/>
    <cellStyle name="SAPBEXexcBad7 2 7 2" xfId="12351"/>
    <cellStyle name="SAPBEXexcBad7 2 8" xfId="12352"/>
    <cellStyle name="SAPBEXexcBad7 2 8 2" xfId="12353"/>
    <cellStyle name="SAPBEXexcBad7 2 9" xfId="12354"/>
    <cellStyle name="SAPBEXexcBad7 2 9 2" xfId="12355"/>
    <cellStyle name="SAPBEXexcBad7 3" xfId="12356"/>
    <cellStyle name="SAPBEXexcBad7 3 2" xfId="12357"/>
    <cellStyle name="SAPBEXexcBad7 4" xfId="12358"/>
    <cellStyle name="SAPBEXexcBad7 4 2" xfId="12359"/>
    <cellStyle name="SAPBEXexcBad7 5" xfId="12360"/>
    <cellStyle name="SAPBEXexcBad7 5 2" xfId="12361"/>
    <cellStyle name="SAPBEXexcBad7 6" xfId="12362"/>
    <cellStyle name="SAPBEXexcBad7 6 2" xfId="12363"/>
    <cellStyle name="SAPBEXexcBad7 7" xfId="12364"/>
    <cellStyle name="SAPBEXexcBad7 7 2" xfId="12365"/>
    <cellStyle name="SAPBEXexcBad7 8" xfId="12366"/>
    <cellStyle name="SAPBEXexcBad7 8 2" xfId="12367"/>
    <cellStyle name="SAPBEXexcBad7 9" xfId="12368"/>
    <cellStyle name="SAPBEXexcBad7 9 2" xfId="12369"/>
    <cellStyle name="SAPBEXexcBad8" xfId="12370"/>
    <cellStyle name="SAPBEXexcBad8 10" xfId="12371"/>
    <cellStyle name="SAPBEXexcBad8 10 2" xfId="12372"/>
    <cellStyle name="SAPBEXexcBad8 11" xfId="12373"/>
    <cellStyle name="SAPBEXexcBad8 2" xfId="12374"/>
    <cellStyle name="SAPBEXexcBad8 2 2" xfId="12375"/>
    <cellStyle name="SAPBEXexcBad8 3" xfId="12376"/>
    <cellStyle name="SAPBEXexcBad8 3 2" xfId="12377"/>
    <cellStyle name="SAPBEXexcBad8 4" xfId="12378"/>
    <cellStyle name="SAPBEXexcBad8 4 2" xfId="12379"/>
    <cellStyle name="SAPBEXexcBad8 5" xfId="12380"/>
    <cellStyle name="SAPBEXexcBad8 5 2" xfId="12381"/>
    <cellStyle name="SAPBEXexcBad8 6" xfId="12382"/>
    <cellStyle name="SAPBEXexcBad8 6 2" xfId="12383"/>
    <cellStyle name="SAPBEXexcBad8 7" xfId="12384"/>
    <cellStyle name="SAPBEXexcBad8 7 2" xfId="12385"/>
    <cellStyle name="SAPBEXexcBad8 8" xfId="12386"/>
    <cellStyle name="SAPBEXexcBad8 8 2" xfId="12387"/>
    <cellStyle name="SAPBEXexcBad8 9" xfId="12388"/>
    <cellStyle name="SAPBEXexcBad8 9 2" xfId="12389"/>
    <cellStyle name="SAPBEXexcBad9" xfId="12390"/>
    <cellStyle name="SAPBEXexcBad9 10" xfId="12391"/>
    <cellStyle name="SAPBEXexcBad9 10 2" xfId="12392"/>
    <cellStyle name="SAPBEXexcBad9 11" xfId="12393"/>
    <cellStyle name="SAPBEXexcBad9 2" xfId="12394"/>
    <cellStyle name="SAPBEXexcBad9 2 2" xfId="12395"/>
    <cellStyle name="SAPBEXexcBad9 3" xfId="12396"/>
    <cellStyle name="SAPBEXexcBad9 3 2" xfId="12397"/>
    <cellStyle name="SAPBEXexcBad9 4" xfId="12398"/>
    <cellStyle name="SAPBEXexcBad9 4 2" xfId="12399"/>
    <cellStyle name="SAPBEXexcBad9 5" xfId="12400"/>
    <cellStyle name="SAPBEXexcBad9 5 2" xfId="12401"/>
    <cellStyle name="SAPBEXexcBad9 6" xfId="12402"/>
    <cellStyle name="SAPBEXexcBad9 6 2" xfId="12403"/>
    <cellStyle name="SAPBEXexcBad9 7" xfId="12404"/>
    <cellStyle name="SAPBEXexcBad9 7 2" xfId="12405"/>
    <cellStyle name="SAPBEXexcBad9 8" xfId="12406"/>
    <cellStyle name="SAPBEXexcBad9 8 2" xfId="12407"/>
    <cellStyle name="SAPBEXexcBad9 9" xfId="12408"/>
    <cellStyle name="SAPBEXexcBad9 9 2" xfId="12409"/>
    <cellStyle name="SAPBEXexcCritical4" xfId="12410"/>
    <cellStyle name="SAPBEXexcCritical4 10" xfId="12411"/>
    <cellStyle name="SAPBEXexcCritical4 10 2" xfId="12412"/>
    <cellStyle name="SAPBEXexcCritical4 11" xfId="12413"/>
    <cellStyle name="SAPBEXexcCritical4 11 2" xfId="12414"/>
    <cellStyle name="SAPBEXexcCritical4 12" xfId="12415"/>
    <cellStyle name="SAPBEXexcCritical4 2" xfId="12416"/>
    <cellStyle name="SAPBEXexcCritical4 2 10" xfId="12417"/>
    <cellStyle name="SAPBEXexcCritical4 2 10 2" xfId="12418"/>
    <cellStyle name="SAPBEXexcCritical4 2 11" xfId="12419"/>
    <cellStyle name="SAPBEXexcCritical4 2 2" xfId="12420"/>
    <cellStyle name="SAPBEXexcCritical4 2 2 2" xfId="12421"/>
    <cellStyle name="SAPBEXexcCritical4 2 3" xfId="12422"/>
    <cellStyle name="SAPBEXexcCritical4 2 3 2" xfId="12423"/>
    <cellStyle name="SAPBEXexcCritical4 2 4" xfId="12424"/>
    <cellStyle name="SAPBEXexcCritical4 2 4 2" xfId="12425"/>
    <cellStyle name="SAPBEXexcCritical4 2 5" xfId="12426"/>
    <cellStyle name="SAPBEXexcCritical4 2 5 2" xfId="12427"/>
    <cellStyle name="SAPBEXexcCritical4 2 6" xfId="12428"/>
    <cellStyle name="SAPBEXexcCritical4 2 6 2" xfId="12429"/>
    <cellStyle name="SAPBEXexcCritical4 2 7" xfId="12430"/>
    <cellStyle name="SAPBEXexcCritical4 2 7 2" xfId="12431"/>
    <cellStyle name="SAPBEXexcCritical4 2 8" xfId="12432"/>
    <cellStyle name="SAPBEXexcCritical4 2 8 2" xfId="12433"/>
    <cellStyle name="SAPBEXexcCritical4 2 9" xfId="12434"/>
    <cellStyle name="SAPBEXexcCritical4 2 9 2" xfId="12435"/>
    <cellStyle name="SAPBEXexcCritical4 3" xfId="12436"/>
    <cellStyle name="SAPBEXexcCritical4 3 2" xfId="12437"/>
    <cellStyle name="SAPBEXexcCritical4 4" xfId="12438"/>
    <cellStyle name="SAPBEXexcCritical4 4 2" xfId="12439"/>
    <cellStyle name="SAPBEXexcCritical4 5" xfId="12440"/>
    <cellStyle name="SAPBEXexcCritical4 5 2" xfId="12441"/>
    <cellStyle name="SAPBEXexcCritical4 6" xfId="12442"/>
    <cellStyle name="SAPBEXexcCritical4 6 2" xfId="12443"/>
    <cellStyle name="SAPBEXexcCritical4 7" xfId="12444"/>
    <cellStyle name="SAPBEXexcCritical4 7 2" xfId="12445"/>
    <cellStyle name="SAPBEXexcCritical4 8" xfId="12446"/>
    <cellStyle name="SAPBEXexcCritical4 8 2" xfId="12447"/>
    <cellStyle name="SAPBEXexcCritical4 9" xfId="12448"/>
    <cellStyle name="SAPBEXexcCritical4 9 2" xfId="12449"/>
    <cellStyle name="SAPBEXexcCritical5" xfId="12450"/>
    <cellStyle name="SAPBEXexcCritical5 10" xfId="12451"/>
    <cellStyle name="SAPBEXexcCritical5 10 2" xfId="12452"/>
    <cellStyle name="SAPBEXexcCritical5 11" xfId="12453"/>
    <cellStyle name="SAPBEXexcCritical5 11 2" xfId="12454"/>
    <cellStyle name="SAPBEXexcCritical5 12" xfId="12455"/>
    <cellStyle name="SAPBEXexcCritical5 2" xfId="12456"/>
    <cellStyle name="SAPBEXexcCritical5 2 10" xfId="12457"/>
    <cellStyle name="SAPBEXexcCritical5 2 10 2" xfId="12458"/>
    <cellStyle name="SAPBEXexcCritical5 2 11" xfId="12459"/>
    <cellStyle name="SAPBEXexcCritical5 2 2" xfId="12460"/>
    <cellStyle name="SAPBEXexcCritical5 2 2 2" xfId="12461"/>
    <cellStyle name="SAPBEXexcCritical5 2 3" xfId="12462"/>
    <cellStyle name="SAPBEXexcCritical5 2 3 2" xfId="12463"/>
    <cellStyle name="SAPBEXexcCritical5 2 4" xfId="12464"/>
    <cellStyle name="SAPBEXexcCritical5 2 4 2" xfId="12465"/>
    <cellStyle name="SAPBEXexcCritical5 2 5" xfId="12466"/>
    <cellStyle name="SAPBEXexcCritical5 2 5 2" xfId="12467"/>
    <cellStyle name="SAPBEXexcCritical5 2 6" xfId="12468"/>
    <cellStyle name="SAPBEXexcCritical5 2 6 2" xfId="12469"/>
    <cellStyle name="SAPBEXexcCritical5 2 7" xfId="12470"/>
    <cellStyle name="SAPBEXexcCritical5 2 7 2" xfId="12471"/>
    <cellStyle name="SAPBEXexcCritical5 2 8" xfId="12472"/>
    <cellStyle name="SAPBEXexcCritical5 2 8 2" xfId="12473"/>
    <cellStyle name="SAPBEXexcCritical5 2 9" xfId="12474"/>
    <cellStyle name="SAPBEXexcCritical5 2 9 2" xfId="12475"/>
    <cellStyle name="SAPBEXexcCritical5 3" xfId="12476"/>
    <cellStyle name="SAPBEXexcCritical5 3 2" xfId="12477"/>
    <cellStyle name="SAPBEXexcCritical5 4" xfId="12478"/>
    <cellStyle name="SAPBEXexcCritical5 4 2" xfId="12479"/>
    <cellStyle name="SAPBEXexcCritical5 5" xfId="12480"/>
    <cellStyle name="SAPBEXexcCritical5 5 2" xfId="12481"/>
    <cellStyle name="SAPBEXexcCritical5 6" xfId="12482"/>
    <cellStyle name="SAPBEXexcCritical5 6 2" xfId="12483"/>
    <cellStyle name="SAPBEXexcCritical5 7" xfId="12484"/>
    <cellStyle name="SAPBEXexcCritical5 7 2" xfId="12485"/>
    <cellStyle name="SAPBEXexcCritical5 8" xfId="12486"/>
    <cellStyle name="SAPBEXexcCritical5 8 2" xfId="12487"/>
    <cellStyle name="SAPBEXexcCritical5 9" xfId="12488"/>
    <cellStyle name="SAPBEXexcCritical5 9 2" xfId="12489"/>
    <cellStyle name="SAPBEXexcCritical6" xfId="12490"/>
    <cellStyle name="SAPBEXexcCritical6 10" xfId="12491"/>
    <cellStyle name="SAPBEXexcCritical6 10 2" xfId="12492"/>
    <cellStyle name="SAPBEXexcCritical6 11" xfId="12493"/>
    <cellStyle name="SAPBEXexcCritical6 11 2" xfId="12494"/>
    <cellStyle name="SAPBEXexcCritical6 12" xfId="12495"/>
    <cellStyle name="SAPBEXexcCritical6 2" xfId="12496"/>
    <cellStyle name="SAPBEXexcCritical6 2 10" xfId="12497"/>
    <cellStyle name="SAPBEXexcCritical6 2 10 2" xfId="12498"/>
    <cellStyle name="SAPBEXexcCritical6 2 11" xfId="12499"/>
    <cellStyle name="SAPBEXexcCritical6 2 2" xfId="12500"/>
    <cellStyle name="SAPBEXexcCritical6 2 2 2" xfId="12501"/>
    <cellStyle name="SAPBEXexcCritical6 2 3" xfId="12502"/>
    <cellStyle name="SAPBEXexcCritical6 2 3 2" xfId="12503"/>
    <cellStyle name="SAPBEXexcCritical6 2 4" xfId="12504"/>
    <cellStyle name="SAPBEXexcCritical6 2 4 2" xfId="12505"/>
    <cellStyle name="SAPBEXexcCritical6 2 5" xfId="12506"/>
    <cellStyle name="SAPBEXexcCritical6 2 5 2" xfId="12507"/>
    <cellStyle name="SAPBEXexcCritical6 2 6" xfId="12508"/>
    <cellStyle name="SAPBEXexcCritical6 2 6 2" xfId="12509"/>
    <cellStyle name="SAPBEXexcCritical6 2 7" xfId="12510"/>
    <cellStyle name="SAPBEXexcCritical6 2 7 2" xfId="12511"/>
    <cellStyle name="SAPBEXexcCritical6 2 8" xfId="12512"/>
    <cellStyle name="SAPBEXexcCritical6 2 8 2" xfId="12513"/>
    <cellStyle name="SAPBEXexcCritical6 2 9" xfId="12514"/>
    <cellStyle name="SAPBEXexcCritical6 2 9 2" xfId="12515"/>
    <cellStyle name="SAPBEXexcCritical6 3" xfId="12516"/>
    <cellStyle name="SAPBEXexcCritical6 3 2" xfId="12517"/>
    <cellStyle name="SAPBEXexcCritical6 4" xfId="12518"/>
    <cellStyle name="SAPBEXexcCritical6 4 2" xfId="12519"/>
    <cellStyle name="SAPBEXexcCritical6 5" xfId="12520"/>
    <cellStyle name="SAPBEXexcCritical6 5 2" xfId="12521"/>
    <cellStyle name="SAPBEXexcCritical6 6" xfId="12522"/>
    <cellStyle name="SAPBEXexcCritical6 6 2" xfId="12523"/>
    <cellStyle name="SAPBEXexcCritical6 7" xfId="12524"/>
    <cellStyle name="SAPBEXexcCritical6 7 2" xfId="12525"/>
    <cellStyle name="SAPBEXexcCritical6 8" xfId="12526"/>
    <cellStyle name="SAPBEXexcCritical6 8 2" xfId="12527"/>
    <cellStyle name="SAPBEXexcCritical6 9" xfId="12528"/>
    <cellStyle name="SAPBEXexcCritical6 9 2" xfId="12529"/>
    <cellStyle name="SAPBEXexcGood1" xfId="12530"/>
    <cellStyle name="SAPBEXexcGood1 10" xfId="12531"/>
    <cellStyle name="SAPBEXexcGood1 10 2" xfId="12532"/>
    <cellStyle name="SAPBEXexcGood1 11" xfId="12533"/>
    <cellStyle name="SAPBEXexcGood1 2" xfId="12534"/>
    <cellStyle name="SAPBEXexcGood1 2 2" xfId="12535"/>
    <cellStyle name="SAPBEXexcGood1 3" xfId="12536"/>
    <cellStyle name="SAPBEXexcGood1 3 2" xfId="12537"/>
    <cellStyle name="SAPBEXexcGood1 4" xfId="12538"/>
    <cellStyle name="SAPBEXexcGood1 4 2" xfId="12539"/>
    <cellStyle name="SAPBEXexcGood1 5" xfId="12540"/>
    <cellStyle name="SAPBEXexcGood1 5 2" xfId="12541"/>
    <cellStyle name="SAPBEXexcGood1 6" xfId="12542"/>
    <cellStyle name="SAPBEXexcGood1 6 2" xfId="12543"/>
    <cellStyle name="SAPBEXexcGood1 7" xfId="12544"/>
    <cellStyle name="SAPBEXexcGood1 7 2" xfId="12545"/>
    <cellStyle name="SAPBEXexcGood1 8" xfId="12546"/>
    <cellStyle name="SAPBEXexcGood1 8 2" xfId="12547"/>
    <cellStyle name="SAPBEXexcGood1 9" xfId="12548"/>
    <cellStyle name="SAPBEXexcGood1 9 2" xfId="12549"/>
    <cellStyle name="SAPBEXexcGood2" xfId="12550"/>
    <cellStyle name="SAPBEXexcGood2 10" xfId="12551"/>
    <cellStyle name="SAPBEXexcGood2 10 2" xfId="12552"/>
    <cellStyle name="SAPBEXexcGood2 11" xfId="12553"/>
    <cellStyle name="SAPBEXexcGood2 2" xfId="12554"/>
    <cellStyle name="SAPBEXexcGood2 2 2" xfId="12555"/>
    <cellStyle name="SAPBEXexcGood2 3" xfId="12556"/>
    <cellStyle name="SAPBEXexcGood2 3 2" xfId="12557"/>
    <cellStyle name="SAPBEXexcGood2 4" xfId="12558"/>
    <cellStyle name="SAPBEXexcGood2 4 2" xfId="12559"/>
    <cellStyle name="SAPBEXexcGood2 5" xfId="12560"/>
    <cellStyle name="SAPBEXexcGood2 5 2" xfId="12561"/>
    <cellStyle name="SAPBEXexcGood2 6" xfId="12562"/>
    <cellStyle name="SAPBEXexcGood2 6 2" xfId="12563"/>
    <cellStyle name="SAPBEXexcGood2 7" xfId="12564"/>
    <cellStyle name="SAPBEXexcGood2 7 2" xfId="12565"/>
    <cellStyle name="SAPBEXexcGood2 8" xfId="12566"/>
    <cellStyle name="SAPBEXexcGood2 8 2" xfId="12567"/>
    <cellStyle name="SAPBEXexcGood2 9" xfId="12568"/>
    <cellStyle name="SAPBEXexcGood2 9 2" xfId="12569"/>
    <cellStyle name="SAPBEXexcGood3" xfId="12570"/>
    <cellStyle name="SAPBEXexcGood3 10" xfId="12571"/>
    <cellStyle name="SAPBEXexcGood3 10 2" xfId="12572"/>
    <cellStyle name="SAPBEXexcGood3 11" xfId="12573"/>
    <cellStyle name="SAPBEXexcGood3 11 2" xfId="12574"/>
    <cellStyle name="SAPBEXexcGood3 12" xfId="12575"/>
    <cellStyle name="SAPBEXexcGood3 2" xfId="12576"/>
    <cellStyle name="SAPBEXexcGood3 2 10" xfId="12577"/>
    <cellStyle name="SAPBEXexcGood3 2 10 2" xfId="12578"/>
    <cellStyle name="SAPBEXexcGood3 2 11" xfId="12579"/>
    <cellStyle name="SAPBEXexcGood3 2 2" xfId="12580"/>
    <cellStyle name="SAPBEXexcGood3 2 2 2" xfId="12581"/>
    <cellStyle name="SAPBEXexcGood3 2 3" xfId="12582"/>
    <cellStyle name="SAPBEXexcGood3 2 3 2" xfId="12583"/>
    <cellStyle name="SAPBEXexcGood3 2 4" xfId="12584"/>
    <cellStyle name="SAPBEXexcGood3 2 4 2" xfId="12585"/>
    <cellStyle name="SAPBEXexcGood3 2 5" xfId="12586"/>
    <cellStyle name="SAPBEXexcGood3 2 5 2" xfId="12587"/>
    <cellStyle name="SAPBEXexcGood3 2 6" xfId="12588"/>
    <cellStyle name="SAPBEXexcGood3 2 6 2" xfId="12589"/>
    <cellStyle name="SAPBEXexcGood3 2 7" xfId="12590"/>
    <cellStyle name="SAPBEXexcGood3 2 7 2" xfId="12591"/>
    <cellStyle name="SAPBEXexcGood3 2 8" xfId="12592"/>
    <cellStyle name="SAPBEXexcGood3 2 8 2" xfId="12593"/>
    <cellStyle name="SAPBEXexcGood3 2 9" xfId="12594"/>
    <cellStyle name="SAPBEXexcGood3 2 9 2" xfId="12595"/>
    <cellStyle name="SAPBEXexcGood3 3" xfId="12596"/>
    <cellStyle name="SAPBEXexcGood3 3 2" xfId="12597"/>
    <cellStyle name="SAPBEXexcGood3 4" xfId="12598"/>
    <cellStyle name="SAPBEXexcGood3 4 2" xfId="12599"/>
    <cellStyle name="SAPBEXexcGood3 5" xfId="12600"/>
    <cellStyle name="SAPBEXexcGood3 5 2" xfId="12601"/>
    <cellStyle name="SAPBEXexcGood3 6" xfId="12602"/>
    <cellStyle name="SAPBEXexcGood3 6 2" xfId="12603"/>
    <cellStyle name="SAPBEXexcGood3 7" xfId="12604"/>
    <cellStyle name="SAPBEXexcGood3 7 2" xfId="12605"/>
    <cellStyle name="SAPBEXexcGood3 8" xfId="12606"/>
    <cellStyle name="SAPBEXexcGood3 8 2" xfId="12607"/>
    <cellStyle name="SAPBEXexcGood3 9" xfId="12608"/>
    <cellStyle name="SAPBEXexcGood3 9 2" xfId="12609"/>
    <cellStyle name="SAPBEXfilterDrill" xfId="12610"/>
    <cellStyle name="SAPBEXfilterDrill 2" xfId="12611"/>
    <cellStyle name="SAPBEXfilterItem" xfId="12612"/>
    <cellStyle name="SAPBEXfilterItem 2" xfId="12613"/>
    <cellStyle name="SAPBEXfilterText" xfId="12614"/>
    <cellStyle name="SAPBEXfilterText 2" xfId="12615"/>
    <cellStyle name="SAPBEXformats" xfId="12616"/>
    <cellStyle name="SAPBEXformats 10" xfId="12617"/>
    <cellStyle name="SAPBEXformats 10 2" xfId="12618"/>
    <cellStyle name="SAPBEXformats 11" xfId="12619"/>
    <cellStyle name="SAPBEXformats 11 2" xfId="12620"/>
    <cellStyle name="SAPBEXformats 12" xfId="12621"/>
    <cellStyle name="SAPBEXformats 2" xfId="12622"/>
    <cellStyle name="SAPBEXformats 2 10" xfId="12623"/>
    <cellStyle name="SAPBEXformats 2 10 2" xfId="12624"/>
    <cellStyle name="SAPBEXformats 2 11" xfId="12625"/>
    <cellStyle name="SAPBEXformats 2 2" xfId="12626"/>
    <cellStyle name="SAPBEXformats 2 2 2" xfId="12627"/>
    <cellStyle name="SAPBEXformats 2 3" xfId="12628"/>
    <cellStyle name="SAPBEXformats 2 3 2" xfId="12629"/>
    <cellStyle name="SAPBEXformats 2 4" xfId="12630"/>
    <cellStyle name="SAPBEXformats 2 4 2" xfId="12631"/>
    <cellStyle name="SAPBEXformats 2 5" xfId="12632"/>
    <cellStyle name="SAPBEXformats 2 5 2" xfId="12633"/>
    <cellStyle name="SAPBEXformats 2 6" xfId="12634"/>
    <cellStyle name="SAPBEXformats 2 6 2" xfId="12635"/>
    <cellStyle name="SAPBEXformats 2 7" xfId="12636"/>
    <cellStyle name="SAPBEXformats 2 7 2" xfId="12637"/>
    <cellStyle name="SAPBEXformats 2 8" xfId="12638"/>
    <cellStyle name="SAPBEXformats 2 8 2" xfId="12639"/>
    <cellStyle name="SAPBEXformats 2 9" xfId="12640"/>
    <cellStyle name="SAPBEXformats 2 9 2" xfId="12641"/>
    <cellStyle name="SAPBEXformats 3" xfId="12642"/>
    <cellStyle name="SAPBEXformats 3 2" xfId="12643"/>
    <cellStyle name="SAPBEXformats 4" xfId="12644"/>
    <cellStyle name="SAPBEXformats 4 2" xfId="12645"/>
    <cellStyle name="SAPBEXformats 5" xfId="12646"/>
    <cellStyle name="SAPBEXformats 5 2" xfId="12647"/>
    <cellStyle name="SAPBEXformats 6" xfId="12648"/>
    <cellStyle name="SAPBEXformats 6 2" xfId="12649"/>
    <cellStyle name="SAPBEXformats 7" xfId="12650"/>
    <cellStyle name="SAPBEXformats 7 2" xfId="12651"/>
    <cellStyle name="SAPBEXformats 8" xfId="12652"/>
    <cellStyle name="SAPBEXformats 8 2" xfId="12653"/>
    <cellStyle name="SAPBEXformats 9" xfId="12654"/>
    <cellStyle name="SAPBEXformats 9 2" xfId="12655"/>
    <cellStyle name="SAPBEXheaderItem" xfId="12656"/>
    <cellStyle name="SAPBEXheaderItem 2" xfId="12657"/>
    <cellStyle name="SAPBEXheaderText" xfId="12658"/>
    <cellStyle name="SAPBEXheaderText 2" xfId="12659"/>
    <cellStyle name="SAPBEXHLevel0" xfId="12660"/>
    <cellStyle name="SAPBEXHLevel0 10" xfId="12661"/>
    <cellStyle name="SAPBEXHLevel0 10 2" xfId="12662"/>
    <cellStyle name="SAPBEXHLevel0 11" xfId="12663"/>
    <cellStyle name="SAPBEXHLevel0 11 2" xfId="12664"/>
    <cellStyle name="SAPBEXHLevel0 12" xfId="12665"/>
    <cellStyle name="SAPBEXHLevel0 2" xfId="12666"/>
    <cellStyle name="SAPBEXHLevel0 2 10" xfId="12667"/>
    <cellStyle name="SAPBEXHLevel0 2 10 2" xfId="12668"/>
    <cellStyle name="SAPBEXHLevel0 2 11" xfId="12669"/>
    <cellStyle name="SAPBEXHLevel0 2 2" xfId="12670"/>
    <cellStyle name="SAPBEXHLevel0 2 2 2" xfId="12671"/>
    <cellStyle name="SAPBEXHLevel0 2 3" xfId="12672"/>
    <cellStyle name="SAPBEXHLevel0 2 3 2" xfId="12673"/>
    <cellStyle name="SAPBEXHLevel0 2 4" xfId="12674"/>
    <cellStyle name="SAPBEXHLevel0 2 4 2" xfId="12675"/>
    <cellStyle name="SAPBEXHLevel0 2 5" xfId="12676"/>
    <cellStyle name="SAPBEXHLevel0 2 5 2" xfId="12677"/>
    <cellStyle name="SAPBEXHLevel0 2 6" xfId="12678"/>
    <cellStyle name="SAPBEXHLevel0 2 6 2" xfId="12679"/>
    <cellStyle name="SAPBEXHLevel0 2 7" xfId="12680"/>
    <cellStyle name="SAPBEXHLevel0 2 7 2" xfId="12681"/>
    <cellStyle name="SAPBEXHLevel0 2 8" xfId="12682"/>
    <cellStyle name="SAPBEXHLevel0 2 8 2" xfId="12683"/>
    <cellStyle name="SAPBEXHLevel0 2 9" xfId="12684"/>
    <cellStyle name="SAPBEXHLevel0 2 9 2" xfId="12685"/>
    <cellStyle name="SAPBEXHLevel0 3" xfId="12686"/>
    <cellStyle name="SAPBEXHLevel0 3 2" xfId="12687"/>
    <cellStyle name="SAPBEXHLevel0 4" xfId="12688"/>
    <cellStyle name="SAPBEXHLevel0 4 2" xfId="12689"/>
    <cellStyle name="SAPBEXHLevel0 5" xfId="12690"/>
    <cellStyle name="SAPBEXHLevel0 5 2" xfId="12691"/>
    <cellStyle name="SAPBEXHLevel0 6" xfId="12692"/>
    <cellStyle name="SAPBEXHLevel0 6 2" xfId="12693"/>
    <cellStyle name="SAPBEXHLevel0 7" xfId="12694"/>
    <cellStyle name="SAPBEXHLevel0 7 2" xfId="12695"/>
    <cellStyle name="SAPBEXHLevel0 8" xfId="12696"/>
    <cellStyle name="SAPBEXHLevel0 8 2" xfId="12697"/>
    <cellStyle name="SAPBEXHLevel0 9" xfId="12698"/>
    <cellStyle name="SAPBEXHLevel0 9 2" xfId="12699"/>
    <cellStyle name="SAPBEXHLevel0X" xfId="12700"/>
    <cellStyle name="SAPBEXHLevel0X 10" xfId="12701"/>
    <cellStyle name="SAPBEXHLevel0X 10 2" xfId="12702"/>
    <cellStyle name="SAPBEXHLevel0X 11" xfId="12703"/>
    <cellStyle name="SAPBEXHLevel0X 11 2" xfId="12704"/>
    <cellStyle name="SAPBEXHLevel0X 12" xfId="12705"/>
    <cellStyle name="SAPBEXHLevel0X 2" xfId="12706"/>
    <cellStyle name="SAPBEXHLevel0X 2 10" xfId="12707"/>
    <cellStyle name="SAPBEXHLevel0X 2 10 2" xfId="12708"/>
    <cellStyle name="SAPBEXHLevel0X 2 11" xfId="12709"/>
    <cellStyle name="SAPBEXHLevel0X 2 2" xfId="12710"/>
    <cellStyle name="SAPBEXHLevel0X 2 2 2" xfId="12711"/>
    <cellStyle name="SAPBEXHLevel0X 2 3" xfId="12712"/>
    <cellStyle name="SAPBEXHLevel0X 2 3 2" xfId="12713"/>
    <cellStyle name="SAPBEXHLevel0X 2 4" xfId="12714"/>
    <cellStyle name="SAPBEXHLevel0X 2 4 2" xfId="12715"/>
    <cellStyle name="SAPBEXHLevel0X 2 5" xfId="12716"/>
    <cellStyle name="SAPBEXHLevel0X 2 5 2" xfId="12717"/>
    <cellStyle name="SAPBEXHLevel0X 2 6" xfId="12718"/>
    <cellStyle name="SAPBEXHLevel0X 2 6 2" xfId="12719"/>
    <cellStyle name="SAPBEXHLevel0X 2 7" xfId="12720"/>
    <cellStyle name="SAPBEXHLevel0X 2 7 2" xfId="12721"/>
    <cellStyle name="SAPBEXHLevel0X 2 8" xfId="12722"/>
    <cellStyle name="SAPBEXHLevel0X 2 8 2" xfId="12723"/>
    <cellStyle name="SAPBEXHLevel0X 2 9" xfId="12724"/>
    <cellStyle name="SAPBEXHLevel0X 2 9 2" xfId="12725"/>
    <cellStyle name="SAPBEXHLevel0X 3" xfId="12726"/>
    <cellStyle name="SAPBEXHLevel0X 3 2" xfId="12727"/>
    <cellStyle name="SAPBEXHLevel0X 4" xfId="12728"/>
    <cellStyle name="SAPBEXHLevel0X 4 2" xfId="12729"/>
    <cellStyle name="SAPBEXHLevel0X 5" xfId="12730"/>
    <cellStyle name="SAPBEXHLevel0X 5 2" xfId="12731"/>
    <cellStyle name="SAPBEXHLevel0X 6" xfId="12732"/>
    <cellStyle name="SAPBEXHLevel0X 6 2" xfId="12733"/>
    <cellStyle name="SAPBEXHLevel0X 7" xfId="12734"/>
    <cellStyle name="SAPBEXHLevel0X 7 2" xfId="12735"/>
    <cellStyle name="SAPBEXHLevel0X 8" xfId="12736"/>
    <cellStyle name="SAPBEXHLevel0X 8 2" xfId="12737"/>
    <cellStyle name="SAPBEXHLevel0X 9" xfId="12738"/>
    <cellStyle name="SAPBEXHLevel0X 9 2" xfId="12739"/>
    <cellStyle name="SAPBEXHLevel1" xfId="12740"/>
    <cellStyle name="SAPBEXHLevel1 10" xfId="12741"/>
    <cellStyle name="SAPBEXHLevel1 10 2" xfId="12742"/>
    <cellStyle name="SAPBEXHLevel1 11" xfId="12743"/>
    <cellStyle name="SAPBEXHLevel1 11 2" xfId="12744"/>
    <cellStyle name="SAPBEXHLevel1 12" xfId="12745"/>
    <cellStyle name="SAPBEXHLevel1 2" xfId="12746"/>
    <cellStyle name="SAPBEXHLevel1 2 10" xfId="12747"/>
    <cellStyle name="SAPBEXHLevel1 2 10 2" xfId="12748"/>
    <cellStyle name="SAPBEXHLevel1 2 11" xfId="12749"/>
    <cellStyle name="SAPBEXHLevel1 2 2" xfId="12750"/>
    <cellStyle name="SAPBEXHLevel1 2 2 2" xfId="12751"/>
    <cellStyle name="SAPBEXHLevel1 2 3" xfId="12752"/>
    <cellStyle name="SAPBEXHLevel1 2 3 2" xfId="12753"/>
    <cellStyle name="SAPBEXHLevel1 2 4" xfId="12754"/>
    <cellStyle name="SAPBEXHLevel1 2 4 2" xfId="12755"/>
    <cellStyle name="SAPBEXHLevel1 2 5" xfId="12756"/>
    <cellStyle name="SAPBEXHLevel1 2 5 2" xfId="12757"/>
    <cellStyle name="SAPBEXHLevel1 2 6" xfId="12758"/>
    <cellStyle name="SAPBEXHLevel1 2 6 2" xfId="12759"/>
    <cellStyle name="SAPBEXHLevel1 2 7" xfId="12760"/>
    <cellStyle name="SAPBEXHLevel1 2 7 2" xfId="12761"/>
    <cellStyle name="SAPBEXHLevel1 2 8" xfId="12762"/>
    <cellStyle name="SAPBEXHLevel1 2 8 2" xfId="12763"/>
    <cellStyle name="SAPBEXHLevel1 2 9" xfId="12764"/>
    <cellStyle name="SAPBEXHLevel1 2 9 2" xfId="12765"/>
    <cellStyle name="SAPBEXHLevel1 3" xfId="12766"/>
    <cellStyle name="SAPBEXHLevel1 3 2" xfId="12767"/>
    <cellStyle name="SAPBEXHLevel1 4" xfId="12768"/>
    <cellStyle name="SAPBEXHLevel1 4 2" xfId="12769"/>
    <cellStyle name="SAPBEXHLevel1 5" xfId="12770"/>
    <cellStyle name="SAPBEXHLevel1 5 2" xfId="12771"/>
    <cellStyle name="SAPBEXHLevel1 6" xfId="12772"/>
    <cellStyle name="SAPBEXHLevel1 6 2" xfId="12773"/>
    <cellStyle name="SAPBEXHLevel1 7" xfId="12774"/>
    <cellStyle name="SAPBEXHLevel1 7 2" xfId="12775"/>
    <cellStyle name="SAPBEXHLevel1 8" xfId="12776"/>
    <cellStyle name="SAPBEXHLevel1 8 2" xfId="12777"/>
    <cellStyle name="SAPBEXHLevel1 9" xfId="12778"/>
    <cellStyle name="SAPBEXHLevel1 9 2" xfId="12779"/>
    <cellStyle name="SAPBEXHLevel1X" xfId="12780"/>
    <cellStyle name="SAPBEXHLevel1X 10" xfId="12781"/>
    <cellStyle name="SAPBEXHLevel1X 10 2" xfId="12782"/>
    <cellStyle name="SAPBEXHLevel1X 11" xfId="12783"/>
    <cellStyle name="SAPBEXHLevel1X 11 2" xfId="12784"/>
    <cellStyle name="SAPBEXHLevel1X 12" xfId="12785"/>
    <cellStyle name="SAPBEXHLevel1X 2" xfId="12786"/>
    <cellStyle name="SAPBEXHLevel1X 2 10" xfId="12787"/>
    <cellStyle name="SAPBEXHLevel1X 2 10 2" xfId="12788"/>
    <cellStyle name="SAPBEXHLevel1X 2 11" xfId="12789"/>
    <cellStyle name="SAPBEXHLevel1X 2 2" xfId="12790"/>
    <cellStyle name="SAPBEXHLevel1X 2 2 2" xfId="12791"/>
    <cellStyle name="SAPBEXHLevel1X 2 3" xfId="12792"/>
    <cellStyle name="SAPBEXHLevel1X 2 3 2" xfId="12793"/>
    <cellStyle name="SAPBEXHLevel1X 2 4" xfId="12794"/>
    <cellStyle name="SAPBEXHLevel1X 2 4 2" xfId="12795"/>
    <cellStyle name="SAPBEXHLevel1X 2 5" xfId="12796"/>
    <cellStyle name="SAPBEXHLevel1X 2 5 2" xfId="12797"/>
    <cellStyle name="SAPBEXHLevel1X 2 6" xfId="12798"/>
    <cellStyle name="SAPBEXHLevel1X 2 6 2" xfId="12799"/>
    <cellStyle name="SAPBEXHLevel1X 2 7" xfId="12800"/>
    <cellStyle name="SAPBEXHLevel1X 2 7 2" xfId="12801"/>
    <cellStyle name="SAPBEXHLevel1X 2 8" xfId="12802"/>
    <cellStyle name="SAPBEXHLevel1X 2 8 2" xfId="12803"/>
    <cellStyle name="SAPBEXHLevel1X 2 9" xfId="12804"/>
    <cellStyle name="SAPBEXHLevel1X 2 9 2" xfId="12805"/>
    <cellStyle name="SAPBEXHLevel1X 3" xfId="12806"/>
    <cellStyle name="SAPBEXHLevel1X 3 2" xfId="12807"/>
    <cellStyle name="SAPBEXHLevel1X 4" xfId="12808"/>
    <cellStyle name="SAPBEXHLevel1X 4 2" xfId="12809"/>
    <cellStyle name="SAPBEXHLevel1X 5" xfId="12810"/>
    <cellStyle name="SAPBEXHLevel1X 5 2" xfId="12811"/>
    <cellStyle name="SAPBEXHLevel1X 6" xfId="12812"/>
    <cellStyle name="SAPBEXHLevel1X 6 2" xfId="12813"/>
    <cellStyle name="SAPBEXHLevel1X 7" xfId="12814"/>
    <cellStyle name="SAPBEXHLevel1X 7 2" xfId="12815"/>
    <cellStyle name="SAPBEXHLevel1X 8" xfId="12816"/>
    <cellStyle name="SAPBEXHLevel1X 8 2" xfId="12817"/>
    <cellStyle name="SAPBEXHLevel1X 9" xfId="12818"/>
    <cellStyle name="SAPBEXHLevel1X 9 2" xfId="12819"/>
    <cellStyle name="SAPBEXHLevel2" xfId="12820"/>
    <cellStyle name="SAPBEXHLevel2 10" xfId="12821"/>
    <cellStyle name="SAPBEXHLevel2 10 2" xfId="12822"/>
    <cellStyle name="SAPBEXHLevel2 11" xfId="12823"/>
    <cellStyle name="SAPBEXHLevel2 11 2" xfId="12824"/>
    <cellStyle name="SAPBEXHLevel2 12" xfId="12825"/>
    <cellStyle name="SAPBEXHLevel2 2" xfId="12826"/>
    <cellStyle name="SAPBEXHLevel2 2 10" xfId="12827"/>
    <cellStyle name="SAPBEXHLevel2 2 10 2" xfId="12828"/>
    <cellStyle name="SAPBEXHLevel2 2 11" xfId="12829"/>
    <cellStyle name="SAPBEXHLevel2 2 2" xfId="12830"/>
    <cellStyle name="SAPBEXHLevel2 2 2 2" xfId="12831"/>
    <cellStyle name="SAPBEXHLevel2 2 3" xfId="12832"/>
    <cellStyle name="SAPBEXHLevel2 2 3 2" xfId="12833"/>
    <cellStyle name="SAPBEXHLevel2 2 4" xfId="12834"/>
    <cellStyle name="SAPBEXHLevel2 2 4 2" xfId="12835"/>
    <cellStyle name="SAPBEXHLevel2 2 5" xfId="12836"/>
    <cellStyle name="SAPBEXHLevel2 2 5 2" xfId="12837"/>
    <cellStyle name="SAPBEXHLevel2 2 6" xfId="12838"/>
    <cellStyle name="SAPBEXHLevel2 2 6 2" xfId="12839"/>
    <cellStyle name="SAPBEXHLevel2 2 7" xfId="12840"/>
    <cellStyle name="SAPBEXHLevel2 2 7 2" xfId="12841"/>
    <cellStyle name="SAPBEXHLevel2 2 8" xfId="12842"/>
    <cellStyle name="SAPBEXHLevel2 2 8 2" xfId="12843"/>
    <cellStyle name="SAPBEXHLevel2 2 9" xfId="12844"/>
    <cellStyle name="SAPBEXHLevel2 2 9 2" xfId="12845"/>
    <cellStyle name="SAPBEXHLevel2 3" xfId="12846"/>
    <cellStyle name="SAPBEXHLevel2 3 2" xfId="12847"/>
    <cellStyle name="SAPBEXHLevel2 4" xfId="12848"/>
    <cellStyle name="SAPBEXHLevel2 4 2" xfId="12849"/>
    <cellStyle name="SAPBEXHLevel2 5" xfId="12850"/>
    <cellStyle name="SAPBEXHLevel2 5 2" xfId="12851"/>
    <cellStyle name="SAPBEXHLevel2 6" xfId="12852"/>
    <cellStyle name="SAPBEXHLevel2 6 2" xfId="12853"/>
    <cellStyle name="SAPBEXHLevel2 7" xfId="12854"/>
    <cellStyle name="SAPBEXHLevel2 7 2" xfId="12855"/>
    <cellStyle name="SAPBEXHLevel2 8" xfId="12856"/>
    <cellStyle name="SAPBEXHLevel2 8 2" xfId="12857"/>
    <cellStyle name="SAPBEXHLevel2 9" xfId="12858"/>
    <cellStyle name="SAPBEXHLevel2 9 2" xfId="12859"/>
    <cellStyle name="SAPBEXHLevel2X" xfId="12860"/>
    <cellStyle name="SAPBEXHLevel2X 10" xfId="12861"/>
    <cellStyle name="SAPBEXHLevel2X 10 2" xfId="12862"/>
    <cellStyle name="SAPBEXHLevel2X 11" xfId="12863"/>
    <cellStyle name="SAPBEXHLevel2X 11 2" xfId="12864"/>
    <cellStyle name="SAPBEXHLevel2X 12" xfId="12865"/>
    <cellStyle name="SAPBEXHLevel2X 2" xfId="12866"/>
    <cellStyle name="SAPBEXHLevel2X 2 10" xfId="12867"/>
    <cellStyle name="SAPBEXHLevel2X 2 10 2" xfId="12868"/>
    <cellStyle name="SAPBEXHLevel2X 2 11" xfId="12869"/>
    <cellStyle name="SAPBEXHLevel2X 2 2" xfId="12870"/>
    <cellStyle name="SAPBEXHLevel2X 2 2 2" xfId="12871"/>
    <cellStyle name="SAPBEXHLevel2X 2 3" xfId="12872"/>
    <cellStyle name="SAPBEXHLevel2X 2 3 2" xfId="12873"/>
    <cellStyle name="SAPBEXHLevel2X 2 4" xfId="12874"/>
    <cellStyle name="SAPBEXHLevel2X 2 4 2" xfId="12875"/>
    <cellStyle name="SAPBEXHLevel2X 2 5" xfId="12876"/>
    <cellStyle name="SAPBEXHLevel2X 2 5 2" xfId="12877"/>
    <cellStyle name="SAPBEXHLevel2X 2 6" xfId="12878"/>
    <cellStyle name="SAPBEXHLevel2X 2 6 2" xfId="12879"/>
    <cellStyle name="SAPBEXHLevel2X 2 7" xfId="12880"/>
    <cellStyle name="SAPBEXHLevel2X 2 7 2" xfId="12881"/>
    <cellStyle name="SAPBEXHLevel2X 2 8" xfId="12882"/>
    <cellStyle name="SAPBEXHLevel2X 2 8 2" xfId="12883"/>
    <cellStyle name="SAPBEXHLevel2X 2 9" xfId="12884"/>
    <cellStyle name="SAPBEXHLevel2X 2 9 2" xfId="12885"/>
    <cellStyle name="SAPBEXHLevel2X 3" xfId="12886"/>
    <cellStyle name="SAPBEXHLevel2X 3 2" xfId="12887"/>
    <cellStyle name="SAPBEXHLevel2X 4" xfId="12888"/>
    <cellStyle name="SAPBEXHLevel2X 4 2" xfId="12889"/>
    <cellStyle name="SAPBEXHLevel2X 5" xfId="12890"/>
    <cellStyle name="SAPBEXHLevel2X 5 2" xfId="12891"/>
    <cellStyle name="SAPBEXHLevel2X 6" xfId="12892"/>
    <cellStyle name="SAPBEXHLevel2X 6 2" xfId="12893"/>
    <cellStyle name="SAPBEXHLevel2X 7" xfId="12894"/>
    <cellStyle name="SAPBEXHLevel2X 7 2" xfId="12895"/>
    <cellStyle name="SAPBEXHLevel2X 8" xfId="12896"/>
    <cellStyle name="SAPBEXHLevel2X 8 2" xfId="12897"/>
    <cellStyle name="SAPBEXHLevel2X 9" xfId="12898"/>
    <cellStyle name="SAPBEXHLevel2X 9 2" xfId="12899"/>
    <cellStyle name="SAPBEXHLevel3" xfId="12900"/>
    <cellStyle name="SAPBEXHLevel3 10" xfId="12901"/>
    <cellStyle name="SAPBEXHLevel3 10 2" xfId="12902"/>
    <cellStyle name="SAPBEXHLevel3 11" xfId="12903"/>
    <cellStyle name="SAPBEXHLevel3 11 2" xfId="12904"/>
    <cellStyle name="SAPBEXHLevel3 12" xfId="12905"/>
    <cellStyle name="SAPBEXHLevel3 2" xfId="12906"/>
    <cellStyle name="SAPBEXHLevel3 2 10" xfId="12907"/>
    <cellStyle name="SAPBEXHLevel3 2 10 2" xfId="12908"/>
    <cellStyle name="SAPBEXHLevel3 2 11" xfId="12909"/>
    <cellStyle name="SAPBEXHLevel3 2 2" xfId="12910"/>
    <cellStyle name="SAPBEXHLevel3 2 2 2" xfId="12911"/>
    <cellStyle name="SAPBEXHLevel3 2 3" xfId="12912"/>
    <cellStyle name="SAPBEXHLevel3 2 3 2" xfId="12913"/>
    <cellStyle name="SAPBEXHLevel3 2 4" xfId="12914"/>
    <cellStyle name="SAPBEXHLevel3 2 4 2" xfId="12915"/>
    <cellStyle name="SAPBEXHLevel3 2 5" xfId="12916"/>
    <cellStyle name="SAPBEXHLevel3 2 5 2" xfId="12917"/>
    <cellStyle name="SAPBEXHLevel3 2 6" xfId="12918"/>
    <cellStyle name="SAPBEXHLevel3 2 6 2" xfId="12919"/>
    <cellStyle name="SAPBEXHLevel3 2 7" xfId="12920"/>
    <cellStyle name="SAPBEXHLevel3 2 7 2" xfId="12921"/>
    <cellStyle name="SAPBEXHLevel3 2 8" xfId="12922"/>
    <cellStyle name="SAPBEXHLevel3 2 8 2" xfId="12923"/>
    <cellStyle name="SAPBEXHLevel3 2 9" xfId="12924"/>
    <cellStyle name="SAPBEXHLevel3 2 9 2" xfId="12925"/>
    <cellStyle name="SAPBEXHLevel3 3" xfId="12926"/>
    <cellStyle name="SAPBEXHLevel3 3 2" xfId="12927"/>
    <cellStyle name="SAPBEXHLevel3 4" xfId="12928"/>
    <cellStyle name="SAPBEXHLevel3 4 2" xfId="12929"/>
    <cellStyle name="SAPBEXHLevel3 5" xfId="12930"/>
    <cellStyle name="SAPBEXHLevel3 5 2" xfId="12931"/>
    <cellStyle name="SAPBEXHLevel3 6" xfId="12932"/>
    <cellStyle name="SAPBEXHLevel3 6 2" xfId="12933"/>
    <cellStyle name="SAPBEXHLevel3 7" xfId="12934"/>
    <cellStyle name="SAPBEXHLevel3 7 2" xfId="12935"/>
    <cellStyle name="SAPBEXHLevel3 8" xfId="12936"/>
    <cellStyle name="SAPBEXHLevel3 8 2" xfId="12937"/>
    <cellStyle name="SAPBEXHLevel3 9" xfId="12938"/>
    <cellStyle name="SAPBEXHLevel3 9 2" xfId="12939"/>
    <cellStyle name="SAPBEXHLevel3X" xfId="12940"/>
    <cellStyle name="SAPBEXHLevel3X 10" xfId="12941"/>
    <cellStyle name="SAPBEXHLevel3X 10 2" xfId="12942"/>
    <cellStyle name="SAPBEXHLevel3X 11" xfId="12943"/>
    <cellStyle name="SAPBEXHLevel3X 11 2" xfId="12944"/>
    <cellStyle name="SAPBEXHLevel3X 12" xfId="12945"/>
    <cellStyle name="SAPBEXHLevel3X 2" xfId="12946"/>
    <cellStyle name="SAPBEXHLevel3X 2 10" xfId="12947"/>
    <cellStyle name="SAPBEXHLevel3X 2 10 2" xfId="12948"/>
    <cellStyle name="SAPBEXHLevel3X 2 11" xfId="12949"/>
    <cellStyle name="SAPBEXHLevel3X 2 2" xfId="12950"/>
    <cellStyle name="SAPBEXHLevel3X 2 2 2" xfId="12951"/>
    <cellStyle name="SAPBEXHLevel3X 2 3" xfId="12952"/>
    <cellStyle name="SAPBEXHLevel3X 2 3 2" xfId="12953"/>
    <cellStyle name="SAPBEXHLevel3X 2 4" xfId="12954"/>
    <cellStyle name="SAPBEXHLevel3X 2 4 2" xfId="12955"/>
    <cellStyle name="SAPBEXHLevel3X 2 5" xfId="12956"/>
    <cellStyle name="SAPBEXHLevel3X 2 5 2" xfId="12957"/>
    <cellStyle name="SAPBEXHLevel3X 2 6" xfId="12958"/>
    <cellStyle name="SAPBEXHLevel3X 2 6 2" xfId="12959"/>
    <cellStyle name="SAPBEXHLevel3X 2 7" xfId="12960"/>
    <cellStyle name="SAPBEXHLevel3X 2 7 2" xfId="12961"/>
    <cellStyle name="SAPBEXHLevel3X 2 8" xfId="12962"/>
    <cellStyle name="SAPBEXHLevel3X 2 8 2" xfId="12963"/>
    <cellStyle name="SAPBEXHLevel3X 2 9" xfId="12964"/>
    <cellStyle name="SAPBEXHLevel3X 2 9 2" xfId="12965"/>
    <cellStyle name="SAPBEXHLevel3X 3" xfId="12966"/>
    <cellStyle name="SAPBEXHLevel3X 3 2" xfId="12967"/>
    <cellStyle name="SAPBEXHLevel3X 4" xfId="12968"/>
    <cellStyle name="SAPBEXHLevel3X 4 2" xfId="12969"/>
    <cellStyle name="SAPBEXHLevel3X 5" xfId="12970"/>
    <cellStyle name="SAPBEXHLevel3X 5 2" xfId="12971"/>
    <cellStyle name="SAPBEXHLevel3X 6" xfId="12972"/>
    <cellStyle name="SAPBEXHLevel3X 6 2" xfId="12973"/>
    <cellStyle name="SAPBEXHLevel3X 7" xfId="12974"/>
    <cellStyle name="SAPBEXHLevel3X 7 2" xfId="12975"/>
    <cellStyle name="SAPBEXHLevel3X 8" xfId="12976"/>
    <cellStyle name="SAPBEXHLevel3X 8 2" xfId="12977"/>
    <cellStyle name="SAPBEXHLevel3X 9" xfId="12978"/>
    <cellStyle name="SAPBEXHLevel3X 9 2" xfId="12979"/>
    <cellStyle name="SAPBEXresData" xfId="12980"/>
    <cellStyle name="SAPBEXresData 10" xfId="12981"/>
    <cellStyle name="SAPBEXresData 10 2" xfId="12982"/>
    <cellStyle name="SAPBEXresData 11" xfId="12983"/>
    <cellStyle name="SAPBEXresData 2" xfId="12984"/>
    <cellStyle name="SAPBEXresData 2 2" xfId="12985"/>
    <cellStyle name="SAPBEXresData 3" xfId="12986"/>
    <cellStyle name="SAPBEXresData 3 2" xfId="12987"/>
    <cellStyle name="SAPBEXresData 4" xfId="12988"/>
    <cellStyle name="SAPBEXresData 4 2" xfId="12989"/>
    <cellStyle name="SAPBEXresData 5" xfId="12990"/>
    <cellStyle name="SAPBEXresData 5 2" xfId="12991"/>
    <cellStyle name="SAPBEXresData 6" xfId="12992"/>
    <cellStyle name="SAPBEXresData 6 2" xfId="12993"/>
    <cellStyle name="SAPBEXresData 7" xfId="12994"/>
    <cellStyle name="SAPBEXresData 7 2" xfId="12995"/>
    <cellStyle name="SAPBEXresData 8" xfId="12996"/>
    <cellStyle name="SAPBEXresData 8 2" xfId="12997"/>
    <cellStyle name="SAPBEXresData 9" xfId="12998"/>
    <cellStyle name="SAPBEXresData 9 2" xfId="12999"/>
    <cellStyle name="SAPBEXresDataEmph" xfId="13000"/>
    <cellStyle name="SAPBEXresDataEmph 10" xfId="13001"/>
    <cellStyle name="SAPBEXresDataEmph 10 2" xfId="13002"/>
    <cellStyle name="SAPBEXresDataEmph 11" xfId="13003"/>
    <cellStyle name="SAPBEXresDataEmph 2" xfId="13004"/>
    <cellStyle name="SAPBEXresDataEmph 2 2" xfId="13005"/>
    <cellStyle name="SAPBEXresDataEmph 3" xfId="13006"/>
    <cellStyle name="SAPBEXresDataEmph 3 2" xfId="13007"/>
    <cellStyle name="SAPBEXresDataEmph 4" xfId="13008"/>
    <cellStyle name="SAPBEXresDataEmph 4 2" xfId="13009"/>
    <cellStyle name="SAPBEXresDataEmph 5" xfId="13010"/>
    <cellStyle name="SAPBEXresDataEmph 5 2" xfId="13011"/>
    <cellStyle name="SAPBEXresDataEmph 6" xfId="13012"/>
    <cellStyle name="SAPBEXresDataEmph 6 2" xfId="13013"/>
    <cellStyle name="SAPBEXresDataEmph 7" xfId="13014"/>
    <cellStyle name="SAPBEXresDataEmph 7 2" xfId="13015"/>
    <cellStyle name="SAPBEXresDataEmph 8" xfId="13016"/>
    <cellStyle name="SAPBEXresDataEmph 8 2" xfId="13017"/>
    <cellStyle name="SAPBEXresDataEmph 9" xfId="13018"/>
    <cellStyle name="SAPBEXresDataEmph 9 2" xfId="13019"/>
    <cellStyle name="SAPBEXresItem" xfId="13020"/>
    <cellStyle name="SAPBEXresItem 10" xfId="13021"/>
    <cellStyle name="SAPBEXresItem 10 2" xfId="13022"/>
    <cellStyle name="SAPBEXresItem 11" xfId="13023"/>
    <cellStyle name="SAPBEXresItem 11 2" xfId="13024"/>
    <cellStyle name="SAPBEXresItem 12" xfId="13025"/>
    <cellStyle name="SAPBEXresItem 2" xfId="13026"/>
    <cellStyle name="SAPBEXresItem 2 10" xfId="13027"/>
    <cellStyle name="SAPBEXresItem 2 10 2" xfId="13028"/>
    <cellStyle name="SAPBEXresItem 2 11" xfId="13029"/>
    <cellStyle name="SAPBEXresItem 2 2" xfId="13030"/>
    <cellStyle name="SAPBEXresItem 2 2 2" xfId="13031"/>
    <cellStyle name="SAPBEXresItem 2 3" xfId="13032"/>
    <cellStyle name="SAPBEXresItem 2 3 2" xfId="13033"/>
    <cellStyle name="SAPBEXresItem 2 4" xfId="13034"/>
    <cellStyle name="SAPBEXresItem 2 4 2" xfId="13035"/>
    <cellStyle name="SAPBEXresItem 2 5" xfId="13036"/>
    <cellStyle name="SAPBEXresItem 2 5 2" xfId="13037"/>
    <cellStyle name="SAPBEXresItem 2 6" xfId="13038"/>
    <cellStyle name="SAPBEXresItem 2 6 2" xfId="13039"/>
    <cellStyle name="SAPBEXresItem 2 7" xfId="13040"/>
    <cellStyle name="SAPBEXresItem 2 7 2" xfId="13041"/>
    <cellStyle name="SAPBEXresItem 2 8" xfId="13042"/>
    <cellStyle name="SAPBEXresItem 2 8 2" xfId="13043"/>
    <cellStyle name="SAPBEXresItem 2 9" xfId="13044"/>
    <cellStyle name="SAPBEXresItem 2 9 2" xfId="13045"/>
    <cellStyle name="SAPBEXresItem 3" xfId="13046"/>
    <cellStyle name="SAPBEXresItem 3 2" xfId="13047"/>
    <cellStyle name="SAPBEXresItem 4" xfId="13048"/>
    <cellStyle name="SAPBEXresItem 4 2" xfId="13049"/>
    <cellStyle name="SAPBEXresItem 5" xfId="13050"/>
    <cellStyle name="SAPBEXresItem 5 2" xfId="13051"/>
    <cellStyle name="SAPBEXresItem 6" xfId="13052"/>
    <cellStyle name="SAPBEXresItem 6 2" xfId="13053"/>
    <cellStyle name="SAPBEXresItem 7" xfId="13054"/>
    <cellStyle name="SAPBEXresItem 7 2" xfId="13055"/>
    <cellStyle name="SAPBEXresItem 8" xfId="13056"/>
    <cellStyle name="SAPBEXresItem 8 2" xfId="13057"/>
    <cellStyle name="SAPBEXresItem 9" xfId="13058"/>
    <cellStyle name="SAPBEXresItem 9 2" xfId="13059"/>
    <cellStyle name="SAPBEXresItemX" xfId="13060"/>
    <cellStyle name="SAPBEXresItemX 10" xfId="13061"/>
    <cellStyle name="SAPBEXresItemX 10 2" xfId="13062"/>
    <cellStyle name="SAPBEXresItemX 11" xfId="13063"/>
    <cellStyle name="SAPBEXresItemX 11 2" xfId="13064"/>
    <cellStyle name="SAPBEXresItemX 12" xfId="13065"/>
    <cellStyle name="SAPBEXresItemX 2" xfId="13066"/>
    <cellStyle name="SAPBEXresItemX 2 10" xfId="13067"/>
    <cellStyle name="SAPBEXresItemX 2 10 2" xfId="13068"/>
    <cellStyle name="SAPBEXresItemX 2 11" xfId="13069"/>
    <cellStyle name="SAPBEXresItemX 2 2" xfId="13070"/>
    <cellStyle name="SAPBEXresItemX 2 2 2" xfId="13071"/>
    <cellStyle name="SAPBEXresItemX 2 3" xfId="13072"/>
    <cellStyle name="SAPBEXresItemX 2 3 2" xfId="13073"/>
    <cellStyle name="SAPBEXresItemX 2 4" xfId="13074"/>
    <cellStyle name="SAPBEXresItemX 2 4 2" xfId="13075"/>
    <cellStyle name="SAPBEXresItemX 2 5" xfId="13076"/>
    <cellStyle name="SAPBEXresItemX 2 5 2" xfId="13077"/>
    <cellStyle name="SAPBEXresItemX 2 6" xfId="13078"/>
    <cellStyle name="SAPBEXresItemX 2 6 2" xfId="13079"/>
    <cellStyle name="SAPBEXresItemX 2 7" xfId="13080"/>
    <cellStyle name="SAPBEXresItemX 2 7 2" xfId="13081"/>
    <cellStyle name="SAPBEXresItemX 2 8" xfId="13082"/>
    <cellStyle name="SAPBEXresItemX 2 8 2" xfId="13083"/>
    <cellStyle name="SAPBEXresItemX 2 9" xfId="13084"/>
    <cellStyle name="SAPBEXresItemX 2 9 2" xfId="13085"/>
    <cellStyle name="SAPBEXresItemX 3" xfId="13086"/>
    <cellStyle name="SAPBEXresItemX 3 2" xfId="13087"/>
    <cellStyle name="SAPBEXresItemX 4" xfId="13088"/>
    <cellStyle name="SAPBEXresItemX 4 2" xfId="13089"/>
    <cellStyle name="SAPBEXresItemX 5" xfId="13090"/>
    <cellStyle name="SAPBEXresItemX 5 2" xfId="13091"/>
    <cellStyle name="SAPBEXresItemX 6" xfId="13092"/>
    <cellStyle name="SAPBEXresItemX 6 2" xfId="13093"/>
    <cellStyle name="SAPBEXresItemX 7" xfId="13094"/>
    <cellStyle name="SAPBEXresItemX 7 2" xfId="13095"/>
    <cellStyle name="SAPBEXresItemX 8" xfId="13096"/>
    <cellStyle name="SAPBEXresItemX 8 2" xfId="13097"/>
    <cellStyle name="SAPBEXresItemX 9" xfId="13098"/>
    <cellStyle name="SAPBEXresItemX 9 2" xfId="13099"/>
    <cellStyle name="SAPBEXstdData" xfId="13100"/>
    <cellStyle name="SAPBEXstdData 10" xfId="13101"/>
    <cellStyle name="SAPBEXstdData 10 2" xfId="13102"/>
    <cellStyle name="SAPBEXstdData 11" xfId="13103"/>
    <cellStyle name="SAPBEXstdData 11 2" xfId="13104"/>
    <cellStyle name="SAPBEXstdData 12" xfId="13105"/>
    <cellStyle name="SAPBEXstdData 2" xfId="13106"/>
    <cellStyle name="SAPBEXstdData 2 10" xfId="13107"/>
    <cellStyle name="SAPBEXstdData 2 10 2" xfId="13108"/>
    <cellStyle name="SAPBEXstdData 2 11" xfId="13109"/>
    <cellStyle name="SAPBEXstdData 2 2" xfId="13110"/>
    <cellStyle name="SAPBEXstdData 2 2 2" xfId="13111"/>
    <cellStyle name="SAPBEXstdData 2 3" xfId="13112"/>
    <cellStyle name="SAPBEXstdData 2 3 2" xfId="13113"/>
    <cellStyle name="SAPBEXstdData 2 4" xfId="13114"/>
    <cellStyle name="SAPBEXstdData 2 4 2" xfId="13115"/>
    <cellStyle name="SAPBEXstdData 2 5" xfId="13116"/>
    <cellStyle name="SAPBEXstdData 2 5 2" xfId="13117"/>
    <cellStyle name="SAPBEXstdData 2 6" xfId="13118"/>
    <cellStyle name="SAPBEXstdData 2 6 2" xfId="13119"/>
    <cellStyle name="SAPBEXstdData 2 7" xfId="13120"/>
    <cellStyle name="SAPBEXstdData 2 7 2" xfId="13121"/>
    <cellStyle name="SAPBEXstdData 2 8" xfId="13122"/>
    <cellStyle name="SAPBEXstdData 2 8 2" xfId="13123"/>
    <cellStyle name="SAPBEXstdData 2 9" xfId="13124"/>
    <cellStyle name="SAPBEXstdData 2 9 2" xfId="13125"/>
    <cellStyle name="SAPBEXstdData 3" xfId="13126"/>
    <cellStyle name="SAPBEXstdData 3 2" xfId="13127"/>
    <cellStyle name="SAPBEXstdData 4" xfId="13128"/>
    <cellStyle name="SAPBEXstdData 4 2" xfId="13129"/>
    <cellStyle name="SAPBEXstdData 5" xfId="13130"/>
    <cellStyle name="SAPBEXstdData 5 2" xfId="13131"/>
    <cellStyle name="SAPBEXstdData 6" xfId="13132"/>
    <cellStyle name="SAPBEXstdData 6 2" xfId="13133"/>
    <cellStyle name="SAPBEXstdData 7" xfId="13134"/>
    <cellStyle name="SAPBEXstdData 7 2" xfId="13135"/>
    <cellStyle name="SAPBEXstdData 8" xfId="13136"/>
    <cellStyle name="SAPBEXstdData 8 2" xfId="13137"/>
    <cellStyle name="SAPBEXstdData 9" xfId="13138"/>
    <cellStyle name="SAPBEXstdData 9 2" xfId="13139"/>
    <cellStyle name="SAPBEXstdDataEmph" xfId="13140"/>
    <cellStyle name="SAPBEXstdDataEmph 10" xfId="13141"/>
    <cellStyle name="SAPBEXstdDataEmph 10 2" xfId="13142"/>
    <cellStyle name="SAPBEXstdDataEmph 11" xfId="13143"/>
    <cellStyle name="SAPBEXstdDataEmph 11 2" xfId="13144"/>
    <cellStyle name="SAPBEXstdDataEmph 12" xfId="13145"/>
    <cellStyle name="SAPBEXstdDataEmph 2" xfId="13146"/>
    <cellStyle name="SAPBEXstdDataEmph 2 10" xfId="13147"/>
    <cellStyle name="SAPBEXstdDataEmph 2 10 2" xfId="13148"/>
    <cellStyle name="SAPBEXstdDataEmph 2 11" xfId="13149"/>
    <cellStyle name="SAPBEXstdDataEmph 2 2" xfId="13150"/>
    <cellStyle name="SAPBEXstdDataEmph 2 2 2" xfId="13151"/>
    <cellStyle name="SAPBEXstdDataEmph 2 3" xfId="13152"/>
    <cellStyle name="SAPBEXstdDataEmph 2 3 2" xfId="13153"/>
    <cellStyle name="SAPBEXstdDataEmph 2 4" xfId="13154"/>
    <cellStyle name="SAPBEXstdDataEmph 2 4 2" xfId="13155"/>
    <cellStyle name="SAPBEXstdDataEmph 2 5" xfId="13156"/>
    <cellStyle name="SAPBEXstdDataEmph 2 5 2" xfId="13157"/>
    <cellStyle name="SAPBEXstdDataEmph 2 6" xfId="13158"/>
    <cellStyle name="SAPBEXstdDataEmph 2 6 2" xfId="13159"/>
    <cellStyle name="SAPBEXstdDataEmph 2 7" xfId="13160"/>
    <cellStyle name="SAPBEXstdDataEmph 2 7 2" xfId="13161"/>
    <cellStyle name="SAPBEXstdDataEmph 2 8" xfId="13162"/>
    <cellStyle name="SAPBEXstdDataEmph 2 8 2" xfId="13163"/>
    <cellStyle name="SAPBEXstdDataEmph 2 9" xfId="13164"/>
    <cellStyle name="SAPBEXstdDataEmph 2 9 2" xfId="13165"/>
    <cellStyle name="SAPBEXstdDataEmph 3" xfId="13166"/>
    <cellStyle name="SAPBEXstdDataEmph 3 2" xfId="13167"/>
    <cellStyle name="SAPBEXstdDataEmph 4" xfId="13168"/>
    <cellStyle name="SAPBEXstdDataEmph 4 2" xfId="13169"/>
    <cellStyle name="SAPBEXstdDataEmph 5" xfId="13170"/>
    <cellStyle name="SAPBEXstdDataEmph 5 2" xfId="13171"/>
    <cellStyle name="SAPBEXstdDataEmph 6" xfId="13172"/>
    <cellStyle name="SAPBEXstdDataEmph 6 2" xfId="13173"/>
    <cellStyle name="SAPBEXstdDataEmph 7" xfId="13174"/>
    <cellStyle name="SAPBEXstdDataEmph 7 2" xfId="13175"/>
    <cellStyle name="SAPBEXstdDataEmph 8" xfId="13176"/>
    <cellStyle name="SAPBEXstdDataEmph 8 2" xfId="13177"/>
    <cellStyle name="SAPBEXstdDataEmph 9" xfId="13178"/>
    <cellStyle name="SAPBEXstdDataEmph 9 2" xfId="13179"/>
    <cellStyle name="SAPBEXstdItem" xfId="13180"/>
    <cellStyle name="SAPBEXstdItem 10" xfId="13181"/>
    <cellStyle name="SAPBEXstdItem 10 2" xfId="13182"/>
    <cellStyle name="SAPBEXstdItem 11" xfId="13183"/>
    <cellStyle name="SAPBEXstdItem 11 2" xfId="13184"/>
    <cellStyle name="SAPBEXstdItem 12" xfId="13185"/>
    <cellStyle name="SAPBEXstdItem 2" xfId="13186"/>
    <cellStyle name="SAPBEXstdItem 2 10" xfId="13187"/>
    <cellStyle name="SAPBEXstdItem 2 10 2" xfId="13188"/>
    <cellStyle name="SAPBEXstdItem 2 11" xfId="13189"/>
    <cellStyle name="SAPBEXstdItem 2 2" xfId="13190"/>
    <cellStyle name="SAPBEXstdItem 2 2 2" xfId="13191"/>
    <cellStyle name="SAPBEXstdItem 2 3" xfId="13192"/>
    <cellStyle name="SAPBEXstdItem 2 3 2" xfId="13193"/>
    <cellStyle name="SAPBEXstdItem 2 4" xfId="13194"/>
    <cellStyle name="SAPBEXstdItem 2 4 2" xfId="13195"/>
    <cellStyle name="SAPBEXstdItem 2 5" xfId="13196"/>
    <cellStyle name="SAPBEXstdItem 2 5 2" xfId="13197"/>
    <cellStyle name="SAPBEXstdItem 2 6" xfId="13198"/>
    <cellStyle name="SAPBEXstdItem 2 6 2" xfId="13199"/>
    <cellStyle name="SAPBEXstdItem 2 7" xfId="13200"/>
    <cellStyle name="SAPBEXstdItem 2 7 2" xfId="13201"/>
    <cellStyle name="SAPBEXstdItem 2 8" xfId="13202"/>
    <cellStyle name="SAPBEXstdItem 2 8 2" xfId="13203"/>
    <cellStyle name="SAPBEXstdItem 2 9" xfId="13204"/>
    <cellStyle name="SAPBEXstdItem 2 9 2" xfId="13205"/>
    <cellStyle name="SAPBEXstdItem 3" xfId="13206"/>
    <cellStyle name="SAPBEXstdItem 3 2" xfId="13207"/>
    <cellStyle name="SAPBEXstdItem 4" xfId="13208"/>
    <cellStyle name="SAPBEXstdItem 4 2" xfId="13209"/>
    <cellStyle name="SAPBEXstdItem 5" xfId="13210"/>
    <cellStyle name="SAPBEXstdItem 5 2" xfId="13211"/>
    <cellStyle name="SAPBEXstdItem 6" xfId="13212"/>
    <cellStyle name="SAPBEXstdItem 6 2" xfId="13213"/>
    <cellStyle name="SAPBEXstdItem 7" xfId="13214"/>
    <cellStyle name="SAPBEXstdItem 7 2" xfId="13215"/>
    <cellStyle name="SAPBEXstdItem 8" xfId="13216"/>
    <cellStyle name="SAPBEXstdItem 8 2" xfId="13217"/>
    <cellStyle name="SAPBEXstdItem 9" xfId="13218"/>
    <cellStyle name="SAPBEXstdItem 9 2" xfId="13219"/>
    <cellStyle name="SAPBEXstdItemX" xfId="13220"/>
    <cellStyle name="SAPBEXstdItemX 10" xfId="13221"/>
    <cellStyle name="SAPBEXstdItemX 10 2" xfId="13222"/>
    <cellStyle name="SAPBEXstdItemX 11" xfId="13223"/>
    <cellStyle name="SAPBEXstdItemX 11 2" xfId="13224"/>
    <cellStyle name="SAPBEXstdItemX 12" xfId="13225"/>
    <cellStyle name="SAPBEXstdItemX 2" xfId="13226"/>
    <cellStyle name="SAPBEXstdItemX 2 10" xfId="13227"/>
    <cellStyle name="SAPBEXstdItemX 2 10 2" xfId="13228"/>
    <cellStyle name="SAPBEXstdItemX 2 11" xfId="13229"/>
    <cellStyle name="SAPBEXstdItemX 2 2" xfId="13230"/>
    <cellStyle name="SAPBEXstdItemX 2 2 2" xfId="13231"/>
    <cellStyle name="SAPBEXstdItemX 2 3" xfId="13232"/>
    <cellStyle name="SAPBEXstdItemX 2 3 2" xfId="13233"/>
    <cellStyle name="SAPBEXstdItemX 2 4" xfId="13234"/>
    <cellStyle name="SAPBEXstdItemX 2 4 2" xfId="13235"/>
    <cellStyle name="SAPBEXstdItemX 2 5" xfId="13236"/>
    <cellStyle name="SAPBEXstdItemX 2 5 2" xfId="13237"/>
    <cellStyle name="SAPBEXstdItemX 2 6" xfId="13238"/>
    <cellStyle name="SAPBEXstdItemX 2 6 2" xfId="13239"/>
    <cellStyle name="SAPBEXstdItemX 2 7" xfId="13240"/>
    <cellStyle name="SAPBEXstdItemX 2 7 2" xfId="13241"/>
    <cellStyle name="SAPBEXstdItemX 2 8" xfId="13242"/>
    <cellStyle name="SAPBEXstdItemX 2 8 2" xfId="13243"/>
    <cellStyle name="SAPBEXstdItemX 2 9" xfId="13244"/>
    <cellStyle name="SAPBEXstdItemX 2 9 2" xfId="13245"/>
    <cellStyle name="SAPBEXstdItemX 3" xfId="13246"/>
    <cellStyle name="SAPBEXstdItemX 3 2" xfId="13247"/>
    <cellStyle name="SAPBEXstdItemX 4" xfId="13248"/>
    <cellStyle name="SAPBEXstdItemX 4 2" xfId="13249"/>
    <cellStyle name="SAPBEXstdItemX 5" xfId="13250"/>
    <cellStyle name="SAPBEXstdItemX 5 2" xfId="13251"/>
    <cellStyle name="SAPBEXstdItemX 6" xfId="13252"/>
    <cellStyle name="SAPBEXstdItemX 6 2" xfId="13253"/>
    <cellStyle name="SAPBEXstdItemX 7" xfId="13254"/>
    <cellStyle name="SAPBEXstdItemX 7 2" xfId="13255"/>
    <cellStyle name="SAPBEXstdItemX 8" xfId="13256"/>
    <cellStyle name="SAPBEXstdItemX 8 2" xfId="13257"/>
    <cellStyle name="SAPBEXstdItemX 9" xfId="13258"/>
    <cellStyle name="SAPBEXstdItemX 9 2" xfId="13259"/>
    <cellStyle name="SAPBEXtitle" xfId="13260"/>
    <cellStyle name="SAPBEXundefined" xfId="13261"/>
    <cellStyle name="SAPBEXundefined 10" xfId="13262"/>
    <cellStyle name="SAPBEXundefined 10 2" xfId="13263"/>
    <cellStyle name="SAPBEXundefined 11" xfId="13264"/>
    <cellStyle name="SAPBEXundefined 11 2" xfId="13265"/>
    <cellStyle name="SAPBEXundefined 12" xfId="13266"/>
    <cellStyle name="SAPBEXundefined 2" xfId="13267"/>
    <cellStyle name="SAPBEXundefined 2 10" xfId="13268"/>
    <cellStyle name="SAPBEXundefined 2 10 2" xfId="13269"/>
    <cellStyle name="SAPBEXundefined 2 11" xfId="13270"/>
    <cellStyle name="SAPBEXundefined 2 2" xfId="13271"/>
    <cellStyle name="SAPBEXundefined 2 2 2" xfId="13272"/>
    <cellStyle name="SAPBEXundefined 2 3" xfId="13273"/>
    <cellStyle name="SAPBEXundefined 2 3 2" xfId="13274"/>
    <cellStyle name="SAPBEXundefined 2 4" xfId="13275"/>
    <cellStyle name="SAPBEXundefined 2 4 2" xfId="13276"/>
    <cellStyle name="SAPBEXundefined 2 5" xfId="13277"/>
    <cellStyle name="SAPBEXundefined 2 5 2" xfId="13278"/>
    <cellStyle name="SAPBEXundefined 2 6" xfId="13279"/>
    <cellStyle name="SAPBEXundefined 2 6 2" xfId="13280"/>
    <cellStyle name="SAPBEXundefined 2 7" xfId="13281"/>
    <cellStyle name="SAPBEXundefined 2 7 2" xfId="13282"/>
    <cellStyle name="SAPBEXundefined 2 8" xfId="13283"/>
    <cellStyle name="SAPBEXundefined 2 8 2" xfId="13284"/>
    <cellStyle name="SAPBEXundefined 2 9" xfId="13285"/>
    <cellStyle name="SAPBEXundefined 2 9 2" xfId="13286"/>
    <cellStyle name="SAPBEXundefined 3" xfId="13287"/>
    <cellStyle name="SAPBEXundefined 3 2" xfId="13288"/>
    <cellStyle name="SAPBEXundefined 4" xfId="13289"/>
    <cellStyle name="SAPBEXundefined 4 2" xfId="13290"/>
    <cellStyle name="SAPBEXundefined 5" xfId="13291"/>
    <cellStyle name="SAPBEXundefined 5 2" xfId="13292"/>
    <cellStyle name="SAPBEXundefined 6" xfId="13293"/>
    <cellStyle name="SAPBEXundefined 6 2" xfId="13294"/>
    <cellStyle name="SAPBEXundefined 7" xfId="13295"/>
    <cellStyle name="SAPBEXundefined 7 2" xfId="13296"/>
    <cellStyle name="SAPBEXundefined 8" xfId="13297"/>
    <cellStyle name="SAPBEXundefined 8 2" xfId="13298"/>
    <cellStyle name="SAPBEXundefined 9" xfId="13299"/>
    <cellStyle name="SAPBEXundefined 9 2" xfId="13300"/>
    <cellStyle name="SAPDataCell" xfId="13301"/>
    <cellStyle name="SAPDataTotalCell" xfId="13302"/>
    <cellStyle name="SAPDimensionCell" xfId="13303"/>
    <cellStyle name="SAPEmphasized" xfId="13304"/>
    <cellStyle name="SAPHierarchyCell0" xfId="13305"/>
    <cellStyle name="SAPHierarchyCell1" xfId="13306"/>
    <cellStyle name="SAPHierarchyCell2" xfId="13307"/>
    <cellStyle name="SAPHierarchyCell3" xfId="13308"/>
    <cellStyle name="SAPHierarchyCell4" xfId="13309"/>
    <cellStyle name="SAPLocked" xfId="13310"/>
    <cellStyle name="SAPLocked 10" xfId="13311"/>
    <cellStyle name="SAPLocked 10 10" xfId="13312"/>
    <cellStyle name="SAPLocked 10 10 2" xfId="13313"/>
    <cellStyle name="SAPLocked 10 11" xfId="13314"/>
    <cellStyle name="SAPLocked 10 11 2" xfId="13315"/>
    <cellStyle name="SAPLocked 10 12" xfId="13316"/>
    <cellStyle name="SAPLocked 10 12 2" xfId="13317"/>
    <cellStyle name="SAPLocked 10 13" xfId="13318"/>
    <cellStyle name="SAPLocked 10 2" xfId="13319"/>
    <cellStyle name="SAPLocked 10 2 10" xfId="13320"/>
    <cellStyle name="SAPLocked 10 2 10 2" xfId="13321"/>
    <cellStyle name="SAPLocked 10 2 11" xfId="13322"/>
    <cellStyle name="SAPLocked 10 2 11 2" xfId="13323"/>
    <cellStyle name="SAPLocked 10 2 12" xfId="13324"/>
    <cellStyle name="SAPLocked 10 2 2" xfId="13325"/>
    <cellStyle name="SAPLocked 10 2 2 2" xfId="13326"/>
    <cellStyle name="SAPLocked 10 2 3" xfId="13327"/>
    <cellStyle name="SAPLocked 10 2 3 2" xfId="13328"/>
    <cellStyle name="SAPLocked 10 2 4" xfId="13329"/>
    <cellStyle name="SAPLocked 10 2 4 2" xfId="13330"/>
    <cellStyle name="SAPLocked 10 2 5" xfId="13331"/>
    <cellStyle name="SAPLocked 10 2 5 2" xfId="13332"/>
    <cellStyle name="SAPLocked 10 2 6" xfId="13333"/>
    <cellStyle name="SAPLocked 10 2 6 2" xfId="13334"/>
    <cellStyle name="SAPLocked 10 2 7" xfId="13335"/>
    <cellStyle name="SAPLocked 10 2 7 2" xfId="13336"/>
    <cellStyle name="SAPLocked 10 2 8" xfId="13337"/>
    <cellStyle name="SAPLocked 10 2 8 2" xfId="13338"/>
    <cellStyle name="SAPLocked 10 2 9" xfId="13339"/>
    <cellStyle name="SAPLocked 10 2 9 2" xfId="13340"/>
    <cellStyle name="SAPLocked 10 3" xfId="13341"/>
    <cellStyle name="SAPLocked 10 3 2" xfId="13342"/>
    <cellStyle name="SAPLocked 10 4" xfId="13343"/>
    <cellStyle name="SAPLocked 10 4 2" xfId="13344"/>
    <cellStyle name="SAPLocked 10 5" xfId="13345"/>
    <cellStyle name="SAPLocked 10 5 2" xfId="13346"/>
    <cellStyle name="SAPLocked 10 6" xfId="13347"/>
    <cellStyle name="SAPLocked 10 6 2" xfId="13348"/>
    <cellStyle name="SAPLocked 10 7" xfId="13349"/>
    <cellStyle name="SAPLocked 10 7 2" xfId="13350"/>
    <cellStyle name="SAPLocked 10 8" xfId="13351"/>
    <cellStyle name="SAPLocked 10 8 2" xfId="13352"/>
    <cellStyle name="SAPLocked 10 9" xfId="13353"/>
    <cellStyle name="SAPLocked 10 9 2" xfId="13354"/>
    <cellStyle name="SAPLocked 11" xfId="13355"/>
    <cellStyle name="SAPLocked 11 10" xfId="13356"/>
    <cellStyle name="SAPLocked 11 10 2" xfId="13357"/>
    <cellStyle name="SAPLocked 11 11" xfId="13358"/>
    <cellStyle name="SAPLocked 11 11 2" xfId="13359"/>
    <cellStyle name="SAPLocked 11 12" xfId="13360"/>
    <cellStyle name="SAPLocked 11 12 2" xfId="13361"/>
    <cellStyle name="SAPLocked 11 13" xfId="13362"/>
    <cellStyle name="SAPLocked 11 2" xfId="13363"/>
    <cellStyle name="SAPLocked 11 2 10" xfId="13364"/>
    <cellStyle name="SAPLocked 11 2 10 2" xfId="13365"/>
    <cellStyle name="SAPLocked 11 2 11" xfId="13366"/>
    <cellStyle name="SAPLocked 11 2 11 2" xfId="13367"/>
    <cellStyle name="SAPLocked 11 2 12" xfId="13368"/>
    <cellStyle name="SAPLocked 11 2 2" xfId="13369"/>
    <cellStyle name="SAPLocked 11 2 2 2" xfId="13370"/>
    <cellStyle name="SAPLocked 11 2 3" xfId="13371"/>
    <cellStyle name="SAPLocked 11 2 3 2" xfId="13372"/>
    <cellStyle name="SAPLocked 11 2 4" xfId="13373"/>
    <cellStyle name="SAPLocked 11 2 4 2" xfId="13374"/>
    <cellStyle name="SAPLocked 11 2 5" xfId="13375"/>
    <cellStyle name="SAPLocked 11 2 5 2" xfId="13376"/>
    <cellStyle name="SAPLocked 11 2 6" xfId="13377"/>
    <cellStyle name="SAPLocked 11 2 6 2" xfId="13378"/>
    <cellStyle name="SAPLocked 11 2 7" xfId="13379"/>
    <cellStyle name="SAPLocked 11 2 7 2" xfId="13380"/>
    <cellStyle name="SAPLocked 11 2 8" xfId="13381"/>
    <cellStyle name="SAPLocked 11 2 8 2" xfId="13382"/>
    <cellStyle name="SAPLocked 11 2 9" xfId="13383"/>
    <cellStyle name="SAPLocked 11 2 9 2" xfId="13384"/>
    <cellStyle name="SAPLocked 11 3" xfId="13385"/>
    <cellStyle name="SAPLocked 11 3 2" xfId="13386"/>
    <cellStyle name="SAPLocked 11 4" xfId="13387"/>
    <cellStyle name="SAPLocked 11 4 2" xfId="13388"/>
    <cellStyle name="SAPLocked 11 5" xfId="13389"/>
    <cellStyle name="SAPLocked 11 5 2" xfId="13390"/>
    <cellStyle name="SAPLocked 11 6" xfId="13391"/>
    <cellStyle name="SAPLocked 11 6 2" xfId="13392"/>
    <cellStyle name="SAPLocked 11 7" xfId="13393"/>
    <cellStyle name="SAPLocked 11 7 2" xfId="13394"/>
    <cellStyle name="SAPLocked 11 8" xfId="13395"/>
    <cellStyle name="SAPLocked 11 8 2" xfId="13396"/>
    <cellStyle name="SAPLocked 11 9" xfId="13397"/>
    <cellStyle name="SAPLocked 11 9 2" xfId="13398"/>
    <cellStyle name="SAPLocked 12" xfId="13399"/>
    <cellStyle name="SAPLocked 12 10" xfId="13400"/>
    <cellStyle name="SAPLocked 12 10 2" xfId="13401"/>
    <cellStyle name="SAPLocked 12 11" xfId="13402"/>
    <cellStyle name="SAPLocked 12 11 2" xfId="13403"/>
    <cellStyle name="SAPLocked 12 12" xfId="13404"/>
    <cellStyle name="SAPLocked 12 12 2" xfId="13405"/>
    <cellStyle name="SAPLocked 12 13" xfId="13406"/>
    <cellStyle name="SAPLocked 12 2" xfId="13407"/>
    <cellStyle name="SAPLocked 12 2 10" xfId="13408"/>
    <cellStyle name="SAPLocked 12 2 10 2" xfId="13409"/>
    <cellStyle name="SAPLocked 12 2 11" xfId="13410"/>
    <cellStyle name="SAPLocked 12 2 11 2" xfId="13411"/>
    <cellStyle name="SAPLocked 12 2 12" xfId="13412"/>
    <cellStyle name="SAPLocked 12 2 2" xfId="13413"/>
    <cellStyle name="SAPLocked 12 2 2 2" xfId="13414"/>
    <cellStyle name="SAPLocked 12 2 3" xfId="13415"/>
    <cellStyle name="SAPLocked 12 2 3 2" xfId="13416"/>
    <cellStyle name="SAPLocked 12 2 4" xfId="13417"/>
    <cellStyle name="SAPLocked 12 2 4 2" xfId="13418"/>
    <cellStyle name="SAPLocked 12 2 5" xfId="13419"/>
    <cellStyle name="SAPLocked 12 2 5 2" xfId="13420"/>
    <cellStyle name="SAPLocked 12 2 6" xfId="13421"/>
    <cellStyle name="SAPLocked 12 2 6 2" xfId="13422"/>
    <cellStyle name="SAPLocked 12 2 7" xfId="13423"/>
    <cellStyle name="SAPLocked 12 2 7 2" xfId="13424"/>
    <cellStyle name="SAPLocked 12 2 8" xfId="13425"/>
    <cellStyle name="SAPLocked 12 2 8 2" xfId="13426"/>
    <cellStyle name="SAPLocked 12 2 9" xfId="13427"/>
    <cellStyle name="SAPLocked 12 2 9 2" xfId="13428"/>
    <cellStyle name="SAPLocked 12 3" xfId="13429"/>
    <cellStyle name="SAPLocked 12 3 2" xfId="13430"/>
    <cellStyle name="SAPLocked 12 4" xfId="13431"/>
    <cellStyle name="SAPLocked 12 4 2" xfId="13432"/>
    <cellStyle name="SAPLocked 12 5" xfId="13433"/>
    <cellStyle name="SAPLocked 12 5 2" xfId="13434"/>
    <cellStyle name="SAPLocked 12 6" xfId="13435"/>
    <cellStyle name="SAPLocked 12 6 2" xfId="13436"/>
    <cellStyle name="SAPLocked 12 7" xfId="13437"/>
    <cellStyle name="SAPLocked 12 7 2" xfId="13438"/>
    <cellStyle name="SAPLocked 12 8" xfId="13439"/>
    <cellStyle name="SAPLocked 12 8 2" xfId="13440"/>
    <cellStyle name="SAPLocked 12 9" xfId="13441"/>
    <cellStyle name="SAPLocked 12 9 2" xfId="13442"/>
    <cellStyle name="SAPLocked 13" xfId="13443"/>
    <cellStyle name="SAPLocked 13 10" xfId="13444"/>
    <cellStyle name="SAPLocked 13 10 2" xfId="13445"/>
    <cellStyle name="SAPLocked 13 11" xfId="13446"/>
    <cellStyle name="SAPLocked 13 11 2" xfId="13447"/>
    <cellStyle name="SAPLocked 13 12" xfId="13448"/>
    <cellStyle name="SAPLocked 13 12 2" xfId="13449"/>
    <cellStyle name="SAPLocked 13 13" xfId="13450"/>
    <cellStyle name="SAPLocked 13 2" xfId="13451"/>
    <cellStyle name="SAPLocked 13 2 10" xfId="13452"/>
    <cellStyle name="SAPLocked 13 2 10 2" xfId="13453"/>
    <cellStyle name="SAPLocked 13 2 11" xfId="13454"/>
    <cellStyle name="SAPLocked 13 2 11 2" xfId="13455"/>
    <cellStyle name="SAPLocked 13 2 12" xfId="13456"/>
    <cellStyle name="SAPLocked 13 2 2" xfId="13457"/>
    <cellStyle name="SAPLocked 13 2 2 2" xfId="13458"/>
    <cellStyle name="SAPLocked 13 2 3" xfId="13459"/>
    <cellStyle name="SAPLocked 13 2 3 2" xfId="13460"/>
    <cellStyle name="SAPLocked 13 2 4" xfId="13461"/>
    <cellStyle name="SAPLocked 13 2 4 2" xfId="13462"/>
    <cellStyle name="SAPLocked 13 2 5" xfId="13463"/>
    <cellStyle name="SAPLocked 13 2 5 2" xfId="13464"/>
    <cellStyle name="SAPLocked 13 2 6" xfId="13465"/>
    <cellStyle name="SAPLocked 13 2 6 2" xfId="13466"/>
    <cellStyle name="SAPLocked 13 2 7" xfId="13467"/>
    <cellStyle name="SAPLocked 13 2 7 2" xfId="13468"/>
    <cellStyle name="SAPLocked 13 2 8" xfId="13469"/>
    <cellStyle name="SAPLocked 13 2 8 2" xfId="13470"/>
    <cellStyle name="SAPLocked 13 2 9" xfId="13471"/>
    <cellStyle name="SAPLocked 13 2 9 2" xfId="13472"/>
    <cellStyle name="SAPLocked 13 3" xfId="13473"/>
    <cellStyle name="SAPLocked 13 3 2" xfId="13474"/>
    <cellStyle name="SAPLocked 13 4" xfId="13475"/>
    <cellStyle name="SAPLocked 13 4 2" xfId="13476"/>
    <cellStyle name="SAPLocked 13 5" xfId="13477"/>
    <cellStyle name="SAPLocked 13 5 2" xfId="13478"/>
    <cellStyle name="SAPLocked 13 6" xfId="13479"/>
    <cellStyle name="SAPLocked 13 6 2" xfId="13480"/>
    <cellStyle name="SAPLocked 13 7" xfId="13481"/>
    <cellStyle name="SAPLocked 13 7 2" xfId="13482"/>
    <cellStyle name="SAPLocked 13 8" xfId="13483"/>
    <cellStyle name="SAPLocked 13 8 2" xfId="13484"/>
    <cellStyle name="SAPLocked 13 9" xfId="13485"/>
    <cellStyle name="SAPLocked 13 9 2" xfId="13486"/>
    <cellStyle name="SAPLocked 14" xfId="13487"/>
    <cellStyle name="SAPLocked 14 10" xfId="13488"/>
    <cellStyle name="SAPLocked 14 10 2" xfId="13489"/>
    <cellStyle name="SAPLocked 14 11" xfId="13490"/>
    <cellStyle name="SAPLocked 14 11 2" xfId="13491"/>
    <cellStyle name="SAPLocked 14 12" xfId="13492"/>
    <cellStyle name="SAPLocked 14 12 2" xfId="13493"/>
    <cellStyle name="SAPLocked 14 13" xfId="13494"/>
    <cellStyle name="SAPLocked 14 2" xfId="13495"/>
    <cellStyle name="SAPLocked 14 2 10" xfId="13496"/>
    <cellStyle name="SAPLocked 14 2 10 2" xfId="13497"/>
    <cellStyle name="SAPLocked 14 2 11" xfId="13498"/>
    <cellStyle name="SAPLocked 14 2 11 2" xfId="13499"/>
    <cellStyle name="SAPLocked 14 2 12" xfId="13500"/>
    <cellStyle name="SAPLocked 14 2 2" xfId="13501"/>
    <cellStyle name="SAPLocked 14 2 2 2" xfId="13502"/>
    <cellStyle name="SAPLocked 14 2 3" xfId="13503"/>
    <cellStyle name="SAPLocked 14 2 3 2" xfId="13504"/>
    <cellStyle name="SAPLocked 14 2 4" xfId="13505"/>
    <cellStyle name="SAPLocked 14 2 4 2" xfId="13506"/>
    <cellStyle name="SAPLocked 14 2 5" xfId="13507"/>
    <cellStyle name="SAPLocked 14 2 5 2" xfId="13508"/>
    <cellStyle name="SAPLocked 14 2 6" xfId="13509"/>
    <cellStyle name="SAPLocked 14 2 6 2" xfId="13510"/>
    <cellStyle name="SAPLocked 14 2 7" xfId="13511"/>
    <cellStyle name="SAPLocked 14 2 7 2" xfId="13512"/>
    <cellStyle name="SAPLocked 14 2 8" xfId="13513"/>
    <cellStyle name="SAPLocked 14 2 8 2" xfId="13514"/>
    <cellStyle name="SAPLocked 14 2 9" xfId="13515"/>
    <cellStyle name="SAPLocked 14 2 9 2" xfId="13516"/>
    <cellStyle name="SAPLocked 14 3" xfId="13517"/>
    <cellStyle name="SAPLocked 14 3 2" xfId="13518"/>
    <cellStyle name="SAPLocked 14 4" xfId="13519"/>
    <cellStyle name="SAPLocked 14 4 2" xfId="13520"/>
    <cellStyle name="SAPLocked 14 5" xfId="13521"/>
    <cellStyle name="SAPLocked 14 5 2" xfId="13522"/>
    <cellStyle name="SAPLocked 14 6" xfId="13523"/>
    <cellStyle name="SAPLocked 14 6 2" xfId="13524"/>
    <cellStyle name="SAPLocked 14 7" xfId="13525"/>
    <cellStyle name="SAPLocked 14 7 2" xfId="13526"/>
    <cellStyle name="SAPLocked 14 8" xfId="13527"/>
    <cellStyle name="SAPLocked 14 8 2" xfId="13528"/>
    <cellStyle name="SAPLocked 14 9" xfId="13529"/>
    <cellStyle name="SAPLocked 14 9 2" xfId="13530"/>
    <cellStyle name="SAPLocked 15" xfId="13531"/>
    <cellStyle name="SAPLocked 15 10" xfId="13532"/>
    <cellStyle name="SAPLocked 15 10 2" xfId="13533"/>
    <cellStyle name="SAPLocked 15 11" xfId="13534"/>
    <cellStyle name="SAPLocked 15 11 2" xfId="13535"/>
    <cellStyle name="SAPLocked 15 12" xfId="13536"/>
    <cellStyle name="SAPLocked 15 12 2" xfId="13537"/>
    <cellStyle name="SAPLocked 15 13" xfId="13538"/>
    <cellStyle name="SAPLocked 15 2" xfId="13539"/>
    <cellStyle name="SAPLocked 15 2 10" xfId="13540"/>
    <cellStyle name="SAPLocked 15 2 10 2" xfId="13541"/>
    <cellStyle name="SAPLocked 15 2 11" xfId="13542"/>
    <cellStyle name="SAPLocked 15 2 11 2" xfId="13543"/>
    <cellStyle name="SAPLocked 15 2 12" xfId="13544"/>
    <cellStyle name="SAPLocked 15 2 2" xfId="13545"/>
    <cellStyle name="SAPLocked 15 2 2 2" xfId="13546"/>
    <cellStyle name="SAPLocked 15 2 3" xfId="13547"/>
    <cellStyle name="SAPLocked 15 2 3 2" xfId="13548"/>
    <cellStyle name="SAPLocked 15 2 4" xfId="13549"/>
    <cellStyle name="SAPLocked 15 2 4 2" xfId="13550"/>
    <cellStyle name="SAPLocked 15 2 5" xfId="13551"/>
    <cellStyle name="SAPLocked 15 2 5 2" xfId="13552"/>
    <cellStyle name="SAPLocked 15 2 6" xfId="13553"/>
    <cellStyle name="SAPLocked 15 2 6 2" xfId="13554"/>
    <cellStyle name="SAPLocked 15 2 7" xfId="13555"/>
    <cellStyle name="SAPLocked 15 2 7 2" xfId="13556"/>
    <cellStyle name="SAPLocked 15 2 8" xfId="13557"/>
    <cellStyle name="SAPLocked 15 2 8 2" xfId="13558"/>
    <cellStyle name="SAPLocked 15 2 9" xfId="13559"/>
    <cellStyle name="SAPLocked 15 2 9 2" xfId="13560"/>
    <cellStyle name="SAPLocked 15 3" xfId="13561"/>
    <cellStyle name="SAPLocked 15 3 2" xfId="13562"/>
    <cellStyle name="SAPLocked 15 4" xfId="13563"/>
    <cellStyle name="SAPLocked 15 4 2" xfId="13564"/>
    <cellStyle name="SAPLocked 15 5" xfId="13565"/>
    <cellStyle name="SAPLocked 15 5 2" xfId="13566"/>
    <cellStyle name="SAPLocked 15 6" xfId="13567"/>
    <cellStyle name="SAPLocked 15 6 2" xfId="13568"/>
    <cellStyle name="SAPLocked 15 7" xfId="13569"/>
    <cellStyle name="SAPLocked 15 7 2" xfId="13570"/>
    <cellStyle name="SAPLocked 15 8" xfId="13571"/>
    <cellStyle name="SAPLocked 15 8 2" xfId="13572"/>
    <cellStyle name="SAPLocked 15 9" xfId="13573"/>
    <cellStyle name="SAPLocked 15 9 2" xfId="13574"/>
    <cellStyle name="SAPLocked 16" xfId="13575"/>
    <cellStyle name="SAPLocked 16 10" xfId="13576"/>
    <cellStyle name="SAPLocked 16 10 2" xfId="13577"/>
    <cellStyle name="SAPLocked 16 11" xfId="13578"/>
    <cellStyle name="SAPLocked 16 11 2" xfId="13579"/>
    <cellStyle name="SAPLocked 16 12" xfId="13580"/>
    <cellStyle name="SAPLocked 16 12 2" xfId="13581"/>
    <cellStyle name="SAPLocked 16 13" xfId="13582"/>
    <cellStyle name="SAPLocked 16 2" xfId="13583"/>
    <cellStyle name="SAPLocked 16 2 10" xfId="13584"/>
    <cellStyle name="SAPLocked 16 2 10 2" xfId="13585"/>
    <cellStyle name="SAPLocked 16 2 11" xfId="13586"/>
    <cellStyle name="SAPLocked 16 2 11 2" xfId="13587"/>
    <cellStyle name="SAPLocked 16 2 12" xfId="13588"/>
    <cellStyle name="SAPLocked 16 2 2" xfId="13589"/>
    <cellStyle name="SAPLocked 16 2 2 2" xfId="13590"/>
    <cellStyle name="SAPLocked 16 2 3" xfId="13591"/>
    <cellStyle name="SAPLocked 16 2 3 2" xfId="13592"/>
    <cellStyle name="SAPLocked 16 2 4" xfId="13593"/>
    <cellStyle name="SAPLocked 16 2 4 2" xfId="13594"/>
    <cellStyle name="SAPLocked 16 2 5" xfId="13595"/>
    <cellStyle name="SAPLocked 16 2 5 2" xfId="13596"/>
    <cellStyle name="SAPLocked 16 2 6" xfId="13597"/>
    <cellStyle name="SAPLocked 16 2 6 2" xfId="13598"/>
    <cellStyle name="SAPLocked 16 2 7" xfId="13599"/>
    <cellStyle name="SAPLocked 16 2 7 2" xfId="13600"/>
    <cellStyle name="SAPLocked 16 2 8" xfId="13601"/>
    <cellStyle name="SAPLocked 16 2 8 2" xfId="13602"/>
    <cellStyle name="SAPLocked 16 2 9" xfId="13603"/>
    <cellStyle name="SAPLocked 16 2 9 2" xfId="13604"/>
    <cellStyle name="SAPLocked 16 3" xfId="13605"/>
    <cellStyle name="SAPLocked 16 3 2" xfId="13606"/>
    <cellStyle name="SAPLocked 16 4" xfId="13607"/>
    <cellStyle name="SAPLocked 16 4 2" xfId="13608"/>
    <cellStyle name="SAPLocked 16 5" xfId="13609"/>
    <cellStyle name="SAPLocked 16 5 2" xfId="13610"/>
    <cellStyle name="SAPLocked 16 6" xfId="13611"/>
    <cellStyle name="SAPLocked 16 6 2" xfId="13612"/>
    <cellStyle name="SAPLocked 16 7" xfId="13613"/>
    <cellStyle name="SAPLocked 16 7 2" xfId="13614"/>
    <cellStyle name="SAPLocked 16 8" xfId="13615"/>
    <cellStyle name="SAPLocked 16 8 2" xfId="13616"/>
    <cellStyle name="SAPLocked 16 9" xfId="13617"/>
    <cellStyle name="SAPLocked 16 9 2" xfId="13618"/>
    <cellStyle name="SAPLocked 17" xfId="13619"/>
    <cellStyle name="SAPLocked 17 10" xfId="13620"/>
    <cellStyle name="SAPLocked 17 10 2" xfId="13621"/>
    <cellStyle name="SAPLocked 17 11" xfId="13622"/>
    <cellStyle name="SAPLocked 17 11 2" xfId="13623"/>
    <cellStyle name="SAPLocked 17 12" xfId="13624"/>
    <cellStyle name="SAPLocked 17 12 2" xfId="13625"/>
    <cellStyle name="SAPLocked 17 13" xfId="13626"/>
    <cellStyle name="SAPLocked 17 2" xfId="13627"/>
    <cellStyle name="SAPLocked 17 2 10" xfId="13628"/>
    <cellStyle name="SAPLocked 17 2 10 2" xfId="13629"/>
    <cellStyle name="SAPLocked 17 2 11" xfId="13630"/>
    <cellStyle name="SAPLocked 17 2 11 2" xfId="13631"/>
    <cellStyle name="SAPLocked 17 2 12" xfId="13632"/>
    <cellStyle name="SAPLocked 17 2 2" xfId="13633"/>
    <cellStyle name="SAPLocked 17 2 2 2" xfId="13634"/>
    <cellStyle name="SAPLocked 17 2 3" xfId="13635"/>
    <cellStyle name="SAPLocked 17 2 3 2" xfId="13636"/>
    <cellStyle name="SAPLocked 17 2 4" xfId="13637"/>
    <cellStyle name="SAPLocked 17 2 4 2" xfId="13638"/>
    <cellStyle name="SAPLocked 17 2 5" xfId="13639"/>
    <cellStyle name="SAPLocked 17 2 5 2" xfId="13640"/>
    <cellStyle name="SAPLocked 17 2 6" xfId="13641"/>
    <cellStyle name="SAPLocked 17 2 6 2" xfId="13642"/>
    <cellStyle name="SAPLocked 17 2 7" xfId="13643"/>
    <cellStyle name="SAPLocked 17 2 7 2" xfId="13644"/>
    <cellStyle name="SAPLocked 17 2 8" xfId="13645"/>
    <cellStyle name="SAPLocked 17 2 8 2" xfId="13646"/>
    <cellStyle name="SAPLocked 17 2 9" xfId="13647"/>
    <cellStyle name="SAPLocked 17 2 9 2" xfId="13648"/>
    <cellStyle name="SAPLocked 17 3" xfId="13649"/>
    <cellStyle name="SAPLocked 17 3 2" xfId="13650"/>
    <cellStyle name="SAPLocked 17 4" xfId="13651"/>
    <cellStyle name="SAPLocked 17 4 2" xfId="13652"/>
    <cellStyle name="SAPLocked 17 5" xfId="13653"/>
    <cellStyle name="SAPLocked 17 5 2" xfId="13654"/>
    <cellStyle name="SAPLocked 17 6" xfId="13655"/>
    <cellStyle name="SAPLocked 17 6 2" xfId="13656"/>
    <cellStyle name="SAPLocked 17 7" xfId="13657"/>
    <cellStyle name="SAPLocked 17 7 2" xfId="13658"/>
    <cellStyle name="SAPLocked 17 8" xfId="13659"/>
    <cellStyle name="SAPLocked 17 8 2" xfId="13660"/>
    <cellStyle name="SAPLocked 17 9" xfId="13661"/>
    <cellStyle name="SAPLocked 17 9 2" xfId="13662"/>
    <cellStyle name="SAPLocked 18" xfId="13663"/>
    <cellStyle name="SAPLocked 18 10" xfId="13664"/>
    <cellStyle name="SAPLocked 18 10 2" xfId="13665"/>
    <cellStyle name="SAPLocked 18 11" xfId="13666"/>
    <cellStyle name="SAPLocked 18 11 2" xfId="13667"/>
    <cellStyle name="SAPLocked 18 12" xfId="13668"/>
    <cellStyle name="SAPLocked 18 12 2" xfId="13669"/>
    <cellStyle name="SAPLocked 18 13" xfId="13670"/>
    <cellStyle name="SAPLocked 18 2" xfId="13671"/>
    <cellStyle name="SAPLocked 18 2 10" xfId="13672"/>
    <cellStyle name="SAPLocked 18 2 10 2" xfId="13673"/>
    <cellStyle name="SAPLocked 18 2 11" xfId="13674"/>
    <cellStyle name="SAPLocked 18 2 11 2" xfId="13675"/>
    <cellStyle name="SAPLocked 18 2 12" xfId="13676"/>
    <cellStyle name="SAPLocked 18 2 2" xfId="13677"/>
    <cellStyle name="SAPLocked 18 2 2 2" xfId="13678"/>
    <cellStyle name="SAPLocked 18 2 3" xfId="13679"/>
    <cellStyle name="SAPLocked 18 2 3 2" xfId="13680"/>
    <cellStyle name="SAPLocked 18 2 4" xfId="13681"/>
    <cellStyle name="SAPLocked 18 2 4 2" xfId="13682"/>
    <cellStyle name="SAPLocked 18 2 5" xfId="13683"/>
    <cellStyle name="SAPLocked 18 2 5 2" xfId="13684"/>
    <cellStyle name="SAPLocked 18 2 6" xfId="13685"/>
    <cellStyle name="SAPLocked 18 2 6 2" xfId="13686"/>
    <cellStyle name="SAPLocked 18 2 7" xfId="13687"/>
    <cellStyle name="SAPLocked 18 2 7 2" xfId="13688"/>
    <cellStyle name="SAPLocked 18 2 8" xfId="13689"/>
    <cellStyle name="SAPLocked 18 2 8 2" xfId="13690"/>
    <cellStyle name="SAPLocked 18 2 9" xfId="13691"/>
    <cellStyle name="SAPLocked 18 2 9 2" xfId="13692"/>
    <cellStyle name="SAPLocked 18 3" xfId="13693"/>
    <cellStyle name="SAPLocked 18 3 2" xfId="13694"/>
    <cellStyle name="SAPLocked 18 4" xfId="13695"/>
    <cellStyle name="SAPLocked 18 4 2" xfId="13696"/>
    <cellStyle name="SAPLocked 18 5" xfId="13697"/>
    <cellStyle name="SAPLocked 18 5 2" xfId="13698"/>
    <cellStyle name="SAPLocked 18 6" xfId="13699"/>
    <cellStyle name="SAPLocked 18 6 2" xfId="13700"/>
    <cellStyle name="SAPLocked 18 7" xfId="13701"/>
    <cellStyle name="SAPLocked 18 7 2" xfId="13702"/>
    <cellStyle name="SAPLocked 18 8" xfId="13703"/>
    <cellStyle name="SAPLocked 18 8 2" xfId="13704"/>
    <cellStyle name="SAPLocked 18 9" xfId="13705"/>
    <cellStyle name="SAPLocked 18 9 2" xfId="13706"/>
    <cellStyle name="SAPLocked 19" xfId="13707"/>
    <cellStyle name="SAPLocked 19 10" xfId="13708"/>
    <cellStyle name="SAPLocked 19 10 2" xfId="13709"/>
    <cellStyle name="SAPLocked 19 11" xfId="13710"/>
    <cellStyle name="SAPLocked 19 11 2" xfId="13711"/>
    <cellStyle name="SAPLocked 19 12" xfId="13712"/>
    <cellStyle name="SAPLocked 19 12 2" xfId="13713"/>
    <cellStyle name="SAPLocked 19 13" xfId="13714"/>
    <cellStyle name="SAPLocked 19 2" xfId="13715"/>
    <cellStyle name="SAPLocked 19 2 10" xfId="13716"/>
    <cellStyle name="SAPLocked 19 2 10 2" xfId="13717"/>
    <cellStyle name="SAPLocked 19 2 11" xfId="13718"/>
    <cellStyle name="SAPLocked 19 2 11 2" xfId="13719"/>
    <cellStyle name="SAPLocked 19 2 12" xfId="13720"/>
    <cellStyle name="SAPLocked 19 2 2" xfId="13721"/>
    <cellStyle name="SAPLocked 19 2 2 2" xfId="13722"/>
    <cellStyle name="SAPLocked 19 2 3" xfId="13723"/>
    <cellStyle name="SAPLocked 19 2 3 2" xfId="13724"/>
    <cellStyle name="SAPLocked 19 2 4" xfId="13725"/>
    <cellStyle name="SAPLocked 19 2 4 2" xfId="13726"/>
    <cellStyle name="SAPLocked 19 2 5" xfId="13727"/>
    <cellStyle name="SAPLocked 19 2 5 2" xfId="13728"/>
    <cellStyle name="SAPLocked 19 2 6" xfId="13729"/>
    <cellStyle name="SAPLocked 19 2 6 2" xfId="13730"/>
    <cellStyle name="SAPLocked 19 2 7" xfId="13731"/>
    <cellStyle name="SAPLocked 19 2 7 2" xfId="13732"/>
    <cellStyle name="SAPLocked 19 2 8" xfId="13733"/>
    <cellStyle name="SAPLocked 19 2 8 2" xfId="13734"/>
    <cellStyle name="SAPLocked 19 2 9" xfId="13735"/>
    <cellStyle name="SAPLocked 19 2 9 2" xfId="13736"/>
    <cellStyle name="SAPLocked 19 3" xfId="13737"/>
    <cellStyle name="SAPLocked 19 3 2" xfId="13738"/>
    <cellStyle name="SAPLocked 19 4" xfId="13739"/>
    <cellStyle name="SAPLocked 19 4 2" xfId="13740"/>
    <cellStyle name="SAPLocked 19 5" xfId="13741"/>
    <cellStyle name="SAPLocked 19 5 2" xfId="13742"/>
    <cellStyle name="SAPLocked 19 6" xfId="13743"/>
    <cellStyle name="SAPLocked 19 6 2" xfId="13744"/>
    <cellStyle name="SAPLocked 19 7" xfId="13745"/>
    <cellStyle name="SAPLocked 19 7 2" xfId="13746"/>
    <cellStyle name="SAPLocked 19 8" xfId="13747"/>
    <cellStyle name="SAPLocked 19 8 2" xfId="13748"/>
    <cellStyle name="SAPLocked 19 9" xfId="13749"/>
    <cellStyle name="SAPLocked 19 9 2" xfId="13750"/>
    <cellStyle name="SAPLocked 2" xfId="13751"/>
    <cellStyle name="SAPLocked 2 10" xfId="13752"/>
    <cellStyle name="SAPLocked 2 10 10" xfId="13753"/>
    <cellStyle name="SAPLocked 2 10 10 2" xfId="13754"/>
    <cellStyle name="SAPLocked 2 10 11" xfId="13755"/>
    <cellStyle name="SAPLocked 2 10 11 2" xfId="13756"/>
    <cellStyle name="SAPLocked 2 10 12" xfId="13757"/>
    <cellStyle name="SAPLocked 2 10 12 2" xfId="13758"/>
    <cellStyle name="SAPLocked 2 10 13" xfId="13759"/>
    <cellStyle name="SAPLocked 2 10 2" xfId="13760"/>
    <cellStyle name="SAPLocked 2 10 2 10" xfId="13761"/>
    <cellStyle name="SAPLocked 2 10 2 10 2" xfId="13762"/>
    <cellStyle name="SAPLocked 2 10 2 11" xfId="13763"/>
    <cellStyle name="SAPLocked 2 10 2 11 2" xfId="13764"/>
    <cellStyle name="SAPLocked 2 10 2 12" xfId="13765"/>
    <cellStyle name="SAPLocked 2 10 2 2" xfId="13766"/>
    <cellStyle name="SAPLocked 2 10 2 2 2" xfId="13767"/>
    <cellStyle name="SAPLocked 2 10 2 3" xfId="13768"/>
    <cellStyle name="SAPLocked 2 10 2 3 2" xfId="13769"/>
    <cellStyle name="SAPLocked 2 10 2 4" xfId="13770"/>
    <cellStyle name="SAPLocked 2 10 2 4 2" xfId="13771"/>
    <cellStyle name="SAPLocked 2 10 2 5" xfId="13772"/>
    <cellStyle name="SAPLocked 2 10 2 5 2" xfId="13773"/>
    <cellStyle name="SAPLocked 2 10 2 6" xfId="13774"/>
    <cellStyle name="SAPLocked 2 10 2 6 2" xfId="13775"/>
    <cellStyle name="SAPLocked 2 10 2 7" xfId="13776"/>
    <cellStyle name="SAPLocked 2 10 2 7 2" xfId="13777"/>
    <cellStyle name="SAPLocked 2 10 2 8" xfId="13778"/>
    <cellStyle name="SAPLocked 2 10 2 8 2" xfId="13779"/>
    <cellStyle name="SAPLocked 2 10 2 9" xfId="13780"/>
    <cellStyle name="SAPLocked 2 10 2 9 2" xfId="13781"/>
    <cellStyle name="SAPLocked 2 10 3" xfId="13782"/>
    <cellStyle name="SAPLocked 2 10 3 2" xfId="13783"/>
    <cellStyle name="SAPLocked 2 10 4" xfId="13784"/>
    <cellStyle name="SAPLocked 2 10 4 2" xfId="13785"/>
    <cellStyle name="SAPLocked 2 10 5" xfId="13786"/>
    <cellStyle name="SAPLocked 2 10 5 2" xfId="13787"/>
    <cellStyle name="SAPLocked 2 10 6" xfId="13788"/>
    <cellStyle name="SAPLocked 2 10 6 2" xfId="13789"/>
    <cellStyle name="SAPLocked 2 10 7" xfId="13790"/>
    <cellStyle name="SAPLocked 2 10 7 2" xfId="13791"/>
    <cellStyle name="SAPLocked 2 10 8" xfId="13792"/>
    <cellStyle name="SAPLocked 2 10 8 2" xfId="13793"/>
    <cellStyle name="SAPLocked 2 10 9" xfId="13794"/>
    <cellStyle name="SAPLocked 2 10 9 2" xfId="13795"/>
    <cellStyle name="SAPLocked 2 11" xfId="13796"/>
    <cellStyle name="SAPLocked 2 11 10" xfId="13797"/>
    <cellStyle name="SAPLocked 2 11 10 2" xfId="13798"/>
    <cellStyle name="SAPLocked 2 11 11" xfId="13799"/>
    <cellStyle name="SAPLocked 2 11 11 2" xfId="13800"/>
    <cellStyle name="SAPLocked 2 11 12" xfId="13801"/>
    <cellStyle name="SAPLocked 2 11 12 2" xfId="13802"/>
    <cellStyle name="SAPLocked 2 11 13" xfId="13803"/>
    <cellStyle name="SAPLocked 2 11 2" xfId="13804"/>
    <cellStyle name="SAPLocked 2 11 2 10" xfId="13805"/>
    <cellStyle name="SAPLocked 2 11 2 10 2" xfId="13806"/>
    <cellStyle name="SAPLocked 2 11 2 11" xfId="13807"/>
    <cellStyle name="SAPLocked 2 11 2 11 2" xfId="13808"/>
    <cellStyle name="SAPLocked 2 11 2 12" xfId="13809"/>
    <cellStyle name="SAPLocked 2 11 2 2" xfId="13810"/>
    <cellStyle name="SAPLocked 2 11 2 2 2" xfId="13811"/>
    <cellStyle name="SAPLocked 2 11 2 3" xfId="13812"/>
    <cellStyle name="SAPLocked 2 11 2 3 2" xfId="13813"/>
    <cellStyle name="SAPLocked 2 11 2 4" xfId="13814"/>
    <cellStyle name="SAPLocked 2 11 2 4 2" xfId="13815"/>
    <cellStyle name="SAPLocked 2 11 2 5" xfId="13816"/>
    <cellStyle name="SAPLocked 2 11 2 5 2" xfId="13817"/>
    <cellStyle name="SAPLocked 2 11 2 6" xfId="13818"/>
    <cellStyle name="SAPLocked 2 11 2 6 2" xfId="13819"/>
    <cellStyle name="SAPLocked 2 11 2 7" xfId="13820"/>
    <cellStyle name="SAPLocked 2 11 2 7 2" xfId="13821"/>
    <cellStyle name="SAPLocked 2 11 2 8" xfId="13822"/>
    <cellStyle name="SAPLocked 2 11 2 8 2" xfId="13823"/>
    <cellStyle name="SAPLocked 2 11 2 9" xfId="13824"/>
    <cellStyle name="SAPLocked 2 11 2 9 2" xfId="13825"/>
    <cellStyle name="SAPLocked 2 11 3" xfId="13826"/>
    <cellStyle name="SAPLocked 2 11 3 2" xfId="13827"/>
    <cellStyle name="SAPLocked 2 11 4" xfId="13828"/>
    <cellStyle name="SAPLocked 2 11 4 2" xfId="13829"/>
    <cellStyle name="SAPLocked 2 11 5" xfId="13830"/>
    <cellStyle name="SAPLocked 2 11 5 2" xfId="13831"/>
    <cellStyle name="SAPLocked 2 11 6" xfId="13832"/>
    <cellStyle name="SAPLocked 2 11 6 2" xfId="13833"/>
    <cellStyle name="SAPLocked 2 11 7" xfId="13834"/>
    <cellStyle name="SAPLocked 2 11 7 2" xfId="13835"/>
    <cellStyle name="SAPLocked 2 11 8" xfId="13836"/>
    <cellStyle name="SAPLocked 2 11 8 2" xfId="13837"/>
    <cellStyle name="SAPLocked 2 11 9" xfId="13838"/>
    <cellStyle name="SAPLocked 2 11 9 2" xfId="13839"/>
    <cellStyle name="SAPLocked 2 12" xfId="13840"/>
    <cellStyle name="SAPLocked 2 12 10" xfId="13841"/>
    <cellStyle name="SAPLocked 2 12 10 2" xfId="13842"/>
    <cellStyle name="SAPLocked 2 12 11" xfId="13843"/>
    <cellStyle name="SAPLocked 2 12 11 2" xfId="13844"/>
    <cellStyle name="SAPLocked 2 12 12" xfId="13845"/>
    <cellStyle name="SAPLocked 2 12 12 2" xfId="13846"/>
    <cellStyle name="SAPLocked 2 12 13" xfId="13847"/>
    <cellStyle name="SAPLocked 2 12 2" xfId="13848"/>
    <cellStyle name="SAPLocked 2 12 2 10" xfId="13849"/>
    <cellStyle name="SAPLocked 2 12 2 10 2" xfId="13850"/>
    <cellStyle name="SAPLocked 2 12 2 11" xfId="13851"/>
    <cellStyle name="SAPLocked 2 12 2 11 2" xfId="13852"/>
    <cellStyle name="SAPLocked 2 12 2 12" xfId="13853"/>
    <cellStyle name="SAPLocked 2 12 2 2" xfId="13854"/>
    <cellStyle name="SAPLocked 2 12 2 2 2" xfId="13855"/>
    <cellStyle name="SAPLocked 2 12 2 3" xfId="13856"/>
    <cellStyle name="SAPLocked 2 12 2 3 2" xfId="13857"/>
    <cellStyle name="SAPLocked 2 12 2 4" xfId="13858"/>
    <cellStyle name="SAPLocked 2 12 2 4 2" xfId="13859"/>
    <cellStyle name="SAPLocked 2 12 2 5" xfId="13860"/>
    <cellStyle name="SAPLocked 2 12 2 5 2" xfId="13861"/>
    <cellStyle name="SAPLocked 2 12 2 6" xfId="13862"/>
    <cellStyle name="SAPLocked 2 12 2 6 2" xfId="13863"/>
    <cellStyle name="SAPLocked 2 12 2 7" xfId="13864"/>
    <cellStyle name="SAPLocked 2 12 2 7 2" xfId="13865"/>
    <cellStyle name="SAPLocked 2 12 2 8" xfId="13866"/>
    <cellStyle name="SAPLocked 2 12 2 8 2" xfId="13867"/>
    <cellStyle name="SAPLocked 2 12 2 9" xfId="13868"/>
    <cellStyle name="SAPLocked 2 12 2 9 2" xfId="13869"/>
    <cellStyle name="SAPLocked 2 12 3" xfId="13870"/>
    <cellStyle name="SAPLocked 2 12 3 2" xfId="13871"/>
    <cellStyle name="SAPLocked 2 12 4" xfId="13872"/>
    <cellStyle name="SAPLocked 2 12 4 2" xfId="13873"/>
    <cellStyle name="SAPLocked 2 12 5" xfId="13874"/>
    <cellStyle name="SAPLocked 2 12 5 2" xfId="13875"/>
    <cellStyle name="SAPLocked 2 12 6" xfId="13876"/>
    <cellStyle name="SAPLocked 2 12 6 2" xfId="13877"/>
    <cellStyle name="SAPLocked 2 12 7" xfId="13878"/>
    <cellStyle name="SAPLocked 2 12 7 2" xfId="13879"/>
    <cellStyle name="SAPLocked 2 12 8" xfId="13880"/>
    <cellStyle name="SAPLocked 2 12 8 2" xfId="13881"/>
    <cellStyle name="SAPLocked 2 12 9" xfId="13882"/>
    <cellStyle name="SAPLocked 2 12 9 2" xfId="13883"/>
    <cellStyle name="SAPLocked 2 13" xfId="13884"/>
    <cellStyle name="SAPLocked 2 13 10" xfId="13885"/>
    <cellStyle name="SAPLocked 2 13 10 2" xfId="13886"/>
    <cellStyle name="SAPLocked 2 13 11" xfId="13887"/>
    <cellStyle name="SAPLocked 2 13 11 2" xfId="13888"/>
    <cellStyle name="SAPLocked 2 13 12" xfId="13889"/>
    <cellStyle name="SAPLocked 2 13 12 2" xfId="13890"/>
    <cellStyle name="SAPLocked 2 13 13" xfId="13891"/>
    <cellStyle name="SAPLocked 2 13 2" xfId="13892"/>
    <cellStyle name="SAPLocked 2 13 2 10" xfId="13893"/>
    <cellStyle name="SAPLocked 2 13 2 10 2" xfId="13894"/>
    <cellStyle name="SAPLocked 2 13 2 11" xfId="13895"/>
    <cellStyle name="SAPLocked 2 13 2 11 2" xfId="13896"/>
    <cellStyle name="SAPLocked 2 13 2 12" xfId="13897"/>
    <cellStyle name="SAPLocked 2 13 2 2" xfId="13898"/>
    <cellStyle name="SAPLocked 2 13 2 2 2" xfId="13899"/>
    <cellStyle name="SAPLocked 2 13 2 3" xfId="13900"/>
    <cellStyle name="SAPLocked 2 13 2 3 2" xfId="13901"/>
    <cellStyle name="SAPLocked 2 13 2 4" xfId="13902"/>
    <cellStyle name="SAPLocked 2 13 2 4 2" xfId="13903"/>
    <cellStyle name="SAPLocked 2 13 2 5" xfId="13904"/>
    <cellStyle name="SAPLocked 2 13 2 5 2" xfId="13905"/>
    <cellStyle name="SAPLocked 2 13 2 6" xfId="13906"/>
    <cellStyle name="SAPLocked 2 13 2 6 2" xfId="13907"/>
    <cellStyle name="SAPLocked 2 13 2 7" xfId="13908"/>
    <cellStyle name="SAPLocked 2 13 2 7 2" xfId="13909"/>
    <cellStyle name="SAPLocked 2 13 2 8" xfId="13910"/>
    <cellStyle name="SAPLocked 2 13 2 8 2" xfId="13911"/>
    <cellStyle name="SAPLocked 2 13 2 9" xfId="13912"/>
    <cellStyle name="SAPLocked 2 13 2 9 2" xfId="13913"/>
    <cellStyle name="SAPLocked 2 13 3" xfId="13914"/>
    <cellStyle name="SAPLocked 2 13 3 2" xfId="13915"/>
    <cellStyle name="SAPLocked 2 13 4" xfId="13916"/>
    <cellStyle name="SAPLocked 2 13 4 2" xfId="13917"/>
    <cellStyle name="SAPLocked 2 13 5" xfId="13918"/>
    <cellStyle name="SAPLocked 2 13 5 2" xfId="13919"/>
    <cellStyle name="SAPLocked 2 13 6" xfId="13920"/>
    <cellStyle name="SAPLocked 2 13 6 2" xfId="13921"/>
    <cellStyle name="SAPLocked 2 13 7" xfId="13922"/>
    <cellStyle name="SAPLocked 2 13 7 2" xfId="13923"/>
    <cellStyle name="SAPLocked 2 13 8" xfId="13924"/>
    <cellStyle name="SAPLocked 2 13 8 2" xfId="13925"/>
    <cellStyle name="SAPLocked 2 13 9" xfId="13926"/>
    <cellStyle name="SAPLocked 2 13 9 2" xfId="13927"/>
    <cellStyle name="SAPLocked 2 14" xfId="13928"/>
    <cellStyle name="SAPLocked 2 14 10" xfId="13929"/>
    <cellStyle name="SAPLocked 2 14 10 2" xfId="13930"/>
    <cellStyle name="SAPLocked 2 14 11" xfId="13931"/>
    <cellStyle name="SAPLocked 2 14 11 2" xfId="13932"/>
    <cellStyle name="SAPLocked 2 14 12" xfId="13933"/>
    <cellStyle name="SAPLocked 2 14 12 2" xfId="13934"/>
    <cellStyle name="SAPLocked 2 14 13" xfId="13935"/>
    <cellStyle name="SAPLocked 2 14 2" xfId="13936"/>
    <cellStyle name="SAPLocked 2 14 2 10" xfId="13937"/>
    <cellStyle name="SAPLocked 2 14 2 10 2" xfId="13938"/>
    <cellStyle name="SAPLocked 2 14 2 11" xfId="13939"/>
    <cellStyle name="SAPLocked 2 14 2 11 2" xfId="13940"/>
    <cellStyle name="SAPLocked 2 14 2 12" xfId="13941"/>
    <cellStyle name="SAPLocked 2 14 2 2" xfId="13942"/>
    <cellStyle name="SAPLocked 2 14 2 2 2" xfId="13943"/>
    <cellStyle name="SAPLocked 2 14 2 3" xfId="13944"/>
    <cellStyle name="SAPLocked 2 14 2 3 2" xfId="13945"/>
    <cellStyle name="SAPLocked 2 14 2 4" xfId="13946"/>
    <cellStyle name="SAPLocked 2 14 2 4 2" xfId="13947"/>
    <cellStyle name="SAPLocked 2 14 2 5" xfId="13948"/>
    <cellStyle name="SAPLocked 2 14 2 5 2" xfId="13949"/>
    <cellStyle name="SAPLocked 2 14 2 6" xfId="13950"/>
    <cellStyle name="SAPLocked 2 14 2 6 2" xfId="13951"/>
    <cellStyle name="SAPLocked 2 14 2 7" xfId="13952"/>
    <cellStyle name="SAPLocked 2 14 2 7 2" xfId="13953"/>
    <cellStyle name="SAPLocked 2 14 2 8" xfId="13954"/>
    <cellStyle name="SAPLocked 2 14 2 8 2" xfId="13955"/>
    <cellStyle name="SAPLocked 2 14 2 9" xfId="13956"/>
    <cellStyle name="SAPLocked 2 14 2 9 2" xfId="13957"/>
    <cellStyle name="SAPLocked 2 14 3" xfId="13958"/>
    <cellStyle name="SAPLocked 2 14 3 2" xfId="13959"/>
    <cellStyle name="SAPLocked 2 14 4" xfId="13960"/>
    <cellStyle name="SAPLocked 2 14 4 2" xfId="13961"/>
    <cellStyle name="SAPLocked 2 14 5" xfId="13962"/>
    <cellStyle name="SAPLocked 2 14 5 2" xfId="13963"/>
    <cellStyle name="SAPLocked 2 14 6" xfId="13964"/>
    <cellStyle name="SAPLocked 2 14 6 2" xfId="13965"/>
    <cellStyle name="SAPLocked 2 14 7" xfId="13966"/>
    <cellStyle name="SAPLocked 2 14 7 2" xfId="13967"/>
    <cellStyle name="SAPLocked 2 14 8" xfId="13968"/>
    <cellStyle name="SAPLocked 2 14 8 2" xfId="13969"/>
    <cellStyle name="SAPLocked 2 14 9" xfId="13970"/>
    <cellStyle name="SAPLocked 2 14 9 2" xfId="13971"/>
    <cellStyle name="SAPLocked 2 15" xfId="13972"/>
    <cellStyle name="SAPLocked 2 15 10" xfId="13973"/>
    <cellStyle name="SAPLocked 2 15 10 2" xfId="13974"/>
    <cellStyle name="SAPLocked 2 15 11" xfId="13975"/>
    <cellStyle name="SAPLocked 2 15 11 2" xfId="13976"/>
    <cellStyle name="SAPLocked 2 15 12" xfId="13977"/>
    <cellStyle name="SAPLocked 2 15 12 2" xfId="13978"/>
    <cellStyle name="SAPLocked 2 15 13" xfId="13979"/>
    <cellStyle name="SAPLocked 2 15 2" xfId="13980"/>
    <cellStyle name="SAPLocked 2 15 2 10" xfId="13981"/>
    <cellStyle name="SAPLocked 2 15 2 10 2" xfId="13982"/>
    <cellStyle name="SAPLocked 2 15 2 11" xfId="13983"/>
    <cellStyle name="SAPLocked 2 15 2 11 2" xfId="13984"/>
    <cellStyle name="SAPLocked 2 15 2 12" xfId="13985"/>
    <cellStyle name="SAPLocked 2 15 2 2" xfId="13986"/>
    <cellStyle name="SAPLocked 2 15 2 2 2" xfId="13987"/>
    <cellStyle name="SAPLocked 2 15 2 3" xfId="13988"/>
    <cellStyle name="SAPLocked 2 15 2 3 2" xfId="13989"/>
    <cellStyle name="SAPLocked 2 15 2 4" xfId="13990"/>
    <cellStyle name="SAPLocked 2 15 2 4 2" xfId="13991"/>
    <cellStyle name="SAPLocked 2 15 2 5" xfId="13992"/>
    <cellStyle name="SAPLocked 2 15 2 5 2" xfId="13993"/>
    <cellStyle name="SAPLocked 2 15 2 6" xfId="13994"/>
    <cellStyle name="SAPLocked 2 15 2 6 2" xfId="13995"/>
    <cellStyle name="SAPLocked 2 15 2 7" xfId="13996"/>
    <cellStyle name="SAPLocked 2 15 2 7 2" xfId="13997"/>
    <cellStyle name="SAPLocked 2 15 2 8" xfId="13998"/>
    <cellStyle name="SAPLocked 2 15 2 8 2" xfId="13999"/>
    <cellStyle name="SAPLocked 2 15 2 9" xfId="14000"/>
    <cellStyle name="SAPLocked 2 15 2 9 2" xfId="14001"/>
    <cellStyle name="SAPLocked 2 15 3" xfId="14002"/>
    <cellStyle name="SAPLocked 2 15 3 2" xfId="14003"/>
    <cellStyle name="SAPLocked 2 15 4" xfId="14004"/>
    <cellStyle name="SAPLocked 2 15 4 2" xfId="14005"/>
    <cellStyle name="SAPLocked 2 15 5" xfId="14006"/>
    <cellStyle name="SAPLocked 2 15 5 2" xfId="14007"/>
    <cellStyle name="SAPLocked 2 15 6" xfId="14008"/>
    <cellStyle name="SAPLocked 2 15 6 2" xfId="14009"/>
    <cellStyle name="SAPLocked 2 15 7" xfId="14010"/>
    <cellStyle name="SAPLocked 2 15 7 2" xfId="14011"/>
    <cellStyle name="SAPLocked 2 15 8" xfId="14012"/>
    <cellStyle name="SAPLocked 2 15 8 2" xfId="14013"/>
    <cellStyle name="SAPLocked 2 15 9" xfId="14014"/>
    <cellStyle name="SAPLocked 2 15 9 2" xfId="14015"/>
    <cellStyle name="SAPLocked 2 16" xfId="14016"/>
    <cellStyle name="SAPLocked 2 16 10" xfId="14017"/>
    <cellStyle name="SAPLocked 2 16 10 2" xfId="14018"/>
    <cellStyle name="SAPLocked 2 16 11" xfId="14019"/>
    <cellStyle name="SAPLocked 2 16 11 2" xfId="14020"/>
    <cellStyle name="SAPLocked 2 16 12" xfId="14021"/>
    <cellStyle name="SAPLocked 2 16 12 2" xfId="14022"/>
    <cellStyle name="SAPLocked 2 16 13" xfId="14023"/>
    <cellStyle name="SAPLocked 2 16 2" xfId="14024"/>
    <cellStyle name="SAPLocked 2 16 2 10" xfId="14025"/>
    <cellStyle name="SAPLocked 2 16 2 10 2" xfId="14026"/>
    <cellStyle name="SAPLocked 2 16 2 11" xfId="14027"/>
    <cellStyle name="SAPLocked 2 16 2 11 2" xfId="14028"/>
    <cellStyle name="SAPLocked 2 16 2 12" xfId="14029"/>
    <cellStyle name="SAPLocked 2 16 2 2" xfId="14030"/>
    <cellStyle name="SAPLocked 2 16 2 2 2" xfId="14031"/>
    <cellStyle name="SAPLocked 2 16 2 3" xfId="14032"/>
    <cellStyle name="SAPLocked 2 16 2 3 2" xfId="14033"/>
    <cellStyle name="SAPLocked 2 16 2 4" xfId="14034"/>
    <cellStyle name="SAPLocked 2 16 2 4 2" xfId="14035"/>
    <cellStyle name="SAPLocked 2 16 2 5" xfId="14036"/>
    <cellStyle name="SAPLocked 2 16 2 5 2" xfId="14037"/>
    <cellStyle name="SAPLocked 2 16 2 6" xfId="14038"/>
    <cellStyle name="SAPLocked 2 16 2 6 2" xfId="14039"/>
    <cellStyle name="SAPLocked 2 16 2 7" xfId="14040"/>
    <cellStyle name="SAPLocked 2 16 2 7 2" xfId="14041"/>
    <cellStyle name="SAPLocked 2 16 2 8" xfId="14042"/>
    <cellStyle name="SAPLocked 2 16 2 8 2" xfId="14043"/>
    <cellStyle name="SAPLocked 2 16 2 9" xfId="14044"/>
    <cellStyle name="SAPLocked 2 16 2 9 2" xfId="14045"/>
    <cellStyle name="SAPLocked 2 16 3" xfId="14046"/>
    <cellStyle name="SAPLocked 2 16 3 2" xfId="14047"/>
    <cellStyle name="SAPLocked 2 16 4" xfId="14048"/>
    <cellStyle name="SAPLocked 2 16 4 2" xfId="14049"/>
    <cellStyle name="SAPLocked 2 16 5" xfId="14050"/>
    <cellStyle name="SAPLocked 2 16 5 2" xfId="14051"/>
    <cellStyle name="SAPLocked 2 16 6" xfId="14052"/>
    <cellStyle name="SAPLocked 2 16 6 2" xfId="14053"/>
    <cellStyle name="SAPLocked 2 16 7" xfId="14054"/>
    <cellStyle name="SAPLocked 2 16 7 2" xfId="14055"/>
    <cellStyle name="SAPLocked 2 16 8" xfId="14056"/>
    <cellStyle name="SAPLocked 2 16 8 2" xfId="14057"/>
    <cellStyle name="SAPLocked 2 16 9" xfId="14058"/>
    <cellStyle name="SAPLocked 2 16 9 2" xfId="14059"/>
    <cellStyle name="SAPLocked 2 17" xfId="14060"/>
    <cellStyle name="SAPLocked 2 17 10" xfId="14061"/>
    <cellStyle name="SAPLocked 2 17 10 2" xfId="14062"/>
    <cellStyle name="SAPLocked 2 17 11" xfId="14063"/>
    <cellStyle name="SAPLocked 2 17 11 2" xfId="14064"/>
    <cellStyle name="SAPLocked 2 17 12" xfId="14065"/>
    <cellStyle name="SAPLocked 2 17 12 2" xfId="14066"/>
    <cellStyle name="SAPLocked 2 17 13" xfId="14067"/>
    <cellStyle name="SAPLocked 2 17 2" xfId="14068"/>
    <cellStyle name="SAPLocked 2 17 2 10" xfId="14069"/>
    <cellStyle name="SAPLocked 2 17 2 10 2" xfId="14070"/>
    <cellStyle name="SAPLocked 2 17 2 11" xfId="14071"/>
    <cellStyle name="SAPLocked 2 17 2 11 2" xfId="14072"/>
    <cellStyle name="SAPLocked 2 17 2 12" xfId="14073"/>
    <cellStyle name="SAPLocked 2 17 2 2" xfId="14074"/>
    <cellStyle name="SAPLocked 2 17 2 2 2" xfId="14075"/>
    <cellStyle name="SAPLocked 2 17 2 3" xfId="14076"/>
    <cellStyle name="SAPLocked 2 17 2 3 2" xfId="14077"/>
    <cellStyle name="SAPLocked 2 17 2 4" xfId="14078"/>
    <cellStyle name="SAPLocked 2 17 2 4 2" xfId="14079"/>
    <cellStyle name="SAPLocked 2 17 2 5" xfId="14080"/>
    <cellStyle name="SAPLocked 2 17 2 5 2" xfId="14081"/>
    <cellStyle name="SAPLocked 2 17 2 6" xfId="14082"/>
    <cellStyle name="SAPLocked 2 17 2 6 2" xfId="14083"/>
    <cellStyle name="SAPLocked 2 17 2 7" xfId="14084"/>
    <cellStyle name="SAPLocked 2 17 2 7 2" xfId="14085"/>
    <cellStyle name="SAPLocked 2 17 2 8" xfId="14086"/>
    <cellStyle name="SAPLocked 2 17 2 8 2" xfId="14087"/>
    <cellStyle name="SAPLocked 2 17 2 9" xfId="14088"/>
    <cellStyle name="SAPLocked 2 17 2 9 2" xfId="14089"/>
    <cellStyle name="SAPLocked 2 17 3" xfId="14090"/>
    <cellStyle name="SAPLocked 2 17 3 2" xfId="14091"/>
    <cellStyle name="SAPLocked 2 17 4" xfId="14092"/>
    <cellStyle name="SAPLocked 2 17 4 2" xfId="14093"/>
    <cellStyle name="SAPLocked 2 17 5" xfId="14094"/>
    <cellStyle name="SAPLocked 2 17 5 2" xfId="14095"/>
    <cellStyle name="SAPLocked 2 17 6" xfId="14096"/>
    <cellStyle name="SAPLocked 2 17 6 2" xfId="14097"/>
    <cellStyle name="SAPLocked 2 17 7" xfId="14098"/>
    <cellStyle name="SAPLocked 2 17 7 2" xfId="14099"/>
    <cellStyle name="SAPLocked 2 17 8" xfId="14100"/>
    <cellStyle name="SAPLocked 2 17 8 2" xfId="14101"/>
    <cellStyle name="SAPLocked 2 17 9" xfId="14102"/>
    <cellStyle name="SAPLocked 2 17 9 2" xfId="14103"/>
    <cellStyle name="SAPLocked 2 18" xfId="14104"/>
    <cellStyle name="SAPLocked 2 18 10" xfId="14105"/>
    <cellStyle name="SAPLocked 2 18 10 2" xfId="14106"/>
    <cellStyle name="SAPLocked 2 18 11" xfId="14107"/>
    <cellStyle name="SAPLocked 2 18 11 2" xfId="14108"/>
    <cellStyle name="SAPLocked 2 18 12" xfId="14109"/>
    <cellStyle name="SAPLocked 2 18 12 2" xfId="14110"/>
    <cellStyle name="SAPLocked 2 18 13" xfId="14111"/>
    <cellStyle name="SAPLocked 2 18 2" xfId="14112"/>
    <cellStyle name="SAPLocked 2 18 2 10" xfId="14113"/>
    <cellStyle name="SAPLocked 2 18 2 10 2" xfId="14114"/>
    <cellStyle name="SAPLocked 2 18 2 11" xfId="14115"/>
    <cellStyle name="SAPLocked 2 18 2 11 2" xfId="14116"/>
    <cellStyle name="SAPLocked 2 18 2 12" xfId="14117"/>
    <cellStyle name="SAPLocked 2 18 2 2" xfId="14118"/>
    <cellStyle name="SAPLocked 2 18 2 2 2" xfId="14119"/>
    <cellStyle name="SAPLocked 2 18 2 3" xfId="14120"/>
    <cellStyle name="SAPLocked 2 18 2 3 2" xfId="14121"/>
    <cellStyle name="SAPLocked 2 18 2 4" xfId="14122"/>
    <cellStyle name="SAPLocked 2 18 2 4 2" xfId="14123"/>
    <cellStyle name="SAPLocked 2 18 2 5" xfId="14124"/>
    <cellStyle name="SAPLocked 2 18 2 5 2" xfId="14125"/>
    <cellStyle name="SAPLocked 2 18 2 6" xfId="14126"/>
    <cellStyle name="SAPLocked 2 18 2 6 2" xfId="14127"/>
    <cellStyle name="SAPLocked 2 18 2 7" xfId="14128"/>
    <cellStyle name="SAPLocked 2 18 2 7 2" xfId="14129"/>
    <cellStyle name="SAPLocked 2 18 2 8" xfId="14130"/>
    <cellStyle name="SAPLocked 2 18 2 8 2" xfId="14131"/>
    <cellStyle name="SAPLocked 2 18 2 9" xfId="14132"/>
    <cellStyle name="SAPLocked 2 18 2 9 2" xfId="14133"/>
    <cellStyle name="SAPLocked 2 18 3" xfId="14134"/>
    <cellStyle name="SAPLocked 2 18 3 2" xfId="14135"/>
    <cellStyle name="SAPLocked 2 18 4" xfId="14136"/>
    <cellStyle name="SAPLocked 2 18 4 2" xfId="14137"/>
    <cellStyle name="SAPLocked 2 18 5" xfId="14138"/>
    <cellStyle name="SAPLocked 2 18 5 2" xfId="14139"/>
    <cellStyle name="SAPLocked 2 18 6" xfId="14140"/>
    <cellStyle name="SAPLocked 2 18 6 2" xfId="14141"/>
    <cellStyle name="SAPLocked 2 18 7" xfId="14142"/>
    <cellStyle name="SAPLocked 2 18 7 2" xfId="14143"/>
    <cellStyle name="SAPLocked 2 18 8" xfId="14144"/>
    <cellStyle name="SAPLocked 2 18 8 2" xfId="14145"/>
    <cellStyle name="SAPLocked 2 18 9" xfId="14146"/>
    <cellStyle name="SAPLocked 2 18 9 2" xfId="14147"/>
    <cellStyle name="SAPLocked 2 19" xfId="14148"/>
    <cellStyle name="SAPLocked 2 19 10" xfId="14149"/>
    <cellStyle name="SAPLocked 2 19 10 2" xfId="14150"/>
    <cellStyle name="SAPLocked 2 19 11" xfId="14151"/>
    <cellStyle name="SAPLocked 2 19 11 2" xfId="14152"/>
    <cellStyle name="SAPLocked 2 19 12" xfId="14153"/>
    <cellStyle name="SAPLocked 2 19 12 2" xfId="14154"/>
    <cellStyle name="SAPLocked 2 19 13" xfId="14155"/>
    <cellStyle name="SAPLocked 2 19 2" xfId="14156"/>
    <cellStyle name="SAPLocked 2 19 2 10" xfId="14157"/>
    <cellStyle name="SAPLocked 2 19 2 10 2" xfId="14158"/>
    <cellStyle name="SAPLocked 2 19 2 11" xfId="14159"/>
    <cellStyle name="SAPLocked 2 19 2 11 2" xfId="14160"/>
    <cellStyle name="SAPLocked 2 19 2 12" xfId="14161"/>
    <cellStyle name="SAPLocked 2 19 2 2" xfId="14162"/>
    <cellStyle name="SAPLocked 2 19 2 2 2" xfId="14163"/>
    <cellStyle name="SAPLocked 2 19 2 3" xfId="14164"/>
    <cellStyle name="SAPLocked 2 19 2 3 2" xfId="14165"/>
    <cellStyle name="SAPLocked 2 19 2 4" xfId="14166"/>
    <cellStyle name="SAPLocked 2 19 2 4 2" xfId="14167"/>
    <cellStyle name="SAPLocked 2 19 2 5" xfId="14168"/>
    <cellStyle name="SAPLocked 2 19 2 5 2" xfId="14169"/>
    <cellStyle name="SAPLocked 2 19 2 6" xfId="14170"/>
    <cellStyle name="SAPLocked 2 19 2 6 2" xfId="14171"/>
    <cellStyle name="SAPLocked 2 19 2 7" xfId="14172"/>
    <cellStyle name="SAPLocked 2 19 2 7 2" xfId="14173"/>
    <cellStyle name="SAPLocked 2 19 2 8" xfId="14174"/>
    <cellStyle name="SAPLocked 2 19 2 8 2" xfId="14175"/>
    <cellStyle name="SAPLocked 2 19 2 9" xfId="14176"/>
    <cellStyle name="SAPLocked 2 19 2 9 2" xfId="14177"/>
    <cellStyle name="SAPLocked 2 19 3" xfId="14178"/>
    <cellStyle name="SAPLocked 2 19 3 2" xfId="14179"/>
    <cellStyle name="SAPLocked 2 19 4" xfId="14180"/>
    <cellStyle name="SAPLocked 2 19 4 2" xfId="14181"/>
    <cellStyle name="SAPLocked 2 19 5" xfId="14182"/>
    <cellStyle name="SAPLocked 2 19 5 2" xfId="14183"/>
    <cellStyle name="SAPLocked 2 19 6" xfId="14184"/>
    <cellStyle name="SAPLocked 2 19 6 2" xfId="14185"/>
    <cellStyle name="SAPLocked 2 19 7" xfId="14186"/>
    <cellStyle name="SAPLocked 2 19 7 2" xfId="14187"/>
    <cellStyle name="SAPLocked 2 19 8" xfId="14188"/>
    <cellStyle name="SAPLocked 2 19 8 2" xfId="14189"/>
    <cellStyle name="SAPLocked 2 19 9" xfId="14190"/>
    <cellStyle name="SAPLocked 2 19 9 2" xfId="14191"/>
    <cellStyle name="SAPLocked 2 2" xfId="14192"/>
    <cellStyle name="SAPLocked 2 2 10" xfId="14193"/>
    <cellStyle name="SAPLocked 2 2 10 2" xfId="14194"/>
    <cellStyle name="SAPLocked 2 2 11" xfId="14195"/>
    <cellStyle name="SAPLocked 2 2 11 2" xfId="14196"/>
    <cellStyle name="SAPLocked 2 2 12" xfId="14197"/>
    <cellStyle name="SAPLocked 2 2 12 2" xfId="14198"/>
    <cellStyle name="SAPLocked 2 2 13" xfId="14199"/>
    <cellStyle name="SAPLocked 2 2 2" xfId="14200"/>
    <cellStyle name="SAPLocked 2 2 2 10" xfId="14201"/>
    <cellStyle name="SAPLocked 2 2 2 10 2" xfId="14202"/>
    <cellStyle name="SAPLocked 2 2 2 11" xfId="14203"/>
    <cellStyle name="SAPLocked 2 2 2 11 2" xfId="14204"/>
    <cellStyle name="SAPLocked 2 2 2 12" xfId="14205"/>
    <cellStyle name="SAPLocked 2 2 2 2" xfId="14206"/>
    <cellStyle name="SAPLocked 2 2 2 2 2" xfId="14207"/>
    <cellStyle name="SAPLocked 2 2 2 3" xfId="14208"/>
    <cellStyle name="SAPLocked 2 2 2 3 2" xfId="14209"/>
    <cellStyle name="SAPLocked 2 2 2 4" xfId="14210"/>
    <cellStyle name="SAPLocked 2 2 2 4 2" xfId="14211"/>
    <cellStyle name="SAPLocked 2 2 2 5" xfId="14212"/>
    <cellStyle name="SAPLocked 2 2 2 5 2" xfId="14213"/>
    <cellStyle name="SAPLocked 2 2 2 6" xfId="14214"/>
    <cellStyle name="SAPLocked 2 2 2 6 2" xfId="14215"/>
    <cellStyle name="SAPLocked 2 2 2 7" xfId="14216"/>
    <cellStyle name="SAPLocked 2 2 2 7 2" xfId="14217"/>
    <cellStyle name="SAPLocked 2 2 2 8" xfId="14218"/>
    <cellStyle name="SAPLocked 2 2 2 8 2" xfId="14219"/>
    <cellStyle name="SAPLocked 2 2 2 9" xfId="14220"/>
    <cellStyle name="SAPLocked 2 2 2 9 2" xfId="14221"/>
    <cellStyle name="SAPLocked 2 2 3" xfId="14222"/>
    <cellStyle name="SAPLocked 2 2 3 2" xfId="14223"/>
    <cellStyle name="SAPLocked 2 2 4" xfId="14224"/>
    <cellStyle name="SAPLocked 2 2 4 2" xfId="14225"/>
    <cellStyle name="SAPLocked 2 2 5" xfId="14226"/>
    <cellStyle name="SAPLocked 2 2 5 2" xfId="14227"/>
    <cellStyle name="SAPLocked 2 2 6" xfId="14228"/>
    <cellStyle name="SAPLocked 2 2 6 2" xfId="14229"/>
    <cellStyle name="SAPLocked 2 2 7" xfId="14230"/>
    <cellStyle name="SAPLocked 2 2 7 2" xfId="14231"/>
    <cellStyle name="SAPLocked 2 2 8" xfId="14232"/>
    <cellStyle name="SAPLocked 2 2 8 2" xfId="14233"/>
    <cellStyle name="SAPLocked 2 2 9" xfId="14234"/>
    <cellStyle name="SAPLocked 2 2 9 2" xfId="14235"/>
    <cellStyle name="SAPLocked 2 20" xfId="14236"/>
    <cellStyle name="SAPLocked 2 20 10" xfId="14237"/>
    <cellStyle name="SAPLocked 2 20 10 2" xfId="14238"/>
    <cellStyle name="SAPLocked 2 20 11" xfId="14239"/>
    <cellStyle name="SAPLocked 2 20 11 2" xfId="14240"/>
    <cellStyle name="SAPLocked 2 20 12" xfId="14241"/>
    <cellStyle name="SAPLocked 2 20 12 2" xfId="14242"/>
    <cellStyle name="SAPLocked 2 20 13" xfId="14243"/>
    <cellStyle name="SAPLocked 2 20 2" xfId="14244"/>
    <cellStyle name="SAPLocked 2 20 2 10" xfId="14245"/>
    <cellStyle name="SAPLocked 2 20 2 10 2" xfId="14246"/>
    <cellStyle name="SAPLocked 2 20 2 11" xfId="14247"/>
    <cellStyle name="SAPLocked 2 20 2 11 2" xfId="14248"/>
    <cellStyle name="SAPLocked 2 20 2 12" xfId="14249"/>
    <cellStyle name="SAPLocked 2 20 2 2" xfId="14250"/>
    <cellStyle name="SAPLocked 2 20 2 2 2" xfId="14251"/>
    <cellStyle name="SAPLocked 2 20 2 3" xfId="14252"/>
    <cellStyle name="SAPLocked 2 20 2 3 2" xfId="14253"/>
    <cellStyle name="SAPLocked 2 20 2 4" xfId="14254"/>
    <cellStyle name="SAPLocked 2 20 2 4 2" xfId="14255"/>
    <cellStyle name="SAPLocked 2 20 2 5" xfId="14256"/>
    <cellStyle name="SAPLocked 2 20 2 5 2" xfId="14257"/>
    <cellStyle name="SAPLocked 2 20 2 6" xfId="14258"/>
    <cellStyle name="SAPLocked 2 20 2 6 2" xfId="14259"/>
    <cellStyle name="SAPLocked 2 20 2 7" xfId="14260"/>
    <cellStyle name="SAPLocked 2 20 2 7 2" xfId="14261"/>
    <cellStyle name="SAPLocked 2 20 2 8" xfId="14262"/>
    <cellStyle name="SAPLocked 2 20 2 8 2" xfId="14263"/>
    <cellStyle name="SAPLocked 2 20 2 9" xfId="14264"/>
    <cellStyle name="SAPLocked 2 20 2 9 2" xfId="14265"/>
    <cellStyle name="SAPLocked 2 20 3" xfId="14266"/>
    <cellStyle name="SAPLocked 2 20 3 2" xfId="14267"/>
    <cellStyle name="SAPLocked 2 20 4" xfId="14268"/>
    <cellStyle name="SAPLocked 2 20 4 2" xfId="14269"/>
    <cellStyle name="SAPLocked 2 20 5" xfId="14270"/>
    <cellStyle name="SAPLocked 2 20 5 2" xfId="14271"/>
    <cellStyle name="SAPLocked 2 20 6" xfId="14272"/>
    <cellStyle name="SAPLocked 2 20 6 2" xfId="14273"/>
    <cellStyle name="SAPLocked 2 20 7" xfId="14274"/>
    <cellStyle name="SAPLocked 2 20 7 2" xfId="14275"/>
    <cellStyle name="SAPLocked 2 20 8" xfId="14276"/>
    <cellStyle name="SAPLocked 2 20 8 2" xfId="14277"/>
    <cellStyle name="SAPLocked 2 20 9" xfId="14278"/>
    <cellStyle name="SAPLocked 2 20 9 2" xfId="14279"/>
    <cellStyle name="SAPLocked 2 21" xfId="14280"/>
    <cellStyle name="SAPLocked 2 21 10" xfId="14281"/>
    <cellStyle name="SAPLocked 2 21 10 2" xfId="14282"/>
    <cellStyle name="SAPLocked 2 21 11" xfId="14283"/>
    <cellStyle name="SAPLocked 2 21 11 2" xfId="14284"/>
    <cellStyle name="SAPLocked 2 21 12" xfId="14285"/>
    <cellStyle name="SAPLocked 2 21 2" xfId="14286"/>
    <cellStyle name="SAPLocked 2 21 2 2" xfId="14287"/>
    <cellStyle name="SAPLocked 2 21 3" xfId="14288"/>
    <cellStyle name="SAPLocked 2 21 3 2" xfId="14289"/>
    <cellStyle name="SAPLocked 2 21 4" xfId="14290"/>
    <cellStyle name="SAPLocked 2 21 4 2" xfId="14291"/>
    <cellStyle name="SAPLocked 2 21 5" xfId="14292"/>
    <cellStyle name="SAPLocked 2 21 5 2" xfId="14293"/>
    <cellStyle name="SAPLocked 2 21 6" xfId="14294"/>
    <cellStyle name="SAPLocked 2 21 6 2" xfId="14295"/>
    <cellStyle name="SAPLocked 2 21 7" xfId="14296"/>
    <cellStyle name="SAPLocked 2 21 7 2" xfId="14297"/>
    <cellStyle name="SAPLocked 2 21 8" xfId="14298"/>
    <cellStyle name="SAPLocked 2 21 8 2" xfId="14299"/>
    <cellStyle name="SAPLocked 2 21 9" xfId="14300"/>
    <cellStyle name="SAPLocked 2 21 9 2" xfId="14301"/>
    <cellStyle name="SAPLocked 2 22" xfId="14302"/>
    <cellStyle name="SAPLocked 2 22 2" xfId="14303"/>
    <cellStyle name="SAPLocked 2 23" xfId="14304"/>
    <cellStyle name="SAPLocked 2 23 2" xfId="14305"/>
    <cellStyle name="SAPLocked 2 24" xfId="14306"/>
    <cellStyle name="SAPLocked 2 24 2" xfId="14307"/>
    <cellStyle name="SAPLocked 2 25" xfId="14308"/>
    <cellStyle name="SAPLocked 2 25 2" xfId="14309"/>
    <cellStyle name="SAPLocked 2 26" xfId="14310"/>
    <cellStyle name="SAPLocked 2 26 2" xfId="14311"/>
    <cellStyle name="SAPLocked 2 27" xfId="14312"/>
    <cellStyle name="SAPLocked 2 27 2" xfId="14313"/>
    <cellStyle name="SAPLocked 2 28" xfId="14314"/>
    <cellStyle name="SAPLocked 2 28 2" xfId="14315"/>
    <cellStyle name="SAPLocked 2 29" xfId="14316"/>
    <cellStyle name="SAPLocked 2 29 2" xfId="14317"/>
    <cellStyle name="SAPLocked 2 3" xfId="14318"/>
    <cellStyle name="SAPLocked 2 3 10" xfId="14319"/>
    <cellStyle name="SAPLocked 2 3 10 2" xfId="14320"/>
    <cellStyle name="SAPLocked 2 3 11" xfId="14321"/>
    <cellStyle name="SAPLocked 2 3 11 2" xfId="14322"/>
    <cellStyle name="SAPLocked 2 3 12" xfId="14323"/>
    <cellStyle name="SAPLocked 2 3 12 2" xfId="14324"/>
    <cellStyle name="SAPLocked 2 3 13" xfId="14325"/>
    <cellStyle name="SAPLocked 2 3 2" xfId="14326"/>
    <cellStyle name="SAPLocked 2 3 2 10" xfId="14327"/>
    <cellStyle name="SAPLocked 2 3 2 10 2" xfId="14328"/>
    <cellStyle name="SAPLocked 2 3 2 11" xfId="14329"/>
    <cellStyle name="SAPLocked 2 3 2 11 2" xfId="14330"/>
    <cellStyle name="SAPLocked 2 3 2 12" xfId="14331"/>
    <cellStyle name="SAPLocked 2 3 2 2" xfId="14332"/>
    <cellStyle name="SAPLocked 2 3 2 2 2" xfId="14333"/>
    <cellStyle name="SAPLocked 2 3 2 3" xfId="14334"/>
    <cellStyle name="SAPLocked 2 3 2 3 2" xfId="14335"/>
    <cellStyle name="SAPLocked 2 3 2 4" xfId="14336"/>
    <cellStyle name="SAPLocked 2 3 2 4 2" xfId="14337"/>
    <cellStyle name="SAPLocked 2 3 2 5" xfId="14338"/>
    <cellStyle name="SAPLocked 2 3 2 5 2" xfId="14339"/>
    <cellStyle name="SAPLocked 2 3 2 6" xfId="14340"/>
    <cellStyle name="SAPLocked 2 3 2 6 2" xfId="14341"/>
    <cellStyle name="SAPLocked 2 3 2 7" xfId="14342"/>
    <cellStyle name="SAPLocked 2 3 2 7 2" xfId="14343"/>
    <cellStyle name="SAPLocked 2 3 2 8" xfId="14344"/>
    <cellStyle name="SAPLocked 2 3 2 8 2" xfId="14345"/>
    <cellStyle name="SAPLocked 2 3 2 9" xfId="14346"/>
    <cellStyle name="SAPLocked 2 3 2 9 2" xfId="14347"/>
    <cellStyle name="SAPLocked 2 3 3" xfId="14348"/>
    <cellStyle name="SAPLocked 2 3 3 2" xfId="14349"/>
    <cellStyle name="SAPLocked 2 3 4" xfId="14350"/>
    <cellStyle name="SAPLocked 2 3 4 2" xfId="14351"/>
    <cellStyle name="SAPLocked 2 3 5" xfId="14352"/>
    <cellStyle name="SAPLocked 2 3 5 2" xfId="14353"/>
    <cellStyle name="SAPLocked 2 3 6" xfId="14354"/>
    <cellStyle name="SAPLocked 2 3 6 2" xfId="14355"/>
    <cellStyle name="SAPLocked 2 3 7" xfId="14356"/>
    <cellStyle name="SAPLocked 2 3 7 2" xfId="14357"/>
    <cellStyle name="SAPLocked 2 3 8" xfId="14358"/>
    <cellStyle name="SAPLocked 2 3 8 2" xfId="14359"/>
    <cellStyle name="SAPLocked 2 3 9" xfId="14360"/>
    <cellStyle name="SAPLocked 2 3 9 2" xfId="14361"/>
    <cellStyle name="SAPLocked 2 30" xfId="14362"/>
    <cellStyle name="SAPLocked 2 4" xfId="14363"/>
    <cellStyle name="SAPLocked 2 4 10" xfId="14364"/>
    <cellStyle name="SAPLocked 2 4 10 2" xfId="14365"/>
    <cellStyle name="SAPLocked 2 4 11" xfId="14366"/>
    <cellStyle name="SAPLocked 2 4 11 2" xfId="14367"/>
    <cellStyle name="SAPLocked 2 4 12" xfId="14368"/>
    <cellStyle name="SAPLocked 2 4 12 2" xfId="14369"/>
    <cellStyle name="SAPLocked 2 4 13" xfId="14370"/>
    <cellStyle name="SAPLocked 2 4 2" xfId="14371"/>
    <cellStyle name="SAPLocked 2 4 2 10" xfId="14372"/>
    <cellStyle name="SAPLocked 2 4 2 10 2" xfId="14373"/>
    <cellStyle name="SAPLocked 2 4 2 11" xfId="14374"/>
    <cellStyle name="SAPLocked 2 4 2 11 2" xfId="14375"/>
    <cellStyle name="SAPLocked 2 4 2 12" xfId="14376"/>
    <cellStyle name="SAPLocked 2 4 2 2" xfId="14377"/>
    <cellStyle name="SAPLocked 2 4 2 2 2" xfId="14378"/>
    <cellStyle name="SAPLocked 2 4 2 3" xfId="14379"/>
    <cellStyle name="SAPLocked 2 4 2 3 2" xfId="14380"/>
    <cellStyle name="SAPLocked 2 4 2 4" xfId="14381"/>
    <cellStyle name="SAPLocked 2 4 2 4 2" xfId="14382"/>
    <cellStyle name="SAPLocked 2 4 2 5" xfId="14383"/>
    <cellStyle name="SAPLocked 2 4 2 5 2" xfId="14384"/>
    <cellStyle name="SAPLocked 2 4 2 6" xfId="14385"/>
    <cellStyle name="SAPLocked 2 4 2 6 2" xfId="14386"/>
    <cellStyle name="SAPLocked 2 4 2 7" xfId="14387"/>
    <cellStyle name="SAPLocked 2 4 2 7 2" xfId="14388"/>
    <cellStyle name="SAPLocked 2 4 2 8" xfId="14389"/>
    <cellStyle name="SAPLocked 2 4 2 8 2" xfId="14390"/>
    <cellStyle name="SAPLocked 2 4 2 9" xfId="14391"/>
    <cellStyle name="SAPLocked 2 4 2 9 2" xfId="14392"/>
    <cellStyle name="SAPLocked 2 4 3" xfId="14393"/>
    <cellStyle name="SAPLocked 2 4 3 2" xfId="14394"/>
    <cellStyle name="SAPLocked 2 4 4" xfId="14395"/>
    <cellStyle name="SAPLocked 2 4 4 2" xfId="14396"/>
    <cellStyle name="SAPLocked 2 4 5" xfId="14397"/>
    <cellStyle name="SAPLocked 2 4 5 2" xfId="14398"/>
    <cellStyle name="SAPLocked 2 4 6" xfId="14399"/>
    <cellStyle name="SAPLocked 2 4 6 2" xfId="14400"/>
    <cellStyle name="SAPLocked 2 4 7" xfId="14401"/>
    <cellStyle name="SAPLocked 2 4 7 2" xfId="14402"/>
    <cellStyle name="SAPLocked 2 4 8" xfId="14403"/>
    <cellStyle name="SAPLocked 2 4 8 2" xfId="14404"/>
    <cellStyle name="SAPLocked 2 4 9" xfId="14405"/>
    <cellStyle name="SAPLocked 2 4 9 2" xfId="14406"/>
    <cellStyle name="SAPLocked 2 5" xfId="14407"/>
    <cellStyle name="SAPLocked 2 5 10" xfId="14408"/>
    <cellStyle name="SAPLocked 2 5 10 2" xfId="14409"/>
    <cellStyle name="SAPLocked 2 5 11" xfId="14410"/>
    <cellStyle name="SAPLocked 2 5 11 2" xfId="14411"/>
    <cellStyle name="SAPLocked 2 5 12" xfId="14412"/>
    <cellStyle name="SAPLocked 2 5 12 2" xfId="14413"/>
    <cellStyle name="SAPLocked 2 5 13" xfId="14414"/>
    <cellStyle name="SAPLocked 2 5 2" xfId="14415"/>
    <cellStyle name="SAPLocked 2 5 2 10" xfId="14416"/>
    <cellStyle name="SAPLocked 2 5 2 10 2" xfId="14417"/>
    <cellStyle name="SAPLocked 2 5 2 11" xfId="14418"/>
    <cellStyle name="SAPLocked 2 5 2 11 2" xfId="14419"/>
    <cellStyle name="SAPLocked 2 5 2 12" xfId="14420"/>
    <cellStyle name="SAPLocked 2 5 2 2" xfId="14421"/>
    <cellStyle name="SAPLocked 2 5 2 2 2" xfId="14422"/>
    <cellStyle name="SAPLocked 2 5 2 3" xfId="14423"/>
    <cellStyle name="SAPLocked 2 5 2 3 2" xfId="14424"/>
    <cellStyle name="SAPLocked 2 5 2 4" xfId="14425"/>
    <cellStyle name="SAPLocked 2 5 2 4 2" xfId="14426"/>
    <cellStyle name="SAPLocked 2 5 2 5" xfId="14427"/>
    <cellStyle name="SAPLocked 2 5 2 5 2" xfId="14428"/>
    <cellStyle name="SAPLocked 2 5 2 6" xfId="14429"/>
    <cellStyle name="SAPLocked 2 5 2 6 2" xfId="14430"/>
    <cellStyle name="SAPLocked 2 5 2 7" xfId="14431"/>
    <cellStyle name="SAPLocked 2 5 2 7 2" xfId="14432"/>
    <cellStyle name="SAPLocked 2 5 2 8" xfId="14433"/>
    <cellStyle name="SAPLocked 2 5 2 8 2" xfId="14434"/>
    <cellStyle name="SAPLocked 2 5 2 9" xfId="14435"/>
    <cellStyle name="SAPLocked 2 5 2 9 2" xfId="14436"/>
    <cellStyle name="SAPLocked 2 5 3" xfId="14437"/>
    <cellStyle name="SAPLocked 2 5 3 2" xfId="14438"/>
    <cellStyle name="SAPLocked 2 5 4" xfId="14439"/>
    <cellStyle name="SAPLocked 2 5 4 2" xfId="14440"/>
    <cellStyle name="SAPLocked 2 5 5" xfId="14441"/>
    <cellStyle name="SAPLocked 2 5 5 2" xfId="14442"/>
    <cellStyle name="SAPLocked 2 5 6" xfId="14443"/>
    <cellStyle name="SAPLocked 2 5 6 2" xfId="14444"/>
    <cellStyle name="SAPLocked 2 5 7" xfId="14445"/>
    <cellStyle name="SAPLocked 2 5 7 2" xfId="14446"/>
    <cellStyle name="SAPLocked 2 5 8" xfId="14447"/>
    <cellStyle name="SAPLocked 2 5 8 2" xfId="14448"/>
    <cellStyle name="SAPLocked 2 5 9" xfId="14449"/>
    <cellStyle name="SAPLocked 2 5 9 2" xfId="14450"/>
    <cellStyle name="SAPLocked 2 6" xfId="14451"/>
    <cellStyle name="SAPLocked 2 6 10" xfId="14452"/>
    <cellStyle name="SAPLocked 2 6 10 2" xfId="14453"/>
    <cellStyle name="SAPLocked 2 6 11" xfId="14454"/>
    <cellStyle name="SAPLocked 2 6 11 2" xfId="14455"/>
    <cellStyle name="SAPLocked 2 6 12" xfId="14456"/>
    <cellStyle name="SAPLocked 2 6 12 2" xfId="14457"/>
    <cellStyle name="SAPLocked 2 6 13" xfId="14458"/>
    <cellStyle name="SAPLocked 2 6 2" xfId="14459"/>
    <cellStyle name="SAPLocked 2 6 2 10" xfId="14460"/>
    <cellStyle name="SAPLocked 2 6 2 10 2" xfId="14461"/>
    <cellStyle name="SAPLocked 2 6 2 11" xfId="14462"/>
    <cellStyle name="SAPLocked 2 6 2 11 2" xfId="14463"/>
    <cellStyle name="SAPLocked 2 6 2 12" xfId="14464"/>
    <cellStyle name="SAPLocked 2 6 2 2" xfId="14465"/>
    <cellStyle name="SAPLocked 2 6 2 2 2" xfId="14466"/>
    <cellStyle name="SAPLocked 2 6 2 3" xfId="14467"/>
    <cellStyle name="SAPLocked 2 6 2 3 2" xfId="14468"/>
    <cellStyle name="SAPLocked 2 6 2 4" xfId="14469"/>
    <cellStyle name="SAPLocked 2 6 2 4 2" xfId="14470"/>
    <cellStyle name="SAPLocked 2 6 2 5" xfId="14471"/>
    <cellStyle name="SAPLocked 2 6 2 5 2" xfId="14472"/>
    <cellStyle name="SAPLocked 2 6 2 6" xfId="14473"/>
    <cellStyle name="SAPLocked 2 6 2 6 2" xfId="14474"/>
    <cellStyle name="SAPLocked 2 6 2 7" xfId="14475"/>
    <cellStyle name="SAPLocked 2 6 2 7 2" xfId="14476"/>
    <cellStyle name="SAPLocked 2 6 2 8" xfId="14477"/>
    <cellStyle name="SAPLocked 2 6 2 8 2" xfId="14478"/>
    <cellStyle name="SAPLocked 2 6 2 9" xfId="14479"/>
    <cellStyle name="SAPLocked 2 6 2 9 2" xfId="14480"/>
    <cellStyle name="SAPLocked 2 6 3" xfId="14481"/>
    <cellStyle name="SAPLocked 2 6 3 2" xfId="14482"/>
    <cellStyle name="SAPLocked 2 6 4" xfId="14483"/>
    <cellStyle name="SAPLocked 2 6 4 2" xfId="14484"/>
    <cellStyle name="SAPLocked 2 6 5" xfId="14485"/>
    <cellStyle name="SAPLocked 2 6 5 2" xfId="14486"/>
    <cellStyle name="SAPLocked 2 6 6" xfId="14487"/>
    <cellStyle name="SAPLocked 2 6 6 2" xfId="14488"/>
    <cellStyle name="SAPLocked 2 6 7" xfId="14489"/>
    <cellStyle name="SAPLocked 2 6 7 2" xfId="14490"/>
    <cellStyle name="SAPLocked 2 6 8" xfId="14491"/>
    <cellStyle name="SAPLocked 2 6 8 2" xfId="14492"/>
    <cellStyle name="SAPLocked 2 6 9" xfId="14493"/>
    <cellStyle name="SAPLocked 2 6 9 2" xfId="14494"/>
    <cellStyle name="SAPLocked 2 7" xfId="14495"/>
    <cellStyle name="SAPLocked 2 7 10" xfId="14496"/>
    <cellStyle name="SAPLocked 2 7 10 2" xfId="14497"/>
    <cellStyle name="SAPLocked 2 7 11" xfId="14498"/>
    <cellStyle name="SAPLocked 2 7 11 2" xfId="14499"/>
    <cellStyle name="SAPLocked 2 7 12" xfId="14500"/>
    <cellStyle name="SAPLocked 2 7 12 2" xfId="14501"/>
    <cellStyle name="SAPLocked 2 7 13" xfId="14502"/>
    <cellStyle name="SAPLocked 2 7 2" xfId="14503"/>
    <cellStyle name="SAPLocked 2 7 2 10" xfId="14504"/>
    <cellStyle name="SAPLocked 2 7 2 10 2" xfId="14505"/>
    <cellStyle name="SAPLocked 2 7 2 11" xfId="14506"/>
    <cellStyle name="SAPLocked 2 7 2 11 2" xfId="14507"/>
    <cellStyle name="SAPLocked 2 7 2 12" xfId="14508"/>
    <cellStyle name="SAPLocked 2 7 2 2" xfId="14509"/>
    <cellStyle name="SAPLocked 2 7 2 2 2" xfId="14510"/>
    <cellStyle name="SAPLocked 2 7 2 3" xfId="14511"/>
    <cellStyle name="SAPLocked 2 7 2 3 2" xfId="14512"/>
    <cellStyle name="SAPLocked 2 7 2 4" xfId="14513"/>
    <cellStyle name="SAPLocked 2 7 2 4 2" xfId="14514"/>
    <cellStyle name="SAPLocked 2 7 2 5" xfId="14515"/>
    <cellStyle name="SAPLocked 2 7 2 5 2" xfId="14516"/>
    <cellStyle name="SAPLocked 2 7 2 6" xfId="14517"/>
    <cellStyle name="SAPLocked 2 7 2 6 2" xfId="14518"/>
    <cellStyle name="SAPLocked 2 7 2 7" xfId="14519"/>
    <cellStyle name="SAPLocked 2 7 2 7 2" xfId="14520"/>
    <cellStyle name="SAPLocked 2 7 2 8" xfId="14521"/>
    <cellStyle name="SAPLocked 2 7 2 8 2" xfId="14522"/>
    <cellStyle name="SAPLocked 2 7 2 9" xfId="14523"/>
    <cellStyle name="SAPLocked 2 7 2 9 2" xfId="14524"/>
    <cellStyle name="SAPLocked 2 7 3" xfId="14525"/>
    <cellStyle name="SAPLocked 2 7 3 2" xfId="14526"/>
    <cellStyle name="SAPLocked 2 7 4" xfId="14527"/>
    <cellStyle name="SAPLocked 2 7 4 2" xfId="14528"/>
    <cellStyle name="SAPLocked 2 7 5" xfId="14529"/>
    <cellStyle name="SAPLocked 2 7 5 2" xfId="14530"/>
    <cellStyle name="SAPLocked 2 7 6" xfId="14531"/>
    <cellStyle name="SAPLocked 2 7 6 2" xfId="14532"/>
    <cellStyle name="SAPLocked 2 7 7" xfId="14533"/>
    <cellStyle name="SAPLocked 2 7 7 2" xfId="14534"/>
    <cellStyle name="SAPLocked 2 7 8" xfId="14535"/>
    <cellStyle name="SAPLocked 2 7 8 2" xfId="14536"/>
    <cellStyle name="SAPLocked 2 7 9" xfId="14537"/>
    <cellStyle name="SAPLocked 2 7 9 2" xfId="14538"/>
    <cellStyle name="SAPLocked 2 8" xfId="14539"/>
    <cellStyle name="SAPLocked 2 8 10" xfId="14540"/>
    <cellStyle name="SAPLocked 2 8 10 2" xfId="14541"/>
    <cellStyle name="SAPLocked 2 8 11" xfId="14542"/>
    <cellStyle name="SAPLocked 2 8 11 2" xfId="14543"/>
    <cellStyle name="SAPLocked 2 8 12" xfId="14544"/>
    <cellStyle name="SAPLocked 2 8 12 2" xfId="14545"/>
    <cellStyle name="SAPLocked 2 8 13" xfId="14546"/>
    <cellStyle name="SAPLocked 2 8 2" xfId="14547"/>
    <cellStyle name="SAPLocked 2 8 2 10" xfId="14548"/>
    <cellStyle name="SAPLocked 2 8 2 10 2" xfId="14549"/>
    <cellStyle name="SAPLocked 2 8 2 11" xfId="14550"/>
    <cellStyle name="SAPLocked 2 8 2 11 2" xfId="14551"/>
    <cellStyle name="SAPLocked 2 8 2 12" xfId="14552"/>
    <cellStyle name="SAPLocked 2 8 2 2" xfId="14553"/>
    <cellStyle name="SAPLocked 2 8 2 2 2" xfId="14554"/>
    <cellStyle name="SAPLocked 2 8 2 3" xfId="14555"/>
    <cellStyle name="SAPLocked 2 8 2 3 2" xfId="14556"/>
    <cellStyle name="SAPLocked 2 8 2 4" xfId="14557"/>
    <cellStyle name="SAPLocked 2 8 2 4 2" xfId="14558"/>
    <cellStyle name="SAPLocked 2 8 2 5" xfId="14559"/>
    <cellStyle name="SAPLocked 2 8 2 5 2" xfId="14560"/>
    <cellStyle name="SAPLocked 2 8 2 6" xfId="14561"/>
    <cellStyle name="SAPLocked 2 8 2 6 2" xfId="14562"/>
    <cellStyle name="SAPLocked 2 8 2 7" xfId="14563"/>
    <cellStyle name="SAPLocked 2 8 2 7 2" xfId="14564"/>
    <cellStyle name="SAPLocked 2 8 2 8" xfId="14565"/>
    <cellStyle name="SAPLocked 2 8 2 8 2" xfId="14566"/>
    <cellStyle name="SAPLocked 2 8 2 9" xfId="14567"/>
    <cellStyle name="SAPLocked 2 8 2 9 2" xfId="14568"/>
    <cellStyle name="SAPLocked 2 8 3" xfId="14569"/>
    <cellStyle name="SAPLocked 2 8 3 2" xfId="14570"/>
    <cellStyle name="SAPLocked 2 8 4" xfId="14571"/>
    <cellStyle name="SAPLocked 2 8 4 2" xfId="14572"/>
    <cellStyle name="SAPLocked 2 8 5" xfId="14573"/>
    <cellStyle name="SAPLocked 2 8 5 2" xfId="14574"/>
    <cellStyle name="SAPLocked 2 8 6" xfId="14575"/>
    <cellStyle name="SAPLocked 2 8 6 2" xfId="14576"/>
    <cellStyle name="SAPLocked 2 8 7" xfId="14577"/>
    <cellStyle name="SAPLocked 2 8 7 2" xfId="14578"/>
    <cellStyle name="SAPLocked 2 8 8" xfId="14579"/>
    <cellStyle name="SAPLocked 2 8 8 2" xfId="14580"/>
    <cellStyle name="SAPLocked 2 8 9" xfId="14581"/>
    <cellStyle name="SAPLocked 2 8 9 2" xfId="14582"/>
    <cellStyle name="SAPLocked 2 9" xfId="14583"/>
    <cellStyle name="SAPLocked 2 9 10" xfId="14584"/>
    <cellStyle name="SAPLocked 2 9 10 2" xfId="14585"/>
    <cellStyle name="SAPLocked 2 9 11" xfId="14586"/>
    <cellStyle name="SAPLocked 2 9 11 2" xfId="14587"/>
    <cellStyle name="SAPLocked 2 9 12" xfId="14588"/>
    <cellStyle name="SAPLocked 2 9 12 2" xfId="14589"/>
    <cellStyle name="SAPLocked 2 9 13" xfId="14590"/>
    <cellStyle name="SAPLocked 2 9 2" xfId="14591"/>
    <cellStyle name="SAPLocked 2 9 2 10" xfId="14592"/>
    <cellStyle name="SAPLocked 2 9 2 10 2" xfId="14593"/>
    <cellStyle name="SAPLocked 2 9 2 11" xfId="14594"/>
    <cellStyle name="SAPLocked 2 9 2 11 2" xfId="14595"/>
    <cellStyle name="SAPLocked 2 9 2 12" xfId="14596"/>
    <cellStyle name="SAPLocked 2 9 2 2" xfId="14597"/>
    <cellStyle name="SAPLocked 2 9 2 2 2" xfId="14598"/>
    <cellStyle name="SAPLocked 2 9 2 3" xfId="14599"/>
    <cellStyle name="SAPLocked 2 9 2 3 2" xfId="14600"/>
    <cellStyle name="SAPLocked 2 9 2 4" xfId="14601"/>
    <cellStyle name="SAPLocked 2 9 2 4 2" xfId="14602"/>
    <cellStyle name="SAPLocked 2 9 2 5" xfId="14603"/>
    <cellStyle name="SAPLocked 2 9 2 5 2" xfId="14604"/>
    <cellStyle name="SAPLocked 2 9 2 6" xfId="14605"/>
    <cellStyle name="SAPLocked 2 9 2 6 2" xfId="14606"/>
    <cellStyle name="SAPLocked 2 9 2 7" xfId="14607"/>
    <cellStyle name="SAPLocked 2 9 2 7 2" xfId="14608"/>
    <cellStyle name="SAPLocked 2 9 2 8" xfId="14609"/>
    <cellStyle name="SAPLocked 2 9 2 8 2" xfId="14610"/>
    <cellStyle name="SAPLocked 2 9 2 9" xfId="14611"/>
    <cellStyle name="SAPLocked 2 9 2 9 2" xfId="14612"/>
    <cellStyle name="SAPLocked 2 9 3" xfId="14613"/>
    <cellStyle name="SAPLocked 2 9 3 2" xfId="14614"/>
    <cellStyle name="SAPLocked 2 9 4" xfId="14615"/>
    <cellStyle name="SAPLocked 2 9 4 2" xfId="14616"/>
    <cellStyle name="SAPLocked 2 9 5" xfId="14617"/>
    <cellStyle name="SAPLocked 2 9 5 2" xfId="14618"/>
    <cellStyle name="SAPLocked 2 9 6" xfId="14619"/>
    <cellStyle name="SAPLocked 2 9 6 2" xfId="14620"/>
    <cellStyle name="SAPLocked 2 9 7" xfId="14621"/>
    <cellStyle name="SAPLocked 2 9 7 2" xfId="14622"/>
    <cellStyle name="SAPLocked 2 9 8" xfId="14623"/>
    <cellStyle name="SAPLocked 2 9 8 2" xfId="14624"/>
    <cellStyle name="SAPLocked 2 9 9" xfId="14625"/>
    <cellStyle name="SAPLocked 2 9 9 2" xfId="14626"/>
    <cellStyle name="SAPLocked 20" xfId="14627"/>
    <cellStyle name="SAPLocked 20 10" xfId="14628"/>
    <cellStyle name="SAPLocked 20 10 2" xfId="14629"/>
    <cellStyle name="SAPLocked 20 11" xfId="14630"/>
    <cellStyle name="SAPLocked 20 11 2" xfId="14631"/>
    <cellStyle name="SAPLocked 20 12" xfId="14632"/>
    <cellStyle name="SAPLocked 20 12 2" xfId="14633"/>
    <cellStyle name="SAPLocked 20 13" xfId="14634"/>
    <cellStyle name="SAPLocked 20 2" xfId="14635"/>
    <cellStyle name="SAPLocked 20 2 10" xfId="14636"/>
    <cellStyle name="SAPLocked 20 2 10 2" xfId="14637"/>
    <cellStyle name="SAPLocked 20 2 11" xfId="14638"/>
    <cellStyle name="SAPLocked 20 2 11 2" xfId="14639"/>
    <cellStyle name="SAPLocked 20 2 12" xfId="14640"/>
    <cellStyle name="SAPLocked 20 2 2" xfId="14641"/>
    <cellStyle name="SAPLocked 20 2 2 2" xfId="14642"/>
    <cellStyle name="SAPLocked 20 2 3" xfId="14643"/>
    <cellStyle name="SAPLocked 20 2 3 2" xfId="14644"/>
    <cellStyle name="SAPLocked 20 2 4" xfId="14645"/>
    <cellStyle name="SAPLocked 20 2 4 2" xfId="14646"/>
    <cellStyle name="SAPLocked 20 2 5" xfId="14647"/>
    <cellStyle name="SAPLocked 20 2 5 2" xfId="14648"/>
    <cellStyle name="SAPLocked 20 2 6" xfId="14649"/>
    <cellStyle name="SAPLocked 20 2 6 2" xfId="14650"/>
    <cellStyle name="SAPLocked 20 2 7" xfId="14651"/>
    <cellStyle name="SAPLocked 20 2 7 2" xfId="14652"/>
    <cellStyle name="SAPLocked 20 2 8" xfId="14653"/>
    <cellStyle name="SAPLocked 20 2 8 2" xfId="14654"/>
    <cellStyle name="SAPLocked 20 2 9" xfId="14655"/>
    <cellStyle name="SAPLocked 20 2 9 2" xfId="14656"/>
    <cellStyle name="SAPLocked 20 3" xfId="14657"/>
    <cellStyle name="SAPLocked 20 3 2" xfId="14658"/>
    <cellStyle name="SAPLocked 20 4" xfId="14659"/>
    <cellStyle name="SAPLocked 20 4 2" xfId="14660"/>
    <cellStyle name="SAPLocked 20 5" xfId="14661"/>
    <cellStyle name="SAPLocked 20 5 2" xfId="14662"/>
    <cellStyle name="SAPLocked 20 6" xfId="14663"/>
    <cellStyle name="SAPLocked 20 6 2" xfId="14664"/>
    <cellStyle name="SAPLocked 20 7" xfId="14665"/>
    <cellStyle name="SAPLocked 20 7 2" xfId="14666"/>
    <cellStyle name="SAPLocked 20 8" xfId="14667"/>
    <cellStyle name="SAPLocked 20 8 2" xfId="14668"/>
    <cellStyle name="SAPLocked 20 9" xfId="14669"/>
    <cellStyle name="SAPLocked 20 9 2" xfId="14670"/>
    <cellStyle name="SAPLocked 21" xfId="14671"/>
    <cellStyle name="SAPLocked 21 10" xfId="14672"/>
    <cellStyle name="SAPLocked 21 10 2" xfId="14673"/>
    <cellStyle name="SAPLocked 21 11" xfId="14674"/>
    <cellStyle name="SAPLocked 21 11 2" xfId="14675"/>
    <cellStyle name="SAPLocked 21 12" xfId="14676"/>
    <cellStyle name="SAPLocked 21 12 2" xfId="14677"/>
    <cellStyle name="SAPLocked 21 13" xfId="14678"/>
    <cellStyle name="SAPLocked 21 2" xfId="14679"/>
    <cellStyle name="SAPLocked 21 2 10" xfId="14680"/>
    <cellStyle name="SAPLocked 21 2 10 2" xfId="14681"/>
    <cellStyle name="SAPLocked 21 2 11" xfId="14682"/>
    <cellStyle name="SAPLocked 21 2 11 2" xfId="14683"/>
    <cellStyle name="SAPLocked 21 2 12" xfId="14684"/>
    <cellStyle name="SAPLocked 21 2 2" xfId="14685"/>
    <cellStyle name="SAPLocked 21 2 2 2" xfId="14686"/>
    <cellStyle name="SAPLocked 21 2 3" xfId="14687"/>
    <cellStyle name="SAPLocked 21 2 3 2" xfId="14688"/>
    <cellStyle name="SAPLocked 21 2 4" xfId="14689"/>
    <cellStyle name="SAPLocked 21 2 4 2" xfId="14690"/>
    <cellStyle name="SAPLocked 21 2 5" xfId="14691"/>
    <cellStyle name="SAPLocked 21 2 5 2" xfId="14692"/>
    <cellStyle name="SAPLocked 21 2 6" xfId="14693"/>
    <cellStyle name="SAPLocked 21 2 6 2" xfId="14694"/>
    <cellStyle name="SAPLocked 21 2 7" xfId="14695"/>
    <cellStyle name="SAPLocked 21 2 7 2" xfId="14696"/>
    <cellStyle name="SAPLocked 21 2 8" xfId="14697"/>
    <cellStyle name="SAPLocked 21 2 8 2" xfId="14698"/>
    <cellStyle name="SAPLocked 21 2 9" xfId="14699"/>
    <cellStyle name="SAPLocked 21 2 9 2" xfId="14700"/>
    <cellStyle name="SAPLocked 21 3" xfId="14701"/>
    <cellStyle name="SAPLocked 21 3 2" xfId="14702"/>
    <cellStyle name="SAPLocked 21 4" xfId="14703"/>
    <cellStyle name="SAPLocked 21 4 2" xfId="14704"/>
    <cellStyle name="SAPLocked 21 5" xfId="14705"/>
    <cellStyle name="SAPLocked 21 5 2" xfId="14706"/>
    <cellStyle name="SAPLocked 21 6" xfId="14707"/>
    <cellStyle name="SAPLocked 21 6 2" xfId="14708"/>
    <cellStyle name="SAPLocked 21 7" xfId="14709"/>
    <cellStyle name="SAPLocked 21 7 2" xfId="14710"/>
    <cellStyle name="SAPLocked 21 8" xfId="14711"/>
    <cellStyle name="SAPLocked 21 8 2" xfId="14712"/>
    <cellStyle name="SAPLocked 21 9" xfId="14713"/>
    <cellStyle name="SAPLocked 21 9 2" xfId="14714"/>
    <cellStyle name="SAPLocked 22" xfId="14715"/>
    <cellStyle name="SAPLocked 22 10" xfId="14716"/>
    <cellStyle name="SAPLocked 22 10 2" xfId="14717"/>
    <cellStyle name="SAPLocked 22 11" xfId="14718"/>
    <cellStyle name="SAPLocked 22 11 2" xfId="14719"/>
    <cellStyle name="SAPLocked 22 12" xfId="14720"/>
    <cellStyle name="SAPLocked 22 2" xfId="14721"/>
    <cellStyle name="SAPLocked 22 2 2" xfId="14722"/>
    <cellStyle name="SAPLocked 22 3" xfId="14723"/>
    <cellStyle name="SAPLocked 22 3 2" xfId="14724"/>
    <cellStyle name="SAPLocked 22 4" xfId="14725"/>
    <cellStyle name="SAPLocked 22 4 2" xfId="14726"/>
    <cellStyle name="SAPLocked 22 5" xfId="14727"/>
    <cellStyle name="SAPLocked 22 5 2" xfId="14728"/>
    <cellStyle name="SAPLocked 22 6" xfId="14729"/>
    <cellStyle name="SAPLocked 22 6 2" xfId="14730"/>
    <cellStyle name="SAPLocked 22 7" xfId="14731"/>
    <cellStyle name="SAPLocked 22 7 2" xfId="14732"/>
    <cellStyle name="SAPLocked 22 8" xfId="14733"/>
    <cellStyle name="SAPLocked 22 8 2" xfId="14734"/>
    <cellStyle name="SAPLocked 22 9" xfId="14735"/>
    <cellStyle name="SAPLocked 22 9 2" xfId="14736"/>
    <cellStyle name="SAPLocked 23" xfId="14737"/>
    <cellStyle name="SAPLocked 23 2" xfId="14738"/>
    <cellStyle name="SAPLocked 24" xfId="14739"/>
    <cellStyle name="SAPLocked 24 2" xfId="14740"/>
    <cellStyle name="SAPLocked 25" xfId="14741"/>
    <cellStyle name="SAPLocked 25 2" xfId="14742"/>
    <cellStyle name="SAPLocked 26" xfId="14743"/>
    <cellStyle name="SAPLocked 26 2" xfId="14744"/>
    <cellStyle name="SAPLocked 27" xfId="14745"/>
    <cellStyle name="SAPLocked 27 2" xfId="14746"/>
    <cellStyle name="SAPLocked 28" xfId="14747"/>
    <cellStyle name="SAPLocked 28 2" xfId="14748"/>
    <cellStyle name="SAPLocked 29" xfId="14749"/>
    <cellStyle name="SAPLocked 29 2" xfId="14750"/>
    <cellStyle name="SAPLocked 3" xfId="14751"/>
    <cellStyle name="SAPLocked 3 10" xfId="14752"/>
    <cellStyle name="SAPLocked 3 10 2" xfId="14753"/>
    <cellStyle name="SAPLocked 3 11" xfId="14754"/>
    <cellStyle name="SAPLocked 3 11 2" xfId="14755"/>
    <cellStyle name="SAPLocked 3 12" xfId="14756"/>
    <cellStyle name="SAPLocked 3 12 2" xfId="14757"/>
    <cellStyle name="SAPLocked 3 13" xfId="14758"/>
    <cellStyle name="SAPLocked 3 2" xfId="14759"/>
    <cellStyle name="SAPLocked 3 2 10" xfId="14760"/>
    <cellStyle name="SAPLocked 3 2 10 2" xfId="14761"/>
    <cellStyle name="SAPLocked 3 2 11" xfId="14762"/>
    <cellStyle name="SAPLocked 3 2 11 2" xfId="14763"/>
    <cellStyle name="SAPLocked 3 2 12" xfId="14764"/>
    <cellStyle name="SAPLocked 3 2 2" xfId="14765"/>
    <cellStyle name="SAPLocked 3 2 2 2" xfId="14766"/>
    <cellStyle name="SAPLocked 3 2 3" xfId="14767"/>
    <cellStyle name="SAPLocked 3 2 3 2" xfId="14768"/>
    <cellStyle name="SAPLocked 3 2 4" xfId="14769"/>
    <cellStyle name="SAPLocked 3 2 4 2" xfId="14770"/>
    <cellStyle name="SAPLocked 3 2 5" xfId="14771"/>
    <cellStyle name="SAPLocked 3 2 5 2" xfId="14772"/>
    <cellStyle name="SAPLocked 3 2 6" xfId="14773"/>
    <cellStyle name="SAPLocked 3 2 6 2" xfId="14774"/>
    <cellStyle name="SAPLocked 3 2 7" xfId="14775"/>
    <cellStyle name="SAPLocked 3 2 7 2" xfId="14776"/>
    <cellStyle name="SAPLocked 3 2 8" xfId="14777"/>
    <cellStyle name="SAPLocked 3 2 8 2" xfId="14778"/>
    <cellStyle name="SAPLocked 3 2 9" xfId="14779"/>
    <cellStyle name="SAPLocked 3 2 9 2" xfId="14780"/>
    <cellStyle name="SAPLocked 3 3" xfId="14781"/>
    <cellStyle name="SAPLocked 3 3 2" xfId="14782"/>
    <cellStyle name="SAPLocked 3 4" xfId="14783"/>
    <cellStyle name="SAPLocked 3 4 2" xfId="14784"/>
    <cellStyle name="SAPLocked 3 5" xfId="14785"/>
    <cellStyle name="SAPLocked 3 5 2" xfId="14786"/>
    <cellStyle name="SAPLocked 3 6" xfId="14787"/>
    <cellStyle name="SAPLocked 3 6 2" xfId="14788"/>
    <cellStyle name="SAPLocked 3 7" xfId="14789"/>
    <cellStyle name="SAPLocked 3 7 2" xfId="14790"/>
    <cellStyle name="SAPLocked 3 8" xfId="14791"/>
    <cellStyle name="SAPLocked 3 8 2" xfId="14792"/>
    <cellStyle name="SAPLocked 3 9" xfId="14793"/>
    <cellStyle name="SAPLocked 3 9 2" xfId="14794"/>
    <cellStyle name="SAPLocked 30" xfId="14795"/>
    <cellStyle name="SAPLocked 30 2" xfId="14796"/>
    <cellStyle name="SAPLocked 31" xfId="14797"/>
    <cellStyle name="SAPLocked 4" xfId="14798"/>
    <cellStyle name="SAPLocked 4 10" xfId="14799"/>
    <cellStyle name="SAPLocked 4 10 2" xfId="14800"/>
    <cellStyle name="SAPLocked 4 11" xfId="14801"/>
    <cellStyle name="SAPLocked 4 11 2" xfId="14802"/>
    <cellStyle name="SAPLocked 4 12" xfId="14803"/>
    <cellStyle name="SAPLocked 4 12 2" xfId="14804"/>
    <cellStyle name="SAPLocked 4 13" xfId="14805"/>
    <cellStyle name="SAPLocked 4 2" xfId="14806"/>
    <cellStyle name="SAPLocked 4 2 10" xfId="14807"/>
    <cellStyle name="SAPLocked 4 2 10 2" xfId="14808"/>
    <cellStyle name="SAPLocked 4 2 11" xfId="14809"/>
    <cellStyle name="SAPLocked 4 2 11 2" xfId="14810"/>
    <cellStyle name="SAPLocked 4 2 12" xfId="14811"/>
    <cellStyle name="SAPLocked 4 2 2" xfId="14812"/>
    <cellStyle name="SAPLocked 4 2 2 2" xfId="14813"/>
    <cellStyle name="SAPLocked 4 2 3" xfId="14814"/>
    <cellStyle name="SAPLocked 4 2 3 2" xfId="14815"/>
    <cellStyle name="SAPLocked 4 2 4" xfId="14816"/>
    <cellStyle name="SAPLocked 4 2 4 2" xfId="14817"/>
    <cellStyle name="SAPLocked 4 2 5" xfId="14818"/>
    <cellStyle name="SAPLocked 4 2 5 2" xfId="14819"/>
    <cellStyle name="SAPLocked 4 2 6" xfId="14820"/>
    <cellStyle name="SAPLocked 4 2 6 2" xfId="14821"/>
    <cellStyle name="SAPLocked 4 2 7" xfId="14822"/>
    <cellStyle name="SAPLocked 4 2 7 2" xfId="14823"/>
    <cellStyle name="SAPLocked 4 2 8" xfId="14824"/>
    <cellStyle name="SAPLocked 4 2 8 2" xfId="14825"/>
    <cellStyle name="SAPLocked 4 2 9" xfId="14826"/>
    <cellStyle name="SAPLocked 4 2 9 2" xfId="14827"/>
    <cellStyle name="SAPLocked 4 3" xfId="14828"/>
    <cellStyle name="SAPLocked 4 3 2" xfId="14829"/>
    <cellStyle name="SAPLocked 4 4" xfId="14830"/>
    <cellStyle name="SAPLocked 4 4 2" xfId="14831"/>
    <cellStyle name="SAPLocked 4 5" xfId="14832"/>
    <cellStyle name="SAPLocked 4 5 2" xfId="14833"/>
    <cellStyle name="SAPLocked 4 6" xfId="14834"/>
    <cellStyle name="SAPLocked 4 6 2" xfId="14835"/>
    <cellStyle name="SAPLocked 4 7" xfId="14836"/>
    <cellStyle name="SAPLocked 4 7 2" xfId="14837"/>
    <cellStyle name="SAPLocked 4 8" xfId="14838"/>
    <cellStyle name="SAPLocked 4 8 2" xfId="14839"/>
    <cellStyle name="SAPLocked 4 9" xfId="14840"/>
    <cellStyle name="SAPLocked 4 9 2" xfId="14841"/>
    <cellStyle name="SAPLocked 5" xfId="14842"/>
    <cellStyle name="SAPLocked 5 10" xfId="14843"/>
    <cellStyle name="SAPLocked 5 10 2" xfId="14844"/>
    <cellStyle name="SAPLocked 5 11" xfId="14845"/>
    <cellStyle name="SAPLocked 5 11 2" xfId="14846"/>
    <cellStyle name="SAPLocked 5 12" xfId="14847"/>
    <cellStyle name="SAPLocked 5 12 2" xfId="14848"/>
    <cellStyle name="SAPLocked 5 13" xfId="14849"/>
    <cellStyle name="SAPLocked 5 2" xfId="14850"/>
    <cellStyle name="SAPLocked 5 2 10" xfId="14851"/>
    <cellStyle name="SAPLocked 5 2 10 2" xfId="14852"/>
    <cellStyle name="SAPLocked 5 2 11" xfId="14853"/>
    <cellStyle name="SAPLocked 5 2 11 2" xfId="14854"/>
    <cellStyle name="SAPLocked 5 2 12" xfId="14855"/>
    <cellStyle name="SAPLocked 5 2 2" xfId="14856"/>
    <cellStyle name="SAPLocked 5 2 2 2" xfId="14857"/>
    <cellStyle name="SAPLocked 5 2 3" xfId="14858"/>
    <cellStyle name="SAPLocked 5 2 3 2" xfId="14859"/>
    <cellStyle name="SAPLocked 5 2 4" xfId="14860"/>
    <cellStyle name="SAPLocked 5 2 4 2" xfId="14861"/>
    <cellStyle name="SAPLocked 5 2 5" xfId="14862"/>
    <cellStyle name="SAPLocked 5 2 5 2" xfId="14863"/>
    <cellStyle name="SAPLocked 5 2 6" xfId="14864"/>
    <cellStyle name="SAPLocked 5 2 6 2" xfId="14865"/>
    <cellStyle name="SAPLocked 5 2 7" xfId="14866"/>
    <cellStyle name="SAPLocked 5 2 7 2" xfId="14867"/>
    <cellStyle name="SAPLocked 5 2 8" xfId="14868"/>
    <cellStyle name="SAPLocked 5 2 8 2" xfId="14869"/>
    <cellStyle name="SAPLocked 5 2 9" xfId="14870"/>
    <cellStyle name="SAPLocked 5 2 9 2" xfId="14871"/>
    <cellStyle name="SAPLocked 5 3" xfId="14872"/>
    <cellStyle name="SAPLocked 5 3 2" xfId="14873"/>
    <cellStyle name="SAPLocked 5 4" xfId="14874"/>
    <cellStyle name="SAPLocked 5 4 2" xfId="14875"/>
    <cellStyle name="SAPLocked 5 5" xfId="14876"/>
    <cellStyle name="SAPLocked 5 5 2" xfId="14877"/>
    <cellStyle name="SAPLocked 5 6" xfId="14878"/>
    <cellStyle name="SAPLocked 5 6 2" xfId="14879"/>
    <cellStyle name="SAPLocked 5 7" xfId="14880"/>
    <cellStyle name="SAPLocked 5 7 2" xfId="14881"/>
    <cellStyle name="SAPLocked 5 8" xfId="14882"/>
    <cellStyle name="SAPLocked 5 8 2" xfId="14883"/>
    <cellStyle name="SAPLocked 5 9" xfId="14884"/>
    <cellStyle name="SAPLocked 5 9 2" xfId="14885"/>
    <cellStyle name="SAPLocked 6" xfId="14886"/>
    <cellStyle name="SAPLocked 6 10" xfId="14887"/>
    <cellStyle name="SAPLocked 6 10 2" xfId="14888"/>
    <cellStyle name="SAPLocked 6 11" xfId="14889"/>
    <cellStyle name="SAPLocked 6 11 2" xfId="14890"/>
    <cellStyle name="SAPLocked 6 12" xfId="14891"/>
    <cellStyle name="SAPLocked 6 12 2" xfId="14892"/>
    <cellStyle name="SAPLocked 6 13" xfId="14893"/>
    <cellStyle name="SAPLocked 6 2" xfId="14894"/>
    <cellStyle name="SAPLocked 6 2 10" xfId="14895"/>
    <cellStyle name="SAPLocked 6 2 10 2" xfId="14896"/>
    <cellStyle name="SAPLocked 6 2 11" xfId="14897"/>
    <cellStyle name="SAPLocked 6 2 11 2" xfId="14898"/>
    <cellStyle name="SAPLocked 6 2 12" xfId="14899"/>
    <cellStyle name="SAPLocked 6 2 2" xfId="14900"/>
    <cellStyle name="SAPLocked 6 2 2 2" xfId="14901"/>
    <cellStyle name="SAPLocked 6 2 3" xfId="14902"/>
    <cellStyle name="SAPLocked 6 2 3 2" xfId="14903"/>
    <cellStyle name="SAPLocked 6 2 4" xfId="14904"/>
    <cellStyle name="SAPLocked 6 2 4 2" xfId="14905"/>
    <cellStyle name="SAPLocked 6 2 5" xfId="14906"/>
    <cellStyle name="SAPLocked 6 2 5 2" xfId="14907"/>
    <cellStyle name="SAPLocked 6 2 6" xfId="14908"/>
    <cellStyle name="SAPLocked 6 2 6 2" xfId="14909"/>
    <cellStyle name="SAPLocked 6 2 7" xfId="14910"/>
    <cellStyle name="SAPLocked 6 2 7 2" xfId="14911"/>
    <cellStyle name="SAPLocked 6 2 8" xfId="14912"/>
    <cellStyle name="SAPLocked 6 2 8 2" xfId="14913"/>
    <cellStyle name="SAPLocked 6 2 9" xfId="14914"/>
    <cellStyle name="SAPLocked 6 2 9 2" xfId="14915"/>
    <cellStyle name="SAPLocked 6 3" xfId="14916"/>
    <cellStyle name="SAPLocked 6 3 2" xfId="14917"/>
    <cellStyle name="SAPLocked 6 4" xfId="14918"/>
    <cellStyle name="SAPLocked 6 4 2" xfId="14919"/>
    <cellStyle name="SAPLocked 6 5" xfId="14920"/>
    <cellStyle name="SAPLocked 6 5 2" xfId="14921"/>
    <cellStyle name="SAPLocked 6 6" xfId="14922"/>
    <cellStyle name="SAPLocked 6 6 2" xfId="14923"/>
    <cellStyle name="SAPLocked 6 7" xfId="14924"/>
    <cellStyle name="SAPLocked 6 7 2" xfId="14925"/>
    <cellStyle name="SAPLocked 6 8" xfId="14926"/>
    <cellStyle name="SAPLocked 6 8 2" xfId="14927"/>
    <cellStyle name="SAPLocked 6 9" xfId="14928"/>
    <cellStyle name="SAPLocked 6 9 2" xfId="14929"/>
    <cellStyle name="SAPLocked 7" xfId="14930"/>
    <cellStyle name="SAPLocked 7 10" xfId="14931"/>
    <cellStyle name="SAPLocked 7 10 2" xfId="14932"/>
    <cellStyle name="SAPLocked 7 11" xfId="14933"/>
    <cellStyle name="SAPLocked 7 11 2" xfId="14934"/>
    <cellStyle name="SAPLocked 7 12" xfId="14935"/>
    <cellStyle name="SAPLocked 7 12 2" xfId="14936"/>
    <cellStyle name="SAPLocked 7 13" xfId="14937"/>
    <cellStyle name="SAPLocked 7 2" xfId="14938"/>
    <cellStyle name="SAPLocked 7 2 10" xfId="14939"/>
    <cellStyle name="SAPLocked 7 2 10 2" xfId="14940"/>
    <cellStyle name="SAPLocked 7 2 11" xfId="14941"/>
    <cellStyle name="SAPLocked 7 2 11 2" xfId="14942"/>
    <cellStyle name="SAPLocked 7 2 12" xfId="14943"/>
    <cellStyle name="SAPLocked 7 2 2" xfId="14944"/>
    <cellStyle name="SAPLocked 7 2 2 2" xfId="14945"/>
    <cellStyle name="SAPLocked 7 2 3" xfId="14946"/>
    <cellStyle name="SAPLocked 7 2 3 2" xfId="14947"/>
    <cellStyle name="SAPLocked 7 2 4" xfId="14948"/>
    <cellStyle name="SAPLocked 7 2 4 2" xfId="14949"/>
    <cellStyle name="SAPLocked 7 2 5" xfId="14950"/>
    <cellStyle name="SAPLocked 7 2 5 2" xfId="14951"/>
    <cellStyle name="SAPLocked 7 2 6" xfId="14952"/>
    <cellStyle name="SAPLocked 7 2 6 2" xfId="14953"/>
    <cellStyle name="SAPLocked 7 2 7" xfId="14954"/>
    <cellStyle name="SAPLocked 7 2 7 2" xfId="14955"/>
    <cellStyle name="SAPLocked 7 2 8" xfId="14956"/>
    <cellStyle name="SAPLocked 7 2 8 2" xfId="14957"/>
    <cellStyle name="SAPLocked 7 2 9" xfId="14958"/>
    <cellStyle name="SAPLocked 7 2 9 2" xfId="14959"/>
    <cellStyle name="SAPLocked 7 3" xfId="14960"/>
    <cellStyle name="SAPLocked 7 3 2" xfId="14961"/>
    <cellStyle name="SAPLocked 7 4" xfId="14962"/>
    <cellStyle name="SAPLocked 7 4 2" xfId="14963"/>
    <cellStyle name="SAPLocked 7 5" xfId="14964"/>
    <cellStyle name="SAPLocked 7 5 2" xfId="14965"/>
    <cellStyle name="SAPLocked 7 6" xfId="14966"/>
    <cellStyle name="SAPLocked 7 6 2" xfId="14967"/>
    <cellStyle name="SAPLocked 7 7" xfId="14968"/>
    <cellStyle name="SAPLocked 7 7 2" xfId="14969"/>
    <cellStyle name="SAPLocked 7 8" xfId="14970"/>
    <cellStyle name="SAPLocked 7 8 2" xfId="14971"/>
    <cellStyle name="SAPLocked 7 9" xfId="14972"/>
    <cellStyle name="SAPLocked 7 9 2" xfId="14973"/>
    <cellStyle name="SAPLocked 8" xfId="14974"/>
    <cellStyle name="SAPLocked 8 10" xfId="14975"/>
    <cellStyle name="SAPLocked 8 10 2" xfId="14976"/>
    <cellStyle name="SAPLocked 8 11" xfId="14977"/>
    <cellStyle name="SAPLocked 8 11 2" xfId="14978"/>
    <cellStyle name="SAPLocked 8 12" xfId="14979"/>
    <cellStyle name="SAPLocked 8 12 2" xfId="14980"/>
    <cellStyle name="SAPLocked 8 13" xfId="14981"/>
    <cellStyle name="SAPLocked 8 2" xfId="14982"/>
    <cellStyle name="SAPLocked 8 2 10" xfId="14983"/>
    <cellStyle name="SAPLocked 8 2 10 2" xfId="14984"/>
    <cellStyle name="SAPLocked 8 2 11" xfId="14985"/>
    <cellStyle name="SAPLocked 8 2 11 2" xfId="14986"/>
    <cellStyle name="SAPLocked 8 2 12" xfId="14987"/>
    <cellStyle name="SAPLocked 8 2 2" xfId="14988"/>
    <cellStyle name="SAPLocked 8 2 2 2" xfId="14989"/>
    <cellStyle name="SAPLocked 8 2 3" xfId="14990"/>
    <cellStyle name="SAPLocked 8 2 3 2" xfId="14991"/>
    <cellStyle name="SAPLocked 8 2 4" xfId="14992"/>
    <cellStyle name="SAPLocked 8 2 4 2" xfId="14993"/>
    <cellStyle name="SAPLocked 8 2 5" xfId="14994"/>
    <cellStyle name="SAPLocked 8 2 5 2" xfId="14995"/>
    <cellStyle name="SAPLocked 8 2 6" xfId="14996"/>
    <cellStyle name="SAPLocked 8 2 6 2" xfId="14997"/>
    <cellStyle name="SAPLocked 8 2 7" xfId="14998"/>
    <cellStyle name="SAPLocked 8 2 7 2" xfId="14999"/>
    <cellStyle name="SAPLocked 8 2 8" xfId="15000"/>
    <cellStyle name="SAPLocked 8 2 8 2" xfId="15001"/>
    <cellStyle name="SAPLocked 8 2 9" xfId="15002"/>
    <cellStyle name="SAPLocked 8 2 9 2" xfId="15003"/>
    <cellStyle name="SAPLocked 8 3" xfId="15004"/>
    <cellStyle name="SAPLocked 8 3 2" xfId="15005"/>
    <cellStyle name="SAPLocked 8 4" xfId="15006"/>
    <cellStyle name="SAPLocked 8 4 2" xfId="15007"/>
    <cellStyle name="SAPLocked 8 5" xfId="15008"/>
    <cellStyle name="SAPLocked 8 5 2" xfId="15009"/>
    <cellStyle name="SAPLocked 8 6" xfId="15010"/>
    <cellStyle name="SAPLocked 8 6 2" xfId="15011"/>
    <cellStyle name="SAPLocked 8 7" xfId="15012"/>
    <cellStyle name="SAPLocked 8 7 2" xfId="15013"/>
    <cellStyle name="SAPLocked 8 8" xfId="15014"/>
    <cellStyle name="SAPLocked 8 8 2" xfId="15015"/>
    <cellStyle name="SAPLocked 8 9" xfId="15016"/>
    <cellStyle name="SAPLocked 8 9 2" xfId="15017"/>
    <cellStyle name="SAPLocked 9" xfId="15018"/>
    <cellStyle name="SAPLocked 9 10" xfId="15019"/>
    <cellStyle name="SAPLocked 9 10 2" xfId="15020"/>
    <cellStyle name="SAPLocked 9 11" xfId="15021"/>
    <cellStyle name="SAPLocked 9 11 2" xfId="15022"/>
    <cellStyle name="SAPLocked 9 12" xfId="15023"/>
    <cellStyle name="SAPLocked 9 12 2" xfId="15024"/>
    <cellStyle name="SAPLocked 9 13" xfId="15025"/>
    <cellStyle name="SAPLocked 9 2" xfId="15026"/>
    <cellStyle name="SAPLocked 9 2 10" xfId="15027"/>
    <cellStyle name="SAPLocked 9 2 10 2" xfId="15028"/>
    <cellStyle name="SAPLocked 9 2 11" xfId="15029"/>
    <cellStyle name="SAPLocked 9 2 11 2" xfId="15030"/>
    <cellStyle name="SAPLocked 9 2 12" xfId="15031"/>
    <cellStyle name="SAPLocked 9 2 2" xfId="15032"/>
    <cellStyle name="SAPLocked 9 2 2 2" xfId="15033"/>
    <cellStyle name="SAPLocked 9 2 3" xfId="15034"/>
    <cellStyle name="SAPLocked 9 2 3 2" xfId="15035"/>
    <cellStyle name="SAPLocked 9 2 4" xfId="15036"/>
    <cellStyle name="SAPLocked 9 2 4 2" xfId="15037"/>
    <cellStyle name="SAPLocked 9 2 5" xfId="15038"/>
    <cellStyle name="SAPLocked 9 2 5 2" xfId="15039"/>
    <cellStyle name="SAPLocked 9 2 6" xfId="15040"/>
    <cellStyle name="SAPLocked 9 2 6 2" xfId="15041"/>
    <cellStyle name="SAPLocked 9 2 7" xfId="15042"/>
    <cellStyle name="SAPLocked 9 2 7 2" xfId="15043"/>
    <cellStyle name="SAPLocked 9 2 8" xfId="15044"/>
    <cellStyle name="SAPLocked 9 2 8 2" xfId="15045"/>
    <cellStyle name="SAPLocked 9 2 9" xfId="15046"/>
    <cellStyle name="SAPLocked 9 2 9 2" xfId="15047"/>
    <cellStyle name="SAPLocked 9 3" xfId="15048"/>
    <cellStyle name="SAPLocked 9 3 2" xfId="15049"/>
    <cellStyle name="SAPLocked 9 4" xfId="15050"/>
    <cellStyle name="SAPLocked 9 4 2" xfId="15051"/>
    <cellStyle name="SAPLocked 9 5" xfId="15052"/>
    <cellStyle name="SAPLocked 9 5 2" xfId="15053"/>
    <cellStyle name="SAPLocked 9 6" xfId="15054"/>
    <cellStyle name="SAPLocked 9 6 2" xfId="15055"/>
    <cellStyle name="SAPLocked 9 7" xfId="15056"/>
    <cellStyle name="SAPLocked 9 7 2" xfId="15057"/>
    <cellStyle name="SAPLocked 9 8" xfId="15058"/>
    <cellStyle name="SAPLocked 9 8 2" xfId="15059"/>
    <cellStyle name="SAPLocked 9 9" xfId="15060"/>
    <cellStyle name="SAPLocked 9 9 2" xfId="15061"/>
    <cellStyle name="SAPMemberCell" xfId="15062"/>
    <cellStyle name="SAPMemberTotalCell" xfId="15063"/>
    <cellStyle name="Standard_CORE_20040805_Movement types_Sets_V0.1_e" xfId="15064"/>
    <cellStyle name="STYL5 - Style5" xfId="15065"/>
    <cellStyle name="STYL5 - Style5 2" xfId="15066"/>
    <cellStyle name="STYL5 - Style5 2 2" xfId="15067"/>
    <cellStyle name="STYL5 - Style5 3" xfId="15068"/>
    <cellStyle name="STYL5 - Style5 3 2" xfId="15069"/>
    <cellStyle name="STYL6 - Style6" xfId="15070"/>
    <cellStyle name="STYL6 - Style6 2" xfId="15071"/>
    <cellStyle name="STYL6 - Style6 2 2" xfId="15072"/>
    <cellStyle name="STYL6 - Style6 3" xfId="15073"/>
    <cellStyle name="STYL6 - Style6 3 2" xfId="15074"/>
    <cellStyle name="STYLE1 - Style1" xfId="15075"/>
    <cellStyle name="STYLE1 - Style1 2" xfId="15076"/>
    <cellStyle name="STYLE1 - Style1 2 2" xfId="15077"/>
    <cellStyle name="STYLE1 - Style1 3" xfId="15078"/>
    <cellStyle name="STYLE1 - Style1 3 2" xfId="15079"/>
    <cellStyle name="STYLE2 - Style2" xfId="15080"/>
    <cellStyle name="STYLE2 - Style2 2" xfId="15081"/>
    <cellStyle name="STYLE2 - Style2 2 2" xfId="15082"/>
    <cellStyle name="STYLE2 - Style2 3" xfId="15083"/>
    <cellStyle name="STYLE2 - Style2 3 2" xfId="15084"/>
    <cellStyle name="STYLE3 - Style3" xfId="15085"/>
    <cellStyle name="STYLE3 - Style3 2" xfId="15086"/>
    <cellStyle name="STYLE3 - Style3 2 2" xfId="15087"/>
    <cellStyle name="STYLE3 - Style3 3" xfId="15088"/>
    <cellStyle name="STYLE3 - Style3 3 2" xfId="15089"/>
    <cellStyle name="STYLE4 - Style4" xfId="15090"/>
    <cellStyle name="STYLE4 - Style4 2" xfId="15091"/>
    <cellStyle name="STYLE4 - Style4 2 2" xfId="15092"/>
    <cellStyle name="STYLE4 - Style4 3" xfId="15093"/>
    <cellStyle name="STYLE4 - Style4 3 2" xfId="15094"/>
    <cellStyle name="Table  - Style5" xfId="15095"/>
    <cellStyle name="Text" xfId="15096"/>
    <cellStyle name="Title  - Style6" xfId="15097"/>
    <cellStyle name="Title 10" xfId="1991"/>
    <cellStyle name="Title 11" xfId="1992"/>
    <cellStyle name="Title 12" xfId="1993"/>
    <cellStyle name="Title 13" xfId="1994"/>
    <cellStyle name="Title 14" xfId="1995"/>
    <cellStyle name="Title 15" xfId="1996"/>
    <cellStyle name="Title 16" xfId="1997"/>
    <cellStyle name="Title 17" xfId="1998"/>
    <cellStyle name="Title 17 2" xfId="1999"/>
    <cellStyle name="Title 17 3" xfId="2000"/>
    <cellStyle name="Title 17 4" xfId="2001"/>
    <cellStyle name="Title 17 5" xfId="2002"/>
    <cellStyle name="Title 18" xfId="2003"/>
    <cellStyle name="Title 19" xfId="2004"/>
    <cellStyle name="Title 2" xfId="2005"/>
    <cellStyle name="Title 2 2" xfId="2006"/>
    <cellStyle name="Title 2 2 2" xfId="2007"/>
    <cellStyle name="Title 2 2 3" xfId="2008"/>
    <cellStyle name="Title 2 2 4" xfId="2009"/>
    <cellStyle name="Title 2 2 5" xfId="2010"/>
    <cellStyle name="Title 2 3" xfId="2011"/>
    <cellStyle name="Title 2 4" xfId="2012"/>
    <cellStyle name="Title 2 5" xfId="2013"/>
    <cellStyle name="Title 2 6" xfId="2014"/>
    <cellStyle name="Title 2 7" xfId="2015"/>
    <cellStyle name="Title 2 8" xfId="2016"/>
    <cellStyle name="Title 20" xfId="2017"/>
    <cellStyle name="Title 21" xfId="2018"/>
    <cellStyle name="Title 22" xfId="2019"/>
    <cellStyle name="Title 3" xfId="2020"/>
    <cellStyle name="Title 3 2" xfId="15098"/>
    <cellStyle name="Title 4" xfId="2021"/>
    <cellStyle name="Title 5" xfId="2022"/>
    <cellStyle name="Title 6" xfId="2023"/>
    <cellStyle name="Title 7" xfId="2024"/>
    <cellStyle name="Title 8" xfId="2025"/>
    <cellStyle name="Title 9" xfId="2026"/>
    <cellStyle name="Total 10" xfId="2027"/>
    <cellStyle name="Total 11" xfId="2028"/>
    <cellStyle name="Total 12" xfId="2029"/>
    <cellStyle name="Total 13" xfId="2030"/>
    <cellStyle name="Total 14" xfId="2031"/>
    <cellStyle name="Total 15" xfId="2032"/>
    <cellStyle name="Total 16" xfId="2033"/>
    <cellStyle name="Total 17" xfId="2034"/>
    <cellStyle name="Total 17 2" xfId="15099"/>
    <cellStyle name="Total 17 3" xfId="15100"/>
    <cellStyle name="Total 17 4" xfId="15101"/>
    <cellStyle name="Total 18" xfId="2035"/>
    <cellStyle name="Total 19" xfId="2036"/>
    <cellStyle name="Total 2" xfId="2037"/>
    <cellStyle name="Total 2 2" xfId="2038"/>
    <cellStyle name="Total 2 2 2" xfId="2039"/>
    <cellStyle name="Total 2 2 2 2" xfId="2040"/>
    <cellStyle name="Total 2 2 2 3" xfId="2041"/>
    <cellStyle name="Total 2 2 2 4" xfId="2042"/>
    <cellStyle name="Total 2 2 2 5" xfId="2043"/>
    <cellStyle name="Total 2 2 3" xfId="2044"/>
    <cellStyle name="Total 2 2 4" xfId="2045"/>
    <cellStyle name="Total 2 2 5" xfId="2046"/>
    <cellStyle name="Total 2 3" xfId="2047"/>
    <cellStyle name="Total 2 3 2" xfId="15102"/>
    <cellStyle name="Total 2 4" xfId="2048"/>
    <cellStyle name="Total 2 4 2" xfId="15103"/>
    <cellStyle name="Total 2 5" xfId="2049"/>
    <cellStyle name="Total 2 5 2" xfId="15104"/>
    <cellStyle name="Total 2 6" xfId="2050"/>
    <cellStyle name="Total 2 6 2" xfId="15105"/>
    <cellStyle name="Total 2 7" xfId="2051"/>
    <cellStyle name="Total 2 7 2" xfId="15106"/>
    <cellStyle name="Total 2 8" xfId="2052"/>
    <cellStyle name="Total 2 9" xfId="2053"/>
    <cellStyle name="Total 20" xfId="2054"/>
    <cellStyle name="Total 21" xfId="2055"/>
    <cellStyle name="Total 22" xfId="2056"/>
    <cellStyle name="Total 23" xfId="2057"/>
    <cellStyle name="Total 24" xfId="2058"/>
    <cellStyle name="Total 3" xfId="2059"/>
    <cellStyle name="Total 3 2" xfId="15107"/>
    <cellStyle name="Total 3 2 2" xfId="15108"/>
    <cellStyle name="Total 3 3" xfId="15109"/>
    <cellStyle name="Total 4" xfId="2060"/>
    <cellStyle name="Total 4 2" xfId="15110"/>
    <cellStyle name="Total 5" xfId="2061"/>
    <cellStyle name="Total 6" xfId="2062"/>
    <cellStyle name="Total 7" xfId="2063"/>
    <cellStyle name="Total 8" xfId="2064"/>
    <cellStyle name="Total 9" xfId="2065"/>
    <cellStyle name="TotCol - Style7" xfId="15111"/>
    <cellStyle name="TotRow - Style8" xfId="15112"/>
    <cellStyle name="Undefiniert" xfId="15113"/>
    <cellStyle name="Undefiniert 2" xfId="15114"/>
    <cellStyle name="UploadThisRowValue" xfId="15115"/>
    <cellStyle name="UploadThisRowValue 2" xfId="15116"/>
    <cellStyle name="UploadThisRowValue 2 2" xfId="15117"/>
    <cellStyle name="UploadThisRowValue 3" xfId="15118"/>
    <cellStyle name="Warning Text 10" xfId="2066"/>
    <cellStyle name="Warning Text 11" xfId="2067"/>
    <cellStyle name="Warning Text 12" xfId="2068"/>
    <cellStyle name="Warning Text 13" xfId="2069"/>
    <cellStyle name="Warning Text 14" xfId="2070"/>
    <cellStyle name="Warning Text 15" xfId="2071"/>
    <cellStyle name="Warning Text 16" xfId="2072"/>
    <cellStyle name="Warning Text 17" xfId="2073"/>
    <cellStyle name="Warning Text 18" xfId="2074"/>
    <cellStyle name="Warning Text 19" xfId="2075"/>
    <cellStyle name="Warning Text 2" xfId="2076"/>
    <cellStyle name="Warning Text 2 2" xfId="2077"/>
    <cellStyle name="Warning Text 2 2 2" xfId="2078"/>
    <cellStyle name="Warning Text 2 2 2 2" xfId="2079"/>
    <cellStyle name="Warning Text 2 2 2 3" xfId="2080"/>
    <cellStyle name="Warning Text 2 2 2 4" xfId="2081"/>
    <cellStyle name="Warning Text 2 2 2 5" xfId="2082"/>
    <cellStyle name="Warning Text 2 2 3" xfId="2083"/>
    <cellStyle name="Warning Text 2 2 4" xfId="2084"/>
    <cellStyle name="Warning Text 2 2 5" xfId="2085"/>
    <cellStyle name="Warning Text 2 3" xfId="2086"/>
    <cellStyle name="Warning Text 2 4" xfId="2087"/>
    <cellStyle name="Warning Text 2 5" xfId="2088"/>
    <cellStyle name="Warning Text 2 6" xfId="2089"/>
    <cellStyle name="Warning Text 2 7" xfId="2090"/>
    <cellStyle name="Warning Text 2 8" xfId="2091"/>
    <cellStyle name="Warning Text 2 9" xfId="2092"/>
    <cellStyle name="Warning Text 20" xfId="2093"/>
    <cellStyle name="Warning Text 21" xfId="2094"/>
    <cellStyle name="Warning Text 22" xfId="2095"/>
    <cellStyle name="Warning Text 3" xfId="2096"/>
    <cellStyle name="Warning Text 3 2" xfId="15119"/>
    <cellStyle name="Warning Text 4" xfId="2097"/>
    <cellStyle name="Warning Text 4 2" xfId="15120"/>
    <cellStyle name="Warning Text 5" xfId="2098"/>
    <cellStyle name="Warning Text 6" xfId="2099"/>
    <cellStyle name="Warning Text 7" xfId="2100"/>
    <cellStyle name="Warning Text 8" xfId="2101"/>
    <cellStyle name="Warning Text 9" xfId="2102"/>
  </cellStyles>
  <dxfs count="1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CCFFFF"/>
      <color rgb="FF0000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te%20Case%202014\Billing%20Determinants\LGE\LGE%20Forecast%20Period%20Calend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Rate%20Case%202014\Billing%20Determinants\LGE\LGE%20Forecast%20Period%20Calendar%20-%20FINAL%20Rates%2011-0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s==&gt;"/>
      <sheetName val="Sch M-2.1"/>
      <sheetName val="Sch M-2.2-pg 1"/>
      <sheetName val="Sch M-2.2 pgs 2-14"/>
      <sheetName val="Sch M-2.2 pgs 15-21"/>
      <sheetName val="Sch M-2.3 pg 1-2"/>
      <sheetName val="Sch M-2.3 pgs 3-19"/>
      <sheetName val="Sch M-2.3 pgs 20-26"/>
      <sheetName val="Summaries==&gt;"/>
      <sheetName val="Rate Summary"/>
      <sheetName val="Class Summary"/>
      <sheetName val="Data==&gt;"/>
      <sheetName val="12MonResults"/>
      <sheetName val="12MonLights"/>
      <sheetName val="12MonPoles"/>
      <sheetName val="ECR in Base Rates"/>
      <sheetName val="Sources ==&gt;"/>
      <sheetName val="Rates"/>
      <sheetName val="LightingRates"/>
      <sheetName val="PoleRates"/>
      <sheetName val="1022"/>
      <sheetName val="1051"/>
      <sheetName val="1055"/>
      <sheetName val="SBR"/>
      <sheetName val="MiscData"/>
      <sheetName val="Power Factor"/>
      <sheetName val="LEV"/>
      <sheetName val="Lighting"/>
      <sheetName val="Sch M-2.2 pgs 2-13"/>
      <sheetName val="Sch M-2.2 pgs 14-19"/>
      <sheetName val="Sch M-2.3 pg 1"/>
      <sheetName val="Sch M-2.3 pgs 2-15"/>
      <sheetName val="Sch M-2.3 pgs 14-2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B4" t="str">
            <v>Jan 2016</v>
          </cell>
          <cell r="C4" t="str">
            <v>FLSP</v>
          </cell>
          <cell r="D4" t="str">
            <v>LGINE682</v>
          </cell>
          <cell r="E4">
            <v>0</v>
          </cell>
          <cell r="F4">
            <v>0</v>
          </cell>
          <cell r="G4">
            <v>0</v>
          </cell>
          <cell r="H4">
            <v>0</v>
          </cell>
          <cell r="I4">
            <v>0</v>
          </cell>
          <cell r="J4">
            <v>0</v>
          </cell>
          <cell r="K4">
            <v>0</v>
          </cell>
          <cell r="L4">
            <v>0</v>
          </cell>
          <cell r="M4">
            <v>0</v>
          </cell>
          <cell r="AA4">
            <v>0</v>
          </cell>
          <cell r="AB4">
            <v>0</v>
          </cell>
          <cell r="AD4">
            <v>0</v>
          </cell>
          <cell r="AE4">
            <v>0</v>
          </cell>
          <cell r="AG4">
            <v>0</v>
          </cell>
          <cell r="AH4">
            <v>0</v>
          </cell>
          <cell r="AI4">
            <v>0</v>
          </cell>
          <cell r="AJ4">
            <v>0</v>
          </cell>
          <cell r="AK4">
            <v>0</v>
          </cell>
          <cell r="AL4">
            <v>0</v>
          </cell>
        </row>
        <row r="5">
          <cell r="B5" t="str">
            <v>Jan 2016</v>
          </cell>
          <cell r="C5" t="str">
            <v>FLST</v>
          </cell>
          <cell r="D5" t="str">
            <v>LGINE683</v>
          </cell>
          <cell r="E5">
            <v>0</v>
          </cell>
          <cell r="F5">
            <v>0</v>
          </cell>
          <cell r="G5">
            <v>0</v>
          </cell>
          <cell r="H5">
            <v>0</v>
          </cell>
          <cell r="I5">
            <v>0</v>
          </cell>
          <cell r="J5">
            <v>0</v>
          </cell>
          <cell r="K5">
            <v>0</v>
          </cell>
          <cell r="L5">
            <v>0</v>
          </cell>
          <cell r="M5">
            <v>0</v>
          </cell>
          <cell r="AA5">
            <v>0</v>
          </cell>
          <cell r="AB5">
            <v>0</v>
          </cell>
          <cell r="AD5">
            <v>0</v>
          </cell>
          <cell r="AE5">
            <v>0</v>
          </cell>
          <cell r="AG5">
            <v>0</v>
          </cell>
          <cell r="AH5">
            <v>0</v>
          </cell>
          <cell r="AI5">
            <v>0</v>
          </cell>
          <cell r="AJ5">
            <v>0</v>
          </cell>
          <cell r="AK5">
            <v>0</v>
          </cell>
          <cell r="AL5">
            <v>0</v>
          </cell>
        </row>
        <row r="6">
          <cell r="B6" t="str">
            <v>Jan 2016</v>
          </cell>
          <cell r="C6" t="str">
            <v>GS</v>
          </cell>
          <cell r="D6" t="str">
            <v>LGCME451</v>
          </cell>
          <cell r="E6">
            <v>0</v>
          </cell>
          <cell r="F6">
            <v>0</v>
          </cell>
          <cell r="G6">
            <v>0</v>
          </cell>
          <cell r="H6">
            <v>0</v>
          </cell>
          <cell r="I6">
            <v>0</v>
          </cell>
          <cell r="J6">
            <v>0</v>
          </cell>
          <cell r="K6">
            <v>0</v>
          </cell>
          <cell r="L6">
            <v>0</v>
          </cell>
          <cell r="M6">
            <v>0</v>
          </cell>
          <cell r="AA6">
            <v>0</v>
          </cell>
          <cell r="AB6">
            <v>0</v>
          </cell>
          <cell r="AD6">
            <v>0</v>
          </cell>
          <cell r="AE6">
            <v>0</v>
          </cell>
          <cell r="AG6">
            <v>0</v>
          </cell>
          <cell r="AH6">
            <v>0</v>
          </cell>
          <cell r="AI6">
            <v>0</v>
          </cell>
          <cell r="AJ6">
            <v>0</v>
          </cell>
          <cell r="AK6">
            <v>0</v>
          </cell>
          <cell r="AL6">
            <v>0</v>
          </cell>
        </row>
        <row r="7">
          <cell r="B7" t="str">
            <v>Jan 2016</v>
          </cell>
          <cell r="C7" t="str">
            <v>GS</v>
          </cell>
          <cell r="D7" t="str">
            <v>LGCME550</v>
          </cell>
          <cell r="E7">
            <v>0</v>
          </cell>
          <cell r="F7">
            <v>0</v>
          </cell>
          <cell r="G7">
            <v>0</v>
          </cell>
          <cell r="H7">
            <v>0</v>
          </cell>
          <cell r="I7">
            <v>0</v>
          </cell>
          <cell r="J7">
            <v>0</v>
          </cell>
          <cell r="K7">
            <v>0</v>
          </cell>
          <cell r="L7">
            <v>0</v>
          </cell>
          <cell r="M7">
            <v>0</v>
          </cell>
          <cell r="AA7">
            <v>0</v>
          </cell>
          <cell r="AB7">
            <v>0</v>
          </cell>
          <cell r="AD7">
            <v>0</v>
          </cell>
          <cell r="AE7">
            <v>0</v>
          </cell>
          <cell r="AG7">
            <v>0</v>
          </cell>
          <cell r="AH7">
            <v>0</v>
          </cell>
          <cell r="AI7">
            <v>0</v>
          </cell>
          <cell r="AJ7">
            <v>0</v>
          </cell>
          <cell r="AK7">
            <v>0</v>
          </cell>
          <cell r="AL7">
            <v>0</v>
          </cell>
        </row>
        <row r="8">
          <cell r="B8" t="str">
            <v>Jan 2016</v>
          </cell>
          <cell r="C8" t="str">
            <v>GS</v>
          </cell>
          <cell r="D8" t="str">
            <v>LGCME551</v>
          </cell>
          <cell r="E8">
            <v>28220</v>
          </cell>
          <cell r="F8">
            <v>0</v>
          </cell>
          <cell r="G8">
            <v>0</v>
          </cell>
          <cell r="H8">
            <v>0</v>
          </cell>
          <cell r="I8">
            <v>0</v>
          </cell>
          <cell r="J8">
            <v>31971164</v>
          </cell>
          <cell r="K8">
            <v>0</v>
          </cell>
          <cell r="L8">
            <v>0</v>
          </cell>
          <cell r="M8">
            <v>0</v>
          </cell>
          <cell r="AA8">
            <v>0</v>
          </cell>
          <cell r="AB8">
            <v>0</v>
          </cell>
          <cell r="AD8">
            <v>3484646.12</v>
          </cell>
          <cell r="AE8">
            <v>3484650</v>
          </cell>
          <cell r="AG8">
            <v>-81436</v>
          </cell>
          <cell r="AH8">
            <v>41726</v>
          </cell>
          <cell r="AI8">
            <v>286967</v>
          </cell>
          <cell r="AJ8">
            <v>0</v>
          </cell>
          <cell r="AK8">
            <v>0</v>
          </cell>
          <cell r="AL8">
            <v>3731907</v>
          </cell>
        </row>
        <row r="9">
          <cell r="B9" t="str">
            <v>Jan 2016</v>
          </cell>
          <cell r="C9" t="str">
            <v>GS</v>
          </cell>
          <cell r="D9" t="str">
            <v>LGCME551UM</v>
          </cell>
          <cell r="E9">
            <v>0</v>
          </cell>
          <cell r="F9">
            <v>0</v>
          </cell>
          <cell r="G9">
            <v>0</v>
          </cell>
          <cell r="H9">
            <v>0</v>
          </cell>
          <cell r="I9">
            <v>0</v>
          </cell>
          <cell r="J9">
            <v>0</v>
          </cell>
          <cell r="K9">
            <v>0</v>
          </cell>
          <cell r="L9">
            <v>0</v>
          </cell>
          <cell r="M9">
            <v>0</v>
          </cell>
          <cell r="AA9">
            <v>0</v>
          </cell>
          <cell r="AB9">
            <v>0</v>
          </cell>
          <cell r="AD9">
            <v>0</v>
          </cell>
          <cell r="AE9">
            <v>0</v>
          </cell>
          <cell r="AG9">
            <v>0</v>
          </cell>
          <cell r="AH9">
            <v>0</v>
          </cell>
          <cell r="AI9">
            <v>0</v>
          </cell>
          <cell r="AJ9">
            <v>0</v>
          </cell>
          <cell r="AK9">
            <v>0</v>
          </cell>
          <cell r="AL9">
            <v>0</v>
          </cell>
        </row>
        <row r="10">
          <cell r="B10" t="str">
            <v>Jan 2016</v>
          </cell>
          <cell r="C10" t="str">
            <v>GS</v>
          </cell>
          <cell r="D10" t="str">
            <v>LGCME552</v>
          </cell>
          <cell r="E10">
            <v>0</v>
          </cell>
          <cell r="F10">
            <v>0</v>
          </cell>
          <cell r="G10">
            <v>0</v>
          </cell>
          <cell r="H10">
            <v>0</v>
          </cell>
          <cell r="I10">
            <v>0</v>
          </cell>
          <cell r="J10">
            <v>0</v>
          </cell>
          <cell r="K10">
            <v>0</v>
          </cell>
          <cell r="L10">
            <v>0</v>
          </cell>
          <cell r="M10">
            <v>0</v>
          </cell>
          <cell r="AA10">
            <v>0</v>
          </cell>
          <cell r="AB10">
            <v>0</v>
          </cell>
          <cell r="AD10">
            <v>0</v>
          </cell>
          <cell r="AE10">
            <v>0</v>
          </cell>
          <cell r="AG10">
            <v>0</v>
          </cell>
          <cell r="AH10">
            <v>0</v>
          </cell>
          <cell r="AI10">
            <v>0</v>
          </cell>
          <cell r="AJ10">
            <v>0</v>
          </cell>
          <cell r="AK10">
            <v>0</v>
          </cell>
          <cell r="AL10">
            <v>0</v>
          </cell>
        </row>
        <row r="11">
          <cell r="B11" t="str">
            <v>Jan 2016</v>
          </cell>
          <cell r="C11" t="str">
            <v>GS</v>
          </cell>
          <cell r="D11" t="str">
            <v>LGCME557</v>
          </cell>
          <cell r="E11">
            <v>0</v>
          </cell>
          <cell r="F11">
            <v>0</v>
          </cell>
          <cell r="G11">
            <v>0</v>
          </cell>
          <cell r="H11">
            <v>0</v>
          </cell>
          <cell r="I11">
            <v>0</v>
          </cell>
          <cell r="J11">
            <v>0</v>
          </cell>
          <cell r="K11">
            <v>0</v>
          </cell>
          <cell r="L11">
            <v>0</v>
          </cell>
          <cell r="M11">
            <v>0</v>
          </cell>
          <cell r="AA11">
            <v>0</v>
          </cell>
          <cell r="AB11">
            <v>0</v>
          </cell>
          <cell r="AD11">
            <v>0</v>
          </cell>
          <cell r="AE11">
            <v>0</v>
          </cell>
          <cell r="AG11">
            <v>0</v>
          </cell>
          <cell r="AH11">
            <v>0</v>
          </cell>
          <cell r="AI11">
            <v>0</v>
          </cell>
          <cell r="AJ11">
            <v>0</v>
          </cell>
          <cell r="AK11">
            <v>0</v>
          </cell>
          <cell r="AL11">
            <v>0</v>
          </cell>
        </row>
        <row r="12">
          <cell r="B12" t="str">
            <v>Jan 2016</v>
          </cell>
          <cell r="C12" t="str">
            <v>PSS</v>
          </cell>
          <cell r="D12" t="str">
            <v>LGCME561</v>
          </cell>
          <cell r="E12">
            <v>2585</v>
          </cell>
          <cell r="F12">
            <v>0</v>
          </cell>
          <cell r="G12">
            <v>0</v>
          </cell>
          <cell r="H12">
            <v>0</v>
          </cell>
          <cell r="I12">
            <v>0</v>
          </cell>
          <cell r="J12">
            <v>134413194</v>
          </cell>
          <cell r="K12">
            <v>0</v>
          </cell>
          <cell r="L12">
            <v>342390</v>
          </cell>
          <cell r="M12">
            <v>0</v>
          </cell>
          <cell r="AA12">
            <v>0</v>
          </cell>
          <cell r="AB12">
            <v>0</v>
          </cell>
          <cell r="AD12">
            <v>10486709.58</v>
          </cell>
          <cell r="AE12">
            <v>10486712</v>
          </cell>
          <cell r="AG12">
            <v>-342375</v>
          </cell>
          <cell r="AH12">
            <v>175424</v>
          </cell>
          <cell r="AI12">
            <v>1206466</v>
          </cell>
          <cell r="AJ12">
            <v>0</v>
          </cell>
          <cell r="AK12">
            <v>0</v>
          </cell>
          <cell r="AL12">
            <v>11526227</v>
          </cell>
        </row>
        <row r="13">
          <cell r="B13" t="str">
            <v>Jan 2016</v>
          </cell>
          <cell r="C13" t="str">
            <v>PSP</v>
          </cell>
          <cell r="D13" t="str">
            <v>LGCME563</v>
          </cell>
          <cell r="E13">
            <v>52</v>
          </cell>
          <cell r="F13">
            <v>0</v>
          </cell>
          <cell r="G13">
            <v>0</v>
          </cell>
          <cell r="H13">
            <v>0</v>
          </cell>
          <cell r="I13">
            <v>0</v>
          </cell>
          <cell r="J13">
            <v>11527513</v>
          </cell>
          <cell r="K13">
            <v>0</v>
          </cell>
          <cell r="L13">
            <v>28709</v>
          </cell>
          <cell r="M13">
            <v>0</v>
          </cell>
          <cell r="AA13">
            <v>0</v>
          </cell>
          <cell r="AB13">
            <v>0</v>
          </cell>
          <cell r="AD13">
            <v>796157.1</v>
          </cell>
          <cell r="AE13">
            <v>796155</v>
          </cell>
          <cell r="AG13">
            <v>-29363</v>
          </cell>
          <cell r="AH13">
            <v>15045</v>
          </cell>
          <cell r="AI13">
            <v>103469</v>
          </cell>
          <cell r="AJ13">
            <v>0</v>
          </cell>
          <cell r="AK13">
            <v>0</v>
          </cell>
          <cell r="AL13">
            <v>885306</v>
          </cell>
        </row>
        <row r="14">
          <cell r="B14" t="str">
            <v>Jan 2016</v>
          </cell>
          <cell r="C14" t="str">
            <v>PSS</v>
          </cell>
          <cell r="D14" t="str">
            <v>LGCME567</v>
          </cell>
          <cell r="E14">
            <v>0</v>
          </cell>
          <cell r="F14">
            <v>0</v>
          </cell>
          <cell r="G14">
            <v>0</v>
          </cell>
          <cell r="H14">
            <v>0</v>
          </cell>
          <cell r="I14">
            <v>0</v>
          </cell>
          <cell r="J14">
            <v>0</v>
          </cell>
          <cell r="K14">
            <v>0</v>
          </cell>
          <cell r="L14">
            <v>0</v>
          </cell>
          <cell r="M14">
            <v>0</v>
          </cell>
          <cell r="AA14">
            <v>0</v>
          </cell>
          <cell r="AB14">
            <v>0</v>
          </cell>
          <cell r="AD14">
            <v>0</v>
          </cell>
          <cell r="AE14">
            <v>0</v>
          </cell>
          <cell r="AG14">
            <v>0</v>
          </cell>
          <cell r="AH14">
            <v>0</v>
          </cell>
          <cell r="AI14">
            <v>0</v>
          </cell>
          <cell r="AJ14">
            <v>0</v>
          </cell>
          <cell r="AK14">
            <v>0</v>
          </cell>
          <cell r="AL14">
            <v>0</v>
          </cell>
        </row>
        <row r="15">
          <cell r="B15" t="str">
            <v>Jan 2016</v>
          </cell>
          <cell r="C15" t="str">
            <v>TODS</v>
          </cell>
          <cell r="D15" t="str">
            <v>LGCME591</v>
          </cell>
          <cell r="E15">
            <v>222</v>
          </cell>
          <cell r="F15">
            <v>0</v>
          </cell>
          <cell r="G15">
            <v>0</v>
          </cell>
          <cell r="H15">
            <v>0</v>
          </cell>
          <cell r="I15">
            <v>0</v>
          </cell>
          <cell r="J15">
            <v>58180401</v>
          </cell>
          <cell r="K15">
            <v>118759</v>
          </cell>
          <cell r="L15">
            <v>109001</v>
          </cell>
          <cell r="M15">
            <v>106595</v>
          </cell>
          <cell r="AA15">
            <v>0</v>
          </cell>
          <cell r="AB15">
            <v>0</v>
          </cell>
          <cell r="AD15">
            <v>3983723.96</v>
          </cell>
          <cell r="AE15">
            <v>3983728</v>
          </cell>
          <cell r="AG15">
            <v>-148196</v>
          </cell>
          <cell r="AH15">
            <v>75932</v>
          </cell>
          <cell r="AI15">
            <v>522216</v>
          </cell>
          <cell r="AJ15">
            <v>0</v>
          </cell>
          <cell r="AK15">
            <v>0</v>
          </cell>
          <cell r="AL15">
            <v>4433680</v>
          </cell>
        </row>
        <row r="16">
          <cell r="B16" t="str">
            <v>Jan 2016</v>
          </cell>
          <cell r="C16" t="str">
            <v>CTODP</v>
          </cell>
          <cell r="D16" t="str">
            <v>LGCME593</v>
          </cell>
          <cell r="E16">
            <v>40</v>
          </cell>
          <cell r="F16">
            <v>0</v>
          </cell>
          <cell r="G16">
            <v>0</v>
          </cell>
          <cell r="H16">
            <v>0</v>
          </cell>
          <cell r="I16">
            <v>0</v>
          </cell>
          <cell r="J16">
            <v>28843197</v>
          </cell>
          <cell r="K16">
            <v>67143</v>
          </cell>
          <cell r="L16">
            <v>59358</v>
          </cell>
          <cell r="M16">
            <v>57314</v>
          </cell>
          <cell r="AA16">
            <v>0</v>
          </cell>
          <cell r="AB16">
            <v>0</v>
          </cell>
          <cell r="AD16">
            <v>1957444.1100000003</v>
          </cell>
          <cell r="AE16">
            <v>1957446</v>
          </cell>
          <cell r="AG16">
            <v>-73469</v>
          </cell>
          <cell r="AH16">
            <v>37643</v>
          </cell>
          <cell r="AI16">
            <v>258891</v>
          </cell>
          <cell r="AJ16">
            <v>0</v>
          </cell>
          <cell r="AK16">
            <v>0</v>
          </cell>
          <cell r="AL16">
            <v>2180511</v>
          </cell>
        </row>
        <row r="17">
          <cell r="B17" t="str">
            <v>Jan 2016</v>
          </cell>
          <cell r="C17" t="str">
            <v>GS3</v>
          </cell>
          <cell r="D17" t="str">
            <v>LGCME650</v>
          </cell>
          <cell r="E17">
            <v>0</v>
          </cell>
          <cell r="F17">
            <v>0</v>
          </cell>
          <cell r="G17">
            <v>0</v>
          </cell>
          <cell r="H17">
            <v>0</v>
          </cell>
          <cell r="I17">
            <v>0</v>
          </cell>
          <cell r="J17">
            <v>0</v>
          </cell>
          <cell r="K17">
            <v>0</v>
          </cell>
          <cell r="L17">
            <v>0</v>
          </cell>
          <cell r="M17">
            <v>0</v>
          </cell>
          <cell r="AA17">
            <v>0</v>
          </cell>
          <cell r="AB17">
            <v>0</v>
          </cell>
          <cell r="AD17">
            <v>0</v>
          </cell>
          <cell r="AE17">
            <v>0</v>
          </cell>
          <cell r="AG17">
            <v>0</v>
          </cell>
          <cell r="AH17">
            <v>0</v>
          </cell>
          <cell r="AI17">
            <v>0</v>
          </cell>
          <cell r="AJ17">
            <v>0</v>
          </cell>
          <cell r="AK17">
            <v>0</v>
          </cell>
          <cell r="AL17">
            <v>0</v>
          </cell>
        </row>
        <row r="18">
          <cell r="B18" t="str">
            <v>Jan 2016</v>
          </cell>
          <cell r="C18" t="str">
            <v>GS3</v>
          </cell>
          <cell r="D18" t="str">
            <v>LGCME651</v>
          </cell>
          <cell r="E18">
            <v>16386</v>
          </cell>
          <cell r="F18">
            <v>0</v>
          </cell>
          <cell r="G18">
            <v>0</v>
          </cell>
          <cell r="H18">
            <v>0</v>
          </cell>
          <cell r="I18">
            <v>0</v>
          </cell>
          <cell r="J18">
            <v>81564370</v>
          </cell>
          <cell r="K18">
            <v>202711</v>
          </cell>
          <cell r="L18">
            <v>0</v>
          </cell>
          <cell r="M18">
            <v>0</v>
          </cell>
          <cell r="AA18">
            <v>0</v>
          </cell>
          <cell r="AB18">
            <v>0</v>
          </cell>
          <cell r="AD18">
            <v>8023599.5599999996</v>
          </cell>
          <cell r="AE18">
            <v>8023592</v>
          </cell>
          <cell r="AG18">
            <v>-207760</v>
          </cell>
          <cell r="AH18">
            <v>106450</v>
          </cell>
          <cell r="AI18">
            <v>732105</v>
          </cell>
          <cell r="AJ18">
            <v>0</v>
          </cell>
          <cell r="AK18">
            <v>0</v>
          </cell>
          <cell r="AL18">
            <v>8654387</v>
          </cell>
        </row>
        <row r="19">
          <cell r="B19" t="str">
            <v>Jan 2016</v>
          </cell>
          <cell r="C19" t="str">
            <v>GS3</v>
          </cell>
          <cell r="D19" t="str">
            <v>LGCME652</v>
          </cell>
          <cell r="E19">
            <v>0</v>
          </cell>
          <cell r="F19">
            <v>0</v>
          </cell>
          <cell r="G19">
            <v>0</v>
          </cell>
          <cell r="H19">
            <v>0</v>
          </cell>
          <cell r="I19">
            <v>0</v>
          </cell>
          <cell r="J19">
            <v>0</v>
          </cell>
          <cell r="K19">
            <v>0</v>
          </cell>
          <cell r="L19">
            <v>0</v>
          </cell>
          <cell r="M19">
            <v>0</v>
          </cell>
          <cell r="AA19">
            <v>0</v>
          </cell>
          <cell r="AB19">
            <v>0</v>
          </cell>
          <cell r="AD19">
            <v>0</v>
          </cell>
          <cell r="AE19">
            <v>0</v>
          </cell>
          <cell r="AG19">
            <v>0</v>
          </cell>
          <cell r="AH19">
            <v>0</v>
          </cell>
          <cell r="AI19">
            <v>0</v>
          </cell>
          <cell r="AJ19">
            <v>0</v>
          </cell>
          <cell r="AK19">
            <v>0</v>
          </cell>
          <cell r="AL19">
            <v>0</v>
          </cell>
        </row>
        <row r="20">
          <cell r="B20" t="str">
            <v>Jan 2016</v>
          </cell>
          <cell r="C20" t="str">
            <v>GS3</v>
          </cell>
          <cell r="D20" t="str">
            <v>LGCME657</v>
          </cell>
          <cell r="E20">
            <v>0</v>
          </cell>
          <cell r="F20">
            <v>0</v>
          </cell>
          <cell r="G20">
            <v>0</v>
          </cell>
          <cell r="H20">
            <v>0</v>
          </cell>
          <cell r="I20">
            <v>0</v>
          </cell>
          <cell r="J20">
            <v>0</v>
          </cell>
          <cell r="K20">
            <v>0</v>
          </cell>
          <cell r="L20">
            <v>0</v>
          </cell>
          <cell r="M20">
            <v>0</v>
          </cell>
          <cell r="AA20">
            <v>0</v>
          </cell>
          <cell r="AB20">
            <v>0</v>
          </cell>
          <cell r="AD20">
            <v>0</v>
          </cell>
          <cell r="AE20">
            <v>0</v>
          </cell>
          <cell r="AG20">
            <v>0</v>
          </cell>
          <cell r="AH20">
            <v>0</v>
          </cell>
          <cell r="AI20">
            <v>0</v>
          </cell>
          <cell r="AJ20">
            <v>0</v>
          </cell>
          <cell r="AK20">
            <v>0</v>
          </cell>
          <cell r="AL20">
            <v>0</v>
          </cell>
        </row>
        <row r="21">
          <cell r="B21" t="str">
            <v>Jan 2016</v>
          </cell>
          <cell r="C21" t="str">
            <v>LWC</v>
          </cell>
          <cell r="D21" t="str">
            <v>LGCME671</v>
          </cell>
          <cell r="E21">
            <v>2</v>
          </cell>
          <cell r="F21">
            <v>0</v>
          </cell>
          <cell r="G21">
            <v>0</v>
          </cell>
          <cell r="H21">
            <v>0</v>
          </cell>
          <cell r="I21">
            <v>0</v>
          </cell>
          <cell r="J21">
            <v>5498880</v>
          </cell>
          <cell r="K21">
            <v>0</v>
          </cell>
          <cell r="L21">
            <v>9307</v>
          </cell>
          <cell r="M21">
            <v>0</v>
          </cell>
          <cell r="AA21">
            <v>0</v>
          </cell>
          <cell r="AB21">
            <v>0</v>
          </cell>
          <cell r="AD21">
            <v>299895.99</v>
          </cell>
          <cell r="AE21">
            <v>299898</v>
          </cell>
          <cell r="AG21">
            <v>-14007</v>
          </cell>
          <cell r="AH21">
            <v>0</v>
          </cell>
          <cell r="AI21">
            <v>49357</v>
          </cell>
          <cell r="AJ21">
            <v>0</v>
          </cell>
          <cell r="AK21">
            <v>0</v>
          </cell>
          <cell r="AL21">
            <v>335248</v>
          </cell>
        </row>
        <row r="22">
          <cell r="B22" t="str">
            <v>Jan 2016</v>
          </cell>
          <cell r="C22" t="str">
            <v>CSR</v>
          </cell>
          <cell r="D22" t="str">
            <v>LGCSR760</v>
          </cell>
          <cell r="E22">
            <v>0</v>
          </cell>
          <cell r="F22">
            <v>0</v>
          </cell>
          <cell r="G22">
            <v>0</v>
          </cell>
          <cell r="H22">
            <v>0</v>
          </cell>
          <cell r="I22">
            <v>0</v>
          </cell>
          <cell r="J22">
            <v>0</v>
          </cell>
          <cell r="K22">
            <v>0</v>
          </cell>
          <cell r="L22">
            <v>0</v>
          </cell>
          <cell r="M22">
            <v>0</v>
          </cell>
          <cell r="AA22">
            <v>0</v>
          </cell>
          <cell r="AB22">
            <v>0</v>
          </cell>
          <cell r="AD22">
            <v>0</v>
          </cell>
          <cell r="AE22">
            <v>0</v>
          </cell>
          <cell r="AG22">
            <v>0</v>
          </cell>
          <cell r="AH22">
            <v>0</v>
          </cell>
          <cell r="AI22">
            <v>0</v>
          </cell>
          <cell r="AJ22">
            <v>0</v>
          </cell>
          <cell r="AK22">
            <v>-286526</v>
          </cell>
          <cell r="AL22">
            <v>-286526</v>
          </cell>
        </row>
        <row r="23">
          <cell r="B23" t="str">
            <v>Jan 2016</v>
          </cell>
          <cell r="C23" t="str">
            <v>CSR</v>
          </cell>
          <cell r="D23" t="str">
            <v>LGCSR780</v>
          </cell>
          <cell r="E23">
            <v>0</v>
          </cell>
          <cell r="F23">
            <v>0</v>
          </cell>
          <cell r="G23">
            <v>0</v>
          </cell>
          <cell r="H23">
            <v>0</v>
          </cell>
          <cell r="I23">
            <v>0</v>
          </cell>
          <cell r="J23">
            <v>0</v>
          </cell>
          <cell r="K23">
            <v>0</v>
          </cell>
          <cell r="L23">
            <v>0</v>
          </cell>
          <cell r="M23">
            <v>0</v>
          </cell>
          <cell r="AA23">
            <v>0</v>
          </cell>
          <cell r="AB23">
            <v>0</v>
          </cell>
          <cell r="AD23">
            <v>0</v>
          </cell>
          <cell r="AE23">
            <v>0</v>
          </cell>
          <cell r="AG23">
            <v>0</v>
          </cell>
          <cell r="AH23">
            <v>0</v>
          </cell>
          <cell r="AI23">
            <v>0</v>
          </cell>
          <cell r="AJ23">
            <v>0</v>
          </cell>
          <cell r="AK23">
            <v>0</v>
          </cell>
          <cell r="AL23">
            <v>0</v>
          </cell>
        </row>
        <row r="24">
          <cell r="B24" t="str">
            <v>Jan 2016</v>
          </cell>
          <cell r="C24" t="str">
            <v>FK</v>
          </cell>
          <cell r="D24" t="str">
            <v>LGINE599</v>
          </cell>
          <cell r="E24">
            <v>1</v>
          </cell>
          <cell r="F24">
            <v>0</v>
          </cell>
          <cell r="G24">
            <v>0</v>
          </cell>
          <cell r="H24">
            <v>0</v>
          </cell>
          <cell r="I24">
            <v>0</v>
          </cell>
          <cell r="J24">
            <v>10975500</v>
          </cell>
          <cell r="K24">
            <v>0</v>
          </cell>
          <cell r="L24">
            <v>15562</v>
          </cell>
          <cell r="M24">
            <v>0</v>
          </cell>
          <cell r="AA24">
            <v>0</v>
          </cell>
          <cell r="AB24">
            <v>0</v>
          </cell>
          <cell r="AD24">
            <v>608433.00000000012</v>
          </cell>
          <cell r="AE24">
            <v>608433</v>
          </cell>
          <cell r="AG24">
            <v>-27957</v>
          </cell>
          <cell r="AH24">
            <v>0</v>
          </cell>
          <cell r="AI24">
            <v>98514</v>
          </cell>
          <cell r="AJ24">
            <v>0</v>
          </cell>
          <cell r="AK24">
            <v>0</v>
          </cell>
          <cell r="AL24">
            <v>678990</v>
          </cell>
        </row>
        <row r="25">
          <cell r="B25" t="str">
            <v>Jan 2016</v>
          </cell>
          <cell r="C25" t="str">
            <v>RTS</v>
          </cell>
          <cell r="D25" t="str">
            <v>LGINE643</v>
          </cell>
          <cell r="E25">
            <v>12</v>
          </cell>
          <cell r="F25">
            <v>0</v>
          </cell>
          <cell r="G25">
            <v>0</v>
          </cell>
          <cell r="H25">
            <v>0</v>
          </cell>
          <cell r="I25">
            <v>0</v>
          </cell>
          <cell r="J25">
            <v>68922949</v>
          </cell>
          <cell r="K25">
            <v>167002</v>
          </cell>
          <cell r="L25">
            <v>151811</v>
          </cell>
          <cell r="M25">
            <v>93556</v>
          </cell>
          <cell r="AA25">
            <v>0</v>
          </cell>
          <cell r="AB25">
            <v>0</v>
          </cell>
          <cell r="AD25">
            <v>3837486.76</v>
          </cell>
          <cell r="AE25">
            <v>3837486</v>
          </cell>
          <cell r="AG25">
            <v>-175559</v>
          </cell>
          <cell r="AH25">
            <v>0</v>
          </cell>
          <cell r="AI25">
            <v>618639</v>
          </cell>
          <cell r="AJ25">
            <v>0</v>
          </cell>
          <cell r="AK25">
            <v>0</v>
          </cell>
          <cell r="AL25">
            <v>4280566</v>
          </cell>
        </row>
        <row r="26">
          <cell r="B26" t="str">
            <v>Jan 2016</v>
          </cell>
          <cell r="C26" t="str">
            <v>PSS</v>
          </cell>
          <cell r="D26" t="str">
            <v>LGINE661</v>
          </cell>
          <cell r="E26">
            <v>213</v>
          </cell>
          <cell r="F26">
            <v>0</v>
          </cell>
          <cell r="G26">
            <v>0</v>
          </cell>
          <cell r="H26">
            <v>0</v>
          </cell>
          <cell r="I26">
            <v>0</v>
          </cell>
          <cell r="J26">
            <v>18274284</v>
          </cell>
          <cell r="K26">
            <v>0</v>
          </cell>
          <cell r="L26">
            <v>59090</v>
          </cell>
          <cell r="M26">
            <v>0</v>
          </cell>
          <cell r="AA26">
            <v>0</v>
          </cell>
          <cell r="AB26">
            <v>0</v>
          </cell>
          <cell r="AD26">
            <v>1588956.83</v>
          </cell>
          <cell r="AE26">
            <v>1588958</v>
          </cell>
          <cell r="AG26">
            <v>-46548</v>
          </cell>
          <cell r="AH26">
            <v>23850</v>
          </cell>
          <cell r="AI26">
            <v>164026</v>
          </cell>
          <cell r="AJ26">
            <v>0</v>
          </cell>
          <cell r="AK26">
            <v>0</v>
          </cell>
          <cell r="AL26">
            <v>1730286</v>
          </cell>
        </row>
        <row r="27">
          <cell r="B27" t="str">
            <v>Jan 2016</v>
          </cell>
          <cell r="C27" t="str">
            <v>PSP</v>
          </cell>
          <cell r="D27" t="str">
            <v>LGINE663</v>
          </cell>
          <cell r="E27">
            <v>21</v>
          </cell>
          <cell r="F27">
            <v>0</v>
          </cell>
          <cell r="G27">
            <v>0</v>
          </cell>
          <cell r="H27">
            <v>0</v>
          </cell>
          <cell r="I27">
            <v>0</v>
          </cell>
          <cell r="J27">
            <v>1034319</v>
          </cell>
          <cell r="K27">
            <v>0</v>
          </cell>
          <cell r="L27">
            <v>3851</v>
          </cell>
          <cell r="M27">
            <v>0</v>
          </cell>
          <cell r="AA27">
            <v>0</v>
          </cell>
          <cell r="AB27">
            <v>0</v>
          </cell>
          <cell r="AD27">
            <v>89080.02</v>
          </cell>
          <cell r="AE27">
            <v>89079</v>
          </cell>
          <cell r="AG27">
            <v>-2635</v>
          </cell>
          <cell r="AH27">
            <v>1350</v>
          </cell>
          <cell r="AI27">
            <v>9284</v>
          </cell>
          <cell r="AJ27">
            <v>0</v>
          </cell>
          <cell r="AK27">
            <v>0</v>
          </cell>
          <cell r="AL27">
            <v>97078</v>
          </cell>
        </row>
        <row r="28">
          <cell r="B28" t="str">
            <v>Jan 2016</v>
          </cell>
          <cell r="C28" t="str">
            <v>TODS</v>
          </cell>
          <cell r="D28" t="str">
            <v>LGINE691</v>
          </cell>
          <cell r="E28">
            <v>99</v>
          </cell>
          <cell r="F28">
            <v>0</v>
          </cell>
          <cell r="G28">
            <v>0</v>
          </cell>
          <cell r="H28">
            <v>0</v>
          </cell>
          <cell r="I28">
            <v>0</v>
          </cell>
          <cell r="J28">
            <v>20040159</v>
          </cell>
          <cell r="K28">
            <v>50459</v>
          </cell>
          <cell r="L28">
            <v>45581</v>
          </cell>
          <cell r="M28">
            <v>44967</v>
          </cell>
          <cell r="AA28">
            <v>0</v>
          </cell>
          <cell r="AB28">
            <v>0</v>
          </cell>
          <cell r="AD28">
            <v>1501557.02</v>
          </cell>
          <cell r="AE28">
            <v>1501560</v>
          </cell>
          <cell r="AG28">
            <v>-51046</v>
          </cell>
          <cell r="AH28">
            <v>26155</v>
          </cell>
          <cell r="AI28">
            <v>179876</v>
          </cell>
          <cell r="AJ28">
            <v>0</v>
          </cell>
          <cell r="AK28">
            <v>0</v>
          </cell>
          <cell r="AL28">
            <v>1656545</v>
          </cell>
        </row>
        <row r="29">
          <cell r="B29" t="str">
            <v>Jan 2016</v>
          </cell>
          <cell r="C29" t="str">
            <v>ITODP</v>
          </cell>
          <cell r="D29" t="str">
            <v>LGINE693</v>
          </cell>
          <cell r="E29">
            <v>70</v>
          </cell>
          <cell r="F29">
            <v>0</v>
          </cell>
          <cell r="G29">
            <v>0</v>
          </cell>
          <cell r="H29">
            <v>0</v>
          </cell>
          <cell r="I29">
            <v>0</v>
          </cell>
          <cell r="J29">
            <v>130426785</v>
          </cell>
          <cell r="K29">
            <v>328863</v>
          </cell>
          <cell r="L29">
            <v>298563</v>
          </cell>
          <cell r="M29">
            <v>294597</v>
          </cell>
          <cell r="AA29">
            <v>0</v>
          </cell>
          <cell r="AB29">
            <v>0</v>
          </cell>
          <cell r="AD29">
            <v>8324810.2199999997</v>
          </cell>
          <cell r="AE29">
            <v>8324807</v>
          </cell>
          <cell r="AG29">
            <v>-332221</v>
          </cell>
          <cell r="AH29">
            <v>170221</v>
          </cell>
          <cell r="AI29">
            <v>1170685</v>
          </cell>
          <cell r="AJ29">
            <v>0</v>
          </cell>
          <cell r="AK29">
            <v>0</v>
          </cell>
          <cell r="AL29">
            <v>9333492</v>
          </cell>
        </row>
        <row r="30">
          <cell r="B30" t="str">
            <v>Jan 2016</v>
          </cell>
          <cell r="C30" t="str">
            <v>ITODP</v>
          </cell>
          <cell r="D30" t="str">
            <v>LGINE694</v>
          </cell>
          <cell r="E30">
            <v>0</v>
          </cell>
          <cell r="F30">
            <v>0</v>
          </cell>
          <cell r="G30">
            <v>0</v>
          </cell>
          <cell r="H30">
            <v>0</v>
          </cell>
          <cell r="I30">
            <v>0</v>
          </cell>
          <cell r="J30">
            <v>0</v>
          </cell>
          <cell r="K30">
            <v>0</v>
          </cell>
          <cell r="L30">
            <v>0</v>
          </cell>
          <cell r="M30">
            <v>0</v>
          </cell>
          <cell r="AA30">
            <v>0</v>
          </cell>
          <cell r="AB30">
            <v>0</v>
          </cell>
          <cell r="AD30">
            <v>0</v>
          </cell>
          <cell r="AE30">
            <v>0</v>
          </cell>
          <cell r="AG30">
            <v>0</v>
          </cell>
          <cell r="AH30">
            <v>0</v>
          </cell>
          <cell r="AI30">
            <v>0</v>
          </cell>
          <cell r="AJ30">
            <v>0</v>
          </cell>
          <cell r="AK30">
            <v>0</v>
          </cell>
          <cell r="AL30">
            <v>0</v>
          </cell>
        </row>
        <row r="31">
          <cell r="B31" t="str">
            <v>Jan 2016</v>
          </cell>
          <cell r="C31" t="str">
            <v>LE</v>
          </cell>
          <cell r="D31" t="str">
            <v>LGMLE570</v>
          </cell>
          <cell r="E31">
            <v>0</v>
          </cell>
          <cell r="F31">
            <v>0</v>
          </cell>
          <cell r="G31">
            <v>0</v>
          </cell>
          <cell r="H31">
            <v>0</v>
          </cell>
          <cell r="I31">
            <v>0</v>
          </cell>
          <cell r="J31">
            <v>0</v>
          </cell>
          <cell r="K31">
            <v>0</v>
          </cell>
          <cell r="L31">
            <v>0</v>
          </cell>
          <cell r="M31">
            <v>0</v>
          </cell>
          <cell r="AA31">
            <v>0</v>
          </cell>
          <cell r="AB31">
            <v>0</v>
          </cell>
          <cell r="AD31">
            <v>0</v>
          </cell>
          <cell r="AE31">
            <v>0</v>
          </cell>
          <cell r="AG31">
            <v>0</v>
          </cell>
          <cell r="AH31">
            <v>0</v>
          </cell>
          <cell r="AI31">
            <v>0</v>
          </cell>
          <cell r="AJ31">
            <v>0</v>
          </cell>
          <cell r="AK31">
            <v>0</v>
          </cell>
          <cell r="AL31">
            <v>0</v>
          </cell>
        </row>
        <row r="32">
          <cell r="B32" t="str">
            <v>Jan 2016</v>
          </cell>
          <cell r="C32" t="str">
            <v>LE</v>
          </cell>
          <cell r="D32" t="str">
            <v>LGMLE571</v>
          </cell>
          <cell r="E32">
            <v>156</v>
          </cell>
          <cell r="F32">
            <v>0</v>
          </cell>
          <cell r="G32">
            <v>0</v>
          </cell>
          <cell r="H32">
            <v>0</v>
          </cell>
          <cell r="I32">
            <v>0</v>
          </cell>
          <cell r="J32">
            <v>358279</v>
          </cell>
          <cell r="K32">
            <v>0</v>
          </cell>
          <cell r="L32">
            <v>0</v>
          </cell>
          <cell r="M32">
            <v>0</v>
          </cell>
          <cell r="AA32">
            <v>0</v>
          </cell>
          <cell r="AB32">
            <v>0</v>
          </cell>
          <cell r="AD32">
            <v>23148.41</v>
          </cell>
          <cell r="AE32">
            <v>0</v>
          </cell>
          <cell r="AG32">
            <v>0</v>
          </cell>
          <cell r="AH32">
            <v>0</v>
          </cell>
          <cell r="AI32">
            <v>0</v>
          </cell>
          <cell r="AJ32">
            <v>0</v>
          </cell>
          <cell r="AK32">
            <v>0</v>
          </cell>
          <cell r="AL32">
            <v>0</v>
          </cell>
        </row>
        <row r="33">
          <cell r="B33" t="str">
            <v>Jan 2016</v>
          </cell>
          <cell r="C33" t="str">
            <v>LE</v>
          </cell>
          <cell r="D33" t="str">
            <v>LGMLE572</v>
          </cell>
          <cell r="E33">
            <v>0</v>
          </cell>
          <cell r="F33">
            <v>0</v>
          </cell>
          <cell r="G33">
            <v>0</v>
          </cell>
          <cell r="H33">
            <v>0</v>
          </cell>
          <cell r="I33">
            <v>0</v>
          </cell>
          <cell r="J33">
            <v>0</v>
          </cell>
          <cell r="K33">
            <v>0</v>
          </cell>
          <cell r="L33">
            <v>0</v>
          </cell>
          <cell r="M33">
            <v>0</v>
          </cell>
          <cell r="AA33">
            <v>0</v>
          </cell>
          <cell r="AB33">
            <v>0</v>
          </cell>
          <cell r="AD33">
            <v>0</v>
          </cell>
          <cell r="AE33">
            <v>0</v>
          </cell>
          <cell r="AG33">
            <v>0</v>
          </cell>
          <cell r="AH33">
            <v>0</v>
          </cell>
          <cell r="AI33">
            <v>0</v>
          </cell>
          <cell r="AJ33">
            <v>0</v>
          </cell>
          <cell r="AK33">
            <v>0</v>
          </cell>
          <cell r="AL33">
            <v>0</v>
          </cell>
        </row>
        <row r="34">
          <cell r="B34" t="str">
            <v>Jan 2016</v>
          </cell>
          <cell r="C34" t="str">
            <v>TE</v>
          </cell>
          <cell r="D34" t="str">
            <v>LGMLE573</v>
          </cell>
          <cell r="E34">
            <v>905</v>
          </cell>
          <cell r="F34">
            <v>0</v>
          </cell>
          <cell r="G34">
            <v>0</v>
          </cell>
          <cell r="H34">
            <v>0</v>
          </cell>
          <cell r="I34">
            <v>0</v>
          </cell>
          <cell r="J34">
            <v>289226</v>
          </cell>
          <cell r="K34">
            <v>0</v>
          </cell>
          <cell r="L34">
            <v>0</v>
          </cell>
          <cell r="M34">
            <v>0</v>
          </cell>
          <cell r="AA34">
            <v>0</v>
          </cell>
          <cell r="AB34">
            <v>0</v>
          </cell>
          <cell r="AD34">
            <v>25090.18</v>
          </cell>
          <cell r="AE34">
            <v>0</v>
          </cell>
          <cell r="AG34">
            <v>0</v>
          </cell>
          <cell r="AH34">
            <v>0</v>
          </cell>
          <cell r="AI34">
            <v>0</v>
          </cell>
          <cell r="AJ34">
            <v>0</v>
          </cell>
          <cell r="AK34">
            <v>0</v>
          </cell>
          <cell r="AL34">
            <v>0</v>
          </cell>
        </row>
        <row r="35">
          <cell r="B35" t="str">
            <v>Jan 2016</v>
          </cell>
          <cell r="C35" t="str">
            <v>TE</v>
          </cell>
          <cell r="D35" t="str">
            <v>LGMLE574</v>
          </cell>
          <cell r="E35">
            <v>0</v>
          </cell>
          <cell r="F35">
            <v>0</v>
          </cell>
          <cell r="G35">
            <v>0</v>
          </cell>
          <cell r="H35">
            <v>0</v>
          </cell>
          <cell r="I35">
            <v>0</v>
          </cell>
          <cell r="J35">
            <v>0</v>
          </cell>
          <cell r="K35">
            <v>0</v>
          </cell>
          <cell r="L35">
            <v>0</v>
          </cell>
          <cell r="M35">
            <v>0</v>
          </cell>
          <cell r="AA35">
            <v>0</v>
          </cell>
          <cell r="AB35">
            <v>0</v>
          </cell>
          <cell r="AD35">
            <v>0</v>
          </cell>
          <cell r="AE35">
            <v>0</v>
          </cell>
          <cell r="AG35">
            <v>0</v>
          </cell>
          <cell r="AH35">
            <v>0</v>
          </cell>
          <cell r="AI35">
            <v>0</v>
          </cell>
          <cell r="AJ35">
            <v>0</v>
          </cell>
          <cell r="AK35">
            <v>0</v>
          </cell>
          <cell r="AL35">
            <v>0</v>
          </cell>
        </row>
        <row r="36">
          <cell r="B36" t="str">
            <v>Jan 2016</v>
          </cell>
          <cell r="C36" t="str">
            <v>RS</v>
          </cell>
          <cell r="D36" t="str">
            <v>LGRSE411</v>
          </cell>
          <cell r="E36">
            <v>0</v>
          </cell>
          <cell r="F36">
            <v>0</v>
          </cell>
          <cell r="G36">
            <v>0</v>
          </cell>
          <cell r="H36">
            <v>0</v>
          </cell>
          <cell r="I36">
            <v>0</v>
          </cell>
          <cell r="J36">
            <v>0</v>
          </cell>
          <cell r="K36">
            <v>0</v>
          </cell>
          <cell r="L36">
            <v>0</v>
          </cell>
          <cell r="M36">
            <v>0</v>
          </cell>
          <cell r="AA36">
            <v>0</v>
          </cell>
          <cell r="AB36">
            <v>0</v>
          </cell>
          <cell r="AD36">
            <v>0</v>
          </cell>
          <cell r="AE36">
            <v>0</v>
          </cell>
          <cell r="AG36">
            <v>0</v>
          </cell>
          <cell r="AH36">
            <v>0</v>
          </cell>
          <cell r="AI36">
            <v>0</v>
          </cell>
          <cell r="AJ36">
            <v>0</v>
          </cell>
          <cell r="AK36">
            <v>0</v>
          </cell>
          <cell r="AL36">
            <v>0</v>
          </cell>
        </row>
        <row r="37">
          <cell r="B37" t="str">
            <v>Jan 2016</v>
          </cell>
          <cell r="C37" t="str">
            <v>RS</v>
          </cell>
          <cell r="D37" t="str">
            <v>LGRSE511</v>
          </cell>
          <cell r="E37">
            <v>361605</v>
          </cell>
          <cell r="F37">
            <v>0</v>
          </cell>
          <cell r="G37">
            <v>0</v>
          </cell>
          <cell r="H37">
            <v>0</v>
          </cell>
          <cell r="I37">
            <v>0</v>
          </cell>
          <cell r="J37">
            <v>375125149</v>
          </cell>
          <cell r="K37">
            <v>0</v>
          </cell>
          <cell r="L37">
            <v>0</v>
          </cell>
          <cell r="M37">
            <v>0</v>
          </cell>
          <cell r="AA37">
            <v>0</v>
          </cell>
          <cell r="AB37">
            <v>0</v>
          </cell>
          <cell r="AD37">
            <v>34182360.780000001</v>
          </cell>
          <cell r="AE37">
            <v>34184514</v>
          </cell>
          <cell r="AG37">
            <v>-955574</v>
          </cell>
          <cell r="AH37">
            <v>489610</v>
          </cell>
          <cell r="AI37">
            <v>3367263</v>
          </cell>
          <cell r="AJ37">
            <v>0</v>
          </cell>
          <cell r="AK37">
            <v>0</v>
          </cell>
          <cell r="AL37">
            <v>37085813</v>
          </cell>
        </row>
        <row r="38">
          <cell r="B38" t="str">
            <v>Jan 2016</v>
          </cell>
          <cell r="C38" t="str">
            <v>RS</v>
          </cell>
          <cell r="D38" t="str">
            <v>LGRSE519</v>
          </cell>
          <cell r="E38">
            <v>0</v>
          </cell>
          <cell r="F38">
            <v>0</v>
          </cell>
          <cell r="G38">
            <v>0</v>
          </cell>
          <cell r="H38">
            <v>0</v>
          </cell>
          <cell r="I38">
            <v>0</v>
          </cell>
          <cell r="J38">
            <v>0</v>
          </cell>
          <cell r="K38">
            <v>0</v>
          </cell>
          <cell r="L38">
            <v>0</v>
          </cell>
          <cell r="M38">
            <v>0</v>
          </cell>
          <cell r="AA38">
            <v>0</v>
          </cell>
          <cell r="AB38">
            <v>0</v>
          </cell>
          <cell r="AD38">
            <v>0</v>
          </cell>
          <cell r="AE38">
            <v>0</v>
          </cell>
          <cell r="AG38">
            <v>0</v>
          </cell>
          <cell r="AH38">
            <v>0</v>
          </cell>
          <cell r="AI38">
            <v>0</v>
          </cell>
          <cell r="AJ38">
            <v>0</v>
          </cell>
          <cell r="AK38">
            <v>0</v>
          </cell>
          <cell r="AL38">
            <v>0</v>
          </cell>
        </row>
        <row r="39">
          <cell r="B39" t="str">
            <v>Jan 2016</v>
          </cell>
          <cell r="C39" t="str">
            <v>RS</v>
          </cell>
          <cell r="D39" t="str">
            <v>LGRSE540</v>
          </cell>
          <cell r="E39">
            <v>0</v>
          </cell>
          <cell r="F39">
            <v>0</v>
          </cell>
          <cell r="G39">
            <v>0</v>
          </cell>
          <cell r="H39">
            <v>0</v>
          </cell>
          <cell r="I39">
            <v>0</v>
          </cell>
          <cell r="J39">
            <v>0</v>
          </cell>
          <cell r="K39">
            <v>0</v>
          </cell>
          <cell r="L39">
            <v>0</v>
          </cell>
          <cell r="M39">
            <v>0</v>
          </cell>
          <cell r="AA39">
            <v>0</v>
          </cell>
          <cell r="AB39">
            <v>0</v>
          </cell>
          <cell r="AD39">
            <v>0</v>
          </cell>
          <cell r="AE39">
            <v>0</v>
          </cell>
          <cell r="AG39">
            <v>0</v>
          </cell>
          <cell r="AH39">
            <v>0</v>
          </cell>
          <cell r="AI39">
            <v>0</v>
          </cell>
          <cell r="AJ39">
            <v>0</v>
          </cell>
          <cell r="AK39">
            <v>0</v>
          </cell>
          <cell r="AL39">
            <v>0</v>
          </cell>
        </row>
        <row r="40">
          <cell r="B40" t="str">
            <v>Jan 2016</v>
          </cell>
          <cell r="C40" t="str">
            <v>LEV</v>
          </cell>
          <cell r="D40" t="str">
            <v>LGRSE543</v>
          </cell>
          <cell r="E40">
            <v>20</v>
          </cell>
          <cell r="F40">
            <v>0</v>
          </cell>
          <cell r="G40">
            <v>13171</v>
          </cell>
          <cell r="H40">
            <v>6352</v>
          </cell>
          <cell r="I40">
            <v>4480</v>
          </cell>
          <cell r="J40">
            <v>24003</v>
          </cell>
          <cell r="K40">
            <v>0</v>
          </cell>
          <cell r="L40">
            <v>0</v>
          </cell>
          <cell r="M40">
            <v>0</v>
          </cell>
          <cell r="AA40">
            <v>0</v>
          </cell>
          <cell r="AB40">
            <v>0</v>
          </cell>
          <cell r="AD40">
            <v>2130.6999999999998</v>
          </cell>
          <cell r="AE40">
            <v>0</v>
          </cell>
          <cell r="AG40">
            <v>0</v>
          </cell>
          <cell r="AH40">
            <v>0</v>
          </cell>
          <cell r="AI40">
            <v>0</v>
          </cell>
          <cell r="AJ40">
            <v>0</v>
          </cell>
          <cell r="AK40">
            <v>0</v>
          </cell>
          <cell r="AL40">
            <v>0</v>
          </cell>
        </row>
        <row r="41">
          <cell r="B41" t="str">
            <v>Jan 2016</v>
          </cell>
          <cell r="C41" t="str">
            <v>LEV</v>
          </cell>
          <cell r="D41" t="str">
            <v>LGRSE547</v>
          </cell>
          <cell r="E41">
            <v>0</v>
          </cell>
          <cell r="F41">
            <v>0</v>
          </cell>
          <cell r="G41">
            <v>0</v>
          </cell>
          <cell r="H41">
            <v>0</v>
          </cell>
          <cell r="I41">
            <v>0</v>
          </cell>
          <cell r="J41">
            <v>0</v>
          </cell>
          <cell r="K41">
            <v>0</v>
          </cell>
          <cell r="L41">
            <v>0</v>
          </cell>
          <cell r="M41">
            <v>0</v>
          </cell>
          <cell r="AA41">
            <v>0</v>
          </cell>
          <cell r="AB41">
            <v>0</v>
          </cell>
          <cell r="AD41">
            <v>0</v>
          </cell>
          <cell r="AE41">
            <v>0</v>
          </cell>
          <cell r="AG41">
            <v>0</v>
          </cell>
          <cell r="AH41">
            <v>0</v>
          </cell>
          <cell r="AI41">
            <v>0</v>
          </cell>
          <cell r="AJ41">
            <v>0</v>
          </cell>
          <cell r="AK41">
            <v>0</v>
          </cell>
          <cell r="AL41">
            <v>0</v>
          </cell>
        </row>
        <row r="42">
          <cell r="B42" t="str">
            <v>Feb 2016</v>
          </cell>
          <cell r="C42" t="str">
            <v>FLSP</v>
          </cell>
          <cell r="D42" t="str">
            <v>LGINE682</v>
          </cell>
          <cell r="E42">
            <v>0</v>
          </cell>
          <cell r="F42">
            <v>0</v>
          </cell>
          <cell r="G42">
            <v>0</v>
          </cell>
          <cell r="H42">
            <v>0</v>
          </cell>
          <cell r="I42">
            <v>0</v>
          </cell>
          <cell r="J42">
            <v>0</v>
          </cell>
          <cell r="K42">
            <v>0</v>
          </cell>
          <cell r="L42">
            <v>0</v>
          </cell>
          <cell r="M42">
            <v>0</v>
          </cell>
          <cell r="AA42">
            <v>0</v>
          </cell>
          <cell r="AB42">
            <v>0</v>
          </cell>
          <cell r="AD42">
            <v>0</v>
          </cell>
          <cell r="AE42">
            <v>0</v>
          </cell>
          <cell r="AG42">
            <v>0</v>
          </cell>
          <cell r="AH42">
            <v>0</v>
          </cell>
          <cell r="AI42">
            <v>0</v>
          </cell>
          <cell r="AJ42">
            <v>0</v>
          </cell>
          <cell r="AK42">
            <v>0</v>
          </cell>
          <cell r="AL42">
            <v>0</v>
          </cell>
        </row>
        <row r="43">
          <cell r="B43" t="str">
            <v>Feb 2016</v>
          </cell>
          <cell r="C43" t="str">
            <v>FLST</v>
          </cell>
          <cell r="D43" t="str">
            <v>LGINE683</v>
          </cell>
          <cell r="E43">
            <v>0</v>
          </cell>
          <cell r="F43">
            <v>0</v>
          </cell>
          <cell r="G43">
            <v>0</v>
          </cell>
          <cell r="H43">
            <v>0</v>
          </cell>
          <cell r="I43">
            <v>0</v>
          </cell>
          <cell r="J43">
            <v>0</v>
          </cell>
          <cell r="K43">
            <v>0</v>
          </cell>
          <cell r="L43">
            <v>0</v>
          </cell>
          <cell r="M43">
            <v>0</v>
          </cell>
          <cell r="AA43">
            <v>0</v>
          </cell>
          <cell r="AB43">
            <v>0</v>
          </cell>
          <cell r="AD43">
            <v>0</v>
          </cell>
          <cell r="AE43">
            <v>0</v>
          </cell>
          <cell r="AG43">
            <v>0</v>
          </cell>
          <cell r="AH43">
            <v>0</v>
          </cell>
          <cell r="AI43">
            <v>0</v>
          </cell>
          <cell r="AJ43">
            <v>0</v>
          </cell>
          <cell r="AK43">
            <v>0</v>
          </cell>
          <cell r="AL43">
            <v>0</v>
          </cell>
        </row>
        <row r="44">
          <cell r="B44" t="str">
            <v>Feb 2016</v>
          </cell>
          <cell r="C44" t="str">
            <v>GS</v>
          </cell>
          <cell r="D44" t="str">
            <v>LGCME451</v>
          </cell>
          <cell r="E44">
            <v>0</v>
          </cell>
          <cell r="F44">
            <v>0</v>
          </cell>
          <cell r="G44">
            <v>0</v>
          </cell>
          <cell r="H44">
            <v>0</v>
          </cell>
          <cell r="I44">
            <v>0</v>
          </cell>
          <cell r="J44">
            <v>0</v>
          </cell>
          <cell r="K44">
            <v>0</v>
          </cell>
          <cell r="L44">
            <v>0</v>
          </cell>
          <cell r="M44">
            <v>0</v>
          </cell>
          <cell r="AA44">
            <v>0</v>
          </cell>
          <cell r="AB44">
            <v>0</v>
          </cell>
          <cell r="AD44">
            <v>0</v>
          </cell>
          <cell r="AE44">
            <v>0</v>
          </cell>
          <cell r="AG44">
            <v>0</v>
          </cell>
          <cell r="AH44">
            <v>0</v>
          </cell>
          <cell r="AI44">
            <v>0</v>
          </cell>
          <cell r="AJ44">
            <v>0</v>
          </cell>
          <cell r="AK44">
            <v>0</v>
          </cell>
          <cell r="AL44">
            <v>0</v>
          </cell>
        </row>
        <row r="45">
          <cell r="B45" t="str">
            <v>Feb 2016</v>
          </cell>
          <cell r="C45" t="str">
            <v>GS</v>
          </cell>
          <cell r="D45" t="str">
            <v>LGCME550</v>
          </cell>
          <cell r="E45">
            <v>0</v>
          </cell>
          <cell r="F45">
            <v>0</v>
          </cell>
          <cell r="G45">
            <v>0</v>
          </cell>
          <cell r="H45">
            <v>0</v>
          </cell>
          <cell r="I45">
            <v>0</v>
          </cell>
          <cell r="J45">
            <v>0</v>
          </cell>
          <cell r="K45">
            <v>0</v>
          </cell>
          <cell r="L45">
            <v>0</v>
          </cell>
          <cell r="M45">
            <v>0</v>
          </cell>
          <cell r="AA45">
            <v>0</v>
          </cell>
          <cell r="AB45">
            <v>0</v>
          </cell>
          <cell r="AD45">
            <v>0</v>
          </cell>
          <cell r="AE45">
            <v>0</v>
          </cell>
          <cell r="AG45">
            <v>0</v>
          </cell>
          <cell r="AH45">
            <v>0</v>
          </cell>
          <cell r="AI45">
            <v>0</v>
          </cell>
          <cell r="AJ45">
            <v>0</v>
          </cell>
          <cell r="AK45">
            <v>0</v>
          </cell>
          <cell r="AL45">
            <v>0</v>
          </cell>
        </row>
        <row r="46">
          <cell r="B46" t="str">
            <v>Feb 2016</v>
          </cell>
          <cell r="C46" t="str">
            <v>GS</v>
          </cell>
          <cell r="D46" t="str">
            <v>LGCME551</v>
          </cell>
          <cell r="E46">
            <v>28231</v>
          </cell>
          <cell r="F46">
            <v>0</v>
          </cell>
          <cell r="G46">
            <v>0</v>
          </cell>
          <cell r="H46">
            <v>0</v>
          </cell>
          <cell r="I46">
            <v>0</v>
          </cell>
          <cell r="J46">
            <v>28606751</v>
          </cell>
          <cell r="K46">
            <v>0</v>
          </cell>
          <cell r="L46">
            <v>0</v>
          </cell>
          <cell r="M46">
            <v>0</v>
          </cell>
          <cell r="AA46">
            <v>0</v>
          </cell>
          <cell r="AB46">
            <v>0</v>
          </cell>
          <cell r="AD46">
            <v>3177560.64</v>
          </cell>
          <cell r="AE46">
            <v>3177561</v>
          </cell>
          <cell r="AG46">
            <v>-151456</v>
          </cell>
          <cell r="AH46">
            <v>40769</v>
          </cell>
          <cell r="AI46">
            <v>274067</v>
          </cell>
          <cell r="AJ46">
            <v>0</v>
          </cell>
          <cell r="AK46">
            <v>0</v>
          </cell>
          <cell r="AL46">
            <v>3340941</v>
          </cell>
        </row>
        <row r="47">
          <cell r="B47" t="str">
            <v>Feb 2016</v>
          </cell>
          <cell r="C47" t="str">
            <v>GS</v>
          </cell>
          <cell r="D47" t="str">
            <v>LGCME551UM</v>
          </cell>
          <cell r="E47">
            <v>0</v>
          </cell>
          <cell r="F47">
            <v>0</v>
          </cell>
          <cell r="G47">
            <v>0</v>
          </cell>
          <cell r="H47">
            <v>0</v>
          </cell>
          <cell r="I47">
            <v>0</v>
          </cell>
          <cell r="J47">
            <v>0</v>
          </cell>
          <cell r="K47">
            <v>0</v>
          </cell>
          <cell r="L47">
            <v>0</v>
          </cell>
          <cell r="M47">
            <v>0</v>
          </cell>
          <cell r="AA47">
            <v>0</v>
          </cell>
          <cell r="AB47">
            <v>0</v>
          </cell>
          <cell r="AD47">
            <v>0</v>
          </cell>
          <cell r="AE47">
            <v>0</v>
          </cell>
          <cell r="AG47">
            <v>0</v>
          </cell>
          <cell r="AH47">
            <v>0</v>
          </cell>
          <cell r="AI47">
            <v>0</v>
          </cell>
          <cell r="AJ47">
            <v>0</v>
          </cell>
          <cell r="AK47">
            <v>0</v>
          </cell>
          <cell r="AL47">
            <v>0</v>
          </cell>
        </row>
        <row r="48">
          <cell r="B48" t="str">
            <v>Feb 2016</v>
          </cell>
          <cell r="C48" t="str">
            <v>GS</v>
          </cell>
          <cell r="D48" t="str">
            <v>LGCME552</v>
          </cell>
          <cell r="E48">
            <v>0</v>
          </cell>
          <cell r="F48">
            <v>0</v>
          </cell>
          <cell r="G48">
            <v>0</v>
          </cell>
          <cell r="H48">
            <v>0</v>
          </cell>
          <cell r="I48">
            <v>0</v>
          </cell>
          <cell r="J48">
            <v>0</v>
          </cell>
          <cell r="K48">
            <v>0</v>
          </cell>
          <cell r="L48">
            <v>0</v>
          </cell>
          <cell r="M48">
            <v>0</v>
          </cell>
          <cell r="AA48">
            <v>0</v>
          </cell>
          <cell r="AB48">
            <v>0</v>
          </cell>
          <cell r="AD48">
            <v>0</v>
          </cell>
          <cell r="AE48">
            <v>0</v>
          </cell>
          <cell r="AG48">
            <v>0</v>
          </cell>
          <cell r="AH48">
            <v>0</v>
          </cell>
          <cell r="AI48">
            <v>0</v>
          </cell>
          <cell r="AJ48">
            <v>0</v>
          </cell>
          <cell r="AK48">
            <v>0</v>
          </cell>
          <cell r="AL48">
            <v>0</v>
          </cell>
        </row>
        <row r="49">
          <cell r="B49" t="str">
            <v>Feb 2016</v>
          </cell>
          <cell r="C49" t="str">
            <v>GS</v>
          </cell>
          <cell r="D49" t="str">
            <v>LGCME557</v>
          </cell>
          <cell r="E49">
            <v>0</v>
          </cell>
          <cell r="F49">
            <v>0</v>
          </cell>
          <cell r="G49">
            <v>0</v>
          </cell>
          <cell r="H49">
            <v>0</v>
          </cell>
          <cell r="I49">
            <v>0</v>
          </cell>
          <cell r="J49">
            <v>0</v>
          </cell>
          <cell r="K49">
            <v>0</v>
          </cell>
          <cell r="L49">
            <v>0</v>
          </cell>
          <cell r="M49">
            <v>0</v>
          </cell>
          <cell r="AA49">
            <v>0</v>
          </cell>
          <cell r="AB49">
            <v>0</v>
          </cell>
          <cell r="AD49">
            <v>0</v>
          </cell>
          <cell r="AE49">
            <v>0</v>
          </cell>
          <cell r="AG49">
            <v>0</v>
          </cell>
          <cell r="AH49">
            <v>0</v>
          </cell>
          <cell r="AI49">
            <v>0</v>
          </cell>
          <cell r="AJ49">
            <v>0</v>
          </cell>
          <cell r="AK49">
            <v>0</v>
          </cell>
          <cell r="AL49">
            <v>0</v>
          </cell>
        </row>
        <row r="50">
          <cell r="B50" t="str">
            <v>Feb 2016</v>
          </cell>
          <cell r="C50" t="str">
            <v>PSS</v>
          </cell>
          <cell r="D50" t="str">
            <v>LGCME561</v>
          </cell>
          <cell r="E50">
            <v>2585</v>
          </cell>
          <cell r="F50">
            <v>0</v>
          </cell>
          <cell r="G50">
            <v>0</v>
          </cell>
          <cell r="H50">
            <v>0</v>
          </cell>
          <cell r="I50">
            <v>0</v>
          </cell>
          <cell r="J50">
            <v>127422858</v>
          </cell>
          <cell r="K50">
            <v>0</v>
          </cell>
          <cell r="L50">
            <v>337388</v>
          </cell>
          <cell r="M50">
            <v>0</v>
          </cell>
          <cell r="AA50">
            <v>0</v>
          </cell>
          <cell r="AB50">
            <v>0</v>
          </cell>
          <cell r="AD50">
            <v>10132823.91</v>
          </cell>
          <cell r="AE50">
            <v>10132827</v>
          </cell>
          <cell r="AG50">
            <v>-674631</v>
          </cell>
          <cell r="AH50">
            <v>181598</v>
          </cell>
          <cell r="AI50">
            <v>1220775</v>
          </cell>
          <cell r="AJ50">
            <v>0</v>
          </cell>
          <cell r="AK50">
            <v>0</v>
          </cell>
          <cell r="AL50">
            <v>10860569</v>
          </cell>
        </row>
        <row r="51">
          <cell r="B51" t="str">
            <v>Feb 2016</v>
          </cell>
          <cell r="C51" t="str">
            <v>PSP</v>
          </cell>
          <cell r="D51" t="str">
            <v>LGCME563</v>
          </cell>
          <cell r="E51">
            <v>52</v>
          </cell>
          <cell r="F51">
            <v>0</v>
          </cell>
          <cell r="G51">
            <v>0</v>
          </cell>
          <cell r="H51">
            <v>0</v>
          </cell>
          <cell r="I51">
            <v>0</v>
          </cell>
          <cell r="J51">
            <v>10127683</v>
          </cell>
          <cell r="K51">
            <v>0</v>
          </cell>
          <cell r="L51">
            <v>26300</v>
          </cell>
          <cell r="M51">
            <v>0</v>
          </cell>
          <cell r="AA51">
            <v>0</v>
          </cell>
          <cell r="AB51">
            <v>0</v>
          </cell>
          <cell r="AD51">
            <v>713110.83000000007</v>
          </cell>
          <cell r="AE51">
            <v>713109</v>
          </cell>
          <cell r="AG51">
            <v>-53620</v>
          </cell>
          <cell r="AH51">
            <v>14434</v>
          </cell>
          <cell r="AI51">
            <v>97028</v>
          </cell>
          <cell r="AJ51">
            <v>0</v>
          </cell>
          <cell r="AK51">
            <v>0</v>
          </cell>
          <cell r="AL51">
            <v>770951</v>
          </cell>
        </row>
        <row r="52">
          <cell r="B52" t="str">
            <v>Feb 2016</v>
          </cell>
          <cell r="C52" t="str">
            <v>PSS</v>
          </cell>
          <cell r="D52" t="str">
            <v>LGCME567</v>
          </cell>
          <cell r="E52">
            <v>0</v>
          </cell>
          <cell r="F52">
            <v>0</v>
          </cell>
          <cell r="G52">
            <v>0</v>
          </cell>
          <cell r="H52">
            <v>0</v>
          </cell>
          <cell r="I52">
            <v>0</v>
          </cell>
          <cell r="J52">
            <v>0</v>
          </cell>
          <cell r="K52">
            <v>0</v>
          </cell>
          <cell r="L52">
            <v>0</v>
          </cell>
          <cell r="M52">
            <v>0</v>
          </cell>
          <cell r="AA52">
            <v>0</v>
          </cell>
          <cell r="AB52">
            <v>0</v>
          </cell>
          <cell r="AD52">
            <v>0</v>
          </cell>
          <cell r="AE52">
            <v>0</v>
          </cell>
          <cell r="AG52">
            <v>0</v>
          </cell>
          <cell r="AH52">
            <v>0</v>
          </cell>
          <cell r="AI52">
            <v>0</v>
          </cell>
          <cell r="AJ52">
            <v>0</v>
          </cell>
          <cell r="AK52">
            <v>0</v>
          </cell>
          <cell r="AL52">
            <v>0</v>
          </cell>
        </row>
        <row r="53">
          <cell r="B53" t="str">
            <v>Feb 2016</v>
          </cell>
          <cell r="C53" t="str">
            <v>TODS</v>
          </cell>
          <cell r="D53" t="str">
            <v>LGCME591</v>
          </cell>
          <cell r="E53">
            <v>223</v>
          </cell>
          <cell r="F53">
            <v>0</v>
          </cell>
          <cell r="G53">
            <v>0</v>
          </cell>
          <cell r="H53">
            <v>0</v>
          </cell>
          <cell r="I53">
            <v>0</v>
          </cell>
          <cell r="J53">
            <v>55589072</v>
          </cell>
          <cell r="K53">
            <v>135574</v>
          </cell>
          <cell r="L53">
            <v>124531</v>
          </cell>
          <cell r="M53">
            <v>121967</v>
          </cell>
          <cell r="AA53">
            <v>0</v>
          </cell>
          <cell r="AB53">
            <v>0</v>
          </cell>
          <cell r="AD53">
            <v>4111753.1500000004</v>
          </cell>
          <cell r="AE53">
            <v>4111751</v>
          </cell>
          <cell r="AG53">
            <v>-294312</v>
          </cell>
          <cell r="AH53">
            <v>79223</v>
          </cell>
          <cell r="AI53">
            <v>532571</v>
          </cell>
          <cell r="AJ53">
            <v>0</v>
          </cell>
          <cell r="AK53">
            <v>0</v>
          </cell>
          <cell r="AL53">
            <v>4429233</v>
          </cell>
        </row>
        <row r="54">
          <cell r="B54" t="str">
            <v>Feb 2016</v>
          </cell>
          <cell r="C54" t="str">
            <v>CTODP</v>
          </cell>
          <cell r="D54" t="str">
            <v>LGCME593</v>
          </cell>
          <cell r="E54">
            <v>40</v>
          </cell>
          <cell r="F54">
            <v>0</v>
          </cell>
          <cell r="G54">
            <v>0</v>
          </cell>
          <cell r="H54">
            <v>0</v>
          </cell>
          <cell r="I54">
            <v>0</v>
          </cell>
          <cell r="J54">
            <v>25576926</v>
          </cell>
          <cell r="K54">
            <v>65290</v>
          </cell>
          <cell r="L54">
            <v>56701</v>
          </cell>
          <cell r="M54">
            <v>55318</v>
          </cell>
          <cell r="AA54">
            <v>0</v>
          </cell>
          <cell r="AB54">
            <v>0</v>
          </cell>
          <cell r="AD54">
            <v>1803014.15</v>
          </cell>
          <cell r="AE54">
            <v>1803012</v>
          </cell>
          <cell r="AG54">
            <v>-135415</v>
          </cell>
          <cell r="AH54">
            <v>36451</v>
          </cell>
          <cell r="AI54">
            <v>245040</v>
          </cell>
          <cell r="AJ54">
            <v>0</v>
          </cell>
          <cell r="AK54">
            <v>0</v>
          </cell>
          <cell r="AL54">
            <v>1949088</v>
          </cell>
        </row>
        <row r="55">
          <cell r="B55" t="str">
            <v>Feb 2016</v>
          </cell>
          <cell r="C55" t="str">
            <v>GS3</v>
          </cell>
          <cell r="D55" t="str">
            <v>LGCME650</v>
          </cell>
          <cell r="E55">
            <v>0</v>
          </cell>
          <cell r="F55">
            <v>0</v>
          </cell>
          <cell r="G55">
            <v>0</v>
          </cell>
          <cell r="H55">
            <v>0</v>
          </cell>
          <cell r="I55">
            <v>0</v>
          </cell>
          <cell r="J55">
            <v>0</v>
          </cell>
          <cell r="K55">
            <v>0</v>
          </cell>
          <cell r="L55">
            <v>0</v>
          </cell>
          <cell r="M55">
            <v>0</v>
          </cell>
          <cell r="AA55">
            <v>0</v>
          </cell>
          <cell r="AB55">
            <v>0</v>
          </cell>
          <cell r="AD55">
            <v>0</v>
          </cell>
          <cell r="AE55">
            <v>0</v>
          </cell>
          <cell r="AG55">
            <v>0</v>
          </cell>
          <cell r="AH55">
            <v>0</v>
          </cell>
          <cell r="AI55">
            <v>0</v>
          </cell>
          <cell r="AJ55">
            <v>0</v>
          </cell>
          <cell r="AK55">
            <v>0</v>
          </cell>
          <cell r="AL55">
            <v>0</v>
          </cell>
        </row>
        <row r="56">
          <cell r="B56" t="str">
            <v>Feb 2016</v>
          </cell>
          <cell r="C56" t="str">
            <v>GS3</v>
          </cell>
          <cell r="D56" t="str">
            <v>LGCME651</v>
          </cell>
          <cell r="E56">
            <v>16392</v>
          </cell>
          <cell r="F56">
            <v>0</v>
          </cell>
          <cell r="G56">
            <v>0</v>
          </cell>
          <cell r="H56">
            <v>0</v>
          </cell>
          <cell r="I56">
            <v>0</v>
          </cell>
          <cell r="J56">
            <v>72913022</v>
          </cell>
          <cell r="K56">
            <v>197213</v>
          </cell>
          <cell r="L56">
            <v>0</v>
          </cell>
          <cell r="M56">
            <v>0</v>
          </cell>
          <cell r="AA56">
            <v>0</v>
          </cell>
          <cell r="AB56">
            <v>0</v>
          </cell>
          <cell r="AD56">
            <v>7233595.4299999997</v>
          </cell>
          <cell r="AE56">
            <v>7233596</v>
          </cell>
          <cell r="AG56">
            <v>-386033</v>
          </cell>
          <cell r="AH56">
            <v>103913</v>
          </cell>
          <cell r="AI56">
            <v>698543</v>
          </cell>
          <cell r="AJ56">
            <v>0</v>
          </cell>
          <cell r="AK56">
            <v>0</v>
          </cell>
          <cell r="AL56">
            <v>7650019</v>
          </cell>
        </row>
        <row r="57">
          <cell r="B57" t="str">
            <v>Feb 2016</v>
          </cell>
          <cell r="C57" t="str">
            <v>GS3</v>
          </cell>
          <cell r="D57" t="str">
            <v>LGCME652</v>
          </cell>
          <cell r="E57">
            <v>0</v>
          </cell>
          <cell r="F57">
            <v>0</v>
          </cell>
          <cell r="G57">
            <v>0</v>
          </cell>
          <cell r="H57">
            <v>0</v>
          </cell>
          <cell r="I57">
            <v>0</v>
          </cell>
          <cell r="J57">
            <v>0</v>
          </cell>
          <cell r="K57">
            <v>0</v>
          </cell>
          <cell r="L57">
            <v>0</v>
          </cell>
          <cell r="M57">
            <v>0</v>
          </cell>
          <cell r="AA57">
            <v>0</v>
          </cell>
          <cell r="AB57">
            <v>0</v>
          </cell>
          <cell r="AD57">
            <v>0</v>
          </cell>
          <cell r="AE57">
            <v>0</v>
          </cell>
          <cell r="AG57">
            <v>0</v>
          </cell>
          <cell r="AH57">
            <v>0</v>
          </cell>
          <cell r="AI57">
            <v>0</v>
          </cell>
          <cell r="AJ57">
            <v>0</v>
          </cell>
          <cell r="AK57">
            <v>0</v>
          </cell>
          <cell r="AL57">
            <v>0</v>
          </cell>
        </row>
        <row r="58">
          <cell r="B58" t="str">
            <v>Feb 2016</v>
          </cell>
          <cell r="C58" t="str">
            <v>GS3</v>
          </cell>
          <cell r="D58" t="str">
            <v>LGCME657</v>
          </cell>
          <cell r="E58">
            <v>0</v>
          </cell>
          <cell r="F58">
            <v>0</v>
          </cell>
          <cell r="G58">
            <v>0</v>
          </cell>
          <cell r="H58">
            <v>0</v>
          </cell>
          <cell r="I58">
            <v>0</v>
          </cell>
          <cell r="J58">
            <v>0</v>
          </cell>
          <cell r="K58">
            <v>0</v>
          </cell>
          <cell r="L58">
            <v>0</v>
          </cell>
          <cell r="M58">
            <v>0</v>
          </cell>
          <cell r="AA58">
            <v>0</v>
          </cell>
          <cell r="AB58">
            <v>0</v>
          </cell>
          <cell r="AD58">
            <v>0</v>
          </cell>
          <cell r="AE58">
            <v>0</v>
          </cell>
          <cell r="AG58">
            <v>0</v>
          </cell>
          <cell r="AH58">
            <v>0</v>
          </cell>
          <cell r="AI58">
            <v>0</v>
          </cell>
          <cell r="AJ58">
            <v>0</v>
          </cell>
          <cell r="AK58">
            <v>0</v>
          </cell>
          <cell r="AL58">
            <v>0</v>
          </cell>
        </row>
        <row r="59">
          <cell r="B59" t="str">
            <v>Feb 2016</v>
          </cell>
          <cell r="C59" t="str">
            <v>LWC</v>
          </cell>
          <cell r="D59" t="str">
            <v>LGCME671</v>
          </cell>
          <cell r="E59">
            <v>2</v>
          </cell>
          <cell r="F59">
            <v>0</v>
          </cell>
          <cell r="G59">
            <v>0</v>
          </cell>
          <cell r="H59">
            <v>0</v>
          </cell>
          <cell r="I59">
            <v>0</v>
          </cell>
          <cell r="J59">
            <v>4744800</v>
          </cell>
          <cell r="K59">
            <v>0</v>
          </cell>
          <cell r="L59">
            <v>9307</v>
          </cell>
          <cell r="M59">
            <v>0</v>
          </cell>
          <cell r="AA59">
            <v>0</v>
          </cell>
          <cell r="AB59">
            <v>0</v>
          </cell>
          <cell r="AD59">
            <v>271979.95</v>
          </cell>
          <cell r="AE59">
            <v>271982</v>
          </cell>
          <cell r="AG59">
            <v>-25121</v>
          </cell>
          <cell r="AH59">
            <v>0</v>
          </cell>
          <cell r="AI59">
            <v>45458</v>
          </cell>
          <cell r="AJ59">
            <v>0</v>
          </cell>
          <cell r="AK59">
            <v>0</v>
          </cell>
          <cell r="AL59">
            <v>292319</v>
          </cell>
        </row>
        <row r="60">
          <cell r="B60" t="str">
            <v>Feb 2016</v>
          </cell>
          <cell r="C60" t="str">
            <v>CSR</v>
          </cell>
          <cell r="D60" t="str">
            <v>LGCSR760</v>
          </cell>
          <cell r="E60">
            <v>0</v>
          </cell>
          <cell r="F60">
            <v>0</v>
          </cell>
          <cell r="G60">
            <v>0</v>
          </cell>
          <cell r="H60">
            <v>0</v>
          </cell>
          <cell r="I60">
            <v>0</v>
          </cell>
          <cell r="J60">
            <v>0</v>
          </cell>
          <cell r="K60">
            <v>0</v>
          </cell>
          <cell r="L60">
            <v>0</v>
          </cell>
          <cell r="M60">
            <v>0</v>
          </cell>
          <cell r="AA60">
            <v>0</v>
          </cell>
          <cell r="AB60">
            <v>0</v>
          </cell>
          <cell r="AD60">
            <v>0</v>
          </cell>
          <cell r="AE60">
            <v>0</v>
          </cell>
          <cell r="AG60">
            <v>0</v>
          </cell>
          <cell r="AH60">
            <v>0</v>
          </cell>
          <cell r="AI60">
            <v>0</v>
          </cell>
          <cell r="AJ60">
            <v>0</v>
          </cell>
          <cell r="AK60">
            <v>-286526</v>
          </cell>
          <cell r="AL60">
            <v>-286526</v>
          </cell>
        </row>
        <row r="61">
          <cell r="B61" t="str">
            <v>Feb 2016</v>
          </cell>
          <cell r="C61" t="str">
            <v>CSR</v>
          </cell>
          <cell r="D61" t="str">
            <v>LGCSR780</v>
          </cell>
          <cell r="E61">
            <v>0</v>
          </cell>
          <cell r="F61">
            <v>0</v>
          </cell>
          <cell r="G61">
            <v>0</v>
          </cell>
          <cell r="H61">
            <v>0</v>
          </cell>
          <cell r="I61">
            <v>0</v>
          </cell>
          <cell r="J61">
            <v>0</v>
          </cell>
          <cell r="K61">
            <v>0</v>
          </cell>
          <cell r="L61">
            <v>0</v>
          </cell>
          <cell r="M61">
            <v>0</v>
          </cell>
          <cell r="AA61">
            <v>0</v>
          </cell>
          <cell r="AB61">
            <v>0</v>
          </cell>
          <cell r="AD61">
            <v>0</v>
          </cell>
          <cell r="AE61">
            <v>0</v>
          </cell>
          <cell r="AG61">
            <v>0</v>
          </cell>
          <cell r="AH61">
            <v>0</v>
          </cell>
          <cell r="AI61">
            <v>0</v>
          </cell>
          <cell r="AJ61">
            <v>0</v>
          </cell>
          <cell r="AK61">
            <v>0</v>
          </cell>
          <cell r="AL61">
            <v>0</v>
          </cell>
        </row>
        <row r="62">
          <cell r="B62" t="str">
            <v>Feb 2016</v>
          </cell>
          <cell r="C62" t="str">
            <v>FK</v>
          </cell>
          <cell r="D62" t="str">
            <v>LGINE599</v>
          </cell>
          <cell r="E62">
            <v>1</v>
          </cell>
          <cell r="F62">
            <v>0</v>
          </cell>
          <cell r="G62">
            <v>0</v>
          </cell>
          <cell r="H62">
            <v>0</v>
          </cell>
          <cell r="I62">
            <v>0</v>
          </cell>
          <cell r="J62">
            <v>9522500</v>
          </cell>
          <cell r="K62">
            <v>0</v>
          </cell>
          <cell r="L62">
            <v>14314</v>
          </cell>
          <cell r="M62">
            <v>0</v>
          </cell>
          <cell r="AA62">
            <v>0</v>
          </cell>
          <cell r="AB62">
            <v>0</v>
          </cell>
          <cell r="AD62">
            <v>538216</v>
          </cell>
          <cell r="AE62">
            <v>538216</v>
          </cell>
          <cell r="AG62">
            <v>-50416</v>
          </cell>
          <cell r="AH62">
            <v>0</v>
          </cell>
          <cell r="AI62">
            <v>91230</v>
          </cell>
          <cell r="AJ62">
            <v>0</v>
          </cell>
          <cell r="AK62">
            <v>0</v>
          </cell>
          <cell r="AL62">
            <v>579030</v>
          </cell>
        </row>
        <row r="63">
          <cell r="B63" t="str">
            <v>Feb 2016</v>
          </cell>
          <cell r="C63" t="str">
            <v>RTS</v>
          </cell>
          <cell r="D63" t="str">
            <v>LGINE643</v>
          </cell>
          <cell r="E63">
            <v>12</v>
          </cell>
          <cell r="F63">
            <v>0</v>
          </cell>
          <cell r="G63">
            <v>0</v>
          </cell>
          <cell r="H63">
            <v>0</v>
          </cell>
          <cell r="I63">
            <v>0</v>
          </cell>
          <cell r="J63">
            <v>56255087</v>
          </cell>
          <cell r="K63">
            <v>157758</v>
          </cell>
          <cell r="L63">
            <v>144484</v>
          </cell>
          <cell r="M63">
            <v>79386</v>
          </cell>
          <cell r="AA63">
            <v>0</v>
          </cell>
          <cell r="AB63">
            <v>0</v>
          </cell>
          <cell r="AD63">
            <v>3268301.4399999995</v>
          </cell>
          <cell r="AE63">
            <v>3268302</v>
          </cell>
          <cell r="AG63">
            <v>-297839</v>
          </cell>
          <cell r="AH63">
            <v>0</v>
          </cell>
          <cell r="AI63">
            <v>538952</v>
          </cell>
          <cell r="AJ63">
            <v>0</v>
          </cell>
          <cell r="AK63">
            <v>0</v>
          </cell>
          <cell r="AL63">
            <v>3509415</v>
          </cell>
        </row>
        <row r="64">
          <cell r="B64" t="str">
            <v>Feb 2016</v>
          </cell>
          <cell r="C64" t="str">
            <v>PSS</v>
          </cell>
          <cell r="D64" t="str">
            <v>LGINE661</v>
          </cell>
          <cell r="E64">
            <v>213</v>
          </cell>
          <cell r="F64">
            <v>0</v>
          </cell>
          <cell r="G64">
            <v>0</v>
          </cell>
          <cell r="H64">
            <v>0</v>
          </cell>
          <cell r="I64">
            <v>0</v>
          </cell>
          <cell r="J64">
            <v>17230019</v>
          </cell>
          <cell r="K64">
            <v>0</v>
          </cell>
          <cell r="L64">
            <v>58144</v>
          </cell>
          <cell r="M64">
            <v>0</v>
          </cell>
          <cell r="AA64">
            <v>0</v>
          </cell>
          <cell r="AB64">
            <v>0</v>
          </cell>
          <cell r="AD64">
            <v>1533306.21</v>
          </cell>
          <cell r="AE64">
            <v>1533307</v>
          </cell>
          <cell r="AG64">
            <v>-91223</v>
          </cell>
          <cell r="AH64">
            <v>24556</v>
          </cell>
          <cell r="AI64">
            <v>165072</v>
          </cell>
          <cell r="AJ64">
            <v>0</v>
          </cell>
          <cell r="AK64">
            <v>0</v>
          </cell>
          <cell r="AL64">
            <v>1631712</v>
          </cell>
        </row>
        <row r="65">
          <cell r="B65" t="str">
            <v>Feb 2016</v>
          </cell>
          <cell r="C65" t="str">
            <v>PSP</v>
          </cell>
          <cell r="D65" t="str">
            <v>LGINE663</v>
          </cell>
          <cell r="E65">
            <v>21</v>
          </cell>
          <cell r="F65">
            <v>0</v>
          </cell>
          <cell r="G65">
            <v>0</v>
          </cell>
          <cell r="H65">
            <v>0</v>
          </cell>
          <cell r="I65">
            <v>0</v>
          </cell>
          <cell r="J65">
            <v>963928</v>
          </cell>
          <cell r="K65">
            <v>0</v>
          </cell>
          <cell r="L65">
            <v>3731</v>
          </cell>
          <cell r="M65">
            <v>0</v>
          </cell>
          <cell r="AA65">
            <v>0</v>
          </cell>
          <cell r="AB65">
            <v>0</v>
          </cell>
          <cell r="AD65">
            <v>84917.26999999999</v>
          </cell>
          <cell r="AE65">
            <v>84917</v>
          </cell>
          <cell r="AG65">
            <v>-5103</v>
          </cell>
          <cell r="AH65">
            <v>1374</v>
          </cell>
          <cell r="AI65">
            <v>9235</v>
          </cell>
          <cell r="AJ65">
            <v>0</v>
          </cell>
          <cell r="AK65">
            <v>0</v>
          </cell>
          <cell r="AL65">
            <v>90423</v>
          </cell>
        </row>
        <row r="66">
          <cell r="B66" t="str">
            <v>Feb 2016</v>
          </cell>
          <cell r="C66" t="str">
            <v>TODS</v>
          </cell>
          <cell r="D66" t="str">
            <v>LGINE691</v>
          </cell>
          <cell r="E66">
            <v>100</v>
          </cell>
          <cell r="F66">
            <v>0</v>
          </cell>
          <cell r="G66">
            <v>0</v>
          </cell>
          <cell r="H66">
            <v>0</v>
          </cell>
          <cell r="I66">
            <v>0</v>
          </cell>
          <cell r="J66">
            <v>19781342</v>
          </cell>
          <cell r="K66">
            <v>53949</v>
          </cell>
          <cell r="L66">
            <v>49120</v>
          </cell>
          <cell r="M66">
            <v>48259</v>
          </cell>
          <cell r="AA66">
            <v>0</v>
          </cell>
          <cell r="AB66">
            <v>0</v>
          </cell>
          <cell r="AD66">
            <v>1541465.24</v>
          </cell>
          <cell r="AE66">
            <v>1541466</v>
          </cell>
          <cell r="AG66">
            <v>-104731</v>
          </cell>
          <cell r="AH66">
            <v>28192</v>
          </cell>
          <cell r="AI66">
            <v>189515</v>
          </cell>
          <cell r="AJ66">
            <v>0</v>
          </cell>
          <cell r="AK66">
            <v>0</v>
          </cell>
          <cell r="AL66">
            <v>1654442</v>
          </cell>
        </row>
        <row r="67">
          <cell r="B67" t="str">
            <v>Feb 2016</v>
          </cell>
          <cell r="C67" t="str">
            <v>ITODP</v>
          </cell>
          <cell r="D67" t="str">
            <v>LGINE693</v>
          </cell>
          <cell r="E67">
            <v>71</v>
          </cell>
          <cell r="F67">
            <v>0</v>
          </cell>
          <cell r="G67">
            <v>0</v>
          </cell>
          <cell r="H67">
            <v>0</v>
          </cell>
          <cell r="I67">
            <v>0</v>
          </cell>
          <cell r="J67">
            <v>121550529</v>
          </cell>
          <cell r="K67">
            <v>318625</v>
          </cell>
          <cell r="L67">
            <v>289268</v>
          </cell>
          <cell r="M67">
            <v>285425</v>
          </cell>
          <cell r="AA67">
            <v>0</v>
          </cell>
          <cell r="AB67">
            <v>0</v>
          </cell>
          <cell r="AD67">
            <v>7896209.9399999995</v>
          </cell>
          <cell r="AE67">
            <v>7896212</v>
          </cell>
          <cell r="AG67">
            <v>-643541</v>
          </cell>
          <cell r="AH67">
            <v>173229</v>
          </cell>
          <cell r="AI67">
            <v>1164515</v>
          </cell>
          <cell r="AJ67">
            <v>0</v>
          </cell>
          <cell r="AK67">
            <v>0</v>
          </cell>
          <cell r="AL67">
            <v>8590415</v>
          </cell>
        </row>
        <row r="68">
          <cell r="B68" t="str">
            <v>Feb 2016</v>
          </cell>
          <cell r="C68" t="str">
            <v>ITODP</v>
          </cell>
          <cell r="D68" t="str">
            <v>LGINE694</v>
          </cell>
          <cell r="E68">
            <v>0</v>
          </cell>
          <cell r="F68">
            <v>0</v>
          </cell>
          <cell r="G68">
            <v>0</v>
          </cell>
          <cell r="H68">
            <v>0</v>
          </cell>
          <cell r="I68">
            <v>0</v>
          </cell>
          <cell r="J68">
            <v>0</v>
          </cell>
          <cell r="K68">
            <v>0</v>
          </cell>
          <cell r="L68">
            <v>0</v>
          </cell>
          <cell r="M68">
            <v>0</v>
          </cell>
          <cell r="AA68">
            <v>0</v>
          </cell>
          <cell r="AB68">
            <v>0</v>
          </cell>
          <cell r="AD68">
            <v>0</v>
          </cell>
          <cell r="AE68">
            <v>0</v>
          </cell>
          <cell r="AG68">
            <v>0</v>
          </cell>
          <cell r="AH68">
            <v>0</v>
          </cell>
          <cell r="AI68">
            <v>0</v>
          </cell>
          <cell r="AJ68">
            <v>0</v>
          </cell>
          <cell r="AK68">
            <v>0</v>
          </cell>
          <cell r="AL68">
            <v>0</v>
          </cell>
        </row>
        <row r="69">
          <cell r="B69" t="str">
            <v>Feb 2016</v>
          </cell>
          <cell r="C69" t="str">
            <v>LE</v>
          </cell>
          <cell r="D69" t="str">
            <v>LGMLE570</v>
          </cell>
          <cell r="E69">
            <v>0</v>
          </cell>
          <cell r="F69">
            <v>0</v>
          </cell>
          <cell r="G69">
            <v>0</v>
          </cell>
          <cell r="H69">
            <v>0</v>
          </cell>
          <cell r="I69">
            <v>0</v>
          </cell>
          <cell r="J69">
            <v>0</v>
          </cell>
          <cell r="K69">
            <v>0</v>
          </cell>
          <cell r="L69">
            <v>0</v>
          </cell>
          <cell r="M69">
            <v>0</v>
          </cell>
          <cell r="AA69">
            <v>0</v>
          </cell>
          <cell r="AB69">
            <v>0</v>
          </cell>
          <cell r="AD69">
            <v>0</v>
          </cell>
          <cell r="AE69">
            <v>0</v>
          </cell>
          <cell r="AG69">
            <v>0</v>
          </cell>
          <cell r="AH69">
            <v>0</v>
          </cell>
          <cell r="AI69">
            <v>0</v>
          </cell>
          <cell r="AJ69">
            <v>0</v>
          </cell>
          <cell r="AK69">
            <v>0</v>
          </cell>
          <cell r="AL69">
            <v>0</v>
          </cell>
        </row>
        <row r="70">
          <cell r="B70" t="str">
            <v>Feb 2016</v>
          </cell>
          <cell r="C70" t="str">
            <v>LE</v>
          </cell>
          <cell r="D70" t="str">
            <v>LGMLE571</v>
          </cell>
          <cell r="E70">
            <v>156</v>
          </cell>
          <cell r="F70">
            <v>0</v>
          </cell>
          <cell r="G70">
            <v>0</v>
          </cell>
          <cell r="H70">
            <v>0</v>
          </cell>
          <cell r="I70">
            <v>0</v>
          </cell>
          <cell r="J70">
            <v>268287</v>
          </cell>
          <cell r="K70">
            <v>0</v>
          </cell>
          <cell r="L70">
            <v>0</v>
          </cell>
          <cell r="M70">
            <v>0</v>
          </cell>
          <cell r="AA70">
            <v>0</v>
          </cell>
          <cell r="AB70">
            <v>0</v>
          </cell>
          <cell r="AD70">
            <v>17334.02</v>
          </cell>
          <cell r="AE70">
            <v>0</v>
          </cell>
          <cell r="AG70">
            <v>0</v>
          </cell>
          <cell r="AH70">
            <v>0</v>
          </cell>
          <cell r="AI70">
            <v>0</v>
          </cell>
          <cell r="AJ70">
            <v>0</v>
          </cell>
          <cell r="AK70">
            <v>0</v>
          </cell>
          <cell r="AL70">
            <v>0</v>
          </cell>
        </row>
        <row r="71">
          <cell r="B71" t="str">
            <v>Feb 2016</v>
          </cell>
          <cell r="C71" t="str">
            <v>LE</v>
          </cell>
          <cell r="D71" t="str">
            <v>LGMLE572</v>
          </cell>
          <cell r="E71">
            <v>0</v>
          </cell>
          <cell r="F71">
            <v>0</v>
          </cell>
          <cell r="G71">
            <v>0</v>
          </cell>
          <cell r="H71">
            <v>0</v>
          </cell>
          <cell r="I71">
            <v>0</v>
          </cell>
          <cell r="J71">
            <v>0</v>
          </cell>
          <cell r="K71">
            <v>0</v>
          </cell>
          <cell r="L71">
            <v>0</v>
          </cell>
          <cell r="M71">
            <v>0</v>
          </cell>
          <cell r="AA71">
            <v>0</v>
          </cell>
          <cell r="AB71">
            <v>0</v>
          </cell>
          <cell r="AD71">
            <v>0</v>
          </cell>
          <cell r="AE71">
            <v>0</v>
          </cell>
          <cell r="AG71">
            <v>0</v>
          </cell>
          <cell r="AH71">
            <v>0</v>
          </cell>
          <cell r="AI71">
            <v>0</v>
          </cell>
          <cell r="AJ71">
            <v>0</v>
          </cell>
          <cell r="AK71">
            <v>0</v>
          </cell>
          <cell r="AL71">
            <v>0</v>
          </cell>
        </row>
        <row r="72">
          <cell r="B72" t="str">
            <v>Feb 2016</v>
          </cell>
          <cell r="C72" t="str">
            <v>TE</v>
          </cell>
          <cell r="D72" t="str">
            <v>LGMLE573</v>
          </cell>
          <cell r="E72">
            <v>905</v>
          </cell>
          <cell r="F72">
            <v>0</v>
          </cell>
          <cell r="G72">
            <v>0</v>
          </cell>
          <cell r="H72">
            <v>0</v>
          </cell>
          <cell r="I72">
            <v>0</v>
          </cell>
          <cell r="J72">
            <v>231486</v>
          </cell>
          <cell r="K72">
            <v>0</v>
          </cell>
          <cell r="L72">
            <v>0</v>
          </cell>
          <cell r="M72">
            <v>0</v>
          </cell>
          <cell r="AA72">
            <v>0</v>
          </cell>
          <cell r="AB72">
            <v>0</v>
          </cell>
          <cell r="AD72">
            <v>20668.45</v>
          </cell>
          <cell r="AE72">
            <v>0</v>
          </cell>
          <cell r="AG72">
            <v>0</v>
          </cell>
          <cell r="AH72">
            <v>0</v>
          </cell>
          <cell r="AI72">
            <v>0</v>
          </cell>
          <cell r="AJ72">
            <v>0</v>
          </cell>
          <cell r="AK72">
            <v>0</v>
          </cell>
          <cell r="AL72">
            <v>0</v>
          </cell>
        </row>
        <row r="73">
          <cell r="B73" t="str">
            <v>Feb 2016</v>
          </cell>
          <cell r="C73" t="str">
            <v>TE</v>
          </cell>
          <cell r="D73" t="str">
            <v>LGMLE574</v>
          </cell>
          <cell r="E73">
            <v>0</v>
          </cell>
          <cell r="F73">
            <v>0</v>
          </cell>
          <cell r="G73">
            <v>0</v>
          </cell>
          <cell r="H73">
            <v>0</v>
          </cell>
          <cell r="I73">
            <v>0</v>
          </cell>
          <cell r="J73">
            <v>0</v>
          </cell>
          <cell r="K73">
            <v>0</v>
          </cell>
          <cell r="L73">
            <v>0</v>
          </cell>
          <cell r="M73">
            <v>0</v>
          </cell>
          <cell r="AA73">
            <v>0</v>
          </cell>
          <cell r="AB73">
            <v>0</v>
          </cell>
          <cell r="AD73">
            <v>0</v>
          </cell>
          <cell r="AE73">
            <v>0</v>
          </cell>
          <cell r="AG73">
            <v>0</v>
          </cell>
          <cell r="AH73">
            <v>0</v>
          </cell>
          <cell r="AI73">
            <v>0</v>
          </cell>
          <cell r="AJ73">
            <v>0</v>
          </cell>
          <cell r="AK73">
            <v>0</v>
          </cell>
          <cell r="AL73">
            <v>0</v>
          </cell>
        </row>
        <row r="74">
          <cell r="B74" t="str">
            <v>Feb 2016</v>
          </cell>
          <cell r="C74" t="str">
            <v>RS</v>
          </cell>
          <cell r="D74" t="str">
            <v>LGRSE411</v>
          </cell>
          <cell r="E74">
            <v>0</v>
          </cell>
          <cell r="F74">
            <v>0</v>
          </cell>
          <cell r="G74">
            <v>0</v>
          </cell>
          <cell r="H74">
            <v>0</v>
          </cell>
          <cell r="I74">
            <v>0</v>
          </cell>
          <cell r="J74">
            <v>0</v>
          </cell>
          <cell r="K74">
            <v>0</v>
          </cell>
          <cell r="L74">
            <v>0</v>
          </cell>
          <cell r="M74">
            <v>0</v>
          </cell>
          <cell r="AA74">
            <v>0</v>
          </cell>
          <cell r="AB74">
            <v>0</v>
          </cell>
          <cell r="AD74">
            <v>0</v>
          </cell>
          <cell r="AE74">
            <v>0</v>
          </cell>
          <cell r="AG74">
            <v>0</v>
          </cell>
          <cell r="AH74">
            <v>0</v>
          </cell>
          <cell r="AI74">
            <v>0</v>
          </cell>
          <cell r="AJ74">
            <v>0</v>
          </cell>
          <cell r="AK74">
            <v>0</v>
          </cell>
          <cell r="AL74">
            <v>0</v>
          </cell>
        </row>
        <row r="75">
          <cell r="B75" t="str">
            <v>Feb 2016</v>
          </cell>
          <cell r="C75" t="str">
            <v>RS</v>
          </cell>
          <cell r="D75" t="str">
            <v>LGRSE511</v>
          </cell>
          <cell r="E75">
            <v>361807</v>
          </cell>
          <cell r="F75">
            <v>0</v>
          </cell>
          <cell r="G75">
            <v>0</v>
          </cell>
          <cell r="H75">
            <v>0</v>
          </cell>
          <cell r="I75">
            <v>0</v>
          </cell>
          <cell r="J75">
            <v>328309831</v>
          </cell>
          <cell r="K75">
            <v>0</v>
          </cell>
          <cell r="L75">
            <v>0</v>
          </cell>
          <cell r="M75">
            <v>0</v>
          </cell>
          <cell r="AA75">
            <v>0</v>
          </cell>
          <cell r="AB75">
            <v>0</v>
          </cell>
          <cell r="AD75">
            <v>30403727.199999999</v>
          </cell>
          <cell r="AE75">
            <v>30405562</v>
          </cell>
          <cell r="AG75">
            <v>-1738319</v>
          </cell>
          <cell r="AH75">
            <v>467923</v>
          </cell>
          <cell r="AI75">
            <v>3145565</v>
          </cell>
          <cell r="AJ75">
            <v>0</v>
          </cell>
          <cell r="AK75">
            <v>0</v>
          </cell>
          <cell r="AL75">
            <v>32280731</v>
          </cell>
        </row>
        <row r="76">
          <cell r="B76" t="str">
            <v>Feb 2016</v>
          </cell>
          <cell r="C76" t="str">
            <v>RS</v>
          </cell>
          <cell r="D76" t="str">
            <v>LGRSE519</v>
          </cell>
          <cell r="E76">
            <v>0</v>
          </cell>
          <cell r="F76">
            <v>0</v>
          </cell>
          <cell r="G76">
            <v>0</v>
          </cell>
          <cell r="H76">
            <v>0</v>
          </cell>
          <cell r="I76">
            <v>0</v>
          </cell>
          <cell r="J76">
            <v>0</v>
          </cell>
          <cell r="K76">
            <v>0</v>
          </cell>
          <cell r="L76">
            <v>0</v>
          </cell>
          <cell r="M76">
            <v>0</v>
          </cell>
          <cell r="AA76">
            <v>0</v>
          </cell>
          <cell r="AB76">
            <v>0</v>
          </cell>
          <cell r="AD76">
            <v>0</v>
          </cell>
          <cell r="AE76">
            <v>0</v>
          </cell>
          <cell r="AG76">
            <v>0</v>
          </cell>
          <cell r="AH76">
            <v>0</v>
          </cell>
          <cell r="AI76">
            <v>0</v>
          </cell>
          <cell r="AJ76">
            <v>0</v>
          </cell>
          <cell r="AK76">
            <v>0</v>
          </cell>
          <cell r="AL76">
            <v>0</v>
          </cell>
        </row>
        <row r="77">
          <cell r="B77" t="str">
            <v>Feb 2016</v>
          </cell>
          <cell r="C77" t="str">
            <v>RS</v>
          </cell>
          <cell r="D77" t="str">
            <v>LGRSE540</v>
          </cell>
          <cell r="E77">
            <v>0</v>
          </cell>
          <cell r="F77">
            <v>0</v>
          </cell>
          <cell r="G77">
            <v>0</v>
          </cell>
          <cell r="H77">
            <v>0</v>
          </cell>
          <cell r="I77">
            <v>0</v>
          </cell>
          <cell r="J77">
            <v>0</v>
          </cell>
          <cell r="K77">
            <v>0</v>
          </cell>
          <cell r="L77">
            <v>0</v>
          </cell>
          <cell r="M77">
            <v>0</v>
          </cell>
          <cell r="AA77">
            <v>0</v>
          </cell>
          <cell r="AB77">
            <v>0</v>
          </cell>
          <cell r="AD77">
            <v>0</v>
          </cell>
          <cell r="AE77">
            <v>0</v>
          </cell>
          <cell r="AG77">
            <v>0</v>
          </cell>
          <cell r="AH77">
            <v>0</v>
          </cell>
          <cell r="AI77">
            <v>0</v>
          </cell>
          <cell r="AJ77">
            <v>0</v>
          </cell>
          <cell r="AK77">
            <v>0</v>
          </cell>
          <cell r="AL77">
            <v>0</v>
          </cell>
        </row>
        <row r="78">
          <cell r="B78" t="str">
            <v>Feb 2016</v>
          </cell>
          <cell r="C78" t="str">
            <v>LEV</v>
          </cell>
          <cell r="D78" t="str">
            <v>LGRSE543</v>
          </cell>
          <cell r="E78">
            <v>20</v>
          </cell>
          <cell r="F78">
            <v>0</v>
          </cell>
          <cell r="G78">
            <v>10967</v>
          </cell>
          <cell r="H78">
            <v>5695</v>
          </cell>
          <cell r="I78">
            <v>3400</v>
          </cell>
          <cell r="J78">
            <v>20062</v>
          </cell>
          <cell r="K78">
            <v>0</v>
          </cell>
          <cell r="L78">
            <v>0</v>
          </cell>
          <cell r="M78">
            <v>0</v>
          </cell>
          <cell r="AA78">
            <v>0</v>
          </cell>
          <cell r="AB78">
            <v>0</v>
          </cell>
          <cell r="AD78">
            <v>1794.46</v>
          </cell>
          <cell r="AE78">
            <v>0</v>
          </cell>
          <cell r="AG78">
            <v>0</v>
          </cell>
          <cell r="AH78">
            <v>0</v>
          </cell>
          <cell r="AI78">
            <v>0</v>
          </cell>
          <cell r="AJ78">
            <v>0</v>
          </cell>
          <cell r="AK78">
            <v>0</v>
          </cell>
          <cell r="AL78">
            <v>0</v>
          </cell>
        </row>
        <row r="79">
          <cell r="B79" t="str">
            <v>Feb 2016</v>
          </cell>
          <cell r="C79" t="str">
            <v>LEV</v>
          </cell>
          <cell r="D79" t="str">
            <v>LGRSE547</v>
          </cell>
          <cell r="E79">
            <v>0</v>
          </cell>
          <cell r="F79">
            <v>0</v>
          </cell>
          <cell r="G79">
            <v>0</v>
          </cell>
          <cell r="H79">
            <v>0</v>
          </cell>
          <cell r="I79">
            <v>0</v>
          </cell>
          <cell r="J79">
            <v>0</v>
          </cell>
          <cell r="K79">
            <v>0</v>
          </cell>
          <cell r="L79">
            <v>0</v>
          </cell>
          <cell r="M79">
            <v>0</v>
          </cell>
          <cell r="AA79">
            <v>0</v>
          </cell>
          <cell r="AB79">
            <v>0</v>
          </cell>
          <cell r="AD79">
            <v>0</v>
          </cell>
          <cell r="AE79">
            <v>0</v>
          </cell>
          <cell r="AG79">
            <v>0</v>
          </cell>
          <cell r="AH79">
            <v>0</v>
          </cell>
          <cell r="AI79">
            <v>0</v>
          </cell>
          <cell r="AJ79">
            <v>0</v>
          </cell>
          <cell r="AK79">
            <v>0</v>
          </cell>
          <cell r="AL79">
            <v>0</v>
          </cell>
        </row>
        <row r="80">
          <cell r="B80" t="str">
            <v>Mar 2016</v>
          </cell>
          <cell r="C80" t="str">
            <v>FLSP</v>
          </cell>
          <cell r="D80" t="str">
            <v>LGINE682</v>
          </cell>
          <cell r="E80">
            <v>0</v>
          </cell>
          <cell r="F80">
            <v>0</v>
          </cell>
          <cell r="G80">
            <v>0</v>
          </cell>
          <cell r="H80">
            <v>0</v>
          </cell>
          <cell r="I80">
            <v>0</v>
          </cell>
          <cell r="J80">
            <v>0</v>
          </cell>
          <cell r="K80">
            <v>0</v>
          </cell>
          <cell r="L80">
            <v>0</v>
          </cell>
          <cell r="M80">
            <v>0</v>
          </cell>
          <cell r="AA80">
            <v>0</v>
          </cell>
          <cell r="AB80">
            <v>0</v>
          </cell>
          <cell r="AD80">
            <v>0</v>
          </cell>
          <cell r="AE80">
            <v>0</v>
          </cell>
          <cell r="AG80">
            <v>0</v>
          </cell>
          <cell r="AH80">
            <v>0</v>
          </cell>
          <cell r="AI80">
            <v>0</v>
          </cell>
          <cell r="AJ80">
            <v>0</v>
          </cell>
          <cell r="AK80">
            <v>0</v>
          </cell>
          <cell r="AL80">
            <v>0</v>
          </cell>
        </row>
        <row r="81">
          <cell r="B81" t="str">
            <v>Mar 2016</v>
          </cell>
          <cell r="C81" t="str">
            <v>FLST</v>
          </cell>
          <cell r="D81" t="str">
            <v>LGINE683</v>
          </cell>
          <cell r="E81">
            <v>0</v>
          </cell>
          <cell r="F81">
            <v>0</v>
          </cell>
          <cell r="G81">
            <v>0</v>
          </cell>
          <cell r="H81">
            <v>0</v>
          </cell>
          <cell r="I81">
            <v>0</v>
          </cell>
          <cell r="J81">
            <v>0</v>
          </cell>
          <cell r="K81">
            <v>0</v>
          </cell>
          <cell r="L81">
            <v>0</v>
          </cell>
          <cell r="M81">
            <v>0</v>
          </cell>
          <cell r="AA81">
            <v>0</v>
          </cell>
          <cell r="AB81">
            <v>0</v>
          </cell>
          <cell r="AD81">
            <v>0</v>
          </cell>
          <cell r="AE81">
            <v>0</v>
          </cell>
          <cell r="AG81">
            <v>0</v>
          </cell>
          <cell r="AH81">
            <v>0</v>
          </cell>
          <cell r="AI81">
            <v>0</v>
          </cell>
          <cell r="AJ81">
            <v>0</v>
          </cell>
          <cell r="AK81">
            <v>0</v>
          </cell>
          <cell r="AL81">
            <v>0</v>
          </cell>
        </row>
        <row r="82">
          <cell r="B82" t="str">
            <v>Mar 2016</v>
          </cell>
          <cell r="C82" t="str">
            <v>GS</v>
          </cell>
          <cell r="D82" t="str">
            <v>LGCME451</v>
          </cell>
          <cell r="E82">
            <v>0</v>
          </cell>
          <cell r="F82">
            <v>0</v>
          </cell>
          <cell r="G82">
            <v>0</v>
          </cell>
          <cell r="H82">
            <v>0</v>
          </cell>
          <cell r="I82">
            <v>0</v>
          </cell>
          <cell r="J82">
            <v>0</v>
          </cell>
          <cell r="K82">
            <v>0</v>
          </cell>
          <cell r="L82">
            <v>0</v>
          </cell>
          <cell r="M82">
            <v>0</v>
          </cell>
          <cell r="AA82">
            <v>0</v>
          </cell>
          <cell r="AB82">
            <v>0</v>
          </cell>
          <cell r="AD82">
            <v>0</v>
          </cell>
          <cell r="AE82">
            <v>0</v>
          </cell>
          <cell r="AG82">
            <v>0</v>
          </cell>
          <cell r="AH82">
            <v>0</v>
          </cell>
          <cell r="AI82">
            <v>0</v>
          </cell>
          <cell r="AJ82">
            <v>0</v>
          </cell>
          <cell r="AK82">
            <v>0</v>
          </cell>
          <cell r="AL82">
            <v>0</v>
          </cell>
        </row>
        <row r="83">
          <cell r="B83" t="str">
            <v>Mar 2016</v>
          </cell>
          <cell r="C83" t="str">
            <v>GS</v>
          </cell>
          <cell r="D83" t="str">
            <v>LGCME550</v>
          </cell>
          <cell r="E83">
            <v>0</v>
          </cell>
          <cell r="F83">
            <v>0</v>
          </cell>
          <cell r="G83">
            <v>0</v>
          </cell>
          <cell r="H83">
            <v>0</v>
          </cell>
          <cell r="I83">
            <v>0</v>
          </cell>
          <cell r="J83">
            <v>0</v>
          </cell>
          <cell r="K83">
            <v>0</v>
          </cell>
          <cell r="L83">
            <v>0</v>
          </cell>
          <cell r="M83">
            <v>0</v>
          </cell>
          <cell r="AA83">
            <v>0</v>
          </cell>
          <cell r="AB83">
            <v>0</v>
          </cell>
          <cell r="AD83">
            <v>0</v>
          </cell>
          <cell r="AE83">
            <v>0</v>
          </cell>
          <cell r="AG83">
            <v>0</v>
          </cell>
          <cell r="AH83">
            <v>0</v>
          </cell>
          <cell r="AI83">
            <v>0</v>
          </cell>
          <cell r="AJ83">
            <v>0</v>
          </cell>
          <cell r="AK83">
            <v>0</v>
          </cell>
          <cell r="AL83">
            <v>0</v>
          </cell>
        </row>
        <row r="84">
          <cell r="B84" t="str">
            <v>Mar 2016</v>
          </cell>
          <cell r="C84" t="str">
            <v>GS</v>
          </cell>
          <cell r="D84" t="str">
            <v>LGCME551</v>
          </cell>
          <cell r="E84">
            <v>28242</v>
          </cell>
          <cell r="F84">
            <v>0</v>
          </cell>
          <cell r="G84">
            <v>0</v>
          </cell>
          <cell r="H84">
            <v>0</v>
          </cell>
          <cell r="I84">
            <v>0</v>
          </cell>
          <cell r="J84">
            <v>29862341</v>
          </cell>
          <cell r="K84">
            <v>0</v>
          </cell>
          <cell r="L84">
            <v>0</v>
          </cell>
          <cell r="M84">
            <v>0</v>
          </cell>
          <cell r="AA84">
            <v>0</v>
          </cell>
          <cell r="AB84">
            <v>0</v>
          </cell>
          <cell r="AD84">
            <v>3292466.23</v>
          </cell>
          <cell r="AE84">
            <v>3292462</v>
          </cell>
          <cell r="AG84">
            <v>-42112</v>
          </cell>
          <cell r="AH84">
            <v>50362</v>
          </cell>
          <cell r="AI84">
            <v>309639</v>
          </cell>
          <cell r="AJ84">
            <v>0</v>
          </cell>
          <cell r="AK84">
            <v>0</v>
          </cell>
          <cell r="AL84">
            <v>3610351</v>
          </cell>
        </row>
        <row r="85">
          <cell r="B85" t="str">
            <v>Mar 2016</v>
          </cell>
          <cell r="C85" t="str">
            <v>GS</v>
          </cell>
          <cell r="D85" t="str">
            <v>LGCME551UM</v>
          </cell>
          <cell r="E85">
            <v>0</v>
          </cell>
          <cell r="F85">
            <v>0</v>
          </cell>
          <cell r="G85">
            <v>0</v>
          </cell>
          <cell r="H85">
            <v>0</v>
          </cell>
          <cell r="I85">
            <v>0</v>
          </cell>
          <cell r="J85">
            <v>0</v>
          </cell>
          <cell r="K85">
            <v>0</v>
          </cell>
          <cell r="L85">
            <v>0</v>
          </cell>
          <cell r="M85">
            <v>0</v>
          </cell>
          <cell r="AA85">
            <v>0</v>
          </cell>
          <cell r="AB85">
            <v>0</v>
          </cell>
          <cell r="AD85">
            <v>0</v>
          </cell>
          <cell r="AE85">
            <v>0</v>
          </cell>
          <cell r="AG85">
            <v>0</v>
          </cell>
          <cell r="AH85">
            <v>0</v>
          </cell>
          <cell r="AI85">
            <v>0</v>
          </cell>
          <cell r="AJ85">
            <v>0</v>
          </cell>
          <cell r="AK85">
            <v>0</v>
          </cell>
          <cell r="AL85">
            <v>0</v>
          </cell>
        </row>
        <row r="86">
          <cell r="B86" t="str">
            <v>Mar 2016</v>
          </cell>
          <cell r="C86" t="str">
            <v>GS</v>
          </cell>
          <cell r="D86" t="str">
            <v>LGCME552</v>
          </cell>
          <cell r="E86">
            <v>0</v>
          </cell>
          <cell r="F86">
            <v>0</v>
          </cell>
          <cell r="G86">
            <v>0</v>
          </cell>
          <cell r="H86">
            <v>0</v>
          </cell>
          <cell r="I86">
            <v>0</v>
          </cell>
          <cell r="J86">
            <v>0</v>
          </cell>
          <cell r="K86">
            <v>0</v>
          </cell>
          <cell r="L86">
            <v>0</v>
          </cell>
          <cell r="M86">
            <v>0</v>
          </cell>
          <cell r="AA86">
            <v>0</v>
          </cell>
          <cell r="AB86">
            <v>0</v>
          </cell>
          <cell r="AD86">
            <v>0</v>
          </cell>
          <cell r="AE86">
            <v>0</v>
          </cell>
          <cell r="AG86">
            <v>0</v>
          </cell>
          <cell r="AH86">
            <v>0</v>
          </cell>
          <cell r="AI86">
            <v>0</v>
          </cell>
          <cell r="AJ86">
            <v>0</v>
          </cell>
          <cell r="AK86">
            <v>0</v>
          </cell>
          <cell r="AL86">
            <v>0</v>
          </cell>
        </row>
        <row r="87">
          <cell r="B87" t="str">
            <v>Mar 2016</v>
          </cell>
          <cell r="C87" t="str">
            <v>GS</v>
          </cell>
          <cell r="D87" t="str">
            <v>LGCME557</v>
          </cell>
          <cell r="E87">
            <v>0</v>
          </cell>
          <cell r="F87">
            <v>0</v>
          </cell>
          <cell r="G87">
            <v>0</v>
          </cell>
          <cell r="H87">
            <v>0</v>
          </cell>
          <cell r="I87">
            <v>0</v>
          </cell>
          <cell r="J87">
            <v>0</v>
          </cell>
          <cell r="K87">
            <v>0</v>
          </cell>
          <cell r="L87">
            <v>0</v>
          </cell>
          <cell r="M87">
            <v>0</v>
          </cell>
          <cell r="AA87">
            <v>0</v>
          </cell>
          <cell r="AB87">
            <v>0</v>
          </cell>
          <cell r="AD87">
            <v>0</v>
          </cell>
          <cell r="AE87">
            <v>0</v>
          </cell>
          <cell r="AG87">
            <v>0</v>
          </cell>
          <cell r="AH87">
            <v>0</v>
          </cell>
          <cell r="AI87">
            <v>0</v>
          </cell>
          <cell r="AJ87">
            <v>0</v>
          </cell>
          <cell r="AK87">
            <v>0</v>
          </cell>
          <cell r="AL87">
            <v>0</v>
          </cell>
        </row>
        <row r="88">
          <cell r="B88" t="str">
            <v>Mar 2016</v>
          </cell>
          <cell r="C88" t="str">
            <v>PSS</v>
          </cell>
          <cell r="D88" t="str">
            <v>LGCME561</v>
          </cell>
          <cell r="E88">
            <v>2585</v>
          </cell>
          <cell r="F88">
            <v>0</v>
          </cell>
          <cell r="G88">
            <v>0</v>
          </cell>
          <cell r="H88">
            <v>0</v>
          </cell>
          <cell r="I88">
            <v>0</v>
          </cell>
          <cell r="J88">
            <v>130807807</v>
          </cell>
          <cell r="K88">
            <v>0</v>
          </cell>
          <cell r="L88">
            <v>329383</v>
          </cell>
          <cell r="M88">
            <v>0</v>
          </cell>
          <cell r="AA88">
            <v>0</v>
          </cell>
          <cell r="AB88">
            <v>0</v>
          </cell>
          <cell r="AD88">
            <v>10158102.789999999</v>
          </cell>
          <cell r="AE88">
            <v>10158103</v>
          </cell>
          <cell r="AG88">
            <v>-184464</v>
          </cell>
          <cell r="AH88">
            <v>220606</v>
          </cell>
          <cell r="AI88">
            <v>1356328</v>
          </cell>
          <cell r="AJ88">
            <v>0</v>
          </cell>
          <cell r="AK88">
            <v>0</v>
          </cell>
          <cell r="AL88">
            <v>11550573</v>
          </cell>
        </row>
        <row r="89">
          <cell r="B89" t="str">
            <v>Mar 2016</v>
          </cell>
          <cell r="C89" t="str">
            <v>PSP</v>
          </cell>
          <cell r="D89" t="str">
            <v>LGCME563</v>
          </cell>
          <cell r="E89">
            <v>52</v>
          </cell>
          <cell r="F89">
            <v>0</v>
          </cell>
          <cell r="G89">
            <v>0</v>
          </cell>
          <cell r="H89">
            <v>0</v>
          </cell>
          <cell r="I89">
            <v>0</v>
          </cell>
          <cell r="J89">
            <v>10824710</v>
          </cell>
          <cell r="K89">
            <v>0</v>
          </cell>
          <cell r="L89">
            <v>26650</v>
          </cell>
          <cell r="M89">
            <v>0</v>
          </cell>
          <cell r="AA89">
            <v>0</v>
          </cell>
          <cell r="AB89">
            <v>0</v>
          </cell>
          <cell r="AD89">
            <v>744557.11</v>
          </cell>
          <cell r="AE89">
            <v>744551</v>
          </cell>
          <cell r="AG89">
            <v>-15265</v>
          </cell>
          <cell r="AH89">
            <v>18256</v>
          </cell>
          <cell r="AI89">
            <v>112240</v>
          </cell>
          <cell r="AJ89">
            <v>0</v>
          </cell>
          <cell r="AK89">
            <v>0</v>
          </cell>
          <cell r="AL89">
            <v>859782</v>
          </cell>
        </row>
        <row r="90">
          <cell r="B90" t="str">
            <v>Mar 2016</v>
          </cell>
          <cell r="C90" t="str">
            <v>PSS</v>
          </cell>
          <cell r="D90" t="str">
            <v>LGCME567</v>
          </cell>
          <cell r="E90">
            <v>0</v>
          </cell>
          <cell r="F90">
            <v>0</v>
          </cell>
          <cell r="G90">
            <v>0</v>
          </cell>
          <cell r="H90">
            <v>0</v>
          </cell>
          <cell r="I90">
            <v>0</v>
          </cell>
          <cell r="J90">
            <v>0</v>
          </cell>
          <cell r="K90">
            <v>0</v>
          </cell>
          <cell r="L90">
            <v>0</v>
          </cell>
          <cell r="M90">
            <v>0</v>
          </cell>
          <cell r="AA90">
            <v>0</v>
          </cell>
          <cell r="AB90">
            <v>0</v>
          </cell>
          <cell r="AD90">
            <v>0</v>
          </cell>
          <cell r="AE90">
            <v>0</v>
          </cell>
          <cell r="AG90">
            <v>0</v>
          </cell>
          <cell r="AH90">
            <v>0</v>
          </cell>
          <cell r="AI90">
            <v>0</v>
          </cell>
          <cell r="AJ90">
            <v>0</v>
          </cell>
          <cell r="AK90">
            <v>0</v>
          </cell>
          <cell r="AL90">
            <v>0</v>
          </cell>
        </row>
        <row r="91">
          <cell r="B91" t="str">
            <v>Mar 2016</v>
          </cell>
          <cell r="C91" t="str">
            <v>TODS</v>
          </cell>
          <cell r="D91" t="str">
            <v>LGCME591</v>
          </cell>
          <cell r="E91">
            <v>224</v>
          </cell>
          <cell r="F91">
            <v>0</v>
          </cell>
          <cell r="G91">
            <v>0</v>
          </cell>
          <cell r="H91">
            <v>0</v>
          </cell>
          <cell r="I91">
            <v>0</v>
          </cell>
          <cell r="J91">
            <v>57508342</v>
          </cell>
          <cell r="K91">
            <v>130300</v>
          </cell>
          <cell r="L91">
            <v>120754</v>
          </cell>
          <cell r="M91">
            <v>117662</v>
          </cell>
          <cell r="AA91">
            <v>0</v>
          </cell>
          <cell r="AB91">
            <v>0</v>
          </cell>
          <cell r="AD91">
            <v>4124098.21</v>
          </cell>
          <cell r="AE91">
            <v>4124095</v>
          </cell>
          <cell r="AG91">
            <v>-81098</v>
          </cell>
          <cell r="AH91">
            <v>96987</v>
          </cell>
          <cell r="AI91">
            <v>596296</v>
          </cell>
          <cell r="AJ91">
            <v>0</v>
          </cell>
          <cell r="AK91">
            <v>0</v>
          </cell>
          <cell r="AL91">
            <v>4736280</v>
          </cell>
        </row>
        <row r="92">
          <cell r="B92" t="str">
            <v>Mar 2016</v>
          </cell>
          <cell r="C92" t="str">
            <v>CTODP</v>
          </cell>
          <cell r="D92" t="str">
            <v>LGCME593</v>
          </cell>
          <cell r="E92">
            <v>40</v>
          </cell>
          <cell r="F92">
            <v>0</v>
          </cell>
          <cell r="G92">
            <v>0</v>
          </cell>
          <cell r="H92">
            <v>0</v>
          </cell>
          <cell r="I92">
            <v>0</v>
          </cell>
          <cell r="J92">
            <v>27203323</v>
          </cell>
          <cell r="K92">
            <v>65971</v>
          </cell>
          <cell r="L92">
            <v>59840</v>
          </cell>
          <cell r="M92">
            <v>58531</v>
          </cell>
          <cell r="AA92">
            <v>0</v>
          </cell>
          <cell r="AB92">
            <v>0</v>
          </cell>
          <cell r="AD92">
            <v>1899386.1199999999</v>
          </cell>
          <cell r="AE92">
            <v>1899384</v>
          </cell>
          <cell r="AG92">
            <v>-38362</v>
          </cell>
          <cell r="AH92">
            <v>45878</v>
          </cell>
          <cell r="AI92">
            <v>282068</v>
          </cell>
          <cell r="AJ92">
            <v>0</v>
          </cell>
          <cell r="AK92">
            <v>0</v>
          </cell>
          <cell r="AL92">
            <v>2188968</v>
          </cell>
        </row>
        <row r="93">
          <cell r="B93" t="str">
            <v>Mar 2016</v>
          </cell>
          <cell r="C93" t="str">
            <v>GS3</v>
          </cell>
          <cell r="D93" t="str">
            <v>LGCME650</v>
          </cell>
          <cell r="E93">
            <v>0</v>
          </cell>
          <cell r="F93">
            <v>0</v>
          </cell>
          <cell r="G93">
            <v>0</v>
          </cell>
          <cell r="H93">
            <v>0</v>
          </cell>
          <cell r="I93">
            <v>0</v>
          </cell>
          <cell r="J93">
            <v>0</v>
          </cell>
          <cell r="K93">
            <v>0</v>
          </cell>
          <cell r="L93">
            <v>0</v>
          </cell>
          <cell r="M93">
            <v>0</v>
          </cell>
          <cell r="AA93">
            <v>0</v>
          </cell>
          <cell r="AB93">
            <v>0</v>
          </cell>
          <cell r="AD93">
            <v>0</v>
          </cell>
          <cell r="AE93">
            <v>0</v>
          </cell>
          <cell r="AG93">
            <v>0</v>
          </cell>
          <cell r="AH93">
            <v>0</v>
          </cell>
          <cell r="AI93">
            <v>0</v>
          </cell>
          <cell r="AJ93">
            <v>0</v>
          </cell>
          <cell r="AK93">
            <v>0</v>
          </cell>
          <cell r="AL93">
            <v>0</v>
          </cell>
        </row>
        <row r="94">
          <cell r="B94" t="str">
            <v>Mar 2016</v>
          </cell>
          <cell r="C94" t="str">
            <v>GS3</v>
          </cell>
          <cell r="D94" t="str">
            <v>LGCME651</v>
          </cell>
          <cell r="E94">
            <v>16398</v>
          </cell>
          <cell r="F94">
            <v>0</v>
          </cell>
          <cell r="G94">
            <v>0</v>
          </cell>
          <cell r="H94">
            <v>0</v>
          </cell>
          <cell r="I94">
            <v>0</v>
          </cell>
          <cell r="J94">
            <v>76141682</v>
          </cell>
          <cell r="K94">
            <v>197201</v>
          </cell>
          <cell r="L94">
            <v>0</v>
          </cell>
          <cell r="M94">
            <v>0</v>
          </cell>
          <cell r="AA94">
            <v>0</v>
          </cell>
          <cell r="AB94">
            <v>0</v>
          </cell>
          <cell r="AD94">
            <v>7528711.2300000004</v>
          </cell>
          <cell r="AE94">
            <v>7528719</v>
          </cell>
          <cell r="AG94">
            <v>-107374</v>
          </cell>
          <cell r="AH94">
            <v>128412</v>
          </cell>
          <cell r="AI94">
            <v>789503</v>
          </cell>
          <cell r="AJ94">
            <v>0</v>
          </cell>
          <cell r="AK94">
            <v>0</v>
          </cell>
          <cell r="AL94">
            <v>8339260</v>
          </cell>
        </row>
        <row r="95">
          <cell r="B95" t="str">
            <v>Mar 2016</v>
          </cell>
          <cell r="C95" t="str">
            <v>GS3</v>
          </cell>
          <cell r="D95" t="str">
            <v>LGCME652</v>
          </cell>
          <cell r="E95">
            <v>0</v>
          </cell>
          <cell r="F95">
            <v>0</v>
          </cell>
          <cell r="G95">
            <v>0</v>
          </cell>
          <cell r="H95">
            <v>0</v>
          </cell>
          <cell r="I95">
            <v>0</v>
          </cell>
          <cell r="J95">
            <v>0</v>
          </cell>
          <cell r="K95">
            <v>0</v>
          </cell>
          <cell r="L95">
            <v>0</v>
          </cell>
          <cell r="M95">
            <v>0</v>
          </cell>
          <cell r="AA95">
            <v>0</v>
          </cell>
          <cell r="AB95">
            <v>0</v>
          </cell>
          <cell r="AD95">
            <v>0</v>
          </cell>
          <cell r="AE95">
            <v>0</v>
          </cell>
          <cell r="AG95">
            <v>0</v>
          </cell>
          <cell r="AH95">
            <v>0</v>
          </cell>
          <cell r="AI95">
            <v>0</v>
          </cell>
          <cell r="AJ95">
            <v>0</v>
          </cell>
          <cell r="AK95">
            <v>0</v>
          </cell>
          <cell r="AL95">
            <v>0</v>
          </cell>
        </row>
        <row r="96">
          <cell r="B96" t="str">
            <v>Mar 2016</v>
          </cell>
          <cell r="C96" t="str">
            <v>GS3</v>
          </cell>
          <cell r="D96" t="str">
            <v>LGCME657</v>
          </cell>
          <cell r="E96">
            <v>0</v>
          </cell>
          <cell r="F96">
            <v>0</v>
          </cell>
          <cell r="G96">
            <v>0</v>
          </cell>
          <cell r="H96">
            <v>0</v>
          </cell>
          <cell r="I96">
            <v>0</v>
          </cell>
          <cell r="J96">
            <v>0</v>
          </cell>
          <cell r="K96">
            <v>0</v>
          </cell>
          <cell r="L96">
            <v>0</v>
          </cell>
          <cell r="M96">
            <v>0</v>
          </cell>
          <cell r="AA96">
            <v>0</v>
          </cell>
          <cell r="AB96">
            <v>0</v>
          </cell>
          <cell r="AD96">
            <v>0</v>
          </cell>
          <cell r="AE96">
            <v>0</v>
          </cell>
          <cell r="AG96">
            <v>0</v>
          </cell>
          <cell r="AH96">
            <v>0</v>
          </cell>
          <cell r="AI96">
            <v>0</v>
          </cell>
          <cell r="AJ96">
            <v>0</v>
          </cell>
          <cell r="AK96">
            <v>0</v>
          </cell>
          <cell r="AL96">
            <v>0</v>
          </cell>
        </row>
        <row r="97">
          <cell r="B97" t="str">
            <v>Mar 2016</v>
          </cell>
          <cell r="C97" t="str">
            <v>LWC</v>
          </cell>
          <cell r="D97" t="str">
            <v>LGCME671</v>
          </cell>
          <cell r="E97">
            <v>2</v>
          </cell>
          <cell r="F97">
            <v>0</v>
          </cell>
          <cell r="G97">
            <v>0</v>
          </cell>
          <cell r="H97">
            <v>0</v>
          </cell>
          <cell r="I97">
            <v>0</v>
          </cell>
          <cell r="J97">
            <v>4351200</v>
          </cell>
          <cell r="K97">
            <v>0</v>
          </cell>
          <cell r="L97">
            <v>9307</v>
          </cell>
          <cell r="M97">
            <v>0</v>
          </cell>
          <cell r="AA97">
            <v>0</v>
          </cell>
          <cell r="AB97">
            <v>0</v>
          </cell>
          <cell r="AD97">
            <v>257408.87</v>
          </cell>
          <cell r="AE97">
            <v>257411</v>
          </cell>
          <cell r="AG97">
            <v>-6136</v>
          </cell>
          <cell r="AH97">
            <v>0</v>
          </cell>
          <cell r="AI97">
            <v>45117</v>
          </cell>
          <cell r="AJ97">
            <v>0</v>
          </cell>
          <cell r="AK97">
            <v>0</v>
          </cell>
          <cell r="AL97">
            <v>296392</v>
          </cell>
        </row>
        <row r="98">
          <cell r="B98" t="str">
            <v>Mar 2016</v>
          </cell>
          <cell r="C98" t="str">
            <v>CSR</v>
          </cell>
          <cell r="D98" t="str">
            <v>LGCSR760</v>
          </cell>
          <cell r="E98">
            <v>0</v>
          </cell>
          <cell r="F98">
            <v>0</v>
          </cell>
          <cell r="G98">
            <v>0</v>
          </cell>
          <cell r="H98">
            <v>0</v>
          </cell>
          <cell r="I98">
            <v>0</v>
          </cell>
          <cell r="J98">
            <v>0</v>
          </cell>
          <cell r="K98">
            <v>0</v>
          </cell>
          <cell r="L98">
            <v>0</v>
          </cell>
          <cell r="M98">
            <v>0</v>
          </cell>
          <cell r="AA98">
            <v>0</v>
          </cell>
          <cell r="AB98">
            <v>0</v>
          </cell>
          <cell r="AD98">
            <v>0</v>
          </cell>
          <cell r="AE98">
            <v>0</v>
          </cell>
          <cell r="AG98">
            <v>0</v>
          </cell>
          <cell r="AH98">
            <v>0</v>
          </cell>
          <cell r="AI98">
            <v>0</v>
          </cell>
          <cell r="AJ98">
            <v>0</v>
          </cell>
          <cell r="AK98">
            <v>-286526</v>
          </cell>
          <cell r="AL98">
            <v>-286526</v>
          </cell>
        </row>
        <row r="99">
          <cell r="B99" t="str">
            <v>Mar 2016</v>
          </cell>
          <cell r="C99" t="str">
            <v>CSR</v>
          </cell>
          <cell r="D99" t="str">
            <v>LGCSR780</v>
          </cell>
          <cell r="E99">
            <v>0</v>
          </cell>
          <cell r="F99">
            <v>0</v>
          </cell>
          <cell r="G99">
            <v>0</v>
          </cell>
          <cell r="H99">
            <v>0</v>
          </cell>
          <cell r="I99">
            <v>0</v>
          </cell>
          <cell r="J99">
            <v>0</v>
          </cell>
          <cell r="K99">
            <v>0</v>
          </cell>
          <cell r="L99">
            <v>0</v>
          </cell>
          <cell r="M99">
            <v>0</v>
          </cell>
          <cell r="AA99">
            <v>0</v>
          </cell>
          <cell r="AB99">
            <v>0</v>
          </cell>
          <cell r="AD99">
            <v>0</v>
          </cell>
          <cell r="AE99">
            <v>0</v>
          </cell>
          <cell r="AG99">
            <v>0</v>
          </cell>
          <cell r="AH99">
            <v>0</v>
          </cell>
          <cell r="AI99">
            <v>0</v>
          </cell>
          <cell r="AJ99">
            <v>0</v>
          </cell>
          <cell r="AK99">
            <v>0</v>
          </cell>
          <cell r="AL99">
            <v>0</v>
          </cell>
        </row>
        <row r="100">
          <cell r="B100" t="str">
            <v>Mar 2016</v>
          </cell>
          <cell r="C100" t="str">
            <v>FK</v>
          </cell>
          <cell r="D100" t="str">
            <v>LGINE599</v>
          </cell>
          <cell r="E100">
            <v>1</v>
          </cell>
          <cell r="F100">
            <v>0</v>
          </cell>
          <cell r="G100">
            <v>0</v>
          </cell>
          <cell r="H100">
            <v>0</v>
          </cell>
          <cell r="I100">
            <v>0</v>
          </cell>
          <cell r="J100">
            <v>9371000</v>
          </cell>
          <cell r="K100">
            <v>0</v>
          </cell>
          <cell r="L100">
            <v>12754</v>
          </cell>
          <cell r="M100">
            <v>0</v>
          </cell>
          <cell r="AA100">
            <v>0</v>
          </cell>
          <cell r="AB100">
            <v>0</v>
          </cell>
          <cell r="AD100">
            <v>512706</v>
          </cell>
          <cell r="AE100">
            <v>512706</v>
          </cell>
          <cell r="AG100">
            <v>-13215</v>
          </cell>
          <cell r="AH100">
            <v>0</v>
          </cell>
          <cell r="AI100">
            <v>97167</v>
          </cell>
          <cell r="AJ100">
            <v>0</v>
          </cell>
          <cell r="AK100">
            <v>0</v>
          </cell>
          <cell r="AL100">
            <v>596658</v>
          </cell>
        </row>
        <row r="101">
          <cell r="B101" t="str">
            <v>Mar 2016</v>
          </cell>
          <cell r="C101" t="str">
            <v>RTS</v>
          </cell>
          <cell r="D101" t="str">
            <v>LGINE643</v>
          </cell>
          <cell r="E101">
            <v>12</v>
          </cell>
          <cell r="F101">
            <v>0</v>
          </cell>
          <cell r="G101">
            <v>0</v>
          </cell>
          <cell r="H101">
            <v>0</v>
          </cell>
          <cell r="I101">
            <v>0</v>
          </cell>
          <cell r="J101">
            <v>68950546</v>
          </cell>
          <cell r="K101">
            <v>157141</v>
          </cell>
          <cell r="L101">
            <v>151309</v>
          </cell>
          <cell r="M101">
            <v>92518</v>
          </cell>
          <cell r="AA101">
            <v>0</v>
          </cell>
          <cell r="AB101">
            <v>0</v>
          </cell>
          <cell r="AD101">
            <v>3805136.36</v>
          </cell>
          <cell r="AE101">
            <v>3805137</v>
          </cell>
          <cell r="AG101">
            <v>-97233</v>
          </cell>
          <cell r="AH101">
            <v>0</v>
          </cell>
          <cell r="AI101">
            <v>714939</v>
          </cell>
          <cell r="AJ101">
            <v>0</v>
          </cell>
          <cell r="AK101">
            <v>0</v>
          </cell>
          <cell r="AL101">
            <v>4422843</v>
          </cell>
        </row>
        <row r="102">
          <cell r="B102" t="str">
            <v>Mar 2016</v>
          </cell>
          <cell r="C102" t="str">
            <v>PSS</v>
          </cell>
          <cell r="D102" t="str">
            <v>LGINE661</v>
          </cell>
          <cell r="E102">
            <v>212</v>
          </cell>
          <cell r="F102">
            <v>0</v>
          </cell>
          <cell r="G102">
            <v>0</v>
          </cell>
          <cell r="H102">
            <v>0</v>
          </cell>
          <cell r="I102">
            <v>0</v>
          </cell>
          <cell r="J102">
            <v>18186183</v>
          </cell>
          <cell r="K102">
            <v>0</v>
          </cell>
          <cell r="L102">
            <v>58098</v>
          </cell>
          <cell r="M102">
            <v>0</v>
          </cell>
          <cell r="AA102">
            <v>0</v>
          </cell>
          <cell r="AB102">
            <v>0</v>
          </cell>
          <cell r="AD102">
            <v>1571392.01</v>
          </cell>
          <cell r="AE102">
            <v>1571397</v>
          </cell>
          <cell r="AG102">
            <v>-25646</v>
          </cell>
          <cell r="AH102">
            <v>30671</v>
          </cell>
          <cell r="AI102">
            <v>188570</v>
          </cell>
          <cell r="AJ102">
            <v>0</v>
          </cell>
          <cell r="AK102">
            <v>0</v>
          </cell>
          <cell r="AL102">
            <v>1764992</v>
          </cell>
        </row>
        <row r="103">
          <cell r="B103" t="str">
            <v>Mar 2016</v>
          </cell>
          <cell r="C103" t="str">
            <v>PSP</v>
          </cell>
          <cell r="D103" t="str">
            <v>LGINE663</v>
          </cell>
          <cell r="E103">
            <v>21</v>
          </cell>
          <cell r="F103">
            <v>0</v>
          </cell>
          <cell r="G103">
            <v>0</v>
          </cell>
          <cell r="H103">
            <v>0</v>
          </cell>
          <cell r="I103">
            <v>0</v>
          </cell>
          <cell r="J103">
            <v>1034858</v>
          </cell>
          <cell r="K103">
            <v>0</v>
          </cell>
          <cell r="L103">
            <v>3809</v>
          </cell>
          <cell r="M103">
            <v>0</v>
          </cell>
          <cell r="AA103">
            <v>0</v>
          </cell>
          <cell r="AB103">
            <v>0</v>
          </cell>
          <cell r="AD103">
            <v>88611.47</v>
          </cell>
          <cell r="AE103">
            <v>88608</v>
          </cell>
          <cell r="AG103">
            <v>-1459</v>
          </cell>
          <cell r="AH103">
            <v>1745</v>
          </cell>
          <cell r="AI103">
            <v>10730</v>
          </cell>
          <cell r="AJ103">
            <v>0</v>
          </cell>
          <cell r="AK103">
            <v>0</v>
          </cell>
          <cell r="AL103">
            <v>99624</v>
          </cell>
        </row>
        <row r="104">
          <cell r="B104" t="str">
            <v>Mar 2016</v>
          </cell>
          <cell r="C104" t="str">
            <v>TODS</v>
          </cell>
          <cell r="D104" t="str">
            <v>LGINE691</v>
          </cell>
          <cell r="E104">
            <v>100</v>
          </cell>
          <cell r="F104">
            <v>0</v>
          </cell>
          <cell r="G104">
            <v>0</v>
          </cell>
          <cell r="H104">
            <v>0</v>
          </cell>
          <cell r="I104">
            <v>0</v>
          </cell>
          <cell r="J104">
            <v>20709793</v>
          </cell>
          <cell r="K104">
            <v>53453</v>
          </cell>
          <cell r="L104">
            <v>49487</v>
          </cell>
          <cell r="M104">
            <v>47392</v>
          </cell>
          <cell r="AA104">
            <v>0</v>
          </cell>
          <cell r="AB104">
            <v>0</v>
          </cell>
          <cell r="AD104">
            <v>1572884.23</v>
          </cell>
          <cell r="AE104">
            <v>1572886</v>
          </cell>
          <cell r="AG104">
            <v>-29205</v>
          </cell>
          <cell r="AH104">
            <v>34927</v>
          </cell>
          <cell r="AI104">
            <v>214737</v>
          </cell>
          <cell r="AJ104">
            <v>0</v>
          </cell>
          <cell r="AK104">
            <v>0</v>
          </cell>
          <cell r="AL104">
            <v>1793345</v>
          </cell>
        </row>
        <row r="105">
          <cell r="B105" t="str">
            <v>Mar 2016</v>
          </cell>
          <cell r="C105" t="str">
            <v>ITODP</v>
          </cell>
          <cell r="D105" t="str">
            <v>LGINE693</v>
          </cell>
          <cell r="E105">
            <v>71</v>
          </cell>
          <cell r="F105">
            <v>0</v>
          </cell>
          <cell r="G105">
            <v>0</v>
          </cell>
          <cell r="H105">
            <v>0</v>
          </cell>
          <cell r="I105">
            <v>0</v>
          </cell>
          <cell r="J105">
            <v>130494762</v>
          </cell>
          <cell r="K105">
            <v>325255</v>
          </cell>
          <cell r="L105">
            <v>295286</v>
          </cell>
          <cell r="M105">
            <v>291364</v>
          </cell>
          <cell r="AA105">
            <v>0</v>
          </cell>
          <cell r="AB105">
            <v>0</v>
          </cell>
          <cell r="AD105">
            <v>8287029.5899999999</v>
          </cell>
          <cell r="AE105">
            <v>8287029</v>
          </cell>
          <cell r="AG105">
            <v>-184022</v>
          </cell>
          <cell r="AH105">
            <v>220078</v>
          </cell>
          <cell r="AI105">
            <v>1353083</v>
          </cell>
          <cell r="AJ105">
            <v>0</v>
          </cell>
          <cell r="AK105">
            <v>0</v>
          </cell>
          <cell r="AL105">
            <v>9676168</v>
          </cell>
        </row>
        <row r="106">
          <cell r="B106" t="str">
            <v>Mar 2016</v>
          </cell>
          <cell r="C106" t="str">
            <v>ITODP</v>
          </cell>
          <cell r="D106" t="str">
            <v>LGINE694</v>
          </cell>
          <cell r="E106">
            <v>0</v>
          </cell>
          <cell r="F106">
            <v>0</v>
          </cell>
          <cell r="G106">
            <v>0</v>
          </cell>
          <cell r="H106">
            <v>0</v>
          </cell>
          <cell r="I106">
            <v>0</v>
          </cell>
          <cell r="J106">
            <v>0</v>
          </cell>
          <cell r="K106">
            <v>0</v>
          </cell>
          <cell r="L106">
            <v>0</v>
          </cell>
          <cell r="M106">
            <v>0</v>
          </cell>
          <cell r="AA106">
            <v>0</v>
          </cell>
          <cell r="AB106">
            <v>0</v>
          </cell>
          <cell r="AD106">
            <v>0</v>
          </cell>
          <cell r="AE106">
            <v>0</v>
          </cell>
          <cell r="AG106">
            <v>0</v>
          </cell>
          <cell r="AH106">
            <v>0</v>
          </cell>
          <cell r="AI106">
            <v>0</v>
          </cell>
          <cell r="AJ106">
            <v>0</v>
          </cell>
          <cell r="AK106">
            <v>0</v>
          </cell>
          <cell r="AL106">
            <v>0</v>
          </cell>
        </row>
        <row r="107">
          <cell r="B107" t="str">
            <v>Mar 2016</v>
          </cell>
          <cell r="C107" t="str">
            <v>LE</v>
          </cell>
          <cell r="D107" t="str">
            <v>LGMLE570</v>
          </cell>
          <cell r="E107">
            <v>0</v>
          </cell>
          <cell r="F107">
            <v>0</v>
          </cell>
          <cell r="G107">
            <v>0</v>
          </cell>
          <cell r="H107">
            <v>0</v>
          </cell>
          <cell r="I107">
            <v>0</v>
          </cell>
          <cell r="J107">
            <v>0</v>
          </cell>
          <cell r="K107">
            <v>0</v>
          </cell>
          <cell r="L107">
            <v>0</v>
          </cell>
          <cell r="M107">
            <v>0</v>
          </cell>
          <cell r="AA107">
            <v>0</v>
          </cell>
          <cell r="AB107">
            <v>0</v>
          </cell>
          <cell r="AD107">
            <v>0</v>
          </cell>
          <cell r="AE107">
            <v>0</v>
          </cell>
          <cell r="AG107">
            <v>0</v>
          </cell>
          <cell r="AH107">
            <v>0</v>
          </cell>
          <cell r="AI107">
            <v>0</v>
          </cell>
          <cell r="AJ107">
            <v>0</v>
          </cell>
          <cell r="AK107">
            <v>0</v>
          </cell>
          <cell r="AL107">
            <v>0</v>
          </cell>
        </row>
        <row r="108">
          <cell r="B108" t="str">
            <v>Mar 2016</v>
          </cell>
          <cell r="C108" t="str">
            <v>LE</v>
          </cell>
          <cell r="D108" t="str">
            <v>LGMLE571</v>
          </cell>
          <cell r="E108">
            <v>156</v>
          </cell>
          <cell r="F108">
            <v>0</v>
          </cell>
          <cell r="G108">
            <v>0</v>
          </cell>
          <cell r="H108">
            <v>0</v>
          </cell>
          <cell r="I108">
            <v>0</v>
          </cell>
          <cell r="J108">
            <v>246820</v>
          </cell>
          <cell r="K108">
            <v>0</v>
          </cell>
          <cell r="L108">
            <v>0</v>
          </cell>
          <cell r="M108">
            <v>0</v>
          </cell>
          <cell r="AA108">
            <v>0</v>
          </cell>
          <cell r="AB108">
            <v>0</v>
          </cell>
          <cell r="AD108">
            <v>15947.04</v>
          </cell>
          <cell r="AE108">
            <v>0</v>
          </cell>
          <cell r="AG108">
            <v>0</v>
          </cell>
          <cell r="AH108">
            <v>0</v>
          </cell>
          <cell r="AI108">
            <v>0</v>
          </cell>
          <cell r="AJ108">
            <v>0</v>
          </cell>
          <cell r="AK108">
            <v>0</v>
          </cell>
          <cell r="AL108">
            <v>0</v>
          </cell>
        </row>
        <row r="109">
          <cell r="B109" t="str">
            <v>Mar 2016</v>
          </cell>
          <cell r="C109" t="str">
            <v>LE</v>
          </cell>
          <cell r="D109" t="str">
            <v>LGMLE572</v>
          </cell>
          <cell r="E109">
            <v>0</v>
          </cell>
          <cell r="F109">
            <v>0</v>
          </cell>
          <cell r="G109">
            <v>0</v>
          </cell>
          <cell r="H109">
            <v>0</v>
          </cell>
          <cell r="I109">
            <v>0</v>
          </cell>
          <cell r="J109">
            <v>0</v>
          </cell>
          <cell r="K109">
            <v>0</v>
          </cell>
          <cell r="L109">
            <v>0</v>
          </cell>
          <cell r="M109">
            <v>0</v>
          </cell>
          <cell r="AA109">
            <v>0</v>
          </cell>
          <cell r="AB109">
            <v>0</v>
          </cell>
          <cell r="AD109">
            <v>0</v>
          </cell>
          <cell r="AE109">
            <v>0</v>
          </cell>
          <cell r="AG109">
            <v>0</v>
          </cell>
          <cell r="AH109">
            <v>0</v>
          </cell>
          <cell r="AI109">
            <v>0</v>
          </cell>
          <cell r="AJ109">
            <v>0</v>
          </cell>
          <cell r="AK109">
            <v>0</v>
          </cell>
          <cell r="AL109">
            <v>0</v>
          </cell>
        </row>
        <row r="110">
          <cell r="B110" t="str">
            <v>Mar 2016</v>
          </cell>
          <cell r="C110" t="str">
            <v>TE</v>
          </cell>
          <cell r="D110" t="str">
            <v>LGMLE573</v>
          </cell>
          <cell r="E110">
            <v>905</v>
          </cell>
          <cell r="F110">
            <v>0</v>
          </cell>
          <cell r="G110">
            <v>0</v>
          </cell>
          <cell r="H110">
            <v>0</v>
          </cell>
          <cell r="I110">
            <v>0</v>
          </cell>
          <cell r="J110">
            <v>237752</v>
          </cell>
          <cell r="K110">
            <v>0</v>
          </cell>
          <cell r="L110">
            <v>0</v>
          </cell>
          <cell r="M110">
            <v>0</v>
          </cell>
          <cell r="AA110">
            <v>0</v>
          </cell>
          <cell r="AB110">
            <v>0</v>
          </cell>
          <cell r="AD110">
            <v>21148.3</v>
          </cell>
          <cell r="AE110">
            <v>0</v>
          </cell>
          <cell r="AG110">
            <v>0</v>
          </cell>
          <cell r="AH110">
            <v>0</v>
          </cell>
          <cell r="AI110">
            <v>0</v>
          </cell>
          <cell r="AJ110">
            <v>0</v>
          </cell>
          <cell r="AK110">
            <v>0</v>
          </cell>
          <cell r="AL110">
            <v>0</v>
          </cell>
        </row>
        <row r="111">
          <cell r="B111" t="str">
            <v>Mar 2016</v>
          </cell>
          <cell r="C111" t="str">
            <v>TE</v>
          </cell>
          <cell r="D111" t="str">
            <v>LGMLE574</v>
          </cell>
          <cell r="E111">
            <v>0</v>
          </cell>
          <cell r="F111">
            <v>0</v>
          </cell>
          <cell r="G111">
            <v>0</v>
          </cell>
          <cell r="H111">
            <v>0</v>
          </cell>
          <cell r="I111">
            <v>0</v>
          </cell>
          <cell r="J111">
            <v>0</v>
          </cell>
          <cell r="K111">
            <v>0</v>
          </cell>
          <cell r="L111">
            <v>0</v>
          </cell>
          <cell r="M111">
            <v>0</v>
          </cell>
          <cell r="AA111">
            <v>0</v>
          </cell>
          <cell r="AB111">
            <v>0</v>
          </cell>
          <cell r="AD111">
            <v>0</v>
          </cell>
          <cell r="AE111">
            <v>0</v>
          </cell>
          <cell r="AG111">
            <v>0</v>
          </cell>
          <cell r="AH111">
            <v>0</v>
          </cell>
          <cell r="AI111">
            <v>0</v>
          </cell>
          <cell r="AJ111">
            <v>0</v>
          </cell>
          <cell r="AK111">
            <v>0</v>
          </cell>
          <cell r="AL111">
            <v>0</v>
          </cell>
        </row>
        <row r="112">
          <cell r="B112" t="str">
            <v>Mar 2016</v>
          </cell>
          <cell r="C112" t="str">
            <v>RS</v>
          </cell>
          <cell r="D112" t="str">
            <v>LGRSE411</v>
          </cell>
          <cell r="E112">
            <v>0</v>
          </cell>
          <cell r="F112">
            <v>0</v>
          </cell>
          <cell r="G112">
            <v>0</v>
          </cell>
          <cell r="H112">
            <v>0</v>
          </cell>
          <cell r="I112">
            <v>0</v>
          </cell>
          <cell r="J112">
            <v>0</v>
          </cell>
          <cell r="K112">
            <v>0</v>
          </cell>
          <cell r="L112">
            <v>0</v>
          </cell>
          <cell r="M112">
            <v>0</v>
          </cell>
          <cell r="AA112">
            <v>0</v>
          </cell>
          <cell r="AB112">
            <v>0</v>
          </cell>
          <cell r="AD112">
            <v>0</v>
          </cell>
          <cell r="AE112">
            <v>0</v>
          </cell>
          <cell r="AG112">
            <v>0</v>
          </cell>
          <cell r="AH112">
            <v>0</v>
          </cell>
          <cell r="AI112">
            <v>0</v>
          </cell>
          <cell r="AJ112">
            <v>0</v>
          </cell>
          <cell r="AK112">
            <v>0</v>
          </cell>
          <cell r="AL112">
            <v>0</v>
          </cell>
        </row>
        <row r="113">
          <cell r="B113" t="str">
            <v>Mar 2016</v>
          </cell>
          <cell r="C113" t="str">
            <v>RS</v>
          </cell>
          <cell r="D113" t="str">
            <v>LGRSE511</v>
          </cell>
          <cell r="E113">
            <v>362009</v>
          </cell>
          <cell r="F113">
            <v>0</v>
          </cell>
          <cell r="G113">
            <v>0</v>
          </cell>
          <cell r="H113">
            <v>0</v>
          </cell>
          <cell r="I113">
            <v>0</v>
          </cell>
          <cell r="J113">
            <v>309062779</v>
          </cell>
          <cell r="K113">
            <v>0</v>
          </cell>
          <cell r="L113">
            <v>0</v>
          </cell>
          <cell r="M113">
            <v>0</v>
          </cell>
          <cell r="AA113">
            <v>0</v>
          </cell>
          <cell r="AB113">
            <v>0</v>
          </cell>
          <cell r="AD113">
            <v>28851506.780000001</v>
          </cell>
          <cell r="AE113">
            <v>28853575</v>
          </cell>
          <cell r="AG113">
            <v>-435869</v>
          </cell>
          <cell r="AH113">
            <v>521269</v>
          </cell>
          <cell r="AI113">
            <v>3204868</v>
          </cell>
          <cell r="AJ113">
            <v>0</v>
          </cell>
          <cell r="AK113">
            <v>0</v>
          </cell>
          <cell r="AL113">
            <v>32143843</v>
          </cell>
        </row>
        <row r="114">
          <cell r="B114" t="str">
            <v>Mar 2016</v>
          </cell>
          <cell r="C114" t="str">
            <v>RS</v>
          </cell>
          <cell r="D114" t="str">
            <v>LGRSE519</v>
          </cell>
          <cell r="E114">
            <v>0</v>
          </cell>
          <cell r="F114">
            <v>0</v>
          </cell>
          <cell r="G114">
            <v>0</v>
          </cell>
          <cell r="H114">
            <v>0</v>
          </cell>
          <cell r="I114">
            <v>0</v>
          </cell>
          <cell r="J114">
            <v>0</v>
          </cell>
          <cell r="K114">
            <v>0</v>
          </cell>
          <cell r="L114">
            <v>0</v>
          </cell>
          <cell r="M114">
            <v>0</v>
          </cell>
          <cell r="AA114">
            <v>0</v>
          </cell>
          <cell r="AB114">
            <v>0</v>
          </cell>
          <cell r="AD114">
            <v>0</v>
          </cell>
          <cell r="AE114">
            <v>0</v>
          </cell>
          <cell r="AG114">
            <v>0</v>
          </cell>
          <cell r="AH114">
            <v>0</v>
          </cell>
          <cell r="AI114">
            <v>0</v>
          </cell>
          <cell r="AJ114">
            <v>0</v>
          </cell>
          <cell r="AK114">
            <v>0</v>
          </cell>
          <cell r="AL114">
            <v>0</v>
          </cell>
        </row>
        <row r="115">
          <cell r="B115" t="str">
            <v>Mar 2016</v>
          </cell>
          <cell r="C115" t="str">
            <v>RS</v>
          </cell>
          <cell r="D115" t="str">
            <v>LGRSE540</v>
          </cell>
          <cell r="E115">
            <v>0</v>
          </cell>
          <cell r="F115">
            <v>0</v>
          </cell>
          <cell r="G115">
            <v>0</v>
          </cell>
          <cell r="H115">
            <v>0</v>
          </cell>
          <cell r="I115">
            <v>0</v>
          </cell>
          <cell r="J115">
            <v>0</v>
          </cell>
          <cell r="K115">
            <v>0</v>
          </cell>
          <cell r="L115">
            <v>0</v>
          </cell>
          <cell r="M115">
            <v>0</v>
          </cell>
          <cell r="AA115">
            <v>0</v>
          </cell>
          <cell r="AB115">
            <v>0</v>
          </cell>
          <cell r="AD115">
            <v>0</v>
          </cell>
          <cell r="AE115">
            <v>0</v>
          </cell>
          <cell r="AG115">
            <v>0</v>
          </cell>
          <cell r="AH115">
            <v>0</v>
          </cell>
          <cell r="AI115">
            <v>0</v>
          </cell>
          <cell r="AJ115">
            <v>0</v>
          </cell>
          <cell r="AK115">
            <v>0</v>
          </cell>
          <cell r="AL115">
            <v>0</v>
          </cell>
        </row>
        <row r="116">
          <cell r="B116" t="str">
            <v>Mar 2016</v>
          </cell>
          <cell r="C116" t="str">
            <v>LEV</v>
          </cell>
          <cell r="D116" t="str">
            <v>LGRSE543</v>
          </cell>
          <cell r="E116">
            <v>20</v>
          </cell>
          <cell r="F116">
            <v>0</v>
          </cell>
          <cell r="G116">
            <v>12824</v>
          </cell>
          <cell r="H116">
            <v>6226</v>
          </cell>
          <cell r="I116">
            <v>3888</v>
          </cell>
          <cell r="J116">
            <v>22938</v>
          </cell>
          <cell r="K116">
            <v>0</v>
          </cell>
          <cell r="L116">
            <v>0</v>
          </cell>
          <cell r="M116">
            <v>0</v>
          </cell>
          <cell r="AA116">
            <v>0</v>
          </cell>
          <cell r="AB116">
            <v>0</v>
          </cell>
          <cell r="AD116">
            <v>2015</v>
          </cell>
          <cell r="AE116">
            <v>0</v>
          </cell>
          <cell r="AG116">
            <v>0</v>
          </cell>
          <cell r="AH116">
            <v>0</v>
          </cell>
          <cell r="AI116">
            <v>0</v>
          </cell>
          <cell r="AJ116">
            <v>0</v>
          </cell>
          <cell r="AK116">
            <v>0</v>
          </cell>
          <cell r="AL116">
            <v>0</v>
          </cell>
        </row>
        <row r="117">
          <cell r="B117" t="str">
            <v>Mar 2016</v>
          </cell>
          <cell r="C117" t="str">
            <v>LEV</v>
          </cell>
          <cell r="D117" t="str">
            <v>LGRSE547</v>
          </cell>
          <cell r="E117">
            <v>0</v>
          </cell>
          <cell r="F117">
            <v>0</v>
          </cell>
          <cell r="G117">
            <v>0</v>
          </cell>
          <cell r="H117">
            <v>0</v>
          </cell>
          <cell r="I117">
            <v>0</v>
          </cell>
          <cell r="J117">
            <v>0</v>
          </cell>
          <cell r="K117">
            <v>0</v>
          </cell>
          <cell r="L117">
            <v>0</v>
          </cell>
          <cell r="M117">
            <v>0</v>
          </cell>
          <cell r="AA117">
            <v>0</v>
          </cell>
          <cell r="AB117">
            <v>0</v>
          </cell>
          <cell r="AD117">
            <v>0</v>
          </cell>
          <cell r="AE117">
            <v>0</v>
          </cell>
          <cell r="AG117">
            <v>0</v>
          </cell>
          <cell r="AH117">
            <v>0</v>
          </cell>
          <cell r="AI117">
            <v>0</v>
          </cell>
          <cell r="AJ117">
            <v>0</v>
          </cell>
          <cell r="AK117">
            <v>0</v>
          </cell>
          <cell r="AL117">
            <v>0</v>
          </cell>
        </row>
        <row r="118">
          <cell r="B118" t="str">
            <v>Apr 2016</v>
          </cell>
          <cell r="C118" t="str">
            <v>FLSP</v>
          </cell>
          <cell r="D118" t="str">
            <v>LGINE682</v>
          </cell>
          <cell r="E118">
            <v>0</v>
          </cell>
          <cell r="F118">
            <v>0</v>
          </cell>
          <cell r="G118">
            <v>0</v>
          </cell>
          <cell r="H118">
            <v>0</v>
          </cell>
          <cell r="I118">
            <v>0</v>
          </cell>
          <cell r="J118">
            <v>0</v>
          </cell>
          <cell r="K118">
            <v>0</v>
          </cell>
          <cell r="L118">
            <v>0</v>
          </cell>
          <cell r="M118">
            <v>0</v>
          </cell>
          <cell r="AA118">
            <v>0</v>
          </cell>
          <cell r="AB118">
            <v>0</v>
          </cell>
          <cell r="AD118">
            <v>0</v>
          </cell>
          <cell r="AE118">
            <v>0</v>
          </cell>
          <cell r="AG118">
            <v>0</v>
          </cell>
          <cell r="AH118">
            <v>0</v>
          </cell>
          <cell r="AI118">
            <v>0</v>
          </cell>
          <cell r="AJ118">
            <v>0</v>
          </cell>
          <cell r="AK118">
            <v>0</v>
          </cell>
          <cell r="AL118">
            <v>0</v>
          </cell>
        </row>
        <row r="119">
          <cell r="B119" t="str">
            <v>Apr 2016</v>
          </cell>
          <cell r="C119" t="str">
            <v>FLST</v>
          </cell>
          <cell r="D119" t="str">
            <v>LGINE683</v>
          </cell>
          <cell r="E119">
            <v>0</v>
          </cell>
          <cell r="F119">
            <v>0</v>
          </cell>
          <cell r="G119">
            <v>0</v>
          </cell>
          <cell r="H119">
            <v>0</v>
          </cell>
          <cell r="I119">
            <v>0</v>
          </cell>
          <cell r="J119">
            <v>0</v>
          </cell>
          <cell r="K119">
            <v>0</v>
          </cell>
          <cell r="L119">
            <v>0</v>
          </cell>
          <cell r="M119">
            <v>0</v>
          </cell>
          <cell r="AA119">
            <v>0</v>
          </cell>
          <cell r="AB119">
            <v>0</v>
          </cell>
          <cell r="AD119">
            <v>0</v>
          </cell>
          <cell r="AE119">
            <v>0</v>
          </cell>
          <cell r="AG119">
            <v>0</v>
          </cell>
          <cell r="AH119">
            <v>0</v>
          </cell>
          <cell r="AI119">
            <v>0</v>
          </cell>
          <cell r="AJ119">
            <v>0</v>
          </cell>
          <cell r="AK119">
            <v>0</v>
          </cell>
          <cell r="AL119">
            <v>0</v>
          </cell>
        </row>
        <row r="120">
          <cell r="B120" t="str">
            <v>Apr 2016</v>
          </cell>
          <cell r="C120" t="str">
            <v>GS</v>
          </cell>
          <cell r="D120" t="str">
            <v>LGCME451</v>
          </cell>
          <cell r="E120">
            <v>0</v>
          </cell>
          <cell r="F120">
            <v>0</v>
          </cell>
          <cell r="G120">
            <v>0</v>
          </cell>
          <cell r="H120">
            <v>0</v>
          </cell>
          <cell r="I120">
            <v>0</v>
          </cell>
          <cell r="J120">
            <v>0</v>
          </cell>
          <cell r="K120">
            <v>0</v>
          </cell>
          <cell r="L120">
            <v>0</v>
          </cell>
          <cell r="M120">
            <v>0</v>
          </cell>
          <cell r="AA120">
            <v>0</v>
          </cell>
          <cell r="AB120">
            <v>0</v>
          </cell>
          <cell r="AD120">
            <v>0</v>
          </cell>
          <cell r="AE120">
            <v>0</v>
          </cell>
          <cell r="AG120">
            <v>0</v>
          </cell>
          <cell r="AH120">
            <v>0</v>
          </cell>
          <cell r="AI120">
            <v>0</v>
          </cell>
          <cell r="AJ120">
            <v>0</v>
          </cell>
          <cell r="AK120">
            <v>0</v>
          </cell>
          <cell r="AL120">
            <v>0</v>
          </cell>
        </row>
        <row r="121">
          <cell r="B121" t="str">
            <v>Apr 2016</v>
          </cell>
          <cell r="C121" t="str">
            <v>GS</v>
          </cell>
          <cell r="D121" t="str">
            <v>LGCME550</v>
          </cell>
          <cell r="E121">
            <v>0</v>
          </cell>
          <cell r="F121">
            <v>0</v>
          </cell>
          <cell r="G121">
            <v>0</v>
          </cell>
          <cell r="H121">
            <v>0</v>
          </cell>
          <cell r="I121">
            <v>0</v>
          </cell>
          <cell r="J121">
            <v>0</v>
          </cell>
          <cell r="K121">
            <v>0</v>
          </cell>
          <cell r="L121">
            <v>0</v>
          </cell>
          <cell r="M121">
            <v>0</v>
          </cell>
          <cell r="AA121">
            <v>0</v>
          </cell>
          <cell r="AB121">
            <v>0</v>
          </cell>
          <cell r="AD121">
            <v>0</v>
          </cell>
          <cell r="AE121">
            <v>0</v>
          </cell>
          <cell r="AG121">
            <v>0</v>
          </cell>
          <cell r="AH121">
            <v>0</v>
          </cell>
          <cell r="AI121">
            <v>0</v>
          </cell>
          <cell r="AJ121">
            <v>0</v>
          </cell>
          <cell r="AK121">
            <v>0</v>
          </cell>
          <cell r="AL121">
            <v>0</v>
          </cell>
        </row>
        <row r="122">
          <cell r="B122" t="str">
            <v>Apr 2016</v>
          </cell>
          <cell r="C122" t="str">
            <v>GS</v>
          </cell>
          <cell r="D122" t="str">
            <v>LGCME551</v>
          </cell>
          <cell r="E122">
            <v>28253</v>
          </cell>
          <cell r="F122">
            <v>0</v>
          </cell>
          <cell r="G122">
            <v>0</v>
          </cell>
          <cell r="H122">
            <v>0</v>
          </cell>
          <cell r="I122">
            <v>0</v>
          </cell>
          <cell r="J122">
            <v>28238912</v>
          </cell>
          <cell r="K122">
            <v>0</v>
          </cell>
          <cell r="L122">
            <v>0</v>
          </cell>
          <cell r="M122">
            <v>0</v>
          </cell>
          <cell r="AA122">
            <v>0</v>
          </cell>
          <cell r="AB122">
            <v>0</v>
          </cell>
          <cell r="AD122">
            <v>3144402.22</v>
          </cell>
          <cell r="AE122">
            <v>3144392</v>
          </cell>
          <cell r="AG122">
            <v>-24602</v>
          </cell>
          <cell r="AH122">
            <v>47394</v>
          </cell>
          <cell r="AI122">
            <v>312609</v>
          </cell>
          <cell r="AJ122">
            <v>0</v>
          </cell>
          <cell r="AK122">
            <v>0</v>
          </cell>
          <cell r="AL122">
            <v>3479793</v>
          </cell>
        </row>
        <row r="123">
          <cell r="B123" t="str">
            <v>Apr 2016</v>
          </cell>
          <cell r="C123" t="str">
            <v>GS</v>
          </cell>
          <cell r="D123" t="str">
            <v>LGCME551UM</v>
          </cell>
          <cell r="E123">
            <v>0</v>
          </cell>
          <cell r="F123">
            <v>0</v>
          </cell>
          <cell r="G123">
            <v>0</v>
          </cell>
          <cell r="H123">
            <v>0</v>
          </cell>
          <cell r="I123">
            <v>0</v>
          </cell>
          <cell r="J123">
            <v>0</v>
          </cell>
          <cell r="K123">
            <v>0</v>
          </cell>
          <cell r="L123">
            <v>0</v>
          </cell>
          <cell r="M123">
            <v>0</v>
          </cell>
          <cell r="AA123">
            <v>0</v>
          </cell>
          <cell r="AB123">
            <v>0</v>
          </cell>
          <cell r="AD123">
            <v>0</v>
          </cell>
          <cell r="AE123">
            <v>0</v>
          </cell>
          <cell r="AG123">
            <v>0</v>
          </cell>
          <cell r="AH123">
            <v>0</v>
          </cell>
          <cell r="AI123">
            <v>0</v>
          </cell>
          <cell r="AJ123">
            <v>0</v>
          </cell>
          <cell r="AK123">
            <v>0</v>
          </cell>
          <cell r="AL123">
            <v>0</v>
          </cell>
        </row>
        <row r="124">
          <cell r="B124" t="str">
            <v>Apr 2016</v>
          </cell>
          <cell r="C124" t="str">
            <v>GS</v>
          </cell>
          <cell r="D124" t="str">
            <v>LGCME552</v>
          </cell>
          <cell r="E124">
            <v>0</v>
          </cell>
          <cell r="F124">
            <v>0</v>
          </cell>
          <cell r="G124">
            <v>0</v>
          </cell>
          <cell r="H124">
            <v>0</v>
          </cell>
          <cell r="I124">
            <v>0</v>
          </cell>
          <cell r="J124">
            <v>0</v>
          </cell>
          <cell r="K124">
            <v>0</v>
          </cell>
          <cell r="L124">
            <v>0</v>
          </cell>
          <cell r="M124">
            <v>0</v>
          </cell>
          <cell r="AA124">
            <v>0</v>
          </cell>
          <cell r="AB124">
            <v>0</v>
          </cell>
          <cell r="AD124">
            <v>0</v>
          </cell>
          <cell r="AE124">
            <v>0</v>
          </cell>
          <cell r="AG124">
            <v>0</v>
          </cell>
          <cell r="AH124">
            <v>0</v>
          </cell>
          <cell r="AI124">
            <v>0</v>
          </cell>
          <cell r="AJ124">
            <v>0</v>
          </cell>
          <cell r="AK124">
            <v>0</v>
          </cell>
          <cell r="AL124">
            <v>0</v>
          </cell>
        </row>
        <row r="125">
          <cell r="B125" t="str">
            <v>Apr 2016</v>
          </cell>
          <cell r="C125" t="str">
            <v>GS</v>
          </cell>
          <cell r="D125" t="str">
            <v>LGCME557</v>
          </cell>
          <cell r="E125">
            <v>0</v>
          </cell>
          <cell r="F125">
            <v>0</v>
          </cell>
          <cell r="G125">
            <v>0</v>
          </cell>
          <cell r="H125">
            <v>0</v>
          </cell>
          <cell r="I125">
            <v>0</v>
          </cell>
          <cell r="J125">
            <v>0</v>
          </cell>
          <cell r="K125">
            <v>0</v>
          </cell>
          <cell r="L125">
            <v>0</v>
          </cell>
          <cell r="M125">
            <v>0</v>
          </cell>
          <cell r="AA125">
            <v>0</v>
          </cell>
          <cell r="AB125">
            <v>0</v>
          </cell>
          <cell r="AD125">
            <v>0</v>
          </cell>
          <cell r="AE125">
            <v>0</v>
          </cell>
          <cell r="AG125">
            <v>0</v>
          </cell>
          <cell r="AH125">
            <v>0</v>
          </cell>
          <cell r="AI125">
            <v>0</v>
          </cell>
          <cell r="AJ125">
            <v>0</v>
          </cell>
          <cell r="AK125">
            <v>0</v>
          </cell>
          <cell r="AL125">
            <v>0</v>
          </cell>
        </row>
        <row r="126">
          <cell r="B126" t="str">
            <v>Apr 2016</v>
          </cell>
          <cell r="C126" t="str">
            <v>PSS</v>
          </cell>
          <cell r="D126" t="str">
            <v>LGCME561</v>
          </cell>
          <cell r="E126">
            <v>2585</v>
          </cell>
          <cell r="F126">
            <v>0</v>
          </cell>
          <cell r="G126">
            <v>0</v>
          </cell>
          <cell r="H126">
            <v>0</v>
          </cell>
          <cell r="I126">
            <v>0</v>
          </cell>
          <cell r="J126">
            <v>127586690</v>
          </cell>
          <cell r="K126">
            <v>0</v>
          </cell>
          <cell r="L126">
            <v>327890</v>
          </cell>
          <cell r="M126">
            <v>0</v>
          </cell>
          <cell r="AA126">
            <v>0</v>
          </cell>
          <cell r="AB126">
            <v>0</v>
          </cell>
          <cell r="AD126">
            <v>10006408.510000002</v>
          </cell>
          <cell r="AE126">
            <v>10006410</v>
          </cell>
          <cell r="AG126">
            <v>-111155</v>
          </cell>
          <cell r="AH126">
            <v>214131</v>
          </cell>
          <cell r="AI126">
            <v>1412403</v>
          </cell>
          <cell r="AJ126">
            <v>0</v>
          </cell>
          <cell r="AK126">
            <v>0</v>
          </cell>
          <cell r="AL126">
            <v>11521789</v>
          </cell>
        </row>
        <row r="127">
          <cell r="B127" t="str">
            <v>Apr 2016</v>
          </cell>
          <cell r="C127" t="str">
            <v>PSP</v>
          </cell>
          <cell r="D127" t="str">
            <v>LGCME563</v>
          </cell>
          <cell r="E127">
            <v>52</v>
          </cell>
          <cell r="F127">
            <v>0</v>
          </cell>
          <cell r="G127">
            <v>0</v>
          </cell>
          <cell r="H127">
            <v>0</v>
          </cell>
          <cell r="I127">
            <v>0</v>
          </cell>
          <cell r="J127">
            <v>11224431</v>
          </cell>
          <cell r="K127">
            <v>0</v>
          </cell>
          <cell r="L127">
            <v>28222</v>
          </cell>
          <cell r="M127">
            <v>0</v>
          </cell>
          <cell r="AA127">
            <v>0</v>
          </cell>
          <cell r="AB127">
            <v>0</v>
          </cell>
          <cell r="AD127">
            <v>778579.67999999993</v>
          </cell>
          <cell r="AE127">
            <v>778576</v>
          </cell>
          <cell r="AG127">
            <v>-9779</v>
          </cell>
          <cell r="AH127">
            <v>18838</v>
          </cell>
          <cell r="AI127">
            <v>124256</v>
          </cell>
          <cell r="AJ127">
            <v>0</v>
          </cell>
          <cell r="AK127">
            <v>0</v>
          </cell>
          <cell r="AL127">
            <v>911891</v>
          </cell>
        </row>
        <row r="128">
          <cell r="B128" t="str">
            <v>Apr 2016</v>
          </cell>
          <cell r="C128" t="str">
            <v>PSS</v>
          </cell>
          <cell r="D128" t="str">
            <v>LGCME567</v>
          </cell>
          <cell r="E128">
            <v>0</v>
          </cell>
          <cell r="F128">
            <v>0</v>
          </cell>
          <cell r="G128">
            <v>0</v>
          </cell>
          <cell r="H128">
            <v>0</v>
          </cell>
          <cell r="I128">
            <v>0</v>
          </cell>
          <cell r="J128">
            <v>0</v>
          </cell>
          <cell r="K128">
            <v>0</v>
          </cell>
          <cell r="L128">
            <v>0</v>
          </cell>
          <cell r="M128">
            <v>0</v>
          </cell>
          <cell r="AA128">
            <v>0</v>
          </cell>
          <cell r="AB128">
            <v>0</v>
          </cell>
          <cell r="AD128">
            <v>0</v>
          </cell>
          <cell r="AE128">
            <v>0</v>
          </cell>
          <cell r="AG128">
            <v>0</v>
          </cell>
          <cell r="AH128">
            <v>0</v>
          </cell>
          <cell r="AI128">
            <v>0</v>
          </cell>
          <cell r="AJ128">
            <v>0</v>
          </cell>
          <cell r="AK128">
            <v>0</v>
          </cell>
          <cell r="AL128">
            <v>0</v>
          </cell>
        </row>
        <row r="129">
          <cell r="B129" t="str">
            <v>Apr 2016</v>
          </cell>
          <cell r="C129" t="str">
            <v>TODS</v>
          </cell>
          <cell r="D129" t="str">
            <v>LGCME591</v>
          </cell>
          <cell r="E129">
            <v>225</v>
          </cell>
          <cell r="F129">
            <v>0</v>
          </cell>
          <cell r="G129">
            <v>0</v>
          </cell>
          <cell r="H129">
            <v>0</v>
          </cell>
          <cell r="I129">
            <v>0</v>
          </cell>
          <cell r="J129">
            <v>56529299</v>
          </cell>
          <cell r="K129">
            <v>138479</v>
          </cell>
          <cell r="L129">
            <v>128048</v>
          </cell>
          <cell r="M129">
            <v>124669</v>
          </cell>
          <cell r="AA129">
            <v>0</v>
          </cell>
          <cell r="AB129">
            <v>0</v>
          </cell>
          <cell r="AD129">
            <v>4193659.0999999996</v>
          </cell>
          <cell r="AE129">
            <v>4193660</v>
          </cell>
          <cell r="AG129">
            <v>-49249</v>
          </cell>
          <cell r="AH129">
            <v>94874</v>
          </cell>
          <cell r="AI129">
            <v>625787</v>
          </cell>
          <cell r="AJ129">
            <v>0</v>
          </cell>
          <cell r="AK129">
            <v>0</v>
          </cell>
          <cell r="AL129">
            <v>4865072</v>
          </cell>
        </row>
        <row r="130">
          <cell r="B130" t="str">
            <v>Apr 2016</v>
          </cell>
          <cell r="C130" t="str">
            <v>CTODP</v>
          </cell>
          <cell r="D130" t="str">
            <v>LGCME593</v>
          </cell>
          <cell r="E130">
            <v>41</v>
          </cell>
          <cell r="F130">
            <v>0</v>
          </cell>
          <cell r="G130">
            <v>0</v>
          </cell>
          <cell r="H130">
            <v>0</v>
          </cell>
          <cell r="I130">
            <v>0</v>
          </cell>
          <cell r="J130">
            <v>28136006</v>
          </cell>
          <cell r="K130">
            <v>68635</v>
          </cell>
          <cell r="L130">
            <v>65178</v>
          </cell>
          <cell r="M130">
            <v>62041</v>
          </cell>
          <cell r="AA130">
            <v>0</v>
          </cell>
          <cell r="AB130">
            <v>0</v>
          </cell>
          <cell r="AD130">
            <v>1988333.3</v>
          </cell>
          <cell r="AE130">
            <v>1988334</v>
          </cell>
          <cell r="AG130">
            <v>-24512</v>
          </cell>
          <cell r="AH130">
            <v>47221</v>
          </cell>
          <cell r="AI130">
            <v>311470</v>
          </cell>
          <cell r="AJ130">
            <v>0</v>
          </cell>
          <cell r="AK130">
            <v>0</v>
          </cell>
          <cell r="AL130">
            <v>2322513</v>
          </cell>
        </row>
        <row r="131">
          <cell r="B131" t="str">
            <v>Apr 2016</v>
          </cell>
          <cell r="C131" t="str">
            <v>GS3</v>
          </cell>
          <cell r="D131" t="str">
            <v>LGCME650</v>
          </cell>
          <cell r="E131">
            <v>0</v>
          </cell>
          <cell r="F131">
            <v>0</v>
          </cell>
          <cell r="G131">
            <v>0</v>
          </cell>
          <cell r="H131">
            <v>0</v>
          </cell>
          <cell r="I131">
            <v>0</v>
          </cell>
          <cell r="J131">
            <v>0</v>
          </cell>
          <cell r="K131">
            <v>0</v>
          </cell>
          <cell r="L131">
            <v>0</v>
          </cell>
          <cell r="M131">
            <v>0</v>
          </cell>
          <cell r="AA131">
            <v>0</v>
          </cell>
          <cell r="AB131">
            <v>0</v>
          </cell>
          <cell r="AD131">
            <v>0</v>
          </cell>
          <cell r="AE131">
            <v>0</v>
          </cell>
          <cell r="AG131">
            <v>0</v>
          </cell>
          <cell r="AH131">
            <v>0</v>
          </cell>
          <cell r="AI131">
            <v>0</v>
          </cell>
          <cell r="AJ131">
            <v>0</v>
          </cell>
          <cell r="AK131">
            <v>0</v>
          </cell>
          <cell r="AL131">
            <v>0</v>
          </cell>
        </row>
        <row r="132">
          <cell r="B132" t="str">
            <v>Apr 2016</v>
          </cell>
          <cell r="C132" t="str">
            <v>GS3</v>
          </cell>
          <cell r="D132" t="str">
            <v>LGCME651</v>
          </cell>
          <cell r="E132">
            <v>16404</v>
          </cell>
          <cell r="F132">
            <v>0</v>
          </cell>
          <cell r="G132">
            <v>0</v>
          </cell>
          <cell r="H132">
            <v>0</v>
          </cell>
          <cell r="I132">
            <v>0</v>
          </cell>
          <cell r="J132">
            <v>71967151</v>
          </cell>
          <cell r="K132">
            <v>214875</v>
          </cell>
          <cell r="L132">
            <v>0</v>
          </cell>
          <cell r="M132">
            <v>0</v>
          </cell>
          <cell r="AA132">
            <v>0</v>
          </cell>
          <cell r="AB132">
            <v>0</v>
          </cell>
          <cell r="AD132">
            <v>7147619.5700000003</v>
          </cell>
          <cell r="AE132">
            <v>7147637</v>
          </cell>
          <cell r="AG132">
            <v>-62699</v>
          </cell>
          <cell r="AH132">
            <v>120784</v>
          </cell>
          <cell r="AI132">
            <v>796686</v>
          </cell>
          <cell r="AJ132">
            <v>0</v>
          </cell>
          <cell r="AK132">
            <v>0</v>
          </cell>
          <cell r="AL132">
            <v>8002408</v>
          </cell>
        </row>
        <row r="133">
          <cell r="B133" t="str">
            <v>Apr 2016</v>
          </cell>
          <cell r="C133" t="str">
            <v>GS3</v>
          </cell>
          <cell r="D133" t="str">
            <v>LGCME652</v>
          </cell>
          <cell r="E133">
            <v>0</v>
          </cell>
          <cell r="F133">
            <v>0</v>
          </cell>
          <cell r="G133">
            <v>0</v>
          </cell>
          <cell r="H133">
            <v>0</v>
          </cell>
          <cell r="I133">
            <v>0</v>
          </cell>
          <cell r="J133">
            <v>0</v>
          </cell>
          <cell r="K133">
            <v>0</v>
          </cell>
          <cell r="L133">
            <v>0</v>
          </cell>
          <cell r="M133">
            <v>0</v>
          </cell>
          <cell r="AA133">
            <v>0</v>
          </cell>
          <cell r="AB133">
            <v>0</v>
          </cell>
          <cell r="AD133">
            <v>0</v>
          </cell>
          <cell r="AE133">
            <v>0</v>
          </cell>
          <cell r="AG133">
            <v>0</v>
          </cell>
          <cell r="AH133">
            <v>0</v>
          </cell>
          <cell r="AI133">
            <v>0</v>
          </cell>
          <cell r="AJ133">
            <v>0</v>
          </cell>
          <cell r="AK133">
            <v>0</v>
          </cell>
          <cell r="AL133">
            <v>0</v>
          </cell>
        </row>
        <row r="134">
          <cell r="B134" t="str">
            <v>Apr 2016</v>
          </cell>
          <cell r="C134" t="str">
            <v>GS3</v>
          </cell>
          <cell r="D134" t="str">
            <v>LGCME657</v>
          </cell>
          <cell r="E134">
            <v>0</v>
          </cell>
          <cell r="F134">
            <v>0</v>
          </cell>
          <cell r="G134">
            <v>0</v>
          </cell>
          <cell r="H134">
            <v>0</v>
          </cell>
          <cell r="I134">
            <v>0</v>
          </cell>
          <cell r="J134">
            <v>0</v>
          </cell>
          <cell r="K134">
            <v>0</v>
          </cell>
          <cell r="L134">
            <v>0</v>
          </cell>
          <cell r="M134">
            <v>0</v>
          </cell>
          <cell r="AA134">
            <v>0</v>
          </cell>
          <cell r="AB134">
            <v>0</v>
          </cell>
          <cell r="AD134">
            <v>0</v>
          </cell>
          <cell r="AE134">
            <v>0</v>
          </cell>
          <cell r="AG134">
            <v>0</v>
          </cell>
          <cell r="AH134">
            <v>0</v>
          </cell>
          <cell r="AI134">
            <v>0</v>
          </cell>
          <cell r="AJ134">
            <v>0</v>
          </cell>
          <cell r="AK134">
            <v>0</v>
          </cell>
          <cell r="AL134">
            <v>0</v>
          </cell>
        </row>
        <row r="135">
          <cell r="B135" t="str">
            <v>Apr 2016</v>
          </cell>
          <cell r="C135" t="str">
            <v>LWC</v>
          </cell>
          <cell r="D135" t="str">
            <v>LGCME671</v>
          </cell>
          <cell r="E135">
            <v>2</v>
          </cell>
          <cell r="F135">
            <v>0</v>
          </cell>
          <cell r="G135">
            <v>0</v>
          </cell>
          <cell r="H135">
            <v>0</v>
          </cell>
          <cell r="I135">
            <v>0</v>
          </cell>
          <cell r="J135">
            <v>4414320</v>
          </cell>
          <cell r="K135">
            <v>0</v>
          </cell>
          <cell r="L135">
            <v>9307</v>
          </cell>
          <cell r="M135">
            <v>0</v>
          </cell>
          <cell r="AA135">
            <v>0</v>
          </cell>
          <cell r="AB135">
            <v>0</v>
          </cell>
          <cell r="AD135">
            <v>259745.58000000002</v>
          </cell>
          <cell r="AE135">
            <v>259748</v>
          </cell>
          <cell r="AG135">
            <v>-3846</v>
          </cell>
          <cell r="AH135">
            <v>0</v>
          </cell>
          <cell r="AI135">
            <v>48867</v>
          </cell>
          <cell r="AJ135">
            <v>0</v>
          </cell>
          <cell r="AK135">
            <v>0</v>
          </cell>
          <cell r="AL135">
            <v>304769</v>
          </cell>
        </row>
        <row r="136">
          <cell r="B136" t="str">
            <v>Apr 2016</v>
          </cell>
          <cell r="C136" t="str">
            <v>CSR</v>
          </cell>
          <cell r="D136" t="str">
            <v>LGCSR760</v>
          </cell>
          <cell r="E136">
            <v>0</v>
          </cell>
          <cell r="F136">
            <v>0</v>
          </cell>
          <cell r="G136">
            <v>0</v>
          </cell>
          <cell r="H136">
            <v>0</v>
          </cell>
          <cell r="I136">
            <v>0</v>
          </cell>
          <cell r="J136">
            <v>0</v>
          </cell>
          <cell r="K136">
            <v>0</v>
          </cell>
          <cell r="L136">
            <v>0</v>
          </cell>
          <cell r="M136">
            <v>0</v>
          </cell>
          <cell r="AA136">
            <v>0</v>
          </cell>
          <cell r="AB136">
            <v>0</v>
          </cell>
          <cell r="AD136">
            <v>0</v>
          </cell>
          <cell r="AE136">
            <v>0</v>
          </cell>
          <cell r="AG136">
            <v>0</v>
          </cell>
          <cell r="AH136">
            <v>0</v>
          </cell>
          <cell r="AI136">
            <v>0</v>
          </cell>
          <cell r="AJ136">
            <v>0</v>
          </cell>
          <cell r="AK136">
            <v>-286526</v>
          </cell>
          <cell r="AL136">
            <v>-286526</v>
          </cell>
        </row>
        <row r="137">
          <cell r="B137" t="str">
            <v>Apr 2016</v>
          </cell>
          <cell r="C137" t="str">
            <v>CSR</v>
          </cell>
          <cell r="D137" t="str">
            <v>LGCSR780</v>
          </cell>
          <cell r="E137">
            <v>0</v>
          </cell>
          <cell r="F137">
            <v>0</v>
          </cell>
          <cell r="G137">
            <v>0</v>
          </cell>
          <cell r="H137">
            <v>0</v>
          </cell>
          <cell r="I137">
            <v>0</v>
          </cell>
          <cell r="J137">
            <v>0</v>
          </cell>
          <cell r="K137">
            <v>0</v>
          </cell>
          <cell r="L137">
            <v>0</v>
          </cell>
          <cell r="M137">
            <v>0</v>
          </cell>
          <cell r="AA137">
            <v>0</v>
          </cell>
          <cell r="AB137">
            <v>0</v>
          </cell>
          <cell r="AD137">
            <v>0</v>
          </cell>
          <cell r="AE137">
            <v>0</v>
          </cell>
          <cell r="AG137">
            <v>0</v>
          </cell>
          <cell r="AH137">
            <v>0</v>
          </cell>
          <cell r="AI137">
            <v>0</v>
          </cell>
          <cell r="AJ137">
            <v>0</v>
          </cell>
          <cell r="AK137">
            <v>0</v>
          </cell>
          <cell r="AL137">
            <v>0</v>
          </cell>
        </row>
        <row r="138">
          <cell r="B138" t="str">
            <v>Apr 2016</v>
          </cell>
          <cell r="C138" t="str">
            <v>FK</v>
          </cell>
          <cell r="D138" t="str">
            <v>LGINE599</v>
          </cell>
          <cell r="E138">
            <v>1</v>
          </cell>
          <cell r="F138">
            <v>0</v>
          </cell>
          <cell r="G138">
            <v>0</v>
          </cell>
          <cell r="H138">
            <v>0</v>
          </cell>
          <cell r="I138">
            <v>0</v>
          </cell>
          <cell r="J138">
            <v>7236500</v>
          </cell>
          <cell r="K138">
            <v>0</v>
          </cell>
          <cell r="L138">
            <v>7072</v>
          </cell>
          <cell r="M138">
            <v>0</v>
          </cell>
          <cell r="AA138">
            <v>0</v>
          </cell>
          <cell r="AB138">
            <v>0</v>
          </cell>
          <cell r="AD138">
            <v>360600.99999999994</v>
          </cell>
          <cell r="AE138">
            <v>360601</v>
          </cell>
          <cell r="AG138">
            <v>-6305</v>
          </cell>
          <cell r="AH138">
            <v>0</v>
          </cell>
          <cell r="AI138">
            <v>80109</v>
          </cell>
          <cell r="AJ138">
            <v>0</v>
          </cell>
          <cell r="AK138">
            <v>0</v>
          </cell>
          <cell r="AL138">
            <v>434405</v>
          </cell>
        </row>
        <row r="139">
          <cell r="B139" t="str">
            <v>Apr 2016</v>
          </cell>
          <cell r="C139" t="str">
            <v>RTS</v>
          </cell>
          <cell r="D139" t="str">
            <v>LGINE643</v>
          </cell>
          <cell r="E139">
            <v>12</v>
          </cell>
          <cell r="F139">
            <v>0</v>
          </cell>
          <cell r="G139">
            <v>0</v>
          </cell>
          <cell r="H139">
            <v>0</v>
          </cell>
          <cell r="I139">
            <v>0</v>
          </cell>
          <cell r="J139">
            <v>78019986</v>
          </cell>
          <cell r="K139">
            <v>171798</v>
          </cell>
          <cell r="L139">
            <v>168988</v>
          </cell>
          <cell r="M139">
            <v>106853</v>
          </cell>
          <cell r="AA139">
            <v>0</v>
          </cell>
          <cell r="AB139">
            <v>0</v>
          </cell>
          <cell r="AD139">
            <v>4291111.1400000006</v>
          </cell>
          <cell r="AE139">
            <v>4291112</v>
          </cell>
          <cell r="AG139">
            <v>-67972</v>
          </cell>
          <cell r="AH139">
            <v>0</v>
          </cell>
          <cell r="AI139">
            <v>863692</v>
          </cell>
          <cell r="AJ139">
            <v>0</v>
          </cell>
          <cell r="AK139">
            <v>0</v>
          </cell>
          <cell r="AL139">
            <v>5086832</v>
          </cell>
        </row>
        <row r="140">
          <cell r="B140" t="str">
            <v>Apr 2016</v>
          </cell>
          <cell r="C140" t="str">
            <v>PSS</v>
          </cell>
          <cell r="D140" t="str">
            <v>LGINE661</v>
          </cell>
          <cell r="E140">
            <v>212</v>
          </cell>
          <cell r="F140">
            <v>0</v>
          </cell>
          <cell r="G140">
            <v>0</v>
          </cell>
          <cell r="H140">
            <v>0</v>
          </cell>
          <cell r="I140">
            <v>0</v>
          </cell>
          <cell r="J140">
            <v>17964058</v>
          </cell>
          <cell r="K140">
            <v>0</v>
          </cell>
          <cell r="L140">
            <v>58664</v>
          </cell>
          <cell r="M140">
            <v>0</v>
          </cell>
          <cell r="AA140">
            <v>0</v>
          </cell>
          <cell r="AB140">
            <v>0</v>
          </cell>
          <cell r="AD140">
            <v>1570303.3900000001</v>
          </cell>
          <cell r="AE140">
            <v>1570298</v>
          </cell>
          <cell r="AG140">
            <v>-15651</v>
          </cell>
          <cell r="AH140">
            <v>30149</v>
          </cell>
          <cell r="AI140">
            <v>198865</v>
          </cell>
          <cell r="AJ140">
            <v>0</v>
          </cell>
          <cell r="AK140">
            <v>0</v>
          </cell>
          <cell r="AL140">
            <v>1783661</v>
          </cell>
        </row>
        <row r="141">
          <cell r="B141" t="str">
            <v>Apr 2016</v>
          </cell>
          <cell r="C141" t="str">
            <v>PSP</v>
          </cell>
          <cell r="D141" t="str">
            <v>LGINE663</v>
          </cell>
          <cell r="E141">
            <v>21</v>
          </cell>
          <cell r="F141">
            <v>0</v>
          </cell>
          <cell r="G141">
            <v>0</v>
          </cell>
          <cell r="H141">
            <v>0</v>
          </cell>
          <cell r="I141">
            <v>0</v>
          </cell>
          <cell r="J141">
            <v>1038168</v>
          </cell>
          <cell r="K141">
            <v>0</v>
          </cell>
          <cell r="L141">
            <v>3900</v>
          </cell>
          <cell r="M141">
            <v>0</v>
          </cell>
          <cell r="AA141">
            <v>0</v>
          </cell>
          <cell r="AB141">
            <v>0</v>
          </cell>
          <cell r="AD141">
            <v>89802.48000000001</v>
          </cell>
          <cell r="AE141">
            <v>89801</v>
          </cell>
          <cell r="AG141">
            <v>-904</v>
          </cell>
          <cell r="AH141">
            <v>1742</v>
          </cell>
          <cell r="AI141">
            <v>11493</v>
          </cell>
          <cell r="AJ141">
            <v>0</v>
          </cell>
          <cell r="AK141">
            <v>0</v>
          </cell>
          <cell r="AL141">
            <v>102132</v>
          </cell>
        </row>
        <row r="142">
          <cell r="B142" t="str">
            <v>Apr 2016</v>
          </cell>
          <cell r="C142" t="str">
            <v>TODS</v>
          </cell>
          <cell r="D142" t="str">
            <v>LGINE691</v>
          </cell>
          <cell r="E142">
            <v>100</v>
          </cell>
          <cell r="F142">
            <v>0</v>
          </cell>
          <cell r="G142">
            <v>0</v>
          </cell>
          <cell r="H142">
            <v>0</v>
          </cell>
          <cell r="I142">
            <v>0</v>
          </cell>
          <cell r="J142">
            <v>20494105</v>
          </cell>
          <cell r="K142">
            <v>53481</v>
          </cell>
          <cell r="L142">
            <v>50360</v>
          </cell>
          <cell r="M142">
            <v>48966</v>
          </cell>
          <cell r="AA142">
            <v>0</v>
          </cell>
          <cell r="AB142">
            <v>0</v>
          </cell>
          <cell r="AD142">
            <v>1577944.6500000001</v>
          </cell>
          <cell r="AE142">
            <v>1577945</v>
          </cell>
          <cell r="AG142">
            <v>-17855</v>
          </cell>
          <cell r="AH142">
            <v>34396</v>
          </cell>
          <cell r="AI142">
            <v>226873</v>
          </cell>
          <cell r="AJ142">
            <v>0</v>
          </cell>
          <cell r="AK142">
            <v>0</v>
          </cell>
          <cell r="AL142">
            <v>1821359</v>
          </cell>
        </row>
        <row r="143">
          <cell r="B143" t="str">
            <v>Apr 2016</v>
          </cell>
          <cell r="C143" t="str">
            <v>ITODP</v>
          </cell>
          <cell r="D143" t="str">
            <v>LGINE693</v>
          </cell>
          <cell r="E143">
            <v>71</v>
          </cell>
          <cell r="F143">
            <v>0</v>
          </cell>
          <cell r="G143">
            <v>0</v>
          </cell>
          <cell r="H143">
            <v>0</v>
          </cell>
          <cell r="I143">
            <v>0</v>
          </cell>
          <cell r="J143">
            <v>130912123</v>
          </cell>
          <cell r="K143">
            <v>333045</v>
          </cell>
          <cell r="L143">
            <v>302359</v>
          </cell>
          <cell r="M143">
            <v>298342</v>
          </cell>
          <cell r="AA143">
            <v>0</v>
          </cell>
          <cell r="AB143">
            <v>0</v>
          </cell>
          <cell r="AD143">
            <v>8389188.3300000001</v>
          </cell>
          <cell r="AE143">
            <v>8389188</v>
          </cell>
          <cell r="AG143">
            <v>-114052</v>
          </cell>
          <cell r="AH143">
            <v>219713</v>
          </cell>
          <cell r="AI143">
            <v>1449216</v>
          </cell>
          <cell r="AJ143">
            <v>0</v>
          </cell>
          <cell r="AK143">
            <v>0</v>
          </cell>
          <cell r="AL143">
            <v>9944065</v>
          </cell>
        </row>
        <row r="144">
          <cell r="B144" t="str">
            <v>Apr 2016</v>
          </cell>
          <cell r="C144" t="str">
            <v>ITODP</v>
          </cell>
          <cell r="D144" t="str">
            <v>LGINE694</v>
          </cell>
          <cell r="E144">
            <v>0</v>
          </cell>
          <cell r="F144">
            <v>0</v>
          </cell>
          <cell r="G144">
            <v>0</v>
          </cell>
          <cell r="H144">
            <v>0</v>
          </cell>
          <cell r="I144">
            <v>0</v>
          </cell>
          <cell r="J144">
            <v>0</v>
          </cell>
          <cell r="K144">
            <v>0</v>
          </cell>
          <cell r="L144">
            <v>0</v>
          </cell>
          <cell r="M144">
            <v>0</v>
          </cell>
          <cell r="AA144">
            <v>0</v>
          </cell>
          <cell r="AB144">
            <v>0</v>
          </cell>
          <cell r="AD144">
            <v>0</v>
          </cell>
          <cell r="AE144">
            <v>0</v>
          </cell>
          <cell r="AG144">
            <v>0</v>
          </cell>
          <cell r="AH144">
            <v>0</v>
          </cell>
          <cell r="AI144">
            <v>0</v>
          </cell>
          <cell r="AJ144">
            <v>0</v>
          </cell>
          <cell r="AK144">
            <v>0</v>
          </cell>
          <cell r="AL144">
            <v>0</v>
          </cell>
        </row>
        <row r="145">
          <cell r="B145" t="str">
            <v>Apr 2016</v>
          </cell>
          <cell r="C145" t="str">
            <v>LE</v>
          </cell>
          <cell r="D145" t="str">
            <v>LGMLE570</v>
          </cell>
          <cell r="E145">
            <v>0</v>
          </cell>
          <cell r="F145">
            <v>0</v>
          </cell>
          <cell r="G145">
            <v>0</v>
          </cell>
          <cell r="H145">
            <v>0</v>
          </cell>
          <cell r="I145">
            <v>0</v>
          </cell>
          <cell r="J145">
            <v>0</v>
          </cell>
          <cell r="K145">
            <v>0</v>
          </cell>
          <cell r="L145">
            <v>0</v>
          </cell>
          <cell r="M145">
            <v>0</v>
          </cell>
          <cell r="AA145">
            <v>0</v>
          </cell>
          <cell r="AB145">
            <v>0</v>
          </cell>
          <cell r="AD145">
            <v>0</v>
          </cell>
          <cell r="AE145">
            <v>0</v>
          </cell>
          <cell r="AG145">
            <v>0</v>
          </cell>
          <cell r="AH145">
            <v>0</v>
          </cell>
          <cell r="AI145">
            <v>0</v>
          </cell>
          <cell r="AJ145">
            <v>0</v>
          </cell>
          <cell r="AK145">
            <v>0</v>
          </cell>
          <cell r="AL145">
            <v>0</v>
          </cell>
        </row>
        <row r="146">
          <cell r="B146" t="str">
            <v>Apr 2016</v>
          </cell>
          <cell r="C146" t="str">
            <v>LE</v>
          </cell>
          <cell r="D146" t="str">
            <v>LGMLE571</v>
          </cell>
          <cell r="E146">
            <v>156</v>
          </cell>
          <cell r="F146">
            <v>0</v>
          </cell>
          <cell r="G146">
            <v>0</v>
          </cell>
          <cell r="H146">
            <v>0</v>
          </cell>
          <cell r="I146">
            <v>0</v>
          </cell>
          <cell r="J146">
            <v>272304</v>
          </cell>
          <cell r="K146">
            <v>0</v>
          </cell>
          <cell r="L146">
            <v>0</v>
          </cell>
          <cell r="M146">
            <v>0</v>
          </cell>
          <cell r="AA146">
            <v>0</v>
          </cell>
          <cell r="AB146">
            <v>0</v>
          </cell>
          <cell r="AD146">
            <v>17593.560000000001</v>
          </cell>
          <cell r="AE146">
            <v>0</v>
          </cell>
          <cell r="AG146">
            <v>0</v>
          </cell>
          <cell r="AH146">
            <v>0</v>
          </cell>
          <cell r="AI146">
            <v>0</v>
          </cell>
          <cell r="AJ146">
            <v>0</v>
          </cell>
          <cell r="AK146">
            <v>0</v>
          </cell>
          <cell r="AL146">
            <v>0</v>
          </cell>
        </row>
        <row r="147">
          <cell r="B147" t="str">
            <v>Apr 2016</v>
          </cell>
          <cell r="C147" t="str">
            <v>LE</v>
          </cell>
          <cell r="D147" t="str">
            <v>LGMLE572</v>
          </cell>
          <cell r="E147">
            <v>0</v>
          </cell>
          <cell r="F147">
            <v>0</v>
          </cell>
          <cell r="G147">
            <v>0</v>
          </cell>
          <cell r="H147">
            <v>0</v>
          </cell>
          <cell r="I147">
            <v>0</v>
          </cell>
          <cell r="J147">
            <v>0</v>
          </cell>
          <cell r="K147">
            <v>0</v>
          </cell>
          <cell r="L147">
            <v>0</v>
          </cell>
          <cell r="M147">
            <v>0</v>
          </cell>
          <cell r="AA147">
            <v>0</v>
          </cell>
          <cell r="AB147">
            <v>0</v>
          </cell>
          <cell r="AD147">
            <v>0</v>
          </cell>
          <cell r="AE147">
            <v>0</v>
          </cell>
          <cell r="AG147">
            <v>0</v>
          </cell>
          <cell r="AH147">
            <v>0</v>
          </cell>
          <cell r="AI147">
            <v>0</v>
          </cell>
          <cell r="AJ147">
            <v>0</v>
          </cell>
          <cell r="AK147">
            <v>0</v>
          </cell>
          <cell r="AL147">
            <v>0</v>
          </cell>
        </row>
        <row r="148">
          <cell r="B148" t="str">
            <v>Apr 2016</v>
          </cell>
          <cell r="C148" t="str">
            <v>TE</v>
          </cell>
          <cell r="D148" t="str">
            <v>LGMLE573</v>
          </cell>
          <cell r="E148">
            <v>905</v>
          </cell>
          <cell r="F148">
            <v>0</v>
          </cell>
          <cell r="G148">
            <v>0</v>
          </cell>
          <cell r="H148">
            <v>0</v>
          </cell>
          <cell r="I148">
            <v>0</v>
          </cell>
          <cell r="J148">
            <v>241661</v>
          </cell>
          <cell r="K148">
            <v>0</v>
          </cell>
          <cell r="L148">
            <v>0</v>
          </cell>
          <cell r="M148">
            <v>0</v>
          </cell>
          <cell r="AA148">
            <v>0</v>
          </cell>
          <cell r="AB148">
            <v>0</v>
          </cell>
          <cell r="AD148">
            <v>21447.65</v>
          </cell>
          <cell r="AE148">
            <v>0</v>
          </cell>
          <cell r="AG148">
            <v>0</v>
          </cell>
          <cell r="AH148">
            <v>0</v>
          </cell>
          <cell r="AI148">
            <v>0</v>
          </cell>
          <cell r="AJ148">
            <v>0</v>
          </cell>
          <cell r="AK148">
            <v>0</v>
          </cell>
          <cell r="AL148">
            <v>0</v>
          </cell>
        </row>
        <row r="149">
          <cell r="B149" t="str">
            <v>Apr 2016</v>
          </cell>
          <cell r="C149" t="str">
            <v>TE</v>
          </cell>
          <cell r="D149" t="str">
            <v>LGMLE574</v>
          </cell>
          <cell r="E149">
            <v>0</v>
          </cell>
          <cell r="F149">
            <v>0</v>
          </cell>
          <cell r="G149">
            <v>0</v>
          </cell>
          <cell r="H149">
            <v>0</v>
          </cell>
          <cell r="I149">
            <v>0</v>
          </cell>
          <cell r="J149">
            <v>0</v>
          </cell>
          <cell r="K149">
            <v>0</v>
          </cell>
          <cell r="L149">
            <v>0</v>
          </cell>
          <cell r="M149">
            <v>0</v>
          </cell>
          <cell r="AA149">
            <v>0</v>
          </cell>
          <cell r="AB149">
            <v>0</v>
          </cell>
          <cell r="AD149">
            <v>0</v>
          </cell>
          <cell r="AE149">
            <v>0</v>
          </cell>
          <cell r="AG149">
            <v>0</v>
          </cell>
          <cell r="AH149">
            <v>0</v>
          </cell>
          <cell r="AI149">
            <v>0</v>
          </cell>
          <cell r="AJ149">
            <v>0</v>
          </cell>
          <cell r="AK149">
            <v>0</v>
          </cell>
          <cell r="AL149">
            <v>0</v>
          </cell>
        </row>
        <row r="150">
          <cell r="B150" t="str">
            <v>Apr 2016</v>
          </cell>
          <cell r="C150" t="str">
            <v>RS</v>
          </cell>
          <cell r="D150" t="str">
            <v>LGRSE411</v>
          </cell>
          <cell r="E150">
            <v>0</v>
          </cell>
          <cell r="F150">
            <v>0</v>
          </cell>
          <cell r="G150">
            <v>0</v>
          </cell>
          <cell r="H150">
            <v>0</v>
          </cell>
          <cell r="I150">
            <v>0</v>
          </cell>
          <cell r="J150">
            <v>0</v>
          </cell>
          <cell r="K150">
            <v>0</v>
          </cell>
          <cell r="L150">
            <v>0</v>
          </cell>
          <cell r="M150">
            <v>0</v>
          </cell>
          <cell r="AA150">
            <v>0</v>
          </cell>
          <cell r="AB150">
            <v>0</v>
          </cell>
          <cell r="AD150">
            <v>0</v>
          </cell>
          <cell r="AE150">
            <v>0</v>
          </cell>
          <cell r="AG150">
            <v>0</v>
          </cell>
          <cell r="AH150">
            <v>0</v>
          </cell>
          <cell r="AI150">
            <v>0</v>
          </cell>
          <cell r="AJ150">
            <v>0</v>
          </cell>
          <cell r="AK150">
            <v>0</v>
          </cell>
          <cell r="AL150">
            <v>0</v>
          </cell>
        </row>
        <row r="151">
          <cell r="B151" t="str">
            <v>Apr 2016</v>
          </cell>
          <cell r="C151" t="str">
            <v>RS</v>
          </cell>
          <cell r="D151" t="str">
            <v>LGRSE511</v>
          </cell>
          <cell r="E151">
            <v>362211</v>
          </cell>
          <cell r="F151">
            <v>0</v>
          </cell>
          <cell r="G151">
            <v>0</v>
          </cell>
          <cell r="H151">
            <v>0</v>
          </cell>
          <cell r="I151">
            <v>0</v>
          </cell>
          <cell r="J151">
            <v>258316933</v>
          </cell>
          <cell r="K151">
            <v>0</v>
          </cell>
          <cell r="L151">
            <v>0</v>
          </cell>
          <cell r="M151">
            <v>0</v>
          </cell>
          <cell r="AA151">
            <v>0</v>
          </cell>
          <cell r="AB151">
            <v>0</v>
          </cell>
          <cell r="AD151">
            <v>24755443.760000002</v>
          </cell>
          <cell r="AE151">
            <v>24758248</v>
          </cell>
          <cell r="AG151">
            <v>-225077</v>
          </cell>
          <cell r="AH151">
            <v>433592</v>
          </cell>
          <cell r="AI151">
            <v>2859958</v>
          </cell>
          <cell r="AJ151">
            <v>0</v>
          </cell>
          <cell r="AK151">
            <v>0</v>
          </cell>
          <cell r="AL151">
            <v>27826721</v>
          </cell>
        </row>
        <row r="152">
          <cell r="B152" t="str">
            <v>Apr 2016</v>
          </cell>
          <cell r="C152" t="str">
            <v>RS</v>
          </cell>
          <cell r="D152" t="str">
            <v>LGRSE519</v>
          </cell>
          <cell r="E152">
            <v>0</v>
          </cell>
          <cell r="F152">
            <v>0</v>
          </cell>
          <cell r="G152">
            <v>0</v>
          </cell>
          <cell r="H152">
            <v>0</v>
          </cell>
          <cell r="I152">
            <v>0</v>
          </cell>
          <cell r="J152">
            <v>0</v>
          </cell>
          <cell r="K152">
            <v>0</v>
          </cell>
          <cell r="L152">
            <v>0</v>
          </cell>
          <cell r="M152">
            <v>0</v>
          </cell>
          <cell r="AA152">
            <v>0</v>
          </cell>
          <cell r="AB152">
            <v>0</v>
          </cell>
          <cell r="AD152">
            <v>0</v>
          </cell>
          <cell r="AE152">
            <v>0</v>
          </cell>
          <cell r="AG152">
            <v>0</v>
          </cell>
          <cell r="AH152">
            <v>0</v>
          </cell>
          <cell r="AI152">
            <v>0</v>
          </cell>
          <cell r="AJ152">
            <v>0</v>
          </cell>
          <cell r="AK152">
            <v>0</v>
          </cell>
          <cell r="AL152">
            <v>0</v>
          </cell>
        </row>
        <row r="153">
          <cell r="B153" t="str">
            <v>Apr 2016</v>
          </cell>
          <cell r="C153" t="str">
            <v>RS</v>
          </cell>
          <cell r="D153" t="str">
            <v>LGRSE540</v>
          </cell>
          <cell r="E153">
            <v>0</v>
          </cell>
          <cell r="F153">
            <v>0</v>
          </cell>
          <cell r="G153">
            <v>0</v>
          </cell>
          <cell r="H153">
            <v>0</v>
          </cell>
          <cell r="I153">
            <v>0</v>
          </cell>
          <cell r="J153">
            <v>0</v>
          </cell>
          <cell r="K153">
            <v>0</v>
          </cell>
          <cell r="L153">
            <v>0</v>
          </cell>
          <cell r="M153">
            <v>0</v>
          </cell>
          <cell r="AA153">
            <v>0</v>
          </cell>
          <cell r="AB153">
            <v>0</v>
          </cell>
          <cell r="AD153">
            <v>0</v>
          </cell>
          <cell r="AE153">
            <v>0</v>
          </cell>
          <cell r="AG153">
            <v>0</v>
          </cell>
          <cell r="AH153">
            <v>0</v>
          </cell>
          <cell r="AI153">
            <v>0</v>
          </cell>
          <cell r="AJ153">
            <v>0</v>
          </cell>
          <cell r="AK153">
            <v>0</v>
          </cell>
          <cell r="AL153">
            <v>0</v>
          </cell>
        </row>
        <row r="154">
          <cell r="B154" t="str">
            <v>Apr 2016</v>
          </cell>
          <cell r="C154" t="str">
            <v>LEV</v>
          </cell>
          <cell r="D154" t="str">
            <v>LGRSE543</v>
          </cell>
          <cell r="E154">
            <v>21</v>
          </cell>
          <cell r="F154">
            <v>0</v>
          </cell>
          <cell r="G154">
            <v>18583</v>
          </cell>
          <cell r="H154">
            <v>6886</v>
          </cell>
          <cell r="I154">
            <v>6455</v>
          </cell>
          <cell r="J154">
            <v>31924</v>
          </cell>
          <cell r="K154">
            <v>0</v>
          </cell>
          <cell r="L154">
            <v>0</v>
          </cell>
          <cell r="M154">
            <v>0</v>
          </cell>
          <cell r="AA154">
            <v>0</v>
          </cell>
          <cell r="AB154">
            <v>0</v>
          </cell>
          <cell r="AD154">
            <v>2784.02</v>
          </cell>
          <cell r="AE154">
            <v>0</v>
          </cell>
          <cell r="AG154">
            <v>0</v>
          </cell>
          <cell r="AH154">
            <v>0</v>
          </cell>
          <cell r="AI154">
            <v>0</v>
          </cell>
          <cell r="AJ154">
            <v>0</v>
          </cell>
          <cell r="AK154">
            <v>0</v>
          </cell>
          <cell r="AL154">
            <v>0</v>
          </cell>
        </row>
        <row r="155">
          <cell r="B155" t="str">
            <v>Apr 2016</v>
          </cell>
          <cell r="C155" t="str">
            <v>LEV</v>
          </cell>
          <cell r="D155" t="str">
            <v>LGRSE547</v>
          </cell>
          <cell r="E155">
            <v>0</v>
          </cell>
          <cell r="F155">
            <v>0</v>
          </cell>
          <cell r="G155">
            <v>0</v>
          </cell>
          <cell r="H155">
            <v>0</v>
          </cell>
          <cell r="I155">
            <v>0</v>
          </cell>
          <cell r="J155">
            <v>0</v>
          </cell>
          <cell r="K155">
            <v>0</v>
          </cell>
          <cell r="L155">
            <v>0</v>
          </cell>
          <cell r="M155">
            <v>0</v>
          </cell>
          <cell r="AA155">
            <v>0</v>
          </cell>
          <cell r="AB155">
            <v>0</v>
          </cell>
          <cell r="AD155">
            <v>0</v>
          </cell>
          <cell r="AE155">
            <v>0</v>
          </cell>
          <cell r="AG155">
            <v>0</v>
          </cell>
          <cell r="AH155">
            <v>0</v>
          </cell>
          <cell r="AI155">
            <v>0</v>
          </cell>
          <cell r="AJ155">
            <v>0</v>
          </cell>
          <cell r="AK155">
            <v>0</v>
          </cell>
          <cell r="AL155">
            <v>0</v>
          </cell>
        </row>
        <row r="156">
          <cell r="B156" t="str">
            <v>May 2016</v>
          </cell>
          <cell r="C156" t="str">
            <v>FLSP</v>
          </cell>
          <cell r="D156" t="str">
            <v>LGINE682</v>
          </cell>
          <cell r="E156">
            <v>0</v>
          </cell>
          <cell r="F156">
            <v>0</v>
          </cell>
          <cell r="G156">
            <v>0</v>
          </cell>
          <cell r="H156">
            <v>0</v>
          </cell>
          <cell r="I156">
            <v>0</v>
          </cell>
          <cell r="J156">
            <v>0</v>
          </cell>
          <cell r="K156">
            <v>0</v>
          </cell>
          <cell r="L156">
            <v>0</v>
          </cell>
          <cell r="M156">
            <v>0</v>
          </cell>
          <cell r="AA156">
            <v>0</v>
          </cell>
          <cell r="AB156">
            <v>0</v>
          </cell>
          <cell r="AD156">
            <v>0</v>
          </cell>
          <cell r="AE156">
            <v>0</v>
          </cell>
          <cell r="AG156">
            <v>0</v>
          </cell>
          <cell r="AH156">
            <v>0</v>
          </cell>
          <cell r="AI156">
            <v>0</v>
          </cell>
          <cell r="AJ156">
            <v>0</v>
          </cell>
          <cell r="AK156">
            <v>0</v>
          </cell>
          <cell r="AL156">
            <v>0</v>
          </cell>
        </row>
        <row r="157">
          <cell r="B157" t="str">
            <v>May 2016</v>
          </cell>
          <cell r="C157" t="str">
            <v>FLST</v>
          </cell>
          <cell r="D157" t="str">
            <v>LGINE683</v>
          </cell>
          <cell r="E157">
            <v>0</v>
          </cell>
          <cell r="F157">
            <v>0</v>
          </cell>
          <cell r="G157">
            <v>0</v>
          </cell>
          <cell r="H157">
            <v>0</v>
          </cell>
          <cell r="I157">
            <v>0</v>
          </cell>
          <cell r="J157">
            <v>0</v>
          </cell>
          <cell r="K157">
            <v>0</v>
          </cell>
          <cell r="L157">
            <v>0</v>
          </cell>
          <cell r="M157">
            <v>0</v>
          </cell>
          <cell r="AA157">
            <v>0</v>
          </cell>
          <cell r="AB157">
            <v>0</v>
          </cell>
          <cell r="AD157">
            <v>0</v>
          </cell>
          <cell r="AE157">
            <v>0</v>
          </cell>
          <cell r="AG157">
            <v>0</v>
          </cell>
          <cell r="AH157">
            <v>0</v>
          </cell>
          <cell r="AI157">
            <v>0</v>
          </cell>
          <cell r="AJ157">
            <v>0</v>
          </cell>
          <cell r="AK157">
            <v>0</v>
          </cell>
          <cell r="AL157">
            <v>0</v>
          </cell>
        </row>
        <row r="158">
          <cell r="B158" t="str">
            <v>May 2016</v>
          </cell>
          <cell r="C158" t="str">
            <v>GS</v>
          </cell>
          <cell r="D158" t="str">
            <v>LGCME451</v>
          </cell>
          <cell r="E158">
            <v>0</v>
          </cell>
          <cell r="F158">
            <v>0</v>
          </cell>
          <cell r="G158">
            <v>0</v>
          </cell>
          <cell r="H158">
            <v>0</v>
          </cell>
          <cell r="I158">
            <v>0</v>
          </cell>
          <cell r="J158">
            <v>0</v>
          </cell>
          <cell r="K158">
            <v>0</v>
          </cell>
          <cell r="L158">
            <v>0</v>
          </cell>
          <cell r="M158">
            <v>0</v>
          </cell>
          <cell r="AA158">
            <v>0</v>
          </cell>
          <cell r="AB158">
            <v>0</v>
          </cell>
          <cell r="AD158">
            <v>0</v>
          </cell>
          <cell r="AE158">
            <v>0</v>
          </cell>
          <cell r="AG158">
            <v>0</v>
          </cell>
          <cell r="AH158">
            <v>0</v>
          </cell>
          <cell r="AI158">
            <v>0</v>
          </cell>
          <cell r="AJ158">
            <v>0</v>
          </cell>
          <cell r="AK158">
            <v>0</v>
          </cell>
          <cell r="AL158">
            <v>0</v>
          </cell>
        </row>
        <row r="159">
          <cell r="B159" t="str">
            <v>May 2016</v>
          </cell>
          <cell r="C159" t="str">
            <v>GS</v>
          </cell>
          <cell r="D159" t="str">
            <v>LGCME550</v>
          </cell>
          <cell r="E159">
            <v>0</v>
          </cell>
          <cell r="F159">
            <v>0</v>
          </cell>
          <cell r="G159">
            <v>0</v>
          </cell>
          <cell r="H159">
            <v>0</v>
          </cell>
          <cell r="I159">
            <v>0</v>
          </cell>
          <cell r="J159">
            <v>0</v>
          </cell>
          <cell r="K159">
            <v>0</v>
          </cell>
          <cell r="L159">
            <v>0</v>
          </cell>
          <cell r="M159">
            <v>0</v>
          </cell>
          <cell r="AA159">
            <v>0</v>
          </cell>
          <cell r="AB159">
            <v>0</v>
          </cell>
          <cell r="AD159">
            <v>0</v>
          </cell>
          <cell r="AE159">
            <v>0</v>
          </cell>
          <cell r="AG159">
            <v>0</v>
          </cell>
          <cell r="AH159">
            <v>0</v>
          </cell>
          <cell r="AI159">
            <v>0</v>
          </cell>
          <cell r="AJ159">
            <v>0</v>
          </cell>
          <cell r="AK159">
            <v>0</v>
          </cell>
          <cell r="AL159">
            <v>0</v>
          </cell>
        </row>
        <row r="160">
          <cell r="B160" t="str">
            <v>May 2016</v>
          </cell>
          <cell r="C160" t="str">
            <v>GS</v>
          </cell>
          <cell r="D160" t="str">
            <v>LGCME551</v>
          </cell>
          <cell r="E160">
            <v>28263</v>
          </cell>
          <cell r="F160">
            <v>0</v>
          </cell>
          <cell r="G160">
            <v>0</v>
          </cell>
          <cell r="H160">
            <v>0</v>
          </cell>
          <cell r="I160">
            <v>0</v>
          </cell>
          <cell r="J160">
            <v>31985395</v>
          </cell>
          <cell r="K160">
            <v>0</v>
          </cell>
          <cell r="L160">
            <v>0</v>
          </cell>
          <cell r="M160">
            <v>0</v>
          </cell>
          <cell r="AA160">
            <v>0</v>
          </cell>
          <cell r="AB160">
            <v>0</v>
          </cell>
          <cell r="AD160">
            <v>3486805.98</v>
          </cell>
          <cell r="AE160">
            <v>3486811</v>
          </cell>
          <cell r="AG160">
            <v>6170</v>
          </cell>
          <cell r="AH160">
            <v>66952</v>
          </cell>
          <cell r="AI160">
            <v>334807</v>
          </cell>
          <cell r="AJ160">
            <v>0</v>
          </cell>
          <cell r="AK160">
            <v>0</v>
          </cell>
          <cell r="AL160">
            <v>3894740</v>
          </cell>
        </row>
        <row r="161">
          <cell r="B161" t="str">
            <v>May 2016</v>
          </cell>
          <cell r="C161" t="str">
            <v>GS</v>
          </cell>
          <cell r="D161" t="str">
            <v>LGCME551UM</v>
          </cell>
          <cell r="E161">
            <v>0</v>
          </cell>
          <cell r="F161">
            <v>0</v>
          </cell>
          <cell r="G161">
            <v>0</v>
          </cell>
          <cell r="H161">
            <v>0</v>
          </cell>
          <cell r="I161">
            <v>0</v>
          </cell>
          <cell r="J161">
            <v>0</v>
          </cell>
          <cell r="K161">
            <v>0</v>
          </cell>
          <cell r="L161">
            <v>0</v>
          </cell>
          <cell r="M161">
            <v>0</v>
          </cell>
          <cell r="AA161">
            <v>0</v>
          </cell>
          <cell r="AB161">
            <v>0</v>
          </cell>
          <cell r="AD161">
            <v>0</v>
          </cell>
          <cell r="AE161">
            <v>0</v>
          </cell>
          <cell r="AG161">
            <v>0</v>
          </cell>
          <cell r="AH161">
            <v>0</v>
          </cell>
          <cell r="AI161">
            <v>0</v>
          </cell>
          <cell r="AJ161">
            <v>0</v>
          </cell>
          <cell r="AK161">
            <v>0</v>
          </cell>
          <cell r="AL161">
            <v>0</v>
          </cell>
        </row>
        <row r="162">
          <cell r="B162" t="str">
            <v>May 2016</v>
          </cell>
          <cell r="C162" t="str">
            <v>GS</v>
          </cell>
          <cell r="D162" t="str">
            <v>LGCME552</v>
          </cell>
          <cell r="E162">
            <v>0</v>
          </cell>
          <cell r="F162">
            <v>0</v>
          </cell>
          <cell r="G162">
            <v>0</v>
          </cell>
          <cell r="H162">
            <v>0</v>
          </cell>
          <cell r="I162">
            <v>0</v>
          </cell>
          <cell r="J162">
            <v>0</v>
          </cell>
          <cell r="K162">
            <v>0</v>
          </cell>
          <cell r="L162">
            <v>0</v>
          </cell>
          <cell r="M162">
            <v>0</v>
          </cell>
          <cell r="AA162">
            <v>0</v>
          </cell>
          <cell r="AB162">
            <v>0</v>
          </cell>
          <cell r="AD162">
            <v>0</v>
          </cell>
          <cell r="AE162">
            <v>0</v>
          </cell>
          <cell r="AG162">
            <v>0</v>
          </cell>
          <cell r="AH162">
            <v>0</v>
          </cell>
          <cell r="AI162">
            <v>0</v>
          </cell>
          <cell r="AJ162">
            <v>0</v>
          </cell>
          <cell r="AK162">
            <v>0</v>
          </cell>
          <cell r="AL162">
            <v>0</v>
          </cell>
        </row>
        <row r="163">
          <cell r="B163" t="str">
            <v>May 2016</v>
          </cell>
          <cell r="C163" t="str">
            <v>GS</v>
          </cell>
          <cell r="D163" t="str">
            <v>LGCME557</v>
          </cell>
          <cell r="E163">
            <v>0</v>
          </cell>
          <cell r="F163">
            <v>0</v>
          </cell>
          <cell r="G163">
            <v>0</v>
          </cell>
          <cell r="H163">
            <v>0</v>
          </cell>
          <cell r="I163">
            <v>0</v>
          </cell>
          <cell r="J163">
            <v>0</v>
          </cell>
          <cell r="K163">
            <v>0</v>
          </cell>
          <cell r="L163">
            <v>0</v>
          </cell>
          <cell r="M163">
            <v>0</v>
          </cell>
          <cell r="AA163">
            <v>0</v>
          </cell>
          <cell r="AB163">
            <v>0</v>
          </cell>
          <cell r="AD163">
            <v>0</v>
          </cell>
          <cell r="AE163">
            <v>0</v>
          </cell>
          <cell r="AG163">
            <v>0</v>
          </cell>
          <cell r="AH163">
            <v>0</v>
          </cell>
          <cell r="AI163">
            <v>0</v>
          </cell>
          <cell r="AJ163">
            <v>0</v>
          </cell>
          <cell r="AK163">
            <v>0</v>
          </cell>
          <cell r="AL163">
            <v>0</v>
          </cell>
        </row>
        <row r="164">
          <cell r="B164" t="str">
            <v>May 2016</v>
          </cell>
          <cell r="C164" t="str">
            <v>PSS</v>
          </cell>
          <cell r="D164" t="str">
            <v>LGCME561</v>
          </cell>
          <cell r="E164">
            <v>2585</v>
          </cell>
          <cell r="F164">
            <v>0</v>
          </cell>
          <cell r="G164">
            <v>0</v>
          </cell>
          <cell r="H164">
            <v>0</v>
          </cell>
          <cell r="I164">
            <v>0</v>
          </cell>
          <cell r="J164">
            <v>151860056</v>
          </cell>
          <cell r="K164">
            <v>0</v>
          </cell>
          <cell r="L164">
            <v>0</v>
          </cell>
          <cell r="M164">
            <v>338104</v>
          </cell>
          <cell r="AA164">
            <v>0</v>
          </cell>
          <cell r="AB164">
            <v>0</v>
          </cell>
          <cell r="AD164">
            <v>11943073.869999999</v>
          </cell>
          <cell r="AE164">
            <v>11943072</v>
          </cell>
          <cell r="AG164">
            <v>29296</v>
          </cell>
          <cell r="AH164">
            <v>317872</v>
          </cell>
          <cell r="AI164">
            <v>1589592</v>
          </cell>
          <cell r="AJ164">
            <v>0</v>
          </cell>
          <cell r="AK164">
            <v>0</v>
          </cell>
          <cell r="AL164">
            <v>13879832</v>
          </cell>
        </row>
        <row r="165">
          <cell r="B165" t="str">
            <v>May 2016</v>
          </cell>
          <cell r="C165" t="str">
            <v>PSP</v>
          </cell>
          <cell r="D165" t="str">
            <v>LGCME563</v>
          </cell>
          <cell r="E165">
            <v>52</v>
          </cell>
          <cell r="F165">
            <v>0</v>
          </cell>
          <cell r="G165">
            <v>0</v>
          </cell>
          <cell r="H165">
            <v>0</v>
          </cell>
          <cell r="I165">
            <v>0</v>
          </cell>
          <cell r="J165">
            <v>13088103</v>
          </cell>
          <cell r="K165">
            <v>0</v>
          </cell>
          <cell r="L165">
            <v>0</v>
          </cell>
          <cell r="M165">
            <v>28296</v>
          </cell>
          <cell r="AA165">
            <v>0</v>
          </cell>
          <cell r="AB165">
            <v>0</v>
          </cell>
          <cell r="AD165">
            <v>917408.12</v>
          </cell>
          <cell r="AE165">
            <v>917403</v>
          </cell>
          <cell r="AG165">
            <v>2525</v>
          </cell>
          <cell r="AH165">
            <v>27396</v>
          </cell>
          <cell r="AI165">
            <v>136999</v>
          </cell>
          <cell r="AJ165">
            <v>0</v>
          </cell>
          <cell r="AK165">
            <v>0</v>
          </cell>
          <cell r="AL165">
            <v>1084323</v>
          </cell>
        </row>
        <row r="166">
          <cell r="B166" t="str">
            <v>May 2016</v>
          </cell>
          <cell r="C166" t="str">
            <v>PSS</v>
          </cell>
          <cell r="D166" t="str">
            <v>LGCME567</v>
          </cell>
          <cell r="E166">
            <v>0</v>
          </cell>
          <cell r="F166">
            <v>0</v>
          </cell>
          <cell r="G166">
            <v>0</v>
          </cell>
          <cell r="H166">
            <v>0</v>
          </cell>
          <cell r="I166">
            <v>0</v>
          </cell>
          <cell r="J166">
            <v>0</v>
          </cell>
          <cell r="K166">
            <v>0</v>
          </cell>
          <cell r="L166">
            <v>0</v>
          </cell>
          <cell r="M166">
            <v>0</v>
          </cell>
          <cell r="AA166">
            <v>0</v>
          </cell>
          <cell r="AB166">
            <v>0</v>
          </cell>
          <cell r="AD166">
            <v>0</v>
          </cell>
          <cell r="AE166">
            <v>0</v>
          </cell>
          <cell r="AG166">
            <v>0</v>
          </cell>
          <cell r="AH166">
            <v>0</v>
          </cell>
          <cell r="AI166">
            <v>0</v>
          </cell>
          <cell r="AJ166">
            <v>0</v>
          </cell>
          <cell r="AK166">
            <v>0</v>
          </cell>
          <cell r="AL166">
            <v>0</v>
          </cell>
        </row>
        <row r="167">
          <cell r="B167" t="str">
            <v>May 2016</v>
          </cell>
          <cell r="C167" t="str">
            <v>TODS</v>
          </cell>
          <cell r="D167" t="str">
            <v>LGCME591</v>
          </cell>
          <cell r="E167">
            <v>226</v>
          </cell>
          <cell r="F167">
            <v>0</v>
          </cell>
          <cell r="G167">
            <v>0</v>
          </cell>
          <cell r="H167">
            <v>0</v>
          </cell>
          <cell r="I167">
            <v>0</v>
          </cell>
          <cell r="J167">
            <v>67792801</v>
          </cell>
          <cell r="K167">
            <v>139944</v>
          </cell>
          <cell r="L167">
            <v>132252</v>
          </cell>
          <cell r="M167">
            <v>130554</v>
          </cell>
          <cell r="AA167">
            <v>0</v>
          </cell>
          <cell r="AB167">
            <v>0</v>
          </cell>
          <cell r="AD167">
            <v>4704050.22</v>
          </cell>
          <cell r="AE167">
            <v>4704047</v>
          </cell>
          <cell r="AG167">
            <v>13078</v>
          </cell>
          <cell r="AH167">
            <v>141903</v>
          </cell>
          <cell r="AI167">
            <v>709620</v>
          </cell>
          <cell r="AJ167">
            <v>0</v>
          </cell>
          <cell r="AK167">
            <v>0</v>
          </cell>
          <cell r="AL167">
            <v>5568648</v>
          </cell>
        </row>
        <row r="168">
          <cell r="B168" t="str">
            <v>May 2016</v>
          </cell>
          <cell r="C168" t="str">
            <v>CTODP</v>
          </cell>
          <cell r="D168" t="str">
            <v>LGCME593</v>
          </cell>
          <cell r="E168">
            <v>41</v>
          </cell>
          <cell r="F168">
            <v>0</v>
          </cell>
          <cell r="G168">
            <v>0</v>
          </cell>
          <cell r="H168">
            <v>0</v>
          </cell>
          <cell r="I168">
            <v>0</v>
          </cell>
          <cell r="J168">
            <v>32484574</v>
          </cell>
          <cell r="K168">
            <v>69868</v>
          </cell>
          <cell r="L168">
            <v>65445</v>
          </cell>
          <cell r="M168">
            <v>64848</v>
          </cell>
          <cell r="AA168">
            <v>0</v>
          </cell>
          <cell r="AB168">
            <v>0</v>
          </cell>
          <cell r="AD168">
            <v>2176388.6</v>
          </cell>
          <cell r="AE168">
            <v>2176385</v>
          </cell>
          <cell r="AG168">
            <v>6267</v>
          </cell>
          <cell r="AH168">
            <v>67996</v>
          </cell>
          <cell r="AI168">
            <v>340032</v>
          </cell>
          <cell r="AJ168">
            <v>0</v>
          </cell>
          <cell r="AK168">
            <v>0</v>
          </cell>
          <cell r="AL168">
            <v>2590680</v>
          </cell>
        </row>
        <row r="169">
          <cell r="B169" t="str">
            <v>May 2016</v>
          </cell>
          <cell r="C169" t="str">
            <v>GS3</v>
          </cell>
          <cell r="D169" t="str">
            <v>LGCME650</v>
          </cell>
          <cell r="E169">
            <v>0</v>
          </cell>
          <cell r="F169">
            <v>0</v>
          </cell>
          <cell r="G169">
            <v>0</v>
          </cell>
          <cell r="H169">
            <v>0</v>
          </cell>
          <cell r="I169">
            <v>0</v>
          </cell>
          <cell r="J169">
            <v>0</v>
          </cell>
          <cell r="K169">
            <v>0</v>
          </cell>
          <cell r="L169">
            <v>0</v>
          </cell>
          <cell r="M169">
            <v>0</v>
          </cell>
          <cell r="AA169">
            <v>0</v>
          </cell>
          <cell r="AB169">
            <v>0</v>
          </cell>
          <cell r="AD169">
            <v>0</v>
          </cell>
          <cell r="AE169">
            <v>0</v>
          </cell>
          <cell r="AG169">
            <v>0</v>
          </cell>
          <cell r="AH169">
            <v>0</v>
          </cell>
          <cell r="AI169">
            <v>0</v>
          </cell>
          <cell r="AJ169">
            <v>0</v>
          </cell>
          <cell r="AK169">
            <v>0</v>
          </cell>
          <cell r="AL169">
            <v>0</v>
          </cell>
        </row>
        <row r="170">
          <cell r="B170" t="str">
            <v>May 2016</v>
          </cell>
          <cell r="C170" t="str">
            <v>GS3</v>
          </cell>
          <cell r="D170" t="str">
            <v>LGCME651</v>
          </cell>
          <cell r="E170">
            <v>16411</v>
          </cell>
          <cell r="F170">
            <v>0</v>
          </cell>
          <cell r="G170">
            <v>0</v>
          </cell>
          <cell r="H170">
            <v>0</v>
          </cell>
          <cell r="I170">
            <v>0</v>
          </cell>
          <cell r="J170">
            <v>81600963</v>
          </cell>
          <cell r="K170">
            <v>220979</v>
          </cell>
          <cell r="L170">
            <v>0</v>
          </cell>
          <cell r="M170">
            <v>0</v>
          </cell>
          <cell r="AA170">
            <v>0</v>
          </cell>
          <cell r="AB170">
            <v>0</v>
          </cell>
          <cell r="AD170">
            <v>8027816.96</v>
          </cell>
          <cell r="AE170">
            <v>8027807</v>
          </cell>
          <cell r="AG170">
            <v>15742</v>
          </cell>
          <cell r="AH170">
            <v>170806</v>
          </cell>
          <cell r="AI170">
            <v>854157</v>
          </cell>
          <cell r="AJ170">
            <v>0</v>
          </cell>
          <cell r="AK170">
            <v>0</v>
          </cell>
          <cell r="AL170">
            <v>9068512</v>
          </cell>
        </row>
        <row r="171">
          <cell r="B171" t="str">
            <v>May 2016</v>
          </cell>
          <cell r="C171" t="str">
            <v>GS3</v>
          </cell>
          <cell r="D171" t="str">
            <v>LGCME652</v>
          </cell>
          <cell r="E171">
            <v>0</v>
          </cell>
          <cell r="F171">
            <v>0</v>
          </cell>
          <cell r="G171">
            <v>0</v>
          </cell>
          <cell r="H171">
            <v>0</v>
          </cell>
          <cell r="I171">
            <v>0</v>
          </cell>
          <cell r="J171">
            <v>0</v>
          </cell>
          <cell r="K171">
            <v>0</v>
          </cell>
          <cell r="L171">
            <v>0</v>
          </cell>
          <cell r="M171">
            <v>0</v>
          </cell>
          <cell r="AA171">
            <v>0</v>
          </cell>
          <cell r="AB171">
            <v>0</v>
          </cell>
          <cell r="AD171">
            <v>0</v>
          </cell>
          <cell r="AE171">
            <v>0</v>
          </cell>
          <cell r="AG171">
            <v>0</v>
          </cell>
          <cell r="AH171">
            <v>0</v>
          </cell>
          <cell r="AI171">
            <v>0</v>
          </cell>
          <cell r="AJ171">
            <v>0</v>
          </cell>
          <cell r="AK171">
            <v>0</v>
          </cell>
          <cell r="AL171">
            <v>0</v>
          </cell>
        </row>
        <row r="172">
          <cell r="B172" t="str">
            <v>May 2016</v>
          </cell>
          <cell r="C172" t="str">
            <v>GS3</v>
          </cell>
          <cell r="D172" t="str">
            <v>LGCME657</v>
          </cell>
          <cell r="E172">
            <v>0</v>
          </cell>
          <cell r="F172">
            <v>0</v>
          </cell>
          <cell r="G172">
            <v>0</v>
          </cell>
          <cell r="H172">
            <v>0</v>
          </cell>
          <cell r="I172">
            <v>0</v>
          </cell>
          <cell r="J172">
            <v>0</v>
          </cell>
          <cell r="K172">
            <v>0</v>
          </cell>
          <cell r="L172">
            <v>0</v>
          </cell>
          <cell r="M172">
            <v>0</v>
          </cell>
          <cell r="AA172">
            <v>0</v>
          </cell>
          <cell r="AB172">
            <v>0</v>
          </cell>
          <cell r="AD172">
            <v>0</v>
          </cell>
          <cell r="AE172">
            <v>0</v>
          </cell>
          <cell r="AG172">
            <v>0</v>
          </cell>
          <cell r="AH172">
            <v>0</v>
          </cell>
          <cell r="AI172">
            <v>0</v>
          </cell>
          <cell r="AJ172">
            <v>0</v>
          </cell>
          <cell r="AK172">
            <v>0</v>
          </cell>
          <cell r="AL172">
            <v>0</v>
          </cell>
        </row>
        <row r="173">
          <cell r="B173" t="str">
            <v>May 2016</v>
          </cell>
          <cell r="C173" t="str">
            <v>LWC</v>
          </cell>
          <cell r="D173" t="str">
            <v>LGCME671</v>
          </cell>
          <cell r="E173">
            <v>2</v>
          </cell>
          <cell r="F173">
            <v>0</v>
          </cell>
          <cell r="G173">
            <v>0</v>
          </cell>
          <cell r="H173">
            <v>0</v>
          </cell>
          <cell r="I173">
            <v>0</v>
          </cell>
          <cell r="J173">
            <v>4343400</v>
          </cell>
          <cell r="K173">
            <v>0</v>
          </cell>
          <cell r="L173">
            <v>0</v>
          </cell>
          <cell r="M173">
            <v>9429</v>
          </cell>
          <cell r="AA173">
            <v>0</v>
          </cell>
          <cell r="AB173">
            <v>0</v>
          </cell>
          <cell r="AD173">
            <v>258382.82</v>
          </cell>
          <cell r="AE173">
            <v>258384</v>
          </cell>
          <cell r="AG173">
            <v>838</v>
          </cell>
          <cell r="AH173">
            <v>0</v>
          </cell>
          <cell r="AI173">
            <v>45464</v>
          </cell>
          <cell r="AJ173">
            <v>0</v>
          </cell>
          <cell r="AK173">
            <v>0</v>
          </cell>
          <cell r="AL173">
            <v>304686</v>
          </cell>
        </row>
        <row r="174">
          <cell r="B174" t="str">
            <v>May 2016</v>
          </cell>
          <cell r="C174" t="str">
            <v>CSR</v>
          </cell>
          <cell r="D174" t="str">
            <v>LGCSR760</v>
          </cell>
          <cell r="E174">
            <v>0</v>
          </cell>
          <cell r="F174">
            <v>0</v>
          </cell>
          <cell r="G174">
            <v>0</v>
          </cell>
          <cell r="H174">
            <v>0</v>
          </cell>
          <cell r="I174">
            <v>0</v>
          </cell>
          <cell r="J174">
            <v>0</v>
          </cell>
          <cell r="K174">
            <v>0</v>
          </cell>
          <cell r="L174">
            <v>0</v>
          </cell>
          <cell r="M174">
            <v>0</v>
          </cell>
          <cell r="AA174">
            <v>0</v>
          </cell>
          <cell r="AB174">
            <v>0</v>
          </cell>
          <cell r="AD174">
            <v>0</v>
          </cell>
          <cell r="AE174">
            <v>0</v>
          </cell>
          <cell r="AG174">
            <v>0</v>
          </cell>
          <cell r="AH174">
            <v>0</v>
          </cell>
          <cell r="AI174">
            <v>0</v>
          </cell>
          <cell r="AJ174">
            <v>0</v>
          </cell>
          <cell r="AK174">
            <v>-286526</v>
          </cell>
          <cell r="AL174">
            <v>-286526</v>
          </cell>
        </row>
        <row r="175">
          <cell r="B175" t="str">
            <v>May 2016</v>
          </cell>
          <cell r="C175" t="str">
            <v>CSR</v>
          </cell>
          <cell r="D175" t="str">
            <v>LGCSR780</v>
          </cell>
          <cell r="E175">
            <v>0</v>
          </cell>
          <cell r="F175">
            <v>0</v>
          </cell>
          <cell r="G175">
            <v>0</v>
          </cell>
          <cell r="H175">
            <v>0</v>
          </cell>
          <cell r="I175">
            <v>0</v>
          </cell>
          <cell r="J175">
            <v>0</v>
          </cell>
          <cell r="K175">
            <v>0</v>
          </cell>
          <cell r="L175">
            <v>0</v>
          </cell>
          <cell r="M175">
            <v>0</v>
          </cell>
          <cell r="AA175">
            <v>0</v>
          </cell>
          <cell r="AB175">
            <v>0</v>
          </cell>
          <cell r="AD175">
            <v>0</v>
          </cell>
          <cell r="AE175">
            <v>0</v>
          </cell>
          <cell r="AG175">
            <v>0</v>
          </cell>
          <cell r="AH175">
            <v>0</v>
          </cell>
          <cell r="AI175">
            <v>0</v>
          </cell>
          <cell r="AJ175">
            <v>0</v>
          </cell>
          <cell r="AK175">
            <v>0</v>
          </cell>
          <cell r="AL175">
            <v>0</v>
          </cell>
        </row>
        <row r="176">
          <cell r="B176" t="str">
            <v>May 2016</v>
          </cell>
          <cell r="C176" t="str">
            <v>FK</v>
          </cell>
          <cell r="D176" t="str">
            <v>LGINE599</v>
          </cell>
          <cell r="E176">
            <v>1</v>
          </cell>
          <cell r="F176">
            <v>0</v>
          </cell>
          <cell r="G176">
            <v>0</v>
          </cell>
          <cell r="H176">
            <v>0</v>
          </cell>
          <cell r="I176">
            <v>0</v>
          </cell>
          <cell r="J176">
            <v>8289000</v>
          </cell>
          <cell r="K176">
            <v>0</v>
          </cell>
          <cell r="L176">
            <v>12946</v>
          </cell>
          <cell r="M176">
            <v>0</v>
          </cell>
          <cell r="AA176">
            <v>0</v>
          </cell>
          <cell r="AB176">
            <v>0</v>
          </cell>
          <cell r="AD176">
            <v>474682</v>
          </cell>
          <cell r="AE176">
            <v>474682</v>
          </cell>
          <cell r="AG176">
            <v>1599</v>
          </cell>
          <cell r="AH176">
            <v>0</v>
          </cell>
          <cell r="AI176">
            <v>86765</v>
          </cell>
          <cell r="AJ176">
            <v>0</v>
          </cell>
          <cell r="AK176">
            <v>0</v>
          </cell>
          <cell r="AL176">
            <v>563046</v>
          </cell>
        </row>
        <row r="177">
          <cell r="B177" t="str">
            <v>May 2016</v>
          </cell>
          <cell r="C177" t="str">
            <v>RTS</v>
          </cell>
          <cell r="D177" t="str">
            <v>LGINE643</v>
          </cell>
          <cell r="E177">
            <v>12</v>
          </cell>
          <cell r="F177">
            <v>0</v>
          </cell>
          <cell r="G177">
            <v>0</v>
          </cell>
          <cell r="H177">
            <v>0</v>
          </cell>
          <cell r="I177">
            <v>0</v>
          </cell>
          <cell r="J177">
            <v>88780755</v>
          </cell>
          <cell r="K177">
            <v>164840</v>
          </cell>
          <cell r="L177">
            <v>163262</v>
          </cell>
          <cell r="M177">
            <v>105280</v>
          </cell>
          <cell r="AA177">
            <v>0</v>
          </cell>
          <cell r="AB177">
            <v>0</v>
          </cell>
          <cell r="AD177">
            <v>4636105.26</v>
          </cell>
          <cell r="AE177">
            <v>4636104</v>
          </cell>
          <cell r="AG177">
            <v>17127</v>
          </cell>
          <cell r="AH177">
            <v>0</v>
          </cell>
          <cell r="AI177">
            <v>929311</v>
          </cell>
          <cell r="AJ177">
            <v>0</v>
          </cell>
          <cell r="AK177">
            <v>0</v>
          </cell>
          <cell r="AL177">
            <v>5582542</v>
          </cell>
        </row>
        <row r="178">
          <cell r="B178" t="str">
            <v>May 2016</v>
          </cell>
          <cell r="C178" t="str">
            <v>PSS</v>
          </cell>
          <cell r="D178" t="str">
            <v>LGINE661</v>
          </cell>
          <cell r="E178">
            <v>211</v>
          </cell>
          <cell r="F178">
            <v>0</v>
          </cell>
          <cell r="G178">
            <v>0</v>
          </cell>
          <cell r="H178">
            <v>0</v>
          </cell>
          <cell r="I178">
            <v>0</v>
          </cell>
          <cell r="J178">
            <v>20979803</v>
          </cell>
          <cell r="K178">
            <v>0</v>
          </cell>
          <cell r="L178">
            <v>0</v>
          </cell>
          <cell r="M178">
            <v>58644</v>
          </cell>
          <cell r="AA178">
            <v>0</v>
          </cell>
          <cell r="AB178">
            <v>0</v>
          </cell>
          <cell r="AD178">
            <v>1832531.6</v>
          </cell>
          <cell r="AE178">
            <v>1832529</v>
          </cell>
          <cell r="AG178">
            <v>4047</v>
          </cell>
          <cell r="AH178">
            <v>43915</v>
          </cell>
          <cell r="AI178">
            <v>219606</v>
          </cell>
          <cell r="AJ178">
            <v>0</v>
          </cell>
          <cell r="AK178">
            <v>0</v>
          </cell>
          <cell r="AL178">
            <v>2100097</v>
          </cell>
        </row>
        <row r="179">
          <cell r="B179" t="str">
            <v>May 2016</v>
          </cell>
          <cell r="C179" t="str">
            <v>PSP</v>
          </cell>
          <cell r="D179" t="str">
            <v>LGINE663</v>
          </cell>
          <cell r="E179">
            <v>21</v>
          </cell>
          <cell r="F179">
            <v>0</v>
          </cell>
          <cell r="G179">
            <v>0</v>
          </cell>
          <cell r="H179">
            <v>0</v>
          </cell>
          <cell r="I179">
            <v>0</v>
          </cell>
          <cell r="J179">
            <v>1232786</v>
          </cell>
          <cell r="K179">
            <v>0</v>
          </cell>
          <cell r="L179">
            <v>0</v>
          </cell>
          <cell r="M179">
            <v>4010</v>
          </cell>
          <cell r="AA179">
            <v>0</v>
          </cell>
          <cell r="AB179">
            <v>0</v>
          </cell>
          <cell r="AD179">
            <v>107908.68</v>
          </cell>
          <cell r="AE179">
            <v>107905</v>
          </cell>
          <cell r="AG179">
            <v>238</v>
          </cell>
          <cell r="AH179">
            <v>2580</v>
          </cell>
          <cell r="AI179">
            <v>12904</v>
          </cell>
          <cell r="AJ179">
            <v>0</v>
          </cell>
          <cell r="AK179">
            <v>0</v>
          </cell>
          <cell r="AL179">
            <v>123627</v>
          </cell>
        </row>
        <row r="180">
          <cell r="B180" t="str">
            <v>May 2016</v>
          </cell>
          <cell r="C180" t="str">
            <v>TODS</v>
          </cell>
          <cell r="D180" t="str">
            <v>LGINE691</v>
          </cell>
          <cell r="E180">
            <v>100</v>
          </cell>
          <cell r="F180">
            <v>0</v>
          </cell>
          <cell r="G180">
            <v>0</v>
          </cell>
          <cell r="H180">
            <v>0</v>
          </cell>
          <cell r="I180">
            <v>0</v>
          </cell>
          <cell r="J180">
            <v>24315210</v>
          </cell>
          <cell r="K180">
            <v>55168</v>
          </cell>
          <cell r="L180">
            <v>52124</v>
          </cell>
          <cell r="M180">
            <v>50849</v>
          </cell>
          <cell r="AA180">
            <v>0</v>
          </cell>
          <cell r="AB180">
            <v>0</v>
          </cell>
          <cell r="AD180">
            <v>1756615.5099999998</v>
          </cell>
          <cell r="AE180">
            <v>1756615</v>
          </cell>
          <cell r="AG180">
            <v>4691</v>
          </cell>
          <cell r="AH180">
            <v>50896</v>
          </cell>
          <cell r="AI180">
            <v>254519</v>
          </cell>
          <cell r="AJ180">
            <v>0</v>
          </cell>
          <cell r="AK180">
            <v>0</v>
          </cell>
          <cell r="AL180">
            <v>2066721</v>
          </cell>
        </row>
        <row r="181">
          <cell r="B181" t="str">
            <v>May 2016</v>
          </cell>
          <cell r="C181" t="str">
            <v>ITODP</v>
          </cell>
          <cell r="D181" t="str">
            <v>LGINE693</v>
          </cell>
          <cell r="E181">
            <v>72</v>
          </cell>
          <cell r="F181">
            <v>0</v>
          </cell>
          <cell r="G181">
            <v>0</v>
          </cell>
          <cell r="H181">
            <v>0</v>
          </cell>
          <cell r="I181">
            <v>0</v>
          </cell>
          <cell r="J181">
            <v>155453213</v>
          </cell>
          <cell r="K181">
            <v>342427</v>
          </cell>
          <cell r="L181">
            <v>310877</v>
          </cell>
          <cell r="M181">
            <v>306747</v>
          </cell>
          <cell r="AA181">
            <v>0</v>
          </cell>
          <cell r="AB181">
            <v>0</v>
          </cell>
          <cell r="AD181">
            <v>9363007.129999999</v>
          </cell>
          <cell r="AE181">
            <v>9363006</v>
          </cell>
          <cell r="AG181">
            <v>29989</v>
          </cell>
          <cell r="AH181">
            <v>325393</v>
          </cell>
          <cell r="AI181">
            <v>1627204</v>
          </cell>
          <cell r="AJ181">
            <v>0</v>
          </cell>
          <cell r="AK181">
            <v>0</v>
          </cell>
          <cell r="AL181">
            <v>11345592</v>
          </cell>
        </row>
        <row r="182">
          <cell r="B182" t="str">
            <v>May 2016</v>
          </cell>
          <cell r="C182" t="str">
            <v>ITODP</v>
          </cell>
          <cell r="D182" t="str">
            <v>LGINE694</v>
          </cell>
          <cell r="E182">
            <v>0</v>
          </cell>
          <cell r="F182">
            <v>0</v>
          </cell>
          <cell r="G182">
            <v>0</v>
          </cell>
          <cell r="H182">
            <v>0</v>
          </cell>
          <cell r="I182">
            <v>0</v>
          </cell>
          <cell r="J182">
            <v>0</v>
          </cell>
          <cell r="K182">
            <v>0</v>
          </cell>
          <cell r="L182">
            <v>0</v>
          </cell>
          <cell r="M182">
            <v>0</v>
          </cell>
          <cell r="AA182">
            <v>0</v>
          </cell>
          <cell r="AB182">
            <v>0</v>
          </cell>
          <cell r="AD182">
            <v>0</v>
          </cell>
          <cell r="AE182">
            <v>0</v>
          </cell>
          <cell r="AG182">
            <v>0</v>
          </cell>
          <cell r="AH182">
            <v>0</v>
          </cell>
          <cell r="AI182">
            <v>0</v>
          </cell>
          <cell r="AJ182">
            <v>0</v>
          </cell>
          <cell r="AK182">
            <v>0</v>
          </cell>
          <cell r="AL182">
            <v>0</v>
          </cell>
        </row>
        <row r="183">
          <cell r="B183" t="str">
            <v>May 2016</v>
          </cell>
          <cell r="C183" t="str">
            <v>LE</v>
          </cell>
          <cell r="D183" t="str">
            <v>LGMLE570</v>
          </cell>
          <cell r="E183">
            <v>0</v>
          </cell>
          <cell r="F183">
            <v>0</v>
          </cell>
          <cell r="G183">
            <v>0</v>
          </cell>
          <cell r="H183">
            <v>0</v>
          </cell>
          <cell r="I183">
            <v>0</v>
          </cell>
          <cell r="J183">
            <v>0</v>
          </cell>
          <cell r="K183">
            <v>0</v>
          </cell>
          <cell r="L183">
            <v>0</v>
          </cell>
          <cell r="M183">
            <v>0</v>
          </cell>
          <cell r="AA183">
            <v>0</v>
          </cell>
          <cell r="AB183">
            <v>0</v>
          </cell>
          <cell r="AD183">
            <v>0</v>
          </cell>
          <cell r="AE183">
            <v>0</v>
          </cell>
          <cell r="AG183">
            <v>0</v>
          </cell>
          <cell r="AH183">
            <v>0</v>
          </cell>
          <cell r="AI183">
            <v>0</v>
          </cell>
          <cell r="AJ183">
            <v>0</v>
          </cell>
          <cell r="AK183">
            <v>0</v>
          </cell>
          <cell r="AL183">
            <v>0</v>
          </cell>
        </row>
        <row r="184">
          <cell r="B184" t="str">
            <v>May 2016</v>
          </cell>
          <cell r="C184" t="str">
            <v>LE</v>
          </cell>
          <cell r="D184" t="str">
            <v>LGMLE571</v>
          </cell>
          <cell r="E184">
            <v>156</v>
          </cell>
          <cell r="F184">
            <v>0</v>
          </cell>
          <cell r="G184">
            <v>0</v>
          </cell>
          <cell r="H184">
            <v>0</v>
          </cell>
          <cell r="I184">
            <v>0</v>
          </cell>
          <cell r="J184">
            <v>306985</v>
          </cell>
          <cell r="K184">
            <v>0</v>
          </cell>
          <cell r="L184">
            <v>0</v>
          </cell>
          <cell r="M184">
            <v>0</v>
          </cell>
          <cell r="AA184">
            <v>0</v>
          </cell>
          <cell r="AB184">
            <v>0</v>
          </cell>
          <cell r="AD184">
            <v>19834.3</v>
          </cell>
          <cell r="AE184">
            <v>0</v>
          </cell>
          <cell r="AG184">
            <v>0</v>
          </cell>
          <cell r="AH184">
            <v>0</v>
          </cell>
          <cell r="AI184">
            <v>0</v>
          </cell>
          <cell r="AJ184">
            <v>0</v>
          </cell>
          <cell r="AK184">
            <v>0</v>
          </cell>
          <cell r="AL184">
            <v>0</v>
          </cell>
        </row>
        <row r="185">
          <cell r="B185" t="str">
            <v>May 2016</v>
          </cell>
          <cell r="C185" t="str">
            <v>LE</v>
          </cell>
          <cell r="D185" t="str">
            <v>LGMLE572</v>
          </cell>
          <cell r="E185">
            <v>0</v>
          </cell>
          <cell r="F185">
            <v>0</v>
          </cell>
          <cell r="G185">
            <v>0</v>
          </cell>
          <cell r="H185">
            <v>0</v>
          </cell>
          <cell r="I185">
            <v>0</v>
          </cell>
          <cell r="J185">
            <v>0</v>
          </cell>
          <cell r="K185">
            <v>0</v>
          </cell>
          <cell r="L185">
            <v>0</v>
          </cell>
          <cell r="M185">
            <v>0</v>
          </cell>
          <cell r="AA185">
            <v>0</v>
          </cell>
          <cell r="AB185">
            <v>0</v>
          </cell>
          <cell r="AD185">
            <v>0</v>
          </cell>
          <cell r="AE185">
            <v>0</v>
          </cell>
          <cell r="AG185">
            <v>0</v>
          </cell>
          <cell r="AH185">
            <v>0</v>
          </cell>
          <cell r="AI185">
            <v>0</v>
          </cell>
          <cell r="AJ185">
            <v>0</v>
          </cell>
          <cell r="AK185">
            <v>0</v>
          </cell>
          <cell r="AL185">
            <v>0</v>
          </cell>
        </row>
        <row r="186">
          <cell r="B186" t="str">
            <v>May 2016</v>
          </cell>
          <cell r="C186" t="str">
            <v>TE</v>
          </cell>
          <cell r="D186" t="str">
            <v>LGMLE573</v>
          </cell>
          <cell r="E186">
            <v>905</v>
          </cell>
          <cell r="F186">
            <v>0</v>
          </cell>
          <cell r="G186">
            <v>0</v>
          </cell>
          <cell r="H186">
            <v>0</v>
          </cell>
          <cell r="I186">
            <v>0</v>
          </cell>
          <cell r="J186">
            <v>274260</v>
          </cell>
          <cell r="K186">
            <v>0</v>
          </cell>
          <cell r="L186">
            <v>0</v>
          </cell>
          <cell r="M186">
            <v>0</v>
          </cell>
          <cell r="AA186">
            <v>0</v>
          </cell>
          <cell r="AB186">
            <v>0</v>
          </cell>
          <cell r="AD186">
            <v>23944.080000000002</v>
          </cell>
          <cell r="AE186">
            <v>0</v>
          </cell>
          <cell r="AG186">
            <v>0</v>
          </cell>
          <cell r="AH186">
            <v>0</v>
          </cell>
          <cell r="AI186">
            <v>0</v>
          </cell>
          <cell r="AJ186">
            <v>0</v>
          </cell>
          <cell r="AK186">
            <v>0</v>
          </cell>
          <cell r="AL186">
            <v>0</v>
          </cell>
        </row>
        <row r="187">
          <cell r="B187" t="str">
            <v>May 2016</v>
          </cell>
          <cell r="C187" t="str">
            <v>TE</v>
          </cell>
          <cell r="D187" t="str">
            <v>LGMLE574</v>
          </cell>
          <cell r="E187">
            <v>0</v>
          </cell>
          <cell r="F187">
            <v>0</v>
          </cell>
          <cell r="G187">
            <v>0</v>
          </cell>
          <cell r="H187">
            <v>0</v>
          </cell>
          <cell r="I187">
            <v>0</v>
          </cell>
          <cell r="J187">
            <v>0</v>
          </cell>
          <cell r="K187">
            <v>0</v>
          </cell>
          <cell r="L187">
            <v>0</v>
          </cell>
          <cell r="M187">
            <v>0</v>
          </cell>
          <cell r="AA187">
            <v>0</v>
          </cell>
          <cell r="AB187">
            <v>0</v>
          </cell>
          <cell r="AD187">
            <v>0</v>
          </cell>
          <cell r="AE187">
            <v>0</v>
          </cell>
          <cell r="AG187">
            <v>0</v>
          </cell>
          <cell r="AH187">
            <v>0</v>
          </cell>
          <cell r="AI187">
            <v>0</v>
          </cell>
          <cell r="AJ187">
            <v>0</v>
          </cell>
          <cell r="AK187">
            <v>0</v>
          </cell>
          <cell r="AL187">
            <v>0</v>
          </cell>
        </row>
        <row r="188">
          <cell r="B188" t="str">
            <v>May 2016</v>
          </cell>
          <cell r="C188" t="str">
            <v>RS</v>
          </cell>
          <cell r="D188" t="str">
            <v>LGRSE411</v>
          </cell>
          <cell r="E188">
            <v>0</v>
          </cell>
          <cell r="F188">
            <v>0</v>
          </cell>
          <cell r="G188">
            <v>0</v>
          </cell>
          <cell r="H188">
            <v>0</v>
          </cell>
          <cell r="I188">
            <v>0</v>
          </cell>
          <cell r="J188">
            <v>0</v>
          </cell>
          <cell r="K188">
            <v>0</v>
          </cell>
          <cell r="L188">
            <v>0</v>
          </cell>
          <cell r="M188">
            <v>0</v>
          </cell>
          <cell r="AA188">
            <v>0</v>
          </cell>
          <cell r="AB188">
            <v>0</v>
          </cell>
          <cell r="AD188">
            <v>0</v>
          </cell>
          <cell r="AE188">
            <v>0</v>
          </cell>
          <cell r="AG188">
            <v>0</v>
          </cell>
          <cell r="AH188">
            <v>0</v>
          </cell>
          <cell r="AI188">
            <v>0</v>
          </cell>
          <cell r="AJ188">
            <v>0</v>
          </cell>
          <cell r="AK188">
            <v>0</v>
          </cell>
          <cell r="AL188">
            <v>0</v>
          </cell>
        </row>
        <row r="189">
          <cell r="B189" t="str">
            <v>May 2016</v>
          </cell>
          <cell r="C189" t="str">
            <v>RS</v>
          </cell>
          <cell r="D189" t="str">
            <v>LGRSE511</v>
          </cell>
          <cell r="E189">
            <v>362413</v>
          </cell>
          <cell r="F189">
            <v>0</v>
          </cell>
          <cell r="G189">
            <v>0</v>
          </cell>
          <cell r="H189">
            <v>0</v>
          </cell>
          <cell r="I189">
            <v>0</v>
          </cell>
          <cell r="J189">
            <v>295355367</v>
          </cell>
          <cell r="K189">
            <v>0</v>
          </cell>
          <cell r="L189">
            <v>0</v>
          </cell>
          <cell r="M189">
            <v>0</v>
          </cell>
          <cell r="AA189">
            <v>0</v>
          </cell>
          <cell r="AB189">
            <v>0</v>
          </cell>
          <cell r="AD189">
            <v>27748839.190000001</v>
          </cell>
          <cell r="AE189">
            <v>27752309</v>
          </cell>
          <cell r="AG189">
            <v>56986</v>
          </cell>
          <cell r="AH189">
            <v>618320</v>
          </cell>
          <cell r="AI189">
            <v>3092047</v>
          </cell>
          <cell r="AJ189">
            <v>0</v>
          </cell>
          <cell r="AK189">
            <v>0</v>
          </cell>
          <cell r="AL189">
            <v>31519662</v>
          </cell>
        </row>
        <row r="190">
          <cell r="B190" t="str">
            <v>May 2016</v>
          </cell>
          <cell r="C190" t="str">
            <v>RS</v>
          </cell>
          <cell r="D190" t="str">
            <v>LGRSE519</v>
          </cell>
          <cell r="E190">
            <v>0</v>
          </cell>
          <cell r="F190">
            <v>0</v>
          </cell>
          <cell r="G190">
            <v>0</v>
          </cell>
          <cell r="H190">
            <v>0</v>
          </cell>
          <cell r="I190">
            <v>0</v>
          </cell>
          <cell r="J190">
            <v>0</v>
          </cell>
          <cell r="K190">
            <v>0</v>
          </cell>
          <cell r="L190">
            <v>0</v>
          </cell>
          <cell r="M190">
            <v>0</v>
          </cell>
          <cell r="AA190">
            <v>0</v>
          </cell>
          <cell r="AB190">
            <v>0</v>
          </cell>
          <cell r="AD190">
            <v>0</v>
          </cell>
          <cell r="AE190">
            <v>0</v>
          </cell>
          <cell r="AG190">
            <v>0</v>
          </cell>
          <cell r="AH190">
            <v>0</v>
          </cell>
          <cell r="AI190">
            <v>0</v>
          </cell>
          <cell r="AJ190">
            <v>0</v>
          </cell>
          <cell r="AK190">
            <v>0</v>
          </cell>
          <cell r="AL190">
            <v>0</v>
          </cell>
        </row>
        <row r="191">
          <cell r="B191" t="str">
            <v>May 2016</v>
          </cell>
          <cell r="C191" t="str">
            <v>RS</v>
          </cell>
          <cell r="D191" t="str">
            <v>LGRSE540</v>
          </cell>
          <cell r="E191">
            <v>0</v>
          </cell>
          <cell r="F191">
            <v>0</v>
          </cell>
          <cell r="G191">
            <v>0</v>
          </cell>
          <cell r="H191">
            <v>0</v>
          </cell>
          <cell r="I191">
            <v>0</v>
          </cell>
          <cell r="J191">
            <v>0</v>
          </cell>
          <cell r="K191">
            <v>0</v>
          </cell>
          <cell r="L191">
            <v>0</v>
          </cell>
          <cell r="M191">
            <v>0</v>
          </cell>
          <cell r="AA191">
            <v>0</v>
          </cell>
          <cell r="AB191">
            <v>0</v>
          </cell>
          <cell r="AD191">
            <v>0</v>
          </cell>
          <cell r="AE191">
            <v>0</v>
          </cell>
          <cell r="AG191">
            <v>0</v>
          </cell>
          <cell r="AH191">
            <v>0</v>
          </cell>
          <cell r="AI191">
            <v>0</v>
          </cell>
          <cell r="AJ191">
            <v>0</v>
          </cell>
          <cell r="AK191">
            <v>0</v>
          </cell>
          <cell r="AL191">
            <v>0</v>
          </cell>
        </row>
        <row r="192">
          <cell r="B192" t="str">
            <v>May 2016</v>
          </cell>
          <cell r="C192" t="str">
            <v>LEV</v>
          </cell>
          <cell r="D192" t="str">
            <v>LGRSE543</v>
          </cell>
          <cell r="E192">
            <v>21</v>
          </cell>
          <cell r="F192">
            <v>0</v>
          </cell>
          <cell r="G192">
            <v>23432</v>
          </cell>
          <cell r="H192">
            <v>8205</v>
          </cell>
          <cell r="I192">
            <v>8534</v>
          </cell>
          <cell r="J192">
            <v>40171</v>
          </cell>
          <cell r="K192">
            <v>0</v>
          </cell>
          <cell r="L192">
            <v>0</v>
          </cell>
          <cell r="M192">
            <v>0</v>
          </cell>
          <cell r="AA192">
            <v>0</v>
          </cell>
          <cell r="AB192">
            <v>0</v>
          </cell>
          <cell r="AD192">
            <v>3470.85</v>
          </cell>
          <cell r="AE192">
            <v>0</v>
          </cell>
          <cell r="AG192">
            <v>0</v>
          </cell>
          <cell r="AH192">
            <v>0</v>
          </cell>
          <cell r="AI192">
            <v>0</v>
          </cell>
          <cell r="AJ192">
            <v>0</v>
          </cell>
          <cell r="AK192">
            <v>0</v>
          </cell>
          <cell r="AL192">
            <v>0</v>
          </cell>
        </row>
        <row r="193">
          <cell r="B193" t="str">
            <v>May 2016</v>
          </cell>
          <cell r="C193" t="str">
            <v>LEV</v>
          </cell>
          <cell r="D193" t="str">
            <v>LGRSE547</v>
          </cell>
          <cell r="E193">
            <v>0</v>
          </cell>
          <cell r="F193">
            <v>0</v>
          </cell>
          <cell r="G193">
            <v>0</v>
          </cell>
          <cell r="H193">
            <v>0</v>
          </cell>
          <cell r="I193">
            <v>0</v>
          </cell>
          <cell r="J193">
            <v>0</v>
          </cell>
          <cell r="K193">
            <v>0</v>
          </cell>
          <cell r="L193">
            <v>0</v>
          </cell>
          <cell r="M193">
            <v>0</v>
          </cell>
          <cell r="AA193">
            <v>0</v>
          </cell>
          <cell r="AB193">
            <v>0</v>
          </cell>
          <cell r="AD193">
            <v>0</v>
          </cell>
          <cell r="AE193">
            <v>0</v>
          </cell>
          <cell r="AG193">
            <v>0</v>
          </cell>
          <cell r="AH193">
            <v>0</v>
          </cell>
          <cell r="AI193">
            <v>0</v>
          </cell>
          <cell r="AJ193">
            <v>0</v>
          </cell>
          <cell r="AK193">
            <v>0</v>
          </cell>
          <cell r="AL193">
            <v>0</v>
          </cell>
        </row>
        <row r="194">
          <cell r="B194" t="str">
            <v>Jun 2016</v>
          </cell>
          <cell r="C194" t="str">
            <v>FLSP</v>
          </cell>
          <cell r="D194" t="str">
            <v>LGINE682</v>
          </cell>
          <cell r="E194">
            <v>0</v>
          </cell>
          <cell r="F194">
            <v>0</v>
          </cell>
          <cell r="G194">
            <v>0</v>
          </cell>
          <cell r="H194">
            <v>0</v>
          </cell>
          <cell r="I194">
            <v>0</v>
          </cell>
          <cell r="J194">
            <v>0</v>
          </cell>
          <cell r="K194">
            <v>0</v>
          </cell>
          <cell r="L194">
            <v>0</v>
          </cell>
          <cell r="M194">
            <v>0</v>
          </cell>
          <cell r="AA194">
            <v>0</v>
          </cell>
          <cell r="AB194">
            <v>0</v>
          </cell>
          <cell r="AD194">
            <v>0</v>
          </cell>
          <cell r="AE194">
            <v>0</v>
          </cell>
          <cell r="AG194">
            <v>0</v>
          </cell>
          <cell r="AH194">
            <v>0</v>
          </cell>
          <cell r="AI194">
            <v>0</v>
          </cell>
          <cell r="AJ194">
            <v>0</v>
          </cell>
          <cell r="AK194">
            <v>0</v>
          </cell>
          <cell r="AL194">
            <v>0</v>
          </cell>
        </row>
        <row r="195">
          <cell r="B195" t="str">
            <v>Jun 2016</v>
          </cell>
          <cell r="C195" t="str">
            <v>FLST</v>
          </cell>
          <cell r="D195" t="str">
            <v>LGINE683</v>
          </cell>
          <cell r="E195">
            <v>0</v>
          </cell>
          <cell r="F195">
            <v>0</v>
          </cell>
          <cell r="G195">
            <v>0</v>
          </cell>
          <cell r="H195">
            <v>0</v>
          </cell>
          <cell r="I195">
            <v>0</v>
          </cell>
          <cell r="J195">
            <v>0</v>
          </cell>
          <cell r="K195">
            <v>0</v>
          </cell>
          <cell r="L195">
            <v>0</v>
          </cell>
          <cell r="M195">
            <v>0</v>
          </cell>
          <cell r="AA195">
            <v>0</v>
          </cell>
          <cell r="AB195">
            <v>0</v>
          </cell>
          <cell r="AD195">
            <v>0</v>
          </cell>
          <cell r="AE195">
            <v>0</v>
          </cell>
          <cell r="AG195">
            <v>0</v>
          </cell>
          <cell r="AH195">
            <v>0</v>
          </cell>
          <cell r="AI195">
            <v>0</v>
          </cell>
          <cell r="AJ195">
            <v>0</v>
          </cell>
          <cell r="AK195">
            <v>0</v>
          </cell>
          <cell r="AL195">
            <v>0</v>
          </cell>
        </row>
        <row r="196">
          <cell r="B196" t="str">
            <v>Jun 2016</v>
          </cell>
          <cell r="C196" t="str">
            <v>GS</v>
          </cell>
          <cell r="D196" t="str">
            <v>LGCME451</v>
          </cell>
          <cell r="E196">
            <v>0</v>
          </cell>
          <cell r="F196">
            <v>0</v>
          </cell>
          <cell r="G196">
            <v>0</v>
          </cell>
          <cell r="H196">
            <v>0</v>
          </cell>
          <cell r="I196">
            <v>0</v>
          </cell>
          <cell r="J196">
            <v>0</v>
          </cell>
          <cell r="K196">
            <v>0</v>
          </cell>
          <cell r="L196">
            <v>0</v>
          </cell>
          <cell r="M196">
            <v>0</v>
          </cell>
          <cell r="AA196">
            <v>0</v>
          </cell>
          <cell r="AB196">
            <v>0</v>
          </cell>
          <cell r="AD196">
            <v>0</v>
          </cell>
          <cell r="AE196">
            <v>0</v>
          </cell>
          <cell r="AG196">
            <v>0</v>
          </cell>
          <cell r="AH196">
            <v>0</v>
          </cell>
          <cell r="AI196">
            <v>0</v>
          </cell>
          <cell r="AJ196">
            <v>0</v>
          </cell>
          <cell r="AK196">
            <v>0</v>
          </cell>
          <cell r="AL196">
            <v>0</v>
          </cell>
        </row>
        <row r="197">
          <cell r="B197" t="str">
            <v>Jun 2016</v>
          </cell>
          <cell r="C197" t="str">
            <v>GS</v>
          </cell>
          <cell r="D197" t="str">
            <v>LGCME550</v>
          </cell>
          <cell r="E197">
            <v>0</v>
          </cell>
          <cell r="F197">
            <v>0</v>
          </cell>
          <cell r="G197">
            <v>0</v>
          </cell>
          <cell r="H197">
            <v>0</v>
          </cell>
          <cell r="I197">
            <v>0</v>
          </cell>
          <cell r="J197">
            <v>0</v>
          </cell>
          <cell r="K197">
            <v>0</v>
          </cell>
          <cell r="L197">
            <v>0</v>
          </cell>
          <cell r="M197">
            <v>0</v>
          </cell>
          <cell r="AA197">
            <v>0</v>
          </cell>
          <cell r="AB197">
            <v>0</v>
          </cell>
          <cell r="AD197">
            <v>0</v>
          </cell>
          <cell r="AE197">
            <v>0</v>
          </cell>
          <cell r="AG197">
            <v>0</v>
          </cell>
          <cell r="AH197">
            <v>0</v>
          </cell>
          <cell r="AI197">
            <v>0</v>
          </cell>
          <cell r="AJ197">
            <v>0</v>
          </cell>
          <cell r="AK197">
            <v>0</v>
          </cell>
          <cell r="AL197">
            <v>0</v>
          </cell>
        </row>
        <row r="198">
          <cell r="B198" t="str">
            <v>Jun 2016</v>
          </cell>
          <cell r="C198" t="str">
            <v>GS</v>
          </cell>
          <cell r="D198" t="str">
            <v>LGCME551</v>
          </cell>
          <cell r="E198">
            <v>28274</v>
          </cell>
          <cell r="F198">
            <v>0</v>
          </cell>
          <cell r="G198">
            <v>0</v>
          </cell>
          <cell r="H198">
            <v>0</v>
          </cell>
          <cell r="I198">
            <v>0</v>
          </cell>
          <cell r="J198">
            <v>36031760</v>
          </cell>
          <cell r="K198">
            <v>0</v>
          </cell>
          <cell r="L198">
            <v>0</v>
          </cell>
          <cell r="M198">
            <v>0</v>
          </cell>
          <cell r="AA198">
            <v>0</v>
          </cell>
          <cell r="AB198">
            <v>0</v>
          </cell>
          <cell r="AD198">
            <v>3856620.96</v>
          </cell>
          <cell r="AE198">
            <v>3856622</v>
          </cell>
          <cell r="AG198">
            <v>54588</v>
          </cell>
          <cell r="AH198">
            <v>59241</v>
          </cell>
          <cell r="AI198">
            <v>332547</v>
          </cell>
          <cell r="AJ198">
            <v>0</v>
          </cell>
          <cell r="AK198">
            <v>0</v>
          </cell>
          <cell r="AL198">
            <v>4302998</v>
          </cell>
        </row>
        <row r="199">
          <cell r="B199" t="str">
            <v>Jun 2016</v>
          </cell>
          <cell r="C199" t="str">
            <v>GS</v>
          </cell>
          <cell r="D199" t="str">
            <v>LGCME551UM</v>
          </cell>
          <cell r="E199">
            <v>0</v>
          </cell>
          <cell r="F199">
            <v>0</v>
          </cell>
          <cell r="G199">
            <v>0</v>
          </cell>
          <cell r="H199">
            <v>0</v>
          </cell>
          <cell r="I199">
            <v>0</v>
          </cell>
          <cell r="J199">
            <v>0</v>
          </cell>
          <cell r="K199">
            <v>0</v>
          </cell>
          <cell r="L199">
            <v>0</v>
          </cell>
          <cell r="M199">
            <v>0</v>
          </cell>
          <cell r="AA199">
            <v>0</v>
          </cell>
          <cell r="AB199">
            <v>0</v>
          </cell>
          <cell r="AD199">
            <v>0</v>
          </cell>
          <cell r="AE199">
            <v>0</v>
          </cell>
          <cell r="AG199">
            <v>0</v>
          </cell>
          <cell r="AH199">
            <v>0</v>
          </cell>
          <cell r="AI199">
            <v>0</v>
          </cell>
          <cell r="AJ199">
            <v>0</v>
          </cell>
          <cell r="AK199">
            <v>0</v>
          </cell>
          <cell r="AL199">
            <v>0</v>
          </cell>
        </row>
        <row r="200">
          <cell r="B200" t="str">
            <v>Jun 2016</v>
          </cell>
          <cell r="C200" t="str">
            <v>GS</v>
          </cell>
          <cell r="D200" t="str">
            <v>LGCME552</v>
          </cell>
          <cell r="E200">
            <v>0</v>
          </cell>
          <cell r="F200">
            <v>0</v>
          </cell>
          <cell r="G200">
            <v>0</v>
          </cell>
          <cell r="H200">
            <v>0</v>
          </cell>
          <cell r="I200">
            <v>0</v>
          </cell>
          <cell r="J200">
            <v>0</v>
          </cell>
          <cell r="K200">
            <v>0</v>
          </cell>
          <cell r="L200">
            <v>0</v>
          </cell>
          <cell r="M200">
            <v>0</v>
          </cell>
          <cell r="AA200">
            <v>0</v>
          </cell>
          <cell r="AB200">
            <v>0</v>
          </cell>
          <cell r="AD200">
            <v>0</v>
          </cell>
          <cell r="AE200">
            <v>0</v>
          </cell>
          <cell r="AG200">
            <v>0</v>
          </cell>
          <cell r="AH200">
            <v>0</v>
          </cell>
          <cell r="AI200">
            <v>0</v>
          </cell>
          <cell r="AJ200">
            <v>0</v>
          </cell>
          <cell r="AK200">
            <v>0</v>
          </cell>
          <cell r="AL200">
            <v>0</v>
          </cell>
        </row>
        <row r="201">
          <cell r="B201" t="str">
            <v>Jun 2016</v>
          </cell>
          <cell r="C201" t="str">
            <v>GS</v>
          </cell>
          <cell r="D201" t="str">
            <v>LGCME557</v>
          </cell>
          <cell r="E201">
            <v>0</v>
          </cell>
          <cell r="F201">
            <v>0</v>
          </cell>
          <cell r="G201">
            <v>0</v>
          </cell>
          <cell r="H201">
            <v>0</v>
          </cell>
          <cell r="I201">
            <v>0</v>
          </cell>
          <cell r="J201">
            <v>0</v>
          </cell>
          <cell r="K201">
            <v>0</v>
          </cell>
          <cell r="L201">
            <v>0</v>
          </cell>
          <cell r="M201">
            <v>0</v>
          </cell>
          <cell r="AA201">
            <v>0</v>
          </cell>
          <cell r="AB201">
            <v>0</v>
          </cell>
          <cell r="AD201">
            <v>0</v>
          </cell>
          <cell r="AE201">
            <v>0</v>
          </cell>
          <cell r="AG201">
            <v>0</v>
          </cell>
          <cell r="AH201">
            <v>0</v>
          </cell>
          <cell r="AI201">
            <v>0</v>
          </cell>
          <cell r="AJ201">
            <v>0</v>
          </cell>
          <cell r="AK201">
            <v>0</v>
          </cell>
          <cell r="AL201">
            <v>0</v>
          </cell>
        </row>
        <row r="202">
          <cell r="B202" t="str">
            <v>Jun 2016</v>
          </cell>
          <cell r="C202" t="str">
            <v>PSS</v>
          </cell>
          <cell r="D202" t="str">
            <v>LGCME561</v>
          </cell>
          <cell r="E202">
            <v>2585</v>
          </cell>
          <cell r="F202">
            <v>0</v>
          </cell>
          <cell r="G202">
            <v>0</v>
          </cell>
          <cell r="H202">
            <v>0</v>
          </cell>
          <cell r="I202">
            <v>0</v>
          </cell>
          <cell r="J202">
            <v>170619420</v>
          </cell>
          <cell r="K202">
            <v>0</v>
          </cell>
          <cell r="L202">
            <v>0</v>
          </cell>
          <cell r="M202">
            <v>389231</v>
          </cell>
          <cell r="AA202">
            <v>0</v>
          </cell>
          <cell r="AB202">
            <v>0</v>
          </cell>
          <cell r="AD202">
            <v>13543186.850000001</v>
          </cell>
          <cell r="AE202">
            <v>13543179</v>
          </cell>
          <cell r="AG202">
            <v>258487</v>
          </cell>
          <cell r="AH202">
            <v>280522</v>
          </cell>
          <cell r="AI202">
            <v>1574695</v>
          </cell>
          <cell r="AJ202">
            <v>0</v>
          </cell>
          <cell r="AK202">
            <v>0</v>
          </cell>
          <cell r="AL202">
            <v>15656883</v>
          </cell>
        </row>
        <row r="203">
          <cell r="B203" t="str">
            <v>Jun 2016</v>
          </cell>
          <cell r="C203" t="str">
            <v>PSP</v>
          </cell>
          <cell r="D203" t="str">
            <v>LGCME563</v>
          </cell>
          <cell r="E203">
            <v>52</v>
          </cell>
          <cell r="F203">
            <v>0</v>
          </cell>
          <cell r="G203">
            <v>0</v>
          </cell>
          <cell r="H203">
            <v>0</v>
          </cell>
          <cell r="I203">
            <v>0</v>
          </cell>
          <cell r="J203">
            <v>14473039</v>
          </cell>
          <cell r="K203">
            <v>0</v>
          </cell>
          <cell r="L203">
            <v>0</v>
          </cell>
          <cell r="M203">
            <v>32085</v>
          </cell>
          <cell r="AA203">
            <v>0</v>
          </cell>
          <cell r="AB203">
            <v>0</v>
          </cell>
          <cell r="AD203">
            <v>1024637.26</v>
          </cell>
          <cell r="AE203">
            <v>1024638</v>
          </cell>
          <cell r="AG203">
            <v>21927</v>
          </cell>
          <cell r="AH203">
            <v>23796</v>
          </cell>
          <cell r="AI203">
            <v>133576</v>
          </cell>
          <cell r="AJ203">
            <v>0</v>
          </cell>
          <cell r="AK203">
            <v>0</v>
          </cell>
          <cell r="AL203">
            <v>1203937</v>
          </cell>
        </row>
        <row r="204">
          <cell r="B204" t="str">
            <v>Jun 2016</v>
          </cell>
          <cell r="C204" t="str">
            <v>PSS</v>
          </cell>
          <cell r="D204" t="str">
            <v>LGCME567</v>
          </cell>
          <cell r="E204">
            <v>0</v>
          </cell>
          <cell r="F204">
            <v>0</v>
          </cell>
          <cell r="G204">
            <v>0</v>
          </cell>
          <cell r="H204">
            <v>0</v>
          </cell>
          <cell r="I204">
            <v>0</v>
          </cell>
          <cell r="J204">
            <v>0</v>
          </cell>
          <cell r="K204">
            <v>0</v>
          </cell>
          <cell r="L204">
            <v>0</v>
          </cell>
          <cell r="M204">
            <v>0</v>
          </cell>
          <cell r="AA204">
            <v>0</v>
          </cell>
          <cell r="AB204">
            <v>0</v>
          </cell>
          <cell r="AD204">
            <v>0</v>
          </cell>
          <cell r="AE204">
            <v>0</v>
          </cell>
          <cell r="AG204">
            <v>0</v>
          </cell>
          <cell r="AH204">
            <v>0</v>
          </cell>
          <cell r="AI204">
            <v>0</v>
          </cell>
          <cell r="AJ204">
            <v>0</v>
          </cell>
          <cell r="AK204">
            <v>0</v>
          </cell>
          <cell r="AL204">
            <v>0</v>
          </cell>
        </row>
        <row r="205">
          <cell r="B205" t="str">
            <v>Jun 2016</v>
          </cell>
          <cell r="C205" t="str">
            <v>TODS</v>
          </cell>
          <cell r="D205" t="str">
            <v>LGCME591</v>
          </cell>
          <cell r="E205">
            <v>227</v>
          </cell>
          <cell r="F205">
            <v>0</v>
          </cell>
          <cell r="G205">
            <v>0</v>
          </cell>
          <cell r="H205">
            <v>0</v>
          </cell>
          <cell r="I205">
            <v>0</v>
          </cell>
          <cell r="J205">
            <v>76748015</v>
          </cell>
          <cell r="K205">
            <v>155338</v>
          </cell>
          <cell r="L205">
            <v>149375</v>
          </cell>
          <cell r="M205">
            <v>147579</v>
          </cell>
          <cell r="AA205">
            <v>0</v>
          </cell>
          <cell r="AB205">
            <v>0</v>
          </cell>
          <cell r="AD205">
            <v>5304386.74</v>
          </cell>
          <cell r="AE205">
            <v>5304388</v>
          </cell>
          <cell r="AG205">
            <v>116272</v>
          </cell>
          <cell r="AH205">
            <v>126184</v>
          </cell>
          <cell r="AI205">
            <v>708329</v>
          </cell>
          <cell r="AJ205">
            <v>0</v>
          </cell>
          <cell r="AK205">
            <v>0</v>
          </cell>
          <cell r="AL205">
            <v>6255173</v>
          </cell>
        </row>
        <row r="206">
          <cell r="B206" t="str">
            <v>Jun 2016</v>
          </cell>
          <cell r="C206" t="str">
            <v>CTODP</v>
          </cell>
          <cell r="D206" t="str">
            <v>LGCME593</v>
          </cell>
          <cell r="E206">
            <v>41</v>
          </cell>
          <cell r="F206">
            <v>0</v>
          </cell>
          <cell r="G206">
            <v>0</v>
          </cell>
          <cell r="H206">
            <v>0</v>
          </cell>
          <cell r="I206">
            <v>0</v>
          </cell>
          <cell r="J206">
            <v>35716090</v>
          </cell>
          <cell r="K206">
            <v>80665</v>
          </cell>
          <cell r="L206">
            <v>74590</v>
          </cell>
          <cell r="M206">
            <v>73984</v>
          </cell>
          <cell r="AA206">
            <v>0</v>
          </cell>
          <cell r="AB206">
            <v>0</v>
          </cell>
          <cell r="AD206">
            <v>2433513.15</v>
          </cell>
          <cell r="AE206">
            <v>2433513</v>
          </cell>
          <cell r="AG206">
            <v>54110</v>
          </cell>
          <cell r="AH206">
            <v>58722</v>
          </cell>
          <cell r="AI206">
            <v>329634</v>
          </cell>
          <cell r="AJ206">
            <v>0</v>
          </cell>
          <cell r="AK206">
            <v>0</v>
          </cell>
          <cell r="AL206">
            <v>2875979</v>
          </cell>
        </row>
        <row r="207">
          <cell r="B207" t="str">
            <v>Jun 2016</v>
          </cell>
          <cell r="C207" t="str">
            <v>GS3</v>
          </cell>
          <cell r="D207" t="str">
            <v>LGCME650</v>
          </cell>
          <cell r="E207">
            <v>0</v>
          </cell>
          <cell r="F207">
            <v>0</v>
          </cell>
          <cell r="G207">
            <v>0</v>
          </cell>
          <cell r="H207">
            <v>0</v>
          </cell>
          <cell r="I207">
            <v>0</v>
          </cell>
          <cell r="J207">
            <v>0</v>
          </cell>
          <cell r="K207">
            <v>0</v>
          </cell>
          <cell r="L207">
            <v>0</v>
          </cell>
          <cell r="M207">
            <v>0</v>
          </cell>
          <cell r="AA207">
            <v>0</v>
          </cell>
          <cell r="AB207">
            <v>0</v>
          </cell>
          <cell r="AD207">
            <v>0</v>
          </cell>
          <cell r="AE207">
            <v>0</v>
          </cell>
          <cell r="AG207">
            <v>0</v>
          </cell>
          <cell r="AH207">
            <v>0</v>
          </cell>
          <cell r="AI207">
            <v>0</v>
          </cell>
          <cell r="AJ207">
            <v>0</v>
          </cell>
          <cell r="AK207">
            <v>0</v>
          </cell>
          <cell r="AL207">
            <v>0</v>
          </cell>
        </row>
        <row r="208">
          <cell r="B208" t="str">
            <v>Jun 2016</v>
          </cell>
          <cell r="C208" t="str">
            <v>GS3</v>
          </cell>
          <cell r="D208" t="str">
            <v>LGCME651</v>
          </cell>
          <cell r="E208">
            <v>16417</v>
          </cell>
          <cell r="F208">
            <v>0</v>
          </cell>
          <cell r="G208">
            <v>0</v>
          </cell>
          <cell r="H208">
            <v>0</v>
          </cell>
          <cell r="I208">
            <v>0</v>
          </cell>
          <cell r="J208">
            <v>92005903</v>
          </cell>
          <cell r="K208">
            <v>216926</v>
          </cell>
          <cell r="L208">
            <v>0</v>
          </cell>
          <cell r="M208">
            <v>0</v>
          </cell>
          <cell r="AA208">
            <v>0</v>
          </cell>
          <cell r="AB208">
            <v>0</v>
          </cell>
          <cell r="AD208">
            <v>8978414.1799999997</v>
          </cell>
          <cell r="AE208">
            <v>8978414</v>
          </cell>
          <cell r="AG208">
            <v>139388</v>
          </cell>
          <cell r="AH208">
            <v>151270</v>
          </cell>
          <cell r="AI208">
            <v>849148</v>
          </cell>
          <cell r="AJ208">
            <v>0</v>
          </cell>
          <cell r="AK208">
            <v>0</v>
          </cell>
          <cell r="AL208">
            <v>10118220</v>
          </cell>
        </row>
        <row r="209">
          <cell r="B209" t="str">
            <v>Jun 2016</v>
          </cell>
          <cell r="C209" t="str">
            <v>GS3</v>
          </cell>
          <cell r="D209" t="str">
            <v>LGCME652</v>
          </cell>
          <cell r="E209">
            <v>0</v>
          </cell>
          <cell r="F209">
            <v>0</v>
          </cell>
          <cell r="G209">
            <v>0</v>
          </cell>
          <cell r="H209">
            <v>0</v>
          </cell>
          <cell r="I209">
            <v>0</v>
          </cell>
          <cell r="J209">
            <v>0</v>
          </cell>
          <cell r="K209">
            <v>0</v>
          </cell>
          <cell r="L209">
            <v>0</v>
          </cell>
          <cell r="M209">
            <v>0</v>
          </cell>
          <cell r="AA209">
            <v>0</v>
          </cell>
          <cell r="AB209">
            <v>0</v>
          </cell>
          <cell r="AD209">
            <v>0</v>
          </cell>
          <cell r="AE209">
            <v>0</v>
          </cell>
          <cell r="AG209">
            <v>0</v>
          </cell>
          <cell r="AH209">
            <v>0</v>
          </cell>
          <cell r="AI209">
            <v>0</v>
          </cell>
          <cell r="AJ209">
            <v>0</v>
          </cell>
          <cell r="AK209">
            <v>0</v>
          </cell>
          <cell r="AL209">
            <v>0</v>
          </cell>
        </row>
        <row r="210">
          <cell r="B210" t="str">
            <v>Jun 2016</v>
          </cell>
          <cell r="C210" t="str">
            <v>GS3</v>
          </cell>
          <cell r="D210" t="str">
            <v>LGCME657</v>
          </cell>
          <cell r="E210">
            <v>0</v>
          </cell>
          <cell r="F210">
            <v>0</v>
          </cell>
          <cell r="G210">
            <v>0</v>
          </cell>
          <cell r="H210">
            <v>0</v>
          </cell>
          <cell r="I210">
            <v>0</v>
          </cell>
          <cell r="J210">
            <v>0</v>
          </cell>
          <cell r="K210">
            <v>0</v>
          </cell>
          <cell r="L210">
            <v>0</v>
          </cell>
          <cell r="M210">
            <v>0</v>
          </cell>
          <cell r="AA210">
            <v>0</v>
          </cell>
          <cell r="AB210">
            <v>0</v>
          </cell>
          <cell r="AD210">
            <v>0</v>
          </cell>
          <cell r="AE210">
            <v>0</v>
          </cell>
          <cell r="AG210">
            <v>0</v>
          </cell>
          <cell r="AH210">
            <v>0</v>
          </cell>
          <cell r="AI210">
            <v>0</v>
          </cell>
          <cell r="AJ210">
            <v>0</v>
          </cell>
          <cell r="AK210">
            <v>0</v>
          </cell>
          <cell r="AL210">
            <v>0</v>
          </cell>
        </row>
        <row r="211">
          <cell r="B211" t="str">
            <v>Jun 2016</v>
          </cell>
          <cell r="C211" t="str">
            <v>LWC</v>
          </cell>
          <cell r="D211" t="str">
            <v>LGCME671</v>
          </cell>
          <cell r="E211">
            <v>2</v>
          </cell>
          <cell r="F211">
            <v>0</v>
          </cell>
          <cell r="G211">
            <v>0</v>
          </cell>
          <cell r="H211">
            <v>0</v>
          </cell>
          <cell r="I211">
            <v>0</v>
          </cell>
          <cell r="J211">
            <v>4921800</v>
          </cell>
          <cell r="K211">
            <v>0</v>
          </cell>
          <cell r="L211">
            <v>0</v>
          </cell>
          <cell r="M211">
            <v>9435</v>
          </cell>
          <cell r="AA211">
            <v>0</v>
          </cell>
          <cell r="AB211">
            <v>0</v>
          </cell>
          <cell r="AD211">
            <v>279857.29000000004</v>
          </cell>
          <cell r="AE211">
            <v>279857</v>
          </cell>
          <cell r="AG211">
            <v>7456</v>
          </cell>
          <cell r="AH211">
            <v>0</v>
          </cell>
          <cell r="AI211">
            <v>45425</v>
          </cell>
          <cell r="AJ211">
            <v>0</v>
          </cell>
          <cell r="AK211">
            <v>0</v>
          </cell>
          <cell r="AL211">
            <v>332738</v>
          </cell>
        </row>
        <row r="212">
          <cell r="B212" t="str">
            <v>Jun 2016</v>
          </cell>
          <cell r="C212" t="str">
            <v>CSR</v>
          </cell>
          <cell r="D212" t="str">
            <v>LGCSR760</v>
          </cell>
          <cell r="E212">
            <v>0</v>
          </cell>
          <cell r="F212">
            <v>0</v>
          </cell>
          <cell r="G212">
            <v>0</v>
          </cell>
          <cell r="H212">
            <v>0</v>
          </cell>
          <cell r="I212">
            <v>0</v>
          </cell>
          <cell r="J212">
            <v>0</v>
          </cell>
          <cell r="K212">
            <v>0</v>
          </cell>
          <cell r="L212">
            <v>0</v>
          </cell>
          <cell r="M212">
            <v>0</v>
          </cell>
          <cell r="AA212">
            <v>0</v>
          </cell>
          <cell r="AB212">
            <v>0</v>
          </cell>
          <cell r="AD212">
            <v>0</v>
          </cell>
          <cell r="AE212">
            <v>0</v>
          </cell>
          <cell r="AG212">
            <v>0</v>
          </cell>
          <cell r="AH212">
            <v>0</v>
          </cell>
          <cell r="AI212">
            <v>0</v>
          </cell>
          <cell r="AJ212">
            <v>0</v>
          </cell>
          <cell r="AK212">
            <v>-286526</v>
          </cell>
          <cell r="AL212">
            <v>-286526</v>
          </cell>
        </row>
        <row r="213">
          <cell r="B213" t="str">
            <v>Jun 2016</v>
          </cell>
          <cell r="C213" t="str">
            <v>CSR</v>
          </cell>
          <cell r="D213" t="str">
            <v>LGCSR780</v>
          </cell>
          <cell r="E213">
            <v>0</v>
          </cell>
          <cell r="F213">
            <v>0</v>
          </cell>
          <cell r="G213">
            <v>0</v>
          </cell>
          <cell r="H213">
            <v>0</v>
          </cell>
          <cell r="I213">
            <v>0</v>
          </cell>
          <cell r="J213">
            <v>0</v>
          </cell>
          <cell r="K213">
            <v>0</v>
          </cell>
          <cell r="L213">
            <v>0</v>
          </cell>
          <cell r="M213">
            <v>0</v>
          </cell>
          <cell r="AA213">
            <v>0</v>
          </cell>
          <cell r="AB213">
            <v>0</v>
          </cell>
          <cell r="AD213">
            <v>0</v>
          </cell>
          <cell r="AE213">
            <v>0</v>
          </cell>
          <cell r="AG213">
            <v>0</v>
          </cell>
          <cell r="AH213">
            <v>0</v>
          </cell>
          <cell r="AI213">
            <v>0</v>
          </cell>
          <cell r="AJ213">
            <v>0</v>
          </cell>
          <cell r="AK213">
            <v>0</v>
          </cell>
          <cell r="AL213">
            <v>0</v>
          </cell>
        </row>
        <row r="214">
          <cell r="B214" t="str">
            <v>Jun 2016</v>
          </cell>
          <cell r="C214" t="str">
            <v>FK</v>
          </cell>
          <cell r="D214" t="str">
            <v>LGINE599</v>
          </cell>
          <cell r="E214">
            <v>1</v>
          </cell>
          <cell r="F214">
            <v>0</v>
          </cell>
          <cell r="G214">
            <v>0</v>
          </cell>
          <cell r="H214">
            <v>0</v>
          </cell>
          <cell r="I214">
            <v>0</v>
          </cell>
          <cell r="J214">
            <v>10068000</v>
          </cell>
          <cell r="K214">
            <v>0</v>
          </cell>
          <cell r="L214">
            <v>0</v>
          </cell>
          <cell r="M214">
            <v>16030</v>
          </cell>
          <cell r="AA214">
            <v>0</v>
          </cell>
          <cell r="AB214">
            <v>0</v>
          </cell>
          <cell r="AD214">
            <v>617635</v>
          </cell>
          <cell r="AE214">
            <v>617635</v>
          </cell>
          <cell r="AG214">
            <v>15253</v>
          </cell>
          <cell r="AH214">
            <v>0</v>
          </cell>
          <cell r="AI214">
            <v>92920</v>
          </cell>
          <cell r="AJ214">
            <v>0</v>
          </cell>
          <cell r="AK214">
            <v>0</v>
          </cell>
          <cell r="AL214">
            <v>725808</v>
          </cell>
        </row>
        <row r="215">
          <cell r="B215" t="str">
            <v>Jun 2016</v>
          </cell>
          <cell r="C215" t="str">
            <v>RTS</v>
          </cell>
          <cell r="D215" t="str">
            <v>LGINE643</v>
          </cell>
          <cell r="E215">
            <v>12</v>
          </cell>
          <cell r="F215">
            <v>0</v>
          </cell>
          <cell r="G215">
            <v>0</v>
          </cell>
          <cell r="H215">
            <v>0</v>
          </cell>
          <cell r="I215">
            <v>0</v>
          </cell>
          <cell r="J215">
            <v>85948776</v>
          </cell>
          <cell r="K215">
            <v>165068</v>
          </cell>
          <cell r="L215">
            <v>162432</v>
          </cell>
          <cell r="M215">
            <v>104436</v>
          </cell>
          <cell r="AA215">
            <v>0</v>
          </cell>
          <cell r="AB215">
            <v>0</v>
          </cell>
          <cell r="AD215">
            <v>4528167.6100000003</v>
          </cell>
          <cell r="AE215">
            <v>4528171</v>
          </cell>
          <cell r="AG215">
            <v>130212</v>
          </cell>
          <cell r="AH215">
            <v>0</v>
          </cell>
          <cell r="AI215">
            <v>793246</v>
          </cell>
          <cell r="AJ215">
            <v>0</v>
          </cell>
          <cell r="AK215">
            <v>0</v>
          </cell>
          <cell r="AL215">
            <v>5451629</v>
          </cell>
        </row>
        <row r="216">
          <cell r="B216" t="str">
            <v>Jun 2016</v>
          </cell>
          <cell r="C216" t="str">
            <v>PSS</v>
          </cell>
          <cell r="D216" t="str">
            <v>LGINE661</v>
          </cell>
          <cell r="E216">
            <v>211</v>
          </cell>
          <cell r="F216">
            <v>0</v>
          </cell>
          <cell r="G216">
            <v>0</v>
          </cell>
          <cell r="H216">
            <v>0</v>
          </cell>
          <cell r="I216">
            <v>0</v>
          </cell>
          <cell r="J216">
            <v>21823098</v>
          </cell>
          <cell r="K216">
            <v>0</v>
          </cell>
          <cell r="L216">
            <v>0</v>
          </cell>
          <cell r="M216">
            <v>62552</v>
          </cell>
          <cell r="AA216">
            <v>0</v>
          </cell>
          <cell r="AB216">
            <v>0</v>
          </cell>
          <cell r="AD216">
            <v>1930860.58</v>
          </cell>
          <cell r="AE216">
            <v>1930854</v>
          </cell>
          <cell r="AG216">
            <v>33062</v>
          </cell>
          <cell r="AH216">
            <v>35880</v>
          </cell>
          <cell r="AI216">
            <v>201412</v>
          </cell>
          <cell r="AJ216">
            <v>0</v>
          </cell>
          <cell r="AK216">
            <v>0</v>
          </cell>
          <cell r="AL216">
            <v>2201208</v>
          </cell>
        </row>
        <row r="217">
          <cell r="B217" t="str">
            <v>Jun 2016</v>
          </cell>
          <cell r="C217" t="str">
            <v>PSP</v>
          </cell>
          <cell r="D217" t="str">
            <v>LGINE663</v>
          </cell>
          <cell r="E217">
            <v>21</v>
          </cell>
          <cell r="F217">
            <v>0</v>
          </cell>
          <cell r="G217">
            <v>0</v>
          </cell>
          <cell r="H217">
            <v>0</v>
          </cell>
          <cell r="I217">
            <v>0</v>
          </cell>
          <cell r="J217">
            <v>1298252</v>
          </cell>
          <cell r="K217">
            <v>0</v>
          </cell>
          <cell r="L217">
            <v>0</v>
          </cell>
          <cell r="M217">
            <v>4327</v>
          </cell>
          <cell r="AA217">
            <v>0</v>
          </cell>
          <cell r="AB217">
            <v>0</v>
          </cell>
          <cell r="AD217">
            <v>114901.02</v>
          </cell>
          <cell r="AE217">
            <v>114898</v>
          </cell>
          <cell r="AG217">
            <v>1967</v>
          </cell>
          <cell r="AH217">
            <v>2135</v>
          </cell>
          <cell r="AI217">
            <v>11982</v>
          </cell>
          <cell r="AJ217">
            <v>0</v>
          </cell>
          <cell r="AK217">
            <v>0</v>
          </cell>
          <cell r="AL217">
            <v>130982</v>
          </cell>
        </row>
        <row r="218">
          <cell r="B218" t="str">
            <v>Jun 2016</v>
          </cell>
          <cell r="C218" t="str">
            <v>TODS</v>
          </cell>
          <cell r="D218" t="str">
            <v>LGINE691</v>
          </cell>
          <cell r="E218">
            <v>100</v>
          </cell>
          <cell r="F218">
            <v>0</v>
          </cell>
          <cell r="G218">
            <v>0</v>
          </cell>
          <cell r="H218">
            <v>0</v>
          </cell>
          <cell r="I218">
            <v>0</v>
          </cell>
          <cell r="J218">
            <v>25167481</v>
          </cell>
          <cell r="K218">
            <v>58439</v>
          </cell>
          <cell r="L218">
            <v>54724</v>
          </cell>
          <cell r="M218">
            <v>52686</v>
          </cell>
          <cell r="AA218">
            <v>0</v>
          </cell>
          <cell r="AB218">
            <v>0</v>
          </cell>
          <cell r="AD218">
            <v>1826655.19</v>
          </cell>
          <cell r="AE218">
            <v>1826656</v>
          </cell>
          <cell r="AG218">
            <v>38128</v>
          </cell>
          <cell r="AH218">
            <v>41379</v>
          </cell>
          <cell r="AI218">
            <v>232278</v>
          </cell>
          <cell r="AJ218">
            <v>0</v>
          </cell>
          <cell r="AK218">
            <v>0</v>
          </cell>
          <cell r="AL218">
            <v>2138441</v>
          </cell>
        </row>
        <row r="219">
          <cell r="B219" t="str">
            <v>Jun 2016</v>
          </cell>
          <cell r="C219" t="str">
            <v>ITODP</v>
          </cell>
          <cell r="D219" t="str">
            <v>LGINE693</v>
          </cell>
          <cell r="E219">
            <v>72</v>
          </cell>
          <cell r="F219">
            <v>0</v>
          </cell>
          <cell r="G219">
            <v>0</v>
          </cell>
          <cell r="H219">
            <v>0</v>
          </cell>
          <cell r="I219">
            <v>0</v>
          </cell>
          <cell r="J219">
            <v>163708445</v>
          </cell>
          <cell r="K219">
            <v>369509</v>
          </cell>
          <cell r="L219">
            <v>335463</v>
          </cell>
          <cell r="M219">
            <v>331007</v>
          </cell>
          <cell r="AA219">
            <v>0</v>
          </cell>
          <cell r="AB219">
            <v>0</v>
          </cell>
          <cell r="AD219">
            <v>9958889.6300000008</v>
          </cell>
          <cell r="AE219">
            <v>9958889</v>
          </cell>
          <cell r="AG219">
            <v>248017</v>
          </cell>
          <cell r="AH219">
            <v>269159</v>
          </cell>
          <cell r="AI219">
            <v>1510911</v>
          </cell>
          <cell r="AJ219">
            <v>0</v>
          </cell>
          <cell r="AK219">
            <v>0</v>
          </cell>
          <cell r="AL219">
            <v>11986976</v>
          </cell>
        </row>
        <row r="220">
          <cell r="B220" t="str">
            <v>Jun 2016</v>
          </cell>
          <cell r="C220" t="str">
            <v>ITODP</v>
          </cell>
          <cell r="D220" t="str">
            <v>LGINE694</v>
          </cell>
          <cell r="E220">
            <v>0</v>
          </cell>
          <cell r="F220">
            <v>0</v>
          </cell>
          <cell r="G220">
            <v>0</v>
          </cell>
          <cell r="H220">
            <v>0</v>
          </cell>
          <cell r="I220">
            <v>0</v>
          </cell>
          <cell r="J220">
            <v>0</v>
          </cell>
          <cell r="K220">
            <v>0</v>
          </cell>
          <cell r="L220">
            <v>0</v>
          </cell>
          <cell r="M220">
            <v>0</v>
          </cell>
          <cell r="AA220">
            <v>0</v>
          </cell>
          <cell r="AB220">
            <v>0</v>
          </cell>
          <cell r="AD220">
            <v>0</v>
          </cell>
          <cell r="AE220">
            <v>0</v>
          </cell>
          <cell r="AG220">
            <v>0</v>
          </cell>
          <cell r="AH220">
            <v>0</v>
          </cell>
          <cell r="AI220">
            <v>0</v>
          </cell>
          <cell r="AJ220">
            <v>0</v>
          </cell>
          <cell r="AK220">
            <v>0</v>
          </cell>
          <cell r="AL220">
            <v>0</v>
          </cell>
        </row>
        <row r="221">
          <cell r="B221" t="str">
            <v>Jun 2016</v>
          </cell>
          <cell r="C221" t="str">
            <v>LE</v>
          </cell>
          <cell r="D221" t="str">
            <v>LGMLE570</v>
          </cell>
          <cell r="E221">
            <v>0</v>
          </cell>
          <cell r="F221">
            <v>0</v>
          </cell>
          <cell r="G221">
            <v>0</v>
          </cell>
          <cell r="H221">
            <v>0</v>
          </cell>
          <cell r="I221">
            <v>0</v>
          </cell>
          <cell r="J221">
            <v>0</v>
          </cell>
          <cell r="K221">
            <v>0</v>
          </cell>
          <cell r="L221">
            <v>0</v>
          </cell>
          <cell r="M221">
            <v>0</v>
          </cell>
          <cell r="AA221">
            <v>0</v>
          </cell>
          <cell r="AB221">
            <v>0</v>
          </cell>
          <cell r="AD221">
            <v>0</v>
          </cell>
          <cell r="AE221">
            <v>0</v>
          </cell>
          <cell r="AG221">
            <v>0</v>
          </cell>
          <cell r="AH221">
            <v>0</v>
          </cell>
          <cell r="AI221">
            <v>0</v>
          </cell>
          <cell r="AJ221">
            <v>0</v>
          </cell>
          <cell r="AK221">
            <v>0</v>
          </cell>
          <cell r="AL221">
            <v>0</v>
          </cell>
        </row>
        <row r="222">
          <cell r="B222" t="str">
            <v>Jun 2016</v>
          </cell>
          <cell r="C222" t="str">
            <v>LE</v>
          </cell>
          <cell r="D222" t="str">
            <v>LGMLE571</v>
          </cell>
          <cell r="E222">
            <v>156</v>
          </cell>
          <cell r="F222">
            <v>0</v>
          </cell>
          <cell r="G222">
            <v>0</v>
          </cell>
          <cell r="H222">
            <v>0</v>
          </cell>
          <cell r="I222">
            <v>0</v>
          </cell>
          <cell r="J222">
            <v>281310</v>
          </cell>
          <cell r="K222">
            <v>0</v>
          </cell>
          <cell r="L222">
            <v>0</v>
          </cell>
          <cell r="M222">
            <v>0</v>
          </cell>
          <cell r="AA222">
            <v>0</v>
          </cell>
          <cell r="AB222">
            <v>0</v>
          </cell>
          <cell r="AD222">
            <v>18175.439999999999</v>
          </cell>
          <cell r="AE222">
            <v>0</v>
          </cell>
          <cell r="AG222">
            <v>0</v>
          </cell>
          <cell r="AH222">
            <v>0</v>
          </cell>
          <cell r="AI222">
            <v>0</v>
          </cell>
          <cell r="AJ222">
            <v>0</v>
          </cell>
          <cell r="AK222">
            <v>0</v>
          </cell>
          <cell r="AL222">
            <v>0</v>
          </cell>
        </row>
        <row r="223">
          <cell r="B223" t="str">
            <v>Jun 2016</v>
          </cell>
          <cell r="C223" t="str">
            <v>LE</v>
          </cell>
          <cell r="D223" t="str">
            <v>LGMLE572</v>
          </cell>
          <cell r="E223">
            <v>0</v>
          </cell>
          <cell r="F223">
            <v>0</v>
          </cell>
          <cell r="G223">
            <v>0</v>
          </cell>
          <cell r="H223">
            <v>0</v>
          </cell>
          <cell r="I223">
            <v>0</v>
          </cell>
          <cell r="J223">
            <v>0</v>
          </cell>
          <cell r="K223">
            <v>0</v>
          </cell>
          <cell r="L223">
            <v>0</v>
          </cell>
          <cell r="M223">
            <v>0</v>
          </cell>
          <cell r="AA223">
            <v>0</v>
          </cell>
          <cell r="AB223">
            <v>0</v>
          </cell>
          <cell r="AD223">
            <v>0</v>
          </cell>
          <cell r="AE223">
            <v>0</v>
          </cell>
          <cell r="AG223">
            <v>0</v>
          </cell>
          <cell r="AH223">
            <v>0</v>
          </cell>
          <cell r="AI223">
            <v>0</v>
          </cell>
          <cell r="AJ223">
            <v>0</v>
          </cell>
          <cell r="AK223">
            <v>0</v>
          </cell>
          <cell r="AL223">
            <v>0</v>
          </cell>
        </row>
        <row r="224">
          <cell r="B224" t="str">
            <v>Jun 2016</v>
          </cell>
          <cell r="C224" t="str">
            <v>TE</v>
          </cell>
          <cell r="D224" t="str">
            <v>LGMLE573</v>
          </cell>
          <cell r="E224">
            <v>905</v>
          </cell>
          <cell r="F224">
            <v>0</v>
          </cell>
          <cell r="G224">
            <v>0</v>
          </cell>
          <cell r="H224">
            <v>0</v>
          </cell>
          <cell r="I224">
            <v>0</v>
          </cell>
          <cell r="J224">
            <v>277659</v>
          </cell>
          <cell r="K224">
            <v>0</v>
          </cell>
          <cell r="L224">
            <v>0</v>
          </cell>
          <cell r="M224">
            <v>0</v>
          </cell>
          <cell r="AA224">
            <v>0</v>
          </cell>
          <cell r="AB224">
            <v>0</v>
          </cell>
          <cell r="AD224">
            <v>24204.38</v>
          </cell>
          <cell r="AE224">
            <v>0</v>
          </cell>
          <cell r="AG224">
            <v>0</v>
          </cell>
          <cell r="AH224">
            <v>0</v>
          </cell>
          <cell r="AI224">
            <v>0</v>
          </cell>
          <cell r="AJ224">
            <v>0</v>
          </cell>
          <cell r="AK224">
            <v>0</v>
          </cell>
          <cell r="AL224">
            <v>0</v>
          </cell>
        </row>
        <row r="225">
          <cell r="B225" t="str">
            <v>Jun 2016</v>
          </cell>
          <cell r="C225" t="str">
            <v>TE</v>
          </cell>
          <cell r="D225" t="str">
            <v>LGMLE574</v>
          </cell>
          <cell r="E225">
            <v>0</v>
          </cell>
          <cell r="F225">
            <v>0</v>
          </cell>
          <cell r="G225">
            <v>0</v>
          </cell>
          <cell r="H225">
            <v>0</v>
          </cell>
          <cell r="I225">
            <v>0</v>
          </cell>
          <cell r="J225">
            <v>0</v>
          </cell>
          <cell r="K225">
            <v>0</v>
          </cell>
          <cell r="L225">
            <v>0</v>
          </cell>
          <cell r="M225">
            <v>0</v>
          </cell>
          <cell r="AA225">
            <v>0</v>
          </cell>
          <cell r="AB225">
            <v>0</v>
          </cell>
          <cell r="AD225">
            <v>0</v>
          </cell>
          <cell r="AE225">
            <v>0</v>
          </cell>
          <cell r="AG225">
            <v>0</v>
          </cell>
          <cell r="AH225">
            <v>0</v>
          </cell>
          <cell r="AI225">
            <v>0</v>
          </cell>
          <cell r="AJ225">
            <v>0</v>
          </cell>
          <cell r="AK225">
            <v>0</v>
          </cell>
          <cell r="AL225">
            <v>0</v>
          </cell>
        </row>
        <row r="226">
          <cell r="B226" t="str">
            <v>Jun 2016</v>
          </cell>
          <cell r="C226" t="str">
            <v>RS</v>
          </cell>
          <cell r="D226" t="str">
            <v>LGRSE411</v>
          </cell>
          <cell r="E226">
            <v>0</v>
          </cell>
          <cell r="F226">
            <v>0</v>
          </cell>
          <cell r="G226">
            <v>0</v>
          </cell>
          <cell r="H226">
            <v>0</v>
          </cell>
          <cell r="I226">
            <v>0</v>
          </cell>
          <cell r="J226">
            <v>0</v>
          </cell>
          <cell r="K226">
            <v>0</v>
          </cell>
          <cell r="L226">
            <v>0</v>
          </cell>
          <cell r="M226">
            <v>0</v>
          </cell>
          <cell r="AA226">
            <v>0</v>
          </cell>
          <cell r="AB226">
            <v>0</v>
          </cell>
          <cell r="AD226">
            <v>0</v>
          </cell>
          <cell r="AE226">
            <v>0</v>
          </cell>
          <cell r="AG226">
            <v>0</v>
          </cell>
          <cell r="AH226">
            <v>0</v>
          </cell>
          <cell r="AI226">
            <v>0</v>
          </cell>
          <cell r="AJ226">
            <v>0</v>
          </cell>
          <cell r="AK226">
            <v>0</v>
          </cell>
          <cell r="AL226">
            <v>0</v>
          </cell>
        </row>
        <row r="227">
          <cell r="B227" t="str">
            <v>Jun 2016</v>
          </cell>
          <cell r="C227" t="str">
            <v>RS</v>
          </cell>
          <cell r="D227" t="str">
            <v>LGRSE511</v>
          </cell>
          <cell r="E227">
            <v>362615</v>
          </cell>
          <cell r="F227">
            <v>0</v>
          </cell>
          <cell r="G227">
            <v>0</v>
          </cell>
          <cell r="H227">
            <v>0</v>
          </cell>
          <cell r="I227">
            <v>0</v>
          </cell>
          <cell r="J227">
            <v>411072623</v>
          </cell>
          <cell r="K227">
            <v>0</v>
          </cell>
          <cell r="L227">
            <v>0</v>
          </cell>
          <cell r="M227">
            <v>0</v>
          </cell>
          <cell r="AA227">
            <v>0</v>
          </cell>
          <cell r="AB227">
            <v>0</v>
          </cell>
          <cell r="AD227">
            <v>37096336.280000001</v>
          </cell>
          <cell r="AE227">
            <v>37099802</v>
          </cell>
          <cell r="AG227">
            <v>622832</v>
          </cell>
          <cell r="AH227">
            <v>675926</v>
          </cell>
          <cell r="AI227">
            <v>3794276</v>
          </cell>
          <cell r="AJ227">
            <v>0</v>
          </cell>
          <cell r="AK227">
            <v>0</v>
          </cell>
          <cell r="AL227">
            <v>42192836</v>
          </cell>
        </row>
        <row r="228">
          <cell r="B228" t="str">
            <v>Jun 2016</v>
          </cell>
          <cell r="C228" t="str">
            <v>RS</v>
          </cell>
          <cell r="D228" t="str">
            <v>LGRSE519</v>
          </cell>
          <cell r="E228">
            <v>0</v>
          </cell>
          <cell r="F228">
            <v>0</v>
          </cell>
          <cell r="G228">
            <v>0</v>
          </cell>
          <cell r="H228">
            <v>0</v>
          </cell>
          <cell r="I228">
            <v>0</v>
          </cell>
          <cell r="J228">
            <v>0</v>
          </cell>
          <cell r="K228">
            <v>0</v>
          </cell>
          <cell r="L228">
            <v>0</v>
          </cell>
          <cell r="M228">
            <v>0</v>
          </cell>
          <cell r="AA228">
            <v>0</v>
          </cell>
          <cell r="AB228">
            <v>0</v>
          </cell>
          <cell r="AD228">
            <v>0</v>
          </cell>
          <cell r="AE228">
            <v>0</v>
          </cell>
          <cell r="AG228">
            <v>0</v>
          </cell>
          <cell r="AH228">
            <v>0</v>
          </cell>
          <cell r="AI228">
            <v>0</v>
          </cell>
          <cell r="AJ228">
            <v>0</v>
          </cell>
          <cell r="AK228">
            <v>0</v>
          </cell>
          <cell r="AL228">
            <v>0</v>
          </cell>
        </row>
        <row r="229">
          <cell r="B229" t="str">
            <v>Jun 2016</v>
          </cell>
          <cell r="C229" t="str">
            <v>RS</v>
          </cell>
          <cell r="D229" t="str">
            <v>LGRSE540</v>
          </cell>
          <cell r="E229">
            <v>0</v>
          </cell>
          <cell r="F229">
            <v>0</v>
          </cell>
          <cell r="G229">
            <v>0</v>
          </cell>
          <cell r="H229">
            <v>0</v>
          </cell>
          <cell r="I229">
            <v>0</v>
          </cell>
          <cell r="J229">
            <v>0</v>
          </cell>
          <cell r="K229">
            <v>0</v>
          </cell>
          <cell r="L229">
            <v>0</v>
          </cell>
          <cell r="M229">
            <v>0</v>
          </cell>
          <cell r="AA229">
            <v>0</v>
          </cell>
          <cell r="AB229">
            <v>0</v>
          </cell>
          <cell r="AD229">
            <v>0</v>
          </cell>
          <cell r="AE229">
            <v>0</v>
          </cell>
          <cell r="AG229">
            <v>0</v>
          </cell>
          <cell r="AH229">
            <v>0</v>
          </cell>
          <cell r="AI229">
            <v>0</v>
          </cell>
          <cell r="AJ229">
            <v>0</v>
          </cell>
          <cell r="AK229">
            <v>0</v>
          </cell>
          <cell r="AL229">
            <v>0</v>
          </cell>
        </row>
        <row r="230">
          <cell r="B230" t="str">
            <v>Jun 2016</v>
          </cell>
          <cell r="C230" t="str">
            <v>LEV</v>
          </cell>
          <cell r="D230" t="str">
            <v>LGRSE543</v>
          </cell>
          <cell r="E230">
            <v>21</v>
          </cell>
          <cell r="F230">
            <v>0</v>
          </cell>
          <cell r="G230">
            <v>23293</v>
          </cell>
          <cell r="H230">
            <v>8637</v>
          </cell>
          <cell r="I230">
            <v>8200</v>
          </cell>
          <cell r="J230">
            <v>40130</v>
          </cell>
          <cell r="K230">
            <v>0</v>
          </cell>
          <cell r="L230">
            <v>0</v>
          </cell>
          <cell r="M230">
            <v>0</v>
          </cell>
          <cell r="AA230">
            <v>0</v>
          </cell>
          <cell r="AB230">
            <v>0</v>
          </cell>
          <cell r="AD230">
            <v>3448.62</v>
          </cell>
          <cell r="AE230">
            <v>0</v>
          </cell>
          <cell r="AG230">
            <v>0</v>
          </cell>
          <cell r="AH230">
            <v>0</v>
          </cell>
          <cell r="AI230">
            <v>0</v>
          </cell>
          <cell r="AJ230">
            <v>0</v>
          </cell>
          <cell r="AK230">
            <v>0</v>
          </cell>
          <cell r="AL230">
            <v>0</v>
          </cell>
        </row>
        <row r="231">
          <cell r="B231" t="str">
            <v>Jun 2016</v>
          </cell>
          <cell r="C231" t="str">
            <v>LEV</v>
          </cell>
          <cell r="D231" t="str">
            <v>LGRSE547</v>
          </cell>
          <cell r="E231">
            <v>0</v>
          </cell>
          <cell r="F231">
            <v>0</v>
          </cell>
          <cell r="G231">
            <v>0</v>
          </cell>
          <cell r="H231">
            <v>0</v>
          </cell>
          <cell r="I231">
            <v>0</v>
          </cell>
          <cell r="J231">
            <v>0</v>
          </cell>
          <cell r="K231">
            <v>0</v>
          </cell>
          <cell r="L231">
            <v>0</v>
          </cell>
          <cell r="M231">
            <v>0</v>
          </cell>
          <cell r="AA231">
            <v>0</v>
          </cell>
          <cell r="AB231">
            <v>0</v>
          </cell>
          <cell r="AD231">
            <v>0</v>
          </cell>
          <cell r="AE231">
            <v>0</v>
          </cell>
          <cell r="AG231">
            <v>0</v>
          </cell>
          <cell r="AH231">
            <v>0</v>
          </cell>
          <cell r="AI231">
            <v>0</v>
          </cell>
          <cell r="AJ231">
            <v>0</v>
          </cell>
          <cell r="AK231">
            <v>0</v>
          </cell>
          <cell r="AL231">
            <v>0</v>
          </cell>
        </row>
        <row r="232">
          <cell r="B232" t="str">
            <v>Jul 2015</v>
          </cell>
          <cell r="C232" t="str">
            <v>FLSP</v>
          </cell>
          <cell r="D232" t="str">
            <v>LGINE682</v>
          </cell>
          <cell r="E232">
            <v>0</v>
          </cell>
          <cell r="F232">
            <v>0</v>
          </cell>
          <cell r="G232">
            <v>0</v>
          </cell>
          <cell r="H232">
            <v>0</v>
          </cell>
          <cell r="I232">
            <v>0</v>
          </cell>
          <cell r="J232">
            <v>0</v>
          </cell>
          <cell r="K232">
            <v>0</v>
          </cell>
          <cell r="L232">
            <v>0</v>
          </cell>
          <cell r="M232">
            <v>0</v>
          </cell>
          <cell r="AA232">
            <v>0</v>
          </cell>
          <cell r="AB232">
            <v>0</v>
          </cell>
          <cell r="AD232">
            <v>0</v>
          </cell>
          <cell r="AE232">
            <v>0</v>
          </cell>
          <cell r="AG232">
            <v>0</v>
          </cell>
          <cell r="AH232">
            <v>0</v>
          </cell>
          <cell r="AI232">
            <v>0</v>
          </cell>
          <cell r="AJ232">
            <v>0</v>
          </cell>
          <cell r="AK232">
            <v>0</v>
          </cell>
          <cell r="AL232">
            <v>0</v>
          </cell>
        </row>
        <row r="233">
          <cell r="B233" t="str">
            <v>Jul 2015</v>
          </cell>
          <cell r="C233" t="str">
            <v>FLST</v>
          </cell>
          <cell r="D233" t="str">
            <v>LGINE683</v>
          </cell>
          <cell r="E233">
            <v>0</v>
          </cell>
          <cell r="F233">
            <v>0</v>
          </cell>
          <cell r="G233">
            <v>0</v>
          </cell>
          <cell r="H233">
            <v>0</v>
          </cell>
          <cell r="I233">
            <v>0</v>
          </cell>
          <cell r="J233">
            <v>0</v>
          </cell>
          <cell r="K233">
            <v>0</v>
          </cell>
          <cell r="L233">
            <v>0</v>
          </cell>
          <cell r="M233">
            <v>0</v>
          </cell>
          <cell r="AA233">
            <v>0</v>
          </cell>
          <cell r="AB233">
            <v>0</v>
          </cell>
          <cell r="AD233">
            <v>0</v>
          </cell>
          <cell r="AE233">
            <v>0</v>
          </cell>
          <cell r="AG233">
            <v>0</v>
          </cell>
          <cell r="AH233">
            <v>0</v>
          </cell>
          <cell r="AI233">
            <v>0</v>
          </cell>
          <cell r="AJ233">
            <v>0</v>
          </cell>
          <cell r="AK233">
            <v>0</v>
          </cell>
          <cell r="AL233">
            <v>0</v>
          </cell>
        </row>
        <row r="234">
          <cell r="B234" t="str">
            <v>Jul 2015</v>
          </cell>
          <cell r="C234" t="str">
            <v>GS</v>
          </cell>
          <cell r="D234" t="str">
            <v>LGCME451</v>
          </cell>
          <cell r="E234">
            <v>0</v>
          </cell>
          <cell r="F234">
            <v>0</v>
          </cell>
          <cell r="G234">
            <v>0</v>
          </cell>
          <cell r="H234">
            <v>0</v>
          </cell>
          <cell r="I234">
            <v>0</v>
          </cell>
          <cell r="J234">
            <v>0</v>
          </cell>
          <cell r="K234">
            <v>0</v>
          </cell>
          <cell r="L234">
            <v>0</v>
          </cell>
          <cell r="M234">
            <v>0</v>
          </cell>
          <cell r="AA234">
            <v>0</v>
          </cell>
          <cell r="AB234">
            <v>0</v>
          </cell>
          <cell r="AD234">
            <v>0</v>
          </cell>
          <cell r="AE234">
            <v>0</v>
          </cell>
          <cell r="AG234">
            <v>0</v>
          </cell>
          <cell r="AH234">
            <v>0</v>
          </cell>
          <cell r="AI234">
            <v>0</v>
          </cell>
          <cell r="AJ234">
            <v>0</v>
          </cell>
          <cell r="AK234">
            <v>0</v>
          </cell>
          <cell r="AL234">
            <v>0</v>
          </cell>
        </row>
        <row r="235">
          <cell r="B235" t="str">
            <v>Jul 2015</v>
          </cell>
          <cell r="C235" t="str">
            <v>GS</v>
          </cell>
          <cell r="D235" t="str">
            <v>LGCME550</v>
          </cell>
          <cell r="E235">
            <v>0</v>
          </cell>
          <cell r="F235">
            <v>0</v>
          </cell>
          <cell r="G235">
            <v>0</v>
          </cell>
          <cell r="H235">
            <v>0</v>
          </cell>
          <cell r="I235">
            <v>0</v>
          </cell>
          <cell r="J235">
            <v>0</v>
          </cell>
          <cell r="K235">
            <v>0</v>
          </cell>
          <cell r="L235">
            <v>0</v>
          </cell>
          <cell r="M235">
            <v>0</v>
          </cell>
          <cell r="AA235">
            <v>0</v>
          </cell>
          <cell r="AB235">
            <v>0</v>
          </cell>
          <cell r="AD235">
            <v>0</v>
          </cell>
          <cell r="AE235">
            <v>0</v>
          </cell>
          <cell r="AG235">
            <v>0</v>
          </cell>
          <cell r="AH235">
            <v>0</v>
          </cell>
          <cell r="AI235">
            <v>0</v>
          </cell>
          <cell r="AJ235">
            <v>0</v>
          </cell>
          <cell r="AK235">
            <v>0</v>
          </cell>
          <cell r="AL235">
            <v>0</v>
          </cell>
        </row>
        <row r="236">
          <cell r="B236" t="str">
            <v>Jul 2015</v>
          </cell>
          <cell r="C236" t="str">
            <v>GS</v>
          </cell>
          <cell r="D236" t="str">
            <v>LGCME551</v>
          </cell>
          <cell r="E236">
            <v>28156</v>
          </cell>
          <cell r="F236">
            <v>0</v>
          </cell>
          <cell r="G236">
            <v>0</v>
          </cell>
          <cell r="H236">
            <v>0</v>
          </cell>
          <cell r="I236">
            <v>0</v>
          </cell>
          <cell r="J236">
            <v>40110981</v>
          </cell>
          <cell r="K236">
            <v>0</v>
          </cell>
          <cell r="L236">
            <v>0</v>
          </cell>
          <cell r="M236">
            <v>0</v>
          </cell>
          <cell r="AA236">
            <v>0</v>
          </cell>
          <cell r="AB236">
            <v>0</v>
          </cell>
          <cell r="AD236">
            <v>4226857</v>
          </cell>
          <cell r="AE236">
            <v>4226851</v>
          </cell>
          <cell r="AG236">
            <v>78567</v>
          </cell>
          <cell r="AH236">
            <v>66058</v>
          </cell>
          <cell r="AI236">
            <v>253317</v>
          </cell>
          <cell r="AJ236">
            <v>0</v>
          </cell>
          <cell r="AK236">
            <v>0</v>
          </cell>
          <cell r="AL236">
            <v>4624793</v>
          </cell>
        </row>
        <row r="237">
          <cell r="B237" t="str">
            <v>Jul 2015</v>
          </cell>
          <cell r="C237" t="str">
            <v>GS</v>
          </cell>
          <cell r="D237" t="str">
            <v>LGCME551UM</v>
          </cell>
          <cell r="E237">
            <v>0</v>
          </cell>
          <cell r="F237">
            <v>0</v>
          </cell>
          <cell r="G237">
            <v>0</v>
          </cell>
          <cell r="H237">
            <v>0</v>
          </cell>
          <cell r="I237">
            <v>0</v>
          </cell>
          <cell r="J237">
            <v>0</v>
          </cell>
          <cell r="K237">
            <v>0</v>
          </cell>
          <cell r="L237">
            <v>0</v>
          </cell>
          <cell r="M237">
            <v>0</v>
          </cell>
          <cell r="AA237">
            <v>0</v>
          </cell>
          <cell r="AB237">
            <v>0</v>
          </cell>
          <cell r="AD237">
            <v>0</v>
          </cell>
          <cell r="AE237">
            <v>0</v>
          </cell>
          <cell r="AG237">
            <v>0</v>
          </cell>
          <cell r="AH237">
            <v>0</v>
          </cell>
          <cell r="AI237">
            <v>0</v>
          </cell>
          <cell r="AJ237">
            <v>0</v>
          </cell>
          <cell r="AK237">
            <v>0</v>
          </cell>
          <cell r="AL237">
            <v>0</v>
          </cell>
        </row>
        <row r="238">
          <cell r="B238" t="str">
            <v>Jul 2015</v>
          </cell>
          <cell r="C238" t="str">
            <v>GS</v>
          </cell>
          <cell r="D238" t="str">
            <v>LGCME552</v>
          </cell>
          <cell r="E238">
            <v>0</v>
          </cell>
          <cell r="F238">
            <v>0</v>
          </cell>
          <cell r="G238">
            <v>0</v>
          </cell>
          <cell r="H238">
            <v>0</v>
          </cell>
          <cell r="I238">
            <v>0</v>
          </cell>
          <cell r="J238">
            <v>0</v>
          </cell>
          <cell r="K238">
            <v>0</v>
          </cell>
          <cell r="L238">
            <v>0</v>
          </cell>
          <cell r="M238">
            <v>0</v>
          </cell>
          <cell r="AA238">
            <v>0</v>
          </cell>
          <cell r="AB238">
            <v>0</v>
          </cell>
          <cell r="AD238">
            <v>0</v>
          </cell>
          <cell r="AE238">
            <v>0</v>
          </cell>
          <cell r="AG238">
            <v>0</v>
          </cell>
          <cell r="AH238">
            <v>0</v>
          </cell>
          <cell r="AI238">
            <v>0</v>
          </cell>
          <cell r="AJ238">
            <v>0</v>
          </cell>
          <cell r="AK238">
            <v>0</v>
          </cell>
          <cell r="AL238">
            <v>0</v>
          </cell>
        </row>
        <row r="239">
          <cell r="B239" t="str">
            <v>Jul 2015</v>
          </cell>
          <cell r="C239" t="str">
            <v>GS</v>
          </cell>
          <cell r="D239" t="str">
            <v>LGCME557</v>
          </cell>
          <cell r="E239">
            <v>0</v>
          </cell>
          <cell r="F239">
            <v>0</v>
          </cell>
          <cell r="G239">
            <v>0</v>
          </cell>
          <cell r="H239">
            <v>0</v>
          </cell>
          <cell r="I239">
            <v>0</v>
          </cell>
          <cell r="J239">
            <v>0</v>
          </cell>
          <cell r="K239">
            <v>0</v>
          </cell>
          <cell r="L239">
            <v>0</v>
          </cell>
          <cell r="M239">
            <v>0</v>
          </cell>
          <cell r="AA239">
            <v>0</v>
          </cell>
          <cell r="AB239">
            <v>0</v>
          </cell>
          <cell r="AD239">
            <v>0</v>
          </cell>
          <cell r="AE239">
            <v>0</v>
          </cell>
          <cell r="AG239">
            <v>0</v>
          </cell>
          <cell r="AH239">
            <v>0</v>
          </cell>
          <cell r="AI239">
            <v>0</v>
          </cell>
          <cell r="AJ239">
            <v>0</v>
          </cell>
          <cell r="AK239">
            <v>0</v>
          </cell>
          <cell r="AL239">
            <v>0</v>
          </cell>
        </row>
        <row r="240">
          <cell r="B240" t="str">
            <v>Jul 2015</v>
          </cell>
          <cell r="C240" t="str">
            <v>PSS</v>
          </cell>
          <cell r="D240" t="str">
            <v>LGCME561</v>
          </cell>
          <cell r="E240">
            <v>2579</v>
          </cell>
          <cell r="F240">
            <v>0</v>
          </cell>
          <cell r="G240">
            <v>0</v>
          </cell>
          <cell r="H240">
            <v>0</v>
          </cell>
          <cell r="I240">
            <v>0</v>
          </cell>
          <cell r="J240">
            <v>168924378</v>
          </cell>
          <cell r="K240">
            <v>0</v>
          </cell>
          <cell r="L240">
            <v>0</v>
          </cell>
          <cell r="M240">
            <v>406609</v>
          </cell>
          <cell r="AA240">
            <v>0</v>
          </cell>
          <cell r="AB240">
            <v>0</v>
          </cell>
          <cell r="AD240">
            <v>13758827.35</v>
          </cell>
          <cell r="AE240">
            <v>13758833</v>
          </cell>
          <cell r="AG240">
            <v>330880</v>
          </cell>
          <cell r="AH240">
            <v>278198</v>
          </cell>
          <cell r="AI240">
            <v>1066824</v>
          </cell>
          <cell r="AJ240">
            <v>0</v>
          </cell>
          <cell r="AK240">
            <v>0</v>
          </cell>
          <cell r="AL240">
            <v>15434735</v>
          </cell>
        </row>
        <row r="241">
          <cell r="B241" t="str">
            <v>Jul 2015</v>
          </cell>
          <cell r="C241" t="str">
            <v>PSP</v>
          </cell>
          <cell r="D241" t="str">
            <v>LGCME563</v>
          </cell>
          <cell r="E241">
            <v>52</v>
          </cell>
          <cell r="F241">
            <v>0</v>
          </cell>
          <cell r="G241">
            <v>0</v>
          </cell>
          <cell r="H241">
            <v>0</v>
          </cell>
          <cell r="I241">
            <v>0</v>
          </cell>
          <cell r="J241">
            <v>14939406</v>
          </cell>
          <cell r="K241">
            <v>0</v>
          </cell>
          <cell r="L241">
            <v>0</v>
          </cell>
          <cell r="M241">
            <v>35012</v>
          </cell>
          <cell r="AA241">
            <v>0</v>
          </cell>
          <cell r="AB241">
            <v>0</v>
          </cell>
          <cell r="AD241">
            <v>1083778.48</v>
          </cell>
          <cell r="AE241">
            <v>1083783</v>
          </cell>
          <cell r="AG241">
            <v>29263</v>
          </cell>
          <cell r="AH241">
            <v>24603</v>
          </cell>
          <cell r="AI241">
            <v>94348</v>
          </cell>
          <cell r="AJ241">
            <v>0</v>
          </cell>
          <cell r="AK241">
            <v>0</v>
          </cell>
          <cell r="AL241">
            <v>1231997</v>
          </cell>
        </row>
        <row r="242">
          <cell r="B242" t="str">
            <v>Jul 2015</v>
          </cell>
          <cell r="C242" t="str">
            <v>PSS</v>
          </cell>
          <cell r="D242" t="str">
            <v>LGCME567</v>
          </cell>
          <cell r="E242">
            <v>0</v>
          </cell>
          <cell r="F242">
            <v>0</v>
          </cell>
          <cell r="G242">
            <v>0</v>
          </cell>
          <cell r="H242">
            <v>0</v>
          </cell>
          <cell r="I242">
            <v>0</v>
          </cell>
          <cell r="J242">
            <v>0</v>
          </cell>
          <cell r="K242">
            <v>0</v>
          </cell>
          <cell r="L242">
            <v>0</v>
          </cell>
          <cell r="M242">
            <v>0</v>
          </cell>
          <cell r="AA242">
            <v>0</v>
          </cell>
          <cell r="AB242">
            <v>0</v>
          </cell>
          <cell r="AD242">
            <v>0</v>
          </cell>
          <cell r="AE242">
            <v>0</v>
          </cell>
          <cell r="AG242">
            <v>0</v>
          </cell>
          <cell r="AH242">
            <v>0</v>
          </cell>
          <cell r="AI242">
            <v>0</v>
          </cell>
          <cell r="AJ242">
            <v>0</v>
          </cell>
          <cell r="AK242">
            <v>0</v>
          </cell>
          <cell r="AL242">
            <v>0</v>
          </cell>
        </row>
        <row r="243">
          <cell r="B243" t="str">
            <v>Jul 2015</v>
          </cell>
          <cell r="C243" t="str">
            <v>TODS</v>
          </cell>
          <cell r="D243" t="str">
            <v>LGCME591</v>
          </cell>
          <cell r="E243">
            <v>216</v>
          </cell>
          <cell r="F243">
            <v>0</v>
          </cell>
          <cell r="G243">
            <v>0</v>
          </cell>
          <cell r="H243">
            <v>0</v>
          </cell>
          <cell r="I243">
            <v>0</v>
          </cell>
          <cell r="J243">
            <v>76574431</v>
          </cell>
          <cell r="K243">
            <v>156986</v>
          </cell>
          <cell r="L243">
            <v>152069</v>
          </cell>
          <cell r="M243">
            <v>150334</v>
          </cell>
          <cell r="AA243">
            <v>0</v>
          </cell>
          <cell r="AB243">
            <v>0</v>
          </cell>
          <cell r="AD243">
            <v>5330835.7300000004</v>
          </cell>
          <cell r="AE243">
            <v>5330838</v>
          </cell>
          <cell r="AG243">
            <v>149990</v>
          </cell>
          <cell r="AH243">
            <v>126109</v>
          </cell>
          <cell r="AI243">
            <v>483598</v>
          </cell>
          <cell r="AJ243">
            <v>0</v>
          </cell>
          <cell r="AK243">
            <v>0</v>
          </cell>
          <cell r="AL243">
            <v>6090535</v>
          </cell>
        </row>
        <row r="244">
          <cell r="B244" t="str">
            <v>Jul 2015</v>
          </cell>
          <cell r="C244" t="str">
            <v>CTODP</v>
          </cell>
          <cell r="D244" t="str">
            <v>LGCME593</v>
          </cell>
          <cell r="E244">
            <v>38</v>
          </cell>
          <cell r="F244">
            <v>0</v>
          </cell>
          <cell r="G244">
            <v>0</v>
          </cell>
          <cell r="H244">
            <v>0</v>
          </cell>
          <cell r="I244">
            <v>0</v>
          </cell>
          <cell r="J244">
            <v>36804280</v>
          </cell>
          <cell r="K244">
            <v>85062</v>
          </cell>
          <cell r="L244">
            <v>77957</v>
          </cell>
          <cell r="M244">
            <v>76798</v>
          </cell>
          <cell r="AA244">
            <v>0</v>
          </cell>
          <cell r="AB244">
            <v>0</v>
          </cell>
          <cell r="AD244">
            <v>2521884.58</v>
          </cell>
          <cell r="AE244">
            <v>2521890</v>
          </cell>
          <cell r="AG244">
            <v>72090</v>
          </cell>
          <cell r="AH244">
            <v>60612</v>
          </cell>
          <cell r="AI244">
            <v>232434</v>
          </cell>
          <cell r="AJ244">
            <v>0</v>
          </cell>
          <cell r="AK244">
            <v>0</v>
          </cell>
          <cell r="AL244">
            <v>2887026</v>
          </cell>
        </row>
        <row r="245">
          <cell r="B245" t="str">
            <v>Jul 2015</v>
          </cell>
          <cell r="C245" t="str">
            <v>GS3</v>
          </cell>
          <cell r="D245" t="str">
            <v>LGCME650</v>
          </cell>
          <cell r="E245">
            <v>0</v>
          </cell>
          <cell r="F245">
            <v>0</v>
          </cell>
          <cell r="G245">
            <v>0</v>
          </cell>
          <cell r="H245">
            <v>0</v>
          </cell>
          <cell r="I245">
            <v>0</v>
          </cell>
          <cell r="J245">
            <v>0</v>
          </cell>
          <cell r="K245">
            <v>0</v>
          </cell>
          <cell r="L245">
            <v>0</v>
          </cell>
          <cell r="M245">
            <v>0</v>
          </cell>
          <cell r="AA245">
            <v>0</v>
          </cell>
          <cell r="AB245">
            <v>0</v>
          </cell>
          <cell r="AD245">
            <v>0</v>
          </cell>
          <cell r="AE245">
            <v>0</v>
          </cell>
          <cell r="AG245">
            <v>0</v>
          </cell>
          <cell r="AH245">
            <v>0</v>
          </cell>
          <cell r="AI245">
            <v>0</v>
          </cell>
          <cell r="AJ245">
            <v>0</v>
          </cell>
          <cell r="AK245">
            <v>0</v>
          </cell>
          <cell r="AL245">
            <v>0</v>
          </cell>
        </row>
        <row r="246">
          <cell r="B246" t="str">
            <v>Jul 2015</v>
          </cell>
          <cell r="C246" t="str">
            <v>GS3</v>
          </cell>
          <cell r="D246" t="str">
            <v>LGCME651</v>
          </cell>
          <cell r="E246">
            <v>16348</v>
          </cell>
          <cell r="F246">
            <v>0</v>
          </cell>
          <cell r="G246">
            <v>0</v>
          </cell>
          <cell r="H246">
            <v>0</v>
          </cell>
          <cell r="I246">
            <v>0</v>
          </cell>
          <cell r="J246">
            <v>102495326</v>
          </cell>
          <cell r="K246">
            <v>238335</v>
          </cell>
          <cell r="L246">
            <v>0</v>
          </cell>
          <cell r="M246">
            <v>0</v>
          </cell>
          <cell r="AA246">
            <v>0</v>
          </cell>
          <cell r="AB246">
            <v>0</v>
          </cell>
          <cell r="AD246">
            <v>9934103.0800000001</v>
          </cell>
          <cell r="AE246">
            <v>9934112</v>
          </cell>
          <cell r="AG246">
            <v>200762</v>
          </cell>
          <cell r="AH246">
            <v>168798</v>
          </cell>
          <cell r="AI246">
            <v>647299</v>
          </cell>
          <cell r="AJ246">
            <v>0</v>
          </cell>
          <cell r="AK246">
            <v>0</v>
          </cell>
          <cell r="AL246">
            <v>10950971</v>
          </cell>
        </row>
        <row r="247">
          <cell r="B247" t="str">
            <v>Jul 2015</v>
          </cell>
          <cell r="C247" t="str">
            <v>GS3</v>
          </cell>
          <cell r="D247" t="str">
            <v>LGCME652</v>
          </cell>
          <cell r="E247">
            <v>0</v>
          </cell>
          <cell r="F247">
            <v>0</v>
          </cell>
          <cell r="G247">
            <v>0</v>
          </cell>
          <cell r="H247">
            <v>0</v>
          </cell>
          <cell r="I247">
            <v>0</v>
          </cell>
          <cell r="J247">
            <v>0</v>
          </cell>
          <cell r="K247">
            <v>0</v>
          </cell>
          <cell r="L247">
            <v>0</v>
          </cell>
          <cell r="M247">
            <v>0</v>
          </cell>
          <cell r="AA247">
            <v>0</v>
          </cell>
          <cell r="AB247">
            <v>0</v>
          </cell>
          <cell r="AD247">
            <v>0</v>
          </cell>
          <cell r="AE247">
            <v>0</v>
          </cell>
          <cell r="AG247">
            <v>0</v>
          </cell>
          <cell r="AH247">
            <v>0</v>
          </cell>
          <cell r="AI247">
            <v>0</v>
          </cell>
          <cell r="AJ247">
            <v>0</v>
          </cell>
          <cell r="AK247">
            <v>0</v>
          </cell>
          <cell r="AL247">
            <v>0</v>
          </cell>
        </row>
        <row r="248">
          <cell r="B248" t="str">
            <v>Jul 2015</v>
          </cell>
          <cell r="C248" t="str">
            <v>GS3</v>
          </cell>
          <cell r="D248" t="str">
            <v>LGCME657</v>
          </cell>
          <cell r="E248">
            <v>0</v>
          </cell>
          <cell r="F248">
            <v>0</v>
          </cell>
          <cell r="G248">
            <v>0</v>
          </cell>
          <cell r="H248">
            <v>0</v>
          </cell>
          <cell r="I248">
            <v>0</v>
          </cell>
          <cell r="J248">
            <v>0</v>
          </cell>
          <cell r="K248">
            <v>0</v>
          </cell>
          <cell r="L248">
            <v>0</v>
          </cell>
          <cell r="M248">
            <v>0</v>
          </cell>
          <cell r="AA248">
            <v>0</v>
          </cell>
          <cell r="AB248">
            <v>0</v>
          </cell>
          <cell r="AD248">
            <v>0</v>
          </cell>
          <cell r="AE248">
            <v>0</v>
          </cell>
          <cell r="AG248">
            <v>0</v>
          </cell>
          <cell r="AH248">
            <v>0</v>
          </cell>
          <cell r="AI248">
            <v>0</v>
          </cell>
          <cell r="AJ248">
            <v>0</v>
          </cell>
          <cell r="AK248">
            <v>0</v>
          </cell>
          <cell r="AL248">
            <v>0</v>
          </cell>
        </row>
        <row r="249">
          <cell r="B249" t="str">
            <v>Jul 2015</v>
          </cell>
          <cell r="C249" t="str">
            <v>LWC</v>
          </cell>
          <cell r="D249" t="str">
            <v>LGCME671</v>
          </cell>
          <cell r="E249">
            <v>2</v>
          </cell>
          <cell r="F249">
            <v>0</v>
          </cell>
          <cell r="G249">
            <v>0</v>
          </cell>
          <cell r="H249">
            <v>0</v>
          </cell>
          <cell r="I249">
            <v>0</v>
          </cell>
          <cell r="J249">
            <v>5252400</v>
          </cell>
          <cell r="K249">
            <v>0</v>
          </cell>
          <cell r="L249">
            <v>0</v>
          </cell>
          <cell r="M249">
            <v>9450</v>
          </cell>
          <cell r="AA249">
            <v>0</v>
          </cell>
          <cell r="AB249">
            <v>0</v>
          </cell>
          <cell r="AD249">
            <v>292251.34999999998</v>
          </cell>
          <cell r="AE249">
            <v>292255</v>
          </cell>
          <cell r="AG249">
            <v>10288</v>
          </cell>
          <cell r="AH249">
            <v>0</v>
          </cell>
          <cell r="AI249">
            <v>33171</v>
          </cell>
          <cell r="AJ249">
            <v>0</v>
          </cell>
          <cell r="AK249">
            <v>0</v>
          </cell>
          <cell r="AL249">
            <v>335714</v>
          </cell>
        </row>
        <row r="250">
          <cell r="B250" t="str">
            <v>Jul 2015</v>
          </cell>
          <cell r="C250" t="str">
            <v>CSR</v>
          </cell>
          <cell r="D250" t="str">
            <v>LGCSR760</v>
          </cell>
          <cell r="E250">
            <v>0</v>
          </cell>
          <cell r="F250">
            <v>0</v>
          </cell>
          <cell r="G250">
            <v>0</v>
          </cell>
          <cell r="H250">
            <v>0</v>
          </cell>
          <cell r="I250">
            <v>0</v>
          </cell>
          <cell r="J250">
            <v>0</v>
          </cell>
          <cell r="K250">
            <v>0</v>
          </cell>
          <cell r="L250">
            <v>0</v>
          </cell>
          <cell r="M250">
            <v>0</v>
          </cell>
          <cell r="AA250">
            <v>0</v>
          </cell>
          <cell r="AB250">
            <v>0</v>
          </cell>
          <cell r="AD250">
            <v>0</v>
          </cell>
          <cell r="AE250">
            <v>0</v>
          </cell>
          <cell r="AG250">
            <v>0</v>
          </cell>
          <cell r="AH250">
            <v>0</v>
          </cell>
          <cell r="AI250">
            <v>0</v>
          </cell>
          <cell r="AJ250">
            <v>0</v>
          </cell>
          <cell r="AK250">
            <v>-286526</v>
          </cell>
          <cell r="AL250">
            <v>-286526</v>
          </cell>
        </row>
        <row r="251">
          <cell r="B251" t="str">
            <v>Jul 2015</v>
          </cell>
          <cell r="C251" t="str">
            <v>CSR</v>
          </cell>
          <cell r="D251" t="str">
            <v>LGCSR780</v>
          </cell>
          <cell r="E251">
            <v>0</v>
          </cell>
          <cell r="F251">
            <v>0</v>
          </cell>
          <cell r="G251">
            <v>0</v>
          </cell>
          <cell r="H251">
            <v>0</v>
          </cell>
          <cell r="I251">
            <v>0</v>
          </cell>
          <cell r="J251">
            <v>0</v>
          </cell>
          <cell r="K251">
            <v>0</v>
          </cell>
          <cell r="L251">
            <v>0</v>
          </cell>
          <cell r="M251">
            <v>0</v>
          </cell>
          <cell r="AA251">
            <v>0</v>
          </cell>
          <cell r="AB251">
            <v>0</v>
          </cell>
          <cell r="AD251">
            <v>0</v>
          </cell>
          <cell r="AE251">
            <v>0</v>
          </cell>
          <cell r="AG251">
            <v>0</v>
          </cell>
          <cell r="AH251">
            <v>0</v>
          </cell>
          <cell r="AI251">
            <v>0</v>
          </cell>
          <cell r="AJ251">
            <v>0</v>
          </cell>
          <cell r="AK251">
            <v>0</v>
          </cell>
          <cell r="AL251">
            <v>0</v>
          </cell>
        </row>
        <row r="252">
          <cell r="B252" t="str">
            <v>Jul 2015</v>
          </cell>
          <cell r="C252" t="str">
            <v>FK</v>
          </cell>
          <cell r="D252" t="str">
            <v>LGINE599</v>
          </cell>
          <cell r="E252">
            <v>1</v>
          </cell>
          <cell r="F252">
            <v>0</v>
          </cell>
          <cell r="G252">
            <v>0</v>
          </cell>
          <cell r="H252">
            <v>0</v>
          </cell>
          <cell r="I252">
            <v>0</v>
          </cell>
          <cell r="J252">
            <v>10990000</v>
          </cell>
          <cell r="K252">
            <v>0</v>
          </cell>
          <cell r="L252">
            <v>0</v>
          </cell>
          <cell r="M252">
            <v>20596</v>
          </cell>
          <cell r="AA252">
            <v>0</v>
          </cell>
          <cell r="AB252">
            <v>0</v>
          </cell>
          <cell r="AD252">
            <v>720790.00000000012</v>
          </cell>
          <cell r="AE252">
            <v>720790</v>
          </cell>
          <cell r="AG252">
            <v>21527</v>
          </cell>
          <cell r="AH252">
            <v>0</v>
          </cell>
          <cell r="AI252">
            <v>69406</v>
          </cell>
          <cell r="AJ252">
            <v>0</v>
          </cell>
          <cell r="AK252">
            <v>0</v>
          </cell>
          <cell r="AL252">
            <v>811723</v>
          </cell>
        </row>
        <row r="253">
          <cell r="B253" t="str">
            <v>Jul 2015</v>
          </cell>
          <cell r="C253" t="str">
            <v>RTS</v>
          </cell>
          <cell r="D253" t="str">
            <v>LGINE643</v>
          </cell>
          <cell r="E253">
            <v>12</v>
          </cell>
          <cell r="F253">
            <v>0</v>
          </cell>
          <cell r="G253">
            <v>0</v>
          </cell>
          <cell r="H253">
            <v>0</v>
          </cell>
          <cell r="I253">
            <v>0</v>
          </cell>
          <cell r="J253">
            <v>71457686</v>
          </cell>
          <cell r="K253">
            <v>148471</v>
          </cell>
          <cell r="L253">
            <v>144617</v>
          </cell>
          <cell r="M253">
            <v>91611</v>
          </cell>
          <cell r="AA253">
            <v>0</v>
          </cell>
          <cell r="AB253">
            <v>0</v>
          </cell>
          <cell r="AD253">
            <v>3847598.76</v>
          </cell>
          <cell r="AE253">
            <v>3847600</v>
          </cell>
          <cell r="AG253">
            <v>139967</v>
          </cell>
          <cell r="AH253">
            <v>0</v>
          </cell>
          <cell r="AI253">
            <v>451284</v>
          </cell>
          <cell r="AJ253">
            <v>0</v>
          </cell>
          <cell r="AK253">
            <v>0</v>
          </cell>
          <cell r="AL253">
            <v>4438851</v>
          </cell>
        </row>
        <row r="254">
          <cell r="B254" t="str">
            <v>Jul 2015</v>
          </cell>
          <cell r="C254" t="str">
            <v>PSS</v>
          </cell>
          <cell r="D254" t="str">
            <v>LGINE661</v>
          </cell>
          <cell r="E254">
            <v>216</v>
          </cell>
          <cell r="F254">
            <v>0</v>
          </cell>
          <cell r="G254">
            <v>0</v>
          </cell>
          <cell r="H254">
            <v>0</v>
          </cell>
          <cell r="I254">
            <v>0</v>
          </cell>
          <cell r="J254">
            <v>23496230</v>
          </cell>
          <cell r="K254">
            <v>0</v>
          </cell>
          <cell r="L254">
            <v>0</v>
          </cell>
          <cell r="M254">
            <v>71167</v>
          </cell>
          <cell r="AA254">
            <v>0</v>
          </cell>
          <cell r="AB254">
            <v>0</v>
          </cell>
          <cell r="AD254">
            <v>2140525.7400000002</v>
          </cell>
          <cell r="AE254">
            <v>2140532</v>
          </cell>
          <cell r="AG254">
            <v>46023</v>
          </cell>
          <cell r="AH254">
            <v>38695</v>
          </cell>
          <cell r="AI254">
            <v>148388</v>
          </cell>
          <cell r="AJ254">
            <v>0</v>
          </cell>
          <cell r="AK254">
            <v>0</v>
          </cell>
          <cell r="AL254">
            <v>2373638</v>
          </cell>
        </row>
        <row r="255">
          <cell r="B255" t="str">
            <v>Jul 2015</v>
          </cell>
          <cell r="C255" t="str">
            <v>PSP</v>
          </cell>
          <cell r="D255" t="str">
            <v>LGINE663</v>
          </cell>
          <cell r="E255">
            <v>21</v>
          </cell>
          <cell r="F255">
            <v>0</v>
          </cell>
          <cell r="G255">
            <v>0</v>
          </cell>
          <cell r="H255">
            <v>0</v>
          </cell>
          <cell r="I255">
            <v>0</v>
          </cell>
          <cell r="J255">
            <v>1185295</v>
          </cell>
          <cell r="K255">
            <v>0</v>
          </cell>
          <cell r="L255">
            <v>0</v>
          </cell>
          <cell r="M255">
            <v>4169</v>
          </cell>
          <cell r="AA255">
            <v>0</v>
          </cell>
          <cell r="AB255">
            <v>0</v>
          </cell>
          <cell r="AD255">
            <v>108262.23000000001</v>
          </cell>
          <cell r="AE255">
            <v>108257</v>
          </cell>
          <cell r="AG255">
            <v>2322</v>
          </cell>
          <cell r="AH255">
            <v>1952</v>
          </cell>
          <cell r="AI255">
            <v>7486</v>
          </cell>
          <cell r="AJ255">
            <v>0</v>
          </cell>
          <cell r="AK255">
            <v>0</v>
          </cell>
          <cell r="AL255">
            <v>120017</v>
          </cell>
        </row>
        <row r="256">
          <cell r="B256" t="str">
            <v>Jul 2015</v>
          </cell>
          <cell r="C256" t="str">
            <v>TODS</v>
          </cell>
          <cell r="D256" t="str">
            <v>LGINE691</v>
          </cell>
          <cell r="E256">
            <v>93</v>
          </cell>
          <cell r="F256">
            <v>0</v>
          </cell>
          <cell r="G256">
            <v>0</v>
          </cell>
          <cell r="H256">
            <v>0</v>
          </cell>
          <cell r="I256">
            <v>0</v>
          </cell>
          <cell r="J256">
            <v>23109451</v>
          </cell>
          <cell r="K256">
            <v>55144</v>
          </cell>
          <cell r="L256">
            <v>51572</v>
          </cell>
          <cell r="M256">
            <v>49890</v>
          </cell>
          <cell r="AA256">
            <v>0</v>
          </cell>
          <cell r="AB256">
            <v>0</v>
          </cell>
          <cell r="AD256">
            <v>1698660.71</v>
          </cell>
          <cell r="AE256">
            <v>1698657</v>
          </cell>
          <cell r="AG256">
            <v>45266</v>
          </cell>
          <cell r="AH256">
            <v>38059</v>
          </cell>
          <cell r="AI256">
            <v>145945</v>
          </cell>
          <cell r="AJ256">
            <v>0</v>
          </cell>
          <cell r="AK256">
            <v>0</v>
          </cell>
          <cell r="AL256">
            <v>1927927</v>
          </cell>
        </row>
        <row r="257">
          <cell r="B257" t="str">
            <v>Jul 2015</v>
          </cell>
          <cell r="C257" t="str">
            <v>ITODP</v>
          </cell>
          <cell r="D257" t="str">
            <v>LGINE693</v>
          </cell>
          <cell r="E257">
            <v>68</v>
          </cell>
          <cell r="F257">
            <v>0</v>
          </cell>
          <cell r="G257">
            <v>0</v>
          </cell>
          <cell r="H257">
            <v>0</v>
          </cell>
          <cell r="I257">
            <v>0</v>
          </cell>
          <cell r="J257">
            <v>149464743</v>
          </cell>
          <cell r="K257">
            <v>355998</v>
          </cell>
          <cell r="L257">
            <v>323197</v>
          </cell>
          <cell r="M257">
            <v>318904</v>
          </cell>
          <cell r="AA257">
            <v>0</v>
          </cell>
          <cell r="AB257">
            <v>0</v>
          </cell>
          <cell r="AD257">
            <v>9302177.5</v>
          </cell>
          <cell r="AE257">
            <v>9302182</v>
          </cell>
          <cell r="AG257">
            <v>292763</v>
          </cell>
          <cell r="AH257">
            <v>246151</v>
          </cell>
          <cell r="AI257">
            <v>943929</v>
          </cell>
          <cell r="AJ257">
            <v>0</v>
          </cell>
          <cell r="AK257">
            <v>0</v>
          </cell>
          <cell r="AL257">
            <v>10785025</v>
          </cell>
        </row>
        <row r="258">
          <cell r="B258" t="str">
            <v>Jul 2015</v>
          </cell>
          <cell r="C258" t="str">
            <v>ITODP</v>
          </cell>
          <cell r="D258" t="str">
            <v>LGINE694</v>
          </cell>
          <cell r="E258">
            <v>0</v>
          </cell>
          <cell r="F258">
            <v>0</v>
          </cell>
          <cell r="G258">
            <v>0</v>
          </cell>
          <cell r="H258">
            <v>0</v>
          </cell>
          <cell r="I258">
            <v>0</v>
          </cell>
          <cell r="J258">
            <v>0</v>
          </cell>
          <cell r="K258">
            <v>0</v>
          </cell>
          <cell r="L258">
            <v>0</v>
          </cell>
          <cell r="M258">
            <v>0</v>
          </cell>
          <cell r="AA258">
            <v>0</v>
          </cell>
          <cell r="AB258">
            <v>0</v>
          </cell>
          <cell r="AD258">
            <v>0</v>
          </cell>
          <cell r="AE258">
            <v>0</v>
          </cell>
          <cell r="AG258">
            <v>0</v>
          </cell>
          <cell r="AH258">
            <v>0</v>
          </cell>
          <cell r="AI258">
            <v>0</v>
          </cell>
          <cell r="AJ258">
            <v>0</v>
          </cell>
          <cell r="AK258">
            <v>0</v>
          </cell>
          <cell r="AL258">
            <v>0</v>
          </cell>
        </row>
        <row r="259">
          <cell r="B259" t="str">
            <v>Jul 2015</v>
          </cell>
          <cell r="C259" t="str">
            <v>LE</v>
          </cell>
          <cell r="D259" t="str">
            <v>LGMLE570</v>
          </cell>
          <cell r="E259">
            <v>0</v>
          </cell>
          <cell r="F259">
            <v>0</v>
          </cell>
          <cell r="G259">
            <v>0</v>
          </cell>
          <cell r="H259">
            <v>0</v>
          </cell>
          <cell r="I259">
            <v>0</v>
          </cell>
          <cell r="J259">
            <v>0</v>
          </cell>
          <cell r="K259">
            <v>0</v>
          </cell>
          <cell r="L259">
            <v>0</v>
          </cell>
          <cell r="M259">
            <v>0</v>
          </cell>
          <cell r="AA259">
            <v>0</v>
          </cell>
          <cell r="AB259">
            <v>0</v>
          </cell>
          <cell r="AD259">
            <v>0</v>
          </cell>
          <cell r="AE259">
            <v>0</v>
          </cell>
          <cell r="AG259">
            <v>0</v>
          </cell>
          <cell r="AH259">
            <v>0</v>
          </cell>
          <cell r="AI259">
            <v>0</v>
          </cell>
          <cell r="AJ259">
            <v>0</v>
          </cell>
          <cell r="AK259">
            <v>0</v>
          </cell>
          <cell r="AL259">
            <v>0</v>
          </cell>
        </row>
        <row r="260">
          <cell r="B260" t="str">
            <v>Jul 2015</v>
          </cell>
          <cell r="C260" t="str">
            <v>LE</v>
          </cell>
          <cell r="D260" t="str">
            <v>LGMLE571</v>
          </cell>
          <cell r="E260">
            <v>156</v>
          </cell>
          <cell r="F260">
            <v>0</v>
          </cell>
          <cell r="G260">
            <v>0</v>
          </cell>
          <cell r="H260">
            <v>0</v>
          </cell>
          <cell r="I260">
            <v>0</v>
          </cell>
          <cell r="J260">
            <v>264288</v>
          </cell>
          <cell r="K260">
            <v>0</v>
          </cell>
          <cell r="L260">
            <v>0</v>
          </cell>
          <cell r="M260">
            <v>0</v>
          </cell>
          <cell r="AA260">
            <v>0</v>
          </cell>
          <cell r="AB260">
            <v>0</v>
          </cell>
          <cell r="AD260">
            <v>17075.650000000001</v>
          </cell>
          <cell r="AE260">
            <v>0</v>
          </cell>
          <cell r="AG260">
            <v>0</v>
          </cell>
          <cell r="AH260">
            <v>0</v>
          </cell>
          <cell r="AI260">
            <v>0</v>
          </cell>
          <cell r="AJ260">
            <v>0</v>
          </cell>
          <cell r="AK260">
            <v>0</v>
          </cell>
          <cell r="AL260">
            <v>0</v>
          </cell>
        </row>
        <row r="261">
          <cell r="B261" t="str">
            <v>Jul 2015</v>
          </cell>
          <cell r="C261" t="str">
            <v>LE</v>
          </cell>
          <cell r="D261" t="str">
            <v>LGMLE572</v>
          </cell>
          <cell r="E261">
            <v>0</v>
          </cell>
          <cell r="F261">
            <v>0</v>
          </cell>
          <cell r="G261">
            <v>0</v>
          </cell>
          <cell r="H261">
            <v>0</v>
          </cell>
          <cell r="I261">
            <v>0</v>
          </cell>
          <cell r="J261">
            <v>0</v>
          </cell>
          <cell r="K261">
            <v>0</v>
          </cell>
          <cell r="L261">
            <v>0</v>
          </cell>
          <cell r="M261">
            <v>0</v>
          </cell>
          <cell r="AA261">
            <v>0</v>
          </cell>
          <cell r="AB261">
            <v>0</v>
          </cell>
          <cell r="AD261">
            <v>0</v>
          </cell>
          <cell r="AE261">
            <v>0</v>
          </cell>
          <cell r="AG261">
            <v>0</v>
          </cell>
          <cell r="AH261">
            <v>0</v>
          </cell>
          <cell r="AI261">
            <v>0</v>
          </cell>
          <cell r="AJ261">
            <v>0</v>
          </cell>
          <cell r="AK261">
            <v>0</v>
          </cell>
          <cell r="AL261">
            <v>0</v>
          </cell>
        </row>
        <row r="262">
          <cell r="B262" t="str">
            <v>Jul 2015</v>
          </cell>
          <cell r="C262" t="str">
            <v>TE</v>
          </cell>
          <cell r="D262" t="str">
            <v>LGMLE573</v>
          </cell>
          <cell r="E262">
            <v>905</v>
          </cell>
          <cell r="F262">
            <v>0</v>
          </cell>
          <cell r="G262">
            <v>0</v>
          </cell>
          <cell r="H262">
            <v>0</v>
          </cell>
          <cell r="I262">
            <v>0</v>
          </cell>
          <cell r="J262">
            <v>256936</v>
          </cell>
          <cell r="K262">
            <v>0</v>
          </cell>
          <cell r="L262">
            <v>0</v>
          </cell>
          <cell r="M262">
            <v>0</v>
          </cell>
          <cell r="AA262">
            <v>0</v>
          </cell>
          <cell r="AB262">
            <v>0</v>
          </cell>
          <cell r="AD262">
            <v>22617.41</v>
          </cell>
          <cell r="AE262">
            <v>0</v>
          </cell>
          <cell r="AG262">
            <v>0</v>
          </cell>
          <cell r="AH262">
            <v>0</v>
          </cell>
          <cell r="AI262">
            <v>0</v>
          </cell>
          <cell r="AJ262">
            <v>0</v>
          </cell>
          <cell r="AK262">
            <v>0</v>
          </cell>
          <cell r="AL262">
            <v>0</v>
          </cell>
        </row>
        <row r="263">
          <cell r="B263" t="str">
            <v>Jul 2015</v>
          </cell>
          <cell r="C263" t="str">
            <v>TE</v>
          </cell>
          <cell r="D263" t="str">
            <v>LGMLE574</v>
          </cell>
          <cell r="E263">
            <v>0</v>
          </cell>
          <cell r="F263">
            <v>0</v>
          </cell>
          <cell r="G263">
            <v>0</v>
          </cell>
          <cell r="H263">
            <v>0</v>
          </cell>
          <cell r="I263">
            <v>0</v>
          </cell>
          <cell r="J263">
            <v>0</v>
          </cell>
          <cell r="K263">
            <v>0</v>
          </cell>
          <cell r="L263">
            <v>0</v>
          </cell>
          <cell r="M263">
            <v>0</v>
          </cell>
          <cell r="AA263">
            <v>0</v>
          </cell>
          <cell r="AB263">
            <v>0</v>
          </cell>
          <cell r="AD263">
            <v>0</v>
          </cell>
          <cell r="AE263">
            <v>0</v>
          </cell>
          <cell r="AG263">
            <v>0</v>
          </cell>
          <cell r="AH263">
            <v>0</v>
          </cell>
          <cell r="AI263">
            <v>0</v>
          </cell>
          <cell r="AJ263">
            <v>0</v>
          </cell>
          <cell r="AK263">
            <v>0</v>
          </cell>
          <cell r="AL263">
            <v>0</v>
          </cell>
        </row>
        <row r="264">
          <cell r="B264" t="str">
            <v>Jul 2015</v>
          </cell>
          <cell r="C264" t="str">
            <v>RS</v>
          </cell>
          <cell r="D264" t="str">
            <v>LGRSE411</v>
          </cell>
          <cell r="E264">
            <v>0</v>
          </cell>
          <cell r="F264">
            <v>0</v>
          </cell>
          <cell r="G264">
            <v>0</v>
          </cell>
          <cell r="H264">
            <v>0</v>
          </cell>
          <cell r="I264">
            <v>0</v>
          </cell>
          <cell r="J264">
            <v>0</v>
          </cell>
          <cell r="K264">
            <v>0</v>
          </cell>
          <cell r="L264">
            <v>0</v>
          </cell>
          <cell r="M264">
            <v>0</v>
          </cell>
          <cell r="AA264">
            <v>0</v>
          </cell>
          <cell r="AB264">
            <v>0</v>
          </cell>
          <cell r="AD264">
            <v>0</v>
          </cell>
          <cell r="AE264">
            <v>0</v>
          </cell>
          <cell r="AG264">
            <v>0</v>
          </cell>
          <cell r="AH264">
            <v>0</v>
          </cell>
          <cell r="AI264">
            <v>0</v>
          </cell>
          <cell r="AJ264">
            <v>0</v>
          </cell>
          <cell r="AK264">
            <v>0</v>
          </cell>
          <cell r="AL264">
            <v>0</v>
          </cell>
        </row>
        <row r="265">
          <cell r="B265" t="str">
            <v>Jul 2015</v>
          </cell>
          <cell r="C265" t="str">
            <v>RS</v>
          </cell>
          <cell r="D265" t="str">
            <v>LGRSE511</v>
          </cell>
          <cell r="E265">
            <v>360372</v>
          </cell>
          <cell r="F265">
            <v>0</v>
          </cell>
          <cell r="G265">
            <v>0</v>
          </cell>
          <cell r="H265">
            <v>0</v>
          </cell>
          <cell r="I265">
            <v>0</v>
          </cell>
          <cell r="J265">
            <v>517281280</v>
          </cell>
          <cell r="K265">
            <v>0</v>
          </cell>
          <cell r="L265">
            <v>0</v>
          </cell>
          <cell r="M265">
            <v>0</v>
          </cell>
          <cell r="AA265">
            <v>0</v>
          </cell>
          <cell r="AB265">
            <v>0</v>
          </cell>
          <cell r="AD265">
            <v>45649635.170000002</v>
          </cell>
          <cell r="AE265">
            <v>45652280</v>
          </cell>
          <cell r="AG265">
            <v>1013282</v>
          </cell>
          <cell r="AH265">
            <v>851950</v>
          </cell>
          <cell r="AI265">
            <v>3267026</v>
          </cell>
          <cell r="AJ265">
            <v>0</v>
          </cell>
          <cell r="AK265">
            <v>0</v>
          </cell>
          <cell r="AL265">
            <v>50784538</v>
          </cell>
        </row>
        <row r="266">
          <cell r="B266" t="str">
            <v>Jul 2015</v>
          </cell>
          <cell r="C266" t="str">
            <v>RS</v>
          </cell>
          <cell r="D266" t="str">
            <v>LGRSE519</v>
          </cell>
          <cell r="E266">
            <v>0</v>
          </cell>
          <cell r="F266">
            <v>0</v>
          </cell>
          <cell r="G266">
            <v>0</v>
          </cell>
          <cell r="H266">
            <v>0</v>
          </cell>
          <cell r="I266">
            <v>0</v>
          </cell>
          <cell r="J266">
            <v>0</v>
          </cell>
          <cell r="K266">
            <v>0</v>
          </cell>
          <cell r="L266">
            <v>0</v>
          </cell>
          <cell r="M266">
            <v>0</v>
          </cell>
          <cell r="AA266">
            <v>0</v>
          </cell>
          <cell r="AB266">
            <v>0</v>
          </cell>
          <cell r="AD266">
            <v>0</v>
          </cell>
          <cell r="AE266">
            <v>0</v>
          </cell>
          <cell r="AG266">
            <v>0</v>
          </cell>
          <cell r="AH266">
            <v>0</v>
          </cell>
          <cell r="AI266">
            <v>0</v>
          </cell>
          <cell r="AJ266">
            <v>0</v>
          </cell>
          <cell r="AK266">
            <v>0</v>
          </cell>
          <cell r="AL266">
            <v>0</v>
          </cell>
        </row>
        <row r="267">
          <cell r="B267" t="str">
            <v>Jul 2015</v>
          </cell>
          <cell r="C267" t="str">
            <v>RS</v>
          </cell>
          <cell r="D267" t="str">
            <v>LGRSE540</v>
          </cell>
          <cell r="E267">
            <v>0</v>
          </cell>
          <cell r="F267">
            <v>0</v>
          </cell>
          <cell r="G267">
            <v>0</v>
          </cell>
          <cell r="H267">
            <v>0</v>
          </cell>
          <cell r="I267">
            <v>0</v>
          </cell>
          <cell r="J267">
            <v>0</v>
          </cell>
          <cell r="K267">
            <v>0</v>
          </cell>
          <cell r="L267">
            <v>0</v>
          </cell>
          <cell r="M267">
            <v>0</v>
          </cell>
          <cell r="AA267">
            <v>0</v>
          </cell>
          <cell r="AB267">
            <v>0</v>
          </cell>
          <cell r="AD267">
            <v>0</v>
          </cell>
          <cell r="AE267">
            <v>0</v>
          </cell>
          <cell r="AG267">
            <v>0</v>
          </cell>
          <cell r="AH267">
            <v>0</v>
          </cell>
          <cell r="AI267">
            <v>0</v>
          </cell>
          <cell r="AJ267">
            <v>0</v>
          </cell>
          <cell r="AK267">
            <v>0</v>
          </cell>
          <cell r="AL267">
            <v>0</v>
          </cell>
        </row>
        <row r="268">
          <cell r="B268" t="str">
            <v>Jul 2015</v>
          </cell>
          <cell r="C268" t="str">
            <v>LEV</v>
          </cell>
          <cell r="D268" t="str">
            <v>LGRSE543</v>
          </cell>
          <cell r="E268">
            <v>20</v>
          </cell>
          <cell r="F268">
            <v>0</v>
          </cell>
          <cell r="G268">
            <v>17747</v>
          </cell>
          <cell r="H268">
            <v>6131</v>
          </cell>
          <cell r="I268">
            <v>6208</v>
          </cell>
          <cell r="J268">
            <v>30086</v>
          </cell>
          <cell r="K268">
            <v>0</v>
          </cell>
          <cell r="L268">
            <v>0</v>
          </cell>
          <cell r="M268">
            <v>0</v>
          </cell>
          <cell r="AA268">
            <v>0</v>
          </cell>
          <cell r="AB268">
            <v>0</v>
          </cell>
          <cell r="AD268">
            <v>2629.28</v>
          </cell>
          <cell r="AE268">
            <v>0</v>
          </cell>
          <cell r="AG268">
            <v>0</v>
          </cell>
          <cell r="AH268">
            <v>0</v>
          </cell>
          <cell r="AI268">
            <v>0</v>
          </cell>
          <cell r="AJ268">
            <v>0</v>
          </cell>
          <cell r="AK268">
            <v>0</v>
          </cell>
          <cell r="AL268">
            <v>0</v>
          </cell>
        </row>
        <row r="269">
          <cell r="B269" t="str">
            <v>Jul 2015</v>
          </cell>
          <cell r="C269" t="str">
            <v>LEV</v>
          </cell>
          <cell r="D269" t="str">
            <v>LGRSE547</v>
          </cell>
          <cell r="E269">
            <v>0</v>
          </cell>
          <cell r="F269">
            <v>0</v>
          </cell>
          <cell r="G269">
            <v>0</v>
          </cell>
          <cell r="H269">
            <v>0</v>
          </cell>
          <cell r="I269">
            <v>0</v>
          </cell>
          <cell r="J269">
            <v>0</v>
          </cell>
          <cell r="K269">
            <v>0</v>
          </cell>
          <cell r="L269">
            <v>0</v>
          </cell>
          <cell r="M269">
            <v>0</v>
          </cell>
          <cell r="AA269">
            <v>0</v>
          </cell>
          <cell r="AB269">
            <v>0</v>
          </cell>
          <cell r="AD269">
            <v>0</v>
          </cell>
          <cell r="AE269">
            <v>0</v>
          </cell>
          <cell r="AG269">
            <v>0</v>
          </cell>
          <cell r="AH269">
            <v>0</v>
          </cell>
          <cell r="AI269">
            <v>0</v>
          </cell>
          <cell r="AJ269">
            <v>0</v>
          </cell>
          <cell r="AK269">
            <v>0</v>
          </cell>
          <cell r="AL269">
            <v>0</v>
          </cell>
        </row>
        <row r="270">
          <cell r="B270" t="str">
            <v>Aug 2015</v>
          </cell>
          <cell r="C270" t="str">
            <v>FLSP</v>
          </cell>
          <cell r="D270" t="str">
            <v>LGINE682</v>
          </cell>
          <cell r="E270">
            <v>0</v>
          </cell>
          <cell r="F270">
            <v>0</v>
          </cell>
          <cell r="G270">
            <v>0</v>
          </cell>
          <cell r="H270">
            <v>0</v>
          </cell>
          <cell r="I270">
            <v>0</v>
          </cell>
          <cell r="J270">
            <v>0</v>
          </cell>
          <cell r="K270">
            <v>0</v>
          </cell>
          <cell r="L270">
            <v>0</v>
          </cell>
          <cell r="M270">
            <v>0</v>
          </cell>
          <cell r="AA270">
            <v>0</v>
          </cell>
          <cell r="AB270">
            <v>0</v>
          </cell>
          <cell r="AD270">
            <v>0</v>
          </cell>
          <cell r="AE270">
            <v>0</v>
          </cell>
          <cell r="AG270">
            <v>0</v>
          </cell>
          <cell r="AH270">
            <v>0</v>
          </cell>
          <cell r="AI270">
            <v>0</v>
          </cell>
          <cell r="AJ270">
            <v>0</v>
          </cell>
          <cell r="AK270">
            <v>0</v>
          </cell>
          <cell r="AL270">
            <v>0</v>
          </cell>
        </row>
        <row r="271">
          <cell r="B271" t="str">
            <v>Aug 2015</v>
          </cell>
          <cell r="C271" t="str">
            <v>FLST</v>
          </cell>
          <cell r="D271" t="str">
            <v>LGINE683</v>
          </cell>
          <cell r="E271">
            <v>0</v>
          </cell>
          <cell r="F271">
            <v>0</v>
          </cell>
          <cell r="G271">
            <v>0</v>
          </cell>
          <cell r="H271">
            <v>0</v>
          </cell>
          <cell r="I271">
            <v>0</v>
          </cell>
          <cell r="J271">
            <v>0</v>
          </cell>
          <cell r="K271">
            <v>0</v>
          </cell>
          <cell r="L271">
            <v>0</v>
          </cell>
          <cell r="M271">
            <v>0</v>
          </cell>
          <cell r="AA271">
            <v>0</v>
          </cell>
          <cell r="AB271">
            <v>0</v>
          </cell>
          <cell r="AD271">
            <v>0</v>
          </cell>
          <cell r="AE271">
            <v>0</v>
          </cell>
          <cell r="AG271">
            <v>0</v>
          </cell>
          <cell r="AH271">
            <v>0</v>
          </cell>
          <cell r="AI271">
            <v>0</v>
          </cell>
          <cell r="AJ271">
            <v>0</v>
          </cell>
          <cell r="AK271">
            <v>0</v>
          </cell>
          <cell r="AL271">
            <v>0</v>
          </cell>
        </row>
        <row r="272">
          <cell r="B272" t="str">
            <v>Aug 2015</v>
          </cell>
          <cell r="C272" t="str">
            <v>GS</v>
          </cell>
          <cell r="D272" t="str">
            <v>LGCME451</v>
          </cell>
          <cell r="E272">
            <v>0</v>
          </cell>
          <cell r="F272">
            <v>0</v>
          </cell>
          <cell r="G272">
            <v>0</v>
          </cell>
          <cell r="H272">
            <v>0</v>
          </cell>
          <cell r="I272">
            <v>0</v>
          </cell>
          <cell r="J272">
            <v>0</v>
          </cell>
          <cell r="K272">
            <v>0</v>
          </cell>
          <cell r="L272">
            <v>0</v>
          </cell>
          <cell r="M272">
            <v>0</v>
          </cell>
          <cell r="AA272">
            <v>0</v>
          </cell>
          <cell r="AB272">
            <v>0</v>
          </cell>
          <cell r="AD272">
            <v>0</v>
          </cell>
          <cell r="AE272">
            <v>0</v>
          </cell>
          <cell r="AG272">
            <v>0</v>
          </cell>
          <cell r="AH272">
            <v>0</v>
          </cell>
          <cell r="AI272">
            <v>0</v>
          </cell>
          <cell r="AJ272">
            <v>0</v>
          </cell>
          <cell r="AK272">
            <v>0</v>
          </cell>
          <cell r="AL272">
            <v>0</v>
          </cell>
        </row>
        <row r="273">
          <cell r="B273" t="str">
            <v>Aug 2015</v>
          </cell>
          <cell r="C273" t="str">
            <v>GS</v>
          </cell>
          <cell r="D273" t="str">
            <v>LGCME550</v>
          </cell>
          <cell r="E273">
            <v>0</v>
          </cell>
          <cell r="F273">
            <v>0</v>
          </cell>
          <cell r="G273">
            <v>0</v>
          </cell>
          <cell r="H273">
            <v>0</v>
          </cell>
          <cell r="I273">
            <v>0</v>
          </cell>
          <cell r="J273">
            <v>0</v>
          </cell>
          <cell r="K273">
            <v>0</v>
          </cell>
          <cell r="L273">
            <v>0</v>
          </cell>
          <cell r="M273">
            <v>0</v>
          </cell>
          <cell r="AA273">
            <v>0</v>
          </cell>
          <cell r="AB273">
            <v>0</v>
          </cell>
          <cell r="AD273">
            <v>0</v>
          </cell>
          <cell r="AE273">
            <v>0</v>
          </cell>
          <cell r="AG273">
            <v>0</v>
          </cell>
          <cell r="AH273">
            <v>0</v>
          </cell>
          <cell r="AI273">
            <v>0</v>
          </cell>
          <cell r="AJ273">
            <v>0</v>
          </cell>
          <cell r="AK273">
            <v>0</v>
          </cell>
          <cell r="AL273">
            <v>0</v>
          </cell>
        </row>
        <row r="274">
          <cell r="B274" t="str">
            <v>Aug 2015</v>
          </cell>
          <cell r="C274" t="str">
            <v>GS</v>
          </cell>
          <cell r="D274" t="str">
            <v>LGCME551</v>
          </cell>
          <cell r="E274">
            <v>28166</v>
          </cell>
          <cell r="F274">
            <v>0</v>
          </cell>
          <cell r="G274">
            <v>0</v>
          </cell>
          <cell r="H274">
            <v>0</v>
          </cell>
          <cell r="I274">
            <v>0</v>
          </cell>
          <cell r="J274">
            <v>40346505</v>
          </cell>
          <cell r="K274">
            <v>0</v>
          </cell>
          <cell r="L274">
            <v>0</v>
          </cell>
          <cell r="M274">
            <v>0</v>
          </cell>
          <cell r="AA274">
            <v>0</v>
          </cell>
          <cell r="AB274">
            <v>0</v>
          </cell>
          <cell r="AD274">
            <v>4248569.7699999996</v>
          </cell>
          <cell r="AE274">
            <v>4248579</v>
          </cell>
          <cell r="AG274">
            <v>86768</v>
          </cell>
          <cell r="AH274">
            <v>81733</v>
          </cell>
          <cell r="AI274">
            <v>258556</v>
          </cell>
          <cell r="AJ274">
            <v>0</v>
          </cell>
          <cell r="AK274">
            <v>0</v>
          </cell>
          <cell r="AL274">
            <v>4675636</v>
          </cell>
        </row>
        <row r="275">
          <cell r="B275" t="str">
            <v>Aug 2015</v>
          </cell>
          <cell r="C275" t="str">
            <v>GS</v>
          </cell>
          <cell r="D275" t="str">
            <v>LGCME551UM</v>
          </cell>
          <cell r="E275">
            <v>0</v>
          </cell>
          <cell r="F275">
            <v>0</v>
          </cell>
          <cell r="G275">
            <v>0</v>
          </cell>
          <cell r="H275">
            <v>0</v>
          </cell>
          <cell r="I275">
            <v>0</v>
          </cell>
          <cell r="J275">
            <v>0</v>
          </cell>
          <cell r="K275">
            <v>0</v>
          </cell>
          <cell r="L275">
            <v>0</v>
          </cell>
          <cell r="M275">
            <v>0</v>
          </cell>
          <cell r="AA275">
            <v>0</v>
          </cell>
          <cell r="AB275">
            <v>0</v>
          </cell>
          <cell r="AD275">
            <v>0</v>
          </cell>
          <cell r="AE275">
            <v>0</v>
          </cell>
          <cell r="AG275">
            <v>0</v>
          </cell>
          <cell r="AH275">
            <v>0</v>
          </cell>
          <cell r="AI275">
            <v>0</v>
          </cell>
          <cell r="AJ275">
            <v>0</v>
          </cell>
          <cell r="AK275">
            <v>0</v>
          </cell>
          <cell r="AL275">
            <v>0</v>
          </cell>
        </row>
        <row r="276">
          <cell r="B276" t="str">
            <v>Aug 2015</v>
          </cell>
          <cell r="C276" t="str">
            <v>GS</v>
          </cell>
          <cell r="D276" t="str">
            <v>LGCME552</v>
          </cell>
          <cell r="E276">
            <v>0</v>
          </cell>
          <cell r="F276">
            <v>0</v>
          </cell>
          <cell r="G276">
            <v>0</v>
          </cell>
          <cell r="H276">
            <v>0</v>
          </cell>
          <cell r="I276">
            <v>0</v>
          </cell>
          <cell r="J276">
            <v>0</v>
          </cell>
          <cell r="K276">
            <v>0</v>
          </cell>
          <cell r="L276">
            <v>0</v>
          </cell>
          <cell r="M276">
            <v>0</v>
          </cell>
          <cell r="AA276">
            <v>0</v>
          </cell>
          <cell r="AB276">
            <v>0</v>
          </cell>
          <cell r="AD276">
            <v>0</v>
          </cell>
          <cell r="AE276">
            <v>0</v>
          </cell>
          <cell r="AG276">
            <v>0</v>
          </cell>
          <cell r="AH276">
            <v>0</v>
          </cell>
          <cell r="AI276">
            <v>0</v>
          </cell>
          <cell r="AJ276">
            <v>0</v>
          </cell>
          <cell r="AK276">
            <v>0</v>
          </cell>
          <cell r="AL276">
            <v>0</v>
          </cell>
        </row>
        <row r="277">
          <cell r="B277" t="str">
            <v>Aug 2015</v>
          </cell>
          <cell r="C277" t="str">
            <v>GS</v>
          </cell>
          <cell r="D277" t="str">
            <v>LGCME557</v>
          </cell>
          <cell r="E277">
            <v>0</v>
          </cell>
          <cell r="F277">
            <v>0</v>
          </cell>
          <cell r="G277">
            <v>0</v>
          </cell>
          <cell r="H277">
            <v>0</v>
          </cell>
          <cell r="I277">
            <v>0</v>
          </cell>
          <cell r="J277">
            <v>0</v>
          </cell>
          <cell r="K277">
            <v>0</v>
          </cell>
          <cell r="L277">
            <v>0</v>
          </cell>
          <cell r="M277">
            <v>0</v>
          </cell>
          <cell r="AA277">
            <v>0</v>
          </cell>
          <cell r="AB277">
            <v>0</v>
          </cell>
          <cell r="AD277">
            <v>0</v>
          </cell>
          <cell r="AE277">
            <v>0</v>
          </cell>
          <cell r="AG277">
            <v>0</v>
          </cell>
          <cell r="AH277">
            <v>0</v>
          </cell>
          <cell r="AI277">
            <v>0</v>
          </cell>
          <cell r="AJ277">
            <v>0</v>
          </cell>
          <cell r="AK277">
            <v>0</v>
          </cell>
          <cell r="AL277">
            <v>0</v>
          </cell>
        </row>
        <row r="278">
          <cell r="B278" t="str">
            <v>Aug 2015</v>
          </cell>
          <cell r="C278" t="str">
            <v>PSS</v>
          </cell>
          <cell r="D278" t="str">
            <v>LGCME561</v>
          </cell>
          <cell r="E278">
            <v>2579</v>
          </cell>
          <cell r="F278">
            <v>0</v>
          </cell>
          <cell r="G278">
            <v>0</v>
          </cell>
          <cell r="H278">
            <v>0</v>
          </cell>
          <cell r="I278">
            <v>0</v>
          </cell>
          <cell r="J278">
            <v>169566983</v>
          </cell>
          <cell r="K278">
            <v>0</v>
          </cell>
          <cell r="L278">
            <v>0</v>
          </cell>
          <cell r="M278">
            <v>412938</v>
          </cell>
          <cell r="AA278">
            <v>0</v>
          </cell>
          <cell r="AB278">
            <v>0</v>
          </cell>
          <cell r="AD278">
            <v>13888712.710000001</v>
          </cell>
          <cell r="AE278">
            <v>13888715</v>
          </cell>
          <cell r="AG278">
            <v>364664</v>
          </cell>
          <cell r="AH278">
            <v>343506</v>
          </cell>
          <cell r="AI278">
            <v>1086650</v>
          </cell>
          <cell r="AJ278">
            <v>0</v>
          </cell>
          <cell r="AK278">
            <v>0</v>
          </cell>
          <cell r="AL278">
            <v>15683535</v>
          </cell>
        </row>
        <row r="279">
          <cell r="B279" t="str">
            <v>Aug 2015</v>
          </cell>
          <cell r="C279" t="str">
            <v>PSP</v>
          </cell>
          <cell r="D279" t="str">
            <v>LGCME563</v>
          </cell>
          <cell r="E279">
            <v>52</v>
          </cell>
          <cell r="F279">
            <v>0</v>
          </cell>
          <cell r="G279">
            <v>0</v>
          </cell>
          <cell r="H279">
            <v>0</v>
          </cell>
          <cell r="I279">
            <v>0</v>
          </cell>
          <cell r="J279">
            <v>14885241</v>
          </cell>
          <cell r="K279">
            <v>0</v>
          </cell>
          <cell r="L279">
            <v>0</v>
          </cell>
          <cell r="M279">
            <v>35310</v>
          </cell>
          <cell r="AA279">
            <v>0</v>
          </cell>
          <cell r="AB279">
            <v>0</v>
          </cell>
          <cell r="AD279">
            <v>1085809.06</v>
          </cell>
          <cell r="AE279">
            <v>1085806</v>
          </cell>
          <cell r="AG279">
            <v>32012</v>
          </cell>
          <cell r="AH279">
            <v>30154</v>
          </cell>
          <cell r="AI279">
            <v>95390</v>
          </cell>
          <cell r="AJ279">
            <v>0</v>
          </cell>
          <cell r="AK279">
            <v>0</v>
          </cell>
          <cell r="AL279">
            <v>1243362</v>
          </cell>
        </row>
        <row r="280">
          <cell r="B280" t="str">
            <v>Aug 2015</v>
          </cell>
          <cell r="C280" t="str">
            <v>PSS</v>
          </cell>
          <cell r="D280" t="str">
            <v>LGCME567</v>
          </cell>
          <cell r="E280">
            <v>0</v>
          </cell>
          <cell r="F280">
            <v>0</v>
          </cell>
          <cell r="G280">
            <v>0</v>
          </cell>
          <cell r="H280">
            <v>0</v>
          </cell>
          <cell r="I280">
            <v>0</v>
          </cell>
          <cell r="J280">
            <v>0</v>
          </cell>
          <cell r="K280">
            <v>0</v>
          </cell>
          <cell r="L280">
            <v>0</v>
          </cell>
          <cell r="M280">
            <v>0</v>
          </cell>
          <cell r="AA280">
            <v>0</v>
          </cell>
          <cell r="AB280">
            <v>0</v>
          </cell>
          <cell r="AD280">
            <v>0</v>
          </cell>
          <cell r="AE280">
            <v>0</v>
          </cell>
          <cell r="AG280">
            <v>0</v>
          </cell>
          <cell r="AH280">
            <v>0</v>
          </cell>
          <cell r="AI280">
            <v>0</v>
          </cell>
          <cell r="AJ280">
            <v>0</v>
          </cell>
          <cell r="AK280">
            <v>0</v>
          </cell>
          <cell r="AL280">
            <v>0</v>
          </cell>
        </row>
        <row r="281">
          <cell r="B281" t="str">
            <v>Aug 2015</v>
          </cell>
          <cell r="C281" t="str">
            <v>TODS</v>
          </cell>
          <cell r="D281" t="str">
            <v>LGCME591</v>
          </cell>
          <cell r="E281">
            <v>217</v>
          </cell>
          <cell r="F281">
            <v>0</v>
          </cell>
          <cell r="G281">
            <v>0</v>
          </cell>
          <cell r="H281">
            <v>0</v>
          </cell>
          <cell r="I281">
            <v>0</v>
          </cell>
          <cell r="J281">
            <v>77456015</v>
          </cell>
          <cell r="K281">
            <v>162445</v>
          </cell>
          <cell r="L281">
            <v>157888</v>
          </cell>
          <cell r="M281">
            <v>155706</v>
          </cell>
          <cell r="AA281">
            <v>0</v>
          </cell>
          <cell r="AB281">
            <v>0</v>
          </cell>
          <cell r="AD281">
            <v>5447113.54</v>
          </cell>
          <cell r="AE281">
            <v>5447115</v>
          </cell>
          <cell r="AG281">
            <v>166574</v>
          </cell>
          <cell r="AH281">
            <v>156909</v>
          </cell>
          <cell r="AI281">
            <v>496368</v>
          </cell>
          <cell r="AJ281">
            <v>0</v>
          </cell>
          <cell r="AK281">
            <v>0</v>
          </cell>
          <cell r="AL281">
            <v>6266966</v>
          </cell>
        </row>
        <row r="282">
          <cell r="B282" t="str">
            <v>Aug 2015</v>
          </cell>
          <cell r="C282" t="str">
            <v>CTODP</v>
          </cell>
          <cell r="D282" t="str">
            <v>LGCME593</v>
          </cell>
          <cell r="E282">
            <v>38</v>
          </cell>
          <cell r="F282">
            <v>0</v>
          </cell>
          <cell r="G282">
            <v>0</v>
          </cell>
          <cell r="H282">
            <v>0</v>
          </cell>
          <cell r="I282">
            <v>0</v>
          </cell>
          <cell r="J282">
            <v>36677896</v>
          </cell>
          <cell r="K282">
            <v>83741</v>
          </cell>
          <cell r="L282">
            <v>78985</v>
          </cell>
          <cell r="M282">
            <v>77873</v>
          </cell>
          <cell r="AA282">
            <v>0</v>
          </cell>
          <cell r="AB282">
            <v>0</v>
          </cell>
          <cell r="AD282">
            <v>2522324.66</v>
          </cell>
          <cell r="AE282">
            <v>2522325</v>
          </cell>
          <cell r="AG282">
            <v>78878</v>
          </cell>
          <cell r="AH282">
            <v>74302</v>
          </cell>
          <cell r="AI282">
            <v>235046</v>
          </cell>
          <cell r="AJ282">
            <v>0</v>
          </cell>
          <cell r="AK282">
            <v>0</v>
          </cell>
          <cell r="AL282">
            <v>2910551</v>
          </cell>
        </row>
        <row r="283">
          <cell r="B283" t="str">
            <v>Aug 2015</v>
          </cell>
          <cell r="C283" t="str">
            <v>GS3</v>
          </cell>
          <cell r="D283" t="str">
            <v>LGCME650</v>
          </cell>
          <cell r="E283">
            <v>0</v>
          </cell>
          <cell r="F283">
            <v>0</v>
          </cell>
          <cell r="G283">
            <v>0</v>
          </cell>
          <cell r="H283">
            <v>0</v>
          </cell>
          <cell r="I283">
            <v>0</v>
          </cell>
          <cell r="J283">
            <v>0</v>
          </cell>
          <cell r="K283">
            <v>0</v>
          </cell>
          <cell r="L283">
            <v>0</v>
          </cell>
          <cell r="M283">
            <v>0</v>
          </cell>
          <cell r="AA283">
            <v>0</v>
          </cell>
          <cell r="AB283">
            <v>0</v>
          </cell>
          <cell r="AD283">
            <v>0</v>
          </cell>
          <cell r="AE283">
            <v>0</v>
          </cell>
          <cell r="AG283">
            <v>0</v>
          </cell>
          <cell r="AH283">
            <v>0</v>
          </cell>
          <cell r="AI283">
            <v>0</v>
          </cell>
          <cell r="AJ283">
            <v>0</v>
          </cell>
          <cell r="AK283">
            <v>0</v>
          </cell>
          <cell r="AL283">
            <v>0</v>
          </cell>
        </row>
        <row r="284">
          <cell r="B284" t="str">
            <v>Aug 2015</v>
          </cell>
          <cell r="C284" t="str">
            <v>GS3</v>
          </cell>
          <cell r="D284" t="str">
            <v>LGCME651</v>
          </cell>
          <cell r="E284">
            <v>16355</v>
          </cell>
          <cell r="F284">
            <v>0</v>
          </cell>
          <cell r="G284">
            <v>0</v>
          </cell>
          <cell r="H284">
            <v>0</v>
          </cell>
          <cell r="I284">
            <v>0</v>
          </cell>
          <cell r="J284">
            <v>103100960</v>
          </cell>
          <cell r="K284">
            <v>239619</v>
          </cell>
          <cell r="L284">
            <v>0</v>
          </cell>
          <cell r="M284">
            <v>0</v>
          </cell>
          <cell r="AA284">
            <v>0</v>
          </cell>
          <cell r="AB284">
            <v>0</v>
          </cell>
          <cell r="AD284">
            <v>9989666.6899999995</v>
          </cell>
          <cell r="AE284">
            <v>9989651</v>
          </cell>
          <cell r="AG284">
            <v>221725</v>
          </cell>
          <cell r="AH284">
            <v>208860</v>
          </cell>
          <cell r="AI284">
            <v>660710</v>
          </cell>
          <cell r="AJ284">
            <v>0</v>
          </cell>
          <cell r="AK284">
            <v>0</v>
          </cell>
          <cell r="AL284">
            <v>11080946</v>
          </cell>
        </row>
        <row r="285">
          <cell r="B285" t="str">
            <v>Aug 2015</v>
          </cell>
          <cell r="C285" t="str">
            <v>GS3</v>
          </cell>
          <cell r="D285" t="str">
            <v>LGCME652</v>
          </cell>
          <cell r="E285">
            <v>0</v>
          </cell>
          <cell r="F285">
            <v>0</v>
          </cell>
          <cell r="G285">
            <v>0</v>
          </cell>
          <cell r="H285">
            <v>0</v>
          </cell>
          <cell r="I285">
            <v>0</v>
          </cell>
          <cell r="J285">
            <v>0</v>
          </cell>
          <cell r="K285">
            <v>0</v>
          </cell>
          <cell r="L285">
            <v>0</v>
          </cell>
          <cell r="M285">
            <v>0</v>
          </cell>
          <cell r="AA285">
            <v>0</v>
          </cell>
          <cell r="AB285">
            <v>0</v>
          </cell>
          <cell r="AD285">
            <v>0</v>
          </cell>
          <cell r="AE285">
            <v>0</v>
          </cell>
          <cell r="AG285">
            <v>0</v>
          </cell>
          <cell r="AH285">
            <v>0</v>
          </cell>
          <cell r="AI285">
            <v>0</v>
          </cell>
          <cell r="AJ285">
            <v>0</v>
          </cell>
          <cell r="AK285">
            <v>0</v>
          </cell>
          <cell r="AL285">
            <v>0</v>
          </cell>
        </row>
        <row r="286">
          <cell r="B286" t="str">
            <v>Aug 2015</v>
          </cell>
          <cell r="C286" t="str">
            <v>GS3</v>
          </cell>
          <cell r="D286" t="str">
            <v>LGCME657</v>
          </cell>
          <cell r="E286">
            <v>0</v>
          </cell>
          <cell r="F286">
            <v>0</v>
          </cell>
          <cell r="G286">
            <v>0</v>
          </cell>
          <cell r="H286">
            <v>0</v>
          </cell>
          <cell r="I286">
            <v>0</v>
          </cell>
          <cell r="J286">
            <v>0</v>
          </cell>
          <cell r="K286">
            <v>0</v>
          </cell>
          <cell r="L286">
            <v>0</v>
          </cell>
          <cell r="M286">
            <v>0</v>
          </cell>
          <cell r="AA286">
            <v>0</v>
          </cell>
          <cell r="AB286">
            <v>0</v>
          </cell>
          <cell r="AD286">
            <v>0</v>
          </cell>
          <cell r="AE286">
            <v>0</v>
          </cell>
          <cell r="AG286">
            <v>0</v>
          </cell>
          <cell r="AH286">
            <v>0</v>
          </cell>
          <cell r="AI286">
            <v>0</v>
          </cell>
          <cell r="AJ286">
            <v>0</v>
          </cell>
          <cell r="AK286">
            <v>0</v>
          </cell>
          <cell r="AL286">
            <v>0</v>
          </cell>
        </row>
        <row r="287">
          <cell r="B287" t="str">
            <v>Aug 2015</v>
          </cell>
          <cell r="C287" t="str">
            <v>LWC</v>
          </cell>
          <cell r="D287" t="str">
            <v>LGCME671</v>
          </cell>
          <cell r="E287">
            <v>2</v>
          </cell>
          <cell r="F287">
            <v>0</v>
          </cell>
          <cell r="G287">
            <v>0</v>
          </cell>
          <cell r="H287">
            <v>0</v>
          </cell>
          <cell r="I287">
            <v>0</v>
          </cell>
          <cell r="J287">
            <v>5119500</v>
          </cell>
          <cell r="K287">
            <v>0</v>
          </cell>
          <cell r="L287">
            <v>0</v>
          </cell>
          <cell r="M287">
            <v>9450</v>
          </cell>
          <cell r="AA287">
            <v>0</v>
          </cell>
          <cell r="AB287">
            <v>0</v>
          </cell>
          <cell r="AD287">
            <v>287331.39</v>
          </cell>
          <cell r="AE287">
            <v>287334</v>
          </cell>
          <cell r="AG287">
            <v>11010</v>
          </cell>
          <cell r="AH287">
            <v>0</v>
          </cell>
          <cell r="AI287">
            <v>32808</v>
          </cell>
          <cell r="AJ287">
            <v>0</v>
          </cell>
          <cell r="AK287">
            <v>0</v>
          </cell>
          <cell r="AL287">
            <v>331152</v>
          </cell>
        </row>
        <row r="288">
          <cell r="B288" t="str">
            <v>Aug 2015</v>
          </cell>
          <cell r="C288" t="str">
            <v>CSR</v>
          </cell>
          <cell r="D288" t="str">
            <v>LGCSR760</v>
          </cell>
          <cell r="E288">
            <v>0</v>
          </cell>
          <cell r="F288">
            <v>0</v>
          </cell>
          <cell r="G288">
            <v>0</v>
          </cell>
          <cell r="H288">
            <v>0</v>
          </cell>
          <cell r="I288">
            <v>0</v>
          </cell>
          <cell r="J288">
            <v>0</v>
          </cell>
          <cell r="K288">
            <v>0</v>
          </cell>
          <cell r="L288">
            <v>0</v>
          </cell>
          <cell r="M288">
            <v>0</v>
          </cell>
          <cell r="AA288">
            <v>0</v>
          </cell>
          <cell r="AB288">
            <v>0</v>
          </cell>
          <cell r="AD288">
            <v>0</v>
          </cell>
          <cell r="AE288">
            <v>0</v>
          </cell>
          <cell r="AG288">
            <v>0</v>
          </cell>
          <cell r="AH288">
            <v>0</v>
          </cell>
          <cell r="AI288">
            <v>0</v>
          </cell>
          <cell r="AJ288">
            <v>0</v>
          </cell>
          <cell r="AK288">
            <v>-286526</v>
          </cell>
          <cell r="AL288">
            <v>-286526</v>
          </cell>
        </row>
        <row r="289">
          <cell r="B289" t="str">
            <v>Aug 2015</v>
          </cell>
          <cell r="C289" t="str">
            <v>CSR</v>
          </cell>
          <cell r="D289" t="str">
            <v>LGCSR780</v>
          </cell>
          <cell r="E289">
            <v>0</v>
          </cell>
          <cell r="F289">
            <v>0</v>
          </cell>
          <cell r="G289">
            <v>0</v>
          </cell>
          <cell r="H289">
            <v>0</v>
          </cell>
          <cell r="I289">
            <v>0</v>
          </cell>
          <cell r="J289">
            <v>0</v>
          </cell>
          <cell r="K289">
            <v>0</v>
          </cell>
          <cell r="L289">
            <v>0</v>
          </cell>
          <cell r="M289">
            <v>0</v>
          </cell>
          <cell r="AA289">
            <v>0</v>
          </cell>
          <cell r="AB289">
            <v>0</v>
          </cell>
          <cell r="AD289">
            <v>0</v>
          </cell>
          <cell r="AE289">
            <v>0</v>
          </cell>
          <cell r="AG289">
            <v>0</v>
          </cell>
          <cell r="AH289">
            <v>0</v>
          </cell>
          <cell r="AI289">
            <v>0</v>
          </cell>
          <cell r="AJ289">
            <v>0</v>
          </cell>
          <cell r="AK289">
            <v>0</v>
          </cell>
          <cell r="AL289">
            <v>0</v>
          </cell>
        </row>
        <row r="290">
          <cell r="B290" t="str">
            <v>Aug 2015</v>
          </cell>
          <cell r="C290" t="str">
            <v>FK</v>
          </cell>
          <cell r="D290" t="str">
            <v>LGINE599</v>
          </cell>
          <cell r="E290">
            <v>1</v>
          </cell>
          <cell r="F290">
            <v>0</v>
          </cell>
          <cell r="G290">
            <v>0</v>
          </cell>
          <cell r="H290">
            <v>0</v>
          </cell>
          <cell r="I290">
            <v>0</v>
          </cell>
          <cell r="J290">
            <v>10824200</v>
          </cell>
          <cell r="K290">
            <v>0</v>
          </cell>
          <cell r="L290">
            <v>0</v>
          </cell>
          <cell r="M290">
            <v>16552</v>
          </cell>
          <cell r="AA290">
            <v>0</v>
          </cell>
          <cell r="AB290">
            <v>0</v>
          </cell>
          <cell r="AD290">
            <v>653767</v>
          </cell>
          <cell r="AE290">
            <v>653767</v>
          </cell>
          <cell r="AG290">
            <v>23278</v>
          </cell>
          <cell r="AH290">
            <v>0</v>
          </cell>
          <cell r="AI290">
            <v>69366</v>
          </cell>
          <cell r="AJ290">
            <v>0</v>
          </cell>
          <cell r="AK290">
            <v>0</v>
          </cell>
          <cell r="AL290">
            <v>746411</v>
          </cell>
        </row>
        <row r="291">
          <cell r="B291" t="str">
            <v>Aug 2015</v>
          </cell>
          <cell r="C291" t="str">
            <v>RTS</v>
          </cell>
          <cell r="D291" t="str">
            <v>LGINE643</v>
          </cell>
          <cell r="E291">
            <v>12</v>
          </cell>
          <cell r="F291">
            <v>0</v>
          </cell>
          <cell r="G291">
            <v>0</v>
          </cell>
          <cell r="H291">
            <v>0</v>
          </cell>
          <cell r="I291">
            <v>0</v>
          </cell>
          <cell r="J291">
            <v>77369757</v>
          </cell>
          <cell r="K291">
            <v>158091</v>
          </cell>
          <cell r="L291">
            <v>152483</v>
          </cell>
          <cell r="M291">
            <v>100356</v>
          </cell>
          <cell r="AA291">
            <v>0</v>
          </cell>
          <cell r="AB291">
            <v>0</v>
          </cell>
          <cell r="AD291">
            <v>4150867.28</v>
          </cell>
          <cell r="AE291">
            <v>4150865</v>
          </cell>
          <cell r="AG291">
            <v>166388</v>
          </cell>
          <cell r="AH291">
            <v>0</v>
          </cell>
          <cell r="AI291">
            <v>495815</v>
          </cell>
          <cell r="AJ291">
            <v>0</v>
          </cell>
          <cell r="AK291">
            <v>0</v>
          </cell>
          <cell r="AL291">
            <v>4813068</v>
          </cell>
        </row>
        <row r="292">
          <cell r="B292" t="str">
            <v>Aug 2015</v>
          </cell>
          <cell r="C292" t="str">
            <v>PSS</v>
          </cell>
          <cell r="D292" t="str">
            <v>LGINE661</v>
          </cell>
          <cell r="E292">
            <v>216</v>
          </cell>
          <cell r="F292">
            <v>0</v>
          </cell>
          <cell r="G292">
            <v>0</v>
          </cell>
          <cell r="H292">
            <v>0</v>
          </cell>
          <cell r="I292">
            <v>0</v>
          </cell>
          <cell r="J292">
            <v>22942935</v>
          </cell>
          <cell r="K292">
            <v>0</v>
          </cell>
          <cell r="L292">
            <v>0</v>
          </cell>
          <cell r="M292">
            <v>70377</v>
          </cell>
          <cell r="AA292">
            <v>0</v>
          </cell>
          <cell r="AB292">
            <v>0</v>
          </cell>
          <cell r="AD292">
            <v>2105105.96</v>
          </cell>
          <cell r="AE292">
            <v>2105103</v>
          </cell>
          <cell r="AG292">
            <v>49340</v>
          </cell>
          <cell r="AH292">
            <v>46477</v>
          </cell>
          <cell r="AI292">
            <v>147027</v>
          </cell>
          <cell r="AJ292">
            <v>0</v>
          </cell>
          <cell r="AK292">
            <v>0</v>
          </cell>
          <cell r="AL292">
            <v>2347947</v>
          </cell>
        </row>
        <row r="293">
          <cell r="B293" t="str">
            <v>Aug 2015</v>
          </cell>
          <cell r="C293" t="str">
            <v>PSP</v>
          </cell>
          <cell r="D293" t="str">
            <v>LGINE663</v>
          </cell>
          <cell r="E293">
            <v>21</v>
          </cell>
          <cell r="F293">
            <v>0</v>
          </cell>
          <cell r="G293">
            <v>0</v>
          </cell>
          <cell r="H293">
            <v>0</v>
          </cell>
          <cell r="I293">
            <v>0</v>
          </cell>
          <cell r="J293">
            <v>1251083</v>
          </cell>
          <cell r="K293">
            <v>0</v>
          </cell>
          <cell r="L293">
            <v>0</v>
          </cell>
          <cell r="M293">
            <v>4452</v>
          </cell>
          <cell r="AA293">
            <v>0</v>
          </cell>
          <cell r="AB293">
            <v>0</v>
          </cell>
          <cell r="AD293">
            <v>114792.92</v>
          </cell>
          <cell r="AE293">
            <v>114789</v>
          </cell>
          <cell r="AG293">
            <v>2691</v>
          </cell>
          <cell r="AH293">
            <v>2534</v>
          </cell>
          <cell r="AI293">
            <v>8017</v>
          </cell>
          <cell r="AJ293">
            <v>0</v>
          </cell>
          <cell r="AK293">
            <v>0</v>
          </cell>
          <cell r="AL293">
            <v>128031</v>
          </cell>
        </row>
        <row r="294">
          <cell r="B294" t="str">
            <v>Aug 2015</v>
          </cell>
          <cell r="C294" t="str">
            <v>TODS</v>
          </cell>
          <cell r="D294" t="str">
            <v>LGINE691</v>
          </cell>
          <cell r="E294">
            <v>94</v>
          </cell>
          <cell r="F294">
            <v>0</v>
          </cell>
          <cell r="G294">
            <v>0</v>
          </cell>
          <cell r="H294">
            <v>0</v>
          </cell>
          <cell r="I294">
            <v>0</v>
          </cell>
          <cell r="J294">
            <v>23497311</v>
          </cell>
          <cell r="K294">
            <v>57193</v>
          </cell>
          <cell r="L294">
            <v>53980</v>
          </cell>
          <cell r="M294">
            <v>52025</v>
          </cell>
          <cell r="AA294">
            <v>0</v>
          </cell>
          <cell r="AB294">
            <v>0</v>
          </cell>
          <cell r="AD294">
            <v>1746437.26</v>
          </cell>
          <cell r="AE294">
            <v>1746437</v>
          </cell>
          <cell r="AG294">
            <v>50532</v>
          </cell>
          <cell r="AH294">
            <v>47601</v>
          </cell>
          <cell r="AI294">
            <v>150580</v>
          </cell>
          <cell r="AJ294">
            <v>0</v>
          </cell>
          <cell r="AK294">
            <v>0</v>
          </cell>
          <cell r="AL294">
            <v>1995150</v>
          </cell>
        </row>
        <row r="295">
          <cell r="B295" t="str">
            <v>Aug 2015</v>
          </cell>
          <cell r="C295" t="str">
            <v>ITODP</v>
          </cell>
          <cell r="D295" t="str">
            <v>LGINE693</v>
          </cell>
          <cell r="E295">
            <v>69</v>
          </cell>
          <cell r="F295">
            <v>0</v>
          </cell>
          <cell r="G295">
            <v>0</v>
          </cell>
          <cell r="H295">
            <v>0</v>
          </cell>
          <cell r="I295">
            <v>0</v>
          </cell>
          <cell r="J295">
            <v>157760478</v>
          </cell>
          <cell r="K295">
            <v>380170</v>
          </cell>
          <cell r="L295">
            <v>345142</v>
          </cell>
          <cell r="M295">
            <v>340557</v>
          </cell>
          <cell r="AA295">
            <v>0</v>
          </cell>
          <cell r="AB295">
            <v>0</v>
          </cell>
          <cell r="AD295">
            <v>9867149.9000000004</v>
          </cell>
          <cell r="AE295">
            <v>9867153</v>
          </cell>
          <cell r="AG295">
            <v>339274</v>
          </cell>
          <cell r="AH295">
            <v>319589</v>
          </cell>
          <cell r="AI295">
            <v>1010989</v>
          </cell>
          <cell r="AJ295">
            <v>0</v>
          </cell>
          <cell r="AK295">
            <v>0</v>
          </cell>
          <cell r="AL295">
            <v>11537005</v>
          </cell>
        </row>
        <row r="296">
          <cell r="B296" t="str">
            <v>Aug 2015</v>
          </cell>
          <cell r="C296" t="str">
            <v>ITODP</v>
          </cell>
          <cell r="D296" t="str">
            <v>LGINE694</v>
          </cell>
          <cell r="E296">
            <v>0</v>
          </cell>
          <cell r="F296">
            <v>0</v>
          </cell>
          <cell r="G296">
            <v>0</v>
          </cell>
          <cell r="H296">
            <v>0</v>
          </cell>
          <cell r="I296">
            <v>0</v>
          </cell>
          <cell r="J296">
            <v>0</v>
          </cell>
          <cell r="K296">
            <v>0</v>
          </cell>
          <cell r="L296">
            <v>0</v>
          </cell>
          <cell r="M296">
            <v>0</v>
          </cell>
          <cell r="AA296">
            <v>0</v>
          </cell>
          <cell r="AB296">
            <v>0</v>
          </cell>
          <cell r="AD296">
            <v>0</v>
          </cell>
          <cell r="AE296">
            <v>0</v>
          </cell>
          <cell r="AG296">
            <v>0</v>
          </cell>
          <cell r="AH296">
            <v>0</v>
          </cell>
          <cell r="AI296">
            <v>0</v>
          </cell>
          <cell r="AJ296">
            <v>0</v>
          </cell>
          <cell r="AK296">
            <v>0</v>
          </cell>
          <cell r="AL296">
            <v>0</v>
          </cell>
        </row>
        <row r="297">
          <cell r="B297" t="str">
            <v>Aug 2015</v>
          </cell>
          <cell r="C297" t="str">
            <v>LE</v>
          </cell>
          <cell r="D297" t="str">
            <v>LGMLE570</v>
          </cell>
          <cell r="E297">
            <v>0</v>
          </cell>
          <cell r="F297">
            <v>0</v>
          </cell>
          <cell r="G297">
            <v>0</v>
          </cell>
          <cell r="H297">
            <v>0</v>
          </cell>
          <cell r="I297">
            <v>0</v>
          </cell>
          <cell r="J297">
            <v>0</v>
          </cell>
          <cell r="K297">
            <v>0</v>
          </cell>
          <cell r="L297">
            <v>0</v>
          </cell>
          <cell r="M297">
            <v>0</v>
          </cell>
          <cell r="AA297">
            <v>0</v>
          </cell>
          <cell r="AB297">
            <v>0</v>
          </cell>
          <cell r="AD297">
            <v>0</v>
          </cell>
          <cell r="AE297">
            <v>0</v>
          </cell>
          <cell r="AG297">
            <v>0</v>
          </cell>
          <cell r="AH297">
            <v>0</v>
          </cell>
          <cell r="AI297">
            <v>0</v>
          </cell>
          <cell r="AJ297">
            <v>0</v>
          </cell>
          <cell r="AK297">
            <v>0</v>
          </cell>
          <cell r="AL297">
            <v>0</v>
          </cell>
        </row>
        <row r="298">
          <cell r="B298" t="str">
            <v>Aug 2015</v>
          </cell>
          <cell r="C298" t="str">
            <v>LE</v>
          </cell>
          <cell r="D298" t="str">
            <v>LGMLE571</v>
          </cell>
          <cell r="E298">
            <v>156</v>
          </cell>
          <cell r="F298">
            <v>0</v>
          </cell>
          <cell r="G298">
            <v>0</v>
          </cell>
          <cell r="H298">
            <v>0</v>
          </cell>
          <cell r="I298">
            <v>0</v>
          </cell>
          <cell r="J298">
            <v>258896</v>
          </cell>
          <cell r="K298">
            <v>0</v>
          </cell>
          <cell r="L298">
            <v>0</v>
          </cell>
          <cell r="M298">
            <v>0</v>
          </cell>
          <cell r="AA298">
            <v>0</v>
          </cell>
          <cell r="AB298">
            <v>0</v>
          </cell>
          <cell r="AD298">
            <v>16727.27</v>
          </cell>
          <cell r="AE298">
            <v>0</v>
          </cell>
          <cell r="AG298">
            <v>0</v>
          </cell>
          <cell r="AH298">
            <v>0</v>
          </cell>
          <cell r="AI298">
            <v>0</v>
          </cell>
          <cell r="AJ298">
            <v>0</v>
          </cell>
          <cell r="AK298">
            <v>0</v>
          </cell>
          <cell r="AL298">
            <v>0</v>
          </cell>
        </row>
        <row r="299">
          <cell r="B299" t="str">
            <v>Aug 2015</v>
          </cell>
          <cell r="C299" t="str">
            <v>LE</v>
          </cell>
          <cell r="D299" t="str">
            <v>LGMLE572</v>
          </cell>
          <cell r="E299">
            <v>0</v>
          </cell>
          <cell r="F299">
            <v>0</v>
          </cell>
          <cell r="G299">
            <v>0</v>
          </cell>
          <cell r="H299">
            <v>0</v>
          </cell>
          <cell r="I299">
            <v>0</v>
          </cell>
          <cell r="J299">
            <v>0</v>
          </cell>
          <cell r="K299">
            <v>0</v>
          </cell>
          <cell r="L299">
            <v>0</v>
          </cell>
          <cell r="M299">
            <v>0</v>
          </cell>
          <cell r="AA299">
            <v>0</v>
          </cell>
          <cell r="AB299">
            <v>0</v>
          </cell>
          <cell r="AD299">
            <v>0</v>
          </cell>
          <cell r="AE299">
            <v>0</v>
          </cell>
          <cell r="AG299">
            <v>0</v>
          </cell>
          <cell r="AH299">
            <v>0</v>
          </cell>
          <cell r="AI299">
            <v>0</v>
          </cell>
          <cell r="AJ299">
            <v>0</v>
          </cell>
          <cell r="AK299">
            <v>0</v>
          </cell>
          <cell r="AL299">
            <v>0</v>
          </cell>
        </row>
        <row r="300">
          <cell r="B300" t="str">
            <v>Aug 2015</v>
          </cell>
          <cell r="C300" t="str">
            <v>TE</v>
          </cell>
          <cell r="D300" t="str">
            <v>LGMLE573</v>
          </cell>
          <cell r="E300">
            <v>905</v>
          </cell>
          <cell r="F300">
            <v>0</v>
          </cell>
          <cell r="G300">
            <v>0</v>
          </cell>
          <cell r="H300">
            <v>0</v>
          </cell>
          <cell r="I300">
            <v>0</v>
          </cell>
          <cell r="J300">
            <v>255201</v>
          </cell>
          <cell r="K300">
            <v>0</v>
          </cell>
          <cell r="L300">
            <v>0</v>
          </cell>
          <cell r="M300">
            <v>0</v>
          </cell>
          <cell r="AA300">
            <v>0</v>
          </cell>
          <cell r="AB300">
            <v>0</v>
          </cell>
          <cell r="AD300">
            <v>22484.54</v>
          </cell>
          <cell r="AE300">
            <v>0</v>
          </cell>
          <cell r="AG300">
            <v>0</v>
          </cell>
          <cell r="AH300">
            <v>0</v>
          </cell>
          <cell r="AI300">
            <v>0</v>
          </cell>
          <cell r="AJ300">
            <v>0</v>
          </cell>
          <cell r="AK300">
            <v>0</v>
          </cell>
          <cell r="AL300">
            <v>0</v>
          </cell>
        </row>
        <row r="301">
          <cell r="B301" t="str">
            <v>Aug 2015</v>
          </cell>
          <cell r="C301" t="str">
            <v>TE</v>
          </cell>
          <cell r="D301" t="str">
            <v>LGMLE574</v>
          </cell>
          <cell r="E301">
            <v>0</v>
          </cell>
          <cell r="F301">
            <v>0</v>
          </cell>
          <cell r="G301">
            <v>0</v>
          </cell>
          <cell r="H301">
            <v>0</v>
          </cell>
          <cell r="I301">
            <v>0</v>
          </cell>
          <cell r="J301">
            <v>0</v>
          </cell>
          <cell r="K301">
            <v>0</v>
          </cell>
          <cell r="L301">
            <v>0</v>
          </cell>
          <cell r="M301">
            <v>0</v>
          </cell>
          <cell r="AA301">
            <v>0</v>
          </cell>
          <cell r="AB301">
            <v>0</v>
          </cell>
          <cell r="AD301">
            <v>0</v>
          </cell>
          <cell r="AE301">
            <v>0</v>
          </cell>
          <cell r="AG301">
            <v>0</v>
          </cell>
          <cell r="AH301">
            <v>0</v>
          </cell>
          <cell r="AI301">
            <v>0</v>
          </cell>
          <cell r="AJ301">
            <v>0</v>
          </cell>
          <cell r="AK301">
            <v>0</v>
          </cell>
          <cell r="AL301">
            <v>0</v>
          </cell>
        </row>
        <row r="302">
          <cell r="B302" t="str">
            <v>Aug 2015</v>
          </cell>
          <cell r="C302" t="str">
            <v>RS</v>
          </cell>
          <cell r="D302" t="str">
            <v>LGRSE411</v>
          </cell>
          <cell r="E302">
            <v>0</v>
          </cell>
          <cell r="F302">
            <v>0</v>
          </cell>
          <cell r="G302">
            <v>0</v>
          </cell>
          <cell r="H302">
            <v>0</v>
          </cell>
          <cell r="I302">
            <v>0</v>
          </cell>
          <cell r="J302">
            <v>0</v>
          </cell>
          <cell r="K302">
            <v>0</v>
          </cell>
          <cell r="L302">
            <v>0</v>
          </cell>
          <cell r="M302">
            <v>0</v>
          </cell>
          <cell r="AA302">
            <v>0</v>
          </cell>
          <cell r="AB302">
            <v>0</v>
          </cell>
          <cell r="AD302">
            <v>0</v>
          </cell>
          <cell r="AE302">
            <v>0</v>
          </cell>
          <cell r="AG302">
            <v>0</v>
          </cell>
          <cell r="AH302">
            <v>0</v>
          </cell>
          <cell r="AI302">
            <v>0</v>
          </cell>
          <cell r="AJ302">
            <v>0</v>
          </cell>
          <cell r="AK302">
            <v>0</v>
          </cell>
          <cell r="AL302">
            <v>0</v>
          </cell>
        </row>
        <row r="303">
          <cell r="B303" t="str">
            <v>Aug 2015</v>
          </cell>
          <cell r="C303" t="str">
            <v>RS</v>
          </cell>
          <cell r="D303" t="str">
            <v>LGRSE511</v>
          </cell>
          <cell r="E303">
            <v>360578</v>
          </cell>
          <cell r="F303">
            <v>0</v>
          </cell>
          <cell r="G303">
            <v>0</v>
          </cell>
          <cell r="H303">
            <v>0</v>
          </cell>
          <cell r="I303">
            <v>0</v>
          </cell>
          <cell r="J303">
            <v>516766239</v>
          </cell>
          <cell r="K303">
            <v>0</v>
          </cell>
          <cell r="L303">
            <v>0</v>
          </cell>
          <cell r="M303">
            <v>0</v>
          </cell>
          <cell r="AA303">
            <v>0</v>
          </cell>
          <cell r="AB303">
            <v>0</v>
          </cell>
          <cell r="AD303">
            <v>45610254.960000001</v>
          </cell>
          <cell r="AE303">
            <v>45612196</v>
          </cell>
          <cell r="AG303">
            <v>1111384</v>
          </cell>
          <cell r="AH303">
            <v>1046901</v>
          </cell>
          <cell r="AI303">
            <v>3311772</v>
          </cell>
          <cell r="AJ303">
            <v>0</v>
          </cell>
          <cell r="AK303">
            <v>0</v>
          </cell>
          <cell r="AL303">
            <v>51082253</v>
          </cell>
        </row>
        <row r="304">
          <cell r="B304" t="str">
            <v>Aug 2015</v>
          </cell>
          <cell r="C304" t="str">
            <v>RS</v>
          </cell>
          <cell r="D304" t="str">
            <v>LGRSE519</v>
          </cell>
          <cell r="E304">
            <v>0</v>
          </cell>
          <cell r="F304">
            <v>0</v>
          </cell>
          <cell r="G304">
            <v>0</v>
          </cell>
          <cell r="H304">
            <v>0</v>
          </cell>
          <cell r="I304">
            <v>0</v>
          </cell>
          <cell r="J304">
            <v>0</v>
          </cell>
          <cell r="K304">
            <v>0</v>
          </cell>
          <cell r="L304">
            <v>0</v>
          </cell>
          <cell r="M304">
            <v>0</v>
          </cell>
          <cell r="AA304">
            <v>0</v>
          </cell>
          <cell r="AB304">
            <v>0</v>
          </cell>
          <cell r="AD304">
            <v>0</v>
          </cell>
          <cell r="AE304">
            <v>0</v>
          </cell>
          <cell r="AG304">
            <v>0</v>
          </cell>
          <cell r="AH304">
            <v>0</v>
          </cell>
          <cell r="AI304">
            <v>0</v>
          </cell>
          <cell r="AJ304">
            <v>0</v>
          </cell>
          <cell r="AK304">
            <v>0</v>
          </cell>
          <cell r="AL304">
            <v>0</v>
          </cell>
        </row>
        <row r="305">
          <cell r="B305" t="str">
            <v>Aug 2015</v>
          </cell>
          <cell r="C305" t="str">
            <v>RS</v>
          </cell>
          <cell r="D305" t="str">
            <v>LGRSE540</v>
          </cell>
          <cell r="E305">
            <v>0</v>
          </cell>
          <cell r="F305">
            <v>0</v>
          </cell>
          <cell r="G305">
            <v>0</v>
          </cell>
          <cell r="H305">
            <v>0</v>
          </cell>
          <cell r="I305">
            <v>0</v>
          </cell>
          <cell r="J305">
            <v>0</v>
          </cell>
          <cell r="K305">
            <v>0</v>
          </cell>
          <cell r="L305">
            <v>0</v>
          </cell>
          <cell r="M305">
            <v>0</v>
          </cell>
          <cell r="AA305">
            <v>0</v>
          </cell>
          <cell r="AB305">
            <v>0</v>
          </cell>
          <cell r="AD305">
            <v>0</v>
          </cell>
          <cell r="AE305">
            <v>0</v>
          </cell>
          <cell r="AG305">
            <v>0</v>
          </cell>
          <cell r="AH305">
            <v>0</v>
          </cell>
          <cell r="AI305">
            <v>0</v>
          </cell>
          <cell r="AJ305">
            <v>0</v>
          </cell>
          <cell r="AK305">
            <v>0</v>
          </cell>
          <cell r="AL305">
            <v>0</v>
          </cell>
        </row>
        <row r="306">
          <cell r="B306" t="str">
            <v>Aug 2015</v>
          </cell>
          <cell r="C306" t="str">
            <v>LEV</v>
          </cell>
          <cell r="D306" t="str">
            <v>LGRSE543</v>
          </cell>
          <cell r="E306">
            <v>20</v>
          </cell>
          <cell r="F306">
            <v>0</v>
          </cell>
          <cell r="G306">
            <v>11960</v>
          </cell>
          <cell r="H306">
            <v>5584</v>
          </cell>
          <cell r="I306">
            <v>3820</v>
          </cell>
          <cell r="J306">
            <v>21364</v>
          </cell>
          <cell r="K306">
            <v>0</v>
          </cell>
          <cell r="L306">
            <v>0</v>
          </cell>
          <cell r="M306">
            <v>0</v>
          </cell>
          <cell r="AA306">
            <v>0</v>
          </cell>
          <cell r="AB306">
            <v>0</v>
          </cell>
          <cell r="AD306">
            <v>1904.18</v>
          </cell>
          <cell r="AE306">
            <v>0</v>
          </cell>
          <cell r="AG306">
            <v>0</v>
          </cell>
          <cell r="AH306">
            <v>0</v>
          </cell>
          <cell r="AI306">
            <v>0</v>
          </cell>
          <cell r="AJ306">
            <v>0</v>
          </cell>
          <cell r="AK306">
            <v>0</v>
          </cell>
          <cell r="AL306">
            <v>0</v>
          </cell>
        </row>
        <row r="307">
          <cell r="B307" t="str">
            <v>Aug 2015</v>
          </cell>
          <cell r="C307" t="str">
            <v>LEV</v>
          </cell>
          <cell r="D307" t="str">
            <v>LGRSE547</v>
          </cell>
          <cell r="E307">
            <v>0</v>
          </cell>
          <cell r="F307">
            <v>0</v>
          </cell>
          <cell r="G307">
            <v>0</v>
          </cell>
          <cell r="H307">
            <v>0</v>
          </cell>
          <cell r="I307">
            <v>0</v>
          </cell>
          <cell r="J307">
            <v>0</v>
          </cell>
          <cell r="K307">
            <v>0</v>
          </cell>
          <cell r="L307">
            <v>0</v>
          </cell>
          <cell r="M307">
            <v>0</v>
          </cell>
          <cell r="AA307">
            <v>0</v>
          </cell>
          <cell r="AB307">
            <v>0</v>
          </cell>
          <cell r="AD307">
            <v>0</v>
          </cell>
          <cell r="AE307">
            <v>0</v>
          </cell>
          <cell r="AG307">
            <v>0</v>
          </cell>
          <cell r="AH307">
            <v>0</v>
          </cell>
          <cell r="AI307">
            <v>0</v>
          </cell>
          <cell r="AJ307">
            <v>0</v>
          </cell>
          <cell r="AK307">
            <v>0</v>
          </cell>
          <cell r="AL307">
            <v>0</v>
          </cell>
        </row>
        <row r="308">
          <cell r="B308" t="str">
            <v>Sep 2015</v>
          </cell>
          <cell r="C308" t="str">
            <v>FLSP</v>
          </cell>
          <cell r="D308" t="str">
            <v>LGINE682</v>
          </cell>
          <cell r="E308">
            <v>0</v>
          </cell>
          <cell r="F308">
            <v>0</v>
          </cell>
          <cell r="G308">
            <v>0</v>
          </cell>
          <cell r="H308">
            <v>0</v>
          </cell>
          <cell r="I308">
            <v>0</v>
          </cell>
          <cell r="J308">
            <v>0</v>
          </cell>
          <cell r="K308">
            <v>0</v>
          </cell>
          <cell r="L308">
            <v>0</v>
          </cell>
          <cell r="M308">
            <v>0</v>
          </cell>
          <cell r="AA308">
            <v>0</v>
          </cell>
          <cell r="AB308">
            <v>0</v>
          </cell>
          <cell r="AD308">
            <v>0</v>
          </cell>
          <cell r="AE308">
            <v>0</v>
          </cell>
          <cell r="AG308">
            <v>0</v>
          </cell>
          <cell r="AH308">
            <v>0</v>
          </cell>
          <cell r="AI308">
            <v>0</v>
          </cell>
          <cell r="AJ308">
            <v>0</v>
          </cell>
          <cell r="AK308">
            <v>0</v>
          </cell>
          <cell r="AL308">
            <v>0</v>
          </cell>
        </row>
        <row r="309">
          <cell r="B309" t="str">
            <v>Sep 2015</v>
          </cell>
          <cell r="C309" t="str">
            <v>FLST</v>
          </cell>
          <cell r="D309" t="str">
            <v>LGINE683</v>
          </cell>
          <cell r="E309">
            <v>0</v>
          </cell>
          <cell r="F309">
            <v>0</v>
          </cell>
          <cell r="G309">
            <v>0</v>
          </cell>
          <cell r="H309">
            <v>0</v>
          </cell>
          <cell r="I309">
            <v>0</v>
          </cell>
          <cell r="J309">
            <v>0</v>
          </cell>
          <cell r="K309">
            <v>0</v>
          </cell>
          <cell r="L309">
            <v>0</v>
          </cell>
          <cell r="M309">
            <v>0</v>
          </cell>
          <cell r="AA309">
            <v>0</v>
          </cell>
          <cell r="AB309">
            <v>0</v>
          </cell>
          <cell r="AD309">
            <v>0</v>
          </cell>
          <cell r="AE309">
            <v>0</v>
          </cell>
          <cell r="AG309">
            <v>0</v>
          </cell>
          <cell r="AH309">
            <v>0</v>
          </cell>
          <cell r="AI309">
            <v>0</v>
          </cell>
          <cell r="AJ309">
            <v>0</v>
          </cell>
          <cell r="AK309">
            <v>0</v>
          </cell>
          <cell r="AL309">
            <v>0</v>
          </cell>
        </row>
        <row r="310">
          <cell r="B310" t="str">
            <v>Sep 2015</v>
          </cell>
          <cell r="C310" t="str">
            <v>GS</v>
          </cell>
          <cell r="D310" t="str">
            <v>LGCME451</v>
          </cell>
          <cell r="E310">
            <v>0</v>
          </cell>
          <cell r="F310">
            <v>0</v>
          </cell>
          <cell r="G310">
            <v>0</v>
          </cell>
          <cell r="H310">
            <v>0</v>
          </cell>
          <cell r="I310">
            <v>0</v>
          </cell>
          <cell r="J310">
            <v>0</v>
          </cell>
          <cell r="K310">
            <v>0</v>
          </cell>
          <cell r="L310">
            <v>0</v>
          </cell>
          <cell r="M310">
            <v>0</v>
          </cell>
          <cell r="AA310">
            <v>0</v>
          </cell>
          <cell r="AB310">
            <v>0</v>
          </cell>
          <cell r="AD310">
            <v>0</v>
          </cell>
          <cell r="AE310">
            <v>0</v>
          </cell>
          <cell r="AG310">
            <v>0</v>
          </cell>
          <cell r="AH310">
            <v>0</v>
          </cell>
          <cell r="AI310">
            <v>0</v>
          </cell>
          <cell r="AJ310">
            <v>0</v>
          </cell>
          <cell r="AK310">
            <v>0</v>
          </cell>
          <cell r="AL310">
            <v>0</v>
          </cell>
        </row>
        <row r="311">
          <cell r="B311" t="str">
            <v>Sep 2015</v>
          </cell>
          <cell r="C311" t="str">
            <v>GS</v>
          </cell>
          <cell r="D311" t="str">
            <v>LGCME550</v>
          </cell>
          <cell r="E311">
            <v>0</v>
          </cell>
          <cell r="F311">
            <v>0</v>
          </cell>
          <cell r="G311">
            <v>0</v>
          </cell>
          <cell r="H311">
            <v>0</v>
          </cell>
          <cell r="I311">
            <v>0</v>
          </cell>
          <cell r="J311">
            <v>0</v>
          </cell>
          <cell r="K311">
            <v>0</v>
          </cell>
          <cell r="L311">
            <v>0</v>
          </cell>
          <cell r="M311">
            <v>0</v>
          </cell>
          <cell r="AA311">
            <v>0</v>
          </cell>
          <cell r="AB311">
            <v>0</v>
          </cell>
          <cell r="AD311">
            <v>0</v>
          </cell>
          <cell r="AE311">
            <v>0</v>
          </cell>
          <cell r="AG311">
            <v>0</v>
          </cell>
          <cell r="AH311">
            <v>0</v>
          </cell>
          <cell r="AI311">
            <v>0</v>
          </cell>
          <cell r="AJ311">
            <v>0</v>
          </cell>
          <cell r="AK311">
            <v>0</v>
          </cell>
          <cell r="AL311">
            <v>0</v>
          </cell>
        </row>
        <row r="312">
          <cell r="B312" t="str">
            <v>Sep 2015</v>
          </cell>
          <cell r="C312" t="str">
            <v>GS</v>
          </cell>
          <cell r="D312" t="str">
            <v>LGCME551</v>
          </cell>
          <cell r="E312">
            <v>28177</v>
          </cell>
          <cell r="F312">
            <v>0</v>
          </cell>
          <cell r="G312">
            <v>0</v>
          </cell>
          <cell r="H312">
            <v>0</v>
          </cell>
          <cell r="I312">
            <v>0</v>
          </cell>
          <cell r="J312">
            <v>32918663</v>
          </cell>
          <cell r="K312">
            <v>0</v>
          </cell>
          <cell r="L312">
            <v>0</v>
          </cell>
          <cell r="M312">
            <v>0</v>
          </cell>
          <cell r="AA312">
            <v>0</v>
          </cell>
          <cell r="AB312">
            <v>0</v>
          </cell>
          <cell r="AD312">
            <v>3570330.68</v>
          </cell>
          <cell r="AE312">
            <v>3570335</v>
          </cell>
          <cell r="AG312">
            <v>8703</v>
          </cell>
          <cell r="AH312">
            <v>70389</v>
          </cell>
          <cell r="AI312">
            <v>277652</v>
          </cell>
          <cell r="AJ312">
            <v>0</v>
          </cell>
          <cell r="AK312">
            <v>0</v>
          </cell>
          <cell r="AL312">
            <v>3927079</v>
          </cell>
        </row>
        <row r="313">
          <cell r="B313" t="str">
            <v>Sep 2015</v>
          </cell>
          <cell r="C313" t="str">
            <v>GS</v>
          </cell>
          <cell r="D313" t="str">
            <v>LGCME551UM</v>
          </cell>
          <cell r="E313">
            <v>0</v>
          </cell>
          <cell r="F313">
            <v>0</v>
          </cell>
          <cell r="G313">
            <v>0</v>
          </cell>
          <cell r="H313">
            <v>0</v>
          </cell>
          <cell r="I313">
            <v>0</v>
          </cell>
          <cell r="J313">
            <v>0</v>
          </cell>
          <cell r="K313">
            <v>0</v>
          </cell>
          <cell r="L313">
            <v>0</v>
          </cell>
          <cell r="M313">
            <v>0</v>
          </cell>
          <cell r="AA313">
            <v>0</v>
          </cell>
          <cell r="AB313">
            <v>0</v>
          </cell>
          <cell r="AD313">
            <v>0</v>
          </cell>
          <cell r="AE313">
            <v>0</v>
          </cell>
          <cell r="AG313">
            <v>0</v>
          </cell>
          <cell r="AH313">
            <v>0</v>
          </cell>
          <cell r="AI313">
            <v>0</v>
          </cell>
          <cell r="AJ313">
            <v>0</v>
          </cell>
          <cell r="AK313">
            <v>0</v>
          </cell>
          <cell r="AL313">
            <v>0</v>
          </cell>
        </row>
        <row r="314">
          <cell r="B314" t="str">
            <v>Sep 2015</v>
          </cell>
          <cell r="C314" t="str">
            <v>GS</v>
          </cell>
          <cell r="D314" t="str">
            <v>LGCME552</v>
          </cell>
          <cell r="E314">
            <v>0</v>
          </cell>
          <cell r="F314">
            <v>0</v>
          </cell>
          <cell r="G314">
            <v>0</v>
          </cell>
          <cell r="H314">
            <v>0</v>
          </cell>
          <cell r="I314">
            <v>0</v>
          </cell>
          <cell r="J314">
            <v>0</v>
          </cell>
          <cell r="K314">
            <v>0</v>
          </cell>
          <cell r="L314">
            <v>0</v>
          </cell>
          <cell r="M314">
            <v>0</v>
          </cell>
          <cell r="AA314">
            <v>0</v>
          </cell>
          <cell r="AB314">
            <v>0</v>
          </cell>
          <cell r="AD314">
            <v>0</v>
          </cell>
          <cell r="AE314">
            <v>0</v>
          </cell>
          <cell r="AG314">
            <v>0</v>
          </cell>
          <cell r="AH314">
            <v>0</v>
          </cell>
          <cell r="AI314">
            <v>0</v>
          </cell>
          <cell r="AJ314">
            <v>0</v>
          </cell>
          <cell r="AK314">
            <v>0</v>
          </cell>
          <cell r="AL314">
            <v>0</v>
          </cell>
        </row>
        <row r="315">
          <cell r="B315" t="str">
            <v>Sep 2015</v>
          </cell>
          <cell r="C315" t="str">
            <v>GS</v>
          </cell>
          <cell r="D315" t="str">
            <v>LGCME557</v>
          </cell>
          <cell r="E315">
            <v>0</v>
          </cell>
          <cell r="F315">
            <v>0</v>
          </cell>
          <cell r="G315">
            <v>0</v>
          </cell>
          <cell r="H315">
            <v>0</v>
          </cell>
          <cell r="I315">
            <v>0</v>
          </cell>
          <cell r="J315">
            <v>0</v>
          </cell>
          <cell r="K315">
            <v>0</v>
          </cell>
          <cell r="L315">
            <v>0</v>
          </cell>
          <cell r="M315">
            <v>0</v>
          </cell>
          <cell r="AA315">
            <v>0</v>
          </cell>
          <cell r="AB315">
            <v>0</v>
          </cell>
          <cell r="AD315">
            <v>0</v>
          </cell>
          <cell r="AE315">
            <v>0</v>
          </cell>
          <cell r="AG315">
            <v>0</v>
          </cell>
          <cell r="AH315">
            <v>0</v>
          </cell>
          <cell r="AI315">
            <v>0</v>
          </cell>
          <cell r="AJ315">
            <v>0</v>
          </cell>
          <cell r="AK315">
            <v>0</v>
          </cell>
          <cell r="AL315">
            <v>0</v>
          </cell>
        </row>
        <row r="316">
          <cell r="B316" t="str">
            <v>Sep 2015</v>
          </cell>
          <cell r="C316" t="str">
            <v>PSS</v>
          </cell>
          <cell r="D316" t="str">
            <v>LGCME561</v>
          </cell>
          <cell r="E316">
            <v>2579</v>
          </cell>
          <cell r="F316">
            <v>0</v>
          </cell>
          <cell r="G316">
            <v>0</v>
          </cell>
          <cell r="H316">
            <v>0</v>
          </cell>
          <cell r="I316">
            <v>0</v>
          </cell>
          <cell r="J316">
            <v>143721391</v>
          </cell>
          <cell r="K316">
            <v>0</v>
          </cell>
          <cell r="L316">
            <v>0</v>
          </cell>
          <cell r="M316">
            <v>407882</v>
          </cell>
          <cell r="AA316">
            <v>0</v>
          </cell>
          <cell r="AB316">
            <v>0</v>
          </cell>
          <cell r="AD316">
            <v>12756463.27</v>
          </cell>
          <cell r="AE316">
            <v>12756472</v>
          </cell>
          <cell r="AG316">
            <v>37999</v>
          </cell>
          <cell r="AH316">
            <v>307314</v>
          </cell>
          <cell r="AI316">
            <v>1212215</v>
          </cell>
          <cell r="AJ316">
            <v>0</v>
          </cell>
          <cell r="AK316">
            <v>0</v>
          </cell>
          <cell r="AL316">
            <v>14314000</v>
          </cell>
        </row>
        <row r="317">
          <cell r="B317" t="str">
            <v>Sep 2015</v>
          </cell>
          <cell r="C317" t="str">
            <v>PSP</v>
          </cell>
          <cell r="D317" t="str">
            <v>LGCME563</v>
          </cell>
          <cell r="E317">
            <v>52</v>
          </cell>
          <cell r="F317">
            <v>0</v>
          </cell>
          <cell r="G317">
            <v>0</v>
          </cell>
          <cell r="H317">
            <v>0</v>
          </cell>
          <cell r="I317">
            <v>0</v>
          </cell>
          <cell r="J317">
            <v>13180844</v>
          </cell>
          <cell r="K317">
            <v>0</v>
          </cell>
          <cell r="L317">
            <v>0</v>
          </cell>
          <cell r="M317">
            <v>36679</v>
          </cell>
          <cell r="AA317">
            <v>0</v>
          </cell>
          <cell r="AB317">
            <v>0</v>
          </cell>
          <cell r="AD317">
            <v>1037991.99</v>
          </cell>
          <cell r="AE317">
            <v>1037998</v>
          </cell>
          <cell r="AG317">
            <v>3485</v>
          </cell>
          <cell r="AH317">
            <v>28184</v>
          </cell>
          <cell r="AI317">
            <v>111174</v>
          </cell>
          <cell r="AJ317">
            <v>0</v>
          </cell>
          <cell r="AK317">
            <v>0</v>
          </cell>
          <cell r="AL317">
            <v>1180841</v>
          </cell>
        </row>
        <row r="318">
          <cell r="B318" t="str">
            <v>Sep 2015</v>
          </cell>
          <cell r="C318" t="str">
            <v>PSS</v>
          </cell>
          <cell r="D318" t="str">
            <v>LGCME567</v>
          </cell>
          <cell r="E318">
            <v>0</v>
          </cell>
          <cell r="F318">
            <v>0</v>
          </cell>
          <cell r="G318">
            <v>0</v>
          </cell>
          <cell r="H318">
            <v>0</v>
          </cell>
          <cell r="I318">
            <v>0</v>
          </cell>
          <cell r="J318">
            <v>0</v>
          </cell>
          <cell r="K318">
            <v>0</v>
          </cell>
          <cell r="L318">
            <v>0</v>
          </cell>
          <cell r="M318">
            <v>0</v>
          </cell>
          <cell r="AA318">
            <v>0</v>
          </cell>
          <cell r="AB318">
            <v>0</v>
          </cell>
          <cell r="AD318">
            <v>0</v>
          </cell>
          <cell r="AE318">
            <v>0</v>
          </cell>
          <cell r="AG318">
            <v>0</v>
          </cell>
          <cell r="AH318">
            <v>0</v>
          </cell>
          <cell r="AI318">
            <v>0</v>
          </cell>
          <cell r="AJ318">
            <v>0</v>
          </cell>
          <cell r="AK318">
            <v>0</v>
          </cell>
          <cell r="AL318">
            <v>0</v>
          </cell>
        </row>
        <row r="319">
          <cell r="B319" t="str">
            <v>Sep 2015</v>
          </cell>
          <cell r="C319" t="str">
            <v>TODS</v>
          </cell>
          <cell r="D319" t="str">
            <v>LGCME591</v>
          </cell>
          <cell r="E319">
            <v>218</v>
          </cell>
          <cell r="F319">
            <v>0</v>
          </cell>
          <cell r="G319">
            <v>0</v>
          </cell>
          <cell r="H319">
            <v>0</v>
          </cell>
          <cell r="I319">
            <v>0</v>
          </cell>
          <cell r="J319">
            <v>66161499</v>
          </cell>
          <cell r="K319">
            <v>156169</v>
          </cell>
          <cell r="L319">
            <v>151786</v>
          </cell>
          <cell r="M319">
            <v>149867</v>
          </cell>
          <cell r="AA319">
            <v>0</v>
          </cell>
          <cell r="AB319">
            <v>0</v>
          </cell>
          <cell r="AD319">
            <v>4908362.04</v>
          </cell>
          <cell r="AE319">
            <v>4908361</v>
          </cell>
          <cell r="AG319">
            <v>17493</v>
          </cell>
          <cell r="AH319">
            <v>141471</v>
          </cell>
          <cell r="AI319">
            <v>558038</v>
          </cell>
          <cell r="AJ319">
            <v>0</v>
          </cell>
          <cell r="AK319">
            <v>0</v>
          </cell>
          <cell r="AL319">
            <v>5625363</v>
          </cell>
        </row>
        <row r="320">
          <cell r="B320" t="str">
            <v>Sep 2015</v>
          </cell>
          <cell r="C320" t="str">
            <v>CTODP</v>
          </cell>
          <cell r="D320" t="str">
            <v>LGCME593</v>
          </cell>
          <cell r="E320">
            <v>38</v>
          </cell>
          <cell r="F320">
            <v>0</v>
          </cell>
          <cell r="G320">
            <v>0</v>
          </cell>
          <cell r="H320">
            <v>0</v>
          </cell>
          <cell r="I320">
            <v>0</v>
          </cell>
          <cell r="J320">
            <v>32700970</v>
          </cell>
          <cell r="K320">
            <v>83488</v>
          </cell>
          <cell r="L320">
            <v>81209</v>
          </cell>
          <cell r="M320">
            <v>80536</v>
          </cell>
          <cell r="AA320">
            <v>0</v>
          </cell>
          <cell r="AB320">
            <v>0</v>
          </cell>
          <cell r="AD320">
            <v>2394507.25</v>
          </cell>
          <cell r="AE320">
            <v>2394503</v>
          </cell>
          <cell r="AG320">
            <v>8646</v>
          </cell>
          <cell r="AH320">
            <v>69923</v>
          </cell>
          <cell r="AI320">
            <v>275816</v>
          </cell>
          <cell r="AJ320">
            <v>0</v>
          </cell>
          <cell r="AK320">
            <v>0</v>
          </cell>
          <cell r="AL320">
            <v>2748888</v>
          </cell>
        </row>
        <row r="321">
          <cell r="B321" t="str">
            <v>Sep 2015</v>
          </cell>
          <cell r="C321" t="str">
            <v>GS3</v>
          </cell>
          <cell r="D321" t="str">
            <v>LGCME650</v>
          </cell>
          <cell r="E321">
            <v>0</v>
          </cell>
          <cell r="F321">
            <v>0</v>
          </cell>
          <cell r="G321">
            <v>0</v>
          </cell>
          <cell r="H321">
            <v>0</v>
          </cell>
          <cell r="I321">
            <v>0</v>
          </cell>
          <cell r="J321">
            <v>0</v>
          </cell>
          <cell r="K321">
            <v>0</v>
          </cell>
          <cell r="L321">
            <v>0</v>
          </cell>
          <cell r="M321">
            <v>0</v>
          </cell>
          <cell r="AA321">
            <v>0</v>
          </cell>
          <cell r="AB321">
            <v>0</v>
          </cell>
          <cell r="AD321">
            <v>0</v>
          </cell>
          <cell r="AE321">
            <v>0</v>
          </cell>
          <cell r="AG321">
            <v>0</v>
          </cell>
          <cell r="AH321">
            <v>0</v>
          </cell>
          <cell r="AI321">
            <v>0</v>
          </cell>
          <cell r="AJ321">
            <v>0</v>
          </cell>
          <cell r="AK321">
            <v>0</v>
          </cell>
          <cell r="AL321">
            <v>0</v>
          </cell>
        </row>
        <row r="322">
          <cell r="B322" t="str">
            <v>Sep 2015</v>
          </cell>
          <cell r="C322" t="str">
            <v>GS3</v>
          </cell>
          <cell r="D322" t="str">
            <v>LGCME651</v>
          </cell>
          <cell r="E322">
            <v>16361</v>
          </cell>
          <cell r="F322">
            <v>0</v>
          </cell>
          <cell r="G322">
            <v>0</v>
          </cell>
          <cell r="H322">
            <v>0</v>
          </cell>
          <cell r="I322">
            <v>0</v>
          </cell>
          <cell r="J322">
            <v>84000796</v>
          </cell>
          <cell r="K322">
            <v>227086</v>
          </cell>
          <cell r="L322">
            <v>0</v>
          </cell>
          <cell r="M322">
            <v>0</v>
          </cell>
          <cell r="AA322">
            <v>0</v>
          </cell>
          <cell r="AB322">
            <v>0</v>
          </cell>
          <cell r="AD322">
            <v>8245267.71</v>
          </cell>
          <cell r="AE322">
            <v>8245260</v>
          </cell>
          <cell r="AG322">
            <v>22209</v>
          </cell>
          <cell r="AH322">
            <v>179616</v>
          </cell>
          <cell r="AI322">
            <v>708503</v>
          </cell>
          <cell r="AJ322">
            <v>0</v>
          </cell>
          <cell r="AK322">
            <v>0</v>
          </cell>
          <cell r="AL322">
            <v>9155588</v>
          </cell>
        </row>
        <row r="323">
          <cell r="B323" t="str">
            <v>Sep 2015</v>
          </cell>
          <cell r="C323" t="str">
            <v>GS3</v>
          </cell>
          <cell r="D323" t="str">
            <v>LGCME652</v>
          </cell>
          <cell r="E323">
            <v>0</v>
          </cell>
          <cell r="F323">
            <v>0</v>
          </cell>
          <cell r="G323">
            <v>0</v>
          </cell>
          <cell r="H323">
            <v>0</v>
          </cell>
          <cell r="I323">
            <v>0</v>
          </cell>
          <cell r="J323">
            <v>0</v>
          </cell>
          <cell r="K323">
            <v>0</v>
          </cell>
          <cell r="L323">
            <v>0</v>
          </cell>
          <cell r="M323">
            <v>0</v>
          </cell>
          <cell r="AA323">
            <v>0</v>
          </cell>
          <cell r="AB323">
            <v>0</v>
          </cell>
          <cell r="AD323">
            <v>0</v>
          </cell>
          <cell r="AE323">
            <v>0</v>
          </cell>
          <cell r="AG323">
            <v>0</v>
          </cell>
          <cell r="AH323">
            <v>0</v>
          </cell>
          <cell r="AI323">
            <v>0</v>
          </cell>
          <cell r="AJ323">
            <v>0</v>
          </cell>
          <cell r="AK323">
            <v>0</v>
          </cell>
          <cell r="AL323">
            <v>0</v>
          </cell>
        </row>
        <row r="324">
          <cell r="B324" t="str">
            <v>Sep 2015</v>
          </cell>
          <cell r="C324" t="str">
            <v>GS3</v>
          </cell>
          <cell r="D324" t="str">
            <v>LGCME657</v>
          </cell>
          <cell r="E324">
            <v>0</v>
          </cell>
          <cell r="F324">
            <v>0</v>
          </cell>
          <cell r="G324">
            <v>0</v>
          </cell>
          <cell r="H324">
            <v>0</v>
          </cell>
          <cell r="I324">
            <v>0</v>
          </cell>
          <cell r="J324">
            <v>0</v>
          </cell>
          <cell r="K324">
            <v>0</v>
          </cell>
          <cell r="L324">
            <v>0</v>
          </cell>
          <cell r="M324">
            <v>0</v>
          </cell>
          <cell r="AA324">
            <v>0</v>
          </cell>
          <cell r="AB324">
            <v>0</v>
          </cell>
          <cell r="AD324">
            <v>0</v>
          </cell>
          <cell r="AE324">
            <v>0</v>
          </cell>
          <cell r="AG324">
            <v>0</v>
          </cell>
          <cell r="AH324">
            <v>0</v>
          </cell>
          <cell r="AI324">
            <v>0</v>
          </cell>
          <cell r="AJ324">
            <v>0</v>
          </cell>
          <cell r="AK324">
            <v>0</v>
          </cell>
          <cell r="AL324">
            <v>0</v>
          </cell>
        </row>
        <row r="325">
          <cell r="B325" t="str">
            <v>Sep 2015</v>
          </cell>
          <cell r="C325" t="str">
            <v>LWC</v>
          </cell>
          <cell r="D325" t="str">
            <v>LGCME671</v>
          </cell>
          <cell r="E325">
            <v>2</v>
          </cell>
          <cell r="F325">
            <v>0</v>
          </cell>
          <cell r="G325">
            <v>0</v>
          </cell>
          <cell r="H325">
            <v>0</v>
          </cell>
          <cell r="I325">
            <v>0</v>
          </cell>
          <cell r="J325">
            <v>5318100</v>
          </cell>
          <cell r="K325">
            <v>0</v>
          </cell>
          <cell r="L325">
            <v>0</v>
          </cell>
          <cell r="M325">
            <v>9450</v>
          </cell>
          <cell r="AA325">
            <v>0</v>
          </cell>
          <cell r="AB325">
            <v>0</v>
          </cell>
          <cell r="AD325">
            <v>294683.56</v>
          </cell>
          <cell r="AE325">
            <v>294687</v>
          </cell>
          <cell r="AG325">
            <v>1406</v>
          </cell>
          <cell r="AH325">
            <v>0</v>
          </cell>
          <cell r="AI325">
            <v>44855</v>
          </cell>
          <cell r="AJ325">
            <v>0</v>
          </cell>
          <cell r="AK325">
            <v>0</v>
          </cell>
          <cell r="AL325">
            <v>340948</v>
          </cell>
        </row>
        <row r="326">
          <cell r="B326" t="str">
            <v>Sep 2015</v>
          </cell>
          <cell r="C326" t="str">
            <v>CSR</v>
          </cell>
          <cell r="D326" t="str">
            <v>LGCSR760</v>
          </cell>
          <cell r="E326">
            <v>0</v>
          </cell>
          <cell r="F326">
            <v>0</v>
          </cell>
          <cell r="G326">
            <v>0</v>
          </cell>
          <cell r="H326">
            <v>0</v>
          </cell>
          <cell r="I326">
            <v>0</v>
          </cell>
          <cell r="J326">
            <v>0</v>
          </cell>
          <cell r="K326">
            <v>0</v>
          </cell>
          <cell r="L326">
            <v>0</v>
          </cell>
          <cell r="M326">
            <v>0</v>
          </cell>
          <cell r="AA326">
            <v>0</v>
          </cell>
          <cell r="AB326">
            <v>0</v>
          </cell>
          <cell r="AD326">
            <v>0</v>
          </cell>
          <cell r="AE326">
            <v>0</v>
          </cell>
          <cell r="AG326">
            <v>0</v>
          </cell>
          <cell r="AH326">
            <v>0</v>
          </cell>
          <cell r="AI326">
            <v>0</v>
          </cell>
          <cell r="AJ326">
            <v>0</v>
          </cell>
          <cell r="AK326">
            <v>-286526</v>
          </cell>
          <cell r="AL326">
            <v>-286526</v>
          </cell>
        </row>
        <row r="327">
          <cell r="B327" t="str">
            <v>Sep 2015</v>
          </cell>
          <cell r="C327" t="str">
            <v>CSR</v>
          </cell>
          <cell r="D327" t="str">
            <v>LGCSR780</v>
          </cell>
          <cell r="E327">
            <v>0</v>
          </cell>
          <cell r="F327">
            <v>0</v>
          </cell>
          <cell r="G327">
            <v>0</v>
          </cell>
          <cell r="H327">
            <v>0</v>
          </cell>
          <cell r="I327">
            <v>0</v>
          </cell>
          <cell r="J327">
            <v>0</v>
          </cell>
          <cell r="K327">
            <v>0</v>
          </cell>
          <cell r="L327">
            <v>0</v>
          </cell>
          <cell r="M327">
            <v>0</v>
          </cell>
          <cell r="AA327">
            <v>0</v>
          </cell>
          <cell r="AB327">
            <v>0</v>
          </cell>
          <cell r="AD327">
            <v>0</v>
          </cell>
          <cell r="AE327">
            <v>0</v>
          </cell>
          <cell r="AG327">
            <v>0</v>
          </cell>
          <cell r="AH327">
            <v>0</v>
          </cell>
          <cell r="AI327">
            <v>0</v>
          </cell>
          <cell r="AJ327">
            <v>0</v>
          </cell>
          <cell r="AK327">
            <v>0</v>
          </cell>
          <cell r="AL327">
            <v>0</v>
          </cell>
        </row>
        <row r="328">
          <cell r="B328" t="str">
            <v>Sep 2015</v>
          </cell>
          <cell r="C328" t="str">
            <v>FK</v>
          </cell>
          <cell r="D328" t="str">
            <v>LGINE599</v>
          </cell>
          <cell r="E328">
            <v>1</v>
          </cell>
          <cell r="F328">
            <v>0</v>
          </cell>
          <cell r="G328">
            <v>0</v>
          </cell>
          <cell r="H328">
            <v>0</v>
          </cell>
          <cell r="I328">
            <v>0</v>
          </cell>
          <cell r="J328">
            <v>8540000</v>
          </cell>
          <cell r="K328">
            <v>0</v>
          </cell>
          <cell r="L328">
            <v>0</v>
          </cell>
          <cell r="M328">
            <v>13654</v>
          </cell>
          <cell r="AA328">
            <v>0</v>
          </cell>
          <cell r="AB328">
            <v>0</v>
          </cell>
          <cell r="AD328">
            <v>524753</v>
          </cell>
          <cell r="AE328">
            <v>524753</v>
          </cell>
          <cell r="AG328">
            <v>2258</v>
          </cell>
          <cell r="AH328">
            <v>0</v>
          </cell>
          <cell r="AI328">
            <v>72030</v>
          </cell>
          <cell r="AJ328">
            <v>0</v>
          </cell>
          <cell r="AK328">
            <v>0</v>
          </cell>
          <cell r="AL328">
            <v>599041</v>
          </cell>
        </row>
        <row r="329">
          <cell r="B329" t="str">
            <v>Sep 2015</v>
          </cell>
          <cell r="C329" t="str">
            <v>RTS</v>
          </cell>
          <cell r="D329" t="str">
            <v>LGINE643</v>
          </cell>
          <cell r="E329">
            <v>12</v>
          </cell>
          <cell r="F329">
            <v>0</v>
          </cell>
          <cell r="G329">
            <v>0</v>
          </cell>
          <cell r="H329">
            <v>0</v>
          </cell>
          <cell r="I329">
            <v>0</v>
          </cell>
          <cell r="J329">
            <v>64168870</v>
          </cell>
          <cell r="K329">
            <v>159696</v>
          </cell>
          <cell r="L329">
            <v>155509</v>
          </cell>
          <cell r="M329">
            <v>97048</v>
          </cell>
          <cell r="AA329">
            <v>0</v>
          </cell>
          <cell r="AB329">
            <v>0</v>
          </cell>
          <cell r="AD329">
            <v>3672755.61</v>
          </cell>
          <cell r="AE329">
            <v>3672756</v>
          </cell>
          <cell r="AG329">
            <v>16966</v>
          </cell>
          <cell r="AH329">
            <v>0</v>
          </cell>
          <cell r="AI329">
            <v>541231</v>
          </cell>
          <cell r="AJ329">
            <v>0</v>
          </cell>
          <cell r="AK329">
            <v>0</v>
          </cell>
          <cell r="AL329">
            <v>4230953</v>
          </cell>
        </row>
        <row r="330">
          <cell r="B330" t="str">
            <v>Sep 2015</v>
          </cell>
          <cell r="C330" t="str">
            <v>PSS</v>
          </cell>
          <cell r="D330" t="str">
            <v>LGINE661</v>
          </cell>
          <cell r="E330">
            <v>215</v>
          </cell>
          <cell r="F330">
            <v>0</v>
          </cell>
          <cell r="G330">
            <v>0</v>
          </cell>
          <cell r="H330">
            <v>0</v>
          </cell>
          <cell r="I330">
            <v>0</v>
          </cell>
          <cell r="J330">
            <v>19657594</v>
          </cell>
          <cell r="K330">
            <v>0</v>
          </cell>
          <cell r="L330">
            <v>0</v>
          </cell>
          <cell r="M330">
            <v>71083</v>
          </cell>
          <cell r="AA330">
            <v>0</v>
          </cell>
          <cell r="AB330">
            <v>0</v>
          </cell>
          <cell r="AD330">
            <v>1983209.52</v>
          </cell>
          <cell r="AE330">
            <v>1983203</v>
          </cell>
          <cell r="AG330">
            <v>5197</v>
          </cell>
          <cell r="AH330">
            <v>42033</v>
          </cell>
          <cell r="AI330">
            <v>165802</v>
          </cell>
          <cell r="AJ330">
            <v>0</v>
          </cell>
          <cell r="AK330">
            <v>0</v>
          </cell>
          <cell r="AL330">
            <v>2196235</v>
          </cell>
        </row>
        <row r="331">
          <cell r="B331" t="str">
            <v>Sep 2015</v>
          </cell>
          <cell r="C331" t="str">
            <v>PSP</v>
          </cell>
          <cell r="D331" t="str">
            <v>LGINE663</v>
          </cell>
          <cell r="E331">
            <v>21</v>
          </cell>
          <cell r="F331">
            <v>0</v>
          </cell>
          <cell r="G331">
            <v>0</v>
          </cell>
          <cell r="H331">
            <v>0</v>
          </cell>
          <cell r="I331">
            <v>0</v>
          </cell>
          <cell r="J331">
            <v>1023218</v>
          </cell>
          <cell r="K331">
            <v>0</v>
          </cell>
          <cell r="L331">
            <v>0</v>
          </cell>
          <cell r="M331">
            <v>4245</v>
          </cell>
          <cell r="AA331">
            <v>0</v>
          </cell>
          <cell r="AB331">
            <v>0</v>
          </cell>
          <cell r="AD331">
            <v>102959.29000000001</v>
          </cell>
          <cell r="AE331">
            <v>102962</v>
          </cell>
          <cell r="AG331">
            <v>271</v>
          </cell>
          <cell r="AH331">
            <v>2188</v>
          </cell>
          <cell r="AI331">
            <v>8630</v>
          </cell>
          <cell r="AJ331">
            <v>0</v>
          </cell>
          <cell r="AK331">
            <v>0</v>
          </cell>
          <cell r="AL331">
            <v>114051</v>
          </cell>
        </row>
        <row r="332">
          <cell r="B332" t="str">
            <v>Sep 2015</v>
          </cell>
          <cell r="C332" t="str">
            <v>TODS</v>
          </cell>
          <cell r="D332" t="str">
            <v>LGINE691</v>
          </cell>
          <cell r="E332">
            <v>95</v>
          </cell>
          <cell r="F332">
            <v>0</v>
          </cell>
          <cell r="G332">
            <v>0</v>
          </cell>
          <cell r="H332">
            <v>0</v>
          </cell>
          <cell r="I332">
            <v>0</v>
          </cell>
          <cell r="J332">
            <v>20552866</v>
          </cell>
          <cell r="K332">
            <v>54409</v>
          </cell>
          <cell r="L332">
            <v>51469</v>
          </cell>
          <cell r="M332">
            <v>50102</v>
          </cell>
          <cell r="AA332">
            <v>0</v>
          </cell>
          <cell r="AB332">
            <v>0</v>
          </cell>
          <cell r="AD332">
            <v>1594943.76</v>
          </cell>
          <cell r="AE332">
            <v>1594942</v>
          </cell>
          <cell r="AG332">
            <v>5434</v>
          </cell>
          <cell r="AH332">
            <v>43947</v>
          </cell>
          <cell r="AI332">
            <v>173353</v>
          </cell>
          <cell r="AJ332">
            <v>0</v>
          </cell>
          <cell r="AK332">
            <v>0</v>
          </cell>
          <cell r="AL332">
            <v>1817676</v>
          </cell>
        </row>
        <row r="333">
          <cell r="B333" t="str">
            <v>Sep 2015</v>
          </cell>
          <cell r="C333" t="str">
            <v>ITODP</v>
          </cell>
          <cell r="D333" t="str">
            <v>LGINE693</v>
          </cell>
          <cell r="E333">
            <v>69</v>
          </cell>
          <cell r="F333">
            <v>0</v>
          </cell>
          <cell r="G333">
            <v>0</v>
          </cell>
          <cell r="H333">
            <v>0</v>
          </cell>
          <cell r="I333">
            <v>0</v>
          </cell>
          <cell r="J333">
            <v>129026932</v>
          </cell>
          <cell r="K333">
            <v>362538</v>
          </cell>
          <cell r="L333">
            <v>329134</v>
          </cell>
          <cell r="M333">
            <v>324762</v>
          </cell>
          <cell r="AA333">
            <v>0</v>
          </cell>
          <cell r="AB333">
            <v>0</v>
          </cell>
          <cell r="AD333">
            <v>8652751.709999999</v>
          </cell>
          <cell r="AE333">
            <v>8652753</v>
          </cell>
          <cell r="AG333">
            <v>34114</v>
          </cell>
          <cell r="AH333">
            <v>275894</v>
          </cell>
          <cell r="AI333">
            <v>1088275</v>
          </cell>
          <cell r="AJ333">
            <v>0</v>
          </cell>
          <cell r="AK333">
            <v>0</v>
          </cell>
          <cell r="AL333">
            <v>10051036</v>
          </cell>
        </row>
        <row r="334">
          <cell r="B334" t="str">
            <v>Sep 2015</v>
          </cell>
          <cell r="C334" t="str">
            <v>ITODP</v>
          </cell>
          <cell r="D334" t="str">
            <v>LGINE694</v>
          </cell>
          <cell r="E334">
            <v>0</v>
          </cell>
          <cell r="F334">
            <v>0</v>
          </cell>
          <cell r="G334">
            <v>0</v>
          </cell>
          <cell r="H334">
            <v>0</v>
          </cell>
          <cell r="I334">
            <v>0</v>
          </cell>
          <cell r="J334">
            <v>0</v>
          </cell>
          <cell r="K334">
            <v>0</v>
          </cell>
          <cell r="L334">
            <v>0</v>
          </cell>
          <cell r="M334">
            <v>0</v>
          </cell>
          <cell r="AA334">
            <v>0</v>
          </cell>
          <cell r="AB334">
            <v>0</v>
          </cell>
          <cell r="AD334">
            <v>0</v>
          </cell>
          <cell r="AE334">
            <v>0</v>
          </cell>
          <cell r="AG334">
            <v>0</v>
          </cell>
          <cell r="AH334">
            <v>0</v>
          </cell>
          <cell r="AI334">
            <v>0</v>
          </cell>
          <cell r="AJ334">
            <v>0</v>
          </cell>
          <cell r="AK334">
            <v>0</v>
          </cell>
          <cell r="AL334">
            <v>0</v>
          </cell>
        </row>
        <row r="335">
          <cell r="B335" t="str">
            <v>Sep 2015</v>
          </cell>
          <cell r="C335" t="str">
            <v>LE</v>
          </cell>
          <cell r="D335" t="str">
            <v>LGMLE570</v>
          </cell>
          <cell r="E335">
            <v>0</v>
          </cell>
          <cell r="F335">
            <v>0</v>
          </cell>
          <cell r="G335">
            <v>0</v>
          </cell>
          <cell r="H335">
            <v>0</v>
          </cell>
          <cell r="I335">
            <v>0</v>
          </cell>
          <cell r="J335">
            <v>0</v>
          </cell>
          <cell r="K335">
            <v>0</v>
          </cell>
          <cell r="L335">
            <v>0</v>
          </cell>
          <cell r="M335">
            <v>0</v>
          </cell>
          <cell r="AA335">
            <v>0</v>
          </cell>
          <cell r="AB335">
            <v>0</v>
          </cell>
          <cell r="AD335">
            <v>0</v>
          </cell>
          <cell r="AE335">
            <v>0</v>
          </cell>
          <cell r="AG335">
            <v>0</v>
          </cell>
          <cell r="AH335">
            <v>0</v>
          </cell>
          <cell r="AI335">
            <v>0</v>
          </cell>
          <cell r="AJ335">
            <v>0</v>
          </cell>
          <cell r="AK335">
            <v>0</v>
          </cell>
          <cell r="AL335">
            <v>0</v>
          </cell>
        </row>
        <row r="336">
          <cell r="B336" t="str">
            <v>Sep 2015</v>
          </cell>
          <cell r="C336" t="str">
            <v>LE</v>
          </cell>
          <cell r="D336" t="str">
            <v>LGMLE571</v>
          </cell>
          <cell r="E336">
            <v>156</v>
          </cell>
          <cell r="F336">
            <v>0</v>
          </cell>
          <cell r="G336">
            <v>0</v>
          </cell>
          <cell r="H336">
            <v>0</v>
          </cell>
          <cell r="I336">
            <v>0</v>
          </cell>
          <cell r="J336">
            <v>238222</v>
          </cell>
          <cell r="K336">
            <v>0</v>
          </cell>
          <cell r="L336">
            <v>0</v>
          </cell>
          <cell r="M336">
            <v>0</v>
          </cell>
          <cell r="AA336">
            <v>0</v>
          </cell>
          <cell r="AB336">
            <v>0</v>
          </cell>
          <cell r="AD336">
            <v>15391.52</v>
          </cell>
          <cell r="AE336">
            <v>0</v>
          </cell>
          <cell r="AG336">
            <v>0</v>
          </cell>
          <cell r="AH336">
            <v>0</v>
          </cell>
          <cell r="AI336">
            <v>0</v>
          </cell>
          <cell r="AJ336">
            <v>0</v>
          </cell>
          <cell r="AK336">
            <v>0</v>
          </cell>
          <cell r="AL336">
            <v>0</v>
          </cell>
        </row>
        <row r="337">
          <cell r="B337" t="str">
            <v>Sep 2015</v>
          </cell>
          <cell r="C337" t="str">
            <v>LE</v>
          </cell>
          <cell r="D337" t="str">
            <v>LGMLE572</v>
          </cell>
          <cell r="E337">
            <v>0</v>
          </cell>
          <cell r="F337">
            <v>0</v>
          </cell>
          <cell r="G337">
            <v>0</v>
          </cell>
          <cell r="H337">
            <v>0</v>
          </cell>
          <cell r="I337">
            <v>0</v>
          </cell>
          <cell r="J337">
            <v>0</v>
          </cell>
          <cell r="K337">
            <v>0</v>
          </cell>
          <cell r="L337">
            <v>0</v>
          </cell>
          <cell r="M337">
            <v>0</v>
          </cell>
          <cell r="AA337">
            <v>0</v>
          </cell>
          <cell r="AB337">
            <v>0</v>
          </cell>
          <cell r="AD337">
            <v>0</v>
          </cell>
          <cell r="AE337">
            <v>0</v>
          </cell>
          <cell r="AG337">
            <v>0</v>
          </cell>
          <cell r="AH337">
            <v>0</v>
          </cell>
          <cell r="AI337">
            <v>0</v>
          </cell>
          <cell r="AJ337">
            <v>0</v>
          </cell>
          <cell r="AK337">
            <v>0</v>
          </cell>
          <cell r="AL337">
            <v>0</v>
          </cell>
        </row>
        <row r="338">
          <cell r="B338" t="str">
            <v>Sep 2015</v>
          </cell>
          <cell r="C338" t="str">
            <v>TE</v>
          </cell>
          <cell r="D338" t="str">
            <v>LGMLE573</v>
          </cell>
          <cell r="E338">
            <v>905</v>
          </cell>
          <cell r="F338">
            <v>0</v>
          </cell>
          <cell r="G338">
            <v>0</v>
          </cell>
          <cell r="H338">
            <v>0</v>
          </cell>
          <cell r="I338">
            <v>0</v>
          </cell>
          <cell r="J338">
            <v>223416</v>
          </cell>
          <cell r="K338">
            <v>0</v>
          </cell>
          <cell r="L338">
            <v>0</v>
          </cell>
          <cell r="M338">
            <v>0</v>
          </cell>
          <cell r="AA338">
            <v>0</v>
          </cell>
          <cell r="AB338">
            <v>0</v>
          </cell>
          <cell r="AD338">
            <v>20050.45</v>
          </cell>
          <cell r="AE338">
            <v>0</v>
          </cell>
          <cell r="AG338">
            <v>0</v>
          </cell>
          <cell r="AH338">
            <v>0</v>
          </cell>
          <cell r="AI338">
            <v>0</v>
          </cell>
          <cell r="AJ338">
            <v>0</v>
          </cell>
          <cell r="AK338">
            <v>0</v>
          </cell>
          <cell r="AL338">
            <v>0</v>
          </cell>
        </row>
        <row r="339">
          <cell r="B339" t="str">
            <v>Sep 2015</v>
          </cell>
          <cell r="C339" t="str">
            <v>TE</v>
          </cell>
          <cell r="D339" t="str">
            <v>LGMLE574</v>
          </cell>
          <cell r="E339">
            <v>0</v>
          </cell>
          <cell r="F339">
            <v>0</v>
          </cell>
          <cell r="G339">
            <v>0</v>
          </cell>
          <cell r="H339">
            <v>0</v>
          </cell>
          <cell r="I339">
            <v>0</v>
          </cell>
          <cell r="J339">
            <v>0</v>
          </cell>
          <cell r="K339">
            <v>0</v>
          </cell>
          <cell r="L339">
            <v>0</v>
          </cell>
          <cell r="M339">
            <v>0</v>
          </cell>
          <cell r="AA339">
            <v>0</v>
          </cell>
          <cell r="AB339">
            <v>0</v>
          </cell>
          <cell r="AD339">
            <v>0</v>
          </cell>
          <cell r="AE339">
            <v>0</v>
          </cell>
          <cell r="AG339">
            <v>0</v>
          </cell>
          <cell r="AH339">
            <v>0</v>
          </cell>
          <cell r="AI339">
            <v>0</v>
          </cell>
          <cell r="AJ339">
            <v>0</v>
          </cell>
          <cell r="AK339">
            <v>0</v>
          </cell>
          <cell r="AL339">
            <v>0</v>
          </cell>
        </row>
        <row r="340">
          <cell r="B340" t="str">
            <v>Sep 2015</v>
          </cell>
          <cell r="C340" t="str">
            <v>RS</v>
          </cell>
          <cell r="D340" t="str">
            <v>LGRSE411</v>
          </cell>
          <cell r="E340">
            <v>0</v>
          </cell>
          <cell r="F340">
            <v>0</v>
          </cell>
          <cell r="G340">
            <v>0</v>
          </cell>
          <cell r="H340">
            <v>0</v>
          </cell>
          <cell r="I340">
            <v>0</v>
          </cell>
          <cell r="J340">
            <v>0</v>
          </cell>
          <cell r="K340">
            <v>0</v>
          </cell>
          <cell r="L340">
            <v>0</v>
          </cell>
          <cell r="M340">
            <v>0</v>
          </cell>
          <cell r="AA340">
            <v>0</v>
          </cell>
          <cell r="AB340">
            <v>0</v>
          </cell>
          <cell r="AD340">
            <v>0</v>
          </cell>
          <cell r="AE340">
            <v>0</v>
          </cell>
          <cell r="AG340">
            <v>0</v>
          </cell>
          <cell r="AH340">
            <v>0</v>
          </cell>
          <cell r="AI340">
            <v>0</v>
          </cell>
          <cell r="AJ340">
            <v>0</v>
          </cell>
          <cell r="AK340">
            <v>0</v>
          </cell>
          <cell r="AL340">
            <v>0</v>
          </cell>
        </row>
        <row r="341">
          <cell r="B341" t="str">
            <v>Sep 2015</v>
          </cell>
          <cell r="C341" t="str">
            <v>RS</v>
          </cell>
          <cell r="D341" t="str">
            <v>LGRSE511</v>
          </cell>
          <cell r="E341">
            <v>360785</v>
          </cell>
          <cell r="F341">
            <v>0</v>
          </cell>
          <cell r="G341">
            <v>0</v>
          </cell>
          <cell r="H341">
            <v>0</v>
          </cell>
          <cell r="I341">
            <v>0</v>
          </cell>
          <cell r="J341">
            <v>387412176</v>
          </cell>
          <cell r="K341">
            <v>0</v>
          </cell>
          <cell r="L341">
            <v>0</v>
          </cell>
          <cell r="M341">
            <v>0</v>
          </cell>
          <cell r="AA341">
            <v>0</v>
          </cell>
          <cell r="AB341">
            <v>0</v>
          </cell>
          <cell r="AD341">
            <v>35165846.079999998</v>
          </cell>
          <cell r="AE341">
            <v>35167676</v>
          </cell>
          <cell r="AG341">
            <v>102434</v>
          </cell>
          <cell r="AH341">
            <v>828433</v>
          </cell>
          <cell r="AI341">
            <v>3267789</v>
          </cell>
          <cell r="AJ341">
            <v>0</v>
          </cell>
          <cell r="AK341">
            <v>0</v>
          </cell>
          <cell r="AL341">
            <v>39366332</v>
          </cell>
        </row>
        <row r="342">
          <cell r="B342" t="str">
            <v>Sep 2015</v>
          </cell>
          <cell r="C342" t="str">
            <v>RS</v>
          </cell>
          <cell r="D342" t="str">
            <v>LGRSE519</v>
          </cell>
          <cell r="E342">
            <v>0</v>
          </cell>
          <cell r="F342">
            <v>0</v>
          </cell>
          <cell r="G342">
            <v>0</v>
          </cell>
          <cell r="H342">
            <v>0</v>
          </cell>
          <cell r="I342">
            <v>0</v>
          </cell>
          <cell r="J342">
            <v>0</v>
          </cell>
          <cell r="K342">
            <v>0</v>
          </cell>
          <cell r="L342">
            <v>0</v>
          </cell>
          <cell r="M342">
            <v>0</v>
          </cell>
          <cell r="AA342">
            <v>0</v>
          </cell>
          <cell r="AB342">
            <v>0</v>
          </cell>
          <cell r="AD342">
            <v>0</v>
          </cell>
          <cell r="AE342">
            <v>0</v>
          </cell>
          <cell r="AG342">
            <v>0</v>
          </cell>
          <cell r="AH342">
            <v>0</v>
          </cell>
          <cell r="AI342">
            <v>0</v>
          </cell>
          <cell r="AJ342">
            <v>0</v>
          </cell>
          <cell r="AK342">
            <v>0</v>
          </cell>
          <cell r="AL342">
            <v>0</v>
          </cell>
        </row>
        <row r="343">
          <cell r="B343" t="str">
            <v>Sep 2015</v>
          </cell>
          <cell r="C343" t="str">
            <v>RS</v>
          </cell>
          <cell r="D343" t="str">
            <v>LGRSE540</v>
          </cell>
          <cell r="E343">
            <v>0</v>
          </cell>
          <cell r="F343">
            <v>0</v>
          </cell>
          <cell r="G343">
            <v>0</v>
          </cell>
          <cell r="H343">
            <v>0</v>
          </cell>
          <cell r="I343">
            <v>0</v>
          </cell>
          <cell r="J343">
            <v>0</v>
          </cell>
          <cell r="K343">
            <v>0</v>
          </cell>
          <cell r="L343">
            <v>0</v>
          </cell>
          <cell r="M343">
            <v>0</v>
          </cell>
          <cell r="AA343">
            <v>0</v>
          </cell>
          <cell r="AB343">
            <v>0</v>
          </cell>
          <cell r="AD343">
            <v>0</v>
          </cell>
          <cell r="AE343">
            <v>0</v>
          </cell>
          <cell r="AG343">
            <v>0</v>
          </cell>
          <cell r="AH343">
            <v>0</v>
          </cell>
          <cell r="AI343">
            <v>0</v>
          </cell>
          <cell r="AJ343">
            <v>0</v>
          </cell>
          <cell r="AK343">
            <v>0</v>
          </cell>
          <cell r="AL343">
            <v>0</v>
          </cell>
        </row>
        <row r="344">
          <cell r="B344" t="str">
            <v>Sep 2015</v>
          </cell>
          <cell r="C344" t="str">
            <v>LEV</v>
          </cell>
          <cell r="D344" t="str">
            <v>LGRSE543</v>
          </cell>
          <cell r="E344">
            <v>20</v>
          </cell>
          <cell r="F344">
            <v>0</v>
          </cell>
          <cell r="G344">
            <v>11196</v>
          </cell>
          <cell r="H344">
            <v>5538</v>
          </cell>
          <cell r="I344">
            <v>3260</v>
          </cell>
          <cell r="J344">
            <v>19994</v>
          </cell>
          <cell r="K344">
            <v>0</v>
          </cell>
          <cell r="L344">
            <v>0</v>
          </cell>
          <cell r="M344">
            <v>0</v>
          </cell>
          <cell r="AA344">
            <v>0</v>
          </cell>
          <cell r="AB344">
            <v>0</v>
          </cell>
          <cell r="AD344">
            <v>1775.16</v>
          </cell>
          <cell r="AE344">
            <v>0</v>
          </cell>
          <cell r="AG344">
            <v>0</v>
          </cell>
          <cell r="AH344">
            <v>0</v>
          </cell>
          <cell r="AI344">
            <v>0</v>
          </cell>
          <cell r="AJ344">
            <v>0</v>
          </cell>
          <cell r="AK344">
            <v>0</v>
          </cell>
          <cell r="AL344">
            <v>0</v>
          </cell>
        </row>
        <row r="345">
          <cell r="B345" t="str">
            <v>Sep 2015</v>
          </cell>
          <cell r="C345" t="str">
            <v>LEV</v>
          </cell>
          <cell r="D345" t="str">
            <v>LGRSE547</v>
          </cell>
          <cell r="E345">
            <v>0</v>
          </cell>
          <cell r="F345">
            <v>0</v>
          </cell>
          <cell r="G345">
            <v>0</v>
          </cell>
          <cell r="H345">
            <v>0</v>
          </cell>
          <cell r="I345">
            <v>0</v>
          </cell>
          <cell r="J345">
            <v>0</v>
          </cell>
          <cell r="K345">
            <v>0</v>
          </cell>
          <cell r="L345">
            <v>0</v>
          </cell>
          <cell r="M345">
            <v>0</v>
          </cell>
          <cell r="AA345">
            <v>0</v>
          </cell>
          <cell r="AB345">
            <v>0</v>
          </cell>
          <cell r="AD345">
            <v>0</v>
          </cell>
          <cell r="AE345">
            <v>0</v>
          </cell>
          <cell r="AG345">
            <v>0</v>
          </cell>
          <cell r="AH345">
            <v>0</v>
          </cell>
          <cell r="AI345">
            <v>0</v>
          </cell>
          <cell r="AJ345">
            <v>0</v>
          </cell>
          <cell r="AK345">
            <v>0</v>
          </cell>
          <cell r="AL345">
            <v>0</v>
          </cell>
        </row>
        <row r="346">
          <cell r="B346" t="str">
            <v>Oct 2015</v>
          </cell>
          <cell r="C346" t="str">
            <v>FLSP</v>
          </cell>
          <cell r="D346" t="str">
            <v>LGINE682</v>
          </cell>
          <cell r="E346">
            <v>0</v>
          </cell>
          <cell r="F346">
            <v>0</v>
          </cell>
          <cell r="G346">
            <v>0</v>
          </cell>
          <cell r="H346">
            <v>0</v>
          </cell>
          <cell r="I346">
            <v>0</v>
          </cell>
          <cell r="J346">
            <v>0</v>
          </cell>
          <cell r="K346">
            <v>0</v>
          </cell>
          <cell r="L346">
            <v>0</v>
          </cell>
          <cell r="M346">
            <v>0</v>
          </cell>
          <cell r="AA346">
            <v>0</v>
          </cell>
          <cell r="AB346">
            <v>0</v>
          </cell>
          <cell r="AD346">
            <v>0</v>
          </cell>
          <cell r="AE346">
            <v>0</v>
          </cell>
          <cell r="AG346">
            <v>0</v>
          </cell>
          <cell r="AH346">
            <v>0</v>
          </cell>
          <cell r="AI346">
            <v>0</v>
          </cell>
          <cell r="AJ346">
            <v>0</v>
          </cell>
          <cell r="AK346">
            <v>0</v>
          </cell>
          <cell r="AL346">
            <v>0</v>
          </cell>
        </row>
        <row r="347">
          <cell r="B347" t="str">
            <v>Oct 2015</v>
          </cell>
          <cell r="C347" t="str">
            <v>FLST</v>
          </cell>
          <cell r="D347" t="str">
            <v>LGINE683</v>
          </cell>
          <cell r="E347">
            <v>0</v>
          </cell>
          <cell r="F347">
            <v>0</v>
          </cell>
          <cell r="G347">
            <v>0</v>
          </cell>
          <cell r="H347">
            <v>0</v>
          </cell>
          <cell r="I347">
            <v>0</v>
          </cell>
          <cell r="J347">
            <v>0</v>
          </cell>
          <cell r="K347">
            <v>0</v>
          </cell>
          <cell r="L347">
            <v>0</v>
          </cell>
          <cell r="M347">
            <v>0</v>
          </cell>
          <cell r="AA347">
            <v>0</v>
          </cell>
          <cell r="AB347">
            <v>0</v>
          </cell>
          <cell r="AD347">
            <v>0</v>
          </cell>
          <cell r="AE347">
            <v>0</v>
          </cell>
          <cell r="AG347">
            <v>0</v>
          </cell>
          <cell r="AH347">
            <v>0</v>
          </cell>
          <cell r="AI347">
            <v>0</v>
          </cell>
          <cell r="AJ347">
            <v>0</v>
          </cell>
          <cell r="AK347">
            <v>0</v>
          </cell>
          <cell r="AL347">
            <v>0</v>
          </cell>
        </row>
        <row r="348">
          <cell r="B348" t="str">
            <v>Oct 2015</v>
          </cell>
          <cell r="C348" t="str">
            <v>GS</v>
          </cell>
          <cell r="D348" t="str">
            <v>LGCME451</v>
          </cell>
          <cell r="E348">
            <v>0</v>
          </cell>
          <cell r="F348">
            <v>0</v>
          </cell>
          <cell r="G348">
            <v>0</v>
          </cell>
          <cell r="H348">
            <v>0</v>
          </cell>
          <cell r="I348">
            <v>0</v>
          </cell>
          <cell r="J348">
            <v>0</v>
          </cell>
          <cell r="K348">
            <v>0</v>
          </cell>
          <cell r="L348">
            <v>0</v>
          </cell>
          <cell r="M348">
            <v>0</v>
          </cell>
          <cell r="AA348">
            <v>0</v>
          </cell>
          <cell r="AB348">
            <v>0</v>
          </cell>
          <cell r="AD348">
            <v>0</v>
          </cell>
          <cell r="AE348">
            <v>0</v>
          </cell>
          <cell r="AG348">
            <v>0</v>
          </cell>
          <cell r="AH348">
            <v>0</v>
          </cell>
          <cell r="AI348">
            <v>0</v>
          </cell>
          <cell r="AJ348">
            <v>0</v>
          </cell>
          <cell r="AK348">
            <v>0</v>
          </cell>
          <cell r="AL348">
            <v>0</v>
          </cell>
        </row>
        <row r="349">
          <cell r="B349" t="str">
            <v>Oct 2015</v>
          </cell>
          <cell r="C349" t="str">
            <v>GS</v>
          </cell>
          <cell r="D349" t="str">
            <v>LGCME550</v>
          </cell>
          <cell r="E349">
            <v>0</v>
          </cell>
          <cell r="F349">
            <v>0</v>
          </cell>
          <cell r="G349">
            <v>0</v>
          </cell>
          <cell r="H349">
            <v>0</v>
          </cell>
          <cell r="I349">
            <v>0</v>
          </cell>
          <cell r="J349">
            <v>0</v>
          </cell>
          <cell r="K349">
            <v>0</v>
          </cell>
          <cell r="L349">
            <v>0</v>
          </cell>
          <cell r="M349">
            <v>0</v>
          </cell>
          <cell r="AA349">
            <v>0</v>
          </cell>
          <cell r="AB349">
            <v>0</v>
          </cell>
          <cell r="AD349">
            <v>0</v>
          </cell>
          <cell r="AE349">
            <v>0</v>
          </cell>
          <cell r="AG349">
            <v>0</v>
          </cell>
          <cell r="AH349">
            <v>0</v>
          </cell>
          <cell r="AI349">
            <v>0</v>
          </cell>
          <cell r="AJ349">
            <v>0</v>
          </cell>
          <cell r="AK349">
            <v>0</v>
          </cell>
          <cell r="AL349">
            <v>0</v>
          </cell>
        </row>
        <row r="350">
          <cell r="B350" t="str">
            <v>Oct 2015</v>
          </cell>
          <cell r="C350" t="str">
            <v>GS</v>
          </cell>
          <cell r="D350" t="str">
            <v>LGCME551</v>
          </cell>
          <cell r="E350">
            <v>28188</v>
          </cell>
          <cell r="F350">
            <v>0</v>
          </cell>
          <cell r="G350">
            <v>0</v>
          </cell>
          <cell r="H350">
            <v>0</v>
          </cell>
          <cell r="I350">
            <v>0</v>
          </cell>
          <cell r="J350">
            <v>29801686</v>
          </cell>
          <cell r="K350">
            <v>0</v>
          </cell>
          <cell r="L350">
            <v>0</v>
          </cell>
          <cell r="M350">
            <v>0</v>
          </cell>
          <cell r="AA350">
            <v>0</v>
          </cell>
          <cell r="AB350">
            <v>0</v>
          </cell>
          <cell r="AD350">
            <v>3285846</v>
          </cell>
          <cell r="AE350">
            <v>3285847</v>
          </cell>
          <cell r="AG350">
            <v>-6464</v>
          </cell>
          <cell r="AH350">
            <v>69247</v>
          </cell>
          <cell r="AI350">
            <v>284538</v>
          </cell>
          <cell r="AJ350">
            <v>0</v>
          </cell>
          <cell r="AK350">
            <v>0</v>
          </cell>
          <cell r="AL350">
            <v>3633168</v>
          </cell>
        </row>
        <row r="351">
          <cell r="B351" t="str">
            <v>Oct 2015</v>
          </cell>
          <cell r="C351" t="str">
            <v>GS</v>
          </cell>
          <cell r="D351" t="str">
            <v>LGCME551UM</v>
          </cell>
          <cell r="E351">
            <v>0</v>
          </cell>
          <cell r="F351">
            <v>0</v>
          </cell>
          <cell r="G351">
            <v>0</v>
          </cell>
          <cell r="H351">
            <v>0</v>
          </cell>
          <cell r="I351">
            <v>0</v>
          </cell>
          <cell r="J351">
            <v>0</v>
          </cell>
          <cell r="K351">
            <v>0</v>
          </cell>
          <cell r="L351">
            <v>0</v>
          </cell>
          <cell r="M351">
            <v>0</v>
          </cell>
          <cell r="AA351">
            <v>0</v>
          </cell>
          <cell r="AB351">
            <v>0</v>
          </cell>
          <cell r="AD351">
            <v>0</v>
          </cell>
          <cell r="AE351">
            <v>0</v>
          </cell>
          <cell r="AG351">
            <v>0</v>
          </cell>
          <cell r="AH351">
            <v>0</v>
          </cell>
          <cell r="AI351">
            <v>0</v>
          </cell>
          <cell r="AJ351">
            <v>0</v>
          </cell>
          <cell r="AK351">
            <v>0</v>
          </cell>
          <cell r="AL351">
            <v>0</v>
          </cell>
        </row>
        <row r="352">
          <cell r="B352" t="str">
            <v>Oct 2015</v>
          </cell>
          <cell r="C352" t="str">
            <v>GS</v>
          </cell>
          <cell r="D352" t="str">
            <v>LGCME552</v>
          </cell>
          <cell r="E352">
            <v>0</v>
          </cell>
          <cell r="F352">
            <v>0</v>
          </cell>
          <cell r="G352">
            <v>0</v>
          </cell>
          <cell r="H352">
            <v>0</v>
          </cell>
          <cell r="I352">
            <v>0</v>
          </cell>
          <cell r="J352">
            <v>0</v>
          </cell>
          <cell r="K352">
            <v>0</v>
          </cell>
          <cell r="L352">
            <v>0</v>
          </cell>
          <cell r="M352">
            <v>0</v>
          </cell>
          <cell r="AA352">
            <v>0</v>
          </cell>
          <cell r="AB352">
            <v>0</v>
          </cell>
          <cell r="AD352">
            <v>0</v>
          </cell>
          <cell r="AE352">
            <v>0</v>
          </cell>
          <cell r="AG352">
            <v>0</v>
          </cell>
          <cell r="AH352">
            <v>0</v>
          </cell>
          <cell r="AI352">
            <v>0</v>
          </cell>
          <cell r="AJ352">
            <v>0</v>
          </cell>
          <cell r="AK352">
            <v>0</v>
          </cell>
          <cell r="AL352">
            <v>0</v>
          </cell>
        </row>
        <row r="353">
          <cell r="B353" t="str">
            <v>Oct 2015</v>
          </cell>
          <cell r="C353" t="str">
            <v>GS</v>
          </cell>
          <cell r="D353" t="str">
            <v>LGCME557</v>
          </cell>
          <cell r="E353">
            <v>0</v>
          </cell>
          <cell r="F353">
            <v>0</v>
          </cell>
          <cell r="G353">
            <v>0</v>
          </cell>
          <cell r="H353">
            <v>0</v>
          </cell>
          <cell r="I353">
            <v>0</v>
          </cell>
          <cell r="J353">
            <v>0</v>
          </cell>
          <cell r="K353">
            <v>0</v>
          </cell>
          <cell r="L353">
            <v>0</v>
          </cell>
          <cell r="M353">
            <v>0</v>
          </cell>
          <cell r="AA353">
            <v>0</v>
          </cell>
          <cell r="AB353">
            <v>0</v>
          </cell>
          <cell r="AD353">
            <v>0</v>
          </cell>
          <cell r="AE353">
            <v>0</v>
          </cell>
          <cell r="AG353">
            <v>0</v>
          </cell>
          <cell r="AH353">
            <v>0</v>
          </cell>
          <cell r="AI353">
            <v>0</v>
          </cell>
          <cell r="AJ353">
            <v>0</v>
          </cell>
          <cell r="AK353">
            <v>0</v>
          </cell>
          <cell r="AL353">
            <v>0</v>
          </cell>
        </row>
        <row r="354">
          <cell r="B354" t="str">
            <v>Oct 2015</v>
          </cell>
          <cell r="C354" t="str">
            <v>PSS</v>
          </cell>
          <cell r="D354" t="str">
            <v>LGCME561</v>
          </cell>
          <cell r="E354">
            <v>2579</v>
          </cell>
          <cell r="F354">
            <v>0</v>
          </cell>
          <cell r="G354">
            <v>0</v>
          </cell>
          <cell r="H354">
            <v>0</v>
          </cell>
          <cell r="I354">
            <v>0</v>
          </cell>
          <cell r="J354">
            <v>137270484</v>
          </cell>
          <cell r="K354">
            <v>0</v>
          </cell>
          <cell r="L354">
            <v>350228</v>
          </cell>
          <cell r="M354">
            <v>0</v>
          </cell>
          <cell r="AA354">
            <v>0</v>
          </cell>
          <cell r="AB354">
            <v>0</v>
          </cell>
          <cell r="AD354">
            <v>10711985.93</v>
          </cell>
          <cell r="AE354">
            <v>10711984</v>
          </cell>
          <cell r="AG354">
            <v>-29774</v>
          </cell>
          <cell r="AH354">
            <v>318963</v>
          </cell>
          <cell r="AI354">
            <v>1310621</v>
          </cell>
          <cell r="AJ354">
            <v>0</v>
          </cell>
          <cell r="AK354">
            <v>0</v>
          </cell>
          <cell r="AL354">
            <v>12311794</v>
          </cell>
        </row>
        <row r="355">
          <cell r="B355" t="str">
            <v>Oct 2015</v>
          </cell>
          <cell r="C355" t="str">
            <v>PSP</v>
          </cell>
          <cell r="D355" t="str">
            <v>LGCME563</v>
          </cell>
          <cell r="E355">
            <v>52</v>
          </cell>
          <cell r="F355">
            <v>0</v>
          </cell>
          <cell r="G355">
            <v>0</v>
          </cell>
          <cell r="H355">
            <v>0</v>
          </cell>
          <cell r="I355">
            <v>0</v>
          </cell>
          <cell r="J355">
            <v>12153894</v>
          </cell>
          <cell r="K355">
            <v>0</v>
          </cell>
          <cell r="L355">
            <v>30305</v>
          </cell>
          <cell r="M355">
            <v>0</v>
          </cell>
          <cell r="AA355">
            <v>0</v>
          </cell>
          <cell r="AB355">
            <v>0</v>
          </cell>
          <cell r="AD355">
            <v>839358.17999999993</v>
          </cell>
          <cell r="AE355">
            <v>839356</v>
          </cell>
          <cell r="AG355">
            <v>-2636</v>
          </cell>
          <cell r="AH355">
            <v>28241</v>
          </cell>
          <cell r="AI355">
            <v>116042</v>
          </cell>
          <cell r="AJ355">
            <v>0</v>
          </cell>
          <cell r="AK355">
            <v>0</v>
          </cell>
          <cell r="AL355">
            <v>981003</v>
          </cell>
        </row>
        <row r="356">
          <cell r="B356" t="str">
            <v>Oct 2015</v>
          </cell>
          <cell r="C356" t="str">
            <v>PSS</v>
          </cell>
          <cell r="D356" t="str">
            <v>LGCME567</v>
          </cell>
          <cell r="E356">
            <v>0</v>
          </cell>
          <cell r="F356">
            <v>0</v>
          </cell>
          <cell r="G356">
            <v>0</v>
          </cell>
          <cell r="H356">
            <v>0</v>
          </cell>
          <cell r="I356">
            <v>0</v>
          </cell>
          <cell r="J356">
            <v>0</v>
          </cell>
          <cell r="K356">
            <v>0</v>
          </cell>
          <cell r="L356">
            <v>0</v>
          </cell>
          <cell r="M356">
            <v>0</v>
          </cell>
          <cell r="AA356">
            <v>0</v>
          </cell>
          <cell r="AB356">
            <v>0</v>
          </cell>
          <cell r="AD356">
            <v>0</v>
          </cell>
          <cell r="AE356">
            <v>0</v>
          </cell>
          <cell r="AG356">
            <v>0</v>
          </cell>
          <cell r="AH356">
            <v>0</v>
          </cell>
          <cell r="AI356">
            <v>0</v>
          </cell>
          <cell r="AJ356">
            <v>0</v>
          </cell>
          <cell r="AK356">
            <v>0</v>
          </cell>
          <cell r="AL356">
            <v>0</v>
          </cell>
        </row>
        <row r="357">
          <cell r="B357" t="str">
            <v>Oct 2015</v>
          </cell>
          <cell r="C357" t="str">
            <v>TODS</v>
          </cell>
          <cell r="D357" t="str">
            <v>LGCME591</v>
          </cell>
          <cell r="E357">
            <v>219</v>
          </cell>
          <cell r="F357">
            <v>0</v>
          </cell>
          <cell r="G357">
            <v>0</v>
          </cell>
          <cell r="H357">
            <v>0</v>
          </cell>
          <cell r="I357">
            <v>0</v>
          </cell>
          <cell r="J357">
            <v>63676678</v>
          </cell>
          <cell r="K357">
            <v>143906</v>
          </cell>
          <cell r="L357">
            <v>139178</v>
          </cell>
          <cell r="M357">
            <v>137189</v>
          </cell>
          <cell r="AA357">
            <v>0</v>
          </cell>
          <cell r="AB357">
            <v>0</v>
          </cell>
          <cell r="AD357">
            <v>4626041.0200000005</v>
          </cell>
          <cell r="AE357">
            <v>4626040</v>
          </cell>
          <cell r="AG357">
            <v>-13811</v>
          </cell>
          <cell r="AH357">
            <v>147960</v>
          </cell>
          <cell r="AI357">
            <v>607968</v>
          </cell>
          <cell r="AJ357">
            <v>0</v>
          </cell>
          <cell r="AK357">
            <v>0</v>
          </cell>
          <cell r="AL357">
            <v>5368157</v>
          </cell>
        </row>
        <row r="358">
          <cell r="B358" t="str">
            <v>Oct 2015</v>
          </cell>
          <cell r="C358" t="str">
            <v>CTODP</v>
          </cell>
          <cell r="D358" t="str">
            <v>LGCME593</v>
          </cell>
          <cell r="E358">
            <v>39</v>
          </cell>
          <cell r="F358">
            <v>0</v>
          </cell>
          <cell r="G358">
            <v>0</v>
          </cell>
          <cell r="H358">
            <v>0</v>
          </cell>
          <cell r="I358">
            <v>0</v>
          </cell>
          <cell r="J358">
            <v>30304753</v>
          </cell>
          <cell r="K358">
            <v>74509</v>
          </cell>
          <cell r="L358">
            <v>71650</v>
          </cell>
          <cell r="M358">
            <v>70634</v>
          </cell>
          <cell r="AA358">
            <v>0</v>
          </cell>
          <cell r="AB358">
            <v>0</v>
          </cell>
          <cell r="AD358">
            <v>2170567.63</v>
          </cell>
          <cell r="AE358">
            <v>2170571</v>
          </cell>
          <cell r="AG358">
            <v>-6573</v>
          </cell>
          <cell r="AH358">
            <v>70416</v>
          </cell>
          <cell r="AI358">
            <v>289342</v>
          </cell>
          <cell r="AJ358">
            <v>0</v>
          </cell>
          <cell r="AK358">
            <v>0</v>
          </cell>
          <cell r="AL358">
            <v>2523756</v>
          </cell>
        </row>
        <row r="359">
          <cell r="B359" t="str">
            <v>Oct 2015</v>
          </cell>
          <cell r="C359" t="str">
            <v>GS3</v>
          </cell>
          <cell r="D359" t="str">
            <v>LGCME650</v>
          </cell>
          <cell r="E359">
            <v>0</v>
          </cell>
          <cell r="F359">
            <v>0</v>
          </cell>
          <cell r="G359">
            <v>0</v>
          </cell>
          <cell r="H359">
            <v>0</v>
          </cell>
          <cell r="I359">
            <v>0</v>
          </cell>
          <cell r="J359">
            <v>0</v>
          </cell>
          <cell r="K359">
            <v>0</v>
          </cell>
          <cell r="L359">
            <v>0</v>
          </cell>
          <cell r="M359">
            <v>0</v>
          </cell>
          <cell r="AA359">
            <v>0</v>
          </cell>
          <cell r="AB359">
            <v>0</v>
          </cell>
          <cell r="AD359">
            <v>0</v>
          </cell>
          <cell r="AE359">
            <v>0</v>
          </cell>
          <cell r="AG359">
            <v>0</v>
          </cell>
          <cell r="AH359">
            <v>0</v>
          </cell>
          <cell r="AI359">
            <v>0</v>
          </cell>
          <cell r="AJ359">
            <v>0</v>
          </cell>
          <cell r="AK359">
            <v>0</v>
          </cell>
          <cell r="AL359">
            <v>0</v>
          </cell>
        </row>
        <row r="360">
          <cell r="B360" t="str">
            <v>Oct 2015</v>
          </cell>
          <cell r="C360" t="str">
            <v>GS3</v>
          </cell>
          <cell r="D360" t="str">
            <v>LGCME651</v>
          </cell>
          <cell r="E360">
            <v>16367</v>
          </cell>
          <cell r="F360">
            <v>0</v>
          </cell>
          <cell r="G360">
            <v>0</v>
          </cell>
          <cell r="H360">
            <v>0</v>
          </cell>
          <cell r="I360">
            <v>0</v>
          </cell>
          <cell r="J360">
            <v>75985713</v>
          </cell>
          <cell r="K360">
            <v>215612</v>
          </cell>
          <cell r="L360">
            <v>0</v>
          </cell>
          <cell r="M360">
            <v>0</v>
          </cell>
          <cell r="AA360">
            <v>0</v>
          </cell>
          <cell r="AB360">
            <v>0</v>
          </cell>
          <cell r="AD360">
            <v>7513380.0300000003</v>
          </cell>
          <cell r="AE360">
            <v>7513380</v>
          </cell>
          <cell r="AG360">
            <v>-16481</v>
          </cell>
          <cell r="AH360">
            <v>176561</v>
          </cell>
          <cell r="AI360">
            <v>725491</v>
          </cell>
          <cell r="AJ360">
            <v>0</v>
          </cell>
          <cell r="AK360">
            <v>0</v>
          </cell>
          <cell r="AL360">
            <v>8398951</v>
          </cell>
        </row>
        <row r="361">
          <cell r="B361" t="str">
            <v>Oct 2015</v>
          </cell>
          <cell r="C361" t="str">
            <v>GS3</v>
          </cell>
          <cell r="D361" t="str">
            <v>LGCME652</v>
          </cell>
          <cell r="E361">
            <v>0</v>
          </cell>
          <cell r="F361">
            <v>0</v>
          </cell>
          <cell r="G361">
            <v>0</v>
          </cell>
          <cell r="H361">
            <v>0</v>
          </cell>
          <cell r="I361">
            <v>0</v>
          </cell>
          <cell r="J361">
            <v>0</v>
          </cell>
          <cell r="K361">
            <v>0</v>
          </cell>
          <cell r="L361">
            <v>0</v>
          </cell>
          <cell r="M361">
            <v>0</v>
          </cell>
          <cell r="AA361">
            <v>0</v>
          </cell>
          <cell r="AB361">
            <v>0</v>
          </cell>
          <cell r="AD361">
            <v>0</v>
          </cell>
          <cell r="AE361">
            <v>0</v>
          </cell>
          <cell r="AG361">
            <v>0</v>
          </cell>
          <cell r="AH361">
            <v>0</v>
          </cell>
          <cell r="AI361">
            <v>0</v>
          </cell>
          <cell r="AJ361">
            <v>0</v>
          </cell>
          <cell r="AK361">
            <v>0</v>
          </cell>
          <cell r="AL361">
            <v>0</v>
          </cell>
        </row>
        <row r="362">
          <cell r="B362" t="str">
            <v>Oct 2015</v>
          </cell>
          <cell r="C362" t="str">
            <v>GS3</v>
          </cell>
          <cell r="D362" t="str">
            <v>LGCME657</v>
          </cell>
          <cell r="E362">
            <v>0</v>
          </cell>
          <cell r="F362">
            <v>0</v>
          </cell>
          <cell r="G362">
            <v>0</v>
          </cell>
          <cell r="H362">
            <v>0</v>
          </cell>
          <cell r="I362">
            <v>0</v>
          </cell>
          <cell r="J362">
            <v>0</v>
          </cell>
          <cell r="K362">
            <v>0</v>
          </cell>
          <cell r="L362">
            <v>0</v>
          </cell>
          <cell r="M362">
            <v>0</v>
          </cell>
          <cell r="AA362">
            <v>0</v>
          </cell>
          <cell r="AB362">
            <v>0</v>
          </cell>
          <cell r="AD362">
            <v>0</v>
          </cell>
          <cell r="AE362">
            <v>0</v>
          </cell>
          <cell r="AG362">
            <v>0</v>
          </cell>
          <cell r="AH362">
            <v>0</v>
          </cell>
          <cell r="AI362">
            <v>0</v>
          </cell>
          <cell r="AJ362">
            <v>0</v>
          </cell>
          <cell r="AK362">
            <v>0</v>
          </cell>
          <cell r="AL362">
            <v>0</v>
          </cell>
        </row>
        <row r="363">
          <cell r="B363" t="str">
            <v>Oct 2015</v>
          </cell>
          <cell r="C363" t="str">
            <v>LWC</v>
          </cell>
          <cell r="D363" t="str">
            <v>LGCME671</v>
          </cell>
          <cell r="E363">
            <v>2</v>
          </cell>
          <cell r="F363">
            <v>0</v>
          </cell>
          <cell r="G363">
            <v>0</v>
          </cell>
          <cell r="H363">
            <v>0</v>
          </cell>
          <cell r="I363">
            <v>0</v>
          </cell>
          <cell r="J363">
            <v>4450800</v>
          </cell>
          <cell r="K363">
            <v>0</v>
          </cell>
          <cell r="L363">
            <v>9450</v>
          </cell>
          <cell r="M363">
            <v>0</v>
          </cell>
          <cell r="AA363">
            <v>0</v>
          </cell>
          <cell r="AB363">
            <v>0</v>
          </cell>
          <cell r="AD363">
            <v>262576.12</v>
          </cell>
          <cell r="AE363">
            <v>262579</v>
          </cell>
          <cell r="AG363">
            <v>-965</v>
          </cell>
          <cell r="AH363">
            <v>0</v>
          </cell>
          <cell r="AI363">
            <v>42495</v>
          </cell>
          <cell r="AJ363">
            <v>0</v>
          </cell>
          <cell r="AK363">
            <v>0</v>
          </cell>
          <cell r="AL363">
            <v>304109</v>
          </cell>
        </row>
        <row r="364">
          <cell r="B364" t="str">
            <v>Oct 2015</v>
          </cell>
          <cell r="C364" t="str">
            <v>CSR</v>
          </cell>
          <cell r="D364" t="str">
            <v>LGCSR760</v>
          </cell>
          <cell r="E364">
            <v>0</v>
          </cell>
          <cell r="F364">
            <v>0</v>
          </cell>
          <cell r="G364">
            <v>0</v>
          </cell>
          <cell r="H364">
            <v>0</v>
          </cell>
          <cell r="I364">
            <v>0</v>
          </cell>
          <cell r="J364">
            <v>0</v>
          </cell>
          <cell r="K364">
            <v>0</v>
          </cell>
          <cell r="L364">
            <v>0</v>
          </cell>
          <cell r="M364">
            <v>0</v>
          </cell>
          <cell r="AA364">
            <v>0</v>
          </cell>
          <cell r="AB364">
            <v>0</v>
          </cell>
          <cell r="AD364">
            <v>0</v>
          </cell>
          <cell r="AE364">
            <v>0</v>
          </cell>
          <cell r="AG364">
            <v>0</v>
          </cell>
          <cell r="AH364">
            <v>0</v>
          </cell>
          <cell r="AI364">
            <v>0</v>
          </cell>
          <cell r="AJ364">
            <v>0</v>
          </cell>
          <cell r="AK364">
            <v>-286526</v>
          </cell>
          <cell r="AL364">
            <v>-286526</v>
          </cell>
        </row>
        <row r="365">
          <cell r="B365" t="str">
            <v>Oct 2015</v>
          </cell>
          <cell r="C365" t="str">
            <v>CSR</v>
          </cell>
          <cell r="D365" t="str">
            <v>LGCSR780</v>
          </cell>
          <cell r="E365">
            <v>0</v>
          </cell>
          <cell r="F365">
            <v>0</v>
          </cell>
          <cell r="G365">
            <v>0</v>
          </cell>
          <cell r="H365">
            <v>0</v>
          </cell>
          <cell r="I365">
            <v>0</v>
          </cell>
          <cell r="J365">
            <v>0</v>
          </cell>
          <cell r="K365">
            <v>0</v>
          </cell>
          <cell r="L365">
            <v>0</v>
          </cell>
          <cell r="M365">
            <v>0</v>
          </cell>
          <cell r="AA365">
            <v>0</v>
          </cell>
          <cell r="AB365">
            <v>0</v>
          </cell>
          <cell r="AD365">
            <v>0</v>
          </cell>
          <cell r="AE365">
            <v>0</v>
          </cell>
          <cell r="AG365">
            <v>0</v>
          </cell>
          <cell r="AH365">
            <v>0</v>
          </cell>
          <cell r="AI365">
            <v>0</v>
          </cell>
          <cell r="AJ365">
            <v>0</v>
          </cell>
          <cell r="AK365">
            <v>0</v>
          </cell>
          <cell r="AL365">
            <v>0</v>
          </cell>
        </row>
        <row r="366">
          <cell r="B366" t="str">
            <v>Oct 2015</v>
          </cell>
          <cell r="C366" t="str">
            <v>FK</v>
          </cell>
          <cell r="D366" t="str">
            <v>LGINE599</v>
          </cell>
          <cell r="E366">
            <v>1</v>
          </cell>
          <cell r="F366">
            <v>0</v>
          </cell>
          <cell r="G366">
            <v>0</v>
          </cell>
          <cell r="H366">
            <v>0</v>
          </cell>
          <cell r="I366">
            <v>0</v>
          </cell>
          <cell r="J366">
            <v>7093200</v>
          </cell>
          <cell r="K366">
            <v>0</v>
          </cell>
          <cell r="L366">
            <v>8332</v>
          </cell>
          <cell r="M366">
            <v>0</v>
          </cell>
          <cell r="AA366">
            <v>0</v>
          </cell>
          <cell r="AB366">
            <v>0</v>
          </cell>
          <cell r="AD366">
            <v>371269</v>
          </cell>
          <cell r="AE366">
            <v>371269</v>
          </cell>
          <cell r="AG366">
            <v>-1539</v>
          </cell>
          <cell r="AH366">
            <v>0</v>
          </cell>
          <cell r="AI366">
            <v>67724</v>
          </cell>
          <cell r="AJ366">
            <v>0</v>
          </cell>
          <cell r="AK366">
            <v>0</v>
          </cell>
          <cell r="AL366">
            <v>437454</v>
          </cell>
        </row>
        <row r="367">
          <cell r="B367" t="str">
            <v>Oct 2015</v>
          </cell>
          <cell r="C367" t="str">
            <v>RTS</v>
          </cell>
          <cell r="D367" t="str">
            <v>LGINE643</v>
          </cell>
          <cell r="E367">
            <v>12</v>
          </cell>
          <cell r="F367">
            <v>0</v>
          </cell>
          <cell r="G367">
            <v>0</v>
          </cell>
          <cell r="H367">
            <v>0</v>
          </cell>
          <cell r="I367">
            <v>0</v>
          </cell>
          <cell r="J367">
            <v>68882846</v>
          </cell>
          <cell r="K367">
            <v>163502</v>
          </cell>
          <cell r="L367">
            <v>157323</v>
          </cell>
          <cell r="M367">
            <v>93632</v>
          </cell>
          <cell r="AA367">
            <v>0</v>
          </cell>
          <cell r="AB367">
            <v>0</v>
          </cell>
          <cell r="AD367">
            <v>3843295.8400000003</v>
          </cell>
          <cell r="AE367">
            <v>3843299</v>
          </cell>
          <cell r="AG367">
            <v>-14941</v>
          </cell>
          <cell r="AH367">
            <v>0</v>
          </cell>
          <cell r="AI367">
            <v>657675</v>
          </cell>
          <cell r="AJ367">
            <v>0</v>
          </cell>
          <cell r="AK367">
            <v>0</v>
          </cell>
          <cell r="AL367">
            <v>4486033</v>
          </cell>
        </row>
        <row r="368">
          <cell r="B368" t="str">
            <v>Oct 2015</v>
          </cell>
          <cell r="C368" t="str">
            <v>PSS</v>
          </cell>
          <cell r="D368" t="str">
            <v>LGINE661</v>
          </cell>
          <cell r="E368">
            <v>215</v>
          </cell>
          <cell r="F368">
            <v>0</v>
          </cell>
          <cell r="G368">
            <v>0</v>
          </cell>
          <cell r="H368">
            <v>0</v>
          </cell>
          <cell r="I368">
            <v>0</v>
          </cell>
          <cell r="J368">
            <v>19399423</v>
          </cell>
          <cell r="K368">
            <v>0</v>
          </cell>
          <cell r="L368">
            <v>62733</v>
          </cell>
          <cell r="M368">
            <v>0</v>
          </cell>
          <cell r="AA368">
            <v>0</v>
          </cell>
          <cell r="AB368">
            <v>0</v>
          </cell>
          <cell r="AD368">
            <v>1685855.9</v>
          </cell>
          <cell r="AE368">
            <v>1685859</v>
          </cell>
          <cell r="AG368">
            <v>-4208</v>
          </cell>
          <cell r="AH368">
            <v>45077</v>
          </cell>
          <cell r="AI368">
            <v>185220</v>
          </cell>
          <cell r="AJ368">
            <v>0</v>
          </cell>
          <cell r="AK368">
            <v>0</v>
          </cell>
          <cell r="AL368">
            <v>1911948</v>
          </cell>
        </row>
        <row r="369">
          <cell r="B369" t="str">
            <v>Oct 2015</v>
          </cell>
          <cell r="C369" t="str">
            <v>PSP</v>
          </cell>
          <cell r="D369" t="str">
            <v>LGINE663</v>
          </cell>
          <cell r="E369">
            <v>21</v>
          </cell>
          <cell r="F369">
            <v>0</v>
          </cell>
          <cell r="G369">
            <v>0</v>
          </cell>
          <cell r="H369">
            <v>0</v>
          </cell>
          <cell r="I369">
            <v>0</v>
          </cell>
          <cell r="J369">
            <v>1042841</v>
          </cell>
          <cell r="K369">
            <v>0</v>
          </cell>
          <cell r="L369">
            <v>3889</v>
          </cell>
          <cell r="M369">
            <v>0</v>
          </cell>
          <cell r="AA369">
            <v>0</v>
          </cell>
          <cell r="AB369">
            <v>0</v>
          </cell>
          <cell r="AD369">
            <v>89857.68</v>
          </cell>
          <cell r="AE369">
            <v>89854</v>
          </cell>
          <cell r="AG369">
            <v>-226</v>
          </cell>
          <cell r="AH369">
            <v>2423</v>
          </cell>
          <cell r="AI369">
            <v>9957</v>
          </cell>
          <cell r="AJ369">
            <v>0</v>
          </cell>
          <cell r="AK369">
            <v>0</v>
          </cell>
          <cell r="AL369">
            <v>102008</v>
          </cell>
        </row>
        <row r="370">
          <cell r="B370" t="str">
            <v>Oct 2015</v>
          </cell>
          <cell r="C370" t="str">
            <v>TODS</v>
          </cell>
          <cell r="D370" t="str">
            <v>LGINE691</v>
          </cell>
          <cell r="E370">
            <v>96</v>
          </cell>
          <cell r="F370">
            <v>0</v>
          </cell>
          <cell r="G370">
            <v>0</v>
          </cell>
          <cell r="H370">
            <v>0</v>
          </cell>
          <cell r="I370">
            <v>0</v>
          </cell>
          <cell r="J370">
            <v>20321484</v>
          </cell>
          <cell r="K370">
            <v>52059</v>
          </cell>
          <cell r="L370">
            <v>47898</v>
          </cell>
          <cell r="M370">
            <v>46862</v>
          </cell>
          <cell r="AA370">
            <v>0</v>
          </cell>
          <cell r="AB370">
            <v>0</v>
          </cell>
          <cell r="AD370">
            <v>1540610.01</v>
          </cell>
          <cell r="AE370">
            <v>1540609</v>
          </cell>
          <cell r="AG370">
            <v>-4408</v>
          </cell>
          <cell r="AH370">
            <v>47219</v>
          </cell>
          <cell r="AI370">
            <v>194024</v>
          </cell>
          <cell r="AJ370">
            <v>0</v>
          </cell>
          <cell r="AK370">
            <v>0</v>
          </cell>
          <cell r="AL370">
            <v>1777444</v>
          </cell>
        </row>
        <row r="371">
          <cell r="B371" t="str">
            <v>Oct 2015</v>
          </cell>
          <cell r="C371" t="str">
            <v>ITODP</v>
          </cell>
          <cell r="D371" t="str">
            <v>LGINE693</v>
          </cell>
          <cell r="E371">
            <v>69</v>
          </cell>
          <cell r="F371">
            <v>0</v>
          </cell>
          <cell r="G371">
            <v>0</v>
          </cell>
          <cell r="H371">
            <v>0</v>
          </cell>
          <cell r="I371">
            <v>0</v>
          </cell>
          <cell r="J371">
            <v>131501376</v>
          </cell>
          <cell r="K371">
            <v>332089</v>
          </cell>
          <cell r="L371">
            <v>301491</v>
          </cell>
          <cell r="M371">
            <v>297486</v>
          </cell>
          <cell r="AA371">
            <v>0</v>
          </cell>
          <cell r="AB371">
            <v>0</v>
          </cell>
          <cell r="AD371">
            <v>8398712.8200000003</v>
          </cell>
          <cell r="AE371">
            <v>8398712</v>
          </cell>
          <cell r="AG371">
            <v>-28522</v>
          </cell>
          <cell r="AH371">
            <v>305558</v>
          </cell>
          <cell r="AI371">
            <v>1255539</v>
          </cell>
          <cell r="AJ371">
            <v>0</v>
          </cell>
          <cell r="AK371">
            <v>0</v>
          </cell>
          <cell r="AL371">
            <v>9931287</v>
          </cell>
        </row>
        <row r="372">
          <cell r="B372" t="str">
            <v>Oct 2015</v>
          </cell>
          <cell r="C372" t="str">
            <v>ITODP</v>
          </cell>
          <cell r="D372" t="str">
            <v>LGINE694</v>
          </cell>
          <cell r="E372">
            <v>0</v>
          </cell>
          <cell r="F372">
            <v>0</v>
          </cell>
          <cell r="G372">
            <v>0</v>
          </cell>
          <cell r="H372">
            <v>0</v>
          </cell>
          <cell r="I372">
            <v>0</v>
          </cell>
          <cell r="J372">
            <v>0</v>
          </cell>
          <cell r="K372">
            <v>0</v>
          </cell>
          <cell r="L372">
            <v>0</v>
          </cell>
          <cell r="M372">
            <v>0</v>
          </cell>
          <cell r="AA372">
            <v>0</v>
          </cell>
          <cell r="AB372">
            <v>0</v>
          </cell>
          <cell r="AD372">
            <v>0</v>
          </cell>
          <cell r="AE372">
            <v>0</v>
          </cell>
          <cell r="AG372">
            <v>0</v>
          </cell>
          <cell r="AH372">
            <v>0</v>
          </cell>
          <cell r="AI372">
            <v>0</v>
          </cell>
          <cell r="AJ372">
            <v>0</v>
          </cell>
          <cell r="AK372">
            <v>0</v>
          </cell>
          <cell r="AL372">
            <v>0</v>
          </cell>
        </row>
        <row r="373">
          <cell r="B373" t="str">
            <v>Oct 2015</v>
          </cell>
          <cell r="C373" t="str">
            <v>LE</v>
          </cell>
          <cell r="D373" t="str">
            <v>LGMLE570</v>
          </cell>
          <cell r="E373">
            <v>0</v>
          </cell>
          <cell r="F373">
            <v>0</v>
          </cell>
          <cell r="G373">
            <v>0</v>
          </cell>
          <cell r="H373">
            <v>0</v>
          </cell>
          <cell r="I373">
            <v>0</v>
          </cell>
          <cell r="J373">
            <v>0</v>
          </cell>
          <cell r="K373">
            <v>0</v>
          </cell>
          <cell r="L373">
            <v>0</v>
          </cell>
          <cell r="M373">
            <v>0</v>
          </cell>
          <cell r="AA373">
            <v>0</v>
          </cell>
          <cell r="AB373">
            <v>0</v>
          </cell>
          <cell r="AD373">
            <v>0</v>
          </cell>
          <cell r="AE373">
            <v>0</v>
          </cell>
          <cell r="AG373">
            <v>0</v>
          </cell>
          <cell r="AH373">
            <v>0</v>
          </cell>
          <cell r="AI373">
            <v>0</v>
          </cell>
          <cell r="AJ373">
            <v>0</v>
          </cell>
          <cell r="AK373">
            <v>0</v>
          </cell>
          <cell r="AL373">
            <v>0</v>
          </cell>
        </row>
        <row r="374">
          <cell r="B374" t="str">
            <v>Oct 2015</v>
          </cell>
          <cell r="C374" t="str">
            <v>LE</v>
          </cell>
          <cell r="D374" t="str">
            <v>LGMLE571</v>
          </cell>
          <cell r="E374">
            <v>156</v>
          </cell>
          <cell r="F374">
            <v>0</v>
          </cell>
          <cell r="G374">
            <v>0</v>
          </cell>
          <cell r="H374">
            <v>0</v>
          </cell>
          <cell r="I374">
            <v>0</v>
          </cell>
          <cell r="J374">
            <v>273372</v>
          </cell>
          <cell r="K374">
            <v>0</v>
          </cell>
          <cell r="L374">
            <v>0</v>
          </cell>
          <cell r="M374">
            <v>0</v>
          </cell>
          <cell r="AA374">
            <v>0</v>
          </cell>
          <cell r="AB374">
            <v>0</v>
          </cell>
          <cell r="AD374">
            <v>17662.560000000001</v>
          </cell>
          <cell r="AE374">
            <v>0</v>
          </cell>
          <cell r="AG374">
            <v>0</v>
          </cell>
          <cell r="AH374">
            <v>0</v>
          </cell>
          <cell r="AI374">
            <v>0</v>
          </cell>
          <cell r="AJ374">
            <v>0</v>
          </cell>
          <cell r="AK374">
            <v>0</v>
          </cell>
          <cell r="AL374">
            <v>0</v>
          </cell>
        </row>
        <row r="375">
          <cell r="B375" t="str">
            <v>Oct 2015</v>
          </cell>
          <cell r="C375" t="str">
            <v>LE</v>
          </cell>
          <cell r="D375" t="str">
            <v>LGMLE572</v>
          </cell>
          <cell r="E375">
            <v>0</v>
          </cell>
          <cell r="F375">
            <v>0</v>
          </cell>
          <cell r="G375">
            <v>0</v>
          </cell>
          <cell r="H375">
            <v>0</v>
          </cell>
          <cell r="I375">
            <v>0</v>
          </cell>
          <cell r="J375">
            <v>0</v>
          </cell>
          <cell r="K375">
            <v>0</v>
          </cell>
          <cell r="L375">
            <v>0</v>
          </cell>
          <cell r="M375">
            <v>0</v>
          </cell>
          <cell r="AA375">
            <v>0</v>
          </cell>
          <cell r="AB375">
            <v>0</v>
          </cell>
          <cell r="AD375">
            <v>0</v>
          </cell>
          <cell r="AE375">
            <v>0</v>
          </cell>
          <cell r="AG375">
            <v>0</v>
          </cell>
          <cell r="AH375">
            <v>0</v>
          </cell>
          <cell r="AI375">
            <v>0</v>
          </cell>
          <cell r="AJ375">
            <v>0</v>
          </cell>
          <cell r="AK375">
            <v>0</v>
          </cell>
          <cell r="AL375">
            <v>0</v>
          </cell>
        </row>
        <row r="376">
          <cell r="B376" t="str">
            <v>Oct 2015</v>
          </cell>
          <cell r="C376" t="str">
            <v>TE</v>
          </cell>
          <cell r="D376" t="str">
            <v>LGMLE573</v>
          </cell>
          <cell r="E376">
            <v>905</v>
          </cell>
          <cell r="F376">
            <v>0</v>
          </cell>
          <cell r="G376">
            <v>0</v>
          </cell>
          <cell r="H376">
            <v>0</v>
          </cell>
          <cell r="I376">
            <v>0</v>
          </cell>
          <cell r="J376">
            <v>250217</v>
          </cell>
          <cell r="K376">
            <v>0</v>
          </cell>
          <cell r="L376">
            <v>0</v>
          </cell>
          <cell r="M376">
            <v>0</v>
          </cell>
          <cell r="AA376">
            <v>0</v>
          </cell>
          <cell r="AB376">
            <v>0</v>
          </cell>
          <cell r="AD376">
            <v>22102.87</v>
          </cell>
          <cell r="AE376">
            <v>0</v>
          </cell>
          <cell r="AG376">
            <v>0</v>
          </cell>
          <cell r="AH376">
            <v>0</v>
          </cell>
          <cell r="AI376">
            <v>0</v>
          </cell>
          <cell r="AJ376">
            <v>0</v>
          </cell>
          <cell r="AK376">
            <v>0</v>
          </cell>
          <cell r="AL376">
            <v>0</v>
          </cell>
        </row>
        <row r="377">
          <cell r="B377" t="str">
            <v>Oct 2015</v>
          </cell>
          <cell r="C377" t="str">
            <v>TE</v>
          </cell>
          <cell r="D377" t="str">
            <v>LGMLE574</v>
          </cell>
          <cell r="E377">
            <v>0</v>
          </cell>
          <cell r="F377">
            <v>0</v>
          </cell>
          <cell r="G377">
            <v>0</v>
          </cell>
          <cell r="H377">
            <v>0</v>
          </cell>
          <cell r="I377">
            <v>0</v>
          </cell>
          <cell r="J377">
            <v>0</v>
          </cell>
          <cell r="K377">
            <v>0</v>
          </cell>
          <cell r="L377">
            <v>0</v>
          </cell>
          <cell r="M377">
            <v>0</v>
          </cell>
          <cell r="AA377">
            <v>0</v>
          </cell>
          <cell r="AB377">
            <v>0</v>
          </cell>
          <cell r="AD377">
            <v>0</v>
          </cell>
          <cell r="AE377">
            <v>0</v>
          </cell>
          <cell r="AG377">
            <v>0</v>
          </cell>
          <cell r="AH377">
            <v>0</v>
          </cell>
          <cell r="AI377">
            <v>0</v>
          </cell>
          <cell r="AJ377">
            <v>0</v>
          </cell>
          <cell r="AK377">
            <v>0</v>
          </cell>
          <cell r="AL377">
            <v>0</v>
          </cell>
        </row>
        <row r="378">
          <cell r="B378" t="str">
            <v>Oct 2015</v>
          </cell>
          <cell r="C378" t="str">
            <v>RS</v>
          </cell>
          <cell r="D378" t="str">
            <v>LGRSE411</v>
          </cell>
          <cell r="E378">
            <v>0</v>
          </cell>
          <cell r="F378">
            <v>0</v>
          </cell>
          <cell r="G378">
            <v>0</v>
          </cell>
          <cell r="H378">
            <v>0</v>
          </cell>
          <cell r="I378">
            <v>0</v>
          </cell>
          <cell r="J378">
            <v>0</v>
          </cell>
          <cell r="K378">
            <v>0</v>
          </cell>
          <cell r="L378">
            <v>0</v>
          </cell>
          <cell r="M378">
            <v>0</v>
          </cell>
          <cell r="AA378">
            <v>0</v>
          </cell>
          <cell r="AB378">
            <v>0</v>
          </cell>
          <cell r="AD378">
            <v>0</v>
          </cell>
          <cell r="AE378">
            <v>0</v>
          </cell>
          <cell r="AG378">
            <v>0</v>
          </cell>
          <cell r="AH378">
            <v>0</v>
          </cell>
          <cell r="AI378">
            <v>0</v>
          </cell>
          <cell r="AJ378">
            <v>0</v>
          </cell>
          <cell r="AK378">
            <v>0</v>
          </cell>
          <cell r="AL378">
            <v>0</v>
          </cell>
        </row>
        <row r="379">
          <cell r="B379" t="str">
            <v>Oct 2015</v>
          </cell>
          <cell r="C379" t="str">
            <v>RS</v>
          </cell>
          <cell r="D379" t="str">
            <v>LGRSE511</v>
          </cell>
          <cell r="E379">
            <v>360991</v>
          </cell>
          <cell r="F379">
            <v>0</v>
          </cell>
          <cell r="G379">
            <v>0</v>
          </cell>
          <cell r="H379">
            <v>0</v>
          </cell>
          <cell r="I379">
            <v>0</v>
          </cell>
          <cell r="J379">
            <v>275093953</v>
          </cell>
          <cell r="K379">
            <v>0</v>
          </cell>
          <cell r="L379">
            <v>0</v>
          </cell>
          <cell r="M379">
            <v>0</v>
          </cell>
          <cell r="AA379">
            <v>0</v>
          </cell>
          <cell r="AB379">
            <v>0</v>
          </cell>
          <cell r="AD379">
            <v>26097240.890000001</v>
          </cell>
          <cell r="AE379">
            <v>26099560</v>
          </cell>
          <cell r="AG379">
            <v>-59673</v>
          </cell>
          <cell r="AH379">
            <v>639271</v>
          </cell>
          <cell r="AI379">
            <v>2626771</v>
          </cell>
          <cell r="AJ379">
            <v>0</v>
          </cell>
          <cell r="AK379">
            <v>0</v>
          </cell>
          <cell r="AL379">
            <v>29305929</v>
          </cell>
        </row>
        <row r="380">
          <cell r="B380" t="str">
            <v>Oct 2015</v>
          </cell>
          <cell r="C380" t="str">
            <v>RS</v>
          </cell>
          <cell r="D380" t="str">
            <v>LGRSE519</v>
          </cell>
          <cell r="E380">
            <v>0</v>
          </cell>
          <cell r="F380">
            <v>0</v>
          </cell>
          <cell r="G380">
            <v>0</v>
          </cell>
          <cell r="H380">
            <v>0</v>
          </cell>
          <cell r="I380">
            <v>0</v>
          </cell>
          <cell r="J380">
            <v>0</v>
          </cell>
          <cell r="K380">
            <v>0</v>
          </cell>
          <cell r="L380">
            <v>0</v>
          </cell>
          <cell r="M380">
            <v>0</v>
          </cell>
          <cell r="AA380">
            <v>0</v>
          </cell>
          <cell r="AB380">
            <v>0</v>
          </cell>
          <cell r="AD380">
            <v>0</v>
          </cell>
          <cell r="AE380">
            <v>0</v>
          </cell>
          <cell r="AG380">
            <v>0</v>
          </cell>
          <cell r="AH380">
            <v>0</v>
          </cell>
          <cell r="AI380">
            <v>0</v>
          </cell>
          <cell r="AJ380">
            <v>0</v>
          </cell>
          <cell r="AK380">
            <v>0</v>
          </cell>
          <cell r="AL380">
            <v>0</v>
          </cell>
        </row>
        <row r="381">
          <cell r="B381" t="str">
            <v>Oct 2015</v>
          </cell>
          <cell r="C381" t="str">
            <v>RS</v>
          </cell>
          <cell r="D381" t="str">
            <v>LGRSE540</v>
          </cell>
          <cell r="E381">
            <v>0</v>
          </cell>
          <cell r="F381">
            <v>0</v>
          </cell>
          <cell r="G381">
            <v>0</v>
          </cell>
          <cell r="H381">
            <v>0</v>
          </cell>
          <cell r="I381">
            <v>0</v>
          </cell>
          <cell r="J381">
            <v>0</v>
          </cell>
          <cell r="K381">
            <v>0</v>
          </cell>
          <cell r="L381">
            <v>0</v>
          </cell>
          <cell r="M381">
            <v>0</v>
          </cell>
          <cell r="AA381">
            <v>0</v>
          </cell>
          <cell r="AB381">
            <v>0</v>
          </cell>
          <cell r="AD381">
            <v>0</v>
          </cell>
          <cell r="AE381">
            <v>0</v>
          </cell>
          <cell r="AG381">
            <v>0</v>
          </cell>
          <cell r="AH381">
            <v>0</v>
          </cell>
          <cell r="AI381">
            <v>0</v>
          </cell>
          <cell r="AJ381">
            <v>0</v>
          </cell>
          <cell r="AK381">
            <v>0</v>
          </cell>
          <cell r="AL381">
            <v>0</v>
          </cell>
        </row>
        <row r="382">
          <cell r="B382" t="str">
            <v>Oct 2015</v>
          </cell>
          <cell r="C382" t="str">
            <v>LEV</v>
          </cell>
          <cell r="D382" t="str">
            <v>LGRSE543</v>
          </cell>
          <cell r="E382">
            <v>20</v>
          </cell>
          <cell r="F382">
            <v>0</v>
          </cell>
          <cell r="G382">
            <v>14140</v>
          </cell>
          <cell r="H382">
            <v>7399</v>
          </cell>
          <cell r="I382">
            <v>4513</v>
          </cell>
          <cell r="J382">
            <v>26052</v>
          </cell>
          <cell r="K382">
            <v>0</v>
          </cell>
          <cell r="L382">
            <v>0</v>
          </cell>
          <cell r="M382">
            <v>0</v>
          </cell>
          <cell r="AA382">
            <v>0</v>
          </cell>
          <cell r="AB382">
            <v>0</v>
          </cell>
          <cell r="AD382">
            <v>2274.5700000000002</v>
          </cell>
          <cell r="AE382">
            <v>0</v>
          </cell>
          <cell r="AG382">
            <v>0</v>
          </cell>
          <cell r="AH382">
            <v>0</v>
          </cell>
          <cell r="AI382">
            <v>0</v>
          </cell>
          <cell r="AJ382">
            <v>0</v>
          </cell>
          <cell r="AK382">
            <v>0</v>
          </cell>
          <cell r="AL382">
            <v>0</v>
          </cell>
        </row>
        <row r="383">
          <cell r="B383" t="str">
            <v>Oct 2015</v>
          </cell>
          <cell r="C383" t="str">
            <v>LEV</v>
          </cell>
          <cell r="D383" t="str">
            <v>LGRSE547</v>
          </cell>
          <cell r="E383">
            <v>0</v>
          </cell>
          <cell r="F383">
            <v>0</v>
          </cell>
          <cell r="G383">
            <v>0</v>
          </cell>
          <cell r="H383">
            <v>0</v>
          </cell>
          <cell r="I383">
            <v>0</v>
          </cell>
          <cell r="J383">
            <v>0</v>
          </cell>
          <cell r="K383">
            <v>0</v>
          </cell>
          <cell r="L383">
            <v>0</v>
          </cell>
          <cell r="M383">
            <v>0</v>
          </cell>
          <cell r="AA383">
            <v>0</v>
          </cell>
          <cell r="AB383">
            <v>0</v>
          </cell>
          <cell r="AD383">
            <v>0</v>
          </cell>
          <cell r="AE383">
            <v>0</v>
          </cell>
          <cell r="AG383">
            <v>0</v>
          </cell>
          <cell r="AH383">
            <v>0</v>
          </cell>
          <cell r="AI383">
            <v>0</v>
          </cell>
          <cell r="AJ383">
            <v>0</v>
          </cell>
          <cell r="AK383">
            <v>0</v>
          </cell>
          <cell r="AL383">
            <v>0</v>
          </cell>
        </row>
        <row r="384">
          <cell r="B384" t="str">
            <v>Nov 2015</v>
          </cell>
          <cell r="C384" t="str">
            <v>FLSP</v>
          </cell>
          <cell r="D384" t="str">
            <v>LGINE682</v>
          </cell>
          <cell r="E384">
            <v>0</v>
          </cell>
          <cell r="F384">
            <v>0</v>
          </cell>
          <cell r="G384">
            <v>0</v>
          </cell>
          <cell r="H384">
            <v>0</v>
          </cell>
          <cell r="I384">
            <v>0</v>
          </cell>
          <cell r="J384">
            <v>0</v>
          </cell>
          <cell r="K384">
            <v>0</v>
          </cell>
          <cell r="L384">
            <v>0</v>
          </cell>
          <cell r="M384">
            <v>0</v>
          </cell>
          <cell r="AA384">
            <v>0</v>
          </cell>
          <cell r="AB384">
            <v>0</v>
          </cell>
          <cell r="AD384">
            <v>0</v>
          </cell>
          <cell r="AE384">
            <v>0</v>
          </cell>
          <cell r="AG384">
            <v>0</v>
          </cell>
          <cell r="AH384">
            <v>0</v>
          </cell>
          <cell r="AI384">
            <v>0</v>
          </cell>
          <cell r="AJ384">
            <v>0</v>
          </cell>
          <cell r="AK384">
            <v>0</v>
          </cell>
          <cell r="AL384">
            <v>0</v>
          </cell>
        </row>
        <row r="385">
          <cell r="B385" t="str">
            <v>Nov 2015</v>
          </cell>
          <cell r="C385" t="str">
            <v>FLST</v>
          </cell>
          <cell r="D385" t="str">
            <v>LGINE683</v>
          </cell>
          <cell r="E385">
            <v>0</v>
          </cell>
          <cell r="F385">
            <v>0</v>
          </cell>
          <cell r="G385">
            <v>0</v>
          </cell>
          <cell r="H385">
            <v>0</v>
          </cell>
          <cell r="I385">
            <v>0</v>
          </cell>
          <cell r="J385">
            <v>0</v>
          </cell>
          <cell r="K385">
            <v>0</v>
          </cell>
          <cell r="L385">
            <v>0</v>
          </cell>
          <cell r="M385">
            <v>0</v>
          </cell>
          <cell r="AA385">
            <v>0</v>
          </cell>
          <cell r="AB385">
            <v>0</v>
          </cell>
          <cell r="AD385">
            <v>0</v>
          </cell>
          <cell r="AE385">
            <v>0</v>
          </cell>
          <cell r="AG385">
            <v>0</v>
          </cell>
          <cell r="AH385">
            <v>0</v>
          </cell>
          <cell r="AI385">
            <v>0</v>
          </cell>
          <cell r="AJ385">
            <v>0</v>
          </cell>
          <cell r="AK385">
            <v>0</v>
          </cell>
          <cell r="AL385">
            <v>0</v>
          </cell>
        </row>
        <row r="386">
          <cell r="B386" t="str">
            <v>Nov 2015</v>
          </cell>
          <cell r="C386" t="str">
            <v>GS</v>
          </cell>
          <cell r="D386" t="str">
            <v>LGCME451</v>
          </cell>
          <cell r="E386">
            <v>0</v>
          </cell>
          <cell r="F386">
            <v>0</v>
          </cell>
          <cell r="G386">
            <v>0</v>
          </cell>
          <cell r="H386">
            <v>0</v>
          </cell>
          <cell r="I386">
            <v>0</v>
          </cell>
          <cell r="J386">
            <v>0</v>
          </cell>
          <cell r="K386">
            <v>0</v>
          </cell>
          <cell r="L386">
            <v>0</v>
          </cell>
          <cell r="M386">
            <v>0</v>
          </cell>
          <cell r="AA386">
            <v>0</v>
          </cell>
          <cell r="AB386">
            <v>0</v>
          </cell>
          <cell r="AD386">
            <v>0</v>
          </cell>
          <cell r="AE386">
            <v>0</v>
          </cell>
          <cell r="AG386">
            <v>0</v>
          </cell>
          <cell r="AH386">
            <v>0</v>
          </cell>
          <cell r="AI386">
            <v>0</v>
          </cell>
          <cell r="AJ386">
            <v>0</v>
          </cell>
          <cell r="AK386">
            <v>0</v>
          </cell>
          <cell r="AL386">
            <v>0</v>
          </cell>
        </row>
        <row r="387">
          <cell r="B387" t="str">
            <v>Nov 2015</v>
          </cell>
          <cell r="C387" t="str">
            <v>GS</v>
          </cell>
          <cell r="D387" t="str">
            <v>LGCME550</v>
          </cell>
          <cell r="E387">
            <v>0</v>
          </cell>
          <cell r="F387">
            <v>0</v>
          </cell>
          <cell r="G387">
            <v>0</v>
          </cell>
          <cell r="H387">
            <v>0</v>
          </cell>
          <cell r="I387">
            <v>0</v>
          </cell>
          <cell r="J387">
            <v>0</v>
          </cell>
          <cell r="K387">
            <v>0</v>
          </cell>
          <cell r="L387">
            <v>0</v>
          </cell>
          <cell r="M387">
            <v>0</v>
          </cell>
          <cell r="AA387">
            <v>0</v>
          </cell>
          <cell r="AB387">
            <v>0</v>
          </cell>
          <cell r="AD387">
            <v>0</v>
          </cell>
          <cell r="AE387">
            <v>0</v>
          </cell>
          <cell r="AG387">
            <v>0</v>
          </cell>
          <cell r="AH387">
            <v>0</v>
          </cell>
          <cell r="AI387">
            <v>0</v>
          </cell>
          <cell r="AJ387">
            <v>0</v>
          </cell>
          <cell r="AK387">
            <v>0</v>
          </cell>
          <cell r="AL387">
            <v>0</v>
          </cell>
        </row>
        <row r="388">
          <cell r="B388" t="str">
            <v>Nov 2015</v>
          </cell>
          <cell r="C388" t="str">
            <v>GS</v>
          </cell>
          <cell r="D388" t="str">
            <v>LGCME551</v>
          </cell>
          <cell r="E388">
            <v>28199</v>
          </cell>
          <cell r="F388">
            <v>0</v>
          </cell>
          <cell r="G388">
            <v>0</v>
          </cell>
          <cell r="H388">
            <v>0</v>
          </cell>
          <cell r="I388">
            <v>0</v>
          </cell>
          <cell r="J388">
            <v>29115339</v>
          </cell>
          <cell r="K388">
            <v>0</v>
          </cell>
          <cell r="L388">
            <v>0</v>
          </cell>
          <cell r="M388">
            <v>0</v>
          </cell>
          <cell r="AA388">
            <v>0</v>
          </cell>
          <cell r="AB388">
            <v>0</v>
          </cell>
          <cell r="AD388">
            <v>3223375.06</v>
          </cell>
          <cell r="AE388">
            <v>3223369</v>
          </cell>
          <cell r="AG388">
            <v>-6477</v>
          </cell>
          <cell r="AH388">
            <v>69916</v>
          </cell>
          <cell r="AI388">
            <v>300180</v>
          </cell>
          <cell r="AJ388">
            <v>0</v>
          </cell>
          <cell r="AK388">
            <v>0</v>
          </cell>
          <cell r="AL388">
            <v>3586988</v>
          </cell>
        </row>
        <row r="389">
          <cell r="B389" t="str">
            <v>Nov 2015</v>
          </cell>
          <cell r="C389" t="str">
            <v>GS</v>
          </cell>
          <cell r="D389" t="str">
            <v>LGCME551UM</v>
          </cell>
          <cell r="E389">
            <v>0</v>
          </cell>
          <cell r="F389">
            <v>0</v>
          </cell>
          <cell r="G389">
            <v>0</v>
          </cell>
          <cell r="H389">
            <v>0</v>
          </cell>
          <cell r="I389">
            <v>0</v>
          </cell>
          <cell r="J389">
            <v>0</v>
          </cell>
          <cell r="K389">
            <v>0</v>
          </cell>
          <cell r="L389">
            <v>0</v>
          </cell>
          <cell r="M389">
            <v>0</v>
          </cell>
          <cell r="AA389">
            <v>0</v>
          </cell>
          <cell r="AB389">
            <v>0</v>
          </cell>
          <cell r="AD389">
            <v>0</v>
          </cell>
          <cell r="AE389">
            <v>0</v>
          </cell>
          <cell r="AG389">
            <v>0</v>
          </cell>
          <cell r="AH389">
            <v>0</v>
          </cell>
          <cell r="AI389">
            <v>0</v>
          </cell>
          <cell r="AJ389">
            <v>0</v>
          </cell>
          <cell r="AK389">
            <v>0</v>
          </cell>
          <cell r="AL389">
            <v>0</v>
          </cell>
        </row>
        <row r="390">
          <cell r="B390" t="str">
            <v>Nov 2015</v>
          </cell>
          <cell r="C390" t="str">
            <v>GS</v>
          </cell>
          <cell r="D390" t="str">
            <v>LGCME552</v>
          </cell>
          <cell r="E390">
            <v>0</v>
          </cell>
          <cell r="F390">
            <v>0</v>
          </cell>
          <cell r="G390">
            <v>0</v>
          </cell>
          <cell r="H390">
            <v>0</v>
          </cell>
          <cell r="I390">
            <v>0</v>
          </cell>
          <cell r="J390">
            <v>0</v>
          </cell>
          <cell r="K390">
            <v>0</v>
          </cell>
          <cell r="L390">
            <v>0</v>
          </cell>
          <cell r="M390">
            <v>0</v>
          </cell>
          <cell r="AA390">
            <v>0</v>
          </cell>
          <cell r="AB390">
            <v>0</v>
          </cell>
          <cell r="AD390">
            <v>0</v>
          </cell>
          <cell r="AE390">
            <v>0</v>
          </cell>
          <cell r="AG390">
            <v>0</v>
          </cell>
          <cell r="AH390">
            <v>0</v>
          </cell>
          <cell r="AI390">
            <v>0</v>
          </cell>
          <cell r="AJ390">
            <v>0</v>
          </cell>
          <cell r="AK390">
            <v>0</v>
          </cell>
          <cell r="AL390">
            <v>0</v>
          </cell>
        </row>
        <row r="391">
          <cell r="B391" t="str">
            <v>Nov 2015</v>
          </cell>
          <cell r="C391" t="str">
            <v>GS</v>
          </cell>
          <cell r="D391" t="str">
            <v>LGCME557</v>
          </cell>
          <cell r="E391">
            <v>0</v>
          </cell>
          <cell r="F391">
            <v>0</v>
          </cell>
          <cell r="G391">
            <v>0</v>
          </cell>
          <cell r="H391">
            <v>0</v>
          </cell>
          <cell r="I391">
            <v>0</v>
          </cell>
          <cell r="J391">
            <v>0</v>
          </cell>
          <cell r="K391">
            <v>0</v>
          </cell>
          <cell r="L391">
            <v>0</v>
          </cell>
          <cell r="M391">
            <v>0</v>
          </cell>
          <cell r="AA391">
            <v>0</v>
          </cell>
          <cell r="AB391">
            <v>0</v>
          </cell>
          <cell r="AD391">
            <v>0</v>
          </cell>
          <cell r="AE391">
            <v>0</v>
          </cell>
          <cell r="AG391">
            <v>0</v>
          </cell>
          <cell r="AH391">
            <v>0</v>
          </cell>
          <cell r="AI391">
            <v>0</v>
          </cell>
          <cell r="AJ391">
            <v>0</v>
          </cell>
          <cell r="AK391">
            <v>0</v>
          </cell>
          <cell r="AL391">
            <v>0</v>
          </cell>
        </row>
        <row r="392">
          <cell r="B392" t="str">
            <v>Nov 2015</v>
          </cell>
          <cell r="C392" t="str">
            <v>PSS</v>
          </cell>
          <cell r="D392" t="str">
            <v>LGCME561</v>
          </cell>
          <cell r="E392">
            <v>2579</v>
          </cell>
          <cell r="F392">
            <v>0</v>
          </cell>
          <cell r="G392">
            <v>0</v>
          </cell>
          <cell r="H392">
            <v>0</v>
          </cell>
          <cell r="I392">
            <v>0</v>
          </cell>
          <cell r="J392">
            <v>129888119</v>
          </cell>
          <cell r="K392">
            <v>0</v>
          </cell>
          <cell r="L392">
            <v>317514</v>
          </cell>
          <cell r="M392">
            <v>0</v>
          </cell>
          <cell r="AA392">
            <v>0</v>
          </cell>
          <cell r="AB392">
            <v>0</v>
          </cell>
          <cell r="AD392">
            <v>9953938.7699999996</v>
          </cell>
          <cell r="AE392">
            <v>9953938</v>
          </cell>
          <cell r="AG392">
            <v>-28896</v>
          </cell>
          <cell r="AH392">
            <v>311904</v>
          </cell>
          <cell r="AI392">
            <v>1339151</v>
          </cell>
          <cell r="AJ392">
            <v>0</v>
          </cell>
          <cell r="AK392">
            <v>0</v>
          </cell>
          <cell r="AL392">
            <v>11576097</v>
          </cell>
        </row>
        <row r="393">
          <cell r="B393" t="str">
            <v>Nov 2015</v>
          </cell>
          <cell r="C393" t="str">
            <v>PSP</v>
          </cell>
          <cell r="D393" t="str">
            <v>LGCME563</v>
          </cell>
          <cell r="E393">
            <v>52</v>
          </cell>
          <cell r="F393">
            <v>0</v>
          </cell>
          <cell r="G393">
            <v>0</v>
          </cell>
          <cell r="H393">
            <v>0</v>
          </cell>
          <cell r="I393">
            <v>0</v>
          </cell>
          <cell r="J393">
            <v>11303433</v>
          </cell>
          <cell r="K393">
            <v>0</v>
          </cell>
          <cell r="L393">
            <v>26967</v>
          </cell>
          <cell r="M393">
            <v>0</v>
          </cell>
          <cell r="AA393">
            <v>0</v>
          </cell>
          <cell r="AB393">
            <v>0</v>
          </cell>
          <cell r="AD393">
            <v>767048</v>
          </cell>
          <cell r="AE393">
            <v>767051</v>
          </cell>
          <cell r="AG393">
            <v>-2515</v>
          </cell>
          <cell r="AH393">
            <v>27143</v>
          </cell>
          <cell r="AI393">
            <v>116539</v>
          </cell>
          <cell r="AJ393">
            <v>0</v>
          </cell>
          <cell r="AK393">
            <v>0</v>
          </cell>
          <cell r="AL393">
            <v>908218</v>
          </cell>
        </row>
        <row r="394">
          <cell r="B394" t="str">
            <v>Nov 2015</v>
          </cell>
          <cell r="C394" t="str">
            <v>PSS</v>
          </cell>
          <cell r="D394" t="str">
            <v>LGCME567</v>
          </cell>
          <cell r="E394">
            <v>0</v>
          </cell>
          <cell r="F394">
            <v>0</v>
          </cell>
          <cell r="G394">
            <v>0</v>
          </cell>
          <cell r="H394">
            <v>0</v>
          </cell>
          <cell r="I394">
            <v>0</v>
          </cell>
          <cell r="J394">
            <v>0</v>
          </cell>
          <cell r="K394">
            <v>0</v>
          </cell>
          <cell r="L394">
            <v>0</v>
          </cell>
          <cell r="M394">
            <v>0</v>
          </cell>
          <cell r="AA394">
            <v>0</v>
          </cell>
          <cell r="AB394">
            <v>0</v>
          </cell>
          <cell r="AD394">
            <v>0</v>
          </cell>
          <cell r="AE394">
            <v>0</v>
          </cell>
          <cell r="AG394">
            <v>0</v>
          </cell>
          <cell r="AH394">
            <v>0</v>
          </cell>
          <cell r="AI394">
            <v>0</v>
          </cell>
          <cell r="AJ394">
            <v>0</v>
          </cell>
          <cell r="AK394">
            <v>0</v>
          </cell>
          <cell r="AL394">
            <v>0</v>
          </cell>
        </row>
        <row r="395">
          <cell r="B395" t="str">
            <v>Nov 2015</v>
          </cell>
          <cell r="C395" t="str">
            <v>TODS</v>
          </cell>
          <cell r="D395" t="str">
            <v>LGCME591</v>
          </cell>
          <cell r="E395">
            <v>220</v>
          </cell>
          <cell r="F395">
            <v>0</v>
          </cell>
          <cell r="G395">
            <v>0</v>
          </cell>
          <cell r="H395">
            <v>0</v>
          </cell>
          <cell r="I395">
            <v>0</v>
          </cell>
          <cell r="J395">
            <v>60713564</v>
          </cell>
          <cell r="K395">
            <v>137838</v>
          </cell>
          <cell r="L395">
            <v>130077</v>
          </cell>
          <cell r="M395">
            <v>125528</v>
          </cell>
          <cell r="AA395">
            <v>0</v>
          </cell>
          <cell r="AB395">
            <v>0</v>
          </cell>
          <cell r="AD395">
            <v>4371446.55</v>
          </cell>
          <cell r="AE395">
            <v>4371451</v>
          </cell>
          <cell r="AG395">
            <v>-13507</v>
          </cell>
          <cell r="AH395">
            <v>145793</v>
          </cell>
          <cell r="AI395">
            <v>625959</v>
          </cell>
          <cell r="AJ395">
            <v>0</v>
          </cell>
          <cell r="AK395">
            <v>0</v>
          </cell>
          <cell r="AL395">
            <v>5129696</v>
          </cell>
        </row>
        <row r="396">
          <cell r="B396" t="str">
            <v>Nov 2015</v>
          </cell>
          <cell r="C396" t="str">
            <v>CTODP</v>
          </cell>
          <cell r="D396" t="str">
            <v>LGCME593</v>
          </cell>
          <cell r="E396">
            <v>39</v>
          </cell>
          <cell r="F396">
            <v>0</v>
          </cell>
          <cell r="G396">
            <v>0</v>
          </cell>
          <cell r="H396">
            <v>0</v>
          </cell>
          <cell r="I396">
            <v>0</v>
          </cell>
          <cell r="J396">
            <v>28320345</v>
          </cell>
          <cell r="K396">
            <v>70146</v>
          </cell>
          <cell r="L396">
            <v>65072</v>
          </cell>
          <cell r="M396">
            <v>63316</v>
          </cell>
          <cell r="AA396">
            <v>0</v>
          </cell>
          <cell r="AB396">
            <v>0</v>
          </cell>
          <cell r="AD396">
            <v>2007765.86</v>
          </cell>
          <cell r="AE396">
            <v>2007762</v>
          </cell>
          <cell r="AG396">
            <v>-6300</v>
          </cell>
          <cell r="AH396">
            <v>68006</v>
          </cell>
          <cell r="AI396">
            <v>291984</v>
          </cell>
          <cell r="AJ396">
            <v>0</v>
          </cell>
          <cell r="AK396">
            <v>0</v>
          </cell>
          <cell r="AL396">
            <v>2361452</v>
          </cell>
        </row>
        <row r="397">
          <cell r="B397" t="str">
            <v>Nov 2015</v>
          </cell>
          <cell r="C397" t="str">
            <v>GS3</v>
          </cell>
          <cell r="D397" t="str">
            <v>LGCME650</v>
          </cell>
          <cell r="E397">
            <v>0</v>
          </cell>
          <cell r="F397">
            <v>0</v>
          </cell>
          <cell r="G397">
            <v>0</v>
          </cell>
          <cell r="H397">
            <v>0</v>
          </cell>
          <cell r="I397">
            <v>0</v>
          </cell>
          <cell r="J397">
            <v>0</v>
          </cell>
          <cell r="K397">
            <v>0</v>
          </cell>
          <cell r="L397">
            <v>0</v>
          </cell>
          <cell r="M397">
            <v>0</v>
          </cell>
          <cell r="AA397">
            <v>0</v>
          </cell>
          <cell r="AB397">
            <v>0</v>
          </cell>
          <cell r="AD397">
            <v>0</v>
          </cell>
          <cell r="AE397">
            <v>0</v>
          </cell>
          <cell r="AG397">
            <v>0</v>
          </cell>
          <cell r="AH397">
            <v>0</v>
          </cell>
          <cell r="AI397">
            <v>0</v>
          </cell>
          <cell r="AJ397">
            <v>0</v>
          </cell>
          <cell r="AK397">
            <v>0</v>
          </cell>
          <cell r="AL397">
            <v>0</v>
          </cell>
        </row>
        <row r="398">
          <cell r="B398" t="str">
            <v>Nov 2015</v>
          </cell>
          <cell r="C398" t="str">
            <v>GS3</v>
          </cell>
          <cell r="D398" t="str">
            <v>LGCME651</v>
          </cell>
          <cell r="E398">
            <v>16373</v>
          </cell>
          <cell r="F398">
            <v>0</v>
          </cell>
          <cell r="G398">
            <v>0</v>
          </cell>
          <cell r="H398">
            <v>0</v>
          </cell>
          <cell r="I398">
            <v>0</v>
          </cell>
          <cell r="J398">
            <v>74220820</v>
          </cell>
          <cell r="K398">
            <v>211286</v>
          </cell>
          <cell r="L398">
            <v>0</v>
          </cell>
          <cell r="M398">
            <v>0</v>
          </cell>
          <cell r="AA398">
            <v>0</v>
          </cell>
          <cell r="AB398">
            <v>0</v>
          </cell>
          <cell r="AD398">
            <v>7352384.7000000002</v>
          </cell>
          <cell r="AE398">
            <v>7352394</v>
          </cell>
          <cell r="AG398">
            <v>-16512</v>
          </cell>
          <cell r="AH398">
            <v>178229</v>
          </cell>
          <cell r="AI398">
            <v>765219</v>
          </cell>
          <cell r="AJ398">
            <v>0</v>
          </cell>
          <cell r="AK398">
            <v>0</v>
          </cell>
          <cell r="AL398">
            <v>8279330</v>
          </cell>
        </row>
        <row r="399">
          <cell r="B399" t="str">
            <v>Nov 2015</v>
          </cell>
          <cell r="C399" t="str">
            <v>GS3</v>
          </cell>
          <cell r="D399" t="str">
            <v>LGCME652</v>
          </cell>
          <cell r="E399">
            <v>0</v>
          </cell>
          <cell r="F399">
            <v>0</v>
          </cell>
          <cell r="G399">
            <v>0</v>
          </cell>
          <cell r="H399">
            <v>0</v>
          </cell>
          <cell r="I399">
            <v>0</v>
          </cell>
          <cell r="J399">
            <v>0</v>
          </cell>
          <cell r="K399">
            <v>0</v>
          </cell>
          <cell r="L399">
            <v>0</v>
          </cell>
          <cell r="M399">
            <v>0</v>
          </cell>
          <cell r="AA399">
            <v>0</v>
          </cell>
          <cell r="AB399">
            <v>0</v>
          </cell>
          <cell r="AD399">
            <v>0</v>
          </cell>
          <cell r="AE399">
            <v>0</v>
          </cell>
          <cell r="AG399">
            <v>0</v>
          </cell>
          <cell r="AH399">
            <v>0</v>
          </cell>
          <cell r="AI399">
            <v>0</v>
          </cell>
          <cell r="AJ399">
            <v>0</v>
          </cell>
          <cell r="AK399">
            <v>0</v>
          </cell>
          <cell r="AL399">
            <v>0</v>
          </cell>
        </row>
        <row r="400">
          <cell r="B400" t="str">
            <v>Nov 2015</v>
          </cell>
          <cell r="C400" t="str">
            <v>GS3</v>
          </cell>
          <cell r="D400" t="str">
            <v>LGCME657</v>
          </cell>
          <cell r="E400">
            <v>0</v>
          </cell>
          <cell r="F400">
            <v>0</v>
          </cell>
          <cell r="G400">
            <v>0</v>
          </cell>
          <cell r="H400">
            <v>0</v>
          </cell>
          <cell r="I400">
            <v>0</v>
          </cell>
          <cell r="J400">
            <v>0</v>
          </cell>
          <cell r="K400">
            <v>0</v>
          </cell>
          <cell r="L400">
            <v>0</v>
          </cell>
          <cell r="M400">
            <v>0</v>
          </cell>
          <cell r="AA400">
            <v>0</v>
          </cell>
          <cell r="AB400">
            <v>0</v>
          </cell>
          <cell r="AD400">
            <v>0</v>
          </cell>
          <cell r="AE400">
            <v>0</v>
          </cell>
          <cell r="AG400">
            <v>0</v>
          </cell>
          <cell r="AH400">
            <v>0</v>
          </cell>
          <cell r="AI400">
            <v>0</v>
          </cell>
          <cell r="AJ400">
            <v>0</v>
          </cell>
          <cell r="AK400">
            <v>0</v>
          </cell>
          <cell r="AL400">
            <v>0</v>
          </cell>
        </row>
        <row r="401">
          <cell r="B401" t="str">
            <v>Nov 2015</v>
          </cell>
          <cell r="C401" t="str">
            <v>LWC</v>
          </cell>
          <cell r="D401" t="str">
            <v>LGCME671</v>
          </cell>
          <cell r="E401">
            <v>2</v>
          </cell>
          <cell r="F401">
            <v>0</v>
          </cell>
          <cell r="G401">
            <v>0</v>
          </cell>
          <cell r="H401">
            <v>0</v>
          </cell>
          <cell r="I401">
            <v>0</v>
          </cell>
          <cell r="J401">
            <v>4366800</v>
          </cell>
          <cell r="K401">
            <v>0</v>
          </cell>
          <cell r="L401">
            <v>9450</v>
          </cell>
          <cell r="M401">
            <v>0</v>
          </cell>
          <cell r="AA401">
            <v>0</v>
          </cell>
          <cell r="AB401">
            <v>0</v>
          </cell>
          <cell r="AD401">
            <v>259466.44</v>
          </cell>
          <cell r="AE401">
            <v>259469</v>
          </cell>
          <cell r="AG401">
            <v>-971</v>
          </cell>
          <cell r="AH401">
            <v>0</v>
          </cell>
          <cell r="AI401">
            <v>45022</v>
          </cell>
          <cell r="AJ401">
            <v>0</v>
          </cell>
          <cell r="AK401">
            <v>0</v>
          </cell>
          <cell r="AL401">
            <v>303520</v>
          </cell>
        </row>
        <row r="402">
          <cell r="B402" t="str">
            <v>Nov 2015</v>
          </cell>
          <cell r="C402" t="str">
            <v>CSR</v>
          </cell>
          <cell r="D402" t="str">
            <v>LGCSR760</v>
          </cell>
          <cell r="E402">
            <v>0</v>
          </cell>
          <cell r="F402">
            <v>0</v>
          </cell>
          <cell r="G402">
            <v>0</v>
          </cell>
          <cell r="H402">
            <v>0</v>
          </cell>
          <cell r="I402">
            <v>0</v>
          </cell>
          <cell r="J402">
            <v>0</v>
          </cell>
          <cell r="K402">
            <v>0</v>
          </cell>
          <cell r="L402">
            <v>0</v>
          </cell>
          <cell r="M402">
            <v>0</v>
          </cell>
          <cell r="AA402">
            <v>0</v>
          </cell>
          <cell r="AB402">
            <v>0</v>
          </cell>
          <cell r="AD402">
            <v>0</v>
          </cell>
          <cell r="AE402">
            <v>0</v>
          </cell>
          <cell r="AG402">
            <v>0</v>
          </cell>
          <cell r="AH402">
            <v>0</v>
          </cell>
          <cell r="AI402">
            <v>0</v>
          </cell>
          <cell r="AJ402">
            <v>0</v>
          </cell>
          <cell r="AK402">
            <v>-286526</v>
          </cell>
          <cell r="AL402">
            <v>-286526</v>
          </cell>
        </row>
        <row r="403">
          <cell r="B403" t="str">
            <v>Nov 2015</v>
          </cell>
          <cell r="C403" t="str">
            <v>CSR</v>
          </cell>
          <cell r="D403" t="str">
            <v>LGCSR780</v>
          </cell>
          <cell r="E403">
            <v>0</v>
          </cell>
          <cell r="F403">
            <v>0</v>
          </cell>
          <cell r="G403">
            <v>0</v>
          </cell>
          <cell r="H403">
            <v>0</v>
          </cell>
          <cell r="I403">
            <v>0</v>
          </cell>
          <cell r="J403">
            <v>0</v>
          </cell>
          <cell r="K403">
            <v>0</v>
          </cell>
          <cell r="L403">
            <v>0</v>
          </cell>
          <cell r="M403">
            <v>0</v>
          </cell>
          <cell r="AA403">
            <v>0</v>
          </cell>
          <cell r="AB403">
            <v>0</v>
          </cell>
          <cell r="AD403">
            <v>0</v>
          </cell>
          <cell r="AE403">
            <v>0</v>
          </cell>
          <cell r="AG403">
            <v>0</v>
          </cell>
          <cell r="AH403">
            <v>0</v>
          </cell>
          <cell r="AI403">
            <v>0</v>
          </cell>
          <cell r="AJ403">
            <v>0</v>
          </cell>
          <cell r="AK403">
            <v>0</v>
          </cell>
          <cell r="AL403">
            <v>0</v>
          </cell>
        </row>
        <row r="404">
          <cell r="B404" t="str">
            <v>Nov 2015</v>
          </cell>
          <cell r="C404" t="str">
            <v>FK</v>
          </cell>
          <cell r="D404" t="str">
            <v>LGINE599</v>
          </cell>
          <cell r="E404">
            <v>1</v>
          </cell>
          <cell r="F404">
            <v>0</v>
          </cell>
          <cell r="G404">
            <v>0</v>
          </cell>
          <cell r="H404">
            <v>0</v>
          </cell>
          <cell r="I404">
            <v>0</v>
          </cell>
          <cell r="J404">
            <v>7436000</v>
          </cell>
          <cell r="K404">
            <v>0</v>
          </cell>
          <cell r="L404">
            <v>9520</v>
          </cell>
          <cell r="M404">
            <v>0</v>
          </cell>
          <cell r="AA404">
            <v>0</v>
          </cell>
          <cell r="AB404">
            <v>0</v>
          </cell>
          <cell r="AD404">
            <v>399201.00000000006</v>
          </cell>
          <cell r="AE404">
            <v>399201</v>
          </cell>
          <cell r="AG404">
            <v>-1654</v>
          </cell>
          <cell r="AH404">
            <v>0</v>
          </cell>
          <cell r="AI404">
            <v>76665</v>
          </cell>
          <cell r="AJ404">
            <v>0</v>
          </cell>
          <cell r="AK404">
            <v>0</v>
          </cell>
          <cell r="AL404">
            <v>474212</v>
          </cell>
        </row>
        <row r="405">
          <cell r="B405" t="str">
            <v>Nov 2015</v>
          </cell>
          <cell r="C405" t="str">
            <v>RTS</v>
          </cell>
          <cell r="D405" t="str">
            <v>LGINE643</v>
          </cell>
          <cell r="E405">
            <v>12</v>
          </cell>
          <cell r="F405">
            <v>0</v>
          </cell>
          <cell r="G405">
            <v>0</v>
          </cell>
          <cell r="H405">
            <v>0</v>
          </cell>
          <cell r="I405">
            <v>0</v>
          </cell>
          <cell r="J405">
            <v>71794294</v>
          </cell>
          <cell r="K405">
            <v>148975</v>
          </cell>
          <cell r="L405">
            <v>144575</v>
          </cell>
          <cell r="M405">
            <v>93494</v>
          </cell>
          <cell r="AA405">
            <v>0</v>
          </cell>
          <cell r="AB405">
            <v>0</v>
          </cell>
          <cell r="AD405">
            <v>3869577.96</v>
          </cell>
          <cell r="AE405">
            <v>3869579</v>
          </cell>
          <cell r="AG405">
            <v>-15972</v>
          </cell>
          <cell r="AH405">
            <v>0</v>
          </cell>
          <cell r="AI405">
            <v>740202</v>
          </cell>
          <cell r="AJ405">
            <v>0</v>
          </cell>
          <cell r="AK405">
            <v>0</v>
          </cell>
          <cell r="AL405">
            <v>4593809</v>
          </cell>
        </row>
        <row r="406">
          <cell r="B406" t="str">
            <v>Nov 2015</v>
          </cell>
          <cell r="C406" t="str">
            <v>PSS</v>
          </cell>
          <cell r="D406" t="str">
            <v>LGINE661</v>
          </cell>
          <cell r="E406">
            <v>214</v>
          </cell>
          <cell r="F406">
            <v>0</v>
          </cell>
          <cell r="G406">
            <v>0</v>
          </cell>
          <cell r="H406">
            <v>0</v>
          </cell>
          <cell r="I406">
            <v>0</v>
          </cell>
          <cell r="J406">
            <v>19146672</v>
          </cell>
          <cell r="K406">
            <v>0</v>
          </cell>
          <cell r="L406">
            <v>59196</v>
          </cell>
          <cell r="M406">
            <v>0</v>
          </cell>
          <cell r="AA406">
            <v>0</v>
          </cell>
          <cell r="AB406">
            <v>0</v>
          </cell>
          <cell r="AD406">
            <v>1625950.8399999999</v>
          </cell>
          <cell r="AE406">
            <v>1625946</v>
          </cell>
          <cell r="AG406">
            <v>-4259</v>
          </cell>
          <cell r="AH406">
            <v>45977</v>
          </cell>
          <cell r="AI406">
            <v>197403</v>
          </cell>
          <cell r="AJ406">
            <v>0</v>
          </cell>
          <cell r="AK406">
            <v>0</v>
          </cell>
          <cell r="AL406">
            <v>1865067</v>
          </cell>
        </row>
        <row r="407">
          <cell r="B407" t="str">
            <v>Nov 2015</v>
          </cell>
          <cell r="C407" t="str">
            <v>PSP</v>
          </cell>
          <cell r="D407" t="str">
            <v>LGINE663</v>
          </cell>
          <cell r="E407">
            <v>21</v>
          </cell>
          <cell r="F407">
            <v>0</v>
          </cell>
          <cell r="G407">
            <v>0</v>
          </cell>
          <cell r="H407">
            <v>0</v>
          </cell>
          <cell r="I407">
            <v>0</v>
          </cell>
          <cell r="J407">
            <v>1056885</v>
          </cell>
          <cell r="K407">
            <v>0</v>
          </cell>
          <cell r="L407">
            <v>3776</v>
          </cell>
          <cell r="M407">
            <v>0</v>
          </cell>
          <cell r="AA407">
            <v>0</v>
          </cell>
          <cell r="AB407">
            <v>0</v>
          </cell>
          <cell r="AD407">
            <v>89091.47</v>
          </cell>
          <cell r="AE407">
            <v>89087</v>
          </cell>
          <cell r="AG407">
            <v>-235</v>
          </cell>
          <cell r="AH407">
            <v>2538</v>
          </cell>
          <cell r="AI407">
            <v>10897</v>
          </cell>
          <cell r="AJ407">
            <v>0</v>
          </cell>
          <cell r="AK407">
            <v>0</v>
          </cell>
          <cell r="AL407">
            <v>102287</v>
          </cell>
        </row>
        <row r="408">
          <cell r="B408" t="str">
            <v>Nov 2015</v>
          </cell>
          <cell r="C408" t="str">
            <v>TODS</v>
          </cell>
          <cell r="D408" t="str">
            <v>LGINE691</v>
          </cell>
          <cell r="E408">
            <v>97</v>
          </cell>
          <cell r="F408">
            <v>0</v>
          </cell>
          <cell r="G408">
            <v>0</v>
          </cell>
          <cell r="H408">
            <v>0</v>
          </cell>
          <cell r="I408">
            <v>0</v>
          </cell>
          <cell r="J408">
            <v>20853450</v>
          </cell>
          <cell r="K408">
            <v>53247</v>
          </cell>
          <cell r="L408">
            <v>49958</v>
          </cell>
          <cell r="M408">
            <v>49046</v>
          </cell>
          <cell r="AA408">
            <v>0</v>
          </cell>
          <cell r="AB408">
            <v>0</v>
          </cell>
          <cell r="AD408">
            <v>1589422.3000000003</v>
          </cell>
          <cell r="AE408">
            <v>1589422</v>
          </cell>
          <cell r="AG408">
            <v>-4639</v>
          </cell>
          <cell r="AH408">
            <v>50076</v>
          </cell>
          <cell r="AI408">
            <v>215000</v>
          </cell>
          <cell r="AJ408">
            <v>0</v>
          </cell>
          <cell r="AK408">
            <v>0</v>
          </cell>
          <cell r="AL408">
            <v>1849859</v>
          </cell>
        </row>
        <row r="409">
          <cell r="B409" t="str">
            <v>Nov 2015</v>
          </cell>
          <cell r="C409" t="str">
            <v>ITODP</v>
          </cell>
          <cell r="D409" t="str">
            <v>LGINE693</v>
          </cell>
          <cell r="E409">
            <v>70</v>
          </cell>
          <cell r="F409">
            <v>0</v>
          </cell>
          <cell r="G409">
            <v>0</v>
          </cell>
          <cell r="H409">
            <v>0</v>
          </cell>
          <cell r="I409">
            <v>0</v>
          </cell>
          <cell r="J409">
            <v>133272351</v>
          </cell>
          <cell r="K409">
            <v>322436</v>
          </cell>
          <cell r="L409">
            <v>292728</v>
          </cell>
          <cell r="M409">
            <v>288839</v>
          </cell>
          <cell r="AA409">
            <v>0</v>
          </cell>
          <cell r="AB409">
            <v>0</v>
          </cell>
          <cell r="AD409">
            <v>8353382.1500000004</v>
          </cell>
          <cell r="AE409">
            <v>8353383</v>
          </cell>
          <cell r="AG409">
            <v>-29648</v>
          </cell>
          <cell r="AH409">
            <v>320031</v>
          </cell>
          <cell r="AI409">
            <v>1374042</v>
          </cell>
          <cell r="AJ409">
            <v>0</v>
          </cell>
          <cell r="AK409">
            <v>0</v>
          </cell>
          <cell r="AL409">
            <v>10017808</v>
          </cell>
        </row>
        <row r="410">
          <cell r="B410" t="str">
            <v>Nov 2015</v>
          </cell>
          <cell r="C410" t="str">
            <v>ITODP</v>
          </cell>
          <cell r="D410" t="str">
            <v>LGINE694</v>
          </cell>
          <cell r="E410">
            <v>0</v>
          </cell>
          <cell r="F410">
            <v>0</v>
          </cell>
          <cell r="G410">
            <v>0</v>
          </cell>
          <cell r="H410">
            <v>0</v>
          </cell>
          <cell r="I410">
            <v>0</v>
          </cell>
          <cell r="J410">
            <v>0</v>
          </cell>
          <cell r="K410">
            <v>0</v>
          </cell>
          <cell r="L410">
            <v>0</v>
          </cell>
          <cell r="M410">
            <v>0</v>
          </cell>
          <cell r="AA410">
            <v>0</v>
          </cell>
          <cell r="AB410">
            <v>0</v>
          </cell>
          <cell r="AD410">
            <v>0</v>
          </cell>
          <cell r="AE410">
            <v>0</v>
          </cell>
          <cell r="AG410">
            <v>0</v>
          </cell>
          <cell r="AH410">
            <v>0</v>
          </cell>
          <cell r="AI410">
            <v>0</v>
          </cell>
          <cell r="AJ410">
            <v>0</v>
          </cell>
          <cell r="AK410">
            <v>0</v>
          </cell>
          <cell r="AL410">
            <v>0</v>
          </cell>
        </row>
        <row r="411">
          <cell r="B411" t="str">
            <v>Nov 2015</v>
          </cell>
          <cell r="C411" t="str">
            <v>LE</v>
          </cell>
          <cell r="D411" t="str">
            <v>LGMLE570</v>
          </cell>
          <cell r="E411">
            <v>0</v>
          </cell>
          <cell r="F411">
            <v>0</v>
          </cell>
          <cell r="G411">
            <v>0</v>
          </cell>
          <cell r="H411">
            <v>0</v>
          </cell>
          <cell r="I411">
            <v>0</v>
          </cell>
          <cell r="J411">
            <v>0</v>
          </cell>
          <cell r="K411">
            <v>0</v>
          </cell>
          <cell r="L411">
            <v>0</v>
          </cell>
          <cell r="M411">
            <v>0</v>
          </cell>
          <cell r="AA411">
            <v>0</v>
          </cell>
          <cell r="AB411">
            <v>0</v>
          </cell>
          <cell r="AD411">
            <v>0</v>
          </cell>
          <cell r="AE411">
            <v>0</v>
          </cell>
          <cell r="AG411">
            <v>0</v>
          </cell>
          <cell r="AH411">
            <v>0</v>
          </cell>
          <cell r="AI411">
            <v>0</v>
          </cell>
          <cell r="AJ411">
            <v>0</v>
          </cell>
          <cell r="AK411">
            <v>0</v>
          </cell>
          <cell r="AL411">
            <v>0</v>
          </cell>
        </row>
        <row r="412">
          <cell r="B412" t="str">
            <v>Nov 2015</v>
          </cell>
          <cell r="C412" t="str">
            <v>LE</v>
          </cell>
          <cell r="D412" t="str">
            <v>LGMLE571</v>
          </cell>
          <cell r="E412">
            <v>156</v>
          </cell>
          <cell r="F412">
            <v>0</v>
          </cell>
          <cell r="G412">
            <v>0</v>
          </cell>
          <cell r="H412">
            <v>0</v>
          </cell>
          <cell r="I412">
            <v>0</v>
          </cell>
          <cell r="J412">
            <v>314517</v>
          </cell>
          <cell r="K412">
            <v>0</v>
          </cell>
          <cell r="L412">
            <v>0</v>
          </cell>
          <cell r="M412">
            <v>0</v>
          </cell>
          <cell r="AA412">
            <v>0</v>
          </cell>
          <cell r="AB412">
            <v>0</v>
          </cell>
          <cell r="AD412">
            <v>20320.939999999999</v>
          </cell>
          <cell r="AE412">
            <v>0</v>
          </cell>
          <cell r="AG412">
            <v>0</v>
          </cell>
          <cell r="AH412">
            <v>0</v>
          </cell>
          <cell r="AI412">
            <v>0</v>
          </cell>
          <cell r="AJ412">
            <v>0</v>
          </cell>
          <cell r="AK412">
            <v>0</v>
          </cell>
          <cell r="AL412">
            <v>0</v>
          </cell>
        </row>
        <row r="413">
          <cell r="B413" t="str">
            <v>Nov 2015</v>
          </cell>
          <cell r="C413" t="str">
            <v>LE</v>
          </cell>
          <cell r="D413" t="str">
            <v>LGMLE572</v>
          </cell>
          <cell r="E413">
            <v>0</v>
          </cell>
          <cell r="F413">
            <v>0</v>
          </cell>
          <cell r="G413">
            <v>0</v>
          </cell>
          <cell r="H413">
            <v>0</v>
          </cell>
          <cell r="I413">
            <v>0</v>
          </cell>
          <cell r="J413">
            <v>0</v>
          </cell>
          <cell r="K413">
            <v>0</v>
          </cell>
          <cell r="L413">
            <v>0</v>
          </cell>
          <cell r="M413">
            <v>0</v>
          </cell>
          <cell r="AA413">
            <v>0</v>
          </cell>
          <cell r="AB413">
            <v>0</v>
          </cell>
          <cell r="AD413">
            <v>0</v>
          </cell>
          <cell r="AE413">
            <v>0</v>
          </cell>
          <cell r="AG413">
            <v>0</v>
          </cell>
          <cell r="AH413">
            <v>0</v>
          </cell>
          <cell r="AI413">
            <v>0</v>
          </cell>
          <cell r="AJ413">
            <v>0</v>
          </cell>
          <cell r="AK413">
            <v>0</v>
          </cell>
          <cell r="AL413">
            <v>0</v>
          </cell>
        </row>
        <row r="414">
          <cell r="B414" t="str">
            <v>Nov 2015</v>
          </cell>
          <cell r="C414" t="str">
            <v>TE</v>
          </cell>
          <cell r="D414" t="str">
            <v>LGMLE573</v>
          </cell>
          <cell r="E414">
            <v>905</v>
          </cell>
          <cell r="F414">
            <v>0</v>
          </cell>
          <cell r="G414">
            <v>0</v>
          </cell>
          <cell r="H414">
            <v>0</v>
          </cell>
          <cell r="I414">
            <v>0</v>
          </cell>
          <cell r="J414">
            <v>269918</v>
          </cell>
          <cell r="K414">
            <v>0</v>
          </cell>
          <cell r="L414">
            <v>0</v>
          </cell>
          <cell r="M414">
            <v>0</v>
          </cell>
          <cell r="AA414">
            <v>0</v>
          </cell>
          <cell r="AB414">
            <v>0</v>
          </cell>
          <cell r="AD414">
            <v>23611.57</v>
          </cell>
          <cell r="AE414">
            <v>0</v>
          </cell>
          <cell r="AG414">
            <v>0</v>
          </cell>
          <cell r="AH414">
            <v>0</v>
          </cell>
          <cell r="AI414">
            <v>0</v>
          </cell>
          <cell r="AJ414">
            <v>0</v>
          </cell>
          <cell r="AK414">
            <v>0</v>
          </cell>
          <cell r="AL414">
            <v>0</v>
          </cell>
        </row>
        <row r="415">
          <cell r="B415" t="str">
            <v>Nov 2015</v>
          </cell>
          <cell r="C415" t="str">
            <v>TE</v>
          </cell>
          <cell r="D415" t="str">
            <v>LGMLE574</v>
          </cell>
          <cell r="E415">
            <v>0</v>
          </cell>
          <cell r="F415">
            <v>0</v>
          </cell>
          <cell r="G415">
            <v>0</v>
          </cell>
          <cell r="H415">
            <v>0</v>
          </cell>
          <cell r="I415">
            <v>0</v>
          </cell>
          <cell r="J415">
            <v>0</v>
          </cell>
          <cell r="K415">
            <v>0</v>
          </cell>
          <cell r="L415">
            <v>0</v>
          </cell>
          <cell r="M415">
            <v>0</v>
          </cell>
          <cell r="AA415">
            <v>0</v>
          </cell>
          <cell r="AB415">
            <v>0</v>
          </cell>
          <cell r="AD415">
            <v>0</v>
          </cell>
          <cell r="AE415">
            <v>0</v>
          </cell>
          <cell r="AG415">
            <v>0</v>
          </cell>
          <cell r="AH415">
            <v>0</v>
          </cell>
          <cell r="AI415">
            <v>0</v>
          </cell>
          <cell r="AJ415">
            <v>0</v>
          </cell>
          <cell r="AK415">
            <v>0</v>
          </cell>
          <cell r="AL415">
            <v>0</v>
          </cell>
        </row>
        <row r="416">
          <cell r="B416" t="str">
            <v>Nov 2015</v>
          </cell>
          <cell r="C416" t="str">
            <v>RS</v>
          </cell>
          <cell r="D416" t="str">
            <v>LGRSE411</v>
          </cell>
          <cell r="E416">
            <v>0</v>
          </cell>
          <cell r="F416">
            <v>0</v>
          </cell>
          <cell r="G416">
            <v>0</v>
          </cell>
          <cell r="H416">
            <v>0</v>
          </cell>
          <cell r="I416">
            <v>0</v>
          </cell>
          <cell r="J416">
            <v>0</v>
          </cell>
          <cell r="K416">
            <v>0</v>
          </cell>
          <cell r="L416">
            <v>0</v>
          </cell>
          <cell r="M416">
            <v>0</v>
          </cell>
          <cell r="AA416">
            <v>0</v>
          </cell>
          <cell r="AB416">
            <v>0</v>
          </cell>
          <cell r="AD416">
            <v>0</v>
          </cell>
          <cell r="AE416">
            <v>0</v>
          </cell>
          <cell r="AG416">
            <v>0</v>
          </cell>
          <cell r="AH416">
            <v>0</v>
          </cell>
          <cell r="AI416">
            <v>0</v>
          </cell>
          <cell r="AJ416">
            <v>0</v>
          </cell>
          <cell r="AK416">
            <v>0</v>
          </cell>
          <cell r="AL416">
            <v>0</v>
          </cell>
        </row>
        <row r="417">
          <cell r="B417" t="str">
            <v>Nov 2015</v>
          </cell>
          <cell r="C417" t="str">
            <v>RS</v>
          </cell>
          <cell r="D417" t="str">
            <v>LGRSE511</v>
          </cell>
          <cell r="E417">
            <v>361197</v>
          </cell>
          <cell r="F417">
            <v>0</v>
          </cell>
          <cell r="G417">
            <v>0</v>
          </cell>
          <cell r="H417">
            <v>0</v>
          </cell>
          <cell r="I417">
            <v>0</v>
          </cell>
          <cell r="J417">
            <v>257447544</v>
          </cell>
          <cell r="K417">
            <v>0</v>
          </cell>
          <cell r="L417">
            <v>0</v>
          </cell>
          <cell r="M417">
            <v>0</v>
          </cell>
          <cell r="AA417">
            <v>0</v>
          </cell>
          <cell r="AB417">
            <v>0</v>
          </cell>
          <cell r="AD417">
            <v>24674331.399999999</v>
          </cell>
          <cell r="AE417">
            <v>24676900</v>
          </cell>
          <cell r="AG417">
            <v>-57280</v>
          </cell>
          <cell r="AH417">
            <v>618286</v>
          </cell>
          <cell r="AI417">
            <v>2654593</v>
          </cell>
          <cell r="AJ417">
            <v>0</v>
          </cell>
          <cell r="AK417">
            <v>0</v>
          </cell>
          <cell r="AL417">
            <v>27892499</v>
          </cell>
        </row>
        <row r="418">
          <cell r="B418" t="str">
            <v>Nov 2015</v>
          </cell>
          <cell r="C418" t="str">
            <v>RS</v>
          </cell>
          <cell r="D418" t="str">
            <v>LGRSE519</v>
          </cell>
          <cell r="E418">
            <v>0</v>
          </cell>
          <cell r="F418">
            <v>0</v>
          </cell>
          <cell r="G418">
            <v>0</v>
          </cell>
          <cell r="H418">
            <v>0</v>
          </cell>
          <cell r="I418">
            <v>0</v>
          </cell>
          <cell r="J418">
            <v>0</v>
          </cell>
          <cell r="K418">
            <v>0</v>
          </cell>
          <cell r="L418">
            <v>0</v>
          </cell>
          <cell r="M418">
            <v>0</v>
          </cell>
          <cell r="AA418">
            <v>0</v>
          </cell>
          <cell r="AB418">
            <v>0</v>
          </cell>
          <cell r="AD418">
            <v>0</v>
          </cell>
          <cell r="AE418">
            <v>0</v>
          </cell>
          <cell r="AG418">
            <v>0</v>
          </cell>
          <cell r="AH418">
            <v>0</v>
          </cell>
          <cell r="AI418">
            <v>0</v>
          </cell>
          <cell r="AJ418">
            <v>0</v>
          </cell>
          <cell r="AK418">
            <v>0</v>
          </cell>
          <cell r="AL418">
            <v>0</v>
          </cell>
        </row>
        <row r="419">
          <cell r="B419" t="str">
            <v>Nov 2015</v>
          </cell>
          <cell r="C419" t="str">
            <v>RS</v>
          </cell>
          <cell r="D419" t="str">
            <v>LGRSE540</v>
          </cell>
          <cell r="E419">
            <v>0</v>
          </cell>
          <cell r="F419">
            <v>0</v>
          </cell>
          <cell r="G419">
            <v>0</v>
          </cell>
          <cell r="H419">
            <v>0</v>
          </cell>
          <cell r="I419">
            <v>0</v>
          </cell>
          <cell r="J419">
            <v>0</v>
          </cell>
          <cell r="K419">
            <v>0</v>
          </cell>
          <cell r="L419">
            <v>0</v>
          </cell>
          <cell r="M419">
            <v>0</v>
          </cell>
          <cell r="AA419">
            <v>0</v>
          </cell>
          <cell r="AB419">
            <v>0</v>
          </cell>
          <cell r="AD419">
            <v>0</v>
          </cell>
          <cell r="AE419">
            <v>0</v>
          </cell>
          <cell r="AG419">
            <v>0</v>
          </cell>
          <cell r="AH419">
            <v>0</v>
          </cell>
          <cell r="AI419">
            <v>0</v>
          </cell>
          <cell r="AJ419">
            <v>0</v>
          </cell>
          <cell r="AK419">
            <v>0</v>
          </cell>
          <cell r="AL419">
            <v>0</v>
          </cell>
        </row>
        <row r="420">
          <cell r="B420" t="str">
            <v>Nov 2015</v>
          </cell>
          <cell r="C420" t="str">
            <v>LEV</v>
          </cell>
          <cell r="D420" t="str">
            <v>LGRSE543</v>
          </cell>
          <cell r="E420">
            <v>20</v>
          </cell>
          <cell r="F420">
            <v>0</v>
          </cell>
          <cell r="G420">
            <v>14974</v>
          </cell>
          <cell r="H420">
            <v>8705</v>
          </cell>
          <cell r="I420">
            <v>5454</v>
          </cell>
          <cell r="J420">
            <v>29133</v>
          </cell>
          <cell r="K420">
            <v>0</v>
          </cell>
          <cell r="L420">
            <v>0</v>
          </cell>
          <cell r="M420">
            <v>0</v>
          </cell>
          <cell r="AA420">
            <v>0</v>
          </cell>
          <cell r="AB420">
            <v>0</v>
          </cell>
          <cell r="AD420">
            <v>2562.25</v>
          </cell>
          <cell r="AE420">
            <v>0</v>
          </cell>
          <cell r="AG420">
            <v>0</v>
          </cell>
          <cell r="AH420">
            <v>0</v>
          </cell>
          <cell r="AI420">
            <v>0</v>
          </cell>
          <cell r="AJ420">
            <v>0</v>
          </cell>
          <cell r="AK420">
            <v>0</v>
          </cell>
          <cell r="AL420">
            <v>0</v>
          </cell>
        </row>
        <row r="421">
          <cell r="B421" t="str">
            <v>Nov 2015</v>
          </cell>
          <cell r="C421" t="str">
            <v>LEV</v>
          </cell>
          <cell r="D421" t="str">
            <v>LGRSE547</v>
          </cell>
          <cell r="E421">
            <v>0</v>
          </cell>
          <cell r="F421">
            <v>0</v>
          </cell>
          <cell r="G421">
            <v>0</v>
          </cell>
          <cell r="H421">
            <v>0</v>
          </cell>
          <cell r="I421">
            <v>0</v>
          </cell>
          <cell r="J421">
            <v>0</v>
          </cell>
          <cell r="K421">
            <v>0</v>
          </cell>
          <cell r="L421">
            <v>0</v>
          </cell>
          <cell r="M421">
            <v>0</v>
          </cell>
          <cell r="AA421">
            <v>0</v>
          </cell>
          <cell r="AB421">
            <v>0</v>
          </cell>
          <cell r="AD421">
            <v>0</v>
          </cell>
          <cell r="AE421">
            <v>0</v>
          </cell>
          <cell r="AG421">
            <v>0</v>
          </cell>
          <cell r="AH421">
            <v>0</v>
          </cell>
          <cell r="AI421">
            <v>0</v>
          </cell>
          <cell r="AJ421">
            <v>0</v>
          </cell>
          <cell r="AK421">
            <v>0</v>
          </cell>
          <cell r="AL421">
            <v>0</v>
          </cell>
        </row>
        <row r="422">
          <cell r="B422" t="str">
            <v>Dec 2015</v>
          </cell>
          <cell r="C422" t="str">
            <v>FLSP</v>
          </cell>
          <cell r="D422" t="str">
            <v>LGINE682</v>
          </cell>
          <cell r="E422">
            <v>0</v>
          </cell>
          <cell r="F422">
            <v>0</v>
          </cell>
          <cell r="G422">
            <v>0</v>
          </cell>
          <cell r="H422">
            <v>0</v>
          </cell>
          <cell r="I422">
            <v>0</v>
          </cell>
          <cell r="J422">
            <v>0</v>
          </cell>
          <cell r="K422">
            <v>0</v>
          </cell>
          <cell r="L422">
            <v>0</v>
          </cell>
          <cell r="M422">
            <v>0</v>
          </cell>
          <cell r="AA422">
            <v>0</v>
          </cell>
          <cell r="AB422">
            <v>0</v>
          </cell>
          <cell r="AD422">
            <v>0</v>
          </cell>
          <cell r="AE422">
            <v>0</v>
          </cell>
          <cell r="AG422">
            <v>0</v>
          </cell>
          <cell r="AH422">
            <v>0</v>
          </cell>
          <cell r="AI422">
            <v>0</v>
          </cell>
          <cell r="AJ422">
            <v>0</v>
          </cell>
          <cell r="AK422">
            <v>0</v>
          </cell>
          <cell r="AL422">
            <v>0</v>
          </cell>
        </row>
        <row r="423">
          <cell r="B423" t="str">
            <v>Dec 2015</v>
          </cell>
          <cell r="C423" t="str">
            <v>FLST</v>
          </cell>
          <cell r="D423" t="str">
            <v>LGINE683</v>
          </cell>
          <cell r="E423">
            <v>0</v>
          </cell>
          <cell r="F423">
            <v>0</v>
          </cell>
          <cell r="G423">
            <v>0</v>
          </cell>
          <cell r="H423">
            <v>0</v>
          </cell>
          <cell r="I423">
            <v>0</v>
          </cell>
          <cell r="J423">
            <v>0</v>
          </cell>
          <cell r="K423">
            <v>0</v>
          </cell>
          <cell r="L423">
            <v>0</v>
          </cell>
          <cell r="M423">
            <v>0</v>
          </cell>
          <cell r="AA423">
            <v>0</v>
          </cell>
          <cell r="AB423">
            <v>0</v>
          </cell>
          <cell r="AD423">
            <v>0</v>
          </cell>
          <cell r="AE423">
            <v>0</v>
          </cell>
          <cell r="AG423">
            <v>0</v>
          </cell>
          <cell r="AH423">
            <v>0</v>
          </cell>
          <cell r="AI423">
            <v>0</v>
          </cell>
          <cell r="AJ423">
            <v>0</v>
          </cell>
          <cell r="AK423">
            <v>0</v>
          </cell>
          <cell r="AL423">
            <v>0</v>
          </cell>
        </row>
        <row r="424">
          <cell r="B424" t="str">
            <v>Dec 2015</v>
          </cell>
          <cell r="C424" t="str">
            <v>GS</v>
          </cell>
          <cell r="D424" t="str">
            <v>LGCME451</v>
          </cell>
          <cell r="E424">
            <v>0</v>
          </cell>
          <cell r="F424">
            <v>0</v>
          </cell>
          <cell r="G424">
            <v>0</v>
          </cell>
          <cell r="H424">
            <v>0</v>
          </cell>
          <cell r="I424">
            <v>0</v>
          </cell>
          <cell r="J424">
            <v>0</v>
          </cell>
          <cell r="K424">
            <v>0</v>
          </cell>
          <cell r="L424">
            <v>0</v>
          </cell>
          <cell r="M424">
            <v>0</v>
          </cell>
          <cell r="AA424">
            <v>0</v>
          </cell>
          <cell r="AB424">
            <v>0</v>
          </cell>
          <cell r="AD424">
            <v>0</v>
          </cell>
          <cell r="AE424">
            <v>0</v>
          </cell>
          <cell r="AG424">
            <v>0</v>
          </cell>
          <cell r="AH424">
            <v>0</v>
          </cell>
          <cell r="AI424">
            <v>0</v>
          </cell>
          <cell r="AJ424">
            <v>0</v>
          </cell>
          <cell r="AK424">
            <v>0</v>
          </cell>
          <cell r="AL424">
            <v>0</v>
          </cell>
        </row>
        <row r="425">
          <cell r="B425" t="str">
            <v>Dec 2015</v>
          </cell>
          <cell r="C425" t="str">
            <v>GS</v>
          </cell>
          <cell r="D425" t="str">
            <v>LGCME550</v>
          </cell>
          <cell r="E425">
            <v>0</v>
          </cell>
          <cell r="F425">
            <v>0</v>
          </cell>
          <cell r="G425">
            <v>0</v>
          </cell>
          <cell r="H425">
            <v>0</v>
          </cell>
          <cell r="I425">
            <v>0</v>
          </cell>
          <cell r="J425">
            <v>0</v>
          </cell>
          <cell r="K425">
            <v>0</v>
          </cell>
          <cell r="L425">
            <v>0</v>
          </cell>
          <cell r="M425">
            <v>0</v>
          </cell>
          <cell r="AA425">
            <v>0</v>
          </cell>
          <cell r="AB425">
            <v>0</v>
          </cell>
          <cell r="AD425">
            <v>0</v>
          </cell>
          <cell r="AE425">
            <v>0</v>
          </cell>
          <cell r="AG425">
            <v>0</v>
          </cell>
          <cell r="AH425">
            <v>0</v>
          </cell>
          <cell r="AI425">
            <v>0</v>
          </cell>
          <cell r="AJ425">
            <v>0</v>
          </cell>
          <cell r="AK425">
            <v>0</v>
          </cell>
          <cell r="AL425">
            <v>0</v>
          </cell>
        </row>
        <row r="426">
          <cell r="B426" t="str">
            <v>Dec 2015</v>
          </cell>
          <cell r="C426" t="str">
            <v>GS</v>
          </cell>
          <cell r="D426" t="str">
            <v>LGCME551</v>
          </cell>
          <cell r="E426">
            <v>28209</v>
          </cell>
          <cell r="F426">
            <v>0</v>
          </cell>
          <cell r="G426">
            <v>0</v>
          </cell>
          <cell r="H426">
            <v>0</v>
          </cell>
          <cell r="I426">
            <v>0</v>
          </cell>
          <cell r="J426">
            <v>30941036</v>
          </cell>
          <cell r="K426">
            <v>0</v>
          </cell>
          <cell r="L426">
            <v>0</v>
          </cell>
          <cell r="M426">
            <v>0</v>
          </cell>
          <cell r="AA426">
            <v>0</v>
          </cell>
          <cell r="AB426">
            <v>0</v>
          </cell>
          <cell r="AD426">
            <v>3390334.23</v>
          </cell>
          <cell r="AE426">
            <v>3390344</v>
          </cell>
          <cell r="AG426">
            <v>-24269</v>
          </cell>
          <cell r="AH426">
            <v>69310</v>
          </cell>
          <cell r="AI426">
            <v>286700</v>
          </cell>
          <cell r="AJ426">
            <v>0</v>
          </cell>
          <cell r="AK426">
            <v>0</v>
          </cell>
          <cell r="AL426">
            <v>3722085</v>
          </cell>
        </row>
        <row r="427">
          <cell r="B427" t="str">
            <v>Dec 2015</v>
          </cell>
          <cell r="C427" t="str">
            <v>GS</v>
          </cell>
          <cell r="D427" t="str">
            <v>LGCME551UM</v>
          </cell>
          <cell r="E427">
            <v>0</v>
          </cell>
          <cell r="F427">
            <v>0</v>
          </cell>
          <cell r="G427">
            <v>0</v>
          </cell>
          <cell r="H427">
            <v>0</v>
          </cell>
          <cell r="I427">
            <v>0</v>
          </cell>
          <cell r="J427">
            <v>0</v>
          </cell>
          <cell r="K427">
            <v>0</v>
          </cell>
          <cell r="L427">
            <v>0</v>
          </cell>
          <cell r="M427">
            <v>0</v>
          </cell>
          <cell r="AA427">
            <v>0</v>
          </cell>
          <cell r="AB427">
            <v>0</v>
          </cell>
          <cell r="AD427">
            <v>0</v>
          </cell>
          <cell r="AE427">
            <v>0</v>
          </cell>
          <cell r="AG427">
            <v>0</v>
          </cell>
          <cell r="AH427">
            <v>0</v>
          </cell>
          <cell r="AI427">
            <v>0</v>
          </cell>
          <cell r="AJ427">
            <v>0</v>
          </cell>
          <cell r="AK427">
            <v>0</v>
          </cell>
          <cell r="AL427">
            <v>0</v>
          </cell>
        </row>
        <row r="428">
          <cell r="B428" t="str">
            <v>Dec 2015</v>
          </cell>
          <cell r="C428" t="str">
            <v>GS</v>
          </cell>
          <cell r="D428" t="str">
            <v>LGCME552</v>
          </cell>
          <cell r="E428">
            <v>0</v>
          </cell>
          <cell r="F428">
            <v>0</v>
          </cell>
          <cell r="G428">
            <v>0</v>
          </cell>
          <cell r="H428">
            <v>0</v>
          </cell>
          <cell r="I428">
            <v>0</v>
          </cell>
          <cell r="J428">
            <v>0</v>
          </cell>
          <cell r="K428">
            <v>0</v>
          </cell>
          <cell r="L428">
            <v>0</v>
          </cell>
          <cell r="M428">
            <v>0</v>
          </cell>
          <cell r="AA428">
            <v>0</v>
          </cell>
          <cell r="AB428">
            <v>0</v>
          </cell>
          <cell r="AD428">
            <v>0</v>
          </cell>
          <cell r="AE428">
            <v>0</v>
          </cell>
          <cell r="AG428">
            <v>0</v>
          </cell>
          <cell r="AH428">
            <v>0</v>
          </cell>
          <cell r="AI428">
            <v>0</v>
          </cell>
          <cell r="AJ428">
            <v>0</v>
          </cell>
          <cell r="AK428">
            <v>0</v>
          </cell>
          <cell r="AL428">
            <v>0</v>
          </cell>
        </row>
        <row r="429">
          <cell r="B429" t="str">
            <v>Dec 2015</v>
          </cell>
          <cell r="C429" t="str">
            <v>GS</v>
          </cell>
          <cell r="D429" t="str">
            <v>LGCME557</v>
          </cell>
          <cell r="E429">
            <v>0</v>
          </cell>
          <cell r="F429">
            <v>0</v>
          </cell>
          <cell r="G429">
            <v>0</v>
          </cell>
          <cell r="H429">
            <v>0</v>
          </cell>
          <cell r="I429">
            <v>0</v>
          </cell>
          <cell r="J429">
            <v>0</v>
          </cell>
          <cell r="K429">
            <v>0</v>
          </cell>
          <cell r="L429">
            <v>0</v>
          </cell>
          <cell r="M429">
            <v>0</v>
          </cell>
          <cell r="AA429">
            <v>0</v>
          </cell>
          <cell r="AB429">
            <v>0</v>
          </cell>
          <cell r="AD429">
            <v>0</v>
          </cell>
          <cell r="AE429">
            <v>0</v>
          </cell>
          <cell r="AG429">
            <v>0</v>
          </cell>
          <cell r="AH429">
            <v>0</v>
          </cell>
          <cell r="AI429">
            <v>0</v>
          </cell>
          <cell r="AJ429">
            <v>0</v>
          </cell>
          <cell r="AK429">
            <v>0</v>
          </cell>
          <cell r="AL429">
            <v>0</v>
          </cell>
        </row>
        <row r="430">
          <cell r="B430" t="str">
            <v>Dec 2015</v>
          </cell>
          <cell r="C430" t="str">
            <v>PSS</v>
          </cell>
          <cell r="D430" t="str">
            <v>LGCME561</v>
          </cell>
          <cell r="E430">
            <v>2579</v>
          </cell>
          <cell r="F430">
            <v>0</v>
          </cell>
          <cell r="G430">
            <v>0</v>
          </cell>
          <cell r="H430">
            <v>0</v>
          </cell>
          <cell r="I430">
            <v>0</v>
          </cell>
          <cell r="J430">
            <v>135751631</v>
          </cell>
          <cell r="K430">
            <v>0</v>
          </cell>
          <cell r="L430">
            <v>333856</v>
          </cell>
          <cell r="M430">
            <v>0</v>
          </cell>
          <cell r="AA430">
            <v>0</v>
          </cell>
          <cell r="AB430">
            <v>0</v>
          </cell>
          <cell r="AD430">
            <v>10420948.779999999</v>
          </cell>
          <cell r="AE430">
            <v>10420953</v>
          </cell>
          <cell r="AG430">
            <v>-106478</v>
          </cell>
          <cell r="AH430">
            <v>304092</v>
          </cell>
          <cell r="AI430">
            <v>1257877</v>
          </cell>
          <cell r="AJ430">
            <v>0</v>
          </cell>
          <cell r="AK430">
            <v>0</v>
          </cell>
          <cell r="AL430">
            <v>11876444</v>
          </cell>
        </row>
        <row r="431">
          <cell r="B431" t="str">
            <v>Dec 2015</v>
          </cell>
          <cell r="C431" t="str">
            <v>PSP</v>
          </cell>
          <cell r="D431" t="str">
            <v>LGCME563</v>
          </cell>
          <cell r="E431">
            <v>52</v>
          </cell>
          <cell r="F431">
            <v>0</v>
          </cell>
          <cell r="G431">
            <v>0</v>
          </cell>
          <cell r="H431">
            <v>0</v>
          </cell>
          <cell r="I431">
            <v>0</v>
          </cell>
          <cell r="J431">
            <v>11973010</v>
          </cell>
          <cell r="K431">
            <v>0</v>
          </cell>
          <cell r="L431">
            <v>28734</v>
          </cell>
          <cell r="M431">
            <v>0</v>
          </cell>
          <cell r="AA431">
            <v>0</v>
          </cell>
          <cell r="AB431">
            <v>0</v>
          </cell>
          <cell r="AD431">
            <v>813938.81</v>
          </cell>
          <cell r="AE431">
            <v>813936</v>
          </cell>
          <cell r="AG431">
            <v>-9391</v>
          </cell>
          <cell r="AH431">
            <v>26820</v>
          </cell>
          <cell r="AI431">
            <v>110942</v>
          </cell>
          <cell r="AJ431">
            <v>0</v>
          </cell>
          <cell r="AK431">
            <v>0</v>
          </cell>
          <cell r="AL431">
            <v>942307</v>
          </cell>
        </row>
        <row r="432">
          <cell r="B432" t="str">
            <v>Dec 2015</v>
          </cell>
          <cell r="C432" t="str">
            <v>PSS</v>
          </cell>
          <cell r="D432" t="str">
            <v>LGCME567</v>
          </cell>
          <cell r="E432">
            <v>0</v>
          </cell>
          <cell r="F432">
            <v>0</v>
          </cell>
          <cell r="G432">
            <v>0</v>
          </cell>
          <cell r="H432">
            <v>0</v>
          </cell>
          <cell r="I432">
            <v>0</v>
          </cell>
          <cell r="J432">
            <v>0</v>
          </cell>
          <cell r="K432">
            <v>0</v>
          </cell>
          <cell r="L432">
            <v>0</v>
          </cell>
          <cell r="M432">
            <v>0</v>
          </cell>
          <cell r="AA432">
            <v>0</v>
          </cell>
          <cell r="AB432">
            <v>0</v>
          </cell>
          <cell r="AD432">
            <v>0</v>
          </cell>
          <cell r="AE432">
            <v>0</v>
          </cell>
          <cell r="AG432">
            <v>0</v>
          </cell>
          <cell r="AH432">
            <v>0</v>
          </cell>
          <cell r="AI432">
            <v>0</v>
          </cell>
          <cell r="AJ432">
            <v>0</v>
          </cell>
          <cell r="AK432">
            <v>0</v>
          </cell>
          <cell r="AL432">
            <v>0</v>
          </cell>
        </row>
        <row r="433">
          <cell r="B433" t="str">
            <v>Dec 2015</v>
          </cell>
          <cell r="C433" t="str">
            <v>TODS</v>
          </cell>
          <cell r="D433" t="str">
            <v>LGCME591</v>
          </cell>
          <cell r="E433">
            <v>221</v>
          </cell>
          <cell r="F433">
            <v>0</v>
          </cell>
          <cell r="G433">
            <v>0</v>
          </cell>
          <cell r="H433">
            <v>0</v>
          </cell>
          <cell r="I433">
            <v>0</v>
          </cell>
          <cell r="J433">
            <v>63933591</v>
          </cell>
          <cell r="K433">
            <v>139785</v>
          </cell>
          <cell r="L433">
            <v>130277</v>
          </cell>
          <cell r="M433">
            <v>127194</v>
          </cell>
          <cell r="AA433">
            <v>0</v>
          </cell>
          <cell r="AB433">
            <v>0</v>
          </cell>
          <cell r="AD433">
            <v>4518994.8899999997</v>
          </cell>
          <cell r="AE433">
            <v>4518992</v>
          </cell>
          <cell r="AG433">
            <v>-50147</v>
          </cell>
          <cell r="AH433">
            <v>143215</v>
          </cell>
          <cell r="AI433">
            <v>592410</v>
          </cell>
          <cell r="AJ433">
            <v>0</v>
          </cell>
          <cell r="AK433">
            <v>0</v>
          </cell>
          <cell r="AL433">
            <v>5204470</v>
          </cell>
        </row>
        <row r="434">
          <cell r="B434" t="str">
            <v>Dec 2015</v>
          </cell>
          <cell r="C434" t="str">
            <v>CTODP</v>
          </cell>
          <cell r="D434" t="str">
            <v>LGCME593</v>
          </cell>
          <cell r="E434">
            <v>39</v>
          </cell>
          <cell r="F434">
            <v>0</v>
          </cell>
          <cell r="G434">
            <v>0</v>
          </cell>
          <cell r="H434">
            <v>0</v>
          </cell>
          <cell r="I434">
            <v>0</v>
          </cell>
          <cell r="J434">
            <v>29882690</v>
          </cell>
          <cell r="K434">
            <v>72450</v>
          </cell>
          <cell r="L434">
            <v>66090</v>
          </cell>
          <cell r="M434">
            <v>62924</v>
          </cell>
          <cell r="AA434">
            <v>0</v>
          </cell>
          <cell r="AB434">
            <v>0</v>
          </cell>
          <cell r="AD434">
            <v>2078380.1099999999</v>
          </cell>
          <cell r="AE434">
            <v>2078377</v>
          </cell>
          <cell r="AG434">
            <v>-23439</v>
          </cell>
          <cell r="AH434">
            <v>66939</v>
          </cell>
          <cell r="AI434">
            <v>276894</v>
          </cell>
          <cell r="AJ434">
            <v>0</v>
          </cell>
          <cell r="AK434">
            <v>0</v>
          </cell>
          <cell r="AL434">
            <v>2398771</v>
          </cell>
        </row>
        <row r="435">
          <cell r="B435" t="str">
            <v>Dec 2015</v>
          </cell>
          <cell r="C435" t="str">
            <v>GS3</v>
          </cell>
          <cell r="D435" t="str">
            <v>LGCME650</v>
          </cell>
          <cell r="E435">
            <v>0</v>
          </cell>
          <cell r="F435">
            <v>0</v>
          </cell>
          <cell r="G435">
            <v>0</v>
          </cell>
          <cell r="H435">
            <v>0</v>
          </cell>
          <cell r="I435">
            <v>0</v>
          </cell>
          <cell r="J435">
            <v>0</v>
          </cell>
          <cell r="K435">
            <v>0</v>
          </cell>
          <cell r="L435">
            <v>0</v>
          </cell>
          <cell r="M435">
            <v>0</v>
          </cell>
          <cell r="AA435">
            <v>0</v>
          </cell>
          <cell r="AB435">
            <v>0</v>
          </cell>
          <cell r="AD435">
            <v>0</v>
          </cell>
          <cell r="AE435">
            <v>0</v>
          </cell>
          <cell r="AG435">
            <v>0</v>
          </cell>
          <cell r="AH435">
            <v>0</v>
          </cell>
          <cell r="AI435">
            <v>0</v>
          </cell>
          <cell r="AJ435">
            <v>0</v>
          </cell>
          <cell r="AK435">
            <v>0</v>
          </cell>
          <cell r="AL435">
            <v>0</v>
          </cell>
        </row>
        <row r="436">
          <cell r="B436" t="str">
            <v>Dec 2015</v>
          </cell>
          <cell r="C436" t="str">
            <v>GS3</v>
          </cell>
          <cell r="D436" t="str">
            <v>LGCME651</v>
          </cell>
          <cell r="E436">
            <v>16380</v>
          </cell>
          <cell r="F436">
            <v>0</v>
          </cell>
          <cell r="G436">
            <v>0</v>
          </cell>
          <cell r="H436">
            <v>0</v>
          </cell>
          <cell r="I436">
            <v>0</v>
          </cell>
          <cell r="J436">
            <v>78915468</v>
          </cell>
          <cell r="K436">
            <v>192223</v>
          </cell>
          <cell r="L436">
            <v>0</v>
          </cell>
          <cell r="M436">
            <v>0</v>
          </cell>
          <cell r="AA436">
            <v>0</v>
          </cell>
          <cell r="AB436">
            <v>0</v>
          </cell>
          <cell r="AD436">
            <v>7781438.8499999996</v>
          </cell>
          <cell r="AE436">
            <v>7781422</v>
          </cell>
          <cell r="AG436">
            <v>-61898</v>
          </cell>
          <cell r="AH436">
            <v>176775</v>
          </cell>
          <cell r="AI436">
            <v>731232</v>
          </cell>
          <cell r="AJ436">
            <v>0</v>
          </cell>
          <cell r="AK436">
            <v>0</v>
          </cell>
          <cell r="AL436">
            <v>8627531</v>
          </cell>
        </row>
        <row r="437">
          <cell r="B437" t="str">
            <v>Dec 2015</v>
          </cell>
          <cell r="C437" t="str">
            <v>GS3</v>
          </cell>
          <cell r="D437" t="str">
            <v>LGCME652</v>
          </cell>
          <cell r="E437">
            <v>0</v>
          </cell>
          <cell r="F437">
            <v>0</v>
          </cell>
          <cell r="G437">
            <v>0</v>
          </cell>
          <cell r="H437">
            <v>0</v>
          </cell>
          <cell r="I437">
            <v>0</v>
          </cell>
          <cell r="J437">
            <v>0</v>
          </cell>
          <cell r="K437">
            <v>0</v>
          </cell>
          <cell r="L437">
            <v>0</v>
          </cell>
          <cell r="M437">
            <v>0</v>
          </cell>
          <cell r="AA437">
            <v>0</v>
          </cell>
          <cell r="AB437">
            <v>0</v>
          </cell>
          <cell r="AD437">
            <v>0</v>
          </cell>
          <cell r="AE437">
            <v>0</v>
          </cell>
          <cell r="AG437">
            <v>0</v>
          </cell>
          <cell r="AH437">
            <v>0</v>
          </cell>
          <cell r="AI437">
            <v>0</v>
          </cell>
          <cell r="AJ437">
            <v>0</v>
          </cell>
          <cell r="AK437">
            <v>0</v>
          </cell>
          <cell r="AL437">
            <v>0</v>
          </cell>
        </row>
        <row r="438">
          <cell r="B438" t="str">
            <v>Dec 2015</v>
          </cell>
          <cell r="C438" t="str">
            <v>GS3</v>
          </cell>
          <cell r="D438" t="str">
            <v>LGCME657</v>
          </cell>
          <cell r="E438">
            <v>0</v>
          </cell>
          <cell r="F438">
            <v>0</v>
          </cell>
          <cell r="G438">
            <v>0</v>
          </cell>
          <cell r="H438">
            <v>0</v>
          </cell>
          <cell r="I438">
            <v>0</v>
          </cell>
          <cell r="J438">
            <v>0</v>
          </cell>
          <cell r="K438">
            <v>0</v>
          </cell>
          <cell r="L438">
            <v>0</v>
          </cell>
          <cell r="M438">
            <v>0</v>
          </cell>
          <cell r="AA438">
            <v>0</v>
          </cell>
          <cell r="AB438">
            <v>0</v>
          </cell>
          <cell r="AD438">
            <v>0</v>
          </cell>
          <cell r="AE438">
            <v>0</v>
          </cell>
          <cell r="AG438">
            <v>0</v>
          </cell>
          <cell r="AH438">
            <v>0</v>
          </cell>
          <cell r="AI438">
            <v>0</v>
          </cell>
          <cell r="AJ438">
            <v>0</v>
          </cell>
          <cell r="AK438">
            <v>0</v>
          </cell>
          <cell r="AL438">
            <v>0</v>
          </cell>
        </row>
        <row r="439">
          <cell r="B439" t="str">
            <v>Dec 2015</v>
          </cell>
          <cell r="C439" t="str">
            <v>LWC</v>
          </cell>
          <cell r="D439" t="str">
            <v>LGCME671</v>
          </cell>
          <cell r="E439">
            <v>2</v>
          </cell>
          <cell r="F439">
            <v>0</v>
          </cell>
          <cell r="G439">
            <v>0</v>
          </cell>
          <cell r="H439">
            <v>0</v>
          </cell>
          <cell r="I439">
            <v>0</v>
          </cell>
          <cell r="J439">
            <v>4790100</v>
          </cell>
          <cell r="K439">
            <v>0</v>
          </cell>
          <cell r="L439">
            <v>9472</v>
          </cell>
          <cell r="M439">
            <v>0</v>
          </cell>
          <cell r="AA439">
            <v>0</v>
          </cell>
          <cell r="AB439">
            <v>0</v>
          </cell>
          <cell r="AD439">
            <v>275364.7</v>
          </cell>
          <cell r="AE439">
            <v>275364</v>
          </cell>
          <cell r="AG439">
            <v>-3757</v>
          </cell>
          <cell r="AH439">
            <v>0</v>
          </cell>
          <cell r="AI439">
            <v>44385</v>
          </cell>
          <cell r="AJ439">
            <v>0</v>
          </cell>
          <cell r="AK439">
            <v>0</v>
          </cell>
          <cell r="AL439">
            <v>315992</v>
          </cell>
        </row>
        <row r="440">
          <cell r="B440" t="str">
            <v>Dec 2015</v>
          </cell>
          <cell r="C440" t="str">
            <v>CSR</v>
          </cell>
          <cell r="D440" t="str">
            <v>LGCSR760</v>
          </cell>
          <cell r="E440">
            <v>0</v>
          </cell>
          <cell r="F440">
            <v>0</v>
          </cell>
          <cell r="G440">
            <v>0</v>
          </cell>
          <cell r="H440">
            <v>0</v>
          </cell>
          <cell r="I440">
            <v>0</v>
          </cell>
          <cell r="J440">
            <v>0</v>
          </cell>
          <cell r="K440">
            <v>0</v>
          </cell>
          <cell r="L440">
            <v>0</v>
          </cell>
          <cell r="M440">
            <v>0</v>
          </cell>
          <cell r="AA440">
            <v>0</v>
          </cell>
          <cell r="AB440">
            <v>0</v>
          </cell>
          <cell r="AD440">
            <v>0</v>
          </cell>
          <cell r="AE440">
            <v>0</v>
          </cell>
          <cell r="AG440">
            <v>0</v>
          </cell>
          <cell r="AH440">
            <v>0</v>
          </cell>
          <cell r="AI440">
            <v>0</v>
          </cell>
          <cell r="AJ440">
            <v>0</v>
          </cell>
          <cell r="AK440">
            <v>-286526</v>
          </cell>
          <cell r="AL440">
            <v>-286526</v>
          </cell>
        </row>
        <row r="441">
          <cell r="B441" t="str">
            <v>Dec 2015</v>
          </cell>
          <cell r="C441" t="str">
            <v>CSR</v>
          </cell>
          <cell r="D441" t="str">
            <v>LGCSR780</v>
          </cell>
          <cell r="E441">
            <v>0</v>
          </cell>
          <cell r="F441">
            <v>0</v>
          </cell>
          <cell r="G441">
            <v>0</v>
          </cell>
          <cell r="H441">
            <v>0</v>
          </cell>
          <cell r="I441">
            <v>0</v>
          </cell>
          <cell r="J441">
            <v>0</v>
          </cell>
          <cell r="K441">
            <v>0</v>
          </cell>
          <cell r="L441">
            <v>0</v>
          </cell>
          <cell r="M441">
            <v>0</v>
          </cell>
          <cell r="AA441">
            <v>0</v>
          </cell>
          <cell r="AB441">
            <v>0</v>
          </cell>
          <cell r="AD441">
            <v>0</v>
          </cell>
          <cell r="AE441">
            <v>0</v>
          </cell>
          <cell r="AG441">
            <v>0</v>
          </cell>
          <cell r="AH441">
            <v>0</v>
          </cell>
          <cell r="AI441">
            <v>0</v>
          </cell>
          <cell r="AJ441">
            <v>0</v>
          </cell>
          <cell r="AK441">
            <v>0</v>
          </cell>
          <cell r="AL441">
            <v>0</v>
          </cell>
        </row>
        <row r="442">
          <cell r="B442" t="str">
            <v>Dec 2015</v>
          </cell>
          <cell r="C442" t="str">
            <v>FK</v>
          </cell>
          <cell r="D442" t="str">
            <v>LGINE599</v>
          </cell>
          <cell r="E442">
            <v>1</v>
          </cell>
          <cell r="F442">
            <v>0</v>
          </cell>
          <cell r="G442">
            <v>0</v>
          </cell>
          <cell r="H442">
            <v>0</v>
          </cell>
          <cell r="I442">
            <v>0</v>
          </cell>
          <cell r="J442">
            <v>9529000</v>
          </cell>
          <cell r="K442">
            <v>0</v>
          </cell>
          <cell r="L442">
            <v>12334</v>
          </cell>
          <cell r="M442">
            <v>0</v>
          </cell>
          <cell r="AA442">
            <v>0</v>
          </cell>
          <cell r="AB442">
            <v>0</v>
          </cell>
          <cell r="AD442">
            <v>513272.99999999994</v>
          </cell>
          <cell r="AE442">
            <v>513273</v>
          </cell>
          <cell r="AG442">
            <v>-7474</v>
          </cell>
          <cell r="AH442">
            <v>0</v>
          </cell>
          <cell r="AI442">
            <v>88296</v>
          </cell>
          <cell r="AJ442">
            <v>0</v>
          </cell>
          <cell r="AK442">
            <v>0</v>
          </cell>
          <cell r="AL442">
            <v>594095</v>
          </cell>
        </row>
        <row r="443">
          <cell r="B443" t="str">
            <v>Dec 2015</v>
          </cell>
          <cell r="C443" t="str">
            <v>RTS</v>
          </cell>
          <cell r="D443" t="str">
            <v>LGINE643</v>
          </cell>
          <cell r="E443">
            <v>12</v>
          </cell>
          <cell r="F443">
            <v>0</v>
          </cell>
          <cell r="G443">
            <v>0</v>
          </cell>
          <cell r="H443">
            <v>0</v>
          </cell>
          <cell r="I443">
            <v>0</v>
          </cell>
          <cell r="J443">
            <v>76289433</v>
          </cell>
          <cell r="K443">
            <v>155352</v>
          </cell>
          <cell r="L443">
            <v>147641</v>
          </cell>
          <cell r="M443">
            <v>99948</v>
          </cell>
          <cell r="AA443">
            <v>0</v>
          </cell>
          <cell r="AB443">
            <v>0</v>
          </cell>
          <cell r="AD443">
            <v>4087952.9299999997</v>
          </cell>
          <cell r="AE443">
            <v>4087952</v>
          </cell>
          <cell r="AG443">
            <v>-59838</v>
          </cell>
          <cell r="AH443">
            <v>0</v>
          </cell>
          <cell r="AI443">
            <v>706900</v>
          </cell>
          <cell r="AJ443">
            <v>0</v>
          </cell>
          <cell r="AK443">
            <v>0</v>
          </cell>
          <cell r="AL443">
            <v>4735014</v>
          </cell>
        </row>
        <row r="444">
          <cell r="B444" t="str">
            <v>Dec 2015</v>
          </cell>
          <cell r="C444" t="str">
            <v>PSS</v>
          </cell>
          <cell r="D444" t="str">
            <v>LGINE661</v>
          </cell>
          <cell r="E444">
            <v>214</v>
          </cell>
          <cell r="F444">
            <v>0</v>
          </cell>
          <cell r="G444">
            <v>0</v>
          </cell>
          <cell r="H444">
            <v>0</v>
          </cell>
          <cell r="I444">
            <v>0</v>
          </cell>
          <cell r="J444">
            <v>18982755</v>
          </cell>
          <cell r="K444">
            <v>0</v>
          </cell>
          <cell r="L444">
            <v>59075</v>
          </cell>
          <cell r="M444">
            <v>0</v>
          </cell>
          <cell r="AA444">
            <v>0</v>
          </cell>
          <cell r="AB444">
            <v>0</v>
          </cell>
          <cell r="AD444">
            <v>1617600.6</v>
          </cell>
          <cell r="AE444">
            <v>1617602</v>
          </cell>
          <cell r="AG444">
            <v>-14889</v>
          </cell>
          <cell r="AH444">
            <v>42523</v>
          </cell>
          <cell r="AI444">
            <v>175895</v>
          </cell>
          <cell r="AJ444">
            <v>0</v>
          </cell>
          <cell r="AK444">
            <v>0</v>
          </cell>
          <cell r="AL444">
            <v>1821131</v>
          </cell>
        </row>
        <row r="445">
          <cell r="B445" t="str">
            <v>Dec 2015</v>
          </cell>
          <cell r="C445" t="str">
            <v>PSP</v>
          </cell>
          <cell r="D445" t="str">
            <v>LGINE663</v>
          </cell>
          <cell r="E445">
            <v>21</v>
          </cell>
          <cell r="F445">
            <v>0</v>
          </cell>
          <cell r="G445">
            <v>0</v>
          </cell>
          <cell r="H445">
            <v>0</v>
          </cell>
          <cell r="I445">
            <v>0</v>
          </cell>
          <cell r="J445">
            <v>1085432</v>
          </cell>
          <cell r="K445">
            <v>0</v>
          </cell>
          <cell r="L445">
            <v>3901</v>
          </cell>
          <cell r="M445">
            <v>0</v>
          </cell>
          <cell r="AA445">
            <v>0</v>
          </cell>
          <cell r="AB445">
            <v>0</v>
          </cell>
          <cell r="AD445">
            <v>91669.72</v>
          </cell>
          <cell r="AE445">
            <v>91670</v>
          </cell>
          <cell r="AG445">
            <v>-851</v>
          </cell>
          <cell r="AH445">
            <v>2431</v>
          </cell>
          <cell r="AI445">
            <v>10058</v>
          </cell>
          <cell r="AJ445">
            <v>0</v>
          </cell>
          <cell r="AK445">
            <v>0</v>
          </cell>
          <cell r="AL445">
            <v>103308</v>
          </cell>
        </row>
        <row r="446">
          <cell r="B446" t="str">
            <v>Dec 2015</v>
          </cell>
          <cell r="C446" t="str">
            <v>TODS</v>
          </cell>
          <cell r="D446" t="str">
            <v>LGINE691</v>
          </cell>
          <cell r="E446">
            <v>98</v>
          </cell>
          <cell r="F446">
            <v>0</v>
          </cell>
          <cell r="G446">
            <v>0</v>
          </cell>
          <cell r="H446">
            <v>0</v>
          </cell>
          <cell r="I446">
            <v>0</v>
          </cell>
          <cell r="J446">
            <v>20700534</v>
          </cell>
          <cell r="K446">
            <v>51840</v>
          </cell>
          <cell r="L446">
            <v>48096</v>
          </cell>
          <cell r="M446">
            <v>46727</v>
          </cell>
          <cell r="AA446">
            <v>0</v>
          </cell>
          <cell r="AB446">
            <v>0</v>
          </cell>
          <cell r="AD446">
            <v>1555326.24</v>
          </cell>
          <cell r="AE446">
            <v>1555332</v>
          </cell>
          <cell r="AG446">
            <v>-16237</v>
          </cell>
          <cell r="AH446">
            <v>46370</v>
          </cell>
          <cell r="AI446">
            <v>191812</v>
          </cell>
          <cell r="AJ446">
            <v>0</v>
          </cell>
          <cell r="AK446">
            <v>0</v>
          </cell>
          <cell r="AL446">
            <v>1777277</v>
          </cell>
        </row>
        <row r="447">
          <cell r="B447" t="str">
            <v>Dec 2015</v>
          </cell>
          <cell r="C447" t="str">
            <v>ITODP</v>
          </cell>
          <cell r="D447" t="str">
            <v>LGINE693</v>
          </cell>
          <cell r="E447">
            <v>70</v>
          </cell>
          <cell r="F447">
            <v>0</v>
          </cell>
          <cell r="G447">
            <v>0</v>
          </cell>
          <cell r="H447">
            <v>0</v>
          </cell>
          <cell r="I447">
            <v>0</v>
          </cell>
          <cell r="J447">
            <v>136872012</v>
          </cell>
          <cell r="K447">
            <v>333146</v>
          </cell>
          <cell r="L447">
            <v>302451</v>
          </cell>
          <cell r="M447">
            <v>298433</v>
          </cell>
          <cell r="AA447">
            <v>0</v>
          </cell>
          <cell r="AB447">
            <v>0</v>
          </cell>
          <cell r="AD447">
            <v>8600885.8399999999</v>
          </cell>
          <cell r="AE447">
            <v>8600887</v>
          </cell>
          <cell r="AG447">
            <v>-107356</v>
          </cell>
          <cell r="AH447">
            <v>306601</v>
          </cell>
          <cell r="AI447">
            <v>1268259</v>
          </cell>
          <cell r="AJ447">
            <v>0</v>
          </cell>
          <cell r="AK447">
            <v>0</v>
          </cell>
          <cell r="AL447">
            <v>10068391</v>
          </cell>
        </row>
        <row r="448">
          <cell r="B448" t="str">
            <v>Dec 2015</v>
          </cell>
          <cell r="C448" t="str">
            <v>ITODP</v>
          </cell>
          <cell r="D448" t="str">
            <v>LGINE694</v>
          </cell>
          <cell r="E448">
            <v>0</v>
          </cell>
          <cell r="F448">
            <v>0</v>
          </cell>
          <cell r="G448">
            <v>0</v>
          </cell>
          <cell r="H448">
            <v>0</v>
          </cell>
          <cell r="I448">
            <v>0</v>
          </cell>
          <cell r="J448">
            <v>0</v>
          </cell>
          <cell r="K448">
            <v>0</v>
          </cell>
          <cell r="L448">
            <v>0</v>
          </cell>
          <cell r="M448">
            <v>0</v>
          </cell>
          <cell r="AA448">
            <v>0</v>
          </cell>
          <cell r="AB448">
            <v>0</v>
          </cell>
          <cell r="AD448">
            <v>0</v>
          </cell>
          <cell r="AE448">
            <v>0</v>
          </cell>
          <cell r="AG448">
            <v>0</v>
          </cell>
          <cell r="AH448">
            <v>0</v>
          </cell>
          <cell r="AI448">
            <v>0</v>
          </cell>
          <cell r="AJ448">
            <v>0</v>
          </cell>
          <cell r="AK448">
            <v>0</v>
          </cell>
          <cell r="AL448">
            <v>0</v>
          </cell>
        </row>
        <row r="449">
          <cell r="B449" t="str">
            <v>Dec 2015</v>
          </cell>
          <cell r="C449" t="str">
            <v>LE</v>
          </cell>
          <cell r="D449" t="str">
            <v>LGMLE570</v>
          </cell>
          <cell r="E449">
            <v>0</v>
          </cell>
          <cell r="F449">
            <v>0</v>
          </cell>
          <cell r="G449">
            <v>0</v>
          </cell>
          <cell r="H449">
            <v>0</v>
          </cell>
          <cell r="I449">
            <v>0</v>
          </cell>
          <cell r="J449">
            <v>0</v>
          </cell>
          <cell r="K449">
            <v>0</v>
          </cell>
          <cell r="L449">
            <v>0</v>
          </cell>
          <cell r="M449">
            <v>0</v>
          </cell>
          <cell r="AA449">
            <v>0</v>
          </cell>
          <cell r="AB449">
            <v>0</v>
          </cell>
          <cell r="AD449">
            <v>0</v>
          </cell>
          <cell r="AE449">
            <v>0</v>
          </cell>
          <cell r="AG449">
            <v>0</v>
          </cell>
          <cell r="AH449">
            <v>0</v>
          </cell>
          <cell r="AI449">
            <v>0</v>
          </cell>
          <cell r="AJ449">
            <v>0</v>
          </cell>
          <cell r="AK449">
            <v>0</v>
          </cell>
          <cell r="AL449">
            <v>0</v>
          </cell>
        </row>
        <row r="450">
          <cell r="B450" t="str">
            <v>Dec 2015</v>
          </cell>
          <cell r="C450" t="str">
            <v>LE</v>
          </cell>
          <cell r="D450" t="str">
            <v>LGMLE571</v>
          </cell>
          <cell r="E450">
            <v>156</v>
          </cell>
          <cell r="F450">
            <v>0</v>
          </cell>
          <cell r="G450">
            <v>0</v>
          </cell>
          <cell r="H450">
            <v>0</v>
          </cell>
          <cell r="I450">
            <v>0</v>
          </cell>
          <cell r="J450">
            <v>359458</v>
          </cell>
          <cell r="K450">
            <v>0</v>
          </cell>
          <cell r="L450">
            <v>0</v>
          </cell>
          <cell r="M450">
            <v>0</v>
          </cell>
          <cell r="AA450">
            <v>0</v>
          </cell>
          <cell r="AB450">
            <v>0</v>
          </cell>
          <cell r="AD450">
            <v>23224.58</v>
          </cell>
          <cell r="AE450">
            <v>0</v>
          </cell>
          <cell r="AG450">
            <v>0</v>
          </cell>
          <cell r="AH450">
            <v>0</v>
          </cell>
          <cell r="AI450">
            <v>0</v>
          </cell>
          <cell r="AJ450">
            <v>0</v>
          </cell>
          <cell r="AK450">
            <v>0</v>
          </cell>
          <cell r="AL450">
            <v>0</v>
          </cell>
        </row>
        <row r="451">
          <cell r="B451" t="str">
            <v>Dec 2015</v>
          </cell>
          <cell r="C451" t="str">
            <v>LE</v>
          </cell>
          <cell r="D451" t="str">
            <v>LGMLE572</v>
          </cell>
          <cell r="E451">
            <v>0</v>
          </cell>
          <cell r="F451">
            <v>0</v>
          </cell>
          <cell r="G451">
            <v>0</v>
          </cell>
          <cell r="H451">
            <v>0</v>
          </cell>
          <cell r="I451">
            <v>0</v>
          </cell>
          <cell r="J451">
            <v>0</v>
          </cell>
          <cell r="K451">
            <v>0</v>
          </cell>
          <cell r="L451">
            <v>0</v>
          </cell>
          <cell r="M451">
            <v>0</v>
          </cell>
          <cell r="AA451">
            <v>0</v>
          </cell>
          <cell r="AB451">
            <v>0</v>
          </cell>
          <cell r="AD451">
            <v>0</v>
          </cell>
          <cell r="AE451">
            <v>0</v>
          </cell>
          <cell r="AG451">
            <v>0</v>
          </cell>
          <cell r="AH451">
            <v>0</v>
          </cell>
          <cell r="AI451">
            <v>0</v>
          </cell>
          <cell r="AJ451">
            <v>0</v>
          </cell>
          <cell r="AK451">
            <v>0</v>
          </cell>
          <cell r="AL451">
            <v>0</v>
          </cell>
        </row>
        <row r="452">
          <cell r="B452" t="str">
            <v>Dec 2015</v>
          </cell>
          <cell r="C452" t="str">
            <v>TE</v>
          </cell>
          <cell r="D452" t="str">
            <v>LGMLE573</v>
          </cell>
          <cell r="E452">
            <v>905</v>
          </cell>
          <cell r="F452">
            <v>0</v>
          </cell>
          <cell r="G452">
            <v>0</v>
          </cell>
          <cell r="H452">
            <v>0</v>
          </cell>
          <cell r="I452">
            <v>0</v>
          </cell>
          <cell r="J452">
            <v>295991</v>
          </cell>
          <cell r="K452">
            <v>0</v>
          </cell>
          <cell r="L452">
            <v>0</v>
          </cell>
          <cell r="M452">
            <v>0</v>
          </cell>
          <cell r="AA452">
            <v>0</v>
          </cell>
          <cell r="AB452">
            <v>0</v>
          </cell>
          <cell r="AD452">
            <v>25608.240000000002</v>
          </cell>
          <cell r="AE452">
            <v>0</v>
          </cell>
          <cell r="AG452">
            <v>0</v>
          </cell>
          <cell r="AH452">
            <v>0</v>
          </cell>
          <cell r="AI452">
            <v>0</v>
          </cell>
          <cell r="AJ452">
            <v>0</v>
          </cell>
          <cell r="AK452">
            <v>0</v>
          </cell>
          <cell r="AL452">
            <v>0</v>
          </cell>
        </row>
        <row r="453">
          <cell r="B453" t="str">
            <v>Dec 2015</v>
          </cell>
          <cell r="C453" t="str">
            <v>TE</v>
          </cell>
          <cell r="D453" t="str">
            <v>LGMLE574</v>
          </cell>
          <cell r="E453">
            <v>0</v>
          </cell>
          <cell r="F453">
            <v>0</v>
          </cell>
          <cell r="G453">
            <v>0</v>
          </cell>
          <cell r="H453">
            <v>0</v>
          </cell>
          <cell r="I453">
            <v>0</v>
          </cell>
          <cell r="J453">
            <v>0</v>
          </cell>
          <cell r="K453">
            <v>0</v>
          </cell>
          <cell r="L453">
            <v>0</v>
          </cell>
          <cell r="M453">
            <v>0</v>
          </cell>
          <cell r="AA453">
            <v>0</v>
          </cell>
          <cell r="AB453">
            <v>0</v>
          </cell>
          <cell r="AD453">
            <v>0</v>
          </cell>
          <cell r="AE453">
            <v>0</v>
          </cell>
          <cell r="AG453">
            <v>0</v>
          </cell>
          <cell r="AH453">
            <v>0</v>
          </cell>
          <cell r="AI453">
            <v>0</v>
          </cell>
          <cell r="AJ453">
            <v>0</v>
          </cell>
          <cell r="AK453">
            <v>0</v>
          </cell>
          <cell r="AL453">
            <v>0</v>
          </cell>
        </row>
        <row r="454">
          <cell r="B454" t="str">
            <v>Dec 2015</v>
          </cell>
          <cell r="C454" t="str">
            <v>RS</v>
          </cell>
          <cell r="D454" t="str">
            <v>LGRSE411</v>
          </cell>
          <cell r="E454">
            <v>0</v>
          </cell>
          <cell r="F454">
            <v>0</v>
          </cell>
          <cell r="G454">
            <v>0</v>
          </cell>
          <cell r="H454">
            <v>0</v>
          </cell>
          <cell r="I454">
            <v>0</v>
          </cell>
          <cell r="J454">
            <v>0</v>
          </cell>
          <cell r="K454">
            <v>0</v>
          </cell>
          <cell r="L454">
            <v>0</v>
          </cell>
          <cell r="M454">
            <v>0</v>
          </cell>
          <cell r="AA454">
            <v>0</v>
          </cell>
          <cell r="AB454">
            <v>0</v>
          </cell>
          <cell r="AD454">
            <v>0</v>
          </cell>
          <cell r="AE454">
            <v>0</v>
          </cell>
          <cell r="AG454">
            <v>0</v>
          </cell>
          <cell r="AH454">
            <v>0</v>
          </cell>
          <cell r="AI454">
            <v>0</v>
          </cell>
          <cell r="AJ454">
            <v>0</v>
          </cell>
          <cell r="AK454">
            <v>0</v>
          </cell>
          <cell r="AL454">
            <v>0</v>
          </cell>
        </row>
        <row r="455">
          <cell r="B455" t="str">
            <v>Dec 2015</v>
          </cell>
          <cell r="C455" t="str">
            <v>RS</v>
          </cell>
          <cell r="D455" t="str">
            <v>LGRSE511</v>
          </cell>
          <cell r="E455">
            <v>361403</v>
          </cell>
          <cell r="F455">
            <v>0</v>
          </cell>
          <cell r="G455">
            <v>0</v>
          </cell>
          <cell r="H455">
            <v>0</v>
          </cell>
          <cell r="I455">
            <v>0</v>
          </cell>
          <cell r="J455">
            <v>335470235</v>
          </cell>
          <cell r="K455">
            <v>0</v>
          </cell>
          <cell r="L455">
            <v>0</v>
          </cell>
          <cell r="M455">
            <v>0</v>
          </cell>
          <cell r="AA455">
            <v>0</v>
          </cell>
          <cell r="AB455">
            <v>0</v>
          </cell>
          <cell r="AD455">
            <v>30977658.43</v>
          </cell>
          <cell r="AE455">
            <v>30979932</v>
          </cell>
          <cell r="AG455">
            <v>-263148</v>
          </cell>
          <cell r="AH455">
            <v>751530</v>
          </cell>
          <cell r="AI455">
            <v>3108711</v>
          </cell>
          <cell r="AJ455">
            <v>0</v>
          </cell>
          <cell r="AK455">
            <v>0</v>
          </cell>
          <cell r="AL455">
            <v>34577025</v>
          </cell>
        </row>
        <row r="456">
          <cell r="B456" t="str">
            <v>Dec 2015</v>
          </cell>
          <cell r="C456" t="str">
            <v>RS</v>
          </cell>
          <cell r="D456" t="str">
            <v>LGRSE519</v>
          </cell>
          <cell r="E456">
            <v>0</v>
          </cell>
          <cell r="F456">
            <v>0</v>
          </cell>
          <cell r="G456">
            <v>0</v>
          </cell>
          <cell r="H456">
            <v>0</v>
          </cell>
          <cell r="I456">
            <v>0</v>
          </cell>
          <cell r="J456">
            <v>0</v>
          </cell>
          <cell r="K456">
            <v>0</v>
          </cell>
          <cell r="L456">
            <v>0</v>
          </cell>
          <cell r="M456">
            <v>0</v>
          </cell>
          <cell r="AA456">
            <v>0</v>
          </cell>
          <cell r="AB456">
            <v>0</v>
          </cell>
          <cell r="AD456">
            <v>0</v>
          </cell>
          <cell r="AE456">
            <v>0</v>
          </cell>
          <cell r="AG456">
            <v>0</v>
          </cell>
          <cell r="AH456">
            <v>0</v>
          </cell>
          <cell r="AI456">
            <v>0</v>
          </cell>
          <cell r="AJ456">
            <v>0</v>
          </cell>
          <cell r="AK456">
            <v>0</v>
          </cell>
          <cell r="AL456">
            <v>0</v>
          </cell>
        </row>
        <row r="457">
          <cell r="B457" t="str">
            <v>Dec 2015</v>
          </cell>
          <cell r="C457" t="str">
            <v>RS</v>
          </cell>
          <cell r="D457" t="str">
            <v>LGRSE540</v>
          </cell>
          <cell r="E457">
            <v>0</v>
          </cell>
          <cell r="F457">
            <v>0</v>
          </cell>
          <cell r="G457">
            <v>0</v>
          </cell>
          <cell r="H457">
            <v>0</v>
          </cell>
          <cell r="I457">
            <v>0</v>
          </cell>
          <cell r="J457">
            <v>0</v>
          </cell>
          <cell r="K457">
            <v>0</v>
          </cell>
          <cell r="L457">
            <v>0</v>
          </cell>
          <cell r="M457">
            <v>0</v>
          </cell>
          <cell r="AA457">
            <v>0</v>
          </cell>
          <cell r="AB457">
            <v>0</v>
          </cell>
          <cell r="AD457">
            <v>0</v>
          </cell>
          <cell r="AE457">
            <v>0</v>
          </cell>
          <cell r="AG457">
            <v>0</v>
          </cell>
          <cell r="AH457">
            <v>0</v>
          </cell>
          <cell r="AI457">
            <v>0</v>
          </cell>
          <cell r="AJ457">
            <v>0</v>
          </cell>
          <cell r="AK457">
            <v>0</v>
          </cell>
          <cell r="AL457">
            <v>0</v>
          </cell>
        </row>
        <row r="458">
          <cell r="B458" t="str">
            <v>Dec 2015</v>
          </cell>
          <cell r="C458" t="str">
            <v>LEV</v>
          </cell>
          <cell r="D458" t="str">
            <v>LGRSE543</v>
          </cell>
          <cell r="E458">
            <v>20</v>
          </cell>
          <cell r="F458">
            <v>0</v>
          </cell>
          <cell r="G458">
            <v>12835</v>
          </cell>
          <cell r="H458">
            <v>7619</v>
          </cell>
          <cell r="I458">
            <v>5042</v>
          </cell>
          <cell r="J458">
            <v>25496</v>
          </cell>
          <cell r="K458">
            <v>0</v>
          </cell>
          <cell r="L458">
            <v>0</v>
          </cell>
          <cell r="M458">
            <v>0</v>
          </cell>
          <cell r="AA458">
            <v>0</v>
          </cell>
          <cell r="AB458">
            <v>0</v>
          </cell>
          <cell r="AD458">
            <v>2292.44</v>
          </cell>
          <cell r="AE458">
            <v>0</v>
          </cell>
          <cell r="AG458">
            <v>0</v>
          </cell>
          <cell r="AH458">
            <v>0</v>
          </cell>
          <cell r="AI458">
            <v>0</v>
          </cell>
          <cell r="AJ458">
            <v>0</v>
          </cell>
          <cell r="AK458">
            <v>0</v>
          </cell>
          <cell r="AL458">
            <v>0</v>
          </cell>
        </row>
        <row r="459">
          <cell r="B459" t="str">
            <v>Dec 2015</v>
          </cell>
          <cell r="C459" t="str">
            <v>LEV</v>
          </cell>
          <cell r="D459" t="str">
            <v>LGRSE547</v>
          </cell>
          <cell r="E459">
            <v>0</v>
          </cell>
          <cell r="F459">
            <v>0</v>
          </cell>
          <cell r="G459">
            <v>0</v>
          </cell>
          <cell r="H459">
            <v>0</v>
          </cell>
          <cell r="I459">
            <v>0</v>
          </cell>
          <cell r="J459">
            <v>0</v>
          </cell>
          <cell r="K459">
            <v>0</v>
          </cell>
          <cell r="L459">
            <v>0</v>
          </cell>
          <cell r="M459">
            <v>0</v>
          </cell>
          <cell r="AA459">
            <v>0</v>
          </cell>
          <cell r="AB459">
            <v>0</v>
          </cell>
          <cell r="AD459">
            <v>0</v>
          </cell>
          <cell r="AE459">
            <v>0</v>
          </cell>
          <cell r="AG459">
            <v>0</v>
          </cell>
          <cell r="AH459">
            <v>0</v>
          </cell>
          <cell r="AI459">
            <v>0</v>
          </cell>
          <cell r="AJ459">
            <v>0</v>
          </cell>
          <cell r="AK459">
            <v>0</v>
          </cell>
          <cell r="AL459">
            <v>0</v>
          </cell>
        </row>
      </sheetData>
      <sheetData sheetId="13">
        <row r="4">
          <cell r="C4" t="str">
            <v>RLS</v>
          </cell>
          <cell r="E4">
            <v>79</v>
          </cell>
          <cell r="F4">
            <v>0</v>
          </cell>
          <cell r="J4">
            <v>643.05999999999995</v>
          </cell>
          <cell r="M4">
            <v>0</v>
          </cell>
          <cell r="N4">
            <v>0</v>
          </cell>
          <cell r="O4">
            <v>0</v>
          </cell>
          <cell r="P4">
            <v>0</v>
          </cell>
          <cell r="Z4" t="str">
            <v>20140101LGUM_201</v>
          </cell>
          <cell r="AB4" t="str">
            <v>201</v>
          </cell>
        </row>
        <row r="5">
          <cell r="C5" t="str">
            <v>RLS</v>
          </cell>
          <cell r="E5">
            <v>3887</v>
          </cell>
          <cell r="F5">
            <v>0</v>
          </cell>
          <cell r="J5">
            <v>42601.52</v>
          </cell>
          <cell r="M5">
            <v>0</v>
          </cell>
          <cell r="N5">
            <v>0</v>
          </cell>
          <cell r="O5">
            <v>0</v>
          </cell>
          <cell r="P5">
            <v>0</v>
          </cell>
          <cell r="Z5" t="str">
            <v>20140101LGUM_203</v>
          </cell>
          <cell r="AB5" t="str">
            <v>203</v>
          </cell>
        </row>
        <row r="6">
          <cell r="C6" t="str">
            <v>RLS</v>
          </cell>
          <cell r="E6">
            <v>3853</v>
          </cell>
          <cell r="F6">
            <v>0</v>
          </cell>
          <cell r="J6">
            <v>52054.03</v>
          </cell>
          <cell r="M6">
            <v>0</v>
          </cell>
          <cell r="N6">
            <v>0</v>
          </cell>
          <cell r="O6">
            <v>0</v>
          </cell>
          <cell r="P6">
            <v>0</v>
          </cell>
          <cell r="Z6" t="str">
            <v>20140101LGUM_204</v>
          </cell>
          <cell r="AB6" t="str">
            <v>204</v>
          </cell>
        </row>
        <row r="7">
          <cell r="C7" t="str">
            <v>RLS</v>
          </cell>
          <cell r="E7">
            <v>97</v>
          </cell>
          <cell r="F7">
            <v>0</v>
          </cell>
          <cell r="J7">
            <v>1207.6500000000001</v>
          </cell>
          <cell r="M7">
            <v>0</v>
          </cell>
          <cell r="N7">
            <v>0</v>
          </cell>
          <cell r="O7">
            <v>0</v>
          </cell>
          <cell r="P7">
            <v>0</v>
          </cell>
          <cell r="Z7" t="str">
            <v>20140101LGUM_206</v>
          </cell>
          <cell r="AB7" t="str">
            <v>206</v>
          </cell>
        </row>
        <row r="8">
          <cell r="C8" t="str">
            <v>RLS</v>
          </cell>
          <cell r="E8">
            <v>767</v>
          </cell>
          <cell r="F8">
            <v>0</v>
          </cell>
          <cell r="J8">
            <v>11919.18</v>
          </cell>
          <cell r="M8">
            <v>0</v>
          </cell>
          <cell r="N8">
            <v>0</v>
          </cell>
          <cell r="O8">
            <v>0</v>
          </cell>
          <cell r="P8">
            <v>0</v>
          </cell>
          <cell r="Z8" t="str">
            <v>20140101LGUM_207</v>
          </cell>
          <cell r="AB8" t="str">
            <v>207</v>
          </cell>
        </row>
        <row r="9">
          <cell r="C9" t="str">
            <v>RLS</v>
          </cell>
          <cell r="E9">
            <v>1414</v>
          </cell>
          <cell r="F9">
            <v>0</v>
          </cell>
          <cell r="J9">
            <v>20135.36</v>
          </cell>
          <cell r="M9">
            <v>0</v>
          </cell>
          <cell r="N9">
            <v>0</v>
          </cell>
          <cell r="O9">
            <v>0</v>
          </cell>
          <cell r="P9">
            <v>0</v>
          </cell>
          <cell r="Z9" t="str">
            <v>20140101LGUM_208</v>
          </cell>
          <cell r="AB9" t="str">
            <v>208</v>
          </cell>
        </row>
        <row r="10">
          <cell r="C10" t="str">
            <v>RLS</v>
          </cell>
          <cell r="E10">
            <v>45</v>
          </cell>
          <cell r="F10">
            <v>0</v>
          </cell>
          <cell r="J10">
            <v>1246.05</v>
          </cell>
          <cell r="M10">
            <v>0</v>
          </cell>
          <cell r="N10">
            <v>0</v>
          </cell>
          <cell r="O10">
            <v>0</v>
          </cell>
          <cell r="P10">
            <v>0</v>
          </cell>
          <cell r="Z10" t="str">
            <v>20140101LGUM_209</v>
          </cell>
          <cell r="AB10" t="str">
            <v>209</v>
          </cell>
        </row>
        <row r="11">
          <cell r="C11" t="str">
            <v>RLS</v>
          </cell>
          <cell r="E11">
            <v>365</v>
          </cell>
          <cell r="F11">
            <v>0</v>
          </cell>
          <cell r="J11">
            <v>10544.85</v>
          </cell>
          <cell r="M11">
            <v>0</v>
          </cell>
          <cell r="N11">
            <v>0</v>
          </cell>
          <cell r="O11">
            <v>0</v>
          </cell>
          <cell r="P11">
            <v>0</v>
          </cell>
          <cell r="Z11" t="str">
            <v>20140101LGUM_210</v>
          </cell>
          <cell r="AB11" t="str">
            <v>210</v>
          </cell>
        </row>
        <row r="12">
          <cell r="C12" t="str">
            <v>RLS</v>
          </cell>
          <cell r="E12">
            <v>4021</v>
          </cell>
          <cell r="F12">
            <v>0</v>
          </cell>
          <cell r="J12">
            <v>38480.97</v>
          </cell>
          <cell r="M12">
            <v>0</v>
          </cell>
          <cell r="N12">
            <v>0</v>
          </cell>
          <cell r="O12">
            <v>0</v>
          </cell>
          <cell r="P12">
            <v>0</v>
          </cell>
          <cell r="Z12" t="str">
            <v>20140101LGUM_252</v>
          </cell>
          <cell r="AB12" t="str">
            <v>252</v>
          </cell>
        </row>
        <row r="13">
          <cell r="C13" t="str">
            <v>RLS</v>
          </cell>
          <cell r="E13">
            <v>2034</v>
          </cell>
          <cell r="F13">
            <v>0</v>
          </cell>
          <cell r="J13">
            <v>55609.56</v>
          </cell>
          <cell r="M13">
            <v>0</v>
          </cell>
          <cell r="N13">
            <v>0</v>
          </cell>
          <cell r="O13">
            <v>0</v>
          </cell>
          <cell r="P13">
            <v>0</v>
          </cell>
          <cell r="Z13" t="str">
            <v>20140101LGUM_266</v>
          </cell>
          <cell r="AB13" t="str">
            <v>266</v>
          </cell>
        </row>
        <row r="14">
          <cell r="C14" t="str">
            <v>RLS</v>
          </cell>
          <cell r="E14">
            <v>2265</v>
          </cell>
          <cell r="F14">
            <v>0</v>
          </cell>
          <cell r="J14">
            <v>71121</v>
          </cell>
          <cell r="M14">
            <v>0</v>
          </cell>
          <cell r="N14">
            <v>0</v>
          </cell>
          <cell r="O14">
            <v>0</v>
          </cell>
          <cell r="P14">
            <v>0</v>
          </cell>
          <cell r="Z14" t="str">
            <v>20140101LGUM_267</v>
          </cell>
          <cell r="AB14" t="str">
            <v>267</v>
          </cell>
        </row>
        <row r="15">
          <cell r="C15" t="str">
            <v>RLS</v>
          </cell>
          <cell r="E15">
            <v>16883</v>
          </cell>
          <cell r="F15">
            <v>0</v>
          </cell>
          <cell r="J15">
            <v>290218.77</v>
          </cell>
          <cell r="M15">
            <v>0</v>
          </cell>
          <cell r="N15">
            <v>0</v>
          </cell>
          <cell r="O15">
            <v>0</v>
          </cell>
          <cell r="P15">
            <v>0</v>
          </cell>
          <cell r="Z15" t="str">
            <v>20140101LGUM_274</v>
          </cell>
          <cell r="AB15" t="str">
            <v>274</v>
          </cell>
        </row>
        <row r="16">
          <cell r="C16" t="str">
            <v>RLS</v>
          </cell>
          <cell r="E16">
            <v>520</v>
          </cell>
          <cell r="F16">
            <v>0</v>
          </cell>
          <cell r="J16">
            <v>12942.8</v>
          </cell>
          <cell r="M16">
            <v>0</v>
          </cell>
          <cell r="N16">
            <v>0</v>
          </cell>
          <cell r="O16">
            <v>0</v>
          </cell>
          <cell r="P16">
            <v>0</v>
          </cell>
          <cell r="Z16" t="str">
            <v>20140101LGUM_275</v>
          </cell>
          <cell r="AB16" t="str">
            <v>275</v>
          </cell>
        </row>
        <row r="17">
          <cell r="C17" t="str">
            <v>RLS</v>
          </cell>
          <cell r="E17">
            <v>1329</v>
          </cell>
          <cell r="F17">
            <v>0</v>
          </cell>
          <cell r="J17">
            <v>18831.93</v>
          </cell>
          <cell r="M17">
            <v>0</v>
          </cell>
          <cell r="N17">
            <v>0</v>
          </cell>
          <cell r="O17">
            <v>0</v>
          </cell>
          <cell r="P17">
            <v>0</v>
          </cell>
          <cell r="Z17" t="str">
            <v>20140101LGUM_276</v>
          </cell>
          <cell r="AB17" t="str">
            <v>276</v>
          </cell>
        </row>
        <row r="18">
          <cell r="C18" t="str">
            <v>RLS</v>
          </cell>
          <cell r="E18">
            <v>2276</v>
          </cell>
          <cell r="F18">
            <v>0</v>
          </cell>
          <cell r="J18">
            <v>50413.4</v>
          </cell>
          <cell r="M18">
            <v>0</v>
          </cell>
          <cell r="N18">
            <v>0</v>
          </cell>
          <cell r="O18">
            <v>0</v>
          </cell>
          <cell r="P18">
            <v>0</v>
          </cell>
          <cell r="Z18" t="str">
            <v>20140101LGUM_277</v>
          </cell>
          <cell r="AB18" t="str">
            <v>277</v>
          </cell>
        </row>
        <row r="19">
          <cell r="C19" t="str">
            <v>RLS</v>
          </cell>
          <cell r="E19">
            <v>17</v>
          </cell>
          <cell r="F19">
            <v>0</v>
          </cell>
          <cell r="J19">
            <v>1233.3499999999999</v>
          </cell>
          <cell r="M19">
            <v>0</v>
          </cell>
          <cell r="N19">
            <v>0</v>
          </cell>
          <cell r="O19">
            <v>0</v>
          </cell>
          <cell r="P19">
            <v>0</v>
          </cell>
          <cell r="Z19" t="str">
            <v>20140101LGUM_278</v>
          </cell>
          <cell r="AB19" t="str">
            <v>278</v>
          </cell>
        </row>
        <row r="20">
          <cell r="C20" t="str">
            <v>RLS</v>
          </cell>
          <cell r="E20">
            <v>11</v>
          </cell>
          <cell r="F20">
            <v>0</v>
          </cell>
          <cell r="J20">
            <v>455.73</v>
          </cell>
          <cell r="M20">
            <v>0</v>
          </cell>
          <cell r="N20">
            <v>0</v>
          </cell>
          <cell r="O20">
            <v>0</v>
          </cell>
          <cell r="P20">
            <v>0</v>
          </cell>
          <cell r="Z20" t="str">
            <v>20140101LGUM_279</v>
          </cell>
          <cell r="AB20" t="str">
            <v>279</v>
          </cell>
        </row>
        <row r="21">
          <cell r="C21" t="str">
            <v>RLS</v>
          </cell>
          <cell r="E21">
            <v>45</v>
          </cell>
          <cell r="F21">
            <v>0</v>
          </cell>
          <cell r="J21">
            <v>872.1</v>
          </cell>
          <cell r="M21">
            <v>0</v>
          </cell>
          <cell r="N21">
            <v>0</v>
          </cell>
          <cell r="O21">
            <v>0</v>
          </cell>
          <cell r="P21">
            <v>0</v>
          </cell>
          <cell r="Z21" t="str">
            <v>20140101LGUM_280</v>
          </cell>
          <cell r="AB21" t="str">
            <v>280</v>
          </cell>
        </row>
        <row r="22">
          <cell r="C22" t="str">
            <v>RLS</v>
          </cell>
          <cell r="E22">
            <v>243</v>
          </cell>
          <cell r="F22">
            <v>0</v>
          </cell>
          <cell r="J22">
            <v>4945.05</v>
          </cell>
          <cell r="M22">
            <v>0</v>
          </cell>
          <cell r="N22">
            <v>0</v>
          </cell>
          <cell r="O22">
            <v>0</v>
          </cell>
          <cell r="P22">
            <v>0</v>
          </cell>
          <cell r="Z22" t="str">
            <v>20140101LGUM_281</v>
          </cell>
          <cell r="AB22" t="str">
            <v>281</v>
          </cell>
        </row>
        <row r="23">
          <cell r="C23" t="str">
            <v>RLS</v>
          </cell>
          <cell r="E23">
            <v>104</v>
          </cell>
          <cell r="F23">
            <v>0</v>
          </cell>
          <cell r="J23">
            <v>2031.12</v>
          </cell>
          <cell r="M23">
            <v>0</v>
          </cell>
          <cell r="N23">
            <v>0</v>
          </cell>
          <cell r="O23">
            <v>0</v>
          </cell>
          <cell r="P23">
            <v>0</v>
          </cell>
          <cell r="Z23" t="str">
            <v>20140101LGUM_282</v>
          </cell>
          <cell r="AB23" t="str">
            <v>282</v>
          </cell>
        </row>
        <row r="24">
          <cell r="C24" t="str">
            <v>RLS</v>
          </cell>
          <cell r="E24">
            <v>81</v>
          </cell>
          <cell r="F24">
            <v>0</v>
          </cell>
          <cell r="J24">
            <v>1686.42</v>
          </cell>
          <cell r="M24">
            <v>0</v>
          </cell>
          <cell r="N24">
            <v>0</v>
          </cell>
          <cell r="O24">
            <v>0</v>
          </cell>
          <cell r="P24">
            <v>0</v>
          </cell>
          <cell r="Z24" t="str">
            <v>20140101LGUM_283</v>
          </cell>
          <cell r="AB24" t="str">
            <v>283</v>
          </cell>
        </row>
        <row r="25">
          <cell r="C25" t="str">
            <v>RLS</v>
          </cell>
          <cell r="E25">
            <v>550</v>
          </cell>
          <cell r="F25">
            <v>0</v>
          </cell>
          <cell r="J25">
            <v>10560</v>
          </cell>
          <cell r="M25">
            <v>0</v>
          </cell>
          <cell r="N25">
            <v>0</v>
          </cell>
          <cell r="O25">
            <v>0</v>
          </cell>
          <cell r="P25">
            <v>0</v>
          </cell>
          <cell r="Z25" t="str">
            <v>20140101LGUM_314</v>
          </cell>
          <cell r="AB25" t="str">
            <v>314</v>
          </cell>
        </row>
        <row r="26">
          <cell r="C26" t="str">
            <v>RLS</v>
          </cell>
          <cell r="E26">
            <v>527</v>
          </cell>
          <cell r="F26">
            <v>0</v>
          </cell>
          <cell r="J26">
            <v>12094.65</v>
          </cell>
          <cell r="M26">
            <v>0</v>
          </cell>
          <cell r="N26">
            <v>0</v>
          </cell>
          <cell r="O26">
            <v>0</v>
          </cell>
          <cell r="P26">
            <v>0</v>
          </cell>
          <cell r="Z26" t="str">
            <v>20140101LGUM_315</v>
          </cell>
          <cell r="AB26" t="str">
            <v>315</v>
          </cell>
        </row>
        <row r="27">
          <cell r="C27" t="str">
            <v>RLS</v>
          </cell>
          <cell r="E27">
            <v>53</v>
          </cell>
          <cell r="F27">
            <v>0</v>
          </cell>
          <cell r="J27">
            <v>923.26</v>
          </cell>
          <cell r="M27">
            <v>0</v>
          </cell>
          <cell r="N27">
            <v>0</v>
          </cell>
          <cell r="O27">
            <v>0</v>
          </cell>
          <cell r="P27">
            <v>0</v>
          </cell>
          <cell r="Z27" t="str">
            <v>20140101LGUM_318</v>
          </cell>
          <cell r="AB27" t="str">
            <v>318</v>
          </cell>
        </row>
        <row r="28">
          <cell r="C28" t="str">
            <v>RLS</v>
          </cell>
          <cell r="E28">
            <v>0</v>
          </cell>
          <cell r="F28">
            <v>0</v>
          </cell>
          <cell r="J28">
            <v>0</v>
          </cell>
          <cell r="M28">
            <v>0</v>
          </cell>
          <cell r="N28">
            <v>0</v>
          </cell>
          <cell r="O28">
            <v>0</v>
          </cell>
          <cell r="P28">
            <v>0</v>
          </cell>
          <cell r="Z28" t="str">
            <v>20140101LGUM_347</v>
          </cell>
          <cell r="AB28" t="str">
            <v>347</v>
          </cell>
        </row>
        <row r="29">
          <cell r="C29" t="str">
            <v>RLS</v>
          </cell>
          <cell r="E29">
            <v>39</v>
          </cell>
          <cell r="F29">
            <v>0</v>
          </cell>
          <cell r="J29">
            <v>511.68</v>
          </cell>
          <cell r="M29">
            <v>0</v>
          </cell>
          <cell r="N29">
            <v>0</v>
          </cell>
          <cell r="O29">
            <v>0</v>
          </cell>
          <cell r="P29">
            <v>0</v>
          </cell>
          <cell r="Z29" t="str">
            <v>20140101LGUM_348</v>
          </cell>
          <cell r="AB29" t="str">
            <v>348</v>
          </cell>
        </row>
        <row r="30">
          <cell r="C30" t="str">
            <v>RLS</v>
          </cell>
          <cell r="E30">
            <v>17</v>
          </cell>
          <cell r="F30">
            <v>0</v>
          </cell>
          <cell r="J30">
            <v>153.34</v>
          </cell>
          <cell r="M30">
            <v>0</v>
          </cell>
          <cell r="N30">
            <v>0</v>
          </cell>
          <cell r="O30">
            <v>0</v>
          </cell>
          <cell r="P30">
            <v>0</v>
          </cell>
          <cell r="Z30" t="str">
            <v>20140101LGUM_349</v>
          </cell>
          <cell r="AB30" t="str">
            <v>349</v>
          </cell>
        </row>
        <row r="31">
          <cell r="C31" t="str">
            <v xml:space="preserve">LS </v>
          </cell>
          <cell r="E31">
            <v>32</v>
          </cell>
          <cell r="F31">
            <v>0</v>
          </cell>
          <cell r="J31">
            <v>764.48</v>
          </cell>
          <cell r="M31">
            <v>0</v>
          </cell>
          <cell r="N31">
            <v>0</v>
          </cell>
          <cell r="O31">
            <v>0</v>
          </cell>
          <cell r="P31">
            <v>0</v>
          </cell>
          <cell r="Z31" t="str">
            <v>20140101LGUM_400</v>
          </cell>
          <cell r="AB31" t="str">
            <v>400</v>
          </cell>
        </row>
        <row r="32">
          <cell r="C32" t="str">
            <v xml:space="preserve">LS </v>
          </cell>
          <cell r="E32">
            <v>4</v>
          </cell>
          <cell r="F32">
            <v>0</v>
          </cell>
          <cell r="J32">
            <v>99.6</v>
          </cell>
          <cell r="M32">
            <v>0</v>
          </cell>
          <cell r="N32">
            <v>0</v>
          </cell>
          <cell r="O32">
            <v>0</v>
          </cell>
          <cell r="P32">
            <v>0</v>
          </cell>
          <cell r="Z32" t="str">
            <v>20140101LGUM_401</v>
          </cell>
          <cell r="AB32" t="str">
            <v>401</v>
          </cell>
        </row>
        <row r="33">
          <cell r="C33" t="str">
            <v xml:space="preserve">LS </v>
          </cell>
          <cell r="E33">
            <v>222</v>
          </cell>
          <cell r="F33">
            <v>0</v>
          </cell>
          <cell r="J33">
            <v>4393.38</v>
          </cell>
          <cell r="M33">
            <v>0</v>
          </cell>
          <cell r="N33">
            <v>0</v>
          </cell>
          <cell r="O33">
            <v>0</v>
          </cell>
          <cell r="P33">
            <v>0</v>
          </cell>
          <cell r="Z33" t="str">
            <v>20140101LGUM_412</v>
          </cell>
          <cell r="AB33" t="str">
            <v>412</v>
          </cell>
        </row>
        <row r="34">
          <cell r="C34" t="str">
            <v xml:space="preserve">LS </v>
          </cell>
          <cell r="E34">
            <v>2037</v>
          </cell>
          <cell r="F34">
            <v>0</v>
          </cell>
          <cell r="J34">
            <v>41738.129999999997</v>
          </cell>
          <cell r="M34">
            <v>0</v>
          </cell>
          <cell r="N34">
            <v>0</v>
          </cell>
          <cell r="O34">
            <v>0</v>
          </cell>
          <cell r="P34">
            <v>0</v>
          </cell>
          <cell r="Z34" t="str">
            <v>20140101LGUM_413</v>
          </cell>
          <cell r="AB34" t="str">
            <v>413</v>
          </cell>
        </row>
        <row r="35">
          <cell r="C35" t="str">
            <v xml:space="preserve">LS </v>
          </cell>
          <cell r="E35">
            <v>31</v>
          </cell>
          <cell r="F35">
            <v>0</v>
          </cell>
          <cell r="J35">
            <v>625.58000000000004</v>
          </cell>
          <cell r="M35">
            <v>0</v>
          </cell>
          <cell r="N35">
            <v>0</v>
          </cell>
          <cell r="O35">
            <v>0</v>
          </cell>
          <cell r="P35">
            <v>0</v>
          </cell>
          <cell r="Z35" t="str">
            <v>20140101LGUM_415</v>
          </cell>
          <cell r="AB35" t="str">
            <v>415</v>
          </cell>
        </row>
        <row r="36">
          <cell r="C36" t="str">
            <v xml:space="preserve">LS </v>
          </cell>
          <cell r="E36">
            <v>1810</v>
          </cell>
          <cell r="F36">
            <v>0</v>
          </cell>
          <cell r="J36">
            <v>40833.599999999999</v>
          </cell>
          <cell r="M36">
            <v>0</v>
          </cell>
          <cell r="N36">
            <v>0</v>
          </cell>
          <cell r="O36">
            <v>0</v>
          </cell>
          <cell r="P36">
            <v>0</v>
          </cell>
          <cell r="Z36" t="str">
            <v>20140101LGUM_416</v>
          </cell>
          <cell r="AB36" t="str">
            <v>416</v>
          </cell>
        </row>
        <row r="37">
          <cell r="C37" t="str">
            <v>RLS</v>
          </cell>
          <cell r="E37">
            <v>35</v>
          </cell>
          <cell r="F37">
            <v>0</v>
          </cell>
          <cell r="J37">
            <v>828.8</v>
          </cell>
          <cell r="M37">
            <v>0</v>
          </cell>
          <cell r="N37">
            <v>0</v>
          </cell>
          <cell r="O37">
            <v>0</v>
          </cell>
          <cell r="P37">
            <v>0</v>
          </cell>
          <cell r="Z37" t="str">
            <v>20140101LGUM_417</v>
          </cell>
          <cell r="AB37" t="str">
            <v>417</v>
          </cell>
        </row>
        <row r="38">
          <cell r="C38" t="str">
            <v>RLS</v>
          </cell>
          <cell r="E38">
            <v>111</v>
          </cell>
          <cell r="F38">
            <v>0</v>
          </cell>
          <cell r="J38">
            <v>2749.47</v>
          </cell>
          <cell r="M38">
            <v>0</v>
          </cell>
          <cell r="N38">
            <v>0</v>
          </cell>
          <cell r="O38">
            <v>0</v>
          </cell>
          <cell r="P38">
            <v>0</v>
          </cell>
          <cell r="Z38" t="str">
            <v>20140101LGUM_419</v>
          </cell>
          <cell r="AB38" t="str">
            <v>419</v>
          </cell>
        </row>
        <row r="39">
          <cell r="C39" t="str">
            <v xml:space="preserve">LS </v>
          </cell>
          <cell r="E39">
            <v>47</v>
          </cell>
          <cell r="F39">
            <v>0</v>
          </cell>
          <cell r="J39">
            <v>1404.83</v>
          </cell>
          <cell r="M39">
            <v>0</v>
          </cell>
          <cell r="N39">
            <v>0</v>
          </cell>
          <cell r="O39">
            <v>0</v>
          </cell>
          <cell r="P39">
            <v>0</v>
          </cell>
          <cell r="Z39" t="str">
            <v>20140101LGUM_420</v>
          </cell>
          <cell r="AB39" t="str">
            <v>420</v>
          </cell>
        </row>
        <row r="40">
          <cell r="C40" t="str">
            <v xml:space="preserve">LS </v>
          </cell>
          <cell r="E40">
            <v>176</v>
          </cell>
          <cell r="F40">
            <v>0</v>
          </cell>
          <cell r="J40">
            <v>5783.36</v>
          </cell>
          <cell r="M40">
            <v>0</v>
          </cell>
          <cell r="N40">
            <v>0</v>
          </cell>
          <cell r="O40">
            <v>0</v>
          </cell>
          <cell r="P40">
            <v>0</v>
          </cell>
          <cell r="Z40" t="str">
            <v>20140101LGUM_421</v>
          </cell>
          <cell r="AB40" t="str">
            <v>421</v>
          </cell>
        </row>
        <row r="41">
          <cell r="C41" t="str">
            <v xml:space="preserve">LS </v>
          </cell>
          <cell r="E41">
            <v>355</v>
          </cell>
          <cell r="F41">
            <v>0</v>
          </cell>
          <cell r="J41">
            <v>13628.45</v>
          </cell>
          <cell r="M41">
            <v>0</v>
          </cell>
          <cell r="N41">
            <v>0</v>
          </cell>
          <cell r="O41">
            <v>0</v>
          </cell>
          <cell r="P41">
            <v>0</v>
          </cell>
          <cell r="Z41" t="str">
            <v>20140101LGUM_422</v>
          </cell>
          <cell r="AB41" t="str">
            <v>422</v>
          </cell>
        </row>
        <row r="42">
          <cell r="C42" t="str">
            <v xml:space="preserve">LS </v>
          </cell>
          <cell r="E42">
            <v>17</v>
          </cell>
          <cell r="F42">
            <v>0</v>
          </cell>
          <cell r="J42">
            <v>447.95</v>
          </cell>
          <cell r="M42">
            <v>0</v>
          </cell>
          <cell r="N42">
            <v>0</v>
          </cell>
          <cell r="O42">
            <v>0</v>
          </cell>
          <cell r="P42">
            <v>0</v>
          </cell>
          <cell r="Z42" t="str">
            <v>20140101LGUM_423</v>
          </cell>
          <cell r="AB42" t="str">
            <v>423</v>
          </cell>
        </row>
        <row r="43">
          <cell r="C43" t="str">
            <v xml:space="preserve">LS </v>
          </cell>
          <cell r="E43">
            <v>385</v>
          </cell>
          <cell r="F43">
            <v>0</v>
          </cell>
          <cell r="J43">
            <v>10953.25</v>
          </cell>
          <cell r="M43">
            <v>0</v>
          </cell>
          <cell r="N43">
            <v>0</v>
          </cell>
          <cell r="O43">
            <v>0</v>
          </cell>
          <cell r="P43">
            <v>0</v>
          </cell>
          <cell r="Z43" t="str">
            <v>20140101LGUM_424</v>
          </cell>
          <cell r="AB43" t="str">
            <v>424</v>
          </cell>
        </row>
        <row r="44">
          <cell r="C44" t="str">
            <v xml:space="preserve">LS </v>
          </cell>
          <cell r="E44">
            <v>34</v>
          </cell>
          <cell r="F44">
            <v>0</v>
          </cell>
          <cell r="J44">
            <v>1157.02</v>
          </cell>
          <cell r="M44">
            <v>0</v>
          </cell>
          <cell r="N44">
            <v>0</v>
          </cell>
          <cell r="O44">
            <v>0</v>
          </cell>
          <cell r="P44">
            <v>0</v>
          </cell>
          <cell r="Z44" t="str">
            <v>20140101LGUM_425</v>
          </cell>
          <cell r="AB44" t="str">
            <v>425</v>
          </cell>
        </row>
        <row r="45">
          <cell r="C45" t="str">
            <v>RLS</v>
          </cell>
          <cell r="E45">
            <v>40</v>
          </cell>
          <cell r="F45">
            <v>0</v>
          </cell>
          <cell r="J45">
            <v>1328.8</v>
          </cell>
          <cell r="M45">
            <v>0</v>
          </cell>
          <cell r="N45">
            <v>0</v>
          </cell>
          <cell r="O45">
            <v>0</v>
          </cell>
          <cell r="P45">
            <v>0</v>
          </cell>
          <cell r="Z45" t="str">
            <v>20140101LGUM_426</v>
          </cell>
          <cell r="AB45" t="str">
            <v>426</v>
          </cell>
        </row>
        <row r="46">
          <cell r="C46" t="str">
            <v xml:space="preserve">LS </v>
          </cell>
          <cell r="E46">
            <v>52</v>
          </cell>
          <cell r="F46">
            <v>0</v>
          </cell>
          <cell r="J46">
            <v>1830.4</v>
          </cell>
          <cell r="M46">
            <v>0</v>
          </cell>
          <cell r="N46">
            <v>0</v>
          </cell>
          <cell r="O46">
            <v>0</v>
          </cell>
          <cell r="P46">
            <v>0</v>
          </cell>
          <cell r="Z46" t="str">
            <v>20140101LGUM_427</v>
          </cell>
          <cell r="AB46" t="str">
            <v>427</v>
          </cell>
        </row>
        <row r="47">
          <cell r="C47" t="str">
            <v>RLS</v>
          </cell>
          <cell r="E47">
            <v>205</v>
          </cell>
          <cell r="F47">
            <v>0</v>
          </cell>
          <cell r="J47">
            <v>6988.45</v>
          </cell>
          <cell r="M47">
            <v>0</v>
          </cell>
          <cell r="N47">
            <v>0</v>
          </cell>
          <cell r="O47">
            <v>0</v>
          </cell>
          <cell r="P47">
            <v>0</v>
          </cell>
          <cell r="Z47" t="str">
            <v>20140101LGUM_428</v>
          </cell>
          <cell r="AB47" t="str">
            <v>428</v>
          </cell>
        </row>
        <row r="48">
          <cell r="C48" t="str">
            <v xml:space="preserve">LS </v>
          </cell>
          <cell r="E48">
            <v>190</v>
          </cell>
          <cell r="F48">
            <v>0</v>
          </cell>
          <cell r="J48">
            <v>6853.3</v>
          </cell>
          <cell r="M48">
            <v>0</v>
          </cell>
          <cell r="N48">
            <v>0</v>
          </cell>
          <cell r="O48">
            <v>0</v>
          </cell>
          <cell r="P48">
            <v>0</v>
          </cell>
          <cell r="Z48" t="str">
            <v>20140101LGUM_429</v>
          </cell>
          <cell r="AB48" t="str">
            <v>429</v>
          </cell>
        </row>
        <row r="49">
          <cell r="C49" t="str">
            <v>RLS</v>
          </cell>
          <cell r="E49">
            <v>13</v>
          </cell>
          <cell r="F49">
            <v>0</v>
          </cell>
          <cell r="J49">
            <v>419.38</v>
          </cell>
          <cell r="M49">
            <v>0</v>
          </cell>
          <cell r="N49">
            <v>0</v>
          </cell>
          <cell r="O49">
            <v>0</v>
          </cell>
          <cell r="P49">
            <v>0</v>
          </cell>
          <cell r="Z49" t="str">
            <v>20140101LGUM_430</v>
          </cell>
          <cell r="AB49" t="str">
            <v>430</v>
          </cell>
        </row>
        <row r="50">
          <cell r="C50" t="str">
            <v xml:space="preserve">LS </v>
          </cell>
          <cell r="E50">
            <v>44</v>
          </cell>
          <cell r="F50">
            <v>0</v>
          </cell>
          <cell r="J50">
            <v>1448.92</v>
          </cell>
          <cell r="M50">
            <v>0</v>
          </cell>
          <cell r="N50">
            <v>0</v>
          </cell>
          <cell r="O50">
            <v>0</v>
          </cell>
          <cell r="P50">
            <v>0</v>
          </cell>
          <cell r="Z50" t="str">
            <v>20140101LGUM_431</v>
          </cell>
          <cell r="AB50" t="str">
            <v>431</v>
          </cell>
        </row>
        <row r="51">
          <cell r="C51" t="str">
            <v>RLS</v>
          </cell>
          <cell r="E51">
            <v>10</v>
          </cell>
          <cell r="F51">
            <v>0</v>
          </cell>
          <cell r="J51">
            <v>343.3</v>
          </cell>
          <cell r="M51">
            <v>0</v>
          </cell>
          <cell r="N51">
            <v>0</v>
          </cell>
          <cell r="O51">
            <v>0</v>
          </cell>
          <cell r="P51">
            <v>0</v>
          </cell>
          <cell r="Z51" t="str">
            <v>20140101LGUM_432</v>
          </cell>
          <cell r="AB51" t="str">
            <v>432</v>
          </cell>
        </row>
        <row r="52">
          <cell r="C52" t="str">
            <v xml:space="preserve">LS </v>
          </cell>
          <cell r="E52">
            <v>188</v>
          </cell>
          <cell r="F52">
            <v>0</v>
          </cell>
          <cell r="J52">
            <v>6578.12</v>
          </cell>
          <cell r="M52">
            <v>0</v>
          </cell>
          <cell r="N52">
            <v>0</v>
          </cell>
          <cell r="O52">
            <v>0</v>
          </cell>
          <cell r="P52">
            <v>0</v>
          </cell>
          <cell r="Z52" t="str">
            <v>20140101LGUM_433</v>
          </cell>
          <cell r="AB52" t="str">
            <v>433</v>
          </cell>
        </row>
        <row r="53">
          <cell r="C53" t="str">
            <v xml:space="preserve">LS </v>
          </cell>
          <cell r="E53">
            <v>0</v>
          </cell>
          <cell r="F53">
            <v>0</v>
          </cell>
          <cell r="J53">
            <v>0</v>
          </cell>
          <cell r="M53">
            <v>0</v>
          </cell>
          <cell r="N53">
            <v>0</v>
          </cell>
          <cell r="O53">
            <v>0</v>
          </cell>
          <cell r="P53">
            <v>0</v>
          </cell>
          <cell r="Z53" t="str">
            <v>20140101LGUM_439</v>
          </cell>
          <cell r="AB53" t="str">
            <v>439</v>
          </cell>
        </row>
        <row r="54">
          <cell r="C54" t="str">
            <v xml:space="preserve">LS </v>
          </cell>
          <cell r="E54">
            <v>2</v>
          </cell>
          <cell r="F54">
            <v>0</v>
          </cell>
          <cell r="J54">
            <v>36.56</v>
          </cell>
          <cell r="M54">
            <v>0</v>
          </cell>
          <cell r="N54">
            <v>0</v>
          </cell>
          <cell r="O54">
            <v>0</v>
          </cell>
          <cell r="P54">
            <v>0</v>
          </cell>
          <cell r="Z54" t="str">
            <v>20140101LGUM_440</v>
          </cell>
          <cell r="AB54" t="str">
            <v>440</v>
          </cell>
        </row>
        <row r="55">
          <cell r="C55" t="str">
            <v xml:space="preserve">LS </v>
          </cell>
          <cell r="E55">
            <v>14</v>
          </cell>
          <cell r="F55">
            <v>0</v>
          </cell>
          <cell r="J55">
            <v>312.48</v>
          </cell>
          <cell r="M55">
            <v>0</v>
          </cell>
          <cell r="N55">
            <v>0</v>
          </cell>
          <cell r="O55">
            <v>0</v>
          </cell>
          <cell r="P55">
            <v>0</v>
          </cell>
          <cell r="Z55" t="str">
            <v>20140101LGUM_441</v>
          </cell>
          <cell r="AB55" t="str">
            <v>441</v>
          </cell>
        </row>
        <row r="56">
          <cell r="C56" t="str">
            <v xml:space="preserve">LS </v>
          </cell>
          <cell r="E56">
            <v>6373</v>
          </cell>
          <cell r="F56">
            <v>0</v>
          </cell>
          <cell r="J56">
            <v>81701.86</v>
          </cell>
          <cell r="M56">
            <v>0</v>
          </cell>
          <cell r="N56">
            <v>0</v>
          </cell>
          <cell r="O56">
            <v>0</v>
          </cell>
          <cell r="P56">
            <v>0</v>
          </cell>
          <cell r="Z56" t="str">
            <v>20140101LGUM_452</v>
          </cell>
          <cell r="AB56" t="str">
            <v>452</v>
          </cell>
        </row>
        <row r="57">
          <cell r="C57" t="str">
            <v xml:space="preserve">LS </v>
          </cell>
          <cell r="E57">
            <v>8953</v>
          </cell>
          <cell r="F57">
            <v>0</v>
          </cell>
          <cell r="J57">
            <v>135011.24</v>
          </cell>
          <cell r="M57">
            <v>0</v>
          </cell>
          <cell r="N57">
            <v>0</v>
          </cell>
          <cell r="O57">
            <v>0</v>
          </cell>
          <cell r="P57">
            <v>0</v>
          </cell>
          <cell r="Z57" t="str">
            <v>20140101LGUM_453</v>
          </cell>
          <cell r="AB57" t="str">
            <v>453</v>
          </cell>
        </row>
        <row r="58">
          <cell r="C58" t="str">
            <v xml:space="preserve">LS </v>
          </cell>
          <cell r="E58">
            <v>5659</v>
          </cell>
          <cell r="F58">
            <v>0</v>
          </cell>
          <cell r="J58">
            <v>98353.42</v>
          </cell>
          <cell r="M58">
            <v>0</v>
          </cell>
          <cell r="N58">
            <v>0</v>
          </cell>
          <cell r="O58">
            <v>0</v>
          </cell>
          <cell r="P58">
            <v>0</v>
          </cell>
          <cell r="Z58" t="str">
            <v>20140101LGUM_454</v>
          </cell>
          <cell r="AB58" t="str">
            <v>454</v>
          </cell>
        </row>
        <row r="59">
          <cell r="C59" t="str">
            <v xml:space="preserve">LS </v>
          </cell>
          <cell r="E59">
            <v>412</v>
          </cell>
          <cell r="F59">
            <v>0</v>
          </cell>
          <cell r="J59">
            <v>5673.24</v>
          </cell>
          <cell r="M59">
            <v>0</v>
          </cell>
          <cell r="N59">
            <v>0</v>
          </cell>
          <cell r="O59">
            <v>0</v>
          </cell>
          <cell r="P59">
            <v>0</v>
          </cell>
          <cell r="Z59" t="str">
            <v>20140101LGUM_455</v>
          </cell>
          <cell r="AB59" t="str">
            <v>455</v>
          </cell>
        </row>
        <row r="60">
          <cell r="C60" t="str">
            <v xml:space="preserve">LS </v>
          </cell>
          <cell r="E60">
            <v>12971</v>
          </cell>
          <cell r="F60">
            <v>0</v>
          </cell>
          <cell r="J60">
            <v>236201.91</v>
          </cell>
          <cell r="M60">
            <v>0</v>
          </cell>
          <cell r="N60">
            <v>0</v>
          </cell>
          <cell r="O60">
            <v>0</v>
          </cell>
          <cell r="P60">
            <v>0</v>
          </cell>
          <cell r="Z60" t="str">
            <v>20140101LGUM_456</v>
          </cell>
          <cell r="AB60" t="str">
            <v>456</v>
          </cell>
        </row>
        <row r="61">
          <cell r="C61" t="str">
            <v xml:space="preserve">LS </v>
          </cell>
          <cell r="E61">
            <v>3281</v>
          </cell>
          <cell r="F61">
            <v>0</v>
          </cell>
          <cell r="J61">
            <v>35631.660000000003</v>
          </cell>
          <cell r="M61">
            <v>0</v>
          </cell>
          <cell r="N61">
            <v>0</v>
          </cell>
          <cell r="O61">
            <v>0</v>
          </cell>
          <cell r="P61">
            <v>0</v>
          </cell>
          <cell r="Z61" t="str">
            <v>20140101LGUM_457</v>
          </cell>
          <cell r="AB61" t="str">
            <v>457</v>
          </cell>
        </row>
        <row r="62">
          <cell r="C62" t="str">
            <v>RLS</v>
          </cell>
          <cell r="E62">
            <v>5</v>
          </cell>
          <cell r="F62">
            <v>0</v>
          </cell>
          <cell r="J62">
            <v>55.65</v>
          </cell>
          <cell r="M62">
            <v>0</v>
          </cell>
          <cell r="N62">
            <v>0</v>
          </cell>
          <cell r="O62">
            <v>0</v>
          </cell>
          <cell r="P62">
            <v>0</v>
          </cell>
          <cell r="Z62" t="str">
            <v>20140101LGUM_458</v>
          </cell>
          <cell r="AB62" t="str">
            <v>458</v>
          </cell>
        </row>
        <row r="63">
          <cell r="C63" t="str">
            <v xml:space="preserve">LS </v>
          </cell>
          <cell r="E63">
            <v>22</v>
          </cell>
          <cell r="F63">
            <v>0</v>
          </cell>
          <cell r="J63">
            <v>281.38</v>
          </cell>
          <cell r="M63">
            <v>0</v>
          </cell>
          <cell r="N63">
            <v>0</v>
          </cell>
          <cell r="O63">
            <v>0</v>
          </cell>
          <cell r="P63">
            <v>0</v>
          </cell>
          <cell r="Z63" t="str">
            <v>20140101LGUM_470</v>
          </cell>
          <cell r="AB63" t="str">
            <v>470</v>
          </cell>
        </row>
        <row r="64">
          <cell r="C64" t="str">
            <v>RLS</v>
          </cell>
          <cell r="E64">
            <v>2</v>
          </cell>
          <cell r="F64">
            <v>0</v>
          </cell>
          <cell r="J64">
            <v>30.14</v>
          </cell>
          <cell r="M64">
            <v>0</v>
          </cell>
          <cell r="N64">
            <v>0</v>
          </cell>
          <cell r="O64">
            <v>0</v>
          </cell>
          <cell r="P64">
            <v>0</v>
          </cell>
          <cell r="Z64" t="str">
            <v>20140101LGUM_471</v>
          </cell>
          <cell r="AB64" t="str">
            <v>471</v>
          </cell>
        </row>
        <row r="65">
          <cell r="C65" t="str">
            <v xml:space="preserve">LS </v>
          </cell>
          <cell r="E65">
            <v>294</v>
          </cell>
          <cell r="F65">
            <v>0</v>
          </cell>
          <cell r="J65">
            <v>5491.92</v>
          </cell>
          <cell r="M65">
            <v>0</v>
          </cell>
          <cell r="N65">
            <v>0</v>
          </cell>
          <cell r="O65">
            <v>0</v>
          </cell>
          <cell r="P65">
            <v>0</v>
          </cell>
          <cell r="Z65" t="str">
            <v>20140101LGUM_473</v>
          </cell>
          <cell r="AB65" t="str">
            <v>473</v>
          </cell>
        </row>
        <row r="66">
          <cell r="C66" t="str">
            <v>RLS</v>
          </cell>
          <cell r="E66">
            <v>53</v>
          </cell>
          <cell r="F66">
            <v>0</v>
          </cell>
          <cell r="J66">
            <v>1111.4100000000001</v>
          </cell>
          <cell r="M66">
            <v>0</v>
          </cell>
          <cell r="N66">
            <v>0</v>
          </cell>
          <cell r="O66">
            <v>0</v>
          </cell>
          <cell r="P66">
            <v>0</v>
          </cell>
          <cell r="Z66" t="str">
            <v>20140101LGUM_474</v>
          </cell>
          <cell r="AB66" t="str">
            <v>474</v>
          </cell>
        </row>
        <row r="67">
          <cell r="C67" t="str">
            <v>RLS</v>
          </cell>
          <cell r="E67">
            <v>2</v>
          </cell>
          <cell r="F67">
            <v>0</v>
          </cell>
          <cell r="J67">
            <v>56.84</v>
          </cell>
          <cell r="M67">
            <v>0</v>
          </cell>
          <cell r="N67">
            <v>0</v>
          </cell>
          <cell r="O67">
            <v>0</v>
          </cell>
          <cell r="P67">
            <v>0</v>
          </cell>
          <cell r="Z67" t="str">
            <v>20140101LGUM_475</v>
          </cell>
          <cell r="AB67" t="str">
            <v>475</v>
          </cell>
        </row>
        <row r="68">
          <cell r="C68" t="str">
            <v xml:space="preserve">LS </v>
          </cell>
          <cell r="E68">
            <v>363</v>
          </cell>
          <cell r="F68">
            <v>0</v>
          </cell>
          <cell r="J68">
            <v>14374.8</v>
          </cell>
          <cell r="M68">
            <v>0</v>
          </cell>
          <cell r="N68">
            <v>0</v>
          </cell>
          <cell r="O68">
            <v>0</v>
          </cell>
          <cell r="P68">
            <v>0</v>
          </cell>
          <cell r="Z68" t="str">
            <v>20140101LGUM_476</v>
          </cell>
          <cell r="AB68" t="str">
            <v>476</v>
          </cell>
        </row>
        <row r="69">
          <cell r="C69" t="str">
            <v>RLS</v>
          </cell>
          <cell r="E69">
            <v>60</v>
          </cell>
          <cell r="F69">
            <v>0</v>
          </cell>
          <cell r="J69">
            <v>2566.8000000000002</v>
          </cell>
          <cell r="M69">
            <v>0</v>
          </cell>
          <cell r="N69">
            <v>0</v>
          </cell>
          <cell r="O69">
            <v>0</v>
          </cell>
          <cell r="P69">
            <v>0</v>
          </cell>
          <cell r="Z69" t="str">
            <v>20140101LGUM_477</v>
          </cell>
          <cell r="AB69" t="str">
            <v>477</v>
          </cell>
        </row>
        <row r="70">
          <cell r="C70" t="str">
            <v xml:space="preserve">LS </v>
          </cell>
          <cell r="E70">
            <v>0</v>
          </cell>
          <cell r="F70">
            <v>0</v>
          </cell>
          <cell r="J70">
            <v>0</v>
          </cell>
          <cell r="M70">
            <v>0</v>
          </cell>
          <cell r="N70">
            <v>0</v>
          </cell>
          <cell r="O70">
            <v>0</v>
          </cell>
          <cell r="P70">
            <v>0</v>
          </cell>
          <cell r="Z70" t="str">
            <v>20140101LGUM_479</v>
          </cell>
          <cell r="AB70" t="str">
            <v>479</v>
          </cell>
        </row>
        <row r="71">
          <cell r="C71" t="str">
            <v xml:space="preserve">LS </v>
          </cell>
          <cell r="E71">
            <v>18</v>
          </cell>
          <cell r="F71">
            <v>0</v>
          </cell>
          <cell r="J71">
            <v>428.94</v>
          </cell>
          <cell r="M71">
            <v>0</v>
          </cell>
          <cell r="N71">
            <v>0</v>
          </cell>
          <cell r="O71">
            <v>0</v>
          </cell>
          <cell r="P71">
            <v>0</v>
          </cell>
          <cell r="Z71" t="str">
            <v>20140101LGUM_480</v>
          </cell>
          <cell r="AB71" t="str">
            <v>480</v>
          </cell>
        </row>
        <row r="72">
          <cell r="C72" t="str">
            <v xml:space="preserve">LS </v>
          </cell>
          <cell r="E72">
            <v>4</v>
          </cell>
          <cell r="F72">
            <v>0</v>
          </cell>
          <cell r="J72">
            <v>81.84</v>
          </cell>
          <cell r="M72">
            <v>0</v>
          </cell>
          <cell r="N72">
            <v>0</v>
          </cell>
          <cell r="O72">
            <v>0</v>
          </cell>
          <cell r="P72">
            <v>0</v>
          </cell>
          <cell r="Z72" t="str">
            <v>20140101LGUM_481</v>
          </cell>
          <cell r="AB72" t="str">
            <v>481</v>
          </cell>
        </row>
        <row r="73">
          <cell r="C73" t="str">
            <v xml:space="preserve">LS </v>
          </cell>
          <cell r="E73">
            <v>39</v>
          </cell>
          <cell r="F73">
            <v>0</v>
          </cell>
          <cell r="J73">
            <v>1178.19</v>
          </cell>
          <cell r="M73">
            <v>0</v>
          </cell>
          <cell r="N73">
            <v>0</v>
          </cell>
          <cell r="O73">
            <v>0</v>
          </cell>
          <cell r="P73">
            <v>0</v>
          </cell>
          <cell r="Z73" t="str">
            <v>20140101LGUM_482</v>
          </cell>
          <cell r="AB73" t="str">
            <v>482</v>
          </cell>
        </row>
        <row r="74">
          <cell r="C74" t="str">
            <v xml:space="preserve">LS </v>
          </cell>
          <cell r="E74">
            <v>2</v>
          </cell>
          <cell r="F74">
            <v>0</v>
          </cell>
          <cell r="J74">
            <v>85.12</v>
          </cell>
          <cell r="M74">
            <v>0</v>
          </cell>
          <cell r="N74">
            <v>0</v>
          </cell>
          <cell r="O74">
            <v>0</v>
          </cell>
          <cell r="P74">
            <v>0</v>
          </cell>
          <cell r="Z74" t="str">
            <v>20140101LGUM_483</v>
          </cell>
          <cell r="AB74" t="str">
            <v>483</v>
          </cell>
        </row>
        <row r="75">
          <cell r="C75" t="str">
            <v xml:space="preserve">LS </v>
          </cell>
          <cell r="E75">
            <v>13</v>
          </cell>
          <cell r="F75">
            <v>0</v>
          </cell>
          <cell r="J75">
            <v>680.03</v>
          </cell>
          <cell r="M75">
            <v>0</v>
          </cell>
          <cell r="N75">
            <v>0</v>
          </cell>
          <cell r="O75">
            <v>0</v>
          </cell>
          <cell r="P75">
            <v>0</v>
          </cell>
          <cell r="Z75" t="str">
            <v>20140101LGUM_484</v>
          </cell>
          <cell r="AB75" t="str">
            <v>484</v>
          </cell>
        </row>
        <row r="76">
          <cell r="C76" t="str">
            <v>ODL</v>
          </cell>
          <cell r="E76">
            <v>0</v>
          </cell>
          <cell r="F76">
            <v>16278824</v>
          </cell>
          <cell r="J76">
            <v>0</v>
          </cell>
          <cell r="M76">
            <v>-41465</v>
          </cell>
          <cell r="N76">
            <v>146115</v>
          </cell>
          <cell r="O76">
            <v>0</v>
          </cell>
          <cell r="P76">
            <v>1664945</v>
          </cell>
          <cell r="Z76" t="str">
            <v>20140101ODL</v>
          </cell>
          <cell r="AB76" t="str">
            <v>ODL</v>
          </cell>
        </row>
        <row r="77">
          <cell r="C77" t="str">
            <v>RLS</v>
          </cell>
          <cell r="E77">
            <v>79</v>
          </cell>
          <cell r="F77">
            <v>0</v>
          </cell>
          <cell r="J77">
            <v>643.05999999999995</v>
          </cell>
          <cell r="M77">
            <v>0</v>
          </cell>
          <cell r="N77">
            <v>0</v>
          </cell>
          <cell r="O77">
            <v>0</v>
          </cell>
          <cell r="P77">
            <v>0</v>
          </cell>
          <cell r="Z77" t="str">
            <v>20140101LGUM_201</v>
          </cell>
          <cell r="AB77" t="str">
            <v>201</v>
          </cell>
        </row>
        <row r="78">
          <cell r="C78" t="str">
            <v>RLS</v>
          </cell>
          <cell r="E78">
            <v>3863</v>
          </cell>
          <cell r="F78">
            <v>0</v>
          </cell>
          <cell r="J78">
            <v>42338.48</v>
          </cell>
          <cell r="M78">
            <v>0</v>
          </cell>
          <cell r="N78">
            <v>0</v>
          </cell>
          <cell r="O78">
            <v>0</v>
          </cell>
          <cell r="P78">
            <v>0</v>
          </cell>
          <cell r="Z78" t="str">
            <v>20140101LGUM_203</v>
          </cell>
          <cell r="AB78" t="str">
            <v>203</v>
          </cell>
        </row>
        <row r="79">
          <cell r="C79" t="str">
            <v>RLS</v>
          </cell>
          <cell r="E79">
            <v>3839</v>
          </cell>
          <cell r="F79">
            <v>0</v>
          </cell>
          <cell r="J79">
            <v>51864.89</v>
          </cell>
          <cell r="M79">
            <v>0</v>
          </cell>
          <cell r="N79">
            <v>0</v>
          </cell>
          <cell r="O79">
            <v>0</v>
          </cell>
          <cell r="P79">
            <v>0</v>
          </cell>
          <cell r="Z79" t="str">
            <v>20140101LGUM_204</v>
          </cell>
          <cell r="AB79" t="str">
            <v>204</v>
          </cell>
        </row>
        <row r="80">
          <cell r="C80" t="str">
            <v>RLS</v>
          </cell>
          <cell r="E80">
            <v>98</v>
          </cell>
          <cell r="F80">
            <v>0</v>
          </cell>
          <cell r="J80">
            <v>1220.0999999999999</v>
          </cell>
          <cell r="M80">
            <v>0</v>
          </cell>
          <cell r="N80">
            <v>0</v>
          </cell>
          <cell r="O80">
            <v>0</v>
          </cell>
          <cell r="P80">
            <v>0</v>
          </cell>
          <cell r="Z80" t="str">
            <v>20140101LGUM_206</v>
          </cell>
          <cell r="AB80" t="str">
            <v>206</v>
          </cell>
        </row>
        <row r="81">
          <cell r="C81" t="str">
            <v>RLS</v>
          </cell>
          <cell r="E81">
            <v>754</v>
          </cell>
          <cell r="F81">
            <v>0</v>
          </cell>
          <cell r="J81">
            <v>11717.16</v>
          </cell>
          <cell r="M81">
            <v>0</v>
          </cell>
          <cell r="N81">
            <v>0</v>
          </cell>
          <cell r="O81">
            <v>0</v>
          </cell>
          <cell r="P81">
            <v>0</v>
          </cell>
          <cell r="Z81" t="str">
            <v>20140101LGUM_207</v>
          </cell>
          <cell r="AB81" t="str">
            <v>207</v>
          </cell>
        </row>
        <row r="82">
          <cell r="C82" t="str">
            <v>RLS</v>
          </cell>
          <cell r="E82">
            <v>1413</v>
          </cell>
          <cell r="F82">
            <v>0</v>
          </cell>
          <cell r="J82">
            <v>20121.12</v>
          </cell>
          <cell r="M82">
            <v>0</v>
          </cell>
          <cell r="N82">
            <v>0</v>
          </cell>
          <cell r="O82">
            <v>0</v>
          </cell>
          <cell r="P82">
            <v>0</v>
          </cell>
          <cell r="Z82" t="str">
            <v>20140101LGUM_208</v>
          </cell>
          <cell r="AB82" t="str">
            <v>208</v>
          </cell>
        </row>
        <row r="83">
          <cell r="C83" t="str">
            <v>RLS</v>
          </cell>
          <cell r="E83">
            <v>45</v>
          </cell>
          <cell r="F83">
            <v>0</v>
          </cell>
          <cell r="J83">
            <v>1246.05</v>
          </cell>
          <cell r="M83">
            <v>0</v>
          </cell>
          <cell r="N83">
            <v>0</v>
          </cell>
          <cell r="O83">
            <v>0</v>
          </cell>
          <cell r="P83">
            <v>0</v>
          </cell>
          <cell r="Z83" t="str">
            <v>20140101LGUM_209</v>
          </cell>
          <cell r="AB83" t="str">
            <v>209</v>
          </cell>
        </row>
        <row r="84">
          <cell r="C84" t="str">
            <v>RLS</v>
          </cell>
          <cell r="E84">
            <v>356</v>
          </cell>
          <cell r="F84">
            <v>0</v>
          </cell>
          <cell r="J84">
            <v>10284.84</v>
          </cell>
          <cell r="M84">
            <v>0</v>
          </cell>
          <cell r="N84">
            <v>0</v>
          </cell>
          <cell r="O84">
            <v>0</v>
          </cell>
          <cell r="P84">
            <v>0</v>
          </cell>
          <cell r="Z84" t="str">
            <v>20140101LGUM_210</v>
          </cell>
          <cell r="AB84" t="str">
            <v>210</v>
          </cell>
        </row>
        <row r="85">
          <cell r="C85" t="str">
            <v>RLS</v>
          </cell>
          <cell r="E85">
            <v>4021</v>
          </cell>
          <cell r="F85">
            <v>0</v>
          </cell>
          <cell r="J85">
            <v>38480.97</v>
          </cell>
          <cell r="M85">
            <v>0</v>
          </cell>
          <cell r="N85">
            <v>0</v>
          </cell>
          <cell r="O85">
            <v>0</v>
          </cell>
          <cell r="P85">
            <v>0</v>
          </cell>
          <cell r="Z85" t="str">
            <v>20140101LGUM_252</v>
          </cell>
          <cell r="AB85" t="str">
            <v>252</v>
          </cell>
        </row>
        <row r="86">
          <cell r="C86" t="str">
            <v>RLS</v>
          </cell>
          <cell r="E86">
            <v>1931</v>
          </cell>
          <cell r="F86">
            <v>0</v>
          </cell>
          <cell r="J86">
            <v>52793.54</v>
          </cell>
          <cell r="M86">
            <v>0</v>
          </cell>
          <cell r="N86">
            <v>0</v>
          </cell>
          <cell r="O86">
            <v>0</v>
          </cell>
          <cell r="P86">
            <v>0</v>
          </cell>
          <cell r="Z86" t="str">
            <v>20140101LGUM_266</v>
          </cell>
          <cell r="AB86" t="str">
            <v>266</v>
          </cell>
        </row>
        <row r="87">
          <cell r="C87" t="str">
            <v>RLS</v>
          </cell>
          <cell r="E87">
            <v>2230</v>
          </cell>
          <cell r="F87">
            <v>0</v>
          </cell>
          <cell r="J87">
            <v>70022</v>
          </cell>
          <cell r="M87">
            <v>0</v>
          </cell>
          <cell r="N87">
            <v>0</v>
          </cell>
          <cell r="O87">
            <v>0</v>
          </cell>
          <cell r="P87">
            <v>0</v>
          </cell>
          <cell r="Z87" t="str">
            <v>20140101LGUM_267</v>
          </cell>
          <cell r="AB87" t="str">
            <v>267</v>
          </cell>
        </row>
        <row r="88">
          <cell r="C88" t="str">
            <v>RLS</v>
          </cell>
          <cell r="E88">
            <v>16906</v>
          </cell>
          <cell r="F88">
            <v>0</v>
          </cell>
          <cell r="J88">
            <v>290614.14</v>
          </cell>
          <cell r="M88">
            <v>0</v>
          </cell>
          <cell r="N88">
            <v>0</v>
          </cell>
          <cell r="O88">
            <v>0</v>
          </cell>
          <cell r="P88">
            <v>0</v>
          </cell>
          <cell r="Z88" t="str">
            <v>20140101LGUM_274</v>
          </cell>
          <cell r="AB88" t="str">
            <v>274</v>
          </cell>
        </row>
        <row r="89">
          <cell r="C89" t="str">
            <v>RLS</v>
          </cell>
          <cell r="E89">
            <v>522</v>
          </cell>
          <cell r="F89">
            <v>0</v>
          </cell>
          <cell r="J89">
            <v>12992.58</v>
          </cell>
          <cell r="M89">
            <v>0</v>
          </cell>
          <cell r="N89">
            <v>0</v>
          </cell>
          <cell r="O89">
            <v>0</v>
          </cell>
          <cell r="P89">
            <v>0</v>
          </cell>
          <cell r="Z89" t="str">
            <v>20140101LGUM_275</v>
          </cell>
          <cell r="AB89" t="str">
            <v>275</v>
          </cell>
        </row>
        <row r="90">
          <cell r="C90" t="str">
            <v>RLS</v>
          </cell>
          <cell r="E90">
            <v>1334</v>
          </cell>
          <cell r="F90">
            <v>0</v>
          </cell>
          <cell r="J90">
            <v>18902.78</v>
          </cell>
          <cell r="M90">
            <v>0</v>
          </cell>
          <cell r="N90">
            <v>0</v>
          </cell>
          <cell r="O90">
            <v>0</v>
          </cell>
          <cell r="P90">
            <v>0</v>
          </cell>
          <cell r="Z90" t="str">
            <v>20140101LGUM_276</v>
          </cell>
          <cell r="AB90" t="str">
            <v>276</v>
          </cell>
        </row>
        <row r="91">
          <cell r="C91" t="str">
            <v>RLS</v>
          </cell>
          <cell r="E91">
            <v>2275</v>
          </cell>
          <cell r="F91">
            <v>0</v>
          </cell>
          <cell r="J91">
            <v>50391.25</v>
          </cell>
          <cell r="M91">
            <v>0</v>
          </cell>
          <cell r="N91">
            <v>0</v>
          </cell>
          <cell r="O91">
            <v>0</v>
          </cell>
          <cell r="P91">
            <v>0</v>
          </cell>
          <cell r="Z91" t="str">
            <v>20140101LGUM_277</v>
          </cell>
          <cell r="AB91" t="str">
            <v>277</v>
          </cell>
        </row>
        <row r="92">
          <cell r="C92" t="str">
            <v>RLS</v>
          </cell>
          <cell r="E92">
            <v>17</v>
          </cell>
          <cell r="F92">
            <v>0</v>
          </cell>
          <cell r="J92">
            <v>1233.3499999999999</v>
          </cell>
          <cell r="M92">
            <v>0</v>
          </cell>
          <cell r="N92">
            <v>0</v>
          </cell>
          <cell r="O92">
            <v>0</v>
          </cell>
          <cell r="P92">
            <v>0</v>
          </cell>
          <cell r="Z92" t="str">
            <v>20140101LGUM_278</v>
          </cell>
          <cell r="AB92" t="str">
            <v>278</v>
          </cell>
        </row>
        <row r="93">
          <cell r="C93" t="str">
            <v>RLS</v>
          </cell>
          <cell r="E93">
            <v>11</v>
          </cell>
          <cell r="F93">
            <v>0</v>
          </cell>
          <cell r="J93">
            <v>455.73</v>
          </cell>
          <cell r="M93">
            <v>0</v>
          </cell>
          <cell r="N93">
            <v>0</v>
          </cell>
          <cell r="O93">
            <v>0</v>
          </cell>
          <cell r="P93">
            <v>0</v>
          </cell>
          <cell r="Z93" t="str">
            <v>20140101LGUM_279</v>
          </cell>
          <cell r="AB93" t="str">
            <v>279</v>
          </cell>
        </row>
        <row r="94">
          <cell r="C94" t="str">
            <v>RLS</v>
          </cell>
          <cell r="E94">
            <v>45</v>
          </cell>
          <cell r="F94">
            <v>0</v>
          </cell>
          <cell r="J94">
            <v>872.1</v>
          </cell>
          <cell r="M94">
            <v>0</v>
          </cell>
          <cell r="N94">
            <v>0</v>
          </cell>
          <cell r="O94">
            <v>0</v>
          </cell>
          <cell r="P94">
            <v>0</v>
          </cell>
          <cell r="Z94" t="str">
            <v>20140101LGUM_280</v>
          </cell>
          <cell r="AB94" t="str">
            <v>280</v>
          </cell>
        </row>
        <row r="95">
          <cell r="C95" t="str">
            <v>RLS</v>
          </cell>
          <cell r="E95">
            <v>243</v>
          </cell>
          <cell r="F95">
            <v>0</v>
          </cell>
          <cell r="J95">
            <v>4945.05</v>
          </cell>
          <cell r="M95">
            <v>0</v>
          </cell>
          <cell r="N95">
            <v>0</v>
          </cell>
          <cell r="O95">
            <v>0</v>
          </cell>
          <cell r="P95">
            <v>0</v>
          </cell>
          <cell r="Z95" t="str">
            <v>20140101LGUM_281</v>
          </cell>
          <cell r="AB95" t="str">
            <v>281</v>
          </cell>
        </row>
        <row r="96">
          <cell r="C96" t="str">
            <v>RLS</v>
          </cell>
          <cell r="E96">
            <v>104</v>
          </cell>
          <cell r="F96">
            <v>0</v>
          </cell>
          <cell r="J96">
            <v>2031.12</v>
          </cell>
          <cell r="M96">
            <v>0</v>
          </cell>
          <cell r="N96">
            <v>0</v>
          </cell>
          <cell r="O96">
            <v>0</v>
          </cell>
          <cell r="P96">
            <v>0</v>
          </cell>
          <cell r="Z96" t="str">
            <v>20140101LGUM_282</v>
          </cell>
          <cell r="AB96" t="str">
            <v>282</v>
          </cell>
        </row>
        <row r="97">
          <cell r="C97" t="str">
            <v>RLS</v>
          </cell>
          <cell r="E97">
            <v>81</v>
          </cell>
          <cell r="F97">
            <v>0</v>
          </cell>
          <cell r="J97">
            <v>1686.42</v>
          </cell>
          <cell r="M97">
            <v>0</v>
          </cell>
          <cell r="N97">
            <v>0</v>
          </cell>
          <cell r="O97">
            <v>0</v>
          </cell>
          <cell r="P97">
            <v>0</v>
          </cell>
          <cell r="Z97" t="str">
            <v>20140101LGUM_283</v>
          </cell>
          <cell r="AB97" t="str">
            <v>283</v>
          </cell>
        </row>
        <row r="98">
          <cell r="C98" t="str">
            <v>RLS</v>
          </cell>
          <cell r="E98">
            <v>546</v>
          </cell>
          <cell r="F98">
            <v>0</v>
          </cell>
          <cell r="J98">
            <v>10483.200000000001</v>
          </cell>
          <cell r="M98">
            <v>0</v>
          </cell>
          <cell r="N98">
            <v>0</v>
          </cell>
          <cell r="O98">
            <v>0</v>
          </cell>
          <cell r="P98">
            <v>0</v>
          </cell>
          <cell r="Z98" t="str">
            <v>20140101LGUM_314</v>
          </cell>
          <cell r="AB98" t="str">
            <v>314</v>
          </cell>
        </row>
        <row r="99">
          <cell r="C99" t="str">
            <v>RLS</v>
          </cell>
          <cell r="E99">
            <v>516</v>
          </cell>
          <cell r="F99">
            <v>0</v>
          </cell>
          <cell r="J99">
            <v>11842.2</v>
          </cell>
          <cell r="M99">
            <v>0</v>
          </cell>
          <cell r="N99">
            <v>0</v>
          </cell>
          <cell r="O99">
            <v>0</v>
          </cell>
          <cell r="P99">
            <v>0</v>
          </cell>
          <cell r="Z99" t="str">
            <v>20140101LGUM_315</v>
          </cell>
          <cell r="AB99" t="str">
            <v>315</v>
          </cell>
        </row>
        <row r="100">
          <cell r="C100" t="str">
            <v>RLS</v>
          </cell>
          <cell r="E100">
            <v>53</v>
          </cell>
          <cell r="F100">
            <v>0</v>
          </cell>
          <cell r="J100">
            <v>923.26</v>
          </cell>
          <cell r="M100">
            <v>0</v>
          </cell>
          <cell r="N100">
            <v>0</v>
          </cell>
          <cell r="O100">
            <v>0</v>
          </cell>
          <cell r="P100">
            <v>0</v>
          </cell>
          <cell r="Z100" t="str">
            <v>20140101LGUM_318</v>
          </cell>
          <cell r="AB100" t="str">
            <v>318</v>
          </cell>
        </row>
        <row r="101">
          <cell r="C101" t="str">
            <v>RLS</v>
          </cell>
          <cell r="E101">
            <v>0</v>
          </cell>
          <cell r="F101">
            <v>0</v>
          </cell>
          <cell r="J101">
            <v>0</v>
          </cell>
          <cell r="M101">
            <v>0</v>
          </cell>
          <cell r="N101">
            <v>0</v>
          </cell>
          <cell r="O101">
            <v>0</v>
          </cell>
          <cell r="P101">
            <v>0</v>
          </cell>
          <cell r="Z101" t="str">
            <v>20140101LGUM_347</v>
          </cell>
          <cell r="AB101" t="str">
            <v>347</v>
          </cell>
        </row>
        <row r="102">
          <cell r="C102" t="str">
            <v>RLS</v>
          </cell>
          <cell r="E102">
            <v>39</v>
          </cell>
          <cell r="F102">
            <v>0</v>
          </cell>
          <cell r="J102">
            <v>511.68</v>
          </cell>
          <cell r="M102">
            <v>0</v>
          </cell>
          <cell r="N102">
            <v>0</v>
          </cell>
          <cell r="O102">
            <v>0</v>
          </cell>
          <cell r="P102">
            <v>0</v>
          </cell>
          <cell r="Z102" t="str">
            <v>20140101LGUM_348</v>
          </cell>
          <cell r="AB102" t="str">
            <v>348</v>
          </cell>
        </row>
        <row r="103">
          <cell r="C103" t="str">
            <v>RLS</v>
          </cell>
          <cell r="E103">
            <v>17</v>
          </cell>
          <cell r="F103">
            <v>0</v>
          </cell>
          <cell r="J103">
            <v>153.34</v>
          </cell>
          <cell r="M103">
            <v>0</v>
          </cell>
          <cell r="N103">
            <v>0</v>
          </cell>
          <cell r="O103">
            <v>0</v>
          </cell>
          <cell r="P103">
            <v>0</v>
          </cell>
          <cell r="Z103" t="str">
            <v>20140101LGUM_349</v>
          </cell>
          <cell r="AB103" t="str">
            <v>349</v>
          </cell>
        </row>
        <row r="104">
          <cell r="C104" t="str">
            <v xml:space="preserve">LS </v>
          </cell>
          <cell r="E104">
            <v>33</v>
          </cell>
          <cell r="F104">
            <v>0</v>
          </cell>
          <cell r="J104">
            <v>788.37</v>
          </cell>
          <cell r="M104">
            <v>0</v>
          </cell>
          <cell r="N104">
            <v>0</v>
          </cell>
          <cell r="O104">
            <v>0</v>
          </cell>
          <cell r="P104">
            <v>0</v>
          </cell>
          <cell r="Z104" t="str">
            <v>20140101LGUM_400</v>
          </cell>
          <cell r="AB104" t="str">
            <v>400</v>
          </cell>
        </row>
        <row r="105">
          <cell r="C105" t="str">
            <v xml:space="preserve">LS </v>
          </cell>
          <cell r="E105">
            <v>4</v>
          </cell>
          <cell r="F105">
            <v>0</v>
          </cell>
          <cell r="J105">
            <v>99.6</v>
          </cell>
          <cell r="M105">
            <v>0</v>
          </cell>
          <cell r="N105">
            <v>0</v>
          </cell>
          <cell r="O105">
            <v>0</v>
          </cell>
          <cell r="P105">
            <v>0</v>
          </cell>
          <cell r="Z105" t="str">
            <v>20140101LGUM_401</v>
          </cell>
          <cell r="AB105" t="str">
            <v>401</v>
          </cell>
        </row>
        <row r="106">
          <cell r="C106" t="str">
            <v xml:space="preserve">LS </v>
          </cell>
          <cell r="E106">
            <v>223</v>
          </cell>
          <cell r="F106">
            <v>0</v>
          </cell>
          <cell r="J106">
            <v>4413.17</v>
          </cell>
          <cell r="M106">
            <v>0</v>
          </cell>
          <cell r="N106">
            <v>0</v>
          </cell>
          <cell r="O106">
            <v>0</v>
          </cell>
          <cell r="P106">
            <v>0</v>
          </cell>
          <cell r="Z106" t="str">
            <v>20140101LGUM_412</v>
          </cell>
          <cell r="AB106" t="str">
            <v>412</v>
          </cell>
        </row>
        <row r="107">
          <cell r="C107" t="str">
            <v xml:space="preserve">LS </v>
          </cell>
          <cell r="E107">
            <v>2038</v>
          </cell>
          <cell r="F107">
            <v>0</v>
          </cell>
          <cell r="J107">
            <v>41758.620000000003</v>
          </cell>
          <cell r="M107">
            <v>0</v>
          </cell>
          <cell r="N107">
            <v>0</v>
          </cell>
          <cell r="O107">
            <v>0</v>
          </cell>
          <cell r="P107">
            <v>0</v>
          </cell>
          <cell r="Z107" t="str">
            <v>20140101LGUM_413</v>
          </cell>
          <cell r="AB107" t="str">
            <v>413</v>
          </cell>
        </row>
        <row r="108">
          <cell r="C108" t="str">
            <v xml:space="preserve">LS </v>
          </cell>
          <cell r="E108">
            <v>32</v>
          </cell>
          <cell r="F108">
            <v>0</v>
          </cell>
          <cell r="J108">
            <v>645.76</v>
          </cell>
          <cell r="M108">
            <v>0</v>
          </cell>
          <cell r="N108">
            <v>0</v>
          </cell>
          <cell r="O108">
            <v>0</v>
          </cell>
          <cell r="P108">
            <v>0</v>
          </cell>
          <cell r="Z108" t="str">
            <v>20140101LGUM_415</v>
          </cell>
          <cell r="AB108" t="str">
            <v>415</v>
          </cell>
        </row>
        <row r="109">
          <cell r="C109" t="str">
            <v xml:space="preserve">LS </v>
          </cell>
          <cell r="E109">
            <v>1811</v>
          </cell>
          <cell r="F109">
            <v>0</v>
          </cell>
          <cell r="J109">
            <v>40856.160000000003</v>
          </cell>
          <cell r="M109">
            <v>0</v>
          </cell>
          <cell r="N109">
            <v>0</v>
          </cell>
          <cell r="O109">
            <v>0</v>
          </cell>
          <cell r="P109">
            <v>0</v>
          </cell>
          <cell r="Z109" t="str">
            <v>20140101LGUM_416</v>
          </cell>
          <cell r="AB109" t="str">
            <v>416</v>
          </cell>
        </row>
        <row r="110">
          <cell r="C110" t="str">
            <v>RLS</v>
          </cell>
          <cell r="E110">
            <v>35</v>
          </cell>
          <cell r="F110">
            <v>0</v>
          </cell>
          <cell r="J110">
            <v>828.8</v>
          </cell>
          <cell r="M110">
            <v>0</v>
          </cell>
          <cell r="N110">
            <v>0</v>
          </cell>
          <cell r="O110">
            <v>0</v>
          </cell>
          <cell r="P110">
            <v>0</v>
          </cell>
          <cell r="Z110" t="str">
            <v>20140101LGUM_417</v>
          </cell>
          <cell r="AB110" t="str">
            <v>417</v>
          </cell>
        </row>
        <row r="111">
          <cell r="C111" t="str">
            <v>RLS</v>
          </cell>
          <cell r="E111">
            <v>111</v>
          </cell>
          <cell r="F111">
            <v>0</v>
          </cell>
          <cell r="J111">
            <v>2749.47</v>
          </cell>
          <cell r="M111">
            <v>0</v>
          </cell>
          <cell r="N111">
            <v>0</v>
          </cell>
          <cell r="O111">
            <v>0</v>
          </cell>
          <cell r="P111">
            <v>0</v>
          </cell>
          <cell r="Z111" t="str">
            <v>20140101LGUM_419</v>
          </cell>
          <cell r="AB111" t="str">
            <v>419</v>
          </cell>
        </row>
        <row r="112">
          <cell r="C112" t="str">
            <v xml:space="preserve">LS </v>
          </cell>
          <cell r="E112">
            <v>53</v>
          </cell>
          <cell r="F112">
            <v>0</v>
          </cell>
          <cell r="J112">
            <v>1584.17</v>
          </cell>
          <cell r="M112">
            <v>0</v>
          </cell>
          <cell r="N112">
            <v>0</v>
          </cell>
          <cell r="O112">
            <v>0</v>
          </cell>
          <cell r="P112">
            <v>0</v>
          </cell>
          <cell r="Z112" t="str">
            <v>20140101LGUM_420</v>
          </cell>
          <cell r="AB112" t="str">
            <v>420</v>
          </cell>
        </row>
        <row r="113">
          <cell r="C113" t="str">
            <v xml:space="preserve">LS </v>
          </cell>
          <cell r="E113">
            <v>176</v>
          </cell>
          <cell r="F113">
            <v>0</v>
          </cell>
          <cell r="J113">
            <v>5783.36</v>
          </cell>
          <cell r="M113">
            <v>0</v>
          </cell>
          <cell r="N113">
            <v>0</v>
          </cell>
          <cell r="O113">
            <v>0</v>
          </cell>
          <cell r="P113">
            <v>0</v>
          </cell>
          <cell r="Z113" t="str">
            <v>20140101LGUM_421</v>
          </cell>
          <cell r="AB113" t="str">
            <v>421</v>
          </cell>
        </row>
        <row r="114">
          <cell r="C114" t="str">
            <v xml:space="preserve">LS </v>
          </cell>
          <cell r="E114">
            <v>363</v>
          </cell>
          <cell r="F114">
            <v>0</v>
          </cell>
          <cell r="J114">
            <v>13935.57</v>
          </cell>
          <cell r="M114">
            <v>0</v>
          </cell>
          <cell r="N114">
            <v>0</v>
          </cell>
          <cell r="O114">
            <v>0</v>
          </cell>
          <cell r="P114">
            <v>0</v>
          </cell>
          <cell r="Z114" t="str">
            <v>20140101LGUM_422</v>
          </cell>
          <cell r="AB114" t="str">
            <v>422</v>
          </cell>
        </row>
        <row r="115">
          <cell r="C115" t="str">
            <v xml:space="preserve">LS </v>
          </cell>
          <cell r="E115">
            <v>17</v>
          </cell>
          <cell r="F115">
            <v>0</v>
          </cell>
          <cell r="J115">
            <v>447.95</v>
          </cell>
          <cell r="M115">
            <v>0</v>
          </cell>
          <cell r="N115">
            <v>0</v>
          </cell>
          <cell r="O115">
            <v>0</v>
          </cell>
          <cell r="P115">
            <v>0</v>
          </cell>
          <cell r="Z115" t="str">
            <v>20140101LGUM_423</v>
          </cell>
          <cell r="AB115" t="str">
            <v>423</v>
          </cell>
        </row>
        <row r="116">
          <cell r="C116" t="str">
            <v xml:space="preserve">LS </v>
          </cell>
          <cell r="E116">
            <v>405</v>
          </cell>
          <cell r="F116">
            <v>0</v>
          </cell>
          <cell r="J116">
            <v>11522.25</v>
          </cell>
          <cell r="M116">
            <v>0</v>
          </cell>
          <cell r="N116">
            <v>0</v>
          </cell>
          <cell r="O116">
            <v>0</v>
          </cell>
          <cell r="P116">
            <v>0</v>
          </cell>
          <cell r="Z116" t="str">
            <v>20140101LGUM_424</v>
          </cell>
          <cell r="AB116" t="str">
            <v>424</v>
          </cell>
        </row>
        <row r="117">
          <cell r="C117" t="str">
            <v xml:space="preserve">LS </v>
          </cell>
          <cell r="E117">
            <v>34</v>
          </cell>
          <cell r="F117">
            <v>0</v>
          </cell>
          <cell r="J117">
            <v>1157.02</v>
          </cell>
          <cell r="M117">
            <v>0</v>
          </cell>
          <cell r="N117">
            <v>0</v>
          </cell>
          <cell r="O117">
            <v>0</v>
          </cell>
          <cell r="P117">
            <v>0</v>
          </cell>
          <cell r="Z117" t="str">
            <v>20140101LGUM_425</v>
          </cell>
          <cell r="AB117" t="str">
            <v>425</v>
          </cell>
        </row>
        <row r="118">
          <cell r="C118" t="str">
            <v>RLS</v>
          </cell>
          <cell r="E118">
            <v>40</v>
          </cell>
          <cell r="F118">
            <v>0</v>
          </cell>
          <cell r="J118">
            <v>1328.8</v>
          </cell>
          <cell r="M118">
            <v>0</v>
          </cell>
          <cell r="N118">
            <v>0</v>
          </cell>
          <cell r="O118">
            <v>0</v>
          </cell>
          <cell r="P118">
            <v>0</v>
          </cell>
          <cell r="Z118" t="str">
            <v>20140101LGUM_426</v>
          </cell>
          <cell r="AB118" t="str">
            <v>426</v>
          </cell>
        </row>
        <row r="119">
          <cell r="C119" t="str">
            <v xml:space="preserve">LS </v>
          </cell>
          <cell r="E119">
            <v>52</v>
          </cell>
          <cell r="F119">
            <v>0</v>
          </cell>
          <cell r="J119">
            <v>1830.4</v>
          </cell>
          <cell r="M119">
            <v>0</v>
          </cell>
          <cell r="N119">
            <v>0</v>
          </cell>
          <cell r="O119">
            <v>0</v>
          </cell>
          <cell r="P119">
            <v>0</v>
          </cell>
          <cell r="Z119" t="str">
            <v>20140101LGUM_427</v>
          </cell>
          <cell r="AB119" t="str">
            <v>427</v>
          </cell>
        </row>
        <row r="120">
          <cell r="C120" t="str">
            <v>RLS</v>
          </cell>
          <cell r="E120">
            <v>205</v>
          </cell>
          <cell r="F120">
            <v>0</v>
          </cell>
          <cell r="J120">
            <v>6988.45</v>
          </cell>
          <cell r="M120">
            <v>0</v>
          </cell>
          <cell r="N120">
            <v>0</v>
          </cell>
          <cell r="O120">
            <v>0</v>
          </cell>
          <cell r="P120">
            <v>0</v>
          </cell>
          <cell r="Z120" t="str">
            <v>20140101LGUM_428</v>
          </cell>
          <cell r="AB120" t="str">
            <v>428</v>
          </cell>
        </row>
        <row r="121">
          <cell r="C121" t="str">
            <v xml:space="preserve">LS </v>
          </cell>
          <cell r="E121">
            <v>194</v>
          </cell>
          <cell r="F121">
            <v>0</v>
          </cell>
          <cell r="J121">
            <v>6997.58</v>
          </cell>
          <cell r="M121">
            <v>0</v>
          </cell>
          <cell r="N121">
            <v>0</v>
          </cell>
          <cell r="O121">
            <v>0</v>
          </cell>
          <cell r="P121">
            <v>0</v>
          </cell>
          <cell r="Z121" t="str">
            <v>20140101LGUM_429</v>
          </cell>
          <cell r="AB121" t="str">
            <v>429</v>
          </cell>
        </row>
        <row r="122">
          <cell r="C122" t="str">
            <v>RLS</v>
          </cell>
          <cell r="E122">
            <v>13</v>
          </cell>
          <cell r="F122">
            <v>0</v>
          </cell>
          <cell r="J122">
            <v>419.38</v>
          </cell>
          <cell r="M122">
            <v>0</v>
          </cell>
          <cell r="N122">
            <v>0</v>
          </cell>
          <cell r="O122">
            <v>0</v>
          </cell>
          <cell r="P122">
            <v>0</v>
          </cell>
          <cell r="Z122" t="str">
            <v>20140101LGUM_430</v>
          </cell>
          <cell r="AB122" t="str">
            <v>430</v>
          </cell>
        </row>
        <row r="123">
          <cell r="C123" t="str">
            <v xml:space="preserve">LS </v>
          </cell>
          <cell r="E123">
            <v>44</v>
          </cell>
          <cell r="F123">
            <v>0</v>
          </cell>
          <cell r="J123">
            <v>1448.92</v>
          </cell>
          <cell r="M123">
            <v>0</v>
          </cell>
          <cell r="N123">
            <v>0</v>
          </cell>
          <cell r="O123">
            <v>0</v>
          </cell>
          <cell r="P123">
            <v>0</v>
          </cell>
          <cell r="Z123" t="str">
            <v>20140101LGUM_431</v>
          </cell>
          <cell r="AB123" t="str">
            <v>431</v>
          </cell>
        </row>
        <row r="124">
          <cell r="C124" t="str">
            <v>RLS</v>
          </cell>
          <cell r="E124">
            <v>10</v>
          </cell>
          <cell r="F124">
            <v>0</v>
          </cell>
          <cell r="J124">
            <v>343.3</v>
          </cell>
          <cell r="M124">
            <v>0</v>
          </cell>
          <cell r="N124">
            <v>0</v>
          </cell>
          <cell r="O124">
            <v>0</v>
          </cell>
          <cell r="P124">
            <v>0</v>
          </cell>
          <cell r="Z124" t="str">
            <v>20140101LGUM_432</v>
          </cell>
          <cell r="AB124" t="str">
            <v>432</v>
          </cell>
        </row>
        <row r="125">
          <cell r="C125" t="str">
            <v xml:space="preserve">LS </v>
          </cell>
          <cell r="E125">
            <v>192</v>
          </cell>
          <cell r="F125">
            <v>0</v>
          </cell>
          <cell r="J125">
            <v>6718.08</v>
          </cell>
          <cell r="M125">
            <v>0</v>
          </cell>
          <cell r="N125">
            <v>0</v>
          </cell>
          <cell r="O125">
            <v>0</v>
          </cell>
          <cell r="P125">
            <v>0</v>
          </cell>
          <cell r="Z125" t="str">
            <v>20140101LGUM_433</v>
          </cell>
          <cell r="AB125" t="str">
            <v>433</v>
          </cell>
        </row>
        <row r="126">
          <cell r="C126" t="str">
            <v xml:space="preserve">LS </v>
          </cell>
          <cell r="E126">
            <v>0</v>
          </cell>
          <cell r="F126">
            <v>0</v>
          </cell>
          <cell r="J126">
            <v>0</v>
          </cell>
          <cell r="M126">
            <v>0</v>
          </cell>
          <cell r="N126">
            <v>0</v>
          </cell>
          <cell r="O126">
            <v>0</v>
          </cell>
          <cell r="P126">
            <v>0</v>
          </cell>
          <cell r="Z126" t="str">
            <v>20140101LGUM_439</v>
          </cell>
          <cell r="AB126" t="str">
            <v>439</v>
          </cell>
        </row>
        <row r="127">
          <cell r="C127" t="str">
            <v xml:space="preserve">LS </v>
          </cell>
          <cell r="E127">
            <v>4</v>
          </cell>
          <cell r="F127">
            <v>0</v>
          </cell>
          <cell r="J127">
            <v>73.12</v>
          </cell>
          <cell r="M127">
            <v>0</v>
          </cell>
          <cell r="N127">
            <v>0</v>
          </cell>
          <cell r="O127">
            <v>0</v>
          </cell>
          <cell r="P127">
            <v>0</v>
          </cell>
          <cell r="Z127" t="str">
            <v>20140101LGUM_440</v>
          </cell>
          <cell r="AB127" t="str">
            <v>440</v>
          </cell>
        </row>
        <row r="128">
          <cell r="C128" t="str">
            <v xml:space="preserve">LS </v>
          </cell>
          <cell r="E128">
            <v>12</v>
          </cell>
          <cell r="F128">
            <v>0</v>
          </cell>
          <cell r="J128">
            <v>267.83999999999997</v>
          </cell>
          <cell r="M128">
            <v>0</v>
          </cell>
          <cell r="N128">
            <v>0</v>
          </cell>
          <cell r="O128">
            <v>0</v>
          </cell>
          <cell r="P128">
            <v>0</v>
          </cell>
          <cell r="Z128" t="str">
            <v>20140101LGUM_441</v>
          </cell>
          <cell r="AB128" t="str">
            <v>441</v>
          </cell>
        </row>
        <row r="129">
          <cell r="C129" t="str">
            <v xml:space="preserve">LS </v>
          </cell>
          <cell r="E129">
            <v>6384</v>
          </cell>
          <cell r="F129">
            <v>0</v>
          </cell>
          <cell r="J129">
            <v>81842.880000000005</v>
          </cell>
          <cell r="M129">
            <v>0</v>
          </cell>
          <cell r="N129">
            <v>0</v>
          </cell>
          <cell r="O129">
            <v>0</v>
          </cell>
          <cell r="P129">
            <v>0</v>
          </cell>
          <cell r="Z129" t="str">
            <v>20140101LGUM_452</v>
          </cell>
          <cell r="AB129" t="str">
            <v>452</v>
          </cell>
        </row>
        <row r="130">
          <cell r="C130" t="str">
            <v xml:space="preserve">LS </v>
          </cell>
          <cell r="E130">
            <v>9001</v>
          </cell>
          <cell r="F130">
            <v>0</v>
          </cell>
          <cell r="J130">
            <v>135735.07999999999</v>
          </cell>
          <cell r="M130">
            <v>0</v>
          </cell>
          <cell r="N130">
            <v>0</v>
          </cell>
          <cell r="O130">
            <v>0</v>
          </cell>
          <cell r="P130">
            <v>0</v>
          </cell>
          <cell r="Z130" t="str">
            <v>20140101LGUM_453</v>
          </cell>
          <cell r="AB130" t="str">
            <v>453</v>
          </cell>
        </row>
        <row r="131">
          <cell r="C131" t="str">
            <v xml:space="preserve">LS </v>
          </cell>
          <cell r="E131">
            <v>5514</v>
          </cell>
          <cell r="F131">
            <v>0</v>
          </cell>
          <cell r="J131">
            <v>95833.32</v>
          </cell>
          <cell r="M131">
            <v>0</v>
          </cell>
          <cell r="N131">
            <v>0</v>
          </cell>
          <cell r="O131">
            <v>0</v>
          </cell>
          <cell r="P131">
            <v>0</v>
          </cell>
          <cell r="Z131" t="str">
            <v>20140101LGUM_454</v>
          </cell>
          <cell r="AB131" t="str">
            <v>454</v>
          </cell>
        </row>
        <row r="132">
          <cell r="C132" t="str">
            <v xml:space="preserve">LS </v>
          </cell>
          <cell r="E132">
            <v>407</v>
          </cell>
          <cell r="F132">
            <v>0</v>
          </cell>
          <cell r="J132">
            <v>5604.39</v>
          </cell>
          <cell r="M132">
            <v>0</v>
          </cell>
          <cell r="N132">
            <v>0</v>
          </cell>
          <cell r="O132">
            <v>0</v>
          </cell>
          <cell r="P132">
            <v>0</v>
          </cell>
          <cell r="Z132" t="str">
            <v>20140101LGUM_455</v>
          </cell>
          <cell r="AB132" t="str">
            <v>455</v>
          </cell>
        </row>
        <row r="133">
          <cell r="C133" t="str">
            <v xml:space="preserve">LS </v>
          </cell>
          <cell r="E133">
            <v>12837</v>
          </cell>
          <cell r="F133">
            <v>0</v>
          </cell>
          <cell r="J133">
            <v>233761.77</v>
          </cell>
          <cell r="M133">
            <v>0</v>
          </cell>
          <cell r="N133">
            <v>0</v>
          </cell>
          <cell r="O133">
            <v>0</v>
          </cell>
          <cell r="P133">
            <v>0</v>
          </cell>
          <cell r="Z133" t="str">
            <v>20140101LGUM_456</v>
          </cell>
          <cell r="AB133" t="str">
            <v>456</v>
          </cell>
        </row>
        <row r="134">
          <cell r="C134" t="str">
            <v xml:space="preserve">LS </v>
          </cell>
          <cell r="E134">
            <v>3285</v>
          </cell>
          <cell r="F134">
            <v>0</v>
          </cell>
          <cell r="J134">
            <v>35675.1</v>
          </cell>
          <cell r="M134">
            <v>0</v>
          </cell>
          <cell r="N134">
            <v>0</v>
          </cell>
          <cell r="O134">
            <v>0</v>
          </cell>
          <cell r="P134">
            <v>0</v>
          </cell>
          <cell r="Z134" t="str">
            <v>20140101LGUM_457</v>
          </cell>
          <cell r="AB134" t="str">
            <v>457</v>
          </cell>
        </row>
        <row r="135">
          <cell r="C135" t="str">
            <v>RLS</v>
          </cell>
          <cell r="E135">
            <v>5</v>
          </cell>
          <cell r="F135">
            <v>0</v>
          </cell>
          <cell r="J135">
            <v>55.65</v>
          </cell>
          <cell r="M135">
            <v>0</v>
          </cell>
          <cell r="N135">
            <v>0</v>
          </cell>
          <cell r="O135">
            <v>0</v>
          </cell>
          <cell r="P135">
            <v>0</v>
          </cell>
          <cell r="Z135" t="str">
            <v>20140101LGUM_458</v>
          </cell>
          <cell r="AB135" t="str">
            <v>458</v>
          </cell>
        </row>
        <row r="136">
          <cell r="C136" t="str">
            <v xml:space="preserve">LS </v>
          </cell>
          <cell r="E136">
            <v>22</v>
          </cell>
          <cell r="F136">
            <v>0</v>
          </cell>
          <cell r="J136">
            <v>281.38</v>
          </cell>
          <cell r="M136">
            <v>0</v>
          </cell>
          <cell r="N136">
            <v>0</v>
          </cell>
          <cell r="O136">
            <v>0</v>
          </cell>
          <cell r="P136">
            <v>0</v>
          </cell>
          <cell r="Z136" t="str">
            <v>20140101LGUM_470</v>
          </cell>
          <cell r="AB136" t="str">
            <v>470</v>
          </cell>
        </row>
        <row r="137">
          <cell r="C137" t="str">
            <v>RLS</v>
          </cell>
          <cell r="E137">
            <v>2</v>
          </cell>
          <cell r="F137">
            <v>0</v>
          </cell>
          <cell r="J137">
            <v>30.14</v>
          </cell>
          <cell r="M137">
            <v>0</v>
          </cell>
          <cell r="N137">
            <v>0</v>
          </cell>
          <cell r="O137">
            <v>0</v>
          </cell>
          <cell r="P137">
            <v>0</v>
          </cell>
          <cell r="Z137" t="str">
            <v>20140101LGUM_471</v>
          </cell>
          <cell r="AB137" t="str">
            <v>471</v>
          </cell>
        </row>
        <row r="138">
          <cell r="C138" t="str">
            <v xml:space="preserve">LS </v>
          </cell>
          <cell r="E138">
            <v>298</v>
          </cell>
          <cell r="F138">
            <v>0</v>
          </cell>
          <cell r="J138">
            <v>5566.64</v>
          </cell>
          <cell r="M138">
            <v>0</v>
          </cell>
          <cell r="N138">
            <v>0</v>
          </cell>
          <cell r="O138">
            <v>0</v>
          </cell>
          <cell r="P138">
            <v>0</v>
          </cell>
          <cell r="Z138" t="str">
            <v>20140101LGUM_473</v>
          </cell>
          <cell r="AB138" t="str">
            <v>473</v>
          </cell>
        </row>
        <row r="139">
          <cell r="C139" t="str">
            <v>RLS</v>
          </cell>
          <cell r="E139">
            <v>53</v>
          </cell>
          <cell r="F139">
            <v>0</v>
          </cell>
          <cell r="J139">
            <v>1111.4100000000001</v>
          </cell>
          <cell r="M139">
            <v>0</v>
          </cell>
          <cell r="N139">
            <v>0</v>
          </cell>
          <cell r="O139">
            <v>0</v>
          </cell>
          <cell r="P139">
            <v>0</v>
          </cell>
          <cell r="Z139" t="str">
            <v>20140101LGUM_474</v>
          </cell>
          <cell r="AB139" t="str">
            <v>474</v>
          </cell>
        </row>
        <row r="140">
          <cell r="C140" t="str">
            <v>RLS</v>
          </cell>
          <cell r="E140">
            <v>2</v>
          </cell>
          <cell r="F140">
            <v>0</v>
          </cell>
          <cell r="J140">
            <v>56.84</v>
          </cell>
          <cell r="M140">
            <v>0</v>
          </cell>
          <cell r="N140">
            <v>0</v>
          </cell>
          <cell r="O140">
            <v>0</v>
          </cell>
          <cell r="P140">
            <v>0</v>
          </cell>
          <cell r="Z140" t="str">
            <v>20140101LGUM_475</v>
          </cell>
          <cell r="AB140" t="str">
            <v>475</v>
          </cell>
        </row>
        <row r="141">
          <cell r="C141" t="str">
            <v xml:space="preserve">LS </v>
          </cell>
          <cell r="E141">
            <v>383</v>
          </cell>
          <cell r="F141">
            <v>0</v>
          </cell>
          <cell r="J141">
            <v>15166.8</v>
          </cell>
          <cell r="M141">
            <v>0</v>
          </cell>
          <cell r="N141">
            <v>0</v>
          </cell>
          <cell r="O141">
            <v>0</v>
          </cell>
          <cell r="P141">
            <v>0</v>
          </cell>
          <cell r="Z141" t="str">
            <v>20140101LGUM_476</v>
          </cell>
          <cell r="AB141" t="str">
            <v>476</v>
          </cell>
        </row>
        <row r="142">
          <cell r="C142" t="str">
            <v>RLS</v>
          </cell>
          <cell r="E142">
            <v>60</v>
          </cell>
          <cell r="F142">
            <v>0</v>
          </cell>
          <cell r="J142">
            <v>2566.8000000000002</v>
          </cell>
          <cell r="M142">
            <v>0</v>
          </cell>
          <cell r="N142">
            <v>0</v>
          </cell>
          <cell r="O142">
            <v>0</v>
          </cell>
          <cell r="P142">
            <v>0</v>
          </cell>
          <cell r="Z142" t="str">
            <v>20140101LGUM_477</v>
          </cell>
          <cell r="AB142" t="str">
            <v>477</v>
          </cell>
        </row>
        <row r="143">
          <cell r="C143" t="str">
            <v xml:space="preserve">LS </v>
          </cell>
          <cell r="E143">
            <v>0</v>
          </cell>
          <cell r="F143">
            <v>0</v>
          </cell>
          <cell r="J143">
            <v>0</v>
          </cell>
          <cell r="M143">
            <v>0</v>
          </cell>
          <cell r="N143">
            <v>0</v>
          </cell>
          <cell r="O143">
            <v>0</v>
          </cell>
          <cell r="P143">
            <v>0</v>
          </cell>
          <cell r="Z143" t="str">
            <v>20140101LGUM_479</v>
          </cell>
          <cell r="AB143" t="str">
            <v>479</v>
          </cell>
        </row>
        <row r="144">
          <cell r="C144" t="str">
            <v xml:space="preserve">LS </v>
          </cell>
          <cell r="E144">
            <v>18</v>
          </cell>
          <cell r="F144">
            <v>0</v>
          </cell>
          <cell r="J144">
            <v>428.94</v>
          </cell>
          <cell r="M144">
            <v>0</v>
          </cell>
          <cell r="N144">
            <v>0</v>
          </cell>
          <cell r="O144">
            <v>0</v>
          </cell>
          <cell r="P144">
            <v>0</v>
          </cell>
          <cell r="Z144" t="str">
            <v>20140101LGUM_480</v>
          </cell>
          <cell r="AB144" t="str">
            <v>480</v>
          </cell>
        </row>
        <row r="145">
          <cell r="C145" t="str">
            <v xml:space="preserve">LS </v>
          </cell>
          <cell r="E145">
            <v>4</v>
          </cell>
          <cell r="F145">
            <v>0</v>
          </cell>
          <cell r="J145">
            <v>81.84</v>
          </cell>
          <cell r="M145">
            <v>0</v>
          </cell>
          <cell r="N145">
            <v>0</v>
          </cell>
          <cell r="O145">
            <v>0</v>
          </cell>
          <cell r="P145">
            <v>0</v>
          </cell>
          <cell r="Z145" t="str">
            <v>20140101LGUM_481</v>
          </cell>
          <cell r="AB145" t="str">
            <v>481</v>
          </cell>
        </row>
        <row r="146">
          <cell r="C146" t="str">
            <v xml:space="preserve">LS </v>
          </cell>
          <cell r="E146">
            <v>39</v>
          </cell>
          <cell r="F146">
            <v>0</v>
          </cell>
          <cell r="J146">
            <v>1178.19</v>
          </cell>
          <cell r="M146">
            <v>0</v>
          </cell>
          <cell r="N146">
            <v>0</v>
          </cell>
          <cell r="O146">
            <v>0</v>
          </cell>
          <cell r="P146">
            <v>0</v>
          </cell>
          <cell r="Z146" t="str">
            <v>20140101LGUM_482</v>
          </cell>
          <cell r="AB146" t="str">
            <v>482</v>
          </cell>
        </row>
        <row r="147">
          <cell r="C147" t="str">
            <v xml:space="preserve">LS </v>
          </cell>
          <cell r="E147">
            <v>2</v>
          </cell>
          <cell r="F147">
            <v>0</v>
          </cell>
          <cell r="J147">
            <v>85.12</v>
          </cell>
          <cell r="M147">
            <v>0</v>
          </cell>
          <cell r="N147">
            <v>0</v>
          </cell>
          <cell r="O147">
            <v>0</v>
          </cell>
          <cell r="P147">
            <v>0</v>
          </cell>
          <cell r="Z147" t="str">
            <v>20140101LGUM_483</v>
          </cell>
          <cell r="AB147" t="str">
            <v>483</v>
          </cell>
        </row>
        <row r="148">
          <cell r="C148" t="str">
            <v xml:space="preserve">LS </v>
          </cell>
          <cell r="E148">
            <v>13</v>
          </cell>
          <cell r="F148">
            <v>0</v>
          </cell>
          <cell r="J148">
            <v>680.03</v>
          </cell>
          <cell r="M148">
            <v>0</v>
          </cell>
          <cell r="N148">
            <v>0</v>
          </cell>
          <cell r="O148">
            <v>0</v>
          </cell>
          <cell r="P148">
            <v>0</v>
          </cell>
          <cell r="Z148" t="str">
            <v>20140101LGUM_484</v>
          </cell>
          <cell r="AB148" t="str">
            <v>484</v>
          </cell>
        </row>
        <row r="149">
          <cell r="C149" t="str">
            <v>ODL</v>
          </cell>
          <cell r="E149">
            <v>0</v>
          </cell>
          <cell r="F149">
            <v>13359321</v>
          </cell>
          <cell r="J149">
            <v>0</v>
          </cell>
          <cell r="M149">
            <v>-70730</v>
          </cell>
          <cell r="N149">
            <v>127989</v>
          </cell>
          <cell r="O149">
            <v>0</v>
          </cell>
          <cell r="P149">
            <v>1600624</v>
          </cell>
          <cell r="Z149" t="str">
            <v>20140101ODL</v>
          </cell>
          <cell r="AB149" t="str">
            <v>ODL</v>
          </cell>
        </row>
        <row r="150">
          <cell r="C150" t="str">
            <v>RLS</v>
          </cell>
          <cell r="E150">
            <v>79</v>
          </cell>
          <cell r="F150">
            <v>0</v>
          </cell>
          <cell r="J150">
            <v>643.05999999999995</v>
          </cell>
          <cell r="M150">
            <v>0</v>
          </cell>
          <cell r="N150">
            <v>0</v>
          </cell>
          <cell r="O150">
            <v>0</v>
          </cell>
          <cell r="P150">
            <v>0</v>
          </cell>
          <cell r="Z150" t="str">
            <v>20140101LGUM_201</v>
          </cell>
          <cell r="AB150" t="str">
            <v>201</v>
          </cell>
        </row>
        <row r="151">
          <cell r="C151" t="str">
            <v>RLS</v>
          </cell>
          <cell r="E151">
            <v>3572</v>
          </cell>
          <cell r="F151">
            <v>0</v>
          </cell>
          <cell r="J151">
            <v>39149.120000000003</v>
          </cell>
          <cell r="M151">
            <v>0</v>
          </cell>
          <cell r="N151">
            <v>0</v>
          </cell>
          <cell r="O151">
            <v>0</v>
          </cell>
          <cell r="P151">
            <v>0</v>
          </cell>
          <cell r="Z151" t="str">
            <v>20140101LGUM_203</v>
          </cell>
          <cell r="AB151" t="str">
            <v>203</v>
          </cell>
        </row>
        <row r="152">
          <cell r="C152" t="str">
            <v>RLS</v>
          </cell>
          <cell r="E152">
            <v>3762</v>
          </cell>
          <cell r="F152">
            <v>0</v>
          </cell>
          <cell r="J152">
            <v>50824.62</v>
          </cell>
          <cell r="M152">
            <v>0</v>
          </cell>
          <cell r="N152">
            <v>0</v>
          </cell>
          <cell r="O152">
            <v>0</v>
          </cell>
          <cell r="P152">
            <v>0</v>
          </cell>
          <cell r="Z152" t="str">
            <v>20140101LGUM_204</v>
          </cell>
          <cell r="AB152" t="str">
            <v>204</v>
          </cell>
        </row>
        <row r="153">
          <cell r="C153" t="str">
            <v>RLS</v>
          </cell>
          <cell r="E153">
            <v>97</v>
          </cell>
          <cell r="F153">
            <v>0</v>
          </cell>
          <cell r="J153">
            <v>1207.6500000000001</v>
          </cell>
          <cell r="M153">
            <v>0</v>
          </cell>
          <cell r="N153">
            <v>0</v>
          </cell>
          <cell r="O153">
            <v>0</v>
          </cell>
          <cell r="P153">
            <v>0</v>
          </cell>
          <cell r="Z153" t="str">
            <v>20140101LGUM_206</v>
          </cell>
          <cell r="AB153" t="str">
            <v>206</v>
          </cell>
        </row>
        <row r="154">
          <cell r="C154" t="str">
            <v>RLS</v>
          </cell>
          <cell r="E154">
            <v>761</v>
          </cell>
          <cell r="F154">
            <v>0</v>
          </cell>
          <cell r="J154">
            <v>11825.94</v>
          </cell>
          <cell r="M154">
            <v>0</v>
          </cell>
          <cell r="N154">
            <v>0</v>
          </cell>
          <cell r="O154">
            <v>0</v>
          </cell>
          <cell r="P154">
            <v>0</v>
          </cell>
          <cell r="Z154" t="str">
            <v>20140101LGUM_207</v>
          </cell>
          <cell r="AB154" t="str">
            <v>207</v>
          </cell>
        </row>
        <row r="155">
          <cell r="C155" t="str">
            <v>RLS</v>
          </cell>
          <cell r="E155">
            <v>1408</v>
          </cell>
          <cell r="F155">
            <v>0</v>
          </cell>
          <cell r="J155">
            <v>20049.919999999998</v>
          </cell>
          <cell r="M155">
            <v>0</v>
          </cell>
          <cell r="N155">
            <v>0</v>
          </cell>
          <cell r="O155">
            <v>0</v>
          </cell>
          <cell r="P155">
            <v>0</v>
          </cell>
          <cell r="Z155" t="str">
            <v>20140101LGUM_208</v>
          </cell>
          <cell r="AB155" t="str">
            <v>208</v>
          </cell>
        </row>
        <row r="156">
          <cell r="C156" t="str">
            <v>RLS</v>
          </cell>
          <cell r="E156">
            <v>43</v>
          </cell>
          <cell r="F156">
            <v>0</v>
          </cell>
          <cell r="J156">
            <v>1190.67</v>
          </cell>
          <cell r="M156">
            <v>0</v>
          </cell>
          <cell r="N156">
            <v>0</v>
          </cell>
          <cell r="O156">
            <v>0</v>
          </cell>
          <cell r="P156">
            <v>0</v>
          </cell>
          <cell r="Z156" t="str">
            <v>20140101LGUM_209</v>
          </cell>
          <cell r="AB156" t="str">
            <v>209</v>
          </cell>
        </row>
        <row r="157">
          <cell r="C157" t="str">
            <v>RLS</v>
          </cell>
          <cell r="E157">
            <v>339</v>
          </cell>
          <cell r="F157">
            <v>0</v>
          </cell>
          <cell r="J157">
            <v>9793.7099999999991</v>
          </cell>
          <cell r="M157">
            <v>0</v>
          </cell>
          <cell r="N157">
            <v>0</v>
          </cell>
          <cell r="O157">
            <v>0</v>
          </cell>
          <cell r="P157">
            <v>0</v>
          </cell>
          <cell r="Z157" t="str">
            <v>20140101LGUM_210</v>
          </cell>
          <cell r="AB157" t="str">
            <v>210</v>
          </cell>
        </row>
        <row r="158">
          <cell r="C158" t="str">
            <v>RLS</v>
          </cell>
          <cell r="E158">
            <v>3912</v>
          </cell>
          <cell r="F158">
            <v>0</v>
          </cell>
          <cell r="J158">
            <v>37437.839999999997</v>
          </cell>
          <cell r="M158">
            <v>0</v>
          </cell>
          <cell r="N158">
            <v>0</v>
          </cell>
          <cell r="O158">
            <v>0</v>
          </cell>
          <cell r="P158">
            <v>0</v>
          </cell>
          <cell r="Z158" t="str">
            <v>20140101LGUM_252</v>
          </cell>
          <cell r="AB158" t="str">
            <v>252</v>
          </cell>
        </row>
        <row r="159">
          <cell r="C159" t="str">
            <v>RLS</v>
          </cell>
          <cell r="E159">
            <v>1983</v>
          </cell>
          <cell r="F159">
            <v>0</v>
          </cell>
          <cell r="J159">
            <v>54215.22</v>
          </cell>
          <cell r="M159">
            <v>0</v>
          </cell>
          <cell r="N159">
            <v>0</v>
          </cell>
          <cell r="O159">
            <v>0</v>
          </cell>
          <cell r="P159">
            <v>0</v>
          </cell>
          <cell r="Z159" t="str">
            <v>20140101LGUM_266</v>
          </cell>
          <cell r="AB159" t="str">
            <v>266</v>
          </cell>
        </row>
        <row r="160">
          <cell r="C160" t="str">
            <v>RLS</v>
          </cell>
          <cell r="E160">
            <v>2188</v>
          </cell>
          <cell r="F160">
            <v>0</v>
          </cell>
          <cell r="J160">
            <v>68703.199999999997</v>
          </cell>
          <cell r="M160">
            <v>0</v>
          </cell>
          <cell r="N160">
            <v>0</v>
          </cell>
          <cell r="O160">
            <v>0</v>
          </cell>
          <cell r="P160">
            <v>0</v>
          </cell>
          <cell r="Z160" t="str">
            <v>20140101LGUM_267</v>
          </cell>
          <cell r="AB160" t="str">
            <v>267</v>
          </cell>
        </row>
        <row r="161">
          <cell r="C161" t="str">
            <v>RLS</v>
          </cell>
          <cell r="E161">
            <v>16786</v>
          </cell>
          <cell r="F161">
            <v>0</v>
          </cell>
          <cell r="J161">
            <v>288551.34000000003</v>
          </cell>
          <cell r="M161">
            <v>0</v>
          </cell>
          <cell r="N161">
            <v>0</v>
          </cell>
          <cell r="O161">
            <v>0</v>
          </cell>
          <cell r="P161">
            <v>0</v>
          </cell>
          <cell r="Z161" t="str">
            <v>20140101LGUM_274</v>
          </cell>
          <cell r="AB161" t="str">
            <v>274</v>
          </cell>
        </row>
        <row r="162">
          <cell r="C162" t="str">
            <v>RLS</v>
          </cell>
          <cell r="E162">
            <v>506</v>
          </cell>
          <cell r="F162">
            <v>0</v>
          </cell>
          <cell r="J162">
            <v>12594.34</v>
          </cell>
          <cell r="M162">
            <v>0</v>
          </cell>
          <cell r="N162">
            <v>0</v>
          </cell>
          <cell r="O162">
            <v>0</v>
          </cell>
          <cell r="P162">
            <v>0</v>
          </cell>
          <cell r="Z162" t="str">
            <v>20140101LGUM_275</v>
          </cell>
          <cell r="AB162" t="str">
            <v>275</v>
          </cell>
        </row>
        <row r="163">
          <cell r="C163" t="str">
            <v>RLS</v>
          </cell>
          <cell r="E163">
            <v>1337</v>
          </cell>
          <cell r="F163">
            <v>0</v>
          </cell>
          <cell r="J163">
            <v>18945.29</v>
          </cell>
          <cell r="M163">
            <v>0</v>
          </cell>
          <cell r="N163">
            <v>0</v>
          </cell>
          <cell r="O163">
            <v>0</v>
          </cell>
          <cell r="P163">
            <v>0</v>
          </cell>
          <cell r="Z163" t="str">
            <v>20140101LGUM_276</v>
          </cell>
          <cell r="AB163" t="str">
            <v>276</v>
          </cell>
        </row>
        <row r="164">
          <cell r="C164" t="str">
            <v>RLS</v>
          </cell>
          <cell r="E164">
            <v>2273</v>
          </cell>
          <cell r="F164">
            <v>0</v>
          </cell>
          <cell r="J164">
            <v>50346.95</v>
          </cell>
          <cell r="M164">
            <v>0</v>
          </cell>
          <cell r="N164">
            <v>0</v>
          </cell>
          <cell r="O164">
            <v>0</v>
          </cell>
          <cell r="P164">
            <v>0</v>
          </cell>
          <cell r="Z164" t="str">
            <v>20140101LGUM_277</v>
          </cell>
          <cell r="AB164" t="str">
            <v>277</v>
          </cell>
        </row>
        <row r="165">
          <cell r="C165" t="str">
            <v>RLS</v>
          </cell>
          <cell r="E165">
            <v>17</v>
          </cell>
          <cell r="F165">
            <v>0</v>
          </cell>
          <cell r="J165">
            <v>1233.3499999999999</v>
          </cell>
          <cell r="M165">
            <v>0</v>
          </cell>
          <cell r="N165">
            <v>0</v>
          </cell>
          <cell r="O165">
            <v>0</v>
          </cell>
          <cell r="P165">
            <v>0</v>
          </cell>
          <cell r="Z165" t="str">
            <v>20140101LGUM_278</v>
          </cell>
          <cell r="AB165" t="str">
            <v>278</v>
          </cell>
        </row>
        <row r="166">
          <cell r="C166" t="str">
            <v>RLS</v>
          </cell>
          <cell r="E166">
            <v>11</v>
          </cell>
          <cell r="F166">
            <v>0</v>
          </cell>
          <cell r="J166">
            <v>455.73</v>
          </cell>
          <cell r="M166">
            <v>0</v>
          </cell>
          <cell r="N166">
            <v>0</v>
          </cell>
          <cell r="O166">
            <v>0</v>
          </cell>
          <cell r="P166">
            <v>0</v>
          </cell>
          <cell r="Z166" t="str">
            <v>20140101LGUM_279</v>
          </cell>
          <cell r="AB166" t="str">
            <v>279</v>
          </cell>
        </row>
        <row r="167">
          <cell r="C167" t="str">
            <v>RLS</v>
          </cell>
          <cell r="E167">
            <v>45</v>
          </cell>
          <cell r="F167">
            <v>0</v>
          </cell>
          <cell r="J167">
            <v>872.1</v>
          </cell>
          <cell r="M167">
            <v>0</v>
          </cell>
          <cell r="N167">
            <v>0</v>
          </cell>
          <cell r="O167">
            <v>0</v>
          </cell>
          <cell r="P167">
            <v>0</v>
          </cell>
          <cell r="Z167" t="str">
            <v>20140101LGUM_280</v>
          </cell>
          <cell r="AB167" t="str">
            <v>280</v>
          </cell>
        </row>
        <row r="168">
          <cell r="C168" t="str">
            <v>RLS</v>
          </cell>
          <cell r="E168">
            <v>243</v>
          </cell>
          <cell r="F168">
            <v>0</v>
          </cell>
          <cell r="J168">
            <v>4945.05</v>
          </cell>
          <cell r="M168">
            <v>0</v>
          </cell>
          <cell r="N168">
            <v>0</v>
          </cell>
          <cell r="O168">
            <v>0</v>
          </cell>
          <cell r="P168">
            <v>0</v>
          </cell>
          <cell r="Z168" t="str">
            <v>20140101LGUM_281</v>
          </cell>
          <cell r="AB168" t="str">
            <v>281</v>
          </cell>
        </row>
        <row r="169">
          <cell r="C169" t="str">
            <v>RLS</v>
          </cell>
          <cell r="E169">
            <v>104</v>
          </cell>
          <cell r="F169">
            <v>0</v>
          </cell>
          <cell r="J169">
            <v>2031.12</v>
          </cell>
          <cell r="M169">
            <v>0</v>
          </cell>
          <cell r="N169">
            <v>0</v>
          </cell>
          <cell r="O169">
            <v>0</v>
          </cell>
          <cell r="P169">
            <v>0</v>
          </cell>
          <cell r="Z169" t="str">
            <v>20140101LGUM_282</v>
          </cell>
          <cell r="AB169" t="str">
            <v>282</v>
          </cell>
        </row>
        <row r="170">
          <cell r="C170" t="str">
            <v>RLS</v>
          </cell>
          <cell r="E170">
            <v>81</v>
          </cell>
          <cell r="F170">
            <v>0</v>
          </cell>
          <cell r="J170">
            <v>1686.42</v>
          </cell>
          <cell r="M170">
            <v>0</v>
          </cell>
          <cell r="N170">
            <v>0</v>
          </cell>
          <cell r="O170">
            <v>0</v>
          </cell>
          <cell r="P170">
            <v>0</v>
          </cell>
          <cell r="Z170" t="str">
            <v>20140101LGUM_283</v>
          </cell>
          <cell r="AB170" t="str">
            <v>283</v>
          </cell>
        </row>
        <row r="171">
          <cell r="C171" t="str">
            <v>RLS</v>
          </cell>
          <cell r="E171">
            <v>488</v>
          </cell>
          <cell r="F171">
            <v>0</v>
          </cell>
          <cell r="J171">
            <v>9369.6</v>
          </cell>
          <cell r="M171">
            <v>0</v>
          </cell>
          <cell r="N171">
            <v>0</v>
          </cell>
          <cell r="O171">
            <v>0</v>
          </cell>
          <cell r="P171">
            <v>0</v>
          </cell>
          <cell r="Z171" t="str">
            <v>20140101LGUM_314</v>
          </cell>
          <cell r="AB171" t="str">
            <v>314</v>
          </cell>
        </row>
        <row r="172">
          <cell r="C172" t="str">
            <v>RLS</v>
          </cell>
          <cell r="E172">
            <v>514</v>
          </cell>
          <cell r="F172">
            <v>0</v>
          </cell>
          <cell r="J172">
            <v>11796.3</v>
          </cell>
          <cell r="M172">
            <v>0</v>
          </cell>
          <cell r="N172">
            <v>0</v>
          </cell>
          <cell r="O172">
            <v>0</v>
          </cell>
          <cell r="P172">
            <v>0</v>
          </cell>
          <cell r="Z172" t="str">
            <v>20140101LGUM_315</v>
          </cell>
          <cell r="AB172" t="str">
            <v>315</v>
          </cell>
        </row>
        <row r="173">
          <cell r="C173" t="str">
            <v>RLS</v>
          </cell>
          <cell r="E173">
            <v>53</v>
          </cell>
          <cell r="F173">
            <v>0</v>
          </cell>
          <cell r="J173">
            <v>923.26</v>
          </cell>
          <cell r="M173">
            <v>0</v>
          </cell>
          <cell r="N173">
            <v>0</v>
          </cell>
          <cell r="O173">
            <v>0</v>
          </cell>
          <cell r="P173">
            <v>0</v>
          </cell>
          <cell r="Z173" t="str">
            <v>20140101LGUM_318</v>
          </cell>
          <cell r="AB173" t="str">
            <v>318</v>
          </cell>
        </row>
        <row r="174">
          <cell r="C174" t="str">
            <v>RLS</v>
          </cell>
          <cell r="E174">
            <v>0</v>
          </cell>
          <cell r="F174">
            <v>0</v>
          </cell>
          <cell r="J174">
            <v>0</v>
          </cell>
          <cell r="M174">
            <v>0</v>
          </cell>
          <cell r="N174">
            <v>0</v>
          </cell>
          <cell r="O174">
            <v>0</v>
          </cell>
          <cell r="P174">
            <v>0</v>
          </cell>
          <cell r="Z174" t="str">
            <v>20140101LGUM_347</v>
          </cell>
          <cell r="AB174" t="str">
            <v>347</v>
          </cell>
        </row>
        <row r="175">
          <cell r="C175" t="str">
            <v>RLS</v>
          </cell>
          <cell r="E175">
            <v>39</v>
          </cell>
          <cell r="F175">
            <v>0</v>
          </cell>
          <cell r="J175">
            <v>511.68</v>
          </cell>
          <cell r="M175">
            <v>0</v>
          </cell>
          <cell r="N175">
            <v>0</v>
          </cell>
          <cell r="O175">
            <v>0</v>
          </cell>
          <cell r="P175">
            <v>0</v>
          </cell>
          <cell r="Z175" t="str">
            <v>20140101LGUM_348</v>
          </cell>
          <cell r="AB175" t="str">
            <v>348</v>
          </cell>
        </row>
        <row r="176">
          <cell r="C176" t="str">
            <v>RLS</v>
          </cell>
          <cell r="E176">
            <v>17</v>
          </cell>
          <cell r="F176">
            <v>0</v>
          </cell>
          <cell r="J176">
            <v>153.34</v>
          </cell>
          <cell r="M176">
            <v>0</v>
          </cell>
          <cell r="N176">
            <v>0</v>
          </cell>
          <cell r="O176">
            <v>0</v>
          </cell>
          <cell r="P176">
            <v>0</v>
          </cell>
          <cell r="Z176" t="str">
            <v>20140101LGUM_349</v>
          </cell>
          <cell r="AB176" t="str">
            <v>349</v>
          </cell>
        </row>
        <row r="177">
          <cell r="C177" t="str">
            <v xml:space="preserve">LS </v>
          </cell>
          <cell r="E177">
            <v>32</v>
          </cell>
          <cell r="F177">
            <v>0</v>
          </cell>
          <cell r="J177">
            <v>764.48</v>
          </cell>
          <cell r="M177">
            <v>0</v>
          </cell>
          <cell r="N177">
            <v>0</v>
          </cell>
          <cell r="O177">
            <v>0</v>
          </cell>
          <cell r="P177">
            <v>0</v>
          </cell>
          <cell r="Z177" t="str">
            <v>20140101LGUM_400</v>
          </cell>
          <cell r="AB177" t="str">
            <v>400</v>
          </cell>
        </row>
        <row r="178">
          <cell r="C178" t="str">
            <v xml:space="preserve">LS </v>
          </cell>
          <cell r="E178">
            <v>4</v>
          </cell>
          <cell r="F178">
            <v>0</v>
          </cell>
          <cell r="J178">
            <v>99.6</v>
          </cell>
          <cell r="M178">
            <v>0</v>
          </cell>
          <cell r="N178">
            <v>0</v>
          </cell>
          <cell r="O178">
            <v>0</v>
          </cell>
          <cell r="P178">
            <v>0</v>
          </cell>
          <cell r="Z178" t="str">
            <v>20140101LGUM_401</v>
          </cell>
          <cell r="AB178" t="str">
            <v>401</v>
          </cell>
        </row>
        <row r="179">
          <cell r="C179" t="str">
            <v xml:space="preserve">LS </v>
          </cell>
          <cell r="E179">
            <v>222</v>
          </cell>
          <cell r="F179">
            <v>0</v>
          </cell>
          <cell r="J179">
            <v>4393.38</v>
          </cell>
          <cell r="M179">
            <v>0</v>
          </cell>
          <cell r="N179">
            <v>0</v>
          </cell>
          <cell r="O179">
            <v>0</v>
          </cell>
          <cell r="P179">
            <v>0</v>
          </cell>
          <cell r="Z179" t="str">
            <v>20140101LGUM_412</v>
          </cell>
          <cell r="AB179" t="str">
            <v>412</v>
          </cell>
        </row>
        <row r="180">
          <cell r="C180" t="str">
            <v xml:space="preserve">LS </v>
          </cell>
          <cell r="E180">
            <v>2039</v>
          </cell>
          <cell r="F180">
            <v>0</v>
          </cell>
          <cell r="J180">
            <v>41779.11</v>
          </cell>
          <cell r="M180">
            <v>0</v>
          </cell>
          <cell r="N180">
            <v>0</v>
          </cell>
          <cell r="O180">
            <v>0</v>
          </cell>
          <cell r="P180">
            <v>0</v>
          </cell>
          <cell r="Z180" t="str">
            <v>20140101LGUM_413</v>
          </cell>
          <cell r="AB180" t="str">
            <v>413</v>
          </cell>
        </row>
        <row r="181">
          <cell r="C181" t="str">
            <v xml:space="preserve">LS </v>
          </cell>
          <cell r="E181">
            <v>31</v>
          </cell>
          <cell r="F181">
            <v>0</v>
          </cell>
          <cell r="J181">
            <v>625.58000000000004</v>
          </cell>
          <cell r="M181">
            <v>0</v>
          </cell>
          <cell r="N181">
            <v>0</v>
          </cell>
          <cell r="O181">
            <v>0</v>
          </cell>
          <cell r="P181">
            <v>0</v>
          </cell>
          <cell r="Z181" t="str">
            <v>20140101LGUM_415</v>
          </cell>
          <cell r="AB181" t="str">
            <v>415</v>
          </cell>
        </row>
        <row r="182">
          <cell r="C182" t="str">
            <v xml:space="preserve">LS </v>
          </cell>
          <cell r="E182">
            <v>1847</v>
          </cell>
          <cell r="F182">
            <v>0</v>
          </cell>
          <cell r="J182">
            <v>41668.32</v>
          </cell>
          <cell r="M182">
            <v>0</v>
          </cell>
          <cell r="N182">
            <v>0</v>
          </cell>
          <cell r="O182">
            <v>0</v>
          </cell>
          <cell r="P182">
            <v>0</v>
          </cell>
          <cell r="Z182" t="str">
            <v>20140101LGUM_416</v>
          </cell>
          <cell r="AB182" t="str">
            <v>416</v>
          </cell>
        </row>
        <row r="183">
          <cell r="C183" t="str">
            <v>RLS</v>
          </cell>
          <cell r="E183">
            <v>35</v>
          </cell>
          <cell r="F183">
            <v>0</v>
          </cell>
          <cell r="J183">
            <v>828.8</v>
          </cell>
          <cell r="M183">
            <v>0</v>
          </cell>
          <cell r="N183">
            <v>0</v>
          </cell>
          <cell r="O183">
            <v>0</v>
          </cell>
          <cell r="P183">
            <v>0</v>
          </cell>
          <cell r="Z183" t="str">
            <v>20140101LGUM_417</v>
          </cell>
          <cell r="AB183" t="str">
            <v>417</v>
          </cell>
        </row>
        <row r="184">
          <cell r="C184" t="str">
            <v>RLS</v>
          </cell>
          <cell r="E184">
            <v>111</v>
          </cell>
          <cell r="F184">
            <v>0</v>
          </cell>
          <cell r="J184">
            <v>2749.47</v>
          </cell>
          <cell r="M184">
            <v>0</v>
          </cell>
          <cell r="N184">
            <v>0</v>
          </cell>
          <cell r="O184">
            <v>0</v>
          </cell>
          <cell r="P184">
            <v>0</v>
          </cell>
          <cell r="Z184" t="str">
            <v>20140101LGUM_419</v>
          </cell>
          <cell r="AB184" t="str">
            <v>419</v>
          </cell>
        </row>
        <row r="185">
          <cell r="C185" t="str">
            <v xml:space="preserve">LS </v>
          </cell>
          <cell r="E185">
            <v>59</v>
          </cell>
          <cell r="F185">
            <v>0</v>
          </cell>
          <cell r="J185">
            <v>1763.51</v>
          </cell>
          <cell r="M185">
            <v>0</v>
          </cell>
          <cell r="N185">
            <v>0</v>
          </cell>
          <cell r="O185">
            <v>0</v>
          </cell>
          <cell r="P185">
            <v>0</v>
          </cell>
          <cell r="Z185" t="str">
            <v>20140101LGUM_420</v>
          </cell>
          <cell r="AB185" t="str">
            <v>420</v>
          </cell>
        </row>
        <row r="186">
          <cell r="C186" t="str">
            <v xml:space="preserve">LS </v>
          </cell>
          <cell r="E186">
            <v>176</v>
          </cell>
          <cell r="F186">
            <v>0</v>
          </cell>
          <cell r="J186">
            <v>5783.36</v>
          </cell>
          <cell r="M186">
            <v>0</v>
          </cell>
          <cell r="N186">
            <v>0</v>
          </cell>
          <cell r="O186">
            <v>0</v>
          </cell>
          <cell r="P186">
            <v>0</v>
          </cell>
          <cell r="Z186" t="str">
            <v>20140101LGUM_421</v>
          </cell>
          <cell r="AB186" t="str">
            <v>421</v>
          </cell>
        </row>
        <row r="187">
          <cell r="C187" t="str">
            <v xml:space="preserve">LS </v>
          </cell>
          <cell r="E187">
            <v>426</v>
          </cell>
          <cell r="F187">
            <v>0</v>
          </cell>
          <cell r="J187">
            <v>16354.14</v>
          </cell>
          <cell r="M187">
            <v>0</v>
          </cell>
          <cell r="N187">
            <v>0</v>
          </cell>
          <cell r="O187">
            <v>0</v>
          </cell>
          <cell r="P187">
            <v>0</v>
          </cell>
          <cell r="Z187" t="str">
            <v>20140101LGUM_422</v>
          </cell>
          <cell r="AB187" t="str">
            <v>422</v>
          </cell>
        </row>
        <row r="188">
          <cell r="C188" t="str">
            <v xml:space="preserve">LS </v>
          </cell>
          <cell r="E188">
            <v>17</v>
          </cell>
          <cell r="F188">
            <v>0</v>
          </cell>
          <cell r="J188">
            <v>447.95</v>
          </cell>
          <cell r="M188">
            <v>0</v>
          </cell>
          <cell r="N188">
            <v>0</v>
          </cell>
          <cell r="O188">
            <v>0</v>
          </cell>
          <cell r="P188">
            <v>0</v>
          </cell>
          <cell r="Z188" t="str">
            <v>20140101LGUM_423</v>
          </cell>
          <cell r="AB188" t="str">
            <v>423</v>
          </cell>
        </row>
        <row r="189">
          <cell r="C189" t="str">
            <v xml:space="preserve">LS </v>
          </cell>
          <cell r="E189">
            <v>387</v>
          </cell>
          <cell r="F189">
            <v>0</v>
          </cell>
          <cell r="J189">
            <v>11010.15</v>
          </cell>
          <cell r="M189">
            <v>0</v>
          </cell>
          <cell r="N189">
            <v>0</v>
          </cell>
          <cell r="O189">
            <v>0</v>
          </cell>
          <cell r="P189">
            <v>0</v>
          </cell>
          <cell r="Z189" t="str">
            <v>20140101LGUM_424</v>
          </cell>
          <cell r="AB189" t="str">
            <v>424</v>
          </cell>
        </row>
        <row r="190">
          <cell r="C190" t="str">
            <v xml:space="preserve">LS </v>
          </cell>
          <cell r="E190">
            <v>34</v>
          </cell>
          <cell r="F190">
            <v>0</v>
          </cell>
          <cell r="J190">
            <v>1157.02</v>
          </cell>
          <cell r="M190">
            <v>0</v>
          </cell>
          <cell r="N190">
            <v>0</v>
          </cell>
          <cell r="O190">
            <v>0</v>
          </cell>
          <cell r="P190">
            <v>0</v>
          </cell>
          <cell r="Z190" t="str">
            <v>20140101LGUM_425</v>
          </cell>
          <cell r="AB190" t="str">
            <v>425</v>
          </cell>
        </row>
        <row r="191">
          <cell r="C191" t="str">
            <v>RLS</v>
          </cell>
          <cell r="E191">
            <v>40</v>
          </cell>
          <cell r="F191">
            <v>0</v>
          </cell>
          <cell r="J191">
            <v>1328.8</v>
          </cell>
          <cell r="M191">
            <v>0</v>
          </cell>
          <cell r="N191">
            <v>0</v>
          </cell>
          <cell r="O191">
            <v>0</v>
          </cell>
          <cell r="P191">
            <v>0</v>
          </cell>
          <cell r="Z191" t="str">
            <v>20140101LGUM_426</v>
          </cell>
          <cell r="AB191" t="str">
            <v>426</v>
          </cell>
        </row>
        <row r="192">
          <cell r="C192" t="str">
            <v xml:space="preserve">LS </v>
          </cell>
          <cell r="E192">
            <v>52</v>
          </cell>
          <cell r="F192">
            <v>0</v>
          </cell>
          <cell r="J192">
            <v>1830.4</v>
          </cell>
          <cell r="M192">
            <v>0</v>
          </cell>
          <cell r="N192">
            <v>0</v>
          </cell>
          <cell r="O192">
            <v>0</v>
          </cell>
          <cell r="P192">
            <v>0</v>
          </cell>
          <cell r="Z192" t="str">
            <v>20140101LGUM_427</v>
          </cell>
          <cell r="AB192" t="str">
            <v>427</v>
          </cell>
        </row>
        <row r="193">
          <cell r="C193" t="str">
            <v>RLS</v>
          </cell>
          <cell r="E193">
            <v>204</v>
          </cell>
          <cell r="F193">
            <v>0</v>
          </cell>
          <cell r="J193">
            <v>6954.36</v>
          </cell>
          <cell r="M193">
            <v>0</v>
          </cell>
          <cell r="N193">
            <v>0</v>
          </cell>
          <cell r="O193">
            <v>0</v>
          </cell>
          <cell r="P193">
            <v>0</v>
          </cell>
          <cell r="Z193" t="str">
            <v>20140101LGUM_428</v>
          </cell>
          <cell r="AB193" t="str">
            <v>428</v>
          </cell>
        </row>
        <row r="194">
          <cell r="C194" t="str">
            <v xml:space="preserve">LS </v>
          </cell>
          <cell r="E194">
            <v>189</v>
          </cell>
          <cell r="F194">
            <v>0</v>
          </cell>
          <cell r="J194">
            <v>6817.23</v>
          </cell>
          <cell r="M194">
            <v>0</v>
          </cell>
          <cell r="N194">
            <v>0</v>
          </cell>
          <cell r="O194">
            <v>0</v>
          </cell>
          <cell r="P194">
            <v>0</v>
          </cell>
          <cell r="Z194" t="str">
            <v>20140101LGUM_429</v>
          </cell>
          <cell r="AB194" t="str">
            <v>429</v>
          </cell>
        </row>
        <row r="195">
          <cell r="C195" t="str">
            <v>RLS</v>
          </cell>
          <cell r="E195">
            <v>13</v>
          </cell>
          <cell r="F195">
            <v>0</v>
          </cell>
          <cell r="J195">
            <v>419.38</v>
          </cell>
          <cell r="M195">
            <v>0</v>
          </cell>
          <cell r="N195">
            <v>0</v>
          </cell>
          <cell r="O195">
            <v>0</v>
          </cell>
          <cell r="P195">
            <v>0</v>
          </cell>
          <cell r="Z195" t="str">
            <v>20140101LGUM_430</v>
          </cell>
          <cell r="AB195" t="str">
            <v>430</v>
          </cell>
        </row>
        <row r="196">
          <cell r="C196" t="str">
            <v xml:space="preserve">LS </v>
          </cell>
          <cell r="E196">
            <v>44</v>
          </cell>
          <cell r="F196">
            <v>0</v>
          </cell>
          <cell r="J196">
            <v>1448.92</v>
          </cell>
          <cell r="M196">
            <v>0</v>
          </cell>
          <cell r="N196">
            <v>0</v>
          </cell>
          <cell r="O196">
            <v>0</v>
          </cell>
          <cell r="P196">
            <v>0</v>
          </cell>
          <cell r="Z196" t="str">
            <v>20140101LGUM_431</v>
          </cell>
          <cell r="AB196" t="str">
            <v>431</v>
          </cell>
        </row>
        <row r="197">
          <cell r="C197" t="str">
            <v>RLS</v>
          </cell>
          <cell r="E197">
            <v>10</v>
          </cell>
          <cell r="F197">
            <v>0</v>
          </cell>
          <cell r="J197">
            <v>343.3</v>
          </cell>
          <cell r="M197">
            <v>0</v>
          </cell>
          <cell r="N197">
            <v>0</v>
          </cell>
          <cell r="O197">
            <v>0</v>
          </cell>
          <cell r="P197">
            <v>0</v>
          </cell>
          <cell r="Z197" t="str">
            <v>20140101LGUM_432</v>
          </cell>
          <cell r="AB197" t="str">
            <v>432</v>
          </cell>
        </row>
        <row r="198">
          <cell r="C198" t="str">
            <v xml:space="preserve">LS </v>
          </cell>
          <cell r="E198">
            <v>191</v>
          </cell>
          <cell r="F198">
            <v>0</v>
          </cell>
          <cell r="J198">
            <v>6683.09</v>
          </cell>
          <cell r="M198">
            <v>0</v>
          </cell>
          <cell r="N198">
            <v>0</v>
          </cell>
          <cell r="O198">
            <v>0</v>
          </cell>
          <cell r="P198">
            <v>0</v>
          </cell>
          <cell r="Z198" t="str">
            <v>20140101LGUM_433</v>
          </cell>
          <cell r="AB198" t="str">
            <v>433</v>
          </cell>
        </row>
        <row r="199">
          <cell r="C199" t="str">
            <v xml:space="preserve">LS </v>
          </cell>
          <cell r="E199">
            <v>0</v>
          </cell>
          <cell r="F199">
            <v>0</v>
          </cell>
          <cell r="J199">
            <v>0</v>
          </cell>
          <cell r="M199">
            <v>0</v>
          </cell>
          <cell r="N199">
            <v>0</v>
          </cell>
          <cell r="O199">
            <v>0</v>
          </cell>
          <cell r="P199">
            <v>0</v>
          </cell>
          <cell r="Z199" t="str">
            <v>20140101LGUM_439</v>
          </cell>
          <cell r="AB199" t="str">
            <v>439</v>
          </cell>
        </row>
        <row r="200">
          <cell r="C200" t="str">
            <v xml:space="preserve">LS </v>
          </cell>
          <cell r="E200">
            <v>2</v>
          </cell>
          <cell r="F200">
            <v>0</v>
          </cell>
          <cell r="J200">
            <v>36.56</v>
          </cell>
          <cell r="M200">
            <v>0</v>
          </cell>
          <cell r="N200">
            <v>0</v>
          </cell>
          <cell r="O200">
            <v>0</v>
          </cell>
          <cell r="P200">
            <v>0</v>
          </cell>
          <cell r="Z200" t="str">
            <v>20140101LGUM_440</v>
          </cell>
          <cell r="AB200" t="str">
            <v>440</v>
          </cell>
        </row>
        <row r="201">
          <cell r="C201" t="str">
            <v xml:space="preserve">LS </v>
          </cell>
          <cell r="E201">
            <v>14</v>
          </cell>
          <cell r="F201">
            <v>0</v>
          </cell>
          <cell r="J201">
            <v>312.48</v>
          </cell>
          <cell r="M201">
            <v>0</v>
          </cell>
          <cell r="N201">
            <v>0</v>
          </cell>
          <cell r="O201">
            <v>0</v>
          </cell>
          <cell r="P201">
            <v>0</v>
          </cell>
          <cell r="Z201" t="str">
            <v>20140101LGUM_441</v>
          </cell>
          <cell r="AB201" t="str">
            <v>441</v>
          </cell>
        </row>
        <row r="202">
          <cell r="C202" t="str">
            <v xml:space="preserve">LS </v>
          </cell>
          <cell r="E202">
            <v>6174</v>
          </cell>
          <cell r="F202">
            <v>0</v>
          </cell>
          <cell r="J202">
            <v>79150.679999999993</v>
          </cell>
          <cell r="M202">
            <v>0</v>
          </cell>
          <cell r="N202">
            <v>0</v>
          </cell>
          <cell r="O202">
            <v>0</v>
          </cell>
          <cell r="P202">
            <v>0</v>
          </cell>
          <cell r="Z202" t="str">
            <v>20140101LGUM_452</v>
          </cell>
          <cell r="AB202" t="str">
            <v>452</v>
          </cell>
        </row>
        <row r="203">
          <cell r="C203" t="str">
            <v xml:space="preserve">LS </v>
          </cell>
          <cell r="E203">
            <v>8695</v>
          </cell>
          <cell r="F203">
            <v>0</v>
          </cell>
          <cell r="J203">
            <v>131120.6</v>
          </cell>
          <cell r="M203">
            <v>0</v>
          </cell>
          <cell r="N203">
            <v>0</v>
          </cell>
          <cell r="O203">
            <v>0</v>
          </cell>
          <cell r="P203">
            <v>0</v>
          </cell>
          <cell r="Z203" t="str">
            <v>20140101LGUM_453</v>
          </cell>
          <cell r="AB203" t="str">
            <v>453</v>
          </cell>
        </row>
        <row r="204">
          <cell r="C204" t="str">
            <v xml:space="preserve">LS </v>
          </cell>
          <cell r="E204">
            <v>5490</v>
          </cell>
          <cell r="F204">
            <v>0</v>
          </cell>
          <cell r="J204">
            <v>95416.2</v>
          </cell>
          <cell r="M204">
            <v>0</v>
          </cell>
          <cell r="N204">
            <v>0</v>
          </cell>
          <cell r="O204">
            <v>0</v>
          </cell>
          <cell r="P204">
            <v>0</v>
          </cell>
          <cell r="Z204" t="str">
            <v>20140101LGUM_454</v>
          </cell>
          <cell r="AB204" t="str">
            <v>454</v>
          </cell>
        </row>
        <row r="205">
          <cell r="C205" t="str">
            <v xml:space="preserve">LS </v>
          </cell>
          <cell r="E205">
            <v>413</v>
          </cell>
          <cell r="F205">
            <v>0</v>
          </cell>
          <cell r="J205">
            <v>5687.01</v>
          </cell>
          <cell r="M205">
            <v>0</v>
          </cell>
          <cell r="N205">
            <v>0</v>
          </cell>
          <cell r="O205">
            <v>0</v>
          </cell>
          <cell r="P205">
            <v>0</v>
          </cell>
          <cell r="Z205" t="str">
            <v>20140101LGUM_455</v>
          </cell>
          <cell r="AB205" t="str">
            <v>455</v>
          </cell>
        </row>
        <row r="206">
          <cell r="C206" t="str">
            <v xml:space="preserve">LS </v>
          </cell>
          <cell r="E206">
            <v>12938</v>
          </cell>
          <cell r="F206">
            <v>0</v>
          </cell>
          <cell r="J206">
            <v>235600.98</v>
          </cell>
          <cell r="M206">
            <v>0</v>
          </cell>
          <cell r="N206">
            <v>0</v>
          </cell>
          <cell r="O206">
            <v>0</v>
          </cell>
          <cell r="P206">
            <v>0</v>
          </cell>
          <cell r="Z206" t="str">
            <v>20140101LGUM_456</v>
          </cell>
          <cell r="AB206" t="str">
            <v>456</v>
          </cell>
        </row>
        <row r="207">
          <cell r="C207" t="str">
            <v xml:space="preserve">LS </v>
          </cell>
          <cell r="E207">
            <v>3300</v>
          </cell>
          <cell r="F207">
            <v>0</v>
          </cell>
          <cell r="J207">
            <v>35838</v>
          </cell>
          <cell r="M207">
            <v>0</v>
          </cell>
          <cell r="N207">
            <v>0</v>
          </cell>
          <cell r="O207">
            <v>0</v>
          </cell>
          <cell r="P207">
            <v>0</v>
          </cell>
          <cell r="Z207" t="str">
            <v>20140101LGUM_457</v>
          </cell>
          <cell r="AB207" t="str">
            <v>457</v>
          </cell>
        </row>
        <row r="208">
          <cell r="C208" t="str">
            <v>RLS</v>
          </cell>
          <cell r="E208">
            <v>5</v>
          </cell>
          <cell r="F208">
            <v>0</v>
          </cell>
          <cell r="J208">
            <v>55.65</v>
          </cell>
          <cell r="M208">
            <v>0</v>
          </cell>
          <cell r="N208">
            <v>0</v>
          </cell>
          <cell r="O208">
            <v>0</v>
          </cell>
          <cell r="P208">
            <v>0</v>
          </cell>
          <cell r="Z208" t="str">
            <v>20140101LGUM_458</v>
          </cell>
          <cell r="AB208" t="str">
            <v>458</v>
          </cell>
        </row>
        <row r="209">
          <cell r="C209" t="str">
            <v xml:space="preserve">LS </v>
          </cell>
          <cell r="E209">
            <v>22</v>
          </cell>
          <cell r="F209">
            <v>0</v>
          </cell>
          <cell r="J209">
            <v>281.38</v>
          </cell>
          <cell r="M209">
            <v>0</v>
          </cell>
          <cell r="N209">
            <v>0</v>
          </cell>
          <cell r="O209">
            <v>0</v>
          </cell>
          <cell r="P209">
            <v>0</v>
          </cell>
          <cell r="Z209" t="str">
            <v>20140101LGUM_470</v>
          </cell>
          <cell r="AB209" t="str">
            <v>470</v>
          </cell>
        </row>
        <row r="210">
          <cell r="C210" t="str">
            <v>RLS</v>
          </cell>
          <cell r="E210">
            <v>2</v>
          </cell>
          <cell r="F210">
            <v>0</v>
          </cell>
          <cell r="J210">
            <v>30.14</v>
          </cell>
          <cell r="M210">
            <v>0</v>
          </cell>
          <cell r="N210">
            <v>0</v>
          </cell>
          <cell r="O210">
            <v>0</v>
          </cell>
          <cell r="P210">
            <v>0</v>
          </cell>
          <cell r="Z210" t="str">
            <v>20140101LGUM_471</v>
          </cell>
          <cell r="AB210" t="str">
            <v>471</v>
          </cell>
        </row>
        <row r="211">
          <cell r="C211" t="str">
            <v xml:space="preserve">LS </v>
          </cell>
          <cell r="E211">
            <v>332</v>
          </cell>
          <cell r="F211">
            <v>0</v>
          </cell>
          <cell r="J211">
            <v>6201.76</v>
          </cell>
          <cell r="M211">
            <v>0</v>
          </cell>
          <cell r="N211">
            <v>0</v>
          </cell>
          <cell r="O211">
            <v>0</v>
          </cell>
          <cell r="P211">
            <v>0</v>
          </cell>
          <cell r="Z211" t="str">
            <v>20140101LGUM_473</v>
          </cell>
          <cell r="AB211" t="str">
            <v>473</v>
          </cell>
        </row>
        <row r="212">
          <cell r="C212" t="str">
            <v>RLS</v>
          </cell>
          <cell r="E212">
            <v>53</v>
          </cell>
          <cell r="F212">
            <v>0</v>
          </cell>
          <cell r="J212">
            <v>1111.4100000000001</v>
          </cell>
          <cell r="M212">
            <v>0</v>
          </cell>
          <cell r="N212">
            <v>0</v>
          </cell>
          <cell r="O212">
            <v>0</v>
          </cell>
          <cell r="P212">
            <v>0</v>
          </cell>
          <cell r="Z212" t="str">
            <v>20140101LGUM_474</v>
          </cell>
          <cell r="AB212" t="str">
            <v>474</v>
          </cell>
        </row>
        <row r="213">
          <cell r="C213" t="str">
            <v>RLS</v>
          </cell>
          <cell r="E213">
            <v>2</v>
          </cell>
          <cell r="F213">
            <v>0</v>
          </cell>
          <cell r="J213">
            <v>56.84</v>
          </cell>
          <cell r="M213">
            <v>0</v>
          </cell>
          <cell r="N213">
            <v>0</v>
          </cell>
          <cell r="O213">
            <v>0</v>
          </cell>
          <cell r="P213">
            <v>0</v>
          </cell>
          <cell r="Z213" t="str">
            <v>20140101LGUM_475</v>
          </cell>
          <cell r="AB213" t="str">
            <v>475</v>
          </cell>
        </row>
        <row r="214">
          <cell r="C214" t="str">
            <v xml:space="preserve">LS </v>
          </cell>
          <cell r="E214">
            <v>393</v>
          </cell>
          <cell r="F214">
            <v>0</v>
          </cell>
          <cell r="J214">
            <v>15562.8</v>
          </cell>
          <cell r="M214">
            <v>0</v>
          </cell>
          <cell r="N214">
            <v>0</v>
          </cell>
          <cell r="O214">
            <v>0</v>
          </cell>
          <cell r="P214">
            <v>0</v>
          </cell>
          <cell r="Z214" t="str">
            <v>20140101LGUM_476</v>
          </cell>
          <cell r="AB214" t="str">
            <v>476</v>
          </cell>
        </row>
        <row r="215">
          <cell r="C215" t="str">
            <v>RLS</v>
          </cell>
          <cell r="E215">
            <v>60</v>
          </cell>
          <cell r="F215">
            <v>0</v>
          </cell>
          <cell r="J215">
            <v>2566.8000000000002</v>
          </cell>
          <cell r="M215">
            <v>0</v>
          </cell>
          <cell r="N215">
            <v>0</v>
          </cell>
          <cell r="O215">
            <v>0</v>
          </cell>
          <cell r="P215">
            <v>0</v>
          </cell>
          <cell r="Z215" t="str">
            <v>20140101LGUM_477</v>
          </cell>
          <cell r="AB215" t="str">
            <v>477</v>
          </cell>
        </row>
        <row r="216">
          <cell r="C216" t="str">
            <v xml:space="preserve">LS </v>
          </cell>
          <cell r="E216">
            <v>0</v>
          </cell>
          <cell r="F216">
            <v>0</v>
          </cell>
          <cell r="J216">
            <v>0</v>
          </cell>
          <cell r="M216">
            <v>0</v>
          </cell>
          <cell r="N216">
            <v>0</v>
          </cell>
          <cell r="O216">
            <v>0</v>
          </cell>
          <cell r="P216">
            <v>0</v>
          </cell>
          <cell r="Z216" t="str">
            <v>20140101LGUM_479</v>
          </cell>
          <cell r="AB216" t="str">
            <v>479</v>
          </cell>
        </row>
        <row r="217">
          <cell r="C217" t="str">
            <v xml:space="preserve">LS </v>
          </cell>
          <cell r="E217">
            <v>18</v>
          </cell>
          <cell r="F217">
            <v>0</v>
          </cell>
          <cell r="J217">
            <v>428.94</v>
          </cell>
          <cell r="M217">
            <v>0</v>
          </cell>
          <cell r="N217">
            <v>0</v>
          </cell>
          <cell r="O217">
            <v>0</v>
          </cell>
          <cell r="P217">
            <v>0</v>
          </cell>
          <cell r="Z217" t="str">
            <v>20140101LGUM_480</v>
          </cell>
          <cell r="AB217" t="str">
            <v>480</v>
          </cell>
        </row>
        <row r="218">
          <cell r="C218" t="str">
            <v xml:space="preserve">LS </v>
          </cell>
          <cell r="E218">
            <v>4</v>
          </cell>
          <cell r="F218">
            <v>0</v>
          </cell>
          <cell r="J218">
            <v>81.84</v>
          </cell>
          <cell r="M218">
            <v>0</v>
          </cell>
          <cell r="N218">
            <v>0</v>
          </cell>
          <cell r="O218">
            <v>0</v>
          </cell>
          <cell r="P218">
            <v>0</v>
          </cell>
          <cell r="Z218" t="str">
            <v>20140101LGUM_481</v>
          </cell>
          <cell r="AB218" t="str">
            <v>481</v>
          </cell>
        </row>
        <row r="219">
          <cell r="C219" t="str">
            <v xml:space="preserve">LS </v>
          </cell>
          <cell r="E219">
            <v>41</v>
          </cell>
          <cell r="F219">
            <v>0</v>
          </cell>
          <cell r="J219">
            <v>1238.6099999999999</v>
          </cell>
          <cell r="M219">
            <v>0</v>
          </cell>
          <cell r="N219">
            <v>0</v>
          </cell>
          <cell r="O219">
            <v>0</v>
          </cell>
          <cell r="P219">
            <v>0</v>
          </cell>
          <cell r="Z219" t="str">
            <v>20140101LGUM_482</v>
          </cell>
          <cell r="AB219" t="str">
            <v>482</v>
          </cell>
        </row>
        <row r="220">
          <cell r="C220" t="str">
            <v xml:space="preserve">LS </v>
          </cell>
          <cell r="E220">
            <v>2</v>
          </cell>
          <cell r="F220">
            <v>0</v>
          </cell>
          <cell r="J220">
            <v>85.12</v>
          </cell>
          <cell r="M220">
            <v>0</v>
          </cell>
          <cell r="N220">
            <v>0</v>
          </cell>
          <cell r="O220">
            <v>0</v>
          </cell>
          <cell r="P220">
            <v>0</v>
          </cell>
          <cell r="Z220" t="str">
            <v>20140101LGUM_483</v>
          </cell>
          <cell r="AB220" t="str">
            <v>483</v>
          </cell>
        </row>
        <row r="221">
          <cell r="C221" t="str">
            <v xml:space="preserve">LS </v>
          </cell>
          <cell r="E221">
            <v>13</v>
          </cell>
          <cell r="F221">
            <v>0</v>
          </cell>
          <cell r="J221">
            <v>680.03</v>
          </cell>
          <cell r="M221">
            <v>0</v>
          </cell>
          <cell r="N221">
            <v>0</v>
          </cell>
          <cell r="O221">
            <v>0</v>
          </cell>
          <cell r="P221">
            <v>0</v>
          </cell>
          <cell r="Z221" t="str">
            <v>20140101LGUM_484</v>
          </cell>
          <cell r="AB221" t="str">
            <v>484</v>
          </cell>
        </row>
        <row r="222">
          <cell r="C222" t="str">
            <v>ODL</v>
          </cell>
          <cell r="E222">
            <v>0</v>
          </cell>
          <cell r="F222">
            <v>12095163</v>
          </cell>
          <cell r="J222">
            <v>0</v>
          </cell>
          <cell r="M222">
            <v>-17056</v>
          </cell>
          <cell r="N222">
            <v>125413</v>
          </cell>
          <cell r="O222">
            <v>0</v>
          </cell>
          <cell r="P222">
            <v>1639553</v>
          </cell>
          <cell r="Z222" t="str">
            <v>20140101ODL</v>
          </cell>
          <cell r="AB222" t="str">
            <v>ODL</v>
          </cell>
        </row>
        <row r="223">
          <cell r="C223" t="str">
            <v>RLS</v>
          </cell>
          <cell r="E223">
            <v>77</v>
          </cell>
          <cell r="F223">
            <v>0</v>
          </cell>
          <cell r="J223">
            <v>626.78</v>
          </cell>
          <cell r="M223">
            <v>0</v>
          </cell>
          <cell r="N223">
            <v>0</v>
          </cell>
          <cell r="O223">
            <v>0</v>
          </cell>
          <cell r="P223">
            <v>0</v>
          </cell>
          <cell r="Z223" t="str">
            <v>20140101LGUM_201</v>
          </cell>
          <cell r="AB223" t="str">
            <v>201</v>
          </cell>
        </row>
        <row r="224">
          <cell r="C224" t="str">
            <v>RLS</v>
          </cell>
          <cell r="E224">
            <v>3744</v>
          </cell>
          <cell r="F224">
            <v>0</v>
          </cell>
          <cell r="J224">
            <v>41034.239999999998</v>
          </cell>
          <cell r="M224">
            <v>0</v>
          </cell>
          <cell r="N224">
            <v>0</v>
          </cell>
          <cell r="O224">
            <v>0</v>
          </cell>
          <cell r="P224">
            <v>0</v>
          </cell>
          <cell r="Z224" t="str">
            <v>20140101LGUM_203</v>
          </cell>
          <cell r="AB224" t="str">
            <v>203</v>
          </cell>
        </row>
        <row r="225">
          <cell r="C225" t="str">
            <v>RLS</v>
          </cell>
          <cell r="E225">
            <v>3750</v>
          </cell>
          <cell r="F225">
            <v>0</v>
          </cell>
          <cell r="J225">
            <v>50662.5</v>
          </cell>
          <cell r="M225">
            <v>0</v>
          </cell>
          <cell r="N225">
            <v>0</v>
          </cell>
          <cell r="O225">
            <v>0</v>
          </cell>
          <cell r="P225">
            <v>0</v>
          </cell>
          <cell r="Z225" t="str">
            <v>20140101LGUM_204</v>
          </cell>
          <cell r="AB225" t="str">
            <v>204</v>
          </cell>
        </row>
        <row r="226">
          <cell r="C226" t="str">
            <v>RLS</v>
          </cell>
          <cell r="E226">
            <v>97</v>
          </cell>
          <cell r="F226">
            <v>0</v>
          </cell>
          <cell r="J226">
            <v>1207.6500000000001</v>
          </cell>
          <cell r="M226">
            <v>0</v>
          </cell>
          <cell r="N226">
            <v>0</v>
          </cell>
          <cell r="O226">
            <v>0</v>
          </cell>
          <cell r="P226">
            <v>0</v>
          </cell>
          <cell r="Z226" t="str">
            <v>20140101LGUM_206</v>
          </cell>
          <cell r="AB226" t="str">
            <v>206</v>
          </cell>
        </row>
        <row r="227">
          <cell r="C227" t="str">
            <v>RLS</v>
          </cell>
          <cell r="E227">
            <v>728</v>
          </cell>
          <cell r="F227">
            <v>0</v>
          </cell>
          <cell r="J227">
            <v>11313.12</v>
          </cell>
          <cell r="M227">
            <v>0</v>
          </cell>
          <cell r="N227">
            <v>0</v>
          </cell>
          <cell r="O227">
            <v>0</v>
          </cell>
          <cell r="P227">
            <v>0</v>
          </cell>
          <cell r="Z227" t="str">
            <v>20140101LGUM_207</v>
          </cell>
          <cell r="AB227" t="str">
            <v>207</v>
          </cell>
        </row>
        <row r="228">
          <cell r="C228" t="str">
            <v>RLS</v>
          </cell>
          <cell r="E228">
            <v>1400</v>
          </cell>
          <cell r="F228">
            <v>0</v>
          </cell>
          <cell r="J228">
            <v>19936</v>
          </cell>
          <cell r="M228">
            <v>0</v>
          </cell>
          <cell r="N228">
            <v>0</v>
          </cell>
          <cell r="O228">
            <v>0</v>
          </cell>
          <cell r="P228">
            <v>0</v>
          </cell>
          <cell r="Z228" t="str">
            <v>20140101LGUM_208</v>
          </cell>
          <cell r="AB228" t="str">
            <v>208</v>
          </cell>
        </row>
        <row r="229">
          <cell r="C229" t="str">
            <v>RLS</v>
          </cell>
          <cell r="E229">
            <v>45</v>
          </cell>
          <cell r="F229">
            <v>0</v>
          </cell>
          <cell r="J229">
            <v>1246.05</v>
          </cell>
          <cell r="M229">
            <v>0</v>
          </cell>
          <cell r="N229">
            <v>0</v>
          </cell>
          <cell r="O229">
            <v>0</v>
          </cell>
          <cell r="P229">
            <v>0</v>
          </cell>
          <cell r="Z229" t="str">
            <v>20140101LGUM_209</v>
          </cell>
          <cell r="AB229" t="str">
            <v>209</v>
          </cell>
        </row>
        <row r="230">
          <cell r="C230" t="str">
            <v>RLS</v>
          </cell>
          <cell r="E230">
            <v>347</v>
          </cell>
          <cell r="F230">
            <v>0</v>
          </cell>
          <cell r="J230">
            <v>10024.83</v>
          </cell>
          <cell r="M230">
            <v>0</v>
          </cell>
          <cell r="N230">
            <v>0</v>
          </cell>
          <cell r="O230">
            <v>0</v>
          </cell>
          <cell r="P230">
            <v>0</v>
          </cell>
          <cell r="Z230" t="str">
            <v>20140101LGUM_210</v>
          </cell>
          <cell r="AB230" t="str">
            <v>210</v>
          </cell>
        </row>
        <row r="231">
          <cell r="C231" t="str">
            <v>RLS</v>
          </cell>
          <cell r="E231">
            <v>3969</v>
          </cell>
          <cell r="F231">
            <v>0</v>
          </cell>
          <cell r="J231">
            <v>37983.33</v>
          </cell>
          <cell r="M231">
            <v>0</v>
          </cell>
          <cell r="N231">
            <v>0</v>
          </cell>
          <cell r="O231">
            <v>0</v>
          </cell>
          <cell r="P231">
            <v>0</v>
          </cell>
          <cell r="Z231" t="str">
            <v>20140101LGUM_252</v>
          </cell>
          <cell r="AB231" t="str">
            <v>252</v>
          </cell>
        </row>
        <row r="232">
          <cell r="C232" t="str">
            <v>RLS</v>
          </cell>
          <cell r="E232">
            <v>2024</v>
          </cell>
          <cell r="F232">
            <v>0</v>
          </cell>
          <cell r="J232">
            <v>55336.160000000003</v>
          </cell>
          <cell r="M232">
            <v>0</v>
          </cell>
          <cell r="N232">
            <v>0</v>
          </cell>
          <cell r="O232">
            <v>0</v>
          </cell>
          <cell r="P232">
            <v>0</v>
          </cell>
          <cell r="Z232" t="str">
            <v>20140101LGUM_266</v>
          </cell>
          <cell r="AB232" t="str">
            <v>266</v>
          </cell>
        </row>
        <row r="233">
          <cell r="C233" t="str">
            <v>RLS</v>
          </cell>
          <cell r="E233">
            <v>2217</v>
          </cell>
          <cell r="F233">
            <v>0</v>
          </cell>
          <cell r="J233">
            <v>69613.8</v>
          </cell>
          <cell r="M233">
            <v>0</v>
          </cell>
          <cell r="N233">
            <v>0</v>
          </cell>
          <cell r="O233">
            <v>0</v>
          </cell>
          <cell r="P233">
            <v>0</v>
          </cell>
          <cell r="Z233" t="str">
            <v>20140101LGUM_267</v>
          </cell>
          <cell r="AB233" t="str">
            <v>267</v>
          </cell>
        </row>
        <row r="234">
          <cell r="C234" t="str">
            <v>RLS</v>
          </cell>
          <cell r="E234">
            <v>16808</v>
          </cell>
          <cell r="F234">
            <v>0</v>
          </cell>
          <cell r="J234">
            <v>288929.52</v>
          </cell>
          <cell r="M234">
            <v>0</v>
          </cell>
          <cell r="N234">
            <v>0</v>
          </cell>
          <cell r="O234">
            <v>0</v>
          </cell>
          <cell r="P234">
            <v>0</v>
          </cell>
          <cell r="Z234" t="str">
            <v>20140101LGUM_274</v>
          </cell>
          <cell r="AB234" t="str">
            <v>274</v>
          </cell>
        </row>
        <row r="235">
          <cell r="C235" t="str">
            <v>RLS</v>
          </cell>
          <cell r="E235">
            <v>508</v>
          </cell>
          <cell r="F235">
            <v>0</v>
          </cell>
          <cell r="J235">
            <v>12644.12</v>
          </cell>
          <cell r="M235">
            <v>0</v>
          </cell>
          <cell r="N235">
            <v>0</v>
          </cell>
          <cell r="O235">
            <v>0</v>
          </cell>
          <cell r="P235">
            <v>0</v>
          </cell>
          <cell r="Z235" t="str">
            <v>20140101LGUM_275</v>
          </cell>
          <cell r="AB235" t="str">
            <v>275</v>
          </cell>
        </row>
        <row r="236">
          <cell r="C236" t="str">
            <v>RLS</v>
          </cell>
          <cell r="E236">
            <v>1328</v>
          </cell>
          <cell r="F236">
            <v>0</v>
          </cell>
          <cell r="J236">
            <v>18817.759999999998</v>
          </cell>
          <cell r="M236">
            <v>0</v>
          </cell>
          <cell r="N236">
            <v>0</v>
          </cell>
          <cell r="O236">
            <v>0</v>
          </cell>
          <cell r="P236">
            <v>0</v>
          </cell>
          <cell r="Z236" t="str">
            <v>20140101LGUM_276</v>
          </cell>
          <cell r="AB236" t="str">
            <v>276</v>
          </cell>
        </row>
        <row r="237">
          <cell r="C237" t="str">
            <v>RLS</v>
          </cell>
          <cell r="E237">
            <v>2263</v>
          </cell>
          <cell r="F237">
            <v>0</v>
          </cell>
          <cell r="J237">
            <v>50125.45</v>
          </cell>
          <cell r="M237">
            <v>0</v>
          </cell>
          <cell r="N237">
            <v>0</v>
          </cell>
          <cell r="O237">
            <v>0</v>
          </cell>
          <cell r="P237">
            <v>0</v>
          </cell>
          <cell r="Z237" t="str">
            <v>20140101LGUM_277</v>
          </cell>
          <cell r="AB237" t="str">
            <v>277</v>
          </cell>
        </row>
        <row r="238">
          <cell r="C238" t="str">
            <v>RLS</v>
          </cell>
          <cell r="E238">
            <v>17</v>
          </cell>
          <cell r="F238">
            <v>0</v>
          </cell>
          <cell r="J238">
            <v>1233.3499999999999</v>
          </cell>
          <cell r="M238">
            <v>0</v>
          </cell>
          <cell r="N238">
            <v>0</v>
          </cell>
          <cell r="O238">
            <v>0</v>
          </cell>
          <cell r="P238">
            <v>0</v>
          </cell>
          <cell r="Z238" t="str">
            <v>20140101LGUM_278</v>
          </cell>
          <cell r="AB238" t="str">
            <v>278</v>
          </cell>
        </row>
        <row r="239">
          <cell r="C239" t="str">
            <v>RLS</v>
          </cell>
          <cell r="E239">
            <v>11</v>
          </cell>
          <cell r="F239">
            <v>0</v>
          </cell>
          <cell r="J239">
            <v>455.73</v>
          </cell>
          <cell r="M239">
            <v>0</v>
          </cell>
          <cell r="N239">
            <v>0</v>
          </cell>
          <cell r="O239">
            <v>0</v>
          </cell>
          <cell r="P239">
            <v>0</v>
          </cell>
          <cell r="Z239" t="str">
            <v>20140101LGUM_279</v>
          </cell>
          <cell r="AB239" t="str">
            <v>279</v>
          </cell>
        </row>
        <row r="240">
          <cell r="C240" t="str">
            <v>RLS</v>
          </cell>
          <cell r="E240">
            <v>45</v>
          </cell>
          <cell r="F240">
            <v>0</v>
          </cell>
          <cell r="J240">
            <v>872.1</v>
          </cell>
          <cell r="M240">
            <v>0</v>
          </cell>
          <cell r="N240">
            <v>0</v>
          </cell>
          <cell r="O240">
            <v>0</v>
          </cell>
          <cell r="P240">
            <v>0</v>
          </cell>
          <cell r="Z240" t="str">
            <v>20140101LGUM_280</v>
          </cell>
          <cell r="AB240" t="str">
            <v>280</v>
          </cell>
        </row>
        <row r="241">
          <cell r="C241" t="str">
            <v>RLS</v>
          </cell>
          <cell r="E241">
            <v>242</v>
          </cell>
          <cell r="F241">
            <v>0</v>
          </cell>
          <cell r="J241">
            <v>4924.7</v>
          </cell>
          <cell r="M241">
            <v>0</v>
          </cell>
          <cell r="N241">
            <v>0</v>
          </cell>
          <cell r="O241">
            <v>0</v>
          </cell>
          <cell r="P241">
            <v>0</v>
          </cell>
          <cell r="Z241" t="str">
            <v>20140101LGUM_281</v>
          </cell>
          <cell r="AB241" t="str">
            <v>281</v>
          </cell>
        </row>
        <row r="242">
          <cell r="C242" t="str">
            <v>RLS</v>
          </cell>
          <cell r="E242">
            <v>104</v>
          </cell>
          <cell r="F242">
            <v>0</v>
          </cell>
          <cell r="J242">
            <v>2031.12</v>
          </cell>
          <cell r="M242">
            <v>0</v>
          </cell>
          <cell r="N242">
            <v>0</v>
          </cell>
          <cell r="O242">
            <v>0</v>
          </cell>
          <cell r="P242">
            <v>0</v>
          </cell>
          <cell r="Z242" t="str">
            <v>20140101LGUM_282</v>
          </cell>
          <cell r="AB242" t="str">
            <v>282</v>
          </cell>
        </row>
        <row r="243">
          <cell r="C243" t="str">
            <v>RLS</v>
          </cell>
          <cell r="E243">
            <v>80</v>
          </cell>
          <cell r="F243">
            <v>0</v>
          </cell>
          <cell r="J243">
            <v>1665.6</v>
          </cell>
          <cell r="M243">
            <v>0</v>
          </cell>
          <cell r="N243">
            <v>0</v>
          </cell>
          <cell r="O243">
            <v>0</v>
          </cell>
          <cell r="P243">
            <v>0</v>
          </cell>
          <cell r="Z243" t="str">
            <v>20140101LGUM_283</v>
          </cell>
          <cell r="AB243" t="str">
            <v>283</v>
          </cell>
        </row>
        <row r="244">
          <cell r="C244" t="str">
            <v>RLS</v>
          </cell>
          <cell r="E244">
            <v>522</v>
          </cell>
          <cell r="F244">
            <v>0</v>
          </cell>
          <cell r="J244">
            <v>10022.4</v>
          </cell>
          <cell r="M244">
            <v>0</v>
          </cell>
          <cell r="N244">
            <v>0</v>
          </cell>
          <cell r="O244">
            <v>0</v>
          </cell>
          <cell r="P244">
            <v>0</v>
          </cell>
          <cell r="Z244" t="str">
            <v>20140101LGUM_314</v>
          </cell>
          <cell r="AB244" t="str">
            <v>314</v>
          </cell>
        </row>
        <row r="245">
          <cell r="C245" t="str">
            <v>RLS</v>
          </cell>
          <cell r="E245">
            <v>509</v>
          </cell>
          <cell r="F245">
            <v>0</v>
          </cell>
          <cell r="J245">
            <v>11681.55</v>
          </cell>
          <cell r="M245">
            <v>0</v>
          </cell>
          <cell r="N245">
            <v>0</v>
          </cell>
          <cell r="O245">
            <v>0</v>
          </cell>
          <cell r="P245">
            <v>0</v>
          </cell>
          <cell r="Z245" t="str">
            <v>20140101LGUM_315</v>
          </cell>
          <cell r="AB245" t="str">
            <v>315</v>
          </cell>
        </row>
        <row r="246">
          <cell r="C246" t="str">
            <v>RLS</v>
          </cell>
          <cell r="E246">
            <v>53</v>
          </cell>
          <cell r="F246">
            <v>0</v>
          </cell>
          <cell r="J246">
            <v>923.26</v>
          </cell>
          <cell r="M246">
            <v>0</v>
          </cell>
          <cell r="N246">
            <v>0</v>
          </cell>
          <cell r="O246">
            <v>0</v>
          </cell>
          <cell r="P246">
            <v>0</v>
          </cell>
          <cell r="Z246" t="str">
            <v>20140101LGUM_318</v>
          </cell>
          <cell r="AB246" t="str">
            <v>318</v>
          </cell>
        </row>
        <row r="247">
          <cell r="C247" t="str">
            <v>RLS</v>
          </cell>
          <cell r="E247">
            <v>0</v>
          </cell>
          <cell r="F247">
            <v>0</v>
          </cell>
          <cell r="J247">
            <v>0</v>
          </cell>
          <cell r="M247">
            <v>0</v>
          </cell>
          <cell r="N247">
            <v>0</v>
          </cell>
          <cell r="O247">
            <v>0</v>
          </cell>
          <cell r="P247">
            <v>0</v>
          </cell>
          <cell r="Z247" t="str">
            <v>20140101LGUM_347</v>
          </cell>
          <cell r="AB247" t="str">
            <v>347</v>
          </cell>
        </row>
        <row r="248">
          <cell r="C248" t="str">
            <v>RLS</v>
          </cell>
          <cell r="E248">
            <v>39</v>
          </cell>
          <cell r="F248">
            <v>0</v>
          </cell>
          <cell r="J248">
            <v>511.68</v>
          </cell>
          <cell r="M248">
            <v>0</v>
          </cell>
          <cell r="N248">
            <v>0</v>
          </cell>
          <cell r="O248">
            <v>0</v>
          </cell>
          <cell r="P248">
            <v>0</v>
          </cell>
          <cell r="Z248" t="str">
            <v>20140101LGUM_348</v>
          </cell>
          <cell r="AB248" t="str">
            <v>348</v>
          </cell>
        </row>
        <row r="249">
          <cell r="C249" t="str">
            <v>RLS</v>
          </cell>
          <cell r="E249">
            <v>17</v>
          </cell>
          <cell r="F249">
            <v>0</v>
          </cell>
          <cell r="J249">
            <v>153.34</v>
          </cell>
          <cell r="M249">
            <v>0</v>
          </cell>
          <cell r="N249">
            <v>0</v>
          </cell>
          <cell r="O249">
            <v>0</v>
          </cell>
          <cell r="P249">
            <v>0</v>
          </cell>
          <cell r="Z249" t="str">
            <v>20140101LGUM_349</v>
          </cell>
          <cell r="AB249" t="str">
            <v>349</v>
          </cell>
        </row>
        <row r="250">
          <cell r="C250" t="str">
            <v xml:space="preserve">LS </v>
          </cell>
          <cell r="E250">
            <v>35</v>
          </cell>
          <cell r="F250">
            <v>0</v>
          </cell>
          <cell r="J250">
            <v>836.15</v>
          </cell>
          <cell r="M250">
            <v>0</v>
          </cell>
          <cell r="N250">
            <v>0</v>
          </cell>
          <cell r="O250">
            <v>0</v>
          </cell>
          <cell r="P250">
            <v>0</v>
          </cell>
          <cell r="Z250" t="str">
            <v>20140101LGUM_400</v>
          </cell>
          <cell r="AB250" t="str">
            <v>400</v>
          </cell>
        </row>
        <row r="251">
          <cell r="C251" t="str">
            <v xml:space="preserve">LS </v>
          </cell>
          <cell r="E251">
            <v>4</v>
          </cell>
          <cell r="F251">
            <v>0</v>
          </cell>
          <cell r="J251">
            <v>99.6</v>
          </cell>
          <cell r="M251">
            <v>0</v>
          </cell>
          <cell r="N251">
            <v>0</v>
          </cell>
          <cell r="O251">
            <v>0</v>
          </cell>
          <cell r="P251">
            <v>0</v>
          </cell>
          <cell r="Z251" t="str">
            <v>20140101LGUM_401</v>
          </cell>
          <cell r="AB251" t="str">
            <v>401</v>
          </cell>
        </row>
        <row r="252">
          <cell r="C252" t="str">
            <v xml:space="preserve">LS </v>
          </cell>
          <cell r="E252">
            <v>221</v>
          </cell>
          <cell r="F252">
            <v>0</v>
          </cell>
          <cell r="J252">
            <v>4373.59</v>
          </cell>
          <cell r="M252">
            <v>0</v>
          </cell>
          <cell r="N252">
            <v>0</v>
          </cell>
          <cell r="O252">
            <v>0</v>
          </cell>
          <cell r="P252">
            <v>0</v>
          </cell>
          <cell r="Z252" t="str">
            <v>20140101LGUM_412</v>
          </cell>
          <cell r="AB252" t="str">
            <v>412</v>
          </cell>
        </row>
        <row r="253">
          <cell r="C253" t="str">
            <v xml:space="preserve">LS </v>
          </cell>
          <cell r="E253">
            <v>2052</v>
          </cell>
          <cell r="F253">
            <v>0</v>
          </cell>
          <cell r="J253">
            <v>42045.48</v>
          </cell>
          <cell r="M253">
            <v>0</v>
          </cell>
          <cell r="N253">
            <v>0</v>
          </cell>
          <cell r="O253">
            <v>0</v>
          </cell>
          <cell r="P253">
            <v>0</v>
          </cell>
          <cell r="Z253" t="str">
            <v>20140101LGUM_413</v>
          </cell>
          <cell r="AB253" t="str">
            <v>413</v>
          </cell>
        </row>
        <row r="254">
          <cell r="C254" t="str">
            <v xml:space="preserve">LS </v>
          </cell>
          <cell r="E254">
            <v>39</v>
          </cell>
          <cell r="F254">
            <v>0</v>
          </cell>
          <cell r="J254">
            <v>787.02</v>
          </cell>
          <cell r="M254">
            <v>0</v>
          </cell>
          <cell r="N254">
            <v>0</v>
          </cell>
          <cell r="O254">
            <v>0</v>
          </cell>
          <cell r="P254">
            <v>0</v>
          </cell>
          <cell r="Z254" t="str">
            <v>20140101LGUM_415</v>
          </cell>
          <cell r="AB254" t="str">
            <v>415</v>
          </cell>
        </row>
        <row r="255">
          <cell r="C255" t="str">
            <v xml:space="preserve">LS </v>
          </cell>
          <cell r="E255">
            <v>1810</v>
          </cell>
          <cell r="F255">
            <v>0</v>
          </cell>
          <cell r="J255">
            <v>40833.599999999999</v>
          </cell>
          <cell r="M255">
            <v>0</v>
          </cell>
          <cell r="N255">
            <v>0</v>
          </cell>
          <cell r="O255">
            <v>0</v>
          </cell>
          <cell r="P255">
            <v>0</v>
          </cell>
          <cell r="Z255" t="str">
            <v>20140101LGUM_416</v>
          </cell>
          <cell r="AB255" t="str">
            <v>416</v>
          </cell>
        </row>
        <row r="256">
          <cell r="C256" t="str">
            <v>RLS</v>
          </cell>
          <cell r="E256">
            <v>39</v>
          </cell>
          <cell r="F256">
            <v>0</v>
          </cell>
          <cell r="J256">
            <v>923.52</v>
          </cell>
          <cell r="M256">
            <v>0</v>
          </cell>
          <cell r="N256">
            <v>0</v>
          </cell>
          <cell r="O256">
            <v>0</v>
          </cell>
          <cell r="P256">
            <v>0</v>
          </cell>
          <cell r="Z256" t="str">
            <v>20140101LGUM_417</v>
          </cell>
          <cell r="AB256" t="str">
            <v>417</v>
          </cell>
        </row>
        <row r="257">
          <cell r="C257" t="str">
            <v>RLS</v>
          </cell>
          <cell r="E257">
            <v>111</v>
          </cell>
          <cell r="F257">
            <v>0</v>
          </cell>
          <cell r="J257">
            <v>2749.47</v>
          </cell>
          <cell r="M257">
            <v>0</v>
          </cell>
          <cell r="N257">
            <v>0</v>
          </cell>
          <cell r="O257">
            <v>0</v>
          </cell>
          <cell r="P257">
            <v>0</v>
          </cell>
          <cell r="Z257" t="str">
            <v>20140101LGUM_419</v>
          </cell>
          <cell r="AB257" t="str">
            <v>419</v>
          </cell>
        </row>
        <row r="258">
          <cell r="C258" t="str">
            <v xml:space="preserve">LS </v>
          </cell>
          <cell r="E258">
            <v>53</v>
          </cell>
          <cell r="F258">
            <v>0</v>
          </cell>
          <cell r="J258">
            <v>1584.17</v>
          </cell>
          <cell r="M258">
            <v>0</v>
          </cell>
          <cell r="N258">
            <v>0</v>
          </cell>
          <cell r="O258">
            <v>0</v>
          </cell>
          <cell r="P258">
            <v>0</v>
          </cell>
          <cell r="Z258" t="str">
            <v>20140101LGUM_420</v>
          </cell>
          <cell r="AB258" t="str">
            <v>420</v>
          </cell>
        </row>
        <row r="259">
          <cell r="C259" t="str">
            <v xml:space="preserve">LS </v>
          </cell>
          <cell r="E259">
            <v>181</v>
          </cell>
          <cell r="F259">
            <v>0</v>
          </cell>
          <cell r="J259">
            <v>5947.66</v>
          </cell>
          <cell r="M259">
            <v>0</v>
          </cell>
          <cell r="N259">
            <v>0</v>
          </cell>
          <cell r="O259">
            <v>0</v>
          </cell>
          <cell r="P259">
            <v>0</v>
          </cell>
          <cell r="Z259" t="str">
            <v>20140101LGUM_421</v>
          </cell>
          <cell r="AB259" t="str">
            <v>421</v>
          </cell>
        </row>
        <row r="260">
          <cell r="C260" t="str">
            <v xml:space="preserve">LS </v>
          </cell>
          <cell r="E260">
            <v>390</v>
          </cell>
          <cell r="F260">
            <v>0</v>
          </cell>
          <cell r="J260">
            <v>14972.1</v>
          </cell>
          <cell r="M260">
            <v>0</v>
          </cell>
          <cell r="N260">
            <v>0</v>
          </cell>
          <cell r="O260">
            <v>0</v>
          </cell>
          <cell r="P260">
            <v>0</v>
          </cell>
          <cell r="Z260" t="str">
            <v>20140101LGUM_422</v>
          </cell>
          <cell r="AB260" t="str">
            <v>422</v>
          </cell>
        </row>
        <row r="261">
          <cell r="C261" t="str">
            <v xml:space="preserve">LS </v>
          </cell>
          <cell r="E261">
            <v>17</v>
          </cell>
          <cell r="F261">
            <v>0</v>
          </cell>
          <cell r="J261">
            <v>447.95</v>
          </cell>
          <cell r="M261">
            <v>0</v>
          </cell>
          <cell r="N261">
            <v>0</v>
          </cell>
          <cell r="O261">
            <v>0</v>
          </cell>
          <cell r="P261">
            <v>0</v>
          </cell>
          <cell r="Z261" t="str">
            <v>20140101LGUM_423</v>
          </cell>
          <cell r="AB261" t="str">
            <v>423</v>
          </cell>
        </row>
        <row r="262">
          <cell r="C262" t="str">
            <v xml:space="preserve">LS </v>
          </cell>
          <cell r="E262">
            <v>430</v>
          </cell>
          <cell r="F262">
            <v>0</v>
          </cell>
          <cell r="J262">
            <v>12233.5</v>
          </cell>
          <cell r="M262">
            <v>0</v>
          </cell>
          <cell r="N262">
            <v>0</v>
          </cell>
          <cell r="O262">
            <v>0</v>
          </cell>
          <cell r="P262">
            <v>0</v>
          </cell>
          <cell r="Z262" t="str">
            <v>20140101LGUM_424</v>
          </cell>
          <cell r="AB262" t="str">
            <v>424</v>
          </cell>
        </row>
        <row r="263">
          <cell r="C263" t="str">
            <v xml:space="preserve">LS </v>
          </cell>
          <cell r="E263">
            <v>34</v>
          </cell>
          <cell r="F263">
            <v>0</v>
          </cell>
          <cell r="J263">
            <v>1157.02</v>
          </cell>
          <cell r="M263">
            <v>0</v>
          </cell>
          <cell r="N263">
            <v>0</v>
          </cell>
          <cell r="O263">
            <v>0</v>
          </cell>
          <cell r="P263">
            <v>0</v>
          </cell>
          <cell r="Z263" t="str">
            <v>20140101LGUM_425</v>
          </cell>
          <cell r="AB263" t="str">
            <v>425</v>
          </cell>
        </row>
        <row r="264">
          <cell r="C264" t="str">
            <v>RLS</v>
          </cell>
          <cell r="E264">
            <v>40</v>
          </cell>
          <cell r="F264">
            <v>0</v>
          </cell>
          <cell r="J264">
            <v>1328.8</v>
          </cell>
          <cell r="M264">
            <v>0</v>
          </cell>
          <cell r="N264">
            <v>0</v>
          </cell>
          <cell r="O264">
            <v>0</v>
          </cell>
          <cell r="P264">
            <v>0</v>
          </cell>
          <cell r="Z264" t="str">
            <v>20140101LGUM_426</v>
          </cell>
          <cell r="AB264" t="str">
            <v>426</v>
          </cell>
        </row>
        <row r="265">
          <cell r="C265" t="str">
            <v xml:space="preserve">LS </v>
          </cell>
          <cell r="E265">
            <v>52</v>
          </cell>
          <cell r="F265">
            <v>0</v>
          </cell>
          <cell r="J265">
            <v>1830.4</v>
          </cell>
          <cell r="M265">
            <v>0</v>
          </cell>
          <cell r="N265">
            <v>0</v>
          </cell>
          <cell r="O265">
            <v>0</v>
          </cell>
          <cell r="P265">
            <v>0</v>
          </cell>
          <cell r="Z265" t="str">
            <v>20140101LGUM_427</v>
          </cell>
          <cell r="AB265" t="str">
            <v>427</v>
          </cell>
        </row>
        <row r="266">
          <cell r="C266" t="str">
            <v>RLS</v>
          </cell>
          <cell r="E266">
            <v>204</v>
          </cell>
          <cell r="F266">
            <v>0</v>
          </cell>
          <cell r="J266">
            <v>6954.36</v>
          </cell>
          <cell r="M266">
            <v>0</v>
          </cell>
          <cell r="N266">
            <v>0</v>
          </cell>
          <cell r="O266">
            <v>0</v>
          </cell>
          <cell r="P266">
            <v>0</v>
          </cell>
          <cell r="Z266" t="str">
            <v>20140101LGUM_428</v>
          </cell>
          <cell r="AB266" t="str">
            <v>428</v>
          </cell>
        </row>
        <row r="267">
          <cell r="C267" t="str">
            <v xml:space="preserve">LS </v>
          </cell>
          <cell r="E267">
            <v>220</v>
          </cell>
          <cell r="F267">
            <v>0</v>
          </cell>
          <cell r="J267">
            <v>7935.4</v>
          </cell>
          <cell r="M267">
            <v>0</v>
          </cell>
          <cell r="N267">
            <v>0</v>
          </cell>
          <cell r="O267">
            <v>0</v>
          </cell>
          <cell r="P267">
            <v>0</v>
          </cell>
          <cell r="Z267" t="str">
            <v>20140101LGUM_429</v>
          </cell>
          <cell r="AB267" t="str">
            <v>429</v>
          </cell>
        </row>
        <row r="268">
          <cell r="C268" t="str">
            <v>RLS</v>
          </cell>
          <cell r="E268">
            <v>13</v>
          </cell>
          <cell r="F268">
            <v>0</v>
          </cell>
          <cell r="J268">
            <v>419.38</v>
          </cell>
          <cell r="M268">
            <v>0</v>
          </cell>
          <cell r="N268">
            <v>0</v>
          </cell>
          <cell r="O268">
            <v>0</v>
          </cell>
          <cell r="P268">
            <v>0</v>
          </cell>
          <cell r="Z268" t="str">
            <v>20140101LGUM_430</v>
          </cell>
          <cell r="AB268" t="str">
            <v>430</v>
          </cell>
        </row>
        <row r="269">
          <cell r="C269" t="str">
            <v xml:space="preserve">LS </v>
          </cell>
          <cell r="E269">
            <v>44</v>
          </cell>
          <cell r="F269">
            <v>0</v>
          </cell>
          <cell r="J269">
            <v>1448.92</v>
          </cell>
          <cell r="M269">
            <v>0</v>
          </cell>
          <cell r="N269">
            <v>0</v>
          </cell>
          <cell r="O269">
            <v>0</v>
          </cell>
          <cell r="P269">
            <v>0</v>
          </cell>
          <cell r="Z269" t="str">
            <v>20140101LGUM_431</v>
          </cell>
          <cell r="AB269" t="str">
            <v>431</v>
          </cell>
        </row>
        <row r="270">
          <cell r="C270" t="str">
            <v>RLS</v>
          </cell>
          <cell r="E270">
            <v>10</v>
          </cell>
          <cell r="F270">
            <v>0</v>
          </cell>
          <cell r="J270">
            <v>343.3</v>
          </cell>
          <cell r="M270">
            <v>0</v>
          </cell>
          <cell r="N270">
            <v>0</v>
          </cell>
          <cell r="O270">
            <v>0</v>
          </cell>
          <cell r="P270">
            <v>0</v>
          </cell>
          <cell r="Z270" t="str">
            <v>20140101LGUM_432</v>
          </cell>
          <cell r="AB270" t="str">
            <v>432</v>
          </cell>
        </row>
        <row r="271">
          <cell r="C271" t="str">
            <v xml:space="preserve">LS </v>
          </cell>
          <cell r="E271">
            <v>191</v>
          </cell>
          <cell r="F271">
            <v>0</v>
          </cell>
          <cell r="J271">
            <v>6683.09</v>
          </cell>
          <cell r="M271">
            <v>0</v>
          </cell>
          <cell r="N271">
            <v>0</v>
          </cell>
          <cell r="O271">
            <v>0</v>
          </cell>
          <cell r="P271">
            <v>0</v>
          </cell>
          <cell r="Z271" t="str">
            <v>20140101LGUM_433</v>
          </cell>
          <cell r="AB271" t="str">
            <v>433</v>
          </cell>
        </row>
        <row r="272">
          <cell r="C272" t="str">
            <v xml:space="preserve">LS </v>
          </cell>
          <cell r="E272">
            <v>0</v>
          </cell>
          <cell r="F272">
            <v>0</v>
          </cell>
          <cell r="J272">
            <v>0</v>
          </cell>
          <cell r="M272">
            <v>0</v>
          </cell>
          <cell r="N272">
            <v>0</v>
          </cell>
          <cell r="O272">
            <v>0</v>
          </cell>
          <cell r="P272">
            <v>0</v>
          </cell>
          <cell r="Z272" t="str">
            <v>20140101LGUM_439</v>
          </cell>
          <cell r="AB272" t="str">
            <v>439</v>
          </cell>
        </row>
        <row r="273">
          <cell r="C273" t="str">
            <v xml:space="preserve">LS </v>
          </cell>
          <cell r="E273">
            <v>2</v>
          </cell>
          <cell r="F273">
            <v>0</v>
          </cell>
          <cell r="J273">
            <v>36.56</v>
          </cell>
          <cell r="M273">
            <v>0</v>
          </cell>
          <cell r="N273">
            <v>0</v>
          </cell>
          <cell r="O273">
            <v>0</v>
          </cell>
          <cell r="P273">
            <v>0</v>
          </cell>
          <cell r="Z273" t="str">
            <v>20140101LGUM_440</v>
          </cell>
          <cell r="AB273" t="str">
            <v>440</v>
          </cell>
        </row>
        <row r="274">
          <cell r="C274" t="str">
            <v xml:space="preserve">LS </v>
          </cell>
          <cell r="E274">
            <v>14</v>
          </cell>
          <cell r="F274">
            <v>0</v>
          </cell>
          <cell r="J274">
            <v>312.48</v>
          </cell>
          <cell r="M274">
            <v>0</v>
          </cell>
          <cell r="N274">
            <v>0</v>
          </cell>
          <cell r="O274">
            <v>0</v>
          </cell>
          <cell r="P274">
            <v>0</v>
          </cell>
          <cell r="Z274" t="str">
            <v>20140101LGUM_441</v>
          </cell>
          <cell r="AB274" t="str">
            <v>441</v>
          </cell>
        </row>
        <row r="275">
          <cell r="C275" t="str">
            <v xml:space="preserve">LS </v>
          </cell>
          <cell r="E275">
            <v>6475</v>
          </cell>
          <cell r="F275">
            <v>0</v>
          </cell>
          <cell r="J275">
            <v>83009.5</v>
          </cell>
          <cell r="M275">
            <v>0</v>
          </cell>
          <cell r="N275">
            <v>0</v>
          </cell>
          <cell r="O275">
            <v>0</v>
          </cell>
          <cell r="P275">
            <v>0</v>
          </cell>
          <cell r="Z275" t="str">
            <v>20140101LGUM_452</v>
          </cell>
          <cell r="AB275" t="str">
            <v>452</v>
          </cell>
        </row>
        <row r="276">
          <cell r="C276" t="str">
            <v xml:space="preserve">LS </v>
          </cell>
          <cell r="E276">
            <v>9113</v>
          </cell>
          <cell r="F276">
            <v>0</v>
          </cell>
          <cell r="J276">
            <v>137424.04</v>
          </cell>
          <cell r="M276">
            <v>0</v>
          </cell>
          <cell r="N276">
            <v>0</v>
          </cell>
          <cell r="O276">
            <v>0</v>
          </cell>
          <cell r="P276">
            <v>0</v>
          </cell>
          <cell r="Z276" t="str">
            <v>20140101LGUM_453</v>
          </cell>
          <cell r="AB276" t="str">
            <v>453</v>
          </cell>
        </row>
        <row r="277">
          <cell r="C277" t="str">
            <v xml:space="preserve">LS </v>
          </cell>
          <cell r="E277">
            <v>5479</v>
          </cell>
          <cell r="F277">
            <v>0</v>
          </cell>
          <cell r="J277">
            <v>95225.02</v>
          </cell>
          <cell r="M277">
            <v>0</v>
          </cell>
          <cell r="N277">
            <v>0</v>
          </cell>
          <cell r="O277">
            <v>0</v>
          </cell>
          <cell r="P277">
            <v>0</v>
          </cell>
          <cell r="Z277" t="str">
            <v>20140101LGUM_454</v>
          </cell>
          <cell r="AB277" t="str">
            <v>454</v>
          </cell>
        </row>
        <row r="278">
          <cell r="C278" t="str">
            <v xml:space="preserve">LS </v>
          </cell>
          <cell r="E278">
            <v>401</v>
          </cell>
          <cell r="F278">
            <v>0</v>
          </cell>
          <cell r="J278">
            <v>5521.77</v>
          </cell>
          <cell r="M278">
            <v>0</v>
          </cell>
          <cell r="N278">
            <v>0</v>
          </cell>
          <cell r="O278">
            <v>0</v>
          </cell>
          <cell r="P278">
            <v>0</v>
          </cell>
          <cell r="Z278" t="str">
            <v>20140101LGUM_455</v>
          </cell>
          <cell r="AB278" t="str">
            <v>455</v>
          </cell>
        </row>
        <row r="279">
          <cell r="C279" t="str">
            <v xml:space="preserve">LS </v>
          </cell>
          <cell r="E279">
            <v>12783</v>
          </cell>
          <cell r="F279">
            <v>0</v>
          </cell>
          <cell r="J279">
            <v>232778.43</v>
          </cell>
          <cell r="M279">
            <v>0</v>
          </cell>
          <cell r="N279">
            <v>0</v>
          </cell>
          <cell r="O279">
            <v>0</v>
          </cell>
          <cell r="P279">
            <v>0</v>
          </cell>
          <cell r="Z279" t="str">
            <v>20140101LGUM_456</v>
          </cell>
          <cell r="AB279" t="str">
            <v>456</v>
          </cell>
        </row>
        <row r="280">
          <cell r="C280" t="str">
            <v xml:space="preserve">LS </v>
          </cell>
          <cell r="E280">
            <v>3291</v>
          </cell>
          <cell r="F280">
            <v>0</v>
          </cell>
          <cell r="J280">
            <v>35740.26</v>
          </cell>
          <cell r="M280">
            <v>0</v>
          </cell>
          <cell r="N280">
            <v>0</v>
          </cell>
          <cell r="O280">
            <v>0</v>
          </cell>
          <cell r="P280">
            <v>0</v>
          </cell>
          <cell r="Z280" t="str">
            <v>20140101LGUM_457</v>
          </cell>
          <cell r="AB280" t="str">
            <v>457</v>
          </cell>
        </row>
        <row r="281">
          <cell r="C281" t="str">
            <v>RLS</v>
          </cell>
          <cell r="E281">
            <v>5</v>
          </cell>
          <cell r="F281">
            <v>0</v>
          </cell>
          <cell r="J281">
            <v>55.65</v>
          </cell>
          <cell r="M281">
            <v>0</v>
          </cell>
          <cell r="N281">
            <v>0</v>
          </cell>
          <cell r="O281">
            <v>0</v>
          </cell>
          <cell r="P281">
            <v>0</v>
          </cell>
          <cell r="Z281" t="str">
            <v>20140101LGUM_458</v>
          </cell>
          <cell r="AB281" t="str">
            <v>458</v>
          </cell>
        </row>
        <row r="282">
          <cell r="C282" t="str">
            <v xml:space="preserve">LS </v>
          </cell>
          <cell r="E282">
            <v>22</v>
          </cell>
          <cell r="F282">
            <v>0</v>
          </cell>
          <cell r="J282">
            <v>281.38</v>
          </cell>
          <cell r="M282">
            <v>0</v>
          </cell>
          <cell r="N282">
            <v>0</v>
          </cell>
          <cell r="O282">
            <v>0</v>
          </cell>
          <cell r="P282">
            <v>0</v>
          </cell>
          <cell r="Z282" t="str">
            <v>20140101LGUM_470</v>
          </cell>
          <cell r="AB282" t="str">
            <v>470</v>
          </cell>
        </row>
        <row r="283">
          <cell r="C283" t="str">
            <v>RLS</v>
          </cell>
          <cell r="E283">
            <v>2</v>
          </cell>
          <cell r="F283">
            <v>0</v>
          </cell>
          <cell r="J283">
            <v>30.14</v>
          </cell>
          <cell r="M283">
            <v>0</v>
          </cell>
          <cell r="N283">
            <v>0</v>
          </cell>
          <cell r="O283">
            <v>0</v>
          </cell>
          <cell r="P283">
            <v>0</v>
          </cell>
          <cell r="Z283" t="str">
            <v>20140101LGUM_471</v>
          </cell>
          <cell r="AB283" t="str">
            <v>471</v>
          </cell>
        </row>
        <row r="284">
          <cell r="C284" t="str">
            <v xml:space="preserve">LS </v>
          </cell>
          <cell r="E284">
            <v>500</v>
          </cell>
          <cell r="F284">
            <v>0</v>
          </cell>
          <cell r="J284">
            <v>9340</v>
          </cell>
          <cell r="M284">
            <v>0</v>
          </cell>
          <cell r="N284">
            <v>0</v>
          </cell>
          <cell r="O284">
            <v>0</v>
          </cell>
          <cell r="P284">
            <v>0</v>
          </cell>
          <cell r="Z284" t="str">
            <v>20140101LGUM_473</v>
          </cell>
          <cell r="AB284" t="str">
            <v>473</v>
          </cell>
        </row>
        <row r="285">
          <cell r="C285" t="str">
            <v>RLS</v>
          </cell>
          <cell r="E285">
            <v>55</v>
          </cell>
          <cell r="F285">
            <v>0</v>
          </cell>
          <cell r="J285">
            <v>1153.3499999999999</v>
          </cell>
          <cell r="M285">
            <v>0</v>
          </cell>
          <cell r="N285">
            <v>0</v>
          </cell>
          <cell r="O285">
            <v>0</v>
          </cell>
          <cell r="P285">
            <v>0</v>
          </cell>
          <cell r="Z285" t="str">
            <v>20140101LGUM_474</v>
          </cell>
          <cell r="AB285" t="str">
            <v>474</v>
          </cell>
        </row>
        <row r="286">
          <cell r="C286" t="str">
            <v>RLS</v>
          </cell>
          <cell r="E286">
            <v>2</v>
          </cell>
          <cell r="F286">
            <v>0</v>
          </cell>
          <cell r="J286">
            <v>56.84</v>
          </cell>
          <cell r="M286">
            <v>0</v>
          </cell>
          <cell r="N286">
            <v>0</v>
          </cell>
          <cell r="O286">
            <v>0</v>
          </cell>
          <cell r="P286">
            <v>0</v>
          </cell>
          <cell r="Z286" t="str">
            <v>20140101LGUM_475</v>
          </cell>
          <cell r="AB286" t="str">
            <v>475</v>
          </cell>
        </row>
        <row r="287">
          <cell r="C287" t="str">
            <v xml:space="preserve">LS </v>
          </cell>
          <cell r="E287">
            <v>383</v>
          </cell>
          <cell r="F287">
            <v>0</v>
          </cell>
          <cell r="J287">
            <v>15166.8</v>
          </cell>
          <cell r="M287">
            <v>0</v>
          </cell>
          <cell r="N287">
            <v>0</v>
          </cell>
          <cell r="O287">
            <v>0</v>
          </cell>
          <cell r="P287">
            <v>0</v>
          </cell>
          <cell r="Z287" t="str">
            <v>20140101LGUM_476</v>
          </cell>
          <cell r="AB287" t="str">
            <v>476</v>
          </cell>
        </row>
        <row r="288">
          <cell r="C288" t="str">
            <v>RLS</v>
          </cell>
          <cell r="E288">
            <v>58</v>
          </cell>
          <cell r="F288">
            <v>0</v>
          </cell>
          <cell r="J288">
            <v>2481.2399999999998</v>
          </cell>
          <cell r="M288">
            <v>0</v>
          </cell>
          <cell r="N288">
            <v>0</v>
          </cell>
          <cell r="O288">
            <v>0</v>
          </cell>
          <cell r="P288">
            <v>0</v>
          </cell>
          <cell r="Z288" t="str">
            <v>20140101LGUM_477</v>
          </cell>
          <cell r="AB288" t="str">
            <v>477</v>
          </cell>
        </row>
        <row r="289">
          <cell r="C289" t="str">
            <v xml:space="preserve">LS </v>
          </cell>
          <cell r="E289">
            <v>0</v>
          </cell>
          <cell r="F289">
            <v>0</v>
          </cell>
          <cell r="J289">
            <v>0</v>
          </cell>
          <cell r="M289">
            <v>0</v>
          </cell>
          <cell r="N289">
            <v>0</v>
          </cell>
          <cell r="O289">
            <v>0</v>
          </cell>
          <cell r="P289">
            <v>0</v>
          </cell>
          <cell r="Z289" t="str">
            <v>20140101LGUM_479</v>
          </cell>
          <cell r="AB289" t="str">
            <v>479</v>
          </cell>
        </row>
        <row r="290">
          <cell r="C290" t="str">
            <v xml:space="preserve">LS </v>
          </cell>
          <cell r="E290">
            <v>18</v>
          </cell>
          <cell r="F290">
            <v>0</v>
          </cell>
          <cell r="J290">
            <v>428.94</v>
          </cell>
          <cell r="M290">
            <v>0</v>
          </cell>
          <cell r="N290">
            <v>0</v>
          </cell>
          <cell r="O290">
            <v>0</v>
          </cell>
          <cell r="P290">
            <v>0</v>
          </cell>
          <cell r="Z290" t="str">
            <v>20140101LGUM_480</v>
          </cell>
          <cell r="AB290" t="str">
            <v>480</v>
          </cell>
        </row>
        <row r="291">
          <cell r="C291" t="str">
            <v xml:space="preserve">LS </v>
          </cell>
          <cell r="E291">
            <v>4</v>
          </cell>
          <cell r="F291">
            <v>0</v>
          </cell>
          <cell r="J291">
            <v>81.84</v>
          </cell>
          <cell r="M291">
            <v>0</v>
          </cell>
          <cell r="N291">
            <v>0</v>
          </cell>
          <cell r="O291">
            <v>0</v>
          </cell>
          <cell r="P291">
            <v>0</v>
          </cell>
          <cell r="Z291" t="str">
            <v>20140101LGUM_481</v>
          </cell>
          <cell r="AB291" t="str">
            <v>481</v>
          </cell>
        </row>
        <row r="292">
          <cell r="C292" t="str">
            <v xml:space="preserve">LS </v>
          </cell>
          <cell r="E292">
            <v>40</v>
          </cell>
          <cell r="F292">
            <v>0</v>
          </cell>
          <cell r="J292">
            <v>1208.4000000000001</v>
          </cell>
          <cell r="M292">
            <v>0</v>
          </cell>
          <cell r="N292">
            <v>0</v>
          </cell>
          <cell r="O292">
            <v>0</v>
          </cell>
          <cell r="P292">
            <v>0</v>
          </cell>
          <cell r="Z292" t="str">
            <v>20140101LGUM_482</v>
          </cell>
          <cell r="AB292" t="str">
            <v>482</v>
          </cell>
        </row>
        <row r="293">
          <cell r="C293" t="str">
            <v xml:space="preserve">LS </v>
          </cell>
          <cell r="E293">
            <v>2</v>
          </cell>
          <cell r="F293">
            <v>0</v>
          </cell>
          <cell r="J293">
            <v>85.12</v>
          </cell>
          <cell r="M293">
            <v>0</v>
          </cell>
          <cell r="N293">
            <v>0</v>
          </cell>
          <cell r="O293">
            <v>0</v>
          </cell>
          <cell r="P293">
            <v>0</v>
          </cell>
          <cell r="Z293" t="str">
            <v>20140101LGUM_483</v>
          </cell>
          <cell r="AB293" t="str">
            <v>483</v>
          </cell>
        </row>
        <row r="294">
          <cell r="C294" t="str">
            <v xml:space="preserve">LS </v>
          </cell>
          <cell r="E294">
            <v>13</v>
          </cell>
          <cell r="F294">
            <v>0</v>
          </cell>
          <cell r="J294">
            <v>680.03</v>
          </cell>
          <cell r="M294">
            <v>0</v>
          </cell>
          <cell r="N294">
            <v>0</v>
          </cell>
          <cell r="O294">
            <v>0</v>
          </cell>
          <cell r="P294">
            <v>0</v>
          </cell>
          <cell r="Z294" t="str">
            <v>20140101LGUM_484</v>
          </cell>
          <cell r="AB294" t="str">
            <v>484</v>
          </cell>
        </row>
        <row r="295">
          <cell r="C295" t="str">
            <v>ODL</v>
          </cell>
          <cell r="E295">
            <v>0</v>
          </cell>
          <cell r="F295">
            <v>8078182</v>
          </cell>
          <cell r="J295">
            <v>0</v>
          </cell>
          <cell r="M295">
            <v>-7038</v>
          </cell>
          <cell r="N295">
            <v>89427</v>
          </cell>
          <cell r="O295">
            <v>0</v>
          </cell>
          <cell r="P295">
            <v>1630094</v>
          </cell>
          <cell r="Z295" t="str">
            <v>20140101ODL</v>
          </cell>
          <cell r="AB295" t="str">
            <v>ODL</v>
          </cell>
        </row>
        <row r="296">
          <cell r="C296" t="str">
            <v>RLS</v>
          </cell>
          <cell r="E296">
            <v>54</v>
          </cell>
          <cell r="F296">
            <v>0</v>
          </cell>
          <cell r="J296">
            <v>439.56</v>
          </cell>
          <cell r="M296">
            <v>0</v>
          </cell>
          <cell r="N296">
            <v>0</v>
          </cell>
          <cell r="O296">
            <v>0</v>
          </cell>
          <cell r="P296">
            <v>0</v>
          </cell>
          <cell r="Z296" t="str">
            <v>20140101LGUM_201</v>
          </cell>
          <cell r="AB296" t="str">
            <v>201</v>
          </cell>
        </row>
        <row r="297">
          <cell r="C297" t="str">
            <v>RLS</v>
          </cell>
          <cell r="E297">
            <v>1893</v>
          </cell>
          <cell r="F297">
            <v>0</v>
          </cell>
          <cell r="J297">
            <v>20747.28</v>
          </cell>
          <cell r="M297">
            <v>0</v>
          </cell>
          <cell r="N297">
            <v>0</v>
          </cell>
          <cell r="O297">
            <v>0</v>
          </cell>
          <cell r="P297">
            <v>0</v>
          </cell>
          <cell r="Z297" t="str">
            <v>20140101LGUM_203</v>
          </cell>
          <cell r="AB297" t="str">
            <v>203</v>
          </cell>
        </row>
        <row r="298">
          <cell r="C298" t="str">
            <v>RLS</v>
          </cell>
          <cell r="E298">
            <v>947</v>
          </cell>
          <cell r="F298">
            <v>0</v>
          </cell>
          <cell r="J298">
            <v>12793.97</v>
          </cell>
          <cell r="M298">
            <v>0</v>
          </cell>
          <cell r="N298">
            <v>0</v>
          </cell>
          <cell r="O298">
            <v>0</v>
          </cell>
          <cell r="P298">
            <v>0</v>
          </cell>
          <cell r="Z298" t="str">
            <v>20140101LGUM_204</v>
          </cell>
          <cell r="AB298" t="str">
            <v>204</v>
          </cell>
        </row>
        <row r="299">
          <cell r="C299" t="str">
            <v>RLS</v>
          </cell>
          <cell r="E299">
            <v>94</v>
          </cell>
          <cell r="F299">
            <v>0</v>
          </cell>
          <cell r="J299">
            <v>1170.3</v>
          </cell>
          <cell r="M299">
            <v>0</v>
          </cell>
          <cell r="N299">
            <v>0</v>
          </cell>
          <cell r="O299">
            <v>0</v>
          </cell>
          <cell r="P299">
            <v>0</v>
          </cell>
          <cell r="Z299" t="str">
            <v>20140101LGUM_206</v>
          </cell>
          <cell r="AB299" t="str">
            <v>206</v>
          </cell>
        </row>
        <row r="300">
          <cell r="C300" t="str">
            <v>RLS</v>
          </cell>
          <cell r="E300">
            <v>752</v>
          </cell>
          <cell r="F300">
            <v>0</v>
          </cell>
          <cell r="J300">
            <v>11686.08</v>
          </cell>
          <cell r="M300">
            <v>0</v>
          </cell>
          <cell r="N300">
            <v>0</v>
          </cell>
          <cell r="O300">
            <v>0</v>
          </cell>
          <cell r="P300">
            <v>0</v>
          </cell>
          <cell r="Z300" t="str">
            <v>20140101LGUM_207</v>
          </cell>
          <cell r="AB300" t="str">
            <v>207</v>
          </cell>
        </row>
        <row r="301">
          <cell r="C301" t="str">
            <v>RLS</v>
          </cell>
          <cell r="E301">
            <v>1005</v>
          </cell>
          <cell r="F301">
            <v>0</v>
          </cell>
          <cell r="J301">
            <v>14311.2</v>
          </cell>
          <cell r="M301">
            <v>0</v>
          </cell>
          <cell r="N301">
            <v>0</v>
          </cell>
          <cell r="O301">
            <v>0</v>
          </cell>
          <cell r="P301">
            <v>0</v>
          </cell>
          <cell r="Z301" t="str">
            <v>20140101LGUM_208</v>
          </cell>
          <cell r="AB301" t="str">
            <v>208</v>
          </cell>
        </row>
        <row r="302">
          <cell r="C302" t="str">
            <v>RLS</v>
          </cell>
          <cell r="E302">
            <v>41</v>
          </cell>
          <cell r="F302">
            <v>0</v>
          </cell>
          <cell r="J302">
            <v>1135.29</v>
          </cell>
          <cell r="M302">
            <v>0</v>
          </cell>
          <cell r="N302">
            <v>0</v>
          </cell>
          <cell r="O302">
            <v>0</v>
          </cell>
          <cell r="P302">
            <v>0</v>
          </cell>
          <cell r="Z302" t="str">
            <v>20140101LGUM_209</v>
          </cell>
          <cell r="AB302" t="str">
            <v>209</v>
          </cell>
        </row>
        <row r="303">
          <cell r="C303" t="str">
            <v>RLS</v>
          </cell>
          <cell r="E303">
            <v>361</v>
          </cell>
          <cell r="F303">
            <v>0</v>
          </cell>
          <cell r="J303">
            <v>10429.290000000001</v>
          </cell>
          <cell r="M303">
            <v>0</v>
          </cell>
          <cell r="N303">
            <v>0</v>
          </cell>
          <cell r="O303">
            <v>0</v>
          </cell>
          <cell r="P303">
            <v>0</v>
          </cell>
          <cell r="Z303" t="str">
            <v>20140101LGUM_210</v>
          </cell>
          <cell r="AB303" t="str">
            <v>210</v>
          </cell>
        </row>
        <row r="304">
          <cell r="C304" t="str">
            <v>RLS</v>
          </cell>
          <cell r="E304">
            <v>2941</v>
          </cell>
          <cell r="F304">
            <v>0</v>
          </cell>
          <cell r="J304">
            <v>28145.37</v>
          </cell>
          <cell r="M304">
            <v>0</v>
          </cell>
          <cell r="N304">
            <v>0</v>
          </cell>
          <cell r="O304">
            <v>0</v>
          </cell>
          <cell r="P304">
            <v>0</v>
          </cell>
          <cell r="Z304" t="str">
            <v>20140101LGUM_252</v>
          </cell>
          <cell r="AB304" t="str">
            <v>252</v>
          </cell>
        </row>
        <row r="305">
          <cell r="C305" t="str">
            <v>RLS</v>
          </cell>
          <cell r="E305">
            <v>785</v>
          </cell>
          <cell r="F305">
            <v>0</v>
          </cell>
          <cell r="J305">
            <v>21461.9</v>
          </cell>
          <cell r="M305">
            <v>0</v>
          </cell>
          <cell r="N305">
            <v>0</v>
          </cell>
          <cell r="O305">
            <v>0</v>
          </cell>
          <cell r="P305">
            <v>0</v>
          </cell>
          <cell r="Z305" t="str">
            <v>20140101LGUM_266</v>
          </cell>
          <cell r="AB305" t="str">
            <v>266</v>
          </cell>
        </row>
        <row r="306">
          <cell r="C306" t="str">
            <v>RLS</v>
          </cell>
          <cell r="E306">
            <v>1769</v>
          </cell>
          <cell r="F306">
            <v>0</v>
          </cell>
          <cell r="J306">
            <v>55546.6</v>
          </cell>
          <cell r="M306">
            <v>0</v>
          </cell>
          <cell r="N306">
            <v>0</v>
          </cell>
          <cell r="O306">
            <v>0</v>
          </cell>
          <cell r="P306">
            <v>0</v>
          </cell>
          <cell r="Z306" t="str">
            <v>20140101LGUM_267</v>
          </cell>
          <cell r="AB306" t="str">
            <v>267</v>
          </cell>
        </row>
        <row r="307">
          <cell r="C307" t="str">
            <v>RLS</v>
          </cell>
          <cell r="E307">
            <v>16032</v>
          </cell>
          <cell r="F307">
            <v>0</v>
          </cell>
          <cell r="J307">
            <v>275590.08</v>
          </cell>
          <cell r="M307">
            <v>0</v>
          </cell>
          <cell r="N307">
            <v>0</v>
          </cell>
          <cell r="O307">
            <v>0</v>
          </cell>
          <cell r="P307">
            <v>0</v>
          </cell>
          <cell r="Z307" t="str">
            <v>20140101LGUM_274</v>
          </cell>
          <cell r="AB307" t="str">
            <v>274</v>
          </cell>
        </row>
        <row r="308">
          <cell r="C308" t="str">
            <v>RLS</v>
          </cell>
          <cell r="E308">
            <v>453</v>
          </cell>
          <cell r="F308">
            <v>0</v>
          </cell>
          <cell r="J308">
            <v>11275.17</v>
          </cell>
          <cell r="M308">
            <v>0</v>
          </cell>
          <cell r="N308">
            <v>0</v>
          </cell>
          <cell r="O308">
            <v>0</v>
          </cell>
          <cell r="P308">
            <v>0</v>
          </cell>
          <cell r="Z308" t="str">
            <v>20140101LGUM_275</v>
          </cell>
          <cell r="AB308" t="str">
            <v>275</v>
          </cell>
        </row>
        <row r="309">
          <cell r="C309" t="str">
            <v>RLS</v>
          </cell>
          <cell r="E309">
            <v>1301</v>
          </cell>
          <cell r="F309">
            <v>0</v>
          </cell>
          <cell r="J309">
            <v>18435.169999999998</v>
          </cell>
          <cell r="M309">
            <v>0</v>
          </cell>
          <cell r="N309">
            <v>0</v>
          </cell>
          <cell r="O309">
            <v>0</v>
          </cell>
          <cell r="P309">
            <v>0</v>
          </cell>
          <cell r="Z309" t="str">
            <v>20140101LGUM_276</v>
          </cell>
          <cell r="AB309" t="str">
            <v>276</v>
          </cell>
        </row>
        <row r="310">
          <cell r="C310" t="str">
            <v>RLS</v>
          </cell>
          <cell r="E310">
            <v>1996</v>
          </cell>
          <cell r="F310">
            <v>0</v>
          </cell>
          <cell r="J310">
            <v>44211.4</v>
          </cell>
          <cell r="M310">
            <v>0</v>
          </cell>
          <cell r="N310">
            <v>0</v>
          </cell>
          <cell r="O310">
            <v>0</v>
          </cell>
          <cell r="P310">
            <v>0</v>
          </cell>
          <cell r="Z310" t="str">
            <v>20140101LGUM_277</v>
          </cell>
          <cell r="AB310" t="str">
            <v>277</v>
          </cell>
        </row>
        <row r="311">
          <cell r="C311" t="str">
            <v>RLS</v>
          </cell>
          <cell r="E311">
            <v>16</v>
          </cell>
          <cell r="F311">
            <v>0</v>
          </cell>
          <cell r="J311">
            <v>1160.8</v>
          </cell>
          <cell r="M311">
            <v>0</v>
          </cell>
          <cell r="N311">
            <v>0</v>
          </cell>
          <cell r="O311">
            <v>0</v>
          </cell>
          <cell r="P311">
            <v>0</v>
          </cell>
          <cell r="Z311" t="str">
            <v>20140101LGUM_278</v>
          </cell>
          <cell r="AB311" t="str">
            <v>278</v>
          </cell>
        </row>
        <row r="312">
          <cell r="C312" t="str">
            <v>RLS</v>
          </cell>
          <cell r="E312">
            <v>11</v>
          </cell>
          <cell r="F312">
            <v>0</v>
          </cell>
          <cell r="J312">
            <v>455.73</v>
          </cell>
          <cell r="M312">
            <v>0</v>
          </cell>
          <cell r="N312">
            <v>0</v>
          </cell>
          <cell r="O312">
            <v>0</v>
          </cell>
          <cell r="P312">
            <v>0</v>
          </cell>
          <cell r="Z312" t="str">
            <v>20140101LGUM_279</v>
          </cell>
          <cell r="AB312" t="str">
            <v>279</v>
          </cell>
        </row>
        <row r="313">
          <cell r="C313" t="str">
            <v>RLS</v>
          </cell>
          <cell r="E313">
            <v>44</v>
          </cell>
          <cell r="F313">
            <v>0</v>
          </cell>
          <cell r="J313">
            <v>852.72</v>
          </cell>
          <cell r="M313">
            <v>0</v>
          </cell>
          <cell r="N313">
            <v>0</v>
          </cell>
          <cell r="O313">
            <v>0</v>
          </cell>
          <cell r="P313">
            <v>0</v>
          </cell>
          <cell r="Z313" t="str">
            <v>20140101LGUM_280</v>
          </cell>
          <cell r="AB313" t="str">
            <v>280</v>
          </cell>
        </row>
        <row r="314">
          <cell r="C314" t="str">
            <v>RLS</v>
          </cell>
          <cell r="E314">
            <v>238</v>
          </cell>
          <cell r="F314">
            <v>0</v>
          </cell>
          <cell r="J314">
            <v>4843.3</v>
          </cell>
          <cell r="M314">
            <v>0</v>
          </cell>
          <cell r="N314">
            <v>0</v>
          </cell>
          <cell r="O314">
            <v>0</v>
          </cell>
          <cell r="P314">
            <v>0</v>
          </cell>
          <cell r="Z314" t="str">
            <v>20140101LGUM_281</v>
          </cell>
          <cell r="AB314" t="str">
            <v>281</v>
          </cell>
        </row>
        <row r="315">
          <cell r="C315" t="str">
            <v>RLS</v>
          </cell>
          <cell r="E315">
            <v>102</v>
          </cell>
          <cell r="F315">
            <v>0</v>
          </cell>
          <cell r="J315">
            <v>1992.06</v>
          </cell>
          <cell r="M315">
            <v>0</v>
          </cell>
          <cell r="N315">
            <v>0</v>
          </cell>
          <cell r="O315">
            <v>0</v>
          </cell>
          <cell r="P315">
            <v>0</v>
          </cell>
          <cell r="Z315" t="str">
            <v>20140101LGUM_282</v>
          </cell>
          <cell r="AB315" t="str">
            <v>282</v>
          </cell>
        </row>
        <row r="316">
          <cell r="C316" t="str">
            <v>RLS</v>
          </cell>
          <cell r="E316">
            <v>79</v>
          </cell>
          <cell r="F316">
            <v>0</v>
          </cell>
          <cell r="J316">
            <v>1644.78</v>
          </cell>
          <cell r="M316">
            <v>0</v>
          </cell>
          <cell r="N316">
            <v>0</v>
          </cell>
          <cell r="O316">
            <v>0</v>
          </cell>
          <cell r="P316">
            <v>0</v>
          </cell>
          <cell r="Z316" t="str">
            <v>20140101LGUM_283</v>
          </cell>
          <cell r="AB316" t="str">
            <v>283</v>
          </cell>
        </row>
        <row r="317">
          <cell r="C317" t="str">
            <v>RLS</v>
          </cell>
          <cell r="E317">
            <v>102</v>
          </cell>
          <cell r="F317">
            <v>0</v>
          </cell>
          <cell r="J317">
            <v>1958.4</v>
          </cell>
          <cell r="M317">
            <v>0</v>
          </cell>
          <cell r="N317">
            <v>0</v>
          </cell>
          <cell r="O317">
            <v>0</v>
          </cell>
          <cell r="P317">
            <v>0</v>
          </cell>
          <cell r="Z317" t="str">
            <v>20140101LGUM_314</v>
          </cell>
          <cell r="AB317" t="str">
            <v>314</v>
          </cell>
        </row>
        <row r="318">
          <cell r="C318" t="str">
            <v>RLS</v>
          </cell>
          <cell r="E318">
            <v>24</v>
          </cell>
          <cell r="F318">
            <v>0</v>
          </cell>
          <cell r="J318">
            <v>550.79999999999995</v>
          </cell>
          <cell r="M318">
            <v>0</v>
          </cell>
          <cell r="N318">
            <v>0</v>
          </cell>
          <cell r="O318">
            <v>0</v>
          </cell>
          <cell r="P318">
            <v>0</v>
          </cell>
          <cell r="Z318" t="str">
            <v>20140101LGUM_315</v>
          </cell>
          <cell r="AB318" t="str">
            <v>315</v>
          </cell>
        </row>
        <row r="319">
          <cell r="C319" t="str">
            <v>RLS</v>
          </cell>
          <cell r="E319">
            <v>47</v>
          </cell>
          <cell r="F319">
            <v>0</v>
          </cell>
          <cell r="J319">
            <v>818.74</v>
          </cell>
          <cell r="M319">
            <v>0</v>
          </cell>
          <cell r="N319">
            <v>0</v>
          </cell>
          <cell r="O319">
            <v>0</v>
          </cell>
          <cell r="P319">
            <v>0</v>
          </cell>
          <cell r="Z319" t="str">
            <v>20140101LGUM_318</v>
          </cell>
          <cell r="AB319" t="str">
            <v>318</v>
          </cell>
        </row>
        <row r="320">
          <cell r="C320" t="str">
            <v>RLS</v>
          </cell>
          <cell r="E320">
            <v>0</v>
          </cell>
          <cell r="F320">
            <v>0</v>
          </cell>
          <cell r="J320">
            <v>0</v>
          </cell>
          <cell r="M320">
            <v>0</v>
          </cell>
          <cell r="N320">
            <v>0</v>
          </cell>
          <cell r="O320">
            <v>0</v>
          </cell>
          <cell r="P320">
            <v>0</v>
          </cell>
          <cell r="Z320" t="str">
            <v>20140101LGUM_347</v>
          </cell>
          <cell r="AB320" t="str">
            <v>347</v>
          </cell>
        </row>
        <row r="321">
          <cell r="C321" t="str">
            <v>RLS</v>
          </cell>
          <cell r="E321">
            <v>7</v>
          </cell>
          <cell r="F321">
            <v>0</v>
          </cell>
          <cell r="J321">
            <v>91.84</v>
          </cell>
          <cell r="M321">
            <v>0</v>
          </cell>
          <cell r="N321">
            <v>0</v>
          </cell>
          <cell r="O321">
            <v>0</v>
          </cell>
          <cell r="P321">
            <v>0</v>
          </cell>
          <cell r="Z321" t="str">
            <v>20140101LGUM_348</v>
          </cell>
          <cell r="AB321" t="str">
            <v>348</v>
          </cell>
        </row>
        <row r="322">
          <cell r="C322" t="str">
            <v>RLS</v>
          </cell>
          <cell r="E322">
            <v>479</v>
          </cell>
          <cell r="F322">
            <v>0</v>
          </cell>
          <cell r="J322">
            <v>4320.58</v>
          </cell>
          <cell r="M322">
            <v>0</v>
          </cell>
          <cell r="N322">
            <v>0</v>
          </cell>
          <cell r="O322">
            <v>0</v>
          </cell>
          <cell r="P322">
            <v>0</v>
          </cell>
          <cell r="Z322" t="str">
            <v>20140101LGUM_349</v>
          </cell>
          <cell r="AB322" t="str">
            <v>349</v>
          </cell>
        </row>
        <row r="323">
          <cell r="C323" t="str">
            <v xml:space="preserve">LS </v>
          </cell>
          <cell r="E323">
            <v>1696</v>
          </cell>
          <cell r="F323">
            <v>0</v>
          </cell>
          <cell r="J323">
            <v>40517.440000000002</v>
          </cell>
          <cell r="M323">
            <v>0</v>
          </cell>
          <cell r="N323">
            <v>0</v>
          </cell>
          <cell r="O323">
            <v>0</v>
          </cell>
          <cell r="P323">
            <v>0</v>
          </cell>
          <cell r="Z323" t="str">
            <v>20140101LGUM_400</v>
          </cell>
          <cell r="AB323" t="str">
            <v>400</v>
          </cell>
        </row>
        <row r="324">
          <cell r="C324" t="str">
            <v xml:space="preserve">LS </v>
          </cell>
          <cell r="E324">
            <v>30</v>
          </cell>
          <cell r="F324">
            <v>0</v>
          </cell>
          <cell r="J324">
            <v>747</v>
          </cell>
          <cell r="M324">
            <v>0</v>
          </cell>
          <cell r="N324">
            <v>0</v>
          </cell>
          <cell r="O324">
            <v>0</v>
          </cell>
          <cell r="P324">
            <v>0</v>
          </cell>
          <cell r="Z324" t="str">
            <v>20140101LGUM_401</v>
          </cell>
          <cell r="AB324" t="str">
            <v>401</v>
          </cell>
        </row>
        <row r="325">
          <cell r="C325" t="str">
            <v xml:space="preserve">LS </v>
          </cell>
          <cell r="E325">
            <v>2044</v>
          </cell>
          <cell r="F325">
            <v>0</v>
          </cell>
          <cell r="J325">
            <v>40450.76</v>
          </cell>
          <cell r="M325">
            <v>0</v>
          </cell>
          <cell r="N325">
            <v>0</v>
          </cell>
          <cell r="O325">
            <v>0</v>
          </cell>
          <cell r="P325">
            <v>0</v>
          </cell>
          <cell r="Z325" t="str">
            <v>20140101LGUM_412</v>
          </cell>
          <cell r="AB325" t="str">
            <v>412</v>
          </cell>
        </row>
        <row r="326">
          <cell r="C326" t="str">
            <v xml:space="preserve">LS </v>
          </cell>
          <cell r="E326">
            <v>44</v>
          </cell>
          <cell r="F326">
            <v>0</v>
          </cell>
          <cell r="J326">
            <v>901.56</v>
          </cell>
          <cell r="M326">
            <v>0</v>
          </cell>
          <cell r="N326">
            <v>0</v>
          </cell>
          <cell r="O326">
            <v>0</v>
          </cell>
          <cell r="P326">
            <v>0</v>
          </cell>
          <cell r="Z326" t="str">
            <v>20140101LGUM_413</v>
          </cell>
          <cell r="AB326" t="str">
            <v>413</v>
          </cell>
        </row>
        <row r="327">
          <cell r="C327" t="str">
            <v xml:space="preserve">LS </v>
          </cell>
          <cell r="E327">
            <v>133</v>
          </cell>
          <cell r="F327">
            <v>0</v>
          </cell>
          <cell r="J327">
            <v>2683.94</v>
          </cell>
          <cell r="M327">
            <v>0</v>
          </cell>
          <cell r="N327">
            <v>0</v>
          </cell>
          <cell r="O327">
            <v>0</v>
          </cell>
          <cell r="P327">
            <v>0</v>
          </cell>
          <cell r="Z327" t="str">
            <v>20140101LGUM_415</v>
          </cell>
          <cell r="AB327" t="str">
            <v>415</v>
          </cell>
        </row>
        <row r="328">
          <cell r="C328" t="str">
            <v xml:space="preserve">LS </v>
          </cell>
          <cell r="E328">
            <v>69</v>
          </cell>
          <cell r="F328">
            <v>0</v>
          </cell>
          <cell r="J328">
            <v>1556.64</v>
          </cell>
          <cell r="M328">
            <v>0</v>
          </cell>
          <cell r="N328">
            <v>0</v>
          </cell>
          <cell r="O328">
            <v>0</v>
          </cell>
          <cell r="P328">
            <v>0</v>
          </cell>
          <cell r="Z328" t="str">
            <v>20140101LGUM_416</v>
          </cell>
          <cell r="AB328" t="str">
            <v>416</v>
          </cell>
        </row>
        <row r="329">
          <cell r="C329" t="str">
            <v>RLS</v>
          </cell>
          <cell r="E329">
            <v>235</v>
          </cell>
          <cell r="F329">
            <v>0</v>
          </cell>
          <cell r="J329">
            <v>5564.8</v>
          </cell>
          <cell r="M329">
            <v>0</v>
          </cell>
          <cell r="N329">
            <v>0</v>
          </cell>
          <cell r="O329">
            <v>0</v>
          </cell>
          <cell r="P329">
            <v>0</v>
          </cell>
          <cell r="Z329" t="str">
            <v>20140101LGUM_417</v>
          </cell>
          <cell r="AB329" t="str">
            <v>417</v>
          </cell>
        </row>
        <row r="330">
          <cell r="C330" t="str">
            <v>RLS</v>
          </cell>
          <cell r="E330">
            <v>583</v>
          </cell>
          <cell r="F330">
            <v>0</v>
          </cell>
          <cell r="J330">
            <v>14440.91</v>
          </cell>
          <cell r="M330">
            <v>0</v>
          </cell>
          <cell r="N330">
            <v>0</v>
          </cell>
          <cell r="O330">
            <v>0</v>
          </cell>
          <cell r="P330">
            <v>0</v>
          </cell>
          <cell r="Z330" t="str">
            <v>20140101LGUM_419</v>
          </cell>
          <cell r="AB330" t="str">
            <v>419</v>
          </cell>
        </row>
        <row r="331">
          <cell r="C331" t="str">
            <v xml:space="preserve">LS </v>
          </cell>
          <cell r="E331">
            <v>12</v>
          </cell>
          <cell r="F331">
            <v>0</v>
          </cell>
          <cell r="J331">
            <v>358.68</v>
          </cell>
          <cell r="M331">
            <v>0</v>
          </cell>
          <cell r="N331">
            <v>0</v>
          </cell>
          <cell r="O331">
            <v>0</v>
          </cell>
          <cell r="P331">
            <v>0</v>
          </cell>
          <cell r="Z331" t="str">
            <v>20140101LGUM_420</v>
          </cell>
          <cell r="AB331" t="str">
            <v>420</v>
          </cell>
        </row>
        <row r="332">
          <cell r="C332" t="str">
            <v xml:space="preserve">LS </v>
          </cell>
          <cell r="E332">
            <v>33</v>
          </cell>
          <cell r="F332">
            <v>0</v>
          </cell>
          <cell r="J332">
            <v>1084.3800000000001</v>
          </cell>
          <cell r="M332">
            <v>0</v>
          </cell>
          <cell r="N332">
            <v>0</v>
          </cell>
          <cell r="O332">
            <v>0</v>
          </cell>
          <cell r="P332">
            <v>0</v>
          </cell>
          <cell r="Z332" t="str">
            <v>20140101LGUM_421</v>
          </cell>
          <cell r="AB332" t="str">
            <v>421</v>
          </cell>
        </row>
        <row r="333">
          <cell r="C333" t="str">
            <v xml:space="preserve">LS </v>
          </cell>
          <cell r="E333">
            <v>23</v>
          </cell>
          <cell r="F333">
            <v>0</v>
          </cell>
          <cell r="J333">
            <v>882.97</v>
          </cell>
          <cell r="M333">
            <v>0</v>
          </cell>
          <cell r="N333">
            <v>0</v>
          </cell>
          <cell r="O333">
            <v>0</v>
          </cell>
          <cell r="P333">
            <v>0</v>
          </cell>
          <cell r="Z333" t="str">
            <v>20140101LGUM_422</v>
          </cell>
          <cell r="AB333" t="str">
            <v>422</v>
          </cell>
        </row>
        <row r="334">
          <cell r="C334" t="str">
            <v xml:space="preserve">LS </v>
          </cell>
          <cell r="E334">
            <v>50</v>
          </cell>
          <cell r="F334">
            <v>0</v>
          </cell>
          <cell r="J334">
            <v>1317.5</v>
          </cell>
          <cell r="M334">
            <v>0</v>
          </cell>
          <cell r="N334">
            <v>0</v>
          </cell>
          <cell r="O334">
            <v>0</v>
          </cell>
          <cell r="P334">
            <v>0</v>
          </cell>
          <cell r="Z334" t="str">
            <v>20140101LGUM_423</v>
          </cell>
          <cell r="AB334" t="str">
            <v>423</v>
          </cell>
        </row>
        <row r="335">
          <cell r="C335" t="str">
            <v xml:space="preserve">LS </v>
          </cell>
          <cell r="E335">
            <v>61</v>
          </cell>
          <cell r="F335">
            <v>0</v>
          </cell>
          <cell r="J335">
            <v>1735.45</v>
          </cell>
          <cell r="M335">
            <v>0</v>
          </cell>
          <cell r="N335">
            <v>0</v>
          </cell>
          <cell r="O335">
            <v>0</v>
          </cell>
          <cell r="P335">
            <v>0</v>
          </cell>
          <cell r="Z335" t="str">
            <v>20140101LGUM_424</v>
          </cell>
          <cell r="AB335" t="str">
            <v>424</v>
          </cell>
        </row>
        <row r="336">
          <cell r="C336" t="str">
            <v xml:space="preserve">LS </v>
          </cell>
          <cell r="E336">
            <v>200</v>
          </cell>
          <cell r="F336">
            <v>0</v>
          </cell>
          <cell r="J336">
            <v>6806</v>
          </cell>
          <cell r="M336">
            <v>0</v>
          </cell>
          <cell r="N336">
            <v>0</v>
          </cell>
          <cell r="O336">
            <v>0</v>
          </cell>
          <cell r="P336">
            <v>0</v>
          </cell>
          <cell r="Z336" t="str">
            <v>20140101LGUM_425</v>
          </cell>
          <cell r="AB336" t="str">
            <v>425</v>
          </cell>
        </row>
        <row r="337">
          <cell r="C337" t="str">
            <v>RLS</v>
          </cell>
          <cell r="E337">
            <v>205</v>
          </cell>
          <cell r="F337">
            <v>0</v>
          </cell>
          <cell r="J337">
            <v>6810.1</v>
          </cell>
          <cell r="M337">
            <v>0</v>
          </cell>
          <cell r="N337">
            <v>0</v>
          </cell>
          <cell r="O337">
            <v>0</v>
          </cell>
          <cell r="P337">
            <v>0</v>
          </cell>
          <cell r="Z337" t="str">
            <v>20140101LGUM_426</v>
          </cell>
          <cell r="AB337" t="str">
            <v>426</v>
          </cell>
        </row>
        <row r="338">
          <cell r="C338" t="str">
            <v xml:space="preserve">LS </v>
          </cell>
          <cell r="E338">
            <v>1</v>
          </cell>
          <cell r="F338">
            <v>0</v>
          </cell>
          <cell r="J338">
            <v>35.200000000000003</v>
          </cell>
          <cell r="M338">
            <v>0</v>
          </cell>
          <cell r="N338">
            <v>0</v>
          </cell>
          <cell r="O338">
            <v>0</v>
          </cell>
          <cell r="P338">
            <v>0</v>
          </cell>
          <cell r="Z338" t="str">
            <v>20140101LGUM_427</v>
          </cell>
          <cell r="AB338" t="str">
            <v>427</v>
          </cell>
        </row>
        <row r="339">
          <cell r="C339" t="str">
            <v>RLS</v>
          </cell>
          <cell r="E339">
            <v>42</v>
          </cell>
          <cell r="F339">
            <v>0</v>
          </cell>
          <cell r="J339">
            <v>1431.78</v>
          </cell>
          <cell r="M339">
            <v>0</v>
          </cell>
          <cell r="N339">
            <v>0</v>
          </cell>
          <cell r="O339">
            <v>0</v>
          </cell>
          <cell r="P339">
            <v>0</v>
          </cell>
          <cell r="Z339" t="str">
            <v>20140101LGUM_428</v>
          </cell>
          <cell r="AB339" t="str">
            <v>428</v>
          </cell>
        </row>
        <row r="340">
          <cell r="C340" t="str">
            <v xml:space="preserve">LS </v>
          </cell>
          <cell r="E340">
            <v>9</v>
          </cell>
          <cell r="F340">
            <v>0</v>
          </cell>
          <cell r="J340">
            <v>324.63</v>
          </cell>
          <cell r="M340">
            <v>0</v>
          </cell>
          <cell r="N340">
            <v>0</v>
          </cell>
          <cell r="O340">
            <v>0</v>
          </cell>
          <cell r="P340">
            <v>0</v>
          </cell>
          <cell r="Z340" t="str">
            <v>20140101LGUM_429</v>
          </cell>
          <cell r="AB340" t="str">
            <v>429</v>
          </cell>
        </row>
        <row r="341">
          <cell r="C341" t="str">
            <v>RLS</v>
          </cell>
          <cell r="E341">
            <v>203</v>
          </cell>
          <cell r="F341">
            <v>0</v>
          </cell>
          <cell r="J341">
            <v>6548.78</v>
          </cell>
          <cell r="M341">
            <v>0</v>
          </cell>
          <cell r="N341">
            <v>0</v>
          </cell>
          <cell r="O341">
            <v>0</v>
          </cell>
          <cell r="P341">
            <v>0</v>
          </cell>
          <cell r="Z341" t="str">
            <v>20140101LGUM_430</v>
          </cell>
          <cell r="AB341" t="str">
            <v>430</v>
          </cell>
        </row>
        <row r="342">
          <cell r="C342" t="str">
            <v xml:space="preserve">LS </v>
          </cell>
          <cell r="E342">
            <v>1</v>
          </cell>
          <cell r="F342">
            <v>0</v>
          </cell>
          <cell r="J342">
            <v>32.93</v>
          </cell>
          <cell r="M342">
            <v>0</v>
          </cell>
          <cell r="N342">
            <v>0</v>
          </cell>
          <cell r="O342">
            <v>0</v>
          </cell>
          <cell r="P342">
            <v>0</v>
          </cell>
          <cell r="Z342" t="str">
            <v>20140101LGUM_431</v>
          </cell>
          <cell r="AB342" t="str">
            <v>431</v>
          </cell>
        </row>
        <row r="343">
          <cell r="C343" t="str">
            <v>RLS</v>
          </cell>
          <cell r="E343">
            <v>9</v>
          </cell>
          <cell r="F343">
            <v>0</v>
          </cell>
          <cell r="J343">
            <v>308.97000000000003</v>
          </cell>
          <cell r="M343">
            <v>0</v>
          </cell>
          <cell r="N343">
            <v>0</v>
          </cell>
          <cell r="O343">
            <v>0</v>
          </cell>
          <cell r="P343">
            <v>0</v>
          </cell>
          <cell r="Z343" t="str">
            <v>20140101LGUM_432</v>
          </cell>
          <cell r="AB343" t="str">
            <v>432</v>
          </cell>
        </row>
        <row r="344">
          <cell r="C344" t="str">
            <v xml:space="preserve">LS </v>
          </cell>
          <cell r="E344">
            <v>1203</v>
          </cell>
          <cell r="F344">
            <v>0</v>
          </cell>
          <cell r="J344">
            <v>42092.97</v>
          </cell>
          <cell r="M344">
            <v>0</v>
          </cell>
          <cell r="N344">
            <v>0</v>
          </cell>
          <cell r="O344">
            <v>0</v>
          </cell>
          <cell r="P344">
            <v>0</v>
          </cell>
          <cell r="Z344" t="str">
            <v>20140101LGUM_433</v>
          </cell>
          <cell r="AB344" t="str">
            <v>433</v>
          </cell>
        </row>
        <row r="345">
          <cell r="C345" t="str">
            <v xml:space="preserve">LS </v>
          </cell>
          <cell r="E345">
            <v>0</v>
          </cell>
          <cell r="F345">
            <v>0</v>
          </cell>
          <cell r="J345">
            <v>0</v>
          </cell>
          <cell r="M345">
            <v>0</v>
          </cell>
          <cell r="N345">
            <v>0</v>
          </cell>
          <cell r="O345">
            <v>0</v>
          </cell>
          <cell r="P345">
            <v>0</v>
          </cell>
          <cell r="Z345" t="str">
            <v>20140101LGUM_439</v>
          </cell>
          <cell r="AB345" t="str">
            <v>439</v>
          </cell>
        </row>
        <row r="346">
          <cell r="C346" t="str">
            <v xml:space="preserve">LS </v>
          </cell>
          <cell r="E346">
            <v>1767</v>
          </cell>
          <cell r="F346">
            <v>0</v>
          </cell>
          <cell r="J346">
            <v>32300.76</v>
          </cell>
          <cell r="M346">
            <v>0</v>
          </cell>
          <cell r="N346">
            <v>0</v>
          </cell>
          <cell r="O346">
            <v>0</v>
          </cell>
          <cell r="P346">
            <v>0</v>
          </cell>
          <cell r="Z346" t="str">
            <v>20140101LGUM_440</v>
          </cell>
          <cell r="AB346" t="str">
            <v>440</v>
          </cell>
        </row>
        <row r="347">
          <cell r="C347" t="str">
            <v xml:space="preserve">LS </v>
          </cell>
          <cell r="E347">
            <v>2616</v>
          </cell>
          <cell r="F347">
            <v>0</v>
          </cell>
          <cell r="J347">
            <v>58389.120000000003</v>
          </cell>
          <cell r="M347">
            <v>0</v>
          </cell>
          <cell r="N347">
            <v>0</v>
          </cell>
          <cell r="O347">
            <v>0</v>
          </cell>
          <cell r="P347">
            <v>0</v>
          </cell>
          <cell r="Z347" t="str">
            <v>20140101LGUM_441</v>
          </cell>
          <cell r="AB347" t="str">
            <v>441</v>
          </cell>
        </row>
        <row r="348">
          <cell r="C348" t="str">
            <v xml:space="preserve">LS </v>
          </cell>
          <cell r="E348">
            <v>432</v>
          </cell>
          <cell r="F348">
            <v>0</v>
          </cell>
          <cell r="J348">
            <v>5538.24</v>
          </cell>
          <cell r="M348">
            <v>0</v>
          </cell>
          <cell r="N348">
            <v>0</v>
          </cell>
          <cell r="O348">
            <v>0</v>
          </cell>
          <cell r="P348">
            <v>0</v>
          </cell>
          <cell r="Z348" t="str">
            <v>20140101LGUM_452</v>
          </cell>
          <cell r="AB348" t="str">
            <v>452</v>
          </cell>
        </row>
        <row r="349">
          <cell r="C349" t="str">
            <v xml:space="preserve">LS </v>
          </cell>
          <cell r="E349">
            <v>15333</v>
          </cell>
          <cell r="F349">
            <v>0</v>
          </cell>
          <cell r="J349">
            <v>231221.64</v>
          </cell>
          <cell r="M349">
            <v>0</v>
          </cell>
          <cell r="N349">
            <v>0</v>
          </cell>
          <cell r="O349">
            <v>0</v>
          </cell>
          <cell r="P349">
            <v>0</v>
          </cell>
          <cell r="Z349" t="str">
            <v>20140101LGUM_453</v>
          </cell>
          <cell r="AB349" t="str">
            <v>453</v>
          </cell>
        </row>
        <row r="350">
          <cell r="C350" t="str">
            <v xml:space="preserve">LS </v>
          </cell>
          <cell r="E350">
            <v>2029</v>
          </cell>
          <cell r="F350">
            <v>0</v>
          </cell>
          <cell r="J350">
            <v>35264.019999999997</v>
          </cell>
          <cell r="M350">
            <v>0</v>
          </cell>
          <cell r="N350">
            <v>0</v>
          </cell>
          <cell r="O350">
            <v>0</v>
          </cell>
          <cell r="P350">
            <v>0</v>
          </cell>
          <cell r="Z350" t="str">
            <v>20140101LGUM_454</v>
          </cell>
          <cell r="AB350" t="str">
            <v>454</v>
          </cell>
        </row>
        <row r="351">
          <cell r="C351" t="str">
            <v xml:space="preserve">LS </v>
          </cell>
          <cell r="E351">
            <v>3</v>
          </cell>
          <cell r="F351">
            <v>0</v>
          </cell>
          <cell r="J351">
            <v>41.31</v>
          </cell>
          <cell r="M351">
            <v>0</v>
          </cell>
          <cell r="N351">
            <v>0</v>
          </cell>
          <cell r="O351">
            <v>0</v>
          </cell>
          <cell r="P351">
            <v>0</v>
          </cell>
          <cell r="Z351" t="str">
            <v>20140101LGUM_455</v>
          </cell>
          <cell r="AB351" t="str">
            <v>455</v>
          </cell>
        </row>
        <row r="352">
          <cell r="C352" t="str">
            <v xml:space="preserve">LS </v>
          </cell>
          <cell r="E352">
            <v>16</v>
          </cell>
          <cell r="F352">
            <v>0</v>
          </cell>
          <cell r="J352">
            <v>291.36</v>
          </cell>
          <cell r="M352">
            <v>0</v>
          </cell>
          <cell r="N352">
            <v>0</v>
          </cell>
          <cell r="O352">
            <v>0</v>
          </cell>
          <cell r="P352">
            <v>0</v>
          </cell>
          <cell r="Z352" t="str">
            <v>20140101LGUM_456</v>
          </cell>
          <cell r="AB352" t="str">
            <v>456</v>
          </cell>
        </row>
        <row r="353">
          <cell r="C353" t="str">
            <v xml:space="preserve">LS </v>
          </cell>
          <cell r="E353">
            <v>3</v>
          </cell>
          <cell r="F353">
            <v>0</v>
          </cell>
          <cell r="J353">
            <v>32.58</v>
          </cell>
          <cell r="M353">
            <v>0</v>
          </cell>
          <cell r="N353">
            <v>0</v>
          </cell>
          <cell r="O353">
            <v>0</v>
          </cell>
          <cell r="P353">
            <v>0</v>
          </cell>
          <cell r="Z353" t="str">
            <v>20140101LGUM_457</v>
          </cell>
          <cell r="AB353" t="str">
            <v>457</v>
          </cell>
        </row>
        <row r="354">
          <cell r="C354" t="str">
            <v>RLS</v>
          </cell>
          <cell r="E354">
            <v>672</v>
          </cell>
          <cell r="F354">
            <v>0</v>
          </cell>
          <cell r="J354">
            <v>7479.36</v>
          </cell>
          <cell r="M354">
            <v>0</v>
          </cell>
          <cell r="N354">
            <v>0</v>
          </cell>
          <cell r="O354">
            <v>0</v>
          </cell>
          <cell r="P354">
            <v>0</v>
          </cell>
          <cell r="Z354" t="str">
            <v>20140101LGUM_458</v>
          </cell>
          <cell r="AB354" t="str">
            <v>458</v>
          </cell>
        </row>
        <row r="355">
          <cell r="C355" t="str">
            <v xml:space="preserve">LS </v>
          </cell>
          <cell r="E355">
            <v>85</v>
          </cell>
          <cell r="F355">
            <v>0</v>
          </cell>
          <cell r="J355">
            <v>1087.1500000000001</v>
          </cell>
          <cell r="M355">
            <v>0</v>
          </cell>
          <cell r="N355">
            <v>0</v>
          </cell>
          <cell r="O355">
            <v>0</v>
          </cell>
          <cell r="P355">
            <v>0</v>
          </cell>
          <cell r="Z355" t="str">
            <v>20140101LGUM_470</v>
          </cell>
          <cell r="AB355" t="str">
            <v>470</v>
          </cell>
        </row>
        <row r="356">
          <cell r="C356" t="str">
            <v>RLS</v>
          </cell>
          <cell r="E356">
            <v>4</v>
          </cell>
          <cell r="F356">
            <v>0</v>
          </cell>
          <cell r="J356">
            <v>60.28</v>
          </cell>
          <cell r="M356">
            <v>0</v>
          </cell>
          <cell r="N356">
            <v>0</v>
          </cell>
          <cell r="O356">
            <v>0</v>
          </cell>
          <cell r="P356">
            <v>0</v>
          </cell>
          <cell r="Z356" t="str">
            <v>20140101LGUM_471</v>
          </cell>
          <cell r="AB356" t="str">
            <v>471</v>
          </cell>
        </row>
        <row r="357">
          <cell r="C357" t="str">
            <v xml:space="preserve">LS </v>
          </cell>
          <cell r="E357">
            <v>920</v>
          </cell>
          <cell r="F357">
            <v>0</v>
          </cell>
          <cell r="J357">
            <v>17185.599999999999</v>
          </cell>
          <cell r="M357">
            <v>0</v>
          </cell>
          <cell r="N357">
            <v>0</v>
          </cell>
          <cell r="O357">
            <v>0</v>
          </cell>
          <cell r="P357">
            <v>0</v>
          </cell>
          <cell r="Z357" t="str">
            <v>20140101LGUM_473</v>
          </cell>
          <cell r="AB357" t="str">
            <v>473</v>
          </cell>
        </row>
        <row r="358">
          <cell r="C358" t="str">
            <v>RLS</v>
          </cell>
          <cell r="E358">
            <v>124</v>
          </cell>
          <cell r="F358">
            <v>0</v>
          </cell>
          <cell r="J358">
            <v>2600.2800000000002</v>
          </cell>
          <cell r="M358">
            <v>0</v>
          </cell>
          <cell r="N358">
            <v>0</v>
          </cell>
          <cell r="O358">
            <v>0</v>
          </cell>
          <cell r="P358">
            <v>0</v>
          </cell>
          <cell r="Z358" t="str">
            <v>20140101LGUM_474</v>
          </cell>
          <cell r="AB358" t="str">
            <v>474</v>
          </cell>
        </row>
        <row r="359">
          <cell r="C359" t="str">
            <v>RLS</v>
          </cell>
          <cell r="E359">
            <v>15</v>
          </cell>
          <cell r="F359">
            <v>0</v>
          </cell>
          <cell r="J359">
            <v>426.3</v>
          </cell>
          <cell r="M359">
            <v>0</v>
          </cell>
          <cell r="N359">
            <v>0</v>
          </cell>
          <cell r="O359">
            <v>0</v>
          </cell>
          <cell r="P359">
            <v>0</v>
          </cell>
          <cell r="Z359" t="str">
            <v>20140101LGUM_475</v>
          </cell>
          <cell r="AB359" t="str">
            <v>475</v>
          </cell>
        </row>
        <row r="360">
          <cell r="C360" t="str">
            <v xml:space="preserve">LS </v>
          </cell>
          <cell r="E360">
            <v>2</v>
          </cell>
          <cell r="F360">
            <v>0</v>
          </cell>
          <cell r="J360">
            <v>79.2</v>
          </cell>
          <cell r="M360">
            <v>0</v>
          </cell>
          <cell r="N360">
            <v>0</v>
          </cell>
          <cell r="O360">
            <v>0</v>
          </cell>
          <cell r="P360">
            <v>0</v>
          </cell>
          <cell r="Z360" t="str">
            <v>20140101LGUM_476</v>
          </cell>
          <cell r="AB360" t="str">
            <v>476</v>
          </cell>
        </row>
        <row r="361">
          <cell r="C361" t="str">
            <v>RLS</v>
          </cell>
          <cell r="E361">
            <v>28</v>
          </cell>
          <cell r="F361">
            <v>0</v>
          </cell>
          <cell r="J361">
            <v>1197.8399999999999</v>
          </cell>
          <cell r="M361">
            <v>0</v>
          </cell>
          <cell r="N361">
            <v>0</v>
          </cell>
          <cell r="O361">
            <v>0</v>
          </cell>
          <cell r="P361">
            <v>0</v>
          </cell>
          <cell r="Z361" t="str">
            <v>20140101LGUM_477</v>
          </cell>
          <cell r="AB361" t="str">
            <v>477</v>
          </cell>
        </row>
        <row r="362">
          <cell r="C362" t="str">
            <v xml:space="preserve">LS </v>
          </cell>
          <cell r="E362">
            <v>0</v>
          </cell>
          <cell r="F362">
            <v>0</v>
          </cell>
          <cell r="J362">
            <v>0</v>
          </cell>
          <cell r="M362">
            <v>0</v>
          </cell>
          <cell r="N362">
            <v>0</v>
          </cell>
          <cell r="O362">
            <v>0</v>
          </cell>
          <cell r="P362">
            <v>0</v>
          </cell>
          <cell r="Z362" t="str">
            <v>20140101LGUM_479</v>
          </cell>
          <cell r="AB362" t="str">
            <v>479</v>
          </cell>
        </row>
        <row r="363">
          <cell r="C363" t="str">
            <v xml:space="preserve">LS </v>
          </cell>
          <cell r="E363">
            <v>3</v>
          </cell>
          <cell r="F363">
            <v>0</v>
          </cell>
          <cell r="J363">
            <v>71.489999999999995</v>
          </cell>
          <cell r="M363">
            <v>0</v>
          </cell>
          <cell r="N363">
            <v>0</v>
          </cell>
          <cell r="O363">
            <v>0</v>
          </cell>
          <cell r="P363">
            <v>0</v>
          </cell>
          <cell r="Z363" t="str">
            <v>20140101LGUM_480</v>
          </cell>
          <cell r="AB363" t="str">
            <v>480</v>
          </cell>
        </row>
        <row r="364">
          <cell r="C364" t="str">
            <v xml:space="preserve">LS </v>
          </cell>
          <cell r="E364">
            <v>32</v>
          </cell>
          <cell r="F364">
            <v>0</v>
          </cell>
          <cell r="J364">
            <v>654.72</v>
          </cell>
          <cell r="M364">
            <v>0</v>
          </cell>
          <cell r="N364">
            <v>0</v>
          </cell>
          <cell r="O364">
            <v>0</v>
          </cell>
          <cell r="P364">
            <v>0</v>
          </cell>
          <cell r="Z364" t="str">
            <v>20140101LGUM_481</v>
          </cell>
          <cell r="AB364" t="str">
            <v>481</v>
          </cell>
        </row>
        <row r="365">
          <cell r="C365" t="str">
            <v xml:space="preserve">LS </v>
          </cell>
          <cell r="E365">
            <v>39</v>
          </cell>
          <cell r="F365">
            <v>0</v>
          </cell>
          <cell r="J365">
            <v>1178.19</v>
          </cell>
          <cell r="M365">
            <v>0</v>
          </cell>
          <cell r="N365">
            <v>0</v>
          </cell>
          <cell r="O365">
            <v>0</v>
          </cell>
          <cell r="P365">
            <v>0</v>
          </cell>
          <cell r="Z365" t="str">
            <v>20140101LGUM_482</v>
          </cell>
          <cell r="AB365" t="str">
            <v>482</v>
          </cell>
        </row>
        <row r="366">
          <cell r="C366" t="str">
            <v xml:space="preserve">LS </v>
          </cell>
          <cell r="E366">
            <v>2</v>
          </cell>
          <cell r="F366">
            <v>0</v>
          </cell>
          <cell r="J366">
            <v>85.12</v>
          </cell>
          <cell r="M366">
            <v>0</v>
          </cell>
          <cell r="N366">
            <v>0</v>
          </cell>
          <cell r="O366">
            <v>0</v>
          </cell>
          <cell r="P366">
            <v>0</v>
          </cell>
          <cell r="Z366" t="str">
            <v>20140101LGUM_483</v>
          </cell>
          <cell r="AB366" t="str">
            <v>483</v>
          </cell>
        </row>
        <row r="367">
          <cell r="C367" t="str">
            <v xml:space="preserve">LS </v>
          </cell>
          <cell r="E367">
            <v>13</v>
          </cell>
          <cell r="F367">
            <v>0</v>
          </cell>
          <cell r="J367">
            <v>680.03</v>
          </cell>
          <cell r="M367">
            <v>0</v>
          </cell>
          <cell r="N367">
            <v>0</v>
          </cell>
          <cell r="O367">
            <v>0</v>
          </cell>
          <cell r="P367">
            <v>0</v>
          </cell>
          <cell r="Z367" t="str">
            <v>20140101LGUM_484</v>
          </cell>
          <cell r="AB367" t="str">
            <v>484</v>
          </cell>
        </row>
        <row r="368">
          <cell r="C368" t="str">
            <v>ODL</v>
          </cell>
          <cell r="E368">
            <v>0</v>
          </cell>
          <cell r="F368">
            <v>8869365</v>
          </cell>
          <cell r="J368">
            <v>0</v>
          </cell>
          <cell r="M368">
            <v>1711</v>
          </cell>
          <cell r="N368">
            <v>92840</v>
          </cell>
          <cell r="O368">
            <v>0</v>
          </cell>
          <cell r="P368">
            <v>1284816</v>
          </cell>
          <cell r="Z368" t="str">
            <v>20140101ODL</v>
          </cell>
          <cell r="AB368" t="str">
            <v>ODL</v>
          </cell>
        </row>
        <row r="369">
          <cell r="C369" t="str">
            <v>RLS</v>
          </cell>
          <cell r="E369">
            <v>78</v>
          </cell>
          <cell r="F369">
            <v>0</v>
          </cell>
          <cell r="J369">
            <v>634.91999999999996</v>
          </cell>
          <cell r="M369">
            <v>0</v>
          </cell>
          <cell r="N369">
            <v>0</v>
          </cell>
          <cell r="O369">
            <v>0</v>
          </cell>
          <cell r="P369">
            <v>0</v>
          </cell>
          <cell r="Z369" t="str">
            <v>20140101LGUM_201</v>
          </cell>
          <cell r="AB369" t="str">
            <v>201</v>
          </cell>
        </row>
        <row r="370">
          <cell r="C370" t="str">
            <v>RLS</v>
          </cell>
          <cell r="E370">
            <v>5739</v>
          </cell>
          <cell r="F370">
            <v>0</v>
          </cell>
          <cell r="J370">
            <v>62899.44</v>
          </cell>
          <cell r="M370">
            <v>0</v>
          </cell>
          <cell r="N370">
            <v>0</v>
          </cell>
          <cell r="O370">
            <v>0</v>
          </cell>
          <cell r="P370">
            <v>0</v>
          </cell>
          <cell r="Z370" t="str">
            <v>20140101LGUM_203</v>
          </cell>
          <cell r="AB370" t="str">
            <v>203</v>
          </cell>
        </row>
        <row r="371">
          <cell r="C371" t="str">
            <v>RLS</v>
          </cell>
          <cell r="E371">
            <v>6574</v>
          </cell>
          <cell r="F371">
            <v>0</v>
          </cell>
          <cell r="J371">
            <v>88814.74</v>
          </cell>
          <cell r="M371">
            <v>0</v>
          </cell>
          <cell r="N371">
            <v>0</v>
          </cell>
          <cell r="O371">
            <v>0</v>
          </cell>
          <cell r="P371">
            <v>0</v>
          </cell>
          <cell r="Z371" t="str">
            <v>20140101LGUM_204</v>
          </cell>
          <cell r="AB371" t="str">
            <v>204</v>
          </cell>
        </row>
        <row r="372">
          <cell r="C372" t="str">
            <v>RLS</v>
          </cell>
          <cell r="E372">
            <v>93</v>
          </cell>
          <cell r="F372">
            <v>0</v>
          </cell>
          <cell r="J372">
            <v>1157.8499999999999</v>
          </cell>
          <cell r="M372">
            <v>0</v>
          </cell>
          <cell r="N372">
            <v>0</v>
          </cell>
          <cell r="O372">
            <v>0</v>
          </cell>
          <cell r="P372">
            <v>0</v>
          </cell>
          <cell r="Z372" t="str">
            <v>20140101LGUM_206</v>
          </cell>
          <cell r="AB372" t="str">
            <v>206</v>
          </cell>
        </row>
        <row r="373">
          <cell r="C373" t="str">
            <v>RLS</v>
          </cell>
          <cell r="E373">
            <v>770</v>
          </cell>
          <cell r="F373">
            <v>0</v>
          </cell>
          <cell r="J373">
            <v>11965.8</v>
          </cell>
          <cell r="M373">
            <v>0</v>
          </cell>
          <cell r="N373">
            <v>0</v>
          </cell>
          <cell r="O373">
            <v>0</v>
          </cell>
          <cell r="P373">
            <v>0</v>
          </cell>
          <cell r="Z373" t="str">
            <v>20140101LGUM_207</v>
          </cell>
          <cell r="AB373" t="str">
            <v>207</v>
          </cell>
        </row>
        <row r="374">
          <cell r="C374" t="str">
            <v>RLS</v>
          </cell>
          <cell r="E374">
            <v>1772</v>
          </cell>
          <cell r="F374">
            <v>0</v>
          </cell>
          <cell r="J374">
            <v>25233.279999999999</v>
          </cell>
          <cell r="M374">
            <v>0</v>
          </cell>
          <cell r="N374">
            <v>0</v>
          </cell>
          <cell r="O374">
            <v>0</v>
          </cell>
          <cell r="P374">
            <v>0</v>
          </cell>
          <cell r="Z374" t="str">
            <v>20140101LGUM_208</v>
          </cell>
          <cell r="AB374" t="str">
            <v>208</v>
          </cell>
        </row>
        <row r="375">
          <cell r="C375" t="str">
            <v>RLS</v>
          </cell>
          <cell r="E375">
            <v>44</v>
          </cell>
          <cell r="F375">
            <v>0</v>
          </cell>
          <cell r="J375">
            <v>1218.3599999999999</v>
          </cell>
          <cell r="M375">
            <v>0</v>
          </cell>
          <cell r="N375">
            <v>0</v>
          </cell>
          <cell r="O375">
            <v>0</v>
          </cell>
          <cell r="P375">
            <v>0</v>
          </cell>
          <cell r="Z375" t="str">
            <v>20140101LGUM_209</v>
          </cell>
          <cell r="AB375" t="str">
            <v>209</v>
          </cell>
        </row>
        <row r="376">
          <cell r="C376" t="str">
            <v>RLS</v>
          </cell>
          <cell r="E376">
            <v>346</v>
          </cell>
          <cell r="F376">
            <v>0</v>
          </cell>
          <cell r="J376">
            <v>9995.94</v>
          </cell>
          <cell r="M376">
            <v>0</v>
          </cell>
          <cell r="N376">
            <v>0</v>
          </cell>
          <cell r="O376">
            <v>0</v>
          </cell>
          <cell r="P376">
            <v>0</v>
          </cell>
          <cell r="Z376" t="str">
            <v>20140101LGUM_210</v>
          </cell>
          <cell r="AB376" t="str">
            <v>210</v>
          </cell>
        </row>
        <row r="377">
          <cell r="C377" t="str">
            <v>RLS</v>
          </cell>
          <cell r="E377">
            <v>5018</v>
          </cell>
          <cell r="F377">
            <v>0</v>
          </cell>
          <cell r="J377">
            <v>48022.26</v>
          </cell>
          <cell r="M377">
            <v>0</v>
          </cell>
          <cell r="N377">
            <v>0</v>
          </cell>
          <cell r="O377">
            <v>0</v>
          </cell>
          <cell r="P377">
            <v>0</v>
          </cell>
          <cell r="Z377" t="str">
            <v>20140101LGUM_252</v>
          </cell>
          <cell r="AB377" t="str">
            <v>252</v>
          </cell>
        </row>
        <row r="378">
          <cell r="C378" t="str">
            <v>RLS</v>
          </cell>
          <cell r="E378">
            <v>3340</v>
          </cell>
          <cell r="F378">
            <v>0</v>
          </cell>
          <cell r="J378">
            <v>91315.6</v>
          </cell>
          <cell r="M378">
            <v>0</v>
          </cell>
          <cell r="N378">
            <v>0</v>
          </cell>
          <cell r="O378">
            <v>0</v>
          </cell>
          <cell r="P378">
            <v>0</v>
          </cell>
          <cell r="Z378" t="str">
            <v>20140101LGUM_266</v>
          </cell>
          <cell r="AB378" t="str">
            <v>266</v>
          </cell>
        </row>
        <row r="379">
          <cell r="C379" t="str">
            <v>RLS</v>
          </cell>
          <cell r="E379">
            <v>2724</v>
          </cell>
          <cell r="F379">
            <v>0</v>
          </cell>
          <cell r="J379">
            <v>85533.6</v>
          </cell>
          <cell r="M379">
            <v>0</v>
          </cell>
          <cell r="N379">
            <v>0</v>
          </cell>
          <cell r="O379">
            <v>0</v>
          </cell>
          <cell r="P379">
            <v>0</v>
          </cell>
          <cell r="Z379" t="str">
            <v>20140101LGUM_267</v>
          </cell>
          <cell r="AB379" t="str">
            <v>267</v>
          </cell>
        </row>
        <row r="380">
          <cell r="C380" t="str">
            <v>RLS</v>
          </cell>
          <cell r="E380">
            <v>17417</v>
          </cell>
          <cell r="F380">
            <v>0</v>
          </cell>
          <cell r="J380">
            <v>299398.23</v>
          </cell>
          <cell r="M380">
            <v>0</v>
          </cell>
          <cell r="N380">
            <v>0</v>
          </cell>
          <cell r="O380">
            <v>0</v>
          </cell>
          <cell r="P380">
            <v>0</v>
          </cell>
          <cell r="Z380" t="str">
            <v>20140101LGUM_274</v>
          </cell>
          <cell r="AB380" t="str">
            <v>274</v>
          </cell>
        </row>
        <row r="381">
          <cell r="C381" t="str">
            <v>RLS</v>
          </cell>
          <cell r="E381">
            <v>595</v>
          </cell>
          <cell r="F381">
            <v>0</v>
          </cell>
          <cell r="J381">
            <v>14809.55</v>
          </cell>
          <cell r="M381">
            <v>0</v>
          </cell>
          <cell r="N381">
            <v>0</v>
          </cell>
          <cell r="O381">
            <v>0</v>
          </cell>
          <cell r="P381">
            <v>0</v>
          </cell>
          <cell r="Z381" t="str">
            <v>20140101LGUM_275</v>
          </cell>
          <cell r="AB381" t="str">
            <v>275</v>
          </cell>
        </row>
        <row r="382">
          <cell r="C382" t="str">
            <v>RLS</v>
          </cell>
          <cell r="E382">
            <v>1348</v>
          </cell>
          <cell r="F382">
            <v>0</v>
          </cell>
          <cell r="J382">
            <v>19101.16</v>
          </cell>
          <cell r="M382">
            <v>0</v>
          </cell>
          <cell r="N382">
            <v>0</v>
          </cell>
          <cell r="O382">
            <v>0</v>
          </cell>
          <cell r="P382">
            <v>0</v>
          </cell>
          <cell r="Z382" t="str">
            <v>20140101LGUM_276</v>
          </cell>
          <cell r="AB382" t="str">
            <v>276</v>
          </cell>
        </row>
        <row r="383">
          <cell r="C383" t="str">
            <v>RLS</v>
          </cell>
          <cell r="E383">
            <v>2508</v>
          </cell>
          <cell r="F383">
            <v>0</v>
          </cell>
          <cell r="J383">
            <v>55552.2</v>
          </cell>
          <cell r="M383">
            <v>0</v>
          </cell>
          <cell r="N383">
            <v>0</v>
          </cell>
          <cell r="O383">
            <v>0</v>
          </cell>
          <cell r="P383">
            <v>0</v>
          </cell>
          <cell r="Z383" t="str">
            <v>20140101LGUM_277</v>
          </cell>
          <cell r="AB383" t="str">
            <v>277</v>
          </cell>
        </row>
        <row r="384">
          <cell r="C384" t="str">
            <v>RLS</v>
          </cell>
          <cell r="E384">
            <v>17</v>
          </cell>
          <cell r="F384">
            <v>0</v>
          </cell>
          <cell r="J384">
            <v>1233.3499999999999</v>
          </cell>
          <cell r="M384">
            <v>0</v>
          </cell>
          <cell r="N384">
            <v>0</v>
          </cell>
          <cell r="O384">
            <v>0</v>
          </cell>
          <cell r="P384">
            <v>0</v>
          </cell>
          <cell r="Z384" t="str">
            <v>20140101LGUM_278</v>
          </cell>
          <cell r="AB384" t="str">
            <v>278</v>
          </cell>
        </row>
        <row r="385">
          <cell r="C385" t="str">
            <v>RLS</v>
          </cell>
          <cell r="E385">
            <v>11</v>
          </cell>
          <cell r="F385">
            <v>0</v>
          </cell>
          <cell r="J385">
            <v>455.73</v>
          </cell>
          <cell r="M385">
            <v>0</v>
          </cell>
          <cell r="N385">
            <v>0</v>
          </cell>
          <cell r="O385">
            <v>0</v>
          </cell>
          <cell r="P385">
            <v>0</v>
          </cell>
          <cell r="Z385" t="str">
            <v>20140101LGUM_279</v>
          </cell>
          <cell r="AB385" t="str">
            <v>279</v>
          </cell>
        </row>
        <row r="386">
          <cell r="C386" t="str">
            <v>RLS</v>
          </cell>
          <cell r="E386">
            <v>45</v>
          </cell>
          <cell r="F386">
            <v>0</v>
          </cell>
          <cell r="J386">
            <v>872.1</v>
          </cell>
          <cell r="M386">
            <v>0</v>
          </cell>
          <cell r="N386">
            <v>0</v>
          </cell>
          <cell r="O386">
            <v>0</v>
          </cell>
          <cell r="P386">
            <v>0</v>
          </cell>
          <cell r="Z386" t="str">
            <v>20140101LGUM_280</v>
          </cell>
          <cell r="AB386" t="str">
            <v>280</v>
          </cell>
        </row>
        <row r="387">
          <cell r="C387" t="str">
            <v>RLS</v>
          </cell>
          <cell r="E387">
            <v>241</v>
          </cell>
          <cell r="F387">
            <v>0</v>
          </cell>
          <cell r="J387">
            <v>4904.3500000000004</v>
          </cell>
          <cell r="M387">
            <v>0</v>
          </cell>
          <cell r="N387">
            <v>0</v>
          </cell>
          <cell r="O387">
            <v>0</v>
          </cell>
          <cell r="P387">
            <v>0</v>
          </cell>
          <cell r="Z387" t="str">
            <v>20140101LGUM_281</v>
          </cell>
          <cell r="AB387" t="str">
            <v>281</v>
          </cell>
        </row>
        <row r="388">
          <cell r="C388" t="str">
            <v>RLS</v>
          </cell>
          <cell r="E388">
            <v>104</v>
          </cell>
          <cell r="F388">
            <v>0</v>
          </cell>
          <cell r="J388">
            <v>2031.12</v>
          </cell>
          <cell r="M388">
            <v>0</v>
          </cell>
          <cell r="N388">
            <v>0</v>
          </cell>
          <cell r="O388">
            <v>0</v>
          </cell>
          <cell r="P388">
            <v>0</v>
          </cell>
          <cell r="Z388" t="str">
            <v>20140101LGUM_282</v>
          </cell>
          <cell r="AB388" t="str">
            <v>282</v>
          </cell>
        </row>
        <row r="389">
          <cell r="C389" t="str">
            <v>RLS</v>
          </cell>
          <cell r="E389">
            <v>81</v>
          </cell>
          <cell r="F389">
            <v>0</v>
          </cell>
          <cell r="J389">
            <v>1686.42</v>
          </cell>
          <cell r="M389">
            <v>0</v>
          </cell>
          <cell r="N389">
            <v>0</v>
          </cell>
          <cell r="O389">
            <v>0</v>
          </cell>
          <cell r="P389">
            <v>0</v>
          </cell>
          <cell r="Z389" t="str">
            <v>20140101LGUM_283</v>
          </cell>
          <cell r="AB389" t="str">
            <v>283</v>
          </cell>
        </row>
        <row r="390">
          <cell r="C390" t="str">
            <v>RLS</v>
          </cell>
          <cell r="E390">
            <v>982</v>
          </cell>
          <cell r="F390">
            <v>0</v>
          </cell>
          <cell r="J390">
            <v>18854.400000000001</v>
          </cell>
          <cell r="M390">
            <v>0</v>
          </cell>
          <cell r="N390">
            <v>0</v>
          </cell>
          <cell r="O390">
            <v>0</v>
          </cell>
          <cell r="P390">
            <v>0</v>
          </cell>
          <cell r="Z390" t="str">
            <v>20140101LGUM_314</v>
          </cell>
          <cell r="AB390" t="str">
            <v>314</v>
          </cell>
        </row>
        <row r="391">
          <cell r="C391" t="str">
            <v>RLS</v>
          </cell>
          <cell r="E391">
            <v>981</v>
          </cell>
          <cell r="F391">
            <v>0</v>
          </cell>
          <cell r="J391">
            <v>22513.95</v>
          </cell>
          <cell r="M391">
            <v>0</v>
          </cell>
          <cell r="N391">
            <v>0</v>
          </cell>
          <cell r="O391">
            <v>0</v>
          </cell>
          <cell r="P391">
            <v>0</v>
          </cell>
          <cell r="Z391" t="str">
            <v>20140101LGUM_315</v>
          </cell>
          <cell r="AB391" t="str">
            <v>315</v>
          </cell>
        </row>
        <row r="392">
          <cell r="C392" t="str">
            <v>RLS</v>
          </cell>
          <cell r="E392">
            <v>106</v>
          </cell>
          <cell r="F392">
            <v>0</v>
          </cell>
          <cell r="J392">
            <v>1846.52</v>
          </cell>
          <cell r="M392">
            <v>0</v>
          </cell>
          <cell r="N392">
            <v>0</v>
          </cell>
          <cell r="O392">
            <v>0</v>
          </cell>
          <cell r="P392">
            <v>0</v>
          </cell>
          <cell r="Z392" t="str">
            <v>20140101LGUM_318</v>
          </cell>
          <cell r="AB392" t="str">
            <v>318</v>
          </cell>
        </row>
        <row r="393">
          <cell r="C393" t="str">
            <v>RLS</v>
          </cell>
          <cell r="E393">
            <v>0</v>
          </cell>
          <cell r="F393">
            <v>0</v>
          </cell>
          <cell r="J393">
            <v>0</v>
          </cell>
          <cell r="M393">
            <v>0</v>
          </cell>
          <cell r="N393">
            <v>0</v>
          </cell>
          <cell r="O393">
            <v>0</v>
          </cell>
          <cell r="P393">
            <v>0</v>
          </cell>
          <cell r="Z393" t="str">
            <v>20140101LGUM_347</v>
          </cell>
          <cell r="AB393" t="str">
            <v>347</v>
          </cell>
        </row>
        <row r="394">
          <cell r="C394" t="str">
            <v>RLS</v>
          </cell>
          <cell r="E394">
            <v>79</v>
          </cell>
          <cell r="F394">
            <v>0</v>
          </cell>
          <cell r="J394">
            <v>1036.48</v>
          </cell>
          <cell r="M394">
            <v>0</v>
          </cell>
          <cell r="N394">
            <v>0</v>
          </cell>
          <cell r="O394">
            <v>0</v>
          </cell>
          <cell r="P394">
            <v>0</v>
          </cell>
          <cell r="Z394" t="str">
            <v>20140101LGUM_348</v>
          </cell>
          <cell r="AB394" t="str">
            <v>348</v>
          </cell>
        </row>
        <row r="395">
          <cell r="C395" t="str">
            <v>RLS</v>
          </cell>
          <cell r="E395">
            <v>33</v>
          </cell>
          <cell r="F395">
            <v>0</v>
          </cell>
          <cell r="J395">
            <v>297.66000000000003</v>
          </cell>
          <cell r="M395">
            <v>0</v>
          </cell>
          <cell r="N395">
            <v>0</v>
          </cell>
          <cell r="O395">
            <v>0</v>
          </cell>
          <cell r="P395">
            <v>0</v>
          </cell>
          <cell r="Z395" t="str">
            <v>20140101LGUM_349</v>
          </cell>
          <cell r="AB395" t="str">
            <v>349</v>
          </cell>
        </row>
        <row r="396">
          <cell r="C396" t="str">
            <v xml:space="preserve">LS </v>
          </cell>
          <cell r="E396">
            <v>35</v>
          </cell>
          <cell r="F396">
            <v>0</v>
          </cell>
          <cell r="J396">
            <v>836.15</v>
          </cell>
          <cell r="M396">
            <v>0</v>
          </cell>
          <cell r="N396">
            <v>0</v>
          </cell>
          <cell r="O396">
            <v>0</v>
          </cell>
          <cell r="P396">
            <v>0</v>
          </cell>
          <cell r="Z396" t="str">
            <v>20140101LGUM_400</v>
          </cell>
          <cell r="AB396" t="str">
            <v>400</v>
          </cell>
        </row>
        <row r="397">
          <cell r="C397" t="str">
            <v xml:space="preserve">LS </v>
          </cell>
          <cell r="E397">
            <v>4</v>
          </cell>
          <cell r="F397">
            <v>0</v>
          </cell>
          <cell r="J397">
            <v>99.6</v>
          </cell>
          <cell r="M397">
            <v>0</v>
          </cell>
          <cell r="N397">
            <v>0</v>
          </cell>
          <cell r="O397">
            <v>0</v>
          </cell>
          <cell r="P397">
            <v>0</v>
          </cell>
          <cell r="Z397" t="str">
            <v>20140101LGUM_401</v>
          </cell>
          <cell r="AB397" t="str">
            <v>401</v>
          </cell>
        </row>
        <row r="398">
          <cell r="C398" t="str">
            <v xml:space="preserve">LS </v>
          </cell>
          <cell r="E398">
            <v>219</v>
          </cell>
          <cell r="F398">
            <v>0</v>
          </cell>
          <cell r="J398">
            <v>4334.01</v>
          </cell>
          <cell r="M398">
            <v>0</v>
          </cell>
          <cell r="N398">
            <v>0</v>
          </cell>
          <cell r="O398">
            <v>0</v>
          </cell>
          <cell r="P398">
            <v>0</v>
          </cell>
          <cell r="Z398" t="str">
            <v>20140101LGUM_412</v>
          </cell>
          <cell r="AB398" t="str">
            <v>412</v>
          </cell>
        </row>
        <row r="399">
          <cell r="C399" t="str">
            <v xml:space="preserve">LS </v>
          </cell>
          <cell r="E399">
            <v>2154</v>
          </cell>
          <cell r="F399">
            <v>0</v>
          </cell>
          <cell r="J399">
            <v>44135.46</v>
          </cell>
          <cell r="M399">
            <v>0</v>
          </cell>
          <cell r="N399">
            <v>0</v>
          </cell>
          <cell r="O399">
            <v>0</v>
          </cell>
          <cell r="P399">
            <v>0</v>
          </cell>
          <cell r="Z399" t="str">
            <v>20140101LGUM_413</v>
          </cell>
          <cell r="AB399" t="str">
            <v>413</v>
          </cell>
        </row>
        <row r="400">
          <cell r="C400" t="str">
            <v xml:space="preserve">LS </v>
          </cell>
          <cell r="E400">
            <v>38</v>
          </cell>
          <cell r="F400">
            <v>0</v>
          </cell>
          <cell r="J400">
            <v>766.84</v>
          </cell>
          <cell r="M400">
            <v>0</v>
          </cell>
          <cell r="N400">
            <v>0</v>
          </cell>
          <cell r="O400">
            <v>0</v>
          </cell>
          <cell r="P400">
            <v>0</v>
          </cell>
          <cell r="Z400" t="str">
            <v>20140101LGUM_415</v>
          </cell>
          <cell r="AB400" t="str">
            <v>415</v>
          </cell>
        </row>
        <row r="401">
          <cell r="C401" t="str">
            <v xml:space="preserve">LS </v>
          </cell>
          <cell r="E401">
            <v>1807</v>
          </cell>
          <cell r="F401">
            <v>0</v>
          </cell>
          <cell r="J401">
            <v>40765.919999999998</v>
          </cell>
          <cell r="M401">
            <v>0</v>
          </cell>
          <cell r="N401">
            <v>0</v>
          </cell>
          <cell r="O401">
            <v>0</v>
          </cell>
          <cell r="P401">
            <v>0</v>
          </cell>
          <cell r="Z401" t="str">
            <v>20140101LGUM_416</v>
          </cell>
          <cell r="AB401" t="str">
            <v>416</v>
          </cell>
        </row>
        <row r="402">
          <cell r="C402" t="str">
            <v>RLS</v>
          </cell>
          <cell r="E402">
            <v>39</v>
          </cell>
          <cell r="F402">
            <v>0</v>
          </cell>
          <cell r="J402">
            <v>923.52</v>
          </cell>
          <cell r="M402">
            <v>0</v>
          </cell>
          <cell r="N402">
            <v>0</v>
          </cell>
          <cell r="O402">
            <v>0</v>
          </cell>
          <cell r="P402">
            <v>0</v>
          </cell>
          <cell r="Z402" t="str">
            <v>20140101LGUM_417</v>
          </cell>
          <cell r="AB402" t="str">
            <v>417</v>
          </cell>
        </row>
        <row r="403">
          <cell r="C403" t="str">
            <v>RLS</v>
          </cell>
          <cell r="E403">
            <v>111</v>
          </cell>
          <cell r="F403">
            <v>0</v>
          </cell>
          <cell r="J403">
            <v>2749.47</v>
          </cell>
          <cell r="M403">
            <v>0</v>
          </cell>
          <cell r="N403">
            <v>0</v>
          </cell>
          <cell r="O403">
            <v>0</v>
          </cell>
          <cell r="P403">
            <v>0</v>
          </cell>
          <cell r="Z403" t="str">
            <v>20140101LGUM_419</v>
          </cell>
          <cell r="AB403" t="str">
            <v>419</v>
          </cell>
        </row>
        <row r="404">
          <cell r="C404" t="str">
            <v xml:space="preserve">LS </v>
          </cell>
          <cell r="E404">
            <v>53</v>
          </cell>
          <cell r="F404">
            <v>0</v>
          </cell>
          <cell r="J404">
            <v>1584.17</v>
          </cell>
          <cell r="M404">
            <v>0</v>
          </cell>
          <cell r="N404">
            <v>0</v>
          </cell>
          <cell r="O404">
            <v>0</v>
          </cell>
          <cell r="P404">
            <v>0</v>
          </cell>
          <cell r="Z404" t="str">
            <v>20140101LGUM_420</v>
          </cell>
          <cell r="AB404" t="str">
            <v>420</v>
          </cell>
        </row>
        <row r="405">
          <cell r="C405" t="str">
            <v xml:space="preserve">LS </v>
          </cell>
          <cell r="E405">
            <v>183</v>
          </cell>
          <cell r="F405">
            <v>0</v>
          </cell>
          <cell r="J405">
            <v>6013.38</v>
          </cell>
          <cell r="M405">
            <v>0</v>
          </cell>
          <cell r="N405">
            <v>0</v>
          </cell>
          <cell r="O405">
            <v>0</v>
          </cell>
          <cell r="P405">
            <v>0</v>
          </cell>
          <cell r="Z405" t="str">
            <v>20140101LGUM_421</v>
          </cell>
          <cell r="AB405" t="str">
            <v>421</v>
          </cell>
        </row>
        <row r="406">
          <cell r="C406" t="str">
            <v xml:space="preserve">LS </v>
          </cell>
          <cell r="E406">
            <v>374</v>
          </cell>
          <cell r="F406">
            <v>0</v>
          </cell>
          <cell r="J406">
            <v>14357.86</v>
          </cell>
          <cell r="M406">
            <v>0</v>
          </cell>
          <cell r="N406">
            <v>0</v>
          </cell>
          <cell r="O406">
            <v>0</v>
          </cell>
          <cell r="P406">
            <v>0</v>
          </cell>
          <cell r="Z406" t="str">
            <v>20140101LGUM_422</v>
          </cell>
          <cell r="AB406" t="str">
            <v>422</v>
          </cell>
        </row>
        <row r="407">
          <cell r="C407" t="str">
            <v xml:space="preserve">LS </v>
          </cell>
          <cell r="E407">
            <v>29</v>
          </cell>
          <cell r="F407">
            <v>0</v>
          </cell>
          <cell r="J407">
            <v>764.15</v>
          </cell>
          <cell r="M407">
            <v>0</v>
          </cell>
          <cell r="N407">
            <v>0</v>
          </cell>
          <cell r="O407">
            <v>0</v>
          </cell>
          <cell r="P407">
            <v>0</v>
          </cell>
          <cell r="Z407" t="str">
            <v>20140101LGUM_423</v>
          </cell>
          <cell r="AB407" t="str">
            <v>423</v>
          </cell>
        </row>
        <row r="408">
          <cell r="C408" t="str">
            <v xml:space="preserve">LS </v>
          </cell>
          <cell r="E408">
            <v>880</v>
          </cell>
          <cell r="F408">
            <v>0</v>
          </cell>
          <cell r="J408">
            <v>25036</v>
          </cell>
          <cell r="M408">
            <v>0</v>
          </cell>
          <cell r="N408">
            <v>0</v>
          </cell>
          <cell r="O408">
            <v>0</v>
          </cell>
          <cell r="P408">
            <v>0</v>
          </cell>
          <cell r="Z408" t="str">
            <v>20140101LGUM_424</v>
          </cell>
          <cell r="AB408" t="str">
            <v>424</v>
          </cell>
        </row>
        <row r="409">
          <cell r="C409" t="str">
            <v xml:space="preserve">LS </v>
          </cell>
          <cell r="E409">
            <v>42</v>
          </cell>
          <cell r="F409">
            <v>0</v>
          </cell>
          <cell r="J409">
            <v>1429.26</v>
          </cell>
          <cell r="M409">
            <v>0</v>
          </cell>
          <cell r="N409">
            <v>0</v>
          </cell>
          <cell r="O409">
            <v>0</v>
          </cell>
          <cell r="P409">
            <v>0</v>
          </cell>
          <cell r="Z409" t="str">
            <v>20140101LGUM_425</v>
          </cell>
          <cell r="AB409" t="str">
            <v>425</v>
          </cell>
        </row>
        <row r="410">
          <cell r="C410" t="str">
            <v>RLS</v>
          </cell>
          <cell r="E410">
            <v>40</v>
          </cell>
          <cell r="F410">
            <v>0</v>
          </cell>
          <cell r="J410">
            <v>1328.8</v>
          </cell>
          <cell r="M410">
            <v>0</v>
          </cell>
          <cell r="N410">
            <v>0</v>
          </cell>
          <cell r="O410">
            <v>0</v>
          </cell>
          <cell r="P410">
            <v>0</v>
          </cell>
          <cell r="Z410" t="str">
            <v>20140101LGUM_426</v>
          </cell>
          <cell r="AB410" t="str">
            <v>426</v>
          </cell>
        </row>
        <row r="411">
          <cell r="C411" t="str">
            <v xml:space="preserve">LS </v>
          </cell>
          <cell r="E411">
            <v>54</v>
          </cell>
          <cell r="F411">
            <v>0</v>
          </cell>
          <cell r="J411">
            <v>1900.8</v>
          </cell>
          <cell r="M411">
            <v>0</v>
          </cell>
          <cell r="N411">
            <v>0</v>
          </cell>
          <cell r="O411">
            <v>0</v>
          </cell>
          <cell r="P411">
            <v>0</v>
          </cell>
          <cell r="Z411" t="str">
            <v>20140101LGUM_427</v>
          </cell>
          <cell r="AB411" t="str">
            <v>427</v>
          </cell>
        </row>
        <row r="412">
          <cell r="C412" t="str">
            <v>RLS</v>
          </cell>
          <cell r="E412">
            <v>289</v>
          </cell>
          <cell r="F412">
            <v>0</v>
          </cell>
          <cell r="J412">
            <v>9852.01</v>
          </cell>
          <cell r="M412">
            <v>0</v>
          </cell>
          <cell r="N412">
            <v>0</v>
          </cell>
          <cell r="O412">
            <v>0</v>
          </cell>
          <cell r="P412">
            <v>0</v>
          </cell>
          <cell r="Z412" t="str">
            <v>20140101LGUM_428</v>
          </cell>
          <cell r="AB412" t="str">
            <v>428</v>
          </cell>
        </row>
        <row r="413">
          <cell r="C413" t="str">
            <v xml:space="preserve">LS </v>
          </cell>
          <cell r="E413">
            <v>194</v>
          </cell>
          <cell r="F413">
            <v>0</v>
          </cell>
          <cell r="J413">
            <v>6997.58</v>
          </cell>
          <cell r="M413">
            <v>0</v>
          </cell>
          <cell r="N413">
            <v>0</v>
          </cell>
          <cell r="O413">
            <v>0</v>
          </cell>
          <cell r="P413">
            <v>0</v>
          </cell>
          <cell r="Z413" t="str">
            <v>20140101LGUM_429</v>
          </cell>
          <cell r="AB413" t="str">
            <v>429</v>
          </cell>
        </row>
        <row r="414">
          <cell r="C414" t="str">
            <v>RLS</v>
          </cell>
          <cell r="E414">
            <v>25</v>
          </cell>
          <cell r="F414">
            <v>0</v>
          </cell>
          <cell r="J414">
            <v>806.5</v>
          </cell>
          <cell r="M414">
            <v>0</v>
          </cell>
          <cell r="N414">
            <v>0</v>
          </cell>
          <cell r="O414">
            <v>0</v>
          </cell>
          <cell r="P414">
            <v>0</v>
          </cell>
          <cell r="Z414" t="str">
            <v>20140101LGUM_430</v>
          </cell>
          <cell r="AB414" t="str">
            <v>430</v>
          </cell>
        </row>
        <row r="415">
          <cell r="C415" t="str">
            <v xml:space="preserve">LS </v>
          </cell>
          <cell r="E415">
            <v>44</v>
          </cell>
          <cell r="F415">
            <v>0</v>
          </cell>
          <cell r="J415">
            <v>1448.92</v>
          </cell>
          <cell r="M415">
            <v>0</v>
          </cell>
          <cell r="N415">
            <v>0</v>
          </cell>
          <cell r="O415">
            <v>0</v>
          </cell>
          <cell r="P415">
            <v>0</v>
          </cell>
          <cell r="Z415" t="str">
            <v>20140101LGUM_431</v>
          </cell>
          <cell r="AB415" t="str">
            <v>431</v>
          </cell>
        </row>
        <row r="416">
          <cell r="C416" t="str">
            <v>RLS</v>
          </cell>
          <cell r="E416">
            <v>10</v>
          </cell>
          <cell r="F416">
            <v>0</v>
          </cell>
          <cell r="J416">
            <v>343.3</v>
          </cell>
          <cell r="M416">
            <v>0</v>
          </cell>
          <cell r="N416">
            <v>0</v>
          </cell>
          <cell r="O416">
            <v>0</v>
          </cell>
          <cell r="P416">
            <v>0</v>
          </cell>
          <cell r="Z416" t="str">
            <v>20140101LGUM_432</v>
          </cell>
          <cell r="AB416" t="str">
            <v>432</v>
          </cell>
        </row>
        <row r="417">
          <cell r="C417" t="str">
            <v xml:space="preserve">LS </v>
          </cell>
          <cell r="E417">
            <v>192</v>
          </cell>
          <cell r="F417">
            <v>0</v>
          </cell>
          <cell r="J417">
            <v>6718.08</v>
          </cell>
          <cell r="M417">
            <v>0</v>
          </cell>
          <cell r="N417">
            <v>0</v>
          </cell>
          <cell r="O417">
            <v>0</v>
          </cell>
          <cell r="P417">
            <v>0</v>
          </cell>
          <cell r="Z417" t="str">
            <v>20140101LGUM_433</v>
          </cell>
          <cell r="AB417" t="str">
            <v>433</v>
          </cell>
        </row>
        <row r="418">
          <cell r="C418" t="str">
            <v xml:space="preserve">LS </v>
          </cell>
          <cell r="E418">
            <v>0</v>
          </cell>
          <cell r="F418">
            <v>0</v>
          </cell>
          <cell r="J418">
            <v>0</v>
          </cell>
          <cell r="M418">
            <v>0</v>
          </cell>
          <cell r="N418">
            <v>0</v>
          </cell>
          <cell r="O418">
            <v>0</v>
          </cell>
          <cell r="P418">
            <v>0</v>
          </cell>
          <cell r="Z418" t="str">
            <v>20140101LGUM_439</v>
          </cell>
          <cell r="AB418" t="str">
            <v>439</v>
          </cell>
        </row>
        <row r="419">
          <cell r="C419" t="str">
            <v xml:space="preserve">LS </v>
          </cell>
          <cell r="E419">
            <v>2</v>
          </cell>
          <cell r="F419">
            <v>0</v>
          </cell>
          <cell r="J419">
            <v>36.56</v>
          </cell>
          <cell r="M419">
            <v>0</v>
          </cell>
          <cell r="N419">
            <v>0</v>
          </cell>
          <cell r="O419">
            <v>0</v>
          </cell>
          <cell r="P419">
            <v>0</v>
          </cell>
          <cell r="Z419" t="str">
            <v>20140101LGUM_440</v>
          </cell>
          <cell r="AB419" t="str">
            <v>440</v>
          </cell>
        </row>
        <row r="420">
          <cell r="C420" t="str">
            <v xml:space="preserve">LS </v>
          </cell>
          <cell r="E420">
            <v>18</v>
          </cell>
          <cell r="F420">
            <v>0</v>
          </cell>
          <cell r="J420">
            <v>401.76</v>
          </cell>
          <cell r="M420">
            <v>0</v>
          </cell>
          <cell r="N420">
            <v>0</v>
          </cell>
          <cell r="O420">
            <v>0</v>
          </cell>
          <cell r="P420">
            <v>0</v>
          </cell>
          <cell r="Z420" t="str">
            <v>20140101LGUM_441</v>
          </cell>
          <cell r="AB420" t="str">
            <v>441</v>
          </cell>
        </row>
        <row r="421">
          <cell r="C421" t="str">
            <v xml:space="preserve">LS </v>
          </cell>
          <cell r="E421">
            <v>9720</v>
          </cell>
          <cell r="F421">
            <v>0</v>
          </cell>
          <cell r="J421">
            <v>124610.4</v>
          </cell>
          <cell r="M421">
            <v>0</v>
          </cell>
          <cell r="N421">
            <v>0</v>
          </cell>
          <cell r="O421">
            <v>0</v>
          </cell>
          <cell r="P421">
            <v>0</v>
          </cell>
          <cell r="Z421" t="str">
            <v>20140101LGUM_452</v>
          </cell>
          <cell r="AB421" t="str">
            <v>452</v>
          </cell>
        </row>
        <row r="422">
          <cell r="C422" t="str">
            <v xml:space="preserve">LS </v>
          </cell>
          <cell r="E422">
            <v>16566</v>
          </cell>
          <cell r="F422">
            <v>0</v>
          </cell>
          <cell r="J422">
            <v>249815.28</v>
          </cell>
          <cell r="M422">
            <v>0</v>
          </cell>
          <cell r="N422">
            <v>0</v>
          </cell>
          <cell r="O422">
            <v>0</v>
          </cell>
          <cell r="P422">
            <v>0</v>
          </cell>
          <cell r="Z422" t="str">
            <v>20140101LGUM_453</v>
          </cell>
          <cell r="AB422" t="str">
            <v>453</v>
          </cell>
        </row>
        <row r="423">
          <cell r="C423" t="str">
            <v xml:space="preserve">LS </v>
          </cell>
          <cell r="E423">
            <v>7675</v>
          </cell>
          <cell r="F423">
            <v>0</v>
          </cell>
          <cell r="J423">
            <v>133391.5</v>
          </cell>
          <cell r="M423">
            <v>0</v>
          </cell>
          <cell r="N423">
            <v>0</v>
          </cell>
          <cell r="O423">
            <v>0</v>
          </cell>
          <cell r="P423">
            <v>0</v>
          </cell>
          <cell r="Z423" t="str">
            <v>20140101LGUM_454</v>
          </cell>
          <cell r="AB423" t="str">
            <v>454</v>
          </cell>
        </row>
        <row r="424">
          <cell r="C424" t="str">
            <v xml:space="preserve">LS </v>
          </cell>
          <cell r="E424">
            <v>408</v>
          </cell>
          <cell r="F424">
            <v>0</v>
          </cell>
          <cell r="J424">
            <v>5618.16</v>
          </cell>
          <cell r="M424">
            <v>0</v>
          </cell>
          <cell r="N424">
            <v>0</v>
          </cell>
          <cell r="O424">
            <v>0</v>
          </cell>
          <cell r="P424">
            <v>0</v>
          </cell>
          <cell r="Z424" t="str">
            <v>20140101LGUM_455</v>
          </cell>
          <cell r="AB424" t="str">
            <v>455</v>
          </cell>
        </row>
        <row r="425">
          <cell r="C425" t="str">
            <v xml:space="preserve">LS </v>
          </cell>
          <cell r="E425">
            <v>12961</v>
          </cell>
          <cell r="F425">
            <v>0</v>
          </cell>
          <cell r="J425">
            <v>236019.81</v>
          </cell>
          <cell r="M425">
            <v>0</v>
          </cell>
          <cell r="N425">
            <v>0</v>
          </cell>
          <cell r="O425">
            <v>0</v>
          </cell>
          <cell r="P425">
            <v>0</v>
          </cell>
          <cell r="Z425" t="str">
            <v>20140101LGUM_456</v>
          </cell>
          <cell r="AB425" t="str">
            <v>456</v>
          </cell>
        </row>
        <row r="426">
          <cell r="C426" t="str">
            <v xml:space="preserve">LS </v>
          </cell>
          <cell r="E426">
            <v>3363</v>
          </cell>
          <cell r="F426">
            <v>0</v>
          </cell>
          <cell r="J426">
            <v>36522.18</v>
          </cell>
          <cell r="M426">
            <v>0</v>
          </cell>
          <cell r="N426">
            <v>0</v>
          </cell>
          <cell r="O426">
            <v>0</v>
          </cell>
          <cell r="P426">
            <v>0</v>
          </cell>
          <cell r="Z426" t="str">
            <v>20140101LGUM_457</v>
          </cell>
          <cell r="AB426" t="str">
            <v>457</v>
          </cell>
        </row>
        <row r="427">
          <cell r="C427" t="str">
            <v>RLS</v>
          </cell>
          <cell r="E427">
            <v>6</v>
          </cell>
          <cell r="F427">
            <v>0</v>
          </cell>
          <cell r="J427">
            <v>66.78</v>
          </cell>
          <cell r="M427">
            <v>0</v>
          </cell>
          <cell r="N427">
            <v>0</v>
          </cell>
          <cell r="O427">
            <v>0</v>
          </cell>
          <cell r="P427">
            <v>0</v>
          </cell>
          <cell r="Z427" t="str">
            <v>20140101LGUM_458</v>
          </cell>
          <cell r="AB427" t="str">
            <v>458</v>
          </cell>
        </row>
        <row r="428">
          <cell r="C428" t="str">
            <v xml:space="preserve">LS </v>
          </cell>
          <cell r="E428">
            <v>24</v>
          </cell>
          <cell r="F428">
            <v>0</v>
          </cell>
          <cell r="J428">
            <v>306.95999999999998</v>
          </cell>
          <cell r="M428">
            <v>0</v>
          </cell>
          <cell r="N428">
            <v>0</v>
          </cell>
          <cell r="O428">
            <v>0</v>
          </cell>
          <cell r="P428">
            <v>0</v>
          </cell>
          <cell r="Z428" t="str">
            <v>20140101LGUM_470</v>
          </cell>
          <cell r="AB428" t="str">
            <v>470</v>
          </cell>
        </row>
        <row r="429">
          <cell r="C429" t="str">
            <v>RLS</v>
          </cell>
          <cell r="E429">
            <v>2</v>
          </cell>
          <cell r="F429">
            <v>0</v>
          </cell>
          <cell r="J429">
            <v>30.14</v>
          </cell>
          <cell r="M429">
            <v>0</v>
          </cell>
          <cell r="N429">
            <v>0</v>
          </cell>
          <cell r="O429">
            <v>0</v>
          </cell>
          <cell r="P429">
            <v>0</v>
          </cell>
          <cell r="Z429" t="str">
            <v>20140101LGUM_471</v>
          </cell>
          <cell r="AB429" t="str">
            <v>471</v>
          </cell>
        </row>
        <row r="430">
          <cell r="C430" t="str">
            <v xml:space="preserve">LS </v>
          </cell>
          <cell r="E430">
            <v>407</v>
          </cell>
          <cell r="F430">
            <v>0</v>
          </cell>
          <cell r="J430">
            <v>7602.76</v>
          </cell>
          <cell r="M430">
            <v>0</v>
          </cell>
          <cell r="N430">
            <v>0</v>
          </cell>
          <cell r="O430">
            <v>0</v>
          </cell>
          <cell r="P430">
            <v>0</v>
          </cell>
          <cell r="Z430" t="str">
            <v>20140101LGUM_473</v>
          </cell>
          <cell r="AB430" t="str">
            <v>473</v>
          </cell>
        </row>
        <row r="431">
          <cell r="C431" t="str">
            <v>RLS</v>
          </cell>
          <cell r="E431">
            <v>53</v>
          </cell>
          <cell r="F431">
            <v>0</v>
          </cell>
          <cell r="J431">
            <v>1111.4100000000001</v>
          </cell>
          <cell r="M431">
            <v>0</v>
          </cell>
          <cell r="N431">
            <v>0</v>
          </cell>
          <cell r="O431">
            <v>0</v>
          </cell>
          <cell r="P431">
            <v>0</v>
          </cell>
          <cell r="Z431" t="str">
            <v>20140101LGUM_474</v>
          </cell>
          <cell r="AB431" t="str">
            <v>474</v>
          </cell>
        </row>
        <row r="432">
          <cell r="C432" t="str">
            <v>RLS</v>
          </cell>
          <cell r="E432">
            <v>2</v>
          </cell>
          <cell r="F432">
            <v>0</v>
          </cell>
          <cell r="J432">
            <v>56.84</v>
          </cell>
          <cell r="M432">
            <v>0</v>
          </cell>
          <cell r="N432">
            <v>0</v>
          </cell>
          <cell r="O432">
            <v>0</v>
          </cell>
          <cell r="P432">
            <v>0</v>
          </cell>
          <cell r="Z432" t="str">
            <v>20140101LGUM_475</v>
          </cell>
          <cell r="AB432" t="str">
            <v>475</v>
          </cell>
        </row>
        <row r="433">
          <cell r="C433" t="str">
            <v xml:space="preserve">LS </v>
          </cell>
          <cell r="E433">
            <v>398</v>
          </cell>
          <cell r="F433">
            <v>0</v>
          </cell>
          <cell r="J433">
            <v>15760.8</v>
          </cell>
          <cell r="M433">
            <v>0</v>
          </cell>
          <cell r="N433">
            <v>0</v>
          </cell>
          <cell r="O433">
            <v>0</v>
          </cell>
          <cell r="P433">
            <v>0</v>
          </cell>
          <cell r="Z433" t="str">
            <v>20140101LGUM_476</v>
          </cell>
          <cell r="AB433" t="str">
            <v>476</v>
          </cell>
        </row>
        <row r="434">
          <cell r="C434" t="str">
            <v>RLS</v>
          </cell>
          <cell r="E434">
            <v>60</v>
          </cell>
          <cell r="F434">
            <v>0</v>
          </cell>
          <cell r="J434">
            <v>2566.8000000000002</v>
          </cell>
          <cell r="M434">
            <v>0</v>
          </cell>
          <cell r="N434">
            <v>0</v>
          </cell>
          <cell r="O434">
            <v>0</v>
          </cell>
          <cell r="P434">
            <v>0</v>
          </cell>
          <cell r="Z434" t="str">
            <v>20140101LGUM_477</v>
          </cell>
          <cell r="AB434" t="str">
            <v>477</v>
          </cell>
        </row>
        <row r="435">
          <cell r="C435" t="str">
            <v xml:space="preserve">LS </v>
          </cell>
          <cell r="E435">
            <v>0</v>
          </cell>
          <cell r="F435">
            <v>0</v>
          </cell>
          <cell r="J435">
            <v>0</v>
          </cell>
          <cell r="M435">
            <v>0</v>
          </cell>
          <cell r="N435">
            <v>0</v>
          </cell>
          <cell r="O435">
            <v>0</v>
          </cell>
          <cell r="P435">
            <v>0</v>
          </cell>
          <cell r="Z435" t="str">
            <v>20140101LGUM_479</v>
          </cell>
          <cell r="AB435" t="str">
            <v>479</v>
          </cell>
        </row>
        <row r="436">
          <cell r="C436" t="str">
            <v xml:space="preserve">LS </v>
          </cell>
          <cell r="E436">
            <v>18</v>
          </cell>
          <cell r="F436">
            <v>0</v>
          </cell>
          <cell r="J436">
            <v>428.94</v>
          </cell>
          <cell r="M436">
            <v>0</v>
          </cell>
          <cell r="N436">
            <v>0</v>
          </cell>
          <cell r="O436">
            <v>0</v>
          </cell>
          <cell r="P436">
            <v>0</v>
          </cell>
          <cell r="Z436" t="str">
            <v>20140101LGUM_480</v>
          </cell>
          <cell r="AB436" t="str">
            <v>480</v>
          </cell>
        </row>
        <row r="437">
          <cell r="C437" t="str">
            <v xml:space="preserve">LS </v>
          </cell>
          <cell r="E437">
            <v>4</v>
          </cell>
          <cell r="F437">
            <v>0</v>
          </cell>
          <cell r="J437">
            <v>81.84</v>
          </cell>
          <cell r="M437">
            <v>0</v>
          </cell>
          <cell r="N437">
            <v>0</v>
          </cell>
          <cell r="O437">
            <v>0</v>
          </cell>
          <cell r="P437">
            <v>0</v>
          </cell>
          <cell r="Z437" t="str">
            <v>20140101LGUM_481</v>
          </cell>
          <cell r="AB437" t="str">
            <v>481</v>
          </cell>
        </row>
        <row r="438">
          <cell r="C438" t="str">
            <v xml:space="preserve">LS </v>
          </cell>
          <cell r="E438">
            <v>45</v>
          </cell>
          <cell r="F438">
            <v>0</v>
          </cell>
          <cell r="J438">
            <v>1359.45</v>
          </cell>
          <cell r="M438">
            <v>0</v>
          </cell>
          <cell r="N438">
            <v>0</v>
          </cell>
          <cell r="O438">
            <v>0</v>
          </cell>
          <cell r="P438">
            <v>0</v>
          </cell>
          <cell r="Z438" t="str">
            <v>20140101LGUM_482</v>
          </cell>
          <cell r="AB438" t="str">
            <v>482</v>
          </cell>
        </row>
        <row r="439">
          <cell r="C439" t="str">
            <v xml:space="preserve">LS </v>
          </cell>
          <cell r="E439">
            <v>2</v>
          </cell>
          <cell r="F439">
            <v>0</v>
          </cell>
          <cell r="J439">
            <v>85.12</v>
          </cell>
          <cell r="M439">
            <v>0</v>
          </cell>
          <cell r="N439">
            <v>0</v>
          </cell>
          <cell r="O439">
            <v>0</v>
          </cell>
          <cell r="P439">
            <v>0</v>
          </cell>
          <cell r="Z439" t="str">
            <v>20140101LGUM_483</v>
          </cell>
          <cell r="AB439" t="str">
            <v>483</v>
          </cell>
        </row>
        <row r="440">
          <cell r="C440" t="str">
            <v xml:space="preserve">LS </v>
          </cell>
          <cell r="E440">
            <v>13</v>
          </cell>
          <cell r="F440">
            <v>0</v>
          </cell>
          <cell r="J440">
            <v>680.03</v>
          </cell>
          <cell r="M440">
            <v>0</v>
          </cell>
          <cell r="N440">
            <v>0</v>
          </cell>
          <cell r="O440">
            <v>0</v>
          </cell>
          <cell r="P440">
            <v>0</v>
          </cell>
          <cell r="Z440" t="str">
            <v>20140101LGUM_484</v>
          </cell>
          <cell r="AB440" t="str">
            <v>484</v>
          </cell>
        </row>
        <row r="441">
          <cell r="C441" t="str">
            <v>ODL</v>
          </cell>
          <cell r="E441">
            <v>0</v>
          </cell>
          <cell r="F441">
            <v>7911510</v>
          </cell>
          <cell r="J441">
            <v>0</v>
          </cell>
          <cell r="M441">
            <v>11986</v>
          </cell>
          <cell r="N441">
            <v>73018</v>
          </cell>
          <cell r="O441">
            <v>0</v>
          </cell>
          <cell r="P441">
            <v>2016258</v>
          </cell>
          <cell r="Z441" t="str">
            <v>20140101ODL</v>
          </cell>
          <cell r="AB441" t="str">
            <v>ODL</v>
          </cell>
        </row>
        <row r="442">
          <cell r="C442" t="str">
            <v>RLS</v>
          </cell>
          <cell r="E442">
            <v>75</v>
          </cell>
          <cell r="F442">
            <v>0</v>
          </cell>
          <cell r="J442">
            <v>610.5</v>
          </cell>
          <cell r="M442">
            <v>0</v>
          </cell>
          <cell r="N442">
            <v>0</v>
          </cell>
          <cell r="O442">
            <v>0</v>
          </cell>
          <cell r="P442">
            <v>0</v>
          </cell>
          <cell r="Z442" t="str">
            <v>20140101LGUM_201</v>
          </cell>
          <cell r="AB442" t="str">
            <v>201</v>
          </cell>
        </row>
        <row r="443">
          <cell r="C443" t="str">
            <v>RLS</v>
          </cell>
          <cell r="E443">
            <v>3649</v>
          </cell>
          <cell r="F443">
            <v>0</v>
          </cell>
          <cell r="J443">
            <v>39993.040000000001</v>
          </cell>
          <cell r="M443">
            <v>0</v>
          </cell>
          <cell r="N443">
            <v>0</v>
          </cell>
          <cell r="O443">
            <v>0</v>
          </cell>
          <cell r="P443">
            <v>0</v>
          </cell>
          <cell r="Z443" t="str">
            <v>20140101LGUM_203</v>
          </cell>
          <cell r="AB443" t="str">
            <v>203</v>
          </cell>
        </row>
        <row r="444">
          <cell r="C444" t="str">
            <v>RLS</v>
          </cell>
          <cell r="E444">
            <v>3686</v>
          </cell>
          <cell r="F444">
            <v>0</v>
          </cell>
          <cell r="J444">
            <v>49797.86</v>
          </cell>
          <cell r="M444">
            <v>0</v>
          </cell>
          <cell r="N444">
            <v>0</v>
          </cell>
          <cell r="O444">
            <v>0</v>
          </cell>
          <cell r="P444">
            <v>0</v>
          </cell>
          <cell r="Z444" t="str">
            <v>20140101LGUM_204</v>
          </cell>
          <cell r="AB444" t="str">
            <v>204</v>
          </cell>
        </row>
        <row r="445">
          <cell r="C445" t="str">
            <v>RLS</v>
          </cell>
          <cell r="E445">
            <v>92</v>
          </cell>
          <cell r="F445">
            <v>0</v>
          </cell>
          <cell r="J445">
            <v>1145.4000000000001</v>
          </cell>
          <cell r="M445">
            <v>0</v>
          </cell>
          <cell r="N445">
            <v>0</v>
          </cell>
          <cell r="O445">
            <v>0</v>
          </cell>
          <cell r="P445">
            <v>0</v>
          </cell>
          <cell r="Z445" t="str">
            <v>20140101LGUM_206</v>
          </cell>
          <cell r="AB445" t="str">
            <v>206</v>
          </cell>
        </row>
        <row r="446">
          <cell r="C446" t="str">
            <v>RLS</v>
          </cell>
          <cell r="E446">
            <v>744</v>
          </cell>
          <cell r="F446">
            <v>0</v>
          </cell>
          <cell r="J446">
            <v>11561.76</v>
          </cell>
          <cell r="M446">
            <v>0</v>
          </cell>
          <cell r="N446">
            <v>0</v>
          </cell>
          <cell r="O446">
            <v>0</v>
          </cell>
          <cell r="P446">
            <v>0</v>
          </cell>
          <cell r="Z446" t="str">
            <v>20140101LGUM_207</v>
          </cell>
          <cell r="AB446" t="str">
            <v>207</v>
          </cell>
        </row>
        <row r="447">
          <cell r="C447" t="str">
            <v>RLS</v>
          </cell>
          <cell r="E447">
            <v>1387</v>
          </cell>
          <cell r="F447">
            <v>0</v>
          </cell>
          <cell r="J447">
            <v>19750.88</v>
          </cell>
          <cell r="M447">
            <v>0</v>
          </cell>
          <cell r="N447">
            <v>0</v>
          </cell>
          <cell r="O447">
            <v>0</v>
          </cell>
          <cell r="P447">
            <v>0</v>
          </cell>
          <cell r="Z447" t="str">
            <v>20140101LGUM_208</v>
          </cell>
          <cell r="AB447" t="str">
            <v>208</v>
          </cell>
        </row>
        <row r="448">
          <cell r="C448" t="str">
            <v>RLS</v>
          </cell>
          <cell r="E448">
            <v>43</v>
          </cell>
          <cell r="F448">
            <v>0</v>
          </cell>
          <cell r="J448">
            <v>1190.67</v>
          </cell>
          <cell r="M448">
            <v>0</v>
          </cell>
          <cell r="N448">
            <v>0</v>
          </cell>
          <cell r="O448">
            <v>0</v>
          </cell>
          <cell r="P448">
            <v>0</v>
          </cell>
          <cell r="Z448" t="str">
            <v>20140101LGUM_209</v>
          </cell>
          <cell r="AB448" t="str">
            <v>209</v>
          </cell>
        </row>
        <row r="449">
          <cell r="C449" t="str">
            <v>RLS</v>
          </cell>
          <cell r="E449">
            <v>329</v>
          </cell>
          <cell r="F449">
            <v>0</v>
          </cell>
          <cell r="J449">
            <v>9504.81</v>
          </cell>
          <cell r="M449">
            <v>0</v>
          </cell>
          <cell r="N449">
            <v>0</v>
          </cell>
          <cell r="O449">
            <v>0</v>
          </cell>
          <cell r="P449">
            <v>0</v>
          </cell>
          <cell r="Z449" t="str">
            <v>20140101LGUM_210</v>
          </cell>
          <cell r="AB449" t="str">
            <v>210</v>
          </cell>
        </row>
        <row r="450">
          <cell r="C450" t="str">
            <v>RLS</v>
          </cell>
          <cell r="E450">
            <v>3911</v>
          </cell>
          <cell r="F450">
            <v>0</v>
          </cell>
          <cell r="J450">
            <v>37428.269999999997</v>
          </cell>
          <cell r="M450">
            <v>0</v>
          </cell>
          <cell r="N450">
            <v>0</v>
          </cell>
          <cell r="O450">
            <v>0</v>
          </cell>
          <cell r="P450">
            <v>0</v>
          </cell>
          <cell r="Z450" t="str">
            <v>20140101LGUM_252</v>
          </cell>
          <cell r="AB450" t="str">
            <v>252</v>
          </cell>
        </row>
        <row r="451">
          <cell r="C451" t="str">
            <v>RLS</v>
          </cell>
          <cell r="E451">
            <v>2037</v>
          </cell>
          <cell r="F451">
            <v>0</v>
          </cell>
          <cell r="J451">
            <v>55691.58</v>
          </cell>
          <cell r="M451">
            <v>0</v>
          </cell>
          <cell r="N451">
            <v>0</v>
          </cell>
          <cell r="O451">
            <v>0</v>
          </cell>
          <cell r="P451">
            <v>0</v>
          </cell>
          <cell r="Z451" t="str">
            <v>20140101LGUM_266</v>
          </cell>
          <cell r="AB451" t="str">
            <v>266</v>
          </cell>
        </row>
        <row r="452">
          <cell r="C452" t="str">
            <v>RLS</v>
          </cell>
          <cell r="E452">
            <v>2275</v>
          </cell>
          <cell r="F452">
            <v>0</v>
          </cell>
          <cell r="J452">
            <v>71435</v>
          </cell>
          <cell r="M452">
            <v>0</v>
          </cell>
          <cell r="N452">
            <v>0</v>
          </cell>
          <cell r="O452">
            <v>0</v>
          </cell>
          <cell r="P452">
            <v>0</v>
          </cell>
          <cell r="Z452" t="str">
            <v>20140101LGUM_267</v>
          </cell>
          <cell r="AB452" t="str">
            <v>267</v>
          </cell>
        </row>
        <row r="453">
          <cell r="C453" t="str">
            <v>RLS</v>
          </cell>
          <cell r="E453">
            <v>16749</v>
          </cell>
          <cell r="F453">
            <v>0</v>
          </cell>
          <cell r="J453">
            <v>287915.31</v>
          </cell>
          <cell r="M453">
            <v>0</v>
          </cell>
          <cell r="N453">
            <v>0</v>
          </cell>
          <cell r="O453">
            <v>0</v>
          </cell>
          <cell r="P453">
            <v>0</v>
          </cell>
          <cell r="Z453" t="str">
            <v>20140101LGUM_274</v>
          </cell>
          <cell r="AB453" t="str">
            <v>274</v>
          </cell>
        </row>
        <row r="454">
          <cell r="C454" t="str">
            <v>RLS</v>
          </cell>
          <cell r="E454">
            <v>516</v>
          </cell>
          <cell r="F454">
            <v>0</v>
          </cell>
          <cell r="J454">
            <v>12843.24</v>
          </cell>
          <cell r="M454">
            <v>0</v>
          </cell>
          <cell r="N454">
            <v>0</v>
          </cell>
          <cell r="O454">
            <v>0</v>
          </cell>
          <cell r="P454">
            <v>0</v>
          </cell>
          <cell r="Z454" t="str">
            <v>20140101LGUM_275</v>
          </cell>
          <cell r="AB454" t="str">
            <v>275</v>
          </cell>
        </row>
        <row r="455">
          <cell r="C455" t="str">
            <v>RLS</v>
          </cell>
          <cell r="E455">
            <v>1321</v>
          </cell>
          <cell r="F455">
            <v>0</v>
          </cell>
          <cell r="J455">
            <v>18718.57</v>
          </cell>
          <cell r="M455">
            <v>0</v>
          </cell>
          <cell r="N455">
            <v>0</v>
          </cell>
          <cell r="O455">
            <v>0</v>
          </cell>
          <cell r="P455">
            <v>0</v>
          </cell>
          <cell r="Z455" t="str">
            <v>20140101LGUM_276</v>
          </cell>
          <cell r="AB455" t="str">
            <v>276</v>
          </cell>
        </row>
        <row r="456">
          <cell r="C456" t="str">
            <v>RLS</v>
          </cell>
          <cell r="E456">
            <v>2292</v>
          </cell>
          <cell r="F456">
            <v>0</v>
          </cell>
          <cell r="J456">
            <v>50767.8</v>
          </cell>
          <cell r="M456">
            <v>0</v>
          </cell>
          <cell r="N456">
            <v>0</v>
          </cell>
          <cell r="O456">
            <v>0</v>
          </cell>
          <cell r="P456">
            <v>0</v>
          </cell>
          <cell r="Z456" t="str">
            <v>20140101LGUM_277</v>
          </cell>
          <cell r="AB456" t="str">
            <v>277</v>
          </cell>
        </row>
        <row r="457">
          <cell r="C457" t="str">
            <v>RLS</v>
          </cell>
          <cell r="E457">
            <v>17</v>
          </cell>
          <cell r="F457">
            <v>0</v>
          </cell>
          <cell r="J457">
            <v>1233.3499999999999</v>
          </cell>
          <cell r="M457">
            <v>0</v>
          </cell>
          <cell r="N457">
            <v>0</v>
          </cell>
          <cell r="O457">
            <v>0</v>
          </cell>
          <cell r="P457">
            <v>0</v>
          </cell>
          <cell r="Z457" t="str">
            <v>20140101LGUM_278</v>
          </cell>
          <cell r="AB457" t="str">
            <v>278</v>
          </cell>
        </row>
        <row r="458">
          <cell r="C458" t="str">
            <v>RLS</v>
          </cell>
          <cell r="E458">
            <v>11</v>
          </cell>
          <cell r="F458">
            <v>0</v>
          </cell>
          <cell r="J458">
            <v>455.73</v>
          </cell>
          <cell r="M458">
            <v>0</v>
          </cell>
          <cell r="N458">
            <v>0</v>
          </cell>
          <cell r="O458">
            <v>0</v>
          </cell>
          <cell r="P458">
            <v>0</v>
          </cell>
          <cell r="Z458" t="str">
            <v>20140101LGUM_279</v>
          </cell>
          <cell r="AB458" t="str">
            <v>279</v>
          </cell>
        </row>
        <row r="459">
          <cell r="C459" t="str">
            <v>RLS</v>
          </cell>
          <cell r="E459">
            <v>45</v>
          </cell>
          <cell r="F459">
            <v>0</v>
          </cell>
          <cell r="J459">
            <v>872.1</v>
          </cell>
          <cell r="M459">
            <v>0</v>
          </cell>
          <cell r="N459">
            <v>0</v>
          </cell>
          <cell r="O459">
            <v>0</v>
          </cell>
          <cell r="P459">
            <v>0</v>
          </cell>
          <cell r="Z459" t="str">
            <v>20140101LGUM_280</v>
          </cell>
          <cell r="AB459" t="str">
            <v>280</v>
          </cell>
        </row>
        <row r="460">
          <cell r="C460" t="str">
            <v>RLS</v>
          </cell>
          <cell r="E460">
            <v>239</v>
          </cell>
          <cell r="F460">
            <v>0</v>
          </cell>
          <cell r="J460">
            <v>4863.6499999999996</v>
          </cell>
          <cell r="M460">
            <v>0</v>
          </cell>
          <cell r="N460">
            <v>0</v>
          </cell>
          <cell r="O460">
            <v>0</v>
          </cell>
          <cell r="P460">
            <v>0</v>
          </cell>
          <cell r="Z460" t="str">
            <v>20140101LGUM_281</v>
          </cell>
          <cell r="AB460" t="str">
            <v>281</v>
          </cell>
        </row>
        <row r="461">
          <cell r="C461" t="str">
            <v>RLS</v>
          </cell>
          <cell r="E461">
            <v>103</v>
          </cell>
          <cell r="F461">
            <v>0</v>
          </cell>
          <cell r="J461">
            <v>2011.59</v>
          </cell>
          <cell r="M461">
            <v>0</v>
          </cell>
          <cell r="N461">
            <v>0</v>
          </cell>
          <cell r="O461">
            <v>0</v>
          </cell>
          <cell r="P461">
            <v>0</v>
          </cell>
          <cell r="Z461" t="str">
            <v>20140101LGUM_282</v>
          </cell>
          <cell r="AB461" t="str">
            <v>282</v>
          </cell>
        </row>
        <row r="462">
          <cell r="C462" t="str">
            <v>RLS</v>
          </cell>
          <cell r="E462">
            <v>80</v>
          </cell>
          <cell r="F462">
            <v>0</v>
          </cell>
          <cell r="J462">
            <v>1665.6</v>
          </cell>
          <cell r="M462">
            <v>0</v>
          </cell>
          <cell r="N462">
            <v>0</v>
          </cell>
          <cell r="O462">
            <v>0</v>
          </cell>
          <cell r="P462">
            <v>0</v>
          </cell>
          <cell r="Z462" t="str">
            <v>20140101LGUM_283</v>
          </cell>
          <cell r="AB462" t="str">
            <v>283</v>
          </cell>
        </row>
        <row r="463">
          <cell r="C463" t="str">
            <v>RLS</v>
          </cell>
          <cell r="E463">
            <v>512</v>
          </cell>
          <cell r="F463">
            <v>0</v>
          </cell>
          <cell r="J463">
            <v>9830.4</v>
          </cell>
          <cell r="M463">
            <v>0</v>
          </cell>
          <cell r="N463">
            <v>0</v>
          </cell>
          <cell r="O463">
            <v>0</v>
          </cell>
          <cell r="P463">
            <v>0</v>
          </cell>
          <cell r="Z463" t="str">
            <v>20140101LGUM_314</v>
          </cell>
          <cell r="AB463" t="str">
            <v>314</v>
          </cell>
        </row>
        <row r="464">
          <cell r="C464" t="str">
            <v>RLS</v>
          </cell>
          <cell r="E464">
            <v>497</v>
          </cell>
          <cell r="F464">
            <v>0</v>
          </cell>
          <cell r="J464">
            <v>11406.15</v>
          </cell>
          <cell r="M464">
            <v>0</v>
          </cell>
          <cell r="N464">
            <v>0</v>
          </cell>
          <cell r="O464">
            <v>0</v>
          </cell>
          <cell r="P464">
            <v>0</v>
          </cell>
          <cell r="Z464" t="str">
            <v>20140101LGUM_315</v>
          </cell>
          <cell r="AB464" t="str">
            <v>315</v>
          </cell>
        </row>
        <row r="465">
          <cell r="C465" t="str">
            <v>RLS</v>
          </cell>
          <cell r="E465">
            <v>53</v>
          </cell>
          <cell r="F465">
            <v>0</v>
          </cell>
          <cell r="J465">
            <v>923.26</v>
          </cell>
          <cell r="M465">
            <v>0</v>
          </cell>
          <cell r="N465">
            <v>0</v>
          </cell>
          <cell r="O465">
            <v>0</v>
          </cell>
          <cell r="P465">
            <v>0</v>
          </cell>
          <cell r="Z465" t="str">
            <v>20140101LGUM_318</v>
          </cell>
          <cell r="AB465" t="str">
            <v>318</v>
          </cell>
        </row>
        <row r="466">
          <cell r="C466" t="str">
            <v>RLS</v>
          </cell>
          <cell r="E466">
            <v>0</v>
          </cell>
          <cell r="F466">
            <v>0</v>
          </cell>
          <cell r="J466">
            <v>0</v>
          </cell>
          <cell r="M466">
            <v>0</v>
          </cell>
          <cell r="N466">
            <v>0</v>
          </cell>
          <cell r="O466">
            <v>0</v>
          </cell>
          <cell r="P466">
            <v>0</v>
          </cell>
          <cell r="Z466" t="str">
            <v>20140101LGUM_347</v>
          </cell>
          <cell r="AB466" t="str">
            <v>347</v>
          </cell>
        </row>
        <row r="467">
          <cell r="C467" t="str">
            <v>RLS</v>
          </cell>
          <cell r="E467">
            <v>39</v>
          </cell>
          <cell r="F467">
            <v>0</v>
          </cell>
          <cell r="J467">
            <v>511.68</v>
          </cell>
          <cell r="M467">
            <v>0</v>
          </cell>
          <cell r="N467">
            <v>0</v>
          </cell>
          <cell r="O467">
            <v>0</v>
          </cell>
          <cell r="P467">
            <v>0</v>
          </cell>
          <cell r="Z467" t="str">
            <v>20140101LGUM_348</v>
          </cell>
          <cell r="AB467" t="str">
            <v>348</v>
          </cell>
        </row>
        <row r="468">
          <cell r="C468" t="str">
            <v>RLS</v>
          </cell>
          <cell r="E468">
            <v>17</v>
          </cell>
          <cell r="F468">
            <v>0</v>
          </cell>
          <cell r="J468">
            <v>153.34</v>
          </cell>
          <cell r="M468">
            <v>0</v>
          </cell>
          <cell r="N468">
            <v>0</v>
          </cell>
          <cell r="O468">
            <v>0</v>
          </cell>
          <cell r="P468">
            <v>0</v>
          </cell>
          <cell r="Z468" t="str">
            <v>20140101LGUM_349</v>
          </cell>
          <cell r="AB468" t="str">
            <v>349</v>
          </cell>
        </row>
        <row r="469">
          <cell r="C469" t="str">
            <v xml:space="preserve">LS </v>
          </cell>
          <cell r="E469">
            <v>35</v>
          </cell>
          <cell r="F469">
            <v>0</v>
          </cell>
          <cell r="J469">
            <v>836.15</v>
          </cell>
          <cell r="M469">
            <v>0</v>
          </cell>
          <cell r="N469">
            <v>0</v>
          </cell>
          <cell r="O469">
            <v>0</v>
          </cell>
          <cell r="P469">
            <v>0</v>
          </cell>
          <cell r="Z469" t="str">
            <v>20140101LGUM_400</v>
          </cell>
          <cell r="AB469" t="str">
            <v>400</v>
          </cell>
        </row>
        <row r="470">
          <cell r="C470" t="str">
            <v xml:space="preserve">LS </v>
          </cell>
          <cell r="E470">
            <v>4</v>
          </cell>
          <cell r="F470">
            <v>0</v>
          </cell>
          <cell r="J470">
            <v>99.6</v>
          </cell>
          <cell r="M470">
            <v>0</v>
          </cell>
          <cell r="N470">
            <v>0</v>
          </cell>
          <cell r="O470">
            <v>0</v>
          </cell>
          <cell r="P470">
            <v>0</v>
          </cell>
          <cell r="Z470" t="str">
            <v>20140101LGUM_401</v>
          </cell>
          <cell r="AB470" t="str">
            <v>401</v>
          </cell>
        </row>
        <row r="471">
          <cell r="C471" t="str">
            <v xml:space="preserve">LS </v>
          </cell>
          <cell r="E471">
            <v>219</v>
          </cell>
          <cell r="F471">
            <v>0</v>
          </cell>
          <cell r="J471">
            <v>4334.01</v>
          </cell>
          <cell r="M471">
            <v>0</v>
          </cell>
          <cell r="N471">
            <v>0</v>
          </cell>
          <cell r="O471">
            <v>0</v>
          </cell>
          <cell r="P471">
            <v>0</v>
          </cell>
          <cell r="Z471" t="str">
            <v>20140101LGUM_412</v>
          </cell>
          <cell r="AB471" t="str">
            <v>412</v>
          </cell>
        </row>
        <row r="472">
          <cell r="C472" t="str">
            <v xml:space="preserve">LS </v>
          </cell>
          <cell r="E472">
            <v>2088</v>
          </cell>
          <cell r="F472">
            <v>0</v>
          </cell>
          <cell r="J472">
            <v>42783.12</v>
          </cell>
          <cell r="M472">
            <v>0</v>
          </cell>
          <cell r="N472">
            <v>0</v>
          </cell>
          <cell r="O472">
            <v>0</v>
          </cell>
          <cell r="P472">
            <v>0</v>
          </cell>
          <cell r="Z472" t="str">
            <v>20140101LGUM_413</v>
          </cell>
          <cell r="AB472" t="str">
            <v>413</v>
          </cell>
        </row>
        <row r="473">
          <cell r="C473" t="str">
            <v xml:space="preserve">LS </v>
          </cell>
          <cell r="E473">
            <v>37</v>
          </cell>
          <cell r="F473">
            <v>0</v>
          </cell>
          <cell r="J473">
            <v>746.66</v>
          </cell>
          <cell r="M473">
            <v>0</v>
          </cell>
          <cell r="N473">
            <v>0</v>
          </cell>
          <cell r="O473">
            <v>0</v>
          </cell>
          <cell r="P473">
            <v>0</v>
          </cell>
          <cell r="Z473" t="str">
            <v>20140101LGUM_415</v>
          </cell>
          <cell r="AB473" t="str">
            <v>415</v>
          </cell>
        </row>
        <row r="474">
          <cell r="C474" t="str">
            <v xml:space="preserve">LS </v>
          </cell>
          <cell r="E474">
            <v>1835</v>
          </cell>
          <cell r="F474">
            <v>0</v>
          </cell>
          <cell r="J474">
            <v>41397.599999999999</v>
          </cell>
          <cell r="M474">
            <v>0</v>
          </cell>
          <cell r="N474">
            <v>0</v>
          </cell>
          <cell r="O474">
            <v>0</v>
          </cell>
          <cell r="P474">
            <v>0</v>
          </cell>
          <cell r="Z474" t="str">
            <v>20140101LGUM_416</v>
          </cell>
          <cell r="AB474" t="str">
            <v>416</v>
          </cell>
        </row>
        <row r="475">
          <cell r="C475" t="str">
            <v>RLS</v>
          </cell>
          <cell r="E475">
            <v>39</v>
          </cell>
          <cell r="F475">
            <v>0</v>
          </cell>
          <cell r="J475">
            <v>923.52</v>
          </cell>
          <cell r="M475">
            <v>0</v>
          </cell>
          <cell r="N475">
            <v>0</v>
          </cell>
          <cell r="O475">
            <v>0</v>
          </cell>
          <cell r="P475">
            <v>0</v>
          </cell>
          <cell r="Z475" t="str">
            <v>20140101LGUM_417</v>
          </cell>
          <cell r="AB475" t="str">
            <v>417</v>
          </cell>
        </row>
        <row r="476">
          <cell r="C476" t="str">
            <v>RLS</v>
          </cell>
          <cell r="E476">
            <v>110</v>
          </cell>
          <cell r="F476">
            <v>0</v>
          </cell>
          <cell r="J476">
            <v>2724.7</v>
          </cell>
          <cell r="M476">
            <v>0</v>
          </cell>
          <cell r="N476">
            <v>0</v>
          </cell>
          <cell r="O476">
            <v>0</v>
          </cell>
          <cell r="P476">
            <v>0</v>
          </cell>
          <cell r="Z476" t="str">
            <v>20140101LGUM_419</v>
          </cell>
          <cell r="AB476" t="str">
            <v>419</v>
          </cell>
        </row>
        <row r="477">
          <cell r="C477" t="str">
            <v xml:space="preserve">LS </v>
          </cell>
          <cell r="E477">
            <v>53</v>
          </cell>
          <cell r="F477">
            <v>0</v>
          </cell>
          <cell r="J477">
            <v>1584.17</v>
          </cell>
          <cell r="M477">
            <v>0</v>
          </cell>
          <cell r="N477">
            <v>0</v>
          </cell>
          <cell r="O477">
            <v>0</v>
          </cell>
          <cell r="P477">
            <v>0</v>
          </cell>
          <cell r="Z477" t="str">
            <v>20140101LGUM_420</v>
          </cell>
          <cell r="AB477" t="str">
            <v>420</v>
          </cell>
        </row>
        <row r="478">
          <cell r="C478" t="str">
            <v xml:space="preserve">LS </v>
          </cell>
          <cell r="E478">
            <v>173</v>
          </cell>
          <cell r="F478">
            <v>0</v>
          </cell>
          <cell r="J478">
            <v>5684.78</v>
          </cell>
          <cell r="M478">
            <v>0</v>
          </cell>
          <cell r="N478">
            <v>0</v>
          </cell>
          <cell r="O478">
            <v>0</v>
          </cell>
          <cell r="P478">
            <v>0</v>
          </cell>
          <cell r="Z478" t="str">
            <v>20140101LGUM_421</v>
          </cell>
          <cell r="AB478" t="str">
            <v>421</v>
          </cell>
        </row>
        <row r="479">
          <cell r="C479" t="str">
            <v xml:space="preserve">LS </v>
          </cell>
          <cell r="E479">
            <v>388</v>
          </cell>
          <cell r="F479">
            <v>0</v>
          </cell>
          <cell r="J479">
            <v>14895.32</v>
          </cell>
          <cell r="M479">
            <v>0</v>
          </cell>
          <cell r="N479">
            <v>0</v>
          </cell>
          <cell r="O479">
            <v>0</v>
          </cell>
          <cell r="P479">
            <v>0</v>
          </cell>
          <cell r="Z479" t="str">
            <v>20140101LGUM_422</v>
          </cell>
          <cell r="AB479" t="str">
            <v>422</v>
          </cell>
        </row>
        <row r="480">
          <cell r="C480" t="str">
            <v xml:space="preserve">LS </v>
          </cell>
          <cell r="E480">
            <v>21</v>
          </cell>
          <cell r="F480">
            <v>0</v>
          </cell>
          <cell r="J480">
            <v>553.35</v>
          </cell>
          <cell r="M480">
            <v>0</v>
          </cell>
          <cell r="N480">
            <v>0</v>
          </cell>
          <cell r="O480">
            <v>0</v>
          </cell>
          <cell r="P480">
            <v>0</v>
          </cell>
          <cell r="Z480" t="str">
            <v>20140101LGUM_423</v>
          </cell>
          <cell r="AB480" t="str">
            <v>423</v>
          </cell>
        </row>
        <row r="481">
          <cell r="C481" t="str">
            <v xml:space="preserve">LS </v>
          </cell>
          <cell r="E481">
            <v>448</v>
          </cell>
          <cell r="F481">
            <v>0</v>
          </cell>
          <cell r="J481">
            <v>12745.6</v>
          </cell>
          <cell r="M481">
            <v>0</v>
          </cell>
          <cell r="N481">
            <v>0</v>
          </cell>
          <cell r="O481">
            <v>0</v>
          </cell>
          <cell r="P481">
            <v>0</v>
          </cell>
          <cell r="Z481" t="str">
            <v>20140101LGUM_424</v>
          </cell>
          <cell r="AB481" t="str">
            <v>424</v>
          </cell>
        </row>
        <row r="482">
          <cell r="C482" t="str">
            <v xml:space="preserve">LS </v>
          </cell>
          <cell r="E482">
            <v>34</v>
          </cell>
          <cell r="F482">
            <v>0</v>
          </cell>
          <cell r="J482">
            <v>1157.02</v>
          </cell>
          <cell r="M482">
            <v>0</v>
          </cell>
          <cell r="N482">
            <v>0</v>
          </cell>
          <cell r="O482">
            <v>0</v>
          </cell>
          <cell r="P482">
            <v>0</v>
          </cell>
          <cell r="Z482" t="str">
            <v>20140101LGUM_425</v>
          </cell>
          <cell r="AB482" t="str">
            <v>425</v>
          </cell>
        </row>
        <row r="483">
          <cell r="C483" t="str">
            <v>RLS</v>
          </cell>
          <cell r="E483">
            <v>40</v>
          </cell>
          <cell r="F483">
            <v>0</v>
          </cell>
          <cell r="J483">
            <v>1328.8</v>
          </cell>
          <cell r="M483">
            <v>0</v>
          </cell>
          <cell r="N483">
            <v>0</v>
          </cell>
          <cell r="O483">
            <v>0</v>
          </cell>
          <cell r="P483">
            <v>0</v>
          </cell>
          <cell r="Z483" t="str">
            <v>20140101LGUM_426</v>
          </cell>
          <cell r="AB483" t="str">
            <v>426</v>
          </cell>
        </row>
        <row r="484">
          <cell r="C484" t="str">
            <v xml:space="preserve">LS </v>
          </cell>
          <cell r="E484">
            <v>52</v>
          </cell>
          <cell r="F484">
            <v>0</v>
          </cell>
          <cell r="J484">
            <v>1830.4</v>
          </cell>
          <cell r="M484">
            <v>0</v>
          </cell>
          <cell r="N484">
            <v>0</v>
          </cell>
          <cell r="O484">
            <v>0</v>
          </cell>
          <cell r="P484">
            <v>0</v>
          </cell>
          <cell r="Z484" t="str">
            <v>20140101LGUM_427</v>
          </cell>
          <cell r="AB484" t="str">
            <v>427</v>
          </cell>
        </row>
        <row r="485">
          <cell r="C485" t="str">
            <v>RLS</v>
          </cell>
          <cell r="E485">
            <v>216</v>
          </cell>
          <cell r="F485">
            <v>0</v>
          </cell>
          <cell r="J485">
            <v>7363.44</v>
          </cell>
          <cell r="M485">
            <v>0</v>
          </cell>
          <cell r="N485">
            <v>0</v>
          </cell>
          <cell r="O485">
            <v>0</v>
          </cell>
          <cell r="P485">
            <v>0</v>
          </cell>
          <cell r="Z485" t="str">
            <v>20140101LGUM_428</v>
          </cell>
          <cell r="AB485" t="str">
            <v>428</v>
          </cell>
        </row>
        <row r="486">
          <cell r="C486" t="str">
            <v xml:space="preserve">LS </v>
          </cell>
          <cell r="E486">
            <v>193</v>
          </cell>
          <cell r="F486">
            <v>0</v>
          </cell>
          <cell r="J486">
            <v>6961.51</v>
          </cell>
          <cell r="M486">
            <v>0</v>
          </cell>
          <cell r="N486">
            <v>0</v>
          </cell>
          <cell r="O486">
            <v>0</v>
          </cell>
          <cell r="P486">
            <v>0</v>
          </cell>
          <cell r="Z486" t="str">
            <v>20140101LGUM_429</v>
          </cell>
          <cell r="AB486" t="str">
            <v>429</v>
          </cell>
        </row>
        <row r="487">
          <cell r="C487" t="str">
            <v>RLS</v>
          </cell>
          <cell r="E487">
            <v>13</v>
          </cell>
          <cell r="F487">
            <v>0</v>
          </cell>
          <cell r="J487">
            <v>419.38</v>
          </cell>
          <cell r="M487">
            <v>0</v>
          </cell>
          <cell r="N487">
            <v>0</v>
          </cell>
          <cell r="O487">
            <v>0</v>
          </cell>
          <cell r="P487">
            <v>0</v>
          </cell>
          <cell r="Z487" t="str">
            <v>20140101LGUM_430</v>
          </cell>
          <cell r="AB487" t="str">
            <v>430</v>
          </cell>
        </row>
        <row r="488">
          <cell r="C488" t="str">
            <v xml:space="preserve">LS </v>
          </cell>
          <cell r="E488">
            <v>44</v>
          </cell>
          <cell r="F488">
            <v>0</v>
          </cell>
          <cell r="J488">
            <v>1448.92</v>
          </cell>
          <cell r="M488">
            <v>0</v>
          </cell>
          <cell r="N488">
            <v>0</v>
          </cell>
          <cell r="O488">
            <v>0</v>
          </cell>
          <cell r="P488">
            <v>0</v>
          </cell>
          <cell r="Z488" t="str">
            <v>20140101LGUM_431</v>
          </cell>
          <cell r="AB488" t="str">
            <v>431</v>
          </cell>
        </row>
        <row r="489">
          <cell r="C489" t="str">
            <v>RLS</v>
          </cell>
          <cell r="E489">
            <v>10</v>
          </cell>
          <cell r="F489">
            <v>0</v>
          </cell>
          <cell r="J489">
            <v>343.3</v>
          </cell>
          <cell r="M489">
            <v>0</v>
          </cell>
          <cell r="N489">
            <v>0</v>
          </cell>
          <cell r="O489">
            <v>0</v>
          </cell>
          <cell r="P489">
            <v>0</v>
          </cell>
          <cell r="Z489" t="str">
            <v>20140101LGUM_432</v>
          </cell>
          <cell r="AB489" t="str">
            <v>432</v>
          </cell>
        </row>
        <row r="490">
          <cell r="C490" t="str">
            <v xml:space="preserve">LS </v>
          </cell>
          <cell r="E490">
            <v>191</v>
          </cell>
          <cell r="F490">
            <v>0</v>
          </cell>
          <cell r="J490">
            <v>6683.09</v>
          </cell>
          <cell r="M490">
            <v>0</v>
          </cell>
          <cell r="N490">
            <v>0</v>
          </cell>
          <cell r="O490">
            <v>0</v>
          </cell>
          <cell r="P490">
            <v>0</v>
          </cell>
          <cell r="Z490" t="str">
            <v>20140101LGUM_433</v>
          </cell>
          <cell r="AB490" t="str">
            <v>433</v>
          </cell>
        </row>
        <row r="491">
          <cell r="C491" t="str">
            <v xml:space="preserve">LS </v>
          </cell>
          <cell r="E491">
            <v>0</v>
          </cell>
          <cell r="F491">
            <v>0</v>
          </cell>
          <cell r="J491">
            <v>0</v>
          </cell>
          <cell r="M491">
            <v>0</v>
          </cell>
          <cell r="N491">
            <v>0</v>
          </cell>
          <cell r="O491">
            <v>0</v>
          </cell>
          <cell r="P491">
            <v>0</v>
          </cell>
          <cell r="Z491" t="str">
            <v>20140101LGUM_439</v>
          </cell>
          <cell r="AB491" t="str">
            <v>439</v>
          </cell>
        </row>
        <row r="492">
          <cell r="C492" t="str">
            <v xml:space="preserve">LS </v>
          </cell>
          <cell r="E492">
            <v>2</v>
          </cell>
          <cell r="F492">
            <v>0</v>
          </cell>
          <cell r="J492">
            <v>36.56</v>
          </cell>
          <cell r="M492">
            <v>0</v>
          </cell>
          <cell r="N492">
            <v>0</v>
          </cell>
          <cell r="O492">
            <v>0</v>
          </cell>
          <cell r="P492">
            <v>0</v>
          </cell>
          <cell r="Z492" t="str">
            <v>20140101LGUM_440</v>
          </cell>
          <cell r="AB492" t="str">
            <v>440</v>
          </cell>
        </row>
        <row r="493">
          <cell r="C493" t="str">
            <v xml:space="preserve">LS </v>
          </cell>
          <cell r="E493">
            <v>17</v>
          </cell>
          <cell r="F493">
            <v>0</v>
          </cell>
          <cell r="J493">
            <v>379.44</v>
          </cell>
          <cell r="M493">
            <v>0</v>
          </cell>
          <cell r="N493">
            <v>0</v>
          </cell>
          <cell r="O493">
            <v>0</v>
          </cell>
          <cell r="P493">
            <v>0</v>
          </cell>
          <cell r="Z493" t="str">
            <v>20140101LGUM_441</v>
          </cell>
          <cell r="AB493" t="str">
            <v>441</v>
          </cell>
        </row>
        <row r="494">
          <cell r="C494" t="str">
            <v xml:space="preserve">LS </v>
          </cell>
          <cell r="E494">
            <v>6446</v>
          </cell>
          <cell r="F494">
            <v>0</v>
          </cell>
          <cell r="J494">
            <v>82637.72</v>
          </cell>
          <cell r="M494">
            <v>0</v>
          </cell>
          <cell r="N494">
            <v>0</v>
          </cell>
          <cell r="O494">
            <v>0</v>
          </cell>
          <cell r="P494">
            <v>0</v>
          </cell>
          <cell r="Z494" t="str">
            <v>20140101LGUM_452</v>
          </cell>
          <cell r="AB494" t="str">
            <v>452</v>
          </cell>
        </row>
        <row r="495">
          <cell r="C495" t="str">
            <v xml:space="preserve">LS </v>
          </cell>
          <cell r="E495">
            <v>9193</v>
          </cell>
          <cell r="F495">
            <v>0</v>
          </cell>
          <cell r="J495">
            <v>138630.44</v>
          </cell>
          <cell r="M495">
            <v>0</v>
          </cell>
          <cell r="N495">
            <v>0</v>
          </cell>
          <cell r="O495">
            <v>0</v>
          </cell>
          <cell r="P495">
            <v>0</v>
          </cell>
          <cell r="Z495" t="str">
            <v>20140101LGUM_453</v>
          </cell>
          <cell r="AB495" t="str">
            <v>453</v>
          </cell>
        </row>
        <row r="496">
          <cell r="C496" t="str">
            <v xml:space="preserve">LS </v>
          </cell>
          <cell r="E496">
            <v>5487</v>
          </cell>
          <cell r="F496">
            <v>0</v>
          </cell>
          <cell r="J496">
            <v>95364.06</v>
          </cell>
          <cell r="M496">
            <v>0</v>
          </cell>
          <cell r="N496">
            <v>0</v>
          </cell>
          <cell r="O496">
            <v>0</v>
          </cell>
          <cell r="P496">
            <v>0</v>
          </cell>
          <cell r="Z496" t="str">
            <v>20140101LGUM_454</v>
          </cell>
          <cell r="AB496" t="str">
            <v>454</v>
          </cell>
        </row>
        <row r="497">
          <cell r="C497" t="str">
            <v xml:space="preserve">LS </v>
          </cell>
          <cell r="E497">
            <v>409</v>
          </cell>
          <cell r="F497">
            <v>0</v>
          </cell>
          <cell r="J497">
            <v>5631.93</v>
          </cell>
          <cell r="M497">
            <v>0</v>
          </cell>
          <cell r="N497">
            <v>0</v>
          </cell>
          <cell r="O497">
            <v>0</v>
          </cell>
          <cell r="P497">
            <v>0</v>
          </cell>
          <cell r="Z497" t="str">
            <v>20140101LGUM_455</v>
          </cell>
          <cell r="AB497" t="str">
            <v>455</v>
          </cell>
        </row>
        <row r="498">
          <cell r="C498" t="str">
            <v xml:space="preserve">LS </v>
          </cell>
          <cell r="E498">
            <v>12934</v>
          </cell>
          <cell r="F498">
            <v>0</v>
          </cell>
          <cell r="J498">
            <v>235528.14</v>
          </cell>
          <cell r="M498">
            <v>0</v>
          </cell>
          <cell r="N498">
            <v>0</v>
          </cell>
          <cell r="O498">
            <v>0</v>
          </cell>
          <cell r="P498">
            <v>0</v>
          </cell>
          <cell r="Z498" t="str">
            <v>20140101LGUM_456</v>
          </cell>
          <cell r="AB498" t="str">
            <v>456</v>
          </cell>
        </row>
        <row r="499">
          <cell r="C499" t="str">
            <v xml:space="preserve">LS </v>
          </cell>
          <cell r="E499">
            <v>3316</v>
          </cell>
          <cell r="F499">
            <v>0</v>
          </cell>
          <cell r="J499">
            <v>36011.760000000002</v>
          </cell>
          <cell r="M499">
            <v>0</v>
          </cell>
          <cell r="N499">
            <v>0</v>
          </cell>
          <cell r="O499">
            <v>0</v>
          </cell>
          <cell r="P499">
            <v>0</v>
          </cell>
          <cell r="Z499" t="str">
            <v>20140101LGUM_457</v>
          </cell>
          <cell r="AB499" t="str">
            <v>457</v>
          </cell>
        </row>
        <row r="500">
          <cell r="C500" t="str">
            <v>RLS</v>
          </cell>
          <cell r="E500">
            <v>5</v>
          </cell>
          <cell r="F500">
            <v>0</v>
          </cell>
          <cell r="J500">
            <v>55.65</v>
          </cell>
          <cell r="M500">
            <v>0</v>
          </cell>
          <cell r="N500">
            <v>0</v>
          </cell>
          <cell r="O500">
            <v>0</v>
          </cell>
          <cell r="P500">
            <v>0</v>
          </cell>
          <cell r="Z500" t="str">
            <v>20140101LGUM_458</v>
          </cell>
          <cell r="AB500" t="str">
            <v>458</v>
          </cell>
        </row>
        <row r="501">
          <cell r="C501" t="str">
            <v xml:space="preserve">LS </v>
          </cell>
          <cell r="E501">
            <v>23</v>
          </cell>
          <cell r="F501">
            <v>0</v>
          </cell>
          <cell r="J501">
            <v>294.17</v>
          </cell>
          <cell r="M501">
            <v>0</v>
          </cell>
          <cell r="N501">
            <v>0</v>
          </cell>
          <cell r="O501">
            <v>0</v>
          </cell>
          <cell r="P501">
            <v>0</v>
          </cell>
          <cell r="Z501" t="str">
            <v>20140101LGUM_470</v>
          </cell>
          <cell r="AB501" t="str">
            <v>470</v>
          </cell>
        </row>
        <row r="502">
          <cell r="C502" t="str">
            <v>RLS</v>
          </cell>
          <cell r="E502">
            <v>2</v>
          </cell>
          <cell r="F502">
            <v>0</v>
          </cell>
          <cell r="J502">
            <v>30.14</v>
          </cell>
          <cell r="M502">
            <v>0</v>
          </cell>
          <cell r="N502">
            <v>0</v>
          </cell>
          <cell r="O502">
            <v>0</v>
          </cell>
          <cell r="P502">
            <v>0</v>
          </cell>
          <cell r="Z502" t="str">
            <v>20140101LGUM_471</v>
          </cell>
          <cell r="AB502" t="str">
            <v>471</v>
          </cell>
        </row>
        <row r="503">
          <cell r="C503" t="str">
            <v xml:space="preserve">LS </v>
          </cell>
          <cell r="E503">
            <v>432</v>
          </cell>
          <cell r="F503">
            <v>0</v>
          </cell>
          <cell r="J503">
            <v>8069.76</v>
          </cell>
          <cell r="M503">
            <v>0</v>
          </cell>
          <cell r="N503">
            <v>0</v>
          </cell>
          <cell r="O503">
            <v>0</v>
          </cell>
          <cell r="P503">
            <v>0</v>
          </cell>
          <cell r="Z503" t="str">
            <v>20140101LGUM_473</v>
          </cell>
          <cell r="AB503" t="str">
            <v>473</v>
          </cell>
        </row>
        <row r="504">
          <cell r="C504" t="str">
            <v>RLS</v>
          </cell>
          <cell r="E504">
            <v>54</v>
          </cell>
          <cell r="F504">
            <v>0</v>
          </cell>
          <cell r="J504">
            <v>1132.3800000000001</v>
          </cell>
          <cell r="M504">
            <v>0</v>
          </cell>
          <cell r="N504">
            <v>0</v>
          </cell>
          <cell r="O504">
            <v>0</v>
          </cell>
          <cell r="P504">
            <v>0</v>
          </cell>
          <cell r="Z504" t="str">
            <v>20140101LGUM_474</v>
          </cell>
          <cell r="AB504" t="str">
            <v>474</v>
          </cell>
        </row>
        <row r="505">
          <cell r="C505" t="str">
            <v>RLS</v>
          </cell>
          <cell r="E505">
            <v>2</v>
          </cell>
          <cell r="F505">
            <v>0</v>
          </cell>
          <cell r="J505">
            <v>56.84</v>
          </cell>
          <cell r="M505">
            <v>0</v>
          </cell>
          <cell r="N505">
            <v>0</v>
          </cell>
          <cell r="O505">
            <v>0</v>
          </cell>
          <cell r="P505">
            <v>0</v>
          </cell>
          <cell r="Z505" t="str">
            <v>20140101LGUM_475</v>
          </cell>
          <cell r="AB505" t="str">
            <v>475</v>
          </cell>
        </row>
        <row r="506">
          <cell r="C506" t="str">
            <v xml:space="preserve">LS </v>
          </cell>
          <cell r="E506">
            <v>399</v>
          </cell>
          <cell r="F506">
            <v>0</v>
          </cell>
          <cell r="J506">
            <v>15800.4</v>
          </cell>
          <cell r="M506">
            <v>0</v>
          </cell>
          <cell r="N506">
            <v>0</v>
          </cell>
          <cell r="O506">
            <v>0</v>
          </cell>
          <cell r="P506">
            <v>0</v>
          </cell>
          <cell r="Z506" t="str">
            <v>20140101LGUM_476</v>
          </cell>
          <cell r="AB506" t="str">
            <v>476</v>
          </cell>
        </row>
        <row r="507">
          <cell r="C507" t="str">
            <v>RLS</v>
          </cell>
          <cell r="E507">
            <v>58</v>
          </cell>
          <cell r="F507">
            <v>0</v>
          </cell>
          <cell r="J507">
            <v>2481.2399999999998</v>
          </cell>
          <cell r="M507">
            <v>0</v>
          </cell>
          <cell r="N507">
            <v>0</v>
          </cell>
          <cell r="O507">
            <v>0</v>
          </cell>
          <cell r="P507">
            <v>0</v>
          </cell>
          <cell r="Z507" t="str">
            <v>20140101LGUM_477</v>
          </cell>
          <cell r="AB507" t="str">
            <v>477</v>
          </cell>
        </row>
        <row r="508">
          <cell r="C508" t="str">
            <v xml:space="preserve">LS </v>
          </cell>
          <cell r="E508">
            <v>0</v>
          </cell>
          <cell r="F508">
            <v>0</v>
          </cell>
          <cell r="J508">
            <v>0</v>
          </cell>
          <cell r="M508">
            <v>0</v>
          </cell>
          <cell r="N508">
            <v>0</v>
          </cell>
          <cell r="O508">
            <v>0</v>
          </cell>
          <cell r="P508">
            <v>0</v>
          </cell>
          <cell r="Z508" t="str">
            <v>20140101LGUM_479</v>
          </cell>
          <cell r="AB508" t="str">
            <v>479</v>
          </cell>
        </row>
        <row r="509">
          <cell r="C509" t="str">
            <v xml:space="preserve">LS </v>
          </cell>
          <cell r="E509">
            <v>18</v>
          </cell>
          <cell r="F509">
            <v>0</v>
          </cell>
          <cell r="J509">
            <v>428.94</v>
          </cell>
          <cell r="M509">
            <v>0</v>
          </cell>
          <cell r="N509">
            <v>0</v>
          </cell>
          <cell r="O509">
            <v>0</v>
          </cell>
          <cell r="P509">
            <v>0</v>
          </cell>
          <cell r="Z509" t="str">
            <v>20140101LGUM_480</v>
          </cell>
          <cell r="AB509" t="str">
            <v>480</v>
          </cell>
        </row>
        <row r="510">
          <cell r="C510" t="str">
            <v xml:space="preserve">LS </v>
          </cell>
          <cell r="E510">
            <v>4</v>
          </cell>
          <cell r="F510">
            <v>0</v>
          </cell>
          <cell r="J510">
            <v>81.84</v>
          </cell>
          <cell r="M510">
            <v>0</v>
          </cell>
          <cell r="N510">
            <v>0</v>
          </cell>
          <cell r="O510">
            <v>0</v>
          </cell>
          <cell r="P510">
            <v>0</v>
          </cell>
          <cell r="Z510" t="str">
            <v>20140101LGUM_481</v>
          </cell>
          <cell r="AB510" t="str">
            <v>481</v>
          </cell>
        </row>
        <row r="511">
          <cell r="C511" t="str">
            <v xml:space="preserve">LS </v>
          </cell>
          <cell r="E511">
            <v>43</v>
          </cell>
          <cell r="F511">
            <v>0</v>
          </cell>
          <cell r="J511">
            <v>1299.03</v>
          </cell>
          <cell r="M511">
            <v>0</v>
          </cell>
          <cell r="N511">
            <v>0</v>
          </cell>
          <cell r="O511">
            <v>0</v>
          </cell>
          <cell r="P511">
            <v>0</v>
          </cell>
          <cell r="Z511" t="str">
            <v>20140101LGUM_482</v>
          </cell>
          <cell r="AB511" t="str">
            <v>482</v>
          </cell>
        </row>
        <row r="512">
          <cell r="C512" t="str">
            <v xml:space="preserve">LS </v>
          </cell>
          <cell r="E512">
            <v>2</v>
          </cell>
          <cell r="F512">
            <v>0</v>
          </cell>
          <cell r="J512">
            <v>85.12</v>
          </cell>
          <cell r="M512">
            <v>0</v>
          </cell>
          <cell r="N512">
            <v>0</v>
          </cell>
          <cell r="O512">
            <v>0</v>
          </cell>
          <cell r="P512">
            <v>0</v>
          </cell>
          <cell r="Z512" t="str">
            <v>20140101LGUM_483</v>
          </cell>
          <cell r="AB512" t="str">
            <v>483</v>
          </cell>
        </row>
        <row r="513">
          <cell r="C513" t="str">
            <v xml:space="preserve">LS </v>
          </cell>
          <cell r="E513">
            <v>13</v>
          </cell>
          <cell r="F513">
            <v>0</v>
          </cell>
          <cell r="J513">
            <v>680.03</v>
          </cell>
          <cell r="M513">
            <v>0</v>
          </cell>
          <cell r="N513">
            <v>0</v>
          </cell>
          <cell r="O513">
            <v>0</v>
          </cell>
          <cell r="P513">
            <v>0</v>
          </cell>
          <cell r="Z513" t="str">
            <v>20140101LGUM_484</v>
          </cell>
          <cell r="AB513" t="str">
            <v>484</v>
          </cell>
        </row>
        <row r="514">
          <cell r="C514" t="str">
            <v>ODL</v>
          </cell>
          <cell r="E514">
            <v>0</v>
          </cell>
          <cell r="F514">
            <v>7505864</v>
          </cell>
          <cell r="J514">
            <v>0</v>
          </cell>
          <cell r="M514">
            <v>14702</v>
          </cell>
          <cell r="N514">
            <v>47403</v>
          </cell>
          <cell r="O514">
            <v>0</v>
          </cell>
          <cell r="P514">
            <v>1613472</v>
          </cell>
          <cell r="Z514" t="str">
            <v>20140101ODL</v>
          </cell>
          <cell r="AB514" t="str">
            <v>ODL</v>
          </cell>
        </row>
        <row r="515">
          <cell r="C515" t="str">
            <v>RLS</v>
          </cell>
          <cell r="E515">
            <v>75</v>
          </cell>
          <cell r="F515">
            <v>0</v>
          </cell>
          <cell r="J515">
            <v>610.5</v>
          </cell>
          <cell r="M515">
            <v>0</v>
          </cell>
          <cell r="N515">
            <v>0</v>
          </cell>
          <cell r="O515">
            <v>0</v>
          </cell>
          <cell r="P515">
            <v>0</v>
          </cell>
          <cell r="Z515" t="str">
            <v>20140101LGUM_201</v>
          </cell>
          <cell r="AB515" t="str">
            <v>201</v>
          </cell>
        </row>
        <row r="516">
          <cell r="C516" t="str">
            <v>RLS</v>
          </cell>
          <cell r="E516">
            <v>3647</v>
          </cell>
          <cell r="F516">
            <v>0</v>
          </cell>
          <cell r="J516">
            <v>39971.120000000003</v>
          </cell>
          <cell r="M516">
            <v>0</v>
          </cell>
          <cell r="N516">
            <v>0</v>
          </cell>
          <cell r="O516">
            <v>0</v>
          </cell>
          <cell r="P516">
            <v>0</v>
          </cell>
          <cell r="Z516" t="str">
            <v>20140101LGUM_203</v>
          </cell>
          <cell r="AB516" t="str">
            <v>203</v>
          </cell>
        </row>
        <row r="517">
          <cell r="C517" t="str">
            <v>RLS</v>
          </cell>
          <cell r="E517">
            <v>3672</v>
          </cell>
          <cell r="F517">
            <v>0</v>
          </cell>
          <cell r="J517">
            <v>49608.72</v>
          </cell>
          <cell r="M517">
            <v>0</v>
          </cell>
          <cell r="N517">
            <v>0</v>
          </cell>
          <cell r="O517">
            <v>0</v>
          </cell>
          <cell r="P517">
            <v>0</v>
          </cell>
          <cell r="Z517" t="str">
            <v>20140101LGUM_204</v>
          </cell>
          <cell r="AB517" t="str">
            <v>204</v>
          </cell>
        </row>
        <row r="518">
          <cell r="C518" t="str">
            <v>RLS</v>
          </cell>
          <cell r="E518">
            <v>92</v>
          </cell>
          <cell r="F518">
            <v>0</v>
          </cell>
          <cell r="J518">
            <v>1145.4000000000001</v>
          </cell>
          <cell r="M518">
            <v>0</v>
          </cell>
          <cell r="N518">
            <v>0</v>
          </cell>
          <cell r="O518">
            <v>0</v>
          </cell>
          <cell r="P518">
            <v>0</v>
          </cell>
          <cell r="Z518" t="str">
            <v>20140101LGUM_206</v>
          </cell>
          <cell r="AB518" t="str">
            <v>206</v>
          </cell>
        </row>
        <row r="519">
          <cell r="C519" t="str">
            <v>RLS</v>
          </cell>
          <cell r="E519">
            <v>727</v>
          </cell>
          <cell r="F519">
            <v>0</v>
          </cell>
          <cell r="J519">
            <v>11297.58</v>
          </cell>
          <cell r="M519">
            <v>0</v>
          </cell>
          <cell r="N519">
            <v>0</v>
          </cell>
          <cell r="O519">
            <v>0</v>
          </cell>
          <cell r="P519">
            <v>0</v>
          </cell>
          <cell r="Z519" t="str">
            <v>20140101LGUM_207</v>
          </cell>
          <cell r="AB519" t="str">
            <v>207</v>
          </cell>
        </row>
        <row r="520">
          <cell r="C520" t="str">
            <v>RLS</v>
          </cell>
          <cell r="E520">
            <v>1389</v>
          </cell>
          <cell r="F520">
            <v>0</v>
          </cell>
          <cell r="J520">
            <v>19779.36</v>
          </cell>
          <cell r="M520">
            <v>0</v>
          </cell>
          <cell r="N520">
            <v>0</v>
          </cell>
          <cell r="O520">
            <v>0</v>
          </cell>
          <cell r="P520">
            <v>0</v>
          </cell>
          <cell r="Z520" t="str">
            <v>20140101LGUM_208</v>
          </cell>
          <cell r="AB520" t="str">
            <v>208</v>
          </cell>
        </row>
        <row r="521">
          <cell r="C521" t="str">
            <v>RLS</v>
          </cell>
          <cell r="E521">
            <v>42</v>
          </cell>
          <cell r="F521">
            <v>0</v>
          </cell>
          <cell r="J521">
            <v>1162.98</v>
          </cell>
          <cell r="M521">
            <v>0</v>
          </cell>
          <cell r="N521">
            <v>0</v>
          </cell>
          <cell r="O521">
            <v>0</v>
          </cell>
          <cell r="P521">
            <v>0</v>
          </cell>
          <cell r="Z521" t="str">
            <v>20140101LGUM_209</v>
          </cell>
          <cell r="AB521" t="str">
            <v>209</v>
          </cell>
        </row>
        <row r="522">
          <cell r="C522" t="str">
            <v>RLS</v>
          </cell>
          <cell r="E522">
            <v>325</v>
          </cell>
          <cell r="F522">
            <v>0</v>
          </cell>
          <cell r="J522">
            <v>9389.25</v>
          </cell>
          <cell r="M522">
            <v>0</v>
          </cell>
          <cell r="N522">
            <v>0</v>
          </cell>
          <cell r="O522">
            <v>0</v>
          </cell>
          <cell r="P522">
            <v>0</v>
          </cell>
          <cell r="Z522" t="str">
            <v>20140101LGUM_210</v>
          </cell>
          <cell r="AB522" t="str">
            <v>210</v>
          </cell>
        </row>
        <row r="523">
          <cell r="C523" t="str">
            <v>RLS</v>
          </cell>
          <cell r="E523">
            <v>3903</v>
          </cell>
          <cell r="F523">
            <v>0</v>
          </cell>
          <cell r="J523">
            <v>37351.71</v>
          </cell>
          <cell r="M523">
            <v>0</v>
          </cell>
          <cell r="N523">
            <v>0</v>
          </cell>
          <cell r="O523">
            <v>0</v>
          </cell>
          <cell r="P523">
            <v>0</v>
          </cell>
          <cell r="Z523" t="str">
            <v>20140101LGUM_252</v>
          </cell>
          <cell r="AB523" t="str">
            <v>252</v>
          </cell>
        </row>
        <row r="524">
          <cell r="C524" t="str">
            <v>RLS</v>
          </cell>
          <cell r="E524">
            <v>2019</v>
          </cell>
          <cell r="F524">
            <v>0</v>
          </cell>
          <cell r="J524">
            <v>55199.46</v>
          </cell>
          <cell r="M524">
            <v>0</v>
          </cell>
          <cell r="N524">
            <v>0</v>
          </cell>
          <cell r="O524">
            <v>0</v>
          </cell>
          <cell r="P524">
            <v>0</v>
          </cell>
          <cell r="Z524" t="str">
            <v>20140101LGUM_266</v>
          </cell>
          <cell r="AB524" t="str">
            <v>266</v>
          </cell>
        </row>
        <row r="525">
          <cell r="C525" t="str">
            <v>RLS</v>
          </cell>
          <cell r="E525">
            <v>2263</v>
          </cell>
          <cell r="F525">
            <v>0</v>
          </cell>
          <cell r="J525">
            <v>71058.2</v>
          </cell>
          <cell r="M525">
            <v>0</v>
          </cell>
          <cell r="N525">
            <v>0</v>
          </cell>
          <cell r="O525">
            <v>0</v>
          </cell>
          <cell r="P525">
            <v>0</v>
          </cell>
          <cell r="Z525" t="str">
            <v>20140101LGUM_267</v>
          </cell>
          <cell r="AB525" t="str">
            <v>267</v>
          </cell>
        </row>
        <row r="526">
          <cell r="C526" t="str">
            <v>RLS</v>
          </cell>
          <cell r="E526">
            <v>16754</v>
          </cell>
          <cell r="F526">
            <v>0</v>
          </cell>
          <cell r="J526">
            <v>288001.26</v>
          </cell>
          <cell r="M526">
            <v>0</v>
          </cell>
          <cell r="N526">
            <v>0</v>
          </cell>
          <cell r="O526">
            <v>0</v>
          </cell>
          <cell r="P526">
            <v>0</v>
          </cell>
          <cell r="Z526" t="str">
            <v>20140101LGUM_274</v>
          </cell>
          <cell r="AB526" t="str">
            <v>274</v>
          </cell>
        </row>
        <row r="527">
          <cell r="C527" t="str">
            <v>RLS</v>
          </cell>
          <cell r="E527">
            <v>517</v>
          </cell>
          <cell r="F527">
            <v>0</v>
          </cell>
          <cell r="J527">
            <v>12868.13</v>
          </cell>
          <cell r="M527">
            <v>0</v>
          </cell>
          <cell r="N527">
            <v>0</v>
          </cell>
          <cell r="O527">
            <v>0</v>
          </cell>
          <cell r="P527">
            <v>0</v>
          </cell>
          <cell r="Z527" t="str">
            <v>20140101LGUM_275</v>
          </cell>
          <cell r="AB527" t="str">
            <v>275</v>
          </cell>
        </row>
        <row r="528">
          <cell r="C528" t="str">
            <v>RLS</v>
          </cell>
          <cell r="E528">
            <v>1286</v>
          </cell>
          <cell r="F528">
            <v>0</v>
          </cell>
          <cell r="J528">
            <v>18222.62</v>
          </cell>
          <cell r="M528">
            <v>0</v>
          </cell>
          <cell r="N528">
            <v>0</v>
          </cell>
          <cell r="O528">
            <v>0</v>
          </cell>
          <cell r="P528">
            <v>0</v>
          </cell>
          <cell r="Z528" t="str">
            <v>20140101LGUM_276</v>
          </cell>
          <cell r="AB528" t="str">
            <v>276</v>
          </cell>
        </row>
        <row r="529">
          <cell r="C529" t="str">
            <v>RLS</v>
          </cell>
          <cell r="E529">
            <v>2246</v>
          </cell>
          <cell r="F529">
            <v>0</v>
          </cell>
          <cell r="J529">
            <v>49748.9</v>
          </cell>
          <cell r="M529">
            <v>0</v>
          </cell>
          <cell r="N529">
            <v>0</v>
          </cell>
          <cell r="O529">
            <v>0</v>
          </cell>
          <cell r="P529">
            <v>0</v>
          </cell>
          <cell r="Z529" t="str">
            <v>20140101LGUM_277</v>
          </cell>
          <cell r="AB529" t="str">
            <v>277</v>
          </cell>
        </row>
        <row r="530">
          <cell r="C530" t="str">
            <v>RLS</v>
          </cell>
          <cell r="E530">
            <v>17</v>
          </cell>
          <cell r="F530">
            <v>0</v>
          </cell>
          <cell r="J530">
            <v>1233.3499999999999</v>
          </cell>
          <cell r="M530">
            <v>0</v>
          </cell>
          <cell r="N530">
            <v>0</v>
          </cell>
          <cell r="O530">
            <v>0</v>
          </cell>
          <cell r="P530">
            <v>0</v>
          </cell>
          <cell r="Z530" t="str">
            <v>20140101LGUM_278</v>
          </cell>
          <cell r="AB530" t="str">
            <v>278</v>
          </cell>
        </row>
        <row r="531">
          <cell r="C531" t="str">
            <v>RLS</v>
          </cell>
          <cell r="E531">
            <v>11</v>
          </cell>
          <cell r="F531">
            <v>0</v>
          </cell>
          <cell r="J531">
            <v>455.73</v>
          </cell>
          <cell r="M531">
            <v>0</v>
          </cell>
          <cell r="N531">
            <v>0</v>
          </cell>
          <cell r="O531">
            <v>0</v>
          </cell>
          <cell r="P531">
            <v>0</v>
          </cell>
          <cell r="Z531" t="str">
            <v>20140101LGUM_279</v>
          </cell>
          <cell r="AB531" t="str">
            <v>279</v>
          </cell>
        </row>
        <row r="532">
          <cell r="C532" t="str">
            <v>RLS</v>
          </cell>
          <cell r="E532">
            <v>45</v>
          </cell>
          <cell r="F532">
            <v>0</v>
          </cell>
          <cell r="J532">
            <v>872.1</v>
          </cell>
          <cell r="M532">
            <v>0</v>
          </cell>
          <cell r="N532">
            <v>0</v>
          </cell>
          <cell r="O532">
            <v>0</v>
          </cell>
          <cell r="P532">
            <v>0</v>
          </cell>
          <cell r="Z532" t="str">
            <v>20140101LGUM_280</v>
          </cell>
          <cell r="AB532" t="str">
            <v>280</v>
          </cell>
        </row>
        <row r="533">
          <cell r="C533" t="str">
            <v>RLS</v>
          </cell>
          <cell r="E533">
            <v>239</v>
          </cell>
          <cell r="F533">
            <v>0</v>
          </cell>
          <cell r="J533">
            <v>4863.6499999999996</v>
          </cell>
          <cell r="M533">
            <v>0</v>
          </cell>
          <cell r="N533">
            <v>0</v>
          </cell>
          <cell r="O533">
            <v>0</v>
          </cell>
          <cell r="P533">
            <v>0</v>
          </cell>
          <cell r="Z533" t="str">
            <v>20140101LGUM_281</v>
          </cell>
          <cell r="AB533" t="str">
            <v>281</v>
          </cell>
        </row>
        <row r="534">
          <cell r="C534" t="str">
            <v>RLS</v>
          </cell>
          <cell r="E534">
            <v>104</v>
          </cell>
          <cell r="F534">
            <v>0</v>
          </cell>
          <cell r="J534">
            <v>2031.12</v>
          </cell>
          <cell r="M534">
            <v>0</v>
          </cell>
          <cell r="N534">
            <v>0</v>
          </cell>
          <cell r="O534">
            <v>0</v>
          </cell>
          <cell r="P534">
            <v>0</v>
          </cell>
          <cell r="Z534" t="str">
            <v>20140101LGUM_282</v>
          </cell>
          <cell r="AB534" t="str">
            <v>282</v>
          </cell>
        </row>
        <row r="535">
          <cell r="C535" t="str">
            <v>RLS</v>
          </cell>
          <cell r="E535">
            <v>80</v>
          </cell>
          <cell r="F535">
            <v>0</v>
          </cell>
          <cell r="J535">
            <v>1665.6</v>
          </cell>
          <cell r="M535">
            <v>0</v>
          </cell>
          <cell r="N535">
            <v>0</v>
          </cell>
          <cell r="O535">
            <v>0</v>
          </cell>
          <cell r="P535">
            <v>0</v>
          </cell>
          <cell r="Z535" t="str">
            <v>20140101LGUM_283</v>
          </cell>
          <cell r="AB535" t="str">
            <v>283</v>
          </cell>
        </row>
        <row r="536">
          <cell r="C536" t="str">
            <v>RLS</v>
          </cell>
          <cell r="E536">
            <v>506</v>
          </cell>
          <cell r="F536">
            <v>0</v>
          </cell>
          <cell r="J536">
            <v>9715.2000000000007</v>
          </cell>
          <cell r="M536">
            <v>0</v>
          </cell>
          <cell r="N536">
            <v>0</v>
          </cell>
          <cell r="O536">
            <v>0</v>
          </cell>
          <cell r="P536">
            <v>0</v>
          </cell>
          <cell r="Z536" t="str">
            <v>20140101LGUM_314</v>
          </cell>
          <cell r="AB536" t="str">
            <v>314</v>
          </cell>
        </row>
        <row r="537">
          <cell r="C537" t="str">
            <v>RLS</v>
          </cell>
          <cell r="E537">
            <v>497</v>
          </cell>
          <cell r="F537">
            <v>0</v>
          </cell>
          <cell r="J537">
            <v>11406.15</v>
          </cell>
          <cell r="M537">
            <v>0</v>
          </cell>
          <cell r="N537">
            <v>0</v>
          </cell>
          <cell r="O537">
            <v>0</v>
          </cell>
          <cell r="P537">
            <v>0</v>
          </cell>
          <cell r="Z537" t="str">
            <v>20140101LGUM_315</v>
          </cell>
          <cell r="AB537" t="str">
            <v>315</v>
          </cell>
        </row>
        <row r="538">
          <cell r="C538" t="str">
            <v>RLS</v>
          </cell>
          <cell r="E538">
            <v>53</v>
          </cell>
          <cell r="F538">
            <v>0</v>
          </cell>
          <cell r="J538">
            <v>923.26</v>
          </cell>
          <cell r="M538">
            <v>0</v>
          </cell>
          <cell r="N538">
            <v>0</v>
          </cell>
          <cell r="O538">
            <v>0</v>
          </cell>
          <cell r="P538">
            <v>0</v>
          </cell>
          <cell r="Z538" t="str">
            <v>20140101LGUM_318</v>
          </cell>
          <cell r="AB538" t="str">
            <v>318</v>
          </cell>
        </row>
        <row r="539">
          <cell r="C539" t="str">
            <v>RLS</v>
          </cell>
          <cell r="E539">
            <v>0</v>
          </cell>
          <cell r="F539">
            <v>0</v>
          </cell>
          <cell r="J539">
            <v>0</v>
          </cell>
          <cell r="M539">
            <v>0</v>
          </cell>
          <cell r="N539">
            <v>0</v>
          </cell>
          <cell r="O539">
            <v>0</v>
          </cell>
          <cell r="P539">
            <v>0</v>
          </cell>
          <cell r="Z539" t="str">
            <v>20140101LGUM_347</v>
          </cell>
          <cell r="AB539" t="str">
            <v>347</v>
          </cell>
        </row>
        <row r="540">
          <cell r="C540" t="str">
            <v>RLS</v>
          </cell>
          <cell r="E540">
            <v>39</v>
          </cell>
          <cell r="F540">
            <v>0</v>
          </cell>
          <cell r="J540">
            <v>511.68</v>
          </cell>
          <cell r="M540">
            <v>0</v>
          </cell>
          <cell r="N540">
            <v>0</v>
          </cell>
          <cell r="O540">
            <v>0</v>
          </cell>
          <cell r="P540">
            <v>0</v>
          </cell>
          <cell r="Z540" t="str">
            <v>20140101LGUM_348</v>
          </cell>
          <cell r="AB540" t="str">
            <v>348</v>
          </cell>
        </row>
        <row r="541">
          <cell r="C541" t="str">
            <v>RLS</v>
          </cell>
          <cell r="E541">
            <v>17</v>
          </cell>
          <cell r="F541">
            <v>0</v>
          </cell>
          <cell r="J541">
            <v>153.34</v>
          </cell>
          <cell r="M541">
            <v>0</v>
          </cell>
          <cell r="N541">
            <v>0</v>
          </cell>
          <cell r="O541">
            <v>0</v>
          </cell>
          <cell r="P541">
            <v>0</v>
          </cell>
          <cell r="Z541" t="str">
            <v>20140101LGUM_349</v>
          </cell>
          <cell r="AB541" t="str">
            <v>349</v>
          </cell>
        </row>
        <row r="542">
          <cell r="C542" t="str">
            <v xml:space="preserve">LS </v>
          </cell>
          <cell r="E542">
            <v>35</v>
          </cell>
          <cell r="F542">
            <v>0</v>
          </cell>
          <cell r="J542">
            <v>836.15</v>
          </cell>
          <cell r="M542">
            <v>0</v>
          </cell>
          <cell r="N542">
            <v>0</v>
          </cell>
          <cell r="O542">
            <v>0</v>
          </cell>
          <cell r="P542">
            <v>0</v>
          </cell>
          <cell r="Z542" t="str">
            <v>20140101LGUM_400</v>
          </cell>
          <cell r="AB542" t="str">
            <v>400</v>
          </cell>
        </row>
        <row r="543">
          <cell r="C543" t="str">
            <v xml:space="preserve">LS </v>
          </cell>
          <cell r="E543">
            <v>4</v>
          </cell>
          <cell r="F543">
            <v>0</v>
          </cell>
          <cell r="J543">
            <v>99.6</v>
          </cell>
          <cell r="M543">
            <v>0</v>
          </cell>
          <cell r="N543">
            <v>0</v>
          </cell>
          <cell r="O543">
            <v>0</v>
          </cell>
          <cell r="P543">
            <v>0</v>
          </cell>
          <cell r="Z543" t="str">
            <v>20140101LGUM_401</v>
          </cell>
          <cell r="AB543" t="str">
            <v>401</v>
          </cell>
        </row>
        <row r="544">
          <cell r="C544" t="str">
            <v xml:space="preserve">LS </v>
          </cell>
          <cell r="E544">
            <v>238</v>
          </cell>
          <cell r="F544">
            <v>0</v>
          </cell>
          <cell r="J544">
            <v>4710.0200000000004</v>
          </cell>
          <cell r="M544">
            <v>0</v>
          </cell>
          <cell r="N544">
            <v>0</v>
          </cell>
          <cell r="O544">
            <v>0</v>
          </cell>
          <cell r="P544">
            <v>0</v>
          </cell>
          <cell r="Z544" t="str">
            <v>20140101LGUM_412</v>
          </cell>
          <cell r="AB544" t="str">
            <v>412</v>
          </cell>
        </row>
        <row r="545">
          <cell r="C545" t="str">
            <v xml:space="preserve">LS </v>
          </cell>
          <cell r="E545">
            <v>2146</v>
          </cell>
          <cell r="F545">
            <v>0</v>
          </cell>
          <cell r="J545">
            <v>43971.54</v>
          </cell>
          <cell r="M545">
            <v>0</v>
          </cell>
          <cell r="N545">
            <v>0</v>
          </cell>
          <cell r="O545">
            <v>0</v>
          </cell>
          <cell r="P545">
            <v>0</v>
          </cell>
          <cell r="Z545" t="str">
            <v>20140101LGUM_413</v>
          </cell>
          <cell r="AB545" t="str">
            <v>413</v>
          </cell>
        </row>
        <row r="546">
          <cell r="C546" t="str">
            <v xml:space="preserve">LS </v>
          </cell>
          <cell r="E546">
            <v>37</v>
          </cell>
          <cell r="F546">
            <v>0</v>
          </cell>
          <cell r="J546">
            <v>746.66</v>
          </cell>
          <cell r="M546">
            <v>0</v>
          </cell>
          <cell r="N546">
            <v>0</v>
          </cell>
          <cell r="O546">
            <v>0</v>
          </cell>
          <cell r="P546">
            <v>0</v>
          </cell>
          <cell r="Z546" t="str">
            <v>20140101LGUM_415</v>
          </cell>
          <cell r="AB546" t="str">
            <v>415</v>
          </cell>
        </row>
        <row r="547">
          <cell r="C547" t="str">
            <v xml:space="preserve">LS </v>
          </cell>
          <cell r="E547">
            <v>1843</v>
          </cell>
          <cell r="F547">
            <v>0</v>
          </cell>
          <cell r="J547">
            <v>41578.080000000002</v>
          </cell>
          <cell r="M547">
            <v>0</v>
          </cell>
          <cell r="N547">
            <v>0</v>
          </cell>
          <cell r="O547">
            <v>0</v>
          </cell>
          <cell r="P547">
            <v>0</v>
          </cell>
          <cell r="Z547" t="str">
            <v>20140101LGUM_416</v>
          </cell>
          <cell r="AB547" t="str">
            <v>416</v>
          </cell>
        </row>
        <row r="548">
          <cell r="C548" t="str">
            <v>RLS</v>
          </cell>
          <cell r="E548">
            <v>39</v>
          </cell>
          <cell r="F548">
            <v>0</v>
          </cell>
          <cell r="J548">
            <v>923.52</v>
          </cell>
          <cell r="M548">
            <v>0</v>
          </cell>
          <cell r="N548">
            <v>0</v>
          </cell>
          <cell r="O548">
            <v>0</v>
          </cell>
          <cell r="P548">
            <v>0</v>
          </cell>
          <cell r="Z548" t="str">
            <v>20140101LGUM_417</v>
          </cell>
          <cell r="AB548" t="str">
            <v>417</v>
          </cell>
        </row>
        <row r="549">
          <cell r="C549" t="str">
            <v>RLS</v>
          </cell>
          <cell r="E549">
            <v>108</v>
          </cell>
          <cell r="F549">
            <v>0</v>
          </cell>
          <cell r="J549">
            <v>2675.16</v>
          </cell>
          <cell r="M549">
            <v>0</v>
          </cell>
          <cell r="N549">
            <v>0</v>
          </cell>
          <cell r="O549">
            <v>0</v>
          </cell>
          <cell r="P549">
            <v>0</v>
          </cell>
          <cell r="Z549" t="str">
            <v>20140101LGUM_419</v>
          </cell>
          <cell r="AB549" t="str">
            <v>419</v>
          </cell>
        </row>
        <row r="550">
          <cell r="C550" t="str">
            <v xml:space="preserve">LS </v>
          </cell>
          <cell r="E550">
            <v>53</v>
          </cell>
          <cell r="F550">
            <v>0</v>
          </cell>
          <cell r="J550">
            <v>1584.17</v>
          </cell>
          <cell r="M550">
            <v>0</v>
          </cell>
          <cell r="N550">
            <v>0</v>
          </cell>
          <cell r="O550">
            <v>0</v>
          </cell>
          <cell r="P550">
            <v>0</v>
          </cell>
          <cell r="Z550" t="str">
            <v>20140101LGUM_420</v>
          </cell>
          <cell r="AB550" t="str">
            <v>420</v>
          </cell>
        </row>
        <row r="551">
          <cell r="C551" t="str">
            <v xml:space="preserve">LS </v>
          </cell>
          <cell r="E551">
            <v>177</v>
          </cell>
          <cell r="F551">
            <v>0</v>
          </cell>
          <cell r="J551">
            <v>5816.22</v>
          </cell>
          <cell r="M551">
            <v>0</v>
          </cell>
          <cell r="N551">
            <v>0</v>
          </cell>
          <cell r="O551">
            <v>0</v>
          </cell>
          <cell r="P551">
            <v>0</v>
          </cell>
          <cell r="Z551" t="str">
            <v>20140101LGUM_421</v>
          </cell>
          <cell r="AB551" t="str">
            <v>421</v>
          </cell>
        </row>
        <row r="552">
          <cell r="C552" t="str">
            <v xml:space="preserve">LS </v>
          </cell>
          <cell r="E552">
            <v>378</v>
          </cell>
          <cell r="F552">
            <v>0</v>
          </cell>
          <cell r="J552">
            <v>14511.42</v>
          </cell>
          <cell r="M552">
            <v>0</v>
          </cell>
          <cell r="N552">
            <v>0</v>
          </cell>
          <cell r="O552">
            <v>0</v>
          </cell>
          <cell r="P552">
            <v>0</v>
          </cell>
          <cell r="Z552" t="str">
            <v>20140101LGUM_422</v>
          </cell>
          <cell r="AB552" t="str">
            <v>422</v>
          </cell>
        </row>
        <row r="553">
          <cell r="C553" t="str">
            <v xml:space="preserve">LS </v>
          </cell>
          <cell r="E553">
            <v>22</v>
          </cell>
          <cell r="F553">
            <v>0</v>
          </cell>
          <cell r="J553">
            <v>579.70000000000005</v>
          </cell>
          <cell r="M553">
            <v>0</v>
          </cell>
          <cell r="N553">
            <v>0</v>
          </cell>
          <cell r="O553">
            <v>0</v>
          </cell>
          <cell r="P553">
            <v>0</v>
          </cell>
          <cell r="Z553" t="str">
            <v>20140101LGUM_423</v>
          </cell>
          <cell r="AB553" t="str">
            <v>423</v>
          </cell>
        </row>
        <row r="554">
          <cell r="C554" t="str">
            <v xml:space="preserve">LS </v>
          </cell>
          <cell r="E554">
            <v>455</v>
          </cell>
          <cell r="F554">
            <v>0</v>
          </cell>
          <cell r="J554">
            <v>12944.75</v>
          </cell>
          <cell r="M554">
            <v>0</v>
          </cell>
          <cell r="N554">
            <v>0</v>
          </cell>
          <cell r="O554">
            <v>0</v>
          </cell>
          <cell r="P554">
            <v>0</v>
          </cell>
          <cell r="Z554" t="str">
            <v>20140101LGUM_424</v>
          </cell>
          <cell r="AB554" t="str">
            <v>424</v>
          </cell>
        </row>
        <row r="555">
          <cell r="C555" t="str">
            <v xml:space="preserve">LS </v>
          </cell>
          <cell r="E555">
            <v>34</v>
          </cell>
          <cell r="F555">
            <v>0</v>
          </cell>
          <cell r="J555">
            <v>1157.02</v>
          </cell>
          <cell r="M555">
            <v>0</v>
          </cell>
          <cell r="N555">
            <v>0</v>
          </cell>
          <cell r="O555">
            <v>0</v>
          </cell>
          <cell r="P555">
            <v>0</v>
          </cell>
          <cell r="Z555" t="str">
            <v>20140101LGUM_425</v>
          </cell>
          <cell r="AB555" t="str">
            <v>425</v>
          </cell>
        </row>
        <row r="556">
          <cell r="C556" t="str">
            <v>RLS</v>
          </cell>
          <cell r="E556">
            <v>40</v>
          </cell>
          <cell r="F556">
            <v>0</v>
          </cell>
          <cell r="J556">
            <v>1328.8</v>
          </cell>
          <cell r="M556">
            <v>0</v>
          </cell>
          <cell r="N556">
            <v>0</v>
          </cell>
          <cell r="O556">
            <v>0</v>
          </cell>
          <cell r="P556">
            <v>0</v>
          </cell>
          <cell r="Z556" t="str">
            <v>20140101LGUM_426</v>
          </cell>
          <cell r="AB556" t="str">
            <v>426</v>
          </cell>
        </row>
        <row r="557">
          <cell r="C557" t="str">
            <v xml:space="preserve">LS </v>
          </cell>
          <cell r="E557">
            <v>52</v>
          </cell>
          <cell r="F557">
            <v>0</v>
          </cell>
          <cell r="J557">
            <v>1830.4</v>
          </cell>
          <cell r="M557">
            <v>0</v>
          </cell>
          <cell r="N557">
            <v>0</v>
          </cell>
          <cell r="O557">
            <v>0</v>
          </cell>
          <cell r="P557">
            <v>0</v>
          </cell>
          <cell r="Z557" t="str">
            <v>20140101LGUM_427</v>
          </cell>
          <cell r="AB557" t="str">
            <v>427</v>
          </cell>
        </row>
        <row r="558">
          <cell r="C558" t="str">
            <v>RLS</v>
          </cell>
          <cell r="E558">
            <v>216</v>
          </cell>
          <cell r="F558">
            <v>0</v>
          </cell>
          <cell r="J558">
            <v>7363.44</v>
          </cell>
          <cell r="M558">
            <v>0</v>
          </cell>
          <cell r="N558">
            <v>0</v>
          </cell>
          <cell r="O558">
            <v>0</v>
          </cell>
          <cell r="P558">
            <v>0</v>
          </cell>
          <cell r="Z558" t="str">
            <v>20140101LGUM_428</v>
          </cell>
          <cell r="AB558" t="str">
            <v>428</v>
          </cell>
        </row>
        <row r="559">
          <cell r="C559" t="str">
            <v xml:space="preserve">LS </v>
          </cell>
          <cell r="E559">
            <v>218</v>
          </cell>
          <cell r="F559">
            <v>0</v>
          </cell>
          <cell r="J559">
            <v>7863.26</v>
          </cell>
          <cell r="M559">
            <v>0</v>
          </cell>
          <cell r="N559">
            <v>0</v>
          </cell>
          <cell r="O559">
            <v>0</v>
          </cell>
          <cell r="P559">
            <v>0</v>
          </cell>
          <cell r="Z559" t="str">
            <v>20140101LGUM_429</v>
          </cell>
          <cell r="AB559" t="str">
            <v>429</v>
          </cell>
        </row>
        <row r="560">
          <cell r="C560" t="str">
            <v>RLS</v>
          </cell>
          <cell r="E560">
            <v>13</v>
          </cell>
          <cell r="F560">
            <v>0</v>
          </cell>
          <cell r="J560">
            <v>419.38</v>
          </cell>
          <cell r="M560">
            <v>0</v>
          </cell>
          <cell r="N560">
            <v>0</v>
          </cell>
          <cell r="O560">
            <v>0</v>
          </cell>
          <cell r="P560">
            <v>0</v>
          </cell>
          <cell r="Z560" t="str">
            <v>20140101LGUM_430</v>
          </cell>
          <cell r="AB560" t="str">
            <v>430</v>
          </cell>
        </row>
        <row r="561">
          <cell r="C561" t="str">
            <v xml:space="preserve">LS </v>
          </cell>
          <cell r="E561">
            <v>44</v>
          </cell>
          <cell r="F561">
            <v>0</v>
          </cell>
          <cell r="J561">
            <v>1448.92</v>
          </cell>
          <cell r="M561">
            <v>0</v>
          </cell>
          <cell r="N561">
            <v>0</v>
          </cell>
          <cell r="O561">
            <v>0</v>
          </cell>
          <cell r="P561">
            <v>0</v>
          </cell>
          <cell r="Z561" t="str">
            <v>20140101LGUM_431</v>
          </cell>
          <cell r="AB561" t="str">
            <v>431</v>
          </cell>
        </row>
        <row r="562">
          <cell r="C562" t="str">
            <v>RLS</v>
          </cell>
          <cell r="E562">
            <v>10</v>
          </cell>
          <cell r="F562">
            <v>0</v>
          </cell>
          <cell r="J562">
            <v>343.3</v>
          </cell>
          <cell r="M562">
            <v>0</v>
          </cell>
          <cell r="N562">
            <v>0</v>
          </cell>
          <cell r="O562">
            <v>0</v>
          </cell>
          <cell r="P562">
            <v>0</v>
          </cell>
          <cell r="Z562" t="str">
            <v>20140101LGUM_432</v>
          </cell>
          <cell r="AB562" t="str">
            <v>432</v>
          </cell>
        </row>
        <row r="563">
          <cell r="C563" t="str">
            <v xml:space="preserve">LS </v>
          </cell>
          <cell r="E563">
            <v>191</v>
          </cell>
          <cell r="F563">
            <v>0</v>
          </cell>
          <cell r="J563">
            <v>6683.09</v>
          </cell>
          <cell r="M563">
            <v>0</v>
          </cell>
          <cell r="N563">
            <v>0</v>
          </cell>
          <cell r="O563">
            <v>0</v>
          </cell>
          <cell r="P563">
            <v>0</v>
          </cell>
          <cell r="Z563" t="str">
            <v>20140101LGUM_433</v>
          </cell>
          <cell r="AB563" t="str">
            <v>433</v>
          </cell>
        </row>
        <row r="564">
          <cell r="C564" t="str">
            <v xml:space="preserve">LS </v>
          </cell>
          <cell r="E564">
            <v>0</v>
          </cell>
          <cell r="F564">
            <v>0</v>
          </cell>
          <cell r="J564">
            <v>0</v>
          </cell>
          <cell r="M564">
            <v>0</v>
          </cell>
          <cell r="N564">
            <v>0</v>
          </cell>
          <cell r="O564">
            <v>0</v>
          </cell>
          <cell r="P564">
            <v>0</v>
          </cell>
          <cell r="Z564" t="str">
            <v>20140101LGUM_439</v>
          </cell>
          <cell r="AB564" t="str">
            <v>439</v>
          </cell>
        </row>
        <row r="565">
          <cell r="C565" t="str">
            <v xml:space="preserve">LS </v>
          </cell>
          <cell r="E565">
            <v>2</v>
          </cell>
          <cell r="F565">
            <v>0</v>
          </cell>
          <cell r="J565">
            <v>36.56</v>
          </cell>
          <cell r="M565">
            <v>0</v>
          </cell>
          <cell r="N565">
            <v>0</v>
          </cell>
          <cell r="O565">
            <v>0</v>
          </cell>
          <cell r="P565">
            <v>0</v>
          </cell>
          <cell r="Z565" t="str">
            <v>20140101LGUM_440</v>
          </cell>
          <cell r="AB565" t="str">
            <v>440</v>
          </cell>
        </row>
        <row r="566">
          <cell r="C566" t="str">
            <v xml:space="preserve">LS </v>
          </cell>
          <cell r="E566">
            <v>19</v>
          </cell>
          <cell r="F566">
            <v>0</v>
          </cell>
          <cell r="J566">
            <v>424.08</v>
          </cell>
          <cell r="M566">
            <v>0</v>
          </cell>
          <cell r="N566">
            <v>0</v>
          </cell>
          <cell r="O566">
            <v>0</v>
          </cell>
          <cell r="P566">
            <v>0</v>
          </cell>
          <cell r="Z566" t="str">
            <v>20140101LGUM_441</v>
          </cell>
          <cell r="AB566" t="str">
            <v>441</v>
          </cell>
        </row>
        <row r="567">
          <cell r="C567" t="str">
            <v xml:space="preserve">LS </v>
          </cell>
          <cell r="E567">
            <v>6445</v>
          </cell>
          <cell r="F567">
            <v>0</v>
          </cell>
          <cell r="J567">
            <v>82624.899999999994</v>
          </cell>
          <cell r="M567">
            <v>0</v>
          </cell>
          <cell r="N567">
            <v>0</v>
          </cell>
          <cell r="O567">
            <v>0</v>
          </cell>
          <cell r="P567">
            <v>0</v>
          </cell>
          <cell r="Z567" t="str">
            <v>20140101LGUM_452</v>
          </cell>
          <cell r="AB567" t="str">
            <v>452</v>
          </cell>
        </row>
        <row r="568">
          <cell r="C568" t="str">
            <v xml:space="preserve">LS </v>
          </cell>
          <cell r="E568">
            <v>9227</v>
          </cell>
          <cell r="F568">
            <v>0</v>
          </cell>
          <cell r="J568">
            <v>139143.16</v>
          </cell>
          <cell r="M568">
            <v>0</v>
          </cell>
          <cell r="N568">
            <v>0</v>
          </cell>
          <cell r="O568">
            <v>0</v>
          </cell>
          <cell r="P568">
            <v>0</v>
          </cell>
          <cell r="Z568" t="str">
            <v>20140101LGUM_453</v>
          </cell>
          <cell r="AB568" t="str">
            <v>453</v>
          </cell>
        </row>
        <row r="569">
          <cell r="C569" t="str">
            <v xml:space="preserve">LS </v>
          </cell>
          <cell r="E569">
            <v>5457</v>
          </cell>
          <cell r="F569">
            <v>0</v>
          </cell>
          <cell r="J569">
            <v>94842.66</v>
          </cell>
          <cell r="M569">
            <v>0</v>
          </cell>
          <cell r="N569">
            <v>0</v>
          </cell>
          <cell r="O569">
            <v>0</v>
          </cell>
          <cell r="P569">
            <v>0</v>
          </cell>
          <cell r="Z569" t="str">
            <v>20140101LGUM_454</v>
          </cell>
          <cell r="AB569" t="str">
            <v>454</v>
          </cell>
        </row>
        <row r="570">
          <cell r="C570" t="str">
            <v xml:space="preserve">LS </v>
          </cell>
          <cell r="E570">
            <v>397</v>
          </cell>
          <cell r="F570">
            <v>0</v>
          </cell>
          <cell r="J570">
            <v>5466.69</v>
          </cell>
          <cell r="M570">
            <v>0</v>
          </cell>
          <cell r="N570">
            <v>0</v>
          </cell>
          <cell r="O570">
            <v>0</v>
          </cell>
          <cell r="P570">
            <v>0</v>
          </cell>
          <cell r="Z570" t="str">
            <v>20140101LGUM_455</v>
          </cell>
          <cell r="AB570" t="str">
            <v>455</v>
          </cell>
        </row>
        <row r="571">
          <cell r="C571" t="str">
            <v xml:space="preserve">LS </v>
          </cell>
          <cell r="E571">
            <v>12772</v>
          </cell>
          <cell r="F571">
            <v>0</v>
          </cell>
          <cell r="J571">
            <v>232578.12</v>
          </cell>
          <cell r="M571">
            <v>0</v>
          </cell>
          <cell r="N571">
            <v>0</v>
          </cell>
          <cell r="O571">
            <v>0</v>
          </cell>
          <cell r="P571">
            <v>0</v>
          </cell>
          <cell r="Z571" t="str">
            <v>20140101LGUM_456</v>
          </cell>
          <cell r="AB571" t="str">
            <v>456</v>
          </cell>
        </row>
        <row r="572">
          <cell r="C572" t="str">
            <v xml:space="preserve">LS </v>
          </cell>
          <cell r="E572">
            <v>3327</v>
          </cell>
          <cell r="F572">
            <v>0</v>
          </cell>
          <cell r="J572">
            <v>36131.22</v>
          </cell>
          <cell r="M572">
            <v>0</v>
          </cell>
          <cell r="N572">
            <v>0</v>
          </cell>
          <cell r="O572">
            <v>0</v>
          </cell>
          <cell r="P572">
            <v>0</v>
          </cell>
          <cell r="Z572" t="str">
            <v>20140101LGUM_457</v>
          </cell>
          <cell r="AB572" t="str">
            <v>457</v>
          </cell>
        </row>
        <row r="573">
          <cell r="C573" t="str">
            <v>RLS</v>
          </cell>
          <cell r="E573">
            <v>5</v>
          </cell>
          <cell r="F573">
            <v>0</v>
          </cell>
          <cell r="J573">
            <v>55.65</v>
          </cell>
          <cell r="M573">
            <v>0</v>
          </cell>
          <cell r="N573">
            <v>0</v>
          </cell>
          <cell r="O573">
            <v>0</v>
          </cell>
          <cell r="P573">
            <v>0</v>
          </cell>
          <cell r="Z573" t="str">
            <v>20140101LGUM_458</v>
          </cell>
          <cell r="AB573" t="str">
            <v>458</v>
          </cell>
        </row>
        <row r="574">
          <cell r="C574" t="str">
            <v xml:space="preserve">LS </v>
          </cell>
          <cell r="E574">
            <v>23</v>
          </cell>
          <cell r="F574">
            <v>0</v>
          </cell>
          <cell r="J574">
            <v>294.17</v>
          </cell>
          <cell r="M574">
            <v>0</v>
          </cell>
          <cell r="N574">
            <v>0</v>
          </cell>
          <cell r="O574">
            <v>0</v>
          </cell>
          <cell r="P574">
            <v>0</v>
          </cell>
          <cell r="Z574" t="str">
            <v>20140101LGUM_470</v>
          </cell>
          <cell r="AB574" t="str">
            <v>470</v>
          </cell>
        </row>
        <row r="575">
          <cell r="C575" t="str">
            <v>RLS</v>
          </cell>
          <cell r="E575">
            <v>2</v>
          </cell>
          <cell r="F575">
            <v>0</v>
          </cell>
          <cell r="J575">
            <v>30.14</v>
          </cell>
          <cell r="M575">
            <v>0</v>
          </cell>
          <cell r="N575">
            <v>0</v>
          </cell>
          <cell r="O575">
            <v>0</v>
          </cell>
          <cell r="P575">
            <v>0</v>
          </cell>
          <cell r="Z575" t="str">
            <v>20140101LGUM_471</v>
          </cell>
          <cell r="AB575" t="str">
            <v>471</v>
          </cell>
        </row>
        <row r="576">
          <cell r="C576" t="str">
            <v xml:space="preserve">LS </v>
          </cell>
          <cell r="E576">
            <v>430</v>
          </cell>
          <cell r="F576">
            <v>0</v>
          </cell>
          <cell r="J576">
            <v>8032.4</v>
          </cell>
          <cell r="M576">
            <v>0</v>
          </cell>
          <cell r="N576">
            <v>0</v>
          </cell>
          <cell r="O576">
            <v>0</v>
          </cell>
          <cell r="P576">
            <v>0</v>
          </cell>
          <cell r="Z576" t="str">
            <v>20140101LGUM_473</v>
          </cell>
          <cell r="AB576" t="str">
            <v>473</v>
          </cell>
        </row>
        <row r="577">
          <cell r="C577" t="str">
            <v>RLS</v>
          </cell>
          <cell r="E577">
            <v>53</v>
          </cell>
          <cell r="F577">
            <v>0</v>
          </cell>
          <cell r="J577">
            <v>1111.4100000000001</v>
          </cell>
          <cell r="M577">
            <v>0</v>
          </cell>
          <cell r="N577">
            <v>0</v>
          </cell>
          <cell r="O577">
            <v>0</v>
          </cell>
          <cell r="P577">
            <v>0</v>
          </cell>
          <cell r="Z577" t="str">
            <v>20140101LGUM_474</v>
          </cell>
          <cell r="AB577" t="str">
            <v>474</v>
          </cell>
        </row>
        <row r="578">
          <cell r="C578" t="str">
            <v>RLS</v>
          </cell>
          <cell r="E578">
            <v>2</v>
          </cell>
          <cell r="F578">
            <v>0</v>
          </cell>
          <cell r="J578">
            <v>56.84</v>
          </cell>
          <cell r="M578">
            <v>0</v>
          </cell>
          <cell r="N578">
            <v>0</v>
          </cell>
          <cell r="O578">
            <v>0</v>
          </cell>
          <cell r="P578">
            <v>0</v>
          </cell>
          <cell r="Z578" t="str">
            <v>20140101LGUM_475</v>
          </cell>
          <cell r="AB578" t="str">
            <v>475</v>
          </cell>
        </row>
        <row r="579">
          <cell r="C579" t="str">
            <v xml:space="preserve">LS </v>
          </cell>
          <cell r="E579">
            <v>402</v>
          </cell>
          <cell r="F579">
            <v>0</v>
          </cell>
          <cell r="J579">
            <v>15919.2</v>
          </cell>
          <cell r="M579">
            <v>0</v>
          </cell>
          <cell r="N579">
            <v>0</v>
          </cell>
          <cell r="O579">
            <v>0</v>
          </cell>
          <cell r="P579">
            <v>0</v>
          </cell>
          <cell r="Z579" t="str">
            <v>20140101LGUM_476</v>
          </cell>
          <cell r="AB579" t="str">
            <v>476</v>
          </cell>
        </row>
        <row r="580">
          <cell r="C580" t="str">
            <v>RLS</v>
          </cell>
          <cell r="E580">
            <v>62</v>
          </cell>
          <cell r="F580">
            <v>0</v>
          </cell>
          <cell r="J580">
            <v>2652.36</v>
          </cell>
          <cell r="M580">
            <v>0</v>
          </cell>
          <cell r="N580">
            <v>0</v>
          </cell>
          <cell r="O580">
            <v>0</v>
          </cell>
          <cell r="P580">
            <v>0</v>
          </cell>
          <cell r="Z580" t="str">
            <v>20140101LGUM_477</v>
          </cell>
          <cell r="AB580" t="str">
            <v>477</v>
          </cell>
        </row>
        <row r="581">
          <cell r="C581" t="str">
            <v xml:space="preserve">LS </v>
          </cell>
          <cell r="E581">
            <v>0</v>
          </cell>
          <cell r="F581">
            <v>0</v>
          </cell>
          <cell r="J581">
            <v>0</v>
          </cell>
          <cell r="M581">
            <v>0</v>
          </cell>
          <cell r="N581">
            <v>0</v>
          </cell>
          <cell r="O581">
            <v>0</v>
          </cell>
          <cell r="P581">
            <v>0</v>
          </cell>
          <cell r="Z581" t="str">
            <v>20140101LGUM_479</v>
          </cell>
          <cell r="AB581" t="str">
            <v>479</v>
          </cell>
        </row>
        <row r="582">
          <cell r="C582" t="str">
            <v xml:space="preserve">LS </v>
          </cell>
          <cell r="E582">
            <v>18</v>
          </cell>
          <cell r="F582">
            <v>0</v>
          </cell>
          <cell r="J582">
            <v>428.94</v>
          </cell>
          <cell r="M582">
            <v>0</v>
          </cell>
          <cell r="N582">
            <v>0</v>
          </cell>
          <cell r="O582">
            <v>0</v>
          </cell>
          <cell r="P582">
            <v>0</v>
          </cell>
          <cell r="Z582" t="str">
            <v>20140101LGUM_480</v>
          </cell>
          <cell r="AB582" t="str">
            <v>480</v>
          </cell>
        </row>
        <row r="583">
          <cell r="C583" t="str">
            <v xml:space="preserve">LS </v>
          </cell>
          <cell r="E583">
            <v>4</v>
          </cell>
          <cell r="F583">
            <v>0</v>
          </cell>
          <cell r="J583">
            <v>81.84</v>
          </cell>
          <cell r="M583">
            <v>0</v>
          </cell>
          <cell r="N583">
            <v>0</v>
          </cell>
          <cell r="O583">
            <v>0</v>
          </cell>
          <cell r="P583">
            <v>0</v>
          </cell>
          <cell r="Z583" t="str">
            <v>20140101LGUM_481</v>
          </cell>
          <cell r="AB583" t="str">
            <v>481</v>
          </cell>
        </row>
        <row r="584">
          <cell r="C584" t="str">
            <v xml:space="preserve">LS </v>
          </cell>
          <cell r="E584">
            <v>43</v>
          </cell>
          <cell r="F584">
            <v>0</v>
          </cell>
          <cell r="J584">
            <v>1299.03</v>
          </cell>
          <cell r="M584">
            <v>0</v>
          </cell>
          <cell r="N584">
            <v>0</v>
          </cell>
          <cell r="O584">
            <v>0</v>
          </cell>
          <cell r="P584">
            <v>0</v>
          </cell>
          <cell r="Z584" t="str">
            <v>20140101LGUM_482</v>
          </cell>
          <cell r="AB584" t="str">
            <v>482</v>
          </cell>
        </row>
        <row r="585">
          <cell r="C585" t="str">
            <v xml:space="preserve">LS </v>
          </cell>
          <cell r="E585">
            <v>2</v>
          </cell>
          <cell r="F585">
            <v>0</v>
          </cell>
          <cell r="J585">
            <v>85.12</v>
          </cell>
          <cell r="M585">
            <v>0</v>
          </cell>
          <cell r="N585">
            <v>0</v>
          </cell>
          <cell r="O585">
            <v>0</v>
          </cell>
          <cell r="P585">
            <v>0</v>
          </cell>
          <cell r="Z585" t="str">
            <v>20140101LGUM_483</v>
          </cell>
          <cell r="AB585" t="str">
            <v>483</v>
          </cell>
        </row>
        <row r="586">
          <cell r="C586" t="str">
            <v xml:space="preserve">LS </v>
          </cell>
          <cell r="E586">
            <v>13</v>
          </cell>
          <cell r="F586">
            <v>0</v>
          </cell>
          <cell r="J586">
            <v>680.03</v>
          </cell>
          <cell r="M586">
            <v>0</v>
          </cell>
          <cell r="N586">
            <v>0</v>
          </cell>
          <cell r="O586">
            <v>0</v>
          </cell>
          <cell r="P586">
            <v>0</v>
          </cell>
          <cell r="Z586" t="str">
            <v>20140101LGUM_484</v>
          </cell>
          <cell r="AB586" t="str">
            <v>484</v>
          </cell>
        </row>
        <row r="587">
          <cell r="C587" t="str">
            <v>ODL</v>
          </cell>
          <cell r="E587">
            <v>0</v>
          </cell>
          <cell r="F587">
            <v>7966910</v>
          </cell>
          <cell r="J587">
            <v>0</v>
          </cell>
          <cell r="M587">
            <v>17133</v>
          </cell>
          <cell r="N587">
            <v>51055</v>
          </cell>
          <cell r="O587">
            <v>0</v>
          </cell>
          <cell r="P587">
            <v>1615568</v>
          </cell>
          <cell r="Z587" t="str">
            <v>20140101ODL</v>
          </cell>
          <cell r="AB587" t="str">
            <v>ODL</v>
          </cell>
        </row>
        <row r="588">
          <cell r="C588" t="str">
            <v>RLS</v>
          </cell>
          <cell r="E588">
            <v>77</v>
          </cell>
          <cell r="F588">
            <v>0</v>
          </cell>
          <cell r="J588">
            <v>626.78</v>
          </cell>
          <cell r="M588">
            <v>0</v>
          </cell>
          <cell r="N588">
            <v>0</v>
          </cell>
          <cell r="O588">
            <v>0</v>
          </cell>
          <cell r="P588">
            <v>0</v>
          </cell>
          <cell r="Z588" t="str">
            <v>20140101LGUM_201</v>
          </cell>
          <cell r="AB588" t="str">
            <v>201</v>
          </cell>
        </row>
        <row r="589">
          <cell r="C589" t="str">
            <v>RLS</v>
          </cell>
          <cell r="E589">
            <v>3839</v>
          </cell>
          <cell r="F589">
            <v>0</v>
          </cell>
          <cell r="J589">
            <v>42075.44</v>
          </cell>
          <cell r="M589">
            <v>0</v>
          </cell>
          <cell r="N589">
            <v>0</v>
          </cell>
          <cell r="O589">
            <v>0</v>
          </cell>
          <cell r="P589">
            <v>0</v>
          </cell>
          <cell r="Z589" t="str">
            <v>20140101LGUM_203</v>
          </cell>
          <cell r="AB589" t="str">
            <v>203</v>
          </cell>
        </row>
        <row r="590">
          <cell r="C590" t="str">
            <v>RLS</v>
          </cell>
          <cell r="E590">
            <v>3859</v>
          </cell>
          <cell r="F590">
            <v>0</v>
          </cell>
          <cell r="J590">
            <v>52135.09</v>
          </cell>
          <cell r="M590">
            <v>0</v>
          </cell>
          <cell r="N590">
            <v>0</v>
          </cell>
          <cell r="O590">
            <v>0</v>
          </cell>
          <cell r="P590">
            <v>0</v>
          </cell>
          <cell r="Z590" t="str">
            <v>20140101LGUM_204</v>
          </cell>
          <cell r="AB590" t="str">
            <v>204</v>
          </cell>
        </row>
        <row r="591">
          <cell r="C591" t="str">
            <v>RLS</v>
          </cell>
          <cell r="E591">
            <v>96</v>
          </cell>
          <cell r="F591">
            <v>0</v>
          </cell>
          <cell r="J591">
            <v>1195.2</v>
          </cell>
          <cell r="M591">
            <v>0</v>
          </cell>
          <cell r="N591">
            <v>0</v>
          </cell>
          <cell r="O591">
            <v>0</v>
          </cell>
          <cell r="P591">
            <v>0</v>
          </cell>
          <cell r="Z591" t="str">
            <v>20140101LGUM_206</v>
          </cell>
          <cell r="AB591" t="str">
            <v>206</v>
          </cell>
        </row>
        <row r="592">
          <cell r="C592" t="str">
            <v>RLS</v>
          </cell>
          <cell r="E592">
            <v>751</v>
          </cell>
          <cell r="F592">
            <v>0</v>
          </cell>
          <cell r="J592">
            <v>11670.54</v>
          </cell>
          <cell r="M592">
            <v>0</v>
          </cell>
          <cell r="N592">
            <v>0</v>
          </cell>
          <cell r="O592">
            <v>0</v>
          </cell>
          <cell r="P592">
            <v>0</v>
          </cell>
          <cell r="Z592" t="str">
            <v>20140101LGUM_207</v>
          </cell>
          <cell r="AB592" t="str">
            <v>207</v>
          </cell>
        </row>
        <row r="593">
          <cell r="C593" t="str">
            <v>RLS</v>
          </cell>
          <cell r="E593">
            <v>1351</v>
          </cell>
          <cell r="F593">
            <v>0</v>
          </cell>
          <cell r="J593">
            <v>19238.240000000002</v>
          </cell>
          <cell r="M593">
            <v>0</v>
          </cell>
          <cell r="N593">
            <v>0</v>
          </cell>
          <cell r="O593">
            <v>0</v>
          </cell>
          <cell r="P593">
            <v>0</v>
          </cell>
          <cell r="Z593" t="str">
            <v>20140101LGUM_208</v>
          </cell>
          <cell r="AB593" t="str">
            <v>208</v>
          </cell>
        </row>
        <row r="594">
          <cell r="C594" t="str">
            <v>RLS</v>
          </cell>
          <cell r="E594">
            <v>45</v>
          </cell>
          <cell r="F594">
            <v>0</v>
          </cell>
          <cell r="J594">
            <v>1246.05</v>
          </cell>
          <cell r="M594">
            <v>0</v>
          </cell>
          <cell r="N594">
            <v>0</v>
          </cell>
          <cell r="O594">
            <v>0</v>
          </cell>
          <cell r="P594">
            <v>0</v>
          </cell>
          <cell r="Z594" t="str">
            <v>20140101LGUM_209</v>
          </cell>
          <cell r="AB594" t="str">
            <v>209</v>
          </cell>
        </row>
        <row r="595">
          <cell r="C595" t="str">
            <v>RLS</v>
          </cell>
          <cell r="E595">
            <v>382</v>
          </cell>
          <cell r="F595">
            <v>0</v>
          </cell>
          <cell r="J595">
            <v>11035.98</v>
          </cell>
          <cell r="M595">
            <v>0</v>
          </cell>
          <cell r="N595">
            <v>0</v>
          </cell>
          <cell r="O595">
            <v>0</v>
          </cell>
          <cell r="P595">
            <v>0</v>
          </cell>
          <cell r="Z595" t="str">
            <v>20140101LGUM_210</v>
          </cell>
          <cell r="AB595" t="str">
            <v>210</v>
          </cell>
        </row>
        <row r="596">
          <cell r="C596" t="str">
            <v>RLS</v>
          </cell>
          <cell r="E596">
            <v>4067</v>
          </cell>
          <cell r="F596">
            <v>0</v>
          </cell>
          <cell r="J596">
            <v>38921.19</v>
          </cell>
          <cell r="M596">
            <v>0</v>
          </cell>
          <cell r="N596">
            <v>0</v>
          </cell>
          <cell r="O596">
            <v>0</v>
          </cell>
          <cell r="P596">
            <v>0</v>
          </cell>
          <cell r="Z596" t="str">
            <v>20140101LGUM_252</v>
          </cell>
          <cell r="AB596" t="str">
            <v>252</v>
          </cell>
        </row>
        <row r="597">
          <cell r="C597" t="str">
            <v>RLS</v>
          </cell>
          <cell r="E597">
            <v>2018</v>
          </cell>
          <cell r="F597">
            <v>0</v>
          </cell>
          <cell r="J597">
            <v>55172.12</v>
          </cell>
          <cell r="M597">
            <v>0</v>
          </cell>
          <cell r="N597">
            <v>0</v>
          </cell>
          <cell r="O597">
            <v>0</v>
          </cell>
          <cell r="P597">
            <v>0</v>
          </cell>
          <cell r="Z597" t="str">
            <v>20140101LGUM_266</v>
          </cell>
          <cell r="AB597" t="str">
            <v>266</v>
          </cell>
        </row>
        <row r="598">
          <cell r="C598" t="str">
            <v>RLS</v>
          </cell>
          <cell r="E598">
            <v>2221</v>
          </cell>
          <cell r="F598">
            <v>0</v>
          </cell>
          <cell r="J598">
            <v>69739.399999999994</v>
          </cell>
          <cell r="M598">
            <v>0</v>
          </cell>
          <cell r="N598">
            <v>0</v>
          </cell>
          <cell r="O598">
            <v>0</v>
          </cell>
          <cell r="P598">
            <v>0</v>
          </cell>
          <cell r="Z598" t="str">
            <v>20140101LGUM_267</v>
          </cell>
          <cell r="AB598" t="str">
            <v>267</v>
          </cell>
        </row>
        <row r="599">
          <cell r="C599" t="str">
            <v>RLS</v>
          </cell>
          <cell r="E599">
            <v>16635</v>
          </cell>
          <cell r="F599">
            <v>0</v>
          </cell>
          <cell r="J599">
            <v>285955.65000000002</v>
          </cell>
          <cell r="M599">
            <v>0</v>
          </cell>
          <cell r="N599">
            <v>0</v>
          </cell>
          <cell r="O599">
            <v>0</v>
          </cell>
          <cell r="P599">
            <v>0</v>
          </cell>
          <cell r="Z599" t="str">
            <v>20140101LGUM_274</v>
          </cell>
          <cell r="AB599" t="str">
            <v>274</v>
          </cell>
        </row>
        <row r="600">
          <cell r="C600" t="str">
            <v>RLS</v>
          </cell>
          <cell r="E600">
            <v>510</v>
          </cell>
          <cell r="F600">
            <v>0</v>
          </cell>
          <cell r="J600">
            <v>12693.9</v>
          </cell>
          <cell r="M600">
            <v>0</v>
          </cell>
          <cell r="N600">
            <v>0</v>
          </cell>
          <cell r="O600">
            <v>0</v>
          </cell>
          <cell r="P600">
            <v>0</v>
          </cell>
          <cell r="Z600" t="str">
            <v>20140101LGUM_275</v>
          </cell>
          <cell r="AB600" t="str">
            <v>275</v>
          </cell>
        </row>
        <row r="601">
          <cell r="C601" t="str">
            <v>RLS</v>
          </cell>
          <cell r="E601">
            <v>1307</v>
          </cell>
          <cell r="F601">
            <v>0</v>
          </cell>
          <cell r="J601">
            <v>18520.189999999999</v>
          </cell>
          <cell r="M601">
            <v>0</v>
          </cell>
          <cell r="N601">
            <v>0</v>
          </cell>
          <cell r="O601">
            <v>0</v>
          </cell>
          <cell r="P601">
            <v>0</v>
          </cell>
          <cell r="Z601" t="str">
            <v>20140101LGUM_276</v>
          </cell>
          <cell r="AB601" t="str">
            <v>276</v>
          </cell>
        </row>
        <row r="602">
          <cell r="C602" t="str">
            <v>RLS</v>
          </cell>
          <cell r="E602">
            <v>2234</v>
          </cell>
          <cell r="F602">
            <v>0</v>
          </cell>
          <cell r="J602">
            <v>49483.1</v>
          </cell>
          <cell r="M602">
            <v>0</v>
          </cell>
          <cell r="N602">
            <v>0</v>
          </cell>
          <cell r="O602">
            <v>0</v>
          </cell>
          <cell r="P602">
            <v>0</v>
          </cell>
          <cell r="Z602" t="str">
            <v>20140101LGUM_277</v>
          </cell>
          <cell r="AB602" t="str">
            <v>277</v>
          </cell>
        </row>
        <row r="603">
          <cell r="C603" t="str">
            <v>RLS</v>
          </cell>
          <cell r="E603">
            <v>17</v>
          </cell>
          <cell r="F603">
            <v>0</v>
          </cell>
          <cell r="J603">
            <v>1233.3499999999999</v>
          </cell>
          <cell r="M603">
            <v>0</v>
          </cell>
          <cell r="N603">
            <v>0</v>
          </cell>
          <cell r="O603">
            <v>0</v>
          </cell>
          <cell r="P603">
            <v>0</v>
          </cell>
          <cell r="Z603" t="str">
            <v>20140101LGUM_278</v>
          </cell>
          <cell r="AB603" t="str">
            <v>278</v>
          </cell>
        </row>
        <row r="604">
          <cell r="C604" t="str">
            <v>RLS</v>
          </cell>
          <cell r="E604">
            <v>11</v>
          </cell>
          <cell r="F604">
            <v>0</v>
          </cell>
          <cell r="J604">
            <v>455.73</v>
          </cell>
          <cell r="M604">
            <v>0</v>
          </cell>
          <cell r="N604">
            <v>0</v>
          </cell>
          <cell r="O604">
            <v>0</v>
          </cell>
          <cell r="P604">
            <v>0</v>
          </cell>
          <cell r="Z604" t="str">
            <v>20140101LGUM_279</v>
          </cell>
          <cell r="AB604" t="str">
            <v>279</v>
          </cell>
        </row>
        <row r="605">
          <cell r="C605" t="str">
            <v>RLS</v>
          </cell>
          <cell r="E605">
            <v>45</v>
          </cell>
          <cell r="F605">
            <v>0</v>
          </cell>
          <cell r="J605">
            <v>872.1</v>
          </cell>
          <cell r="M605">
            <v>0</v>
          </cell>
          <cell r="N605">
            <v>0</v>
          </cell>
          <cell r="O605">
            <v>0</v>
          </cell>
          <cell r="P605">
            <v>0</v>
          </cell>
          <cell r="Z605" t="str">
            <v>20140101LGUM_280</v>
          </cell>
          <cell r="AB605" t="str">
            <v>280</v>
          </cell>
        </row>
        <row r="606">
          <cell r="C606" t="str">
            <v>RLS</v>
          </cell>
          <cell r="E606">
            <v>240</v>
          </cell>
          <cell r="F606">
            <v>0</v>
          </cell>
          <cell r="J606">
            <v>4884</v>
          </cell>
          <cell r="M606">
            <v>0</v>
          </cell>
          <cell r="N606">
            <v>0</v>
          </cell>
          <cell r="O606">
            <v>0</v>
          </cell>
          <cell r="P606">
            <v>0</v>
          </cell>
          <cell r="Z606" t="str">
            <v>20140101LGUM_281</v>
          </cell>
          <cell r="AB606" t="str">
            <v>281</v>
          </cell>
        </row>
        <row r="607">
          <cell r="C607" t="str">
            <v>RLS</v>
          </cell>
          <cell r="E607">
            <v>103</v>
          </cell>
          <cell r="F607">
            <v>0</v>
          </cell>
          <cell r="J607">
            <v>2011.59</v>
          </cell>
          <cell r="M607">
            <v>0</v>
          </cell>
          <cell r="N607">
            <v>0</v>
          </cell>
          <cell r="O607">
            <v>0</v>
          </cell>
          <cell r="P607">
            <v>0</v>
          </cell>
          <cell r="Z607" t="str">
            <v>20140101LGUM_282</v>
          </cell>
          <cell r="AB607" t="str">
            <v>282</v>
          </cell>
        </row>
        <row r="608">
          <cell r="C608" t="str">
            <v>RLS</v>
          </cell>
          <cell r="E608">
            <v>80</v>
          </cell>
          <cell r="F608">
            <v>0</v>
          </cell>
          <cell r="J608">
            <v>1665.6</v>
          </cell>
          <cell r="M608">
            <v>0</v>
          </cell>
          <cell r="N608">
            <v>0</v>
          </cell>
          <cell r="O608">
            <v>0</v>
          </cell>
          <cell r="P608">
            <v>0</v>
          </cell>
          <cell r="Z608" t="str">
            <v>20140101LGUM_283</v>
          </cell>
          <cell r="AB608" t="str">
            <v>283</v>
          </cell>
        </row>
        <row r="609">
          <cell r="C609" t="str">
            <v>RLS</v>
          </cell>
          <cell r="E609">
            <v>558</v>
          </cell>
          <cell r="F609">
            <v>0</v>
          </cell>
          <cell r="J609">
            <v>10713.6</v>
          </cell>
          <cell r="M609">
            <v>0</v>
          </cell>
          <cell r="N609">
            <v>0</v>
          </cell>
          <cell r="O609">
            <v>0</v>
          </cell>
          <cell r="P609">
            <v>0</v>
          </cell>
          <cell r="Z609" t="str">
            <v>20140101LGUM_314</v>
          </cell>
          <cell r="AB609" t="str">
            <v>314</v>
          </cell>
        </row>
        <row r="610">
          <cell r="C610" t="str">
            <v>RLS</v>
          </cell>
          <cell r="E610">
            <v>534</v>
          </cell>
          <cell r="F610">
            <v>0</v>
          </cell>
          <cell r="J610">
            <v>12255.3</v>
          </cell>
          <cell r="M610">
            <v>0</v>
          </cell>
          <cell r="N610">
            <v>0</v>
          </cell>
          <cell r="O610">
            <v>0</v>
          </cell>
          <cell r="P610">
            <v>0</v>
          </cell>
          <cell r="Z610" t="str">
            <v>20140101LGUM_315</v>
          </cell>
          <cell r="AB610" t="str">
            <v>315</v>
          </cell>
        </row>
        <row r="611">
          <cell r="C611" t="str">
            <v>RLS</v>
          </cell>
          <cell r="E611">
            <v>55</v>
          </cell>
          <cell r="F611">
            <v>0</v>
          </cell>
          <cell r="J611">
            <v>958.1</v>
          </cell>
          <cell r="M611">
            <v>0</v>
          </cell>
          <cell r="N611">
            <v>0</v>
          </cell>
          <cell r="O611">
            <v>0</v>
          </cell>
          <cell r="P611">
            <v>0</v>
          </cell>
          <cell r="Z611" t="str">
            <v>20140101LGUM_318</v>
          </cell>
          <cell r="AB611" t="str">
            <v>318</v>
          </cell>
        </row>
        <row r="612">
          <cell r="C612" t="str">
            <v>RLS</v>
          </cell>
          <cell r="E612">
            <v>0</v>
          </cell>
          <cell r="F612">
            <v>0</v>
          </cell>
          <cell r="J612">
            <v>0</v>
          </cell>
          <cell r="M612">
            <v>0</v>
          </cell>
          <cell r="N612">
            <v>0</v>
          </cell>
          <cell r="O612">
            <v>0</v>
          </cell>
          <cell r="P612">
            <v>0</v>
          </cell>
          <cell r="Z612" t="str">
            <v>20140101LGUM_347</v>
          </cell>
          <cell r="AB612" t="str">
            <v>347</v>
          </cell>
        </row>
        <row r="613">
          <cell r="C613" t="str">
            <v>RLS</v>
          </cell>
          <cell r="E613">
            <v>39</v>
          </cell>
          <cell r="F613">
            <v>0</v>
          </cell>
          <cell r="J613">
            <v>511.68</v>
          </cell>
          <cell r="M613">
            <v>0</v>
          </cell>
          <cell r="N613">
            <v>0</v>
          </cell>
          <cell r="O613">
            <v>0</v>
          </cell>
          <cell r="P613">
            <v>0</v>
          </cell>
          <cell r="Z613" t="str">
            <v>20140101LGUM_348</v>
          </cell>
          <cell r="AB613" t="str">
            <v>348</v>
          </cell>
        </row>
        <row r="614">
          <cell r="C614" t="str">
            <v>RLS</v>
          </cell>
          <cell r="E614">
            <v>16</v>
          </cell>
          <cell r="F614">
            <v>0</v>
          </cell>
          <cell r="J614">
            <v>144.32</v>
          </cell>
          <cell r="M614">
            <v>0</v>
          </cell>
          <cell r="N614">
            <v>0</v>
          </cell>
          <cell r="O614">
            <v>0</v>
          </cell>
          <cell r="P614">
            <v>0</v>
          </cell>
          <cell r="Z614" t="str">
            <v>20140101LGUM_349</v>
          </cell>
          <cell r="AB614" t="str">
            <v>349</v>
          </cell>
        </row>
        <row r="615">
          <cell r="C615" t="str">
            <v xml:space="preserve">LS </v>
          </cell>
          <cell r="E615">
            <v>32</v>
          </cell>
          <cell r="F615">
            <v>0</v>
          </cell>
          <cell r="J615">
            <v>764.48</v>
          </cell>
          <cell r="M615">
            <v>0</v>
          </cell>
          <cell r="N615">
            <v>0</v>
          </cell>
          <cell r="O615">
            <v>0</v>
          </cell>
          <cell r="P615">
            <v>0</v>
          </cell>
          <cell r="Z615" t="str">
            <v>20140101LGUM_400</v>
          </cell>
          <cell r="AB615" t="str">
            <v>400</v>
          </cell>
        </row>
        <row r="616">
          <cell r="C616" t="str">
            <v xml:space="preserve">LS </v>
          </cell>
          <cell r="E616">
            <v>4</v>
          </cell>
          <cell r="F616">
            <v>0</v>
          </cell>
          <cell r="J616">
            <v>99.6</v>
          </cell>
          <cell r="M616">
            <v>0</v>
          </cell>
          <cell r="N616">
            <v>0</v>
          </cell>
          <cell r="O616">
            <v>0</v>
          </cell>
          <cell r="P616">
            <v>0</v>
          </cell>
          <cell r="Z616" t="str">
            <v>20140101LGUM_401</v>
          </cell>
          <cell r="AB616" t="str">
            <v>401</v>
          </cell>
        </row>
        <row r="617">
          <cell r="C617" t="str">
            <v xml:space="preserve">LS </v>
          </cell>
          <cell r="E617">
            <v>212</v>
          </cell>
          <cell r="F617">
            <v>0</v>
          </cell>
          <cell r="J617">
            <v>4195.4799999999996</v>
          </cell>
          <cell r="M617">
            <v>0</v>
          </cell>
          <cell r="N617">
            <v>0</v>
          </cell>
          <cell r="O617">
            <v>0</v>
          </cell>
          <cell r="P617">
            <v>0</v>
          </cell>
          <cell r="Z617" t="str">
            <v>20140101LGUM_412</v>
          </cell>
          <cell r="AB617" t="str">
            <v>412</v>
          </cell>
        </row>
        <row r="618">
          <cell r="C618" t="str">
            <v xml:space="preserve">LS </v>
          </cell>
          <cell r="E618">
            <v>1995</v>
          </cell>
          <cell r="F618">
            <v>0</v>
          </cell>
          <cell r="J618">
            <v>40877.550000000003</v>
          </cell>
          <cell r="M618">
            <v>0</v>
          </cell>
          <cell r="N618">
            <v>0</v>
          </cell>
          <cell r="O618">
            <v>0</v>
          </cell>
          <cell r="P618">
            <v>0</v>
          </cell>
          <cell r="Z618" t="str">
            <v>20140101LGUM_413</v>
          </cell>
          <cell r="AB618" t="str">
            <v>413</v>
          </cell>
        </row>
        <row r="619">
          <cell r="C619" t="str">
            <v xml:space="preserve">LS </v>
          </cell>
          <cell r="E619">
            <v>19</v>
          </cell>
          <cell r="F619">
            <v>0</v>
          </cell>
          <cell r="J619">
            <v>383.42</v>
          </cell>
          <cell r="M619">
            <v>0</v>
          </cell>
          <cell r="N619">
            <v>0</v>
          </cell>
          <cell r="O619">
            <v>0</v>
          </cell>
          <cell r="P619">
            <v>0</v>
          </cell>
          <cell r="Z619" t="str">
            <v>20140101LGUM_415</v>
          </cell>
          <cell r="AB619" t="str">
            <v>415</v>
          </cell>
        </row>
        <row r="620">
          <cell r="C620" t="str">
            <v xml:space="preserve">LS </v>
          </cell>
          <cell r="E620">
            <v>1782</v>
          </cell>
          <cell r="F620">
            <v>0</v>
          </cell>
          <cell r="J620">
            <v>40201.919999999998</v>
          </cell>
          <cell r="M620">
            <v>0</v>
          </cell>
          <cell r="N620">
            <v>0</v>
          </cell>
          <cell r="O620">
            <v>0</v>
          </cell>
          <cell r="P620">
            <v>0</v>
          </cell>
          <cell r="Z620" t="str">
            <v>20140101LGUM_416</v>
          </cell>
          <cell r="AB620" t="str">
            <v>416</v>
          </cell>
        </row>
        <row r="621">
          <cell r="C621" t="str">
            <v>RLS</v>
          </cell>
          <cell r="E621">
            <v>35</v>
          </cell>
          <cell r="F621">
            <v>0</v>
          </cell>
          <cell r="J621">
            <v>828.8</v>
          </cell>
          <cell r="M621">
            <v>0</v>
          </cell>
          <cell r="N621">
            <v>0</v>
          </cell>
          <cell r="O621">
            <v>0</v>
          </cell>
          <cell r="P621">
            <v>0</v>
          </cell>
          <cell r="Z621" t="str">
            <v>20140101LGUM_417</v>
          </cell>
          <cell r="AB621" t="str">
            <v>417</v>
          </cell>
        </row>
        <row r="622">
          <cell r="C622" t="str">
            <v>RLS</v>
          </cell>
          <cell r="E622">
            <v>112</v>
          </cell>
          <cell r="F622">
            <v>0</v>
          </cell>
          <cell r="J622">
            <v>2774.24</v>
          </cell>
          <cell r="M622">
            <v>0</v>
          </cell>
          <cell r="N622">
            <v>0</v>
          </cell>
          <cell r="O622">
            <v>0</v>
          </cell>
          <cell r="P622">
            <v>0</v>
          </cell>
          <cell r="Z622" t="str">
            <v>20140101LGUM_419</v>
          </cell>
          <cell r="AB622" t="str">
            <v>419</v>
          </cell>
        </row>
        <row r="623">
          <cell r="C623" t="str">
            <v xml:space="preserve">LS </v>
          </cell>
          <cell r="E623">
            <v>53</v>
          </cell>
          <cell r="F623">
            <v>0</v>
          </cell>
          <cell r="J623">
            <v>1584.17</v>
          </cell>
          <cell r="M623">
            <v>0</v>
          </cell>
          <cell r="N623">
            <v>0</v>
          </cell>
          <cell r="O623">
            <v>0</v>
          </cell>
          <cell r="P623">
            <v>0</v>
          </cell>
          <cell r="Z623" t="str">
            <v>20140101LGUM_420</v>
          </cell>
          <cell r="AB623" t="str">
            <v>420</v>
          </cell>
        </row>
        <row r="624">
          <cell r="C624" t="str">
            <v xml:space="preserve">LS </v>
          </cell>
          <cell r="E624">
            <v>175</v>
          </cell>
          <cell r="F624">
            <v>0</v>
          </cell>
          <cell r="J624">
            <v>5750.5</v>
          </cell>
          <cell r="M624">
            <v>0</v>
          </cell>
          <cell r="N624">
            <v>0</v>
          </cell>
          <cell r="O624">
            <v>0</v>
          </cell>
          <cell r="P624">
            <v>0</v>
          </cell>
          <cell r="Z624" t="str">
            <v>20140101LGUM_421</v>
          </cell>
          <cell r="AB624" t="str">
            <v>421</v>
          </cell>
        </row>
        <row r="625">
          <cell r="C625" t="str">
            <v xml:space="preserve">LS </v>
          </cell>
          <cell r="E625">
            <v>351</v>
          </cell>
          <cell r="F625">
            <v>0</v>
          </cell>
          <cell r="J625">
            <v>13474.89</v>
          </cell>
          <cell r="M625">
            <v>0</v>
          </cell>
          <cell r="N625">
            <v>0</v>
          </cell>
          <cell r="O625">
            <v>0</v>
          </cell>
          <cell r="P625">
            <v>0</v>
          </cell>
          <cell r="Z625" t="str">
            <v>20140101LGUM_422</v>
          </cell>
          <cell r="AB625" t="str">
            <v>422</v>
          </cell>
        </row>
        <row r="626">
          <cell r="C626" t="str">
            <v xml:space="preserve">LS </v>
          </cell>
          <cell r="E626">
            <v>17</v>
          </cell>
          <cell r="F626">
            <v>0</v>
          </cell>
          <cell r="J626">
            <v>447.95</v>
          </cell>
          <cell r="M626">
            <v>0</v>
          </cell>
          <cell r="N626">
            <v>0</v>
          </cell>
          <cell r="O626">
            <v>0</v>
          </cell>
          <cell r="P626">
            <v>0</v>
          </cell>
          <cell r="Z626" t="str">
            <v>20140101LGUM_423</v>
          </cell>
          <cell r="AB626" t="str">
            <v>423</v>
          </cell>
        </row>
        <row r="627">
          <cell r="C627" t="str">
            <v xml:space="preserve">LS </v>
          </cell>
          <cell r="E627">
            <v>350</v>
          </cell>
          <cell r="F627">
            <v>0</v>
          </cell>
          <cell r="J627">
            <v>9957.5</v>
          </cell>
          <cell r="M627">
            <v>0</v>
          </cell>
          <cell r="N627">
            <v>0</v>
          </cell>
          <cell r="O627">
            <v>0</v>
          </cell>
          <cell r="P627">
            <v>0</v>
          </cell>
          <cell r="Z627" t="str">
            <v>20140101LGUM_424</v>
          </cell>
          <cell r="AB627" t="str">
            <v>424</v>
          </cell>
        </row>
        <row r="628">
          <cell r="C628" t="str">
            <v xml:space="preserve">LS </v>
          </cell>
          <cell r="E628">
            <v>31</v>
          </cell>
          <cell r="F628">
            <v>0</v>
          </cell>
          <cell r="J628">
            <v>1054.93</v>
          </cell>
          <cell r="M628">
            <v>0</v>
          </cell>
          <cell r="N628">
            <v>0</v>
          </cell>
          <cell r="O628">
            <v>0</v>
          </cell>
          <cell r="P628">
            <v>0</v>
          </cell>
          <cell r="Z628" t="str">
            <v>20140101LGUM_425</v>
          </cell>
          <cell r="AB628" t="str">
            <v>425</v>
          </cell>
        </row>
        <row r="629">
          <cell r="C629" t="str">
            <v>RLS</v>
          </cell>
          <cell r="E629">
            <v>40</v>
          </cell>
          <cell r="F629">
            <v>0</v>
          </cell>
          <cell r="J629">
            <v>1328.8</v>
          </cell>
          <cell r="M629">
            <v>0</v>
          </cell>
          <cell r="N629">
            <v>0</v>
          </cell>
          <cell r="O629">
            <v>0</v>
          </cell>
          <cell r="P629">
            <v>0</v>
          </cell>
          <cell r="Z629" t="str">
            <v>20140101LGUM_426</v>
          </cell>
          <cell r="AB629" t="str">
            <v>426</v>
          </cell>
        </row>
        <row r="630">
          <cell r="C630" t="str">
            <v xml:space="preserve">LS </v>
          </cell>
          <cell r="E630">
            <v>52</v>
          </cell>
          <cell r="F630">
            <v>0</v>
          </cell>
          <cell r="J630">
            <v>1830.4</v>
          </cell>
          <cell r="M630">
            <v>0</v>
          </cell>
          <cell r="N630">
            <v>0</v>
          </cell>
          <cell r="O630">
            <v>0</v>
          </cell>
          <cell r="P630">
            <v>0</v>
          </cell>
          <cell r="Z630" t="str">
            <v>20140101LGUM_427</v>
          </cell>
          <cell r="AB630" t="str">
            <v>427</v>
          </cell>
        </row>
        <row r="631">
          <cell r="C631" t="str">
            <v>RLS</v>
          </cell>
          <cell r="E631">
            <v>194</v>
          </cell>
          <cell r="F631">
            <v>0</v>
          </cell>
          <cell r="J631">
            <v>6613.46</v>
          </cell>
          <cell r="M631">
            <v>0</v>
          </cell>
          <cell r="N631">
            <v>0</v>
          </cell>
          <cell r="O631">
            <v>0</v>
          </cell>
          <cell r="P631">
            <v>0</v>
          </cell>
          <cell r="Z631" t="str">
            <v>20140101LGUM_428</v>
          </cell>
          <cell r="AB631" t="str">
            <v>428</v>
          </cell>
        </row>
        <row r="632">
          <cell r="C632" t="str">
            <v xml:space="preserve">LS </v>
          </cell>
          <cell r="E632">
            <v>189</v>
          </cell>
          <cell r="F632">
            <v>0</v>
          </cell>
          <cell r="J632">
            <v>6817.23</v>
          </cell>
          <cell r="M632">
            <v>0</v>
          </cell>
          <cell r="N632">
            <v>0</v>
          </cell>
          <cell r="O632">
            <v>0</v>
          </cell>
          <cell r="P632">
            <v>0</v>
          </cell>
          <cell r="Z632" t="str">
            <v>20140101LGUM_429</v>
          </cell>
          <cell r="AB632" t="str">
            <v>429</v>
          </cell>
        </row>
        <row r="633">
          <cell r="C633" t="str">
            <v>RLS</v>
          </cell>
          <cell r="E633">
            <v>13</v>
          </cell>
          <cell r="F633">
            <v>0</v>
          </cell>
          <cell r="J633">
            <v>419.38</v>
          </cell>
          <cell r="M633">
            <v>0</v>
          </cell>
          <cell r="N633">
            <v>0</v>
          </cell>
          <cell r="O633">
            <v>0</v>
          </cell>
          <cell r="P633">
            <v>0</v>
          </cell>
          <cell r="Z633" t="str">
            <v>20140101LGUM_430</v>
          </cell>
          <cell r="AB633" t="str">
            <v>430</v>
          </cell>
        </row>
        <row r="634">
          <cell r="C634" t="str">
            <v xml:space="preserve">LS </v>
          </cell>
          <cell r="E634">
            <v>44</v>
          </cell>
          <cell r="F634">
            <v>0</v>
          </cell>
          <cell r="J634">
            <v>1448.92</v>
          </cell>
          <cell r="M634">
            <v>0</v>
          </cell>
          <cell r="N634">
            <v>0</v>
          </cell>
          <cell r="O634">
            <v>0</v>
          </cell>
          <cell r="P634">
            <v>0</v>
          </cell>
          <cell r="Z634" t="str">
            <v>20140101LGUM_431</v>
          </cell>
          <cell r="AB634" t="str">
            <v>431</v>
          </cell>
        </row>
        <row r="635">
          <cell r="C635" t="str">
            <v>RLS</v>
          </cell>
          <cell r="E635">
            <v>10</v>
          </cell>
          <cell r="F635">
            <v>0</v>
          </cell>
          <cell r="J635">
            <v>343.3</v>
          </cell>
          <cell r="M635">
            <v>0</v>
          </cell>
          <cell r="N635">
            <v>0</v>
          </cell>
          <cell r="O635">
            <v>0</v>
          </cell>
          <cell r="P635">
            <v>0</v>
          </cell>
          <cell r="Z635" t="str">
            <v>20140101LGUM_432</v>
          </cell>
          <cell r="AB635" t="str">
            <v>432</v>
          </cell>
        </row>
        <row r="636">
          <cell r="C636" t="str">
            <v xml:space="preserve">LS </v>
          </cell>
          <cell r="E636">
            <v>191</v>
          </cell>
          <cell r="F636">
            <v>0</v>
          </cell>
          <cell r="J636">
            <v>6683.09</v>
          </cell>
          <cell r="M636">
            <v>0</v>
          </cell>
          <cell r="N636">
            <v>0</v>
          </cell>
          <cell r="O636">
            <v>0</v>
          </cell>
          <cell r="P636">
            <v>0</v>
          </cell>
          <cell r="Z636" t="str">
            <v>20140101LGUM_433</v>
          </cell>
          <cell r="AB636" t="str">
            <v>433</v>
          </cell>
        </row>
        <row r="637">
          <cell r="C637" t="str">
            <v xml:space="preserve">LS </v>
          </cell>
          <cell r="E637">
            <v>0</v>
          </cell>
          <cell r="F637">
            <v>0</v>
          </cell>
          <cell r="J637">
            <v>0</v>
          </cell>
          <cell r="M637">
            <v>0</v>
          </cell>
          <cell r="N637">
            <v>0</v>
          </cell>
          <cell r="O637">
            <v>0</v>
          </cell>
          <cell r="P637">
            <v>0</v>
          </cell>
          <cell r="Z637" t="str">
            <v>20140101LGUM_439</v>
          </cell>
          <cell r="AB637" t="str">
            <v>439</v>
          </cell>
        </row>
        <row r="638">
          <cell r="C638" t="str">
            <v xml:space="preserve">LS </v>
          </cell>
          <cell r="E638">
            <v>2</v>
          </cell>
          <cell r="F638">
            <v>0</v>
          </cell>
          <cell r="J638">
            <v>36.56</v>
          </cell>
          <cell r="M638">
            <v>0</v>
          </cell>
          <cell r="N638">
            <v>0</v>
          </cell>
          <cell r="O638">
            <v>0</v>
          </cell>
          <cell r="P638">
            <v>0</v>
          </cell>
          <cell r="Z638" t="str">
            <v>20140101LGUM_440</v>
          </cell>
          <cell r="AB638" t="str">
            <v>440</v>
          </cell>
        </row>
        <row r="639">
          <cell r="C639" t="str">
            <v xml:space="preserve">LS </v>
          </cell>
          <cell r="E639">
            <v>12</v>
          </cell>
          <cell r="F639">
            <v>0</v>
          </cell>
          <cell r="J639">
            <v>267.83999999999997</v>
          </cell>
          <cell r="M639">
            <v>0</v>
          </cell>
          <cell r="N639">
            <v>0</v>
          </cell>
          <cell r="O639">
            <v>0</v>
          </cell>
          <cell r="P639">
            <v>0</v>
          </cell>
          <cell r="Z639" t="str">
            <v>20140101LGUM_441</v>
          </cell>
          <cell r="AB639" t="str">
            <v>441</v>
          </cell>
        </row>
        <row r="640">
          <cell r="C640" t="str">
            <v xml:space="preserve">LS </v>
          </cell>
          <cell r="E640">
            <v>6194</v>
          </cell>
          <cell r="F640">
            <v>0</v>
          </cell>
          <cell r="J640">
            <v>79407.08</v>
          </cell>
          <cell r="M640">
            <v>0</v>
          </cell>
          <cell r="N640">
            <v>0</v>
          </cell>
          <cell r="O640">
            <v>0</v>
          </cell>
          <cell r="P640">
            <v>0</v>
          </cell>
          <cell r="Z640" t="str">
            <v>20140101LGUM_452</v>
          </cell>
          <cell r="AB640" t="str">
            <v>452</v>
          </cell>
        </row>
        <row r="641">
          <cell r="C641" t="str">
            <v xml:space="preserve">LS </v>
          </cell>
          <cell r="E641">
            <v>8760</v>
          </cell>
          <cell r="F641">
            <v>0</v>
          </cell>
          <cell r="J641">
            <v>132100.79999999999</v>
          </cell>
          <cell r="M641">
            <v>0</v>
          </cell>
          <cell r="N641">
            <v>0</v>
          </cell>
          <cell r="O641">
            <v>0</v>
          </cell>
          <cell r="P641">
            <v>0</v>
          </cell>
          <cell r="Z641" t="str">
            <v>20140101LGUM_453</v>
          </cell>
          <cell r="AB641" t="str">
            <v>453</v>
          </cell>
        </row>
        <row r="642">
          <cell r="C642" t="str">
            <v xml:space="preserve">LS </v>
          </cell>
          <cell r="E642">
            <v>5521</v>
          </cell>
          <cell r="F642">
            <v>0</v>
          </cell>
          <cell r="J642">
            <v>95954.98</v>
          </cell>
          <cell r="M642">
            <v>0</v>
          </cell>
          <cell r="N642">
            <v>0</v>
          </cell>
          <cell r="O642">
            <v>0</v>
          </cell>
          <cell r="P642">
            <v>0</v>
          </cell>
          <cell r="Z642" t="str">
            <v>20140101LGUM_454</v>
          </cell>
          <cell r="AB642" t="str">
            <v>454</v>
          </cell>
        </row>
        <row r="643">
          <cell r="C643" t="str">
            <v xml:space="preserve">LS </v>
          </cell>
          <cell r="E643">
            <v>390</v>
          </cell>
          <cell r="F643">
            <v>0</v>
          </cell>
          <cell r="J643">
            <v>5370.3</v>
          </cell>
          <cell r="M643">
            <v>0</v>
          </cell>
          <cell r="N643">
            <v>0</v>
          </cell>
          <cell r="O643">
            <v>0</v>
          </cell>
          <cell r="P643">
            <v>0</v>
          </cell>
          <cell r="Z643" t="str">
            <v>20140101LGUM_455</v>
          </cell>
          <cell r="AB643" t="str">
            <v>455</v>
          </cell>
        </row>
        <row r="644">
          <cell r="C644" t="str">
            <v xml:space="preserve">LS </v>
          </cell>
          <cell r="E644">
            <v>12780</v>
          </cell>
          <cell r="F644">
            <v>0</v>
          </cell>
          <cell r="J644">
            <v>232723.8</v>
          </cell>
          <cell r="M644">
            <v>0</v>
          </cell>
          <cell r="N644">
            <v>0</v>
          </cell>
          <cell r="O644">
            <v>0</v>
          </cell>
          <cell r="P644">
            <v>0</v>
          </cell>
          <cell r="Z644" t="str">
            <v>20140101LGUM_456</v>
          </cell>
          <cell r="AB644" t="str">
            <v>456</v>
          </cell>
        </row>
        <row r="645">
          <cell r="C645" t="str">
            <v xml:space="preserve">LS </v>
          </cell>
          <cell r="E645">
            <v>3149</v>
          </cell>
          <cell r="F645">
            <v>0</v>
          </cell>
          <cell r="J645">
            <v>34198.14</v>
          </cell>
          <cell r="M645">
            <v>0</v>
          </cell>
          <cell r="N645">
            <v>0</v>
          </cell>
          <cell r="O645">
            <v>0</v>
          </cell>
          <cell r="P645">
            <v>0</v>
          </cell>
          <cell r="Z645" t="str">
            <v>20140101LGUM_457</v>
          </cell>
          <cell r="AB645" t="str">
            <v>457</v>
          </cell>
        </row>
        <row r="646">
          <cell r="C646" t="str">
            <v>RLS</v>
          </cell>
          <cell r="E646">
            <v>4</v>
          </cell>
          <cell r="F646">
            <v>0</v>
          </cell>
          <cell r="J646">
            <v>44.52</v>
          </cell>
          <cell r="M646">
            <v>0</v>
          </cell>
          <cell r="N646">
            <v>0</v>
          </cell>
          <cell r="O646">
            <v>0</v>
          </cell>
          <cell r="P646">
            <v>0</v>
          </cell>
          <cell r="Z646" t="str">
            <v>20140101LGUM_458</v>
          </cell>
          <cell r="AB646" t="str">
            <v>458</v>
          </cell>
        </row>
        <row r="647">
          <cell r="C647" t="str">
            <v xml:space="preserve">LS </v>
          </cell>
          <cell r="E647">
            <v>19</v>
          </cell>
          <cell r="F647">
            <v>0</v>
          </cell>
          <cell r="J647">
            <v>243.01</v>
          </cell>
          <cell r="M647">
            <v>0</v>
          </cell>
          <cell r="N647">
            <v>0</v>
          </cell>
          <cell r="O647">
            <v>0</v>
          </cell>
          <cell r="P647">
            <v>0</v>
          </cell>
          <cell r="Z647" t="str">
            <v>20140101LGUM_470</v>
          </cell>
          <cell r="AB647" t="str">
            <v>470</v>
          </cell>
        </row>
        <row r="648">
          <cell r="C648" t="str">
            <v>RLS</v>
          </cell>
          <cell r="E648">
            <v>2</v>
          </cell>
          <cell r="F648">
            <v>0</v>
          </cell>
          <cell r="J648">
            <v>30.14</v>
          </cell>
          <cell r="M648">
            <v>0</v>
          </cell>
          <cell r="N648">
            <v>0</v>
          </cell>
          <cell r="O648">
            <v>0</v>
          </cell>
          <cell r="P648">
            <v>0</v>
          </cell>
          <cell r="Z648" t="str">
            <v>20140101LGUM_471</v>
          </cell>
          <cell r="AB648" t="str">
            <v>471</v>
          </cell>
        </row>
        <row r="649">
          <cell r="C649" t="str">
            <v xml:space="preserve">LS </v>
          </cell>
          <cell r="E649">
            <v>260</v>
          </cell>
          <cell r="F649">
            <v>0</v>
          </cell>
          <cell r="J649">
            <v>4856.8</v>
          </cell>
          <cell r="M649">
            <v>0</v>
          </cell>
          <cell r="N649">
            <v>0</v>
          </cell>
          <cell r="O649">
            <v>0</v>
          </cell>
          <cell r="P649">
            <v>0</v>
          </cell>
          <cell r="Z649" t="str">
            <v>20140101LGUM_473</v>
          </cell>
          <cell r="AB649" t="str">
            <v>473</v>
          </cell>
        </row>
        <row r="650">
          <cell r="C650" t="str">
            <v>RLS</v>
          </cell>
          <cell r="E650">
            <v>52</v>
          </cell>
          <cell r="F650">
            <v>0</v>
          </cell>
          <cell r="J650">
            <v>1090.44</v>
          </cell>
          <cell r="M650">
            <v>0</v>
          </cell>
          <cell r="N650">
            <v>0</v>
          </cell>
          <cell r="O650">
            <v>0</v>
          </cell>
          <cell r="P650">
            <v>0</v>
          </cell>
          <cell r="Z650" t="str">
            <v>20140101LGUM_474</v>
          </cell>
          <cell r="AB650" t="str">
            <v>474</v>
          </cell>
        </row>
        <row r="651">
          <cell r="C651" t="str">
            <v>RLS</v>
          </cell>
          <cell r="E651">
            <v>2</v>
          </cell>
          <cell r="F651">
            <v>0</v>
          </cell>
          <cell r="J651">
            <v>56.84</v>
          </cell>
          <cell r="M651">
            <v>0</v>
          </cell>
          <cell r="N651">
            <v>0</v>
          </cell>
          <cell r="O651">
            <v>0</v>
          </cell>
          <cell r="P651">
            <v>0</v>
          </cell>
          <cell r="Z651" t="str">
            <v>20140101LGUM_475</v>
          </cell>
          <cell r="AB651" t="str">
            <v>475</v>
          </cell>
        </row>
        <row r="652">
          <cell r="C652" t="str">
            <v xml:space="preserve">LS </v>
          </cell>
          <cell r="E652">
            <v>318</v>
          </cell>
          <cell r="F652">
            <v>0</v>
          </cell>
          <cell r="J652">
            <v>12592.8</v>
          </cell>
          <cell r="M652">
            <v>0</v>
          </cell>
          <cell r="N652">
            <v>0</v>
          </cell>
          <cell r="O652">
            <v>0</v>
          </cell>
          <cell r="P652">
            <v>0</v>
          </cell>
          <cell r="Z652" t="str">
            <v>20140101LGUM_476</v>
          </cell>
          <cell r="AB652" t="str">
            <v>476</v>
          </cell>
        </row>
        <row r="653">
          <cell r="C653" t="str">
            <v>RLS</v>
          </cell>
          <cell r="E653">
            <v>59</v>
          </cell>
          <cell r="F653">
            <v>0</v>
          </cell>
          <cell r="J653">
            <v>2524.02</v>
          </cell>
          <cell r="M653">
            <v>0</v>
          </cell>
          <cell r="N653">
            <v>0</v>
          </cell>
          <cell r="O653">
            <v>0</v>
          </cell>
          <cell r="P653">
            <v>0</v>
          </cell>
          <cell r="Z653" t="str">
            <v>20140101LGUM_477</v>
          </cell>
          <cell r="AB653" t="str">
            <v>477</v>
          </cell>
        </row>
        <row r="654">
          <cell r="C654" t="str">
            <v xml:space="preserve">LS </v>
          </cell>
          <cell r="E654">
            <v>0</v>
          </cell>
          <cell r="F654">
            <v>0</v>
          </cell>
          <cell r="J654">
            <v>0</v>
          </cell>
          <cell r="M654">
            <v>0</v>
          </cell>
          <cell r="N654">
            <v>0</v>
          </cell>
          <cell r="O654">
            <v>0</v>
          </cell>
          <cell r="P654">
            <v>0</v>
          </cell>
          <cell r="Z654" t="str">
            <v>20140101LGUM_479</v>
          </cell>
          <cell r="AB654" t="str">
            <v>479</v>
          </cell>
        </row>
        <row r="655">
          <cell r="C655" t="str">
            <v xml:space="preserve">LS </v>
          </cell>
          <cell r="E655">
            <v>18</v>
          </cell>
          <cell r="F655">
            <v>0</v>
          </cell>
          <cell r="J655">
            <v>428.94</v>
          </cell>
          <cell r="M655">
            <v>0</v>
          </cell>
          <cell r="N655">
            <v>0</v>
          </cell>
          <cell r="O655">
            <v>0</v>
          </cell>
          <cell r="P655">
            <v>0</v>
          </cell>
          <cell r="Z655" t="str">
            <v>20140101LGUM_480</v>
          </cell>
          <cell r="AB655" t="str">
            <v>480</v>
          </cell>
        </row>
        <row r="656">
          <cell r="C656" t="str">
            <v xml:space="preserve">LS </v>
          </cell>
          <cell r="E656">
            <v>4</v>
          </cell>
          <cell r="F656">
            <v>0</v>
          </cell>
          <cell r="J656">
            <v>81.84</v>
          </cell>
          <cell r="M656">
            <v>0</v>
          </cell>
          <cell r="N656">
            <v>0</v>
          </cell>
          <cell r="O656">
            <v>0</v>
          </cell>
          <cell r="P656">
            <v>0</v>
          </cell>
          <cell r="Z656" t="str">
            <v>20140101LGUM_481</v>
          </cell>
          <cell r="AB656" t="str">
            <v>481</v>
          </cell>
        </row>
        <row r="657">
          <cell r="C657" t="str">
            <v xml:space="preserve">LS </v>
          </cell>
          <cell r="E657">
            <v>39</v>
          </cell>
          <cell r="F657">
            <v>0</v>
          </cell>
          <cell r="J657">
            <v>1178.19</v>
          </cell>
          <cell r="M657">
            <v>0</v>
          </cell>
          <cell r="N657">
            <v>0</v>
          </cell>
          <cell r="O657">
            <v>0</v>
          </cell>
          <cell r="P657">
            <v>0</v>
          </cell>
          <cell r="Z657" t="str">
            <v>20140101LGUM_482</v>
          </cell>
          <cell r="AB657" t="str">
            <v>482</v>
          </cell>
        </row>
        <row r="658">
          <cell r="C658" t="str">
            <v xml:space="preserve">LS </v>
          </cell>
          <cell r="E658">
            <v>2</v>
          </cell>
          <cell r="F658">
            <v>0</v>
          </cell>
          <cell r="J658">
            <v>85.12</v>
          </cell>
          <cell r="M658">
            <v>0</v>
          </cell>
          <cell r="N658">
            <v>0</v>
          </cell>
          <cell r="O658">
            <v>0</v>
          </cell>
          <cell r="P658">
            <v>0</v>
          </cell>
          <cell r="Z658" t="str">
            <v>20140101LGUM_483</v>
          </cell>
          <cell r="AB658" t="str">
            <v>483</v>
          </cell>
        </row>
        <row r="659">
          <cell r="C659" t="str">
            <v xml:space="preserve">LS </v>
          </cell>
          <cell r="E659">
            <v>13</v>
          </cell>
          <cell r="F659">
            <v>0</v>
          </cell>
          <cell r="J659">
            <v>680.03</v>
          </cell>
          <cell r="M659">
            <v>0</v>
          </cell>
          <cell r="N659">
            <v>0</v>
          </cell>
          <cell r="O659">
            <v>0</v>
          </cell>
          <cell r="P659">
            <v>0</v>
          </cell>
          <cell r="Z659" t="str">
            <v>20140101LGUM_484</v>
          </cell>
          <cell r="AB659" t="str">
            <v>484</v>
          </cell>
        </row>
        <row r="660">
          <cell r="C660" t="str">
            <v>ODL</v>
          </cell>
          <cell r="E660">
            <v>0</v>
          </cell>
          <cell r="F660">
            <v>7528109</v>
          </cell>
          <cell r="J660">
            <v>0</v>
          </cell>
          <cell r="M660">
            <v>1990</v>
          </cell>
          <cell r="N660">
            <v>63496</v>
          </cell>
          <cell r="O660">
            <v>0</v>
          </cell>
          <cell r="P660">
            <v>1586353</v>
          </cell>
          <cell r="Z660" t="str">
            <v>20140101ODL</v>
          </cell>
          <cell r="AB660" t="str">
            <v>ODL</v>
          </cell>
        </row>
        <row r="661">
          <cell r="C661" t="str">
            <v>RLS</v>
          </cell>
          <cell r="E661">
            <v>75</v>
          </cell>
          <cell r="F661">
            <v>0</v>
          </cell>
          <cell r="J661">
            <v>610.5</v>
          </cell>
          <cell r="M661">
            <v>0</v>
          </cell>
          <cell r="N661">
            <v>0</v>
          </cell>
          <cell r="O661">
            <v>0</v>
          </cell>
          <cell r="P661">
            <v>0</v>
          </cell>
          <cell r="Z661" t="str">
            <v>20140101LGUM_201</v>
          </cell>
          <cell r="AB661" t="str">
            <v>201</v>
          </cell>
        </row>
        <row r="662">
          <cell r="C662" t="str">
            <v>RLS</v>
          </cell>
          <cell r="E662">
            <v>3845</v>
          </cell>
          <cell r="F662">
            <v>0</v>
          </cell>
          <cell r="J662">
            <v>42141.2</v>
          </cell>
          <cell r="M662">
            <v>0</v>
          </cell>
          <cell r="N662">
            <v>0</v>
          </cell>
          <cell r="O662">
            <v>0</v>
          </cell>
          <cell r="P662">
            <v>0</v>
          </cell>
          <cell r="Z662" t="str">
            <v>20140101LGUM_203</v>
          </cell>
          <cell r="AB662" t="str">
            <v>203</v>
          </cell>
        </row>
        <row r="663">
          <cell r="C663" t="str">
            <v>RLS</v>
          </cell>
          <cell r="E663">
            <v>3835</v>
          </cell>
          <cell r="F663">
            <v>0</v>
          </cell>
          <cell r="J663">
            <v>51810.85</v>
          </cell>
          <cell r="M663">
            <v>0</v>
          </cell>
          <cell r="N663">
            <v>0</v>
          </cell>
          <cell r="O663">
            <v>0</v>
          </cell>
          <cell r="P663">
            <v>0</v>
          </cell>
          <cell r="Z663" t="str">
            <v>20140101LGUM_204</v>
          </cell>
          <cell r="AB663" t="str">
            <v>204</v>
          </cell>
        </row>
        <row r="664">
          <cell r="C664" t="str">
            <v>RLS</v>
          </cell>
          <cell r="E664">
            <v>96</v>
          </cell>
          <cell r="F664">
            <v>0</v>
          </cell>
          <cell r="J664">
            <v>1195.2</v>
          </cell>
          <cell r="M664">
            <v>0</v>
          </cell>
          <cell r="N664">
            <v>0</v>
          </cell>
          <cell r="O664">
            <v>0</v>
          </cell>
          <cell r="P664">
            <v>0</v>
          </cell>
          <cell r="Z664" t="str">
            <v>20140101LGUM_206</v>
          </cell>
          <cell r="AB664" t="str">
            <v>206</v>
          </cell>
        </row>
        <row r="665">
          <cell r="C665" t="str">
            <v>RLS</v>
          </cell>
          <cell r="E665">
            <v>790</v>
          </cell>
          <cell r="F665">
            <v>0</v>
          </cell>
          <cell r="J665">
            <v>12276.6</v>
          </cell>
          <cell r="M665">
            <v>0</v>
          </cell>
          <cell r="N665">
            <v>0</v>
          </cell>
          <cell r="O665">
            <v>0</v>
          </cell>
          <cell r="P665">
            <v>0</v>
          </cell>
          <cell r="Z665" t="str">
            <v>20140101LGUM_207</v>
          </cell>
          <cell r="AB665" t="str">
            <v>207</v>
          </cell>
        </row>
        <row r="666">
          <cell r="C666" t="str">
            <v>RLS</v>
          </cell>
          <cell r="E666">
            <v>1454</v>
          </cell>
          <cell r="F666">
            <v>0</v>
          </cell>
          <cell r="J666">
            <v>20704.96</v>
          </cell>
          <cell r="M666">
            <v>0</v>
          </cell>
          <cell r="N666">
            <v>0</v>
          </cell>
          <cell r="O666">
            <v>0</v>
          </cell>
          <cell r="P666">
            <v>0</v>
          </cell>
          <cell r="Z666" t="str">
            <v>20140101LGUM_208</v>
          </cell>
          <cell r="AB666" t="str">
            <v>208</v>
          </cell>
        </row>
        <row r="667">
          <cell r="C667" t="str">
            <v>RLS</v>
          </cell>
          <cell r="E667">
            <v>45</v>
          </cell>
          <cell r="F667">
            <v>0</v>
          </cell>
          <cell r="J667">
            <v>1246.05</v>
          </cell>
          <cell r="M667">
            <v>0</v>
          </cell>
          <cell r="N667">
            <v>0</v>
          </cell>
          <cell r="O667">
            <v>0</v>
          </cell>
          <cell r="P667">
            <v>0</v>
          </cell>
          <cell r="Z667" t="str">
            <v>20140101LGUM_209</v>
          </cell>
          <cell r="AB667" t="str">
            <v>209</v>
          </cell>
        </row>
        <row r="668">
          <cell r="C668" t="str">
            <v>RLS</v>
          </cell>
          <cell r="E668">
            <v>362</v>
          </cell>
          <cell r="F668">
            <v>0</v>
          </cell>
          <cell r="J668">
            <v>10458.18</v>
          </cell>
          <cell r="M668">
            <v>0</v>
          </cell>
          <cell r="N668">
            <v>0</v>
          </cell>
          <cell r="O668">
            <v>0</v>
          </cell>
          <cell r="P668">
            <v>0</v>
          </cell>
          <cell r="Z668" t="str">
            <v>20140101LGUM_210</v>
          </cell>
          <cell r="AB668" t="str">
            <v>210</v>
          </cell>
        </row>
        <row r="669">
          <cell r="C669" t="str">
            <v>RLS</v>
          </cell>
          <cell r="E669">
            <v>4003</v>
          </cell>
          <cell r="F669">
            <v>0</v>
          </cell>
          <cell r="J669">
            <v>38308.71</v>
          </cell>
          <cell r="M669">
            <v>0</v>
          </cell>
          <cell r="N669">
            <v>0</v>
          </cell>
          <cell r="O669">
            <v>0</v>
          </cell>
          <cell r="P669">
            <v>0</v>
          </cell>
          <cell r="Z669" t="str">
            <v>20140101LGUM_252</v>
          </cell>
          <cell r="AB669" t="str">
            <v>252</v>
          </cell>
        </row>
        <row r="670">
          <cell r="C670" t="str">
            <v>RLS</v>
          </cell>
          <cell r="E670">
            <v>2011</v>
          </cell>
          <cell r="F670">
            <v>0</v>
          </cell>
          <cell r="J670">
            <v>54980.74</v>
          </cell>
          <cell r="M670">
            <v>0</v>
          </cell>
          <cell r="N670">
            <v>0</v>
          </cell>
          <cell r="O670">
            <v>0</v>
          </cell>
          <cell r="P670">
            <v>0</v>
          </cell>
          <cell r="Z670" t="str">
            <v>20140101LGUM_266</v>
          </cell>
          <cell r="AB670" t="str">
            <v>266</v>
          </cell>
        </row>
        <row r="671">
          <cell r="C671" t="str">
            <v>RLS</v>
          </cell>
          <cell r="E671">
            <v>2261</v>
          </cell>
          <cell r="F671">
            <v>0</v>
          </cell>
          <cell r="J671">
            <v>70995.399999999994</v>
          </cell>
          <cell r="M671">
            <v>0</v>
          </cell>
          <cell r="N671">
            <v>0</v>
          </cell>
          <cell r="O671">
            <v>0</v>
          </cell>
          <cell r="P671">
            <v>0</v>
          </cell>
          <cell r="Z671" t="str">
            <v>20140101LGUM_267</v>
          </cell>
          <cell r="AB671" t="str">
            <v>267</v>
          </cell>
        </row>
        <row r="672">
          <cell r="C672" t="str">
            <v>RLS</v>
          </cell>
          <cell r="E672">
            <v>16614</v>
          </cell>
          <cell r="F672">
            <v>0</v>
          </cell>
          <cell r="J672">
            <v>285594.65999999997</v>
          </cell>
          <cell r="M672">
            <v>0</v>
          </cell>
          <cell r="N672">
            <v>0</v>
          </cell>
          <cell r="O672">
            <v>0</v>
          </cell>
          <cell r="P672">
            <v>0</v>
          </cell>
          <cell r="Z672" t="str">
            <v>20140101LGUM_274</v>
          </cell>
          <cell r="AB672" t="str">
            <v>274</v>
          </cell>
        </row>
        <row r="673">
          <cell r="C673" t="str">
            <v>RLS</v>
          </cell>
          <cell r="E673">
            <v>529</v>
          </cell>
          <cell r="F673">
            <v>0</v>
          </cell>
          <cell r="J673">
            <v>13166.81</v>
          </cell>
          <cell r="M673">
            <v>0</v>
          </cell>
          <cell r="N673">
            <v>0</v>
          </cell>
          <cell r="O673">
            <v>0</v>
          </cell>
          <cell r="P673">
            <v>0</v>
          </cell>
          <cell r="Z673" t="str">
            <v>20140101LGUM_275</v>
          </cell>
          <cell r="AB673" t="str">
            <v>275</v>
          </cell>
        </row>
        <row r="674">
          <cell r="C674" t="str">
            <v>RLS</v>
          </cell>
          <cell r="E674">
            <v>1283</v>
          </cell>
          <cell r="F674">
            <v>0</v>
          </cell>
          <cell r="J674">
            <v>18180.11</v>
          </cell>
          <cell r="M674">
            <v>0</v>
          </cell>
          <cell r="N674">
            <v>0</v>
          </cell>
          <cell r="O674">
            <v>0</v>
          </cell>
          <cell r="P674">
            <v>0</v>
          </cell>
          <cell r="Z674" t="str">
            <v>20140101LGUM_276</v>
          </cell>
          <cell r="AB674" t="str">
            <v>276</v>
          </cell>
        </row>
        <row r="675">
          <cell r="C675" t="str">
            <v>RLS</v>
          </cell>
          <cell r="E675">
            <v>2259</v>
          </cell>
          <cell r="F675">
            <v>0</v>
          </cell>
          <cell r="J675">
            <v>50036.85</v>
          </cell>
          <cell r="M675">
            <v>0</v>
          </cell>
          <cell r="N675">
            <v>0</v>
          </cell>
          <cell r="O675">
            <v>0</v>
          </cell>
          <cell r="P675">
            <v>0</v>
          </cell>
          <cell r="Z675" t="str">
            <v>20140101LGUM_277</v>
          </cell>
          <cell r="AB675" t="str">
            <v>277</v>
          </cell>
        </row>
        <row r="676">
          <cell r="C676" t="str">
            <v>RLS</v>
          </cell>
          <cell r="E676">
            <v>16</v>
          </cell>
          <cell r="F676">
            <v>0</v>
          </cell>
          <cell r="J676">
            <v>1160.8</v>
          </cell>
          <cell r="M676">
            <v>0</v>
          </cell>
          <cell r="N676">
            <v>0</v>
          </cell>
          <cell r="O676">
            <v>0</v>
          </cell>
          <cell r="P676">
            <v>0</v>
          </cell>
          <cell r="Z676" t="str">
            <v>20140101LGUM_278</v>
          </cell>
          <cell r="AB676" t="str">
            <v>278</v>
          </cell>
        </row>
        <row r="677">
          <cell r="C677" t="str">
            <v>RLS</v>
          </cell>
          <cell r="E677">
            <v>11</v>
          </cell>
          <cell r="F677">
            <v>0</v>
          </cell>
          <cell r="J677">
            <v>455.73</v>
          </cell>
          <cell r="M677">
            <v>0</v>
          </cell>
          <cell r="N677">
            <v>0</v>
          </cell>
          <cell r="O677">
            <v>0</v>
          </cell>
          <cell r="P677">
            <v>0</v>
          </cell>
          <cell r="Z677" t="str">
            <v>20140101LGUM_279</v>
          </cell>
          <cell r="AB677" t="str">
            <v>279</v>
          </cell>
        </row>
        <row r="678">
          <cell r="C678" t="str">
            <v>RLS</v>
          </cell>
          <cell r="E678">
            <v>45</v>
          </cell>
          <cell r="F678">
            <v>0</v>
          </cell>
          <cell r="J678">
            <v>872.1</v>
          </cell>
          <cell r="M678">
            <v>0</v>
          </cell>
          <cell r="N678">
            <v>0</v>
          </cell>
          <cell r="O678">
            <v>0</v>
          </cell>
          <cell r="P678">
            <v>0</v>
          </cell>
          <cell r="Z678" t="str">
            <v>20140101LGUM_280</v>
          </cell>
          <cell r="AB678" t="str">
            <v>280</v>
          </cell>
        </row>
        <row r="679">
          <cell r="C679" t="str">
            <v>RLS</v>
          </cell>
          <cell r="E679">
            <v>239</v>
          </cell>
          <cell r="F679">
            <v>0</v>
          </cell>
          <cell r="J679">
            <v>4863.6499999999996</v>
          </cell>
          <cell r="M679">
            <v>0</v>
          </cell>
          <cell r="N679">
            <v>0</v>
          </cell>
          <cell r="O679">
            <v>0</v>
          </cell>
          <cell r="P679">
            <v>0</v>
          </cell>
          <cell r="Z679" t="str">
            <v>20140101LGUM_281</v>
          </cell>
          <cell r="AB679" t="str">
            <v>281</v>
          </cell>
        </row>
        <row r="680">
          <cell r="C680" t="str">
            <v>RLS</v>
          </cell>
          <cell r="E680">
            <v>103</v>
          </cell>
          <cell r="F680">
            <v>0</v>
          </cell>
          <cell r="J680">
            <v>2011.59</v>
          </cell>
          <cell r="M680">
            <v>0</v>
          </cell>
          <cell r="N680">
            <v>0</v>
          </cell>
          <cell r="O680">
            <v>0</v>
          </cell>
          <cell r="P680">
            <v>0</v>
          </cell>
          <cell r="Z680" t="str">
            <v>20140101LGUM_282</v>
          </cell>
          <cell r="AB680" t="str">
            <v>282</v>
          </cell>
        </row>
        <row r="681">
          <cell r="C681" t="str">
            <v>RLS</v>
          </cell>
          <cell r="E681">
            <v>79</v>
          </cell>
          <cell r="F681">
            <v>0</v>
          </cell>
          <cell r="J681">
            <v>1644.78</v>
          </cell>
          <cell r="M681">
            <v>0</v>
          </cell>
          <cell r="N681">
            <v>0</v>
          </cell>
          <cell r="O681">
            <v>0</v>
          </cell>
          <cell r="P681">
            <v>0</v>
          </cell>
          <cell r="Z681" t="str">
            <v>20140101LGUM_283</v>
          </cell>
          <cell r="AB681" t="str">
            <v>283</v>
          </cell>
        </row>
        <row r="682">
          <cell r="C682" t="str">
            <v>RLS</v>
          </cell>
          <cell r="E682">
            <v>555</v>
          </cell>
          <cell r="F682">
            <v>0</v>
          </cell>
          <cell r="J682">
            <v>10656</v>
          </cell>
          <cell r="M682">
            <v>0</v>
          </cell>
          <cell r="N682">
            <v>0</v>
          </cell>
          <cell r="O682">
            <v>0</v>
          </cell>
          <cell r="P682">
            <v>0</v>
          </cell>
          <cell r="Z682" t="str">
            <v>20140101LGUM_314</v>
          </cell>
          <cell r="AB682" t="str">
            <v>314</v>
          </cell>
        </row>
        <row r="683">
          <cell r="C683" t="str">
            <v>RLS</v>
          </cell>
          <cell r="E683">
            <v>531</v>
          </cell>
          <cell r="F683">
            <v>0</v>
          </cell>
          <cell r="J683">
            <v>12186.45</v>
          </cell>
          <cell r="M683">
            <v>0</v>
          </cell>
          <cell r="N683">
            <v>0</v>
          </cell>
          <cell r="O683">
            <v>0</v>
          </cell>
          <cell r="P683">
            <v>0</v>
          </cell>
          <cell r="Z683" t="str">
            <v>20140101LGUM_315</v>
          </cell>
          <cell r="AB683" t="str">
            <v>315</v>
          </cell>
        </row>
        <row r="684">
          <cell r="C684" t="str">
            <v>RLS</v>
          </cell>
          <cell r="E684">
            <v>54</v>
          </cell>
          <cell r="F684">
            <v>0</v>
          </cell>
          <cell r="J684">
            <v>940.68</v>
          </cell>
          <cell r="M684">
            <v>0</v>
          </cell>
          <cell r="N684">
            <v>0</v>
          </cell>
          <cell r="O684">
            <v>0</v>
          </cell>
          <cell r="P684">
            <v>0</v>
          </cell>
          <cell r="Z684" t="str">
            <v>20140101LGUM_318</v>
          </cell>
          <cell r="AB684" t="str">
            <v>318</v>
          </cell>
        </row>
        <row r="685">
          <cell r="C685" t="str">
            <v>RLS</v>
          </cell>
          <cell r="E685">
            <v>0</v>
          </cell>
          <cell r="F685">
            <v>0</v>
          </cell>
          <cell r="J685">
            <v>0</v>
          </cell>
          <cell r="M685">
            <v>0</v>
          </cell>
          <cell r="N685">
            <v>0</v>
          </cell>
          <cell r="O685">
            <v>0</v>
          </cell>
          <cell r="P685">
            <v>0</v>
          </cell>
          <cell r="Z685" t="str">
            <v>20140101LGUM_347</v>
          </cell>
          <cell r="AB685" t="str">
            <v>347</v>
          </cell>
        </row>
        <row r="686">
          <cell r="C686" t="str">
            <v>RLS</v>
          </cell>
          <cell r="E686">
            <v>39</v>
          </cell>
          <cell r="F686">
            <v>0</v>
          </cell>
          <cell r="J686">
            <v>511.68</v>
          </cell>
          <cell r="M686">
            <v>0</v>
          </cell>
          <cell r="N686">
            <v>0</v>
          </cell>
          <cell r="O686">
            <v>0</v>
          </cell>
          <cell r="P686">
            <v>0</v>
          </cell>
          <cell r="Z686" t="str">
            <v>20140101LGUM_348</v>
          </cell>
          <cell r="AB686" t="str">
            <v>348</v>
          </cell>
        </row>
        <row r="687">
          <cell r="C687" t="str">
            <v>RLS</v>
          </cell>
          <cell r="E687">
            <v>16</v>
          </cell>
          <cell r="F687">
            <v>0</v>
          </cell>
          <cell r="J687">
            <v>144.32</v>
          </cell>
          <cell r="M687">
            <v>0</v>
          </cell>
          <cell r="N687">
            <v>0</v>
          </cell>
          <cell r="O687">
            <v>0</v>
          </cell>
          <cell r="P687">
            <v>0</v>
          </cell>
          <cell r="Z687" t="str">
            <v>20140101LGUM_349</v>
          </cell>
          <cell r="AB687" t="str">
            <v>349</v>
          </cell>
        </row>
        <row r="688">
          <cell r="C688" t="str">
            <v xml:space="preserve">LS </v>
          </cell>
          <cell r="E688">
            <v>48</v>
          </cell>
          <cell r="F688">
            <v>0</v>
          </cell>
          <cell r="J688">
            <v>1146.72</v>
          </cell>
          <cell r="M688">
            <v>0</v>
          </cell>
          <cell r="N688">
            <v>0</v>
          </cell>
          <cell r="O688">
            <v>0</v>
          </cell>
          <cell r="P688">
            <v>0</v>
          </cell>
          <cell r="Z688" t="str">
            <v>20140101LGUM_400</v>
          </cell>
          <cell r="AB688" t="str">
            <v>400</v>
          </cell>
        </row>
        <row r="689">
          <cell r="C689" t="str">
            <v xml:space="preserve">LS </v>
          </cell>
          <cell r="E689">
            <v>4</v>
          </cell>
          <cell r="F689">
            <v>0</v>
          </cell>
          <cell r="J689">
            <v>99.6</v>
          </cell>
          <cell r="M689">
            <v>0</v>
          </cell>
          <cell r="N689">
            <v>0</v>
          </cell>
          <cell r="O689">
            <v>0</v>
          </cell>
          <cell r="P689">
            <v>0</v>
          </cell>
          <cell r="Z689" t="str">
            <v>20140101LGUM_401</v>
          </cell>
          <cell r="AB689" t="str">
            <v>401</v>
          </cell>
        </row>
        <row r="690">
          <cell r="C690" t="str">
            <v xml:space="preserve">LS </v>
          </cell>
          <cell r="E690">
            <v>221</v>
          </cell>
          <cell r="F690">
            <v>0</v>
          </cell>
          <cell r="J690">
            <v>4373.59</v>
          </cell>
          <cell r="M690">
            <v>0</v>
          </cell>
          <cell r="N690">
            <v>0</v>
          </cell>
          <cell r="O690">
            <v>0</v>
          </cell>
          <cell r="P690">
            <v>0</v>
          </cell>
          <cell r="Z690" t="str">
            <v>20140101LGUM_412</v>
          </cell>
          <cell r="AB690" t="str">
            <v>412</v>
          </cell>
        </row>
        <row r="691">
          <cell r="C691" t="str">
            <v xml:space="preserve">LS </v>
          </cell>
          <cell r="E691">
            <v>2074</v>
          </cell>
          <cell r="F691">
            <v>0</v>
          </cell>
          <cell r="J691">
            <v>42496.26</v>
          </cell>
          <cell r="M691">
            <v>0</v>
          </cell>
          <cell r="N691">
            <v>0</v>
          </cell>
          <cell r="O691">
            <v>0</v>
          </cell>
          <cell r="P691">
            <v>0</v>
          </cell>
          <cell r="Z691" t="str">
            <v>20140101LGUM_413</v>
          </cell>
          <cell r="AB691" t="str">
            <v>413</v>
          </cell>
        </row>
        <row r="692">
          <cell r="C692" t="str">
            <v xml:space="preserve">LS </v>
          </cell>
          <cell r="E692">
            <v>27</v>
          </cell>
          <cell r="F692">
            <v>0</v>
          </cell>
          <cell r="J692">
            <v>544.86</v>
          </cell>
          <cell r="M692">
            <v>0</v>
          </cell>
          <cell r="N692">
            <v>0</v>
          </cell>
          <cell r="O692">
            <v>0</v>
          </cell>
          <cell r="P692">
            <v>0</v>
          </cell>
          <cell r="Z692" t="str">
            <v>20140101LGUM_415</v>
          </cell>
          <cell r="AB692" t="str">
            <v>415</v>
          </cell>
        </row>
        <row r="693">
          <cell r="C693" t="str">
            <v xml:space="preserve">LS </v>
          </cell>
          <cell r="E693">
            <v>1776</v>
          </cell>
          <cell r="F693">
            <v>0</v>
          </cell>
          <cell r="J693">
            <v>40066.559999999998</v>
          </cell>
          <cell r="M693">
            <v>0</v>
          </cell>
          <cell r="N693">
            <v>0</v>
          </cell>
          <cell r="O693">
            <v>0</v>
          </cell>
          <cell r="P693">
            <v>0</v>
          </cell>
          <cell r="Z693" t="str">
            <v>20140101LGUM_416</v>
          </cell>
          <cell r="AB693" t="str">
            <v>416</v>
          </cell>
        </row>
        <row r="694">
          <cell r="C694" t="str">
            <v>RLS</v>
          </cell>
          <cell r="E694">
            <v>35</v>
          </cell>
          <cell r="F694">
            <v>0</v>
          </cell>
          <cell r="J694">
            <v>828.8</v>
          </cell>
          <cell r="M694">
            <v>0</v>
          </cell>
          <cell r="N694">
            <v>0</v>
          </cell>
          <cell r="O694">
            <v>0</v>
          </cell>
          <cell r="P694">
            <v>0</v>
          </cell>
          <cell r="Z694" t="str">
            <v>20140101LGUM_417</v>
          </cell>
          <cell r="AB694" t="str">
            <v>417</v>
          </cell>
        </row>
        <row r="695">
          <cell r="C695" t="str">
            <v>RLS</v>
          </cell>
          <cell r="E695">
            <v>111</v>
          </cell>
          <cell r="F695">
            <v>0</v>
          </cell>
          <cell r="J695">
            <v>2749.47</v>
          </cell>
          <cell r="M695">
            <v>0</v>
          </cell>
          <cell r="N695">
            <v>0</v>
          </cell>
          <cell r="O695">
            <v>0</v>
          </cell>
          <cell r="P695">
            <v>0</v>
          </cell>
          <cell r="Z695" t="str">
            <v>20140101LGUM_419</v>
          </cell>
          <cell r="AB695" t="str">
            <v>419</v>
          </cell>
        </row>
        <row r="696">
          <cell r="C696" t="str">
            <v xml:space="preserve">LS </v>
          </cell>
          <cell r="E696">
            <v>53</v>
          </cell>
          <cell r="F696">
            <v>0</v>
          </cell>
          <cell r="J696">
            <v>1584.17</v>
          </cell>
          <cell r="M696">
            <v>0</v>
          </cell>
          <cell r="N696">
            <v>0</v>
          </cell>
          <cell r="O696">
            <v>0</v>
          </cell>
          <cell r="P696">
            <v>0</v>
          </cell>
          <cell r="Z696" t="str">
            <v>20140101LGUM_420</v>
          </cell>
          <cell r="AB696" t="str">
            <v>420</v>
          </cell>
        </row>
        <row r="697">
          <cell r="C697" t="str">
            <v xml:space="preserve">LS </v>
          </cell>
          <cell r="E697">
            <v>174</v>
          </cell>
          <cell r="F697">
            <v>0</v>
          </cell>
          <cell r="J697">
            <v>5717.64</v>
          </cell>
          <cell r="M697">
            <v>0</v>
          </cell>
          <cell r="N697">
            <v>0</v>
          </cell>
          <cell r="O697">
            <v>0</v>
          </cell>
          <cell r="P697">
            <v>0</v>
          </cell>
          <cell r="Z697" t="str">
            <v>20140101LGUM_421</v>
          </cell>
          <cell r="AB697" t="str">
            <v>421</v>
          </cell>
        </row>
        <row r="698">
          <cell r="C698" t="str">
            <v xml:space="preserve">LS </v>
          </cell>
          <cell r="E698">
            <v>356</v>
          </cell>
          <cell r="F698">
            <v>0</v>
          </cell>
          <cell r="J698">
            <v>13666.84</v>
          </cell>
          <cell r="M698">
            <v>0</v>
          </cell>
          <cell r="N698">
            <v>0</v>
          </cell>
          <cell r="O698">
            <v>0</v>
          </cell>
          <cell r="P698">
            <v>0</v>
          </cell>
          <cell r="Z698" t="str">
            <v>20140101LGUM_422</v>
          </cell>
          <cell r="AB698" t="str">
            <v>422</v>
          </cell>
        </row>
        <row r="699">
          <cell r="C699" t="str">
            <v xml:space="preserve">LS </v>
          </cell>
          <cell r="E699">
            <v>17</v>
          </cell>
          <cell r="F699">
            <v>0</v>
          </cell>
          <cell r="J699">
            <v>447.95</v>
          </cell>
          <cell r="M699">
            <v>0</v>
          </cell>
          <cell r="N699">
            <v>0</v>
          </cell>
          <cell r="O699">
            <v>0</v>
          </cell>
          <cell r="P699">
            <v>0</v>
          </cell>
          <cell r="Z699" t="str">
            <v>20140101LGUM_423</v>
          </cell>
          <cell r="AB699" t="str">
            <v>423</v>
          </cell>
        </row>
        <row r="700">
          <cell r="C700" t="str">
            <v xml:space="preserve">LS </v>
          </cell>
          <cell r="E700">
            <v>353</v>
          </cell>
          <cell r="F700">
            <v>0</v>
          </cell>
          <cell r="J700">
            <v>10042.85</v>
          </cell>
          <cell r="M700">
            <v>0</v>
          </cell>
          <cell r="N700">
            <v>0</v>
          </cell>
          <cell r="O700">
            <v>0</v>
          </cell>
          <cell r="P700">
            <v>0</v>
          </cell>
          <cell r="Z700" t="str">
            <v>20140101LGUM_424</v>
          </cell>
          <cell r="AB700" t="str">
            <v>424</v>
          </cell>
        </row>
        <row r="701">
          <cell r="C701" t="str">
            <v xml:space="preserve">LS </v>
          </cell>
          <cell r="E701">
            <v>37</v>
          </cell>
          <cell r="F701">
            <v>0</v>
          </cell>
          <cell r="J701">
            <v>1259.1099999999999</v>
          </cell>
          <cell r="M701">
            <v>0</v>
          </cell>
          <cell r="N701">
            <v>0</v>
          </cell>
          <cell r="O701">
            <v>0</v>
          </cell>
          <cell r="P701">
            <v>0</v>
          </cell>
          <cell r="Z701" t="str">
            <v>20140101LGUM_425</v>
          </cell>
          <cell r="AB701" t="str">
            <v>425</v>
          </cell>
        </row>
        <row r="702">
          <cell r="C702" t="str">
            <v>RLS</v>
          </cell>
          <cell r="E702">
            <v>40</v>
          </cell>
          <cell r="F702">
            <v>0</v>
          </cell>
          <cell r="J702">
            <v>1328.8</v>
          </cell>
          <cell r="M702">
            <v>0</v>
          </cell>
          <cell r="N702">
            <v>0</v>
          </cell>
          <cell r="O702">
            <v>0</v>
          </cell>
          <cell r="P702">
            <v>0</v>
          </cell>
          <cell r="Z702" t="str">
            <v>20140101LGUM_426</v>
          </cell>
          <cell r="AB702" t="str">
            <v>426</v>
          </cell>
        </row>
        <row r="703">
          <cell r="C703" t="str">
            <v xml:space="preserve">LS </v>
          </cell>
          <cell r="E703">
            <v>52</v>
          </cell>
          <cell r="F703">
            <v>0</v>
          </cell>
          <cell r="J703">
            <v>1830.4</v>
          </cell>
          <cell r="M703">
            <v>0</v>
          </cell>
          <cell r="N703">
            <v>0</v>
          </cell>
          <cell r="O703">
            <v>0</v>
          </cell>
          <cell r="P703">
            <v>0</v>
          </cell>
          <cell r="Z703" t="str">
            <v>20140101LGUM_427</v>
          </cell>
          <cell r="AB703" t="str">
            <v>427</v>
          </cell>
        </row>
        <row r="704">
          <cell r="C704" t="str">
            <v>RLS</v>
          </cell>
          <cell r="E704">
            <v>194</v>
          </cell>
          <cell r="F704">
            <v>0</v>
          </cell>
          <cell r="J704">
            <v>6613.46</v>
          </cell>
          <cell r="M704">
            <v>0</v>
          </cell>
          <cell r="N704">
            <v>0</v>
          </cell>
          <cell r="O704">
            <v>0</v>
          </cell>
          <cell r="P704">
            <v>0</v>
          </cell>
          <cell r="Z704" t="str">
            <v>20140101LGUM_428</v>
          </cell>
          <cell r="AB704" t="str">
            <v>428</v>
          </cell>
        </row>
        <row r="705">
          <cell r="C705" t="str">
            <v xml:space="preserve">LS </v>
          </cell>
          <cell r="E705">
            <v>188</v>
          </cell>
          <cell r="F705">
            <v>0</v>
          </cell>
          <cell r="J705">
            <v>6781.16</v>
          </cell>
          <cell r="M705">
            <v>0</v>
          </cell>
          <cell r="N705">
            <v>0</v>
          </cell>
          <cell r="O705">
            <v>0</v>
          </cell>
          <cell r="P705">
            <v>0</v>
          </cell>
          <cell r="Z705" t="str">
            <v>20140101LGUM_429</v>
          </cell>
          <cell r="AB705" t="str">
            <v>429</v>
          </cell>
        </row>
        <row r="706">
          <cell r="C706" t="str">
            <v>RLS</v>
          </cell>
          <cell r="E706">
            <v>13</v>
          </cell>
          <cell r="F706">
            <v>0</v>
          </cell>
          <cell r="J706">
            <v>419.38</v>
          </cell>
          <cell r="M706">
            <v>0</v>
          </cell>
          <cell r="N706">
            <v>0</v>
          </cell>
          <cell r="O706">
            <v>0</v>
          </cell>
          <cell r="P706">
            <v>0</v>
          </cell>
          <cell r="Z706" t="str">
            <v>20140101LGUM_430</v>
          </cell>
          <cell r="AB706" t="str">
            <v>430</v>
          </cell>
        </row>
        <row r="707">
          <cell r="C707" t="str">
            <v xml:space="preserve">LS </v>
          </cell>
          <cell r="E707">
            <v>44</v>
          </cell>
          <cell r="F707">
            <v>0</v>
          </cell>
          <cell r="J707">
            <v>1448.92</v>
          </cell>
          <cell r="M707">
            <v>0</v>
          </cell>
          <cell r="N707">
            <v>0</v>
          </cell>
          <cell r="O707">
            <v>0</v>
          </cell>
          <cell r="P707">
            <v>0</v>
          </cell>
          <cell r="Z707" t="str">
            <v>20140101LGUM_431</v>
          </cell>
          <cell r="AB707" t="str">
            <v>431</v>
          </cell>
        </row>
        <row r="708">
          <cell r="C708" t="str">
            <v>RLS</v>
          </cell>
          <cell r="E708">
            <v>10</v>
          </cell>
          <cell r="F708">
            <v>0</v>
          </cell>
          <cell r="J708">
            <v>343.3</v>
          </cell>
          <cell r="M708">
            <v>0</v>
          </cell>
          <cell r="N708">
            <v>0</v>
          </cell>
          <cell r="O708">
            <v>0</v>
          </cell>
          <cell r="P708">
            <v>0</v>
          </cell>
          <cell r="Z708" t="str">
            <v>20140101LGUM_432</v>
          </cell>
          <cell r="AB708" t="str">
            <v>432</v>
          </cell>
        </row>
        <row r="709">
          <cell r="C709" t="str">
            <v xml:space="preserve">LS </v>
          </cell>
          <cell r="E709">
            <v>210</v>
          </cell>
          <cell r="F709">
            <v>0</v>
          </cell>
          <cell r="J709">
            <v>7347.9</v>
          </cell>
          <cell r="M709">
            <v>0</v>
          </cell>
          <cell r="N709">
            <v>0</v>
          </cell>
          <cell r="O709">
            <v>0</v>
          </cell>
          <cell r="P709">
            <v>0</v>
          </cell>
          <cell r="Z709" t="str">
            <v>20140101LGUM_433</v>
          </cell>
          <cell r="AB709" t="str">
            <v>433</v>
          </cell>
        </row>
        <row r="710">
          <cell r="C710" t="str">
            <v xml:space="preserve">LS </v>
          </cell>
          <cell r="E710">
            <v>0</v>
          </cell>
          <cell r="F710">
            <v>0</v>
          </cell>
          <cell r="J710">
            <v>0</v>
          </cell>
          <cell r="M710">
            <v>0</v>
          </cell>
          <cell r="N710">
            <v>0</v>
          </cell>
          <cell r="O710">
            <v>0</v>
          </cell>
          <cell r="P710">
            <v>0</v>
          </cell>
          <cell r="Z710" t="str">
            <v>20140101LGUM_439</v>
          </cell>
          <cell r="AB710" t="str">
            <v>439</v>
          </cell>
        </row>
        <row r="711">
          <cell r="C711" t="str">
            <v xml:space="preserve">LS </v>
          </cell>
          <cell r="E711">
            <v>2</v>
          </cell>
          <cell r="F711">
            <v>0</v>
          </cell>
          <cell r="J711">
            <v>36.56</v>
          </cell>
          <cell r="M711">
            <v>0</v>
          </cell>
          <cell r="N711">
            <v>0</v>
          </cell>
          <cell r="O711">
            <v>0</v>
          </cell>
          <cell r="P711">
            <v>0</v>
          </cell>
          <cell r="Z711" t="str">
            <v>20140101LGUM_440</v>
          </cell>
          <cell r="AB711" t="str">
            <v>440</v>
          </cell>
        </row>
        <row r="712">
          <cell r="C712" t="str">
            <v xml:space="preserve">LS </v>
          </cell>
          <cell r="E712">
            <v>13</v>
          </cell>
          <cell r="F712">
            <v>0</v>
          </cell>
          <cell r="J712">
            <v>290.16000000000003</v>
          </cell>
          <cell r="M712">
            <v>0</v>
          </cell>
          <cell r="N712">
            <v>0</v>
          </cell>
          <cell r="O712">
            <v>0</v>
          </cell>
          <cell r="P712">
            <v>0</v>
          </cell>
          <cell r="Z712" t="str">
            <v>20140101LGUM_441</v>
          </cell>
          <cell r="AB712" t="str">
            <v>441</v>
          </cell>
        </row>
        <row r="713">
          <cell r="C713" t="str">
            <v xml:space="preserve">LS </v>
          </cell>
          <cell r="E713">
            <v>6194</v>
          </cell>
          <cell r="F713">
            <v>0</v>
          </cell>
          <cell r="J713">
            <v>79407.08</v>
          </cell>
          <cell r="M713">
            <v>0</v>
          </cell>
          <cell r="N713">
            <v>0</v>
          </cell>
          <cell r="O713">
            <v>0</v>
          </cell>
          <cell r="P713">
            <v>0</v>
          </cell>
          <cell r="Z713" t="str">
            <v>20140101LGUM_452</v>
          </cell>
          <cell r="AB713" t="str">
            <v>452</v>
          </cell>
        </row>
        <row r="714">
          <cell r="C714" t="str">
            <v xml:space="preserve">LS </v>
          </cell>
          <cell r="E714">
            <v>8765</v>
          </cell>
          <cell r="F714">
            <v>0</v>
          </cell>
          <cell r="J714">
            <v>132176.20000000001</v>
          </cell>
          <cell r="M714">
            <v>0</v>
          </cell>
          <cell r="N714">
            <v>0</v>
          </cell>
          <cell r="O714">
            <v>0</v>
          </cell>
          <cell r="P714">
            <v>0</v>
          </cell>
          <cell r="Z714" t="str">
            <v>20140101LGUM_453</v>
          </cell>
          <cell r="AB714" t="str">
            <v>453</v>
          </cell>
        </row>
        <row r="715">
          <cell r="C715" t="str">
            <v xml:space="preserve">LS </v>
          </cell>
          <cell r="E715">
            <v>5522</v>
          </cell>
          <cell r="F715">
            <v>0</v>
          </cell>
          <cell r="J715">
            <v>95972.36</v>
          </cell>
          <cell r="M715">
            <v>0</v>
          </cell>
          <cell r="N715">
            <v>0</v>
          </cell>
          <cell r="O715">
            <v>0</v>
          </cell>
          <cell r="P715">
            <v>0</v>
          </cell>
          <cell r="Z715" t="str">
            <v>20140101LGUM_454</v>
          </cell>
          <cell r="AB715" t="str">
            <v>454</v>
          </cell>
        </row>
        <row r="716">
          <cell r="C716" t="str">
            <v xml:space="preserve">LS </v>
          </cell>
          <cell r="E716">
            <v>399</v>
          </cell>
          <cell r="F716">
            <v>0</v>
          </cell>
          <cell r="J716">
            <v>5494.23</v>
          </cell>
          <cell r="M716">
            <v>0</v>
          </cell>
          <cell r="N716">
            <v>0</v>
          </cell>
          <cell r="O716">
            <v>0</v>
          </cell>
          <cell r="P716">
            <v>0</v>
          </cell>
          <cell r="Z716" t="str">
            <v>20140101LGUM_455</v>
          </cell>
          <cell r="AB716" t="str">
            <v>455</v>
          </cell>
        </row>
        <row r="717">
          <cell r="C717" t="str">
            <v xml:space="preserve">LS </v>
          </cell>
          <cell r="E717">
            <v>12813</v>
          </cell>
          <cell r="F717">
            <v>0</v>
          </cell>
          <cell r="J717">
            <v>233324.73</v>
          </cell>
          <cell r="M717">
            <v>0</v>
          </cell>
          <cell r="N717">
            <v>0</v>
          </cell>
          <cell r="O717">
            <v>0</v>
          </cell>
          <cell r="P717">
            <v>0</v>
          </cell>
          <cell r="Z717" t="str">
            <v>20140101LGUM_456</v>
          </cell>
          <cell r="AB717" t="str">
            <v>456</v>
          </cell>
        </row>
        <row r="718">
          <cell r="C718" t="str">
            <v xml:space="preserve">LS </v>
          </cell>
          <cell r="E718">
            <v>3157</v>
          </cell>
          <cell r="F718">
            <v>0</v>
          </cell>
          <cell r="J718">
            <v>34285.019999999997</v>
          </cell>
          <cell r="M718">
            <v>0</v>
          </cell>
          <cell r="N718">
            <v>0</v>
          </cell>
          <cell r="O718">
            <v>0</v>
          </cell>
          <cell r="P718">
            <v>0</v>
          </cell>
          <cell r="Z718" t="str">
            <v>20140101LGUM_457</v>
          </cell>
          <cell r="AB718" t="str">
            <v>457</v>
          </cell>
        </row>
        <row r="719">
          <cell r="C719" t="str">
            <v>RLS</v>
          </cell>
          <cell r="E719">
            <v>5</v>
          </cell>
          <cell r="F719">
            <v>0</v>
          </cell>
          <cell r="J719">
            <v>55.65</v>
          </cell>
          <cell r="M719">
            <v>0</v>
          </cell>
          <cell r="N719">
            <v>0</v>
          </cell>
          <cell r="O719">
            <v>0</v>
          </cell>
          <cell r="P719">
            <v>0</v>
          </cell>
          <cell r="Z719" t="str">
            <v>20140101LGUM_458</v>
          </cell>
          <cell r="AB719" t="str">
            <v>458</v>
          </cell>
        </row>
        <row r="720">
          <cell r="C720" t="str">
            <v xml:space="preserve">LS </v>
          </cell>
          <cell r="E720">
            <v>13</v>
          </cell>
          <cell r="F720">
            <v>0</v>
          </cell>
          <cell r="J720">
            <v>166.27</v>
          </cell>
          <cell r="M720">
            <v>0</v>
          </cell>
          <cell r="N720">
            <v>0</v>
          </cell>
          <cell r="O720">
            <v>0</v>
          </cell>
          <cell r="P720">
            <v>0</v>
          </cell>
          <cell r="Z720" t="str">
            <v>20140101LGUM_470</v>
          </cell>
          <cell r="AB720" t="str">
            <v>470</v>
          </cell>
        </row>
        <row r="721">
          <cell r="C721" t="str">
            <v>RLS</v>
          </cell>
          <cell r="E721">
            <v>2</v>
          </cell>
          <cell r="F721">
            <v>0</v>
          </cell>
          <cell r="J721">
            <v>30.14</v>
          </cell>
          <cell r="M721">
            <v>0</v>
          </cell>
          <cell r="N721">
            <v>0</v>
          </cell>
          <cell r="O721">
            <v>0</v>
          </cell>
          <cell r="P721">
            <v>0</v>
          </cell>
          <cell r="Z721" t="str">
            <v>20140101LGUM_471</v>
          </cell>
          <cell r="AB721" t="str">
            <v>471</v>
          </cell>
        </row>
        <row r="722">
          <cell r="C722" t="str">
            <v xml:space="preserve">LS </v>
          </cell>
          <cell r="E722">
            <v>274</v>
          </cell>
          <cell r="F722">
            <v>0</v>
          </cell>
          <cell r="J722">
            <v>5118.32</v>
          </cell>
          <cell r="M722">
            <v>0</v>
          </cell>
          <cell r="N722">
            <v>0</v>
          </cell>
          <cell r="O722">
            <v>0</v>
          </cell>
          <cell r="P722">
            <v>0</v>
          </cell>
          <cell r="Z722" t="str">
            <v>20140101LGUM_473</v>
          </cell>
          <cell r="AB722" t="str">
            <v>473</v>
          </cell>
        </row>
        <row r="723">
          <cell r="C723" t="str">
            <v>RLS</v>
          </cell>
          <cell r="E723">
            <v>53</v>
          </cell>
          <cell r="F723">
            <v>0</v>
          </cell>
          <cell r="J723">
            <v>1111.4100000000001</v>
          </cell>
          <cell r="M723">
            <v>0</v>
          </cell>
          <cell r="N723">
            <v>0</v>
          </cell>
          <cell r="O723">
            <v>0</v>
          </cell>
          <cell r="P723">
            <v>0</v>
          </cell>
          <cell r="Z723" t="str">
            <v>20140101LGUM_474</v>
          </cell>
          <cell r="AB723" t="str">
            <v>474</v>
          </cell>
        </row>
        <row r="724">
          <cell r="C724" t="str">
            <v>RLS</v>
          </cell>
          <cell r="E724">
            <v>2</v>
          </cell>
          <cell r="F724">
            <v>0</v>
          </cell>
          <cell r="J724">
            <v>56.84</v>
          </cell>
          <cell r="M724">
            <v>0</v>
          </cell>
          <cell r="N724">
            <v>0</v>
          </cell>
          <cell r="O724">
            <v>0</v>
          </cell>
          <cell r="P724">
            <v>0</v>
          </cell>
          <cell r="Z724" t="str">
            <v>20140101LGUM_475</v>
          </cell>
          <cell r="AB724" t="str">
            <v>475</v>
          </cell>
        </row>
        <row r="725">
          <cell r="C725" t="str">
            <v xml:space="preserve">LS </v>
          </cell>
          <cell r="E725">
            <v>348</v>
          </cell>
          <cell r="F725">
            <v>0</v>
          </cell>
          <cell r="J725">
            <v>13780.8</v>
          </cell>
          <cell r="M725">
            <v>0</v>
          </cell>
          <cell r="N725">
            <v>0</v>
          </cell>
          <cell r="O725">
            <v>0</v>
          </cell>
          <cell r="P725">
            <v>0</v>
          </cell>
          <cell r="Z725" t="str">
            <v>20140101LGUM_476</v>
          </cell>
          <cell r="AB725" t="str">
            <v>476</v>
          </cell>
        </row>
        <row r="726">
          <cell r="C726" t="str">
            <v>RLS</v>
          </cell>
          <cell r="E726">
            <v>59</v>
          </cell>
          <cell r="F726">
            <v>0</v>
          </cell>
          <cell r="J726">
            <v>2524.02</v>
          </cell>
          <cell r="M726">
            <v>0</v>
          </cell>
          <cell r="N726">
            <v>0</v>
          </cell>
          <cell r="O726">
            <v>0</v>
          </cell>
          <cell r="P726">
            <v>0</v>
          </cell>
          <cell r="Z726" t="str">
            <v>20140101LGUM_477</v>
          </cell>
          <cell r="AB726" t="str">
            <v>477</v>
          </cell>
        </row>
        <row r="727">
          <cell r="C727" t="str">
            <v xml:space="preserve">LS </v>
          </cell>
          <cell r="E727">
            <v>0</v>
          </cell>
          <cell r="F727">
            <v>0</v>
          </cell>
          <cell r="J727">
            <v>0</v>
          </cell>
          <cell r="M727">
            <v>0</v>
          </cell>
          <cell r="N727">
            <v>0</v>
          </cell>
          <cell r="O727">
            <v>0</v>
          </cell>
          <cell r="P727">
            <v>0</v>
          </cell>
          <cell r="Z727" t="str">
            <v>20140101LGUM_479</v>
          </cell>
          <cell r="AB727" t="str">
            <v>479</v>
          </cell>
        </row>
        <row r="728">
          <cell r="C728" t="str">
            <v xml:space="preserve">LS </v>
          </cell>
          <cell r="E728">
            <v>17</v>
          </cell>
          <cell r="F728">
            <v>0</v>
          </cell>
          <cell r="J728">
            <v>405.11</v>
          </cell>
          <cell r="M728">
            <v>0</v>
          </cell>
          <cell r="N728">
            <v>0</v>
          </cell>
          <cell r="O728">
            <v>0</v>
          </cell>
          <cell r="P728">
            <v>0</v>
          </cell>
          <cell r="Z728" t="str">
            <v>20140101LGUM_480</v>
          </cell>
          <cell r="AB728" t="str">
            <v>480</v>
          </cell>
        </row>
        <row r="729">
          <cell r="C729" t="str">
            <v xml:space="preserve">LS </v>
          </cell>
          <cell r="E729">
            <v>4</v>
          </cell>
          <cell r="F729">
            <v>0</v>
          </cell>
          <cell r="J729">
            <v>81.84</v>
          </cell>
          <cell r="M729">
            <v>0</v>
          </cell>
          <cell r="N729">
            <v>0</v>
          </cell>
          <cell r="O729">
            <v>0</v>
          </cell>
          <cell r="P729">
            <v>0</v>
          </cell>
          <cell r="Z729" t="str">
            <v>20140101LGUM_481</v>
          </cell>
          <cell r="AB729" t="str">
            <v>481</v>
          </cell>
        </row>
        <row r="730">
          <cell r="C730" t="str">
            <v xml:space="preserve">LS </v>
          </cell>
          <cell r="E730">
            <v>39</v>
          </cell>
          <cell r="F730">
            <v>0</v>
          </cell>
          <cell r="J730">
            <v>1178.19</v>
          </cell>
          <cell r="M730">
            <v>0</v>
          </cell>
          <cell r="N730">
            <v>0</v>
          </cell>
          <cell r="O730">
            <v>0</v>
          </cell>
          <cell r="P730">
            <v>0</v>
          </cell>
          <cell r="Z730" t="str">
            <v>20140101LGUM_482</v>
          </cell>
          <cell r="AB730" t="str">
            <v>482</v>
          </cell>
        </row>
        <row r="731">
          <cell r="C731" t="str">
            <v xml:space="preserve">LS </v>
          </cell>
          <cell r="E731">
            <v>2</v>
          </cell>
          <cell r="F731">
            <v>0</v>
          </cell>
          <cell r="J731">
            <v>85.12</v>
          </cell>
          <cell r="M731">
            <v>0</v>
          </cell>
          <cell r="N731">
            <v>0</v>
          </cell>
          <cell r="O731">
            <v>0</v>
          </cell>
          <cell r="P731">
            <v>0</v>
          </cell>
          <cell r="Z731" t="str">
            <v>20140101LGUM_483</v>
          </cell>
          <cell r="AB731" t="str">
            <v>483</v>
          </cell>
        </row>
        <row r="732">
          <cell r="C732" t="str">
            <v xml:space="preserve">LS </v>
          </cell>
          <cell r="E732">
            <v>13</v>
          </cell>
          <cell r="F732">
            <v>0</v>
          </cell>
          <cell r="J732">
            <v>680.03</v>
          </cell>
          <cell r="M732">
            <v>0</v>
          </cell>
          <cell r="N732">
            <v>0</v>
          </cell>
          <cell r="O732">
            <v>0</v>
          </cell>
          <cell r="P732">
            <v>0</v>
          </cell>
          <cell r="Z732" t="str">
            <v>20140101LGUM_484</v>
          </cell>
          <cell r="AB732" t="str">
            <v>484</v>
          </cell>
        </row>
        <row r="733">
          <cell r="C733" t="str">
            <v>ODL</v>
          </cell>
          <cell r="E733">
            <v>0</v>
          </cell>
          <cell r="F733">
            <v>8830823</v>
          </cell>
          <cell r="J733">
            <v>0</v>
          </cell>
          <cell r="M733">
            <v>-1915</v>
          </cell>
          <cell r="N733">
            <v>84314</v>
          </cell>
          <cell r="O733">
            <v>0</v>
          </cell>
          <cell r="P733">
            <v>1615581</v>
          </cell>
          <cell r="Z733" t="str">
            <v>20140101ODL</v>
          </cell>
          <cell r="AB733" t="str">
            <v>ODL</v>
          </cell>
        </row>
        <row r="734">
          <cell r="C734" t="str">
            <v>RLS</v>
          </cell>
          <cell r="E734">
            <v>75</v>
          </cell>
          <cell r="F734">
            <v>0</v>
          </cell>
          <cell r="J734">
            <v>610.5</v>
          </cell>
          <cell r="M734">
            <v>0</v>
          </cell>
          <cell r="N734">
            <v>0</v>
          </cell>
          <cell r="O734">
            <v>0</v>
          </cell>
          <cell r="P734">
            <v>0</v>
          </cell>
          <cell r="Z734" t="str">
            <v>20140101LGUM_201</v>
          </cell>
          <cell r="AB734" t="str">
            <v>201</v>
          </cell>
        </row>
        <row r="735">
          <cell r="C735" t="str">
            <v>RLS</v>
          </cell>
          <cell r="E735">
            <v>4572</v>
          </cell>
          <cell r="F735">
            <v>0</v>
          </cell>
          <cell r="J735">
            <v>50109.120000000003</v>
          </cell>
          <cell r="M735">
            <v>0</v>
          </cell>
          <cell r="N735">
            <v>0</v>
          </cell>
          <cell r="O735">
            <v>0</v>
          </cell>
          <cell r="P735">
            <v>0</v>
          </cell>
          <cell r="Z735" t="str">
            <v>20140101LGUM_203</v>
          </cell>
          <cell r="AB735" t="str">
            <v>203</v>
          </cell>
        </row>
        <row r="736">
          <cell r="C736" t="str">
            <v>RLS</v>
          </cell>
          <cell r="E736">
            <v>3811</v>
          </cell>
          <cell r="F736">
            <v>0</v>
          </cell>
          <cell r="J736">
            <v>51486.61</v>
          </cell>
          <cell r="M736">
            <v>0</v>
          </cell>
          <cell r="N736">
            <v>0</v>
          </cell>
          <cell r="O736">
            <v>0</v>
          </cell>
          <cell r="P736">
            <v>0</v>
          </cell>
          <cell r="Z736" t="str">
            <v>20140101LGUM_204</v>
          </cell>
          <cell r="AB736" t="str">
            <v>204</v>
          </cell>
        </row>
        <row r="737">
          <cell r="C737" t="str">
            <v>RLS</v>
          </cell>
          <cell r="E737">
            <v>96</v>
          </cell>
          <cell r="F737">
            <v>0</v>
          </cell>
          <cell r="J737">
            <v>1195.2</v>
          </cell>
          <cell r="M737">
            <v>0</v>
          </cell>
          <cell r="N737">
            <v>0</v>
          </cell>
          <cell r="O737">
            <v>0</v>
          </cell>
          <cell r="P737">
            <v>0</v>
          </cell>
          <cell r="Z737" t="str">
            <v>20140101LGUM_206</v>
          </cell>
          <cell r="AB737" t="str">
            <v>206</v>
          </cell>
        </row>
        <row r="738">
          <cell r="C738" t="str">
            <v>RLS</v>
          </cell>
          <cell r="E738">
            <v>756</v>
          </cell>
          <cell r="F738">
            <v>0</v>
          </cell>
          <cell r="J738">
            <v>11748.24</v>
          </cell>
          <cell r="M738">
            <v>0</v>
          </cell>
          <cell r="N738">
            <v>0</v>
          </cell>
          <cell r="O738">
            <v>0</v>
          </cell>
          <cell r="P738">
            <v>0</v>
          </cell>
          <cell r="Z738" t="str">
            <v>20140101LGUM_207</v>
          </cell>
          <cell r="AB738" t="str">
            <v>207</v>
          </cell>
        </row>
        <row r="739">
          <cell r="C739" t="str">
            <v>RLS</v>
          </cell>
          <cell r="E739">
            <v>1399</v>
          </cell>
          <cell r="F739">
            <v>0</v>
          </cell>
          <cell r="J739">
            <v>19921.759999999998</v>
          </cell>
          <cell r="M739">
            <v>0</v>
          </cell>
          <cell r="N739">
            <v>0</v>
          </cell>
          <cell r="O739">
            <v>0</v>
          </cell>
          <cell r="P739">
            <v>0</v>
          </cell>
          <cell r="Z739" t="str">
            <v>20140101LGUM_208</v>
          </cell>
          <cell r="AB739" t="str">
            <v>208</v>
          </cell>
        </row>
        <row r="740">
          <cell r="C740" t="str">
            <v>RLS</v>
          </cell>
          <cell r="E740">
            <v>45</v>
          </cell>
          <cell r="F740">
            <v>0</v>
          </cell>
          <cell r="J740">
            <v>1246.05</v>
          </cell>
          <cell r="M740">
            <v>0</v>
          </cell>
          <cell r="N740">
            <v>0</v>
          </cell>
          <cell r="O740">
            <v>0</v>
          </cell>
          <cell r="P740">
            <v>0</v>
          </cell>
          <cell r="Z740" t="str">
            <v>20140101LGUM_209</v>
          </cell>
          <cell r="AB740" t="str">
            <v>209</v>
          </cell>
        </row>
        <row r="741">
          <cell r="C741" t="str">
            <v>RLS</v>
          </cell>
          <cell r="E741">
            <v>355</v>
          </cell>
          <cell r="F741">
            <v>0</v>
          </cell>
          <cell r="J741">
            <v>10255.950000000001</v>
          </cell>
          <cell r="M741">
            <v>0</v>
          </cell>
          <cell r="N741">
            <v>0</v>
          </cell>
          <cell r="O741">
            <v>0</v>
          </cell>
          <cell r="P741">
            <v>0</v>
          </cell>
          <cell r="Z741" t="str">
            <v>20140101LGUM_210</v>
          </cell>
          <cell r="AB741" t="str">
            <v>210</v>
          </cell>
        </row>
        <row r="742">
          <cell r="C742" t="str">
            <v>RLS</v>
          </cell>
          <cell r="E742">
            <v>3988</v>
          </cell>
          <cell r="F742">
            <v>0</v>
          </cell>
          <cell r="J742">
            <v>38165.160000000003</v>
          </cell>
          <cell r="M742">
            <v>0</v>
          </cell>
          <cell r="N742">
            <v>0</v>
          </cell>
          <cell r="O742">
            <v>0</v>
          </cell>
          <cell r="P742">
            <v>0</v>
          </cell>
          <cell r="Z742" t="str">
            <v>20140101LGUM_252</v>
          </cell>
          <cell r="AB742" t="str">
            <v>252</v>
          </cell>
        </row>
        <row r="743">
          <cell r="C743" t="str">
            <v>RLS</v>
          </cell>
          <cell r="E743">
            <v>2010</v>
          </cell>
          <cell r="F743">
            <v>0</v>
          </cell>
          <cell r="J743">
            <v>54953.4</v>
          </cell>
          <cell r="M743">
            <v>0</v>
          </cell>
          <cell r="N743">
            <v>0</v>
          </cell>
          <cell r="O743">
            <v>0</v>
          </cell>
          <cell r="P743">
            <v>0</v>
          </cell>
          <cell r="Z743" t="str">
            <v>20140101LGUM_266</v>
          </cell>
          <cell r="AB743" t="str">
            <v>266</v>
          </cell>
        </row>
        <row r="744">
          <cell r="C744" t="str">
            <v>RLS</v>
          </cell>
          <cell r="E744">
            <v>2200</v>
          </cell>
          <cell r="F744">
            <v>0</v>
          </cell>
          <cell r="J744">
            <v>69080</v>
          </cell>
          <cell r="M744">
            <v>0</v>
          </cell>
          <cell r="N744">
            <v>0</v>
          </cell>
          <cell r="O744">
            <v>0</v>
          </cell>
          <cell r="P744">
            <v>0</v>
          </cell>
          <cell r="Z744" t="str">
            <v>20140101LGUM_267</v>
          </cell>
          <cell r="AB744" t="str">
            <v>267</v>
          </cell>
        </row>
        <row r="745">
          <cell r="C745" t="str">
            <v>RLS</v>
          </cell>
          <cell r="E745">
            <v>16575</v>
          </cell>
          <cell r="F745">
            <v>0</v>
          </cell>
          <cell r="J745">
            <v>284924.25</v>
          </cell>
          <cell r="M745">
            <v>0</v>
          </cell>
          <cell r="N745">
            <v>0</v>
          </cell>
          <cell r="O745">
            <v>0</v>
          </cell>
          <cell r="P745">
            <v>0</v>
          </cell>
          <cell r="Z745" t="str">
            <v>20140101LGUM_274</v>
          </cell>
          <cell r="AB745" t="str">
            <v>274</v>
          </cell>
        </row>
        <row r="746">
          <cell r="C746" t="str">
            <v>RLS</v>
          </cell>
          <cell r="E746">
            <v>515</v>
          </cell>
          <cell r="F746">
            <v>0</v>
          </cell>
          <cell r="J746">
            <v>12818.35</v>
          </cell>
          <cell r="M746">
            <v>0</v>
          </cell>
          <cell r="N746">
            <v>0</v>
          </cell>
          <cell r="O746">
            <v>0</v>
          </cell>
          <cell r="P746">
            <v>0</v>
          </cell>
          <cell r="Z746" t="str">
            <v>20140101LGUM_275</v>
          </cell>
          <cell r="AB746" t="str">
            <v>275</v>
          </cell>
        </row>
        <row r="747">
          <cell r="C747" t="str">
            <v>RLS</v>
          </cell>
          <cell r="E747">
            <v>1301</v>
          </cell>
          <cell r="F747">
            <v>0</v>
          </cell>
          <cell r="J747">
            <v>18435.169999999998</v>
          </cell>
          <cell r="M747">
            <v>0</v>
          </cell>
          <cell r="N747">
            <v>0</v>
          </cell>
          <cell r="O747">
            <v>0</v>
          </cell>
          <cell r="P747">
            <v>0</v>
          </cell>
          <cell r="Z747" t="str">
            <v>20140101LGUM_276</v>
          </cell>
          <cell r="AB747" t="str">
            <v>276</v>
          </cell>
        </row>
        <row r="748">
          <cell r="C748" t="str">
            <v>RLS</v>
          </cell>
          <cell r="E748">
            <v>2243</v>
          </cell>
          <cell r="F748">
            <v>0</v>
          </cell>
          <cell r="J748">
            <v>49682.45</v>
          </cell>
          <cell r="M748">
            <v>0</v>
          </cell>
          <cell r="N748">
            <v>0</v>
          </cell>
          <cell r="O748">
            <v>0</v>
          </cell>
          <cell r="P748">
            <v>0</v>
          </cell>
          <cell r="Z748" t="str">
            <v>20140101LGUM_277</v>
          </cell>
          <cell r="AB748" t="str">
            <v>277</v>
          </cell>
        </row>
        <row r="749">
          <cell r="C749" t="str">
            <v>RLS</v>
          </cell>
          <cell r="E749">
            <v>16</v>
          </cell>
          <cell r="F749">
            <v>0</v>
          </cell>
          <cell r="J749">
            <v>1160.8</v>
          </cell>
          <cell r="M749">
            <v>0</v>
          </cell>
          <cell r="N749">
            <v>0</v>
          </cell>
          <cell r="O749">
            <v>0</v>
          </cell>
          <cell r="P749">
            <v>0</v>
          </cell>
          <cell r="Z749" t="str">
            <v>20140101LGUM_278</v>
          </cell>
          <cell r="AB749" t="str">
            <v>278</v>
          </cell>
        </row>
        <row r="750">
          <cell r="C750" t="str">
            <v>RLS</v>
          </cell>
          <cell r="E750">
            <v>11</v>
          </cell>
          <cell r="F750">
            <v>0</v>
          </cell>
          <cell r="J750">
            <v>455.73</v>
          </cell>
          <cell r="M750">
            <v>0</v>
          </cell>
          <cell r="N750">
            <v>0</v>
          </cell>
          <cell r="O750">
            <v>0</v>
          </cell>
          <cell r="P750">
            <v>0</v>
          </cell>
          <cell r="Z750" t="str">
            <v>20140101LGUM_279</v>
          </cell>
          <cell r="AB750" t="str">
            <v>279</v>
          </cell>
        </row>
        <row r="751">
          <cell r="C751" t="str">
            <v>RLS</v>
          </cell>
          <cell r="E751">
            <v>45</v>
          </cell>
          <cell r="F751">
            <v>0</v>
          </cell>
          <cell r="J751">
            <v>872.1</v>
          </cell>
          <cell r="M751">
            <v>0</v>
          </cell>
          <cell r="N751">
            <v>0</v>
          </cell>
          <cell r="O751">
            <v>0</v>
          </cell>
          <cell r="P751">
            <v>0</v>
          </cell>
          <cell r="Z751" t="str">
            <v>20140101LGUM_280</v>
          </cell>
          <cell r="AB751" t="str">
            <v>280</v>
          </cell>
        </row>
        <row r="752">
          <cell r="C752" t="str">
            <v>RLS</v>
          </cell>
          <cell r="E752">
            <v>239</v>
          </cell>
          <cell r="F752">
            <v>0</v>
          </cell>
          <cell r="J752">
            <v>4863.6499999999996</v>
          </cell>
          <cell r="M752">
            <v>0</v>
          </cell>
          <cell r="N752">
            <v>0</v>
          </cell>
          <cell r="O752">
            <v>0</v>
          </cell>
          <cell r="P752">
            <v>0</v>
          </cell>
          <cell r="Z752" t="str">
            <v>20140101LGUM_281</v>
          </cell>
          <cell r="AB752" t="str">
            <v>281</v>
          </cell>
        </row>
        <row r="753">
          <cell r="C753" t="str">
            <v>RLS</v>
          </cell>
          <cell r="E753">
            <v>103</v>
          </cell>
          <cell r="F753">
            <v>0</v>
          </cell>
          <cell r="J753">
            <v>2011.59</v>
          </cell>
          <cell r="M753">
            <v>0</v>
          </cell>
          <cell r="N753">
            <v>0</v>
          </cell>
          <cell r="O753">
            <v>0</v>
          </cell>
          <cell r="P753">
            <v>0</v>
          </cell>
          <cell r="Z753" t="str">
            <v>20140101LGUM_282</v>
          </cell>
          <cell r="AB753" t="str">
            <v>282</v>
          </cell>
        </row>
        <row r="754">
          <cell r="C754" t="str">
            <v>RLS</v>
          </cell>
          <cell r="E754">
            <v>79</v>
          </cell>
          <cell r="F754">
            <v>0</v>
          </cell>
          <cell r="J754">
            <v>1644.78</v>
          </cell>
          <cell r="M754">
            <v>0</v>
          </cell>
          <cell r="N754">
            <v>0</v>
          </cell>
          <cell r="O754">
            <v>0</v>
          </cell>
          <cell r="P754">
            <v>0</v>
          </cell>
          <cell r="Z754" t="str">
            <v>20140101LGUM_283</v>
          </cell>
          <cell r="AB754" t="str">
            <v>283</v>
          </cell>
        </row>
        <row r="755">
          <cell r="C755" t="str">
            <v>RLS</v>
          </cell>
          <cell r="E755">
            <v>552</v>
          </cell>
          <cell r="F755">
            <v>0</v>
          </cell>
          <cell r="J755">
            <v>10598.4</v>
          </cell>
          <cell r="M755">
            <v>0</v>
          </cell>
          <cell r="N755">
            <v>0</v>
          </cell>
          <cell r="O755">
            <v>0</v>
          </cell>
          <cell r="P755">
            <v>0</v>
          </cell>
          <cell r="Z755" t="str">
            <v>20140101LGUM_314</v>
          </cell>
          <cell r="AB755" t="str">
            <v>314</v>
          </cell>
        </row>
        <row r="756">
          <cell r="C756" t="str">
            <v>RLS</v>
          </cell>
          <cell r="E756">
            <v>529</v>
          </cell>
          <cell r="F756">
            <v>0</v>
          </cell>
          <cell r="J756">
            <v>12140.55</v>
          </cell>
          <cell r="M756">
            <v>0</v>
          </cell>
          <cell r="N756">
            <v>0</v>
          </cell>
          <cell r="O756">
            <v>0</v>
          </cell>
          <cell r="P756">
            <v>0</v>
          </cell>
          <cell r="Z756" t="str">
            <v>20140101LGUM_315</v>
          </cell>
          <cell r="AB756" t="str">
            <v>315</v>
          </cell>
        </row>
        <row r="757">
          <cell r="C757" t="str">
            <v>RLS</v>
          </cell>
          <cell r="E757">
            <v>53</v>
          </cell>
          <cell r="F757">
            <v>0</v>
          </cell>
          <cell r="J757">
            <v>923.26</v>
          </cell>
          <cell r="M757">
            <v>0</v>
          </cell>
          <cell r="N757">
            <v>0</v>
          </cell>
          <cell r="O757">
            <v>0</v>
          </cell>
          <cell r="P757">
            <v>0</v>
          </cell>
          <cell r="Z757" t="str">
            <v>20140101LGUM_318</v>
          </cell>
          <cell r="AB757" t="str">
            <v>318</v>
          </cell>
        </row>
        <row r="758">
          <cell r="C758" t="str">
            <v>RLS</v>
          </cell>
          <cell r="E758">
            <v>0</v>
          </cell>
          <cell r="F758">
            <v>0</v>
          </cell>
          <cell r="J758">
            <v>0</v>
          </cell>
          <cell r="M758">
            <v>0</v>
          </cell>
          <cell r="N758">
            <v>0</v>
          </cell>
          <cell r="O758">
            <v>0</v>
          </cell>
          <cell r="P758">
            <v>0</v>
          </cell>
          <cell r="Z758" t="str">
            <v>20140101LGUM_347</v>
          </cell>
          <cell r="AB758" t="str">
            <v>347</v>
          </cell>
        </row>
        <row r="759">
          <cell r="C759" t="str">
            <v>RLS</v>
          </cell>
          <cell r="E759">
            <v>39</v>
          </cell>
          <cell r="F759">
            <v>0</v>
          </cell>
          <cell r="J759">
            <v>511.68</v>
          </cell>
          <cell r="M759">
            <v>0</v>
          </cell>
          <cell r="N759">
            <v>0</v>
          </cell>
          <cell r="O759">
            <v>0</v>
          </cell>
          <cell r="P759">
            <v>0</v>
          </cell>
          <cell r="Z759" t="str">
            <v>20140101LGUM_348</v>
          </cell>
          <cell r="AB759" t="str">
            <v>348</v>
          </cell>
        </row>
        <row r="760">
          <cell r="C760" t="str">
            <v>RLS</v>
          </cell>
          <cell r="E760">
            <v>16</v>
          </cell>
          <cell r="F760">
            <v>0</v>
          </cell>
          <cell r="J760">
            <v>144.32</v>
          </cell>
          <cell r="M760">
            <v>0</v>
          </cell>
          <cell r="N760">
            <v>0</v>
          </cell>
          <cell r="O760">
            <v>0</v>
          </cell>
          <cell r="P760">
            <v>0</v>
          </cell>
          <cell r="Z760" t="str">
            <v>20140101LGUM_349</v>
          </cell>
          <cell r="AB760" t="str">
            <v>349</v>
          </cell>
        </row>
        <row r="761">
          <cell r="C761" t="str">
            <v xml:space="preserve">LS </v>
          </cell>
          <cell r="E761">
            <v>32</v>
          </cell>
          <cell r="F761">
            <v>0</v>
          </cell>
          <cell r="J761">
            <v>764.48</v>
          </cell>
          <cell r="M761">
            <v>0</v>
          </cell>
          <cell r="N761">
            <v>0</v>
          </cell>
          <cell r="O761">
            <v>0</v>
          </cell>
          <cell r="P761">
            <v>0</v>
          </cell>
          <cell r="Z761" t="str">
            <v>20140101LGUM_400</v>
          </cell>
          <cell r="AB761" t="str">
            <v>400</v>
          </cell>
        </row>
        <row r="762">
          <cell r="C762" t="str">
            <v xml:space="preserve">LS </v>
          </cell>
          <cell r="E762">
            <v>4</v>
          </cell>
          <cell r="F762">
            <v>0</v>
          </cell>
          <cell r="J762">
            <v>99.6</v>
          </cell>
          <cell r="M762">
            <v>0</v>
          </cell>
          <cell r="N762">
            <v>0</v>
          </cell>
          <cell r="O762">
            <v>0</v>
          </cell>
          <cell r="P762">
            <v>0</v>
          </cell>
          <cell r="Z762" t="str">
            <v>20140101LGUM_401</v>
          </cell>
          <cell r="AB762" t="str">
            <v>401</v>
          </cell>
        </row>
        <row r="763">
          <cell r="C763" t="str">
            <v xml:space="preserve">LS </v>
          </cell>
          <cell r="E763">
            <v>220</v>
          </cell>
          <cell r="F763">
            <v>0</v>
          </cell>
          <cell r="J763">
            <v>4353.8</v>
          </cell>
          <cell r="M763">
            <v>0</v>
          </cell>
          <cell r="N763">
            <v>0</v>
          </cell>
          <cell r="O763">
            <v>0</v>
          </cell>
          <cell r="P763">
            <v>0</v>
          </cell>
          <cell r="Z763" t="str">
            <v>20140101LGUM_412</v>
          </cell>
          <cell r="AB763" t="str">
            <v>412</v>
          </cell>
        </row>
        <row r="764">
          <cell r="C764" t="str">
            <v xml:space="preserve">LS </v>
          </cell>
          <cell r="E764">
            <v>2033</v>
          </cell>
          <cell r="F764">
            <v>0</v>
          </cell>
          <cell r="J764">
            <v>41656.17</v>
          </cell>
          <cell r="M764">
            <v>0</v>
          </cell>
          <cell r="N764">
            <v>0</v>
          </cell>
          <cell r="O764">
            <v>0</v>
          </cell>
          <cell r="P764">
            <v>0</v>
          </cell>
          <cell r="Z764" t="str">
            <v>20140101LGUM_413</v>
          </cell>
          <cell r="AB764" t="str">
            <v>413</v>
          </cell>
        </row>
        <row r="765">
          <cell r="C765" t="str">
            <v xml:space="preserve">LS </v>
          </cell>
          <cell r="E765">
            <v>27</v>
          </cell>
          <cell r="F765">
            <v>0</v>
          </cell>
          <cell r="J765">
            <v>544.86</v>
          </cell>
          <cell r="M765">
            <v>0</v>
          </cell>
          <cell r="N765">
            <v>0</v>
          </cell>
          <cell r="O765">
            <v>0</v>
          </cell>
          <cell r="P765">
            <v>0</v>
          </cell>
          <cell r="Z765" t="str">
            <v>20140101LGUM_415</v>
          </cell>
          <cell r="AB765" t="str">
            <v>415</v>
          </cell>
        </row>
        <row r="766">
          <cell r="C766" t="str">
            <v xml:space="preserve">LS </v>
          </cell>
          <cell r="E766">
            <v>1778</v>
          </cell>
          <cell r="F766">
            <v>0</v>
          </cell>
          <cell r="J766">
            <v>40111.68</v>
          </cell>
          <cell r="M766">
            <v>0</v>
          </cell>
          <cell r="N766">
            <v>0</v>
          </cell>
          <cell r="O766">
            <v>0</v>
          </cell>
          <cell r="P766">
            <v>0</v>
          </cell>
          <cell r="Z766" t="str">
            <v>20140101LGUM_416</v>
          </cell>
          <cell r="AB766" t="str">
            <v>416</v>
          </cell>
        </row>
        <row r="767">
          <cell r="C767" t="str">
            <v>RLS</v>
          </cell>
          <cell r="E767">
            <v>35</v>
          </cell>
          <cell r="F767">
            <v>0</v>
          </cell>
          <cell r="J767">
            <v>828.8</v>
          </cell>
          <cell r="M767">
            <v>0</v>
          </cell>
          <cell r="N767">
            <v>0</v>
          </cell>
          <cell r="O767">
            <v>0</v>
          </cell>
          <cell r="P767">
            <v>0</v>
          </cell>
          <cell r="Z767" t="str">
            <v>20140101LGUM_417</v>
          </cell>
          <cell r="AB767" t="str">
            <v>417</v>
          </cell>
        </row>
        <row r="768">
          <cell r="C768" t="str">
            <v>RLS</v>
          </cell>
          <cell r="E768">
            <v>111</v>
          </cell>
          <cell r="F768">
            <v>0</v>
          </cell>
          <cell r="J768">
            <v>2749.47</v>
          </cell>
          <cell r="M768">
            <v>0</v>
          </cell>
          <cell r="N768">
            <v>0</v>
          </cell>
          <cell r="O768">
            <v>0</v>
          </cell>
          <cell r="P768">
            <v>0</v>
          </cell>
          <cell r="Z768" t="str">
            <v>20140101LGUM_419</v>
          </cell>
          <cell r="AB768" t="str">
            <v>419</v>
          </cell>
        </row>
        <row r="769">
          <cell r="C769" t="str">
            <v xml:space="preserve">LS </v>
          </cell>
          <cell r="E769">
            <v>53</v>
          </cell>
          <cell r="F769">
            <v>0</v>
          </cell>
          <cell r="J769">
            <v>1584.17</v>
          </cell>
          <cell r="M769">
            <v>0</v>
          </cell>
          <cell r="N769">
            <v>0</v>
          </cell>
          <cell r="O769">
            <v>0</v>
          </cell>
          <cell r="P769">
            <v>0</v>
          </cell>
          <cell r="Z769" t="str">
            <v>20140101LGUM_420</v>
          </cell>
          <cell r="AB769" t="str">
            <v>420</v>
          </cell>
        </row>
        <row r="770">
          <cell r="C770" t="str">
            <v xml:space="preserve">LS </v>
          </cell>
          <cell r="E770">
            <v>174</v>
          </cell>
          <cell r="F770">
            <v>0</v>
          </cell>
          <cell r="J770">
            <v>5717.64</v>
          </cell>
          <cell r="M770">
            <v>0</v>
          </cell>
          <cell r="N770">
            <v>0</v>
          </cell>
          <cell r="O770">
            <v>0</v>
          </cell>
          <cell r="P770">
            <v>0</v>
          </cell>
          <cell r="Z770" t="str">
            <v>20140101LGUM_421</v>
          </cell>
          <cell r="AB770" t="str">
            <v>421</v>
          </cell>
        </row>
        <row r="771">
          <cell r="C771" t="str">
            <v xml:space="preserve">LS </v>
          </cell>
          <cell r="E771">
            <v>358</v>
          </cell>
          <cell r="F771">
            <v>0</v>
          </cell>
          <cell r="J771">
            <v>13743.62</v>
          </cell>
          <cell r="M771">
            <v>0</v>
          </cell>
          <cell r="N771">
            <v>0</v>
          </cell>
          <cell r="O771">
            <v>0</v>
          </cell>
          <cell r="P771">
            <v>0</v>
          </cell>
          <cell r="Z771" t="str">
            <v>20140101LGUM_422</v>
          </cell>
          <cell r="AB771" t="str">
            <v>422</v>
          </cell>
        </row>
        <row r="772">
          <cell r="C772" t="str">
            <v xml:space="preserve">LS </v>
          </cell>
          <cell r="E772">
            <v>17</v>
          </cell>
          <cell r="F772">
            <v>0</v>
          </cell>
          <cell r="J772">
            <v>447.95</v>
          </cell>
          <cell r="M772">
            <v>0</v>
          </cell>
          <cell r="N772">
            <v>0</v>
          </cell>
          <cell r="O772">
            <v>0</v>
          </cell>
          <cell r="P772">
            <v>0</v>
          </cell>
          <cell r="Z772" t="str">
            <v>20140101LGUM_423</v>
          </cell>
          <cell r="AB772" t="str">
            <v>423</v>
          </cell>
        </row>
        <row r="773">
          <cell r="C773" t="str">
            <v xml:space="preserve">LS </v>
          </cell>
          <cell r="E773">
            <v>363</v>
          </cell>
          <cell r="F773">
            <v>0</v>
          </cell>
          <cell r="J773">
            <v>10327.35</v>
          </cell>
          <cell r="M773">
            <v>0</v>
          </cell>
          <cell r="N773">
            <v>0</v>
          </cell>
          <cell r="O773">
            <v>0</v>
          </cell>
          <cell r="P773">
            <v>0</v>
          </cell>
          <cell r="Z773" t="str">
            <v>20140101LGUM_424</v>
          </cell>
          <cell r="AB773" t="str">
            <v>424</v>
          </cell>
        </row>
        <row r="774">
          <cell r="C774" t="str">
            <v xml:space="preserve">LS </v>
          </cell>
          <cell r="E774">
            <v>31</v>
          </cell>
          <cell r="F774">
            <v>0</v>
          </cell>
          <cell r="J774">
            <v>1054.93</v>
          </cell>
          <cell r="M774">
            <v>0</v>
          </cell>
          <cell r="N774">
            <v>0</v>
          </cell>
          <cell r="O774">
            <v>0</v>
          </cell>
          <cell r="P774">
            <v>0</v>
          </cell>
          <cell r="Z774" t="str">
            <v>20140101LGUM_425</v>
          </cell>
          <cell r="AB774" t="str">
            <v>425</v>
          </cell>
        </row>
        <row r="775">
          <cell r="C775" t="str">
            <v>RLS</v>
          </cell>
          <cell r="E775">
            <v>40</v>
          </cell>
          <cell r="F775">
            <v>0</v>
          </cell>
          <cell r="J775">
            <v>1328.8</v>
          </cell>
          <cell r="M775">
            <v>0</v>
          </cell>
          <cell r="N775">
            <v>0</v>
          </cell>
          <cell r="O775">
            <v>0</v>
          </cell>
          <cell r="P775">
            <v>0</v>
          </cell>
          <cell r="Z775" t="str">
            <v>20140101LGUM_426</v>
          </cell>
          <cell r="AB775" t="str">
            <v>426</v>
          </cell>
        </row>
        <row r="776">
          <cell r="C776" t="str">
            <v xml:space="preserve">LS </v>
          </cell>
          <cell r="E776">
            <v>52</v>
          </cell>
          <cell r="F776">
            <v>0</v>
          </cell>
          <cell r="J776">
            <v>1830.4</v>
          </cell>
          <cell r="M776">
            <v>0</v>
          </cell>
          <cell r="N776">
            <v>0</v>
          </cell>
          <cell r="O776">
            <v>0</v>
          </cell>
          <cell r="P776">
            <v>0</v>
          </cell>
          <cell r="Z776" t="str">
            <v>20140101LGUM_427</v>
          </cell>
          <cell r="AB776" t="str">
            <v>427</v>
          </cell>
        </row>
        <row r="777">
          <cell r="C777" t="str">
            <v>RLS</v>
          </cell>
          <cell r="E777">
            <v>195</v>
          </cell>
          <cell r="F777">
            <v>0</v>
          </cell>
          <cell r="J777">
            <v>6647.55</v>
          </cell>
          <cell r="M777">
            <v>0</v>
          </cell>
          <cell r="N777">
            <v>0</v>
          </cell>
          <cell r="O777">
            <v>0</v>
          </cell>
          <cell r="P777">
            <v>0</v>
          </cell>
          <cell r="Z777" t="str">
            <v>20140101LGUM_428</v>
          </cell>
          <cell r="AB777" t="str">
            <v>428</v>
          </cell>
        </row>
        <row r="778">
          <cell r="C778" t="str">
            <v xml:space="preserve">LS </v>
          </cell>
          <cell r="E778">
            <v>187</v>
          </cell>
          <cell r="F778">
            <v>0</v>
          </cell>
          <cell r="J778">
            <v>6745.09</v>
          </cell>
          <cell r="M778">
            <v>0</v>
          </cell>
          <cell r="N778">
            <v>0</v>
          </cell>
          <cell r="O778">
            <v>0</v>
          </cell>
          <cell r="P778">
            <v>0</v>
          </cell>
          <cell r="Z778" t="str">
            <v>20140101LGUM_429</v>
          </cell>
          <cell r="AB778" t="str">
            <v>429</v>
          </cell>
        </row>
        <row r="779">
          <cell r="C779" t="str">
            <v>RLS</v>
          </cell>
          <cell r="E779">
            <v>13</v>
          </cell>
          <cell r="F779">
            <v>0</v>
          </cell>
          <cell r="J779">
            <v>419.38</v>
          </cell>
          <cell r="M779">
            <v>0</v>
          </cell>
          <cell r="N779">
            <v>0</v>
          </cell>
          <cell r="O779">
            <v>0</v>
          </cell>
          <cell r="P779">
            <v>0</v>
          </cell>
          <cell r="Z779" t="str">
            <v>20140101LGUM_430</v>
          </cell>
          <cell r="AB779" t="str">
            <v>430</v>
          </cell>
        </row>
        <row r="780">
          <cell r="C780" t="str">
            <v xml:space="preserve">LS </v>
          </cell>
          <cell r="E780">
            <v>44</v>
          </cell>
          <cell r="F780">
            <v>0</v>
          </cell>
          <cell r="J780">
            <v>1448.92</v>
          </cell>
          <cell r="M780">
            <v>0</v>
          </cell>
          <cell r="N780">
            <v>0</v>
          </cell>
          <cell r="O780">
            <v>0</v>
          </cell>
          <cell r="P780">
            <v>0</v>
          </cell>
          <cell r="Z780" t="str">
            <v>20140101LGUM_431</v>
          </cell>
          <cell r="AB780" t="str">
            <v>431</v>
          </cell>
        </row>
        <row r="781">
          <cell r="C781" t="str">
            <v>RLS</v>
          </cell>
          <cell r="E781">
            <v>10</v>
          </cell>
          <cell r="F781">
            <v>0</v>
          </cell>
          <cell r="J781">
            <v>343.3</v>
          </cell>
          <cell r="M781">
            <v>0</v>
          </cell>
          <cell r="N781">
            <v>0</v>
          </cell>
          <cell r="O781">
            <v>0</v>
          </cell>
          <cell r="P781">
            <v>0</v>
          </cell>
          <cell r="Z781" t="str">
            <v>20140101LGUM_432</v>
          </cell>
          <cell r="AB781" t="str">
            <v>432</v>
          </cell>
        </row>
        <row r="782">
          <cell r="C782" t="str">
            <v xml:space="preserve">LS </v>
          </cell>
          <cell r="E782">
            <v>170</v>
          </cell>
          <cell r="F782">
            <v>0</v>
          </cell>
          <cell r="J782">
            <v>5948.3</v>
          </cell>
          <cell r="M782">
            <v>0</v>
          </cell>
          <cell r="N782">
            <v>0</v>
          </cell>
          <cell r="O782">
            <v>0</v>
          </cell>
          <cell r="P782">
            <v>0</v>
          </cell>
          <cell r="Z782" t="str">
            <v>20140101LGUM_433</v>
          </cell>
          <cell r="AB782" t="str">
            <v>433</v>
          </cell>
        </row>
        <row r="783">
          <cell r="C783" t="str">
            <v xml:space="preserve">LS </v>
          </cell>
          <cell r="E783">
            <v>0</v>
          </cell>
          <cell r="F783">
            <v>0</v>
          </cell>
          <cell r="J783">
            <v>0</v>
          </cell>
          <cell r="M783">
            <v>0</v>
          </cell>
          <cell r="N783">
            <v>0</v>
          </cell>
          <cell r="O783">
            <v>0</v>
          </cell>
          <cell r="P783">
            <v>0</v>
          </cell>
          <cell r="Z783" t="str">
            <v>20140101LGUM_439</v>
          </cell>
          <cell r="AB783" t="str">
            <v>439</v>
          </cell>
        </row>
        <row r="784">
          <cell r="C784" t="str">
            <v xml:space="preserve">LS </v>
          </cell>
          <cell r="E784">
            <v>2</v>
          </cell>
          <cell r="F784">
            <v>0</v>
          </cell>
          <cell r="J784">
            <v>36.56</v>
          </cell>
          <cell r="M784">
            <v>0</v>
          </cell>
          <cell r="N784">
            <v>0</v>
          </cell>
          <cell r="O784">
            <v>0</v>
          </cell>
          <cell r="P784">
            <v>0</v>
          </cell>
          <cell r="Z784" t="str">
            <v>20140101LGUM_440</v>
          </cell>
          <cell r="AB784" t="str">
            <v>440</v>
          </cell>
        </row>
        <row r="785">
          <cell r="C785" t="str">
            <v xml:space="preserve">LS </v>
          </cell>
          <cell r="E785">
            <v>13</v>
          </cell>
          <cell r="F785">
            <v>0</v>
          </cell>
          <cell r="J785">
            <v>290.16000000000003</v>
          </cell>
          <cell r="M785">
            <v>0</v>
          </cell>
          <cell r="N785">
            <v>0</v>
          </cell>
          <cell r="O785">
            <v>0</v>
          </cell>
          <cell r="P785">
            <v>0</v>
          </cell>
          <cell r="Z785" t="str">
            <v>20140101LGUM_441</v>
          </cell>
          <cell r="AB785" t="str">
            <v>441</v>
          </cell>
        </row>
        <row r="786">
          <cell r="C786" t="str">
            <v xml:space="preserve">LS </v>
          </cell>
          <cell r="E786">
            <v>6198</v>
          </cell>
          <cell r="F786">
            <v>0</v>
          </cell>
          <cell r="J786">
            <v>79458.36</v>
          </cell>
          <cell r="M786">
            <v>0</v>
          </cell>
          <cell r="N786">
            <v>0</v>
          </cell>
          <cell r="O786">
            <v>0</v>
          </cell>
          <cell r="P786">
            <v>0</v>
          </cell>
          <cell r="Z786" t="str">
            <v>20140101LGUM_452</v>
          </cell>
          <cell r="AB786" t="str">
            <v>452</v>
          </cell>
        </row>
        <row r="787">
          <cell r="C787" t="str">
            <v xml:space="preserve">LS </v>
          </cell>
          <cell r="E787">
            <v>7957</v>
          </cell>
          <cell r="F787">
            <v>0</v>
          </cell>
          <cell r="J787">
            <v>119991.56</v>
          </cell>
          <cell r="M787">
            <v>0</v>
          </cell>
          <cell r="N787">
            <v>0</v>
          </cell>
          <cell r="O787">
            <v>0</v>
          </cell>
          <cell r="P787">
            <v>0</v>
          </cell>
          <cell r="Z787" t="str">
            <v>20140101LGUM_453</v>
          </cell>
          <cell r="AB787" t="str">
            <v>453</v>
          </cell>
        </row>
        <row r="788">
          <cell r="C788" t="str">
            <v xml:space="preserve">LS </v>
          </cell>
          <cell r="E788">
            <v>5472</v>
          </cell>
          <cell r="F788">
            <v>0</v>
          </cell>
          <cell r="J788">
            <v>95103.360000000001</v>
          </cell>
          <cell r="M788">
            <v>0</v>
          </cell>
          <cell r="N788">
            <v>0</v>
          </cell>
          <cell r="O788">
            <v>0</v>
          </cell>
          <cell r="P788">
            <v>0</v>
          </cell>
          <cell r="Z788" t="str">
            <v>20140101LGUM_454</v>
          </cell>
          <cell r="AB788" t="str">
            <v>454</v>
          </cell>
        </row>
        <row r="789">
          <cell r="C789" t="str">
            <v xml:space="preserve">LS </v>
          </cell>
          <cell r="E789">
            <v>403</v>
          </cell>
          <cell r="F789">
            <v>0</v>
          </cell>
          <cell r="J789">
            <v>5549.31</v>
          </cell>
          <cell r="M789">
            <v>0</v>
          </cell>
          <cell r="N789">
            <v>0</v>
          </cell>
          <cell r="O789">
            <v>0</v>
          </cell>
          <cell r="P789">
            <v>0</v>
          </cell>
          <cell r="Z789" t="str">
            <v>20140101LGUM_455</v>
          </cell>
          <cell r="AB789" t="str">
            <v>455</v>
          </cell>
        </row>
        <row r="790">
          <cell r="C790" t="str">
            <v xml:space="preserve">LS </v>
          </cell>
          <cell r="E790">
            <v>12613</v>
          </cell>
          <cell r="F790">
            <v>0</v>
          </cell>
          <cell r="J790">
            <v>229682.73</v>
          </cell>
          <cell r="M790">
            <v>0</v>
          </cell>
          <cell r="N790">
            <v>0</v>
          </cell>
          <cell r="O790">
            <v>0</v>
          </cell>
          <cell r="P790">
            <v>0</v>
          </cell>
          <cell r="Z790" t="str">
            <v>20140101LGUM_456</v>
          </cell>
          <cell r="AB790" t="str">
            <v>456</v>
          </cell>
        </row>
        <row r="791">
          <cell r="C791" t="str">
            <v xml:space="preserve">LS </v>
          </cell>
          <cell r="E791">
            <v>3169</v>
          </cell>
          <cell r="F791">
            <v>0</v>
          </cell>
          <cell r="J791">
            <v>34415.339999999997</v>
          </cell>
          <cell r="M791">
            <v>0</v>
          </cell>
          <cell r="N791">
            <v>0</v>
          </cell>
          <cell r="O791">
            <v>0</v>
          </cell>
          <cell r="P791">
            <v>0</v>
          </cell>
          <cell r="Z791" t="str">
            <v>20140101LGUM_457</v>
          </cell>
          <cell r="AB791" t="str">
            <v>457</v>
          </cell>
        </row>
        <row r="792">
          <cell r="C792" t="str">
            <v>RLS</v>
          </cell>
          <cell r="E792">
            <v>5</v>
          </cell>
          <cell r="F792">
            <v>0</v>
          </cell>
          <cell r="J792">
            <v>55.65</v>
          </cell>
          <cell r="M792">
            <v>0</v>
          </cell>
          <cell r="N792">
            <v>0</v>
          </cell>
          <cell r="O792">
            <v>0</v>
          </cell>
          <cell r="P792">
            <v>0</v>
          </cell>
          <cell r="Z792" t="str">
            <v>20140101LGUM_458</v>
          </cell>
          <cell r="AB792" t="str">
            <v>458</v>
          </cell>
        </row>
        <row r="793">
          <cell r="C793" t="str">
            <v xml:space="preserve">LS </v>
          </cell>
          <cell r="E793">
            <v>17</v>
          </cell>
          <cell r="F793">
            <v>0</v>
          </cell>
          <cell r="J793">
            <v>217.43</v>
          </cell>
          <cell r="M793">
            <v>0</v>
          </cell>
          <cell r="N793">
            <v>0</v>
          </cell>
          <cell r="O793">
            <v>0</v>
          </cell>
          <cell r="P793">
            <v>0</v>
          </cell>
          <cell r="Z793" t="str">
            <v>20140101LGUM_470</v>
          </cell>
          <cell r="AB793" t="str">
            <v>470</v>
          </cell>
        </row>
        <row r="794">
          <cell r="C794" t="str">
            <v>RLS</v>
          </cell>
          <cell r="E794">
            <v>2</v>
          </cell>
          <cell r="F794">
            <v>0</v>
          </cell>
          <cell r="J794">
            <v>30.14</v>
          </cell>
          <cell r="M794">
            <v>0</v>
          </cell>
          <cell r="N794">
            <v>0</v>
          </cell>
          <cell r="O794">
            <v>0</v>
          </cell>
          <cell r="P794">
            <v>0</v>
          </cell>
          <cell r="Z794" t="str">
            <v>20140101LGUM_471</v>
          </cell>
          <cell r="AB794" t="str">
            <v>471</v>
          </cell>
        </row>
        <row r="795">
          <cell r="C795" t="str">
            <v xml:space="preserve">LS </v>
          </cell>
          <cell r="E795">
            <v>268</v>
          </cell>
          <cell r="F795">
            <v>0</v>
          </cell>
          <cell r="J795">
            <v>5006.24</v>
          </cell>
          <cell r="M795">
            <v>0</v>
          </cell>
          <cell r="N795">
            <v>0</v>
          </cell>
          <cell r="O795">
            <v>0</v>
          </cell>
          <cell r="P795">
            <v>0</v>
          </cell>
          <cell r="Z795" t="str">
            <v>20140101LGUM_473</v>
          </cell>
          <cell r="AB795" t="str">
            <v>473</v>
          </cell>
        </row>
        <row r="796">
          <cell r="C796" t="str">
            <v>RLS</v>
          </cell>
          <cell r="E796">
            <v>52</v>
          </cell>
          <cell r="F796">
            <v>0</v>
          </cell>
          <cell r="J796">
            <v>1090.44</v>
          </cell>
          <cell r="M796">
            <v>0</v>
          </cell>
          <cell r="N796">
            <v>0</v>
          </cell>
          <cell r="O796">
            <v>0</v>
          </cell>
          <cell r="P796">
            <v>0</v>
          </cell>
          <cell r="Z796" t="str">
            <v>20140101LGUM_474</v>
          </cell>
          <cell r="AB796" t="str">
            <v>474</v>
          </cell>
        </row>
        <row r="797">
          <cell r="C797" t="str">
            <v>RLS</v>
          </cell>
          <cell r="E797">
            <v>2</v>
          </cell>
          <cell r="F797">
            <v>0</v>
          </cell>
          <cell r="J797">
            <v>56.84</v>
          </cell>
          <cell r="M797">
            <v>0</v>
          </cell>
          <cell r="N797">
            <v>0</v>
          </cell>
          <cell r="O797">
            <v>0</v>
          </cell>
          <cell r="P797">
            <v>0</v>
          </cell>
          <cell r="Z797" t="str">
            <v>20140101LGUM_475</v>
          </cell>
          <cell r="AB797" t="str">
            <v>475</v>
          </cell>
        </row>
        <row r="798">
          <cell r="C798" t="str">
            <v xml:space="preserve">LS </v>
          </cell>
          <cell r="E798">
            <v>339</v>
          </cell>
          <cell r="F798">
            <v>0</v>
          </cell>
          <cell r="J798">
            <v>13424.4</v>
          </cell>
          <cell r="M798">
            <v>0</v>
          </cell>
          <cell r="N798">
            <v>0</v>
          </cell>
          <cell r="O798">
            <v>0</v>
          </cell>
          <cell r="P798">
            <v>0</v>
          </cell>
          <cell r="Z798" t="str">
            <v>20140101LGUM_476</v>
          </cell>
          <cell r="AB798" t="str">
            <v>476</v>
          </cell>
        </row>
        <row r="799">
          <cell r="C799" t="str">
            <v>RLS</v>
          </cell>
          <cell r="E799">
            <v>59</v>
          </cell>
          <cell r="F799">
            <v>0</v>
          </cell>
          <cell r="J799">
            <v>2524.02</v>
          </cell>
          <cell r="M799">
            <v>0</v>
          </cell>
          <cell r="N799">
            <v>0</v>
          </cell>
          <cell r="O799">
            <v>0</v>
          </cell>
          <cell r="P799">
            <v>0</v>
          </cell>
          <cell r="Z799" t="str">
            <v>20140101LGUM_477</v>
          </cell>
          <cell r="AB799" t="str">
            <v>477</v>
          </cell>
        </row>
        <row r="800">
          <cell r="C800" t="str">
            <v xml:space="preserve">LS </v>
          </cell>
          <cell r="E800">
            <v>0</v>
          </cell>
          <cell r="F800">
            <v>0</v>
          </cell>
          <cell r="J800">
            <v>0</v>
          </cell>
          <cell r="M800">
            <v>0</v>
          </cell>
          <cell r="N800">
            <v>0</v>
          </cell>
          <cell r="O800">
            <v>0</v>
          </cell>
          <cell r="P800">
            <v>0</v>
          </cell>
          <cell r="Z800" t="str">
            <v>20140101LGUM_479</v>
          </cell>
          <cell r="AB800" t="str">
            <v>479</v>
          </cell>
        </row>
        <row r="801">
          <cell r="C801" t="str">
            <v xml:space="preserve">LS </v>
          </cell>
          <cell r="E801">
            <v>17</v>
          </cell>
          <cell r="F801">
            <v>0</v>
          </cell>
          <cell r="J801">
            <v>405.11</v>
          </cell>
          <cell r="M801">
            <v>0</v>
          </cell>
          <cell r="N801">
            <v>0</v>
          </cell>
          <cell r="O801">
            <v>0</v>
          </cell>
          <cell r="P801">
            <v>0</v>
          </cell>
          <cell r="Z801" t="str">
            <v>20140101LGUM_480</v>
          </cell>
          <cell r="AB801" t="str">
            <v>480</v>
          </cell>
        </row>
        <row r="802">
          <cell r="C802" t="str">
            <v xml:space="preserve">LS </v>
          </cell>
          <cell r="E802">
            <v>4</v>
          </cell>
          <cell r="F802">
            <v>0</v>
          </cell>
          <cell r="J802">
            <v>81.84</v>
          </cell>
          <cell r="M802">
            <v>0</v>
          </cell>
          <cell r="N802">
            <v>0</v>
          </cell>
          <cell r="O802">
            <v>0</v>
          </cell>
          <cell r="P802">
            <v>0</v>
          </cell>
          <cell r="Z802" t="str">
            <v>20140101LGUM_481</v>
          </cell>
          <cell r="AB802" t="str">
            <v>481</v>
          </cell>
        </row>
        <row r="803">
          <cell r="C803" t="str">
            <v xml:space="preserve">LS </v>
          </cell>
          <cell r="E803">
            <v>39</v>
          </cell>
          <cell r="F803">
            <v>0</v>
          </cell>
          <cell r="J803">
            <v>1178.19</v>
          </cell>
          <cell r="M803">
            <v>0</v>
          </cell>
          <cell r="N803">
            <v>0</v>
          </cell>
          <cell r="O803">
            <v>0</v>
          </cell>
          <cell r="P803">
            <v>0</v>
          </cell>
          <cell r="Z803" t="str">
            <v>20140101LGUM_482</v>
          </cell>
          <cell r="AB803" t="str">
            <v>482</v>
          </cell>
        </row>
        <row r="804">
          <cell r="C804" t="str">
            <v xml:space="preserve">LS </v>
          </cell>
          <cell r="E804">
            <v>2</v>
          </cell>
          <cell r="F804">
            <v>0</v>
          </cell>
          <cell r="J804">
            <v>85.12</v>
          </cell>
          <cell r="M804">
            <v>0</v>
          </cell>
          <cell r="N804">
            <v>0</v>
          </cell>
          <cell r="O804">
            <v>0</v>
          </cell>
          <cell r="P804">
            <v>0</v>
          </cell>
          <cell r="Z804" t="str">
            <v>20140101LGUM_483</v>
          </cell>
          <cell r="AB804" t="str">
            <v>483</v>
          </cell>
        </row>
        <row r="805">
          <cell r="C805" t="str">
            <v xml:space="preserve">LS </v>
          </cell>
          <cell r="E805">
            <v>13</v>
          </cell>
          <cell r="F805">
            <v>0</v>
          </cell>
          <cell r="J805">
            <v>680.03</v>
          </cell>
          <cell r="M805">
            <v>0</v>
          </cell>
          <cell r="N805">
            <v>0</v>
          </cell>
          <cell r="O805">
            <v>0</v>
          </cell>
          <cell r="P805">
            <v>0</v>
          </cell>
          <cell r="Z805" t="str">
            <v>20140101LGUM_484</v>
          </cell>
          <cell r="AB805" t="str">
            <v>484</v>
          </cell>
        </row>
        <row r="806">
          <cell r="C806" t="str">
            <v>ODL</v>
          </cell>
          <cell r="E806">
            <v>0</v>
          </cell>
          <cell r="F806">
            <v>10115161</v>
          </cell>
          <cell r="J806">
            <v>0</v>
          </cell>
          <cell r="M806">
            <v>-2250</v>
          </cell>
          <cell r="N806">
            <v>104288</v>
          </cell>
          <cell r="O806">
            <v>0</v>
          </cell>
          <cell r="P806">
            <v>1621901</v>
          </cell>
          <cell r="Z806" t="str">
            <v>20140101ODL</v>
          </cell>
          <cell r="AB806" t="str">
            <v>ODL</v>
          </cell>
        </row>
        <row r="807">
          <cell r="C807" t="str">
            <v>RLS</v>
          </cell>
          <cell r="E807">
            <v>75</v>
          </cell>
          <cell r="F807">
            <v>0</v>
          </cell>
          <cell r="J807">
            <v>610.5</v>
          </cell>
          <cell r="M807">
            <v>0</v>
          </cell>
          <cell r="N807">
            <v>0</v>
          </cell>
          <cell r="O807">
            <v>0</v>
          </cell>
          <cell r="P807">
            <v>0</v>
          </cell>
          <cell r="Z807" t="str">
            <v>20140101LGUM_201</v>
          </cell>
          <cell r="AB807" t="str">
            <v>201</v>
          </cell>
        </row>
        <row r="808">
          <cell r="C808" t="str">
            <v>RLS</v>
          </cell>
          <cell r="E808">
            <v>4602</v>
          </cell>
          <cell r="F808">
            <v>0</v>
          </cell>
          <cell r="J808">
            <v>50437.919999999998</v>
          </cell>
          <cell r="M808">
            <v>0</v>
          </cell>
          <cell r="N808">
            <v>0</v>
          </cell>
          <cell r="O808">
            <v>0</v>
          </cell>
          <cell r="P808">
            <v>0</v>
          </cell>
          <cell r="Z808" t="str">
            <v>20140101LGUM_203</v>
          </cell>
          <cell r="AB808" t="str">
            <v>203</v>
          </cell>
        </row>
        <row r="809">
          <cell r="C809" t="str">
            <v>RLS</v>
          </cell>
          <cell r="E809">
            <v>3835</v>
          </cell>
          <cell r="F809">
            <v>0</v>
          </cell>
          <cell r="J809">
            <v>51810.85</v>
          </cell>
          <cell r="M809">
            <v>0</v>
          </cell>
          <cell r="N809">
            <v>0</v>
          </cell>
          <cell r="O809">
            <v>0</v>
          </cell>
          <cell r="P809">
            <v>0</v>
          </cell>
          <cell r="Z809" t="str">
            <v>20140101LGUM_204</v>
          </cell>
          <cell r="AB809" t="str">
            <v>204</v>
          </cell>
        </row>
        <row r="810">
          <cell r="C810" t="str">
            <v>RLS</v>
          </cell>
          <cell r="E810">
            <v>97</v>
          </cell>
          <cell r="F810">
            <v>0</v>
          </cell>
          <cell r="J810">
            <v>1207.6500000000001</v>
          </cell>
          <cell r="M810">
            <v>0</v>
          </cell>
          <cell r="N810">
            <v>0</v>
          </cell>
          <cell r="O810">
            <v>0</v>
          </cell>
          <cell r="P810">
            <v>0</v>
          </cell>
          <cell r="Z810" t="str">
            <v>20140101LGUM_206</v>
          </cell>
          <cell r="AB810" t="str">
            <v>206</v>
          </cell>
        </row>
        <row r="811">
          <cell r="C811" t="str">
            <v>RLS</v>
          </cell>
          <cell r="E811">
            <v>761</v>
          </cell>
          <cell r="F811">
            <v>0</v>
          </cell>
          <cell r="J811">
            <v>11825.94</v>
          </cell>
          <cell r="M811">
            <v>0</v>
          </cell>
          <cell r="N811">
            <v>0</v>
          </cell>
          <cell r="O811">
            <v>0</v>
          </cell>
          <cell r="P811">
            <v>0</v>
          </cell>
          <cell r="Z811" t="str">
            <v>20140101LGUM_207</v>
          </cell>
          <cell r="AB811" t="str">
            <v>207</v>
          </cell>
        </row>
        <row r="812">
          <cell r="C812" t="str">
            <v>RLS</v>
          </cell>
          <cell r="E812">
            <v>1408</v>
          </cell>
          <cell r="F812">
            <v>0</v>
          </cell>
          <cell r="J812">
            <v>20049.919999999998</v>
          </cell>
          <cell r="M812">
            <v>0</v>
          </cell>
          <cell r="N812">
            <v>0</v>
          </cell>
          <cell r="O812">
            <v>0</v>
          </cell>
          <cell r="P812">
            <v>0</v>
          </cell>
          <cell r="Z812" t="str">
            <v>20140101LGUM_208</v>
          </cell>
          <cell r="AB812" t="str">
            <v>208</v>
          </cell>
        </row>
        <row r="813">
          <cell r="C813" t="str">
            <v>RLS</v>
          </cell>
          <cell r="E813">
            <v>46</v>
          </cell>
          <cell r="F813">
            <v>0</v>
          </cell>
          <cell r="J813">
            <v>1273.74</v>
          </cell>
          <cell r="M813">
            <v>0</v>
          </cell>
          <cell r="N813">
            <v>0</v>
          </cell>
          <cell r="O813">
            <v>0</v>
          </cell>
          <cell r="P813">
            <v>0</v>
          </cell>
          <cell r="Z813" t="str">
            <v>20140101LGUM_209</v>
          </cell>
          <cell r="AB813" t="str">
            <v>209</v>
          </cell>
        </row>
        <row r="814">
          <cell r="C814" t="str">
            <v>RLS</v>
          </cell>
          <cell r="E814">
            <v>357</v>
          </cell>
          <cell r="F814">
            <v>0</v>
          </cell>
          <cell r="J814">
            <v>10313.73</v>
          </cell>
          <cell r="M814">
            <v>0</v>
          </cell>
          <cell r="N814">
            <v>0</v>
          </cell>
          <cell r="O814">
            <v>0</v>
          </cell>
          <cell r="P814">
            <v>0</v>
          </cell>
          <cell r="Z814" t="str">
            <v>20140101LGUM_210</v>
          </cell>
          <cell r="AB814" t="str">
            <v>210</v>
          </cell>
        </row>
        <row r="815">
          <cell r="C815" t="str">
            <v>RLS</v>
          </cell>
          <cell r="E815">
            <v>4014</v>
          </cell>
          <cell r="F815">
            <v>0</v>
          </cell>
          <cell r="J815">
            <v>38413.980000000003</v>
          </cell>
          <cell r="M815">
            <v>0</v>
          </cell>
          <cell r="N815">
            <v>0</v>
          </cell>
          <cell r="O815">
            <v>0</v>
          </cell>
          <cell r="P815">
            <v>0</v>
          </cell>
          <cell r="Z815" t="str">
            <v>20140101LGUM_252</v>
          </cell>
          <cell r="AB815" t="str">
            <v>252</v>
          </cell>
        </row>
        <row r="816">
          <cell r="C816" t="str">
            <v>RLS</v>
          </cell>
          <cell r="E816">
            <v>2023</v>
          </cell>
          <cell r="F816">
            <v>0</v>
          </cell>
          <cell r="J816">
            <v>55308.82</v>
          </cell>
          <cell r="M816">
            <v>0</v>
          </cell>
          <cell r="N816">
            <v>0</v>
          </cell>
          <cell r="O816">
            <v>0</v>
          </cell>
          <cell r="P816">
            <v>0</v>
          </cell>
          <cell r="Z816" t="str">
            <v>20140101LGUM_266</v>
          </cell>
          <cell r="AB816" t="str">
            <v>266</v>
          </cell>
        </row>
        <row r="817">
          <cell r="C817" t="str">
            <v>RLS</v>
          </cell>
          <cell r="E817">
            <v>2214</v>
          </cell>
          <cell r="F817">
            <v>0</v>
          </cell>
          <cell r="J817">
            <v>69519.600000000006</v>
          </cell>
          <cell r="M817">
            <v>0</v>
          </cell>
          <cell r="N817">
            <v>0</v>
          </cell>
          <cell r="O817">
            <v>0</v>
          </cell>
          <cell r="P817">
            <v>0</v>
          </cell>
          <cell r="Z817" t="str">
            <v>20140101LGUM_267</v>
          </cell>
          <cell r="AB817" t="str">
            <v>267</v>
          </cell>
        </row>
        <row r="818">
          <cell r="C818" t="str">
            <v>RLS</v>
          </cell>
          <cell r="E818">
            <v>16681</v>
          </cell>
          <cell r="F818">
            <v>0</v>
          </cell>
          <cell r="J818">
            <v>286746.39</v>
          </cell>
          <cell r="M818">
            <v>0</v>
          </cell>
          <cell r="N818">
            <v>0</v>
          </cell>
          <cell r="O818">
            <v>0</v>
          </cell>
          <cell r="P818">
            <v>0</v>
          </cell>
          <cell r="Z818" t="str">
            <v>20140101LGUM_274</v>
          </cell>
          <cell r="AB818" t="str">
            <v>274</v>
          </cell>
        </row>
        <row r="819">
          <cell r="C819" t="str">
            <v>RLS</v>
          </cell>
          <cell r="E819">
            <v>518</v>
          </cell>
          <cell r="F819">
            <v>0</v>
          </cell>
          <cell r="J819">
            <v>12893.02</v>
          </cell>
          <cell r="M819">
            <v>0</v>
          </cell>
          <cell r="N819">
            <v>0</v>
          </cell>
          <cell r="O819">
            <v>0</v>
          </cell>
          <cell r="P819">
            <v>0</v>
          </cell>
          <cell r="Z819" t="str">
            <v>20140101LGUM_275</v>
          </cell>
          <cell r="AB819" t="str">
            <v>275</v>
          </cell>
        </row>
        <row r="820">
          <cell r="C820" t="str">
            <v>RLS</v>
          </cell>
          <cell r="E820">
            <v>1309</v>
          </cell>
          <cell r="F820">
            <v>0</v>
          </cell>
          <cell r="J820">
            <v>18548.53</v>
          </cell>
          <cell r="M820">
            <v>0</v>
          </cell>
          <cell r="N820">
            <v>0</v>
          </cell>
          <cell r="O820">
            <v>0</v>
          </cell>
          <cell r="P820">
            <v>0</v>
          </cell>
          <cell r="Z820" t="str">
            <v>20140101LGUM_276</v>
          </cell>
          <cell r="AB820" t="str">
            <v>276</v>
          </cell>
        </row>
        <row r="821">
          <cell r="C821" t="str">
            <v>RLS</v>
          </cell>
          <cell r="E821">
            <v>2258</v>
          </cell>
          <cell r="F821">
            <v>0</v>
          </cell>
          <cell r="J821">
            <v>50014.7</v>
          </cell>
          <cell r="M821">
            <v>0</v>
          </cell>
          <cell r="N821">
            <v>0</v>
          </cell>
          <cell r="O821">
            <v>0</v>
          </cell>
          <cell r="P821">
            <v>0</v>
          </cell>
          <cell r="Z821" t="str">
            <v>20140101LGUM_277</v>
          </cell>
          <cell r="AB821" t="str">
            <v>277</v>
          </cell>
        </row>
        <row r="822">
          <cell r="C822" t="str">
            <v>RLS</v>
          </cell>
          <cell r="E822">
            <v>17</v>
          </cell>
          <cell r="F822">
            <v>0</v>
          </cell>
          <cell r="J822">
            <v>1233.3499999999999</v>
          </cell>
          <cell r="M822">
            <v>0</v>
          </cell>
          <cell r="N822">
            <v>0</v>
          </cell>
          <cell r="O822">
            <v>0</v>
          </cell>
          <cell r="P822">
            <v>0</v>
          </cell>
          <cell r="Z822" t="str">
            <v>20140101LGUM_278</v>
          </cell>
          <cell r="AB822" t="str">
            <v>278</v>
          </cell>
        </row>
        <row r="823">
          <cell r="C823" t="str">
            <v>RLS</v>
          </cell>
          <cell r="E823">
            <v>11</v>
          </cell>
          <cell r="F823">
            <v>0</v>
          </cell>
          <cell r="J823">
            <v>455.73</v>
          </cell>
          <cell r="M823">
            <v>0</v>
          </cell>
          <cell r="N823">
            <v>0</v>
          </cell>
          <cell r="O823">
            <v>0</v>
          </cell>
          <cell r="P823">
            <v>0</v>
          </cell>
          <cell r="Z823" t="str">
            <v>20140101LGUM_279</v>
          </cell>
          <cell r="AB823" t="str">
            <v>279</v>
          </cell>
        </row>
        <row r="824">
          <cell r="C824" t="str">
            <v>RLS</v>
          </cell>
          <cell r="E824">
            <v>45</v>
          </cell>
          <cell r="F824">
            <v>0</v>
          </cell>
          <cell r="J824">
            <v>872.1</v>
          </cell>
          <cell r="M824">
            <v>0</v>
          </cell>
          <cell r="N824">
            <v>0</v>
          </cell>
          <cell r="O824">
            <v>0</v>
          </cell>
          <cell r="P824">
            <v>0</v>
          </cell>
          <cell r="Z824" t="str">
            <v>20140101LGUM_280</v>
          </cell>
          <cell r="AB824" t="str">
            <v>280</v>
          </cell>
        </row>
        <row r="825">
          <cell r="C825" t="str">
            <v>RLS</v>
          </cell>
          <cell r="E825">
            <v>241</v>
          </cell>
          <cell r="F825">
            <v>0</v>
          </cell>
          <cell r="J825">
            <v>4904.3500000000004</v>
          </cell>
          <cell r="M825">
            <v>0</v>
          </cell>
          <cell r="N825">
            <v>0</v>
          </cell>
          <cell r="O825">
            <v>0</v>
          </cell>
          <cell r="P825">
            <v>0</v>
          </cell>
          <cell r="Z825" t="str">
            <v>20140101LGUM_281</v>
          </cell>
          <cell r="AB825" t="str">
            <v>281</v>
          </cell>
        </row>
        <row r="826">
          <cell r="C826" t="str">
            <v>RLS</v>
          </cell>
          <cell r="E826">
            <v>103</v>
          </cell>
          <cell r="F826">
            <v>0</v>
          </cell>
          <cell r="J826">
            <v>2011.59</v>
          </cell>
          <cell r="M826">
            <v>0</v>
          </cell>
          <cell r="N826">
            <v>0</v>
          </cell>
          <cell r="O826">
            <v>0</v>
          </cell>
          <cell r="P826">
            <v>0</v>
          </cell>
          <cell r="Z826" t="str">
            <v>20140101LGUM_282</v>
          </cell>
          <cell r="AB826" t="str">
            <v>282</v>
          </cell>
        </row>
        <row r="827">
          <cell r="C827" t="str">
            <v>RLS</v>
          </cell>
          <cell r="E827">
            <v>80</v>
          </cell>
          <cell r="F827">
            <v>0</v>
          </cell>
          <cell r="J827">
            <v>1665.6</v>
          </cell>
          <cell r="M827">
            <v>0</v>
          </cell>
          <cell r="N827">
            <v>0</v>
          </cell>
          <cell r="O827">
            <v>0</v>
          </cell>
          <cell r="P827">
            <v>0</v>
          </cell>
          <cell r="Z827" t="str">
            <v>20140101LGUM_283</v>
          </cell>
          <cell r="AB827" t="str">
            <v>283</v>
          </cell>
        </row>
        <row r="828">
          <cell r="C828" t="str">
            <v>RLS</v>
          </cell>
          <cell r="E828">
            <v>555</v>
          </cell>
          <cell r="F828">
            <v>0</v>
          </cell>
          <cell r="J828">
            <v>10656</v>
          </cell>
          <cell r="M828">
            <v>0</v>
          </cell>
          <cell r="N828">
            <v>0</v>
          </cell>
          <cell r="O828">
            <v>0</v>
          </cell>
          <cell r="P828">
            <v>0</v>
          </cell>
          <cell r="Z828" t="str">
            <v>20140101LGUM_314</v>
          </cell>
          <cell r="AB828" t="str">
            <v>314</v>
          </cell>
        </row>
        <row r="829">
          <cell r="C829" t="str">
            <v>RLS</v>
          </cell>
          <cell r="E829">
            <v>532</v>
          </cell>
          <cell r="F829">
            <v>0</v>
          </cell>
          <cell r="J829">
            <v>12209.4</v>
          </cell>
          <cell r="M829">
            <v>0</v>
          </cell>
          <cell r="N829">
            <v>0</v>
          </cell>
          <cell r="O829">
            <v>0</v>
          </cell>
          <cell r="P829">
            <v>0</v>
          </cell>
          <cell r="Z829" t="str">
            <v>20140101LGUM_315</v>
          </cell>
          <cell r="AB829" t="str">
            <v>315</v>
          </cell>
        </row>
        <row r="830">
          <cell r="C830" t="str">
            <v>RLS</v>
          </cell>
          <cell r="E830">
            <v>54</v>
          </cell>
          <cell r="F830">
            <v>0</v>
          </cell>
          <cell r="J830">
            <v>940.68</v>
          </cell>
          <cell r="M830">
            <v>0</v>
          </cell>
          <cell r="N830">
            <v>0</v>
          </cell>
          <cell r="O830">
            <v>0</v>
          </cell>
          <cell r="P830">
            <v>0</v>
          </cell>
          <cell r="Z830" t="str">
            <v>20140101LGUM_318</v>
          </cell>
          <cell r="AB830" t="str">
            <v>318</v>
          </cell>
        </row>
        <row r="831">
          <cell r="C831" t="str">
            <v>RLS</v>
          </cell>
          <cell r="E831">
            <v>0</v>
          </cell>
          <cell r="F831">
            <v>0</v>
          </cell>
          <cell r="J831">
            <v>0</v>
          </cell>
          <cell r="M831">
            <v>0</v>
          </cell>
          <cell r="N831">
            <v>0</v>
          </cell>
          <cell r="O831">
            <v>0</v>
          </cell>
          <cell r="P831">
            <v>0</v>
          </cell>
          <cell r="Z831" t="str">
            <v>20140101LGUM_347</v>
          </cell>
          <cell r="AB831" t="str">
            <v>347</v>
          </cell>
        </row>
        <row r="832">
          <cell r="C832" t="str">
            <v>RLS</v>
          </cell>
          <cell r="E832">
            <v>39</v>
          </cell>
          <cell r="F832">
            <v>0</v>
          </cell>
          <cell r="J832">
            <v>511.68</v>
          </cell>
          <cell r="M832">
            <v>0</v>
          </cell>
          <cell r="N832">
            <v>0</v>
          </cell>
          <cell r="O832">
            <v>0</v>
          </cell>
          <cell r="P832">
            <v>0</v>
          </cell>
          <cell r="Z832" t="str">
            <v>20140101LGUM_348</v>
          </cell>
          <cell r="AB832" t="str">
            <v>348</v>
          </cell>
        </row>
        <row r="833">
          <cell r="C833" t="str">
            <v>RLS</v>
          </cell>
          <cell r="E833">
            <v>17</v>
          </cell>
          <cell r="F833">
            <v>0</v>
          </cell>
          <cell r="J833">
            <v>153.34</v>
          </cell>
          <cell r="M833">
            <v>0</v>
          </cell>
          <cell r="N833">
            <v>0</v>
          </cell>
          <cell r="O833">
            <v>0</v>
          </cell>
          <cell r="P833">
            <v>0</v>
          </cell>
          <cell r="Z833" t="str">
            <v>20140101LGUM_349</v>
          </cell>
          <cell r="AB833" t="str">
            <v>349</v>
          </cell>
        </row>
        <row r="834">
          <cell r="C834" t="str">
            <v xml:space="preserve">LS </v>
          </cell>
          <cell r="E834">
            <v>32</v>
          </cell>
          <cell r="F834">
            <v>0</v>
          </cell>
          <cell r="J834">
            <v>764.48</v>
          </cell>
          <cell r="M834">
            <v>0</v>
          </cell>
          <cell r="N834">
            <v>0</v>
          </cell>
          <cell r="O834">
            <v>0</v>
          </cell>
          <cell r="P834">
            <v>0</v>
          </cell>
          <cell r="Z834" t="str">
            <v>20140101LGUM_400</v>
          </cell>
          <cell r="AB834" t="str">
            <v>400</v>
          </cell>
        </row>
        <row r="835">
          <cell r="C835" t="str">
            <v xml:space="preserve">LS </v>
          </cell>
          <cell r="E835">
            <v>4</v>
          </cell>
          <cell r="F835">
            <v>0</v>
          </cell>
          <cell r="J835">
            <v>99.6</v>
          </cell>
          <cell r="M835">
            <v>0</v>
          </cell>
          <cell r="N835">
            <v>0</v>
          </cell>
          <cell r="O835">
            <v>0</v>
          </cell>
          <cell r="P835">
            <v>0</v>
          </cell>
          <cell r="Z835" t="str">
            <v>20140101LGUM_401</v>
          </cell>
          <cell r="AB835" t="str">
            <v>401</v>
          </cell>
        </row>
        <row r="836">
          <cell r="C836" t="str">
            <v xml:space="preserve">LS </v>
          </cell>
          <cell r="E836">
            <v>221</v>
          </cell>
          <cell r="F836">
            <v>0</v>
          </cell>
          <cell r="J836">
            <v>4373.59</v>
          </cell>
          <cell r="M836">
            <v>0</v>
          </cell>
          <cell r="N836">
            <v>0</v>
          </cell>
          <cell r="O836">
            <v>0</v>
          </cell>
          <cell r="P836">
            <v>0</v>
          </cell>
          <cell r="Z836" t="str">
            <v>20140101LGUM_412</v>
          </cell>
          <cell r="AB836" t="str">
            <v>412</v>
          </cell>
        </row>
        <row r="837">
          <cell r="C837" t="str">
            <v xml:space="preserve">LS </v>
          </cell>
          <cell r="E837">
            <v>2046</v>
          </cell>
          <cell r="F837">
            <v>0</v>
          </cell>
          <cell r="J837">
            <v>41922.54</v>
          </cell>
          <cell r="M837">
            <v>0</v>
          </cell>
          <cell r="N837">
            <v>0</v>
          </cell>
          <cell r="O837">
            <v>0</v>
          </cell>
          <cell r="P837">
            <v>0</v>
          </cell>
          <cell r="Z837" t="str">
            <v>20140101LGUM_413</v>
          </cell>
          <cell r="AB837" t="str">
            <v>413</v>
          </cell>
        </row>
        <row r="838">
          <cell r="C838" t="str">
            <v xml:space="preserve">LS </v>
          </cell>
          <cell r="E838">
            <v>27</v>
          </cell>
          <cell r="F838">
            <v>0</v>
          </cell>
          <cell r="J838">
            <v>544.86</v>
          </cell>
          <cell r="M838">
            <v>0</v>
          </cell>
          <cell r="N838">
            <v>0</v>
          </cell>
          <cell r="O838">
            <v>0</v>
          </cell>
          <cell r="P838">
            <v>0</v>
          </cell>
          <cell r="Z838" t="str">
            <v>20140101LGUM_415</v>
          </cell>
          <cell r="AB838" t="str">
            <v>415</v>
          </cell>
        </row>
        <row r="839">
          <cell r="C839" t="str">
            <v xml:space="preserve">LS </v>
          </cell>
          <cell r="E839">
            <v>1789</v>
          </cell>
          <cell r="F839">
            <v>0</v>
          </cell>
          <cell r="J839">
            <v>40359.839999999997</v>
          </cell>
          <cell r="M839">
            <v>0</v>
          </cell>
          <cell r="N839">
            <v>0</v>
          </cell>
          <cell r="O839">
            <v>0</v>
          </cell>
          <cell r="P839">
            <v>0</v>
          </cell>
          <cell r="Z839" t="str">
            <v>20140101LGUM_416</v>
          </cell>
          <cell r="AB839" t="str">
            <v>416</v>
          </cell>
        </row>
        <row r="840">
          <cell r="C840" t="str">
            <v>RLS</v>
          </cell>
          <cell r="E840">
            <v>35</v>
          </cell>
          <cell r="F840">
            <v>0</v>
          </cell>
          <cell r="J840">
            <v>828.8</v>
          </cell>
          <cell r="M840">
            <v>0</v>
          </cell>
          <cell r="N840">
            <v>0</v>
          </cell>
          <cell r="O840">
            <v>0</v>
          </cell>
          <cell r="P840">
            <v>0</v>
          </cell>
          <cell r="Z840" t="str">
            <v>20140101LGUM_417</v>
          </cell>
          <cell r="AB840" t="str">
            <v>417</v>
          </cell>
        </row>
        <row r="841">
          <cell r="C841" t="str">
            <v>RLS</v>
          </cell>
          <cell r="E841">
            <v>111</v>
          </cell>
          <cell r="F841">
            <v>0</v>
          </cell>
          <cell r="J841">
            <v>2749.47</v>
          </cell>
          <cell r="M841">
            <v>0</v>
          </cell>
          <cell r="N841">
            <v>0</v>
          </cell>
          <cell r="O841">
            <v>0</v>
          </cell>
          <cell r="P841">
            <v>0</v>
          </cell>
          <cell r="Z841" t="str">
            <v>20140101LGUM_419</v>
          </cell>
          <cell r="AB841" t="str">
            <v>419</v>
          </cell>
        </row>
        <row r="842">
          <cell r="C842" t="str">
            <v xml:space="preserve">LS </v>
          </cell>
          <cell r="E842">
            <v>53</v>
          </cell>
          <cell r="F842">
            <v>0</v>
          </cell>
          <cell r="J842">
            <v>1584.17</v>
          </cell>
          <cell r="M842">
            <v>0</v>
          </cell>
          <cell r="N842">
            <v>0</v>
          </cell>
          <cell r="O842">
            <v>0</v>
          </cell>
          <cell r="P842">
            <v>0</v>
          </cell>
          <cell r="Z842" t="str">
            <v>20140101LGUM_420</v>
          </cell>
          <cell r="AB842" t="str">
            <v>420</v>
          </cell>
        </row>
        <row r="843">
          <cell r="C843" t="str">
            <v xml:space="preserve">LS </v>
          </cell>
          <cell r="E843">
            <v>175</v>
          </cell>
          <cell r="F843">
            <v>0</v>
          </cell>
          <cell r="J843">
            <v>5750.5</v>
          </cell>
          <cell r="M843">
            <v>0</v>
          </cell>
          <cell r="N843">
            <v>0</v>
          </cell>
          <cell r="O843">
            <v>0</v>
          </cell>
          <cell r="P843">
            <v>0</v>
          </cell>
          <cell r="Z843" t="str">
            <v>20140101LGUM_421</v>
          </cell>
          <cell r="AB843" t="str">
            <v>421</v>
          </cell>
        </row>
        <row r="844">
          <cell r="C844" t="str">
            <v xml:space="preserve">LS </v>
          </cell>
          <cell r="E844">
            <v>361</v>
          </cell>
          <cell r="F844">
            <v>0</v>
          </cell>
          <cell r="J844">
            <v>13858.79</v>
          </cell>
          <cell r="M844">
            <v>0</v>
          </cell>
          <cell r="N844">
            <v>0</v>
          </cell>
          <cell r="O844">
            <v>0</v>
          </cell>
          <cell r="P844">
            <v>0</v>
          </cell>
          <cell r="Z844" t="str">
            <v>20140101LGUM_422</v>
          </cell>
          <cell r="AB844" t="str">
            <v>422</v>
          </cell>
        </row>
        <row r="845">
          <cell r="C845" t="str">
            <v xml:space="preserve">LS </v>
          </cell>
          <cell r="E845">
            <v>17</v>
          </cell>
          <cell r="F845">
            <v>0</v>
          </cell>
          <cell r="J845">
            <v>447.95</v>
          </cell>
          <cell r="M845">
            <v>0</v>
          </cell>
          <cell r="N845">
            <v>0</v>
          </cell>
          <cell r="O845">
            <v>0</v>
          </cell>
          <cell r="P845">
            <v>0</v>
          </cell>
          <cell r="Z845" t="str">
            <v>20140101LGUM_423</v>
          </cell>
          <cell r="AB845" t="str">
            <v>423</v>
          </cell>
        </row>
        <row r="846">
          <cell r="C846" t="str">
            <v xml:space="preserve">LS </v>
          </cell>
          <cell r="E846">
            <v>365</v>
          </cell>
          <cell r="F846">
            <v>0</v>
          </cell>
          <cell r="J846">
            <v>10384.25</v>
          </cell>
          <cell r="M846">
            <v>0</v>
          </cell>
          <cell r="N846">
            <v>0</v>
          </cell>
          <cell r="O846">
            <v>0</v>
          </cell>
          <cell r="P846">
            <v>0</v>
          </cell>
          <cell r="Z846" t="str">
            <v>20140101LGUM_424</v>
          </cell>
          <cell r="AB846" t="str">
            <v>424</v>
          </cell>
        </row>
        <row r="847">
          <cell r="C847" t="str">
            <v xml:space="preserve">LS </v>
          </cell>
          <cell r="E847">
            <v>31</v>
          </cell>
          <cell r="F847">
            <v>0</v>
          </cell>
          <cell r="J847">
            <v>1054.93</v>
          </cell>
          <cell r="M847">
            <v>0</v>
          </cell>
          <cell r="N847">
            <v>0</v>
          </cell>
          <cell r="O847">
            <v>0</v>
          </cell>
          <cell r="P847">
            <v>0</v>
          </cell>
          <cell r="Z847" t="str">
            <v>20140101LGUM_425</v>
          </cell>
          <cell r="AB847" t="str">
            <v>425</v>
          </cell>
        </row>
        <row r="848">
          <cell r="C848" t="str">
            <v>RLS</v>
          </cell>
          <cell r="E848">
            <v>40</v>
          </cell>
          <cell r="F848">
            <v>0</v>
          </cell>
          <cell r="J848">
            <v>1328.8</v>
          </cell>
          <cell r="M848">
            <v>0</v>
          </cell>
          <cell r="N848">
            <v>0</v>
          </cell>
          <cell r="O848">
            <v>0</v>
          </cell>
          <cell r="P848">
            <v>0</v>
          </cell>
          <cell r="Z848" t="str">
            <v>20140101LGUM_426</v>
          </cell>
          <cell r="AB848" t="str">
            <v>426</v>
          </cell>
        </row>
        <row r="849">
          <cell r="C849" t="str">
            <v xml:space="preserve">LS </v>
          </cell>
          <cell r="E849">
            <v>52</v>
          </cell>
          <cell r="F849">
            <v>0</v>
          </cell>
          <cell r="J849">
            <v>1830.4</v>
          </cell>
          <cell r="M849">
            <v>0</v>
          </cell>
          <cell r="N849">
            <v>0</v>
          </cell>
          <cell r="O849">
            <v>0</v>
          </cell>
          <cell r="P849">
            <v>0</v>
          </cell>
          <cell r="Z849" t="str">
            <v>20140101LGUM_427</v>
          </cell>
          <cell r="AB849" t="str">
            <v>427</v>
          </cell>
        </row>
        <row r="850">
          <cell r="C850" t="str">
            <v>RLS</v>
          </cell>
          <cell r="E850">
            <v>196</v>
          </cell>
          <cell r="F850">
            <v>0</v>
          </cell>
          <cell r="J850">
            <v>6681.64</v>
          </cell>
          <cell r="M850">
            <v>0</v>
          </cell>
          <cell r="N850">
            <v>0</v>
          </cell>
          <cell r="O850">
            <v>0</v>
          </cell>
          <cell r="P850">
            <v>0</v>
          </cell>
          <cell r="Z850" t="str">
            <v>20140101LGUM_428</v>
          </cell>
          <cell r="AB850" t="str">
            <v>428</v>
          </cell>
        </row>
        <row r="851">
          <cell r="C851" t="str">
            <v xml:space="preserve">LS </v>
          </cell>
          <cell r="E851">
            <v>189</v>
          </cell>
          <cell r="F851">
            <v>0</v>
          </cell>
          <cell r="J851">
            <v>6817.23</v>
          </cell>
          <cell r="M851">
            <v>0</v>
          </cell>
          <cell r="N851">
            <v>0</v>
          </cell>
          <cell r="O851">
            <v>0</v>
          </cell>
          <cell r="P851">
            <v>0</v>
          </cell>
          <cell r="Z851" t="str">
            <v>20140101LGUM_429</v>
          </cell>
          <cell r="AB851" t="str">
            <v>429</v>
          </cell>
        </row>
        <row r="852">
          <cell r="C852" t="str">
            <v>RLS</v>
          </cell>
          <cell r="E852">
            <v>13</v>
          </cell>
          <cell r="F852">
            <v>0</v>
          </cell>
          <cell r="J852">
            <v>419.38</v>
          </cell>
          <cell r="M852">
            <v>0</v>
          </cell>
          <cell r="N852">
            <v>0</v>
          </cell>
          <cell r="O852">
            <v>0</v>
          </cell>
          <cell r="P852">
            <v>0</v>
          </cell>
          <cell r="Z852" t="str">
            <v>20140101LGUM_430</v>
          </cell>
          <cell r="AB852" t="str">
            <v>430</v>
          </cell>
        </row>
        <row r="853">
          <cell r="C853" t="str">
            <v xml:space="preserve">LS </v>
          </cell>
          <cell r="E853">
            <v>44</v>
          </cell>
          <cell r="F853">
            <v>0</v>
          </cell>
          <cell r="J853">
            <v>1448.92</v>
          </cell>
          <cell r="M853">
            <v>0</v>
          </cell>
          <cell r="N853">
            <v>0</v>
          </cell>
          <cell r="O853">
            <v>0</v>
          </cell>
          <cell r="P853">
            <v>0</v>
          </cell>
          <cell r="Z853" t="str">
            <v>20140101LGUM_431</v>
          </cell>
          <cell r="AB853" t="str">
            <v>431</v>
          </cell>
        </row>
        <row r="854">
          <cell r="C854" t="str">
            <v>RLS</v>
          </cell>
          <cell r="E854">
            <v>10</v>
          </cell>
          <cell r="F854">
            <v>0</v>
          </cell>
          <cell r="J854">
            <v>343.3</v>
          </cell>
          <cell r="M854">
            <v>0</v>
          </cell>
          <cell r="N854">
            <v>0</v>
          </cell>
          <cell r="O854">
            <v>0</v>
          </cell>
          <cell r="P854">
            <v>0</v>
          </cell>
          <cell r="Z854" t="str">
            <v>20140101LGUM_432</v>
          </cell>
          <cell r="AB854" t="str">
            <v>432</v>
          </cell>
        </row>
        <row r="855">
          <cell r="C855" t="str">
            <v xml:space="preserve">LS </v>
          </cell>
          <cell r="E855">
            <v>171</v>
          </cell>
          <cell r="F855">
            <v>0</v>
          </cell>
          <cell r="J855">
            <v>5983.29</v>
          </cell>
          <cell r="M855">
            <v>0</v>
          </cell>
          <cell r="N855">
            <v>0</v>
          </cell>
          <cell r="O855">
            <v>0</v>
          </cell>
          <cell r="P855">
            <v>0</v>
          </cell>
          <cell r="Z855" t="str">
            <v>20140101LGUM_433</v>
          </cell>
          <cell r="AB855" t="str">
            <v>433</v>
          </cell>
        </row>
        <row r="856">
          <cell r="C856" t="str">
            <v xml:space="preserve">LS </v>
          </cell>
          <cell r="E856">
            <v>0</v>
          </cell>
          <cell r="F856">
            <v>0</v>
          </cell>
          <cell r="J856">
            <v>0</v>
          </cell>
          <cell r="M856">
            <v>0</v>
          </cell>
          <cell r="N856">
            <v>0</v>
          </cell>
          <cell r="O856">
            <v>0</v>
          </cell>
          <cell r="P856">
            <v>0</v>
          </cell>
          <cell r="Z856" t="str">
            <v>20140101LGUM_439</v>
          </cell>
          <cell r="AB856" t="str">
            <v>439</v>
          </cell>
        </row>
        <row r="857">
          <cell r="C857" t="str">
            <v xml:space="preserve">LS </v>
          </cell>
          <cell r="E857">
            <v>2</v>
          </cell>
          <cell r="F857">
            <v>0</v>
          </cell>
          <cell r="J857">
            <v>36.56</v>
          </cell>
          <cell r="M857">
            <v>0</v>
          </cell>
          <cell r="N857">
            <v>0</v>
          </cell>
          <cell r="O857">
            <v>0</v>
          </cell>
          <cell r="P857">
            <v>0</v>
          </cell>
          <cell r="Z857" t="str">
            <v>20140101LGUM_440</v>
          </cell>
          <cell r="AB857" t="str">
            <v>440</v>
          </cell>
        </row>
        <row r="858">
          <cell r="C858" t="str">
            <v xml:space="preserve">LS </v>
          </cell>
          <cell r="E858">
            <v>13</v>
          </cell>
          <cell r="F858">
            <v>0</v>
          </cell>
          <cell r="J858">
            <v>290.16000000000003</v>
          </cell>
          <cell r="M858">
            <v>0</v>
          </cell>
          <cell r="N858">
            <v>0</v>
          </cell>
          <cell r="O858">
            <v>0</v>
          </cell>
          <cell r="P858">
            <v>0</v>
          </cell>
          <cell r="Z858" t="str">
            <v>20140101LGUM_441</v>
          </cell>
          <cell r="AB858" t="str">
            <v>441</v>
          </cell>
        </row>
        <row r="859">
          <cell r="C859" t="str">
            <v xml:space="preserve">LS </v>
          </cell>
          <cell r="E859">
            <v>6238</v>
          </cell>
          <cell r="F859">
            <v>0</v>
          </cell>
          <cell r="J859">
            <v>79971.16</v>
          </cell>
          <cell r="M859">
            <v>0</v>
          </cell>
          <cell r="N859">
            <v>0</v>
          </cell>
          <cell r="O859">
            <v>0</v>
          </cell>
          <cell r="P859">
            <v>0</v>
          </cell>
          <cell r="Z859" t="str">
            <v>20140101LGUM_452</v>
          </cell>
          <cell r="AB859" t="str">
            <v>452</v>
          </cell>
        </row>
        <row r="860">
          <cell r="C860" t="str">
            <v xml:space="preserve">LS </v>
          </cell>
          <cell r="E860">
            <v>8008</v>
          </cell>
          <cell r="F860">
            <v>0</v>
          </cell>
          <cell r="J860">
            <v>120760.64</v>
          </cell>
          <cell r="M860">
            <v>0</v>
          </cell>
          <cell r="N860">
            <v>0</v>
          </cell>
          <cell r="O860">
            <v>0</v>
          </cell>
          <cell r="P860">
            <v>0</v>
          </cell>
          <cell r="Z860" t="str">
            <v>20140101LGUM_453</v>
          </cell>
          <cell r="AB860" t="str">
            <v>453</v>
          </cell>
        </row>
        <row r="861">
          <cell r="C861" t="str">
            <v xml:space="preserve">LS </v>
          </cell>
          <cell r="E861">
            <v>5508</v>
          </cell>
          <cell r="F861">
            <v>0</v>
          </cell>
          <cell r="J861">
            <v>95729.04</v>
          </cell>
          <cell r="M861">
            <v>0</v>
          </cell>
          <cell r="N861">
            <v>0</v>
          </cell>
          <cell r="O861">
            <v>0</v>
          </cell>
          <cell r="P861">
            <v>0</v>
          </cell>
          <cell r="Z861" t="str">
            <v>20140101LGUM_454</v>
          </cell>
          <cell r="AB861" t="str">
            <v>454</v>
          </cell>
        </row>
        <row r="862">
          <cell r="C862" t="str">
            <v xml:space="preserve">LS </v>
          </cell>
          <cell r="E862">
            <v>405</v>
          </cell>
          <cell r="F862">
            <v>0</v>
          </cell>
          <cell r="J862">
            <v>5576.85</v>
          </cell>
          <cell r="M862">
            <v>0</v>
          </cell>
          <cell r="N862">
            <v>0</v>
          </cell>
          <cell r="O862">
            <v>0</v>
          </cell>
          <cell r="P862">
            <v>0</v>
          </cell>
          <cell r="Z862" t="str">
            <v>20140101LGUM_455</v>
          </cell>
          <cell r="AB862" t="str">
            <v>455</v>
          </cell>
        </row>
        <row r="863">
          <cell r="C863" t="str">
            <v xml:space="preserve">LS </v>
          </cell>
          <cell r="E863">
            <v>12694</v>
          </cell>
          <cell r="F863">
            <v>0</v>
          </cell>
          <cell r="J863">
            <v>231157.74</v>
          </cell>
          <cell r="M863">
            <v>0</v>
          </cell>
          <cell r="N863">
            <v>0</v>
          </cell>
          <cell r="O863">
            <v>0</v>
          </cell>
          <cell r="P863">
            <v>0</v>
          </cell>
          <cell r="Z863" t="str">
            <v>20140101LGUM_456</v>
          </cell>
          <cell r="AB863" t="str">
            <v>456</v>
          </cell>
        </row>
        <row r="864">
          <cell r="C864" t="str">
            <v xml:space="preserve">LS </v>
          </cell>
          <cell r="E864">
            <v>3189</v>
          </cell>
          <cell r="F864">
            <v>0</v>
          </cell>
          <cell r="J864">
            <v>34632.54</v>
          </cell>
          <cell r="M864">
            <v>0</v>
          </cell>
          <cell r="N864">
            <v>0</v>
          </cell>
          <cell r="O864">
            <v>0</v>
          </cell>
          <cell r="P864">
            <v>0</v>
          </cell>
          <cell r="Z864" t="str">
            <v>20140101LGUM_457</v>
          </cell>
          <cell r="AB864" t="str">
            <v>457</v>
          </cell>
        </row>
        <row r="865">
          <cell r="C865" t="str">
            <v>RLS</v>
          </cell>
          <cell r="E865">
            <v>5</v>
          </cell>
          <cell r="F865">
            <v>0</v>
          </cell>
          <cell r="J865">
            <v>55.65</v>
          </cell>
          <cell r="M865">
            <v>0</v>
          </cell>
          <cell r="N865">
            <v>0</v>
          </cell>
          <cell r="O865">
            <v>0</v>
          </cell>
          <cell r="P865">
            <v>0</v>
          </cell>
          <cell r="Z865" t="str">
            <v>20140101LGUM_458</v>
          </cell>
          <cell r="AB865" t="str">
            <v>458</v>
          </cell>
        </row>
        <row r="866">
          <cell r="C866" t="str">
            <v xml:space="preserve">LS </v>
          </cell>
          <cell r="E866">
            <v>17</v>
          </cell>
          <cell r="F866">
            <v>0</v>
          </cell>
          <cell r="J866">
            <v>217.43</v>
          </cell>
          <cell r="M866">
            <v>0</v>
          </cell>
          <cell r="N866">
            <v>0</v>
          </cell>
          <cell r="O866">
            <v>0</v>
          </cell>
          <cell r="P866">
            <v>0</v>
          </cell>
          <cell r="Z866" t="str">
            <v>20140101LGUM_470</v>
          </cell>
          <cell r="AB866" t="str">
            <v>470</v>
          </cell>
        </row>
        <row r="867">
          <cell r="C867" t="str">
            <v>RLS</v>
          </cell>
          <cell r="E867">
            <v>2</v>
          </cell>
          <cell r="F867">
            <v>0</v>
          </cell>
          <cell r="J867">
            <v>30.14</v>
          </cell>
          <cell r="M867">
            <v>0</v>
          </cell>
          <cell r="N867">
            <v>0</v>
          </cell>
          <cell r="O867">
            <v>0</v>
          </cell>
          <cell r="P867">
            <v>0</v>
          </cell>
          <cell r="Z867" t="str">
            <v>20140101LGUM_471</v>
          </cell>
          <cell r="AB867" t="str">
            <v>471</v>
          </cell>
        </row>
        <row r="868">
          <cell r="C868" t="str">
            <v xml:space="preserve">LS </v>
          </cell>
          <cell r="E868">
            <v>270</v>
          </cell>
          <cell r="F868">
            <v>0</v>
          </cell>
          <cell r="J868">
            <v>5043.6000000000004</v>
          </cell>
          <cell r="M868">
            <v>0</v>
          </cell>
          <cell r="N868">
            <v>0</v>
          </cell>
          <cell r="O868">
            <v>0</v>
          </cell>
          <cell r="P868">
            <v>0</v>
          </cell>
          <cell r="Z868" t="str">
            <v>20140101LGUM_473</v>
          </cell>
          <cell r="AB868" t="str">
            <v>473</v>
          </cell>
        </row>
        <row r="869">
          <cell r="C869" t="str">
            <v>RLS</v>
          </cell>
          <cell r="E869">
            <v>53</v>
          </cell>
          <cell r="F869">
            <v>0</v>
          </cell>
          <cell r="J869">
            <v>1111.4100000000001</v>
          </cell>
          <cell r="M869">
            <v>0</v>
          </cell>
          <cell r="N869">
            <v>0</v>
          </cell>
          <cell r="O869">
            <v>0</v>
          </cell>
          <cell r="P869">
            <v>0</v>
          </cell>
          <cell r="Z869" t="str">
            <v>20140101LGUM_474</v>
          </cell>
          <cell r="AB869" t="str">
            <v>474</v>
          </cell>
        </row>
        <row r="870">
          <cell r="C870" t="str">
            <v>RLS</v>
          </cell>
          <cell r="E870">
            <v>2</v>
          </cell>
          <cell r="F870">
            <v>0</v>
          </cell>
          <cell r="J870">
            <v>56.84</v>
          </cell>
          <cell r="M870">
            <v>0</v>
          </cell>
          <cell r="N870">
            <v>0</v>
          </cell>
          <cell r="O870">
            <v>0</v>
          </cell>
          <cell r="P870">
            <v>0</v>
          </cell>
          <cell r="Z870" t="str">
            <v>20140101LGUM_475</v>
          </cell>
          <cell r="AB870" t="str">
            <v>475</v>
          </cell>
        </row>
        <row r="871">
          <cell r="C871" t="str">
            <v xml:space="preserve">LS </v>
          </cell>
          <cell r="E871">
            <v>341</v>
          </cell>
          <cell r="F871">
            <v>0</v>
          </cell>
          <cell r="J871">
            <v>13503.6</v>
          </cell>
          <cell r="M871">
            <v>0</v>
          </cell>
          <cell r="N871">
            <v>0</v>
          </cell>
          <cell r="O871">
            <v>0</v>
          </cell>
          <cell r="P871">
            <v>0</v>
          </cell>
          <cell r="Z871" t="str">
            <v>20140101LGUM_476</v>
          </cell>
          <cell r="AB871" t="str">
            <v>476</v>
          </cell>
        </row>
        <row r="872">
          <cell r="C872" t="str">
            <v>RLS</v>
          </cell>
          <cell r="E872">
            <v>59</v>
          </cell>
          <cell r="F872">
            <v>0</v>
          </cell>
          <cell r="J872">
            <v>2524.02</v>
          </cell>
          <cell r="M872">
            <v>0</v>
          </cell>
          <cell r="N872">
            <v>0</v>
          </cell>
          <cell r="O872">
            <v>0</v>
          </cell>
          <cell r="P872">
            <v>0</v>
          </cell>
          <cell r="Z872" t="str">
            <v>20140101LGUM_477</v>
          </cell>
          <cell r="AB872" t="str">
            <v>477</v>
          </cell>
        </row>
        <row r="873">
          <cell r="C873" t="str">
            <v xml:space="preserve">LS </v>
          </cell>
          <cell r="E873">
            <v>0</v>
          </cell>
          <cell r="F873">
            <v>0</v>
          </cell>
          <cell r="J873">
            <v>0</v>
          </cell>
          <cell r="M873">
            <v>0</v>
          </cell>
          <cell r="N873">
            <v>0</v>
          </cell>
          <cell r="O873">
            <v>0</v>
          </cell>
          <cell r="P873">
            <v>0</v>
          </cell>
          <cell r="Z873" t="str">
            <v>20140101LGUM_479</v>
          </cell>
          <cell r="AB873" t="str">
            <v>479</v>
          </cell>
        </row>
        <row r="874">
          <cell r="C874" t="str">
            <v xml:space="preserve">LS </v>
          </cell>
          <cell r="E874">
            <v>18</v>
          </cell>
          <cell r="F874">
            <v>0</v>
          </cell>
          <cell r="J874">
            <v>428.94</v>
          </cell>
          <cell r="M874">
            <v>0</v>
          </cell>
          <cell r="N874">
            <v>0</v>
          </cell>
          <cell r="O874">
            <v>0</v>
          </cell>
          <cell r="P874">
            <v>0</v>
          </cell>
          <cell r="Z874" t="str">
            <v>20140101LGUM_480</v>
          </cell>
          <cell r="AB874" t="str">
            <v>480</v>
          </cell>
        </row>
        <row r="875">
          <cell r="C875" t="str">
            <v xml:space="preserve">LS </v>
          </cell>
          <cell r="E875">
            <v>4</v>
          </cell>
          <cell r="F875">
            <v>0</v>
          </cell>
          <cell r="J875">
            <v>81.84</v>
          </cell>
          <cell r="M875">
            <v>0</v>
          </cell>
          <cell r="N875">
            <v>0</v>
          </cell>
          <cell r="O875">
            <v>0</v>
          </cell>
          <cell r="P875">
            <v>0</v>
          </cell>
          <cell r="Z875" t="str">
            <v>20140101LGUM_481</v>
          </cell>
          <cell r="AB875" t="str">
            <v>481</v>
          </cell>
        </row>
        <row r="876">
          <cell r="C876" t="str">
            <v xml:space="preserve">LS </v>
          </cell>
          <cell r="E876">
            <v>39</v>
          </cell>
          <cell r="F876">
            <v>0</v>
          </cell>
          <cell r="J876">
            <v>1178.19</v>
          </cell>
          <cell r="M876">
            <v>0</v>
          </cell>
          <cell r="N876">
            <v>0</v>
          </cell>
          <cell r="O876">
            <v>0</v>
          </cell>
          <cell r="P876">
            <v>0</v>
          </cell>
          <cell r="Z876" t="str">
            <v>20140101LGUM_482</v>
          </cell>
          <cell r="AB876" t="str">
            <v>482</v>
          </cell>
        </row>
        <row r="877">
          <cell r="C877" t="str">
            <v xml:space="preserve">LS </v>
          </cell>
          <cell r="E877">
            <v>2</v>
          </cell>
          <cell r="F877">
            <v>0</v>
          </cell>
          <cell r="J877">
            <v>85.12</v>
          </cell>
          <cell r="M877">
            <v>0</v>
          </cell>
          <cell r="N877">
            <v>0</v>
          </cell>
          <cell r="O877">
            <v>0</v>
          </cell>
          <cell r="P877">
            <v>0</v>
          </cell>
          <cell r="Z877" t="str">
            <v>20140101LGUM_483</v>
          </cell>
          <cell r="AB877" t="str">
            <v>483</v>
          </cell>
        </row>
        <row r="878">
          <cell r="C878" t="str">
            <v xml:space="preserve">LS </v>
          </cell>
          <cell r="E878">
            <v>13</v>
          </cell>
          <cell r="F878">
            <v>0</v>
          </cell>
          <cell r="J878">
            <v>680.03</v>
          </cell>
          <cell r="M878">
            <v>0</v>
          </cell>
          <cell r="N878">
            <v>0</v>
          </cell>
          <cell r="O878">
            <v>0</v>
          </cell>
          <cell r="P878">
            <v>0</v>
          </cell>
          <cell r="Z878" t="str">
            <v>20140101LGUM_484</v>
          </cell>
          <cell r="AB878" t="str">
            <v>484</v>
          </cell>
        </row>
        <row r="879">
          <cell r="C879" t="str">
            <v>ODL</v>
          </cell>
          <cell r="E879">
            <v>0</v>
          </cell>
          <cell r="F879">
            <v>14608576</v>
          </cell>
          <cell r="J879">
            <v>0</v>
          </cell>
          <cell r="M879">
            <v>-11458</v>
          </cell>
          <cell r="N879">
            <v>135363</v>
          </cell>
          <cell r="O879">
            <v>0</v>
          </cell>
          <cell r="P879">
            <v>1658158</v>
          </cell>
          <cell r="Z879" t="str">
            <v>20140101ODL</v>
          </cell>
          <cell r="AB879" t="str">
            <v>ODL</v>
          </cell>
        </row>
      </sheetData>
      <sheetData sheetId="14">
        <row r="2">
          <cell r="C2" t="str">
            <v>RLS</v>
          </cell>
          <cell r="D2" t="str">
            <v>LE_900POLE</v>
          </cell>
          <cell r="E2">
            <v>1675</v>
          </cell>
          <cell r="G2">
            <v>3450.5</v>
          </cell>
          <cell r="H2">
            <v>3450.5</v>
          </cell>
          <cell r="I2">
            <v>0</v>
          </cell>
        </row>
        <row r="3">
          <cell r="C3" t="str">
            <v xml:space="preserve">LS </v>
          </cell>
          <cell r="D3" t="str">
            <v>LE_900POLE</v>
          </cell>
          <cell r="E3">
            <v>5267</v>
          </cell>
          <cell r="G3">
            <v>10850.02</v>
          </cell>
          <cell r="H3">
            <v>10850.02</v>
          </cell>
          <cell r="I3">
            <v>0</v>
          </cell>
        </row>
        <row r="4">
          <cell r="C4" t="str">
            <v>RLS</v>
          </cell>
          <cell r="D4" t="str">
            <v>LE_901POLE</v>
          </cell>
          <cell r="E4">
            <v>157</v>
          </cell>
          <cell r="G4">
            <v>1697.17</v>
          </cell>
          <cell r="H4">
            <v>1697.17</v>
          </cell>
          <cell r="I4">
            <v>0</v>
          </cell>
        </row>
        <row r="5">
          <cell r="C5" t="str">
            <v xml:space="preserve">LS </v>
          </cell>
          <cell r="D5" t="str">
            <v>LE_901POLE</v>
          </cell>
          <cell r="E5">
            <v>0</v>
          </cell>
          <cell r="G5">
            <v>0</v>
          </cell>
          <cell r="H5">
            <v>0</v>
          </cell>
          <cell r="I5">
            <v>0</v>
          </cell>
        </row>
        <row r="6">
          <cell r="C6" t="str">
            <v>RLS</v>
          </cell>
          <cell r="D6" t="str">
            <v>LE_902POLE</v>
          </cell>
          <cell r="E6">
            <v>277</v>
          </cell>
          <cell r="G6">
            <v>3573.3</v>
          </cell>
          <cell r="H6">
            <v>3573.3</v>
          </cell>
          <cell r="I6">
            <v>0</v>
          </cell>
        </row>
        <row r="7">
          <cell r="C7" t="str">
            <v xml:space="preserve">LS </v>
          </cell>
          <cell r="D7" t="str">
            <v>LE_902POLE</v>
          </cell>
          <cell r="E7">
            <v>3</v>
          </cell>
          <cell r="G7">
            <v>38.700000000000003</v>
          </cell>
          <cell r="H7">
            <v>38.700000000000003</v>
          </cell>
          <cell r="I7">
            <v>0</v>
          </cell>
        </row>
        <row r="8">
          <cell r="C8" t="str">
            <v>RLS</v>
          </cell>
          <cell r="D8" t="str">
            <v>LE_950BASE</v>
          </cell>
          <cell r="E8">
            <v>77</v>
          </cell>
          <cell r="G8">
            <v>267.19</v>
          </cell>
          <cell r="H8">
            <v>267.19</v>
          </cell>
          <cell r="I8">
            <v>0</v>
          </cell>
        </row>
        <row r="9">
          <cell r="C9" t="str">
            <v xml:space="preserve">LS </v>
          </cell>
          <cell r="D9" t="str">
            <v>LE_950BASE</v>
          </cell>
          <cell r="E9">
            <v>13</v>
          </cell>
          <cell r="G9">
            <v>45.11</v>
          </cell>
          <cell r="H9">
            <v>45.11</v>
          </cell>
          <cell r="I9">
            <v>0</v>
          </cell>
        </row>
        <row r="10">
          <cell r="C10" t="str">
            <v>RLS</v>
          </cell>
          <cell r="D10" t="str">
            <v>LE_951BASE</v>
          </cell>
          <cell r="E10">
            <v>195</v>
          </cell>
          <cell r="G10">
            <v>727.35</v>
          </cell>
          <cell r="H10">
            <v>727.35</v>
          </cell>
          <cell r="I10">
            <v>0</v>
          </cell>
        </row>
        <row r="11">
          <cell r="C11" t="str">
            <v xml:space="preserve">LS </v>
          </cell>
          <cell r="D11" t="str">
            <v>LE_951BASE</v>
          </cell>
          <cell r="E11">
            <v>69</v>
          </cell>
          <cell r="G11">
            <v>257.37</v>
          </cell>
          <cell r="H11">
            <v>257.37</v>
          </cell>
          <cell r="I11">
            <v>0</v>
          </cell>
        </row>
        <row r="12">
          <cell r="C12" t="str">
            <v>RLS</v>
          </cell>
          <cell r="D12" t="str">
            <v>LE_952BASE</v>
          </cell>
          <cell r="E12">
            <v>0</v>
          </cell>
          <cell r="G12">
            <v>0</v>
          </cell>
          <cell r="H12">
            <v>0</v>
          </cell>
          <cell r="I12">
            <v>0</v>
          </cell>
        </row>
        <row r="13">
          <cell r="C13" t="str">
            <v xml:space="preserve">LS </v>
          </cell>
          <cell r="D13" t="str">
            <v>LE_952BASE</v>
          </cell>
          <cell r="E13">
            <v>0</v>
          </cell>
          <cell r="G13">
            <v>0</v>
          </cell>
          <cell r="H13">
            <v>0</v>
          </cell>
          <cell r="I13">
            <v>0</v>
          </cell>
        </row>
        <row r="14">
          <cell r="C14" t="str">
            <v>RLS</v>
          </cell>
          <cell r="D14" t="str">
            <v>LE_953BASE</v>
          </cell>
          <cell r="E14">
            <v>0</v>
          </cell>
          <cell r="G14">
            <v>0</v>
          </cell>
          <cell r="H14">
            <v>0</v>
          </cell>
          <cell r="I14">
            <v>0</v>
          </cell>
        </row>
        <row r="15">
          <cell r="C15" t="str">
            <v xml:space="preserve">LS </v>
          </cell>
          <cell r="D15" t="str">
            <v>LE_953BASE</v>
          </cell>
          <cell r="E15">
            <v>0</v>
          </cell>
          <cell r="G15">
            <v>0</v>
          </cell>
          <cell r="H15">
            <v>0</v>
          </cell>
          <cell r="I15">
            <v>0</v>
          </cell>
        </row>
        <row r="16">
          <cell r="C16" t="str">
            <v>RLS</v>
          </cell>
          <cell r="D16" t="str">
            <v>LE_954BASE</v>
          </cell>
          <cell r="E16">
            <v>0</v>
          </cell>
          <cell r="G16">
            <v>0</v>
          </cell>
          <cell r="H16">
            <v>0</v>
          </cell>
          <cell r="I16">
            <v>0</v>
          </cell>
        </row>
        <row r="17">
          <cell r="C17" t="str">
            <v xml:space="preserve">LS </v>
          </cell>
          <cell r="D17" t="str">
            <v>LE_954BASE</v>
          </cell>
          <cell r="E17">
            <v>0</v>
          </cell>
          <cell r="G17">
            <v>0</v>
          </cell>
          <cell r="H17">
            <v>0</v>
          </cell>
          <cell r="I17">
            <v>0</v>
          </cell>
        </row>
        <row r="18">
          <cell r="C18" t="str">
            <v>RLS</v>
          </cell>
          <cell r="D18" t="str">
            <v>LE_955BASE</v>
          </cell>
          <cell r="E18">
            <v>0</v>
          </cell>
          <cell r="G18">
            <v>0</v>
          </cell>
          <cell r="H18">
            <v>0</v>
          </cell>
          <cell r="I18">
            <v>0</v>
          </cell>
        </row>
        <row r="19">
          <cell r="C19" t="str">
            <v xml:space="preserve">LS </v>
          </cell>
          <cell r="D19" t="str">
            <v>LE_955BASE</v>
          </cell>
          <cell r="E19">
            <v>0</v>
          </cell>
          <cell r="G19">
            <v>0</v>
          </cell>
          <cell r="H19">
            <v>0</v>
          </cell>
          <cell r="I19">
            <v>0</v>
          </cell>
        </row>
        <row r="20">
          <cell r="C20" t="str">
            <v>RLS</v>
          </cell>
          <cell r="D20" t="str">
            <v>LE_956BASE</v>
          </cell>
          <cell r="E20">
            <v>239</v>
          </cell>
          <cell r="G20">
            <v>850.84</v>
          </cell>
          <cell r="H20">
            <v>850.84</v>
          </cell>
          <cell r="I20">
            <v>0</v>
          </cell>
        </row>
        <row r="21">
          <cell r="C21" t="str">
            <v xml:space="preserve">LS </v>
          </cell>
          <cell r="D21" t="str">
            <v>LE_956BASE</v>
          </cell>
          <cell r="E21">
            <v>307</v>
          </cell>
          <cell r="G21">
            <v>1092.92</v>
          </cell>
          <cell r="H21">
            <v>1092.92</v>
          </cell>
          <cell r="I21">
            <v>0</v>
          </cell>
        </row>
        <row r="22">
          <cell r="C22" t="str">
            <v>RLS</v>
          </cell>
          <cell r="D22" t="str">
            <v>LE_957BASE</v>
          </cell>
          <cell r="E22">
            <v>0</v>
          </cell>
          <cell r="G22">
            <v>0</v>
          </cell>
          <cell r="H22">
            <v>0</v>
          </cell>
          <cell r="I22">
            <v>0</v>
          </cell>
        </row>
        <row r="23">
          <cell r="C23" t="str">
            <v xml:space="preserve">LS </v>
          </cell>
          <cell r="D23" t="str">
            <v>LE_957BASE</v>
          </cell>
          <cell r="E23">
            <v>0</v>
          </cell>
          <cell r="G23">
            <v>0</v>
          </cell>
          <cell r="H23">
            <v>0</v>
          </cell>
          <cell r="I23">
            <v>0</v>
          </cell>
        </row>
        <row r="24">
          <cell r="C24" t="str">
            <v>RLS</v>
          </cell>
          <cell r="D24" t="str">
            <v>LE_958POLE</v>
          </cell>
          <cell r="E24">
            <v>37</v>
          </cell>
          <cell r="G24">
            <v>418.47</v>
          </cell>
          <cell r="H24">
            <v>418.47</v>
          </cell>
          <cell r="I24">
            <v>0</v>
          </cell>
        </row>
        <row r="25">
          <cell r="C25" t="str">
            <v xml:space="preserve">LS </v>
          </cell>
          <cell r="D25" t="str">
            <v>LE_958POLE</v>
          </cell>
          <cell r="E25">
            <v>425</v>
          </cell>
          <cell r="G25">
            <v>4806.75</v>
          </cell>
          <cell r="H25">
            <v>4806.75</v>
          </cell>
          <cell r="I25">
            <v>0</v>
          </cell>
        </row>
        <row r="26">
          <cell r="C26" t="str">
            <v>RLS</v>
          </cell>
          <cell r="D26" t="str">
            <v>LE_900POLE</v>
          </cell>
          <cell r="E26">
            <v>1660</v>
          </cell>
          <cell r="G26">
            <v>3419.6</v>
          </cell>
          <cell r="H26">
            <v>3419.6</v>
          </cell>
          <cell r="I26">
            <v>0</v>
          </cell>
        </row>
        <row r="27">
          <cell r="C27" t="str">
            <v xml:space="preserve">LS </v>
          </cell>
          <cell r="D27" t="str">
            <v>LE_900POLE</v>
          </cell>
          <cell r="E27">
            <v>5183</v>
          </cell>
          <cell r="G27">
            <v>10676.98</v>
          </cell>
          <cell r="H27">
            <v>10676.98</v>
          </cell>
          <cell r="I27">
            <v>0</v>
          </cell>
        </row>
        <row r="28">
          <cell r="C28" t="str">
            <v>RLS</v>
          </cell>
          <cell r="D28" t="str">
            <v>LE_901POLE</v>
          </cell>
          <cell r="E28">
            <v>157</v>
          </cell>
          <cell r="G28">
            <v>1697.17</v>
          </cell>
          <cell r="H28">
            <v>1697.17</v>
          </cell>
          <cell r="I28">
            <v>0</v>
          </cell>
        </row>
        <row r="29">
          <cell r="C29" t="str">
            <v xml:space="preserve">LS </v>
          </cell>
          <cell r="D29" t="str">
            <v>LE_901POLE</v>
          </cell>
          <cell r="E29">
            <v>0</v>
          </cell>
          <cell r="G29">
            <v>0</v>
          </cell>
          <cell r="H29">
            <v>0</v>
          </cell>
          <cell r="I29">
            <v>0</v>
          </cell>
        </row>
        <row r="30">
          <cell r="C30" t="str">
            <v>RLS</v>
          </cell>
          <cell r="D30" t="str">
            <v>LE_902POLE</v>
          </cell>
          <cell r="E30">
            <v>277</v>
          </cell>
          <cell r="G30">
            <v>3573.3</v>
          </cell>
          <cell r="H30">
            <v>3573.3</v>
          </cell>
          <cell r="I30">
            <v>0</v>
          </cell>
        </row>
        <row r="31">
          <cell r="C31" t="str">
            <v xml:space="preserve">LS </v>
          </cell>
          <cell r="D31" t="str">
            <v>LE_902POLE</v>
          </cell>
          <cell r="E31">
            <v>3</v>
          </cell>
          <cell r="G31">
            <v>38.700000000000003</v>
          </cell>
          <cell r="H31">
            <v>38.700000000000003</v>
          </cell>
          <cell r="I31">
            <v>0</v>
          </cell>
        </row>
        <row r="32">
          <cell r="C32" t="str">
            <v>RLS</v>
          </cell>
          <cell r="D32" t="str">
            <v>LE_950BASE</v>
          </cell>
          <cell r="E32">
            <v>77</v>
          </cell>
          <cell r="G32">
            <v>267.19</v>
          </cell>
          <cell r="H32">
            <v>267.19</v>
          </cell>
          <cell r="I32">
            <v>0</v>
          </cell>
        </row>
        <row r="33">
          <cell r="C33" t="str">
            <v xml:space="preserve">LS </v>
          </cell>
          <cell r="D33" t="str">
            <v>LE_950BASE</v>
          </cell>
          <cell r="E33">
            <v>13</v>
          </cell>
          <cell r="G33">
            <v>45.11</v>
          </cell>
          <cell r="H33">
            <v>45.11</v>
          </cell>
          <cell r="I33">
            <v>0</v>
          </cell>
        </row>
        <row r="34">
          <cell r="C34" t="str">
            <v>RLS</v>
          </cell>
          <cell r="D34" t="str">
            <v>LE_951BASE</v>
          </cell>
          <cell r="E34">
            <v>195</v>
          </cell>
          <cell r="G34">
            <v>727.35</v>
          </cell>
          <cell r="H34">
            <v>727.35</v>
          </cell>
          <cell r="I34">
            <v>0</v>
          </cell>
        </row>
        <row r="35">
          <cell r="C35" t="str">
            <v xml:space="preserve">LS </v>
          </cell>
          <cell r="D35" t="str">
            <v>LE_951BASE</v>
          </cell>
          <cell r="E35">
            <v>73</v>
          </cell>
          <cell r="G35">
            <v>272.29000000000002</v>
          </cell>
          <cell r="H35">
            <v>272.29000000000002</v>
          </cell>
          <cell r="I35">
            <v>0</v>
          </cell>
        </row>
        <row r="36">
          <cell r="C36" t="str">
            <v>RLS</v>
          </cell>
          <cell r="D36" t="str">
            <v>LE_952BASE</v>
          </cell>
          <cell r="E36">
            <v>0</v>
          </cell>
          <cell r="G36">
            <v>0</v>
          </cell>
          <cell r="H36">
            <v>0</v>
          </cell>
          <cell r="I36">
            <v>0</v>
          </cell>
        </row>
        <row r="37">
          <cell r="C37" t="str">
            <v xml:space="preserve">LS </v>
          </cell>
          <cell r="D37" t="str">
            <v>LE_952BASE</v>
          </cell>
          <cell r="E37">
            <v>0</v>
          </cell>
          <cell r="G37">
            <v>0</v>
          </cell>
          <cell r="H37">
            <v>0</v>
          </cell>
          <cell r="I37">
            <v>0</v>
          </cell>
        </row>
        <row r="38">
          <cell r="C38" t="str">
            <v>RLS</v>
          </cell>
          <cell r="D38" t="str">
            <v>LE_953BASE</v>
          </cell>
          <cell r="E38">
            <v>0</v>
          </cell>
          <cell r="G38">
            <v>0</v>
          </cell>
          <cell r="H38">
            <v>0</v>
          </cell>
          <cell r="I38">
            <v>0</v>
          </cell>
        </row>
        <row r="39">
          <cell r="C39" t="str">
            <v xml:space="preserve">LS </v>
          </cell>
          <cell r="D39" t="str">
            <v>LE_953BASE</v>
          </cell>
          <cell r="E39">
            <v>0</v>
          </cell>
          <cell r="G39">
            <v>0</v>
          </cell>
          <cell r="H39">
            <v>0</v>
          </cell>
          <cell r="I39">
            <v>0</v>
          </cell>
        </row>
        <row r="40">
          <cell r="C40" t="str">
            <v>RLS</v>
          </cell>
          <cell r="D40" t="str">
            <v>LE_954BASE</v>
          </cell>
          <cell r="E40">
            <v>0</v>
          </cell>
          <cell r="G40">
            <v>0</v>
          </cell>
          <cell r="H40">
            <v>0</v>
          </cell>
          <cell r="I40">
            <v>0</v>
          </cell>
        </row>
        <row r="41">
          <cell r="C41" t="str">
            <v xml:space="preserve">LS </v>
          </cell>
          <cell r="D41" t="str">
            <v>LE_954BASE</v>
          </cell>
          <cell r="E41">
            <v>0</v>
          </cell>
          <cell r="G41">
            <v>0</v>
          </cell>
          <cell r="H41">
            <v>0</v>
          </cell>
          <cell r="I41">
            <v>0</v>
          </cell>
        </row>
        <row r="42">
          <cell r="C42" t="str">
            <v>RLS</v>
          </cell>
          <cell r="D42" t="str">
            <v>LE_955BASE</v>
          </cell>
          <cell r="E42">
            <v>0</v>
          </cell>
          <cell r="G42">
            <v>0</v>
          </cell>
          <cell r="H42">
            <v>0</v>
          </cell>
          <cell r="I42">
            <v>0</v>
          </cell>
        </row>
        <row r="43">
          <cell r="C43" t="str">
            <v xml:space="preserve">LS </v>
          </cell>
          <cell r="D43" t="str">
            <v>LE_955BASE</v>
          </cell>
          <cell r="E43">
            <v>0</v>
          </cell>
          <cell r="G43">
            <v>0</v>
          </cell>
          <cell r="H43">
            <v>0</v>
          </cell>
          <cell r="I43">
            <v>0</v>
          </cell>
        </row>
        <row r="44">
          <cell r="C44" t="str">
            <v>RLS</v>
          </cell>
          <cell r="D44" t="str">
            <v>LE_956BASE</v>
          </cell>
          <cell r="E44">
            <v>239</v>
          </cell>
          <cell r="G44">
            <v>850.84</v>
          </cell>
          <cell r="H44">
            <v>850.84</v>
          </cell>
          <cell r="I44">
            <v>0</v>
          </cell>
        </row>
        <row r="45">
          <cell r="C45" t="str">
            <v xml:space="preserve">LS </v>
          </cell>
          <cell r="D45" t="str">
            <v>LE_956BASE</v>
          </cell>
          <cell r="E45">
            <v>310</v>
          </cell>
          <cell r="G45">
            <v>1103.5999999999999</v>
          </cell>
          <cell r="H45">
            <v>1103.5999999999999</v>
          </cell>
          <cell r="I45">
            <v>0</v>
          </cell>
        </row>
        <row r="46">
          <cell r="C46" t="str">
            <v>RLS</v>
          </cell>
          <cell r="D46" t="str">
            <v>LE_957BASE</v>
          </cell>
          <cell r="E46">
            <v>0</v>
          </cell>
          <cell r="G46">
            <v>0</v>
          </cell>
          <cell r="H46">
            <v>0</v>
          </cell>
          <cell r="I46">
            <v>0</v>
          </cell>
        </row>
        <row r="47">
          <cell r="C47" t="str">
            <v xml:space="preserve">LS </v>
          </cell>
          <cell r="D47" t="str">
            <v>LE_957BASE</v>
          </cell>
          <cell r="E47">
            <v>0</v>
          </cell>
          <cell r="G47">
            <v>0</v>
          </cell>
          <cell r="H47">
            <v>0</v>
          </cell>
          <cell r="I47">
            <v>0</v>
          </cell>
        </row>
        <row r="48">
          <cell r="C48" t="str">
            <v>RLS</v>
          </cell>
          <cell r="D48" t="str">
            <v>LE_958POLE</v>
          </cell>
          <cell r="E48">
            <v>36</v>
          </cell>
          <cell r="G48">
            <v>407.16</v>
          </cell>
          <cell r="H48">
            <v>407.16</v>
          </cell>
          <cell r="I48">
            <v>0</v>
          </cell>
        </row>
        <row r="49">
          <cell r="C49" t="str">
            <v xml:space="preserve">LS </v>
          </cell>
          <cell r="D49" t="str">
            <v>LE_958POLE</v>
          </cell>
          <cell r="E49">
            <v>423</v>
          </cell>
          <cell r="G49">
            <v>4784.13</v>
          </cell>
          <cell r="H49">
            <v>4784.13</v>
          </cell>
          <cell r="I49">
            <v>0</v>
          </cell>
        </row>
        <row r="50">
          <cell r="C50" t="str">
            <v>RLS</v>
          </cell>
          <cell r="D50" t="str">
            <v>LE_900POLE</v>
          </cell>
          <cell r="E50">
            <v>1654</v>
          </cell>
          <cell r="G50">
            <v>3407.24</v>
          </cell>
          <cell r="H50">
            <v>3407.24</v>
          </cell>
          <cell r="I50">
            <v>0</v>
          </cell>
        </row>
        <row r="51">
          <cell r="C51" t="str">
            <v xml:space="preserve">LS </v>
          </cell>
          <cell r="D51" t="str">
            <v>LE_900POLE</v>
          </cell>
          <cell r="E51">
            <v>5204</v>
          </cell>
          <cell r="G51">
            <v>10720.24</v>
          </cell>
          <cell r="H51">
            <v>10720.24</v>
          </cell>
          <cell r="I51">
            <v>0</v>
          </cell>
        </row>
        <row r="52">
          <cell r="C52" t="str">
            <v>RLS</v>
          </cell>
          <cell r="D52" t="str">
            <v>LE_901POLE</v>
          </cell>
          <cell r="E52">
            <v>157</v>
          </cell>
          <cell r="G52">
            <v>1697.17</v>
          </cell>
          <cell r="H52">
            <v>1697.17</v>
          </cell>
          <cell r="I52">
            <v>0</v>
          </cell>
        </row>
        <row r="53">
          <cell r="C53" t="str">
            <v xml:space="preserve">LS </v>
          </cell>
          <cell r="D53" t="str">
            <v>LE_901POLE</v>
          </cell>
          <cell r="E53">
            <v>0</v>
          </cell>
          <cell r="G53">
            <v>0</v>
          </cell>
          <cell r="H53">
            <v>0</v>
          </cell>
          <cell r="I53">
            <v>0</v>
          </cell>
        </row>
        <row r="54">
          <cell r="C54" t="str">
            <v>RLS</v>
          </cell>
          <cell r="D54" t="str">
            <v>LE_902POLE</v>
          </cell>
          <cell r="E54">
            <v>277</v>
          </cell>
          <cell r="G54">
            <v>3573.3</v>
          </cell>
          <cell r="H54">
            <v>3573.3</v>
          </cell>
          <cell r="I54">
            <v>0</v>
          </cell>
        </row>
        <row r="55">
          <cell r="C55" t="str">
            <v xml:space="preserve">LS </v>
          </cell>
          <cell r="D55" t="str">
            <v>LE_902POLE</v>
          </cell>
          <cell r="E55">
            <v>3</v>
          </cell>
          <cell r="G55">
            <v>38.700000000000003</v>
          </cell>
          <cell r="H55">
            <v>38.700000000000003</v>
          </cell>
          <cell r="I55">
            <v>0</v>
          </cell>
        </row>
        <row r="56">
          <cell r="C56" t="str">
            <v>RLS</v>
          </cell>
          <cell r="D56" t="str">
            <v>LE_950BASE</v>
          </cell>
          <cell r="E56">
            <v>77</v>
          </cell>
          <cell r="G56">
            <v>267.19</v>
          </cell>
          <cell r="H56">
            <v>267.19</v>
          </cell>
          <cell r="I56">
            <v>0</v>
          </cell>
        </row>
        <row r="57">
          <cell r="C57" t="str">
            <v xml:space="preserve">LS </v>
          </cell>
          <cell r="D57" t="str">
            <v>LE_950BASE</v>
          </cell>
          <cell r="E57">
            <v>13</v>
          </cell>
          <cell r="G57">
            <v>45.11</v>
          </cell>
          <cell r="H57">
            <v>45.11</v>
          </cell>
          <cell r="I57">
            <v>0</v>
          </cell>
        </row>
        <row r="58">
          <cell r="C58" t="str">
            <v>RLS</v>
          </cell>
          <cell r="D58" t="str">
            <v>LE_951BASE</v>
          </cell>
          <cell r="E58">
            <v>195</v>
          </cell>
          <cell r="G58">
            <v>727.35</v>
          </cell>
          <cell r="H58">
            <v>727.35</v>
          </cell>
          <cell r="I58">
            <v>0</v>
          </cell>
        </row>
        <row r="59">
          <cell r="C59" t="str">
            <v xml:space="preserve">LS </v>
          </cell>
          <cell r="D59" t="str">
            <v>LE_951BASE</v>
          </cell>
          <cell r="E59">
            <v>73</v>
          </cell>
          <cell r="G59">
            <v>272.29000000000002</v>
          </cell>
          <cell r="H59">
            <v>272.29000000000002</v>
          </cell>
          <cell r="I59">
            <v>0</v>
          </cell>
        </row>
        <row r="60">
          <cell r="C60" t="str">
            <v>RLS</v>
          </cell>
          <cell r="D60" t="str">
            <v>LE_952BASE</v>
          </cell>
          <cell r="E60">
            <v>0</v>
          </cell>
          <cell r="G60">
            <v>0</v>
          </cell>
          <cell r="H60">
            <v>0</v>
          </cell>
          <cell r="I60">
            <v>0</v>
          </cell>
        </row>
        <row r="61">
          <cell r="C61" t="str">
            <v xml:space="preserve">LS </v>
          </cell>
          <cell r="D61" t="str">
            <v>LE_952BASE</v>
          </cell>
          <cell r="E61">
            <v>0</v>
          </cell>
          <cell r="G61">
            <v>0</v>
          </cell>
          <cell r="H61">
            <v>0</v>
          </cell>
          <cell r="I61">
            <v>0</v>
          </cell>
        </row>
        <row r="62">
          <cell r="C62" t="str">
            <v>RLS</v>
          </cell>
          <cell r="D62" t="str">
            <v>LE_953BASE</v>
          </cell>
          <cell r="E62">
            <v>0</v>
          </cell>
          <cell r="G62">
            <v>0</v>
          </cell>
          <cell r="H62">
            <v>0</v>
          </cell>
          <cell r="I62">
            <v>0</v>
          </cell>
        </row>
        <row r="63">
          <cell r="C63" t="str">
            <v xml:space="preserve">LS </v>
          </cell>
          <cell r="D63" t="str">
            <v>LE_953BASE</v>
          </cell>
          <cell r="E63">
            <v>0</v>
          </cell>
          <cell r="G63">
            <v>0</v>
          </cell>
          <cell r="H63">
            <v>0</v>
          </cell>
          <cell r="I63">
            <v>0</v>
          </cell>
        </row>
        <row r="64">
          <cell r="C64" t="str">
            <v>RLS</v>
          </cell>
          <cell r="D64" t="str">
            <v>LE_954BASE</v>
          </cell>
          <cell r="E64">
            <v>0</v>
          </cell>
          <cell r="G64">
            <v>0</v>
          </cell>
          <cell r="H64">
            <v>0</v>
          </cell>
          <cell r="I64">
            <v>0</v>
          </cell>
        </row>
        <row r="65">
          <cell r="C65" t="str">
            <v xml:space="preserve">LS </v>
          </cell>
          <cell r="D65" t="str">
            <v>LE_954BASE</v>
          </cell>
          <cell r="E65">
            <v>0</v>
          </cell>
          <cell r="G65">
            <v>0</v>
          </cell>
          <cell r="H65">
            <v>0</v>
          </cell>
          <cell r="I65">
            <v>0</v>
          </cell>
        </row>
        <row r="66">
          <cell r="C66" t="str">
            <v>RLS</v>
          </cell>
          <cell r="D66" t="str">
            <v>LE_955BASE</v>
          </cell>
          <cell r="E66">
            <v>0</v>
          </cell>
          <cell r="G66">
            <v>0</v>
          </cell>
          <cell r="H66">
            <v>0</v>
          </cell>
          <cell r="I66">
            <v>0</v>
          </cell>
        </row>
        <row r="67">
          <cell r="C67" t="str">
            <v xml:space="preserve">LS </v>
          </cell>
          <cell r="D67" t="str">
            <v>LE_955BASE</v>
          </cell>
          <cell r="E67">
            <v>0</v>
          </cell>
          <cell r="G67">
            <v>0</v>
          </cell>
          <cell r="H67">
            <v>0</v>
          </cell>
          <cell r="I67">
            <v>0</v>
          </cell>
        </row>
        <row r="68">
          <cell r="C68" t="str">
            <v>RLS</v>
          </cell>
          <cell r="D68" t="str">
            <v>LE_956BASE</v>
          </cell>
          <cell r="E68">
            <v>239</v>
          </cell>
          <cell r="G68">
            <v>850.84</v>
          </cell>
          <cell r="H68">
            <v>850.84</v>
          </cell>
          <cell r="I68">
            <v>0</v>
          </cell>
        </row>
        <row r="69">
          <cell r="C69" t="str">
            <v xml:space="preserve">LS </v>
          </cell>
          <cell r="D69" t="str">
            <v>LE_956BASE</v>
          </cell>
          <cell r="E69">
            <v>307</v>
          </cell>
          <cell r="G69">
            <v>1092.92</v>
          </cell>
          <cell r="H69">
            <v>1092.92</v>
          </cell>
          <cell r="I69">
            <v>0</v>
          </cell>
        </row>
        <row r="70">
          <cell r="C70" t="str">
            <v>RLS</v>
          </cell>
          <cell r="D70" t="str">
            <v>LE_957BASE</v>
          </cell>
          <cell r="E70">
            <v>0</v>
          </cell>
          <cell r="G70">
            <v>0</v>
          </cell>
          <cell r="H70">
            <v>0</v>
          </cell>
          <cell r="I70">
            <v>0</v>
          </cell>
        </row>
        <row r="71">
          <cell r="C71" t="str">
            <v xml:space="preserve">LS </v>
          </cell>
          <cell r="D71" t="str">
            <v>LE_957BASE</v>
          </cell>
          <cell r="E71">
            <v>0</v>
          </cell>
          <cell r="G71">
            <v>0</v>
          </cell>
          <cell r="H71">
            <v>0</v>
          </cell>
          <cell r="I71">
            <v>0</v>
          </cell>
        </row>
        <row r="72">
          <cell r="C72" t="str">
            <v>RLS</v>
          </cell>
          <cell r="D72" t="str">
            <v>LE_958POLE</v>
          </cell>
          <cell r="E72">
            <v>36</v>
          </cell>
          <cell r="G72">
            <v>407.16</v>
          </cell>
          <cell r="H72">
            <v>407.16</v>
          </cell>
          <cell r="I72">
            <v>0</v>
          </cell>
        </row>
        <row r="73">
          <cell r="C73" t="str">
            <v xml:space="preserve">LS </v>
          </cell>
          <cell r="D73" t="str">
            <v>LE_958POLE</v>
          </cell>
          <cell r="E73">
            <v>420</v>
          </cell>
          <cell r="G73">
            <v>4750.2</v>
          </cell>
          <cell r="H73">
            <v>4750.2</v>
          </cell>
          <cell r="I73">
            <v>0</v>
          </cell>
        </row>
        <row r="74">
          <cell r="C74" t="str">
            <v>RLS</v>
          </cell>
          <cell r="D74" t="str">
            <v>LE_900POLE</v>
          </cell>
          <cell r="E74">
            <v>1622</v>
          </cell>
          <cell r="G74">
            <v>3341.32</v>
          </cell>
          <cell r="H74">
            <v>3341.32</v>
          </cell>
          <cell r="I74">
            <v>0</v>
          </cell>
        </row>
        <row r="75">
          <cell r="C75" t="str">
            <v xml:space="preserve">LS </v>
          </cell>
          <cell r="D75" t="str">
            <v>LE_900POLE</v>
          </cell>
          <cell r="E75">
            <v>5141</v>
          </cell>
          <cell r="G75">
            <v>10590.46</v>
          </cell>
          <cell r="H75">
            <v>10590.46</v>
          </cell>
          <cell r="I75">
            <v>0</v>
          </cell>
        </row>
        <row r="76">
          <cell r="C76" t="str">
            <v>RLS</v>
          </cell>
          <cell r="D76" t="str">
            <v>LE_901POLE</v>
          </cell>
          <cell r="E76">
            <v>157</v>
          </cell>
          <cell r="G76">
            <v>1697.17</v>
          </cell>
          <cell r="H76">
            <v>1697.17</v>
          </cell>
          <cell r="I76">
            <v>0</v>
          </cell>
        </row>
        <row r="77">
          <cell r="C77" t="str">
            <v xml:space="preserve">LS </v>
          </cell>
          <cell r="D77" t="str">
            <v>LE_901POLE</v>
          </cell>
          <cell r="E77">
            <v>0</v>
          </cell>
          <cell r="G77">
            <v>0</v>
          </cell>
          <cell r="H77">
            <v>0</v>
          </cell>
          <cell r="I77">
            <v>0</v>
          </cell>
        </row>
        <row r="78">
          <cell r="C78" t="str">
            <v>RLS</v>
          </cell>
          <cell r="D78" t="str">
            <v>LE_902POLE</v>
          </cell>
          <cell r="E78">
            <v>277</v>
          </cell>
          <cell r="G78">
            <v>3573.3</v>
          </cell>
          <cell r="H78">
            <v>3573.3</v>
          </cell>
          <cell r="I78">
            <v>0</v>
          </cell>
        </row>
        <row r="79">
          <cell r="C79" t="str">
            <v xml:space="preserve">LS </v>
          </cell>
          <cell r="D79" t="str">
            <v>LE_902POLE</v>
          </cell>
          <cell r="E79">
            <v>3</v>
          </cell>
          <cell r="G79">
            <v>38.700000000000003</v>
          </cell>
          <cell r="H79">
            <v>38.700000000000003</v>
          </cell>
          <cell r="I79">
            <v>0</v>
          </cell>
        </row>
        <row r="80">
          <cell r="C80" t="str">
            <v>RLS</v>
          </cell>
          <cell r="D80" t="str">
            <v>LE_950BASE</v>
          </cell>
          <cell r="E80">
            <v>77</v>
          </cell>
          <cell r="G80">
            <v>267.19</v>
          </cell>
          <cell r="H80">
            <v>267.19</v>
          </cell>
          <cell r="I80">
            <v>0</v>
          </cell>
        </row>
        <row r="81">
          <cell r="C81" t="str">
            <v xml:space="preserve">LS </v>
          </cell>
          <cell r="D81" t="str">
            <v>LE_950BASE</v>
          </cell>
          <cell r="E81">
            <v>13</v>
          </cell>
          <cell r="G81">
            <v>45.11</v>
          </cell>
          <cell r="H81">
            <v>45.11</v>
          </cell>
          <cell r="I81">
            <v>0</v>
          </cell>
        </row>
        <row r="82">
          <cell r="C82" t="str">
            <v>RLS</v>
          </cell>
          <cell r="D82" t="str">
            <v>LE_951BASE</v>
          </cell>
          <cell r="E82">
            <v>195</v>
          </cell>
          <cell r="G82">
            <v>727.35</v>
          </cell>
          <cell r="H82">
            <v>727.35</v>
          </cell>
          <cell r="I82">
            <v>0</v>
          </cell>
        </row>
        <row r="83">
          <cell r="C83" t="str">
            <v xml:space="preserve">LS </v>
          </cell>
          <cell r="D83" t="str">
            <v>LE_951BASE</v>
          </cell>
          <cell r="E83">
            <v>73</v>
          </cell>
          <cell r="G83">
            <v>272.29000000000002</v>
          </cell>
          <cell r="H83">
            <v>272.29000000000002</v>
          </cell>
          <cell r="I83">
            <v>0</v>
          </cell>
        </row>
        <row r="84">
          <cell r="C84" t="str">
            <v>RLS</v>
          </cell>
          <cell r="D84" t="str">
            <v>LE_952BASE</v>
          </cell>
          <cell r="E84">
            <v>0</v>
          </cell>
          <cell r="G84">
            <v>0</v>
          </cell>
          <cell r="H84">
            <v>0</v>
          </cell>
          <cell r="I84">
            <v>0</v>
          </cell>
        </row>
        <row r="85">
          <cell r="C85" t="str">
            <v xml:space="preserve">LS </v>
          </cell>
          <cell r="D85" t="str">
            <v>LE_952BASE</v>
          </cell>
          <cell r="E85">
            <v>0</v>
          </cell>
          <cell r="G85">
            <v>0</v>
          </cell>
          <cell r="H85">
            <v>0</v>
          </cell>
          <cell r="I85">
            <v>0</v>
          </cell>
        </row>
        <row r="86">
          <cell r="C86" t="str">
            <v>RLS</v>
          </cell>
          <cell r="D86" t="str">
            <v>LE_953BASE</v>
          </cell>
          <cell r="E86">
            <v>0</v>
          </cell>
          <cell r="G86">
            <v>0</v>
          </cell>
          <cell r="H86">
            <v>0</v>
          </cell>
          <cell r="I86">
            <v>0</v>
          </cell>
        </row>
        <row r="87">
          <cell r="C87" t="str">
            <v xml:space="preserve">LS </v>
          </cell>
          <cell r="D87" t="str">
            <v>LE_953BASE</v>
          </cell>
          <cell r="E87">
            <v>0</v>
          </cell>
          <cell r="G87">
            <v>0</v>
          </cell>
          <cell r="H87">
            <v>0</v>
          </cell>
          <cell r="I87">
            <v>0</v>
          </cell>
        </row>
        <row r="88">
          <cell r="C88" t="str">
            <v>RLS</v>
          </cell>
          <cell r="D88" t="str">
            <v>LE_954BASE</v>
          </cell>
          <cell r="E88">
            <v>0</v>
          </cell>
          <cell r="G88">
            <v>0</v>
          </cell>
          <cell r="H88">
            <v>0</v>
          </cell>
          <cell r="I88">
            <v>0</v>
          </cell>
        </row>
        <row r="89">
          <cell r="C89" t="str">
            <v xml:space="preserve">LS </v>
          </cell>
          <cell r="D89" t="str">
            <v>LE_954BASE</v>
          </cell>
          <cell r="E89">
            <v>0</v>
          </cell>
          <cell r="G89">
            <v>0</v>
          </cell>
          <cell r="H89">
            <v>0</v>
          </cell>
          <cell r="I89">
            <v>0</v>
          </cell>
        </row>
        <row r="90">
          <cell r="C90" t="str">
            <v>RLS</v>
          </cell>
          <cell r="D90" t="str">
            <v>LE_955BASE</v>
          </cell>
          <cell r="E90">
            <v>0</v>
          </cell>
          <cell r="G90">
            <v>0</v>
          </cell>
          <cell r="H90">
            <v>0</v>
          </cell>
          <cell r="I90">
            <v>0</v>
          </cell>
        </row>
        <row r="91">
          <cell r="C91" t="str">
            <v xml:space="preserve">LS </v>
          </cell>
          <cell r="D91" t="str">
            <v>LE_955BASE</v>
          </cell>
          <cell r="E91">
            <v>0</v>
          </cell>
          <cell r="G91">
            <v>0</v>
          </cell>
          <cell r="H91">
            <v>0</v>
          </cell>
          <cell r="I91">
            <v>0</v>
          </cell>
        </row>
        <row r="92">
          <cell r="C92" t="str">
            <v>RLS</v>
          </cell>
          <cell r="D92" t="str">
            <v>LE_956BASE</v>
          </cell>
          <cell r="E92">
            <v>239</v>
          </cell>
          <cell r="G92">
            <v>850.84</v>
          </cell>
          <cell r="H92">
            <v>850.84</v>
          </cell>
          <cell r="I92">
            <v>0</v>
          </cell>
        </row>
        <row r="93">
          <cell r="C93" t="str">
            <v xml:space="preserve">LS </v>
          </cell>
          <cell r="D93" t="str">
            <v>LE_956BASE</v>
          </cell>
          <cell r="E93">
            <v>317</v>
          </cell>
          <cell r="G93">
            <v>1128.52</v>
          </cell>
          <cell r="H93">
            <v>1128.52</v>
          </cell>
          <cell r="I93">
            <v>0</v>
          </cell>
        </row>
        <row r="94">
          <cell r="C94" t="str">
            <v>RLS</v>
          </cell>
          <cell r="D94" t="str">
            <v>LE_957BASE</v>
          </cell>
          <cell r="E94">
            <v>0</v>
          </cell>
          <cell r="G94">
            <v>0</v>
          </cell>
          <cell r="H94">
            <v>0</v>
          </cell>
          <cell r="I94">
            <v>0</v>
          </cell>
        </row>
        <row r="95">
          <cell r="C95" t="str">
            <v xml:space="preserve">LS </v>
          </cell>
          <cell r="D95" t="str">
            <v>LE_957BASE</v>
          </cell>
          <cell r="E95">
            <v>0</v>
          </cell>
          <cell r="G95">
            <v>0</v>
          </cell>
          <cell r="H95">
            <v>0</v>
          </cell>
          <cell r="I95">
            <v>0</v>
          </cell>
        </row>
        <row r="96">
          <cell r="C96" t="str">
            <v>RLS</v>
          </cell>
          <cell r="D96" t="str">
            <v>LE_958POLE</v>
          </cell>
          <cell r="E96">
            <v>35</v>
          </cell>
          <cell r="G96">
            <v>395.85</v>
          </cell>
          <cell r="H96">
            <v>395.85</v>
          </cell>
          <cell r="I96">
            <v>0</v>
          </cell>
        </row>
        <row r="97">
          <cell r="C97" t="str">
            <v xml:space="preserve">LS </v>
          </cell>
          <cell r="D97" t="str">
            <v>LE_958POLE</v>
          </cell>
          <cell r="E97">
            <v>418</v>
          </cell>
          <cell r="G97">
            <v>4727.58</v>
          </cell>
          <cell r="H97">
            <v>4727.58</v>
          </cell>
          <cell r="I97">
            <v>0</v>
          </cell>
        </row>
        <row r="98">
          <cell r="C98" t="str">
            <v>RLS</v>
          </cell>
          <cell r="D98" t="str">
            <v>LE_900POLE</v>
          </cell>
          <cell r="E98">
            <v>1655</v>
          </cell>
          <cell r="G98">
            <v>3409.3</v>
          </cell>
          <cell r="H98">
            <v>3409.3</v>
          </cell>
          <cell r="I98">
            <v>0</v>
          </cell>
        </row>
        <row r="99">
          <cell r="C99" t="str">
            <v xml:space="preserve">LS </v>
          </cell>
          <cell r="D99" t="str">
            <v>LE_900POLE</v>
          </cell>
          <cell r="E99">
            <v>5230</v>
          </cell>
          <cell r="G99">
            <v>10773.8</v>
          </cell>
          <cell r="H99">
            <v>10773.8</v>
          </cell>
          <cell r="I99">
            <v>0</v>
          </cell>
        </row>
        <row r="100">
          <cell r="C100" t="str">
            <v>RLS</v>
          </cell>
          <cell r="D100" t="str">
            <v>LE_901POLE</v>
          </cell>
          <cell r="E100">
            <v>157</v>
          </cell>
          <cell r="G100">
            <v>1697.17</v>
          </cell>
          <cell r="H100">
            <v>1697.17</v>
          </cell>
          <cell r="I100">
            <v>0</v>
          </cell>
        </row>
        <row r="101">
          <cell r="C101" t="str">
            <v xml:space="preserve">LS </v>
          </cell>
          <cell r="D101" t="str">
            <v>LE_901POLE</v>
          </cell>
          <cell r="E101">
            <v>0</v>
          </cell>
          <cell r="G101">
            <v>0</v>
          </cell>
          <cell r="H101">
            <v>0</v>
          </cell>
          <cell r="I101">
            <v>0</v>
          </cell>
        </row>
        <row r="102">
          <cell r="C102" t="str">
            <v>RLS</v>
          </cell>
          <cell r="D102" t="str">
            <v>LE_902POLE</v>
          </cell>
          <cell r="E102">
            <v>277</v>
          </cell>
          <cell r="G102">
            <v>3573.3</v>
          </cell>
          <cell r="H102">
            <v>3573.3</v>
          </cell>
          <cell r="I102">
            <v>0</v>
          </cell>
        </row>
        <row r="103">
          <cell r="C103" t="str">
            <v xml:space="preserve">LS </v>
          </cell>
          <cell r="D103" t="str">
            <v>LE_902POLE</v>
          </cell>
          <cell r="E103">
            <v>3</v>
          </cell>
          <cell r="G103">
            <v>38.700000000000003</v>
          </cell>
          <cell r="H103">
            <v>38.700000000000003</v>
          </cell>
          <cell r="I103">
            <v>0</v>
          </cell>
        </row>
        <row r="104">
          <cell r="C104" t="str">
            <v>RLS</v>
          </cell>
          <cell r="D104" t="str">
            <v>LE_950BASE</v>
          </cell>
          <cell r="E104">
            <v>77</v>
          </cell>
          <cell r="G104">
            <v>267.19</v>
          </cell>
          <cell r="H104">
            <v>267.19</v>
          </cell>
          <cell r="I104">
            <v>0</v>
          </cell>
        </row>
        <row r="105">
          <cell r="C105" t="str">
            <v xml:space="preserve">LS </v>
          </cell>
          <cell r="D105" t="str">
            <v>LE_950BASE</v>
          </cell>
          <cell r="E105">
            <v>13</v>
          </cell>
          <cell r="G105">
            <v>45.11</v>
          </cell>
          <cell r="H105">
            <v>45.11</v>
          </cell>
          <cell r="I105">
            <v>0</v>
          </cell>
        </row>
        <row r="106">
          <cell r="C106" t="str">
            <v>RLS</v>
          </cell>
          <cell r="D106" t="str">
            <v>LE_951BASE</v>
          </cell>
          <cell r="E106">
            <v>195</v>
          </cell>
          <cell r="G106">
            <v>727.35</v>
          </cell>
          <cell r="H106">
            <v>727.35</v>
          </cell>
          <cell r="I106">
            <v>0</v>
          </cell>
        </row>
        <row r="107">
          <cell r="C107" t="str">
            <v xml:space="preserve">LS </v>
          </cell>
          <cell r="D107" t="str">
            <v>LE_951BASE</v>
          </cell>
          <cell r="E107">
            <v>71</v>
          </cell>
          <cell r="G107">
            <v>264.83</v>
          </cell>
          <cell r="H107">
            <v>264.83</v>
          </cell>
          <cell r="I107">
            <v>0</v>
          </cell>
        </row>
        <row r="108">
          <cell r="C108" t="str">
            <v>RLS</v>
          </cell>
          <cell r="D108" t="str">
            <v>LE_952BASE</v>
          </cell>
          <cell r="E108">
            <v>0</v>
          </cell>
          <cell r="G108">
            <v>0</v>
          </cell>
          <cell r="H108">
            <v>0</v>
          </cell>
          <cell r="I108">
            <v>0</v>
          </cell>
        </row>
        <row r="109">
          <cell r="C109" t="str">
            <v xml:space="preserve">LS </v>
          </cell>
          <cell r="D109" t="str">
            <v>LE_952BASE</v>
          </cell>
          <cell r="E109">
            <v>0</v>
          </cell>
          <cell r="G109">
            <v>0</v>
          </cell>
          <cell r="H109">
            <v>0</v>
          </cell>
          <cell r="I109">
            <v>0</v>
          </cell>
        </row>
        <row r="110">
          <cell r="C110" t="str">
            <v>RLS</v>
          </cell>
          <cell r="D110" t="str">
            <v>LE_953BASE</v>
          </cell>
          <cell r="E110">
            <v>0</v>
          </cell>
          <cell r="G110">
            <v>0</v>
          </cell>
          <cell r="H110">
            <v>0</v>
          </cell>
          <cell r="I110">
            <v>0</v>
          </cell>
        </row>
        <row r="111">
          <cell r="C111" t="str">
            <v xml:space="preserve">LS </v>
          </cell>
          <cell r="D111" t="str">
            <v>LE_953BASE</v>
          </cell>
          <cell r="E111">
            <v>0</v>
          </cell>
          <cell r="G111">
            <v>0</v>
          </cell>
          <cell r="H111">
            <v>0</v>
          </cell>
          <cell r="I111">
            <v>0</v>
          </cell>
        </row>
        <row r="112">
          <cell r="C112" t="str">
            <v>RLS</v>
          </cell>
          <cell r="D112" t="str">
            <v>LE_954BASE</v>
          </cell>
          <cell r="E112">
            <v>0</v>
          </cell>
          <cell r="G112">
            <v>0</v>
          </cell>
          <cell r="H112">
            <v>0</v>
          </cell>
          <cell r="I112">
            <v>0</v>
          </cell>
        </row>
        <row r="113">
          <cell r="C113" t="str">
            <v xml:space="preserve">LS </v>
          </cell>
          <cell r="D113" t="str">
            <v>LE_954BASE</v>
          </cell>
          <cell r="E113">
            <v>0</v>
          </cell>
          <cell r="G113">
            <v>0</v>
          </cell>
          <cell r="H113">
            <v>0</v>
          </cell>
          <cell r="I113">
            <v>0</v>
          </cell>
        </row>
        <row r="114">
          <cell r="C114" t="str">
            <v>RLS</v>
          </cell>
          <cell r="D114" t="str">
            <v>LE_955BASE</v>
          </cell>
          <cell r="E114">
            <v>0</v>
          </cell>
          <cell r="G114">
            <v>0</v>
          </cell>
          <cell r="H114">
            <v>0</v>
          </cell>
          <cell r="I114">
            <v>0</v>
          </cell>
        </row>
        <row r="115">
          <cell r="C115" t="str">
            <v xml:space="preserve">LS </v>
          </cell>
          <cell r="D115" t="str">
            <v>LE_955BASE</v>
          </cell>
          <cell r="E115">
            <v>0</v>
          </cell>
          <cell r="G115">
            <v>0</v>
          </cell>
          <cell r="H115">
            <v>0</v>
          </cell>
          <cell r="I115">
            <v>0</v>
          </cell>
        </row>
        <row r="116">
          <cell r="C116" t="str">
            <v>RLS</v>
          </cell>
          <cell r="D116" t="str">
            <v>LE_956BASE</v>
          </cell>
          <cell r="E116">
            <v>239</v>
          </cell>
          <cell r="G116">
            <v>850.84</v>
          </cell>
          <cell r="H116">
            <v>850.84</v>
          </cell>
          <cell r="I116">
            <v>0</v>
          </cell>
        </row>
        <row r="117">
          <cell r="C117" t="str">
            <v xml:space="preserve">LS </v>
          </cell>
          <cell r="D117" t="str">
            <v>LE_956BASE</v>
          </cell>
          <cell r="E117">
            <v>307</v>
          </cell>
          <cell r="G117">
            <v>1092.92</v>
          </cell>
          <cell r="H117">
            <v>1092.92</v>
          </cell>
          <cell r="I117">
            <v>0</v>
          </cell>
        </row>
        <row r="118">
          <cell r="C118" t="str">
            <v>RLS</v>
          </cell>
          <cell r="D118" t="str">
            <v>LE_957BASE</v>
          </cell>
          <cell r="E118">
            <v>0</v>
          </cell>
          <cell r="G118">
            <v>0</v>
          </cell>
          <cell r="H118">
            <v>0</v>
          </cell>
          <cell r="I118">
            <v>0</v>
          </cell>
        </row>
        <row r="119">
          <cell r="C119" t="str">
            <v xml:space="preserve">LS </v>
          </cell>
          <cell r="D119" t="str">
            <v>LE_957BASE</v>
          </cell>
          <cell r="E119">
            <v>0</v>
          </cell>
          <cell r="G119">
            <v>0</v>
          </cell>
          <cell r="H119">
            <v>0</v>
          </cell>
          <cell r="I119">
            <v>0</v>
          </cell>
        </row>
        <row r="120">
          <cell r="C120" t="str">
            <v>RLS</v>
          </cell>
          <cell r="D120" t="str">
            <v>LE_958POLE</v>
          </cell>
          <cell r="E120">
            <v>37</v>
          </cell>
          <cell r="G120">
            <v>418.47</v>
          </cell>
          <cell r="H120">
            <v>418.47</v>
          </cell>
          <cell r="I120">
            <v>0</v>
          </cell>
        </row>
        <row r="121">
          <cell r="C121" t="str">
            <v xml:space="preserve">LS </v>
          </cell>
          <cell r="D121" t="str">
            <v>LE_958POLE</v>
          </cell>
          <cell r="E121">
            <v>421</v>
          </cell>
          <cell r="G121">
            <v>4761.51</v>
          </cell>
          <cell r="H121">
            <v>4761.51</v>
          </cell>
          <cell r="I121">
            <v>0</v>
          </cell>
        </row>
        <row r="122">
          <cell r="C122" t="str">
            <v>RLS</v>
          </cell>
          <cell r="D122" t="str">
            <v>LE_900POLE</v>
          </cell>
          <cell r="E122">
            <v>1627</v>
          </cell>
          <cell r="G122">
            <v>3351.62</v>
          </cell>
          <cell r="H122">
            <v>3351.62</v>
          </cell>
          <cell r="I122">
            <v>0</v>
          </cell>
        </row>
        <row r="123">
          <cell r="C123" t="str">
            <v xml:space="preserve">LS </v>
          </cell>
          <cell r="D123" t="str">
            <v>LE_900POLE</v>
          </cell>
          <cell r="E123">
            <v>5212</v>
          </cell>
          <cell r="G123">
            <v>10736.72</v>
          </cell>
          <cell r="H123">
            <v>10736.72</v>
          </cell>
          <cell r="I123">
            <v>0</v>
          </cell>
        </row>
        <row r="124">
          <cell r="C124" t="str">
            <v>RLS</v>
          </cell>
          <cell r="D124" t="str">
            <v>LE_901POLE</v>
          </cell>
          <cell r="E124">
            <v>155</v>
          </cell>
          <cell r="G124">
            <v>1675.55</v>
          </cell>
          <cell r="H124">
            <v>1675.55</v>
          </cell>
          <cell r="I124">
            <v>0</v>
          </cell>
        </row>
        <row r="125">
          <cell r="C125" t="str">
            <v xml:space="preserve">LS </v>
          </cell>
          <cell r="D125" t="str">
            <v>LE_901POLE</v>
          </cell>
          <cell r="E125">
            <v>0</v>
          </cell>
          <cell r="G125">
            <v>0</v>
          </cell>
          <cell r="H125">
            <v>0</v>
          </cell>
          <cell r="I125">
            <v>0</v>
          </cell>
        </row>
        <row r="126">
          <cell r="C126" t="str">
            <v>RLS</v>
          </cell>
          <cell r="D126" t="str">
            <v>LE_902POLE</v>
          </cell>
          <cell r="E126">
            <v>277</v>
          </cell>
          <cell r="G126">
            <v>3573.3</v>
          </cell>
          <cell r="H126">
            <v>3573.3</v>
          </cell>
          <cell r="I126">
            <v>0</v>
          </cell>
        </row>
        <row r="127">
          <cell r="C127" t="str">
            <v xml:space="preserve">LS </v>
          </cell>
          <cell r="D127" t="str">
            <v>LE_902POLE</v>
          </cell>
          <cell r="E127">
            <v>3</v>
          </cell>
          <cell r="G127">
            <v>38.700000000000003</v>
          </cell>
          <cell r="H127">
            <v>38.700000000000003</v>
          </cell>
          <cell r="I127">
            <v>0</v>
          </cell>
        </row>
        <row r="128">
          <cell r="C128" t="str">
            <v>RLS</v>
          </cell>
          <cell r="D128" t="str">
            <v>LE_950BASE</v>
          </cell>
          <cell r="E128">
            <v>75</v>
          </cell>
          <cell r="G128">
            <v>260.25</v>
          </cell>
          <cell r="H128">
            <v>260.25</v>
          </cell>
          <cell r="I128">
            <v>0</v>
          </cell>
        </row>
        <row r="129">
          <cell r="C129" t="str">
            <v xml:space="preserve">LS </v>
          </cell>
          <cell r="D129" t="str">
            <v>LE_950BASE</v>
          </cell>
          <cell r="E129">
            <v>13</v>
          </cell>
          <cell r="G129">
            <v>45.11</v>
          </cell>
          <cell r="H129">
            <v>45.11</v>
          </cell>
          <cell r="I129">
            <v>0</v>
          </cell>
        </row>
        <row r="130">
          <cell r="C130" t="str">
            <v>RLS</v>
          </cell>
          <cell r="D130" t="str">
            <v>LE_951BASE</v>
          </cell>
          <cell r="E130">
            <v>195</v>
          </cell>
          <cell r="G130">
            <v>727.35</v>
          </cell>
          <cell r="H130">
            <v>727.35</v>
          </cell>
          <cell r="I130">
            <v>0</v>
          </cell>
        </row>
        <row r="131">
          <cell r="C131" t="str">
            <v xml:space="preserve">LS </v>
          </cell>
          <cell r="D131" t="str">
            <v>LE_951BASE</v>
          </cell>
          <cell r="E131">
            <v>75</v>
          </cell>
          <cell r="G131">
            <v>279.75</v>
          </cell>
          <cell r="H131">
            <v>279.75</v>
          </cell>
          <cell r="I131">
            <v>0</v>
          </cell>
        </row>
        <row r="132">
          <cell r="C132" t="str">
            <v>RLS</v>
          </cell>
          <cell r="D132" t="str">
            <v>LE_952BASE</v>
          </cell>
          <cell r="E132">
            <v>0</v>
          </cell>
          <cell r="G132">
            <v>0</v>
          </cell>
          <cell r="H132">
            <v>0</v>
          </cell>
          <cell r="I132">
            <v>0</v>
          </cell>
        </row>
        <row r="133">
          <cell r="C133" t="str">
            <v xml:space="preserve">LS </v>
          </cell>
          <cell r="D133" t="str">
            <v>LE_952BASE</v>
          </cell>
          <cell r="E133">
            <v>0</v>
          </cell>
          <cell r="G133">
            <v>0</v>
          </cell>
          <cell r="H133">
            <v>0</v>
          </cell>
          <cell r="I133">
            <v>0</v>
          </cell>
        </row>
        <row r="134">
          <cell r="C134" t="str">
            <v>RLS</v>
          </cell>
          <cell r="D134" t="str">
            <v>LE_953BASE</v>
          </cell>
          <cell r="E134">
            <v>0</v>
          </cell>
          <cell r="G134">
            <v>0</v>
          </cell>
          <cell r="H134">
            <v>0</v>
          </cell>
          <cell r="I134">
            <v>0</v>
          </cell>
        </row>
        <row r="135">
          <cell r="C135" t="str">
            <v xml:space="preserve">LS </v>
          </cell>
          <cell r="D135" t="str">
            <v>LE_953BASE</v>
          </cell>
          <cell r="E135">
            <v>0</v>
          </cell>
          <cell r="G135">
            <v>0</v>
          </cell>
          <cell r="H135">
            <v>0</v>
          </cell>
          <cell r="I135">
            <v>0</v>
          </cell>
        </row>
        <row r="136">
          <cell r="C136" t="str">
            <v>RLS</v>
          </cell>
          <cell r="D136" t="str">
            <v>LE_954BASE</v>
          </cell>
          <cell r="E136">
            <v>0</v>
          </cell>
          <cell r="G136">
            <v>0</v>
          </cell>
          <cell r="H136">
            <v>0</v>
          </cell>
          <cell r="I136">
            <v>0</v>
          </cell>
        </row>
        <row r="137">
          <cell r="C137" t="str">
            <v xml:space="preserve">LS </v>
          </cell>
          <cell r="D137" t="str">
            <v>LE_954BASE</v>
          </cell>
          <cell r="E137">
            <v>0</v>
          </cell>
          <cell r="G137">
            <v>0</v>
          </cell>
          <cell r="H137">
            <v>0</v>
          </cell>
          <cell r="I137">
            <v>0</v>
          </cell>
        </row>
        <row r="138">
          <cell r="C138" t="str">
            <v>RLS</v>
          </cell>
          <cell r="D138" t="str">
            <v>LE_955BASE</v>
          </cell>
          <cell r="E138">
            <v>0</v>
          </cell>
          <cell r="G138">
            <v>0</v>
          </cell>
          <cell r="H138">
            <v>0</v>
          </cell>
          <cell r="I138">
            <v>0</v>
          </cell>
        </row>
        <row r="139">
          <cell r="C139" t="str">
            <v xml:space="preserve">LS </v>
          </cell>
          <cell r="D139" t="str">
            <v>LE_955BASE</v>
          </cell>
          <cell r="E139">
            <v>0</v>
          </cell>
          <cell r="G139">
            <v>0</v>
          </cell>
          <cell r="H139">
            <v>0</v>
          </cell>
          <cell r="I139">
            <v>0</v>
          </cell>
        </row>
        <row r="140">
          <cell r="C140" t="str">
            <v>RLS</v>
          </cell>
          <cell r="D140" t="str">
            <v>LE_956BASE</v>
          </cell>
          <cell r="E140">
            <v>239</v>
          </cell>
          <cell r="G140">
            <v>850.84</v>
          </cell>
          <cell r="H140">
            <v>850.84</v>
          </cell>
          <cell r="I140">
            <v>0</v>
          </cell>
        </row>
        <row r="141">
          <cell r="C141" t="str">
            <v xml:space="preserve">LS </v>
          </cell>
          <cell r="D141" t="str">
            <v>LE_956BASE</v>
          </cell>
          <cell r="E141">
            <v>307</v>
          </cell>
          <cell r="G141">
            <v>1092.92</v>
          </cell>
          <cell r="H141">
            <v>1092.92</v>
          </cell>
          <cell r="I141">
            <v>0</v>
          </cell>
        </row>
        <row r="142">
          <cell r="C142" t="str">
            <v>RLS</v>
          </cell>
          <cell r="D142" t="str">
            <v>LE_957BASE</v>
          </cell>
          <cell r="E142">
            <v>0</v>
          </cell>
          <cell r="G142">
            <v>0</v>
          </cell>
          <cell r="H142">
            <v>0</v>
          </cell>
          <cell r="I142">
            <v>0</v>
          </cell>
        </row>
        <row r="143">
          <cell r="C143" t="str">
            <v xml:space="preserve">LS </v>
          </cell>
          <cell r="D143" t="str">
            <v>LE_957BASE</v>
          </cell>
          <cell r="E143">
            <v>0</v>
          </cell>
          <cell r="G143">
            <v>0</v>
          </cell>
          <cell r="H143">
            <v>0</v>
          </cell>
          <cell r="I143">
            <v>0</v>
          </cell>
        </row>
        <row r="144">
          <cell r="C144" t="str">
            <v>RLS</v>
          </cell>
          <cell r="D144" t="str">
            <v>LE_958POLE</v>
          </cell>
          <cell r="E144">
            <v>36</v>
          </cell>
          <cell r="G144">
            <v>407.16</v>
          </cell>
          <cell r="H144">
            <v>407.16</v>
          </cell>
          <cell r="I144">
            <v>0</v>
          </cell>
        </row>
        <row r="145">
          <cell r="C145" t="str">
            <v xml:space="preserve">LS </v>
          </cell>
          <cell r="D145" t="str">
            <v>LE_958POLE</v>
          </cell>
          <cell r="E145">
            <v>416</v>
          </cell>
          <cell r="G145">
            <v>4704.96</v>
          </cell>
          <cell r="H145">
            <v>4704.96</v>
          </cell>
          <cell r="I145">
            <v>0</v>
          </cell>
        </row>
        <row r="146">
          <cell r="C146" t="str">
            <v>RLS</v>
          </cell>
          <cell r="D146" t="str">
            <v>LE_900POLE</v>
          </cell>
          <cell r="E146">
            <v>1627</v>
          </cell>
          <cell r="G146">
            <v>3351.62</v>
          </cell>
          <cell r="H146">
            <v>3351.62</v>
          </cell>
          <cell r="I146">
            <v>0</v>
          </cell>
        </row>
        <row r="147">
          <cell r="C147" t="str">
            <v xml:space="preserve">LS </v>
          </cell>
          <cell r="D147" t="str">
            <v>LE_900POLE</v>
          </cell>
          <cell r="E147">
            <v>5224</v>
          </cell>
          <cell r="G147">
            <v>10761.44</v>
          </cell>
          <cell r="H147">
            <v>10761.44</v>
          </cell>
          <cell r="I147">
            <v>0</v>
          </cell>
        </row>
        <row r="148">
          <cell r="C148" t="str">
            <v>RLS</v>
          </cell>
          <cell r="D148" t="str">
            <v>LE_901POLE</v>
          </cell>
          <cell r="E148">
            <v>155</v>
          </cell>
          <cell r="G148">
            <v>1675.55</v>
          </cell>
          <cell r="H148">
            <v>1675.55</v>
          </cell>
          <cell r="I148">
            <v>0</v>
          </cell>
        </row>
        <row r="149">
          <cell r="C149" t="str">
            <v xml:space="preserve">LS </v>
          </cell>
          <cell r="D149" t="str">
            <v>LE_901POLE</v>
          </cell>
          <cell r="E149">
            <v>0</v>
          </cell>
          <cell r="G149">
            <v>0</v>
          </cell>
          <cell r="H149">
            <v>0</v>
          </cell>
          <cell r="I149">
            <v>0</v>
          </cell>
        </row>
        <row r="150">
          <cell r="C150" t="str">
            <v>RLS</v>
          </cell>
          <cell r="D150" t="str">
            <v>LE_902POLE</v>
          </cell>
          <cell r="E150">
            <v>277</v>
          </cell>
          <cell r="G150">
            <v>3573.3</v>
          </cell>
          <cell r="H150">
            <v>3573.3</v>
          </cell>
          <cell r="I150">
            <v>0</v>
          </cell>
        </row>
        <row r="151">
          <cell r="C151" t="str">
            <v xml:space="preserve">LS </v>
          </cell>
          <cell r="D151" t="str">
            <v>LE_902POLE</v>
          </cell>
          <cell r="E151">
            <v>3</v>
          </cell>
          <cell r="G151">
            <v>38.700000000000003</v>
          </cell>
          <cell r="H151">
            <v>38.700000000000003</v>
          </cell>
          <cell r="I151">
            <v>0</v>
          </cell>
        </row>
        <row r="152">
          <cell r="C152" t="str">
            <v>RLS</v>
          </cell>
          <cell r="D152" t="str">
            <v>LE_950BASE</v>
          </cell>
          <cell r="E152">
            <v>75</v>
          </cell>
          <cell r="G152">
            <v>260.25</v>
          </cell>
          <cell r="H152">
            <v>260.25</v>
          </cell>
          <cell r="I152">
            <v>0</v>
          </cell>
        </row>
        <row r="153">
          <cell r="C153" t="str">
            <v xml:space="preserve">LS </v>
          </cell>
          <cell r="D153" t="str">
            <v>LE_950BASE</v>
          </cell>
          <cell r="E153">
            <v>13</v>
          </cell>
          <cell r="G153">
            <v>45.11</v>
          </cell>
          <cell r="H153">
            <v>45.11</v>
          </cell>
          <cell r="I153">
            <v>0</v>
          </cell>
        </row>
        <row r="154">
          <cell r="C154" t="str">
            <v>RLS</v>
          </cell>
          <cell r="D154" t="str">
            <v>LE_951BASE</v>
          </cell>
          <cell r="E154">
            <v>195</v>
          </cell>
          <cell r="G154">
            <v>727.35</v>
          </cell>
          <cell r="H154">
            <v>727.35</v>
          </cell>
          <cell r="I154">
            <v>0</v>
          </cell>
        </row>
        <row r="155">
          <cell r="C155" t="str">
            <v xml:space="preserve">LS </v>
          </cell>
          <cell r="D155" t="str">
            <v>LE_951BASE</v>
          </cell>
          <cell r="E155">
            <v>73</v>
          </cell>
          <cell r="G155">
            <v>272.29000000000002</v>
          </cell>
          <cell r="H155">
            <v>272.29000000000002</v>
          </cell>
          <cell r="I155">
            <v>0</v>
          </cell>
        </row>
        <row r="156">
          <cell r="C156" t="str">
            <v>RLS</v>
          </cell>
          <cell r="D156" t="str">
            <v>LE_952BASE</v>
          </cell>
          <cell r="E156">
            <v>0</v>
          </cell>
          <cell r="G156">
            <v>0</v>
          </cell>
          <cell r="H156">
            <v>0</v>
          </cell>
          <cell r="I156">
            <v>0</v>
          </cell>
        </row>
        <row r="157">
          <cell r="C157" t="str">
            <v xml:space="preserve">LS </v>
          </cell>
          <cell r="D157" t="str">
            <v>LE_952BASE</v>
          </cell>
          <cell r="E157">
            <v>0</v>
          </cell>
          <cell r="G157">
            <v>0</v>
          </cell>
          <cell r="H157">
            <v>0</v>
          </cell>
          <cell r="I157">
            <v>0</v>
          </cell>
        </row>
        <row r="158">
          <cell r="C158" t="str">
            <v>RLS</v>
          </cell>
          <cell r="D158" t="str">
            <v>LE_953BASE</v>
          </cell>
          <cell r="E158">
            <v>0</v>
          </cell>
          <cell r="G158">
            <v>0</v>
          </cell>
          <cell r="H158">
            <v>0</v>
          </cell>
          <cell r="I158">
            <v>0</v>
          </cell>
        </row>
        <row r="159">
          <cell r="C159" t="str">
            <v xml:space="preserve">LS </v>
          </cell>
          <cell r="D159" t="str">
            <v>LE_953BASE</v>
          </cell>
          <cell r="E159">
            <v>0</v>
          </cell>
          <cell r="G159">
            <v>0</v>
          </cell>
          <cell r="H159">
            <v>0</v>
          </cell>
          <cell r="I159">
            <v>0</v>
          </cell>
        </row>
        <row r="160">
          <cell r="C160" t="str">
            <v>RLS</v>
          </cell>
          <cell r="D160" t="str">
            <v>LE_954BASE</v>
          </cell>
          <cell r="E160">
            <v>0</v>
          </cell>
          <cell r="G160">
            <v>0</v>
          </cell>
          <cell r="H160">
            <v>0</v>
          </cell>
          <cell r="I160">
            <v>0</v>
          </cell>
        </row>
        <row r="161">
          <cell r="C161" t="str">
            <v xml:space="preserve">LS </v>
          </cell>
          <cell r="D161" t="str">
            <v>LE_954BASE</v>
          </cell>
          <cell r="E161">
            <v>0</v>
          </cell>
          <cell r="G161">
            <v>0</v>
          </cell>
          <cell r="H161">
            <v>0</v>
          </cell>
          <cell r="I161">
            <v>0</v>
          </cell>
        </row>
        <row r="162">
          <cell r="C162" t="str">
            <v>RLS</v>
          </cell>
          <cell r="D162" t="str">
            <v>LE_955BASE</v>
          </cell>
          <cell r="E162">
            <v>0</v>
          </cell>
          <cell r="G162">
            <v>0</v>
          </cell>
          <cell r="H162">
            <v>0</v>
          </cell>
          <cell r="I162">
            <v>0</v>
          </cell>
        </row>
        <row r="163">
          <cell r="C163" t="str">
            <v xml:space="preserve">LS </v>
          </cell>
          <cell r="D163" t="str">
            <v>LE_955BASE</v>
          </cell>
          <cell r="E163">
            <v>0</v>
          </cell>
          <cell r="G163">
            <v>0</v>
          </cell>
          <cell r="H163">
            <v>0</v>
          </cell>
          <cell r="I163">
            <v>0</v>
          </cell>
        </row>
        <row r="164">
          <cell r="C164" t="str">
            <v>RLS</v>
          </cell>
          <cell r="D164" t="str">
            <v>LE_956BASE</v>
          </cell>
          <cell r="E164">
            <v>239</v>
          </cell>
          <cell r="G164">
            <v>850.84</v>
          </cell>
          <cell r="H164">
            <v>850.84</v>
          </cell>
          <cell r="I164">
            <v>0</v>
          </cell>
        </row>
        <row r="165">
          <cell r="C165" t="str">
            <v xml:space="preserve">LS </v>
          </cell>
          <cell r="D165" t="str">
            <v>LE_956BASE</v>
          </cell>
          <cell r="E165">
            <v>311</v>
          </cell>
          <cell r="G165">
            <v>1107.1600000000001</v>
          </cell>
          <cell r="H165">
            <v>1107.1600000000001</v>
          </cell>
          <cell r="I165">
            <v>0</v>
          </cell>
        </row>
        <row r="166">
          <cell r="C166" t="str">
            <v>RLS</v>
          </cell>
          <cell r="D166" t="str">
            <v>LE_957BASE</v>
          </cell>
          <cell r="E166">
            <v>0</v>
          </cell>
          <cell r="G166">
            <v>0</v>
          </cell>
          <cell r="H166">
            <v>0</v>
          </cell>
          <cell r="I166">
            <v>0</v>
          </cell>
        </row>
        <row r="167">
          <cell r="C167" t="str">
            <v xml:space="preserve">LS </v>
          </cell>
          <cell r="D167" t="str">
            <v>LE_957BASE</v>
          </cell>
          <cell r="E167">
            <v>0</v>
          </cell>
          <cell r="G167">
            <v>0</v>
          </cell>
          <cell r="H167">
            <v>0</v>
          </cell>
          <cell r="I167">
            <v>0</v>
          </cell>
        </row>
        <row r="168">
          <cell r="C168" t="str">
            <v>RLS</v>
          </cell>
          <cell r="D168" t="str">
            <v>LE_958POLE</v>
          </cell>
          <cell r="E168">
            <v>37</v>
          </cell>
          <cell r="G168">
            <v>418.47</v>
          </cell>
          <cell r="H168">
            <v>418.47</v>
          </cell>
          <cell r="I168">
            <v>0</v>
          </cell>
        </row>
        <row r="169">
          <cell r="C169" t="str">
            <v xml:space="preserve">LS </v>
          </cell>
          <cell r="D169" t="str">
            <v>LE_958POLE</v>
          </cell>
          <cell r="E169">
            <v>420</v>
          </cell>
          <cell r="G169">
            <v>4750.2</v>
          </cell>
          <cell r="H169">
            <v>4750.2</v>
          </cell>
          <cell r="I169">
            <v>0</v>
          </cell>
        </row>
        <row r="170">
          <cell r="C170" t="str">
            <v>RLS</v>
          </cell>
          <cell r="D170" t="str">
            <v>LE_900POLE</v>
          </cell>
          <cell r="E170">
            <v>1635</v>
          </cell>
          <cell r="G170">
            <v>3368.1</v>
          </cell>
          <cell r="H170">
            <v>3368.1</v>
          </cell>
          <cell r="I170">
            <v>0</v>
          </cell>
        </row>
        <row r="171">
          <cell r="C171" t="str">
            <v xml:space="preserve">LS </v>
          </cell>
          <cell r="D171" t="str">
            <v>LE_900POLE</v>
          </cell>
          <cell r="E171">
            <v>5150</v>
          </cell>
          <cell r="G171">
            <v>10609</v>
          </cell>
          <cell r="H171">
            <v>10609</v>
          </cell>
          <cell r="I171">
            <v>0</v>
          </cell>
        </row>
        <row r="172">
          <cell r="C172" t="str">
            <v>RLS</v>
          </cell>
          <cell r="D172" t="str">
            <v>LE_901POLE</v>
          </cell>
          <cell r="E172">
            <v>155</v>
          </cell>
          <cell r="G172">
            <v>1675.55</v>
          </cell>
          <cell r="H172">
            <v>1675.55</v>
          </cell>
          <cell r="I172">
            <v>0</v>
          </cell>
        </row>
        <row r="173">
          <cell r="C173" t="str">
            <v xml:space="preserve">LS </v>
          </cell>
          <cell r="D173" t="str">
            <v>LE_901POLE</v>
          </cell>
          <cell r="E173">
            <v>0</v>
          </cell>
          <cell r="G173">
            <v>0</v>
          </cell>
          <cell r="H173">
            <v>0</v>
          </cell>
          <cell r="I173">
            <v>0</v>
          </cell>
        </row>
        <row r="174">
          <cell r="C174" t="str">
            <v>RLS</v>
          </cell>
          <cell r="D174" t="str">
            <v>LE_902POLE</v>
          </cell>
          <cell r="E174">
            <v>277</v>
          </cell>
          <cell r="G174">
            <v>3573.3</v>
          </cell>
          <cell r="H174">
            <v>3573.3</v>
          </cell>
          <cell r="I174">
            <v>0</v>
          </cell>
        </row>
        <row r="175">
          <cell r="C175" t="str">
            <v xml:space="preserve">LS </v>
          </cell>
          <cell r="D175" t="str">
            <v>LE_902POLE</v>
          </cell>
          <cell r="E175">
            <v>3</v>
          </cell>
          <cell r="G175">
            <v>38.700000000000003</v>
          </cell>
          <cell r="H175">
            <v>38.700000000000003</v>
          </cell>
          <cell r="I175">
            <v>0</v>
          </cell>
        </row>
        <row r="176">
          <cell r="C176" t="str">
            <v>RLS</v>
          </cell>
          <cell r="D176" t="str">
            <v>LE_950BASE</v>
          </cell>
          <cell r="E176">
            <v>75</v>
          </cell>
          <cell r="G176">
            <v>260.25</v>
          </cell>
          <cell r="H176">
            <v>260.25</v>
          </cell>
          <cell r="I176">
            <v>0</v>
          </cell>
        </row>
        <row r="177">
          <cell r="C177" t="str">
            <v xml:space="preserve">LS </v>
          </cell>
          <cell r="D177" t="str">
            <v>LE_950BASE</v>
          </cell>
          <cell r="E177">
            <v>13</v>
          </cell>
          <cell r="G177">
            <v>45.11</v>
          </cell>
          <cell r="H177">
            <v>45.11</v>
          </cell>
          <cell r="I177">
            <v>0</v>
          </cell>
        </row>
        <row r="178">
          <cell r="C178" t="str">
            <v>RLS</v>
          </cell>
          <cell r="D178" t="str">
            <v>LE_951BASE</v>
          </cell>
          <cell r="E178">
            <v>195</v>
          </cell>
          <cell r="G178">
            <v>727.35</v>
          </cell>
          <cell r="H178">
            <v>727.35</v>
          </cell>
          <cell r="I178">
            <v>0</v>
          </cell>
        </row>
        <row r="179">
          <cell r="C179" t="str">
            <v xml:space="preserve">LS </v>
          </cell>
          <cell r="D179" t="str">
            <v>LE_951BASE</v>
          </cell>
          <cell r="E179">
            <v>73</v>
          </cell>
          <cell r="G179">
            <v>272.29000000000002</v>
          </cell>
          <cell r="H179">
            <v>272.29000000000002</v>
          </cell>
          <cell r="I179">
            <v>0</v>
          </cell>
        </row>
        <row r="180">
          <cell r="C180" t="str">
            <v>RLS</v>
          </cell>
          <cell r="D180" t="str">
            <v>LE_952BASE</v>
          </cell>
          <cell r="E180">
            <v>0</v>
          </cell>
          <cell r="G180">
            <v>0</v>
          </cell>
          <cell r="H180">
            <v>0</v>
          </cell>
          <cell r="I180">
            <v>0</v>
          </cell>
        </row>
        <row r="181">
          <cell r="C181" t="str">
            <v xml:space="preserve">LS </v>
          </cell>
          <cell r="D181" t="str">
            <v>LE_952BASE</v>
          </cell>
          <cell r="E181">
            <v>0</v>
          </cell>
          <cell r="G181">
            <v>0</v>
          </cell>
          <cell r="H181">
            <v>0</v>
          </cell>
          <cell r="I181">
            <v>0</v>
          </cell>
        </row>
        <row r="182">
          <cell r="C182" t="str">
            <v>RLS</v>
          </cell>
          <cell r="D182" t="str">
            <v>LE_953BASE</v>
          </cell>
          <cell r="E182">
            <v>0</v>
          </cell>
          <cell r="G182">
            <v>0</v>
          </cell>
          <cell r="H182">
            <v>0</v>
          </cell>
          <cell r="I182">
            <v>0</v>
          </cell>
        </row>
        <row r="183">
          <cell r="C183" t="str">
            <v xml:space="preserve">LS </v>
          </cell>
          <cell r="D183" t="str">
            <v>LE_953BASE</v>
          </cell>
          <cell r="E183">
            <v>0</v>
          </cell>
          <cell r="G183">
            <v>0</v>
          </cell>
          <cell r="H183">
            <v>0</v>
          </cell>
          <cell r="I183">
            <v>0</v>
          </cell>
        </row>
        <row r="184">
          <cell r="C184" t="str">
            <v>RLS</v>
          </cell>
          <cell r="D184" t="str">
            <v>LE_954BASE</v>
          </cell>
          <cell r="E184">
            <v>0</v>
          </cell>
          <cell r="G184">
            <v>0</v>
          </cell>
          <cell r="H184">
            <v>0</v>
          </cell>
          <cell r="I184">
            <v>0</v>
          </cell>
        </row>
        <row r="185">
          <cell r="C185" t="str">
            <v xml:space="preserve">LS </v>
          </cell>
          <cell r="D185" t="str">
            <v>LE_954BASE</v>
          </cell>
          <cell r="E185">
            <v>0</v>
          </cell>
          <cell r="G185">
            <v>0</v>
          </cell>
          <cell r="H185">
            <v>0</v>
          </cell>
          <cell r="I185">
            <v>0</v>
          </cell>
        </row>
        <row r="186">
          <cell r="C186" t="str">
            <v>RLS</v>
          </cell>
          <cell r="D186" t="str">
            <v>LE_955BASE</v>
          </cell>
          <cell r="E186">
            <v>0</v>
          </cell>
          <cell r="G186">
            <v>0</v>
          </cell>
          <cell r="H186">
            <v>0</v>
          </cell>
          <cell r="I186">
            <v>0</v>
          </cell>
        </row>
        <row r="187">
          <cell r="C187" t="str">
            <v xml:space="preserve">LS </v>
          </cell>
          <cell r="D187" t="str">
            <v>LE_955BASE</v>
          </cell>
          <cell r="E187">
            <v>0</v>
          </cell>
          <cell r="G187">
            <v>0</v>
          </cell>
          <cell r="H187">
            <v>0</v>
          </cell>
          <cell r="I187">
            <v>0</v>
          </cell>
        </row>
        <row r="188">
          <cell r="C188" t="str">
            <v>RLS</v>
          </cell>
          <cell r="D188" t="str">
            <v>LE_956BASE</v>
          </cell>
          <cell r="E188">
            <v>239</v>
          </cell>
          <cell r="G188">
            <v>850.84</v>
          </cell>
          <cell r="H188">
            <v>850.84</v>
          </cell>
          <cell r="I188">
            <v>0</v>
          </cell>
        </row>
        <row r="189">
          <cell r="C189" t="str">
            <v xml:space="preserve">LS </v>
          </cell>
          <cell r="D189" t="str">
            <v>LE_956BASE</v>
          </cell>
          <cell r="E189">
            <v>300</v>
          </cell>
          <cell r="G189">
            <v>1068</v>
          </cell>
          <cell r="H189">
            <v>1068</v>
          </cell>
          <cell r="I189">
            <v>0</v>
          </cell>
        </row>
        <row r="190">
          <cell r="C190" t="str">
            <v>RLS</v>
          </cell>
          <cell r="D190" t="str">
            <v>LE_957BASE</v>
          </cell>
          <cell r="E190">
            <v>0</v>
          </cell>
          <cell r="G190">
            <v>0</v>
          </cell>
          <cell r="H190">
            <v>0</v>
          </cell>
          <cell r="I190">
            <v>0</v>
          </cell>
        </row>
        <row r="191">
          <cell r="C191" t="str">
            <v xml:space="preserve">LS </v>
          </cell>
          <cell r="D191" t="str">
            <v>LE_957BASE</v>
          </cell>
          <cell r="E191">
            <v>0</v>
          </cell>
          <cell r="G191">
            <v>0</v>
          </cell>
          <cell r="H191">
            <v>0</v>
          </cell>
          <cell r="I191">
            <v>0</v>
          </cell>
        </row>
        <row r="192">
          <cell r="C192" t="str">
            <v>RLS</v>
          </cell>
          <cell r="D192" t="str">
            <v>LE_958POLE</v>
          </cell>
          <cell r="E192">
            <v>37</v>
          </cell>
          <cell r="G192">
            <v>418.47</v>
          </cell>
          <cell r="H192">
            <v>418.47</v>
          </cell>
          <cell r="I192">
            <v>0</v>
          </cell>
        </row>
        <row r="193">
          <cell r="C193" t="str">
            <v xml:space="preserve">LS </v>
          </cell>
          <cell r="D193" t="str">
            <v>LE_958POLE</v>
          </cell>
          <cell r="E193">
            <v>409</v>
          </cell>
          <cell r="G193">
            <v>4625.79</v>
          </cell>
          <cell r="H193">
            <v>4625.79</v>
          </cell>
          <cell r="I193">
            <v>0</v>
          </cell>
        </row>
        <row r="194">
          <cell r="C194" t="str">
            <v>RLS</v>
          </cell>
          <cell r="D194" t="str">
            <v>LE_900POLE</v>
          </cell>
          <cell r="E194">
            <v>1723</v>
          </cell>
          <cell r="G194">
            <v>3549.38</v>
          </cell>
          <cell r="H194">
            <v>3549.38</v>
          </cell>
          <cell r="I194">
            <v>0</v>
          </cell>
        </row>
        <row r="195">
          <cell r="C195" t="str">
            <v xml:space="preserve">LS </v>
          </cell>
          <cell r="D195" t="str">
            <v>LE_900POLE</v>
          </cell>
          <cell r="E195">
            <v>5243</v>
          </cell>
          <cell r="G195">
            <v>10800.58</v>
          </cell>
          <cell r="H195">
            <v>10800.58</v>
          </cell>
          <cell r="I195">
            <v>0</v>
          </cell>
        </row>
        <row r="196">
          <cell r="C196" t="str">
            <v>RLS</v>
          </cell>
          <cell r="D196" t="str">
            <v>LE_901POLE</v>
          </cell>
          <cell r="E196">
            <v>157</v>
          </cell>
          <cell r="G196">
            <v>1697.17</v>
          </cell>
          <cell r="H196">
            <v>1697.17</v>
          </cell>
          <cell r="I196">
            <v>0</v>
          </cell>
        </row>
        <row r="197">
          <cell r="C197" t="str">
            <v xml:space="preserve">LS </v>
          </cell>
          <cell r="D197" t="str">
            <v>LE_901POLE</v>
          </cell>
          <cell r="E197">
            <v>0</v>
          </cell>
          <cell r="G197">
            <v>0</v>
          </cell>
          <cell r="H197">
            <v>0</v>
          </cell>
          <cell r="I197">
            <v>0</v>
          </cell>
        </row>
        <row r="198">
          <cell r="C198" t="str">
            <v>RLS</v>
          </cell>
          <cell r="D198" t="str">
            <v>LE_902POLE</v>
          </cell>
          <cell r="E198">
            <v>277</v>
          </cell>
          <cell r="G198">
            <v>3573.3</v>
          </cell>
          <cell r="H198">
            <v>3573.3</v>
          </cell>
          <cell r="I198">
            <v>0</v>
          </cell>
        </row>
        <row r="199">
          <cell r="C199" t="str">
            <v xml:space="preserve">LS </v>
          </cell>
          <cell r="D199" t="str">
            <v>LE_902POLE</v>
          </cell>
          <cell r="E199">
            <v>3</v>
          </cell>
          <cell r="G199">
            <v>38.700000000000003</v>
          </cell>
          <cell r="H199">
            <v>38.700000000000003</v>
          </cell>
          <cell r="I199">
            <v>0</v>
          </cell>
        </row>
        <row r="200">
          <cell r="C200" t="str">
            <v>RLS</v>
          </cell>
          <cell r="D200" t="str">
            <v>LE_950BASE</v>
          </cell>
          <cell r="E200">
            <v>32</v>
          </cell>
          <cell r="G200">
            <v>111.04</v>
          </cell>
          <cell r="H200">
            <v>111.04</v>
          </cell>
          <cell r="I200">
            <v>0</v>
          </cell>
        </row>
        <row r="201">
          <cell r="C201" t="str">
            <v xml:space="preserve">LS </v>
          </cell>
          <cell r="D201" t="str">
            <v>LE_950BASE</v>
          </cell>
          <cell r="E201">
            <v>10</v>
          </cell>
          <cell r="G201">
            <v>34.700000000000003</v>
          </cell>
          <cell r="H201">
            <v>34.700000000000003</v>
          </cell>
          <cell r="I201">
            <v>0</v>
          </cell>
        </row>
        <row r="202">
          <cell r="C202" t="str">
            <v>RLS</v>
          </cell>
          <cell r="D202" t="str">
            <v>LE_951BASE</v>
          </cell>
          <cell r="E202">
            <v>175</v>
          </cell>
          <cell r="G202">
            <v>652.75</v>
          </cell>
          <cell r="H202">
            <v>652.75</v>
          </cell>
          <cell r="I202">
            <v>0</v>
          </cell>
        </row>
        <row r="203">
          <cell r="C203" t="str">
            <v xml:space="preserve">LS </v>
          </cell>
          <cell r="D203" t="str">
            <v>LE_951BASE</v>
          </cell>
          <cell r="E203">
            <v>3</v>
          </cell>
          <cell r="G203">
            <v>11.19</v>
          </cell>
          <cell r="H203">
            <v>11.19</v>
          </cell>
          <cell r="I203">
            <v>0</v>
          </cell>
        </row>
        <row r="204">
          <cell r="C204" t="str">
            <v>RLS</v>
          </cell>
          <cell r="D204" t="str">
            <v>LE_952BASE</v>
          </cell>
          <cell r="E204">
            <v>179</v>
          </cell>
          <cell r="G204">
            <v>637.24</v>
          </cell>
          <cell r="H204">
            <v>637.24</v>
          </cell>
          <cell r="I204">
            <v>0</v>
          </cell>
        </row>
        <row r="205">
          <cell r="C205" t="str">
            <v xml:space="preserve">LS </v>
          </cell>
          <cell r="D205" t="str">
            <v>LE_952BASE</v>
          </cell>
          <cell r="E205">
            <v>56</v>
          </cell>
          <cell r="G205">
            <v>199.36</v>
          </cell>
          <cell r="H205">
            <v>199.36</v>
          </cell>
          <cell r="I205">
            <v>0</v>
          </cell>
        </row>
        <row r="206">
          <cell r="C206" t="str">
            <v>RLS</v>
          </cell>
          <cell r="D206" t="str">
            <v>LE_953BASE</v>
          </cell>
          <cell r="E206">
            <v>53</v>
          </cell>
          <cell r="G206">
            <v>197.69</v>
          </cell>
          <cell r="H206">
            <v>197.69</v>
          </cell>
          <cell r="I206">
            <v>0</v>
          </cell>
        </row>
        <row r="207">
          <cell r="C207" t="str">
            <v xml:space="preserve">LS </v>
          </cell>
          <cell r="D207" t="str">
            <v>LE_953BASE</v>
          </cell>
          <cell r="E207">
            <v>112</v>
          </cell>
          <cell r="G207">
            <v>417.76</v>
          </cell>
          <cell r="H207">
            <v>417.76</v>
          </cell>
          <cell r="I207">
            <v>0</v>
          </cell>
        </row>
        <row r="208">
          <cell r="C208" t="str">
            <v>RLS</v>
          </cell>
          <cell r="D208" t="str">
            <v>LE_954BASE</v>
          </cell>
          <cell r="E208">
            <v>45</v>
          </cell>
          <cell r="G208">
            <v>156.15</v>
          </cell>
          <cell r="H208">
            <v>156.15</v>
          </cell>
          <cell r="I208">
            <v>0</v>
          </cell>
        </row>
        <row r="209">
          <cell r="C209" t="str">
            <v xml:space="preserve">LS </v>
          </cell>
          <cell r="D209" t="str">
            <v>LE_954BASE</v>
          </cell>
          <cell r="E209">
            <v>3</v>
          </cell>
          <cell r="G209">
            <v>10.41</v>
          </cell>
          <cell r="H209">
            <v>10.41</v>
          </cell>
          <cell r="I209">
            <v>0</v>
          </cell>
        </row>
        <row r="210">
          <cell r="C210" t="str">
            <v>RLS</v>
          </cell>
          <cell r="D210" t="str">
            <v>LE_955BASE</v>
          </cell>
          <cell r="E210">
            <v>20</v>
          </cell>
          <cell r="G210">
            <v>71.2</v>
          </cell>
          <cell r="H210">
            <v>71.2</v>
          </cell>
          <cell r="I210">
            <v>0</v>
          </cell>
        </row>
        <row r="211">
          <cell r="C211" t="str">
            <v xml:space="preserve">LS </v>
          </cell>
          <cell r="D211" t="str">
            <v>LE_955BASE</v>
          </cell>
          <cell r="E211">
            <v>70</v>
          </cell>
          <cell r="G211">
            <v>249.2</v>
          </cell>
          <cell r="H211">
            <v>249.2</v>
          </cell>
          <cell r="I211">
            <v>0</v>
          </cell>
        </row>
        <row r="212">
          <cell r="C212" t="str">
            <v>RLS</v>
          </cell>
          <cell r="D212" t="str">
            <v>LE_956BASE</v>
          </cell>
          <cell r="E212">
            <v>1</v>
          </cell>
          <cell r="G212">
            <v>3.56</v>
          </cell>
          <cell r="H212">
            <v>3.56</v>
          </cell>
          <cell r="I212">
            <v>0</v>
          </cell>
        </row>
        <row r="213">
          <cell r="C213" t="str">
            <v xml:space="preserve">LS </v>
          </cell>
          <cell r="D213" t="str">
            <v>LE_956BASE</v>
          </cell>
          <cell r="E213">
            <v>64</v>
          </cell>
          <cell r="G213">
            <v>227.84</v>
          </cell>
          <cell r="H213">
            <v>227.84</v>
          </cell>
          <cell r="I213">
            <v>0</v>
          </cell>
        </row>
        <row r="214">
          <cell r="C214" t="str">
            <v>RLS</v>
          </cell>
          <cell r="D214" t="str">
            <v>LE_957BASE</v>
          </cell>
          <cell r="E214">
            <v>6</v>
          </cell>
          <cell r="G214">
            <v>21.36</v>
          </cell>
          <cell r="H214">
            <v>21.36</v>
          </cell>
          <cell r="I214">
            <v>0</v>
          </cell>
        </row>
        <row r="215">
          <cell r="C215" t="str">
            <v xml:space="preserve">LS </v>
          </cell>
          <cell r="D215" t="str">
            <v>LE_957BASE</v>
          </cell>
          <cell r="E215">
            <v>60</v>
          </cell>
          <cell r="G215">
            <v>213.6</v>
          </cell>
          <cell r="H215">
            <v>213.6</v>
          </cell>
          <cell r="I215">
            <v>0</v>
          </cell>
        </row>
        <row r="216">
          <cell r="C216" t="str">
            <v>RLS</v>
          </cell>
          <cell r="D216" t="str">
            <v>LE_958POLE</v>
          </cell>
          <cell r="E216">
            <v>37</v>
          </cell>
          <cell r="G216">
            <v>418.47</v>
          </cell>
          <cell r="H216">
            <v>418.47</v>
          </cell>
          <cell r="I216">
            <v>0</v>
          </cell>
        </row>
        <row r="217">
          <cell r="C217" t="str">
            <v xml:space="preserve">LS </v>
          </cell>
          <cell r="D217" t="str">
            <v>LE_958POLE</v>
          </cell>
          <cell r="E217">
            <v>432</v>
          </cell>
          <cell r="G217">
            <v>4885.92</v>
          </cell>
          <cell r="H217">
            <v>4885.92</v>
          </cell>
          <cell r="I217">
            <v>0</v>
          </cell>
        </row>
        <row r="218">
          <cell r="C218" t="str">
            <v>RLS</v>
          </cell>
          <cell r="D218" t="str">
            <v>LE_900POLE</v>
          </cell>
          <cell r="E218">
            <v>1702</v>
          </cell>
          <cell r="G218">
            <v>3506.12</v>
          </cell>
          <cell r="H218">
            <v>3506.12</v>
          </cell>
          <cell r="I218">
            <v>0</v>
          </cell>
        </row>
        <row r="219">
          <cell r="C219" t="str">
            <v xml:space="preserve">LS </v>
          </cell>
          <cell r="D219" t="str">
            <v>LE_900POLE</v>
          </cell>
          <cell r="E219">
            <v>5261</v>
          </cell>
          <cell r="G219">
            <v>10837.66</v>
          </cell>
          <cell r="H219">
            <v>10837.66</v>
          </cell>
          <cell r="I219">
            <v>0</v>
          </cell>
        </row>
        <row r="220">
          <cell r="C220" t="str">
            <v>RLS</v>
          </cell>
          <cell r="D220" t="str">
            <v>LE_901POLE</v>
          </cell>
          <cell r="E220">
            <v>157</v>
          </cell>
          <cell r="G220">
            <v>1697.17</v>
          </cell>
          <cell r="H220">
            <v>1697.17</v>
          </cell>
          <cell r="I220">
            <v>0</v>
          </cell>
        </row>
        <row r="221">
          <cell r="C221" t="str">
            <v xml:space="preserve">LS </v>
          </cell>
          <cell r="D221" t="str">
            <v>LE_901POLE</v>
          </cell>
          <cell r="E221">
            <v>0</v>
          </cell>
          <cell r="G221">
            <v>0</v>
          </cell>
          <cell r="H221">
            <v>0</v>
          </cell>
          <cell r="I221">
            <v>0</v>
          </cell>
        </row>
        <row r="222">
          <cell r="C222" t="str">
            <v>RLS</v>
          </cell>
          <cell r="D222" t="str">
            <v>LE_902POLE</v>
          </cell>
          <cell r="E222">
            <v>277</v>
          </cell>
          <cell r="G222">
            <v>3573.3</v>
          </cell>
          <cell r="H222">
            <v>3573.3</v>
          </cell>
          <cell r="I222">
            <v>0</v>
          </cell>
        </row>
        <row r="223">
          <cell r="C223" t="str">
            <v xml:space="preserve">LS </v>
          </cell>
          <cell r="D223" t="str">
            <v>LE_902POLE</v>
          </cell>
          <cell r="E223">
            <v>3</v>
          </cell>
          <cell r="G223">
            <v>38.700000000000003</v>
          </cell>
          <cell r="H223">
            <v>38.700000000000003</v>
          </cell>
          <cell r="I223">
            <v>0</v>
          </cell>
        </row>
        <row r="224">
          <cell r="C224" t="str">
            <v>RLS</v>
          </cell>
          <cell r="D224" t="str">
            <v>LE_950BASE</v>
          </cell>
          <cell r="E224">
            <v>32</v>
          </cell>
          <cell r="G224">
            <v>111.04</v>
          </cell>
          <cell r="H224">
            <v>111.04</v>
          </cell>
          <cell r="I224">
            <v>0</v>
          </cell>
        </row>
        <row r="225">
          <cell r="C225" t="str">
            <v xml:space="preserve">LS </v>
          </cell>
          <cell r="D225" t="str">
            <v>LE_950BASE</v>
          </cell>
          <cell r="E225">
            <v>10</v>
          </cell>
          <cell r="G225">
            <v>34.700000000000003</v>
          </cell>
          <cell r="H225">
            <v>34.700000000000003</v>
          </cell>
          <cell r="I225">
            <v>0</v>
          </cell>
        </row>
        <row r="226">
          <cell r="C226" t="str">
            <v>RLS</v>
          </cell>
          <cell r="D226" t="str">
            <v>LE_951BASE</v>
          </cell>
          <cell r="E226">
            <v>175</v>
          </cell>
          <cell r="G226">
            <v>652.75</v>
          </cell>
          <cell r="H226">
            <v>652.75</v>
          </cell>
          <cell r="I226">
            <v>0</v>
          </cell>
        </row>
        <row r="227">
          <cell r="C227" t="str">
            <v xml:space="preserve">LS </v>
          </cell>
          <cell r="D227" t="str">
            <v>LE_951BASE</v>
          </cell>
          <cell r="E227">
            <v>3</v>
          </cell>
          <cell r="G227">
            <v>11.19</v>
          </cell>
          <cell r="H227">
            <v>11.19</v>
          </cell>
          <cell r="I227">
            <v>0</v>
          </cell>
        </row>
        <row r="228">
          <cell r="C228" t="str">
            <v>RLS</v>
          </cell>
          <cell r="D228" t="str">
            <v>LE_952BASE</v>
          </cell>
          <cell r="E228">
            <v>179</v>
          </cell>
          <cell r="G228">
            <v>637.24</v>
          </cell>
          <cell r="H228">
            <v>637.24</v>
          </cell>
          <cell r="I228">
            <v>0</v>
          </cell>
        </row>
        <row r="229">
          <cell r="C229" t="str">
            <v xml:space="preserve">LS </v>
          </cell>
          <cell r="D229" t="str">
            <v>LE_952BASE</v>
          </cell>
          <cell r="E229">
            <v>56</v>
          </cell>
          <cell r="G229">
            <v>199.36</v>
          </cell>
          <cell r="H229">
            <v>199.36</v>
          </cell>
          <cell r="I229">
            <v>0</v>
          </cell>
        </row>
        <row r="230">
          <cell r="C230" t="str">
            <v>RLS</v>
          </cell>
          <cell r="D230" t="str">
            <v>LE_953BASE</v>
          </cell>
          <cell r="E230">
            <v>53</v>
          </cell>
          <cell r="G230">
            <v>197.69</v>
          </cell>
          <cell r="H230">
            <v>197.69</v>
          </cell>
          <cell r="I230">
            <v>0</v>
          </cell>
        </row>
        <row r="231">
          <cell r="C231" t="str">
            <v xml:space="preserve">LS </v>
          </cell>
          <cell r="D231" t="str">
            <v>LE_953BASE</v>
          </cell>
          <cell r="E231">
            <v>132</v>
          </cell>
          <cell r="G231">
            <v>492.36</v>
          </cell>
          <cell r="H231">
            <v>492.36</v>
          </cell>
          <cell r="I231">
            <v>0</v>
          </cell>
        </row>
        <row r="232">
          <cell r="C232" t="str">
            <v>RLS</v>
          </cell>
          <cell r="D232" t="str">
            <v>LE_954BASE</v>
          </cell>
          <cell r="E232">
            <v>45</v>
          </cell>
          <cell r="G232">
            <v>156.15</v>
          </cell>
          <cell r="H232">
            <v>156.15</v>
          </cell>
          <cell r="I232">
            <v>0</v>
          </cell>
        </row>
        <row r="233">
          <cell r="C233" t="str">
            <v xml:space="preserve">LS </v>
          </cell>
          <cell r="D233" t="str">
            <v>LE_954BASE</v>
          </cell>
          <cell r="E233">
            <v>3</v>
          </cell>
          <cell r="G233">
            <v>10.41</v>
          </cell>
          <cell r="H233">
            <v>10.41</v>
          </cell>
          <cell r="I233">
            <v>0</v>
          </cell>
        </row>
        <row r="234">
          <cell r="C234" t="str">
            <v>RLS</v>
          </cell>
          <cell r="D234" t="str">
            <v>LE_955BASE</v>
          </cell>
          <cell r="E234">
            <v>20</v>
          </cell>
          <cell r="G234">
            <v>71.2</v>
          </cell>
          <cell r="H234">
            <v>71.2</v>
          </cell>
          <cell r="I234">
            <v>0</v>
          </cell>
        </row>
        <row r="235">
          <cell r="C235" t="str">
            <v xml:space="preserve">LS </v>
          </cell>
          <cell r="D235" t="str">
            <v>LE_955BASE</v>
          </cell>
          <cell r="E235">
            <v>70</v>
          </cell>
          <cell r="G235">
            <v>249.2</v>
          </cell>
          <cell r="H235">
            <v>249.2</v>
          </cell>
          <cell r="I235">
            <v>0</v>
          </cell>
        </row>
        <row r="236">
          <cell r="C236" t="str">
            <v>RLS</v>
          </cell>
          <cell r="D236" t="str">
            <v>LE_956BASE</v>
          </cell>
          <cell r="E236">
            <v>1</v>
          </cell>
          <cell r="G236">
            <v>3.56</v>
          </cell>
          <cell r="H236">
            <v>3.56</v>
          </cell>
          <cell r="I236">
            <v>0</v>
          </cell>
        </row>
        <row r="237">
          <cell r="C237" t="str">
            <v xml:space="preserve">LS </v>
          </cell>
          <cell r="D237" t="str">
            <v>LE_956BASE</v>
          </cell>
          <cell r="E237">
            <v>231</v>
          </cell>
          <cell r="G237">
            <v>822.36</v>
          </cell>
          <cell r="H237">
            <v>822.36</v>
          </cell>
          <cell r="I237">
            <v>0</v>
          </cell>
        </row>
        <row r="238">
          <cell r="C238" t="str">
            <v>RLS</v>
          </cell>
          <cell r="D238" t="str">
            <v>LE_957BASE</v>
          </cell>
          <cell r="E238">
            <v>6</v>
          </cell>
          <cell r="G238">
            <v>21.36</v>
          </cell>
          <cell r="H238">
            <v>21.36</v>
          </cell>
          <cell r="I238">
            <v>0</v>
          </cell>
        </row>
        <row r="239">
          <cell r="C239" t="str">
            <v xml:space="preserve">LS </v>
          </cell>
          <cell r="D239" t="str">
            <v>LE_957BASE</v>
          </cell>
          <cell r="E239">
            <v>60</v>
          </cell>
          <cell r="G239">
            <v>213.6</v>
          </cell>
          <cell r="H239">
            <v>213.6</v>
          </cell>
          <cell r="I239">
            <v>0</v>
          </cell>
        </row>
        <row r="240">
          <cell r="C240" t="str">
            <v>RLS</v>
          </cell>
          <cell r="D240" t="str">
            <v>LE_958POLE</v>
          </cell>
          <cell r="E240">
            <v>39</v>
          </cell>
          <cell r="G240">
            <v>441.09</v>
          </cell>
          <cell r="H240">
            <v>441.09</v>
          </cell>
          <cell r="I240">
            <v>0</v>
          </cell>
        </row>
        <row r="241">
          <cell r="C241" t="str">
            <v xml:space="preserve">LS </v>
          </cell>
          <cell r="D241" t="str">
            <v>LE_958POLE</v>
          </cell>
          <cell r="E241">
            <v>432</v>
          </cell>
          <cell r="G241">
            <v>4885.92</v>
          </cell>
          <cell r="H241">
            <v>4885.92</v>
          </cell>
          <cell r="I241">
            <v>0</v>
          </cell>
        </row>
        <row r="242">
          <cell r="C242" t="str">
            <v>RLS</v>
          </cell>
          <cell r="D242" t="str">
            <v>LE_900POLE</v>
          </cell>
          <cell r="E242">
            <v>1686</v>
          </cell>
          <cell r="G242">
            <v>3473.16</v>
          </cell>
          <cell r="H242">
            <v>3473.16</v>
          </cell>
          <cell r="I242">
            <v>0</v>
          </cell>
        </row>
        <row r="243">
          <cell r="C243" t="str">
            <v xml:space="preserve">LS </v>
          </cell>
          <cell r="D243" t="str">
            <v>LE_900POLE</v>
          </cell>
          <cell r="E243">
            <v>5194</v>
          </cell>
          <cell r="G243">
            <v>10699.64</v>
          </cell>
          <cell r="H243">
            <v>10699.64</v>
          </cell>
          <cell r="I243">
            <v>0</v>
          </cell>
        </row>
        <row r="244">
          <cell r="C244" t="str">
            <v>RLS</v>
          </cell>
          <cell r="D244" t="str">
            <v>LE_901POLE</v>
          </cell>
          <cell r="E244">
            <v>157</v>
          </cell>
          <cell r="G244">
            <v>1697.17</v>
          </cell>
          <cell r="H244">
            <v>1697.17</v>
          </cell>
          <cell r="I244">
            <v>0</v>
          </cell>
        </row>
        <row r="245">
          <cell r="C245" t="str">
            <v xml:space="preserve">LS </v>
          </cell>
          <cell r="D245" t="str">
            <v>LE_901POLE</v>
          </cell>
          <cell r="E245">
            <v>0</v>
          </cell>
          <cell r="G245">
            <v>0</v>
          </cell>
          <cell r="H245">
            <v>0</v>
          </cell>
          <cell r="I245">
            <v>0</v>
          </cell>
        </row>
        <row r="246">
          <cell r="C246" t="str">
            <v>RLS</v>
          </cell>
          <cell r="D246" t="str">
            <v>LE_902POLE</v>
          </cell>
          <cell r="E246">
            <v>277</v>
          </cell>
          <cell r="G246">
            <v>3573.3</v>
          </cell>
          <cell r="H246">
            <v>3573.3</v>
          </cell>
          <cell r="I246">
            <v>0</v>
          </cell>
        </row>
        <row r="247">
          <cell r="C247" t="str">
            <v xml:space="preserve">LS </v>
          </cell>
          <cell r="D247" t="str">
            <v>LE_902POLE</v>
          </cell>
          <cell r="E247">
            <v>3</v>
          </cell>
          <cell r="G247">
            <v>38.700000000000003</v>
          </cell>
          <cell r="H247">
            <v>38.700000000000003</v>
          </cell>
          <cell r="I247">
            <v>0</v>
          </cell>
        </row>
        <row r="248">
          <cell r="C248" t="str">
            <v>RLS</v>
          </cell>
          <cell r="D248" t="str">
            <v>LE_950BASE</v>
          </cell>
          <cell r="E248">
            <v>32</v>
          </cell>
          <cell r="G248">
            <v>111.04</v>
          </cell>
          <cell r="H248">
            <v>111.04</v>
          </cell>
          <cell r="I248">
            <v>0</v>
          </cell>
        </row>
        <row r="249">
          <cell r="C249" t="str">
            <v xml:space="preserve">LS </v>
          </cell>
          <cell r="D249" t="str">
            <v>LE_950BASE</v>
          </cell>
          <cell r="E249">
            <v>10</v>
          </cell>
          <cell r="G249">
            <v>34.700000000000003</v>
          </cell>
          <cell r="H249">
            <v>34.700000000000003</v>
          </cell>
          <cell r="I249">
            <v>0</v>
          </cell>
        </row>
        <row r="250">
          <cell r="C250" t="str">
            <v>RLS</v>
          </cell>
          <cell r="D250" t="str">
            <v>LE_951BASE</v>
          </cell>
          <cell r="E250">
            <v>175</v>
          </cell>
          <cell r="G250">
            <v>652.75</v>
          </cell>
          <cell r="H250">
            <v>652.75</v>
          </cell>
          <cell r="I250">
            <v>0</v>
          </cell>
        </row>
        <row r="251">
          <cell r="C251" t="str">
            <v xml:space="preserve">LS </v>
          </cell>
          <cell r="D251" t="str">
            <v>LE_951BASE</v>
          </cell>
          <cell r="E251">
            <v>3</v>
          </cell>
          <cell r="G251">
            <v>11.19</v>
          </cell>
          <cell r="H251">
            <v>11.19</v>
          </cell>
          <cell r="I251">
            <v>0</v>
          </cell>
        </row>
        <row r="252">
          <cell r="C252" t="str">
            <v>RLS</v>
          </cell>
          <cell r="D252" t="str">
            <v>LE_952BASE</v>
          </cell>
          <cell r="E252">
            <v>179</v>
          </cell>
          <cell r="G252">
            <v>637.24</v>
          </cell>
          <cell r="H252">
            <v>637.24</v>
          </cell>
          <cell r="I252">
            <v>0</v>
          </cell>
        </row>
        <row r="253">
          <cell r="C253" t="str">
            <v xml:space="preserve">LS </v>
          </cell>
          <cell r="D253" t="str">
            <v>LE_952BASE</v>
          </cell>
          <cell r="E253">
            <v>56</v>
          </cell>
          <cell r="G253">
            <v>199.36</v>
          </cell>
          <cell r="H253">
            <v>199.36</v>
          </cell>
          <cell r="I253">
            <v>0</v>
          </cell>
        </row>
        <row r="254">
          <cell r="C254" t="str">
            <v>RLS</v>
          </cell>
          <cell r="D254" t="str">
            <v>LE_953BASE</v>
          </cell>
          <cell r="E254">
            <v>53</v>
          </cell>
          <cell r="G254">
            <v>197.69</v>
          </cell>
          <cell r="H254">
            <v>197.69</v>
          </cell>
          <cell r="I254">
            <v>0</v>
          </cell>
        </row>
        <row r="255">
          <cell r="C255" t="str">
            <v xml:space="preserve">LS </v>
          </cell>
          <cell r="D255" t="str">
            <v>LE_953BASE</v>
          </cell>
          <cell r="E255">
            <v>92</v>
          </cell>
          <cell r="G255">
            <v>343.16</v>
          </cell>
          <cell r="H255">
            <v>343.16</v>
          </cell>
          <cell r="I255">
            <v>0</v>
          </cell>
        </row>
        <row r="256">
          <cell r="C256" t="str">
            <v>RLS</v>
          </cell>
          <cell r="D256" t="str">
            <v>LE_954BASE</v>
          </cell>
          <cell r="E256">
            <v>45</v>
          </cell>
          <cell r="G256">
            <v>156.15</v>
          </cell>
          <cell r="H256">
            <v>156.15</v>
          </cell>
          <cell r="I256">
            <v>0</v>
          </cell>
        </row>
        <row r="257">
          <cell r="C257" t="str">
            <v xml:space="preserve">LS </v>
          </cell>
          <cell r="D257" t="str">
            <v>LE_954BASE</v>
          </cell>
          <cell r="E257">
            <v>3</v>
          </cell>
          <cell r="G257">
            <v>10.41</v>
          </cell>
          <cell r="H257">
            <v>10.41</v>
          </cell>
          <cell r="I257">
            <v>0</v>
          </cell>
        </row>
        <row r="258">
          <cell r="C258" t="str">
            <v>RLS</v>
          </cell>
          <cell r="D258" t="str">
            <v>LE_955BASE</v>
          </cell>
          <cell r="E258">
            <v>20</v>
          </cell>
          <cell r="G258">
            <v>71.2</v>
          </cell>
          <cell r="H258">
            <v>71.2</v>
          </cell>
          <cell r="I258">
            <v>0</v>
          </cell>
        </row>
        <row r="259">
          <cell r="C259" t="str">
            <v xml:space="preserve">LS </v>
          </cell>
          <cell r="D259" t="str">
            <v>LE_955BASE</v>
          </cell>
          <cell r="E259">
            <v>70</v>
          </cell>
          <cell r="G259">
            <v>249.2</v>
          </cell>
          <cell r="H259">
            <v>249.2</v>
          </cell>
          <cell r="I259">
            <v>0</v>
          </cell>
        </row>
        <row r="260">
          <cell r="C260" t="str">
            <v>RLS</v>
          </cell>
          <cell r="D260" t="str">
            <v>LE_956BASE</v>
          </cell>
          <cell r="E260">
            <v>1</v>
          </cell>
          <cell r="G260">
            <v>3.56</v>
          </cell>
          <cell r="H260">
            <v>3.56</v>
          </cell>
          <cell r="I260">
            <v>0</v>
          </cell>
        </row>
        <row r="261">
          <cell r="C261" t="str">
            <v xml:space="preserve">LS </v>
          </cell>
          <cell r="D261" t="str">
            <v>LE_956BASE</v>
          </cell>
          <cell r="E261">
            <v>79</v>
          </cell>
          <cell r="G261">
            <v>281.24</v>
          </cell>
          <cell r="H261">
            <v>281.24</v>
          </cell>
          <cell r="I261">
            <v>0</v>
          </cell>
        </row>
        <row r="262">
          <cell r="C262" t="str">
            <v>RLS</v>
          </cell>
          <cell r="D262" t="str">
            <v>LE_957BASE</v>
          </cell>
          <cell r="E262">
            <v>6</v>
          </cell>
          <cell r="G262">
            <v>21.36</v>
          </cell>
          <cell r="H262">
            <v>21.36</v>
          </cell>
          <cell r="I262">
            <v>0</v>
          </cell>
        </row>
        <row r="263">
          <cell r="C263" t="str">
            <v xml:space="preserve">LS </v>
          </cell>
          <cell r="D263" t="str">
            <v>LE_957BASE</v>
          </cell>
          <cell r="E263">
            <v>60</v>
          </cell>
          <cell r="G263">
            <v>213.6</v>
          </cell>
          <cell r="H263">
            <v>213.6</v>
          </cell>
          <cell r="I263">
            <v>0</v>
          </cell>
        </row>
        <row r="264">
          <cell r="C264" t="str">
            <v>RLS</v>
          </cell>
          <cell r="D264" t="str">
            <v>LE_958POLE</v>
          </cell>
          <cell r="E264">
            <v>37</v>
          </cell>
          <cell r="G264">
            <v>418.47</v>
          </cell>
          <cell r="H264">
            <v>418.47</v>
          </cell>
          <cell r="I264">
            <v>0</v>
          </cell>
        </row>
        <row r="265">
          <cell r="C265" t="str">
            <v xml:space="preserve">LS </v>
          </cell>
          <cell r="D265" t="str">
            <v>LE_958POLE</v>
          </cell>
          <cell r="E265">
            <v>426</v>
          </cell>
          <cell r="G265">
            <v>4818.0600000000004</v>
          </cell>
          <cell r="H265">
            <v>4818.0600000000004</v>
          </cell>
          <cell r="I265">
            <v>0</v>
          </cell>
        </row>
        <row r="266">
          <cell r="C266" t="str">
            <v>RLS</v>
          </cell>
          <cell r="D266" t="str">
            <v>LE_900POLE</v>
          </cell>
          <cell r="E266">
            <v>1677</v>
          </cell>
          <cell r="G266">
            <v>3454.62</v>
          </cell>
          <cell r="H266">
            <v>3454.62</v>
          </cell>
          <cell r="I266">
            <v>0</v>
          </cell>
        </row>
        <row r="267">
          <cell r="C267" t="str">
            <v xml:space="preserve">LS </v>
          </cell>
          <cell r="D267" t="str">
            <v>LE_900POLE</v>
          </cell>
          <cell r="E267">
            <v>5238</v>
          </cell>
          <cell r="G267">
            <v>10790.28</v>
          </cell>
          <cell r="H267">
            <v>10790.28</v>
          </cell>
          <cell r="I267">
            <v>0</v>
          </cell>
        </row>
        <row r="268">
          <cell r="C268" t="str">
            <v>RLS</v>
          </cell>
          <cell r="D268" t="str">
            <v>LE_901POLE</v>
          </cell>
          <cell r="E268">
            <v>157</v>
          </cell>
          <cell r="G268">
            <v>1697.17</v>
          </cell>
          <cell r="H268">
            <v>1697.17</v>
          </cell>
          <cell r="I268">
            <v>0</v>
          </cell>
        </row>
        <row r="269">
          <cell r="C269" t="str">
            <v xml:space="preserve">LS </v>
          </cell>
          <cell r="D269" t="str">
            <v>LE_901POLE</v>
          </cell>
          <cell r="E269">
            <v>0</v>
          </cell>
          <cell r="G269">
            <v>0</v>
          </cell>
          <cell r="H269">
            <v>0</v>
          </cell>
          <cell r="I269">
            <v>0</v>
          </cell>
        </row>
        <row r="270">
          <cell r="C270" t="str">
            <v>RLS</v>
          </cell>
          <cell r="D270" t="str">
            <v>LE_902POLE</v>
          </cell>
          <cell r="E270">
            <v>277</v>
          </cell>
          <cell r="G270">
            <v>3573.3</v>
          </cell>
          <cell r="H270">
            <v>3573.3</v>
          </cell>
          <cell r="I270">
            <v>0</v>
          </cell>
        </row>
        <row r="271">
          <cell r="C271" t="str">
            <v xml:space="preserve">LS </v>
          </cell>
          <cell r="D271" t="str">
            <v>LE_902POLE</v>
          </cell>
          <cell r="E271">
            <v>3</v>
          </cell>
          <cell r="G271">
            <v>38.700000000000003</v>
          </cell>
          <cell r="H271">
            <v>38.700000000000003</v>
          </cell>
          <cell r="I271">
            <v>0</v>
          </cell>
        </row>
        <row r="272">
          <cell r="C272" t="str">
            <v>RLS</v>
          </cell>
          <cell r="D272" t="str">
            <v>LE_950BASE</v>
          </cell>
          <cell r="E272">
            <v>77</v>
          </cell>
          <cell r="G272">
            <v>267.19</v>
          </cell>
          <cell r="H272">
            <v>267.19</v>
          </cell>
          <cell r="I272">
            <v>0</v>
          </cell>
        </row>
        <row r="273">
          <cell r="C273" t="str">
            <v xml:space="preserve">LS </v>
          </cell>
          <cell r="D273" t="str">
            <v>LE_950BASE</v>
          </cell>
          <cell r="E273">
            <v>13</v>
          </cell>
          <cell r="G273">
            <v>45.11</v>
          </cell>
          <cell r="H273">
            <v>45.11</v>
          </cell>
          <cell r="I273">
            <v>0</v>
          </cell>
        </row>
        <row r="274">
          <cell r="C274" t="str">
            <v>RLS</v>
          </cell>
          <cell r="D274" t="str">
            <v>LE_951BASE</v>
          </cell>
          <cell r="E274">
            <v>195</v>
          </cell>
          <cell r="G274">
            <v>727.35</v>
          </cell>
          <cell r="H274">
            <v>727.35</v>
          </cell>
          <cell r="I274">
            <v>0</v>
          </cell>
        </row>
        <row r="275">
          <cell r="C275" t="str">
            <v xml:space="preserve">LS </v>
          </cell>
          <cell r="D275" t="str">
            <v>LE_951BASE</v>
          </cell>
          <cell r="E275">
            <v>73</v>
          </cell>
          <cell r="G275">
            <v>272.29000000000002</v>
          </cell>
          <cell r="H275">
            <v>272.29000000000002</v>
          </cell>
          <cell r="I275">
            <v>0</v>
          </cell>
        </row>
        <row r="276">
          <cell r="C276" t="str">
            <v>RLS</v>
          </cell>
          <cell r="D276" t="str">
            <v>LE_952BASE</v>
          </cell>
          <cell r="E276">
            <v>0</v>
          </cell>
          <cell r="G276">
            <v>0</v>
          </cell>
          <cell r="H276">
            <v>0</v>
          </cell>
          <cell r="I276">
            <v>0</v>
          </cell>
        </row>
        <row r="277">
          <cell r="C277" t="str">
            <v xml:space="preserve">LS </v>
          </cell>
          <cell r="D277" t="str">
            <v>LE_952BASE</v>
          </cell>
          <cell r="E277">
            <v>0</v>
          </cell>
          <cell r="G277">
            <v>0</v>
          </cell>
          <cell r="H277">
            <v>0</v>
          </cell>
          <cell r="I277">
            <v>0</v>
          </cell>
        </row>
        <row r="278">
          <cell r="C278" t="str">
            <v>RLS</v>
          </cell>
          <cell r="D278" t="str">
            <v>LE_953BASE</v>
          </cell>
          <cell r="E278">
            <v>0</v>
          </cell>
          <cell r="G278">
            <v>0</v>
          </cell>
          <cell r="H278">
            <v>0</v>
          </cell>
          <cell r="I278">
            <v>0</v>
          </cell>
        </row>
        <row r="279">
          <cell r="C279" t="str">
            <v xml:space="preserve">LS </v>
          </cell>
          <cell r="D279" t="str">
            <v>LE_953BASE</v>
          </cell>
          <cell r="E279">
            <v>0</v>
          </cell>
          <cell r="G279">
            <v>0</v>
          </cell>
          <cell r="H279">
            <v>0</v>
          </cell>
          <cell r="I279">
            <v>0</v>
          </cell>
        </row>
        <row r="280">
          <cell r="C280" t="str">
            <v>RLS</v>
          </cell>
          <cell r="D280" t="str">
            <v>LE_954BASE</v>
          </cell>
          <cell r="E280">
            <v>0</v>
          </cell>
          <cell r="G280">
            <v>0</v>
          </cell>
          <cell r="H280">
            <v>0</v>
          </cell>
          <cell r="I280">
            <v>0</v>
          </cell>
        </row>
        <row r="281">
          <cell r="C281" t="str">
            <v xml:space="preserve">LS </v>
          </cell>
          <cell r="D281" t="str">
            <v>LE_954BASE</v>
          </cell>
          <cell r="E281">
            <v>0</v>
          </cell>
          <cell r="G281">
            <v>0</v>
          </cell>
          <cell r="H281">
            <v>0</v>
          </cell>
          <cell r="I281">
            <v>0</v>
          </cell>
        </row>
        <row r="282">
          <cell r="C282" t="str">
            <v>RLS</v>
          </cell>
          <cell r="D282" t="str">
            <v>LE_955BASE</v>
          </cell>
          <cell r="E282">
            <v>0</v>
          </cell>
          <cell r="G282">
            <v>0</v>
          </cell>
          <cell r="H282">
            <v>0</v>
          </cell>
          <cell r="I282">
            <v>0</v>
          </cell>
        </row>
        <row r="283">
          <cell r="C283" t="str">
            <v xml:space="preserve">LS </v>
          </cell>
          <cell r="D283" t="str">
            <v>LE_955BASE</v>
          </cell>
          <cell r="E283">
            <v>0</v>
          </cell>
          <cell r="G283">
            <v>0</v>
          </cell>
          <cell r="H283">
            <v>0</v>
          </cell>
          <cell r="I283">
            <v>0</v>
          </cell>
        </row>
        <row r="284">
          <cell r="C284" t="str">
            <v>RLS</v>
          </cell>
          <cell r="D284" t="str">
            <v>LE_956BASE</v>
          </cell>
          <cell r="E284">
            <v>239</v>
          </cell>
          <cell r="G284">
            <v>850.84</v>
          </cell>
          <cell r="H284">
            <v>850.84</v>
          </cell>
          <cell r="I284">
            <v>0</v>
          </cell>
        </row>
        <row r="285">
          <cell r="C285" t="str">
            <v xml:space="preserve">LS </v>
          </cell>
          <cell r="D285" t="str">
            <v>LE_956BASE</v>
          </cell>
          <cell r="E285">
            <v>307</v>
          </cell>
          <cell r="G285">
            <v>1092.92</v>
          </cell>
          <cell r="H285">
            <v>1092.92</v>
          </cell>
          <cell r="I285">
            <v>0</v>
          </cell>
        </row>
        <row r="286">
          <cell r="C286" t="str">
            <v>RLS</v>
          </cell>
          <cell r="D286" t="str">
            <v>LE_957BASE</v>
          </cell>
          <cell r="E286">
            <v>0</v>
          </cell>
          <cell r="G286">
            <v>0</v>
          </cell>
          <cell r="H286">
            <v>0</v>
          </cell>
          <cell r="I286">
            <v>0</v>
          </cell>
        </row>
        <row r="287">
          <cell r="C287" t="str">
            <v xml:space="preserve">LS </v>
          </cell>
          <cell r="D287" t="str">
            <v>LE_957BASE</v>
          </cell>
          <cell r="E287">
            <v>0</v>
          </cell>
          <cell r="G287">
            <v>0</v>
          </cell>
          <cell r="H287">
            <v>0</v>
          </cell>
          <cell r="I287">
            <v>0</v>
          </cell>
        </row>
        <row r="288">
          <cell r="C288" t="str">
            <v>RLS</v>
          </cell>
          <cell r="D288" t="str">
            <v>LE_958POLE</v>
          </cell>
          <cell r="E288">
            <v>37</v>
          </cell>
          <cell r="G288">
            <v>418.47</v>
          </cell>
          <cell r="H288">
            <v>418.47</v>
          </cell>
          <cell r="I288">
            <v>0</v>
          </cell>
        </row>
        <row r="289">
          <cell r="C289" t="str">
            <v xml:space="preserve">LS </v>
          </cell>
          <cell r="D289" t="str">
            <v>LE_958POLE</v>
          </cell>
          <cell r="E289">
            <v>431</v>
          </cell>
          <cell r="G289">
            <v>4874.6099999999997</v>
          </cell>
          <cell r="H289">
            <v>4874.6099999999997</v>
          </cell>
          <cell r="I289">
            <v>0</v>
          </cell>
        </row>
      </sheetData>
      <sheetData sheetId="15"/>
      <sheetData sheetId="16"/>
      <sheetData sheetId="17">
        <row r="4">
          <cell r="E4" t="str">
            <v>20100128LGRSE411</v>
          </cell>
          <cell r="F4">
            <v>0</v>
          </cell>
          <cell r="G4">
            <v>6.7140000000000005E-2</v>
          </cell>
          <cell r="H4">
            <v>0</v>
          </cell>
          <cell r="I4">
            <v>0</v>
          </cell>
          <cell r="L4">
            <v>2.0580000000000001E-2</v>
          </cell>
          <cell r="Q4">
            <v>0</v>
          </cell>
          <cell r="R4">
            <v>0</v>
          </cell>
          <cell r="S4">
            <v>0</v>
          </cell>
        </row>
        <row r="5">
          <cell r="E5" t="str">
            <v>20100128LGCME451</v>
          </cell>
          <cell r="F5">
            <v>0</v>
          </cell>
          <cell r="G5">
            <v>7.5789999999999996E-2</v>
          </cell>
          <cell r="H5">
            <v>0</v>
          </cell>
          <cell r="I5">
            <v>0</v>
          </cell>
          <cell r="L5">
            <v>2.0580000000000001E-2</v>
          </cell>
          <cell r="Q5">
            <v>0</v>
          </cell>
          <cell r="R5">
            <v>0</v>
          </cell>
          <cell r="S5">
            <v>0</v>
          </cell>
        </row>
        <row r="6">
          <cell r="E6" t="str">
            <v>20100128LGRSE511</v>
          </cell>
          <cell r="F6">
            <v>5</v>
          </cell>
          <cell r="G6">
            <v>6.7140000000000005E-2</v>
          </cell>
          <cell r="H6">
            <v>0</v>
          </cell>
          <cell r="I6">
            <v>0</v>
          </cell>
          <cell r="L6">
            <v>2.0580000000000001E-2</v>
          </cell>
          <cell r="Q6">
            <v>0</v>
          </cell>
          <cell r="R6">
            <v>0</v>
          </cell>
          <cell r="S6">
            <v>0</v>
          </cell>
        </row>
        <row r="7">
          <cell r="E7" t="str">
            <v>20100128LGRSE519</v>
          </cell>
          <cell r="F7">
            <v>5</v>
          </cell>
          <cell r="G7">
            <v>6.7140000000000005E-2</v>
          </cell>
          <cell r="H7">
            <v>0</v>
          </cell>
          <cell r="I7">
            <v>0</v>
          </cell>
          <cell r="L7">
            <v>2.0580000000000001E-2</v>
          </cell>
          <cell r="Q7">
            <v>0</v>
          </cell>
          <cell r="R7">
            <v>0</v>
          </cell>
          <cell r="S7">
            <v>0</v>
          </cell>
        </row>
        <row r="8">
          <cell r="E8" t="str">
            <v>20100128LGRSE540</v>
          </cell>
          <cell r="F8">
            <v>5</v>
          </cell>
          <cell r="G8">
            <v>6.7140000000000005E-2</v>
          </cell>
          <cell r="H8">
            <v>0</v>
          </cell>
          <cell r="I8">
            <v>0</v>
          </cell>
          <cell r="L8">
            <v>2.0580000000000001E-2</v>
          </cell>
          <cell r="Q8">
            <v>0</v>
          </cell>
          <cell r="R8">
            <v>0</v>
          </cell>
          <cell r="S8">
            <v>0</v>
          </cell>
        </row>
        <row r="9">
          <cell r="E9" t="str">
            <v>20100128LGRSE543</v>
          </cell>
          <cell r="F9">
            <v>0</v>
          </cell>
          <cell r="G9">
            <v>0</v>
          </cell>
          <cell r="H9">
            <v>0</v>
          </cell>
          <cell r="I9">
            <v>0</v>
          </cell>
          <cell r="L9">
            <v>0</v>
          </cell>
          <cell r="Q9">
            <v>0</v>
          </cell>
          <cell r="R9">
            <v>0</v>
          </cell>
          <cell r="S9">
            <v>0</v>
          </cell>
        </row>
        <row r="10">
          <cell r="E10" t="str">
            <v>20100128LGRSE541</v>
          </cell>
          <cell r="F10">
            <v>10</v>
          </cell>
          <cell r="G10">
            <v>4.6280000000000002E-2</v>
          </cell>
          <cell r="H10">
            <v>5.8590000000000003E-2</v>
          </cell>
          <cell r="I10">
            <v>0.11278000000000001</v>
          </cell>
          <cell r="L10">
            <v>2.0580000000000001E-2</v>
          </cell>
          <cell r="Q10">
            <v>0</v>
          </cell>
          <cell r="R10">
            <v>0</v>
          </cell>
          <cell r="S10">
            <v>0</v>
          </cell>
        </row>
        <row r="11">
          <cell r="E11" t="str">
            <v>20100128LGCME550</v>
          </cell>
          <cell r="F11">
            <v>10</v>
          </cell>
          <cell r="G11">
            <v>7.5789999999999996E-2</v>
          </cell>
          <cell r="H11">
            <v>0</v>
          </cell>
          <cell r="I11">
            <v>0</v>
          </cell>
          <cell r="L11">
            <v>2.0580000000000001E-2</v>
          </cell>
          <cell r="Q11">
            <v>0</v>
          </cell>
          <cell r="R11">
            <v>0</v>
          </cell>
          <cell r="S11">
            <v>0</v>
          </cell>
        </row>
        <row r="12">
          <cell r="E12" t="str">
            <v>20100128LGCME551</v>
          </cell>
          <cell r="F12">
            <v>10</v>
          </cell>
          <cell r="G12">
            <v>7.5789999999999996E-2</v>
          </cell>
          <cell r="H12">
            <v>0</v>
          </cell>
          <cell r="I12">
            <v>0</v>
          </cell>
          <cell r="L12">
            <v>2.0580000000000001E-2</v>
          </cell>
          <cell r="Q12">
            <v>0</v>
          </cell>
          <cell r="R12">
            <v>0</v>
          </cell>
          <cell r="S12">
            <v>0</v>
          </cell>
        </row>
        <row r="13">
          <cell r="E13" t="str">
            <v>20100128LGCME551UM</v>
          </cell>
          <cell r="F13">
            <v>10</v>
          </cell>
          <cell r="G13">
            <v>7.5789999999999996E-2</v>
          </cell>
          <cell r="H13">
            <v>0</v>
          </cell>
          <cell r="I13">
            <v>0</v>
          </cell>
          <cell r="L13">
            <v>2.0580000000000001E-2</v>
          </cell>
          <cell r="Q13">
            <v>0</v>
          </cell>
          <cell r="R13">
            <v>0</v>
          </cell>
          <cell r="S13">
            <v>0</v>
          </cell>
        </row>
        <row r="14">
          <cell r="E14" t="str">
            <v>20100128LGCME557</v>
          </cell>
          <cell r="F14">
            <v>10</v>
          </cell>
          <cell r="G14">
            <v>7.5789999999999996E-2</v>
          </cell>
          <cell r="H14">
            <v>0</v>
          </cell>
          <cell r="I14">
            <v>0</v>
          </cell>
          <cell r="L14">
            <v>2.0580000000000001E-2</v>
          </cell>
          <cell r="Q14">
            <v>0</v>
          </cell>
          <cell r="R14">
            <v>0</v>
          </cell>
          <cell r="S14">
            <v>0</v>
          </cell>
        </row>
        <row r="15">
          <cell r="E15" t="str">
            <v>20100128LGCME552</v>
          </cell>
          <cell r="F15">
            <v>0</v>
          </cell>
          <cell r="G15">
            <v>7.5789999999999996E-2</v>
          </cell>
          <cell r="H15">
            <v>0</v>
          </cell>
          <cell r="I15">
            <v>0</v>
          </cell>
          <cell r="L15">
            <v>2.0580000000000001E-2</v>
          </cell>
          <cell r="Q15">
            <v>0</v>
          </cell>
          <cell r="R15">
            <v>0</v>
          </cell>
          <cell r="S15">
            <v>0</v>
          </cell>
        </row>
        <row r="16">
          <cell r="E16" t="str">
            <v>20100128LGCME555</v>
          </cell>
          <cell r="F16">
            <v>20</v>
          </cell>
          <cell r="G16">
            <v>5.3179999999999998E-2</v>
          </cell>
          <cell r="H16">
            <v>6.8080000000000002E-2</v>
          </cell>
          <cell r="I16">
            <v>0.14247000000000001</v>
          </cell>
          <cell r="L16">
            <v>2.0580000000000001E-2</v>
          </cell>
          <cell r="Q16">
            <v>0</v>
          </cell>
          <cell r="R16">
            <v>0</v>
          </cell>
          <cell r="S16">
            <v>0</v>
          </cell>
        </row>
        <row r="17">
          <cell r="E17" t="str">
            <v>20100128LGCME650</v>
          </cell>
          <cell r="F17">
            <v>15</v>
          </cell>
          <cell r="G17">
            <v>7.5789999999999996E-2</v>
          </cell>
          <cell r="H17">
            <v>0</v>
          </cell>
          <cell r="I17">
            <v>0</v>
          </cell>
          <cell r="L17">
            <v>2.0580000000000001E-2</v>
          </cell>
          <cell r="Q17">
            <v>0</v>
          </cell>
          <cell r="R17">
            <v>0</v>
          </cell>
          <cell r="S17">
            <v>0</v>
          </cell>
        </row>
        <row r="18">
          <cell r="E18" t="str">
            <v>20100128LGCME651</v>
          </cell>
          <cell r="F18">
            <v>15</v>
          </cell>
          <cell r="G18">
            <v>7.5789999999999996E-2</v>
          </cell>
          <cell r="H18">
            <v>0</v>
          </cell>
          <cell r="I18">
            <v>0</v>
          </cell>
          <cell r="L18">
            <v>2.0580000000000001E-2</v>
          </cell>
          <cell r="Q18">
            <v>0</v>
          </cell>
          <cell r="R18">
            <v>0</v>
          </cell>
          <cell r="S18">
            <v>0</v>
          </cell>
        </row>
        <row r="19">
          <cell r="E19" t="str">
            <v>20100128LGCME657</v>
          </cell>
          <cell r="F19">
            <v>15</v>
          </cell>
          <cell r="G19">
            <v>7.5789999999999996E-2</v>
          </cell>
          <cell r="H19">
            <v>0</v>
          </cell>
          <cell r="I19">
            <v>0</v>
          </cell>
          <cell r="L19">
            <v>2.0580000000000001E-2</v>
          </cell>
          <cell r="Q19">
            <v>0</v>
          </cell>
          <cell r="R19">
            <v>0</v>
          </cell>
          <cell r="S19">
            <v>0</v>
          </cell>
        </row>
        <row r="20">
          <cell r="E20" t="str">
            <v>20100128LGCME652</v>
          </cell>
          <cell r="F20">
            <v>0</v>
          </cell>
          <cell r="G20">
            <v>7.5789999999999996E-2</v>
          </cell>
          <cell r="H20">
            <v>0</v>
          </cell>
          <cell r="I20">
            <v>0</v>
          </cell>
          <cell r="L20">
            <v>2.0580000000000001E-2</v>
          </cell>
          <cell r="Q20">
            <v>0</v>
          </cell>
          <cell r="R20">
            <v>0</v>
          </cell>
          <cell r="S20">
            <v>0</v>
          </cell>
        </row>
        <row r="21">
          <cell r="E21" t="str">
            <v>20100128LGCME656</v>
          </cell>
          <cell r="F21">
            <v>20</v>
          </cell>
          <cell r="G21">
            <v>5.3179999999999998E-2</v>
          </cell>
          <cell r="H21">
            <v>6.8080000000000002E-2</v>
          </cell>
          <cell r="I21">
            <v>0.14247000000000001</v>
          </cell>
          <cell r="L21">
            <v>2.0580000000000001E-2</v>
          </cell>
          <cell r="Q21">
            <v>0</v>
          </cell>
          <cell r="R21">
            <v>0</v>
          </cell>
          <cell r="S21">
            <v>0</v>
          </cell>
        </row>
        <row r="22">
          <cell r="E22" t="str">
            <v>20100128LGCME561</v>
          </cell>
          <cell r="F22">
            <v>65</v>
          </cell>
          <cell r="G22">
            <v>2.9559999999999999E-2</v>
          </cell>
          <cell r="H22">
            <v>0</v>
          </cell>
          <cell r="I22">
            <v>0</v>
          </cell>
          <cell r="L22">
            <v>2.0580000000000001E-2</v>
          </cell>
          <cell r="Q22">
            <v>0</v>
          </cell>
          <cell r="R22">
            <v>11.93</v>
          </cell>
          <cell r="S22">
            <v>14.99</v>
          </cell>
        </row>
        <row r="23">
          <cell r="E23" t="str">
            <v>20100128LGCME563</v>
          </cell>
          <cell r="F23">
            <v>65</v>
          </cell>
          <cell r="G23">
            <v>2.9559999999999999E-2</v>
          </cell>
          <cell r="H23">
            <v>0</v>
          </cell>
          <cell r="I23">
            <v>0</v>
          </cell>
          <cell r="L23">
            <v>2.0580000000000001E-2</v>
          </cell>
          <cell r="Q23">
            <v>0</v>
          </cell>
          <cell r="R23">
            <v>10.35</v>
          </cell>
          <cell r="S23">
            <v>13.15</v>
          </cell>
        </row>
        <row r="24">
          <cell r="E24" t="str">
            <v>20100128LGCME567</v>
          </cell>
          <cell r="F24">
            <v>65</v>
          </cell>
          <cell r="G24">
            <v>2.9559999999999999E-2</v>
          </cell>
          <cell r="H24">
            <v>0</v>
          </cell>
          <cell r="I24">
            <v>0</v>
          </cell>
          <cell r="L24">
            <v>2.0580000000000001E-2</v>
          </cell>
          <cell r="Q24">
            <v>0</v>
          </cell>
          <cell r="R24">
            <v>11.93</v>
          </cell>
          <cell r="S24">
            <v>14.99</v>
          </cell>
        </row>
        <row r="25">
          <cell r="E25" t="str">
            <v>20100128LGCME591</v>
          </cell>
          <cell r="F25">
            <v>200</v>
          </cell>
          <cell r="G25">
            <v>3.2259999999999997E-2</v>
          </cell>
          <cell r="H25">
            <v>0</v>
          </cell>
          <cell r="I25">
            <v>0</v>
          </cell>
          <cell r="L25">
            <v>2.0580000000000001E-2</v>
          </cell>
          <cell r="Q25">
            <v>3.79</v>
          </cell>
          <cell r="R25">
            <v>4.28</v>
          </cell>
          <cell r="S25">
            <v>5.81</v>
          </cell>
        </row>
        <row r="26">
          <cell r="E26" t="str">
            <v>20100128LGCME593</v>
          </cell>
          <cell r="F26">
            <v>200</v>
          </cell>
          <cell r="G26">
            <v>2.9600000000000001E-2</v>
          </cell>
          <cell r="H26">
            <v>0</v>
          </cell>
          <cell r="I26">
            <v>0</v>
          </cell>
          <cell r="L26">
            <v>2.0580000000000001E-2</v>
          </cell>
          <cell r="Q26">
            <v>2.64</v>
          </cell>
          <cell r="R26">
            <v>7.7</v>
          </cell>
          <cell r="S26">
            <v>10.5</v>
          </cell>
        </row>
        <row r="27">
          <cell r="E27" t="str">
            <v>20100128LGINE661</v>
          </cell>
          <cell r="F27">
            <v>65</v>
          </cell>
          <cell r="G27">
            <v>2.9559999999999999E-2</v>
          </cell>
          <cell r="H27">
            <v>0</v>
          </cell>
          <cell r="I27">
            <v>0</v>
          </cell>
          <cell r="L27">
            <v>2.0580000000000001E-2</v>
          </cell>
          <cell r="Q27">
            <v>0</v>
          </cell>
          <cell r="R27">
            <v>11.93</v>
          </cell>
          <cell r="S27">
            <v>14.99</v>
          </cell>
        </row>
        <row r="28">
          <cell r="E28" t="str">
            <v>20100128LGINE663</v>
          </cell>
          <cell r="F28">
            <v>65</v>
          </cell>
          <cell r="G28">
            <v>2.9559999999999999E-2</v>
          </cell>
          <cell r="H28">
            <v>0</v>
          </cell>
          <cell r="I28">
            <v>0</v>
          </cell>
          <cell r="L28">
            <v>2.0580000000000001E-2</v>
          </cell>
          <cell r="Q28">
            <v>0</v>
          </cell>
          <cell r="R28">
            <v>10.35</v>
          </cell>
          <cell r="S28">
            <v>13.15</v>
          </cell>
        </row>
        <row r="29">
          <cell r="E29" t="str">
            <v>20100128LGINE691</v>
          </cell>
          <cell r="F29">
            <v>120</v>
          </cell>
          <cell r="G29">
            <v>2.6159999999999999E-2</v>
          </cell>
          <cell r="H29">
            <v>0</v>
          </cell>
          <cell r="I29">
            <v>0</v>
          </cell>
          <cell r="L29">
            <v>2.0580000000000001E-2</v>
          </cell>
          <cell r="Q29">
            <v>4.91</v>
          </cell>
          <cell r="R29">
            <v>7.46</v>
          </cell>
          <cell r="S29">
            <v>10.050000000000001</v>
          </cell>
        </row>
        <row r="30">
          <cell r="E30" t="str">
            <v>20100128LGINE693</v>
          </cell>
          <cell r="F30">
            <v>120</v>
          </cell>
          <cell r="G30">
            <v>2.6159999999999999E-2</v>
          </cell>
          <cell r="H30">
            <v>0</v>
          </cell>
          <cell r="I30">
            <v>0</v>
          </cell>
          <cell r="L30">
            <v>2.0580000000000001E-2</v>
          </cell>
          <cell r="Q30">
            <v>3.85</v>
          </cell>
          <cell r="R30">
            <v>6.76</v>
          </cell>
          <cell r="S30">
            <v>9.35</v>
          </cell>
        </row>
        <row r="31">
          <cell r="E31" t="str">
            <v>20100128LGINE694</v>
          </cell>
          <cell r="F31">
            <v>120</v>
          </cell>
          <cell r="G31">
            <v>2.6159999999999999E-2</v>
          </cell>
          <cell r="H31">
            <v>0</v>
          </cell>
          <cell r="I31">
            <v>0</v>
          </cell>
          <cell r="L31">
            <v>2.0580000000000001E-2</v>
          </cell>
          <cell r="Q31">
            <v>3.85</v>
          </cell>
          <cell r="R31">
            <v>6.76</v>
          </cell>
          <cell r="S31">
            <v>9.35</v>
          </cell>
        </row>
        <row r="32">
          <cell r="E32" t="str">
            <v>20100128LGINE643</v>
          </cell>
          <cell r="F32">
            <v>120</v>
          </cell>
          <cell r="G32">
            <v>2.6159999999999999E-2</v>
          </cell>
          <cell r="H32">
            <v>0</v>
          </cell>
          <cell r="I32">
            <v>0</v>
          </cell>
          <cell r="L32">
            <v>2.0580000000000001E-2</v>
          </cell>
          <cell r="Q32">
            <v>2.36</v>
          </cell>
          <cell r="R32">
            <v>5.9</v>
          </cell>
          <cell r="S32">
            <v>8.15</v>
          </cell>
        </row>
        <row r="33">
          <cell r="E33" t="str">
            <v>20100128ISS</v>
          </cell>
          <cell r="F33">
            <v>120</v>
          </cell>
          <cell r="G33">
            <v>2.6159999999999999E-2</v>
          </cell>
          <cell r="H33">
            <v>0</v>
          </cell>
          <cell r="I33">
            <v>0</v>
          </cell>
          <cell r="L33">
            <v>2.0580000000000001E-2</v>
          </cell>
          <cell r="Q33">
            <v>2.38</v>
          </cell>
          <cell r="R33">
            <v>3.64</v>
          </cell>
          <cell r="S33">
            <v>4.9400000000000004</v>
          </cell>
        </row>
        <row r="34">
          <cell r="E34" t="str">
            <v>20100128ISP</v>
          </cell>
          <cell r="F34">
            <v>120</v>
          </cell>
          <cell r="G34">
            <v>2.6159999999999999E-2</v>
          </cell>
          <cell r="H34">
            <v>0</v>
          </cell>
          <cell r="I34">
            <v>0</v>
          </cell>
          <cell r="L34">
            <v>2.0580000000000001E-2</v>
          </cell>
          <cell r="Q34">
            <v>1.83</v>
          </cell>
          <cell r="R34">
            <v>3.29</v>
          </cell>
          <cell r="S34">
            <v>4.59</v>
          </cell>
        </row>
        <row r="35">
          <cell r="E35" t="str">
            <v>20100128IST</v>
          </cell>
          <cell r="F35">
            <v>120</v>
          </cell>
          <cell r="G35">
            <v>2.6159999999999999E-2</v>
          </cell>
          <cell r="H35">
            <v>0</v>
          </cell>
          <cell r="I35">
            <v>0</v>
          </cell>
          <cell r="L35">
            <v>2.0580000000000001E-2</v>
          </cell>
          <cell r="Q35">
            <v>1.24</v>
          </cell>
          <cell r="R35">
            <v>3.29</v>
          </cell>
          <cell r="S35">
            <v>4.58</v>
          </cell>
        </row>
        <row r="36">
          <cell r="E36" t="str">
            <v>20100128LGMLE570</v>
          </cell>
          <cell r="F36">
            <v>0</v>
          </cell>
          <cell r="G36">
            <v>4.4819999999999999E-2</v>
          </cell>
          <cell r="H36">
            <v>0</v>
          </cell>
          <cell r="I36">
            <v>0</v>
          </cell>
          <cell r="L36">
            <v>2.0580000000000001E-2</v>
          </cell>
          <cell r="Q36">
            <v>0</v>
          </cell>
          <cell r="R36">
            <v>0</v>
          </cell>
          <cell r="S36">
            <v>0</v>
          </cell>
        </row>
        <row r="37">
          <cell r="E37" t="str">
            <v>20100128LGMLE571</v>
          </cell>
          <cell r="F37">
            <v>0</v>
          </cell>
          <cell r="G37">
            <v>4.4819999999999999E-2</v>
          </cell>
          <cell r="H37">
            <v>0</v>
          </cell>
          <cell r="I37">
            <v>0</v>
          </cell>
          <cell r="L37">
            <v>2.0580000000000001E-2</v>
          </cell>
          <cell r="Q37">
            <v>0</v>
          </cell>
          <cell r="R37">
            <v>0</v>
          </cell>
          <cell r="S37">
            <v>0</v>
          </cell>
        </row>
        <row r="38">
          <cell r="E38" t="str">
            <v>20100128LGMLE572</v>
          </cell>
          <cell r="F38">
            <v>0</v>
          </cell>
          <cell r="G38">
            <v>4.4819999999999999E-2</v>
          </cell>
          <cell r="H38">
            <v>0</v>
          </cell>
          <cell r="I38">
            <v>0</v>
          </cell>
          <cell r="L38">
            <v>2.0580000000000001E-2</v>
          </cell>
          <cell r="Q38">
            <v>0</v>
          </cell>
          <cell r="R38">
            <v>0</v>
          </cell>
          <cell r="S38">
            <v>0</v>
          </cell>
        </row>
        <row r="39">
          <cell r="E39" t="str">
            <v>20100128LGMLE573</v>
          </cell>
          <cell r="F39">
            <v>2.8</v>
          </cell>
          <cell r="G39">
            <v>5.9139999999999998E-2</v>
          </cell>
          <cell r="H39">
            <v>0</v>
          </cell>
          <cell r="I39">
            <v>0</v>
          </cell>
          <cell r="L39">
            <v>2.0580000000000001E-2</v>
          </cell>
          <cell r="Q39">
            <v>0</v>
          </cell>
          <cell r="R39">
            <v>0</v>
          </cell>
          <cell r="S39">
            <v>0</v>
          </cell>
        </row>
        <row r="40">
          <cell r="E40" t="str">
            <v>20100128LGMLE574</v>
          </cell>
          <cell r="F40">
            <v>2.8</v>
          </cell>
          <cell r="G40">
            <v>5.9139999999999998E-2</v>
          </cell>
          <cell r="H40">
            <v>0</v>
          </cell>
          <cell r="I40">
            <v>0</v>
          </cell>
          <cell r="L40">
            <v>2.0580000000000001E-2</v>
          </cell>
          <cell r="Q40">
            <v>0</v>
          </cell>
          <cell r="R40">
            <v>0</v>
          </cell>
          <cell r="S40">
            <v>0</v>
          </cell>
        </row>
        <row r="41">
          <cell r="E41" t="str">
            <v>20100128LGINE599</v>
          </cell>
          <cell r="F41">
            <v>0</v>
          </cell>
          <cell r="G41">
            <v>2.6190000000000001E-2</v>
          </cell>
          <cell r="H41">
            <v>0</v>
          </cell>
          <cell r="I41">
            <v>0</v>
          </cell>
          <cell r="L41">
            <v>2.0580000000000001E-2</v>
          </cell>
          <cell r="Q41">
            <v>0</v>
          </cell>
          <cell r="R41">
            <v>10.44</v>
          </cell>
          <cell r="S41">
            <v>12.63</v>
          </cell>
        </row>
        <row r="42">
          <cell r="E42" t="str">
            <v>20100128LGCME671</v>
          </cell>
          <cell r="F42">
            <v>0</v>
          </cell>
          <cell r="G42">
            <v>2.6179999999999998E-2</v>
          </cell>
          <cell r="H42">
            <v>0</v>
          </cell>
          <cell r="I42">
            <v>0</v>
          </cell>
          <cell r="L42">
            <v>2.0580000000000001E-2</v>
          </cell>
          <cell r="Q42">
            <v>0</v>
          </cell>
          <cell r="R42">
            <v>8.92</v>
          </cell>
          <cell r="S42">
            <v>8.92</v>
          </cell>
        </row>
        <row r="43">
          <cell r="E43" t="str">
            <v>20100729LGRSE411</v>
          </cell>
          <cell r="F43">
            <v>0</v>
          </cell>
          <cell r="G43">
            <v>7.0680000000000007E-2</v>
          </cell>
          <cell r="H43">
            <v>0</v>
          </cell>
          <cell r="I43">
            <v>0</v>
          </cell>
          <cell r="L43">
            <v>2.0580000000000001E-2</v>
          </cell>
          <cell r="Q43">
            <v>0</v>
          </cell>
          <cell r="R43">
            <v>0</v>
          </cell>
          <cell r="S43">
            <v>0</v>
          </cell>
        </row>
        <row r="44">
          <cell r="E44" t="str">
            <v>20100729LGCME451</v>
          </cell>
          <cell r="F44">
            <v>0</v>
          </cell>
          <cell r="G44">
            <v>8.0509999999999998E-2</v>
          </cell>
          <cell r="H44">
            <v>0</v>
          </cell>
          <cell r="I44">
            <v>0</v>
          </cell>
          <cell r="L44">
            <v>2.0580000000000001E-2</v>
          </cell>
          <cell r="Q44">
            <v>0</v>
          </cell>
          <cell r="R44">
            <v>0</v>
          </cell>
          <cell r="S44">
            <v>0</v>
          </cell>
        </row>
        <row r="45">
          <cell r="E45" t="str">
            <v>20100729LGRSE511</v>
          </cell>
          <cell r="F45">
            <v>8.5</v>
          </cell>
          <cell r="G45">
            <v>7.0680000000000007E-2</v>
          </cell>
          <cell r="H45">
            <v>0</v>
          </cell>
          <cell r="I45">
            <v>0</v>
          </cell>
          <cell r="L45">
            <v>2.0580000000000001E-2</v>
          </cell>
          <cell r="Q45">
            <v>0</v>
          </cell>
          <cell r="R45">
            <v>0</v>
          </cell>
          <cell r="S45">
            <v>0</v>
          </cell>
        </row>
        <row r="46">
          <cell r="E46" t="str">
            <v>20100729LGRSE519</v>
          </cell>
          <cell r="F46">
            <v>8.5</v>
          </cell>
          <cell r="G46">
            <v>7.0680000000000007E-2</v>
          </cell>
          <cell r="H46">
            <v>0</v>
          </cell>
          <cell r="I46">
            <v>0</v>
          </cell>
          <cell r="L46">
            <v>2.0580000000000001E-2</v>
          </cell>
          <cell r="Q46">
            <v>0</v>
          </cell>
          <cell r="R46">
            <v>0</v>
          </cell>
          <cell r="S46">
            <v>0</v>
          </cell>
        </row>
        <row r="47">
          <cell r="E47" t="str">
            <v>20100729LGRSE540</v>
          </cell>
          <cell r="F47">
            <v>8.5</v>
          </cell>
          <cell r="G47">
            <v>7.0680000000000007E-2</v>
          </cell>
          <cell r="H47">
            <v>0</v>
          </cell>
          <cell r="I47">
            <v>0</v>
          </cell>
          <cell r="L47">
            <v>2.0580000000000001E-2</v>
          </cell>
          <cell r="Q47">
            <v>0</v>
          </cell>
          <cell r="R47">
            <v>0</v>
          </cell>
          <cell r="S47">
            <v>0</v>
          </cell>
        </row>
        <row r="48">
          <cell r="E48" t="str">
            <v>20100729LGRSE541</v>
          </cell>
          <cell r="F48">
            <v>13.5</v>
          </cell>
          <cell r="G48">
            <v>4.8719999999999999E-2</v>
          </cell>
          <cell r="H48">
            <v>6.1679999999999999E-2</v>
          </cell>
          <cell r="I48">
            <v>0.11873</v>
          </cell>
          <cell r="L48">
            <v>2.0580000000000001E-2</v>
          </cell>
          <cell r="Q48">
            <v>0</v>
          </cell>
          <cell r="R48">
            <v>0</v>
          </cell>
          <cell r="S48">
            <v>0</v>
          </cell>
        </row>
        <row r="49">
          <cell r="E49" t="str">
            <v>20100729LGCME550</v>
          </cell>
          <cell r="F49">
            <v>17.5</v>
          </cell>
          <cell r="G49">
            <v>8.0509999999999998E-2</v>
          </cell>
          <cell r="H49">
            <v>0</v>
          </cell>
          <cell r="I49">
            <v>0</v>
          </cell>
          <cell r="L49">
            <v>2.0580000000000001E-2</v>
          </cell>
          <cell r="Q49">
            <v>0</v>
          </cell>
          <cell r="R49">
            <v>0</v>
          </cell>
          <cell r="S49">
            <v>0</v>
          </cell>
        </row>
        <row r="50">
          <cell r="E50" t="str">
            <v>20100729LGCME551</v>
          </cell>
          <cell r="F50">
            <v>17.5</v>
          </cell>
          <cell r="G50">
            <v>8.0509999999999998E-2</v>
          </cell>
          <cell r="H50">
            <v>0</v>
          </cell>
          <cell r="I50">
            <v>0</v>
          </cell>
          <cell r="L50">
            <v>2.0580000000000001E-2</v>
          </cell>
          <cell r="Q50">
            <v>0</v>
          </cell>
          <cell r="R50">
            <v>0</v>
          </cell>
          <cell r="S50">
            <v>0</v>
          </cell>
        </row>
        <row r="51">
          <cell r="E51" t="str">
            <v>20100729LGCME551UM</v>
          </cell>
          <cell r="F51">
            <v>17.5</v>
          </cell>
          <cell r="G51">
            <v>8.0509999999999998E-2</v>
          </cell>
          <cell r="H51">
            <v>0</v>
          </cell>
          <cell r="I51">
            <v>0</v>
          </cell>
          <cell r="L51">
            <v>2.0580000000000001E-2</v>
          </cell>
          <cell r="Q51">
            <v>0</v>
          </cell>
          <cell r="R51">
            <v>0</v>
          </cell>
          <cell r="S51">
            <v>0</v>
          </cell>
        </row>
        <row r="52">
          <cell r="E52" t="str">
            <v>20100729LGCME557</v>
          </cell>
          <cell r="F52">
            <v>17.5</v>
          </cell>
          <cell r="G52">
            <v>8.0509999999999998E-2</v>
          </cell>
          <cell r="H52">
            <v>0</v>
          </cell>
          <cell r="I52">
            <v>0</v>
          </cell>
          <cell r="L52">
            <v>2.0580000000000001E-2</v>
          </cell>
          <cell r="Q52">
            <v>0</v>
          </cell>
          <cell r="R52">
            <v>0</v>
          </cell>
          <cell r="S52">
            <v>0</v>
          </cell>
        </row>
        <row r="53">
          <cell r="E53" t="str">
            <v>20100729LGCME552</v>
          </cell>
          <cell r="F53">
            <v>0</v>
          </cell>
          <cell r="G53">
            <v>8.0509999999999998E-2</v>
          </cell>
          <cell r="H53">
            <v>0</v>
          </cell>
          <cell r="I53">
            <v>0</v>
          </cell>
          <cell r="L53">
            <v>2.0580000000000001E-2</v>
          </cell>
          <cell r="Q53">
            <v>0</v>
          </cell>
          <cell r="R53">
            <v>0</v>
          </cell>
          <cell r="S53">
            <v>0</v>
          </cell>
        </row>
        <row r="54">
          <cell r="E54" t="str">
            <v>20100729LGCME555</v>
          </cell>
          <cell r="F54">
            <v>27.5</v>
          </cell>
          <cell r="G54">
            <v>5.6489999999999999E-2</v>
          </cell>
          <cell r="H54">
            <v>7.2319999999999995E-2</v>
          </cell>
          <cell r="I54">
            <v>0.15134</v>
          </cell>
          <cell r="L54">
            <v>2.0580000000000001E-2</v>
          </cell>
          <cell r="Q54">
            <v>0</v>
          </cell>
          <cell r="R54">
            <v>0</v>
          </cell>
          <cell r="S54">
            <v>0</v>
          </cell>
        </row>
        <row r="55">
          <cell r="E55" t="str">
            <v>20100729LGCME650</v>
          </cell>
          <cell r="F55">
            <v>32.5</v>
          </cell>
          <cell r="G55">
            <v>8.0509999999999998E-2</v>
          </cell>
          <cell r="H55">
            <v>0</v>
          </cell>
          <cell r="I55">
            <v>0</v>
          </cell>
          <cell r="L55">
            <v>2.0580000000000001E-2</v>
          </cell>
          <cell r="Q55">
            <v>0</v>
          </cell>
          <cell r="R55">
            <v>0</v>
          </cell>
          <cell r="S55">
            <v>0</v>
          </cell>
        </row>
        <row r="56">
          <cell r="E56" t="str">
            <v>20100729LGCME651</v>
          </cell>
          <cell r="F56">
            <v>32.5</v>
          </cell>
          <cell r="G56">
            <v>8.0509999999999998E-2</v>
          </cell>
          <cell r="H56">
            <v>0</v>
          </cell>
          <cell r="I56">
            <v>0</v>
          </cell>
          <cell r="L56">
            <v>2.0580000000000001E-2</v>
          </cell>
          <cell r="Q56">
            <v>0</v>
          </cell>
          <cell r="R56">
            <v>0</v>
          </cell>
          <cell r="S56">
            <v>0</v>
          </cell>
        </row>
        <row r="57">
          <cell r="E57" t="str">
            <v>20100729LGCME657</v>
          </cell>
          <cell r="F57">
            <v>32.5</v>
          </cell>
          <cell r="G57">
            <v>8.0509999999999998E-2</v>
          </cell>
          <cell r="H57">
            <v>0</v>
          </cell>
          <cell r="I57">
            <v>0</v>
          </cell>
          <cell r="L57">
            <v>2.0580000000000001E-2</v>
          </cell>
          <cell r="Q57">
            <v>0</v>
          </cell>
          <cell r="R57">
            <v>0</v>
          </cell>
          <cell r="S57">
            <v>0</v>
          </cell>
        </row>
        <row r="58">
          <cell r="E58" t="str">
            <v>20100729LGCME652</v>
          </cell>
          <cell r="F58">
            <v>0</v>
          </cell>
          <cell r="G58">
            <v>8.0509999999999998E-2</v>
          </cell>
          <cell r="H58">
            <v>0</v>
          </cell>
          <cell r="I58">
            <v>0</v>
          </cell>
          <cell r="L58">
            <v>2.0580000000000001E-2</v>
          </cell>
          <cell r="Q58">
            <v>0</v>
          </cell>
          <cell r="R58">
            <v>0</v>
          </cell>
          <cell r="S58">
            <v>0</v>
          </cell>
        </row>
        <row r="59">
          <cell r="E59" t="str">
            <v>20100729LGCME656</v>
          </cell>
          <cell r="F59">
            <v>42.5</v>
          </cell>
          <cell r="G59">
            <v>5.6489999999999999E-2</v>
          </cell>
          <cell r="H59">
            <v>7.2319999999999995E-2</v>
          </cell>
          <cell r="I59">
            <v>0.15134</v>
          </cell>
          <cell r="L59">
            <v>2.0580000000000001E-2</v>
          </cell>
          <cell r="Q59">
            <v>0</v>
          </cell>
          <cell r="R59">
            <v>0</v>
          </cell>
          <cell r="S59">
            <v>0</v>
          </cell>
        </row>
        <row r="60">
          <cell r="E60" t="str">
            <v>20100729LGCME561</v>
          </cell>
          <cell r="F60">
            <v>90</v>
          </cell>
          <cell r="G60">
            <v>3.2640000000000002E-2</v>
          </cell>
          <cell r="H60">
            <v>0</v>
          </cell>
          <cell r="I60">
            <v>0</v>
          </cell>
          <cell r="L60">
            <v>2.0580000000000001E-2</v>
          </cell>
          <cell r="Q60">
            <v>0</v>
          </cell>
          <cell r="R60">
            <v>13.07</v>
          </cell>
          <cell r="S60">
            <v>15.32</v>
          </cell>
        </row>
        <row r="61">
          <cell r="E61" t="str">
            <v>20100729LGCME563</v>
          </cell>
          <cell r="F61">
            <v>90</v>
          </cell>
          <cell r="G61">
            <v>3.2640000000000002E-2</v>
          </cell>
          <cell r="H61">
            <v>0</v>
          </cell>
          <cell r="I61">
            <v>0</v>
          </cell>
          <cell r="L61">
            <v>2.0580000000000001E-2</v>
          </cell>
          <cell r="Q61">
            <v>0</v>
          </cell>
          <cell r="R61">
            <v>11.24</v>
          </cell>
          <cell r="S61">
            <v>13.48</v>
          </cell>
        </row>
        <row r="62">
          <cell r="E62" t="str">
            <v>20100729LGCME567</v>
          </cell>
          <cell r="F62">
            <v>90</v>
          </cell>
          <cell r="G62">
            <v>3.2640000000000002E-2</v>
          </cell>
          <cell r="H62">
            <v>0</v>
          </cell>
          <cell r="I62">
            <v>0</v>
          </cell>
          <cell r="L62">
            <v>2.0580000000000001E-2</v>
          </cell>
          <cell r="Q62">
            <v>0</v>
          </cell>
          <cell r="R62">
            <v>13.07</v>
          </cell>
          <cell r="S62">
            <v>15.32</v>
          </cell>
        </row>
        <row r="63">
          <cell r="E63" t="str">
            <v>20100729LGCME591</v>
          </cell>
          <cell r="F63">
            <v>200</v>
          </cell>
          <cell r="G63">
            <v>3.2259999999999997E-2</v>
          </cell>
          <cell r="H63">
            <v>0</v>
          </cell>
          <cell r="I63">
            <v>0</v>
          </cell>
          <cell r="L63">
            <v>2.0580000000000001E-2</v>
          </cell>
          <cell r="Q63">
            <v>3.79</v>
          </cell>
          <cell r="R63">
            <v>4.28</v>
          </cell>
          <cell r="S63">
            <v>5.81</v>
          </cell>
        </row>
        <row r="64">
          <cell r="E64" t="str">
            <v>20100729LGCME593</v>
          </cell>
          <cell r="F64">
            <v>200</v>
          </cell>
          <cell r="G64">
            <v>3.2259999999999997E-2</v>
          </cell>
          <cell r="H64">
            <v>0</v>
          </cell>
          <cell r="I64">
            <v>0</v>
          </cell>
          <cell r="L64">
            <v>2.0580000000000001E-2</v>
          </cell>
          <cell r="Q64">
            <v>2.64</v>
          </cell>
          <cell r="R64">
            <v>4.2</v>
          </cell>
          <cell r="S64">
            <v>5.7</v>
          </cell>
        </row>
        <row r="65">
          <cell r="E65" t="str">
            <v>20100729LGINE661</v>
          </cell>
          <cell r="F65">
            <v>90</v>
          </cell>
          <cell r="G65">
            <v>3.2640000000000002E-2</v>
          </cell>
          <cell r="H65">
            <v>0</v>
          </cell>
          <cell r="I65">
            <v>0</v>
          </cell>
          <cell r="L65">
            <v>2.0580000000000001E-2</v>
          </cell>
          <cell r="Q65">
            <v>0</v>
          </cell>
          <cell r="R65">
            <v>13.07</v>
          </cell>
          <cell r="S65">
            <v>15.32</v>
          </cell>
        </row>
        <row r="66">
          <cell r="E66" t="str">
            <v>20100729LGINE663</v>
          </cell>
          <cell r="F66">
            <v>90</v>
          </cell>
          <cell r="G66">
            <v>3.2640000000000002E-2</v>
          </cell>
          <cell r="H66">
            <v>0</v>
          </cell>
          <cell r="I66">
            <v>0</v>
          </cell>
          <cell r="L66">
            <v>2.0580000000000001E-2</v>
          </cell>
          <cell r="Q66">
            <v>0</v>
          </cell>
          <cell r="R66">
            <v>11.24</v>
          </cell>
          <cell r="S66">
            <v>13.48</v>
          </cell>
        </row>
        <row r="67">
          <cell r="E67" t="str">
            <v>20100729LGINE691</v>
          </cell>
          <cell r="F67">
            <v>300</v>
          </cell>
          <cell r="G67">
            <v>2.827E-2</v>
          </cell>
          <cell r="H67">
            <v>0</v>
          </cell>
          <cell r="I67">
            <v>0</v>
          </cell>
          <cell r="L67">
            <v>2.0580000000000001E-2</v>
          </cell>
          <cell r="Q67">
            <v>5.48</v>
          </cell>
          <cell r="R67">
            <v>3.7</v>
          </cell>
          <cell r="S67">
            <v>5.2</v>
          </cell>
        </row>
        <row r="68">
          <cell r="E68" t="str">
            <v>20100729LGINE693</v>
          </cell>
          <cell r="F68">
            <v>300</v>
          </cell>
          <cell r="G68">
            <v>2.827E-2</v>
          </cell>
          <cell r="H68">
            <v>0</v>
          </cell>
          <cell r="I68">
            <v>0</v>
          </cell>
          <cell r="L68">
            <v>2.0580000000000001E-2</v>
          </cell>
          <cell r="Q68">
            <v>4.16</v>
          </cell>
          <cell r="R68">
            <v>7.31</v>
          </cell>
          <cell r="S68">
            <v>10.11</v>
          </cell>
        </row>
        <row r="69">
          <cell r="E69" t="str">
            <v>20100729LGINE694</v>
          </cell>
          <cell r="F69">
            <v>300</v>
          </cell>
          <cell r="G69">
            <v>2.827E-2</v>
          </cell>
          <cell r="H69">
            <v>0</v>
          </cell>
          <cell r="I69">
            <v>0</v>
          </cell>
          <cell r="L69">
            <v>2.0580000000000001E-2</v>
          </cell>
          <cell r="Q69">
            <v>4.16</v>
          </cell>
          <cell r="R69">
            <v>7.31</v>
          </cell>
          <cell r="S69">
            <v>10.11</v>
          </cell>
        </row>
        <row r="70">
          <cell r="E70" t="str">
            <v>20100729LGINE643</v>
          </cell>
          <cell r="F70">
            <v>500</v>
          </cell>
          <cell r="G70">
            <v>2.827E-2</v>
          </cell>
          <cell r="H70">
            <v>0</v>
          </cell>
          <cell r="I70">
            <v>0</v>
          </cell>
          <cell r="L70">
            <v>2.0580000000000001E-2</v>
          </cell>
          <cell r="Q70">
            <v>2.61</v>
          </cell>
          <cell r="R70">
            <v>2.86</v>
          </cell>
          <cell r="S70">
            <v>4.3600000000000003</v>
          </cell>
        </row>
        <row r="71">
          <cell r="E71" t="str">
            <v>20100729ISS</v>
          </cell>
          <cell r="F71">
            <v>0</v>
          </cell>
          <cell r="G71">
            <v>0</v>
          </cell>
          <cell r="H71">
            <v>0</v>
          </cell>
          <cell r="I71">
            <v>0</v>
          </cell>
          <cell r="L71">
            <v>0</v>
          </cell>
          <cell r="Q71">
            <v>0</v>
          </cell>
          <cell r="R71">
            <v>0</v>
          </cell>
          <cell r="S71">
            <v>0</v>
          </cell>
        </row>
        <row r="72">
          <cell r="E72" t="str">
            <v>20100729FLSP</v>
          </cell>
          <cell r="F72">
            <v>500</v>
          </cell>
          <cell r="G72">
            <v>3.5529999999999999E-2</v>
          </cell>
          <cell r="H72">
            <v>0</v>
          </cell>
          <cell r="I72">
            <v>0</v>
          </cell>
          <cell r="L72">
            <v>2.0580000000000001E-2</v>
          </cell>
          <cell r="Q72">
            <v>1.75</v>
          </cell>
          <cell r="R72">
            <v>1.75</v>
          </cell>
          <cell r="S72">
            <v>2.75</v>
          </cell>
        </row>
        <row r="73">
          <cell r="E73" t="str">
            <v>20100729FLST</v>
          </cell>
          <cell r="F73">
            <v>500</v>
          </cell>
          <cell r="G73">
            <v>3.2710000000000003E-2</v>
          </cell>
          <cell r="H73">
            <v>0</v>
          </cell>
          <cell r="I73">
            <v>0</v>
          </cell>
          <cell r="L73">
            <v>2.0580000000000001E-2</v>
          </cell>
          <cell r="Q73">
            <v>1</v>
          </cell>
          <cell r="R73">
            <v>1.75</v>
          </cell>
          <cell r="S73">
            <v>2.75</v>
          </cell>
        </row>
        <row r="74">
          <cell r="E74" t="str">
            <v>20100729LGMLE570</v>
          </cell>
          <cell r="F74">
            <v>0</v>
          </cell>
          <cell r="G74">
            <v>5.4649999999999997E-2</v>
          </cell>
          <cell r="H74">
            <v>0</v>
          </cell>
          <cell r="I74">
            <v>0</v>
          </cell>
          <cell r="L74">
            <v>2.0580000000000001E-2</v>
          </cell>
          <cell r="Q74">
            <v>0</v>
          </cell>
          <cell r="R74">
            <v>0</v>
          </cell>
          <cell r="S74">
            <v>0</v>
          </cell>
        </row>
        <row r="75">
          <cell r="E75" t="str">
            <v>20100729LGMLE571</v>
          </cell>
          <cell r="F75">
            <v>0</v>
          </cell>
          <cell r="G75">
            <v>5.4649999999999997E-2</v>
          </cell>
          <cell r="H75">
            <v>0</v>
          </cell>
          <cell r="I75">
            <v>0</v>
          </cell>
          <cell r="L75">
            <v>2.0580000000000001E-2</v>
          </cell>
          <cell r="Q75">
            <v>0</v>
          </cell>
          <cell r="R75">
            <v>0</v>
          </cell>
          <cell r="S75">
            <v>0</v>
          </cell>
        </row>
        <row r="76">
          <cell r="E76" t="str">
            <v>20100729LGMLE572</v>
          </cell>
          <cell r="F76">
            <v>0</v>
          </cell>
          <cell r="G76">
            <v>5.4649999999999997E-2</v>
          </cell>
          <cell r="H76">
            <v>0</v>
          </cell>
          <cell r="I76">
            <v>0</v>
          </cell>
          <cell r="L76">
            <v>2.0580000000000001E-2</v>
          </cell>
          <cell r="Q76">
            <v>0</v>
          </cell>
          <cell r="R76">
            <v>0</v>
          </cell>
          <cell r="S76">
            <v>0</v>
          </cell>
        </row>
        <row r="77">
          <cell r="E77" t="str">
            <v>20100729LGMLE573</v>
          </cell>
          <cell r="F77">
            <v>3.14</v>
          </cell>
          <cell r="G77">
            <v>6.6229999999999997E-2</v>
          </cell>
          <cell r="H77">
            <v>0</v>
          </cell>
          <cell r="I77">
            <v>0</v>
          </cell>
          <cell r="L77">
            <v>2.0580000000000001E-2</v>
          </cell>
          <cell r="Q77">
            <v>0</v>
          </cell>
          <cell r="R77">
            <v>0</v>
          </cell>
          <cell r="S77">
            <v>0</v>
          </cell>
        </row>
        <row r="78">
          <cell r="E78" t="str">
            <v>20100729LGMLE574</v>
          </cell>
          <cell r="F78">
            <v>3.14</v>
          </cell>
          <cell r="G78">
            <v>6.6229999999999997E-2</v>
          </cell>
          <cell r="H78">
            <v>0</v>
          </cell>
          <cell r="I78">
            <v>0</v>
          </cell>
          <cell r="L78">
            <v>2.0580000000000001E-2</v>
          </cell>
          <cell r="Q78">
            <v>0</v>
          </cell>
          <cell r="R78">
            <v>0</v>
          </cell>
          <cell r="S78">
            <v>0</v>
          </cell>
        </row>
        <row r="79">
          <cell r="E79" t="str">
            <v>20100729LGINE599</v>
          </cell>
          <cell r="F79">
            <v>0</v>
          </cell>
          <cell r="G79">
            <v>2.8830000000000001E-2</v>
          </cell>
          <cell r="H79">
            <v>0</v>
          </cell>
          <cell r="I79">
            <v>0</v>
          </cell>
          <cell r="L79">
            <v>2.0580000000000001E-2</v>
          </cell>
          <cell r="Q79">
            <v>0</v>
          </cell>
          <cell r="R79">
            <v>11.63</v>
          </cell>
          <cell r="S79">
            <v>13.82</v>
          </cell>
        </row>
        <row r="80">
          <cell r="E80" t="str">
            <v>20100729LGCME671</v>
          </cell>
          <cell r="F80">
            <v>0</v>
          </cell>
          <cell r="G80">
            <v>2.8819999999999998E-2</v>
          </cell>
          <cell r="H80">
            <v>0</v>
          </cell>
          <cell r="I80">
            <v>0</v>
          </cell>
          <cell r="L80">
            <v>2.0580000000000001E-2</v>
          </cell>
          <cell r="Q80">
            <v>0</v>
          </cell>
          <cell r="R80">
            <v>9.85</v>
          </cell>
          <cell r="S80">
            <v>9.85</v>
          </cell>
        </row>
        <row r="81">
          <cell r="E81" t="str">
            <v>20100729LGRSE543</v>
          </cell>
          <cell r="F81">
            <v>8.5</v>
          </cell>
          <cell r="G81">
            <v>4.8719999999999999E-2</v>
          </cell>
          <cell r="H81">
            <v>6.8959999999999994E-2</v>
          </cell>
          <cell r="I81">
            <v>0.13274</v>
          </cell>
          <cell r="L81">
            <v>2.0580000000000001E-2</v>
          </cell>
          <cell r="Q81">
            <v>0</v>
          </cell>
          <cell r="R81">
            <v>0</v>
          </cell>
          <cell r="S81">
            <v>0</v>
          </cell>
        </row>
        <row r="82">
          <cell r="E82" t="str">
            <v>20110629LGRSE411</v>
          </cell>
          <cell r="F82">
            <v>0</v>
          </cell>
          <cell r="G82">
            <v>7.2249999999999995E-2</v>
          </cell>
          <cell r="H82">
            <v>0</v>
          </cell>
          <cell r="I82">
            <v>0</v>
          </cell>
          <cell r="L82">
            <v>2.215E-2</v>
          </cell>
          <cell r="Q82">
            <v>0</v>
          </cell>
          <cell r="R82">
            <v>0</v>
          </cell>
          <cell r="S82">
            <v>0</v>
          </cell>
        </row>
        <row r="83">
          <cell r="E83" t="str">
            <v>20110629LGCME451</v>
          </cell>
          <cell r="F83">
            <v>0</v>
          </cell>
          <cell r="G83">
            <v>8.208E-2</v>
          </cell>
          <cell r="H83">
            <v>0</v>
          </cell>
          <cell r="I83">
            <v>0</v>
          </cell>
          <cell r="L83">
            <v>2.215E-2</v>
          </cell>
          <cell r="Q83">
            <v>0</v>
          </cell>
          <cell r="R83">
            <v>0</v>
          </cell>
          <cell r="S83">
            <v>0</v>
          </cell>
        </row>
        <row r="84">
          <cell r="E84" t="str">
            <v>20110629LGRSE511</v>
          </cell>
          <cell r="F84">
            <v>8.5</v>
          </cell>
          <cell r="G84">
            <v>7.2249999999999995E-2</v>
          </cell>
          <cell r="H84">
            <v>0</v>
          </cell>
          <cell r="I84">
            <v>0</v>
          </cell>
          <cell r="L84">
            <v>2.215E-2</v>
          </cell>
          <cell r="Q84">
            <v>0</v>
          </cell>
          <cell r="R84">
            <v>0</v>
          </cell>
          <cell r="S84">
            <v>0</v>
          </cell>
        </row>
        <row r="85">
          <cell r="E85" t="str">
            <v>20110629LGRSE519</v>
          </cell>
          <cell r="F85">
            <v>8.5</v>
          </cell>
          <cell r="G85">
            <v>7.2249999999999995E-2</v>
          </cell>
          <cell r="H85">
            <v>0</v>
          </cell>
          <cell r="I85">
            <v>0</v>
          </cell>
          <cell r="L85">
            <v>2.215E-2</v>
          </cell>
          <cell r="Q85">
            <v>0</v>
          </cell>
          <cell r="R85">
            <v>0</v>
          </cell>
          <cell r="S85">
            <v>0</v>
          </cell>
        </row>
        <row r="86">
          <cell r="E86" t="str">
            <v>20110629LGRSE540</v>
          </cell>
          <cell r="F86">
            <v>8.5</v>
          </cell>
          <cell r="G86">
            <v>7.2249999999999995E-2</v>
          </cell>
          <cell r="H86">
            <v>0</v>
          </cell>
          <cell r="I86">
            <v>0</v>
          </cell>
          <cell r="L86">
            <v>2.215E-2</v>
          </cell>
          <cell r="Q86">
            <v>0</v>
          </cell>
          <cell r="R86">
            <v>0</v>
          </cell>
          <cell r="S86">
            <v>0</v>
          </cell>
        </row>
        <row r="87">
          <cell r="E87" t="str">
            <v>20110629LGRSE541</v>
          </cell>
          <cell r="F87">
            <v>13.5</v>
          </cell>
          <cell r="G87">
            <v>5.0290000000000001E-2</v>
          </cell>
          <cell r="H87">
            <v>6.3250000000000001E-2</v>
          </cell>
          <cell r="I87">
            <v>0.1203</v>
          </cell>
          <cell r="L87">
            <v>2.215E-2</v>
          </cell>
          <cell r="Q87">
            <v>0</v>
          </cell>
          <cell r="R87">
            <v>0</v>
          </cell>
          <cell r="S87">
            <v>0</v>
          </cell>
        </row>
        <row r="88">
          <cell r="E88" t="str">
            <v>20110629LGCME550</v>
          </cell>
          <cell r="F88">
            <v>17.5</v>
          </cell>
          <cell r="G88">
            <v>8.208E-2</v>
          </cell>
          <cell r="H88">
            <v>0</v>
          </cell>
          <cell r="I88">
            <v>0</v>
          </cell>
          <cell r="L88">
            <v>2.215E-2</v>
          </cell>
          <cell r="Q88">
            <v>0</v>
          </cell>
          <cell r="R88">
            <v>0</v>
          </cell>
          <cell r="S88">
            <v>0</v>
          </cell>
        </row>
        <row r="89">
          <cell r="E89" t="str">
            <v>20110629LGCME551</v>
          </cell>
          <cell r="F89">
            <v>17.5</v>
          </cell>
          <cell r="G89">
            <v>8.208E-2</v>
          </cell>
          <cell r="H89">
            <v>0</v>
          </cell>
          <cell r="I89">
            <v>0</v>
          </cell>
          <cell r="L89">
            <v>2.215E-2</v>
          </cell>
          <cell r="Q89">
            <v>0</v>
          </cell>
          <cell r="R89">
            <v>0</v>
          </cell>
          <cell r="S89">
            <v>0</v>
          </cell>
        </row>
        <row r="90">
          <cell r="E90" t="str">
            <v>20110629LGCME551UM</v>
          </cell>
          <cell r="F90">
            <v>17.5</v>
          </cell>
          <cell r="G90">
            <v>8.208E-2</v>
          </cell>
          <cell r="H90">
            <v>0</v>
          </cell>
          <cell r="I90">
            <v>0</v>
          </cell>
          <cell r="L90">
            <v>2.215E-2</v>
          </cell>
          <cell r="Q90">
            <v>0</v>
          </cell>
          <cell r="R90">
            <v>0</v>
          </cell>
          <cell r="S90">
            <v>0</v>
          </cell>
        </row>
        <row r="91">
          <cell r="E91" t="str">
            <v>20110629LGCME557</v>
          </cell>
          <cell r="F91">
            <v>17.5</v>
          </cell>
          <cell r="G91">
            <v>8.208E-2</v>
          </cell>
          <cell r="H91">
            <v>0</v>
          </cell>
          <cell r="I91">
            <v>0</v>
          </cell>
          <cell r="L91">
            <v>2.215E-2</v>
          </cell>
          <cell r="Q91">
            <v>0</v>
          </cell>
          <cell r="R91">
            <v>0</v>
          </cell>
          <cell r="S91">
            <v>0</v>
          </cell>
        </row>
        <row r="92">
          <cell r="E92" t="str">
            <v>20110629LGCME552</v>
          </cell>
          <cell r="F92">
            <v>0</v>
          </cell>
          <cell r="G92">
            <v>8.208E-2</v>
          </cell>
          <cell r="H92">
            <v>0</v>
          </cell>
          <cell r="I92">
            <v>0</v>
          </cell>
          <cell r="L92">
            <v>2.215E-2</v>
          </cell>
          <cell r="Q92">
            <v>0</v>
          </cell>
          <cell r="R92">
            <v>0</v>
          </cell>
          <cell r="S92">
            <v>0</v>
          </cell>
        </row>
        <row r="93">
          <cell r="E93" t="str">
            <v>20110629LGCME555</v>
          </cell>
          <cell r="F93">
            <v>27.5</v>
          </cell>
          <cell r="G93">
            <v>5.806E-2</v>
          </cell>
          <cell r="H93">
            <v>7.3889999999999997E-2</v>
          </cell>
          <cell r="I93">
            <v>0.15290999999999999</v>
          </cell>
          <cell r="L93">
            <v>2.215E-2</v>
          </cell>
          <cell r="Q93">
            <v>0</v>
          </cell>
          <cell r="R93">
            <v>0</v>
          </cell>
          <cell r="S93">
            <v>0</v>
          </cell>
        </row>
        <row r="94">
          <cell r="E94" t="str">
            <v>20110629LGCME650</v>
          </cell>
          <cell r="F94">
            <v>32.5</v>
          </cell>
          <cell r="G94">
            <v>8.208E-2</v>
          </cell>
          <cell r="H94">
            <v>0</v>
          </cell>
          <cell r="I94">
            <v>0</v>
          </cell>
          <cell r="L94">
            <v>2.215E-2</v>
          </cell>
          <cell r="Q94">
            <v>0</v>
          </cell>
          <cell r="R94">
            <v>0</v>
          </cell>
          <cell r="S94">
            <v>0</v>
          </cell>
        </row>
        <row r="95">
          <cell r="E95" t="str">
            <v>20110629LGCME651</v>
          </cell>
          <cell r="F95">
            <v>32.5</v>
          </cell>
          <cell r="G95">
            <v>8.208E-2</v>
          </cell>
          <cell r="H95">
            <v>0</v>
          </cell>
          <cell r="I95">
            <v>0</v>
          </cell>
          <cell r="L95">
            <v>2.215E-2</v>
          </cell>
          <cell r="Q95">
            <v>0</v>
          </cell>
          <cell r="R95">
            <v>0</v>
          </cell>
          <cell r="S95">
            <v>0</v>
          </cell>
        </row>
        <row r="96">
          <cell r="E96" t="str">
            <v>20110629LGCME657</v>
          </cell>
          <cell r="F96">
            <v>32.5</v>
          </cell>
          <cell r="G96">
            <v>8.208E-2</v>
          </cell>
          <cell r="H96">
            <v>0</v>
          </cell>
          <cell r="I96">
            <v>0</v>
          </cell>
          <cell r="L96">
            <v>2.215E-2</v>
          </cell>
          <cell r="Q96">
            <v>0</v>
          </cell>
          <cell r="R96">
            <v>0</v>
          </cell>
          <cell r="S96">
            <v>0</v>
          </cell>
        </row>
        <row r="97">
          <cell r="E97" t="str">
            <v>20110629LGCME652</v>
          </cell>
          <cell r="F97">
            <v>0</v>
          </cell>
          <cell r="G97">
            <v>8.208E-2</v>
          </cell>
          <cell r="H97">
            <v>0</v>
          </cell>
          <cell r="I97">
            <v>0</v>
          </cell>
          <cell r="L97">
            <v>2.215E-2</v>
          </cell>
          <cell r="Q97">
            <v>0</v>
          </cell>
          <cell r="R97">
            <v>0</v>
          </cell>
          <cell r="S97">
            <v>0</v>
          </cell>
        </row>
        <row r="98">
          <cell r="E98" t="str">
            <v>20110629LGCME656</v>
          </cell>
          <cell r="F98">
            <v>42.5</v>
          </cell>
          <cell r="G98">
            <v>5.806E-2</v>
          </cell>
          <cell r="H98">
            <v>7.3889999999999997E-2</v>
          </cell>
          <cell r="I98">
            <v>0.15290999999999999</v>
          </cell>
          <cell r="L98">
            <v>2.215E-2</v>
          </cell>
          <cell r="Q98">
            <v>0</v>
          </cell>
          <cell r="R98">
            <v>0</v>
          </cell>
          <cell r="S98">
            <v>0</v>
          </cell>
        </row>
        <row r="99">
          <cell r="E99" t="str">
            <v>20110629LGCME561</v>
          </cell>
          <cell r="F99">
            <v>90</v>
          </cell>
          <cell r="G99">
            <v>3.4209999999999997E-2</v>
          </cell>
          <cell r="H99">
            <v>0</v>
          </cell>
          <cell r="I99">
            <v>0</v>
          </cell>
          <cell r="L99">
            <v>2.215E-2</v>
          </cell>
          <cell r="Q99">
            <v>0</v>
          </cell>
          <cell r="R99">
            <v>13.07</v>
          </cell>
          <cell r="S99">
            <v>15.32</v>
          </cell>
        </row>
        <row r="100">
          <cell r="E100" t="str">
            <v>20110629LGCME563</v>
          </cell>
          <cell r="F100">
            <v>90</v>
          </cell>
          <cell r="G100">
            <v>3.4209999999999997E-2</v>
          </cell>
          <cell r="H100">
            <v>0</v>
          </cell>
          <cell r="I100">
            <v>0</v>
          </cell>
          <cell r="L100">
            <v>2.215E-2</v>
          </cell>
          <cell r="Q100">
            <v>0</v>
          </cell>
          <cell r="R100">
            <v>11.24</v>
          </cell>
          <cell r="S100">
            <v>13.48</v>
          </cell>
        </row>
        <row r="101">
          <cell r="E101" t="str">
            <v>20110629LGCME567</v>
          </cell>
          <cell r="F101">
            <v>90</v>
          </cell>
          <cell r="G101">
            <v>3.4209999999999997E-2</v>
          </cell>
          <cell r="H101">
            <v>0</v>
          </cell>
          <cell r="I101">
            <v>0</v>
          </cell>
          <cell r="L101">
            <v>2.215E-2</v>
          </cell>
          <cell r="Q101">
            <v>0</v>
          </cell>
          <cell r="R101">
            <v>13.07</v>
          </cell>
          <cell r="S101">
            <v>15.32</v>
          </cell>
        </row>
        <row r="102">
          <cell r="E102" t="str">
            <v>20110629LGCME591</v>
          </cell>
          <cell r="F102">
            <v>200</v>
          </cell>
          <cell r="G102">
            <v>3.3829999999999999E-2</v>
          </cell>
          <cell r="H102">
            <v>0</v>
          </cell>
          <cell r="I102">
            <v>0</v>
          </cell>
          <cell r="L102">
            <v>2.215E-2</v>
          </cell>
          <cell r="Q102">
            <v>3.79</v>
          </cell>
          <cell r="R102">
            <v>4.28</v>
          </cell>
          <cell r="S102">
            <v>5.81</v>
          </cell>
        </row>
        <row r="103">
          <cell r="E103" t="str">
            <v>20110629LGCME593</v>
          </cell>
          <cell r="F103">
            <v>200</v>
          </cell>
          <cell r="G103">
            <v>3.3829999999999999E-2</v>
          </cell>
          <cell r="H103">
            <v>0</v>
          </cell>
          <cell r="I103">
            <v>0</v>
          </cell>
          <cell r="L103">
            <v>2.215E-2</v>
          </cell>
          <cell r="Q103">
            <v>2.64</v>
          </cell>
          <cell r="R103">
            <v>4.2</v>
          </cell>
          <cell r="S103">
            <v>5.7</v>
          </cell>
        </row>
        <row r="104">
          <cell r="E104" t="str">
            <v>20110629LGINE661</v>
          </cell>
          <cell r="F104">
            <v>90</v>
          </cell>
          <cell r="G104">
            <v>3.4210000000000004E-2</v>
          </cell>
          <cell r="H104">
            <v>0</v>
          </cell>
          <cell r="I104">
            <v>0</v>
          </cell>
          <cell r="L104">
            <v>2.215E-2</v>
          </cell>
          <cell r="Q104">
            <v>0</v>
          </cell>
          <cell r="R104">
            <v>13.07</v>
          </cell>
          <cell r="S104">
            <v>15.32</v>
          </cell>
        </row>
        <row r="105">
          <cell r="E105" t="str">
            <v>20110629LGINE663</v>
          </cell>
          <cell r="F105">
            <v>90</v>
          </cell>
          <cell r="G105">
            <v>3.4210000000000004E-2</v>
          </cell>
          <cell r="H105">
            <v>0</v>
          </cell>
          <cell r="I105">
            <v>0</v>
          </cell>
          <cell r="L105">
            <v>2.215E-2</v>
          </cell>
          <cell r="Q105">
            <v>0</v>
          </cell>
          <cell r="R105">
            <v>11.24</v>
          </cell>
          <cell r="S105">
            <v>13.48</v>
          </cell>
        </row>
        <row r="106">
          <cell r="E106" t="str">
            <v>20110629LGINE691</v>
          </cell>
          <cell r="F106">
            <v>300</v>
          </cell>
          <cell r="G106">
            <v>2.9839999999999998E-2</v>
          </cell>
          <cell r="H106">
            <v>0</v>
          </cell>
          <cell r="I106">
            <v>0</v>
          </cell>
          <cell r="L106">
            <v>2.215E-2</v>
          </cell>
          <cell r="Q106">
            <v>5.48</v>
          </cell>
          <cell r="R106">
            <v>3.7</v>
          </cell>
          <cell r="S106">
            <v>5.2</v>
          </cell>
        </row>
        <row r="107">
          <cell r="E107" t="str">
            <v>20110629LGINE693</v>
          </cell>
          <cell r="F107">
            <v>300</v>
          </cell>
          <cell r="G107">
            <v>2.9839999999999998E-2</v>
          </cell>
          <cell r="H107">
            <v>0</v>
          </cell>
          <cell r="I107">
            <v>0</v>
          </cell>
          <cell r="L107">
            <v>2.215E-2</v>
          </cell>
          <cell r="Q107">
            <v>4.16</v>
          </cell>
          <cell r="R107">
            <v>7.31</v>
          </cell>
          <cell r="S107">
            <v>10.11</v>
          </cell>
        </row>
        <row r="108">
          <cell r="E108" t="str">
            <v>20110629LGINE694</v>
          </cell>
          <cell r="F108">
            <v>300</v>
          </cell>
          <cell r="G108">
            <v>2.9839999999999998E-2</v>
          </cell>
          <cell r="H108">
            <v>0</v>
          </cell>
          <cell r="I108">
            <v>0</v>
          </cell>
          <cell r="L108">
            <v>2.215E-2</v>
          </cell>
          <cell r="Q108">
            <v>4.16</v>
          </cell>
          <cell r="R108">
            <v>7.31</v>
          </cell>
          <cell r="S108">
            <v>10.11</v>
          </cell>
        </row>
        <row r="109">
          <cell r="E109" t="str">
            <v>20110629LGINE643</v>
          </cell>
          <cell r="F109">
            <v>500</v>
          </cell>
          <cell r="G109">
            <v>2.9839999999999998E-2</v>
          </cell>
          <cell r="H109">
            <v>0</v>
          </cell>
          <cell r="I109">
            <v>0</v>
          </cell>
          <cell r="L109">
            <v>2.215E-2</v>
          </cell>
          <cell r="Q109">
            <v>2.61</v>
          </cell>
          <cell r="R109">
            <v>2.86</v>
          </cell>
          <cell r="S109">
            <v>4.3600000000000003</v>
          </cell>
        </row>
        <row r="110">
          <cell r="E110" t="str">
            <v>20110629FLSP</v>
          </cell>
          <cell r="F110">
            <v>500</v>
          </cell>
          <cell r="G110">
            <v>3.7100000000000001E-2</v>
          </cell>
          <cell r="H110">
            <v>0</v>
          </cell>
          <cell r="I110">
            <v>0</v>
          </cell>
          <cell r="L110">
            <v>2.215E-2</v>
          </cell>
          <cell r="Q110">
            <v>1.75</v>
          </cell>
          <cell r="R110">
            <v>1.75</v>
          </cell>
          <cell r="S110">
            <v>2.75</v>
          </cell>
        </row>
        <row r="111">
          <cell r="E111" t="str">
            <v>20110629FLST</v>
          </cell>
          <cell r="F111">
            <v>500</v>
          </cell>
          <cell r="G111">
            <v>3.4279999999999998E-2</v>
          </cell>
          <cell r="H111">
            <v>0</v>
          </cell>
          <cell r="I111">
            <v>0</v>
          </cell>
          <cell r="L111">
            <v>2.215E-2</v>
          </cell>
          <cell r="Q111">
            <v>1</v>
          </cell>
          <cell r="R111">
            <v>1.75</v>
          </cell>
          <cell r="S111">
            <v>2.75</v>
          </cell>
        </row>
        <row r="112">
          <cell r="E112" t="str">
            <v>20110629LGMLE570</v>
          </cell>
          <cell r="F112">
            <v>0</v>
          </cell>
          <cell r="G112">
            <v>5.6219999999999999E-2</v>
          </cell>
          <cell r="H112">
            <v>0</v>
          </cell>
          <cell r="I112">
            <v>0</v>
          </cell>
          <cell r="L112">
            <v>2.215E-2</v>
          </cell>
          <cell r="Q112">
            <v>0</v>
          </cell>
          <cell r="R112">
            <v>0</v>
          </cell>
          <cell r="S112">
            <v>0</v>
          </cell>
        </row>
        <row r="113">
          <cell r="E113" t="str">
            <v>20110629LGMLE571</v>
          </cell>
          <cell r="F113">
            <v>0</v>
          </cell>
          <cell r="G113">
            <v>5.6219999999999999E-2</v>
          </cell>
          <cell r="H113">
            <v>0</v>
          </cell>
          <cell r="I113">
            <v>0</v>
          </cell>
          <cell r="L113">
            <v>2.215E-2</v>
          </cell>
          <cell r="Q113">
            <v>0</v>
          </cell>
          <cell r="R113">
            <v>0</v>
          </cell>
          <cell r="S113">
            <v>0</v>
          </cell>
        </row>
        <row r="114">
          <cell r="E114" t="str">
            <v>20110629LGMLE572</v>
          </cell>
          <cell r="F114">
            <v>0</v>
          </cell>
          <cell r="G114">
            <v>5.6219999999999999E-2</v>
          </cell>
          <cell r="H114">
            <v>0</v>
          </cell>
          <cell r="I114">
            <v>0</v>
          </cell>
          <cell r="L114">
            <v>2.215E-2</v>
          </cell>
          <cell r="Q114">
            <v>0</v>
          </cell>
          <cell r="R114">
            <v>0</v>
          </cell>
          <cell r="S114">
            <v>0</v>
          </cell>
        </row>
        <row r="115">
          <cell r="E115" t="str">
            <v>20110629LGMLE573</v>
          </cell>
          <cell r="F115">
            <v>3.14</v>
          </cell>
          <cell r="G115">
            <v>6.7799999999999999E-2</v>
          </cell>
          <cell r="H115">
            <v>0</v>
          </cell>
          <cell r="I115">
            <v>0</v>
          </cell>
          <cell r="L115">
            <v>2.215E-2</v>
          </cell>
          <cell r="Q115">
            <v>0</v>
          </cell>
          <cell r="R115">
            <v>0</v>
          </cell>
          <cell r="S115">
            <v>0</v>
          </cell>
        </row>
        <row r="116">
          <cell r="E116" t="str">
            <v>20110629LGMLE574</v>
          </cell>
          <cell r="F116">
            <v>3.14</v>
          </cell>
          <cell r="G116">
            <v>6.7799999999999999E-2</v>
          </cell>
          <cell r="H116">
            <v>0</v>
          </cell>
          <cell r="I116">
            <v>0</v>
          </cell>
          <cell r="L116">
            <v>2.215E-2</v>
          </cell>
          <cell r="Q116">
            <v>0</v>
          </cell>
          <cell r="R116">
            <v>0</v>
          </cell>
          <cell r="S116">
            <v>0</v>
          </cell>
        </row>
        <row r="117">
          <cell r="E117" t="str">
            <v>20110629LGINE599</v>
          </cell>
          <cell r="F117">
            <v>0</v>
          </cell>
          <cell r="G117">
            <v>3.04E-2</v>
          </cell>
          <cell r="H117">
            <v>0</v>
          </cell>
          <cell r="I117">
            <v>0</v>
          </cell>
          <cell r="L117">
            <v>2.215E-2</v>
          </cell>
          <cell r="Q117">
            <v>0</v>
          </cell>
          <cell r="R117">
            <v>11.63</v>
          </cell>
          <cell r="S117">
            <v>13.82</v>
          </cell>
        </row>
        <row r="118">
          <cell r="E118" t="str">
            <v>20110629LGCME671</v>
          </cell>
          <cell r="F118">
            <v>0</v>
          </cell>
          <cell r="G118">
            <v>3.039E-2</v>
          </cell>
          <cell r="H118">
            <v>0</v>
          </cell>
          <cell r="I118">
            <v>0</v>
          </cell>
          <cell r="L118">
            <v>2.215E-2</v>
          </cell>
          <cell r="Q118">
            <v>0</v>
          </cell>
          <cell r="R118">
            <v>9.85</v>
          </cell>
          <cell r="S118">
            <v>9.85</v>
          </cell>
        </row>
        <row r="119">
          <cell r="E119" t="str">
            <v>20110629LGRSE543</v>
          </cell>
          <cell r="F119">
            <v>8.5</v>
          </cell>
          <cell r="G119">
            <v>5.0290000000000001E-2</v>
          </cell>
          <cell r="H119">
            <v>7.0529999999999995E-2</v>
          </cell>
          <cell r="I119">
            <v>0.13431000000000001</v>
          </cell>
          <cell r="L119">
            <v>2.215E-2</v>
          </cell>
          <cell r="Q119">
            <v>0</v>
          </cell>
          <cell r="R119">
            <v>0</v>
          </cell>
          <cell r="S119">
            <v>0</v>
          </cell>
        </row>
        <row r="120">
          <cell r="E120" t="str">
            <v>20120301LGRSE411</v>
          </cell>
          <cell r="F120">
            <v>0</v>
          </cell>
          <cell r="G120">
            <v>7.2419999999999998E-2</v>
          </cell>
          <cell r="H120">
            <v>0</v>
          </cell>
          <cell r="I120">
            <v>0</v>
          </cell>
          <cell r="L120">
            <v>2.215E-2</v>
          </cell>
          <cell r="Q120">
            <v>0</v>
          </cell>
          <cell r="R120">
            <v>0</v>
          </cell>
          <cell r="S120">
            <v>0</v>
          </cell>
        </row>
        <row r="121">
          <cell r="E121" t="str">
            <v>20120301LGCME451</v>
          </cell>
          <cell r="F121">
            <v>0</v>
          </cell>
          <cell r="G121">
            <v>8.2400000000000001E-2</v>
          </cell>
          <cell r="H121">
            <v>0</v>
          </cell>
          <cell r="I121">
            <v>0</v>
          </cell>
          <cell r="L121">
            <v>2.215E-2</v>
          </cell>
          <cell r="Q121">
            <v>0</v>
          </cell>
          <cell r="R121">
            <v>0</v>
          </cell>
          <cell r="S121">
            <v>0</v>
          </cell>
        </row>
        <row r="122">
          <cell r="E122" t="str">
            <v>20120301LGRSE511</v>
          </cell>
          <cell r="F122">
            <v>8.5</v>
          </cell>
          <cell r="G122">
            <v>7.2419999999999998E-2</v>
          </cell>
          <cell r="H122">
            <v>0</v>
          </cell>
          <cell r="I122">
            <v>0</v>
          </cell>
          <cell r="L122">
            <v>2.215E-2</v>
          </cell>
          <cell r="Q122">
            <v>0</v>
          </cell>
          <cell r="R122">
            <v>0</v>
          </cell>
          <cell r="S122">
            <v>0</v>
          </cell>
        </row>
        <row r="123">
          <cell r="E123" t="str">
            <v>20120301LGRSE519</v>
          </cell>
          <cell r="F123">
            <v>8.5</v>
          </cell>
          <cell r="G123">
            <v>7.2419999999999998E-2</v>
          </cell>
          <cell r="H123">
            <v>0</v>
          </cell>
          <cell r="I123">
            <v>0</v>
          </cell>
          <cell r="L123">
            <v>2.215E-2</v>
          </cell>
          <cell r="Q123">
            <v>0</v>
          </cell>
          <cell r="R123">
            <v>0</v>
          </cell>
          <cell r="S123">
            <v>0</v>
          </cell>
        </row>
        <row r="124">
          <cell r="E124" t="str">
            <v>20120301LGRSE540</v>
          </cell>
          <cell r="F124">
            <v>8.5</v>
          </cell>
          <cell r="G124">
            <v>7.2419999999999998E-2</v>
          </cell>
          <cell r="H124">
            <v>0</v>
          </cell>
          <cell r="I124">
            <v>0</v>
          </cell>
          <cell r="L124">
            <v>2.215E-2</v>
          </cell>
          <cell r="Q124">
            <v>0</v>
          </cell>
          <cell r="R124">
            <v>0</v>
          </cell>
          <cell r="S124">
            <v>0</v>
          </cell>
        </row>
        <row r="125">
          <cell r="E125" t="str">
            <v>20120301LGRSE541</v>
          </cell>
          <cell r="F125">
            <v>13.5</v>
          </cell>
          <cell r="G125">
            <v>5.0460000000000005E-2</v>
          </cell>
          <cell r="H125">
            <v>6.3420000000000004E-2</v>
          </cell>
          <cell r="I125">
            <v>0.12046999999999999</v>
          </cell>
          <cell r="L125">
            <v>2.215E-2</v>
          </cell>
          <cell r="Q125">
            <v>0</v>
          </cell>
          <cell r="R125">
            <v>0</v>
          </cell>
          <cell r="S125">
            <v>0</v>
          </cell>
        </row>
        <row r="126">
          <cell r="E126" t="str">
            <v>20120301LGCME550</v>
          </cell>
          <cell r="F126">
            <v>17.5</v>
          </cell>
          <cell r="G126">
            <v>8.2400000000000001E-2</v>
          </cell>
          <cell r="H126">
            <v>0</v>
          </cell>
          <cell r="I126">
            <v>0</v>
          </cell>
          <cell r="L126">
            <v>2.215E-2</v>
          </cell>
          <cell r="Q126">
            <v>0</v>
          </cell>
          <cell r="R126">
            <v>0</v>
          </cell>
          <cell r="S126">
            <v>0</v>
          </cell>
        </row>
        <row r="127">
          <cell r="E127" t="str">
            <v>20120301LGCME551</v>
          </cell>
          <cell r="F127">
            <v>17.5</v>
          </cell>
          <cell r="G127">
            <v>8.2400000000000001E-2</v>
          </cell>
          <cell r="H127">
            <v>0</v>
          </cell>
          <cell r="I127">
            <v>0</v>
          </cell>
          <cell r="L127">
            <v>2.215E-2</v>
          </cell>
          <cell r="Q127">
            <v>0</v>
          </cell>
          <cell r="R127">
            <v>0</v>
          </cell>
          <cell r="S127">
            <v>0</v>
          </cell>
        </row>
        <row r="128">
          <cell r="E128" t="str">
            <v>20120301LGCME551UM</v>
          </cell>
          <cell r="F128">
            <v>17.5</v>
          </cell>
          <cell r="G128">
            <v>8.2400000000000001E-2</v>
          </cell>
          <cell r="H128">
            <v>0</v>
          </cell>
          <cell r="I128">
            <v>0</v>
          </cell>
          <cell r="L128">
            <v>2.215E-2</v>
          </cell>
          <cell r="Q128">
            <v>0</v>
          </cell>
          <cell r="R128">
            <v>0</v>
          </cell>
          <cell r="S128">
            <v>0</v>
          </cell>
        </row>
        <row r="129">
          <cell r="E129" t="str">
            <v>20120301LGCME557</v>
          </cell>
          <cell r="F129">
            <v>17.5</v>
          </cell>
          <cell r="G129">
            <v>8.2400000000000001E-2</v>
          </cell>
          <cell r="H129">
            <v>0</v>
          </cell>
          <cell r="I129">
            <v>0</v>
          </cell>
          <cell r="L129">
            <v>2.215E-2</v>
          </cell>
          <cell r="Q129">
            <v>0</v>
          </cell>
          <cell r="R129">
            <v>0</v>
          </cell>
          <cell r="S129">
            <v>0</v>
          </cell>
        </row>
        <row r="130">
          <cell r="E130" t="str">
            <v>20120301LGCME552</v>
          </cell>
          <cell r="F130">
            <v>0</v>
          </cell>
          <cell r="G130">
            <v>8.2400000000000001E-2</v>
          </cell>
          <cell r="H130">
            <v>0</v>
          </cell>
          <cell r="I130">
            <v>0</v>
          </cell>
          <cell r="L130">
            <v>2.215E-2</v>
          </cell>
          <cell r="Q130">
            <v>0</v>
          </cell>
          <cell r="R130">
            <v>0</v>
          </cell>
          <cell r="S130">
            <v>0</v>
          </cell>
        </row>
        <row r="131">
          <cell r="E131" t="str">
            <v>20120301LGCME555</v>
          </cell>
          <cell r="F131">
            <v>27.5</v>
          </cell>
          <cell r="G131">
            <v>5.8380000000000001E-2</v>
          </cell>
          <cell r="H131">
            <v>7.4209999999999998E-2</v>
          </cell>
          <cell r="I131">
            <v>0.15323000000000001</v>
          </cell>
          <cell r="L131">
            <v>2.215E-2</v>
          </cell>
          <cell r="Q131">
            <v>0</v>
          </cell>
          <cell r="R131">
            <v>0</v>
          </cell>
          <cell r="S131">
            <v>0</v>
          </cell>
        </row>
        <row r="132">
          <cell r="E132" t="str">
            <v>20120301LGCME650</v>
          </cell>
          <cell r="F132">
            <v>32.5</v>
          </cell>
          <cell r="G132">
            <v>8.2400000000000001E-2</v>
          </cell>
          <cell r="H132">
            <v>0</v>
          </cell>
          <cell r="I132">
            <v>0</v>
          </cell>
          <cell r="L132">
            <v>2.215E-2</v>
          </cell>
          <cell r="Q132">
            <v>0</v>
          </cell>
          <cell r="R132">
            <v>0</v>
          </cell>
          <cell r="S132">
            <v>0</v>
          </cell>
        </row>
        <row r="133">
          <cell r="E133" t="str">
            <v>20120301LGCME651</v>
          </cell>
          <cell r="F133">
            <v>32.5</v>
          </cell>
          <cell r="G133">
            <v>8.2400000000000001E-2</v>
          </cell>
          <cell r="H133">
            <v>0</v>
          </cell>
          <cell r="I133">
            <v>0</v>
          </cell>
          <cell r="L133">
            <v>2.215E-2</v>
          </cell>
          <cell r="Q133">
            <v>0</v>
          </cell>
          <cell r="R133">
            <v>0</v>
          </cell>
          <cell r="S133">
            <v>0</v>
          </cell>
        </row>
        <row r="134">
          <cell r="E134" t="str">
            <v>20120301LGCME657</v>
          </cell>
          <cell r="F134">
            <v>32.5</v>
          </cell>
          <cell r="G134">
            <v>8.2400000000000001E-2</v>
          </cell>
          <cell r="H134">
            <v>0</v>
          </cell>
          <cell r="I134">
            <v>0</v>
          </cell>
          <cell r="L134">
            <v>2.215E-2</v>
          </cell>
          <cell r="Q134">
            <v>0</v>
          </cell>
          <cell r="R134">
            <v>0</v>
          </cell>
          <cell r="S134">
            <v>0</v>
          </cell>
        </row>
        <row r="135">
          <cell r="E135" t="str">
            <v>20120301LGCME652</v>
          </cell>
          <cell r="F135">
            <v>0</v>
          </cell>
          <cell r="G135">
            <v>8.2400000000000001E-2</v>
          </cell>
          <cell r="H135">
            <v>0</v>
          </cell>
          <cell r="I135">
            <v>0</v>
          </cell>
          <cell r="L135">
            <v>2.215E-2</v>
          </cell>
          <cell r="Q135">
            <v>0</v>
          </cell>
          <cell r="R135">
            <v>0</v>
          </cell>
          <cell r="S135">
            <v>0</v>
          </cell>
        </row>
        <row r="136">
          <cell r="E136" t="str">
            <v>20120301LGCME656</v>
          </cell>
          <cell r="F136">
            <v>42.5</v>
          </cell>
          <cell r="G136">
            <v>5.8380000000000001E-2</v>
          </cell>
          <cell r="H136">
            <v>7.4209999999999998E-2</v>
          </cell>
          <cell r="I136">
            <v>0.15323000000000001</v>
          </cell>
          <cell r="L136">
            <v>2.215E-2</v>
          </cell>
          <cell r="Q136">
            <v>0</v>
          </cell>
          <cell r="R136">
            <v>0</v>
          </cell>
          <cell r="S136">
            <v>0</v>
          </cell>
        </row>
        <row r="137">
          <cell r="E137" t="str">
            <v>20120301LGCME561</v>
          </cell>
          <cell r="F137">
            <v>90</v>
          </cell>
          <cell r="G137">
            <v>3.4209999999999997E-2</v>
          </cell>
          <cell r="H137">
            <v>0</v>
          </cell>
          <cell r="I137">
            <v>0</v>
          </cell>
          <cell r="L137">
            <v>2.215E-2</v>
          </cell>
          <cell r="Q137">
            <v>0</v>
          </cell>
          <cell r="R137">
            <v>13.14</v>
          </cell>
          <cell r="S137">
            <v>15.39</v>
          </cell>
        </row>
        <row r="138">
          <cell r="E138" t="str">
            <v>20120301LGCME563</v>
          </cell>
          <cell r="F138">
            <v>90</v>
          </cell>
          <cell r="G138">
            <v>3.4209999999999997E-2</v>
          </cell>
          <cell r="H138">
            <v>0</v>
          </cell>
          <cell r="I138">
            <v>0</v>
          </cell>
          <cell r="L138">
            <v>2.215E-2</v>
          </cell>
          <cell r="Q138">
            <v>0</v>
          </cell>
          <cell r="R138">
            <v>11.31</v>
          </cell>
          <cell r="S138">
            <v>13.55</v>
          </cell>
        </row>
        <row r="139">
          <cell r="E139" t="str">
            <v>20120301LGCME567</v>
          </cell>
          <cell r="F139">
            <v>90</v>
          </cell>
          <cell r="G139">
            <v>3.4209999999999997E-2</v>
          </cell>
          <cell r="H139">
            <v>0</v>
          </cell>
          <cell r="I139">
            <v>0</v>
          </cell>
          <cell r="L139">
            <v>2.215E-2</v>
          </cell>
          <cell r="Q139">
            <v>0</v>
          </cell>
          <cell r="R139">
            <v>13.14</v>
          </cell>
          <cell r="S139">
            <v>15.39</v>
          </cell>
        </row>
        <row r="140">
          <cell r="E140" t="str">
            <v>20120301LGCME569</v>
          </cell>
          <cell r="F140">
            <v>90</v>
          </cell>
          <cell r="G140">
            <v>3.4209999999999997E-2</v>
          </cell>
          <cell r="H140">
            <v>0</v>
          </cell>
          <cell r="I140">
            <v>0</v>
          </cell>
          <cell r="L140">
            <v>2.215E-2</v>
          </cell>
          <cell r="Q140">
            <v>0</v>
          </cell>
          <cell r="R140">
            <v>11.31</v>
          </cell>
          <cell r="S140">
            <v>13.55</v>
          </cell>
        </row>
        <row r="141">
          <cell r="E141" t="str">
            <v>20120301LGCME591</v>
          </cell>
          <cell r="F141">
            <v>200</v>
          </cell>
          <cell r="G141">
            <v>3.3829999999999999E-2</v>
          </cell>
          <cell r="H141">
            <v>0</v>
          </cell>
          <cell r="I141">
            <v>0</v>
          </cell>
          <cell r="L141">
            <v>2.215E-2</v>
          </cell>
          <cell r="Q141">
            <v>3.76</v>
          </cell>
          <cell r="R141">
            <v>4.25</v>
          </cell>
          <cell r="S141">
            <v>5.78</v>
          </cell>
        </row>
        <row r="142">
          <cell r="E142" t="str">
            <v>20120301LGCME593</v>
          </cell>
          <cell r="F142">
            <v>200</v>
          </cell>
          <cell r="G142">
            <v>3.3829999999999999E-2</v>
          </cell>
          <cell r="H142">
            <v>0</v>
          </cell>
          <cell r="I142">
            <v>0</v>
          </cell>
          <cell r="L142">
            <v>2.215E-2</v>
          </cell>
          <cell r="Q142">
            <v>2.59</v>
          </cell>
          <cell r="R142">
            <v>4.1500000000000004</v>
          </cell>
          <cell r="S142">
            <v>5.65</v>
          </cell>
        </row>
        <row r="143">
          <cell r="E143" t="str">
            <v>20120301LGINE661</v>
          </cell>
          <cell r="F143">
            <v>90</v>
          </cell>
          <cell r="G143">
            <v>3.4209999999999997E-2</v>
          </cell>
          <cell r="H143">
            <v>0</v>
          </cell>
          <cell r="I143">
            <v>0</v>
          </cell>
          <cell r="L143">
            <v>2.215E-2</v>
          </cell>
          <cell r="Q143">
            <v>0</v>
          </cell>
          <cell r="R143">
            <v>13.14</v>
          </cell>
          <cell r="S143">
            <v>15.39</v>
          </cell>
        </row>
        <row r="144">
          <cell r="E144" t="str">
            <v>20120301LGINE663</v>
          </cell>
          <cell r="F144">
            <v>90</v>
          </cell>
          <cell r="G144">
            <v>3.4209999999999997E-2</v>
          </cell>
          <cell r="H144">
            <v>0</v>
          </cell>
          <cell r="I144">
            <v>0</v>
          </cell>
          <cell r="L144">
            <v>2.215E-2</v>
          </cell>
          <cell r="Q144">
            <v>0</v>
          </cell>
          <cell r="R144">
            <v>11.31</v>
          </cell>
          <cell r="S144">
            <v>13.55</v>
          </cell>
        </row>
        <row r="145">
          <cell r="E145" t="str">
            <v>20120301LGINE691</v>
          </cell>
          <cell r="F145">
            <v>300</v>
          </cell>
          <cell r="G145">
            <v>2.9839999999999998E-2</v>
          </cell>
          <cell r="H145">
            <v>0</v>
          </cell>
          <cell r="I145">
            <v>0</v>
          </cell>
          <cell r="L145">
            <v>2.215E-2</v>
          </cell>
          <cell r="Q145">
            <v>5.46</v>
          </cell>
          <cell r="R145">
            <v>3.68</v>
          </cell>
          <cell r="S145">
            <v>5.18</v>
          </cell>
        </row>
        <row r="146">
          <cell r="E146" t="str">
            <v>20120301LGINE693</v>
          </cell>
          <cell r="F146">
            <v>300</v>
          </cell>
          <cell r="G146">
            <v>2.9839999999999998E-2</v>
          </cell>
          <cell r="H146">
            <v>0</v>
          </cell>
          <cell r="I146">
            <v>0</v>
          </cell>
          <cell r="L146">
            <v>2.215E-2</v>
          </cell>
          <cell r="Q146">
            <v>4.17</v>
          </cell>
          <cell r="R146">
            <v>7.32</v>
          </cell>
          <cell r="S146">
            <v>10.119999999999999</v>
          </cell>
        </row>
        <row r="147">
          <cell r="E147" t="str">
            <v>20120301LGINE694</v>
          </cell>
          <cell r="F147">
            <v>300</v>
          </cell>
          <cell r="G147">
            <v>2.9839999999999998E-2</v>
          </cell>
          <cell r="H147">
            <v>0</v>
          </cell>
          <cell r="I147">
            <v>0</v>
          </cell>
          <cell r="L147">
            <v>2.215E-2</v>
          </cell>
          <cell r="Q147">
            <v>4.17</v>
          </cell>
          <cell r="R147">
            <v>7.32</v>
          </cell>
          <cell r="S147">
            <v>10.119999999999999</v>
          </cell>
        </row>
        <row r="148">
          <cell r="E148" t="str">
            <v>20120301LGINE643</v>
          </cell>
          <cell r="F148">
            <v>500</v>
          </cell>
          <cell r="G148">
            <v>2.9839999999999998E-2</v>
          </cell>
          <cell r="H148">
            <v>0</v>
          </cell>
          <cell r="I148">
            <v>0</v>
          </cell>
          <cell r="L148">
            <v>2.215E-2</v>
          </cell>
          <cell r="Q148">
            <v>2.57</v>
          </cell>
          <cell r="R148">
            <v>2.82</v>
          </cell>
          <cell r="S148">
            <v>4.32</v>
          </cell>
        </row>
        <row r="149">
          <cell r="E149" t="str">
            <v>20120301LGINE682</v>
          </cell>
          <cell r="F149">
            <v>500</v>
          </cell>
          <cell r="G149">
            <v>3.7100000000000001E-2</v>
          </cell>
          <cell r="H149">
            <v>0</v>
          </cell>
          <cell r="I149">
            <v>0</v>
          </cell>
          <cell r="L149">
            <v>2.215E-2</v>
          </cell>
          <cell r="Q149">
            <v>1.71</v>
          </cell>
          <cell r="R149">
            <v>1.71</v>
          </cell>
          <cell r="S149">
            <v>2.71</v>
          </cell>
        </row>
        <row r="150">
          <cell r="E150" t="str">
            <v>20120301LGINE683</v>
          </cell>
          <cell r="F150">
            <v>500</v>
          </cell>
          <cell r="G150">
            <v>3.4279999999999998E-2</v>
          </cell>
          <cell r="H150">
            <v>0</v>
          </cell>
          <cell r="I150">
            <v>0</v>
          </cell>
          <cell r="L150">
            <v>2.215E-2</v>
          </cell>
          <cell r="Q150">
            <v>0.96</v>
          </cell>
          <cell r="R150">
            <v>1.71</v>
          </cell>
          <cell r="S150">
            <v>2.71</v>
          </cell>
        </row>
        <row r="151">
          <cell r="E151" t="str">
            <v>20120301LGMLE570</v>
          </cell>
          <cell r="F151">
            <v>0</v>
          </cell>
          <cell r="G151">
            <v>5.6460000000000003E-2</v>
          </cell>
          <cell r="H151">
            <v>0</v>
          </cell>
          <cell r="I151">
            <v>0</v>
          </cell>
          <cell r="L151">
            <v>2.215E-2</v>
          </cell>
          <cell r="Q151">
            <v>0</v>
          </cell>
          <cell r="R151">
            <v>0</v>
          </cell>
          <cell r="S151">
            <v>0</v>
          </cell>
        </row>
        <row r="152">
          <cell r="E152" t="str">
            <v>20120301LGMLE571</v>
          </cell>
          <cell r="F152">
            <v>0</v>
          </cell>
          <cell r="G152">
            <v>5.6460000000000003E-2</v>
          </cell>
          <cell r="H152">
            <v>0</v>
          </cell>
          <cell r="I152">
            <v>0</v>
          </cell>
          <cell r="L152">
            <v>2.215E-2</v>
          </cell>
          <cell r="Q152">
            <v>0</v>
          </cell>
          <cell r="R152">
            <v>0</v>
          </cell>
          <cell r="S152">
            <v>0</v>
          </cell>
        </row>
        <row r="153">
          <cell r="E153" t="str">
            <v>20120301LGMLE572</v>
          </cell>
          <cell r="F153">
            <v>0</v>
          </cell>
          <cell r="G153">
            <v>5.6460000000000003E-2</v>
          </cell>
          <cell r="H153">
            <v>0</v>
          </cell>
          <cell r="I153">
            <v>0</v>
          </cell>
          <cell r="L153">
            <v>2.215E-2</v>
          </cell>
          <cell r="Q153">
            <v>0</v>
          </cell>
          <cell r="R153">
            <v>0</v>
          </cell>
          <cell r="S153">
            <v>0</v>
          </cell>
        </row>
        <row r="154">
          <cell r="E154" t="str">
            <v>20120301LGMLE573</v>
          </cell>
          <cell r="F154">
            <v>3.14</v>
          </cell>
          <cell r="G154">
            <v>6.8040000000000003E-2</v>
          </cell>
          <cell r="H154">
            <v>0</v>
          </cell>
          <cell r="I154">
            <v>0</v>
          </cell>
          <cell r="L154">
            <v>2.215E-2</v>
          </cell>
          <cell r="Q154">
            <v>0</v>
          </cell>
          <cell r="R154">
            <v>0</v>
          </cell>
          <cell r="S154">
            <v>0</v>
          </cell>
        </row>
        <row r="155">
          <cell r="E155" t="str">
            <v>20120301LGMLE574</v>
          </cell>
          <cell r="F155">
            <v>3.14</v>
          </cell>
          <cell r="G155">
            <v>6.8040000000000003E-2</v>
          </cell>
          <cell r="H155">
            <v>0</v>
          </cell>
          <cell r="I155">
            <v>0</v>
          </cell>
          <cell r="L155">
            <v>2.215E-2</v>
          </cell>
          <cell r="Q155">
            <v>0</v>
          </cell>
          <cell r="R155">
            <v>0</v>
          </cell>
          <cell r="S155">
            <v>0</v>
          </cell>
        </row>
        <row r="156">
          <cell r="E156" t="str">
            <v>20120301LGMLE575</v>
          </cell>
          <cell r="F156">
            <v>3.14</v>
          </cell>
          <cell r="G156">
            <v>6.8040000000000003E-2</v>
          </cell>
          <cell r="H156">
            <v>0</v>
          </cell>
          <cell r="I156">
            <v>0</v>
          </cell>
          <cell r="L156">
            <v>2.215E-2</v>
          </cell>
          <cell r="Q156">
            <v>0</v>
          </cell>
          <cell r="R156">
            <v>0</v>
          </cell>
          <cell r="S156">
            <v>0</v>
          </cell>
        </row>
        <row r="157">
          <cell r="E157" t="str">
            <v>20120301LGMLE577</v>
          </cell>
          <cell r="F157">
            <v>3.14</v>
          </cell>
          <cell r="G157">
            <v>6.8040000000000003E-2</v>
          </cell>
          <cell r="H157">
            <v>0</v>
          </cell>
          <cell r="I157">
            <v>0</v>
          </cell>
          <cell r="L157">
            <v>2.215E-2</v>
          </cell>
          <cell r="Q157">
            <v>0</v>
          </cell>
          <cell r="R157">
            <v>0</v>
          </cell>
          <cell r="S157">
            <v>0</v>
          </cell>
        </row>
        <row r="158">
          <cell r="E158" t="str">
            <v>20120301LGINE599</v>
          </cell>
          <cell r="F158">
            <v>0</v>
          </cell>
          <cell r="G158">
            <v>3.04E-2</v>
          </cell>
          <cell r="H158">
            <v>0</v>
          </cell>
          <cell r="I158">
            <v>0</v>
          </cell>
          <cell r="L158">
            <v>2.215E-2</v>
          </cell>
          <cell r="Q158">
            <v>0</v>
          </cell>
          <cell r="R158">
            <v>11.65</v>
          </cell>
          <cell r="S158">
            <v>13.84</v>
          </cell>
        </row>
        <row r="159">
          <cell r="E159" t="str">
            <v>20120301LGCME671</v>
          </cell>
          <cell r="F159">
            <v>0</v>
          </cell>
          <cell r="G159">
            <v>3.039E-2</v>
          </cell>
          <cell r="H159">
            <v>0</v>
          </cell>
          <cell r="I159">
            <v>0</v>
          </cell>
          <cell r="L159">
            <v>2.215E-2</v>
          </cell>
          <cell r="Q159">
            <v>0</v>
          </cell>
          <cell r="R159">
            <v>9.8699999999999992</v>
          </cell>
          <cell r="S159">
            <v>9.8699999999999992</v>
          </cell>
        </row>
        <row r="160">
          <cell r="E160" t="str">
            <v>20120301LGRSE543</v>
          </cell>
          <cell r="F160">
            <v>8.5</v>
          </cell>
          <cell r="G160">
            <v>5.0460000000000005E-2</v>
          </cell>
          <cell r="H160">
            <v>7.0699999999999999E-2</v>
          </cell>
          <cell r="I160">
            <v>0.13447999999999999</v>
          </cell>
          <cell r="L160">
            <v>2.215E-2</v>
          </cell>
          <cell r="Q160">
            <v>0</v>
          </cell>
          <cell r="R160">
            <v>0</v>
          </cell>
          <cell r="S160">
            <v>0</v>
          </cell>
        </row>
        <row r="161">
          <cell r="E161" t="str">
            <v>20130101LGRSE411</v>
          </cell>
          <cell r="F161">
            <v>0</v>
          </cell>
          <cell r="G161">
            <v>7.4389999999999998E-2</v>
          </cell>
          <cell r="H161">
            <v>0</v>
          </cell>
          <cell r="I161">
            <v>0</v>
          </cell>
          <cell r="L161">
            <v>2.215E-2</v>
          </cell>
          <cell r="Q161">
            <v>0</v>
          </cell>
          <cell r="R161">
            <v>0</v>
          </cell>
          <cell r="S161">
            <v>0</v>
          </cell>
        </row>
        <row r="162">
          <cell r="E162" t="str">
            <v>20130101LGCME451</v>
          </cell>
          <cell r="F162">
            <v>0</v>
          </cell>
          <cell r="G162">
            <v>8.4659999999999999E-2</v>
          </cell>
          <cell r="H162">
            <v>0</v>
          </cell>
          <cell r="I162">
            <v>0</v>
          </cell>
          <cell r="L162">
            <v>2.215E-2</v>
          </cell>
          <cell r="Q162">
            <v>0</v>
          </cell>
          <cell r="R162">
            <v>0</v>
          </cell>
          <cell r="S162">
            <v>0</v>
          </cell>
        </row>
        <row r="163">
          <cell r="E163" t="str">
            <v>20130101LGRSE511</v>
          </cell>
          <cell r="F163">
            <v>10.75</v>
          </cell>
          <cell r="G163">
            <v>7.4389999999999998E-2</v>
          </cell>
          <cell r="H163">
            <v>0</v>
          </cell>
          <cell r="I163">
            <v>0</v>
          </cell>
          <cell r="L163">
            <v>2.215E-2</v>
          </cell>
          <cell r="Q163">
            <v>0</v>
          </cell>
          <cell r="R163">
            <v>0</v>
          </cell>
          <cell r="S163">
            <v>0</v>
          </cell>
        </row>
        <row r="164">
          <cell r="E164" t="str">
            <v>20130101LGRSE519</v>
          </cell>
          <cell r="F164">
            <v>10.75</v>
          </cell>
          <cell r="G164">
            <v>7.4389999999999998E-2</v>
          </cell>
          <cell r="H164">
            <v>0</v>
          </cell>
          <cell r="I164">
            <v>0</v>
          </cell>
          <cell r="L164">
            <v>2.215E-2</v>
          </cell>
          <cell r="Q164">
            <v>0</v>
          </cell>
          <cell r="R164">
            <v>0</v>
          </cell>
          <cell r="S164">
            <v>0</v>
          </cell>
        </row>
        <row r="165">
          <cell r="E165" t="str">
            <v>20130101LGRSE540</v>
          </cell>
          <cell r="F165">
            <v>10.75</v>
          </cell>
          <cell r="G165">
            <v>7.4389999999999998E-2</v>
          </cell>
          <cell r="H165">
            <v>0</v>
          </cell>
          <cell r="I165">
            <v>0</v>
          </cell>
          <cell r="L165">
            <v>2.215E-2</v>
          </cell>
          <cell r="Q165">
            <v>0</v>
          </cell>
          <cell r="R165">
            <v>0</v>
          </cell>
          <cell r="S165">
            <v>0</v>
          </cell>
        </row>
        <row r="166">
          <cell r="E166" t="str">
            <v>20130101LGRSE541</v>
          </cell>
          <cell r="F166">
            <v>0</v>
          </cell>
          <cell r="G166">
            <v>0</v>
          </cell>
          <cell r="H166">
            <v>0</v>
          </cell>
          <cell r="I166">
            <v>0</v>
          </cell>
          <cell r="L166">
            <v>0</v>
          </cell>
          <cell r="Q166">
            <v>0</v>
          </cell>
          <cell r="R166">
            <v>0</v>
          </cell>
          <cell r="S166">
            <v>0</v>
          </cell>
        </row>
        <row r="167">
          <cell r="E167" t="str">
            <v>20130101LGCME550</v>
          </cell>
          <cell r="F167">
            <v>20</v>
          </cell>
          <cell r="G167">
            <v>8.4659999999999999E-2</v>
          </cell>
          <cell r="H167">
            <v>0</v>
          </cell>
          <cell r="I167">
            <v>0</v>
          </cell>
          <cell r="L167">
            <v>2.215E-2</v>
          </cell>
          <cell r="Q167">
            <v>0</v>
          </cell>
          <cell r="R167">
            <v>0</v>
          </cell>
          <cell r="S167">
            <v>0</v>
          </cell>
        </row>
        <row r="168">
          <cell r="E168" t="str">
            <v>20130101LGCME551</v>
          </cell>
          <cell r="F168">
            <v>20</v>
          </cell>
          <cell r="G168">
            <v>8.4659999999999999E-2</v>
          </cell>
          <cell r="H168">
            <v>0</v>
          </cell>
          <cell r="I168">
            <v>0</v>
          </cell>
          <cell r="L168">
            <v>2.215E-2</v>
          </cell>
          <cell r="Q168">
            <v>0</v>
          </cell>
          <cell r="R168">
            <v>0</v>
          </cell>
          <cell r="S168">
            <v>0</v>
          </cell>
        </row>
        <row r="169">
          <cell r="E169" t="str">
            <v>20130101LGCME551UM</v>
          </cell>
          <cell r="F169">
            <v>20</v>
          </cell>
          <cell r="G169">
            <v>8.4659999999999999E-2</v>
          </cell>
          <cell r="H169">
            <v>0</v>
          </cell>
          <cell r="I169">
            <v>0</v>
          </cell>
          <cell r="L169">
            <v>2.215E-2</v>
          </cell>
          <cell r="Q169">
            <v>0</v>
          </cell>
          <cell r="R169">
            <v>0</v>
          </cell>
          <cell r="S169">
            <v>0</v>
          </cell>
        </row>
        <row r="170">
          <cell r="E170" t="str">
            <v>20130101LGCME557</v>
          </cell>
          <cell r="F170">
            <v>20</v>
          </cell>
          <cell r="G170">
            <v>8.4659999999999999E-2</v>
          </cell>
          <cell r="H170">
            <v>0</v>
          </cell>
          <cell r="I170">
            <v>0</v>
          </cell>
          <cell r="L170">
            <v>2.215E-2</v>
          </cell>
          <cell r="Q170">
            <v>0</v>
          </cell>
          <cell r="R170">
            <v>0</v>
          </cell>
          <cell r="S170">
            <v>0</v>
          </cell>
        </row>
        <row r="171">
          <cell r="E171" t="str">
            <v>20130101LGCME552</v>
          </cell>
          <cell r="F171">
            <v>0</v>
          </cell>
          <cell r="G171">
            <v>8.4659999999999999E-2</v>
          </cell>
          <cell r="H171">
            <v>0</v>
          </cell>
          <cell r="I171">
            <v>0</v>
          </cell>
          <cell r="L171">
            <v>2.215E-2</v>
          </cell>
          <cell r="Q171">
            <v>0</v>
          </cell>
          <cell r="R171">
            <v>0</v>
          </cell>
          <cell r="S171">
            <v>0</v>
          </cell>
        </row>
        <row r="172">
          <cell r="E172" t="str">
            <v>20130101LGCME555</v>
          </cell>
          <cell r="F172">
            <v>0</v>
          </cell>
          <cell r="G172">
            <v>0</v>
          </cell>
          <cell r="H172">
            <v>0</v>
          </cell>
          <cell r="I172">
            <v>0</v>
          </cell>
          <cell r="L172">
            <v>0</v>
          </cell>
          <cell r="Q172">
            <v>0</v>
          </cell>
          <cell r="R172">
            <v>0</v>
          </cell>
          <cell r="S172">
            <v>0</v>
          </cell>
        </row>
        <row r="173">
          <cell r="E173" t="str">
            <v>20130101LGCME650</v>
          </cell>
          <cell r="F173">
            <v>35</v>
          </cell>
          <cell r="G173">
            <v>8.4659999999999999E-2</v>
          </cell>
          <cell r="H173">
            <v>0</v>
          </cell>
          <cell r="I173">
            <v>0</v>
          </cell>
          <cell r="L173">
            <v>2.215E-2</v>
          </cell>
          <cell r="Q173">
            <v>0</v>
          </cell>
          <cell r="R173">
            <v>0</v>
          </cell>
          <cell r="S173">
            <v>0</v>
          </cell>
        </row>
        <row r="174">
          <cell r="E174" t="str">
            <v>20130101LGCME651</v>
          </cell>
          <cell r="F174">
            <v>35</v>
          </cell>
          <cell r="G174">
            <v>8.4659999999999999E-2</v>
          </cell>
          <cell r="H174">
            <v>0</v>
          </cell>
          <cell r="I174">
            <v>0</v>
          </cell>
          <cell r="L174">
            <v>2.215E-2</v>
          </cell>
          <cell r="Q174">
            <v>0</v>
          </cell>
          <cell r="R174">
            <v>0</v>
          </cell>
          <cell r="S174">
            <v>0</v>
          </cell>
        </row>
        <row r="175">
          <cell r="E175" t="str">
            <v>20130101LGCME657</v>
          </cell>
          <cell r="F175">
            <v>35</v>
          </cell>
          <cell r="G175">
            <v>8.4659999999999999E-2</v>
          </cell>
          <cell r="H175">
            <v>0</v>
          </cell>
          <cell r="I175">
            <v>0</v>
          </cell>
          <cell r="L175">
            <v>2.215E-2</v>
          </cell>
          <cell r="Q175">
            <v>0</v>
          </cell>
          <cell r="R175">
            <v>0</v>
          </cell>
          <cell r="S175">
            <v>0</v>
          </cell>
        </row>
        <row r="176">
          <cell r="E176" t="str">
            <v>20130101LGCME652</v>
          </cell>
          <cell r="F176">
            <v>0</v>
          </cell>
          <cell r="G176">
            <v>8.4659999999999999E-2</v>
          </cell>
          <cell r="H176">
            <v>0</v>
          </cell>
          <cell r="I176">
            <v>0</v>
          </cell>
          <cell r="L176">
            <v>2.215E-2</v>
          </cell>
          <cell r="Q176">
            <v>0</v>
          </cell>
          <cell r="R176">
            <v>0</v>
          </cell>
          <cell r="S176">
            <v>0</v>
          </cell>
        </row>
        <row r="177">
          <cell r="E177" t="str">
            <v>20130101LGCME656</v>
          </cell>
          <cell r="F177">
            <v>0</v>
          </cell>
          <cell r="G177">
            <v>0</v>
          </cell>
          <cell r="H177">
            <v>0</v>
          </cell>
          <cell r="I177">
            <v>0</v>
          </cell>
          <cell r="L177">
            <v>0</v>
          </cell>
          <cell r="Q177">
            <v>0</v>
          </cell>
          <cell r="R177">
            <v>0</v>
          </cell>
          <cell r="S177">
            <v>0</v>
          </cell>
        </row>
        <row r="178">
          <cell r="E178" t="str">
            <v>20130101LGCME561</v>
          </cell>
          <cell r="F178">
            <v>90</v>
          </cell>
          <cell r="G178">
            <v>3.5499999999999997E-2</v>
          </cell>
          <cell r="H178">
            <v>0</v>
          </cell>
          <cell r="I178">
            <v>0</v>
          </cell>
          <cell r="L178">
            <v>2.215E-2</v>
          </cell>
          <cell r="Q178">
            <v>0</v>
          </cell>
          <cell r="R178">
            <v>13.56</v>
          </cell>
          <cell r="S178">
            <v>15.95</v>
          </cell>
        </row>
        <row r="179">
          <cell r="E179" t="str">
            <v>20130101LGCME563</v>
          </cell>
          <cell r="F179">
            <v>170</v>
          </cell>
          <cell r="G179">
            <v>3.4160000000000003E-2</v>
          </cell>
          <cell r="H179">
            <v>0</v>
          </cell>
          <cell r="I179">
            <v>0</v>
          </cell>
          <cell r="L179">
            <v>2.215E-2</v>
          </cell>
          <cell r="Q179">
            <v>0</v>
          </cell>
          <cell r="R179">
            <v>11.21</v>
          </cell>
          <cell r="S179">
            <v>13.5</v>
          </cell>
        </row>
        <row r="180">
          <cell r="E180" t="str">
            <v>20130101LGCME567</v>
          </cell>
          <cell r="F180">
            <v>90</v>
          </cell>
          <cell r="G180">
            <v>3.5499999999999997E-2</v>
          </cell>
          <cell r="H180">
            <v>0</v>
          </cell>
          <cell r="I180">
            <v>0</v>
          </cell>
          <cell r="L180">
            <v>2.215E-2</v>
          </cell>
          <cell r="Q180">
            <v>0</v>
          </cell>
          <cell r="R180">
            <v>13.56</v>
          </cell>
          <cell r="S180">
            <v>15.95</v>
          </cell>
        </row>
        <row r="181">
          <cell r="E181" t="str">
            <v>20130101LGCME569</v>
          </cell>
          <cell r="F181">
            <v>170</v>
          </cell>
          <cell r="G181">
            <v>3.4160000000000003E-2</v>
          </cell>
          <cell r="H181">
            <v>0</v>
          </cell>
          <cell r="I181">
            <v>0</v>
          </cell>
          <cell r="L181">
            <v>2.215E-2</v>
          </cell>
          <cell r="Q181">
            <v>0</v>
          </cell>
          <cell r="R181">
            <v>11.21</v>
          </cell>
          <cell r="S181">
            <v>13.5</v>
          </cell>
        </row>
        <row r="182">
          <cell r="E182" t="str">
            <v>20130101LGCME591</v>
          </cell>
          <cell r="F182">
            <v>200</v>
          </cell>
          <cell r="G182">
            <v>3.4799999999999998E-2</v>
          </cell>
          <cell r="H182">
            <v>0</v>
          </cell>
          <cell r="I182">
            <v>0</v>
          </cell>
          <cell r="L182">
            <v>2.215E-2</v>
          </cell>
          <cell r="Q182">
            <v>3.85</v>
          </cell>
          <cell r="R182">
            <v>4.3600000000000003</v>
          </cell>
          <cell r="S182">
            <v>5.96</v>
          </cell>
        </row>
        <row r="183">
          <cell r="E183" t="str">
            <v>20130101LGCME593</v>
          </cell>
          <cell r="F183">
            <v>300</v>
          </cell>
          <cell r="G183">
            <v>3.3000000000000002E-2</v>
          </cell>
          <cell r="H183">
            <v>0</v>
          </cell>
          <cell r="I183">
            <v>0</v>
          </cell>
          <cell r="L183">
            <v>2.215E-2</v>
          </cell>
          <cell r="Q183">
            <v>3.85</v>
          </cell>
          <cell r="R183">
            <v>4</v>
          </cell>
          <cell r="S183">
            <v>5.7</v>
          </cell>
        </row>
        <row r="184">
          <cell r="E184" t="str">
            <v>20130101LGINE661</v>
          </cell>
          <cell r="F184">
            <v>90</v>
          </cell>
          <cell r="G184">
            <v>3.5499999999999997E-2</v>
          </cell>
          <cell r="H184">
            <v>0</v>
          </cell>
          <cell r="I184">
            <v>0</v>
          </cell>
          <cell r="L184">
            <v>2.215E-2</v>
          </cell>
          <cell r="Q184">
            <v>0</v>
          </cell>
          <cell r="R184">
            <v>13.56</v>
          </cell>
          <cell r="S184">
            <v>15.95</v>
          </cell>
        </row>
        <row r="185">
          <cell r="E185" t="str">
            <v>20130101LGINE663</v>
          </cell>
          <cell r="F185">
            <v>170</v>
          </cell>
          <cell r="G185">
            <v>3.4160000000000003E-2</v>
          </cell>
          <cell r="H185">
            <v>0</v>
          </cell>
          <cell r="I185">
            <v>0</v>
          </cell>
          <cell r="L185">
            <v>2.215E-2</v>
          </cell>
          <cell r="Q185">
            <v>0</v>
          </cell>
          <cell r="R185">
            <v>11.21</v>
          </cell>
          <cell r="S185">
            <v>13.5</v>
          </cell>
        </row>
        <row r="186">
          <cell r="E186" t="str">
            <v>20130101LGINE691</v>
          </cell>
          <cell r="F186">
            <v>200</v>
          </cell>
          <cell r="G186">
            <v>3.4799999999999998E-2</v>
          </cell>
          <cell r="H186">
            <v>0</v>
          </cell>
          <cell r="I186">
            <v>0</v>
          </cell>
          <cell r="L186">
            <v>2.215E-2</v>
          </cell>
          <cell r="Q186">
            <v>3.85</v>
          </cell>
          <cell r="R186">
            <v>4.3600000000000003</v>
          </cell>
          <cell r="S186">
            <v>5.96</v>
          </cell>
        </row>
        <row r="187">
          <cell r="E187" t="str">
            <v>20130101LGINE693</v>
          </cell>
          <cell r="F187">
            <v>300</v>
          </cell>
          <cell r="G187">
            <v>3.0280000000000001E-2</v>
          </cell>
          <cell r="H187">
            <v>0</v>
          </cell>
          <cell r="I187">
            <v>0</v>
          </cell>
          <cell r="L187">
            <v>2.215E-2</v>
          </cell>
          <cell r="Q187">
            <v>3.5</v>
          </cell>
          <cell r="R187">
            <v>3.66</v>
          </cell>
          <cell r="S187">
            <v>4.5</v>
          </cell>
        </row>
        <row r="188">
          <cell r="E188" t="str">
            <v>20130101LGINE694</v>
          </cell>
          <cell r="F188">
            <v>300</v>
          </cell>
          <cell r="G188">
            <v>3.0280000000000001E-2</v>
          </cell>
          <cell r="H188">
            <v>0</v>
          </cell>
          <cell r="I188">
            <v>0</v>
          </cell>
          <cell r="L188">
            <v>2.215E-2</v>
          </cell>
          <cell r="Q188">
            <v>3.5</v>
          </cell>
          <cell r="R188">
            <v>3.66</v>
          </cell>
          <cell r="S188">
            <v>4.5</v>
          </cell>
        </row>
        <row r="189">
          <cell r="E189" t="str">
            <v>20130101LGINE643</v>
          </cell>
          <cell r="F189">
            <v>750</v>
          </cell>
          <cell r="G189">
            <v>3.1E-2</v>
          </cell>
          <cell r="H189">
            <v>0</v>
          </cell>
          <cell r="I189">
            <v>0</v>
          </cell>
          <cell r="L189">
            <v>2.215E-2</v>
          </cell>
          <cell r="Q189">
            <v>2.65</v>
          </cell>
          <cell r="R189">
            <v>2.9</v>
          </cell>
          <cell r="S189">
            <v>4.45</v>
          </cell>
        </row>
        <row r="190">
          <cell r="E190" t="str">
            <v>20130101LGINE682</v>
          </cell>
          <cell r="F190">
            <v>750</v>
          </cell>
          <cell r="G190">
            <v>3.1E-2</v>
          </cell>
          <cell r="H190">
            <v>0</v>
          </cell>
          <cell r="I190">
            <v>0</v>
          </cell>
          <cell r="L190">
            <v>2.215E-2</v>
          </cell>
          <cell r="Q190">
            <v>1.79</v>
          </cell>
          <cell r="R190">
            <v>1.79</v>
          </cell>
          <cell r="S190">
            <v>2.84</v>
          </cell>
        </row>
        <row r="191">
          <cell r="E191" t="str">
            <v>20130101LGINE683</v>
          </cell>
          <cell r="F191">
            <v>750</v>
          </cell>
          <cell r="G191">
            <v>3.1E-2</v>
          </cell>
          <cell r="H191">
            <v>0</v>
          </cell>
          <cell r="I191">
            <v>0</v>
          </cell>
          <cell r="L191">
            <v>2.215E-2</v>
          </cell>
          <cell r="Q191">
            <v>1.04</v>
          </cell>
          <cell r="R191">
            <v>1.79</v>
          </cell>
          <cell r="S191">
            <v>2.84</v>
          </cell>
        </row>
        <row r="192">
          <cell r="E192" t="str">
            <v>20130101LGMLE570</v>
          </cell>
          <cell r="F192">
            <v>0</v>
          </cell>
          <cell r="G192">
            <v>5.8470000000000001E-2</v>
          </cell>
          <cell r="H192">
            <v>0</v>
          </cell>
          <cell r="I192">
            <v>0</v>
          </cell>
          <cell r="L192">
            <v>2.215E-2</v>
          </cell>
          <cell r="Q192">
            <v>0</v>
          </cell>
          <cell r="R192">
            <v>0</v>
          </cell>
          <cell r="S192">
            <v>0</v>
          </cell>
        </row>
        <row r="193">
          <cell r="E193" t="str">
            <v>20130101LGMLE571</v>
          </cell>
          <cell r="F193">
            <v>0</v>
          </cell>
          <cell r="G193">
            <v>5.8470000000000001E-2</v>
          </cell>
          <cell r="H193">
            <v>0</v>
          </cell>
          <cell r="I193">
            <v>0</v>
          </cell>
          <cell r="L193">
            <v>2.215E-2</v>
          </cell>
          <cell r="Q193">
            <v>0</v>
          </cell>
          <cell r="R193">
            <v>0</v>
          </cell>
          <cell r="S193">
            <v>0</v>
          </cell>
        </row>
        <row r="194">
          <cell r="E194" t="str">
            <v>20130101LGMLE572</v>
          </cell>
          <cell r="F194">
            <v>0</v>
          </cell>
          <cell r="G194">
            <v>5.8470000000000001E-2</v>
          </cell>
          <cell r="H194">
            <v>0</v>
          </cell>
          <cell r="I194">
            <v>0</v>
          </cell>
          <cell r="L194">
            <v>2.215E-2</v>
          </cell>
          <cell r="Q194">
            <v>0</v>
          </cell>
          <cell r="R194">
            <v>0</v>
          </cell>
          <cell r="S194">
            <v>0</v>
          </cell>
        </row>
        <row r="195">
          <cell r="E195" t="str">
            <v>20130101LGMLE573</v>
          </cell>
          <cell r="F195">
            <v>3.25</v>
          </cell>
          <cell r="G195">
            <v>7.0440000000000003E-2</v>
          </cell>
          <cell r="H195">
            <v>0</v>
          </cell>
          <cell r="I195">
            <v>0</v>
          </cell>
          <cell r="L195">
            <v>2.215E-2</v>
          </cell>
          <cell r="Q195">
            <v>0</v>
          </cell>
          <cell r="R195">
            <v>0</v>
          </cell>
          <cell r="S195">
            <v>0</v>
          </cell>
        </row>
        <row r="196">
          <cell r="E196" t="str">
            <v>20130101LGMLE574</v>
          </cell>
          <cell r="F196">
            <v>3.25</v>
          </cell>
          <cell r="G196">
            <v>7.0440000000000003E-2</v>
          </cell>
          <cell r="H196">
            <v>0</v>
          </cell>
          <cell r="I196">
            <v>0</v>
          </cell>
          <cell r="L196">
            <v>2.215E-2</v>
          </cell>
          <cell r="Q196">
            <v>0</v>
          </cell>
          <cell r="R196">
            <v>0</v>
          </cell>
          <cell r="S196">
            <v>0</v>
          </cell>
        </row>
        <row r="197">
          <cell r="E197" t="str">
            <v>20130101LGMLE575</v>
          </cell>
          <cell r="F197">
            <v>3.25</v>
          </cell>
          <cell r="G197">
            <v>7.0440000000000003E-2</v>
          </cell>
          <cell r="H197">
            <v>0</v>
          </cell>
          <cell r="I197">
            <v>0</v>
          </cell>
          <cell r="L197">
            <v>2.215E-2</v>
          </cell>
          <cell r="Q197">
            <v>0</v>
          </cell>
          <cell r="R197">
            <v>0</v>
          </cell>
          <cell r="S197">
            <v>0</v>
          </cell>
        </row>
        <row r="198">
          <cell r="E198" t="str">
            <v>20130101LGMLE577</v>
          </cell>
          <cell r="F198">
            <v>3.25</v>
          </cell>
          <cell r="G198">
            <v>7.0440000000000003E-2</v>
          </cell>
          <cell r="H198">
            <v>0</v>
          </cell>
          <cell r="I198">
            <v>0</v>
          </cell>
          <cell r="L198">
            <v>2.215E-2</v>
          </cell>
          <cell r="Q198">
            <v>0</v>
          </cell>
          <cell r="R198">
            <v>0</v>
          </cell>
          <cell r="S198">
            <v>0</v>
          </cell>
        </row>
        <row r="199">
          <cell r="E199" t="str">
            <v>20130101LGINE599</v>
          </cell>
          <cell r="F199">
            <v>0</v>
          </cell>
          <cell r="G199">
            <v>3.2300000000000002E-2</v>
          </cell>
          <cell r="H199">
            <v>0</v>
          </cell>
          <cell r="I199">
            <v>0</v>
          </cell>
          <cell r="L199">
            <v>2.215E-2</v>
          </cell>
          <cell r="Q199">
            <v>0</v>
          </cell>
          <cell r="R199">
            <v>12.35</v>
          </cell>
          <cell r="S199">
            <v>14.67</v>
          </cell>
        </row>
        <row r="200">
          <cell r="E200" t="str">
            <v>20130101LGCME671</v>
          </cell>
          <cell r="F200">
            <v>0</v>
          </cell>
          <cell r="G200">
            <v>3.1919999999999997E-2</v>
          </cell>
          <cell r="H200">
            <v>0</v>
          </cell>
          <cell r="I200">
            <v>0</v>
          </cell>
          <cell r="L200">
            <v>2.215E-2</v>
          </cell>
          <cell r="Q200">
            <v>0</v>
          </cell>
          <cell r="R200">
            <v>10</v>
          </cell>
          <cell r="S200">
            <v>10</v>
          </cell>
        </row>
        <row r="201">
          <cell r="E201" t="str">
            <v>20130101LGRSE543</v>
          </cell>
          <cell r="F201">
            <v>10.75</v>
          </cell>
          <cell r="G201">
            <v>5.1830000000000001E-2</v>
          </cell>
          <cell r="H201">
            <v>7.2620000000000004E-2</v>
          </cell>
          <cell r="I201">
            <v>0.13814000000000001</v>
          </cell>
          <cell r="L201">
            <v>2.215E-2</v>
          </cell>
          <cell r="Q201">
            <v>0</v>
          </cell>
          <cell r="R201">
            <v>0</v>
          </cell>
          <cell r="S201">
            <v>0</v>
          </cell>
        </row>
        <row r="202">
          <cell r="E202" t="str">
            <v>20130701LGRSE411</v>
          </cell>
          <cell r="F202">
            <v>0</v>
          </cell>
          <cell r="G202">
            <v>7.9490000000000005E-2</v>
          </cell>
          <cell r="H202">
            <v>0</v>
          </cell>
          <cell r="I202">
            <v>0</v>
          </cell>
          <cell r="L202">
            <v>2.725E-2</v>
          </cell>
          <cell r="Q202">
            <v>0</v>
          </cell>
          <cell r="R202">
            <v>0</v>
          </cell>
          <cell r="S202">
            <v>0</v>
          </cell>
        </row>
        <row r="203">
          <cell r="E203" t="str">
            <v>20130701LGCME451</v>
          </cell>
          <cell r="F203">
            <v>0</v>
          </cell>
          <cell r="G203">
            <v>8.9760000000000006E-2</v>
          </cell>
          <cell r="H203">
            <v>0</v>
          </cell>
          <cell r="I203">
            <v>0</v>
          </cell>
          <cell r="L203">
            <v>2.725E-2</v>
          </cell>
          <cell r="Q203">
            <v>0</v>
          </cell>
          <cell r="R203">
            <v>0</v>
          </cell>
          <cell r="S203">
            <v>0</v>
          </cell>
        </row>
        <row r="204">
          <cell r="E204" t="str">
            <v>20130701LGRSE511</v>
          </cell>
          <cell r="F204">
            <v>10.75</v>
          </cell>
          <cell r="G204">
            <v>7.9490000000000005E-2</v>
          </cell>
          <cell r="H204">
            <v>0</v>
          </cell>
          <cell r="I204">
            <v>0</v>
          </cell>
          <cell r="L204">
            <v>2.725E-2</v>
          </cell>
          <cell r="Q204">
            <v>0</v>
          </cell>
          <cell r="R204">
            <v>0</v>
          </cell>
          <cell r="S204">
            <v>0</v>
          </cell>
        </row>
        <row r="205">
          <cell r="E205" t="str">
            <v>20130701LGRSE519</v>
          </cell>
          <cell r="F205">
            <v>10.75</v>
          </cell>
          <cell r="G205">
            <v>7.9490000000000005E-2</v>
          </cell>
          <cell r="H205">
            <v>0</v>
          </cell>
          <cell r="I205">
            <v>0</v>
          </cell>
          <cell r="L205">
            <v>2.725E-2</v>
          </cell>
          <cell r="Q205">
            <v>0</v>
          </cell>
          <cell r="R205">
            <v>0</v>
          </cell>
          <cell r="S205">
            <v>0</v>
          </cell>
        </row>
        <row r="206">
          <cell r="E206" t="str">
            <v>20130701LGRSE540</v>
          </cell>
          <cell r="F206">
            <v>10.75</v>
          </cell>
          <cell r="G206">
            <v>7.9490000000000005E-2</v>
          </cell>
          <cell r="H206">
            <v>0</v>
          </cell>
          <cell r="I206">
            <v>0</v>
          </cell>
          <cell r="L206">
            <v>2.725E-2</v>
          </cell>
          <cell r="Q206">
            <v>0</v>
          </cell>
          <cell r="R206">
            <v>0</v>
          </cell>
          <cell r="S206">
            <v>0</v>
          </cell>
        </row>
        <row r="207">
          <cell r="E207" t="str">
            <v>20130701LGCME550</v>
          </cell>
          <cell r="F207">
            <v>20</v>
          </cell>
          <cell r="G207">
            <v>8.9760000000000006E-2</v>
          </cell>
          <cell r="H207">
            <v>0</v>
          </cell>
          <cell r="I207">
            <v>0</v>
          </cell>
          <cell r="L207">
            <v>2.725E-2</v>
          </cell>
          <cell r="Q207">
            <v>0</v>
          </cell>
          <cell r="R207">
            <v>0</v>
          </cell>
          <cell r="S207">
            <v>0</v>
          </cell>
        </row>
        <row r="208">
          <cell r="E208" t="str">
            <v>20130701LGCME551</v>
          </cell>
          <cell r="F208">
            <v>20</v>
          </cell>
          <cell r="G208">
            <v>8.9760000000000006E-2</v>
          </cell>
          <cell r="H208">
            <v>0</v>
          </cell>
          <cell r="I208">
            <v>0</v>
          </cell>
          <cell r="L208">
            <v>2.725E-2</v>
          </cell>
          <cell r="Q208">
            <v>0</v>
          </cell>
          <cell r="R208">
            <v>0</v>
          </cell>
          <cell r="S208">
            <v>0</v>
          </cell>
        </row>
        <row r="209">
          <cell r="E209" t="str">
            <v>20130701LGCME551UM</v>
          </cell>
          <cell r="F209">
            <v>20</v>
          </cell>
          <cell r="G209">
            <v>8.9760000000000006E-2</v>
          </cell>
          <cell r="H209">
            <v>0</v>
          </cell>
          <cell r="I209">
            <v>0</v>
          </cell>
          <cell r="L209">
            <v>2.725E-2</v>
          </cell>
          <cell r="Q209">
            <v>0</v>
          </cell>
          <cell r="R209">
            <v>0</v>
          </cell>
          <cell r="S209">
            <v>0</v>
          </cell>
        </row>
        <row r="210">
          <cell r="E210" t="str">
            <v>20130701LGCME557</v>
          </cell>
          <cell r="F210">
            <v>20</v>
          </cell>
          <cell r="G210">
            <v>8.9760000000000006E-2</v>
          </cell>
          <cell r="H210">
            <v>0</v>
          </cell>
          <cell r="I210">
            <v>0</v>
          </cell>
          <cell r="L210">
            <v>2.725E-2</v>
          </cell>
          <cell r="Q210">
            <v>0</v>
          </cell>
          <cell r="R210">
            <v>0</v>
          </cell>
          <cell r="S210">
            <v>0</v>
          </cell>
        </row>
        <row r="211">
          <cell r="E211" t="str">
            <v>20130701LGCME552</v>
          </cell>
          <cell r="F211">
            <v>0</v>
          </cell>
          <cell r="G211">
            <v>8.9760000000000006E-2</v>
          </cell>
          <cell r="H211">
            <v>0</v>
          </cell>
          <cell r="I211">
            <v>0</v>
          </cell>
          <cell r="L211">
            <v>2.725E-2</v>
          </cell>
          <cell r="Q211">
            <v>0</v>
          </cell>
          <cell r="R211">
            <v>0</v>
          </cell>
          <cell r="S211">
            <v>0</v>
          </cell>
        </row>
        <row r="212">
          <cell r="E212" t="str">
            <v>20130701LGCME650</v>
          </cell>
          <cell r="F212">
            <v>35</v>
          </cell>
          <cell r="G212">
            <v>8.9760000000000006E-2</v>
          </cell>
          <cell r="H212">
            <v>0</v>
          </cell>
          <cell r="I212">
            <v>0</v>
          </cell>
          <cell r="L212">
            <v>2.725E-2</v>
          </cell>
          <cell r="Q212">
            <v>0</v>
          </cell>
          <cell r="R212">
            <v>0</v>
          </cell>
          <cell r="S212">
            <v>0</v>
          </cell>
        </row>
        <row r="213">
          <cell r="E213" t="str">
            <v>20130701LGCME651</v>
          </cell>
          <cell r="F213">
            <v>35</v>
          </cell>
          <cell r="G213">
            <v>8.9760000000000006E-2</v>
          </cell>
          <cell r="H213">
            <v>0</v>
          </cell>
          <cell r="I213">
            <v>0</v>
          </cell>
          <cell r="L213">
            <v>2.725E-2</v>
          </cell>
          <cell r="Q213">
            <v>0</v>
          </cell>
          <cell r="R213">
            <v>0</v>
          </cell>
          <cell r="S213">
            <v>0</v>
          </cell>
        </row>
        <row r="214">
          <cell r="E214" t="str">
            <v>20130701LGCME657</v>
          </cell>
          <cell r="F214">
            <v>35</v>
          </cell>
          <cell r="G214">
            <v>8.9760000000000006E-2</v>
          </cell>
          <cell r="H214">
            <v>0</v>
          </cell>
          <cell r="I214">
            <v>0</v>
          </cell>
          <cell r="L214">
            <v>2.725E-2</v>
          </cell>
          <cell r="Q214">
            <v>0</v>
          </cell>
          <cell r="R214">
            <v>0</v>
          </cell>
          <cell r="S214">
            <v>0</v>
          </cell>
        </row>
        <row r="215">
          <cell r="E215" t="str">
            <v>20130701LGCME652</v>
          </cell>
          <cell r="F215">
            <v>0</v>
          </cell>
          <cell r="G215">
            <v>8.9760000000000006E-2</v>
          </cell>
          <cell r="H215">
            <v>0</v>
          </cell>
          <cell r="I215">
            <v>0</v>
          </cell>
          <cell r="L215">
            <v>2.725E-2</v>
          </cell>
          <cell r="Q215">
            <v>0</v>
          </cell>
          <cell r="R215">
            <v>0</v>
          </cell>
          <cell r="S215">
            <v>0</v>
          </cell>
        </row>
        <row r="216">
          <cell r="E216" t="str">
            <v>20130701LGCME561</v>
          </cell>
          <cell r="F216">
            <v>90</v>
          </cell>
          <cell r="G216">
            <v>4.0599999999999997E-2</v>
          </cell>
          <cell r="H216">
            <v>0</v>
          </cell>
          <cell r="I216">
            <v>0</v>
          </cell>
          <cell r="L216">
            <v>2.725E-2</v>
          </cell>
          <cell r="Q216">
            <v>0</v>
          </cell>
          <cell r="R216">
            <v>13.56</v>
          </cell>
          <cell r="S216">
            <v>15.95</v>
          </cell>
        </row>
        <row r="217">
          <cell r="E217" t="str">
            <v>20130701LGCME563</v>
          </cell>
          <cell r="F217">
            <v>170</v>
          </cell>
          <cell r="G217">
            <v>3.9260000000000003E-2</v>
          </cell>
          <cell r="H217">
            <v>0</v>
          </cell>
          <cell r="I217">
            <v>0</v>
          </cell>
          <cell r="L217">
            <v>2.725E-2</v>
          </cell>
          <cell r="Q217">
            <v>0</v>
          </cell>
          <cell r="R217">
            <v>11.21</v>
          </cell>
          <cell r="S217">
            <v>13.5</v>
          </cell>
        </row>
        <row r="218">
          <cell r="E218" t="str">
            <v>20130701LGCME567</v>
          </cell>
          <cell r="F218">
            <v>90</v>
          </cell>
          <cell r="G218">
            <v>4.0599999999999997E-2</v>
          </cell>
          <cell r="H218">
            <v>0</v>
          </cell>
          <cell r="I218">
            <v>0</v>
          </cell>
          <cell r="L218">
            <v>2.725E-2</v>
          </cell>
          <cell r="Q218">
            <v>0</v>
          </cell>
          <cell r="R218">
            <v>13.56</v>
          </cell>
          <cell r="S218">
            <v>15.95</v>
          </cell>
        </row>
        <row r="219">
          <cell r="E219" t="str">
            <v>20130701LGCME569</v>
          </cell>
          <cell r="F219">
            <v>170</v>
          </cell>
          <cell r="G219">
            <v>3.9260000000000003E-2</v>
          </cell>
          <cell r="H219">
            <v>0</v>
          </cell>
          <cell r="I219">
            <v>0</v>
          </cell>
          <cell r="L219">
            <v>2.725E-2</v>
          </cell>
          <cell r="Q219">
            <v>0</v>
          </cell>
          <cell r="R219">
            <v>11.21</v>
          </cell>
          <cell r="S219">
            <v>13.5</v>
          </cell>
        </row>
        <row r="220">
          <cell r="E220" t="str">
            <v>20130701LGCME591</v>
          </cell>
          <cell r="F220">
            <v>200</v>
          </cell>
          <cell r="G220">
            <v>3.9899999999999998E-2</v>
          </cell>
          <cell r="H220">
            <v>0</v>
          </cell>
          <cell r="I220">
            <v>0</v>
          </cell>
          <cell r="L220">
            <v>2.725E-2</v>
          </cell>
          <cell r="Q220">
            <v>3.85</v>
          </cell>
          <cell r="R220">
            <v>4.3600000000000003</v>
          </cell>
          <cell r="S220">
            <v>5.96</v>
          </cell>
        </row>
        <row r="221">
          <cell r="E221" t="str">
            <v>20130701LGCME593</v>
          </cell>
          <cell r="F221">
            <v>300</v>
          </cell>
          <cell r="G221">
            <v>3.8100000000000002E-2</v>
          </cell>
          <cell r="H221">
            <v>0</v>
          </cell>
          <cell r="I221">
            <v>0</v>
          </cell>
          <cell r="L221">
            <v>2.725E-2</v>
          </cell>
          <cell r="Q221">
            <v>3.85</v>
          </cell>
          <cell r="R221">
            <v>4</v>
          </cell>
          <cell r="S221">
            <v>5.7</v>
          </cell>
        </row>
        <row r="222">
          <cell r="E222" t="str">
            <v>20130701LGINE661</v>
          </cell>
          <cell r="F222">
            <v>90</v>
          </cell>
          <cell r="G222">
            <v>4.0599999999999997E-2</v>
          </cell>
          <cell r="H222">
            <v>0</v>
          </cell>
          <cell r="I222">
            <v>0</v>
          </cell>
          <cell r="L222">
            <v>2.725E-2</v>
          </cell>
          <cell r="Q222">
            <v>0</v>
          </cell>
          <cell r="R222">
            <v>13.56</v>
          </cell>
          <cell r="S222">
            <v>15.95</v>
          </cell>
        </row>
        <row r="223">
          <cell r="E223" t="str">
            <v>20130701LGINE663</v>
          </cell>
          <cell r="F223">
            <v>170</v>
          </cell>
          <cell r="G223">
            <v>3.9260000000000003E-2</v>
          </cell>
          <cell r="H223">
            <v>0</v>
          </cell>
          <cell r="I223">
            <v>0</v>
          </cell>
          <cell r="L223">
            <v>2.725E-2</v>
          </cell>
          <cell r="Q223">
            <v>0</v>
          </cell>
          <cell r="R223">
            <v>11.21</v>
          </cell>
          <cell r="S223">
            <v>13.5</v>
          </cell>
        </row>
        <row r="224">
          <cell r="E224" t="str">
            <v>20130701LGINE691</v>
          </cell>
          <cell r="F224">
            <v>200</v>
          </cell>
          <cell r="G224">
            <v>3.9899999999999998E-2</v>
          </cell>
          <cell r="H224">
            <v>0</v>
          </cell>
          <cell r="I224">
            <v>0</v>
          </cell>
          <cell r="L224">
            <v>2.725E-2</v>
          </cell>
          <cell r="Q224">
            <v>3.85</v>
          </cell>
          <cell r="R224">
            <v>4.3600000000000003</v>
          </cell>
          <cell r="S224">
            <v>5.96</v>
          </cell>
        </row>
        <row r="225">
          <cell r="E225" t="str">
            <v>20130701LGINE693</v>
          </cell>
          <cell r="F225">
            <v>300</v>
          </cell>
          <cell r="G225">
            <v>3.5380000000000002E-2</v>
          </cell>
          <cell r="H225">
            <v>0</v>
          </cell>
          <cell r="I225">
            <v>0</v>
          </cell>
          <cell r="L225">
            <v>2.725E-2</v>
          </cell>
          <cell r="Q225">
            <v>3.5</v>
          </cell>
          <cell r="R225">
            <v>3.66</v>
          </cell>
          <cell r="S225">
            <v>4.5</v>
          </cell>
        </row>
        <row r="226">
          <cell r="E226" t="str">
            <v>20130701LGINE694</v>
          </cell>
          <cell r="F226">
            <v>300</v>
          </cell>
          <cell r="G226">
            <v>3.5380000000000002E-2</v>
          </cell>
          <cell r="H226">
            <v>0</v>
          </cell>
          <cell r="I226">
            <v>0</v>
          </cell>
          <cell r="L226">
            <v>2.725E-2</v>
          </cell>
          <cell r="Q226">
            <v>3.5</v>
          </cell>
          <cell r="R226">
            <v>3.66</v>
          </cell>
          <cell r="S226">
            <v>4.5</v>
          </cell>
        </row>
        <row r="227">
          <cell r="E227" t="str">
            <v>20130701LGINE643</v>
          </cell>
          <cell r="F227">
            <v>750</v>
          </cell>
          <cell r="G227">
            <v>3.61E-2</v>
          </cell>
          <cell r="H227">
            <v>0</v>
          </cell>
          <cell r="I227">
            <v>0</v>
          </cell>
          <cell r="L227">
            <v>2.725E-2</v>
          </cell>
          <cell r="Q227">
            <v>2.65</v>
          </cell>
          <cell r="R227">
            <v>2.9</v>
          </cell>
          <cell r="S227">
            <v>4.45</v>
          </cell>
        </row>
        <row r="228">
          <cell r="E228" t="str">
            <v>20130701LGINE682</v>
          </cell>
          <cell r="F228">
            <v>750</v>
          </cell>
          <cell r="G228">
            <v>3.61E-2</v>
          </cell>
          <cell r="H228">
            <v>0</v>
          </cell>
          <cell r="I228">
            <v>0</v>
          </cell>
          <cell r="L228">
            <v>2.725E-2</v>
          </cell>
          <cell r="Q228">
            <v>1.79</v>
          </cell>
          <cell r="R228">
            <v>1.79</v>
          </cell>
          <cell r="S228">
            <v>2.84</v>
          </cell>
        </row>
        <row r="229">
          <cell r="E229" t="str">
            <v>20130701LGINE683</v>
          </cell>
          <cell r="F229">
            <v>750</v>
          </cell>
          <cell r="G229">
            <v>3.61E-2</v>
          </cell>
          <cell r="H229">
            <v>0</v>
          </cell>
          <cell r="I229">
            <v>0</v>
          </cell>
          <cell r="L229">
            <v>2.725E-2</v>
          </cell>
          <cell r="Q229">
            <v>1.04</v>
          </cell>
          <cell r="R229">
            <v>1.79</v>
          </cell>
          <cell r="S229">
            <v>2.84</v>
          </cell>
        </row>
        <row r="230">
          <cell r="E230" t="str">
            <v>20130701LGMLE570</v>
          </cell>
          <cell r="F230">
            <v>0</v>
          </cell>
          <cell r="G230">
            <v>6.3570000000000002E-2</v>
          </cell>
          <cell r="H230">
            <v>0</v>
          </cell>
          <cell r="I230">
            <v>0</v>
          </cell>
          <cell r="L230">
            <v>2.725E-2</v>
          </cell>
          <cell r="Q230">
            <v>0</v>
          </cell>
          <cell r="R230">
            <v>0</v>
          </cell>
          <cell r="S230">
            <v>0</v>
          </cell>
        </row>
        <row r="231">
          <cell r="E231" t="str">
            <v>20130701LGMLE571</v>
          </cell>
          <cell r="F231">
            <v>0</v>
          </cell>
          <cell r="G231">
            <v>6.3570000000000002E-2</v>
          </cell>
          <cell r="H231">
            <v>0</v>
          </cell>
          <cell r="I231">
            <v>0</v>
          </cell>
          <cell r="L231">
            <v>2.725E-2</v>
          </cell>
          <cell r="Q231">
            <v>0</v>
          </cell>
          <cell r="R231">
            <v>0</v>
          </cell>
          <cell r="S231">
            <v>0</v>
          </cell>
        </row>
        <row r="232">
          <cell r="E232" t="str">
            <v>20130701LGMLE572</v>
          </cell>
          <cell r="F232">
            <v>0</v>
          </cell>
          <cell r="G232">
            <v>6.3570000000000002E-2</v>
          </cell>
          <cell r="H232">
            <v>0</v>
          </cell>
          <cell r="I232">
            <v>0</v>
          </cell>
          <cell r="L232">
            <v>2.725E-2</v>
          </cell>
          <cell r="Q232">
            <v>0</v>
          </cell>
          <cell r="R232">
            <v>0</v>
          </cell>
          <cell r="S232">
            <v>0</v>
          </cell>
        </row>
        <row r="233">
          <cell r="E233" t="str">
            <v>20130701LGMLE573</v>
          </cell>
          <cell r="F233">
            <v>3.25</v>
          </cell>
          <cell r="G233">
            <v>7.5539999999999996E-2</v>
          </cell>
          <cell r="H233">
            <v>0</v>
          </cell>
          <cell r="I233">
            <v>0</v>
          </cell>
          <cell r="L233">
            <v>2.725E-2</v>
          </cell>
          <cell r="Q233">
            <v>0</v>
          </cell>
          <cell r="R233">
            <v>0</v>
          </cell>
          <cell r="S233">
            <v>0</v>
          </cell>
        </row>
        <row r="234">
          <cell r="E234" t="str">
            <v>20130701LGMLE574</v>
          </cell>
          <cell r="F234">
            <v>3.25</v>
          </cell>
          <cell r="G234">
            <v>7.5539999999999996E-2</v>
          </cell>
          <cell r="H234">
            <v>0</v>
          </cell>
          <cell r="I234">
            <v>0</v>
          </cell>
          <cell r="L234">
            <v>2.725E-2</v>
          </cell>
          <cell r="Q234">
            <v>0</v>
          </cell>
          <cell r="R234">
            <v>0</v>
          </cell>
          <cell r="S234">
            <v>0</v>
          </cell>
        </row>
        <row r="235">
          <cell r="E235" t="str">
            <v>20130701LGMLE575</v>
          </cell>
          <cell r="F235">
            <v>3.25</v>
          </cell>
          <cell r="G235">
            <v>7.5539999999999996E-2</v>
          </cell>
          <cell r="H235">
            <v>0</v>
          </cell>
          <cell r="I235">
            <v>0</v>
          </cell>
          <cell r="L235">
            <v>2.725E-2</v>
          </cell>
          <cell r="Q235">
            <v>0</v>
          </cell>
          <cell r="R235">
            <v>0</v>
          </cell>
          <cell r="S235">
            <v>0</v>
          </cell>
        </row>
        <row r="236">
          <cell r="E236" t="str">
            <v>20130701LGMLE577</v>
          </cell>
          <cell r="F236">
            <v>3.25</v>
          </cell>
          <cell r="G236">
            <v>7.5539999999999996E-2</v>
          </cell>
          <cell r="H236">
            <v>0</v>
          </cell>
          <cell r="I236">
            <v>0</v>
          </cell>
          <cell r="L236">
            <v>2.725E-2</v>
          </cell>
          <cell r="Q236">
            <v>0</v>
          </cell>
          <cell r="R236">
            <v>0</v>
          </cell>
          <cell r="S236">
            <v>0</v>
          </cell>
        </row>
        <row r="237">
          <cell r="E237" t="str">
            <v>20130701LGINE599</v>
          </cell>
          <cell r="F237">
            <v>0</v>
          </cell>
          <cell r="G237">
            <v>3.7400000000000003E-2</v>
          </cell>
          <cell r="H237">
            <v>0</v>
          </cell>
          <cell r="I237">
            <v>0</v>
          </cell>
          <cell r="L237">
            <v>2.725E-2</v>
          </cell>
          <cell r="Q237">
            <v>0</v>
          </cell>
          <cell r="R237">
            <v>12.35</v>
          </cell>
          <cell r="S237">
            <v>14.67</v>
          </cell>
        </row>
        <row r="238">
          <cell r="E238" t="str">
            <v>20130701LGCME671</v>
          </cell>
          <cell r="F238">
            <v>0</v>
          </cell>
          <cell r="G238">
            <v>3.7019999999999997E-2</v>
          </cell>
          <cell r="H238">
            <v>0</v>
          </cell>
          <cell r="I238">
            <v>0</v>
          </cell>
          <cell r="L238">
            <v>2.725E-2</v>
          </cell>
          <cell r="Q238">
            <v>0</v>
          </cell>
          <cell r="R238">
            <v>10</v>
          </cell>
          <cell r="S238">
            <v>10</v>
          </cell>
        </row>
        <row r="239">
          <cell r="E239" t="str">
            <v>20130701LGRSE543</v>
          </cell>
          <cell r="F239">
            <v>10.75</v>
          </cell>
          <cell r="G239">
            <v>5.6930000000000001E-2</v>
          </cell>
          <cell r="H239">
            <v>7.7719999999999997E-2</v>
          </cell>
          <cell r="I239">
            <v>0.14324000000000001</v>
          </cell>
          <cell r="L239">
            <v>2.725E-2</v>
          </cell>
          <cell r="Q239">
            <v>0</v>
          </cell>
          <cell r="R239">
            <v>0</v>
          </cell>
          <cell r="S239">
            <v>0</v>
          </cell>
        </row>
        <row r="240">
          <cell r="E240" t="str">
            <v>20140101LGRSE411</v>
          </cell>
          <cell r="F240">
            <v>0</v>
          </cell>
          <cell r="G240">
            <v>8.0760000000000012E-2</v>
          </cell>
          <cell r="H240">
            <v>0</v>
          </cell>
          <cell r="I240">
            <v>0</v>
          </cell>
          <cell r="L240">
            <v>2.725E-2</v>
          </cell>
          <cell r="Q240">
            <v>0</v>
          </cell>
          <cell r="R240">
            <v>0</v>
          </cell>
          <cell r="S240">
            <v>0</v>
          </cell>
        </row>
        <row r="241">
          <cell r="E241" t="str">
            <v>20140101LGCME451</v>
          </cell>
          <cell r="F241">
            <v>0</v>
          </cell>
          <cell r="G241">
            <v>9.1340000000000005E-2</v>
          </cell>
          <cell r="H241">
            <v>0</v>
          </cell>
          <cell r="I241">
            <v>0</v>
          </cell>
          <cell r="L241">
            <v>2.725E-2</v>
          </cell>
          <cell r="Q241">
            <v>0</v>
          </cell>
          <cell r="R241">
            <v>0</v>
          </cell>
          <cell r="S241">
            <v>0</v>
          </cell>
        </row>
        <row r="242">
          <cell r="E242" t="str">
            <v>20140101LGRSE511</v>
          </cell>
          <cell r="F242">
            <v>10.75</v>
          </cell>
          <cell r="G242">
            <v>8.0760000000000012E-2</v>
          </cell>
          <cell r="H242">
            <v>0</v>
          </cell>
          <cell r="I242">
            <v>0</v>
          </cell>
          <cell r="L242">
            <v>2.725E-2</v>
          </cell>
          <cell r="Q242">
            <v>0</v>
          </cell>
          <cell r="R242">
            <v>0</v>
          </cell>
          <cell r="S242">
            <v>0</v>
          </cell>
        </row>
        <row r="243">
          <cell r="E243" t="str">
            <v>20140101LGRSE519</v>
          </cell>
          <cell r="F243">
            <v>10.75</v>
          </cell>
          <cell r="G243">
            <v>8.0760000000000012E-2</v>
          </cell>
          <cell r="H243">
            <v>0</v>
          </cell>
          <cell r="I243">
            <v>0</v>
          </cell>
          <cell r="L243">
            <v>2.725E-2</v>
          </cell>
          <cell r="Q243">
            <v>0</v>
          </cell>
          <cell r="R243">
            <v>0</v>
          </cell>
          <cell r="S243">
            <v>0</v>
          </cell>
        </row>
        <row r="244">
          <cell r="E244" t="str">
            <v>20140101LGRSE540</v>
          </cell>
          <cell r="F244">
            <v>10.75</v>
          </cell>
          <cell r="G244">
            <v>8.0760000000000012E-2</v>
          </cell>
          <cell r="H244">
            <v>0</v>
          </cell>
          <cell r="I244">
            <v>0</v>
          </cell>
          <cell r="L244">
            <v>2.725E-2</v>
          </cell>
          <cell r="Q244">
            <v>0</v>
          </cell>
          <cell r="R244">
            <v>0</v>
          </cell>
          <cell r="S244">
            <v>0</v>
          </cell>
        </row>
        <row r="245">
          <cell r="E245" t="str">
            <v>20140101LGCME550</v>
          </cell>
          <cell r="F245">
            <v>20</v>
          </cell>
          <cell r="G245">
            <v>9.1340000000000005E-2</v>
          </cell>
          <cell r="H245">
            <v>0</v>
          </cell>
          <cell r="I245">
            <v>0</v>
          </cell>
          <cell r="L245">
            <v>2.725E-2</v>
          </cell>
          <cell r="Q245">
            <v>0</v>
          </cell>
          <cell r="R245">
            <v>0</v>
          </cell>
          <cell r="S245">
            <v>0</v>
          </cell>
        </row>
        <row r="246">
          <cell r="E246" t="str">
            <v>20140101LGCME551</v>
          </cell>
          <cell r="F246">
            <v>20</v>
          </cell>
          <cell r="G246">
            <v>9.1340000000000005E-2</v>
          </cell>
          <cell r="H246">
            <v>0</v>
          </cell>
          <cell r="I246">
            <v>0</v>
          </cell>
          <cell r="L246">
            <v>2.725E-2</v>
          </cell>
          <cell r="Q246">
            <v>0</v>
          </cell>
          <cell r="R246">
            <v>0</v>
          </cell>
          <cell r="S246">
            <v>0</v>
          </cell>
        </row>
        <row r="247">
          <cell r="E247" t="str">
            <v>20140101LGCME551UM</v>
          </cell>
          <cell r="F247">
            <v>20</v>
          </cell>
          <cell r="G247">
            <v>9.1340000000000005E-2</v>
          </cell>
          <cell r="H247">
            <v>0</v>
          </cell>
          <cell r="I247">
            <v>0</v>
          </cell>
          <cell r="L247">
            <v>2.725E-2</v>
          </cell>
          <cell r="Q247">
            <v>0</v>
          </cell>
          <cell r="R247">
            <v>0</v>
          </cell>
          <cell r="S247">
            <v>0</v>
          </cell>
        </row>
        <row r="248">
          <cell r="E248" t="str">
            <v>20140101LGCME557</v>
          </cell>
          <cell r="F248">
            <v>20</v>
          </cell>
          <cell r="G248">
            <v>9.1340000000000005E-2</v>
          </cell>
          <cell r="H248">
            <v>0</v>
          </cell>
          <cell r="I248">
            <v>0</v>
          </cell>
          <cell r="L248">
            <v>2.725E-2</v>
          </cell>
          <cell r="Q248">
            <v>0</v>
          </cell>
          <cell r="R248">
            <v>0</v>
          </cell>
          <cell r="S248">
            <v>0</v>
          </cell>
        </row>
        <row r="249">
          <cell r="E249" t="str">
            <v>20140101LGCME552</v>
          </cell>
          <cell r="F249">
            <v>0</v>
          </cell>
          <cell r="G249">
            <v>9.1340000000000005E-2</v>
          </cell>
          <cell r="H249">
            <v>0</v>
          </cell>
          <cell r="I249">
            <v>0</v>
          </cell>
          <cell r="L249">
            <v>2.725E-2</v>
          </cell>
          <cell r="Q249">
            <v>0</v>
          </cell>
          <cell r="R249">
            <v>0</v>
          </cell>
          <cell r="S249">
            <v>0</v>
          </cell>
        </row>
        <row r="250">
          <cell r="E250" t="str">
            <v>20140101LGCME650</v>
          </cell>
          <cell r="F250">
            <v>35</v>
          </cell>
          <cell r="G250">
            <v>9.1340000000000005E-2</v>
          </cell>
          <cell r="H250">
            <v>0</v>
          </cell>
          <cell r="I250">
            <v>0</v>
          </cell>
          <cell r="L250">
            <v>2.725E-2</v>
          </cell>
          <cell r="Q250">
            <v>0</v>
          </cell>
          <cell r="R250">
            <v>0</v>
          </cell>
          <cell r="S250">
            <v>0</v>
          </cell>
        </row>
        <row r="251">
          <cell r="E251" t="str">
            <v>20140101LGCME651</v>
          </cell>
          <cell r="F251">
            <v>35</v>
          </cell>
          <cell r="G251">
            <v>9.1340000000000005E-2</v>
          </cell>
          <cell r="H251">
            <v>0</v>
          </cell>
          <cell r="I251">
            <v>0</v>
          </cell>
          <cell r="L251">
            <v>2.725E-2</v>
          </cell>
          <cell r="Q251">
            <v>0</v>
          </cell>
          <cell r="R251">
            <v>0</v>
          </cell>
          <cell r="S251">
            <v>0</v>
          </cell>
        </row>
        <row r="252">
          <cell r="E252" t="str">
            <v>20140101LGCME657</v>
          </cell>
          <cell r="F252">
            <v>35</v>
          </cell>
          <cell r="G252">
            <v>9.1340000000000005E-2</v>
          </cell>
          <cell r="H252">
            <v>0</v>
          </cell>
          <cell r="I252">
            <v>0</v>
          </cell>
          <cell r="L252">
            <v>2.725E-2</v>
          </cell>
          <cell r="Q252">
            <v>0</v>
          </cell>
          <cell r="R252">
            <v>0</v>
          </cell>
          <cell r="S252">
            <v>0</v>
          </cell>
        </row>
        <row r="253">
          <cell r="E253" t="str">
            <v>20140101LGCME652</v>
          </cell>
          <cell r="F253">
            <v>0</v>
          </cell>
          <cell r="G253">
            <v>9.1340000000000005E-2</v>
          </cell>
          <cell r="H253">
            <v>0</v>
          </cell>
          <cell r="I253">
            <v>0</v>
          </cell>
          <cell r="L253">
            <v>2.725E-2</v>
          </cell>
          <cell r="Q253">
            <v>0</v>
          </cell>
          <cell r="R253">
            <v>0</v>
          </cell>
          <cell r="S253">
            <v>0</v>
          </cell>
        </row>
        <row r="254">
          <cell r="E254" t="str">
            <v>20140101LGCME561</v>
          </cell>
          <cell r="F254">
            <v>90</v>
          </cell>
          <cell r="G254">
            <v>4.0599999999999997E-2</v>
          </cell>
          <cell r="H254">
            <v>0</v>
          </cell>
          <cell r="I254">
            <v>0</v>
          </cell>
          <cell r="L254">
            <v>2.725E-2</v>
          </cell>
          <cell r="Q254">
            <v>0</v>
          </cell>
          <cell r="R254">
            <v>14.010000000000002</v>
          </cell>
          <cell r="S254">
            <v>16.399999999999999</v>
          </cell>
        </row>
        <row r="255">
          <cell r="E255" t="str">
            <v>20140101LGCME563</v>
          </cell>
          <cell r="F255">
            <v>170</v>
          </cell>
          <cell r="G255">
            <v>3.9260000000000003E-2</v>
          </cell>
          <cell r="H255">
            <v>0</v>
          </cell>
          <cell r="I255">
            <v>0</v>
          </cell>
          <cell r="L255">
            <v>2.725E-2</v>
          </cell>
          <cell r="Q255">
            <v>0</v>
          </cell>
          <cell r="R255">
            <v>11.660000000000002</v>
          </cell>
          <cell r="S255">
            <v>13.950000000000001</v>
          </cell>
        </row>
        <row r="256">
          <cell r="E256" t="str">
            <v>20140101LGCME567</v>
          </cell>
          <cell r="F256">
            <v>90</v>
          </cell>
          <cell r="G256">
            <v>4.0599999999999997E-2</v>
          </cell>
          <cell r="H256">
            <v>0</v>
          </cell>
          <cell r="I256">
            <v>0</v>
          </cell>
          <cell r="L256">
            <v>2.725E-2</v>
          </cell>
          <cell r="Q256">
            <v>0</v>
          </cell>
          <cell r="R256">
            <v>14.010000000000002</v>
          </cell>
          <cell r="S256">
            <v>16.399999999999999</v>
          </cell>
        </row>
        <row r="257">
          <cell r="E257" t="str">
            <v>20140101LGCME569</v>
          </cell>
          <cell r="F257">
            <v>170</v>
          </cell>
          <cell r="G257">
            <v>3.9260000000000003E-2</v>
          </cell>
          <cell r="H257">
            <v>0</v>
          </cell>
          <cell r="I257">
            <v>0</v>
          </cell>
          <cell r="L257">
            <v>2.725E-2</v>
          </cell>
          <cell r="Q257">
            <v>0</v>
          </cell>
          <cell r="R257">
            <v>11.660000000000002</v>
          </cell>
          <cell r="S257">
            <v>13.950000000000001</v>
          </cell>
        </row>
        <row r="258">
          <cell r="E258" t="str">
            <v>20140101LGCME591</v>
          </cell>
          <cell r="F258">
            <v>200</v>
          </cell>
          <cell r="G258">
            <v>3.9899999999999998E-2</v>
          </cell>
          <cell r="H258">
            <v>0</v>
          </cell>
          <cell r="I258">
            <v>0</v>
          </cell>
          <cell r="L258">
            <v>2.725E-2</v>
          </cell>
          <cell r="Q258">
            <v>4</v>
          </cell>
          <cell r="R258">
            <v>4.5100000000000007</v>
          </cell>
          <cell r="S258">
            <v>6.11</v>
          </cell>
        </row>
        <row r="259">
          <cell r="E259" t="str">
            <v>20140101LGCME593</v>
          </cell>
          <cell r="F259">
            <v>300</v>
          </cell>
          <cell r="G259">
            <v>3.8100000000000002E-2</v>
          </cell>
          <cell r="H259">
            <v>0</v>
          </cell>
          <cell r="I259">
            <v>0</v>
          </cell>
          <cell r="L259">
            <v>2.725E-2</v>
          </cell>
          <cell r="Q259">
            <v>3.9800000000000004</v>
          </cell>
          <cell r="R259">
            <v>4.13</v>
          </cell>
          <cell r="S259">
            <v>5.83</v>
          </cell>
        </row>
        <row r="260">
          <cell r="E260" t="str">
            <v>20140101LGINE661</v>
          </cell>
          <cell r="F260">
            <v>90</v>
          </cell>
          <cell r="G260">
            <v>4.0599999999999997E-2</v>
          </cell>
          <cell r="H260">
            <v>0</v>
          </cell>
          <cell r="I260">
            <v>0</v>
          </cell>
          <cell r="L260">
            <v>2.725E-2</v>
          </cell>
          <cell r="Q260">
            <v>0</v>
          </cell>
          <cell r="R260">
            <v>14.010000000000002</v>
          </cell>
          <cell r="S260">
            <v>16.399999999999999</v>
          </cell>
        </row>
        <row r="261">
          <cell r="E261" t="str">
            <v>20140101LGINE663</v>
          </cell>
          <cell r="F261">
            <v>170</v>
          </cell>
          <cell r="G261">
            <v>3.9260000000000003E-2</v>
          </cell>
          <cell r="H261">
            <v>0</v>
          </cell>
          <cell r="I261">
            <v>0</v>
          </cell>
          <cell r="L261">
            <v>2.725E-2</v>
          </cell>
          <cell r="Q261">
            <v>0</v>
          </cell>
          <cell r="R261">
            <v>11.660000000000002</v>
          </cell>
          <cell r="S261">
            <v>13.950000000000001</v>
          </cell>
        </row>
        <row r="262">
          <cell r="E262" t="str">
            <v>20140101LGINE691</v>
          </cell>
          <cell r="F262">
            <v>200</v>
          </cell>
          <cell r="G262">
            <v>3.9899999999999998E-2</v>
          </cell>
          <cell r="H262">
            <v>0</v>
          </cell>
          <cell r="I262">
            <v>0</v>
          </cell>
          <cell r="L262">
            <v>2.725E-2</v>
          </cell>
          <cell r="Q262">
            <v>4</v>
          </cell>
          <cell r="R262">
            <v>4.5100000000000007</v>
          </cell>
          <cell r="S262">
            <v>6.11</v>
          </cell>
        </row>
        <row r="263">
          <cell r="E263" t="str">
            <v>20140101LGINE693</v>
          </cell>
          <cell r="F263">
            <v>300</v>
          </cell>
          <cell r="G263">
            <v>3.5380000000000002E-2</v>
          </cell>
          <cell r="H263">
            <v>0</v>
          </cell>
          <cell r="I263">
            <v>0</v>
          </cell>
          <cell r="L263">
            <v>2.725E-2</v>
          </cell>
          <cell r="Q263">
            <v>3.6300000000000003</v>
          </cell>
          <cell r="R263">
            <v>3.7900000000000005</v>
          </cell>
          <cell r="S263">
            <v>4.63</v>
          </cell>
        </row>
        <row r="264">
          <cell r="E264" t="str">
            <v>20140101LGINE694</v>
          </cell>
          <cell r="F264">
            <v>300</v>
          </cell>
          <cell r="G264">
            <v>3.5380000000000002E-2</v>
          </cell>
          <cell r="H264">
            <v>0</v>
          </cell>
          <cell r="I264">
            <v>0</v>
          </cell>
          <cell r="L264">
            <v>2.725E-2</v>
          </cell>
          <cell r="Q264">
            <v>3.6300000000000003</v>
          </cell>
          <cell r="R264">
            <v>3.7900000000000005</v>
          </cell>
          <cell r="S264">
            <v>4.63</v>
          </cell>
        </row>
        <row r="265">
          <cell r="E265" t="str">
            <v>20140101LGINE643</v>
          </cell>
          <cell r="F265">
            <v>750</v>
          </cell>
          <cell r="G265">
            <v>3.61E-2</v>
          </cell>
          <cell r="H265">
            <v>0</v>
          </cell>
          <cell r="I265">
            <v>0</v>
          </cell>
          <cell r="L265">
            <v>2.725E-2</v>
          </cell>
          <cell r="Q265">
            <v>2.75</v>
          </cell>
          <cell r="R265">
            <v>3</v>
          </cell>
          <cell r="S265">
            <v>4.5500000000000007</v>
          </cell>
        </row>
        <row r="266">
          <cell r="E266" t="str">
            <v>20140101LGINE682</v>
          </cell>
          <cell r="F266">
            <v>750</v>
          </cell>
          <cell r="G266">
            <v>3.61E-2</v>
          </cell>
          <cell r="H266">
            <v>0</v>
          </cell>
          <cell r="I266">
            <v>0</v>
          </cell>
          <cell r="L266">
            <v>2.725E-2</v>
          </cell>
          <cell r="Q266">
            <v>1.8900000000000001</v>
          </cell>
          <cell r="R266">
            <v>1.8900000000000001</v>
          </cell>
          <cell r="S266">
            <v>2.94</v>
          </cell>
        </row>
        <row r="267">
          <cell r="E267" t="str">
            <v>20140101LGINE683</v>
          </cell>
          <cell r="F267">
            <v>750</v>
          </cell>
          <cell r="G267">
            <v>3.61E-2</v>
          </cell>
          <cell r="H267">
            <v>0</v>
          </cell>
          <cell r="I267">
            <v>0</v>
          </cell>
          <cell r="L267">
            <v>2.725E-2</v>
          </cell>
          <cell r="Q267">
            <v>1.1400000000000001</v>
          </cell>
          <cell r="R267">
            <v>1.8900000000000001</v>
          </cell>
          <cell r="S267">
            <v>2.94</v>
          </cell>
        </row>
        <row r="268">
          <cell r="E268" t="str">
            <v>20140101LGMLE570</v>
          </cell>
          <cell r="F268">
            <v>0</v>
          </cell>
          <cell r="G268">
            <v>6.4610000000000001E-2</v>
          </cell>
          <cell r="H268">
            <v>0</v>
          </cell>
          <cell r="I268">
            <v>0</v>
          </cell>
          <cell r="L268">
            <v>2.725E-2</v>
          </cell>
          <cell r="Q268">
            <v>0</v>
          </cell>
          <cell r="R268">
            <v>0</v>
          </cell>
          <cell r="S268">
            <v>0</v>
          </cell>
        </row>
        <row r="269">
          <cell r="E269" t="str">
            <v>20140101LGMLE571</v>
          </cell>
          <cell r="F269">
            <v>0</v>
          </cell>
          <cell r="G269">
            <v>6.4610000000000001E-2</v>
          </cell>
          <cell r="H269">
            <v>0</v>
          </cell>
          <cell r="I269">
            <v>0</v>
          </cell>
          <cell r="L269">
            <v>2.725E-2</v>
          </cell>
          <cell r="Q269">
            <v>0</v>
          </cell>
          <cell r="R269">
            <v>0</v>
          </cell>
          <cell r="S269">
            <v>0</v>
          </cell>
        </row>
        <row r="270">
          <cell r="E270" t="str">
            <v>20140101LGMLE572</v>
          </cell>
          <cell r="F270">
            <v>0</v>
          </cell>
          <cell r="G270">
            <v>6.4610000000000001E-2</v>
          </cell>
          <cell r="H270">
            <v>0</v>
          </cell>
          <cell r="I270">
            <v>0</v>
          </cell>
          <cell r="L270">
            <v>2.725E-2</v>
          </cell>
          <cell r="Q270">
            <v>0</v>
          </cell>
          <cell r="R270">
            <v>0</v>
          </cell>
          <cell r="S270">
            <v>0</v>
          </cell>
        </row>
        <row r="271">
          <cell r="E271" t="str">
            <v>20140101LGMLE573</v>
          </cell>
          <cell r="F271">
            <v>3.25</v>
          </cell>
          <cell r="G271">
            <v>7.6579999999999995E-2</v>
          </cell>
          <cell r="H271">
            <v>0</v>
          </cell>
          <cell r="I271">
            <v>0</v>
          </cell>
          <cell r="L271">
            <v>2.725E-2</v>
          </cell>
          <cell r="Q271">
            <v>0</v>
          </cell>
          <cell r="R271">
            <v>0</v>
          </cell>
          <cell r="S271">
            <v>0</v>
          </cell>
        </row>
        <row r="272">
          <cell r="E272" t="str">
            <v>20140101LGMLE574</v>
          </cell>
          <cell r="F272">
            <v>3.25</v>
          </cell>
          <cell r="G272">
            <v>7.6579999999999995E-2</v>
          </cell>
          <cell r="H272">
            <v>0</v>
          </cell>
          <cell r="I272">
            <v>0</v>
          </cell>
          <cell r="L272">
            <v>2.725E-2</v>
          </cell>
          <cell r="Q272">
            <v>0</v>
          </cell>
          <cell r="R272">
            <v>0</v>
          </cell>
          <cell r="S272">
            <v>0</v>
          </cell>
        </row>
        <row r="273">
          <cell r="E273" t="str">
            <v>20140101LGMLE575</v>
          </cell>
          <cell r="F273">
            <v>3.25</v>
          </cell>
          <cell r="G273">
            <v>7.6579999999999995E-2</v>
          </cell>
          <cell r="H273">
            <v>0</v>
          </cell>
          <cell r="I273">
            <v>0</v>
          </cell>
          <cell r="L273">
            <v>2.725E-2</v>
          </cell>
          <cell r="Q273">
            <v>0</v>
          </cell>
          <cell r="R273">
            <v>0</v>
          </cell>
          <cell r="S273">
            <v>0</v>
          </cell>
        </row>
        <row r="274">
          <cell r="E274" t="str">
            <v>20140101LGMLE577</v>
          </cell>
          <cell r="F274">
            <v>3.25</v>
          </cell>
          <cell r="G274">
            <v>7.6579999999999995E-2</v>
          </cell>
          <cell r="H274">
            <v>0</v>
          </cell>
          <cell r="I274">
            <v>0</v>
          </cell>
          <cell r="L274">
            <v>2.725E-2</v>
          </cell>
          <cell r="Q274">
            <v>0</v>
          </cell>
          <cell r="R274">
            <v>0</v>
          </cell>
          <cell r="S274">
            <v>0</v>
          </cell>
        </row>
        <row r="275">
          <cell r="E275" t="str">
            <v>20140101LGINE599</v>
          </cell>
          <cell r="F275">
            <v>0</v>
          </cell>
          <cell r="G275">
            <v>3.7400000000000003E-2</v>
          </cell>
          <cell r="H275">
            <v>0</v>
          </cell>
          <cell r="I275">
            <v>0</v>
          </cell>
          <cell r="L275">
            <v>2.725E-2</v>
          </cell>
          <cell r="Q275">
            <v>0</v>
          </cell>
          <cell r="R275">
            <v>12.72</v>
          </cell>
          <cell r="S275">
            <v>15.040000000000001</v>
          </cell>
        </row>
        <row r="276">
          <cell r="E276" t="str">
            <v>20140101LGCME671</v>
          </cell>
          <cell r="F276">
            <v>0</v>
          </cell>
          <cell r="G276">
            <v>3.7019999999999997E-2</v>
          </cell>
          <cell r="H276">
            <v>0</v>
          </cell>
          <cell r="I276">
            <v>0</v>
          </cell>
          <cell r="L276">
            <v>2.725E-2</v>
          </cell>
          <cell r="Q276">
            <v>0</v>
          </cell>
          <cell r="R276">
            <v>10.35</v>
          </cell>
          <cell r="S276">
            <v>10.35</v>
          </cell>
        </row>
        <row r="277">
          <cell r="E277" t="str">
            <v>20140101LGRSE543</v>
          </cell>
          <cell r="F277">
            <v>10.75</v>
          </cell>
          <cell r="G277">
            <v>5.8200000000000002E-2</v>
          </cell>
          <cell r="H277">
            <v>7.8990000000000005E-2</v>
          </cell>
          <cell r="I277">
            <v>0.14451000000000003</v>
          </cell>
          <cell r="L277">
            <v>2.725E-2</v>
          </cell>
          <cell r="Q277">
            <v>0</v>
          </cell>
          <cell r="R277">
            <v>0</v>
          </cell>
          <cell r="S277">
            <v>0</v>
          </cell>
        </row>
        <row r="278">
          <cell r="E278" t="str">
            <v>20140101LGRSE547</v>
          </cell>
          <cell r="F278">
            <v>10.75</v>
          </cell>
          <cell r="G278">
            <v>5.8200000000000002E-2</v>
          </cell>
          <cell r="H278">
            <v>7.8990000000000005E-2</v>
          </cell>
          <cell r="I278">
            <v>0.14451000000000003</v>
          </cell>
          <cell r="L278">
            <v>2.725E-2</v>
          </cell>
          <cell r="Q278">
            <v>0</v>
          </cell>
          <cell r="R278">
            <v>0</v>
          </cell>
          <cell r="S278">
            <v>0</v>
          </cell>
        </row>
      </sheetData>
      <sheetData sheetId="18">
        <row r="4">
          <cell r="E4" t="str">
            <v>20100128LGUM_001</v>
          </cell>
          <cell r="F4">
            <v>7.89</v>
          </cell>
          <cell r="H4">
            <v>0.86</v>
          </cell>
        </row>
        <row r="5">
          <cell r="E5" t="str">
            <v>20100128LGUM_101</v>
          </cell>
          <cell r="F5">
            <v>7.89</v>
          </cell>
          <cell r="H5">
            <v>0.86</v>
          </cell>
        </row>
        <row r="6">
          <cell r="E6" t="str">
            <v>20100128LGUM_201</v>
          </cell>
          <cell r="F6">
            <v>7.89</v>
          </cell>
          <cell r="H6">
            <v>0.86</v>
          </cell>
        </row>
        <row r="7">
          <cell r="E7" t="str">
            <v>20100128LGUM_002</v>
          </cell>
          <cell r="F7">
            <v>8.82</v>
          </cell>
          <cell r="H7">
            <v>1.44</v>
          </cell>
        </row>
        <row r="8">
          <cell r="E8" t="str">
            <v>20100128LGUM_102</v>
          </cell>
          <cell r="F8">
            <v>8.82</v>
          </cell>
          <cell r="H8">
            <v>1.44</v>
          </cell>
        </row>
        <row r="9">
          <cell r="E9" t="str">
            <v>20100128LGUM_202</v>
          </cell>
          <cell r="F9">
            <v>8.82</v>
          </cell>
          <cell r="H9">
            <v>1.44</v>
          </cell>
        </row>
        <row r="10">
          <cell r="E10" t="str">
            <v>20100128LGUM_003</v>
          </cell>
          <cell r="F10">
            <v>10.18</v>
          </cell>
          <cell r="H10">
            <v>2.04</v>
          </cell>
        </row>
        <row r="11">
          <cell r="E11" t="str">
            <v>20100128LGUM_103</v>
          </cell>
          <cell r="F11">
            <v>10.18</v>
          </cell>
          <cell r="H11">
            <v>2.04</v>
          </cell>
        </row>
        <row r="12">
          <cell r="E12" t="str">
            <v>20100128LGUM_203</v>
          </cell>
          <cell r="F12">
            <v>10.18</v>
          </cell>
          <cell r="H12">
            <v>2.04</v>
          </cell>
        </row>
        <row r="13">
          <cell r="E13" t="str">
            <v>20100128LGUM_004</v>
          </cell>
          <cell r="F13">
            <v>12.54</v>
          </cell>
          <cell r="H13">
            <v>3.18</v>
          </cell>
        </row>
        <row r="14">
          <cell r="E14" t="str">
            <v>20100128LGUM_104</v>
          </cell>
          <cell r="F14">
            <v>12.54</v>
          </cell>
          <cell r="H14">
            <v>3.18</v>
          </cell>
        </row>
        <row r="15">
          <cell r="E15" t="str">
            <v>20100128LGUM_204</v>
          </cell>
          <cell r="F15">
            <v>12.54</v>
          </cell>
          <cell r="H15">
            <v>3.18</v>
          </cell>
        </row>
        <row r="16">
          <cell r="E16" t="str">
            <v>20100128LGUM_005</v>
          </cell>
          <cell r="F16">
            <v>8.7100000000000009</v>
          </cell>
          <cell r="H16">
            <v>0.99</v>
          </cell>
        </row>
        <row r="17">
          <cell r="E17" t="str">
            <v>20100128LGUM_105</v>
          </cell>
          <cell r="F17">
            <v>8.7100000000000009</v>
          </cell>
          <cell r="H17">
            <v>0.99</v>
          </cell>
        </row>
        <row r="18">
          <cell r="E18" t="str">
            <v>20100128LGUM_205</v>
          </cell>
          <cell r="F18">
            <v>8.7100000000000009</v>
          </cell>
          <cell r="H18">
            <v>0.99</v>
          </cell>
        </row>
        <row r="19">
          <cell r="E19" t="str">
            <v>20100128LGUM_006</v>
          </cell>
          <cell r="F19">
            <v>13.13</v>
          </cell>
          <cell r="H19">
            <v>0.86</v>
          </cell>
        </row>
        <row r="20">
          <cell r="E20" t="str">
            <v>20100128LGUM_106</v>
          </cell>
          <cell r="F20">
            <v>13.13</v>
          </cell>
          <cell r="H20">
            <v>0.86</v>
          </cell>
        </row>
        <row r="21">
          <cell r="E21" t="str">
            <v>20100128LGUM_206</v>
          </cell>
          <cell r="F21">
            <v>13.13</v>
          </cell>
          <cell r="H21">
            <v>0.86</v>
          </cell>
        </row>
        <row r="22">
          <cell r="E22" t="str">
            <v>20100128LGUM_007</v>
          </cell>
          <cell r="F22">
            <v>12.54</v>
          </cell>
          <cell r="H22">
            <v>3.18</v>
          </cell>
        </row>
        <row r="23">
          <cell r="E23" t="str">
            <v>20100128LGUM_107</v>
          </cell>
          <cell r="F23">
            <v>12.54</v>
          </cell>
          <cell r="H23">
            <v>3.18</v>
          </cell>
        </row>
        <row r="24">
          <cell r="E24" t="str">
            <v>20100128LGUM_207</v>
          </cell>
          <cell r="F24">
            <v>12.54</v>
          </cell>
          <cell r="H24">
            <v>3.18</v>
          </cell>
        </row>
        <row r="25">
          <cell r="E25" t="str">
            <v>20100128LGUM_008</v>
          </cell>
          <cell r="F25">
            <v>13.91</v>
          </cell>
          <cell r="H25">
            <v>1.44</v>
          </cell>
        </row>
        <row r="26">
          <cell r="E26" t="str">
            <v>20100128LGUM_108</v>
          </cell>
          <cell r="F26">
            <v>13.91</v>
          </cell>
          <cell r="H26">
            <v>1.44</v>
          </cell>
        </row>
        <row r="27">
          <cell r="E27" t="str">
            <v>20100128LGUM_208</v>
          </cell>
          <cell r="F27">
            <v>13.91</v>
          </cell>
          <cell r="H27">
            <v>1.44</v>
          </cell>
        </row>
        <row r="28">
          <cell r="E28" t="str">
            <v>20100128LGUM_009</v>
          </cell>
          <cell r="F28">
            <v>23.44</v>
          </cell>
          <cell r="H28">
            <v>7.58</v>
          </cell>
        </row>
        <row r="29">
          <cell r="E29" t="str">
            <v>20100128LGUM_109</v>
          </cell>
          <cell r="F29">
            <v>23.44</v>
          </cell>
          <cell r="H29">
            <v>7.58</v>
          </cell>
        </row>
        <row r="30">
          <cell r="E30" t="str">
            <v>20100128LGUM_209</v>
          </cell>
          <cell r="F30">
            <v>23.44</v>
          </cell>
          <cell r="H30">
            <v>7.58</v>
          </cell>
        </row>
        <row r="31">
          <cell r="E31" t="str">
            <v>20100128LGUM_010</v>
          </cell>
          <cell r="F31">
            <v>23.44</v>
          </cell>
          <cell r="H31">
            <v>7.58</v>
          </cell>
        </row>
        <row r="32">
          <cell r="E32" t="str">
            <v>20100128LGUM_110</v>
          </cell>
          <cell r="F32">
            <v>23.44</v>
          </cell>
          <cell r="H32">
            <v>7.58</v>
          </cell>
        </row>
        <row r="33">
          <cell r="E33" t="str">
            <v>20100128LGUM_210</v>
          </cell>
          <cell r="F33">
            <v>23.44</v>
          </cell>
          <cell r="H33">
            <v>7.58</v>
          </cell>
        </row>
        <row r="34">
          <cell r="E34" t="str">
            <v>20100128LGUM_011</v>
          </cell>
          <cell r="F34">
            <v>13</v>
          </cell>
          <cell r="H34">
            <v>2.14</v>
          </cell>
        </row>
        <row r="35">
          <cell r="E35" t="str">
            <v>20100128LGUM_111</v>
          </cell>
          <cell r="F35">
            <v>13</v>
          </cell>
          <cell r="H35">
            <v>2.14</v>
          </cell>
        </row>
        <row r="36">
          <cell r="E36" t="str">
            <v>20100128LGUM_211</v>
          </cell>
          <cell r="F36">
            <v>13</v>
          </cell>
          <cell r="H36">
            <v>2.14</v>
          </cell>
        </row>
        <row r="37">
          <cell r="E37" t="str">
            <v>20100128LGUM_012</v>
          </cell>
          <cell r="F37">
            <v>14.13</v>
          </cell>
          <cell r="H37">
            <v>3.4</v>
          </cell>
        </row>
        <row r="38">
          <cell r="E38" t="str">
            <v>20100128LGUM_112</v>
          </cell>
          <cell r="F38">
            <v>14.13</v>
          </cell>
          <cell r="H38">
            <v>3.4</v>
          </cell>
        </row>
        <row r="39">
          <cell r="E39" t="str">
            <v>20100128LGUM_212</v>
          </cell>
          <cell r="F39">
            <v>14.13</v>
          </cell>
          <cell r="H39">
            <v>3.4</v>
          </cell>
        </row>
        <row r="40">
          <cell r="E40" t="str">
            <v>20100128LGUM_013</v>
          </cell>
          <cell r="F40">
            <v>14.13</v>
          </cell>
          <cell r="H40">
            <v>3.4</v>
          </cell>
        </row>
        <row r="41">
          <cell r="E41" t="str">
            <v>20100128LGUM_113</v>
          </cell>
          <cell r="F41">
            <v>14.13</v>
          </cell>
          <cell r="H41">
            <v>3.4</v>
          </cell>
        </row>
        <row r="42">
          <cell r="E42" t="str">
            <v>20100128LGUM_213</v>
          </cell>
          <cell r="F42">
            <v>14.13</v>
          </cell>
          <cell r="H42">
            <v>3.4</v>
          </cell>
        </row>
        <row r="43">
          <cell r="E43" t="str">
            <v>20100128LGUM_016</v>
          </cell>
          <cell r="F43">
            <v>23.72</v>
          </cell>
          <cell r="H43">
            <v>2.14</v>
          </cell>
        </row>
        <row r="44">
          <cell r="E44" t="str">
            <v>20100128LGUM_116</v>
          </cell>
          <cell r="F44">
            <v>23.72</v>
          </cell>
          <cell r="H44">
            <v>2.14</v>
          </cell>
        </row>
        <row r="45">
          <cell r="E45" t="str">
            <v>20100128LGUM_216</v>
          </cell>
          <cell r="F45">
            <v>23.72</v>
          </cell>
          <cell r="H45">
            <v>2.14</v>
          </cell>
        </row>
        <row r="46">
          <cell r="E46" t="str">
            <v>20100128LGUM_017</v>
          </cell>
          <cell r="F46">
            <v>26.44</v>
          </cell>
          <cell r="H46">
            <v>3.4</v>
          </cell>
        </row>
        <row r="47">
          <cell r="E47" t="str">
            <v>20100128LGUM_117</v>
          </cell>
          <cell r="F47">
            <v>26.44</v>
          </cell>
          <cell r="H47">
            <v>3.4</v>
          </cell>
        </row>
        <row r="48">
          <cell r="E48" t="str">
            <v>20100128LGUM_217</v>
          </cell>
          <cell r="F48">
            <v>26.44</v>
          </cell>
          <cell r="H48">
            <v>3.4</v>
          </cell>
        </row>
        <row r="49">
          <cell r="E49" t="str">
            <v>20100128LGUM_022</v>
          </cell>
          <cell r="F49">
            <v>11.02</v>
          </cell>
          <cell r="H49">
            <v>1.44</v>
          </cell>
        </row>
        <row r="50">
          <cell r="E50" t="str">
            <v>20100128LGUM_122</v>
          </cell>
          <cell r="F50">
            <v>11.02</v>
          </cell>
          <cell r="H50">
            <v>1.44</v>
          </cell>
        </row>
        <row r="51">
          <cell r="E51" t="str">
            <v>20100128LGUM_222</v>
          </cell>
          <cell r="F51">
            <v>11.02</v>
          </cell>
          <cell r="H51">
            <v>1.44</v>
          </cell>
        </row>
        <row r="52">
          <cell r="E52" t="str">
            <v>20100128LGUM_023</v>
          </cell>
          <cell r="F52">
            <v>11.02</v>
          </cell>
          <cell r="H52">
            <v>1.44</v>
          </cell>
        </row>
        <row r="53">
          <cell r="E53" t="str">
            <v>20100128LGUM_123</v>
          </cell>
          <cell r="F53">
            <v>11.02</v>
          </cell>
          <cell r="H53">
            <v>1.44</v>
          </cell>
        </row>
        <row r="54">
          <cell r="E54" t="str">
            <v>20100128LGUM_223</v>
          </cell>
          <cell r="F54">
            <v>11.02</v>
          </cell>
          <cell r="H54">
            <v>1.44</v>
          </cell>
        </row>
        <row r="55">
          <cell r="E55" t="str">
            <v>20100128LGUM_024</v>
          </cell>
          <cell r="F55">
            <v>15.31</v>
          </cell>
          <cell r="H55">
            <v>0.99</v>
          </cell>
        </row>
        <row r="56">
          <cell r="E56" t="str">
            <v>20100128LGUM_124</v>
          </cell>
          <cell r="F56">
            <v>15.31</v>
          </cell>
          <cell r="H56">
            <v>0.99</v>
          </cell>
        </row>
        <row r="57">
          <cell r="E57" t="str">
            <v>20100128LGUM_224</v>
          </cell>
          <cell r="F57">
            <v>15.31</v>
          </cell>
          <cell r="H57">
            <v>0.99</v>
          </cell>
        </row>
        <row r="58">
          <cell r="E58" t="str">
            <v>20100128LGUM_025</v>
          </cell>
          <cell r="F58">
            <v>20.63</v>
          </cell>
          <cell r="H58">
            <v>1.38</v>
          </cell>
        </row>
        <row r="59">
          <cell r="E59" t="str">
            <v>20100128LGUM_125</v>
          </cell>
          <cell r="F59">
            <v>20.63</v>
          </cell>
          <cell r="H59">
            <v>1.38</v>
          </cell>
        </row>
        <row r="60">
          <cell r="E60" t="str">
            <v>20100128LGUM_225</v>
          </cell>
          <cell r="F60">
            <v>20.63</v>
          </cell>
          <cell r="H60">
            <v>1.38</v>
          </cell>
        </row>
        <row r="61">
          <cell r="E61" t="str">
            <v>20100128LGUM_026</v>
          </cell>
          <cell r="F61">
            <v>11.65</v>
          </cell>
          <cell r="H61">
            <v>0.69</v>
          </cell>
        </row>
        <row r="62">
          <cell r="E62" t="str">
            <v>20100128LGUM_126</v>
          </cell>
          <cell r="F62">
            <v>11.65</v>
          </cell>
          <cell r="H62">
            <v>0.69</v>
          </cell>
        </row>
        <row r="63">
          <cell r="E63" t="str">
            <v>20100128LGUM_226</v>
          </cell>
          <cell r="F63">
            <v>11.65</v>
          </cell>
          <cell r="H63">
            <v>0.69</v>
          </cell>
        </row>
        <row r="64">
          <cell r="E64" t="str">
            <v>20100128LGUM_251</v>
          </cell>
          <cell r="F64">
            <v>1.0000000000000001E-9</v>
          </cell>
          <cell r="H64">
            <v>0</v>
          </cell>
        </row>
        <row r="65">
          <cell r="E65" t="str">
            <v>20100128LGUM_052</v>
          </cell>
          <cell r="F65">
            <v>10.220000000000001</v>
          </cell>
          <cell r="H65">
            <v>1.44</v>
          </cell>
        </row>
        <row r="66">
          <cell r="E66" t="str">
            <v>20100128LGUM_152</v>
          </cell>
          <cell r="F66">
            <v>10.220000000000001</v>
          </cell>
          <cell r="H66">
            <v>1.44</v>
          </cell>
        </row>
        <row r="67">
          <cell r="E67" t="str">
            <v>20100128LGUM_252</v>
          </cell>
          <cell r="F67">
            <v>10.220000000000001</v>
          </cell>
          <cell r="H67">
            <v>1.44</v>
          </cell>
        </row>
        <row r="68">
          <cell r="E68" t="str">
            <v>20100128LGUM_053</v>
          </cell>
          <cell r="F68">
            <v>11.65</v>
          </cell>
          <cell r="H68">
            <v>2.04</v>
          </cell>
        </row>
        <row r="69">
          <cell r="E69" t="str">
            <v>20100128LGUM_153</v>
          </cell>
          <cell r="F69">
            <v>11.65</v>
          </cell>
          <cell r="H69">
            <v>2.04</v>
          </cell>
        </row>
        <row r="70">
          <cell r="E70" t="str">
            <v>20100128LGUM_253</v>
          </cell>
          <cell r="F70">
            <v>11.65</v>
          </cell>
          <cell r="H70">
            <v>2.04</v>
          </cell>
        </row>
        <row r="71">
          <cell r="E71" t="str">
            <v>20100128LGUM_054</v>
          </cell>
          <cell r="F71">
            <v>14.15</v>
          </cell>
          <cell r="H71">
            <v>3.17</v>
          </cell>
        </row>
        <row r="72">
          <cell r="E72" t="str">
            <v>20100128LGUM_154</v>
          </cell>
          <cell r="F72">
            <v>14.15</v>
          </cell>
          <cell r="H72">
            <v>3.17</v>
          </cell>
        </row>
        <row r="73">
          <cell r="E73" t="str">
            <v>20100128LGUM_254</v>
          </cell>
          <cell r="F73">
            <v>14.15</v>
          </cell>
          <cell r="H73">
            <v>3.17</v>
          </cell>
        </row>
        <row r="74">
          <cell r="E74" t="str">
            <v>20100128LGUM_055</v>
          </cell>
          <cell r="F74">
            <v>8.7100000000000009</v>
          </cell>
          <cell r="H74">
            <v>0.99</v>
          </cell>
        </row>
        <row r="75">
          <cell r="E75" t="str">
            <v>20100128LGUM_155</v>
          </cell>
          <cell r="F75">
            <v>8.7100000000000009</v>
          </cell>
          <cell r="H75">
            <v>0.99</v>
          </cell>
        </row>
        <row r="76">
          <cell r="E76" t="str">
            <v>20100128LGUM_255</v>
          </cell>
          <cell r="F76">
            <v>8.7100000000000009</v>
          </cell>
          <cell r="H76">
            <v>0.99</v>
          </cell>
        </row>
        <row r="77">
          <cell r="E77" t="str">
            <v>20100128LGUM_056</v>
          </cell>
          <cell r="F77">
            <v>13.12</v>
          </cell>
          <cell r="H77">
            <v>0.86</v>
          </cell>
        </row>
        <row r="78">
          <cell r="E78" t="str">
            <v>20100128LGUM_156</v>
          </cell>
          <cell r="F78">
            <v>13.12</v>
          </cell>
          <cell r="H78">
            <v>0.86</v>
          </cell>
        </row>
        <row r="79">
          <cell r="E79" t="str">
            <v>20100128LGUM_256</v>
          </cell>
          <cell r="F79">
            <v>13.12</v>
          </cell>
          <cell r="H79">
            <v>0.86</v>
          </cell>
        </row>
        <row r="80">
          <cell r="E80" t="str">
            <v>20100128LGUM_057</v>
          </cell>
          <cell r="F80">
            <v>14.15</v>
          </cell>
          <cell r="H80">
            <v>3.17</v>
          </cell>
        </row>
        <row r="81">
          <cell r="E81" t="str">
            <v>20100128LGUM_157</v>
          </cell>
          <cell r="F81">
            <v>14.15</v>
          </cell>
          <cell r="H81">
            <v>3.17</v>
          </cell>
        </row>
        <row r="82">
          <cell r="E82" t="str">
            <v>20100128LGUM_257</v>
          </cell>
          <cell r="F82">
            <v>14.15</v>
          </cell>
          <cell r="H82">
            <v>3.17</v>
          </cell>
        </row>
        <row r="83">
          <cell r="E83" t="str">
            <v>20100128LGUM_058</v>
          </cell>
          <cell r="F83">
            <v>14.88</v>
          </cell>
          <cell r="H83">
            <v>1.44</v>
          </cell>
        </row>
        <row r="84">
          <cell r="E84" t="str">
            <v>20100128LGUM_158</v>
          </cell>
          <cell r="F84">
            <v>14.88</v>
          </cell>
          <cell r="H84">
            <v>1.44</v>
          </cell>
        </row>
        <row r="85">
          <cell r="E85" t="str">
            <v>20100128LGUM_258</v>
          </cell>
          <cell r="F85">
            <v>14.88</v>
          </cell>
          <cell r="H85">
            <v>1.44</v>
          </cell>
        </row>
        <row r="86">
          <cell r="E86" t="str">
            <v>20100128LGUM_059</v>
          </cell>
          <cell r="F86">
            <v>26.08</v>
          </cell>
          <cell r="H86">
            <v>7.58</v>
          </cell>
        </row>
        <row r="87">
          <cell r="E87" t="str">
            <v>20100128LGUM_159</v>
          </cell>
          <cell r="F87">
            <v>26.08</v>
          </cell>
          <cell r="H87">
            <v>7.58</v>
          </cell>
        </row>
        <row r="88">
          <cell r="E88" t="str">
            <v>20100128LGUM_259</v>
          </cell>
          <cell r="F88">
            <v>26.08</v>
          </cell>
          <cell r="H88">
            <v>7.58</v>
          </cell>
        </row>
        <row r="89">
          <cell r="E89" t="str">
            <v>20100128LGUM_060</v>
          </cell>
          <cell r="F89">
            <v>26.21</v>
          </cell>
          <cell r="H89">
            <v>7.58</v>
          </cell>
        </row>
        <row r="90">
          <cell r="E90" t="str">
            <v>20100128LGUM_160</v>
          </cell>
          <cell r="F90">
            <v>26.21</v>
          </cell>
          <cell r="H90">
            <v>7.58</v>
          </cell>
        </row>
        <row r="91">
          <cell r="E91" t="str">
            <v>20100128LGUM_260</v>
          </cell>
          <cell r="F91">
            <v>26.21</v>
          </cell>
          <cell r="H91">
            <v>7.58</v>
          </cell>
        </row>
        <row r="92">
          <cell r="E92" t="str">
            <v>20100128LGUM_061</v>
          </cell>
          <cell r="F92">
            <v>13</v>
          </cell>
          <cell r="H92">
            <v>2.14</v>
          </cell>
        </row>
        <row r="93">
          <cell r="E93" t="str">
            <v>20100128LGUM_161</v>
          </cell>
          <cell r="F93">
            <v>13</v>
          </cell>
          <cell r="H93">
            <v>2.14</v>
          </cell>
        </row>
        <row r="94">
          <cell r="E94" t="str">
            <v>20100128LGUM_261</v>
          </cell>
          <cell r="F94">
            <v>13</v>
          </cell>
          <cell r="H94">
            <v>2.14</v>
          </cell>
        </row>
        <row r="95">
          <cell r="E95" t="str">
            <v>20100128LGUM_062</v>
          </cell>
          <cell r="F95">
            <v>14.13</v>
          </cell>
          <cell r="H95">
            <v>3.4</v>
          </cell>
        </row>
        <row r="96">
          <cell r="E96" t="str">
            <v>20100128LGUM_162</v>
          </cell>
          <cell r="F96">
            <v>14.13</v>
          </cell>
          <cell r="H96">
            <v>3.4</v>
          </cell>
        </row>
        <row r="97">
          <cell r="E97" t="str">
            <v>20100128LGUM_262</v>
          </cell>
          <cell r="F97">
            <v>14.13</v>
          </cell>
          <cell r="H97">
            <v>3.4</v>
          </cell>
        </row>
        <row r="98">
          <cell r="E98" t="str">
            <v>20100128LGUM_063</v>
          </cell>
          <cell r="F98">
            <v>14.13</v>
          </cell>
          <cell r="H98">
            <v>3.4</v>
          </cell>
        </row>
        <row r="99">
          <cell r="E99" t="str">
            <v>20100128LGUM_163</v>
          </cell>
          <cell r="F99">
            <v>14.13</v>
          </cell>
          <cell r="H99">
            <v>3.4</v>
          </cell>
        </row>
        <row r="100">
          <cell r="E100" t="str">
            <v>20100128LGUM_263</v>
          </cell>
          <cell r="F100">
            <v>14.13</v>
          </cell>
          <cell r="H100">
            <v>3.4</v>
          </cell>
        </row>
        <row r="101">
          <cell r="E101" t="str">
            <v>20100128LGUM_066</v>
          </cell>
          <cell r="F101">
            <v>23.72</v>
          </cell>
          <cell r="H101">
            <v>2.14</v>
          </cell>
        </row>
        <row r="102">
          <cell r="E102" t="str">
            <v>20100128LGUM_166</v>
          </cell>
          <cell r="F102">
            <v>23.72</v>
          </cell>
          <cell r="H102">
            <v>2.14</v>
          </cell>
        </row>
        <row r="103">
          <cell r="E103" t="str">
            <v>20100128LGUM_266</v>
          </cell>
          <cell r="F103">
            <v>23.72</v>
          </cell>
          <cell r="H103">
            <v>2.14</v>
          </cell>
        </row>
        <row r="104">
          <cell r="E104" t="str">
            <v>20100128LGUM_067</v>
          </cell>
          <cell r="F104">
            <v>26.44</v>
          </cell>
          <cell r="H104">
            <v>2.94</v>
          </cell>
        </row>
        <row r="105">
          <cell r="E105" t="str">
            <v>20100128LGUM_167</v>
          </cell>
          <cell r="F105">
            <v>26.44</v>
          </cell>
          <cell r="H105">
            <v>2.94</v>
          </cell>
        </row>
        <row r="106">
          <cell r="E106" t="str">
            <v>20100128LGUM_267</v>
          </cell>
          <cell r="F106">
            <v>26.44</v>
          </cell>
          <cell r="H106">
            <v>2.94</v>
          </cell>
        </row>
        <row r="107">
          <cell r="E107" t="str">
            <v>20100128LGUM_072</v>
          </cell>
          <cell r="F107">
            <v>11.02</v>
          </cell>
          <cell r="H107">
            <v>1.44</v>
          </cell>
        </row>
        <row r="108">
          <cell r="E108" t="str">
            <v>20100128LGUM_172</v>
          </cell>
          <cell r="F108">
            <v>11.02</v>
          </cell>
          <cell r="H108">
            <v>1.44</v>
          </cell>
        </row>
        <row r="109">
          <cell r="E109" t="str">
            <v>20100128LGUM_272</v>
          </cell>
          <cell r="F109">
            <v>11.02</v>
          </cell>
          <cell r="H109">
            <v>1.44</v>
          </cell>
        </row>
        <row r="110">
          <cell r="E110" t="str">
            <v>20100128LGUM_073</v>
          </cell>
          <cell r="F110">
            <v>11.02</v>
          </cell>
          <cell r="H110">
            <v>1.44</v>
          </cell>
        </row>
        <row r="111">
          <cell r="E111" t="str">
            <v>20100128LGUM_173</v>
          </cell>
          <cell r="F111">
            <v>11.02</v>
          </cell>
          <cell r="H111">
            <v>1.44</v>
          </cell>
        </row>
        <row r="112">
          <cell r="E112" t="str">
            <v>20100128LGUM_273</v>
          </cell>
          <cell r="F112">
            <v>11.02</v>
          </cell>
          <cell r="H112">
            <v>1.44</v>
          </cell>
        </row>
        <row r="113">
          <cell r="E113" t="str">
            <v>20100128LGUM_074</v>
          </cell>
          <cell r="F113">
            <v>15.47</v>
          </cell>
          <cell r="H113">
            <v>0.99</v>
          </cell>
        </row>
        <row r="114">
          <cell r="E114" t="str">
            <v>20100128LGUM_174</v>
          </cell>
          <cell r="F114">
            <v>15.47</v>
          </cell>
          <cell r="H114">
            <v>0.99</v>
          </cell>
        </row>
        <row r="115">
          <cell r="E115" t="str">
            <v>20100128LGUM_274</v>
          </cell>
          <cell r="F115">
            <v>15.47</v>
          </cell>
          <cell r="H115">
            <v>0.99</v>
          </cell>
        </row>
        <row r="116">
          <cell r="E116" t="str">
            <v>20100128LGUM_075</v>
          </cell>
          <cell r="F116">
            <v>20.63</v>
          </cell>
          <cell r="H116">
            <v>1.38</v>
          </cell>
        </row>
        <row r="117">
          <cell r="E117" t="str">
            <v>20100128LGUM_175</v>
          </cell>
          <cell r="F117">
            <v>20.63</v>
          </cell>
          <cell r="H117">
            <v>1.38</v>
          </cell>
        </row>
        <row r="118">
          <cell r="E118" t="str">
            <v>20100128LGUM_275</v>
          </cell>
          <cell r="F118">
            <v>20.63</v>
          </cell>
          <cell r="H118">
            <v>1.38</v>
          </cell>
        </row>
        <row r="119">
          <cell r="E119" t="str">
            <v>20100128LGUM_076</v>
          </cell>
          <cell r="F119">
            <v>11.65</v>
          </cell>
          <cell r="H119">
            <v>0.69</v>
          </cell>
        </row>
        <row r="120">
          <cell r="E120" t="str">
            <v>20100128LGUM_176</v>
          </cell>
          <cell r="F120">
            <v>11.65</v>
          </cell>
          <cell r="H120">
            <v>0.69</v>
          </cell>
        </row>
        <row r="121">
          <cell r="E121" t="str">
            <v>20100128LGUM_276</v>
          </cell>
          <cell r="F121">
            <v>11.65</v>
          </cell>
          <cell r="H121">
            <v>0.69</v>
          </cell>
        </row>
        <row r="122">
          <cell r="E122" t="str">
            <v>20100128LGUM_077</v>
          </cell>
          <cell r="F122">
            <v>18.48</v>
          </cell>
          <cell r="H122">
            <v>1.38</v>
          </cell>
        </row>
        <row r="123">
          <cell r="E123" t="str">
            <v>20100128LGUM_177</v>
          </cell>
          <cell r="F123">
            <v>18.48</v>
          </cell>
          <cell r="H123">
            <v>1.38</v>
          </cell>
        </row>
        <row r="124">
          <cell r="E124" t="str">
            <v>20100128LGUM_277</v>
          </cell>
          <cell r="F124">
            <v>18.48</v>
          </cell>
          <cell r="H124">
            <v>1.38</v>
          </cell>
        </row>
        <row r="125">
          <cell r="E125" t="str">
            <v>20100128LGUM_078</v>
          </cell>
          <cell r="F125">
            <v>59.2</v>
          </cell>
          <cell r="H125">
            <v>9.98</v>
          </cell>
        </row>
        <row r="126">
          <cell r="E126" t="str">
            <v>20100128LGUM_178</v>
          </cell>
          <cell r="F126">
            <v>59.2</v>
          </cell>
          <cell r="H126">
            <v>9.98</v>
          </cell>
        </row>
        <row r="127">
          <cell r="E127" t="str">
            <v>20100128LGUM_278</v>
          </cell>
          <cell r="F127">
            <v>59.2</v>
          </cell>
          <cell r="H127">
            <v>9.98</v>
          </cell>
        </row>
        <row r="128">
          <cell r="E128" t="str">
            <v>20100128LGUM_079</v>
          </cell>
          <cell r="F128">
            <v>32.96</v>
          </cell>
          <cell r="H128">
            <v>7.57</v>
          </cell>
        </row>
        <row r="129">
          <cell r="E129" t="str">
            <v>20100128LGUM_179</v>
          </cell>
          <cell r="F129">
            <v>32.96</v>
          </cell>
          <cell r="H129">
            <v>7.57</v>
          </cell>
        </row>
        <row r="130">
          <cell r="E130" t="str">
            <v>20100128LGUM_279</v>
          </cell>
          <cell r="F130">
            <v>32.96</v>
          </cell>
          <cell r="H130">
            <v>7.57</v>
          </cell>
        </row>
        <row r="131">
          <cell r="E131" t="str">
            <v>20100128LGUM_080</v>
          </cell>
          <cell r="F131">
            <v>16.190000000000001</v>
          </cell>
          <cell r="H131">
            <v>0.69</v>
          </cell>
        </row>
        <row r="132">
          <cell r="E132" t="str">
            <v>20100128LGUM_180</v>
          </cell>
          <cell r="F132">
            <v>16.190000000000001</v>
          </cell>
          <cell r="H132">
            <v>0.69</v>
          </cell>
        </row>
        <row r="133">
          <cell r="E133" t="str">
            <v>20100128LGUM_280</v>
          </cell>
          <cell r="F133">
            <v>16.190000000000001</v>
          </cell>
          <cell r="H133">
            <v>0.69</v>
          </cell>
        </row>
        <row r="134">
          <cell r="E134" t="str">
            <v>20100128LGUM_081</v>
          </cell>
          <cell r="F134">
            <v>17.059999999999999</v>
          </cell>
          <cell r="H134">
            <v>0.99</v>
          </cell>
        </row>
        <row r="135">
          <cell r="E135" t="str">
            <v>20100128LGUM_181</v>
          </cell>
          <cell r="F135">
            <v>17.059999999999999</v>
          </cell>
          <cell r="H135">
            <v>0.99</v>
          </cell>
        </row>
        <row r="136">
          <cell r="E136" t="str">
            <v>20100128LGUM_281</v>
          </cell>
          <cell r="F136">
            <v>17.059999999999999</v>
          </cell>
          <cell r="H136">
            <v>0.99</v>
          </cell>
        </row>
        <row r="137">
          <cell r="E137" t="str">
            <v>20100128LGUM_082</v>
          </cell>
          <cell r="F137">
            <v>16.350000000000001</v>
          </cell>
          <cell r="H137">
            <v>0.69</v>
          </cell>
        </row>
        <row r="138">
          <cell r="E138" t="str">
            <v>20100128LGUM_182</v>
          </cell>
          <cell r="F138">
            <v>16.350000000000001</v>
          </cell>
          <cell r="H138">
            <v>0.69</v>
          </cell>
        </row>
        <row r="139">
          <cell r="E139" t="str">
            <v>20100128LGUM_282</v>
          </cell>
          <cell r="F139">
            <v>16.350000000000001</v>
          </cell>
          <cell r="H139">
            <v>0.69</v>
          </cell>
        </row>
        <row r="140">
          <cell r="E140" t="str">
            <v>20100128LGUM_083</v>
          </cell>
          <cell r="F140">
            <v>17.239999999999998</v>
          </cell>
          <cell r="H140">
            <v>0.99</v>
          </cell>
        </row>
        <row r="141">
          <cell r="E141" t="str">
            <v>20100128LGUM_183</v>
          </cell>
          <cell r="F141">
            <v>17.239999999999998</v>
          </cell>
          <cell r="H141">
            <v>0.99</v>
          </cell>
        </row>
        <row r="142">
          <cell r="E142" t="str">
            <v>20100128LGUM_283</v>
          </cell>
          <cell r="F142">
            <v>17.239999999999998</v>
          </cell>
          <cell r="H142">
            <v>0.99</v>
          </cell>
        </row>
        <row r="143">
          <cell r="E143" t="str">
            <v>20100128LGUM_301</v>
          </cell>
          <cell r="F143">
            <v>7.17</v>
          </cell>
          <cell r="H143">
            <v>0.86</v>
          </cell>
        </row>
        <row r="144">
          <cell r="E144" t="str">
            <v>20100128LGUM_302</v>
          </cell>
          <cell r="F144">
            <v>8.25</v>
          </cell>
          <cell r="H144">
            <v>1.44</v>
          </cell>
        </row>
        <row r="145">
          <cell r="E145" t="str">
            <v>20100128LGUM_303</v>
          </cell>
          <cell r="F145">
            <v>9.57</v>
          </cell>
          <cell r="H145">
            <v>2.04</v>
          </cell>
        </row>
        <row r="146">
          <cell r="E146" t="str">
            <v>20100128LGUM_304</v>
          </cell>
          <cell r="F146">
            <v>11.64</v>
          </cell>
          <cell r="H146">
            <v>3.18</v>
          </cell>
        </row>
        <row r="147">
          <cell r="E147" t="str">
            <v>20100128LGUM_305</v>
          </cell>
          <cell r="F147">
            <v>8.44</v>
          </cell>
          <cell r="H147">
            <v>0.99</v>
          </cell>
        </row>
        <row r="148">
          <cell r="E148" t="str">
            <v>20100128LGUM_306</v>
          </cell>
          <cell r="F148">
            <v>11.17</v>
          </cell>
          <cell r="H148">
            <v>0.85</v>
          </cell>
        </row>
        <row r="149">
          <cell r="E149" t="str">
            <v>20100128LGUM_307</v>
          </cell>
          <cell r="F149">
            <v>16.149999999999999</v>
          </cell>
          <cell r="H149">
            <v>3.18</v>
          </cell>
        </row>
        <row r="150">
          <cell r="E150" t="str">
            <v>20100128LGUM_308</v>
          </cell>
          <cell r="F150">
            <v>12.15</v>
          </cell>
          <cell r="H150">
            <v>1.44</v>
          </cell>
        </row>
        <row r="151">
          <cell r="E151" t="str">
            <v>20100128LGUM_309</v>
          </cell>
          <cell r="F151">
            <v>22.12</v>
          </cell>
          <cell r="H151">
            <v>7.58</v>
          </cell>
        </row>
        <row r="152">
          <cell r="E152" t="str">
            <v>20100128LGUM_310</v>
          </cell>
          <cell r="F152">
            <v>22.12</v>
          </cell>
          <cell r="H152">
            <v>7.58</v>
          </cell>
        </row>
        <row r="153">
          <cell r="E153" t="str">
            <v>20100128LGUM_311</v>
          </cell>
          <cell r="F153">
            <v>12.02</v>
          </cell>
          <cell r="H153">
            <v>2.14</v>
          </cell>
        </row>
        <row r="154">
          <cell r="E154" t="str">
            <v>20100128LGUM_312</v>
          </cell>
          <cell r="F154">
            <v>12.92</v>
          </cell>
          <cell r="H154">
            <v>3.4</v>
          </cell>
        </row>
        <row r="155">
          <cell r="E155" t="str">
            <v>20100128LGUM_313</v>
          </cell>
          <cell r="F155">
            <v>12.92</v>
          </cell>
          <cell r="H155">
            <v>3.4</v>
          </cell>
        </row>
        <row r="156">
          <cell r="E156" t="str">
            <v>20100128LGUM_314</v>
          </cell>
          <cell r="F156">
            <v>17.54</v>
          </cell>
          <cell r="H156">
            <v>2.04</v>
          </cell>
        </row>
        <row r="157">
          <cell r="E157" t="str">
            <v>20100128LGUM_315</v>
          </cell>
          <cell r="F157">
            <v>20.85</v>
          </cell>
          <cell r="H157">
            <v>3.18</v>
          </cell>
        </row>
        <row r="158">
          <cell r="E158" t="str">
            <v>20100128LGUM_316</v>
          </cell>
          <cell r="F158">
            <v>22.01</v>
          </cell>
          <cell r="H158">
            <v>2.14</v>
          </cell>
        </row>
        <row r="159">
          <cell r="E159" t="str">
            <v>20100128LGUM_317</v>
          </cell>
          <cell r="F159">
            <v>23.95</v>
          </cell>
          <cell r="H159">
            <v>3.4</v>
          </cell>
        </row>
        <row r="160">
          <cell r="E160" t="str">
            <v>20100128LGUM_318</v>
          </cell>
          <cell r="F160">
            <v>16.18</v>
          </cell>
          <cell r="H160">
            <v>1.44</v>
          </cell>
        </row>
        <row r="161">
          <cell r="E161" t="str">
            <v>20100128LGUM_319</v>
          </cell>
          <cell r="F161">
            <v>20.95</v>
          </cell>
          <cell r="H161">
            <v>3.17</v>
          </cell>
        </row>
        <row r="162">
          <cell r="E162" t="str">
            <v>20100128LGUM_320</v>
          </cell>
          <cell r="F162">
            <v>22.01</v>
          </cell>
          <cell r="H162">
            <v>2.14</v>
          </cell>
        </row>
        <row r="163">
          <cell r="E163" t="str">
            <v>20100128LGUM_321</v>
          </cell>
          <cell r="F163">
            <v>23.95</v>
          </cell>
          <cell r="H163">
            <v>3.4</v>
          </cell>
        </row>
        <row r="164">
          <cell r="E164" t="str">
            <v>20100128LGUM_322</v>
          </cell>
          <cell r="F164">
            <v>10.050000000000001</v>
          </cell>
          <cell r="H164">
            <v>1.44</v>
          </cell>
        </row>
        <row r="165">
          <cell r="E165" t="str">
            <v>20100128LGUM_323</v>
          </cell>
          <cell r="F165">
            <v>12.1</v>
          </cell>
          <cell r="H165">
            <v>1.56</v>
          </cell>
        </row>
        <row r="166">
          <cell r="E166" t="str">
            <v>20100128LGUM_324</v>
          </cell>
          <cell r="F166">
            <v>12.22</v>
          </cell>
          <cell r="H166">
            <v>0.99</v>
          </cell>
        </row>
        <row r="167">
          <cell r="E167" t="str">
            <v>20100128LGUM_325</v>
          </cell>
          <cell r="F167">
            <v>20.61</v>
          </cell>
          <cell r="H167">
            <v>1.38</v>
          </cell>
        </row>
        <row r="168">
          <cell r="E168" t="str">
            <v>20100128LGUM_345</v>
          </cell>
          <cell r="F168">
            <v>16.11</v>
          </cell>
          <cell r="H168">
            <v>3.18</v>
          </cell>
        </row>
        <row r="169">
          <cell r="E169" t="str">
            <v>20100128LGUM_346</v>
          </cell>
          <cell r="F169">
            <v>22.05</v>
          </cell>
          <cell r="H169">
            <v>2.04</v>
          </cell>
        </row>
        <row r="170">
          <cell r="E170" t="str">
            <v>20100128LGUM_347</v>
          </cell>
          <cell r="F170">
            <v>20.95</v>
          </cell>
          <cell r="H170">
            <v>3.18</v>
          </cell>
        </row>
        <row r="171">
          <cell r="E171" t="str">
            <v>20100128LGUM_348</v>
          </cell>
          <cell r="F171">
            <v>11.89</v>
          </cell>
          <cell r="H171">
            <v>2.39</v>
          </cell>
        </row>
        <row r="172">
          <cell r="E172" t="str">
            <v>20100128LGUM_349</v>
          </cell>
          <cell r="F172">
            <v>8.35</v>
          </cell>
          <cell r="H172">
            <v>0.86</v>
          </cell>
        </row>
        <row r="173">
          <cell r="E173" t="str">
            <v>20100128LGUM_352</v>
          </cell>
          <cell r="F173">
            <v>10.039999999999999</v>
          </cell>
          <cell r="H173">
            <v>1.44</v>
          </cell>
        </row>
        <row r="174">
          <cell r="E174" t="str">
            <v>20100128LGUM_353</v>
          </cell>
          <cell r="F174">
            <v>11.46</v>
          </cell>
          <cell r="H174">
            <v>2.04</v>
          </cell>
        </row>
        <row r="175">
          <cell r="E175" t="str">
            <v>20100128LGUM_354</v>
          </cell>
          <cell r="F175">
            <v>13.95</v>
          </cell>
          <cell r="H175">
            <v>3.18</v>
          </cell>
        </row>
        <row r="176">
          <cell r="E176" t="str">
            <v>20100128LGUM_355</v>
          </cell>
          <cell r="F176">
            <v>8.44</v>
          </cell>
          <cell r="H176">
            <v>0.99</v>
          </cell>
        </row>
        <row r="177">
          <cell r="E177" t="str">
            <v>20100128LGUM_356</v>
          </cell>
          <cell r="F177">
            <v>13.86</v>
          </cell>
          <cell r="H177">
            <v>0.85</v>
          </cell>
        </row>
        <row r="178">
          <cell r="E178" t="str">
            <v>20100128LGUM_357</v>
          </cell>
          <cell r="F178">
            <v>13.95</v>
          </cell>
          <cell r="H178">
            <v>3.18</v>
          </cell>
        </row>
        <row r="179">
          <cell r="E179" t="str">
            <v>20100128LGUM_358</v>
          </cell>
          <cell r="F179">
            <v>14.68</v>
          </cell>
          <cell r="H179">
            <v>1.44</v>
          </cell>
        </row>
        <row r="180">
          <cell r="E180" t="str">
            <v>20100128LGUM_360</v>
          </cell>
          <cell r="F180">
            <v>25.83</v>
          </cell>
          <cell r="H180">
            <v>7.58</v>
          </cell>
        </row>
        <row r="181">
          <cell r="E181" t="str">
            <v>20100128LGUM_361</v>
          </cell>
          <cell r="F181">
            <v>12.02</v>
          </cell>
          <cell r="H181">
            <v>2.14</v>
          </cell>
        </row>
        <row r="182">
          <cell r="E182" t="str">
            <v>20100128LGUM_362</v>
          </cell>
          <cell r="F182">
            <v>12.92</v>
          </cell>
          <cell r="H182">
            <v>3.4</v>
          </cell>
        </row>
        <row r="183">
          <cell r="E183" t="str">
            <v>20100128LGUM_363</v>
          </cell>
          <cell r="F183">
            <v>12.92</v>
          </cell>
          <cell r="H183">
            <v>3.4</v>
          </cell>
        </row>
        <row r="184">
          <cell r="E184" t="str">
            <v>20100128LGUM_364</v>
          </cell>
          <cell r="F184">
            <v>24.05</v>
          </cell>
          <cell r="H184">
            <v>2.04</v>
          </cell>
        </row>
        <row r="185">
          <cell r="E185" t="str">
            <v>20100128LGUM_365</v>
          </cell>
          <cell r="F185">
            <v>27.09</v>
          </cell>
          <cell r="H185">
            <v>3.18</v>
          </cell>
        </row>
        <row r="186">
          <cell r="E186" t="str">
            <v>20100128LGUM_366</v>
          </cell>
          <cell r="F186">
            <v>22.01</v>
          </cell>
          <cell r="H186">
            <v>2.14</v>
          </cell>
        </row>
        <row r="187">
          <cell r="E187" t="str">
            <v>20100128LGUM_367</v>
          </cell>
          <cell r="F187">
            <v>23.95</v>
          </cell>
          <cell r="H187">
            <v>3.4</v>
          </cell>
        </row>
        <row r="188">
          <cell r="E188" t="str">
            <v>20100128LGUM_368</v>
          </cell>
          <cell r="F188">
            <v>23.12</v>
          </cell>
          <cell r="H188">
            <v>1.44</v>
          </cell>
        </row>
        <row r="189">
          <cell r="E189" t="str">
            <v>20100128LGUM_369</v>
          </cell>
          <cell r="F189">
            <v>27.09</v>
          </cell>
          <cell r="H189">
            <v>3.18</v>
          </cell>
        </row>
        <row r="190">
          <cell r="E190" t="str">
            <v>20100128LGUM_370</v>
          </cell>
          <cell r="F190">
            <v>22.01</v>
          </cell>
          <cell r="H190">
            <v>2.14</v>
          </cell>
        </row>
        <row r="191">
          <cell r="E191" t="str">
            <v>20100128LGUM_371</v>
          </cell>
          <cell r="F191">
            <v>23.95</v>
          </cell>
          <cell r="H191">
            <v>3.4</v>
          </cell>
        </row>
        <row r="192">
          <cell r="E192" t="str">
            <v>20100128LGUM_372</v>
          </cell>
          <cell r="F192">
            <v>10.050000000000001</v>
          </cell>
          <cell r="H192">
            <v>1.44</v>
          </cell>
        </row>
        <row r="193">
          <cell r="E193" t="str">
            <v>20100128LGUM_373</v>
          </cell>
          <cell r="F193">
            <v>10.050000000000001</v>
          </cell>
          <cell r="H193">
            <v>1.44</v>
          </cell>
        </row>
        <row r="194">
          <cell r="E194" t="str">
            <v>20100128LGUM_374</v>
          </cell>
          <cell r="F194">
            <v>12.22</v>
          </cell>
          <cell r="H194">
            <v>0.99</v>
          </cell>
        </row>
        <row r="195">
          <cell r="E195" t="str">
            <v>20100128LGUM_375</v>
          </cell>
          <cell r="F195">
            <v>20.61</v>
          </cell>
          <cell r="H195">
            <v>1.38</v>
          </cell>
        </row>
        <row r="196">
          <cell r="E196" t="str">
            <v>20100128LGUM_376</v>
          </cell>
          <cell r="F196">
            <v>11.72</v>
          </cell>
          <cell r="H196">
            <v>0.85</v>
          </cell>
        </row>
        <row r="197">
          <cell r="E197" t="str">
            <v>20100128LGUM_377</v>
          </cell>
          <cell r="F197">
            <v>17.75</v>
          </cell>
          <cell r="H197">
            <v>1.38</v>
          </cell>
        </row>
        <row r="198">
          <cell r="E198" t="str">
            <v>20100128LGUM_378</v>
          </cell>
          <cell r="F198">
            <v>55.3</v>
          </cell>
          <cell r="H198">
            <v>7.58</v>
          </cell>
        </row>
        <row r="199">
          <cell r="E199" t="str">
            <v>20100128LGUM_379</v>
          </cell>
          <cell r="F199">
            <v>29.05</v>
          </cell>
          <cell r="H199">
            <v>7.57</v>
          </cell>
        </row>
        <row r="200">
          <cell r="E200" t="str">
            <v>20100128LGUM_380</v>
          </cell>
          <cell r="F200">
            <v>15.79</v>
          </cell>
          <cell r="H200">
            <v>0.69</v>
          </cell>
        </row>
        <row r="201">
          <cell r="E201" t="str">
            <v>20100128LGUM_381</v>
          </cell>
          <cell r="F201">
            <v>16.559999999999999</v>
          </cell>
          <cell r="H201">
            <v>0.99</v>
          </cell>
        </row>
        <row r="202">
          <cell r="E202" t="str">
            <v>20100128LGUM_382</v>
          </cell>
          <cell r="F202">
            <v>15.98</v>
          </cell>
          <cell r="H202">
            <v>0.69</v>
          </cell>
        </row>
        <row r="203">
          <cell r="E203" t="str">
            <v>20100128LGUM_383</v>
          </cell>
          <cell r="F203">
            <v>17.09</v>
          </cell>
          <cell r="H203">
            <v>0.99</v>
          </cell>
        </row>
        <row r="204">
          <cell r="E204" t="str">
            <v>20100128LGUM_412</v>
          </cell>
          <cell r="F204">
            <v>16.38</v>
          </cell>
          <cell r="H204">
            <v>0.75</v>
          </cell>
        </row>
        <row r="205">
          <cell r="E205" t="str">
            <v>20100128LGUM_413</v>
          </cell>
          <cell r="F205">
            <v>16.88</v>
          </cell>
          <cell r="H205">
            <v>0.99</v>
          </cell>
        </row>
        <row r="206">
          <cell r="E206" t="str">
            <v>20100128LGUM_414</v>
          </cell>
          <cell r="F206">
            <v>17.84</v>
          </cell>
          <cell r="H206">
            <v>1.37</v>
          </cell>
        </row>
        <row r="207">
          <cell r="E207" t="str">
            <v>20100128LGUM_415</v>
          </cell>
          <cell r="F207">
            <v>16.71</v>
          </cell>
          <cell r="H207">
            <v>0.75</v>
          </cell>
        </row>
        <row r="208">
          <cell r="E208" t="str">
            <v>20100128LGUM_416</v>
          </cell>
          <cell r="F208">
            <v>18.649999999999999</v>
          </cell>
          <cell r="H208">
            <v>0.99</v>
          </cell>
        </row>
        <row r="209">
          <cell r="E209" t="str">
            <v>20100128LGUM_417</v>
          </cell>
          <cell r="F209">
            <v>19.600000000000001</v>
          </cell>
          <cell r="H209">
            <v>0.99</v>
          </cell>
        </row>
        <row r="210">
          <cell r="E210" t="str">
            <v>20100128LGUM_418</v>
          </cell>
          <cell r="F210">
            <v>19.52</v>
          </cell>
          <cell r="H210">
            <v>1.37</v>
          </cell>
        </row>
        <row r="211">
          <cell r="E211" t="str">
            <v>20100128LGUM_419</v>
          </cell>
          <cell r="F211">
            <v>20.41</v>
          </cell>
          <cell r="H211">
            <v>1.37</v>
          </cell>
        </row>
        <row r="212">
          <cell r="E212" t="str">
            <v>20100128LGUM_420</v>
          </cell>
          <cell r="F212">
            <v>24.88</v>
          </cell>
          <cell r="H212">
            <v>1.37</v>
          </cell>
        </row>
        <row r="213">
          <cell r="E213" t="str">
            <v>20100128LGUM_421</v>
          </cell>
          <cell r="F213">
            <v>27.66</v>
          </cell>
          <cell r="H213">
            <v>2.14</v>
          </cell>
        </row>
        <row r="214">
          <cell r="E214" t="str">
            <v>20100128LGUM_422</v>
          </cell>
          <cell r="F214">
            <v>31.49</v>
          </cell>
          <cell r="H214">
            <v>3.4</v>
          </cell>
        </row>
        <row r="215">
          <cell r="E215" t="str">
            <v>20100128LGUM_423</v>
          </cell>
          <cell r="F215">
            <v>21.86</v>
          </cell>
          <cell r="H215">
            <v>1.37</v>
          </cell>
        </row>
        <row r="216">
          <cell r="E216" t="str">
            <v>20100128LGUM_424</v>
          </cell>
          <cell r="F216">
            <v>23.91</v>
          </cell>
          <cell r="H216">
            <v>2.14</v>
          </cell>
        </row>
        <row r="217">
          <cell r="E217" t="str">
            <v>20100128LGUM_425</v>
          </cell>
          <cell r="F217">
            <v>27.78</v>
          </cell>
          <cell r="H217">
            <v>3.4</v>
          </cell>
        </row>
        <row r="218">
          <cell r="E218" t="str">
            <v>20100128LGUM_426</v>
          </cell>
          <cell r="F218">
            <v>27.81</v>
          </cell>
          <cell r="H218">
            <v>0.75</v>
          </cell>
        </row>
        <row r="219">
          <cell r="E219" t="str">
            <v>20100128LGUM_427</v>
          </cell>
          <cell r="F219">
            <v>29.49</v>
          </cell>
          <cell r="H219">
            <v>0.75</v>
          </cell>
        </row>
        <row r="220">
          <cell r="E220" t="str">
            <v>20100128LGUM_428</v>
          </cell>
          <cell r="F220">
            <v>28.46</v>
          </cell>
          <cell r="H220">
            <v>0.99</v>
          </cell>
        </row>
        <row r="221">
          <cell r="E221" t="str">
            <v>20100128LGUM_429</v>
          </cell>
          <cell r="F221">
            <v>30.15</v>
          </cell>
          <cell r="H221">
            <v>0.99</v>
          </cell>
        </row>
        <row r="222">
          <cell r="E222" t="str">
            <v>20100128LGUM_430</v>
          </cell>
          <cell r="F222">
            <v>26.99</v>
          </cell>
          <cell r="H222">
            <v>0.75</v>
          </cell>
        </row>
        <row r="223">
          <cell r="E223" t="str">
            <v>20100128LGUM_431</v>
          </cell>
          <cell r="F223">
            <v>27.56</v>
          </cell>
          <cell r="H223">
            <v>0.75</v>
          </cell>
        </row>
        <row r="224">
          <cell r="E224" t="str">
            <v>20100128LGUM_432</v>
          </cell>
          <cell r="F224">
            <v>28.67</v>
          </cell>
          <cell r="H224">
            <v>0.99</v>
          </cell>
        </row>
        <row r="225">
          <cell r="E225" t="str">
            <v>20100128LGUM_433</v>
          </cell>
          <cell r="F225">
            <v>29.23</v>
          </cell>
          <cell r="H225">
            <v>0.99</v>
          </cell>
        </row>
        <row r="226">
          <cell r="E226" t="str">
            <v>20100128LGUM_434</v>
          </cell>
          <cell r="F226">
            <v>16.350000000000001</v>
          </cell>
          <cell r="H226">
            <v>0.85</v>
          </cell>
        </row>
        <row r="227">
          <cell r="E227" t="str">
            <v>20100128LGUM_435</v>
          </cell>
          <cell r="F227">
            <v>17.920000000000002</v>
          </cell>
          <cell r="H227">
            <v>1.44</v>
          </cell>
        </row>
        <row r="228">
          <cell r="E228" t="str">
            <v>20100128LGUM_436</v>
          </cell>
          <cell r="F228">
            <v>21.89</v>
          </cell>
          <cell r="H228">
            <v>1.44</v>
          </cell>
        </row>
        <row r="229">
          <cell r="E229" t="str">
            <v>20100128LGUM_437</v>
          </cell>
          <cell r="F229">
            <v>23.31</v>
          </cell>
          <cell r="H229">
            <v>2.04</v>
          </cell>
        </row>
        <row r="230">
          <cell r="E230" t="str">
            <v>20100128LGUM_438</v>
          </cell>
          <cell r="F230">
            <v>26.69</v>
          </cell>
          <cell r="H230">
            <v>3.17</v>
          </cell>
        </row>
        <row r="231">
          <cell r="E231" t="str">
            <v>20100128LGUM_452</v>
          </cell>
          <cell r="F231">
            <v>10.130000000000001</v>
          </cell>
          <cell r="H231">
            <v>1.37</v>
          </cell>
        </row>
        <row r="232">
          <cell r="E232" t="str">
            <v>20100128LGUM_453</v>
          </cell>
          <cell r="F232">
            <v>12.19</v>
          </cell>
          <cell r="H232">
            <v>2.14</v>
          </cell>
        </row>
        <row r="233">
          <cell r="E233" t="str">
            <v>20100128LGUM_454</v>
          </cell>
          <cell r="F233">
            <v>16.059999999999999</v>
          </cell>
          <cell r="H233">
            <v>3.4</v>
          </cell>
        </row>
        <row r="234">
          <cell r="E234" t="str">
            <v>20100128LGUM_455</v>
          </cell>
          <cell r="F234">
            <v>11.55</v>
          </cell>
          <cell r="H234">
            <v>1.37</v>
          </cell>
        </row>
        <row r="235">
          <cell r="E235" t="str">
            <v>20100128LGUM_456</v>
          </cell>
          <cell r="F235">
            <v>16.91</v>
          </cell>
          <cell r="H235">
            <v>3.4</v>
          </cell>
        </row>
        <row r="236">
          <cell r="E236" t="str">
            <v>20100128LGUM_457</v>
          </cell>
          <cell r="F236">
            <v>8.99</v>
          </cell>
          <cell r="H236">
            <v>0.99</v>
          </cell>
        </row>
        <row r="237">
          <cell r="E237" t="str">
            <v>20100128LGUM_458</v>
          </cell>
          <cell r="F237">
            <v>10.16</v>
          </cell>
          <cell r="H237">
            <v>1.44</v>
          </cell>
        </row>
        <row r="238">
          <cell r="E238" t="str">
            <v>20100128LGUM_459</v>
          </cell>
          <cell r="F238">
            <v>11.59</v>
          </cell>
          <cell r="H238">
            <v>2.04</v>
          </cell>
        </row>
        <row r="239">
          <cell r="E239" t="str">
            <v>20100128LGUM_460</v>
          </cell>
          <cell r="F239">
            <v>14.96</v>
          </cell>
          <cell r="H239">
            <v>3.17</v>
          </cell>
        </row>
        <row r="240">
          <cell r="E240" t="str">
            <v>20100128LGUM_461</v>
          </cell>
          <cell r="F240">
            <v>16.309999999999999</v>
          </cell>
          <cell r="H240">
            <v>3.17</v>
          </cell>
        </row>
        <row r="241">
          <cell r="E241" t="str">
            <v>20100128LGUM_462</v>
          </cell>
          <cell r="F241">
            <v>9.9</v>
          </cell>
          <cell r="H241">
            <v>1.44</v>
          </cell>
        </row>
        <row r="242">
          <cell r="E242" t="str">
            <v>20100128LGUM_470</v>
          </cell>
          <cell r="F242">
            <v>10.39</v>
          </cell>
          <cell r="H242">
            <v>1.42</v>
          </cell>
        </row>
        <row r="243">
          <cell r="E243" t="str">
            <v>20100128LGUM_471</v>
          </cell>
          <cell r="F243">
            <v>12.33</v>
          </cell>
          <cell r="H243">
            <v>1.42</v>
          </cell>
        </row>
        <row r="244">
          <cell r="E244" t="str">
            <v>20100128LGUM_472</v>
          </cell>
          <cell r="F244">
            <v>18.68</v>
          </cell>
          <cell r="H244">
            <v>1.42</v>
          </cell>
        </row>
        <row r="245">
          <cell r="E245" t="str">
            <v>20100128LGUM_473</v>
          </cell>
          <cell r="F245">
            <v>14.93</v>
          </cell>
          <cell r="H245">
            <v>3.09</v>
          </cell>
        </row>
        <row r="246">
          <cell r="E246" t="str">
            <v>20100128LGUM_474</v>
          </cell>
          <cell r="F246">
            <v>16.88</v>
          </cell>
          <cell r="H246">
            <v>3.09</v>
          </cell>
        </row>
        <row r="247">
          <cell r="E247" t="str">
            <v>20100128LGUM_475</v>
          </cell>
          <cell r="F247">
            <v>23.23</v>
          </cell>
          <cell r="H247">
            <v>3.09</v>
          </cell>
        </row>
        <row r="248">
          <cell r="E248" t="str">
            <v>20100128LGUM_476</v>
          </cell>
          <cell r="F248">
            <v>30.9</v>
          </cell>
          <cell r="H248">
            <v>7.41</v>
          </cell>
        </row>
        <row r="249">
          <cell r="E249" t="str">
            <v>20100128LGUM_477</v>
          </cell>
          <cell r="F249">
            <v>33.61</v>
          </cell>
          <cell r="H249">
            <v>7.41</v>
          </cell>
        </row>
        <row r="250">
          <cell r="E250" t="str">
            <v>20100128LGUM_478</v>
          </cell>
          <cell r="F250">
            <v>39.19</v>
          </cell>
          <cell r="H250">
            <v>7.41</v>
          </cell>
        </row>
        <row r="251">
          <cell r="E251" t="str">
            <v>20100128LGUM_479</v>
          </cell>
          <cell r="F251">
            <v>11.47</v>
          </cell>
          <cell r="H251">
            <v>1.42</v>
          </cell>
        </row>
        <row r="252">
          <cell r="E252" t="str">
            <v>20100128LGUM_480</v>
          </cell>
          <cell r="F252">
            <v>19.78</v>
          </cell>
          <cell r="H252">
            <v>1.42</v>
          </cell>
        </row>
        <row r="253">
          <cell r="E253" t="str">
            <v>20100128LGUM_481</v>
          </cell>
          <cell r="F253">
            <v>16.45</v>
          </cell>
          <cell r="H253">
            <v>3.09</v>
          </cell>
        </row>
        <row r="254">
          <cell r="E254" t="str">
            <v>20100128LGUM_482</v>
          </cell>
          <cell r="F254">
            <v>24.75</v>
          </cell>
          <cell r="H254">
            <v>3.09</v>
          </cell>
        </row>
        <row r="255">
          <cell r="E255" t="str">
            <v>20100128LGUM_483</v>
          </cell>
          <cell r="F255">
            <v>33.42</v>
          </cell>
          <cell r="H255">
            <v>7.41</v>
          </cell>
        </row>
        <row r="256">
          <cell r="E256" t="str">
            <v>20100128LGUM_484</v>
          </cell>
          <cell r="F256">
            <v>41.72</v>
          </cell>
          <cell r="H256">
            <v>7.41</v>
          </cell>
        </row>
        <row r="257">
          <cell r="E257" t="str">
            <v>20100729LGUM_001</v>
          </cell>
          <cell r="F257">
            <v>7.89</v>
          </cell>
          <cell r="H257">
            <v>0.86</v>
          </cell>
        </row>
        <row r="258">
          <cell r="E258" t="str">
            <v>20100729LGUM_101</v>
          </cell>
          <cell r="F258">
            <v>7.89</v>
          </cell>
          <cell r="H258">
            <v>0.86</v>
          </cell>
        </row>
        <row r="259">
          <cell r="E259" t="str">
            <v>20100729LGUM_201</v>
          </cell>
          <cell r="F259">
            <v>7.89</v>
          </cell>
          <cell r="H259">
            <v>0.86</v>
          </cell>
        </row>
        <row r="260">
          <cell r="E260" t="str">
            <v>20100729LGUM_002</v>
          </cell>
          <cell r="F260">
            <v>8.82</v>
          </cell>
          <cell r="H260">
            <v>1.44</v>
          </cell>
        </row>
        <row r="261">
          <cell r="E261" t="str">
            <v>20100729LGUM_102</v>
          </cell>
          <cell r="F261">
            <v>8.82</v>
          </cell>
          <cell r="H261">
            <v>1.44</v>
          </cell>
        </row>
        <row r="262">
          <cell r="E262" t="str">
            <v>20100729LGUM_202</v>
          </cell>
          <cell r="F262">
            <v>8.82</v>
          </cell>
          <cell r="H262">
            <v>1.44</v>
          </cell>
        </row>
        <row r="263">
          <cell r="E263" t="str">
            <v>20100729LGUM_003</v>
          </cell>
          <cell r="F263">
            <v>10.18</v>
          </cell>
          <cell r="H263">
            <v>2.04</v>
          </cell>
        </row>
        <row r="264">
          <cell r="E264" t="str">
            <v>20100729LGUM_103</v>
          </cell>
          <cell r="F264">
            <v>10.18</v>
          </cell>
          <cell r="H264">
            <v>2.04</v>
          </cell>
        </row>
        <row r="265">
          <cell r="E265" t="str">
            <v>20100729LGUM_203</v>
          </cell>
          <cell r="F265">
            <v>10.18</v>
          </cell>
          <cell r="H265">
            <v>2.04</v>
          </cell>
        </row>
        <row r="266">
          <cell r="E266" t="str">
            <v>20100729LGUM_004</v>
          </cell>
          <cell r="F266">
            <v>12.54</v>
          </cell>
          <cell r="H266">
            <v>3.18</v>
          </cell>
        </row>
        <row r="267">
          <cell r="E267" t="str">
            <v>20100729LGUM_104</v>
          </cell>
          <cell r="F267">
            <v>12.54</v>
          </cell>
          <cell r="H267">
            <v>3.18</v>
          </cell>
        </row>
        <row r="268">
          <cell r="E268" t="str">
            <v>20100729LGUM_204</v>
          </cell>
          <cell r="F268">
            <v>12.54</v>
          </cell>
          <cell r="H268">
            <v>3.18</v>
          </cell>
        </row>
        <row r="269">
          <cell r="E269" t="str">
            <v>20100729LGUM_005</v>
          </cell>
          <cell r="F269">
            <v>9.8800000000000008</v>
          </cell>
          <cell r="H269">
            <v>0.99</v>
          </cell>
        </row>
        <row r="270">
          <cell r="E270" t="str">
            <v>20100729LGUM_105</v>
          </cell>
          <cell r="F270">
            <v>9.8800000000000008</v>
          </cell>
          <cell r="H270">
            <v>0.99</v>
          </cell>
        </row>
        <row r="271">
          <cell r="E271" t="str">
            <v>20100729LGUM_205</v>
          </cell>
          <cell r="F271">
            <v>9.8800000000000008</v>
          </cell>
          <cell r="H271">
            <v>0.99</v>
          </cell>
        </row>
        <row r="272">
          <cell r="E272" t="str">
            <v>20100729LGUM_006</v>
          </cell>
          <cell r="F272">
            <v>13.13</v>
          </cell>
          <cell r="H272">
            <v>0.86</v>
          </cell>
        </row>
        <row r="273">
          <cell r="E273" t="str">
            <v>20100729LGUM_106</v>
          </cell>
          <cell r="F273">
            <v>13.13</v>
          </cell>
          <cell r="H273">
            <v>0.86</v>
          </cell>
        </row>
        <row r="274">
          <cell r="E274" t="str">
            <v>20100729LGUM_206</v>
          </cell>
          <cell r="F274">
            <v>13.13</v>
          </cell>
          <cell r="H274">
            <v>0.86</v>
          </cell>
        </row>
        <row r="275">
          <cell r="E275" t="str">
            <v>20100729LGUM_007</v>
          </cell>
          <cell r="F275">
            <v>12.54</v>
          </cell>
          <cell r="H275">
            <v>3.18</v>
          </cell>
        </row>
        <row r="276">
          <cell r="E276" t="str">
            <v>20100729LGUM_107</v>
          </cell>
          <cell r="F276">
            <v>12.54</v>
          </cell>
          <cell r="H276">
            <v>3.18</v>
          </cell>
        </row>
        <row r="277">
          <cell r="E277" t="str">
            <v>20100729LGUM_207</v>
          </cell>
          <cell r="F277">
            <v>12.54</v>
          </cell>
          <cell r="H277">
            <v>3.18</v>
          </cell>
        </row>
        <row r="278">
          <cell r="E278" t="str">
            <v>20100729LGUM_008</v>
          </cell>
          <cell r="F278">
            <v>13.91</v>
          </cell>
          <cell r="H278">
            <v>1.44</v>
          </cell>
        </row>
        <row r="279">
          <cell r="E279" t="str">
            <v>20100729LGUM_108</v>
          </cell>
          <cell r="F279">
            <v>13.91</v>
          </cell>
          <cell r="H279">
            <v>1.44</v>
          </cell>
        </row>
        <row r="280">
          <cell r="E280" t="str">
            <v>20100729LGUM_208</v>
          </cell>
          <cell r="F280">
            <v>13.91</v>
          </cell>
          <cell r="H280">
            <v>1.44</v>
          </cell>
        </row>
        <row r="281">
          <cell r="E281" t="str">
            <v>20100729LGUM_009</v>
          </cell>
          <cell r="F281">
            <v>23.44</v>
          </cell>
          <cell r="H281">
            <v>7.58</v>
          </cell>
        </row>
        <row r="282">
          <cell r="E282" t="str">
            <v>20100729LGUM_109</v>
          </cell>
          <cell r="F282">
            <v>23.44</v>
          </cell>
          <cell r="H282">
            <v>7.58</v>
          </cell>
        </row>
        <row r="283">
          <cell r="E283" t="str">
            <v>20100729LGUM_209</v>
          </cell>
          <cell r="F283">
            <v>23.44</v>
          </cell>
          <cell r="H283">
            <v>7.58</v>
          </cell>
        </row>
        <row r="284">
          <cell r="E284" t="str">
            <v>20100729LGUM_010</v>
          </cell>
          <cell r="F284">
            <v>23.44</v>
          </cell>
          <cell r="H284">
            <v>7.58</v>
          </cell>
        </row>
        <row r="285">
          <cell r="E285" t="str">
            <v>20100729LGUM_110</v>
          </cell>
          <cell r="F285">
            <v>23.44</v>
          </cell>
          <cell r="H285">
            <v>7.58</v>
          </cell>
        </row>
        <row r="286">
          <cell r="E286" t="str">
            <v>20100729LGUM_210</v>
          </cell>
          <cell r="F286">
            <v>23.44</v>
          </cell>
          <cell r="H286">
            <v>7.58</v>
          </cell>
        </row>
        <row r="287">
          <cell r="E287" t="str">
            <v>20100729LGUM_011</v>
          </cell>
          <cell r="F287">
            <v>14.75</v>
          </cell>
          <cell r="H287">
            <v>2.14</v>
          </cell>
        </row>
        <row r="288">
          <cell r="E288" t="str">
            <v>20100729LGUM_111</v>
          </cell>
          <cell r="F288">
            <v>14.75</v>
          </cell>
          <cell r="H288">
            <v>2.14</v>
          </cell>
        </row>
        <row r="289">
          <cell r="E289" t="str">
            <v>20100729LGUM_211</v>
          </cell>
          <cell r="F289">
            <v>14.75</v>
          </cell>
          <cell r="H289">
            <v>2.14</v>
          </cell>
        </row>
        <row r="290">
          <cell r="E290" t="str">
            <v>20100729LGUM_012</v>
          </cell>
          <cell r="F290">
            <v>16.03</v>
          </cell>
          <cell r="H290">
            <v>3.4</v>
          </cell>
        </row>
        <row r="291">
          <cell r="E291" t="str">
            <v>20100729LGUM_112</v>
          </cell>
          <cell r="F291">
            <v>16.03</v>
          </cell>
          <cell r="H291">
            <v>3.4</v>
          </cell>
        </row>
        <row r="292">
          <cell r="E292" t="str">
            <v>20100729LGUM_212</v>
          </cell>
          <cell r="F292">
            <v>16.03</v>
          </cell>
          <cell r="H292">
            <v>3.4</v>
          </cell>
        </row>
        <row r="293">
          <cell r="E293" t="str">
            <v>20100729LGUM_013</v>
          </cell>
          <cell r="F293">
            <v>16.03</v>
          </cell>
          <cell r="H293">
            <v>3.4</v>
          </cell>
        </row>
        <row r="294">
          <cell r="E294" t="str">
            <v>20100729LGUM_113</v>
          </cell>
          <cell r="F294">
            <v>16.03</v>
          </cell>
          <cell r="H294">
            <v>3.4</v>
          </cell>
        </row>
        <row r="295">
          <cell r="E295" t="str">
            <v>20100729LGUM_213</v>
          </cell>
          <cell r="F295">
            <v>16.03</v>
          </cell>
          <cell r="H295">
            <v>3.4</v>
          </cell>
        </row>
        <row r="296">
          <cell r="E296" t="str">
            <v>20100729LGUM_016</v>
          </cell>
          <cell r="F296">
            <v>26.92</v>
          </cell>
          <cell r="H296">
            <v>2.14</v>
          </cell>
        </row>
        <row r="297">
          <cell r="E297" t="str">
            <v>20100729LGUM_116</v>
          </cell>
          <cell r="F297">
            <v>26.92</v>
          </cell>
          <cell r="H297">
            <v>2.14</v>
          </cell>
        </row>
        <row r="298">
          <cell r="E298" t="str">
            <v>20100729LGUM_216</v>
          </cell>
          <cell r="F298">
            <v>26.92</v>
          </cell>
          <cell r="H298">
            <v>2.14</v>
          </cell>
        </row>
        <row r="299">
          <cell r="E299" t="str">
            <v>20100729LGUM_017</v>
          </cell>
          <cell r="F299">
            <v>30</v>
          </cell>
          <cell r="H299">
            <v>3.4</v>
          </cell>
        </row>
        <row r="300">
          <cell r="E300" t="str">
            <v>20100729LGUM_117</v>
          </cell>
          <cell r="F300">
            <v>30</v>
          </cell>
          <cell r="H300">
            <v>3.4</v>
          </cell>
        </row>
        <row r="301">
          <cell r="E301" t="str">
            <v>20100729LGUM_217</v>
          </cell>
          <cell r="F301">
            <v>30</v>
          </cell>
          <cell r="H301">
            <v>3.4</v>
          </cell>
        </row>
        <row r="302">
          <cell r="E302" t="str">
            <v>20100729LGUM_022</v>
          </cell>
          <cell r="F302">
            <v>12.51</v>
          </cell>
          <cell r="H302">
            <v>1.44</v>
          </cell>
        </row>
        <row r="303">
          <cell r="E303" t="str">
            <v>20100729LGUM_122</v>
          </cell>
          <cell r="F303">
            <v>12.51</v>
          </cell>
          <cell r="H303">
            <v>1.44</v>
          </cell>
        </row>
        <row r="304">
          <cell r="E304" t="str">
            <v>20100729LGUM_222</v>
          </cell>
          <cell r="F304">
            <v>12.51</v>
          </cell>
          <cell r="H304">
            <v>1.44</v>
          </cell>
        </row>
        <row r="305">
          <cell r="E305" t="str">
            <v>20100729LGUM_023</v>
          </cell>
          <cell r="F305">
            <v>12.51</v>
          </cell>
          <cell r="H305">
            <v>1.44</v>
          </cell>
        </row>
        <row r="306">
          <cell r="E306" t="str">
            <v>20100729LGUM_123</v>
          </cell>
          <cell r="F306">
            <v>12.51</v>
          </cell>
          <cell r="H306">
            <v>1.44</v>
          </cell>
        </row>
        <row r="307">
          <cell r="E307" t="str">
            <v>20100729LGUM_223</v>
          </cell>
          <cell r="F307">
            <v>12.51</v>
          </cell>
          <cell r="H307">
            <v>1.44</v>
          </cell>
        </row>
        <row r="308">
          <cell r="E308" t="str">
            <v>20100729LGUM_024</v>
          </cell>
          <cell r="F308">
            <v>17.37</v>
          </cell>
          <cell r="H308">
            <v>0.99</v>
          </cell>
        </row>
        <row r="309">
          <cell r="E309" t="str">
            <v>20100729LGUM_124</v>
          </cell>
          <cell r="F309">
            <v>17.37</v>
          </cell>
          <cell r="H309">
            <v>0.99</v>
          </cell>
        </row>
        <row r="310">
          <cell r="E310" t="str">
            <v>20100729LGUM_224</v>
          </cell>
          <cell r="F310">
            <v>17.37</v>
          </cell>
          <cell r="H310">
            <v>0.99</v>
          </cell>
        </row>
        <row r="311">
          <cell r="E311" t="str">
            <v>20100729LGUM_025</v>
          </cell>
          <cell r="F311">
            <v>23.41</v>
          </cell>
          <cell r="H311">
            <v>1.44</v>
          </cell>
        </row>
        <row r="312">
          <cell r="E312" t="str">
            <v>20100729LGUM_125</v>
          </cell>
          <cell r="F312">
            <v>23.41</v>
          </cell>
          <cell r="H312">
            <v>1.44</v>
          </cell>
        </row>
        <row r="313">
          <cell r="E313" t="str">
            <v>20100729LGUM_225</v>
          </cell>
          <cell r="F313">
            <v>23.41</v>
          </cell>
          <cell r="H313">
            <v>1.44</v>
          </cell>
        </row>
        <row r="314">
          <cell r="E314" t="str">
            <v>20100729LGUM_026</v>
          </cell>
          <cell r="F314">
            <v>13.22</v>
          </cell>
          <cell r="H314">
            <v>0.69</v>
          </cell>
        </row>
        <row r="315">
          <cell r="E315" t="str">
            <v>20100729LGUM_126</v>
          </cell>
          <cell r="F315">
            <v>13.22</v>
          </cell>
          <cell r="H315">
            <v>0.69</v>
          </cell>
        </row>
        <row r="316">
          <cell r="E316" t="str">
            <v>20100729LGUM_226</v>
          </cell>
          <cell r="F316">
            <v>13.22</v>
          </cell>
          <cell r="H316">
            <v>0.69</v>
          </cell>
        </row>
        <row r="317">
          <cell r="E317" t="str">
            <v>20100729LGUM_251</v>
          </cell>
          <cell r="F317">
            <v>1.0000000000000001E-9</v>
          </cell>
          <cell r="H317">
            <v>0</v>
          </cell>
        </row>
        <row r="318">
          <cell r="E318" t="str">
            <v>20100729LGUM_052</v>
          </cell>
          <cell r="F318">
            <v>10.220000000000001</v>
          </cell>
          <cell r="H318">
            <v>1.44</v>
          </cell>
        </row>
        <row r="319">
          <cell r="E319" t="str">
            <v>20100729LGUM_152</v>
          </cell>
          <cell r="F319">
            <v>10.220000000000001</v>
          </cell>
          <cell r="H319">
            <v>1.44</v>
          </cell>
        </row>
        <row r="320">
          <cell r="E320" t="str">
            <v>20100729LGUM_252</v>
          </cell>
          <cell r="F320">
            <v>10.220000000000001</v>
          </cell>
          <cell r="H320">
            <v>1.44</v>
          </cell>
        </row>
        <row r="321">
          <cell r="E321" t="str">
            <v>20100729LGUM_053</v>
          </cell>
          <cell r="F321">
            <v>11.65</v>
          </cell>
          <cell r="H321">
            <v>2.04</v>
          </cell>
        </row>
        <row r="322">
          <cell r="E322" t="str">
            <v>20100729LGUM_153</v>
          </cell>
          <cell r="F322">
            <v>11.65</v>
          </cell>
          <cell r="H322">
            <v>2.04</v>
          </cell>
        </row>
        <row r="323">
          <cell r="E323" t="str">
            <v>20100729LGUM_253</v>
          </cell>
          <cell r="F323">
            <v>11.65</v>
          </cell>
          <cell r="H323">
            <v>2.04</v>
          </cell>
        </row>
        <row r="324">
          <cell r="E324" t="str">
            <v>20100729LGUM_054</v>
          </cell>
          <cell r="F324">
            <v>14.15</v>
          </cell>
          <cell r="H324">
            <v>3.18</v>
          </cell>
        </row>
        <row r="325">
          <cell r="E325" t="str">
            <v>20100729LGUM_154</v>
          </cell>
          <cell r="F325">
            <v>14.15</v>
          </cell>
          <cell r="H325">
            <v>3.18</v>
          </cell>
        </row>
        <row r="326">
          <cell r="E326" t="str">
            <v>20100729LGUM_254</v>
          </cell>
          <cell r="F326">
            <v>14.15</v>
          </cell>
          <cell r="H326">
            <v>3.18</v>
          </cell>
        </row>
        <row r="327">
          <cell r="E327" t="str">
            <v>20100729LGUM_055</v>
          </cell>
          <cell r="F327">
            <v>9.8800000000000008</v>
          </cell>
          <cell r="H327">
            <v>0.99</v>
          </cell>
        </row>
        <row r="328">
          <cell r="E328" t="str">
            <v>20100729LGUM_155</v>
          </cell>
          <cell r="F328">
            <v>9.8800000000000008</v>
          </cell>
          <cell r="H328">
            <v>0.99</v>
          </cell>
        </row>
        <row r="329">
          <cell r="E329" t="str">
            <v>20100729LGUM_255</v>
          </cell>
          <cell r="F329">
            <v>9.8800000000000008</v>
          </cell>
          <cell r="H329">
            <v>0.99</v>
          </cell>
        </row>
        <row r="330">
          <cell r="E330" t="str">
            <v>20100729LGUM_056</v>
          </cell>
          <cell r="F330">
            <v>13.12</v>
          </cell>
          <cell r="H330">
            <v>0.86</v>
          </cell>
        </row>
        <row r="331">
          <cell r="E331" t="str">
            <v>20100729LGUM_156</v>
          </cell>
          <cell r="F331">
            <v>13.12</v>
          </cell>
          <cell r="H331">
            <v>0.86</v>
          </cell>
        </row>
        <row r="332">
          <cell r="E332" t="str">
            <v>20100729LGUM_256</v>
          </cell>
          <cell r="F332">
            <v>13.12</v>
          </cell>
          <cell r="H332">
            <v>0.86</v>
          </cell>
        </row>
        <row r="333">
          <cell r="E333" t="str">
            <v>20100729LGUM_057</v>
          </cell>
          <cell r="F333">
            <v>14.15</v>
          </cell>
          <cell r="H333">
            <v>3.18</v>
          </cell>
        </row>
        <row r="334">
          <cell r="E334" t="str">
            <v>20100729LGUM_157</v>
          </cell>
          <cell r="F334">
            <v>14.15</v>
          </cell>
          <cell r="H334">
            <v>3.18</v>
          </cell>
        </row>
        <row r="335">
          <cell r="E335" t="str">
            <v>20100729LGUM_257</v>
          </cell>
          <cell r="F335">
            <v>14.15</v>
          </cell>
          <cell r="H335">
            <v>3.18</v>
          </cell>
        </row>
        <row r="336">
          <cell r="E336" t="str">
            <v>20100729LGUM_058</v>
          </cell>
          <cell r="F336">
            <v>14.88</v>
          </cell>
          <cell r="H336">
            <v>1.44</v>
          </cell>
        </row>
        <row r="337">
          <cell r="E337" t="str">
            <v>20100729LGUM_158</v>
          </cell>
          <cell r="F337">
            <v>14.88</v>
          </cell>
          <cell r="H337">
            <v>1.44</v>
          </cell>
        </row>
        <row r="338">
          <cell r="E338" t="str">
            <v>20100729LGUM_258</v>
          </cell>
          <cell r="F338">
            <v>14.88</v>
          </cell>
          <cell r="H338">
            <v>1.44</v>
          </cell>
        </row>
        <row r="339">
          <cell r="E339" t="str">
            <v>20100729LGUM_059</v>
          </cell>
          <cell r="F339">
            <v>26.08</v>
          </cell>
          <cell r="H339">
            <v>7.58</v>
          </cell>
        </row>
        <row r="340">
          <cell r="E340" t="str">
            <v>20100729LGUM_159</v>
          </cell>
          <cell r="F340">
            <v>26.08</v>
          </cell>
          <cell r="H340">
            <v>7.58</v>
          </cell>
        </row>
        <row r="341">
          <cell r="E341" t="str">
            <v>20100729LGUM_259</v>
          </cell>
          <cell r="F341">
            <v>26.08</v>
          </cell>
          <cell r="H341">
            <v>7.58</v>
          </cell>
        </row>
        <row r="342">
          <cell r="E342" t="str">
            <v>20100729LGUM_060</v>
          </cell>
          <cell r="F342">
            <v>26.21</v>
          </cell>
          <cell r="H342">
            <v>7.58</v>
          </cell>
        </row>
        <row r="343">
          <cell r="E343" t="str">
            <v>20100729LGUM_160</v>
          </cell>
          <cell r="F343">
            <v>26.21</v>
          </cell>
          <cell r="H343">
            <v>7.58</v>
          </cell>
        </row>
        <row r="344">
          <cell r="E344" t="str">
            <v>20100729LGUM_260</v>
          </cell>
          <cell r="F344">
            <v>26.21</v>
          </cell>
          <cell r="H344">
            <v>7.58</v>
          </cell>
        </row>
        <row r="345">
          <cell r="E345" t="str">
            <v>20100729LGUM_061</v>
          </cell>
          <cell r="F345">
            <v>14.75</v>
          </cell>
          <cell r="H345">
            <v>2.14</v>
          </cell>
        </row>
        <row r="346">
          <cell r="E346" t="str">
            <v>20100729LGUM_161</v>
          </cell>
          <cell r="F346">
            <v>14.75</v>
          </cell>
          <cell r="H346">
            <v>2.14</v>
          </cell>
        </row>
        <row r="347">
          <cell r="E347" t="str">
            <v>20100729LGUM_261</v>
          </cell>
          <cell r="F347">
            <v>14.75</v>
          </cell>
          <cell r="H347">
            <v>2.14</v>
          </cell>
        </row>
        <row r="348">
          <cell r="E348" t="str">
            <v>20100729LGUM_062</v>
          </cell>
          <cell r="F348">
            <v>16.03</v>
          </cell>
          <cell r="H348">
            <v>3.4</v>
          </cell>
        </row>
        <row r="349">
          <cell r="E349" t="str">
            <v>20100729LGUM_162</v>
          </cell>
          <cell r="F349">
            <v>16.03</v>
          </cell>
          <cell r="H349">
            <v>3.4</v>
          </cell>
        </row>
        <row r="350">
          <cell r="E350" t="str">
            <v>20100729LGUM_262</v>
          </cell>
          <cell r="F350">
            <v>16.03</v>
          </cell>
          <cell r="H350">
            <v>3.4</v>
          </cell>
        </row>
        <row r="351">
          <cell r="E351" t="str">
            <v>20100729LGUM_063</v>
          </cell>
          <cell r="F351">
            <v>16.03</v>
          </cell>
          <cell r="H351">
            <v>3.4</v>
          </cell>
        </row>
        <row r="352">
          <cell r="E352" t="str">
            <v>20100729LGUM_163</v>
          </cell>
          <cell r="F352">
            <v>16.03</v>
          </cell>
          <cell r="H352">
            <v>3.4</v>
          </cell>
        </row>
        <row r="353">
          <cell r="E353" t="str">
            <v>20100729LGUM_263</v>
          </cell>
          <cell r="F353">
            <v>16.03</v>
          </cell>
          <cell r="H353">
            <v>3.4</v>
          </cell>
        </row>
        <row r="354">
          <cell r="E354" t="str">
            <v>20100729LGUM_066</v>
          </cell>
          <cell r="F354">
            <v>26.92</v>
          </cell>
          <cell r="H354">
            <v>2.14</v>
          </cell>
        </row>
        <row r="355">
          <cell r="E355" t="str">
            <v>20100729LGUM_166</v>
          </cell>
          <cell r="F355">
            <v>26.92</v>
          </cell>
          <cell r="H355">
            <v>2.14</v>
          </cell>
        </row>
        <row r="356">
          <cell r="E356" t="str">
            <v>20100729LGUM_266</v>
          </cell>
          <cell r="F356">
            <v>26.92</v>
          </cell>
          <cell r="H356">
            <v>2.14</v>
          </cell>
        </row>
        <row r="357">
          <cell r="E357" t="str">
            <v>20100729LGUM_067</v>
          </cell>
          <cell r="F357">
            <v>30</v>
          </cell>
          <cell r="H357">
            <v>3.4</v>
          </cell>
        </row>
        <row r="358">
          <cell r="E358" t="str">
            <v>20100729LGUM_167</v>
          </cell>
          <cell r="F358">
            <v>30</v>
          </cell>
          <cell r="H358">
            <v>3.4</v>
          </cell>
        </row>
        <row r="359">
          <cell r="E359" t="str">
            <v>20100729LGUM_267</v>
          </cell>
          <cell r="F359">
            <v>30</v>
          </cell>
          <cell r="H359">
            <v>3.4</v>
          </cell>
        </row>
        <row r="360">
          <cell r="E360" t="str">
            <v>20100729LGUM_072</v>
          </cell>
          <cell r="F360">
            <v>12.51</v>
          </cell>
          <cell r="H360">
            <v>1.44</v>
          </cell>
        </row>
        <row r="361">
          <cell r="E361" t="str">
            <v>20100729LGUM_172</v>
          </cell>
          <cell r="F361">
            <v>12.51</v>
          </cell>
          <cell r="H361">
            <v>1.44</v>
          </cell>
        </row>
        <row r="362">
          <cell r="E362" t="str">
            <v>20100729LGUM_272</v>
          </cell>
          <cell r="F362">
            <v>12.51</v>
          </cell>
          <cell r="H362">
            <v>1.44</v>
          </cell>
        </row>
        <row r="363">
          <cell r="E363" t="str">
            <v>20100729LGUM_073</v>
          </cell>
          <cell r="F363">
            <v>12.51</v>
          </cell>
          <cell r="H363">
            <v>1.44</v>
          </cell>
        </row>
        <row r="364">
          <cell r="E364" t="str">
            <v>20100729LGUM_173</v>
          </cell>
          <cell r="F364">
            <v>12.51</v>
          </cell>
          <cell r="H364">
            <v>1.44</v>
          </cell>
        </row>
        <row r="365">
          <cell r="E365" t="str">
            <v>20100729LGUM_273</v>
          </cell>
          <cell r="F365">
            <v>12.51</v>
          </cell>
          <cell r="H365">
            <v>1.44</v>
          </cell>
        </row>
        <row r="366">
          <cell r="E366" t="str">
            <v>20100729LGUM_074</v>
          </cell>
          <cell r="F366">
            <v>17.559999999999999</v>
          </cell>
          <cell r="H366">
            <v>0.99</v>
          </cell>
        </row>
        <row r="367">
          <cell r="E367" t="str">
            <v>20100729LGUM_174</v>
          </cell>
          <cell r="F367">
            <v>17.559999999999999</v>
          </cell>
          <cell r="H367">
            <v>0.99</v>
          </cell>
        </row>
        <row r="368">
          <cell r="E368" t="str">
            <v>20100729LGUM_274</v>
          </cell>
          <cell r="F368">
            <v>17.559999999999999</v>
          </cell>
          <cell r="H368">
            <v>0.99</v>
          </cell>
        </row>
        <row r="369">
          <cell r="E369" t="str">
            <v>20100729LGUM_075</v>
          </cell>
          <cell r="F369">
            <v>23.41</v>
          </cell>
          <cell r="H369">
            <v>1.44</v>
          </cell>
        </row>
        <row r="370">
          <cell r="E370" t="str">
            <v>20100729LGUM_175</v>
          </cell>
          <cell r="F370">
            <v>23.41</v>
          </cell>
          <cell r="H370">
            <v>1.44</v>
          </cell>
        </row>
        <row r="371">
          <cell r="E371" t="str">
            <v>20100729LGUM_275</v>
          </cell>
          <cell r="F371">
            <v>23.41</v>
          </cell>
          <cell r="H371">
            <v>1.44</v>
          </cell>
        </row>
        <row r="372">
          <cell r="E372" t="str">
            <v>20100729LGUM_076</v>
          </cell>
          <cell r="F372">
            <v>13.22</v>
          </cell>
          <cell r="H372">
            <v>0.69</v>
          </cell>
        </row>
        <row r="373">
          <cell r="E373" t="str">
            <v>20100729LGUM_176</v>
          </cell>
          <cell r="F373">
            <v>13.22</v>
          </cell>
          <cell r="H373">
            <v>0.69</v>
          </cell>
        </row>
        <row r="374">
          <cell r="E374" t="str">
            <v>20100729LGUM_276</v>
          </cell>
          <cell r="F374">
            <v>13.22</v>
          </cell>
          <cell r="H374">
            <v>0.69</v>
          </cell>
        </row>
        <row r="375">
          <cell r="E375" t="str">
            <v>20100729LGUM_077</v>
          </cell>
          <cell r="F375">
            <v>20.97</v>
          </cell>
          <cell r="H375">
            <v>1.44</v>
          </cell>
        </row>
        <row r="376">
          <cell r="E376" t="str">
            <v>20100729LGUM_177</v>
          </cell>
          <cell r="F376">
            <v>20.97</v>
          </cell>
          <cell r="H376">
            <v>1.44</v>
          </cell>
        </row>
        <row r="377">
          <cell r="E377" t="str">
            <v>20100729LGUM_277</v>
          </cell>
          <cell r="F377">
            <v>20.97</v>
          </cell>
          <cell r="H377">
            <v>1.44</v>
          </cell>
        </row>
        <row r="378">
          <cell r="E378" t="str">
            <v>20100729LGUM_078</v>
          </cell>
          <cell r="F378">
            <v>67.180000000000007</v>
          </cell>
          <cell r="H378">
            <v>9.98</v>
          </cell>
        </row>
        <row r="379">
          <cell r="E379" t="str">
            <v>20100729LGUM_178</v>
          </cell>
          <cell r="F379">
            <v>67.180000000000007</v>
          </cell>
          <cell r="H379">
            <v>9.98</v>
          </cell>
        </row>
        <row r="380">
          <cell r="E380" t="str">
            <v>20100729LGUM_278</v>
          </cell>
          <cell r="F380">
            <v>67.180000000000007</v>
          </cell>
          <cell r="H380">
            <v>9.98</v>
          </cell>
        </row>
        <row r="381">
          <cell r="E381" t="str">
            <v>20100729LGUM_079</v>
          </cell>
          <cell r="F381">
            <v>37.4</v>
          </cell>
          <cell r="H381">
            <v>9.98</v>
          </cell>
        </row>
        <row r="382">
          <cell r="E382" t="str">
            <v>20100729LGUM_179</v>
          </cell>
          <cell r="F382">
            <v>37.4</v>
          </cell>
          <cell r="H382">
            <v>9.98</v>
          </cell>
        </row>
        <row r="383">
          <cell r="E383" t="str">
            <v>20100729LGUM_279</v>
          </cell>
          <cell r="F383">
            <v>37.4</v>
          </cell>
          <cell r="H383">
            <v>9.98</v>
          </cell>
        </row>
        <row r="384">
          <cell r="E384" t="str">
            <v>20100729LGUM_080</v>
          </cell>
          <cell r="F384">
            <v>18.37</v>
          </cell>
          <cell r="H384">
            <v>0.69</v>
          </cell>
        </row>
        <row r="385">
          <cell r="E385" t="str">
            <v>20100729LGUM_180</v>
          </cell>
          <cell r="F385">
            <v>18.37</v>
          </cell>
          <cell r="H385">
            <v>0.69</v>
          </cell>
        </row>
        <row r="386">
          <cell r="E386" t="str">
            <v>20100729LGUM_280</v>
          </cell>
          <cell r="F386">
            <v>18.37</v>
          </cell>
          <cell r="H386">
            <v>0.69</v>
          </cell>
        </row>
        <row r="387">
          <cell r="E387" t="str">
            <v>20100729LGUM_081</v>
          </cell>
          <cell r="F387">
            <v>19.36</v>
          </cell>
          <cell r="H387">
            <v>0.99</v>
          </cell>
        </row>
        <row r="388">
          <cell r="E388" t="str">
            <v>20100729LGUM_181</v>
          </cell>
          <cell r="F388">
            <v>19.36</v>
          </cell>
          <cell r="H388">
            <v>0.99</v>
          </cell>
        </row>
        <row r="389">
          <cell r="E389" t="str">
            <v>20100729LGUM_281</v>
          </cell>
          <cell r="F389">
            <v>19.36</v>
          </cell>
          <cell r="H389">
            <v>0.99</v>
          </cell>
        </row>
        <row r="390">
          <cell r="E390" t="str">
            <v>20100729LGUM_082</v>
          </cell>
          <cell r="F390">
            <v>18.55</v>
          </cell>
          <cell r="H390">
            <v>0.69</v>
          </cell>
        </row>
        <row r="391">
          <cell r="E391" t="str">
            <v>20100729LGUM_182</v>
          </cell>
          <cell r="F391">
            <v>18.55</v>
          </cell>
          <cell r="H391">
            <v>0.69</v>
          </cell>
        </row>
        <row r="392">
          <cell r="E392" t="str">
            <v>20100729LGUM_282</v>
          </cell>
          <cell r="F392">
            <v>18.55</v>
          </cell>
          <cell r="H392">
            <v>0.69</v>
          </cell>
        </row>
        <row r="393">
          <cell r="E393" t="str">
            <v>20100729LGUM_083</v>
          </cell>
          <cell r="F393">
            <v>19.559999999999999</v>
          </cell>
          <cell r="H393">
            <v>0.99</v>
          </cell>
        </row>
        <row r="394">
          <cell r="E394" t="str">
            <v>20100729LGUM_183</v>
          </cell>
          <cell r="F394">
            <v>19.559999999999999</v>
          </cell>
          <cell r="H394">
            <v>0.99</v>
          </cell>
        </row>
        <row r="395">
          <cell r="E395" t="str">
            <v>20100729LGUM_283</v>
          </cell>
          <cell r="F395">
            <v>19.559999999999999</v>
          </cell>
          <cell r="H395">
            <v>0.99</v>
          </cell>
        </row>
        <row r="396">
          <cell r="E396" t="str">
            <v>20100729LGUM_301</v>
          </cell>
          <cell r="F396">
            <v>7.17</v>
          </cell>
          <cell r="H396">
            <v>0.86</v>
          </cell>
        </row>
        <row r="397">
          <cell r="E397" t="str">
            <v>20100729LGUM_302</v>
          </cell>
          <cell r="F397">
            <v>8.25</v>
          </cell>
          <cell r="H397">
            <v>1.44</v>
          </cell>
        </row>
        <row r="398">
          <cell r="E398" t="str">
            <v>20100729LGUM_303</v>
          </cell>
          <cell r="F398">
            <v>9.57</v>
          </cell>
          <cell r="H398">
            <v>2.04</v>
          </cell>
        </row>
        <row r="399">
          <cell r="E399" t="str">
            <v>20100729LGUM_304</v>
          </cell>
          <cell r="F399">
            <v>11.64</v>
          </cell>
          <cell r="H399">
            <v>3.18</v>
          </cell>
        </row>
        <row r="400">
          <cell r="E400" t="str">
            <v>20100729LGUM_305</v>
          </cell>
          <cell r="F400">
            <v>9.58</v>
          </cell>
          <cell r="H400">
            <v>0.99</v>
          </cell>
        </row>
        <row r="401">
          <cell r="E401" t="str">
            <v>20100729LGUM_306</v>
          </cell>
          <cell r="F401">
            <v>11.17</v>
          </cell>
          <cell r="H401">
            <v>0.86</v>
          </cell>
        </row>
        <row r="402">
          <cell r="E402" t="str">
            <v>20100729LGUM_307</v>
          </cell>
          <cell r="F402">
            <v>16.149999999999999</v>
          </cell>
          <cell r="H402">
            <v>3.18</v>
          </cell>
        </row>
        <row r="403">
          <cell r="E403" t="str">
            <v>20100729LGUM_308</v>
          </cell>
          <cell r="F403">
            <v>12.15</v>
          </cell>
          <cell r="H403">
            <v>1.44</v>
          </cell>
        </row>
        <row r="404">
          <cell r="E404" t="str">
            <v>20100729LGUM_309</v>
          </cell>
          <cell r="F404">
            <v>22.12</v>
          </cell>
          <cell r="H404">
            <v>7.58</v>
          </cell>
        </row>
        <row r="405">
          <cell r="E405" t="str">
            <v>20100729LGUM_310</v>
          </cell>
          <cell r="F405">
            <v>22.12</v>
          </cell>
          <cell r="H405">
            <v>7.58</v>
          </cell>
        </row>
        <row r="406">
          <cell r="E406" t="str">
            <v>20100729LGUM_311</v>
          </cell>
          <cell r="F406">
            <v>13.64</v>
          </cell>
          <cell r="H406">
            <v>2.14</v>
          </cell>
        </row>
        <row r="407">
          <cell r="E407" t="str">
            <v>20100729LGUM_312</v>
          </cell>
          <cell r="F407">
            <v>14.66</v>
          </cell>
          <cell r="H407">
            <v>3.4</v>
          </cell>
        </row>
        <row r="408">
          <cell r="E408" t="str">
            <v>20100729LGUM_313</v>
          </cell>
          <cell r="F408">
            <v>14.66</v>
          </cell>
          <cell r="H408">
            <v>3.4</v>
          </cell>
        </row>
        <row r="409">
          <cell r="E409" t="str">
            <v>20100729LGUM_314</v>
          </cell>
          <cell r="F409">
            <v>17.54</v>
          </cell>
          <cell r="H409">
            <v>2.04</v>
          </cell>
        </row>
        <row r="410">
          <cell r="E410" t="str">
            <v>20100729LGUM_315</v>
          </cell>
          <cell r="F410">
            <v>20.85</v>
          </cell>
          <cell r="H410">
            <v>3.18</v>
          </cell>
        </row>
        <row r="411">
          <cell r="E411" t="str">
            <v>20100729LGUM_316</v>
          </cell>
          <cell r="F411">
            <v>24.98</v>
          </cell>
          <cell r="H411">
            <v>2.14</v>
          </cell>
        </row>
        <row r="412">
          <cell r="E412" t="str">
            <v>20100729LGUM_317</v>
          </cell>
          <cell r="F412">
            <v>27.18</v>
          </cell>
          <cell r="H412">
            <v>3.4</v>
          </cell>
        </row>
        <row r="413">
          <cell r="E413" t="str">
            <v>20100729LGUM_318</v>
          </cell>
          <cell r="F413">
            <v>16.18</v>
          </cell>
          <cell r="H413">
            <v>1.44</v>
          </cell>
        </row>
        <row r="414">
          <cell r="E414" t="str">
            <v>20100729LGUM_319</v>
          </cell>
          <cell r="F414">
            <v>20.95</v>
          </cell>
          <cell r="H414">
            <v>3.18</v>
          </cell>
        </row>
        <row r="415">
          <cell r="E415" t="str">
            <v>20100729LGUM_320</v>
          </cell>
          <cell r="F415">
            <v>24.98</v>
          </cell>
          <cell r="H415">
            <v>2.14</v>
          </cell>
        </row>
        <row r="416">
          <cell r="E416" t="str">
            <v>20100729LGUM_321</v>
          </cell>
          <cell r="F416">
            <v>27.18</v>
          </cell>
          <cell r="H416">
            <v>3.4</v>
          </cell>
        </row>
        <row r="417">
          <cell r="E417" t="str">
            <v>20100729LGUM_322</v>
          </cell>
          <cell r="F417">
            <v>11.4</v>
          </cell>
          <cell r="H417">
            <v>1.44</v>
          </cell>
        </row>
        <row r="418">
          <cell r="E418" t="str">
            <v>20100729LGUM_323</v>
          </cell>
          <cell r="F418">
            <v>13.73</v>
          </cell>
          <cell r="H418">
            <v>1.44</v>
          </cell>
        </row>
        <row r="419">
          <cell r="E419" t="str">
            <v>20100729LGUM_324</v>
          </cell>
          <cell r="F419">
            <v>13.87</v>
          </cell>
          <cell r="H419">
            <v>0.99</v>
          </cell>
        </row>
        <row r="420">
          <cell r="E420" t="str">
            <v>20100729LGUM_325</v>
          </cell>
          <cell r="F420">
            <v>23.39</v>
          </cell>
          <cell r="H420">
            <v>1.44</v>
          </cell>
        </row>
        <row r="421">
          <cell r="E421" t="str">
            <v>20100729LGUM_345</v>
          </cell>
          <cell r="F421">
            <v>16.11</v>
          </cell>
          <cell r="H421">
            <v>3.18</v>
          </cell>
        </row>
        <row r="422">
          <cell r="E422" t="str">
            <v>20100729LGUM_346</v>
          </cell>
          <cell r="F422">
            <v>22.05</v>
          </cell>
          <cell r="H422">
            <v>2.14</v>
          </cell>
        </row>
        <row r="423">
          <cell r="E423" t="str">
            <v>20100729LGUM_347</v>
          </cell>
          <cell r="F423">
            <v>20.95</v>
          </cell>
          <cell r="H423">
            <v>3.18</v>
          </cell>
        </row>
        <row r="424">
          <cell r="E424" t="str">
            <v>20100729LGUM_348</v>
          </cell>
          <cell r="F424">
            <v>11.89</v>
          </cell>
          <cell r="H424">
            <v>2.39</v>
          </cell>
        </row>
        <row r="425">
          <cell r="E425" t="str">
            <v>20100729LGUM_349</v>
          </cell>
          <cell r="F425">
            <v>8.35</v>
          </cell>
          <cell r="H425">
            <v>0.86</v>
          </cell>
        </row>
        <row r="426">
          <cell r="E426" t="str">
            <v>20100729LGUM_352</v>
          </cell>
          <cell r="F426">
            <v>10.039999999999999</v>
          </cell>
          <cell r="H426">
            <v>1.44</v>
          </cell>
        </row>
        <row r="427">
          <cell r="E427" t="str">
            <v>20100729LGUM_353</v>
          </cell>
          <cell r="F427">
            <v>11.46</v>
          </cell>
          <cell r="H427">
            <v>2.04</v>
          </cell>
        </row>
        <row r="428">
          <cell r="E428" t="str">
            <v>20100729LGUM_354</v>
          </cell>
          <cell r="F428">
            <v>13.95</v>
          </cell>
          <cell r="H428">
            <v>3.18</v>
          </cell>
        </row>
        <row r="429">
          <cell r="E429" t="str">
            <v>20100729LGUM_355</v>
          </cell>
          <cell r="F429">
            <v>9.58</v>
          </cell>
          <cell r="H429">
            <v>0.99</v>
          </cell>
        </row>
        <row r="430">
          <cell r="E430" t="str">
            <v>20100729LGUM_356</v>
          </cell>
          <cell r="F430">
            <v>13.86</v>
          </cell>
          <cell r="H430">
            <v>0.86</v>
          </cell>
        </row>
        <row r="431">
          <cell r="E431" t="str">
            <v>20100729LGUM_357</v>
          </cell>
          <cell r="F431">
            <v>13.95</v>
          </cell>
          <cell r="H431">
            <v>3.18</v>
          </cell>
        </row>
        <row r="432">
          <cell r="E432" t="str">
            <v>20100729LGUM_358</v>
          </cell>
          <cell r="F432">
            <v>14.68</v>
          </cell>
          <cell r="H432">
            <v>1.44</v>
          </cell>
        </row>
        <row r="433">
          <cell r="E433" t="str">
            <v>20100729LGUM_360</v>
          </cell>
          <cell r="F433">
            <v>25.83</v>
          </cell>
          <cell r="H433">
            <v>7.58</v>
          </cell>
        </row>
        <row r="434">
          <cell r="E434" t="str">
            <v>20100729LGUM_361</v>
          </cell>
          <cell r="F434">
            <v>13.64</v>
          </cell>
          <cell r="H434">
            <v>2.14</v>
          </cell>
        </row>
        <row r="435">
          <cell r="E435" t="str">
            <v>20100729LGUM_362</v>
          </cell>
          <cell r="F435">
            <v>14.66</v>
          </cell>
          <cell r="H435">
            <v>3.4</v>
          </cell>
        </row>
        <row r="436">
          <cell r="E436" t="str">
            <v>20100729LGUM_363</v>
          </cell>
          <cell r="F436">
            <v>14.66</v>
          </cell>
          <cell r="H436">
            <v>3.4</v>
          </cell>
        </row>
        <row r="437">
          <cell r="E437" t="str">
            <v>20100729LGUM_364</v>
          </cell>
          <cell r="F437">
            <v>24.05</v>
          </cell>
          <cell r="H437">
            <v>2.04</v>
          </cell>
        </row>
        <row r="438">
          <cell r="E438" t="str">
            <v>20100729LGUM_365</v>
          </cell>
          <cell r="F438">
            <v>27.09</v>
          </cell>
          <cell r="H438">
            <v>3.18</v>
          </cell>
        </row>
        <row r="439">
          <cell r="E439" t="str">
            <v>20100729LGUM_366</v>
          </cell>
          <cell r="F439">
            <v>24.98</v>
          </cell>
          <cell r="H439">
            <v>2.14</v>
          </cell>
        </row>
        <row r="440">
          <cell r="E440" t="str">
            <v>20100729LGUM_367</v>
          </cell>
          <cell r="F440">
            <v>27.18</v>
          </cell>
          <cell r="H440">
            <v>3.4</v>
          </cell>
        </row>
        <row r="441">
          <cell r="E441" t="str">
            <v>20100729LGUM_368</v>
          </cell>
          <cell r="F441">
            <v>23.12</v>
          </cell>
          <cell r="H441">
            <v>1.44</v>
          </cell>
        </row>
        <row r="442">
          <cell r="E442" t="str">
            <v>20100729LGUM_369</v>
          </cell>
          <cell r="F442">
            <v>27.09</v>
          </cell>
          <cell r="H442">
            <v>3.18</v>
          </cell>
        </row>
        <row r="443">
          <cell r="E443" t="str">
            <v>20100729LGUM_370</v>
          </cell>
          <cell r="F443">
            <v>24.98</v>
          </cell>
          <cell r="H443">
            <v>2.14</v>
          </cell>
        </row>
        <row r="444">
          <cell r="E444" t="str">
            <v>20100729LGUM_371</v>
          </cell>
          <cell r="F444">
            <v>27.18</v>
          </cell>
          <cell r="H444">
            <v>3.4</v>
          </cell>
        </row>
        <row r="445">
          <cell r="E445" t="str">
            <v>20100729LGUM_372</v>
          </cell>
          <cell r="F445">
            <v>11.4</v>
          </cell>
          <cell r="H445">
            <v>1.44</v>
          </cell>
        </row>
        <row r="446">
          <cell r="E446" t="str">
            <v>20100729LGUM_373</v>
          </cell>
          <cell r="F446">
            <v>11.4</v>
          </cell>
          <cell r="H446">
            <v>1.44</v>
          </cell>
        </row>
        <row r="447">
          <cell r="E447" t="str">
            <v>20100729LGUM_374</v>
          </cell>
          <cell r="F447">
            <v>13.87</v>
          </cell>
          <cell r="H447">
            <v>0.99</v>
          </cell>
        </row>
        <row r="448">
          <cell r="E448" t="str">
            <v>20100729LGUM_375</v>
          </cell>
          <cell r="F448">
            <v>23.39</v>
          </cell>
          <cell r="H448">
            <v>1.44</v>
          </cell>
        </row>
        <row r="449">
          <cell r="E449" t="str">
            <v>20100729LGUM_376</v>
          </cell>
          <cell r="F449">
            <v>13.3</v>
          </cell>
          <cell r="H449">
            <v>0.69</v>
          </cell>
        </row>
        <row r="450">
          <cell r="E450" t="str">
            <v>20100729LGUM_377</v>
          </cell>
          <cell r="F450">
            <v>20.14</v>
          </cell>
          <cell r="H450">
            <v>1.44</v>
          </cell>
        </row>
        <row r="451">
          <cell r="E451" t="str">
            <v>20100729LGUM_378</v>
          </cell>
          <cell r="F451">
            <v>62.75</v>
          </cell>
          <cell r="H451">
            <v>9.98</v>
          </cell>
        </row>
        <row r="452">
          <cell r="E452" t="str">
            <v>20100729LGUM_379</v>
          </cell>
          <cell r="F452">
            <v>32.97</v>
          </cell>
          <cell r="H452">
            <v>9.98</v>
          </cell>
        </row>
        <row r="453">
          <cell r="E453" t="str">
            <v>20100729LGUM_380</v>
          </cell>
          <cell r="F453">
            <v>17.920000000000002</v>
          </cell>
          <cell r="H453">
            <v>0.69</v>
          </cell>
        </row>
        <row r="454">
          <cell r="E454" t="str">
            <v>20100729LGUM_381</v>
          </cell>
          <cell r="F454">
            <v>18.79</v>
          </cell>
          <cell r="H454">
            <v>0.99</v>
          </cell>
        </row>
        <row r="455">
          <cell r="E455" t="str">
            <v>20100729LGUM_382</v>
          </cell>
          <cell r="F455">
            <v>18.13</v>
          </cell>
          <cell r="H455">
            <v>0.69</v>
          </cell>
        </row>
        <row r="456">
          <cell r="E456" t="str">
            <v>20100729LGUM_383</v>
          </cell>
          <cell r="F456">
            <v>19.39</v>
          </cell>
          <cell r="H456">
            <v>0.99</v>
          </cell>
        </row>
        <row r="457">
          <cell r="E457" t="str">
            <v>20100729LGUM_400</v>
          </cell>
          <cell r="F457">
            <v>22.52</v>
          </cell>
          <cell r="H457">
            <v>0.86</v>
          </cell>
        </row>
        <row r="458">
          <cell r="E458" t="str">
            <v>20100729LGUM_401</v>
          </cell>
          <cell r="F458">
            <v>23.43</v>
          </cell>
          <cell r="H458">
            <v>0.99</v>
          </cell>
        </row>
        <row r="459">
          <cell r="E459" t="str">
            <v>20100729LGUM_412</v>
          </cell>
          <cell r="F459">
            <v>18.59</v>
          </cell>
          <cell r="H459">
            <v>0.75</v>
          </cell>
        </row>
        <row r="460">
          <cell r="E460" t="str">
            <v>20100729LGUM_413</v>
          </cell>
          <cell r="F460">
            <v>19.16</v>
          </cell>
          <cell r="H460">
            <v>0.99</v>
          </cell>
        </row>
        <row r="461">
          <cell r="E461" t="str">
            <v>20100729LGUM_414</v>
          </cell>
          <cell r="F461">
            <v>20.239999999999998</v>
          </cell>
          <cell r="H461">
            <v>1.38</v>
          </cell>
        </row>
        <row r="462">
          <cell r="E462" t="str">
            <v>20100729LGUM_415</v>
          </cell>
          <cell r="F462">
            <v>18.96</v>
          </cell>
          <cell r="H462">
            <v>0.75</v>
          </cell>
        </row>
        <row r="463">
          <cell r="E463" t="str">
            <v>20100729LGUM_416</v>
          </cell>
          <cell r="F463">
            <v>21.16</v>
          </cell>
          <cell r="H463">
            <v>0.99</v>
          </cell>
        </row>
        <row r="464">
          <cell r="E464" t="str">
            <v>20100729LGUM_417</v>
          </cell>
          <cell r="F464">
            <v>22.24</v>
          </cell>
          <cell r="H464">
            <v>0.99</v>
          </cell>
        </row>
        <row r="465">
          <cell r="E465" t="str">
            <v>20100729LGUM_418</v>
          </cell>
          <cell r="F465">
            <v>22.15</v>
          </cell>
          <cell r="H465">
            <v>1.38</v>
          </cell>
        </row>
        <row r="466">
          <cell r="E466" t="str">
            <v>20100729LGUM_419</v>
          </cell>
          <cell r="F466">
            <v>23.16</v>
          </cell>
          <cell r="H466">
            <v>1.38</v>
          </cell>
        </row>
        <row r="467">
          <cell r="E467" t="str">
            <v>20100729LGUM_420</v>
          </cell>
          <cell r="F467">
            <v>28.23</v>
          </cell>
          <cell r="H467">
            <v>1.38</v>
          </cell>
        </row>
        <row r="468">
          <cell r="E468" t="str">
            <v>20100729LGUM_421</v>
          </cell>
          <cell r="F468">
            <v>31.39</v>
          </cell>
          <cell r="H468">
            <v>2.14</v>
          </cell>
        </row>
        <row r="469">
          <cell r="E469" t="str">
            <v>20100729LGUM_422</v>
          </cell>
          <cell r="F469">
            <v>35.729999999999997</v>
          </cell>
          <cell r="H469">
            <v>3.4</v>
          </cell>
        </row>
        <row r="470">
          <cell r="E470" t="str">
            <v>20100729LGUM_423</v>
          </cell>
          <cell r="F470">
            <v>24.81</v>
          </cell>
          <cell r="H470">
            <v>1.38</v>
          </cell>
        </row>
        <row r="471">
          <cell r="E471" t="str">
            <v>20100729LGUM_424</v>
          </cell>
          <cell r="F471">
            <v>27.13</v>
          </cell>
          <cell r="H471">
            <v>2.14</v>
          </cell>
        </row>
        <row r="472">
          <cell r="E472" t="str">
            <v>20100729LGUM_425</v>
          </cell>
          <cell r="F472">
            <v>31.52</v>
          </cell>
          <cell r="H472">
            <v>3.4</v>
          </cell>
        </row>
        <row r="473">
          <cell r="E473" t="str">
            <v>20100729LGUM_426</v>
          </cell>
          <cell r="F473">
            <v>31.56</v>
          </cell>
          <cell r="H473">
            <v>0.75</v>
          </cell>
        </row>
        <row r="474">
          <cell r="E474" t="str">
            <v>20100729LGUM_427</v>
          </cell>
          <cell r="F474">
            <v>33.47</v>
          </cell>
          <cell r="H474">
            <v>0.75</v>
          </cell>
        </row>
        <row r="475">
          <cell r="E475" t="str">
            <v>20100729LGUM_428</v>
          </cell>
          <cell r="F475">
            <v>32.299999999999997</v>
          </cell>
          <cell r="H475">
            <v>0.99</v>
          </cell>
        </row>
        <row r="476">
          <cell r="E476" t="str">
            <v>20100729LGUM_429</v>
          </cell>
          <cell r="F476">
            <v>34.21</v>
          </cell>
          <cell r="H476">
            <v>0.99</v>
          </cell>
        </row>
        <row r="477">
          <cell r="E477" t="str">
            <v>20100729LGUM_430</v>
          </cell>
          <cell r="F477">
            <v>30.63</v>
          </cell>
          <cell r="H477">
            <v>0.75</v>
          </cell>
        </row>
        <row r="478">
          <cell r="E478" t="str">
            <v>20100729LGUM_431</v>
          </cell>
          <cell r="F478">
            <v>31.28</v>
          </cell>
          <cell r="H478">
            <v>0.75</v>
          </cell>
        </row>
        <row r="479">
          <cell r="E479" t="str">
            <v>20100729LGUM_432</v>
          </cell>
          <cell r="F479">
            <v>32.53</v>
          </cell>
          <cell r="H479">
            <v>0.99</v>
          </cell>
        </row>
        <row r="480">
          <cell r="E480" t="str">
            <v>20100729LGUM_433</v>
          </cell>
          <cell r="F480">
            <v>33.17</v>
          </cell>
          <cell r="H480">
            <v>0.99</v>
          </cell>
        </row>
        <row r="481">
          <cell r="E481" t="str">
            <v>20100729LGUM_434</v>
          </cell>
          <cell r="F481">
            <v>16.350000000000001</v>
          </cell>
          <cell r="H481">
            <v>0.86</v>
          </cell>
        </row>
        <row r="482">
          <cell r="E482" t="str">
            <v>20100729LGUM_435</v>
          </cell>
          <cell r="F482">
            <v>17.920000000000002</v>
          </cell>
          <cell r="H482">
            <v>1.44</v>
          </cell>
        </row>
        <row r="483">
          <cell r="E483" t="str">
            <v>20100729LGUM_436</v>
          </cell>
          <cell r="F483">
            <v>21.89</v>
          </cell>
          <cell r="H483">
            <v>1.44</v>
          </cell>
        </row>
        <row r="484">
          <cell r="E484" t="str">
            <v>20100729LGUM_437</v>
          </cell>
          <cell r="F484">
            <v>23.31</v>
          </cell>
          <cell r="H484">
            <v>2.04</v>
          </cell>
        </row>
        <row r="485">
          <cell r="E485" t="str">
            <v>20100729LGUM_438</v>
          </cell>
          <cell r="F485">
            <v>26.69</v>
          </cell>
          <cell r="H485">
            <v>3.18</v>
          </cell>
        </row>
        <row r="486">
          <cell r="E486" t="str">
            <v>20100729LGUM_439</v>
          </cell>
          <cell r="F486">
            <v>15.26</v>
          </cell>
          <cell r="H486">
            <v>1.38</v>
          </cell>
        </row>
        <row r="487">
          <cell r="E487" t="str">
            <v>20100729LGUM_440</v>
          </cell>
          <cell r="F487">
            <v>17.309999999999999</v>
          </cell>
          <cell r="H487">
            <v>2.14</v>
          </cell>
        </row>
        <row r="488">
          <cell r="E488" t="str">
            <v>20100729LGUM_441</v>
          </cell>
          <cell r="F488">
            <v>20.21</v>
          </cell>
          <cell r="H488">
            <v>3.4</v>
          </cell>
        </row>
        <row r="489">
          <cell r="E489" t="str">
            <v>20100729LGUM_452</v>
          </cell>
          <cell r="F489">
            <v>11.5</v>
          </cell>
          <cell r="H489">
            <v>1.38</v>
          </cell>
        </row>
        <row r="490">
          <cell r="E490" t="str">
            <v>20100729LGUM_453</v>
          </cell>
          <cell r="F490">
            <v>13.83</v>
          </cell>
          <cell r="H490">
            <v>2.14</v>
          </cell>
        </row>
        <row r="491">
          <cell r="E491" t="str">
            <v>20100729LGUM_454</v>
          </cell>
          <cell r="F491">
            <v>18.22</v>
          </cell>
          <cell r="H491">
            <v>3.4</v>
          </cell>
        </row>
        <row r="492">
          <cell r="E492" t="str">
            <v>20100729LGUM_455</v>
          </cell>
          <cell r="F492">
            <v>13.11</v>
          </cell>
          <cell r="H492">
            <v>1.38</v>
          </cell>
        </row>
        <row r="493">
          <cell r="E493" t="str">
            <v>20100729LGUM_456</v>
          </cell>
          <cell r="F493">
            <v>19.190000000000001</v>
          </cell>
          <cell r="H493">
            <v>3.4</v>
          </cell>
        </row>
        <row r="494">
          <cell r="E494" t="str">
            <v>20100729LGUM_457</v>
          </cell>
          <cell r="F494">
            <v>10.199999999999999</v>
          </cell>
          <cell r="H494">
            <v>0.99</v>
          </cell>
        </row>
        <row r="495">
          <cell r="E495" t="str">
            <v>20100729LGUM_458</v>
          </cell>
          <cell r="F495">
            <v>10.16</v>
          </cell>
          <cell r="H495">
            <v>1.44</v>
          </cell>
        </row>
        <row r="496">
          <cell r="E496" t="str">
            <v>20100729LGUM_459</v>
          </cell>
          <cell r="F496">
            <v>11.59</v>
          </cell>
          <cell r="H496">
            <v>2.04</v>
          </cell>
        </row>
        <row r="497">
          <cell r="E497" t="str">
            <v>20100729LGUM_460</v>
          </cell>
          <cell r="F497">
            <v>14.96</v>
          </cell>
          <cell r="H497">
            <v>3.18</v>
          </cell>
        </row>
        <row r="498">
          <cell r="E498" t="str">
            <v>20100729LGUM_461</v>
          </cell>
          <cell r="F498">
            <v>16.309999999999999</v>
          </cell>
          <cell r="H498">
            <v>3.18</v>
          </cell>
        </row>
        <row r="499">
          <cell r="E499" t="str">
            <v>20100729LGUM_462</v>
          </cell>
          <cell r="F499">
            <v>9.9</v>
          </cell>
          <cell r="H499">
            <v>1.44</v>
          </cell>
        </row>
        <row r="500">
          <cell r="E500" t="str">
            <v>20100729LGUM_470</v>
          </cell>
          <cell r="F500">
            <v>11.79</v>
          </cell>
          <cell r="H500">
            <v>1.42</v>
          </cell>
        </row>
        <row r="501">
          <cell r="E501" t="str">
            <v>20100729LGUM_471</v>
          </cell>
          <cell r="F501">
            <v>13.99</v>
          </cell>
          <cell r="H501">
            <v>1.42</v>
          </cell>
        </row>
        <row r="502">
          <cell r="E502" t="str">
            <v>20100729LGUM_472</v>
          </cell>
          <cell r="F502">
            <v>21.2</v>
          </cell>
          <cell r="H502">
            <v>1.42</v>
          </cell>
        </row>
        <row r="503">
          <cell r="E503" t="str">
            <v>20100729LGUM_473</v>
          </cell>
          <cell r="F503">
            <v>16.95</v>
          </cell>
          <cell r="H503">
            <v>3.09</v>
          </cell>
        </row>
        <row r="504">
          <cell r="E504" t="str">
            <v>20100729LGUM_474</v>
          </cell>
          <cell r="F504">
            <v>19.16</v>
          </cell>
          <cell r="H504">
            <v>3.09</v>
          </cell>
        </row>
        <row r="505">
          <cell r="E505" t="str">
            <v>20100729LGUM_475</v>
          </cell>
          <cell r="F505">
            <v>26.36</v>
          </cell>
          <cell r="H505">
            <v>3.09</v>
          </cell>
        </row>
        <row r="506">
          <cell r="E506" t="str">
            <v>20100729LGUM_476</v>
          </cell>
          <cell r="F506">
            <v>35.07</v>
          </cell>
          <cell r="H506">
            <v>7.41</v>
          </cell>
        </row>
        <row r="507">
          <cell r="E507" t="str">
            <v>20100729LGUM_477</v>
          </cell>
          <cell r="F507">
            <v>38.14</v>
          </cell>
          <cell r="H507">
            <v>7.41</v>
          </cell>
        </row>
        <row r="508">
          <cell r="E508" t="str">
            <v>20100729LGUM_478</v>
          </cell>
          <cell r="F508">
            <v>44.47</v>
          </cell>
          <cell r="H508">
            <v>7.41</v>
          </cell>
        </row>
        <row r="509">
          <cell r="E509" t="str">
            <v>20100729LGUM_479</v>
          </cell>
          <cell r="F509">
            <v>13.02</v>
          </cell>
          <cell r="H509">
            <v>1.42</v>
          </cell>
        </row>
        <row r="510">
          <cell r="E510" t="str">
            <v>20100729LGUM_480</v>
          </cell>
          <cell r="F510">
            <v>22.45</v>
          </cell>
          <cell r="H510">
            <v>1.42</v>
          </cell>
        </row>
        <row r="511">
          <cell r="E511" t="str">
            <v>20100729LGUM_481</v>
          </cell>
          <cell r="F511">
            <v>18.670000000000002</v>
          </cell>
          <cell r="H511">
            <v>3.09</v>
          </cell>
        </row>
        <row r="512">
          <cell r="E512" t="str">
            <v>20100729LGUM_482</v>
          </cell>
          <cell r="F512">
            <v>28.09</v>
          </cell>
          <cell r="H512">
            <v>3.09</v>
          </cell>
        </row>
        <row r="513">
          <cell r="E513" t="str">
            <v>20100729LGUM_483</v>
          </cell>
          <cell r="F513">
            <v>37.93</v>
          </cell>
          <cell r="H513">
            <v>7.41</v>
          </cell>
        </row>
        <row r="514">
          <cell r="E514" t="str">
            <v>20100729LGUM_484</v>
          </cell>
          <cell r="F514">
            <v>47.34</v>
          </cell>
          <cell r="H514">
            <v>7.41</v>
          </cell>
        </row>
        <row r="515">
          <cell r="E515" t="str">
            <v>20110629LGUM_001</v>
          </cell>
          <cell r="F515">
            <v>7.95</v>
          </cell>
          <cell r="H515">
            <v>0.92</v>
          </cell>
        </row>
        <row r="516">
          <cell r="E516" t="str">
            <v>20110629LGUM_101</v>
          </cell>
          <cell r="F516">
            <v>7.95</v>
          </cell>
          <cell r="H516">
            <v>0.92</v>
          </cell>
        </row>
        <row r="517">
          <cell r="E517" t="str">
            <v>20110629LGUM_201</v>
          </cell>
          <cell r="F517">
            <v>7.95</v>
          </cell>
          <cell r="H517">
            <v>0.92</v>
          </cell>
        </row>
        <row r="518">
          <cell r="E518" t="str">
            <v>20110629LGUM_002</v>
          </cell>
          <cell r="F518">
            <v>8.93</v>
          </cell>
          <cell r="H518">
            <v>1.55</v>
          </cell>
        </row>
        <row r="519">
          <cell r="E519" t="str">
            <v>20110629LGUM_102</v>
          </cell>
          <cell r="F519">
            <v>8.93</v>
          </cell>
          <cell r="H519">
            <v>1.55</v>
          </cell>
        </row>
        <row r="520">
          <cell r="E520" t="str">
            <v>20110629LGUM_202</v>
          </cell>
          <cell r="F520">
            <v>8.93</v>
          </cell>
          <cell r="H520">
            <v>1.55</v>
          </cell>
        </row>
        <row r="521">
          <cell r="E521" t="str">
            <v>20110629LGUM_003</v>
          </cell>
          <cell r="F521">
            <v>10.34</v>
          </cell>
          <cell r="H521">
            <v>2.2000000000000002</v>
          </cell>
        </row>
        <row r="522">
          <cell r="E522" t="str">
            <v>20110629LGUM_103</v>
          </cell>
          <cell r="F522">
            <v>10.34</v>
          </cell>
          <cell r="H522">
            <v>2.2000000000000002</v>
          </cell>
        </row>
        <row r="523">
          <cell r="E523" t="str">
            <v>20110629LGUM_203</v>
          </cell>
          <cell r="F523">
            <v>10.34</v>
          </cell>
          <cell r="H523">
            <v>2.2000000000000002</v>
          </cell>
        </row>
        <row r="524">
          <cell r="E524" t="str">
            <v>20110629LGUM_004</v>
          </cell>
          <cell r="F524">
            <v>12.78</v>
          </cell>
          <cell r="H524">
            <v>3.41</v>
          </cell>
        </row>
        <row r="525">
          <cell r="E525" t="str">
            <v>20110629LGUM_104</v>
          </cell>
          <cell r="F525">
            <v>12.78</v>
          </cell>
          <cell r="H525">
            <v>3.41</v>
          </cell>
        </row>
        <row r="526">
          <cell r="E526" t="str">
            <v>20110629LGUM_204</v>
          </cell>
          <cell r="F526">
            <v>12.78</v>
          </cell>
          <cell r="H526">
            <v>3.41</v>
          </cell>
        </row>
        <row r="527">
          <cell r="E527" t="str">
            <v>20110629LGUM_005</v>
          </cell>
          <cell r="F527">
            <v>9.9600000000000009</v>
          </cell>
          <cell r="H527">
            <v>1.07</v>
          </cell>
        </row>
        <row r="528">
          <cell r="E528" t="str">
            <v>20110629LGUM_105</v>
          </cell>
          <cell r="F528">
            <v>9.9600000000000009</v>
          </cell>
          <cell r="H528">
            <v>1.07</v>
          </cell>
        </row>
        <row r="529">
          <cell r="E529" t="str">
            <v>20110629LGUM_205</v>
          </cell>
          <cell r="F529">
            <v>9.9600000000000009</v>
          </cell>
          <cell r="H529">
            <v>1.07</v>
          </cell>
        </row>
        <row r="530">
          <cell r="E530" t="str">
            <v>20110629LGUM_006</v>
          </cell>
          <cell r="F530">
            <v>13.19</v>
          </cell>
          <cell r="H530">
            <v>0.92</v>
          </cell>
        </row>
        <row r="531">
          <cell r="E531" t="str">
            <v>20110629LGUM_106</v>
          </cell>
          <cell r="F531">
            <v>13.19</v>
          </cell>
          <cell r="H531">
            <v>0.92</v>
          </cell>
        </row>
        <row r="532">
          <cell r="E532" t="str">
            <v>20110629LGUM_206</v>
          </cell>
          <cell r="F532">
            <v>13.19</v>
          </cell>
          <cell r="H532">
            <v>0.92</v>
          </cell>
        </row>
        <row r="533">
          <cell r="E533" t="str">
            <v>20110629LGUM_007</v>
          </cell>
          <cell r="F533">
            <v>12.78</v>
          </cell>
          <cell r="H533">
            <v>3.41</v>
          </cell>
        </row>
        <row r="534">
          <cell r="E534" t="str">
            <v>20110629LGUM_107</v>
          </cell>
          <cell r="F534">
            <v>12.78</v>
          </cell>
          <cell r="H534">
            <v>3.41</v>
          </cell>
        </row>
        <row r="535">
          <cell r="E535" t="str">
            <v>20110629LGUM_207</v>
          </cell>
          <cell r="F535">
            <v>12.78</v>
          </cell>
          <cell r="H535">
            <v>3.41</v>
          </cell>
        </row>
        <row r="536">
          <cell r="E536" t="str">
            <v>20110629LGUM_008</v>
          </cell>
          <cell r="F536">
            <v>14.02</v>
          </cell>
          <cell r="H536">
            <v>1.55</v>
          </cell>
        </row>
        <row r="537">
          <cell r="E537" t="str">
            <v>20110629LGUM_108</v>
          </cell>
          <cell r="F537">
            <v>14.02</v>
          </cell>
          <cell r="H537">
            <v>1.55</v>
          </cell>
        </row>
        <row r="538">
          <cell r="E538" t="str">
            <v>20110629LGUM_208</v>
          </cell>
          <cell r="F538">
            <v>14.02</v>
          </cell>
          <cell r="H538">
            <v>1.55</v>
          </cell>
        </row>
        <row r="539">
          <cell r="E539" t="str">
            <v>20110629LGUM_009</v>
          </cell>
          <cell r="F539">
            <v>24.02</v>
          </cell>
          <cell r="H539">
            <v>8.16</v>
          </cell>
        </row>
        <row r="540">
          <cell r="E540" t="str">
            <v>20110629LGUM_109</v>
          </cell>
          <cell r="F540">
            <v>24.02</v>
          </cell>
          <cell r="H540">
            <v>8.16</v>
          </cell>
        </row>
        <row r="541">
          <cell r="E541" t="str">
            <v>20110629LGUM_209</v>
          </cell>
          <cell r="F541">
            <v>24.02</v>
          </cell>
          <cell r="H541">
            <v>8.16</v>
          </cell>
        </row>
        <row r="542">
          <cell r="E542" t="str">
            <v>20110629LGUM_010</v>
          </cell>
          <cell r="F542">
            <v>24.02</v>
          </cell>
          <cell r="H542">
            <v>8.16</v>
          </cell>
        </row>
        <row r="543">
          <cell r="E543" t="str">
            <v>20110629LGUM_110</v>
          </cell>
          <cell r="F543">
            <v>24.02</v>
          </cell>
          <cell r="H543">
            <v>8.16</v>
          </cell>
        </row>
        <row r="544">
          <cell r="E544" t="str">
            <v>20110629LGUM_210</v>
          </cell>
          <cell r="F544">
            <v>24.02</v>
          </cell>
          <cell r="H544">
            <v>8.16</v>
          </cell>
        </row>
        <row r="545">
          <cell r="E545" t="str">
            <v>20110629LGUM_011</v>
          </cell>
          <cell r="F545">
            <v>14.91</v>
          </cell>
          <cell r="H545">
            <v>2.2999999999999998</v>
          </cell>
        </row>
        <row r="546">
          <cell r="E546" t="str">
            <v>20110629LGUM_111</v>
          </cell>
          <cell r="F546">
            <v>14.91</v>
          </cell>
          <cell r="H546">
            <v>2.2999999999999998</v>
          </cell>
        </row>
        <row r="547">
          <cell r="E547" t="str">
            <v>20110629LGUM_211</v>
          </cell>
          <cell r="F547">
            <v>14.91</v>
          </cell>
          <cell r="H547">
            <v>2.2999999999999998</v>
          </cell>
        </row>
        <row r="548">
          <cell r="E548" t="str">
            <v>20110629LGUM_012</v>
          </cell>
          <cell r="F548">
            <v>16.29</v>
          </cell>
          <cell r="H548">
            <v>3.65</v>
          </cell>
        </row>
        <row r="549">
          <cell r="E549" t="str">
            <v>20110629LGUM_112</v>
          </cell>
          <cell r="F549">
            <v>16.29</v>
          </cell>
          <cell r="H549">
            <v>3.65</v>
          </cell>
        </row>
        <row r="550">
          <cell r="E550" t="str">
            <v>20110629LGUM_212</v>
          </cell>
          <cell r="F550">
            <v>16.29</v>
          </cell>
          <cell r="H550">
            <v>3.65</v>
          </cell>
        </row>
        <row r="551">
          <cell r="E551" t="str">
            <v>20110629LGUM_013</v>
          </cell>
          <cell r="F551">
            <v>16.29</v>
          </cell>
          <cell r="H551">
            <v>3.65</v>
          </cell>
        </row>
        <row r="552">
          <cell r="E552" t="str">
            <v>20110629LGUM_113</v>
          </cell>
          <cell r="F552">
            <v>16.29</v>
          </cell>
          <cell r="H552">
            <v>3.65</v>
          </cell>
        </row>
        <row r="553">
          <cell r="E553" t="str">
            <v>20110629LGUM_213</v>
          </cell>
          <cell r="F553">
            <v>16.29</v>
          </cell>
          <cell r="H553">
            <v>3.65</v>
          </cell>
        </row>
        <row r="554">
          <cell r="E554" t="str">
            <v>20110629LGUM_016</v>
          </cell>
          <cell r="F554">
            <v>27.08</v>
          </cell>
          <cell r="H554">
            <v>2.2999999999999998</v>
          </cell>
        </row>
        <row r="555">
          <cell r="E555" t="str">
            <v>20110629LGUM_116</v>
          </cell>
          <cell r="F555">
            <v>27.08</v>
          </cell>
          <cell r="H555">
            <v>2.2999999999999998</v>
          </cell>
        </row>
        <row r="556">
          <cell r="E556" t="str">
            <v>20110629LGUM_216</v>
          </cell>
          <cell r="F556">
            <v>27.08</v>
          </cell>
          <cell r="H556">
            <v>2.2999999999999998</v>
          </cell>
        </row>
        <row r="557">
          <cell r="E557" t="str">
            <v>20110629LGUM_017</v>
          </cell>
          <cell r="F557">
            <v>30.26</v>
          </cell>
          <cell r="H557">
            <v>3.65</v>
          </cell>
        </row>
        <row r="558">
          <cell r="E558" t="str">
            <v>20110629LGUM_117</v>
          </cell>
          <cell r="F558">
            <v>30.26</v>
          </cell>
          <cell r="H558">
            <v>3.65</v>
          </cell>
        </row>
        <row r="559">
          <cell r="E559" t="str">
            <v>20110629LGUM_217</v>
          </cell>
          <cell r="F559">
            <v>30.26</v>
          </cell>
          <cell r="H559">
            <v>3.65</v>
          </cell>
        </row>
        <row r="560">
          <cell r="E560" t="str">
            <v>20110629LGUM_022</v>
          </cell>
          <cell r="F560">
            <v>12.62</v>
          </cell>
          <cell r="H560">
            <v>1.55</v>
          </cell>
        </row>
        <row r="561">
          <cell r="E561" t="str">
            <v>20110629LGUM_122</v>
          </cell>
          <cell r="F561">
            <v>12.62</v>
          </cell>
          <cell r="H561">
            <v>1.55</v>
          </cell>
        </row>
        <row r="562">
          <cell r="E562" t="str">
            <v>20110629LGUM_222</v>
          </cell>
          <cell r="F562">
            <v>12.62</v>
          </cell>
          <cell r="H562">
            <v>1.55</v>
          </cell>
        </row>
        <row r="563">
          <cell r="E563" t="str">
            <v>20110629LGUM_023</v>
          </cell>
          <cell r="F563">
            <v>12.62</v>
          </cell>
          <cell r="H563">
            <v>1.55</v>
          </cell>
        </row>
        <row r="564">
          <cell r="E564" t="str">
            <v>20110629LGUM_123</v>
          </cell>
          <cell r="F564">
            <v>12.62</v>
          </cell>
          <cell r="H564">
            <v>1.55</v>
          </cell>
        </row>
        <row r="565">
          <cell r="E565" t="str">
            <v>20110629LGUM_223</v>
          </cell>
          <cell r="F565">
            <v>12.62</v>
          </cell>
          <cell r="H565">
            <v>1.55</v>
          </cell>
        </row>
        <row r="566">
          <cell r="E566" t="str">
            <v>20110629LGUM_024</v>
          </cell>
          <cell r="F566">
            <v>17.45</v>
          </cell>
          <cell r="H566">
            <v>1.07</v>
          </cell>
        </row>
        <row r="567">
          <cell r="E567" t="str">
            <v>20110629LGUM_124</v>
          </cell>
          <cell r="F567">
            <v>17.45</v>
          </cell>
          <cell r="H567">
            <v>1.07</v>
          </cell>
        </row>
        <row r="568">
          <cell r="E568" t="str">
            <v>20110629LGUM_224</v>
          </cell>
          <cell r="F568">
            <v>17.45</v>
          </cell>
          <cell r="H568">
            <v>1.07</v>
          </cell>
        </row>
        <row r="569">
          <cell r="E569" t="str">
            <v>20110629LGUM_025</v>
          </cell>
          <cell r="F569">
            <v>23.51</v>
          </cell>
          <cell r="H569">
            <v>1.55</v>
          </cell>
        </row>
        <row r="570">
          <cell r="E570" t="str">
            <v>20110629LGUM_125</v>
          </cell>
          <cell r="F570">
            <v>23.51</v>
          </cell>
          <cell r="H570">
            <v>1.55</v>
          </cell>
        </row>
        <row r="571">
          <cell r="E571" t="str">
            <v>20110629LGUM_225</v>
          </cell>
          <cell r="F571">
            <v>23.51</v>
          </cell>
          <cell r="H571">
            <v>1.55</v>
          </cell>
        </row>
        <row r="572">
          <cell r="E572" t="str">
            <v>20110629LGUM_026</v>
          </cell>
          <cell r="F572">
            <v>13.27</v>
          </cell>
          <cell r="H572">
            <v>0.74</v>
          </cell>
        </row>
        <row r="573">
          <cell r="E573" t="str">
            <v>20110629LGUM_126</v>
          </cell>
          <cell r="F573">
            <v>13.27</v>
          </cell>
          <cell r="H573">
            <v>0.74</v>
          </cell>
        </row>
        <row r="574">
          <cell r="E574" t="str">
            <v>20110629LGUM_226</v>
          </cell>
          <cell r="F574">
            <v>13.27</v>
          </cell>
          <cell r="H574">
            <v>0.74</v>
          </cell>
        </row>
        <row r="575">
          <cell r="E575" t="str">
            <v>20110629LGUM_251</v>
          </cell>
          <cell r="F575">
            <v>1.0000000000000001E-9</v>
          </cell>
          <cell r="H575">
            <v>0</v>
          </cell>
        </row>
        <row r="576">
          <cell r="E576" t="str">
            <v>20110629LGUM_052</v>
          </cell>
          <cell r="F576">
            <v>10.33</v>
          </cell>
          <cell r="H576">
            <v>1.55</v>
          </cell>
        </row>
        <row r="577">
          <cell r="E577" t="str">
            <v>20110629LGUM_152</v>
          </cell>
          <cell r="F577">
            <v>10.33</v>
          </cell>
          <cell r="H577">
            <v>1.55</v>
          </cell>
        </row>
        <row r="578">
          <cell r="E578" t="str">
            <v>20110629LGUM_252</v>
          </cell>
          <cell r="F578">
            <v>10.33</v>
          </cell>
          <cell r="H578">
            <v>1.55</v>
          </cell>
        </row>
        <row r="579">
          <cell r="E579" t="str">
            <v>20110629LGUM_053</v>
          </cell>
          <cell r="F579">
            <v>11.81</v>
          </cell>
          <cell r="H579">
            <v>2.2000000000000002</v>
          </cell>
        </row>
        <row r="580">
          <cell r="E580" t="str">
            <v>20110629LGUM_153</v>
          </cell>
          <cell r="F580">
            <v>11.81</v>
          </cell>
          <cell r="H580">
            <v>2.2000000000000002</v>
          </cell>
        </row>
        <row r="581">
          <cell r="E581" t="str">
            <v>20110629LGUM_253</v>
          </cell>
          <cell r="F581">
            <v>11.81</v>
          </cell>
          <cell r="H581">
            <v>2.2000000000000002</v>
          </cell>
        </row>
        <row r="582">
          <cell r="E582" t="str">
            <v>20110629LGUM_054</v>
          </cell>
          <cell r="F582">
            <v>14.39</v>
          </cell>
          <cell r="H582">
            <v>3.41</v>
          </cell>
        </row>
        <row r="583">
          <cell r="E583" t="str">
            <v>20110629LGUM_154</v>
          </cell>
          <cell r="F583">
            <v>14.39</v>
          </cell>
          <cell r="H583">
            <v>3.41</v>
          </cell>
        </row>
        <row r="584">
          <cell r="E584" t="str">
            <v>20110629LGUM_254</v>
          </cell>
          <cell r="F584">
            <v>14.39</v>
          </cell>
          <cell r="H584">
            <v>3.41</v>
          </cell>
        </row>
        <row r="585">
          <cell r="E585" t="str">
            <v>20110629LGUM_055</v>
          </cell>
          <cell r="F585">
            <v>9.9600000000000009</v>
          </cell>
          <cell r="H585">
            <v>1.07</v>
          </cell>
        </row>
        <row r="586">
          <cell r="E586" t="str">
            <v>20110629LGUM_155</v>
          </cell>
          <cell r="F586">
            <v>9.9600000000000009</v>
          </cell>
          <cell r="H586">
            <v>1.07</v>
          </cell>
        </row>
        <row r="587">
          <cell r="E587" t="str">
            <v>20110629LGUM_255</v>
          </cell>
          <cell r="F587">
            <v>9.9600000000000009</v>
          </cell>
          <cell r="H587">
            <v>1.07</v>
          </cell>
        </row>
        <row r="588">
          <cell r="E588" t="str">
            <v>20110629LGUM_056</v>
          </cell>
          <cell r="F588">
            <v>13.18</v>
          </cell>
          <cell r="H588">
            <v>0.92</v>
          </cell>
        </row>
        <row r="589">
          <cell r="E589" t="str">
            <v>20110629LGUM_156</v>
          </cell>
          <cell r="F589">
            <v>13.18</v>
          </cell>
          <cell r="H589">
            <v>0.92</v>
          </cell>
        </row>
        <row r="590">
          <cell r="E590" t="str">
            <v>20110629LGUM_256</v>
          </cell>
          <cell r="F590">
            <v>13.18</v>
          </cell>
          <cell r="H590">
            <v>0.92</v>
          </cell>
        </row>
        <row r="591">
          <cell r="E591" t="str">
            <v>20110629LGUM_057</v>
          </cell>
          <cell r="F591">
            <v>14.39</v>
          </cell>
          <cell r="H591">
            <v>3.41</v>
          </cell>
        </row>
        <row r="592">
          <cell r="E592" t="str">
            <v>20110629LGUM_157</v>
          </cell>
          <cell r="F592">
            <v>14.39</v>
          </cell>
          <cell r="H592">
            <v>3.41</v>
          </cell>
        </row>
        <row r="593">
          <cell r="E593" t="str">
            <v>20110629LGUM_257</v>
          </cell>
          <cell r="F593">
            <v>14.39</v>
          </cell>
          <cell r="H593">
            <v>3.41</v>
          </cell>
        </row>
        <row r="594">
          <cell r="E594" t="str">
            <v>20110629LGUM_058</v>
          </cell>
          <cell r="F594">
            <v>14.99</v>
          </cell>
          <cell r="H594">
            <v>1.55</v>
          </cell>
        </row>
        <row r="595">
          <cell r="E595" t="str">
            <v>20110629LGUM_158</v>
          </cell>
          <cell r="F595">
            <v>14.99</v>
          </cell>
          <cell r="H595">
            <v>1.55</v>
          </cell>
        </row>
        <row r="596">
          <cell r="E596" t="str">
            <v>20110629LGUM_258</v>
          </cell>
          <cell r="F596">
            <v>14.99</v>
          </cell>
          <cell r="H596">
            <v>1.55</v>
          </cell>
        </row>
        <row r="597">
          <cell r="E597" t="str">
            <v>20110629LGUM_059</v>
          </cell>
          <cell r="F597">
            <v>26.66</v>
          </cell>
          <cell r="H597">
            <v>8.16</v>
          </cell>
        </row>
        <row r="598">
          <cell r="E598" t="str">
            <v>20110629LGUM_159</v>
          </cell>
          <cell r="F598">
            <v>26.66</v>
          </cell>
          <cell r="H598">
            <v>8.16</v>
          </cell>
        </row>
        <row r="599">
          <cell r="E599" t="str">
            <v>20110629LGUM_259</v>
          </cell>
          <cell r="F599">
            <v>26.66</v>
          </cell>
          <cell r="H599">
            <v>8.16</v>
          </cell>
        </row>
        <row r="600">
          <cell r="E600" t="str">
            <v>20110629LGUM_060</v>
          </cell>
          <cell r="F600">
            <v>26.79</v>
          </cell>
          <cell r="H600">
            <v>8.16</v>
          </cell>
        </row>
        <row r="601">
          <cell r="E601" t="str">
            <v>20110629LGUM_160</v>
          </cell>
          <cell r="F601">
            <v>26.79</v>
          </cell>
          <cell r="H601">
            <v>8.16</v>
          </cell>
        </row>
        <row r="602">
          <cell r="E602" t="str">
            <v>20110629LGUM_260</v>
          </cell>
          <cell r="F602">
            <v>26.79</v>
          </cell>
          <cell r="H602">
            <v>8.16</v>
          </cell>
        </row>
        <row r="603">
          <cell r="E603" t="str">
            <v>20110629LGUM_061</v>
          </cell>
          <cell r="F603">
            <v>14.91</v>
          </cell>
          <cell r="H603">
            <v>2.2999999999999998</v>
          </cell>
        </row>
        <row r="604">
          <cell r="E604" t="str">
            <v>20110629LGUM_161</v>
          </cell>
          <cell r="F604">
            <v>14.91</v>
          </cell>
          <cell r="H604">
            <v>2.2999999999999998</v>
          </cell>
        </row>
        <row r="605">
          <cell r="E605" t="str">
            <v>20110629LGUM_261</v>
          </cell>
          <cell r="F605">
            <v>14.91</v>
          </cell>
          <cell r="H605">
            <v>2.2999999999999998</v>
          </cell>
        </row>
        <row r="606">
          <cell r="E606" t="str">
            <v>20110629LGUM_062</v>
          </cell>
          <cell r="F606">
            <v>16.29</v>
          </cell>
          <cell r="H606">
            <v>3.65</v>
          </cell>
        </row>
        <row r="607">
          <cell r="E607" t="str">
            <v>20110629LGUM_162</v>
          </cell>
          <cell r="F607">
            <v>16.29</v>
          </cell>
          <cell r="H607">
            <v>3.65</v>
          </cell>
        </row>
        <row r="608">
          <cell r="E608" t="str">
            <v>20110629LGUM_262</v>
          </cell>
          <cell r="F608">
            <v>16.29</v>
          </cell>
          <cell r="H608">
            <v>3.65</v>
          </cell>
        </row>
        <row r="609">
          <cell r="E609" t="str">
            <v>20110629LGUM_063</v>
          </cell>
          <cell r="F609">
            <v>16.29</v>
          </cell>
          <cell r="H609">
            <v>3.65</v>
          </cell>
        </row>
        <row r="610">
          <cell r="E610" t="str">
            <v>20110629LGUM_163</v>
          </cell>
          <cell r="F610">
            <v>16.29</v>
          </cell>
          <cell r="H610">
            <v>3.65</v>
          </cell>
        </row>
        <row r="611">
          <cell r="E611" t="str">
            <v>20110629LGUM_263</v>
          </cell>
          <cell r="F611">
            <v>16.29</v>
          </cell>
          <cell r="H611">
            <v>3.65</v>
          </cell>
        </row>
        <row r="612">
          <cell r="E612" t="str">
            <v>20110629LGUM_066</v>
          </cell>
          <cell r="F612">
            <v>27.08</v>
          </cell>
          <cell r="H612">
            <v>2.2999999999999998</v>
          </cell>
        </row>
        <row r="613">
          <cell r="E613" t="str">
            <v>20110629LGUM_166</v>
          </cell>
          <cell r="F613">
            <v>27.08</v>
          </cell>
          <cell r="H613">
            <v>2.2999999999999998</v>
          </cell>
        </row>
        <row r="614">
          <cell r="E614" t="str">
            <v>20110629LGUM_266</v>
          </cell>
          <cell r="F614">
            <v>27.08</v>
          </cell>
          <cell r="H614">
            <v>2.2999999999999998</v>
          </cell>
        </row>
        <row r="615">
          <cell r="E615" t="str">
            <v>20110629LGUM_067</v>
          </cell>
          <cell r="F615">
            <v>30.26</v>
          </cell>
          <cell r="H615">
            <v>3.65</v>
          </cell>
        </row>
        <row r="616">
          <cell r="E616" t="str">
            <v>20110629LGUM_167</v>
          </cell>
          <cell r="F616">
            <v>30.26</v>
          </cell>
          <cell r="H616">
            <v>3.65</v>
          </cell>
        </row>
        <row r="617">
          <cell r="E617" t="str">
            <v>20110629LGUM_267</v>
          </cell>
          <cell r="F617">
            <v>30.26</v>
          </cell>
          <cell r="H617">
            <v>3.65</v>
          </cell>
        </row>
        <row r="618">
          <cell r="E618" t="str">
            <v>20110629LGUM_072</v>
          </cell>
          <cell r="F618">
            <v>12.62</v>
          </cell>
          <cell r="H618">
            <v>1.55</v>
          </cell>
        </row>
        <row r="619">
          <cell r="E619" t="str">
            <v>20110629LGUM_172</v>
          </cell>
          <cell r="F619">
            <v>12.62</v>
          </cell>
          <cell r="H619">
            <v>1.55</v>
          </cell>
        </row>
        <row r="620">
          <cell r="E620" t="str">
            <v>20110629LGUM_272</v>
          </cell>
          <cell r="F620">
            <v>12.62</v>
          </cell>
          <cell r="H620">
            <v>1.55</v>
          </cell>
        </row>
        <row r="621">
          <cell r="E621" t="str">
            <v>20110629LGUM_073</v>
          </cell>
          <cell r="F621">
            <v>12.62</v>
          </cell>
          <cell r="H621">
            <v>1.55</v>
          </cell>
        </row>
        <row r="622">
          <cell r="E622" t="str">
            <v>20110629LGUM_173</v>
          </cell>
          <cell r="F622">
            <v>12.62</v>
          </cell>
          <cell r="H622">
            <v>1.55</v>
          </cell>
        </row>
        <row r="623">
          <cell r="E623" t="str">
            <v>20110629LGUM_273</v>
          </cell>
          <cell r="F623">
            <v>12.62</v>
          </cell>
          <cell r="H623">
            <v>1.55</v>
          </cell>
        </row>
        <row r="624">
          <cell r="E624" t="str">
            <v>20110629LGUM_074</v>
          </cell>
          <cell r="F624">
            <v>17.64</v>
          </cell>
          <cell r="H624">
            <v>1.07</v>
          </cell>
        </row>
        <row r="625">
          <cell r="E625" t="str">
            <v>20110629LGUM_174</v>
          </cell>
          <cell r="F625">
            <v>17.64</v>
          </cell>
          <cell r="H625">
            <v>1.07</v>
          </cell>
        </row>
        <row r="626">
          <cell r="E626" t="str">
            <v>20110629LGUM_274</v>
          </cell>
          <cell r="F626">
            <v>17.64</v>
          </cell>
          <cell r="H626">
            <v>1.07</v>
          </cell>
        </row>
        <row r="627">
          <cell r="E627" t="str">
            <v>20110629LGUM_075</v>
          </cell>
          <cell r="F627">
            <v>23.51</v>
          </cell>
          <cell r="H627">
            <v>1.48</v>
          </cell>
        </row>
        <row r="628">
          <cell r="E628" t="str">
            <v>20110629LGUM_175</v>
          </cell>
          <cell r="F628">
            <v>23.51</v>
          </cell>
          <cell r="H628">
            <v>1.48</v>
          </cell>
        </row>
        <row r="629">
          <cell r="E629" t="str">
            <v>20110629LGUM_275</v>
          </cell>
          <cell r="F629">
            <v>23.51</v>
          </cell>
          <cell r="H629">
            <v>1.48</v>
          </cell>
        </row>
        <row r="630">
          <cell r="E630" t="str">
            <v>20110629LGUM_076</v>
          </cell>
          <cell r="F630">
            <v>13.27</v>
          </cell>
          <cell r="H630">
            <v>0.74</v>
          </cell>
        </row>
        <row r="631">
          <cell r="E631" t="str">
            <v>20110629LGUM_176</v>
          </cell>
          <cell r="F631">
            <v>13.27</v>
          </cell>
          <cell r="H631">
            <v>0.74</v>
          </cell>
        </row>
        <row r="632">
          <cell r="E632" t="str">
            <v>20110629LGUM_276</v>
          </cell>
          <cell r="F632">
            <v>13.27</v>
          </cell>
          <cell r="H632">
            <v>0.74</v>
          </cell>
        </row>
        <row r="633">
          <cell r="E633" t="str">
            <v>20110629LGUM_077</v>
          </cell>
          <cell r="F633">
            <v>21.07</v>
          </cell>
          <cell r="H633">
            <v>1.48</v>
          </cell>
        </row>
        <row r="634">
          <cell r="E634" t="str">
            <v>20110629LGUM_177</v>
          </cell>
          <cell r="F634">
            <v>21.07</v>
          </cell>
          <cell r="H634">
            <v>1.48</v>
          </cell>
        </row>
        <row r="635">
          <cell r="E635" t="str">
            <v>20110629LGUM_277</v>
          </cell>
          <cell r="F635">
            <v>21.07</v>
          </cell>
          <cell r="H635">
            <v>1.48</v>
          </cell>
        </row>
        <row r="636">
          <cell r="E636" t="str">
            <v>20110629LGUM_078</v>
          </cell>
          <cell r="F636">
            <v>67.760000000000005</v>
          </cell>
          <cell r="H636">
            <v>8.14</v>
          </cell>
        </row>
        <row r="637">
          <cell r="E637" t="str">
            <v>20110629LGUM_178</v>
          </cell>
          <cell r="F637">
            <v>67.760000000000005</v>
          </cell>
          <cell r="H637">
            <v>8.14</v>
          </cell>
        </row>
        <row r="638">
          <cell r="E638" t="str">
            <v>20110629LGUM_278</v>
          </cell>
          <cell r="F638">
            <v>67.760000000000005</v>
          </cell>
          <cell r="H638">
            <v>8.14</v>
          </cell>
        </row>
        <row r="639">
          <cell r="E639" t="str">
            <v>20110629LGUM_079</v>
          </cell>
          <cell r="F639">
            <v>37.979999999999997</v>
          </cell>
          <cell r="H639">
            <v>8.14</v>
          </cell>
        </row>
        <row r="640">
          <cell r="E640" t="str">
            <v>20110629LGUM_179</v>
          </cell>
          <cell r="F640">
            <v>37.979999999999997</v>
          </cell>
          <cell r="H640">
            <v>8.14</v>
          </cell>
        </row>
        <row r="641">
          <cell r="E641" t="str">
            <v>20110629LGUM_279</v>
          </cell>
          <cell r="F641">
            <v>37.979999999999997</v>
          </cell>
          <cell r="H641">
            <v>8.14</v>
          </cell>
        </row>
        <row r="642">
          <cell r="E642" t="str">
            <v>20110629LGUM_080</v>
          </cell>
          <cell r="F642">
            <v>18.420000000000002</v>
          </cell>
          <cell r="H642">
            <v>0.74</v>
          </cell>
        </row>
        <row r="643">
          <cell r="E643" t="str">
            <v>20110629LGUM_180</v>
          </cell>
          <cell r="F643">
            <v>18.420000000000002</v>
          </cell>
          <cell r="H643">
            <v>0.74</v>
          </cell>
        </row>
        <row r="644">
          <cell r="E644" t="str">
            <v>20110629LGUM_280</v>
          </cell>
          <cell r="F644">
            <v>18.420000000000002</v>
          </cell>
          <cell r="H644">
            <v>0.74</v>
          </cell>
        </row>
        <row r="645">
          <cell r="E645" t="str">
            <v>20110629LGUM_081</v>
          </cell>
          <cell r="F645">
            <v>19.440000000000001</v>
          </cell>
          <cell r="H645">
            <v>1.07</v>
          </cell>
        </row>
        <row r="646">
          <cell r="E646" t="str">
            <v>20110629LGUM_181</v>
          </cell>
          <cell r="F646">
            <v>19.440000000000001</v>
          </cell>
          <cell r="H646">
            <v>1.07</v>
          </cell>
        </row>
        <row r="647">
          <cell r="E647" t="str">
            <v>20110629LGUM_281</v>
          </cell>
          <cell r="F647">
            <v>19.440000000000001</v>
          </cell>
          <cell r="H647">
            <v>1.07</v>
          </cell>
        </row>
        <row r="648">
          <cell r="E648" t="str">
            <v>20110629LGUM_082</v>
          </cell>
          <cell r="F648">
            <v>18.600000000000001</v>
          </cell>
          <cell r="H648">
            <v>0.74</v>
          </cell>
        </row>
        <row r="649">
          <cell r="E649" t="str">
            <v>20110629LGUM_182</v>
          </cell>
          <cell r="F649">
            <v>18.600000000000001</v>
          </cell>
          <cell r="H649">
            <v>0.74</v>
          </cell>
        </row>
        <row r="650">
          <cell r="E650" t="str">
            <v>20110629LGUM_282</v>
          </cell>
          <cell r="F650">
            <v>18.600000000000001</v>
          </cell>
          <cell r="H650">
            <v>0.74</v>
          </cell>
        </row>
        <row r="651">
          <cell r="E651" t="str">
            <v>20110629LGUM_083</v>
          </cell>
          <cell r="F651">
            <v>19.64</v>
          </cell>
          <cell r="H651">
            <v>1.07</v>
          </cell>
        </row>
        <row r="652">
          <cell r="E652" t="str">
            <v>20110629LGUM_183</v>
          </cell>
          <cell r="F652">
            <v>19.64</v>
          </cell>
          <cell r="H652">
            <v>1.07</v>
          </cell>
        </row>
        <row r="653">
          <cell r="E653" t="str">
            <v>20110629LGUM_283</v>
          </cell>
          <cell r="F653">
            <v>19.64</v>
          </cell>
          <cell r="H653">
            <v>1.07</v>
          </cell>
        </row>
        <row r="654">
          <cell r="E654" t="str">
            <v>20110629LGUM_301</v>
          </cell>
          <cell r="F654">
            <v>7.23</v>
          </cell>
          <cell r="H654">
            <v>0.92</v>
          </cell>
        </row>
        <row r="655">
          <cell r="E655" t="str">
            <v>20110629LGUM_302</v>
          </cell>
          <cell r="F655">
            <v>8.36</v>
          </cell>
          <cell r="H655">
            <v>1.55</v>
          </cell>
        </row>
        <row r="656">
          <cell r="E656" t="str">
            <v>20110629LGUM_303</v>
          </cell>
          <cell r="F656">
            <v>9.73</v>
          </cell>
          <cell r="H656">
            <v>2.2000000000000002</v>
          </cell>
        </row>
        <row r="657">
          <cell r="E657" t="str">
            <v>20110629LGUM_304</v>
          </cell>
          <cell r="F657">
            <v>11.88</v>
          </cell>
          <cell r="H657">
            <v>3.41</v>
          </cell>
        </row>
        <row r="658">
          <cell r="E658" t="str">
            <v>20110629LGUM_305</v>
          </cell>
          <cell r="F658">
            <v>9.66</v>
          </cell>
          <cell r="H658">
            <v>1.07</v>
          </cell>
        </row>
        <row r="659">
          <cell r="E659" t="str">
            <v>20110629LGUM_306</v>
          </cell>
          <cell r="F659">
            <v>11.23</v>
          </cell>
          <cell r="H659">
            <v>0.92</v>
          </cell>
        </row>
        <row r="660">
          <cell r="E660" t="str">
            <v>20110629LGUM_307</v>
          </cell>
          <cell r="F660">
            <v>16.39</v>
          </cell>
          <cell r="H660">
            <v>3.41</v>
          </cell>
        </row>
        <row r="661">
          <cell r="E661" t="str">
            <v>20110629LGUM_308</v>
          </cell>
          <cell r="F661">
            <v>12.26</v>
          </cell>
          <cell r="H661">
            <v>1.55</v>
          </cell>
        </row>
        <row r="662">
          <cell r="E662" t="str">
            <v>20110629LGUM_309</v>
          </cell>
          <cell r="F662">
            <v>22.7</v>
          </cell>
          <cell r="H662">
            <v>8.16</v>
          </cell>
        </row>
        <row r="663">
          <cell r="E663" t="str">
            <v>20110629LGUM_310</v>
          </cell>
          <cell r="F663">
            <v>22.7</v>
          </cell>
          <cell r="H663">
            <v>8.16</v>
          </cell>
        </row>
        <row r="664">
          <cell r="E664" t="str">
            <v>20110629LGUM_311</v>
          </cell>
          <cell r="F664">
            <v>13.8</v>
          </cell>
          <cell r="H664">
            <v>2.2999999999999998</v>
          </cell>
        </row>
        <row r="665">
          <cell r="E665" t="str">
            <v>20110629LGUM_312</v>
          </cell>
          <cell r="F665">
            <v>14.92</v>
          </cell>
          <cell r="H665">
            <v>3.65</v>
          </cell>
        </row>
        <row r="666">
          <cell r="E666" t="str">
            <v>20110629LGUM_313</v>
          </cell>
          <cell r="F666">
            <v>14.92</v>
          </cell>
          <cell r="H666">
            <v>3.65</v>
          </cell>
        </row>
        <row r="667">
          <cell r="E667" t="str">
            <v>20110629LGUM_314</v>
          </cell>
          <cell r="F667">
            <v>17.7</v>
          </cell>
          <cell r="H667">
            <v>2.2000000000000002</v>
          </cell>
        </row>
        <row r="668">
          <cell r="E668" t="str">
            <v>20110629LGUM_315</v>
          </cell>
          <cell r="F668">
            <v>21.09</v>
          </cell>
          <cell r="H668">
            <v>3.41</v>
          </cell>
        </row>
        <row r="669">
          <cell r="E669" t="str">
            <v>20110629LGUM_316</v>
          </cell>
          <cell r="F669">
            <v>25.14</v>
          </cell>
          <cell r="H669">
            <v>2.2999999999999998</v>
          </cell>
        </row>
        <row r="670">
          <cell r="E670" t="str">
            <v>20110629LGUM_317</v>
          </cell>
          <cell r="F670">
            <v>27.44</v>
          </cell>
          <cell r="H670">
            <v>3.65</v>
          </cell>
        </row>
        <row r="671">
          <cell r="E671" t="str">
            <v>20110629LGUM_318</v>
          </cell>
          <cell r="F671">
            <v>16.29</v>
          </cell>
          <cell r="H671">
            <v>1.55</v>
          </cell>
        </row>
        <row r="672">
          <cell r="E672" t="str">
            <v>20110629LGUM_319</v>
          </cell>
          <cell r="F672">
            <v>21.19</v>
          </cell>
          <cell r="H672">
            <v>3.41</v>
          </cell>
        </row>
        <row r="673">
          <cell r="E673" t="str">
            <v>20110629LGUM_320</v>
          </cell>
          <cell r="F673">
            <v>25.14</v>
          </cell>
          <cell r="H673">
            <v>2.2999999999999998</v>
          </cell>
        </row>
        <row r="674">
          <cell r="E674" t="str">
            <v>20110629LGUM_321</v>
          </cell>
          <cell r="F674">
            <v>27.44</v>
          </cell>
          <cell r="H674">
            <v>3.65</v>
          </cell>
        </row>
        <row r="675">
          <cell r="E675" t="str">
            <v>20110629LGUM_322</v>
          </cell>
          <cell r="F675">
            <v>11.51</v>
          </cell>
          <cell r="H675">
            <v>1.55</v>
          </cell>
        </row>
        <row r="676">
          <cell r="E676" t="str">
            <v>20110629LGUM_323</v>
          </cell>
          <cell r="F676">
            <v>13.84</v>
          </cell>
          <cell r="H676">
            <v>1.55</v>
          </cell>
        </row>
        <row r="677">
          <cell r="E677" t="str">
            <v>20110629LGUM_324</v>
          </cell>
          <cell r="F677">
            <v>13.95</v>
          </cell>
          <cell r="H677">
            <v>1.07</v>
          </cell>
        </row>
        <row r="678">
          <cell r="E678" t="str">
            <v>20110629LGUM_325</v>
          </cell>
          <cell r="F678">
            <v>23.49</v>
          </cell>
          <cell r="H678">
            <v>1.55</v>
          </cell>
        </row>
        <row r="679">
          <cell r="E679" t="str">
            <v>20110629LGUM_345</v>
          </cell>
          <cell r="F679">
            <v>16.22</v>
          </cell>
          <cell r="H679">
            <v>3.41</v>
          </cell>
        </row>
        <row r="680">
          <cell r="E680" t="str">
            <v>20110629LGUM_346</v>
          </cell>
          <cell r="F680">
            <v>22.21</v>
          </cell>
          <cell r="H680">
            <v>2.2999999999999998</v>
          </cell>
        </row>
        <row r="681">
          <cell r="E681" t="str">
            <v>20110629LGUM_347</v>
          </cell>
          <cell r="F681">
            <v>21.19</v>
          </cell>
          <cell r="H681">
            <v>3.41</v>
          </cell>
        </row>
        <row r="682">
          <cell r="E682" t="str">
            <v>20110629LGUM_348</v>
          </cell>
          <cell r="F682">
            <v>12.05</v>
          </cell>
          <cell r="H682">
            <v>2.2200000000000002</v>
          </cell>
        </row>
        <row r="683">
          <cell r="E683" t="str">
            <v>20110629LGUM_349</v>
          </cell>
          <cell r="F683">
            <v>8.4</v>
          </cell>
          <cell r="H683">
            <v>0.74</v>
          </cell>
        </row>
        <row r="684">
          <cell r="E684" t="str">
            <v>20110629LGUM_352</v>
          </cell>
          <cell r="F684">
            <v>10.15</v>
          </cell>
          <cell r="H684">
            <v>1.55</v>
          </cell>
        </row>
        <row r="685">
          <cell r="E685" t="str">
            <v>20110629LGUM_353</v>
          </cell>
          <cell r="F685">
            <v>11.62</v>
          </cell>
          <cell r="H685">
            <v>2.2000000000000002</v>
          </cell>
        </row>
        <row r="686">
          <cell r="E686" t="str">
            <v>20110629LGUM_354</v>
          </cell>
          <cell r="F686">
            <v>14.19</v>
          </cell>
          <cell r="H686">
            <v>3.41</v>
          </cell>
        </row>
        <row r="687">
          <cell r="E687" t="str">
            <v>20110629LGUM_355</v>
          </cell>
          <cell r="F687">
            <v>9.66</v>
          </cell>
          <cell r="H687">
            <v>1.07</v>
          </cell>
        </row>
        <row r="688">
          <cell r="E688" t="str">
            <v>20110629LGUM_356</v>
          </cell>
          <cell r="F688">
            <v>13.92</v>
          </cell>
          <cell r="H688">
            <v>0.92</v>
          </cell>
        </row>
        <row r="689">
          <cell r="E689" t="str">
            <v>20110629LGUM_357</v>
          </cell>
          <cell r="F689">
            <v>14.19</v>
          </cell>
          <cell r="H689">
            <v>3.41</v>
          </cell>
        </row>
        <row r="690">
          <cell r="E690" t="str">
            <v>20110629LGUM_358</v>
          </cell>
          <cell r="F690">
            <v>14.79</v>
          </cell>
          <cell r="H690">
            <v>1.55</v>
          </cell>
        </row>
        <row r="691">
          <cell r="E691" t="str">
            <v>20110629LGUM_360</v>
          </cell>
          <cell r="F691">
            <v>26.41</v>
          </cell>
          <cell r="H691">
            <v>8.16</v>
          </cell>
        </row>
        <row r="692">
          <cell r="E692" t="str">
            <v>20110629LGUM_361</v>
          </cell>
          <cell r="F692">
            <v>13.8</v>
          </cell>
          <cell r="H692">
            <v>2.2999999999999998</v>
          </cell>
        </row>
        <row r="693">
          <cell r="E693" t="str">
            <v>20110629LGUM_362</v>
          </cell>
          <cell r="F693">
            <v>14.92</v>
          </cell>
          <cell r="H693">
            <v>3.65</v>
          </cell>
        </row>
        <row r="694">
          <cell r="E694" t="str">
            <v>20110629LGUM_363</v>
          </cell>
          <cell r="F694">
            <v>14.92</v>
          </cell>
          <cell r="H694">
            <v>3.65</v>
          </cell>
        </row>
        <row r="695">
          <cell r="E695" t="str">
            <v>20110629LGUM_364</v>
          </cell>
          <cell r="F695">
            <v>24.21</v>
          </cell>
          <cell r="H695">
            <v>2.2000000000000002</v>
          </cell>
        </row>
        <row r="696">
          <cell r="E696" t="str">
            <v>20110629LGUM_365</v>
          </cell>
          <cell r="F696">
            <v>27.33</v>
          </cell>
          <cell r="H696">
            <v>3.41</v>
          </cell>
        </row>
        <row r="697">
          <cell r="E697" t="str">
            <v>20110629LGUM_366</v>
          </cell>
          <cell r="F697">
            <v>25.14</v>
          </cell>
          <cell r="H697">
            <v>2.2999999999999998</v>
          </cell>
        </row>
        <row r="698">
          <cell r="E698" t="str">
            <v>20110629LGUM_367</v>
          </cell>
          <cell r="F698">
            <v>27.44</v>
          </cell>
          <cell r="H698">
            <v>3.65</v>
          </cell>
        </row>
        <row r="699">
          <cell r="E699" t="str">
            <v>20110629LGUM_368</v>
          </cell>
          <cell r="F699">
            <v>23.23</v>
          </cell>
          <cell r="H699">
            <v>1.55</v>
          </cell>
        </row>
        <row r="700">
          <cell r="E700" t="str">
            <v>20110629LGUM_369</v>
          </cell>
          <cell r="F700">
            <v>27.33</v>
          </cell>
          <cell r="H700">
            <v>3.41</v>
          </cell>
        </row>
        <row r="701">
          <cell r="E701" t="str">
            <v>20110629LGUM_370</v>
          </cell>
          <cell r="F701">
            <v>25.14</v>
          </cell>
          <cell r="H701">
            <v>2.2999999999999998</v>
          </cell>
        </row>
        <row r="702">
          <cell r="E702" t="str">
            <v>20110629LGUM_371</v>
          </cell>
          <cell r="F702">
            <v>27.44</v>
          </cell>
          <cell r="H702">
            <v>3.65</v>
          </cell>
        </row>
        <row r="703">
          <cell r="E703" t="str">
            <v>20110629LGUM_372</v>
          </cell>
          <cell r="F703">
            <v>11.51</v>
          </cell>
          <cell r="H703">
            <v>1.55</v>
          </cell>
        </row>
        <row r="704">
          <cell r="E704" t="str">
            <v>20110629LGUM_373</v>
          </cell>
          <cell r="F704">
            <v>11.51</v>
          </cell>
          <cell r="H704">
            <v>1.55</v>
          </cell>
        </row>
        <row r="705">
          <cell r="E705" t="str">
            <v>20110629LGUM_374</v>
          </cell>
          <cell r="F705">
            <v>13.95</v>
          </cell>
          <cell r="H705">
            <v>1.07</v>
          </cell>
        </row>
        <row r="706">
          <cell r="E706" t="str">
            <v>20110629LGUM_375</v>
          </cell>
          <cell r="F706">
            <v>23.49</v>
          </cell>
          <cell r="H706">
            <v>1.48</v>
          </cell>
        </row>
        <row r="707">
          <cell r="E707" t="str">
            <v>20110629LGUM_376</v>
          </cell>
          <cell r="F707">
            <v>13.36</v>
          </cell>
          <cell r="H707">
            <v>0.74</v>
          </cell>
        </row>
        <row r="708">
          <cell r="E708" t="str">
            <v>20110629LGUM_377</v>
          </cell>
          <cell r="F708">
            <v>20.239999999999998</v>
          </cell>
          <cell r="H708">
            <v>1.48</v>
          </cell>
        </row>
        <row r="709">
          <cell r="E709" t="str">
            <v>20110629LGUM_378</v>
          </cell>
          <cell r="F709">
            <v>63.33</v>
          </cell>
          <cell r="H709">
            <v>8.14</v>
          </cell>
        </row>
        <row r="710">
          <cell r="E710" t="str">
            <v>20110629LGUM_379</v>
          </cell>
          <cell r="F710">
            <v>33.549999999999997</v>
          </cell>
          <cell r="H710">
            <v>8.14</v>
          </cell>
        </row>
        <row r="711">
          <cell r="E711" t="str">
            <v>20110629LGUM_380</v>
          </cell>
          <cell r="F711">
            <v>17.97</v>
          </cell>
          <cell r="H711">
            <v>0.74</v>
          </cell>
        </row>
        <row r="712">
          <cell r="E712" t="str">
            <v>20110629LGUM_381</v>
          </cell>
          <cell r="F712">
            <v>18.87</v>
          </cell>
          <cell r="H712">
            <v>1.07</v>
          </cell>
        </row>
        <row r="713">
          <cell r="E713" t="str">
            <v>20110629LGUM_382</v>
          </cell>
          <cell r="F713">
            <v>18.18</v>
          </cell>
          <cell r="H713">
            <v>0.74</v>
          </cell>
        </row>
        <row r="714">
          <cell r="E714" t="str">
            <v>20110629LGUM_383</v>
          </cell>
          <cell r="F714">
            <v>19.47</v>
          </cell>
          <cell r="H714">
            <v>1.07</v>
          </cell>
        </row>
        <row r="715">
          <cell r="E715" t="str">
            <v>20110629LGUM_400</v>
          </cell>
          <cell r="F715">
            <v>22.55</v>
          </cell>
          <cell r="H715">
            <v>0.92</v>
          </cell>
        </row>
        <row r="716">
          <cell r="E716" t="str">
            <v>20110629LGUM_401</v>
          </cell>
          <cell r="F716">
            <v>23.48</v>
          </cell>
          <cell r="H716">
            <v>0.86</v>
          </cell>
        </row>
        <row r="717">
          <cell r="E717" t="str">
            <v>20110629LGUM_412</v>
          </cell>
          <cell r="F717">
            <v>18.63</v>
          </cell>
          <cell r="H717">
            <v>0.61</v>
          </cell>
        </row>
        <row r="718">
          <cell r="E718" t="str">
            <v>20110629LGUM_413</v>
          </cell>
          <cell r="F718">
            <v>19.22</v>
          </cell>
          <cell r="H718">
            <v>0.86</v>
          </cell>
        </row>
        <row r="719">
          <cell r="E719" t="str">
            <v>20110629LGUM_414</v>
          </cell>
          <cell r="F719">
            <v>20.329999999999998</v>
          </cell>
          <cell r="H719">
            <v>1.34</v>
          </cell>
        </row>
        <row r="720">
          <cell r="E720" t="str">
            <v>20110629LGUM_415</v>
          </cell>
          <cell r="F720">
            <v>19</v>
          </cell>
          <cell r="H720">
            <v>0.61</v>
          </cell>
        </row>
        <row r="721">
          <cell r="E721" t="str">
            <v>20110629LGUM_416</v>
          </cell>
          <cell r="F721">
            <v>21.22</v>
          </cell>
          <cell r="H721">
            <v>0.86</v>
          </cell>
        </row>
        <row r="722">
          <cell r="E722" t="str">
            <v>20110629LGUM_417</v>
          </cell>
          <cell r="F722">
            <v>22.3</v>
          </cell>
          <cell r="H722">
            <v>0.86</v>
          </cell>
        </row>
        <row r="723">
          <cell r="E723" t="str">
            <v>20110629LGUM_418</v>
          </cell>
          <cell r="F723">
            <v>22.24</v>
          </cell>
          <cell r="H723">
            <v>1.34</v>
          </cell>
        </row>
        <row r="724">
          <cell r="E724" t="str">
            <v>20110629LGUM_419</v>
          </cell>
          <cell r="F724">
            <v>23.25</v>
          </cell>
          <cell r="H724">
            <v>1.34</v>
          </cell>
        </row>
        <row r="725">
          <cell r="E725" t="str">
            <v>20110629LGUM_420</v>
          </cell>
          <cell r="F725">
            <v>28.32</v>
          </cell>
          <cell r="H725">
            <v>1.34</v>
          </cell>
        </row>
        <row r="726">
          <cell r="E726" t="str">
            <v>20110629LGUM_421</v>
          </cell>
          <cell r="F726">
            <v>31.54</v>
          </cell>
          <cell r="H726">
            <v>2.17</v>
          </cell>
        </row>
        <row r="727">
          <cell r="E727" t="str">
            <v>20110629LGUM_422</v>
          </cell>
          <cell r="F727">
            <v>35.979999999999997</v>
          </cell>
          <cell r="H727">
            <v>3.48</v>
          </cell>
        </row>
        <row r="728">
          <cell r="E728" t="str">
            <v>20110629LGUM_423</v>
          </cell>
          <cell r="F728">
            <v>24.9</v>
          </cell>
          <cell r="H728">
            <v>1.34</v>
          </cell>
        </row>
        <row r="729">
          <cell r="E729" t="str">
            <v>20110629LGUM_424</v>
          </cell>
          <cell r="F729">
            <v>27.28</v>
          </cell>
          <cell r="H729">
            <v>3.48</v>
          </cell>
        </row>
        <row r="730">
          <cell r="E730" t="str">
            <v>20110629LGUM_425</v>
          </cell>
          <cell r="F730">
            <v>31.77</v>
          </cell>
          <cell r="H730">
            <v>3.48</v>
          </cell>
        </row>
        <row r="731">
          <cell r="E731" t="str">
            <v>20110629LGUM_426</v>
          </cell>
          <cell r="F731">
            <v>31.6</v>
          </cell>
          <cell r="H731">
            <v>0.61</v>
          </cell>
        </row>
        <row r="732">
          <cell r="E732" t="str">
            <v>20110629LGUM_427</v>
          </cell>
          <cell r="F732">
            <v>33.51</v>
          </cell>
          <cell r="H732">
            <v>0.61</v>
          </cell>
        </row>
        <row r="733">
          <cell r="E733" t="str">
            <v>20110629LGUM_428</v>
          </cell>
          <cell r="F733">
            <v>32.36</v>
          </cell>
          <cell r="H733">
            <v>0.86</v>
          </cell>
        </row>
        <row r="734">
          <cell r="E734" t="str">
            <v>20110629LGUM_429</v>
          </cell>
          <cell r="F734">
            <v>34.270000000000003</v>
          </cell>
          <cell r="H734">
            <v>0.86</v>
          </cell>
        </row>
        <row r="735">
          <cell r="E735" t="str">
            <v>20110629LGUM_430</v>
          </cell>
          <cell r="F735">
            <v>30.67</v>
          </cell>
          <cell r="H735">
            <v>0.61</v>
          </cell>
        </row>
        <row r="736">
          <cell r="E736" t="str">
            <v>20110629LGUM_431</v>
          </cell>
          <cell r="F736">
            <v>31.32</v>
          </cell>
          <cell r="H736">
            <v>0.61</v>
          </cell>
        </row>
        <row r="737">
          <cell r="E737" t="str">
            <v>20110629LGUM_432</v>
          </cell>
          <cell r="F737">
            <v>32.590000000000003</v>
          </cell>
          <cell r="H737">
            <v>0.86</v>
          </cell>
        </row>
        <row r="738">
          <cell r="E738" t="str">
            <v>20110629LGUM_433</v>
          </cell>
          <cell r="F738">
            <v>33.229999999999997</v>
          </cell>
          <cell r="H738">
            <v>0.86</v>
          </cell>
        </row>
        <row r="739">
          <cell r="E739" t="str">
            <v>20110629LGUM_434</v>
          </cell>
          <cell r="F739">
            <v>16.41</v>
          </cell>
          <cell r="H739">
            <v>0.92</v>
          </cell>
        </row>
        <row r="740">
          <cell r="E740" t="str">
            <v>20110629LGUM_435</v>
          </cell>
          <cell r="F740">
            <v>18.03</v>
          </cell>
          <cell r="H740">
            <v>1.55</v>
          </cell>
        </row>
        <row r="741">
          <cell r="E741" t="str">
            <v>20110629LGUM_436</v>
          </cell>
          <cell r="F741">
            <v>22</v>
          </cell>
          <cell r="H741">
            <v>3.41</v>
          </cell>
        </row>
        <row r="742">
          <cell r="E742" t="str">
            <v>20110629LGUM_437</v>
          </cell>
          <cell r="F742">
            <v>23.47</v>
          </cell>
          <cell r="H742">
            <v>2.2000000000000002</v>
          </cell>
        </row>
        <row r="743">
          <cell r="E743" t="str">
            <v>20110629LGUM_438</v>
          </cell>
          <cell r="F743">
            <v>26.93</v>
          </cell>
          <cell r="H743">
            <v>3.41</v>
          </cell>
        </row>
        <row r="744">
          <cell r="E744" t="str">
            <v>20110629LGUM_439</v>
          </cell>
          <cell r="F744">
            <v>15.35</v>
          </cell>
          <cell r="H744">
            <v>1.34</v>
          </cell>
        </row>
        <row r="745">
          <cell r="E745" t="str">
            <v>20110629LGUM_440</v>
          </cell>
          <cell r="F745">
            <v>17.46</v>
          </cell>
          <cell r="H745">
            <v>2.17</v>
          </cell>
        </row>
        <row r="746">
          <cell r="E746" t="str">
            <v>20110629LGUM_441</v>
          </cell>
          <cell r="F746">
            <v>20.46</v>
          </cell>
          <cell r="H746">
            <v>3.48</v>
          </cell>
        </row>
        <row r="747">
          <cell r="E747" t="str">
            <v>20110629LGUM_452</v>
          </cell>
          <cell r="F747">
            <v>11.59</v>
          </cell>
          <cell r="H747">
            <v>1.34</v>
          </cell>
        </row>
        <row r="748">
          <cell r="E748" t="str">
            <v>20110629LGUM_453</v>
          </cell>
          <cell r="F748">
            <v>13.98</v>
          </cell>
          <cell r="H748">
            <v>3.48</v>
          </cell>
        </row>
        <row r="749">
          <cell r="E749" t="str">
            <v>20110629LGUM_454</v>
          </cell>
          <cell r="F749">
            <v>18.47</v>
          </cell>
          <cell r="H749">
            <v>3.48</v>
          </cell>
        </row>
        <row r="750">
          <cell r="E750" t="str">
            <v>20110629LGUM_455</v>
          </cell>
          <cell r="F750">
            <v>13.2</v>
          </cell>
          <cell r="H750">
            <v>1.34</v>
          </cell>
        </row>
        <row r="751">
          <cell r="E751" t="str">
            <v>20110629LGUM_456</v>
          </cell>
          <cell r="F751">
            <v>19.440000000000001</v>
          </cell>
          <cell r="H751">
            <v>3.48</v>
          </cell>
        </row>
        <row r="752">
          <cell r="E752" t="str">
            <v>20110629LGUM_457</v>
          </cell>
          <cell r="F752">
            <v>10.26</v>
          </cell>
          <cell r="H752">
            <v>0.86</v>
          </cell>
        </row>
        <row r="753">
          <cell r="E753" t="str">
            <v>20110629LGUM_458</v>
          </cell>
          <cell r="F753">
            <v>10.27</v>
          </cell>
          <cell r="H753">
            <v>3.41</v>
          </cell>
        </row>
        <row r="754">
          <cell r="E754" t="str">
            <v>20110629LGUM_459</v>
          </cell>
          <cell r="F754">
            <v>11.75</v>
          </cell>
          <cell r="H754">
            <v>2.17</v>
          </cell>
        </row>
        <row r="755">
          <cell r="E755" t="str">
            <v>20110629LGUM_460</v>
          </cell>
          <cell r="F755">
            <v>15.2</v>
          </cell>
          <cell r="H755">
            <v>3.48</v>
          </cell>
        </row>
        <row r="756">
          <cell r="E756" t="str">
            <v>20110629LGUM_461</v>
          </cell>
          <cell r="F756">
            <v>16.55</v>
          </cell>
          <cell r="H756">
            <v>3.48</v>
          </cell>
        </row>
        <row r="757">
          <cell r="E757" t="str">
            <v>20110629LGUM_462</v>
          </cell>
          <cell r="F757">
            <v>10.01</v>
          </cell>
          <cell r="H757">
            <v>3.41</v>
          </cell>
        </row>
        <row r="758">
          <cell r="E758" t="str">
            <v>20110629LGUM_470</v>
          </cell>
          <cell r="F758">
            <v>11.87</v>
          </cell>
          <cell r="H758">
            <v>1.1100000000000001</v>
          </cell>
        </row>
        <row r="759">
          <cell r="E759" t="str">
            <v>20110629LGUM_471</v>
          </cell>
          <cell r="F759">
            <v>14.07</v>
          </cell>
          <cell r="H759">
            <v>1.1100000000000001</v>
          </cell>
        </row>
        <row r="760">
          <cell r="E760" t="str">
            <v>20110629LGUM_472</v>
          </cell>
          <cell r="F760">
            <v>21.28</v>
          </cell>
          <cell r="H760">
            <v>1.1100000000000001</v>
          </cell>
        </row>
        <row r="761">
          <cell r="E761" t="str">
            <v>20110629LGUM_473</v>
          </cell>
          <cell r="F761">
            <v>17.13</v>
          </cell>
          <cell r="H761">
            <v>2.58</v>
          </cell>
        </row>
        <row r="762">
          <cell r="E762" t="str">
            <v>20110629LGUM_474</v>
          </cell>
          <cell r="F762">
            <v>19.34</v>
          </cell>
          <cell r="H762">
            <v>2.58</v>
          </cell>
        </row>
        <row r="763">
          <cell r="E763" t="str">
            <v>20110629LGUM_475</v>
          </cell>
          <cell r="F763">
            <v>26.54</v>
          </cell>
          <cell r="H763">
            <v>2.58</v>
          </cell>
        </row>
        <row r="764">
          <cell r="E764" t="str">
            <v>20110629LGUM_476</v>
          </cell>
          <cell r="F764">
            <v>35.64</v>
          </cell>
          <cell r="H764">
            <v>7.97</v>
          </cell>
        </row>
        <row r="765">
          <cell r="E765" t="str">
            <v>20110629LGUM_477</v>
          </cell>
          <cell r="F765">
            <v>38.71</v>
          </cell>
          <cell r="H765">
            <v>7.97</v>
          </cell>
        </row>
        <row r="766">
          <cell r="E766" t="str">
            <v>20110629LGUM_478</v>
          </cell>
          <cell r="F766">
            <v>45.04</v>
          </cell>
          <cell r="H766">
            <v>7.97</v>
          </cell>
        </row>
        <row r="767">
          <cell r="E767" t="str">
            <v>20110629LGUM_479</v>
          </cell>
          <cell r="F767">
            <v>13.1</v>
          </cell>
          <cell r="H767">
            <v>1.1100000000000001</v>
          </cell>
        </row>
        <row r="768">
          <cell r="E768" t="str">
            <v>20110629LGUM_480</v>
          </cell>
          <cell r="F768">
            <v>22.53</v>
          </cell>
          <cell r="H768">
            <v>1.1100000000000001</v>
          </cell>
        </row>
        <row r="769">
          <cell r="E769" t="str">
            <v>20110629LGUM_481</v>
          </cell>
          <cell r="F769">
            <v>18.850000000000001</v>
          </cell>
          <cell r="H769">
            <v>2.58</v>
          </cell>
        </row>
        <row r="770">
          <cell r="E770" t="str">
            <v>20110629LGUM_482</v>
          </cell>
          <cell r="F770">
            <v>28.27</v>
          </cell>
          <cell r="H770">
            <v>2.58</v>
          </cell>
        </row>
        <row r="771">
          <cell r="E771" t="str">
            <v>20110629LGUM_483</v>
          </cell>
          <cell r="F771">
            <v>38.5</v>
          </cell>
          <cell r="H771">
            <v>7.97</v>
          </cell>
        </row>
        <row r="772">
          <cell r="E772" t="str">
            <v>20110629LGUM_484</v>
          </cell>
          <cell r="F772">
            <v>47.91</v>
          </cell>
          <cell r="H772">
            <v>7.97</v>
          </cell>
        </row>
        <row r="773">
          <cell r="E773" t="str">
            <v>20120301LGUM_001</v>
          </cell>
          <cell r="F773">
            <v>7.9200000000000008</v>
          </cell>
          <cell r="H773">
            <v>0.92</v>
          </cell>
        </row>
        <row r="774">
          <cell r="E774" t="str">
            <v>20120301LGUM_101</v>
          </cell>
          <cell r="F774">
            <v>7.9200000000000008</v>
          </cell>
          <cell r="H774">
            <v>0.92</v>
          </cell>
        </row>
        <row r="775">
          <cell r="E775" t="str">
            <v>20120301LGUM_201</v>
          </cell>
          <cell r="F775">
            <v>7.9200000000000008</v>
          </cell>
          <cell r="H775">
            <v>0.92</v>
          </cell>
        </row>
        <row r="776">
          <cell r="E776" t="str">
            <v>20120301LGUM_002</v>
          </cell>
          <cell r="F776">
            <v>8.9700000000000006</v>
          </cell>
          <cell r="H776">
            <v>1.55</v>
          </cell>
        </row>
        <row r="777">
          <cell r="E777" t="str">
            <v>20120301LGUM_102</v>
          </cell>
          <cell r="F777">
            <v>8.9700000000000006</v>
          </cell>
          <cell r="H777">
            <v>1.55</v>
          </cell>
        </row>
        <row r="778">
          <cell r="E778" t="str">
            <v>20120301LGUM_202</v>
          </cell>
          <cell r="F778">
            <v>8.9700000000000006</v>
          </cell>
          <cell r="H778">
            <v>1.55</v>
          </cell>
        </row>
        <row r="779">
          <cell r="E779" t="str">
            <v>20120301LGUM_003</v>
          </cell>
          <cell r="F779">
            <v>10.329999999999998</v>
          </cell>
          <cell r="H779">
            <v>2.2000000000000002</v>
          </cell>
        </row>
        <row r="780">
          <cell r="E780" t="str">
            <v>20120301LGUM_103</v>
          </cell>
          <cell r="F780">
            <v>10.329999999999998</v>
          </cell>
          <cell r="H780">
            <v>2.2000000000000002</v>
          </cell>
        </row>
        <row r="781">
          <cell r="E781" t="str">
            <v>20120301LGUM_203</v>
          </cell>
          <cell r="F781">
            <v>10.329999999999998</v>
          </cell>
          <cell r="H781">
            <v>2.2000000000000002</v>
          </cell>
        </row>
        <row r="782">
          <cell r="E782" t="str">
            <v>20120301LGUM_004</v>
          </cell>
          <cell r="F782">
            <v>12.78</v>
          </cell>
          <cell r="H782">
            <v>3.41</v>
          </cell>
        </row>
        <row r="783">
          <cell r="E783" t="str">
            <v>20120301LGUM_104</v>
          </cell>
          <cell r="F783">
            <v>12.78</v>
          </cell>
          <cell r="H783">
            <v>3.41</v>
          </cell>
        </row>
        <row r="784">
          <cell r="E784" t="str">
            <v>20120301LGUM_204</v>
          </cell>
          <cell r="F784">
            <v>12.78</v>
          </cell>
          <cell r="H784">
            <v>3.41</v>
          </cell>
        </row>
        <row r="785">
          <cell r="E785" t="str">
            <v>20120301LGUM_005</v>
          </cell>
          <cell r="F785">
            <v>10</v>
          </cell>
          <cell r="H785">
            <v>1.07</v>
          </cell>
        </row>
        <row r="786">
          <cell r="E786" t="str">
            <v>20120301LGUM_105</v>
          </cell>
          <cell r="F786">
            <v>10</v>
          </cell>
          <cell r="H786">
            <v>1.07</v>
          </cell>
        </row>
        <row r="787">
          <cell r="E787" t="str">
            <v>20120301LGUM_205</v>
          </cell>
          <cell r="F787">
            <v>10</v>
          </cell>
          <cell r="H787">
            <v>1.07</v>
          </cell>
        </row>
        <row r="788">
          <cell r="E788" t="str">
            <v>20120301LGUM_006</v>
          </cell>
          <cell r="F788">
            <v>13.16</v>
          </cell>
          <cell r="H788">
            <v>0.92</v>
          </cell>
        </row>
        <row r="789">
          <cell r="E789" t="str">
            <v>20120301LGUM_106</v>
          </cell>
          <cell r="F789">
            <v>13.16</v>
          </cell>
          <cell r="H789">
            <v>0.92</v>
          </cell>
        </row>
        <row r="790">
          <cell r="E790" t="str">
            <v>20120301LGUM_206</v>
          </cell>
          <cell r="F790">
            <v>13.16</v>
          </cell>
          <cell r="H790">
            <v>0.92</v>
          </cell>
        </row>
        <row r="791">
          <cell r="E791" t="str">
            <v>20120301LGUM_007</v>
          </cell>
          <cell r="F791">
            <v>12.78</v>
          </cell>
          <cell r="H791">
            <v>3.41</v>
          </cell>
        </row>
        <row r="792">
          <cell r="E792" t="str">
            <v>20120301LGUM_107</v>
          </cell>
          <cell r="F792">
            <v>12.78</v>
          </cell>
          <cell r="H792">
            <v>3.41</v>
          </cell>
        </row>
        <row r="793">
          <cell r="E793" t="str">
            <v>20120301LGUM_207</v>
          </cell>
          <cell r="F793">
            <v>12.78</v>
          </cell>
          <cell r="H793">
            <v>3.41</v>
          </cell>
        </row>
        <row r="794">
          <cell r="E794" t="str">
            <v>20120301LGUM_008</v>
          </cell>
          <cell r="F794">
            <v>14.06</v>
          </cell>
          <cell r="H794">
            <v>1.55</v>
          </cell>
        </row>
        <row r="795">
          <cell r="E795" t="str">
            <v>20120301LGUM_108</v>
          </cell>
          <cell r="F795">
            <v>14.06</v>
          </cell>
          <cell r="H795">
            <v>1.55</v>
          </cell>
        </row>
        <row r="796">
          <cell r="E796" t="str">
            <v>20120301LGUM_208</v>
          </cell>
          <cell r="F796">
            <v>14.06</v>
          </cell>
          <cell r="H796">
            <v>1.55</v>
          </cell>
        </row>
        <row r="797">
          <cell r="E797" t="str">
            <v>20120301LGUM_009</v>
          </cell>
          <cell r="F797">
            <v>24.04</v>
          </cell>
          <cell r="H797">
            <v>8.16</v>
          </cell>
        </row>
        <row r="798">
          <cell r="E798" t="str">
            <v>20120301LGUM_109</v>
          </cell>
          <cell r="F798">
            <v>24.04</v>
          </cell>
          <cell r="H798">
            <v>8.16</v>
          </cell>
        </row>
        <row r="799">
          <cell r="E799" t="str">
            <v>20120301LGUM_209</v>
          </cell>
          <cell r="F799">
            <v>24.04</v>
          </cell>
          <cell r="H799">
            <v>8.16</v>
          </cell>
        </row>
        <row r="800">
          <cell r="E800" t="str">
            <v>20120301LGUM_010</v>
          </cell>
          <cell r="F800">
            <v>24.04</v>
          </cell>
          <cell r="H800">
            <v>8.16</v>
          </cell>
        </row>
        <row r="801">
          <cell r="E801" t="str">
            <v>20120301LGUM_110</v>
          </cell>
          <cell r="F801">
            <v>24.04</v>
          </cell>
          <cell r="H801">
            <v>8.16</v>
          </cell>
        </row>
        <row r="802">
          <cell r="E802" t="str">
            <v>20120301LGUM_210</v>
          </cell>
          <cell r="F802">
            <v>24.04</v>
          </cell>
          <cell r="H802">
            <v>8.16</v>
          </cell>
        </row>
        <row r="803">
          <cell r="E803" t="str">
            <v>20120301LGUM_011</v>
          </cell>
          <cell r="F803">
            <v>14.97</v>
          </cell>
          <cell r="H803">
            <v>2.2999999999999998</v>
          </cell>
        </row>
        <row r="804">
          <cell r="E804" t="str">
            <v>20120301LGUM_111</v>
          </cell>
          <cell r="F804">
            <v>14.97</v>
          </cell>
          <cell r="H804">
            <v>2.2999999999999998</v>
          </cell>
        </row>
        <row r="805">
          <cell r="E805" t="str">
            <v>20120301LGUM_211</v>
          </cell>
          <cell r="F805">
            <v>14.97</v>
          </cell>
          <cell r="H805">
            <v>2.2999999999999998</v>
          </cell>
        </row>
        <row r="806">
          <cell r="E806" t="str">
            <v>20120301LGUM_012</v>
          </cell>
          <cell r="F806">
            <v>16.34</v>
          </cell>
          <cell r="H806">
            <v>3.65</v>
          </cell>
        </row>
        <row r="807">
          <cell r="E807" t="str">
            <v>20120301LGUM_112</v>
          </cell>
          <cell r="F807">
            <v>16.34</v>
          </cell>
          <cell r="H807">
            <v>3.65</v>
          </cell>
        </row>
        <row r="808">
          <cell r="E808" t="str">
            <v>20120301LGUM_212</v>
          </cell>
          <cell r="F808">
            <v>16.34</v>
          </cell>
          <cell r="H808">
            <v>3.65</v>
          </cell>
        </row>
        <row r="809">
          <cell r="E809" t="str">
            <v>20120301LGUM_013</v>
          </cell>
          <cell r="F809">
            <v>16.34</v>
          </cell>
          <cell r="H809">
            <v>3.65</v>
          </cell>
        </row>
        <row r="810">
          <cell r="E810" t="str">
            <v>20120301LGUM_113</v>
          </cell>
          <cell r="F810">
            <v>16.34</v>
          </cell>
          <cell r="H810">
            <v>3.65</v>
          </cell>
        </row>
        <row r="811">
          <cell r="E811" t="str">
            <v>20120301LGUM_213</v>
          </cell>
          <cell r="F811">
            <v>16.34</v>
          </cell>
          <cell r="H811">
            <v>3.65</v>
          </cell>
        </row>
        <row r="812">
          <cell r="E812" t="str">
            <v>20120301LGUM_016</v>
          </cell>
          <cell r="F812">
            <v>27.14</v>
          </cell>
          <cell r="H812">
            <v>2.2999999999999998</v>
          </cell>
        </row>
        <row r="813">
          <cell r="E813" t="str">
            <v>20120301LGUM_116</v>
          </cell>
          <cell r="F813">
            <v>27.14</v>
          </cell>
          <cell r="H813">
            <v>2.2999999999999998</v>
          </cell>
        </row>
        <row r="814">
          <cell r="E814" t="str">
            <v>20120301LGUM_216</v>
          </cell>
          <cell r="F814">
            <v>27.14</v>
          </cell>
          <cell r="H814">
            <v>2.2999999999999998</v>
          </cell>
        </row>
        <row r="815">
          <cell r="E815" t="str">
            <v>20120301LGUM_017</v>
          </cell>
          <cell r="F815">
            <v>30.310000000000006</v>
          </cell>
          <cell r="H815">
            <v>3.65</v>
          </cell>
        </row>
        <row r="816">
          <cell r="E816" t="str">
            <v>20120301LGUM_117</v>
          </cell>
          <cell r="F816">
            <v>30.310000000000006</v>
          </cell>
          <cell r="H816">
            <v>3.65</v>
          </cell>
        </row>
        <row r="817">
          <cell r="E817" t="str">
            <v>20120301LGUM_217</v>
          </cell>
          <cell r="F817">
            <v>30.310000000000006</v>
          </cell>
          <cell r="H817">
            <v>3.65</v>
          </cell>
        </row>
        <row r="818">
          <cell r="E818" t="str">
            <v>20120301LGUM_022</v>
          </cell>
          <cell r="F818">
            <v>12.629999999999997</v>
          </cell>
          <cell r="H818">
            <v>1.55</v>
          </cell>
        </row>
        <row r="819">
          <cell r="E819" t="str">
            <v>20120301LGUM_122</v>
          </cell>
          <cell r="F819">
            <v>12.629999999999997</v>
          </cell>
          <cell r="H819">
            <v>1.55</v>
          </cell>
        </row>
        <row r="820">
          <cell r="E820" t="str">
            <v>20120301LGUM_222</v>
          </cell>
          <cell r="F820">
            <v>12.629999999999997</v>
          </cell>
          <cell r="H820">
            <v>1.55</v>
          </cell>
        </row>
        <row r="821">
          <cell r="E821" t="str">
            <v>20120301LGUM_023</v>
          </cell>
          <cell r="F821">
            <v>12.629999999999997</v>
          </cell>
          <cell r="H821">
            <v>1.55</v>
          </cell>
        </row>
        <row r="822">
          <cell r="E822" t="str">
            <v>20120301LGUM_123</v>
          </cell>
          <cell r="F822">
            <v>12.629999999999997</v>
          </cell>
          <cell r="H822">
            <v>1.55</v>
          </cell>
        </row>
        <row r="823">
          <cell r="E823" t="str">
            <v>20120301LGUM_223</v>
          </cell>
          <cell r="F823">
            <v>12.629999999999997</v>
          </cell>
          <cell r="H823">
            <v>1.55</v>
          </cell>
        </row>
        <row r="824">
          <cell r="E824" t="str">
            <v>20120301LGUM_024</v>
          </cell>
          <cell r="F824">
            <v>17.489999999999998</v>
          </cell>
          <cell r="H824">
            <v>1.07</v>
          </cell>
        </row>
        <row r="825">
          <cell r="E825" t="str">
            <v>20120301LGUM_124</v>
          </cell>
          <cell r="F825">
            <v>17.489999999999998</v>
          </cell>
          <cell r="H825">
            <v>1.07</v>
          </cell>
        </row>
        <row r="826">
          <cell r="E826" t="str">
            <v>20120301LGUM_224</v>
          </cell>
          <cell r="F826">
            <v>17.489999999999998</v>
          </cell>
          <cell r="H826">
            <v>1.07</v>
          </cell>
        </row>
        <row r="827">
          <cell r="E827" t="str">
            <v>20120301LGUM_025</v>
          </cell>
          <cell r="F827">
            <v>23.520000000000003</v>
          </cell>
          <cell r="H827">
            <v>1.55</v>
          </cell>
        </row>
        <row r="828">
          <cell r="E828" t="str">
            <v>20120301LGUM_125</v>
          </cell>
          <cell r="F828">
            <v>23.520000000000003</v>
          </cell>
          <cell r="H828">
            <v>1.55</v>
          </cell>
        </row>
        <row r="829">
          <cell r="E829" t="str">
            <v>20120301LGUM_225</v>
          </cell>
          <cell r="F829">
            <v>23.520000000000003</v>
          </cell>
          <cell r="H829">
            <v>1.55</v>
          </cell>
        </row>
        <row r="830">
          <cell r="E830" t="str">
            <v>20120301LGUM_026</v>
          </cell>
          <cell r="F830">
            <v>13.299999999999999</v>
          </cell>
          <cell r="H830">
            <v>0.74</v>
          </cell>
        </row>
        <row r="831">
          <cell r="E831" t="str">
            <v>20120301LGUM_126</v>
          </cell>
          <cell r="F831">
            <v>13.299999999999999</v>
          </cell>
          <cell r="H831">
            <v>0.74</v>
          </cell>
        </row>
        <row r="832">
          <cell r="E832" t="str">
            <v>20120301LGUM_226</v>
          </cell>
          <cell r="F832">
            <v>13.299999999999999</v>
          </cell>
          <cell r="H832">
            <v>0.74</v>
          </cell>
        </row>
        <row r="833">
          <cell r="E833" t="str">
            <v>20120301LGUM_251</v>
          </cell>
          <cell r="F833">
            <v>1.0000000000000001E-9</v>
          </cell>
          <cell r="H833">
            <v>0</v>
          </cell>
        </row>
        <row r="834">
          <cell r="E834" t="str">
            <v>20120301LGUM_052</v>
          </cell>
          <cell r="F834">
            <v>10.367000000000001</v>
          </cell>
          <cell r="H834">
            <v>1.55</v>
          </cell>
        </row>
        <row r="835">
          <cell r="E835" t="str">
            <v>20120301LGUM_152</v>
          </cell>
          <cell r="F835">
            <v>10.367000000000001</v>
          </cell>
          <cell r="H835">
            <v>1.55</v>
          </cell>
        </row>
        <row r="836">
          <cell r="E836" t="str">
            <v>20120301LGUM_252</v>
          </cell>
          <cell r="F836">
            <v>10.367000000000001</v>
          </cell>
          <cell r="H836">
            <v>1.55</v>
          </cell>
        </row>
        <row r="837">
          <cell r="E837" t="str">
            <v>20120301LGUM_053</v>
          </cell>
          <cell r="F837">
            <v>11.8</v>
          </cell>
          <cell r="H837">
            <v>2.2000000000000002</v>
          </cell>
        </row>
        <row r="838">
          <cell r="E838" t="str">
            <v>20120301LGUM_153</v>
          </cell>
          <cell r="F838">
            <v>11.8</v>
          </cell>
          <cell r="H838">
            <v>2.2000000000000002</v>
          </cell>
        </row>
        <row r="839">
          <cell r="E839" t="str">
            <v>20120301LGUM_253</v>
          </cell>
          <cell r="F839">
            <v>11.8</v>
          </cell>
          <cell r="H839">
            <v>2.2000000000000002</v>
          </cell>
        </row>
        <row r="840">
          <cell r="E840" t="str">
            <v>20120301LGUM_054</v>
          </cell>
          <cell r="F840">
            <v>14.39</v>
          </cell>
          <cell r="H840">
            <v>3.41</v>
          </cell>
        </row>
        <row r="841">
          <cell r="E841" t="str">
            <v>20120301LGUM_154</v>
          </cell>
          <cell r="F841">
            <v>14.39</v>
          </cell>
          <cell r="H841">
            <v>3.41</v>
          </cell>
        </row>
        <row r="842">
          <cell r="E842" t="str">
            <v>20120301LGUM_254</v>
          </cell>
          <cell r="F842">
            <v>14.39</v>
          </cell>
          <cell r="H842">
            <v>3.41</v>
          </cell>
        </row>
        <row r="843">
          <cell r="E843" t="str">
            <v>20120301LGUM_055</v>
          </cell>
          <cell r="F843">
            <v>10</v>
          </cell>
          <cell r="H843">
            <v>1.07</v>
          </cell>
        </row>
        <row r="844">
          <cell r="E844" t="str">
            <v>20120301LGUM_155</v>
          </cell>
          <cell r="F844">
            <v>10</v>
          </cell>
          <cell r="H844">
            <v>1.07</v>
          </cell>
        </row>
        <row r="845">
          <cell r="E845" t="str">
            <v>20120301LGUM_255</v>
          </cell>
          <cell r="F845">
            <v>10</v>
          </cell>
          <cell r="H845">
            <v>1.07</v>
          </cell>
        </row>
        <row r="846">
          <cell r="E846" t="str">
            <v>20120301LGUM_056</v>
          </cell>
          <cell r="F846">
            <v>13.15</v>
          </cell>
          <cell r="H846">
            <v>0.92</v>
          </cell>
        </row>
        <row r="847">
          <cell r="E847" t="str">
            <v>20120301LGUM_156</v>
          </cell>
          <cell r="F847">
            <v>13.15</v>
          </cell>
          <cell r="H847">
            <v>0.92</v>
          </cell>
        </row>
        <row r="848">
          <cell r="E848" t="str">
            <v>20120301LGUM_256</v>
          </cell>
          <cell r="F848">
            <v>13.15</v>
          </cell>
          <cell r="H848">
            <v>0.92</v>
          </cell>
        </row>
        <row r="849">
          <cell r="E849" t="str">
            <v>20120301LGUM_057</v>
          </cell>
          <cell r="F849">
            <v>14.39</v>
          </cell>
          <cell r="H849">
            <v>3.41</v>
          </cell>
        </row>
        <row r="850">
          <cell r="E850" t="str">
            <v>20120301LGUM_157</v>
          </cell>
          <cell r="F850">
            <v>14.39</v>
          </cell>
          <cell r="H850">
            <v>3.41</v>
          </cell>
        </row>
        <row r="851">
          <cell r="E851" t="str">
            <v>20120301LGUM_257</v>
          </cell>
          <cell r="F851">
            <v>14.39</v>
          </cell>
          <cell r="H851">
            <v>3.41</v>
          </cell>
        </row>
        <row r="852">
          <cell r="E852" t="str">
            <v>20120301LGUM_058</v>
          </cell>
          <cell r="F852">
            <v>15.03</v>
          </cell>
          <cell r="H852">
            <v>1.55</v>
          </cell>
        </row>
        <row r="853">
          <cell r="E853" t="str">
            <v>20120301LGUM_158</v>
          </cell>
          <cell r="F853">
            <v>15.03</v>
          </cell>
          <cell r="H853">
            <v>1.55</v>
          </cell>
        </row>
        <row r="854">
          <cell r="E854" t="str">
            <v>20120301LGUM_258</v>
          </cell>
          <cell r="F854">
            <v>15.03</v>
          </cell>
          <cell r="H854">
            <v>1.55</v>
          </cell>
        </row>
        <row r="855">
          <cell r="E855" t="str">
            <v>20120301LGUM_059</v>
          </cell>
          <cell r="F855">
            <v>26.68</v>
          </cell>
          <cell r="H855">
            <v>8.16</v>
          </cell>
        </row>
        <row r="856">
          <cell r="E856" t="str">
            <v>20120301LGUM_159</v>
          </cell>
          <cell r="F856">
            <v>26.68</v>
          </cell>
          <cell r="H856">
            <v>8.16</v>
          </cell>
        </row>
        <row r="857">
          <cell r="E857" t="str">
            <v>20120301LGUM_259</v>
          </cell>
          <cell r="F857">
            <v>26.68</v>
          </cell>
          <cell r="H857">
            <v>8.16</v>
          </cell>
        </row>
        <row r="858">
          <cell r="E858" t="str">
            <v>20120301LGUM_060</v>
          </cell>
          <cell r="F858">
            <v>26.809999999999995</v>
          </cell>
          <cell r="H858">
            <v>8.16</v>
          </cell>
        </row>
        <row r="859">
          <cell r="E859" t="str">
            <v>20120301LGUM_160</v>
          </cell>
          <cell r="F859">
            <v>26.809999999999995</v>
          </cell>
          <cell r="H859">
            <v>8.16</v>
          </cell>
        </row>
        <row r="860">
          <cell r="E860" t="str">
            <v>20120301LGUM_260</v>
          </cell>
          <cell r="F860">
            <v>26.809999999999995</v>
          </cell>
          <cell r="H860">
            <v>8.16</v>
          </cell>
        </row>
        <row r="861">
          <cell r="E861" t="str">
            <v>20120301LGUM_061</v>
          </cell>
          <cell r="F861">
            <v>14.97</v>
          </cell>
          <cell r="H861">
            <v>2.2999999999999998</v>
          </cell>
        </row>
        <row r="862">
          <cell r="E862" t="str">
            <v>20120301LGUM_161</v>
          </cell>
          <cell r="F862">
            <v>14.97</v>
          </cell>
          <cell r="H862">
            <v>2.2999999999999998</v>
          </cell>
        </row>
        <row r="863">
          <cell r="E863" t="str">
            <v>20120301LGUM_261</v>
          </cell>
          <cell r="F863">
            <v>14.97</v>
          </cell>
          <cell r="H863">
            <v>2.2999999999999998</v>
          </cell>
        </row>
        <row r="864">
          <cell r="E864" t="str">
            <v>20120301LGUM_062</v>
          </cell>
          <cell r="F864">
            <v>16.34</v>
          </cell>
          <cell r="H864">
            <v>3.65</v>
          </cell>
        </row>
        <row r="865">
          <cell r="E865" t="str">
            <v>20120301LGUM_162</v>
          </cell>
          <cell r="F865">
            <v>16.34</v>
          </cell>
          <cell r="H865">
            <v>3.65</v>
          </cell>
        </row>
        <row r="866">
          <cell r="E866" t="str">
            <v>20120301LGUM_262</v>
          </cell>
          <cell r="F866">
            <v>16.34</v>
          </cell>
          <cell r="H866">
            <v>3.65</v>
          </cell>
        </row>
        <row r="867">
          <cell r="E867" t="str">
            <v>20120301LGUM_063</v>
          </cell>
          <cell r="F867">
            <v>16.34</v>
          </cell>
          <cell r="H867">
            <v>3.65</v>
          </cell>
        </row>
        <row r="868">
          <cell r="E868" t="str">
            <v>20120301LGUM_163</v>
          </cell>
          <cell r="F868">
            <v>16.34</v>
          </cell>
          <cell r="H868">
            <v>3.65</v>
          </cell>
        </row>
        <row r="869">
          <cell r="E869" t="str">
            <v>20120301LGUM_263</v>
          </cell>
          <cell r="F869">
            <v>16.34</v>
          </cell>
          <cell r="H869">
            <v>3.65</v>
          </cell>
        </row>
        <row r="870">
          <cell r="E870" t="str">
            <v>20120301LGUM_066</v>
          </cell>
          <cell r="F870">
            <v>27.14</v>
          </cell>
          <cell r="H870">
            <v>2.2999999999999998</v>
          </cell>
        </row>
        <row r="871">
          <cell r="E871" t="str">
            <v>20120301LGUM_166</v>
          </cell>
          <cell r="F871">
            <v>27.14</v>
          </cell>
          <cell r="H871">
            <v>2.2999999999999998</v>
          </cell>
        </row>
        <row r="872">
          <cell r="E872" t="str">
            <v>20120301LGUM_266</v>
          </cell>
          <cell r="F872">
            <v>27.14</v>
          </cell>
          <cell r="H872">
            <v>2.2999999999999998</v>
          </cell>
        </row>
        <row r="873">
          <cell r="E873" t="str">
            <v>20120301LGUM_067</v>
          </cell>
          <cell r="F873">
            <v>30.310000000000006</v>
          </cell>
          <cell r="H873">
            <v>3.65</v>
          </cell>
        </row>
        <row r="874">
          <cell r="E874" t="str">
            <v>20120301LGUM_167</v>
          </cell>
          <cell r="F874">
            <v>30.310000000000006</v>
          </cell>
          <cell r="H874">
            <v>3.65</v>
          </cell>
        </row>
        <row r="875">
          <cell r="E875" t="str">
            <v>20120301LGUM_267</v>
          </cell>
          <cell r="F875">
            <v>30.310000000000006</v>
          </cell>
          <cell r="H875">
            <v>3.65</v>
          </cell>
        </row>
        <row r="876">
          <cell r="E876" t="str">
            <v>20120301LGUM_072</v>
          </cell>
          <cell r="F876">
            <v>12.629999999999997</v>
          </cell>
          <cell r="H876">
            <v>1.55</v>
          </cell>
        </row>
        <row r="877">
          <cell r="E877" t="str">
            <v>20120301LGUM_172</v>
          </cell>
          <cell r="F877">
            <v>12.629999999999997</v>
          </cell>
          <cell r="H877">
            <v>1.55</v>
          </cell>
        </row>
        <row r="878">
          <cell r="E878" t="str">
            <v>20120301LGUM_272</v>
          </cell>
          <cell r="F878">
            <v>12.629999999999997</v>
          </cell>
          <cell r="H878">
            <v>1.55</v>
          </cell>
        </row>
        <row r="879">
          <cell r="E879" t="str">
            <v>20120301LGUM_073</v>
          </cell>
          <cell r="F879">
            <v>12.629999999999997</v>
          </cell>
          <cell r="H879">
            <v>1.55</v>
          </cell>
        </row>
        <row r="880">
          <cell r="E880" t="str">
            <v>20120301LGUM_173</v>
          </cell>
          <cell r="F880">
            <v>12.629999999999997</v>
          </cell>
          <cell r="H880">
            <v>1.55</v>
          </cell>
        </row>
        <row r="881">
          <cell r="E881" t="str">
            <v>20120301LGUM_273</v>
          </cell>
          <cell r="F881">
            <v>12.629999999999997</v>
          </cell>
          <cell r="H881">
            <v>1.55</v>
          </cell>
        </row>
        <row r="882">
          <cell r="E882" t="str">
            <v>20120301LGUM_074</v>
          </cell>
          <cell r="F882">
            <v>17.68</v>
          </cell>
          <cell r="H882">
            <v>1.07</v>
          </cell>
        </row>
        <row r="883">
          <cell r="E883" t="str">
            <v>20120301LGUM_174</v>
          </cell>
          <cell r="F883">
            <v>17.68</v>
          </cell>
          <cell r="H883">
            <v>1.07</v>
          </cell>
        </row>
        <row r="884">
          <cell r="E884" t="str">
            <v>20120301LGUM_274</v>
          </cell>
          <cell r="F884">
            <v>17.68</v>
          </cell>
          <cell r="H884">
            <v>1.07</v>
          </cell>
        </row>
        <row r="885">
          <cell r="E885" t="str">
            <v>20120301LGUM_075</v>
          </cell>
          <cell r="F885">
            <v>23.520000000000003</v>
          </cell>
          <cell r="H885">
            <v>1.48</v>
          </cell>
        </row>
        <row r="886">
          <cell r="E886" t="str">
            <v>20120301LGUM_175</v>
          </cell>
          <cell r="F886">
            <v>23.520000000000003</v>
          </cell>
          <cell r="H886">
            <v>1.48</v>
          </cell>
        </row>
        <row r="887">
          <cell r="E887" t="str">
            <v>20120301LGUM_275</v>
          </cell>
          <cell r="F887">
            <v>23.520000000000003</v>
          </cell>
          <cell r="H887">
            <v>1.48</v>
          </cell>
        </row>
        <row r="888">
          <cell r="E888" t="str">
            <v>20120301LGUM_076</v>
          </cell>
          <cell r="F888">
            <v>13.3</v>
          </cell>
          <cell r="H888">
            <v>0.74</v>
          </cell>
        </row>
        <row r="889">
          <cell r="E889" t="str">
            <v>20120301LGUM_176</v>
          </cell>
          <cell r="F889">
            <v>13.3</v>
          </cell>
          <cell r="H889">
            <v>0.74</v>
          </cell>
        </row>
        <row r="890">
          <cell r="E890" t="str">
            <v>20120301LGUM_276</v>
          </cell>
          <cell r="F890">
            <v>13.3</v>
          </cell>
          <cell r="H890">
            <v>0.74</v>
          </cell>
        </row>
        <row r="891">
          <cell r="E891" t="str">
            <v>20120301LGUM_077</v>
          </cell>
          <cell r="F891">
            <v>21.08</v>
          </cell>
          <cell r="H891">
            <v>1.48</v>
          </cell>
        </row>
        <row r="892">
          <cell r="E892" t="str">
            <v>20120301LGUM_177</v>
          </cell>
          <cell r="F892">
            <v>21.08</v>
          </cell>
          <cell r="H892">
            <v>1.48</v>
          </cell>
        </row>
        <row r="893">
          <cell r="E893" t="str">
            <v>20120301LGUM_277</v>
          </cell>
          <cell r="F893">
            <v>21.08</v>
          </cell>
          <cell r="H893">
            <v>1.48</v>
          </cell>
        </row>
        <row r="894">
          <cell r="E894" t="str">
            <v>20120301LGUM_078</v>
          </cell>
          <cell r="F894">
            <v>68.13</v>
          </cell>
          <cell r="H894">
            <v>8.14</v>
          </cell>
        </row>
        <row r="895">
          <cell r="E895" t="str">
            <v>20120301LGUM_178</v>
          </cell>
          <cell r="F895">
            <v>68.13</v>
          </cell>
          <cell r="H895">
            <v>8.14</v>
          </cell>
        </row>
        <row r="896">
          <cell r="E896" t="str">
            <v>20120301LGUM_278</v>
          </cell>
          <cell r="F896">
            <v>68.13</v>
          </cell>
          <cell r="H896">
            <v>8.14</v>
          </cell>
        </row>
        <row r="897">
          <cell r="E897" t="str">
            <v>20120301LGUM_079</v>
          </cell>
          <cell r="F897">
            <v>38.35</v>
          </cell>
          <cell r="H897">
            <v>8.14</v>
          </cell>
        </row>
        <row r="898">
          <cell r="E898" t="str">
            <v>20120301LGUM_179</v>
          </cell>
          <cell r="F898">
            <v>38.35</v>
          </cell>
          <cell r="H898">
            <v>8.14</v>
          </cell>
        </row>
        <row r="899">
          <cell r="E899" t="str">
            <v>20120301LGUM_279</v>
          </cell>
          <cell r="F899">
            <v>38.35</v>
          </cell>
          <cell r="H899">
            <v>8.14</v>
          </cell>
        </row>
        <row r="900">
          <cell r="E900" t="str">
            <v>20120301LGUM_080</v>
          </cell>
          <cell r="F900">
            <v>18.45</v>
          </cell>
          <cell r="H900">
            <v>0.74</v>
          </cell>
        </row>
        <row r="901">
          <cell r="E901" t="str">
            <v>20120301LGUM_180</v>
          </cell>
          <cell r="F901">
            <v>18.45</v>
          </cell>
          <cell r="H901">
            <v>0.74</v>
          </cell>
        </row>
        <row r="902">
          <cell r="E902" t="str">
            <v>20120301LGUM_280</v>
          </cell>
          <cell r="F902">
            <v>18.45</v>
          </cell>
          <cell r="H902">
            <v>0.74</v>
          </cell>
        </row>
        <row r="903">
          <cell r="E903" t="str">
            <v>20120301LGUM_081</v>
          </cell>
          <cell r="F903">
            <v>19.48</v>
          </cell>
          <cell r="H903">
            <v>1.07</v>
          </cell>
        </row>
        <row r="904">
          <cell r="E904" t="str">
            <v>20120301LGUM_181</v>
          </cell>
          <cell r="F904">
            <v>19.48</v>
          </cell>
          <cell r="H904">
            <v>1.07</v>
          </cell>
        </row>
        <row r="905">
          <cell r="E905" t="str">
            <v>20120301LGUM_281</v>
          </cell>
          <cell r="F905">
            <v>19.48</v>
          </cell>
          <cell r="H905">
            <v>1.07</v>
          </cell>
        </row>
        <row r="906">
          <cell r="E906" t="str">
            <v>20120301LGUM_082</v>
          </cell>
          <cell r="F906">
            <v>18.63</v>
          </cell>
          <cell r="H906">
            <v>0.74</v>
          </cell>
        </row>
        <row r="907">
          <cell r="E907" t="str">
            <v>20120301LGUM_182</v>
          </cell>
          <cell r="F907">
            <v>18.63</v>
          </cell>
          <cell r="H907">
            <v>0.74</v>
          </cell>
        </row>
        <row r="908">
          <cell r="E908" t="str">
            <v>20120301LGUM_282</v>
          </cell>
          <cell r="F908">
            <v>18.63</v>
          </cell>
          <cell r="H908">
            <v>0.74</v>
          </cell>
        </row>
        <row r="909">
          <cell r="E909" t="str">
            <v>20120301LGUM_083</v>
          </cell>
          <cell r="F909">
            <v>19.68</v>
          </cell>
          <cell r="H909">
            <v>1.07</v>
          </cell>
        </row>
        <row r="910">
          <cell r="E910" t="str">
            <v>20120301LGUM_183</v>
          </cell>
          <cell r="F910">
            <v>19.68</v>
          </cell>
          <cell r="H910">
            <v>1.07</v>
          </cell>
        </row>
        <row r="911">
          <cell r="E911" t="str">
            <v>20120301LGUM_283</v>
          </cell>
          <cell r="F911">
            <v>19.68</v>
          </cell>
          <cell r="H911">
            <v>1.07</v>
          </cell>
        </row>
        <row r="912">
          <cell r="E912" t="str">
            <v>20120301LGUM_301</v>
          </cell>
          <cell r="F912">
            <v>7.2000000000000011</v>
          </cell>
          <cell r="H912">
            <v>0.92</v>
          </cell>
        </row>
        <row r="913">
          <cell r="E913" t="str">
            <v>20120301LGUM_302</v>
          </cell>
          <cell r="F913">
            <v>8.4</v>
          </cell>
          <cell r="H913">
            <v>1.55</v>
          </cell>
        </row>
        <row r="914">
          <cell r="E914" t="str">
            <v>20120301LGUM_303</v>
          </cell>
          <cell r="F914">
            <v>9.7199999999999989</v>
          </cell>
          <cell r="H914">
            <v>2.2000000000000002</v>
          </cell>
        </row>
        <row r="915">
          <cell r="E915" t="str">
            <v>20120301LGUM_304</v>
          </cell>
          <cell r="F915">
            <v>11.88</v>
          </cell>
          <cell r="H915">
            <v>3.41</v>
          </cell>
        </row>
        <row r="916">
          <cell r="E916" t="str">
            <v>20120301LGUM_305</v>
          </cell>
          <cell r="F916">
            <v>9.6999999999999993</v>
          </cell>
          <cell r="H916">
            <v>1.07</v>
          </cell>
        </row>
        <row r="917">
          <cell r="E917" t="str">
            <v>20120301LGUM_306</v>
          </cell>
          <cell r="F917">
            <v>11.2</v>
          </cell>
          <cell r="H917">
            <v>0.92</v>
          </cell>
        </row>
        <row r="918">
          <cell r="E918" t="str">
            <v>20120301LGUM_307</v>
          </cell>
          <cell r="F918">
            <v>16.39</v>
          </cell>
          <cell r="H918">
            <v>3.41</v>
          </cell>
        </row>
        <row r="919">
          <cell r="E919" t="str">
            <v>20120301LGUM_308</v>
          </cell>
          <cell r="F919">
            <v>12.3</v>
          </cell>
          <cell r="H919">
            <v>1.55</v>
          </cell>
        </row>
        <row r="920">
          <cell r="E920" t="str">
            <v>20120301LGUM_309</v>
          </cell>
          <cell r="F920">
            <v>22.72</v>
          </cell>
          <cell r="H920">
            <v>8.16</v>
          </cell>
        </row>
        <row r="921">
          <cell r="E921" t="str">
            <v>20120301LGUM_310</v>
          </cell>
          <cell r="F921">
            <v>22.72</v>
          </cell>
          <cell r="H921">
            <v>8.16</v>
          </cell>
        </row>
        <row r="922">
          <cell r="E922" t="str">
            <v>20120301LGUM_311</v>
          </cell>
          <cell r="F922">
            <v>13.86</v>
          </cell>
          <cell r="H922">
            <v>2.2999999999999998</v>
          </cell>
        </row>
        <row r="923">
          <cell r="E923" t="str">
            <v>20120301LGUM_312</v>
          </cell>
          <cell r="F923">
            <v>14.969999999999999</v>
          </cell>
          <cell r="H923">
            <v>3.65</v>
          </cell>
        </row>
        <row r="924">
          <cell r="E924" t="str">
            <v>20120301LGUM_313</v>
          </cell>
          <cell r="F924">
            <v>14.969999999999999</v>
          </cell>
          <cell r="H924">
            <v>3.65</v>
          </cell>
        </row>
        <row r="925">
          <cell r="E925" t="str">
            <v>20120301LGUM_314</v>
          </cell>
          <cell r="F925">
            <v>17.690000000000001</v>
          </cell>
          <cell r="H925">
            <v>2.2000000000000002</v>
          </cell>
        </row>
        <row r="926">
          <cell r="E926" t="str">
            <v>20120301LGUM_315</v>
          </cell>
          <cell r="F926">
            <v>21.09</v>
          </cell>
          <cell r="H926">
            <v>3.41</v>
          </cell>
        </row>
        <row r="927">
          <cell r="E927" t="str">
            <v>20120301LGUM_316</v>
          </cell>
          <cell r="F927">
            <v>25.2</v>
          </cell>
          <cell r="H927">
            <v>2.2999999999999998</v>
          </cell>
        </row>
        <row r="928">
          <cell r="E928" t="str">
            <v>20120301LGUM_317</v>
          </cell>
          <cell r="F928">
            <v>27.490000000000006</v>
          </cell>
          <cell r="H928">
            <v>3.65</v>
          </cell>
        </row>
        <row r="929">
          <cell r="E929" t="str">
            <v>20120301LGUM_318</v>
          </cell>
          <cell r="F929">
            <v>16.329999999999998</v>
          </cell>
          <cell r="H929">
            <v>1.55</v>
          </cell>
        </row>
        <row r="930">
          <cell r="E930" t="str">
            <v>20120301LGUM_319</v>
          </cell>
          <cell r="F930">
            <v>21.19</v>
          </cell>
          <cell r="H930">
            <v>3.41</v>
          </cell>
        </row>
        <row r="931">
          <cell r="E931" t="str">
            <v>20120301LGUM_320</v>
          </cell>
          <cell r="F931">
            <v>25.2</v>
          </cell>
          <cell r="H931">
            <v>2.2999999999999998</v>
          </cell>
        </row>
        <row r="932">
          <cell r="E932" t="str">
            <v>20120301LGUM_321</v>
          </cell>
          <cell r="F932">
            <v>27.490000000000006</v>
          </cell>
          <cell r="H932">
            <v>3.65</v>
          </cell>
        </row>
        <row r="933">
          <cell r="E933" t="str">
            <v>20120301LGUM_322</v>
          </cell>
          <cell r="F933">
            <v>11.519999999999998</v>
          </cell>
          <cell r="H933">
            <v>1.55</v>
          </cell>
        </row>
        <row r="934">
          <cell r="E934" t="str">
            <v>20120301LGUM_323</v>
          </cell>
          <cell r="F934">
            <v>13.849999999999998</v>
          </cell>
          <cell r="H934">
            <v>1.55</v>
          </cell>
        </row>
        <row r="935">
          <cell r="E935" t="str">
            <v>20120301LGUM_324</v>
          </cell>
          <cell r="F935">
            <v>13.99</v>
          </cell>
          <cell r="H935">
            <v>1.07</v>
          </cell>
        </row>
        <row r="936">
          <cell r="E936" t="str">
            <v>20120301LGUM_325</v>
          </cell>
          <cell r="F936">
            <v>23.5</v>
          </cell>
          <cell r="H936">
            <v>1.55</v>
          </cell>
        </row>
        <row r="937">
          <cell r="E937" t="str">
            <v>20120301LGUM_345</v>
          </cell>
          <cell r="F937">
            <v>16.39</v>
          </cell>
          <cell r="H937">
            <v>3.41</v>
          </cell>
        </row>
        <row r="938">
          <cell r="E938" t="str">
            <v>20120301LGUM_346</v>
          </cell>
          <cell r="F938">
            <v>22.27</v>
          </cell>
          <cell r="H938">
            <v>2.23</v>
          </cell>
        </row>
        <row r="939">
          <cell r="E939" t="str">
            <v>20120301LGUM_347</v>
          </cell>
          <cell r="F939">
            <v>21.19</v>
          </cell>
          <cell r="H939">
            <v>3.41</v>
          </cell>
        </row>
        <row r="940">
          <cell r="E940" t="str">
            <v>20120301LGUM_348</v>
          </cell>
          <cell r="F940">
            <v>11.76</v>
          </cell>
          <cell r="H940">
            <v>2.2200000000000002</v>
          </cell>
        </row>
        <row r="941">
          <cell r="E941" t="str">
            <v>20120301LGUM_349</v>
          </cell>
          <cell r="F941">
            <v>8.42</v>
          </cell>
          <cell r="H941">
            <v>0.74</v>
          </cell>
        </row>
        <row r="942">
          <cell r="E942" t="str">
            <v>20120301LGUM_352</v>
          </cell>
          <cell r="F942">
            <v>10.19</v>
          </cell>
          <cell r="H942">
            <v>1.55</v>
          </cell>
        </row>
        <row r="943">
          <cell r="E943" t="str">
            <v>20120301LGUM_353</v>
          </cell>
          <cell r="F943">
            <v>11.61</v>
          </cell>
          <cell r="H943">
            <v>2.2000000000000002</v>
          </cell>
        </row>
        <row r="944">
          <cell r="E944" t="str">
            <v>20120301LGUM_354</v>
          </cell>
          <cell r="F944">
            <v>14.19</v>
          </cell>
          <cell r="H944">
            <v>3.41</v>
          </cell>
        </row>
        <row r="945">
          <cell r="E945" t="str">
            <v>20120301LGUM_355</v>
          </cell>
          <cell r="F945">
            <v>9.6999999999999993</v>
          </cell>
          <cell r="H945">
            <v>1.07</v>
          </cell>
        </row>
        <row r="946">
          <cell r="E946" t="str">
            <v>20120301LGUM_356</v>
          </cell>
          <cell r="F946">
            <v>13.89</v>
          </cell>
          <cell r="H946">
            <v>0.92</v>
          </cell>
        </row>
        <row r="947">
          <cell r="E947" t="str">
            <v>20120301LGUM_357</v>
          </cell>
          <cell r="F947">
            <v>14.19</v>
          </cell>
          <cell r="H947">
            <v>3.41</v>
          </cell>
        </row>
        <row r="948">
          <cell r="E948" t="str">
            <v>20120301LGUM_358</v>
          </cell>
          <cell r="F948">
            <v>14.83</v>
          </cell>
          <cell r="H948">
            <v>1.55</v>
          </cell>
        </row>
        <row r="949">
          <cell r="E949" t="str">
            <v>20120301LGUM_360</v>
          </cell>
          <cell r="F949">
            <v>26.43</v>
          </cell>
          <cell r="H949">
            <v>8.16</v>
          </cell>
        </row>
        <row r="950">
          <cell r="E950" t="str">
            <v>20120301LGUM_361</v>
          </cell>
          <cell r="F950">
            <v>13.86</v>
          </cell>
          <cell r="H950">
            <v>2.2999999999999998</v>
          </cell>
        </row>
        <row r="951">
          <cell r="E951" t="str">
            <v>20120301LGUM_362</v>
          </cell>
          <cell r="F951">
            <v>14.969999999999999</v>
          </cell>
          <cell r="H951">
            <v>3.65</v>
          </cell>
        </row>
        <row r="952">
          <cell r="E952" t="str">
            <v>20120301LGUM_363</v>
          </cell>
          <cell r="F952">
            <v>14.969999999999999</v>
          </cell>
          <cell r="H952">
            <v>3.65</v>
          </cell>
        </row>
        <row r="953">
          <cell r="E953" t="str">
            <v>20120301LGUM_364</v>
          </cell>
          <cell r="F953">
            <v>24.2</v>
          </cell>
          <cell r="H953">
            <v>2.2000000000000002</v>
          </cell>
        </row>
        <row r="954">
          <cell r="E954" t="str">
            <v>20120301LGUM_365</v>
          </cell>
          <cell r="F954">
            <v>27.33</v>
          </cell>
          <cell r="H954">
            <v>3.41</v>
          </cell>
        </row>
        <row r="955">
          <cell r="E955" t="str">
            <v>20120301LGUM_366</v>
          </cell>
          <cell r="F955">
            <v>25.2</v>
          </cell>
          <cell r="H955">
            <v>2.2999999999999998</v>
          </cell>
        </row>
        <row r="956">
          <cell r="E956" t="str">
            <v>20120301LGUM_367</v>
          </cell>
          <cell r="F956">
            <v>27.490000000000006</v>
          </cell>
          <cell r="H956">
            <v>3.65</v>
          </cell>
        </row>
        <row r="957">
          <cell r="E957" t="str">
            <v>20120301LGUM_368</v>
          </cell>
          <cell r="F957">
            <v>23.27</v>
          </cell>
          <cell r="H957">
            <v>1.55</v>
          </cell>
        </row>
        <row r="958">
          <cell r="E958" t="str">
            <v>20120301LGUM_369</v>
          </cell>
          <cell r="F958">
            <v>27.33</v>
          </cell>
          <cell r="H958">
            <v>3.41</v>
          </cell>
        </row>
        <row r="959">
          <cell r="E959" t="str">
            <v>20120301LGUM_370</v>
          </cell>
          <cell r="F959">
            <v>25.2</v>
          </cell>
          <cell r="H959">
            <v>2.2999999999999998</v>
          </cell>
        </row>
        <row r="960">
          <cell r="E960" t="str">
            <v>20120301LGUM_371</v>
          </cell>
          <cell r="F960">
            <v>27.490000000000006</v>
          </cell>
          <cell r="H960">
            <v>3.65</v>
          </cell>
        </row>
        <row r="961">
          <cell r="E961" t="str">
            <v>20120301LGUM_372</v>
          </cell>
          <cell r="F961">
            <v>11.519999999999998</v>
          </cell>
          <cell r="H961">
            <v>1.55</v>
          </cell>
        </row>
        <row r="962">
          <cell r="E962" t="str">
            <v>20120301LGUM_373</v>
          </cell>
          <cell r="F962">
            <v>11.519999999999998</v>
          </cell>
          <cell r="H962">
            <v>1.55</v>
          </cell>
        </row>
        <row r="963">
          <cell r="E963" t="str">
            <v>20120301LGUM_374</v>
          </cell>
          <cell r="F963">
            <v>13.99</v>
          </cell>
          <cell r="H963">
            <v>1.07</v>
          </cell>
        </row>
        <row r="964">
          <cell r="E964" t="str">
            <v>20120301LGUM_375</v>
          </cell>
          <cell r="F964">
            <v>23.5</v>
          </cell>
          <cell r="H964">
            <v>1.48</v>
          </cell>
        </row>
        <row r="965">
          <cell r="E965" t="str">
            <v>20120301LGUM_376</v>
          </cell>
          <cell r="F965">
            <v>13.39</v>
          </cell>
          <cell r="H965">
            <v>0.74</v>
          </cell>
        </row>
        <row r="966">
          <cell r="E966" t="str">
            <v>20120301LGUM_377</v>
          </cell>
          <cell r="F966">
            <v>20.25</v>
          </cell>
          <cell r="H966">
            <v>1.48</v>
          </cell>
        </row>
        <row r="967">
          <cell r="E967" t="str">
            <v>20120301LGUM_378</v>
          </cell>
          <cell r="F967">
            <v>63.7</v>
          </cell>
          <cell r="H967">
            <v>8.14</v>
          </cell>
        </row>
        <row r="968">
          <cell r="E968" t="str">
            <v>20120301LGUM_379</v>
          </cell>
          <cell r="F968">
            <v>33.92</v>
          </cell>
          <cell r="H968">
            <v>8.14</v>
          </cell>
        </row>
        <row r="969">
          <cell r="E969" t="str">
            <v>20120301LGUM_380</v>
          </cell>
          <cell r="F969">
            <v>18</v>
          </cell>
          <cell r="H969">
            <v>0.74</v>
          </cell>
        </row>
        <row r="970">
          <cell r="E970" t="str">
            <v>20120301LGUM_381</v>
          </cell>
          <cell r="F970">
            <v>18.91</v>
          </cell>
          <cell r="H970">
            <v>1.07</v>
          </cell>
        </row>
        <row r="971">
          <cell r="E971" t="str">
            <v>20120301LGUM_382</v>
          </cell>
          <cell r="F971">
            <v>18.21</v>
          </cell>
          <cell r="H971">
            <v>0.74</v>
          </cell>
        </row>
        <row r="972">
          <cell r="E972" t="str">
            <v>20120301LGUM_383</v>
          </cell>
          <cell r="F972">
            <v>19.510000000000002</v>
          </cell>
          <cell r="H972">
            <v>1.07</v>
          </cell>
        </row>
        <row r="973">
          <cell r="E973" t="str">
            <v>20120301LGUM_384</v>
          </cell>
          <cell r="F973">
            <v>21.19</v>
          </cell>
          <cell r="H973">
            <v>1.07</v>
          </cell>
        </row>
        <row r="974">
          <cell r="E974" t="str">
            <v>20120301LGUM_385</v>
          </cell>
          <cell r="F974">
            <v>21.19</v>
          </cell>
          <cell r="H974">
            <v>1.07</v>
          </cell>
        </row>
        <row r="975">
          <cell r="E975" t="str">
            <v>20120301LGUM_400</v>
          </cell>
          <cell r="F975">
            <v>22.639999999999997</v>
          </cell>
          <cell r="H975">
            <v>0.92</v>
          </cell>
        </row>
        <row r="976">
          <cell r="E976" t="str">
            <v>20120301LGUM_401</v>
          </cell>
          <cell r="F976">
            <v>23.62</v>
          </cell>
          <cell r="H976">
            <v>0.86</v>
          </cell>
        </row>
        <row r="977">
          <cell r="E977" t="str">
            <v>20120301LGUM_412</v>
          </cell>
          <cell r="F977">
            <v>18.760000000000002</v>
          </cell>
          <cell r="H977">
            <v>0.61</v>
          </cell>
        </row>
        <row r="978">
          <cell r="E978" t="str">
            <v>20120301LGUM_413</v>
          </cell>
          <cell r="F978">
            <v>19.36</v>
          </cell>
          <cell r="H978">
            <v>0.86</v>
          </cell>
        </row>
        <row r="979">
          <cell r="E979" t="str">
            <v>20120301LGUM_414</v>
          </cell>
          <cell r="F979">
            <v>20.36</v>
          </cell>
          <cell r="H979">
            <v>1.34</v>
          </cell>
        </row>
        <row r="980">
          <cell r="E980" t="str">
            <v>20120301LGUM_415</v>
          </cell>
          <cell r="F980">
            <v>19.13</v>
          </cell>
          <cell r="H980">
            <v>0.61</v>
          </cell>
        </row>
        <row r="981">
          <cell r="E981" t="str">
            <v>20120301LGUM_416</v>
          </cell>
          <cell r="F981">
            <v>21.36</v>
          </cell>
          <cell r="H981">
            <v>0.86</v>
          </cell>
        </row>
        <row r="982">
          <cell r="E982" t="str">
            <v>20120301LGUM_417</v>
          </cell>
          <cell r="F982">
            <v>22.44</v>
          </cell>
          <cell r="H982">
            <v>0.83</v>
          </cell>
        </row>
        <row r="983">
          <cell r="E983" t="str">
            <v>20120301LGUM_418</v>
          </cell>
          <cell r="F983">
            <v>22.27</v>
          </cell>
          <cell r="H983">
            <v>1.34</v>
          </cell>
        </row>
        <row r="984">
          <cell r="E984" t="str">
            <v>20120301LGUM_419</v>
          </cell>
          <cell r="F984">
            <v>23.28</v>
          </cell>
          <cell r="H984">
            <v>1.34</v>
          </cell>
        </row>
        <row r="985">
          <cell r="E985" t="str">
            <v>20120301LGUM_420</v>
          </cell>
          <cell r="F985">
            <v>28.35</v>
          </cell>
          <cell r="H985">
            <v>1.34</v>
          </cell>
        </row>
        <row r="986">
          <cell r="E986" t="str">
            <v>20120301LGUM_421</v>
          </cell>
          <cell r="F986">
            <v>31</v>
          </cell>
          <cell r="H986">
            <v>2.17</v>
          </cell>
        </row>
        <row r="987">
          <cell r="E987" t="str">
            <v>20120301LGUM_422</v>
          </cell>
          <cell r="F987">
            <v>36.04</v>
          </cell>
          <cell r="H987">
            <v>3.48</v>
          </cell>
        </row>
        <row r="988">
          <cell r="E988" t="str">
            <v>20120301LGUM_423</v>
          </cell>
          <cell r="F988">
            <v>24.93</v>
          </cell>
          <cell r="H988">
            <v>1.34</v>
          </cell>
        </row>
        <row r="989">
          <cell r="E989" t="str">
            <v>20120301LGUM_424</v>
          </cell>
          <cell r="F989">
            <v>26.740000000000002</v>
          </cell>
          <cell r="H989">
            <v>3.48</v>
          </cell>
        </row>
        <row r="990">
          <cell r="E990" t="str">
            <v>20120301LGUM_425</v>
          </cell>
          <cell r="F990">
            <v>31.83</v>
          </cell>
          <cell r="H990">
            <v>3.48</v>
          </cell>
        </row>
        <row r="991">
          <cell r="E991" t="str">
            <v>20120301LGUM_426</v>
          </cell>
          <cell r="F991">
            <v>31.73</v>
          </cell>
          <cell r="H991">
            <v>0.61</v>
          </cell>
        </row>
        <row r="992">
          <cell r="E992" t="str">
            <v>20120301LGUM_427</v>
          </cell>
          <cell r="F992">
            <v>33.64</v>
          </cell>
          <cell r="H992">
            <v>0.61</v>
          </cell>
        </row>
        <row r="993">
          <cell r="E993" t="str">
            <v>20120301LGUM_428</v>
          </cell>
          <cell r="F993">
            <v>32.5</v>
          </cell>
          <cell r="H993">
            <v>0.86</v>
          </cell>
        </row>
        <row r="994">
          <cell r="E994" t="str">
            <v>20120301LGUM_429</v>
          </cell>
          <cell r="F994">
            <v>34.409999999999997</v>
          </cell>
          <cell r="H994">
            <v>0.86</v>
          </cell>
        </row>
        <row r="995">
          <cell r="E995" t="str">
            <v>20120301LGUM_430</v>
          </cell>
          <cell r="F995">
            <v>30.8</v>
          </cell>
          <cell r="H995">
            <v>0.61</v>
          </cell>
        </row>
        <row r="996">
          <cell r="E996" t="str">
            <v>20120301LGUM_431</v>
          </cell>
          <cell r="F996">
            <v>31.45</v>
          </cell>
          <cell r="H996">
            <v>0.61</v>
          </cell>
        </row>
        <row r="997">
          <cell r="E997" t="str">
            <v>20120301LGUM_432</v>
          </cell>
          <cell r="F997">
            <v>32.729999999999997</v>
          </cell>
          <cell r="H997">
            <v>0.86</v>
          </cell>
        </row>
        <row r="998">
          <cell r="E998" t="str">
            <v>20120301LGUM_433</v>
          </cell>
          <cell r="F998">
            <v>33.369999999999997</v>
          </cell>
          <cell r="H998">
            <v>0.86</v>
          </cell>
        </row>
        <row r="999">
          <cell r="E999" t="str">
            <v>20120301LGUM_434</v>
          </cell>
          <cell r="F999">
            <v>16.349999999999998</v>
          </cell>
          <cell r="H999">
            <v>0.92</v>
          </cell>
        </row>
        <row r="1000">
          <cell r="E1000" t="str">
            <v>20120301LGUM_435</v>
          </cell>
          <cell r="F1000">
            <v>18.020000000000003</v>
          </cell>
          <cell r="H1000">
            <v>1.55</v>
          </cell>
        </row>
        <row r="1001">
          <cell r="E1001" t="str">
            <v>20120301LGUM_436</v>
          </cell>
          <cell r="F1001">
            <v>21.990000000000002</v>
          </cell>
          <cell r="H1001">
            <v>3.41</v>
          </cell>
        </row>
        <row r="1002">
          <cell r="E1002" t="str">
            <v>20120301LGUM_437</v>
          </cell>
          <cell r="F1002">
            <v>23.46</v>
          </cell>
          <cell r="H1002">
            <v>2.2000000000000002</v>
          </cell>
        </row>
        <row r="1003">
          <cell r="E1003" t="str">
            <v>20120301LGUM_438</v>
          </cell>
          <cell r="F1003">
            <v>26.909999999999997</v>
          </cell>
          <cell r="H1003">
            <v>3.41</v>
          </cell>
        </row>
        <row r="1004">
          <cell r="E1004" t="str">
            <v>20120301LGUM_439</v>
          </cell>
          <cell r="F1004">
            <v>15.38</v>
          </cell>
          <cell r="H1004">
            <v>1.34</v>
          </cell>
        </row>
        <row r="1005">
          <cell r="E1005" t="str">
            <v>20120301LGUM_440</v>
          </cell>
          <cell r="F1005">
            <v>16.920000000000002</v>
          </cell>
          <cell r="H1005">
            <v>2.17</v>
          </cell>
        </row>
        <row r="1006">
          <cell r="E1006" t="str">
            <v>20120301LGUM_441</v>
          </cell>
          <cell r="F1006">
            <v>20.52</v>
          </cell>
          <cell r="H1006">
            <v>3.48</v>
          </cell>
        </row>
        <row r="1007">
          <cell r="E1007" t="str">
            <v>20120301LGUM_452</v>
          </cell>
          <cell r="F1007">
            <v>11.62</v>
          </cell>
          <cell r="H1007">
            <v>1.34</v>
          </cell>
        </row>
        <row r="1008">
          <cell r="E1008" t="str">
            <v>20120301LGUM_453</v>
          </cell>
          <cell r="F1008">
            <v>13.44</v>
          </cell>
          <cell r="H1008">
            <v>3.48</v>
          </cell>
        </row>
        <row r="1009">
          <cell r="E1009" t="str">
            <v>20120301LGUM_454</v>
          </cell>
          <cell r="F1009">
            <v>18.53</v>
          </cell>
          <cell r="H1009">
            <v>3.48</v>
          </cell>
        </row>
        <row r="1010">
          <cell r="E1010" t="str">
            <v>20120301LGUM_455</v>
          </cell>
          <cell r="F1010">
            <v>13.23</v>
          </cell>
          <cell r="H1010">
            <v>1.34</v>
          </cell>
        </row>
        <row r="1011">
          <cell r="E1011" t="str">
            <v>20120301LGUM_456</v>
          </cell>
          <cell r="F1011">
            <v>19.5</v>
          </cell>
          <cell r="H1011">
            <v>3.48</v>
          </cell>
        </row>
        <row r="1012">
          <cell r="E1012" t="str">
            <v>20120301LGUM_457</v>
          </cell>
          <cell r="F1012">
            <v>10.4</v>
          </cell>
          <cell r="H1012">
            <v>0.86</v>
          </cell>
        </row>
        <row r="1013">
          <cell r="E1013" t="str">
            <v>20120301LGUM_458</v>
          </cell>
          <cell r="F1013">
            <v>10.26</v>
          </cell>
          <cell r="H1013">
            <v>3.41</v>
          </cell>
        </row>
        <row r="1014">
          <cell r="E1014" t="str">
            <v>20120301LGUM_459</v>
          </cell>
          <cell r="F1014">
            <v>11.74</v>
          </cell>
          <cell r="H1014">
            <v>2.17</v>
          </cell>
        </row>
        <row r="1015">
          <cell r="E1015" t="str">
            <v>20120301LGUM_460</v>
          </cell>
          <cell r="F1015">
            <v>15.18</v>
          </cell>
          <cell r="H1015">
            <v>3.48</v>
          </cell>
        </row>
        <row r="1016">
          <cell r="E1016" t="str">
            <v>20120301LGUM_461</v>
          </cell>
          <cell r="F1016">
            <v>16.53</v>
          </cell>
          <cell r="H1016">
            <v>3.48</v>
          </cell>
        </row>
        <row r="1017">
          <cell r="E1017" t="str">
            <v>20120301LGUM_462</v>
          </cell>
          <cell r="F1017">
            <v>10</v>
          </cell>
          <cell r="H1017">
            <v>3.41</v>
          </cell>
        </row>
        <row r="1018">
          <cell r="E1018" t="str">
            <v>20120301LGUM_470</v>
          </cell>
          <cell r="F1018">
            <v>11.85</v>
          </cell>
          <cell r="H1018">
            <v>1.1100000000000001</v>
          </cell>
        </row>
        <row r="1019">
          <cell r="E1019" t="str">
            <v>20120301LGUM_471</v>
          </cell>
          <cell r="F1019">
            <v>14.05</v>
          </cell>
          <cell r="H1019">
            <v>1.1100000000000001</v>
          </cell>
        </row>
        <row r="1020">
          <cell r="E1020" t="str">
            <v>20120301LGUM_472</v>
          </cell>
          <cell r="F1020">
            <v>21.26</v>
          </cell>
          <cell r="H1020">
            <v>1.1100000000000001</v>
          </cell>
        </row>
        <row r="1021">
          <cell r="E1021" t="str">
            <v>20120301LGUM_473</v>
          </cell>
          <cell r="F1021">
            <v>17.189999999999998</v>
          </cell>
          <cell r="H1021">
            <v>2.58</v>
          </cell>
        </row>
        <row r="1022">
          <cell r="E1022" t="str">
            <v>20120301LGUM_474</v>
          </cell>
          <cell r="F1022">
            <v>19.399999999999999</v>
          </cell>
          <cell r="H1022">
            <v>2.58</v>
          </cell>
        </row>
        <row r="1023">
          <cell r="E1023" t="str">
            <v>20120301LGUM_475</v>
          </cell>
          <cell r="F1023">
            <v>26.6</v>
          </cell>
          <cell r="H1023">
            <v>2.58</v>
          </cell>
        </row>
        <row r="1024">
          <cell r="E1024" t="str">
            <v>20120301LGUM_476</v>
          </cell>
          <cell r="F1024">
            <v>35.92</v>
          </cell>
          <cell r="H1024">
            <v>7.97</v>
          </cell>
        </row>
        <row r="1025">
          <cell r="E1025" t="str">
            <v>20120301LGUM_477</v>
          </cell>
          <cell r="F1025">
            <v>38.990000000000009</v>
          </cell>
          <cell r="H1025">
            <v>7.97</v>
          </cell>
        </row>
        <row r="1026">
          <cell r="E1026" t="str">
            <v>20120301LGUM_478</v>
          </cell>
          <cell r="F1026">
            <v>45.320000000000007</v>
          </cell>
          <cell r="H1026">
            <v>7.97</v>
          </cell>
        </row>
        <row r="1027">
          <cell r="E1027" t="str">
            <v>20120301LGUM_479</v>
          </cell>
          <cell r="F1027">
            <v>13.08</v>
          </cell>
          <cell r="H1027">
            <v>1.1100000000000001</v>
          </cell>
        </row>
        <row r="1028">
          <cell r="E1028" t="str">
            <v>20120301LGUM_480</v>
          </cell>
          <cell r="F1028">
            <v>22.51</v>
          </cell>
          <cell r="H1028">
            <v>1.1100000000000001</v>
          </cell>
        </row>
        <row r="1029">
          <cell r="E1029" t="str">
            <v>20120301LGUM_481</v>
          </cell>
          <cell r="F1029">
            <v>18.91</v>
          </cell>
          <cell r="H1029">
            <v>2.58</v>
          </cell>
        </row>
        <row r="1030">
          <cell r="E1030" t="str">
            <v>20120301LGUM_482</v>
          </cell>
          <cell r="F1030">
            <v>28.33</v>
          </cell>
          <cell r="H1030">
            <v>2.58</v>
          </cell>
        </row>
        <row r="1031">
          <cell r="E1031" t="str">
            <v>20120301LGUM_483</v>
          </cell>
          <cell r="F1031">
            <v>38.78</v>
          </cell>
          <cell r="H1031">
            <v>7.97</v>
          </cell>
        </row>
        <row r="1032">
          <cell r="E1032" t="str">
            <v>20120301LGUM_484</v>
          </cell>
          <cell r="F1032">
            <v>48.19</v>
          </cell>
          <cell r="H1032">
            <v>7.97</v>
          </cell>
        </row>
        <row r="1033">
          <cell r="E1033" t="str">
            <v>20130101LGUM_002</v>
          </cell>
          <cell r="F1033">
            <v>9.06</v>
          </cell>
          <cell r="H1033">
            <v>1.55</v>
          </cell>
        </row>
        <row r="1034">
          <cell r="E1034" t="str">
            <v>20130101LGUM_152</v>
          </cell>
          <cell r="F1034">
            <v>9.06</v>
          </cell>
          <cell r="H1034">
            <v>1.55</v>
          </cell>
        </row>
        <row r="1035">
          <cell r="E1035" t="str">
            <v>20130101LGUM_163</v>
          </cell>
          <cell r="F1035">
            <v>17.14</v>
          </cell>
          <cell r="H1035">
            <v>3.65</v>
          </cell>
        </row>
        <row r="1036">
          <cell r="E1036" t="str">
            <v>20130101LGUM_201</v>
          </cell>
          <cell r="F1036">
            <v>7.82</v>
          </cell>
          <cell r="H1036">
            <v>0.92</v>
          </cell>
        </row>
        <row r="1037">
          <cell r="E1037" t="str">
            <v>20130101LGUM_202</v>
          </cell>
          <cell r="F1037">
            <v>9.06</v>
          </cell>
          <cell r="H1037">
            <v>1.55</v>
          </cell>
        </row>
        <row r="1038">
          <cell r="E1038" t="str">
            <v>20130101LGUM_203</v>
          </cell>
          <cell r="F1038">
            <v>10.28</v>
          </cell>
          <cell r="H1038">
            <v>2.2000000000000002</v>
          </cell>
        </row>
        <row r="1039">
          <cell r="E1039" t="str">
            <v>20130101LGUM_204</v>
          </cell>
          <cell r="F1039">
            <v>12.51</v>
          </cell>
          <cell r="H1039">
            <v>3.41</v>
          </cell>
        </row>
        <row r="1040">
          <cell r="E1040" t="str">
            <v>20130101LGUM_205</v>
          </cell>
          <cell r="F1040">
            <v>10.42</v>
          </cell>
          <cell r="H1040">
            <v>1.07</v>
          </cell>
        </row>
        <row r="1041">
          <cell r="E1041" t="str">
            <v>20130101LGUM_206</v>
          </cell>
          <cell r="F1041">
            <v>12.13</v>
          </cell>
          <cell r="H1041">
            <v>0.92</v>
          </cell>
        </row>
        <row r="1042">
          <cell r="E1042" t="str">
            <v>20130101LGUM_207</v>
          </cell>
          <cell r="F1042">
            <v>14.54</v>
          </cell>
          <cell r="H1042">
            <v>3.41</v>
          </cell>
        </row>
        <row r="1043">
          <cell r="E1043" t="str">
            <v>20130101LGUM_208</v>
          </cell>
          <cell r="F1043">
            <v>13.73</v>
          </cell>
          <cell r="H1043">
            <v>1.55</v>
          </cell>
        </row>
        <row r="1044">
          <cell r="E1044" t="str">
            <v>20130101LGUM_209</v>
          </cell>
          <cell r="F1044">
            <v>25.29</v>
          </cell>
          <cell r="H1044">
            <v>8.16</v>
          </cell>
        </row>
        <row r="1045">
          <cell r="E1045" t="str">
            <v>20130101LGUM_210</v>
          </cell>
          <cell r="F1045">
            <v>26.49</v>
          </cell>
          <cell r="H1045">
            <v>8.16</v>
          </cell>
        </row>
        <row r="1046">
          <cell r="E1046" t="str">
            <v>20130101LGUM_211</v>
          </cell>
          <cell r="F1046">
            <v>14.33</v>
          </cell>
          <cell r="H1046">
            <v>2.2999999999999998</v>
          </cell>
        </row>
        <row r="1047">
          <cell r="E1047" t="str">
            <v>20130101LGUM_212</v>
          </cell>
          <cell r="F1047">
            <v>16.309999999999999</v>
          </cell>
          <cell r="H1047">
            <v>3.65</v>
          </cell>
        </row>
        <row r="1048">
          <cell r="E1048" t="str">
            <v>20130101LGUM_213</v>
          </cell>
          <cell r="F1048">
            <v>17.14</v>
          </cell>
          <cell r="H1048">
            <v>3.65</v>
          </cell>
        </row>
        <row r="1049">
          <cell r="E1049" t="str">
            <v>20130101LGUM_216</v>
          </cell>
          <cell r="F1049">
            <v>26.59</v>
          </cell>
          <cell r="H1049">
            <v>2.2999999999999998</v>
          </cell>
        </row>
        <row r="1050">
          <cell r="E1050" t="str">
            <v>20130101LGUM_217</v>
          </cell>
          <cell r="F1050">
            <v>30.33</v>
          </cell>
          <cell r="H1050">
            <v>3.65</v>
          </cell>
        </row>
        <row r="1051">
          <cell r="E1051" t="str">
            <v>20130101LGUM_222</v>
          </cell>
          <cell r="F1051">
            <v>12.28</v>
          </cell>
          <cell r="H1051">
            <v>1.55</v>
          </cell>
        </row>
        <row r="1052">
          <cell r="E1052" t="str">
            <v>20130101LGUM_223</v>
          </cell>
          <cell r="F1052">
            <v>13.23</v>
          </cell>
          <cell r="H1052">
            <v>1.55</v>
          </cell>
        </row>
        <row r="1053">
          <cell r="E1053" t="str">
            <v>20130101LGUM_224</v>
          </cell>
          <cell r="F1053">
            <v>16.73</v>
          </cell>
          <cell r="H1053">
            <v>1.07</v>
          </cell>
        </row>
        <row r="1054">
          <cell r="E1054" t="str">
            <v>20130101LGUM_225</v>
          </cell>
          <cell r="F1054">
            <v>24.35</v>
          </cell>
          <cell r="H1054">
            <v>1.55</v>
          </cell>
        </row>
        <row r="1055">
          <cell r="E1055" t="str">
            <v>20130101LGUM_226</v>
          </cell>
          <cell r="F1055">
            <v>13.78</v>
          </cell>
          <cell r="H1055">
            <v>0.74</v>
          </cell>
        </row>
        <row r="1056">
          <cell r="E1056" t="str">
            <v>20130101LGUM_251</v>
          </cell>
          <cell r="H1056">
            <v>0</v>
          </cell>
        </row>
        <row r="1057">
          <cell r="E1057" t="str">
            <v>20130101LGUM_252</v>
          </cell>
          <cell r="F1057">
            <v>9.06</v>
          </cell>
          <cell r="H1057">
            <v>1.55</v>
          </cell>
        </row>
        <row r="1058">
          <cell r="E1058" t="str">
            <v>20130101LGUM_253</v>
          </cell>
          <cell r="F1058">
            <v>10.28</v>
          </cell>
          <cell r="H1058">
            <v>2.2000000000000002</v>
          </cell>
        </row>
        <row r="1059">
          <cell r="E1059" t="str">
            <v>20130101LGUM_254</v>
          </cell>
          <cell r="F1059">
            <v>12.51</v>
          </cell>
          <cell r="H1059">
            <v>3.41</v>
          </cell>
        </row>
        <row r="1060">
          <cell r="E1060" t="str">
            <v>20130101LGUM_255</v>
          </cell>
          <cell r="F1060">
            <v>10.42</v>
          </cell>
          <cell r="H1060">
            <v>1.07</v>
          </cell>
        </row>
        <row r="1061">
          <cell r="E1061" t="str">
            <v>20130101LGUM_256</v>
          </cell>
          <cell r="H1061">
            <v>0.92</v>
          </cell>
        </row>
        <row r="1062">
          <cell r="E1062" t="str">
            <v>20130101LGUM_257</v>
          </cell>
          <cell r="F1062">
            <v>14.54</v>
          </cell>
          <cell r="H1062">
            <v>3.41</v>
          </cell>
        </row>
        <row r="1063">
          <cell r="E1063" t="str">
            <v>20130101LGUM_258</v>
          </cell>
          <cell r="F1063">
            <v>13.73</v>
          </cell>
          <cell r="H1063">
            <v>1.55</v>
          </cell>
        </row>
        <row r="1064">
          <cell r="E1064" t="str">
            <v>20130101LGUM_259</v>
          </cell>
          <cell r="F1064">
            <v>25.29</v>
          </cell>
          <cell r="H1064">
            <v>8.16</v>
          </cell>
        </row>
        <row r="1065">
          <cell r="E1065" t="str">
            <v>20130101LGUM_260</v>
          </cell>
          <cell r="F1065">
            <v>26.49</v>
          </cell>
          <cell r="H1065">
            <v>8.16</v>
          </cell>
        </row>
        <row r="1066">
          <cell r="E1066" t="str">
            <v>20130101LGUM_261</v>
          </cell>
          <cell r="F1066">
            <v>14.33</v>
          </cell>
          <cell r="H1066">
            <v>2.2999999999999998</v>
          </cell>
        </row>
        <row r="1067">
          <cell r="E1067" t="str">
            <v>20130101LGUM_262</v>
          </cell>
          <cell r="F1067">
            <v>16.309999999999999</v>
          </cell>
          <cell r="H1067">
            <v>3.65</v>
          </cell>
        </row>
        <row r="1068">
          <cell r="E1068" t="str">
            <v>20130101LGUM_263</v>
          </cell>
          <cell r="F1068">
            <v>17.14</v>
          </cell>
          <cell r="H1068">
            <v>3.65</v>
          </cell>
        </row>
        <row r="1069">
          <cell r="E1069" t="str">
            <v>20130101LGUM_266</v>
          </cell>
          <cell r="F1069">
            <v>26.59</v>
          </cell>
          <cell r="H1069">
            <v>2.2999999999999998</v>
          </cell>
        </row>
        <row r="1070">
          <cell r="E1070" t="str">
            <v>20130101LGUM_267</v>
          </cell>
          <cell r="F1070">
            <v>30.33</v>
          </cell>
          <cell r="H1070">
            <v>3.65</v>
          </cell>
        </row>
        <row r="1071">
          <cell r="E1071" t="str">
            <v>20130101LGUM_272</v>
          </cell>
          <cell r="F1071">
            <v>12.28</v>
          </cell>
          <cell r="H1071">
            <v>1.55</v>
          </cell>
        </row>
        <row r="1072">
          <cell r="E1072" t="str">
            <v>20130101LGUM_273</v>
          </cell>
          <cell r="F1072">
            <v>13.23</v>
          </cell>
          <cell r="H1072">
            <v>1.55</v>
          </cell>
        </row>
        <row r="1073">
          <cell r="E1073" t="str">
            <v>20130101LGUM_274</v>
          </cell>
          <cell r="F1073">
            <v>16.73</v>
          </cell>
          <cell r="H1073">
            <v>1.07</v>
          </cell>
        </row>
        <row r="1074">
          <cell r="E1074" t="str">
            <v>20130101LGUM_275</v>
          </cell>
          <cell r="F1074">
            <v>24.35</v>
          </cell>
          <cell r="H1074">
            <v>1.48</v>
          </cell>
        </row>
        <row r="1075">
          <cell r="E1075" t="str">
            <v>20130101LGUM_276</v>
          </cell>
          <cell r="F1075">
            <v>13.78</v>
          </cell>
          <cell r="H1075">
            <v>0.74</v>
          </cell>
        </row>
        <row r="1076">
          <cell r="E1076" t="str">
            <v>20130101LGUM_277</v>
          </cell>
          <cell r="F1076">
            <v>21.61</v>
          </cell>
          <cell r="H1076">
            <v>1.48</v>
          </cell>
        </row>
        <row r="1077">
          <cell r="E1077" t="str">
            <v>20130101LGUM_278</v>
          </cell>
          <cell r="F1077">
            <v>70</v>
          </cell>
          <cell r="H1077">
            <v>8.14</v>
          </cell>
        </row>
        <row r="1078">
          <cell r="E1078" t="str">
            <v>20130101LGUM_279</v>
          </cell>
          <cell r="F1078">
            <v>38.880000000000003</v>
          </cell>
          <cell r="H1078">
            <v>8.14</v>
          </cell>
        </row>
        <row r="1079">
          <cell r="E1079" t="str">
            <v>20130101LGUM_280</v>
          </cell>
          <cell r="F1079">
            <v>18.989999999999998</v>
          </cell>
          <cell r="H1079">
            <v>0.74</v>
          </cell>
        </row>
        <row r="1080">
          <cell r="E1080" t="str">
            <v>20130101LGUM_281</v>
          </cell>
          <cell r="F1080">
            <v>19.89</v>
          </cell>
          <cell r="H1080">
            <v>1.07</v>
          </cell>
        </row>
        <row r="1081">
          <cell r="E1081" t="str">
            <v>20130101LGUM_282</v>
          </cell>
          <cell r="F1081">
            <v>19.14</v>
          </cell>
          <cell r="H1081">
            <v>0.74</v>
          </cell>
        </row>
        <row r="1082">
          <cell r="E1082" t="str">
            <v>20130101LGUM_283</v>
          </cell>
          <cell r="F1082">
            <v>20.36</v>
          </cell>
          <cell r="H1082">
            <v>1.07</v>
          </cell>
        </row>
        <row r="1083">
          <cell r="E1083" t="str">
            <v>20130101LGUM_301</v>
          </cell>
          <cell r="F1083">
            <v>7.82</v>
          </cell>
          <cell r="H1083">
            <v>0.92</v>
          </cell>
        </row>
        <row r="1084">
          <cell r="E1084" t="str">
            <v>20130101LGUM_302</v>
          </cell>
          <cell r="F1084">
            <v>9.06</v>
          </cell>
          <cell r="H1084">
            <v>1.55</v>
          </cell>
        </row>
        <row r="1085">
          <cell r="E1085" t="str">
            <v>20130101LGUM_303</v>
          </cell>
          <cell r="F1085">
            <v>10.28</v>
          </cell>
          <cell r="H1085">
            <v>2.2000000000000002</v>
          </cell>
        </row>
        <row r="1086">
          <cell r="E1086" t="str">
            <v>20130101LGUM_304</v>
          </cell>
          <cell r="F1086">
            <v>12.51</v>
          </cell>
          <cell r="H1086">
            <v>3.41</v>
          </cell>
        </row>
        <row r="1087">
          <cell r="E1087" t="str">
            <v>20130101LGUM_305</v>
          </cell>
          <cell r="F1087">
            <v>10.42</v>
          </cell>
          <cell r="H1087">
            <v>1.07</v>
          </cell>
        </row>
        <row r="1088">
          <cell r="E1088" t="str">
            <v>20130101LGUM_306</v>
          </cell>
          <cell r="F1088">
            <v>12.13</v>
          </cell>
          <cell r="H1088">
            <v>0.92</v>
          </cell>
        </row>
        <row r="1089">
          <cell r="E1089" t="str">
            <v>20130101LGUM_307</v>
          </cell>
          <cell r="F1089">
            <v>14.54</v>
          </cell>
          <cell r="H1089">
            <v>3.41</v>
          </cell>
        </row>
        <row r="1090">
          <cell r="E1090" t="str">
            <v>20130101LGUM_308</v>
          </cell>
          <cell r="F1090">
            <v>13.73</v>
          </cell>
          <cell r="H1090">
            <v>1.55</v>
          </cell>
        </row>
        <row r="1091">
          <cell r="E1091" t="str">
            <v>20130101LGUM_309</v>
          </cell>
          <cell r="F1091">
            <v>25.29</v>
          </cell>
          <cell r="H1091">
            <v>8.16</v>
          </cell>
        </row>
        <row r="1092">
          <cell r="E1092" t="str">
            <v>20130101LGUM_310</v>
          </cell>
          <cell r="F1092">
            <v>26.49</v>
          </cell>
          <cell r="H1092">
            <v>8.16</v>
          </cell>
        </row>
        <row r="1093">
          <cell r="E1093" t="str">
            <v>20130101LGUM_311</v>
          </cell>
          <cell r="F1093">
            <v>14.33</v>
          </cell>
          <cell r="H1093">
            <v>2.2999999999999998</v>
          </cell>
        </row>
        <row r="1094">
          <cell r="E1094" t="str">
            <v>20130101LGUM_312</v>
          </cell>
          <cell r="F1094">
            <v>16.309999999999999</v>
          </cell>
          <cell r="H1094">
            <v>3.65</v>
          </cell>
        </row>
        <row r="1095">
          <cell r="E1095" t="str">
            <v>20130101LGUM_313</v>
          </cell>
          <cell r="F1095">
            <v>17.14</v>
          </cell>
          <cell r="H1095">
            <v>3.65</v>
          </cell>
        </row>
        <row r="1096">
          <cell r="E1096" t="str">
            <v>20130101LGUM_314</v>
          </cell>
          <cell r="F1096">
            <v>18.52</v>
          </cell>
          <cell r="H1096">
            <v>2.2000000000000002</v>
          </cell>
        </row>
        <row r="1097">
          <cell r="E1097" t="str">
            <v>20130101LGUM_315</v>
          </cell>
          <cell r="F1097">
            <v>21.95</v>
          </cell>
          <cell r="H1097">
            <v>3.41</v>
          </cell>
        </row>
        <row r="1098">
          <cell r="E1098" t="str">
            <v>20130101LGUM_316</v>
          </cell>
          <cell r="F1098">
            <v>26.59</v>
          </cell>
          <cell r="H1098">
            <v>2.2999999999999998</v>
          </cell>
        </row>
        <row r="1099">
          <cell r="E1099" t="str">
            <v>20130101LGUM_317</v>
          </cell>
          <cell r="F1099">
            <v>30.33</v>
          </cell>
          <cell r="H1099">
            <v>3.65</v>
          </cell>
        </row>
        <row r="1100">
          <cell r="E1100" t="str">
            <v>20130101LGUM_318</v>
          </cell>
          <cell r="F1100">
            <v>16.91</v>
          </cell>
          <cell r="H1100">
            <v>1.55</v>
          </cell>
        </row>
        <row r="1101">
          <cell r="E1101" t="str">
            <v>20130101LGUM_319</v>
          </cell>
          <cell r="H1101">
            <v>3.41</v>
          </cell>
        </row>
        <row r="1102">
          <cell r="E1102" t="str">
            <v>20130101LGUM_320</v>
          </cell>
          <cell r="F1102">
            <v>26.59</v>
          </cell>
          <cell r="H1102">
            <v>2.2999999999999998</v>
          </cell>
        </row>
        <row r="1103">
          <cell r="E1103" t="str">
            <v>20130101LGUM_321</v>
          </cell>
          <cell r="F1103">
            <v>30.33</v>
          </cell>
          <cell r="H1103">
            <v>3.65</v>
          </cell>
        </row>
        <row r="1104">
          <cell r="E1104" t="str">
            <v>20130101LGUM_322</v>
          </cell>
          <cell r="F1104">
            <v>12.28</v>
          </cell>
          <cell r="H1104">
            <v>1.55</v>
          </cell>
        </row>
        <row r="1105">
          <cell r="E1105" t="str">
            <v>20130101LGUM_323</v>
          </cell>
          <cell r="F1105">
            <v>13.23</v>
          </cell>
          <cell r="H1105">
            <v>1.55</v>
          </cell>
        </row>
        <row r="1106">
          <cell r="E1106" t="str">
            <v>20130101LGUM_324</v>
          </cell>
          <cell r="F1106">
            <v>16.73</v>
          </cell>
          <cell r="H1106">
            <v>1.07</v>
          </cell>
        </row>
        <row r="1107">
          <cell r="E1107" t="str">
            <v>20130101LGUM_325</v>
          </cell>
          <cell r="F1107">
            <v>24.35</v>
          </cell>
          <cell r="H1107">
            <v>1.55</v>
          </cell>
        </row>
        <row r="1108">
          <cell r="E1108" t="str">
            <v>20130101LGUM_345</v>
          </cell>
          <cell r="H1108">
            <v>3.41</v>
          </cell>
        </row>
        <row r="1109">
          <cell r="E1109" t="str">
            <v>20130101LGUM_346</v>
          </cell>
          <cell r="F1109">
            <v>26.59</v>
          </cell>
          <cell r="H1109">
            <v>2.23</v>
          </cell>
        </row>
        <row r="1110">
          <cell r="E1110" t="str">
            <v>20130101LGUM_347</v>
          </cell>
          <cell r="F1110">
            <v>21.94</v>
          </cell>
          <cell r="H1110">
            <v>3.41</v>
          </cell>
        </row>
        <row r="1111">
          <cell r="E1111" t="str">
            <v>20130101LGUM_348</v>
          </cell>
          <cell r="F1111">
            <v>12.18</v>
          </cell>
          <cell r="H1111">
            <v>2.2200000000000002</v>
          </cell>
        </row>
        <row r="1112">
          <cell r="E1112" t="str">
            <v>20130101LGUM_349</v>
          </cell>
          <cell r="F1112">
            <v>8.7200000000000006</v>
          </cell>
          <cell r="H1112">
            <v>0.74</v>
          </cell>
        </row>
        <row r="1113">
          <cell r="E1113" t="str">
            <v>20130101LGUM_352</v>
          </cell>
          <cell r="F1113">
            <v>9.06</v>
          </cell>
          <cell r="H1113">
            <v>1.55</v>
          </cell>
        </row>
        <row r="1114">
          <cell r="E1114" t="str">
            <v>20130101LGUM_353</v>
          </cell>
          <cell r="F1114">
            <v>10.28</v>
          </cell>
          <cell r="H1114">
            <v>2.2000000000000002</v>
          </cell>
        </row>
        <row r="1115">
          <cell r="E1115" t="str">
            <v>20130101LGUM_354</v>
          </cell>
          <cell r="F1115">
            <v>12.51</v>
          </cell>
          <cell r="H1115">
            <v>3.41</v>
          </cell>
        </row>
        <row r="1116">
          <cell r="E1116" t="str">
            <v>20130101LGUM_355</v>
          </cell>
          <cell r="F1116">
            <v>10.42</v>
          </cell>
          <cell r="H1116">
            <v>1.07</v>
          </cell>
        </row>
        <row r="1117">
          <cell r="E1117" t="str">
            <v>20130101LGUM_356</v>
          </cell>
          <cell r="H1117">
            <v>0.92</v>
          </cell>
        </row>
        <row r="1118">
          <cell r="E1118" t="str">
            <v>20130101LGUM_357</v>
          </cell>
          <cell r="F1118">
            <v>14.54</v>
          </cell>
          <cell r="H1118">
            <v>3.41</v>
          </cell>
        </row>
        <row r="1119">
          <cell r="E1119" t="str">
            <v>20130101LGUM_358</v>
          </cell>
          <cell r="F1119">
            <v>13.73</v>
          </cell>
          <cell r="H1119">
            <v>1.55</v>
          </cell>
        </row>
        <row r="1120">
          <cell r="E1120" t="str">
            <v>20130101LGUM_360</v>
          </cell>
          <cell r="F1120">
            <v>26.49</v>
          </cell>
          <cell r="H1120">
            <v>8.16</v>
          </cell>
        </row>
        <row r="1121">
          <cell r="E1121" t="str">
            <v>20130101LGUM_361</v>
          </cell>
          <cell r="F1121">
            <v>14.33</v>
          </cell>
          <cell r="H1121">
            <v>2.2999999999999998</v>
          </cell>
        </row>
        <row r="1122">
          <cell r="E1122" t="str">
            <v>20130101LGUM_362</v>
          </cell>
          <cell r="F1122">
            <v>16.309999999999999</v>
          </cell>
          <cell r="H1122">
            <v>3.65</v>
          </cell>
        </row>
        <row r="1123">
          <cell r="E1123" t="str">
            <v>20130101LGUM_363</v>
          </cell>
          <cell r="F1123">
            <v>17.14</v>
          </cell>
          <cell r="H1123">
            <v>3.65</v>
          </cell>
        </row>
        <row r="1124">
          <cell r="E1124" t="str">
            <v>20130101LGUM_364</v>
          </cell>
          <cell r="F1124">
            <v>18.52</v>
          </cell>
          <cell r="H1124">
            <v>2.2000000000000002</v>
          </cell>
        </row>
        <row r="1125">
          <cell r="E1125" t="str">
            <v>20130101LGUM_365</v>
          </cell>
          <cell r="F1125">
            <v>21.95</v>
          </cell>
          <cell r="H1125">
            <v>3.41</v>
          </cell>
        </row>
        <row r="1126">
          <cell r="E1126" t="str">
            <v>20130101LGUM_366</v>
          </cell>
          <cell r="F1126">
            <v>26.59</v>
          </cell>
          <cell r="H1126">
            <v>2.2999999999999998</v>
          </cell>
        </row>
        <row r="1127">
          <cell r="E1127" t="str">
            <v>20130101LGUM_367</v>
          </cell>
          <cell r="F1127">
            <v>30.33</v>
          </cell>
          <cell r="H1127">
            <v>3.65</v>
          </cell>
        </row>
        <row r="1128">
          <cell r="E1128" t="str">
            <v>20130101LGUM_368</v>
          </cell>
          <cell r="H1128">
            <v>1.55</v>
          </cell>
        </row>
        <row r="1129">
          <cell r="E1129" t="str">
            <v>20130101LGUM_369</v>
          </cell>
          <cell r="H1129">
            <v>3.41</v>
          </cell>
        </row>
        <row r="1130">
          <cell r="E1130" t="str">
            <v>20130101LGUM_370</v>
          </cell>
          <cell r="F1130">
            <v>26.59</v>
          </cell>
          <cell r="H1130">
            <v>2.2999999999999998</v>
          </cell>
        </row>
        <row r="1131">
          <cell r="E1131" t="str">
            <v>20130101LGUM_371</v>
          </cell>
          <cell r="F1131">
            <v>30.33</v>
          </cell>
          <cell r="H1131">
            <v>3.65</v>
          </cell>
        </row>
        <row r="1132">
          <cell r="E1132" t="str">
            <v>20130101LGUM_372</v>
          </cell>
          <cell r="F1132">
            <v>12.28</v>
          </cell>
          <cell r="H1132">
            <v>1.55</v>
          </cell>
        </row>
        <row r="1133">
          <cell r="E1133" t="str">
            <v>20130101LGUM_373</v>
          </cell>
          <cell r="F1133">
            <v>13.23</v>
          </cell>
          <cell r="H1133">
            <v>1.55</v>
          </cell>
        </row>
        <row r="1134">
          <cell r="E1134" t="str">
            <v>20130101LGUM_374</v>
          </cell>
          <cell r="F1134">
            <v>16.73</v>
          </cell>
          <cell r="H1134">
            <v>1.07</v>
          </cell>
        </row>
        <row r="1135">
          <cell r="E1135" t="str">
            <v>20130101LGUM_375</v>
          </cell>
          <cell r="F1135">
            <v>24.35</v>
          </cell>
          <cell r="H1135">
            <v>1.48</v>
          </cell>
        </row>
        <row r="1136">
          <cell r="E1136" t="str">
            <v>20130101LGUM_376</v>
          </cell>
          <cell r="F1136">
            <v>13.78</v>
          </cell>
          <cell r="H1136">
            <v>0.74</v>
          </cell>
        </row>
        <row r="1137">
          <cell r="E1137" t="str">
            <v>20130101LGUM_377</v>
          </cell>
          <cell r="F1137">
            <v>21.61</v>
          </cell>
          <cell r="H1137">
            <v>1.48</v>
          </cell>
        </row>
        <row r="1138">
          <cell r="E1138" t="str">
            <v>20130101LGUM_378</v>
          </cell>
          <cell r="F1138">
            <v>70</v>
          </cell>
          <cell r="H1138">
            <v>8.14</v>
          </cell>
        </row>
        <row r="1139">
          <cell r="E1139" t="str">
            <v>20130101LGUM_379</v>
          </cell>
          <cell r="F1139">
            <v>38.880000000000003</v>
          </cell>
          <cell r="H1139">
            <v>8.14</v>
          </cell>
        </row>
        <row r="1140">
          <cell r="E1140" t="str">
            <v>20130101LGUM_380</v>
          </cell>
          <cell r="F1140">
            <v>18.989999999999998</v>
          </cell>
          <cell r="H1140">
            <v>0.74</v>
          </cell>
        </row>
        <row r="1141">
          <cell r="E1141" t="str">
            <v>20130101LGUM_381</v>
          </cell>
          <cell r="F1141">
            <v>19.89</v>
          </cell>
          <cell r="H1141">
            <v>1.07</v>
          </cell>
        </row>
        <row r="1142">
          <cell r="E1142" t="str">
            <v>20130101LGUM_382</v>
          </cell>
          <cell r="F1142">
            <v>19.14</v>
          </cell>
          <cell r="H1142">
            <v>0.74</v>
          </cell>
        </row>
        <row r="1143">
          <cell r="E1143" t="str">
            <v>20130101LGUM_383</v>
          </cell>
          <cell r="F1143">
            <v>20.36</v>
          </cell>
          <cell r="H1143">
            <v>1.07</v>
          </cell>
        </row>
        <row r="1144">
          <cell r="E1144" t="str">
            <v>20130101LGUM_384</v>
          </cell>
          <cell r="H1144">
            <v>1.07</v>
          </cell>
        </row>
        <row r="1145">
          <cell r="E1145" t="str">
            <v>20130101LGUM_385</v>
          </cell>
          <cell r="H1145">
            <v>1.07</v>
          </cell>
        </row>
        <row r="1146">
          <cell r="E1146" t="str">
            <v>20130101LGUM_400</v>
          </cell>
          <cell r="F1146">
            <v>23.44</v>
          </cell>
          <cell r="H1146">
            <v>0.92</v>
          </cell>
        </row>
        <row r="1147">
          <cell r="E1147" t="str">
            <v>20130101LGUM_401</v>
          </cell>
          <cell r="F1147">
            <v>24.46</v>
          </cell>
          <cell r="H1147">
            <v>0.86</v>
          </cell>
        </row>
        <row r="1148">
          <cell r="E1148" t="str">
            <v>20130101LGUM_412</v>
          </cell>
          <cell r="F1148">
            <v>19.420000000000002</v>
          </cell>
          <cell r="H1148">
            <v>0.61</v>
          </cell>
        </row>
        <row r="1149">
          <cell r="E1149" t="str">
            <v>20130101LGUM_413</v>
          </cell>
          <cell r="F1149">
            <v>20.05</v>
          </cell>
          <cell r="H1149">
            <v>0.86</v>
          </cell>
        </row>
        <row r="1150">
          <cell r="E1150" t="str">
            <v>20130101LGUM_414</v>
          </cell>
          <cell r="F1150">
            <v>21.61</v>
          </cell>
          <cell r="H1150">
            <v>1.34</v>
          </cell>
        </row>
        <row r="1151">
          <cell r="E1151" t="str">
            <v>20130101LGUM_415</v>
          </cell>
          <cell r="F1151">
            <v>19.809999999999999</v>
          </cell>
          <cell r="H1151">
            <v>0.61</v>
          </cell>
        </row>
        <row r="1152">
          <cell r="E1152" t="str">
            <v>20130101LGUM_416</v>
          </cell>
          <cell r="F1152">
            <v>22.12</v>
          </cell>
          <cell r="H1152">
            <v>0.86</v>
          </cell>
        </row>
        <row r="1153">
          <cell r="E1153" t="str">
            <v>20130101LGUM_417</v>
          </cell>
          <cell r="F1153">
            <v>23.24</v>
          </cell>
          <cell r="H1153">
            <v>0.83</v>
          </cell>
        </row>
        <row r="1154">
          <cell r="E1154" t="str">
            <v>20130101LGUM_418</v>
          </cell>
          <cell r="F1154">
            <v>21.61</v>
          </cell>
          <cell r="H1154">
            <v>1.34</v>
          </cell>
        </row>
        <row r="1155">
          <cell r="E1155" t="str">
            <v>20130101LGUM_419</v>
          </cell>
          <cell r="F1155">
            <v>24.1</v>
          </cell>
          <cell r="H1155">
            <v>1.34</v>
          </cell>
        </row>
        <row r="1156">
          <cell r="E1156" t="str">
            <v>20130101LGUM_420</v>
          </cell>
          <cell r="F1156">
            <v>29.35</v>
          </cell>
          <cell r="H1156">
            <v>1.34</v>
          </cell>
        </row>
        <row r="1157">
          <cell r="E1157" t="str">
            <v>20130101LGUM_421</v>
          </cell>
          <cell r="F1157">
            <v>32.1</v>
          </cell>
          <cell r="H1157">
            <v>2.17</v>
          </cell>
        </row>
        <row r="1158">
          <cell r="E1158" t="str">
            <v>20130101LGUM_422</v>
          </cell>
          <cell r="F1158">
            <v>37.32</v>
          </cell>
          <cell r="H1158">
            <v>3.48</v>
          </cell>
        </row>
        <row r="1159">
          <cell r="E1159" t="str">
            <v>20130101LGUM_423</v>
          </cell>
          <cell r="F1159">
            <v>25.81</v>
          </cell>
          <cell r="H1159">
            <v>1.34</v>
          </cell>
        </row>
        <row r="1160">
          <cell r="E1160" t="str">
            <v>20130101LGUM_424</v>
          </cell>
          <cell r="F1160">
            <v>27.69</v>
          </cell>
          <cell r="H1160">
            <v>3.48</v>
          </cell>
        </row>
        <row r="1161">
          <cell r="E1161" t="str">
            <v>20130101LGUM_425</v>
          </cell>
          <cell r="F1161">
            <v>32.96</v>
          </cell>
          <cell r="H1161">
            <v>3.48</v>
          </cell>
        </row>
        <row r="1162">
          <cell r="E1162" t="str">
            <v>20130101LGUM_426</v>
          </cell>
          <cell r="F1162">
            <v>32.85</v>
          </cell>
          <cell r="H1162">
            <v>0.61</v>
          </cell>
        </row>
        <row r="1163">
          <cell r="E1163" t="str">
            <v>20130101LGUM_427</v>
          </cell>
          <cell r="F1163">
            <v>34.83</v>
          </cell>
          <cell r="H1163">
            <v>0.61</v>
          </cell>
        </row>
        <row r="1164">
          <cell r="E1164" t="str">
            <v>20130101LGUM_428</v>
          </cell>
          <cell r="F1164">
            <v>33.65</v>
          </cell>
          <cell r="H1164">
            <v>0.86</v>
          </cell>
        </row>
        <row r="1165">
          <cell r="E1165" t="str">
            <v>20130101LGUM_429</v>
          </cell>
          <cell r="F1165">
            <v>35.630000000000003</v>
          </cell>
          <cell r="H1165">
            <v>0.86</v>
          </cell>
        </row>
        <row r="1166">
          <cell r="E1166" t="str">
            <v>20130101LGUM_430</v>
          </cell>
          <cell r="F1166">
            <v>31.89</v>
          </cell>
          <cell r="H1166">
            <v>0.61</v>
          </cell>
        </row>
        <row r="1167">
          <cell r="E1167" t="str">
            <v>20130101LGUM_431</v>
          </cell>
          <cell r="F1167">
            <v>32.56</v>
          </cell>
          <cell r="H1167">
            <v>0.61</v>
          </cell>
        </row>
        <row r="1168">
          <cell r="E1168" t="str">
            <v>20130101LGUM_432</v>
          </cell>
          <cell r="F1168">
            <v>33.89</v>
          </cell>
          <cell r="H1168">
            <v>0.86</v>
          </cell>
        </row>
        <row r="1169">
          <cell r="E1169" t="str">
            <v>20130101LGUM_433</v>
          </cell>
          <cell r="F1169">
            <v>34.549999999999997</v>
          </cell>
          <cell r="H1169">
            <v>0.86</v>
          </cell>
        </row>
        <row r="1170">
          <cell r="E1170" t="str">
            <v>20130101LGUM_434</v>
          </cell>
          <cell r="F1170">
            <v>12.13</v>
          </cell>
          <cell r="H1170">
            <v>0.92</v>
          </cell>
        </row>
        <row r="1171">
          <cell r="E1171" t="str">
            <v>20130101LGUM_435</v>
          </cell>
          <cell r="F1171">
            <v>13.73</v>
          </cell>
          <cell r="H1171">
            <v>1.55</v>
          </cell>
        </row>
        <row r="1172">
          <cell r="E1172" t="str">
            <v>20130101LGUM_436</v>
          </cell>
          <cell r="H1172">
            <v>3.41</v>
          </cell>
        </row>
        <row r="1173">
          <cell r="E1173" t="str">
            <v>20130101LGUM_437</v>
          </cell>
          <cell r="H1173">
            <v>2.2000000000000002</v>
          </cell>
        </row>
        <row r="1174">
          <cell r="E1174" t="str">
            <v>20130101LGUM_438</v>
          </cell>
          <cell r="F1174">
            <v>21.95</v>
          </cell>
          <cell r="H1174">
            <v>3.41</v>
          </cell>
        </row>
        <row r="1175">
          <cell r="E1175" t="str">
            <v>20130101LGUM_439</v>
          </cell>
          <cell r="F1175">
            <v>15.92</v>
          </cell>
          <cell r="H1175">
            <v>1.34</v>
          </cell>
        </row>
        <row r="1176">
          <cell r="E1176" t="str">
            <v>20130101LGUM_440</v>
          </cell>
          <cell r="F1176">
            <v>17.52</v>
          </cell>
          <cell r="H1176">
            <v>2.17</v>
          </cell>
        </row>
        <row r="1177">
          <cell r="E1177" t="str">
            <v>20130101LGUM_441</v>
          </cell>
          <cell r="F1177">
            <v>21.25</v>
          </cell>
          <cell r="H1177">
            <v>3.48</v>
          </cell>
        </row>
        <row r="1178">
          <cell r="E1178" t="str">
            <v>20130101LGUM_452</v>
          </cell>
          <cell r="F1178">
            <v>12.28</v>
          </cell>
          <cell r="H1178">
            <v>1.34</v>
          </cell>
        </row>
        <row r="1179">
          <cell r="E1179" t="str">
            <v>20130101LGUM_453</v>
          </cell>
          <cell r="F1179">
            <v>14.33</v>
          </cell>
          <cell r="H1179">
            <v>3.48</v>
          </cell>
        </row>
        <row r="1180">
          <cell r="E1180" t="str">
            <v>20130101LGUM_454</v>
          </cell>
          <cell r="F1180">
            <v>16.309999999999999</v>
          </cell>
          <cell r="H1180">
            <v>3.48</v>
          </cell>
        </row>
        <row r="1181">
          <cell r="E1181" t="str">
            <v>20130101LGUM_455</v>
          </cell>
          <cell r="F1181">
            <v>13.23</v>
          </cell>
          <cell r="H1181">
            <v>1.34</v>
          </cell>
        </row>
        <row r="1182">
          <cell r="E1182" t="str">
            <v>20130101LGUM_456</v>
          </cell>
          <cell r="F1182">
            <v>17.14</v>
          </cell>
          <cell r="H1182">
            <v>3.48</v>
          </cell>
        </row>
        <row r="1183">
          <cell r="E1183" t="str">
            <v>20130101LGUM_457</v>
          </cell>
          <cell r="F1183">
            <v>10.42</v>
          </cell>
          <cell r="H1183">
            <v>0.86</v>
          </cell>
        </row>
        <row r="1184">
          <cell r="E1184" t="str">
            <v>20130101LGUM_458</v>
          </cell>
          <cell r="F1184">
            <v>10.62</v>
          </cell>
          <cell r="H1184">
            <v>3.41</v>
          </cell>
        </row>
        <row r="1185">
          <cell r="E1185" t="str">
            <v>20130101LGUM_459</v>
          </cell>
          <cell r="F1185">
            <v>10.28</v>
          </cell>
          <cell r="H1185">
            <v>2.17</v>
          </cell>
        </row>
        <row r="1186">
          <cell r="E1186" t="str">
            <v>20130101LGUM_460</v>
          </cell>
          <cell r="F1186">
            <v>12.51</v>
          </cell>
          <cell r="H1186">
            <v>3.48</v>
          </cell>
        </row>
        <row r="1187">
          <cell r="E1187" t="str">
            <v>20130101LGUM_461</v>
          </cell>
          <cell r="F1187">
            <v>14.54</v>
          </cell>
          <cell r="H1187">
            <v>3.48</v>
          </cell>
        </row>
        <row r="1188">
          <cell r="E1188" t="str">
            <v>20130101LGUM_462</v>
          </cell>
          <cell r="F1188">
            <v>9.06</v>
          </cell>
          <cell r="H1188">
            <v>3.41</v>
          </cell>
        </row>
        <row r="1189">
          <cell r="E1189" t="str">
            <v>20130101LGUM_470</v>
          </cell>
          <cell r="F1189">
            <v>12.27</v>
          </cell>
          <cell r="H1189">
            <v>1.1100000000000001</v>
          </cell>
        </row>
        <row r="1190">
          <cell r="E1190" t="str">
            <v>20130101LGUM_471</v>
          </cell>
          <cell r="F1190">
            <v>14.55</v>
          </cell>
          <cell r="H1190">
            <v>1.1100000000000001</v>
          </cell>
        </row>
        <row r="1191">
          <cell r="E1191" t="str">
            <v>20130101LGUM_472</v>
          </cell>
          <cell r="H1191">
            <v>1.1100000000000001</v>
          </cell>
        </row>
        <row r="1192">
          <cell r="E1192" t="str">
            <v>20130101LGUM_473</v>
          </cell>
          <cell r="F1192">
            <v>17.8</v>
          </cell>
          <cell r="H1192">
            <v>2.58</v>
          </cell>
        </row>
        <row r="1193">
          <cell r="E1193" t="str">
            <v>20130101LGUM_474</v>
          </cell>
          <cell r="F1193">
            <v>20.09</v>
          </cell>
          <cell r="H1193">
            <v>2.58</v>
          </cell>
        </row>
        <row r="1194">
          <cell r="E1194" t="str">
            <v>20130101LGUM_475</v>
          </cell>
          <cell r="F1194">
            <v>27.54</v>
          </cell>
          <cell r="H1194">
            <v>2.58</v>
          </cell>
        </row>
        <row r="1195">
          <cell r="E1195" t="str">
            <v>20130101LGUM_476</v>
          </cell>
          <cell r="F1195">
            <v>37.19</v>
          </cell>
          <cell r="H1195">
            <v>7.97</v>
          </cell>
        </row>
        <row r="1196">
          <cell r="E1196" t="str">
            <v>20130101LGUM_477</v>
          </cell>
          <cell r="F1196">
            <v>40.369999999999997</v>
          </cell>
          <cell r="H1196">
            <v>7.97</v>
          </cell>
        </row>
        <row r="1197">
          <cell r="E1197" t="str">
            <v>20130101LGUM_478</v>
          </cell>
          <cell r="F1197">
            <v>45.32</v>
          </cell>
          <cell r="H1197">
            <v>7.97</v>
          </cell>
        </row>
        <row r="1198">
          <cell r="E1198" t="str">
            <v>20130101LGUM_479</v>
          </cell>
          <cell r="F1198">
            <v>13.54</v>
          </cell>
          <cell r="H1198">
            <v>1.1100000000000001</v>
          </cell>
        </row>
        <row r="1199">
          <cell r="E1199" t="str">
            <v>20130101LGUM_480</v>
          </cell>
          <cell r="F1199">
            <v>23.31</v>
          </cell>
          <cell r="H1199">
            <v>1.1100000000000001</v>
          </cell>
        </row>
        <row r="1200">
          <cell r="E1200" t="str">
            <v>20130101LGUM_481</v>
          </cell>
          <cell r="F1200">
            <v>19.579999999999998</v>
          </cell>
          <cell r="H1200">
            <v>2.58</v>
          </cell>
        </row>
        <row r="1201">
          <cell r="E1201" t="str">
            <v>20130101LGUM_482</v>
          </cell>
          <cell r="F1201">
            <v>29.33</v>
          </cell>
          <cell r="H1201">
            <v>2.58</v>
          </cell>
        </row>
        <row r="1202">
          <cell r="E1202" t="str">
            <v>20130101LGUM_483</v>
          </cell>
          <cell r="F1202">
            <v>40.15</v>
          </cell>
          <cell r="H1202">
            <v>7.97</v>
          </cell>
        </row>
        <row r="1203">
          <cell r="E1203" t="str">
            <v>20130101LGUM_484</v>
          </cell>
          <cell r="F1203">
            <v>49.9</v>
          </cell>
          <cell r="H1203">
            <v>7.97</v>
          </cell>
        </row>
        <row r="1204">
          <cell r="E1204" t="str">
            <v>20130701LGUM_002</v>
          </cell>
        </row>
        <row r="1205">
          <cell r="E1205" t="str">
            <v>20130701LGUM_152</v>
          </cell>
        </row>
        <row r="1206">
          <cell r="E1206" t="str">
            <v>20130701LGUM_163</v>
          </cell>
        </row>
        <row r="1207">
          <cell r="E1207" t="str">
            <v>20130701LGUM_201</v>
          </cell>
          <cell r="F1207">
            <v>7.99</v>
          </cell>
          <cell r="H1207">
            <v>1.0899999999999999</v>
          </cell>
        </row>
        <row r="1208">
          <cell r="E1208" t="str">
            <v>20130701LGUM_202</v>
          </cell>
        </row>
        <row r="1209">
          <cell r="E1209" t="str">
            <v>20130701LGUM_203</v>
          </cell>
          <cell r="F1209">
            <v>10.79</v>
          </cell>
          <cell r="H1209">
            <v>2.7099999999999991</v>
          </cell>
        </row>
        <row r="1210">
          <cell r="E1210" t="str">
            <v>20130701LGUM_204</v>
          </cell>
          <cell r="F1210">
            <v>13.3</v>
          </cell>
          <cell r="H1210">
            <v>4.2000000000000011</v>
          </cell>
        </row>
        <row r="1211">
          <cell r="E1211" t="str">
            <v>20130701LGUM_205</v>
          </cell>
        </row>
        <row r="1212">
          <cell r="E1212" t="str">
            <v>20130701LGUM_206</v>
          </cell>
          <cell r="F1212">
            <v>12.3</v>
          </cell>
          <cell r="H1212">
            <v>1.0899999999999999</v>
          </cell>
        </row>
        <row r="1213">
          <cell r="E1213" t="str">
            <v>20130701LGUM_207</v>
          </cell>
          <cell r="F1213">
            <v>15.33</v>
          </cell>
          <cell r="H1213">
            <v>4.2000000000000011</v>
          </cell>
        </row>
        <row r="1214">
          <cell r="E1214" t="str">
            <v>20130701LGUM_208</v>
          </cell>
          <cell r="F1214">
            <v>14.09</v>
          </cell>
          <cell r="H1214">
            <v>1.9100000000000001</v>
          </cell>
        </row>
        <row r="1215">
          <cell r="E1215" t="str">
            <v>20130701LGUM_209</v>
          </cell>
          <cell r="F1215">
            <v>27.3</v>
          </cell>
          <cell r="H1215">
            <v>10.170000000000002</v>
          </cell>
        </row>
        <row r="1216">
          <cell r="E1216" t="str">
            <v>20130701LGUM_210</v>
          </cell>
          <cell r="F1216">
            <v>28.5</v>
          </cell>
          <cell r="H1216">
            <v>10.170000000000002</v>
          </cell>
        </row>
        <row r="1217">
          <cell r="E1217" t="str">
            <v>20130701LGUM_211</v>
          </cell>
        </row>
        <row r="1218">
          <cell r="E1218" t="str">
            <v>20130701LGUM_212</v>
          </cell>
        </row>
        <row r="1219">
          <cell r="E1219" t="str">
            <v>20130701LGUM_213</v>
          </cell>
        </row>
        <row r="1220">
          <cell r="E1220" t="str">
            <v>20130701LGUM_216</v>
          </cell>
        </row>
        <row r="1221">
          <cell r="E1221" t="str">
            <v>20130701LGUM_217</v>
          </cell>
        </row>
        <row r="1222">
          <cell r="E1222" t="str">
            <v>20130701LGUM_222</v>
          </cell>
        </row>
        <row r="1223">
          <cell r="E1223" t="str">
            <v>20130701LGUM_223</v>
          </cell>
        </row>
        <row r="1224">
          <cell r="E1224" t="str">
            <v>20130701LGUM_224</v>
          </cell>
        </row>
        <row r="1225">
          <cell r="E1225" t="str">
            <v>20130701LGUM_225</v>
          </cell>
        </row>
        <row r="1226">
          <cell r="E1226" t="str">
            <v>20130701LGUM_226</v>
          </cell>
        </row>
        <row r="1227">
          <cell r="E1227" t="str">
            <v>20130701LGUM_251</v>
          </cell>
        </row>
        <row r="1228">
          <cell r="E1228" t="str">
            <v>20130701LGUM_252</v>
          </cell>
          <cell r="F1228">
            <v>9.42</v>
          </cell>
          <cell r="H1228">
            <v>1.9099999999999993</v>
          </cell>
        </row>
        <row r="1229">
          <cell r="E1229" t="str">
            <v>20130701LGUM_253</v>
          </cell>
        </row>
        <row r="1230">
          <cell r="E1230" t="str">
            <v>20130701LGUM_254</v>
          </cell>
        </row>
        <row r="1231">
          <cell r="E1231" t="str">
            <v>20130701LGUM_255</v>
          </cell>
        </row>
        <row r="1232">
          <cell r="E1232" t="str">
            <v>20130701LGUM_256</v>
          </cell>
        </row>
        <row r="1233">
          <cell r="E1233" t="str">
            <v>20130701LGUM_257</v>
          </cell>
        </row>
        <row r="1234">
          <cell r="E1234" t="str">
            <v>20130701LGUM_258</v>
          </cell>
        </row>
        <row r="1235">
          <cell r="E1235" t="str">
            <v>20130701LGUM_259</v>
          </cell>
        </row>
        <row r="1236">
          <cell r="E1236" t="str">
            <v>20130701LGUM_260</v>
          </cell>
        </row>
        <row r="1237">
          <cell r="E1237" t="str">
            <v>20130701LGUM_261</v>
          </cell>
        </row>
        <row r="1238">
          <cell r="E1238" t="str">
            <v>20130701LGUM_262</v>
          </cell>
        </row>
        <row r="1239">
          <cell r="E1239" t="str">
            <v>20130701LGUM_263</v>
          </cell>
        </row>
        <row r="1240">
          <cell r="E1240" t="str">
            <v>20130701LGUM_266</v>
          </cell>
          <cell r="F1240">
            <v>27.09</v>
          </cell>
          <cell r="H1240">
            <v>2.8000000000000007</v>
          </cell>
        </row>
        <row r="1241">
          <cell r="E1241" t="str">
            <v>20130701LGUM_267</v>
          </cell>
          <cell r="F1241">
            <v>31.13</v>
          </cell>
          <cell r="H1241">
            <v>4.4499999999999993</v>
          </cell>
        </row>
        <row r="1242">
          <cell r="E1242" t="str">
            <v>20130701LGUM_272</v>
          </cell>
        </row>
        <row r="1243">
          <cell r="E1243" t="str">
            <v>20130701LGUM_273</v>
          </cell>
        </row>
        <row r="1244">
          <cell r="E1244" t="str">
            <v>20130701LGUM_274</v>
          </cell>
          <cell r="F1244">
            <v>16.93</v>
          </cell>
          <cell r="H1244">
            <v>1.2699999999999996</v>
          </cell>
        </row>
        <row r="1245">
          <cell r="E1245" t="str">
            <v>20130701LGUM_275</v>
          </cell>
          <cell r="F1245">
            <v>24.66</v>
          </cell>
          <cell r="H1245">
            <v>1.7899999999999991</v>
          </cell>
        </row>
        <row r="1246">
          <cell r="E1246" t="str">
            <v>20130701LGUM_276</v>
          </cell>
          <cell r="F1246">
            <v>13.92</v>
          </cell>
          <cell r="H1246">
            <v>0.88000000000000078</v>
          </cell>
        </row>
        <row r="1247">
          <cell r="E1247" t="str">
            <v>20130701LGUM_277</v>
          </cell>
          <cell r="F1247">
            <v>21.92</v>
          </cell>
          <cell r="H1247">
            <v>1.7900000000000027</v>
          </cell>
        </row>
        <row r="1248">
          <cell r="E1248" t="str">
            <v>20130701LGUM_278</v>
          </cell>
          <cell r="F1248">
            <v>71.7</v>
          </cell>
          <cell r="H1248">
            <v>9.8400000000000034</v>
          </cell>
        </row>
        <row r="1249">
          <cell r="E1249" t="str">
            <v>20130701LGUM_279</v>
          </cell>
          <cell r="F1249">
            <v>40.58</v>
          </cell>
          <cell r="H1249">
            <v>9.8399999999999963</v>
          </cell>
        </row>
        <row r="1250">
          <cell r="E1250" t="str">
            <v>20130701LGUM_280</v>
          </cell>
          <cell r="F1250">
            <v>19.13</v>
          </cell>
          <cell r="H1250">
            <v>0.87999999999999901</v>
          </cell>
        </row>
        <row r="1251">
          <cell r="E1251" t="str">
            <v>20130701LGUM_281</v>
          </cell>
          <cell r="F1251">
            <v>20.09</v>
          </cell>
          <cell r="H1251">
            <v>1.2699999999999996</v>
          </cell>
        </row>
        <row r="1252">
          <cell r="E1252" t="str">
            <v>20130701LGUM_282</v>
          </cell>
          <cell r="F1252">
            <v>19.28</v>
          </cell>
          <cell r="H1252">
            <v>0.87999999999999901</v>
          </cell>
        </row>
        <row r="1253">
          <cell r="E1253" t="str">
            <v>20130701LGUM_283</v>
          </cell>
          <cell r="F1253">
            <v>20.56</v>
          </cell>
          <cell r="H1253">
            <v>1.2699999999999996</v>
          </cell>
        </row>
        <row r="1254">
          <cell r="E1254" t="str">
            <v>20130701LGUM_301</v>
          </cell>
        </row>
        <row r="1255">
          <cell r="E1255" t="str">
            <v>20130701LGUM_302</v>
          </cell>
        </row>
        <row r="1256">
          <cell r="E1256" t="str">
            <v>20130701LGUM_303</v>
          </cell>
        </row>
        <row r="1257">
          <cell r="E1257" t="str">
            <v>20130701LGUM_304</v>
          </cell>
        </row>
        <row r="1258">
          <cell r="E1258" t="str">
            <v>20130701LGUM_305</v>
          </cell>
        </row>
        <row r="1259">
          <cell r="E1259" t="str">
            <v>20130701LGUM_306</v>
          </cell>
        </row>
        <row r="1260">
          <cell r="E1260" t="str">
            <v>20130701LGUM_307</v>
          </cell>
        </row>
        <row r="1261">
          <cell r="E1261" t="str">
            <v>20130701LGUM_308</v>
          </cell>
        </row>
        <row r="1262">
          <cell r="E1262" t="str">
            <v>20130701LGUM_309</v>
          </cell>
        </row>
        <row r="1263">
          <cell r="E1263" t="str">
            <v>20130701LGUM_310</v>
          </cell>
        </row>
        <row r="1264">
          <cell r="E1264" t="str">
            <v>20130701LGUM_311</v>
          </cell>
        </row>
        <row r="1265">
          <cell r="E1265" t="str">
            <v>20130701LGUM_312</v>
          </cell>
        </row>
        <row r="1266">
          <cell r="E1266" t="str">
            <v>20130701LGUM_313</v>
          </cell>
        </row>
        <row r="1267">
          <cell r="E1267" t="str">
            <v>20130701LGUM_314</v>
          </cell>
          <cell r="F1267">
            <v>19.03</v>
          </cell>
          <cell r="H1267">
            <v>2.7100000000000009</v>
          </cell>
        </row>
        <row r="1268">
          <cell r="E1268" t="str">
            <v>20130701LGUM_315</v>
          </cell>
          <cell r="F1268">
            <v>22.74</v>
          </cell>
          <cell r="H1268">
            <v>4.1999999999999993</v>
          </cell>
        </row>
        <row r="1269">
          <cell r="E1269" t="str">
            <v>20130701LGUM_316</v>
          </cell>
        </row>
        <row r="1270">
          <cell r="E1270" t="str">
            <v>20130701LGUM_317</v>
          </cell>
        </row>
        <row r="1271">
          <cell r="E1271" t="str">
            <v>20130701LGUM_318</v>
          </cell>
          <cell r="F1271">
            <v>17.27</v>
          </cell>
          <cell r="H1271">
            <v>1.9100000000000001</v>
          </cell>
        </row>
        <row r="1272">
          <cell r="E1272" t="str">
            <v>20130701LGUM_319</v>
          </cell>
        </row>
        <row r="1273">
          <cell r="E1273" t="str">
            <v>20130701LGUM_320</v>
          </cell>
        </row>
        <row r="1274">
          <cell r="E1274" t="str">
            <v>20130701LGUM_321</v>
          </cell>
        </row>
        <row r="1275">
          <cell r="E1275" t="str">
            <v>20130701LGUM_322</v>
          </cell>
        </row>
        <row r="1276">
          <cell r="E1276" t="str">
            <v>20130701LGUM_323</v>
          </cell>
        </row>
        <row r="1277">
          <cell r="E1277" t="str">
            <v>20130701LGUM_324</v>
          </cell>
        </row>
        <row r="1278">
          <cell r="E1278" t="str">
            <v>20130701LGUM_325</v>
          </cell>
        </row>
        <row r="1279">
          <cell r="E1279" t="str">
            <v>20130701LGUM_345</v>
          </cell>
        </row>
        <row r="1280">
          <cell r="E1280" t="str">
            <v>20130701LGUM_346</v>
          </cell>
        </row>
        <row r="1281">
          <cell r="E1281" t="str">
            <v>20130701LGUM_347</v>
          </cell>
          <cell r="F1281">
            <v>22.73</v>
          </cell>
          <cell r="H1281">
            <v>26.14</v>
          </cell>
        </row>
        <row r="1282">
          <cell r="E1282" t="str">
            <v>20130701LGUM_348</v>
          </cell>
          <cell r="F1282">
            <v>12.94</v>
          </cell>
          <cell r="H1282">
            <v>2.9800000000000004</v>
          </cell>
        </row>
        <row r="1283">
          <cell r="E1283" t="str">
            <v>20130701LGUM_349</v>
          </cell>
          <cell r="F1283">
            <v>8.89</v>
          </cell>
          <cell r="H1283">
            <v>0.91000000000000014</v>
          </cell>
        </row>
        <row r="1284">
          <cell r="E1284" t="str">
            <v>20130701LGUM_352</v>
          </cell>
        </row>
        <row r="1285">
          <cell r="E1285" t="str">
            <v>20130701LGUM_353</v>
          </cell>
        </row>
        <row r="1286">
          <cell r="E1286" t="str">
            <v>20130701LGUM_354</v>
          </cell>
        </row>
        <row r="1287">
          <cell r="E1287" t="str">
            <v>20130701LGUM_355</v>
          </cell>
        </row>
        <row r="1288">
          <cell r="E1288" t="str">
            <v>20130701LGUM_356</v>
          </cell>
        </row>
        <row r="1289">
          <cell r="E1289" t="str">
            <v>20130701LGUM_357</v>
          </cell>
        </row>
        <row r="1290">
          <cell r="E1290" t="str">
            <v>20130701LGUM_358</v>
          </cell>
        </row>
        <row r="1291">
          <cell r="E1291" t="str">
            <v>20130701LGUM_360</v>
          </cell>
        </row>
        <row r="1292">
          <cell r="E1292" t="str">
            <v>20130701LGUM_361</v>
          </cell>
        </row>
        <row r="1293">
          <cell r="E1293" t="str">
            <v>20130701LGUM_362</v>
          </cell>
        </row>
        <row r="1294">
          <cell r="E1294" t="str">
            <v>20130701LGUM_363</v>
          </cell>
        </row>
        <row r="1295">
          <cell r="E1295" t="str">
            <v>20130701LGUM_364</v>
          </cell>
        </row>
        <row r="1296">
          <cell r="E1296" t="str">
            <v>20130701LGUM_365</v>
          </cell>
        </row>
        <row r="1297">
          <cell r="E1297" t="str">
            <v>20130701LGUM_366</v>
          </cell>
        </row>
        <row r="1298">
          <cell r="E1298" t="str">
            <v>20130701LGUM_367</v>
          </cell>
        </row>
        <row r="1299">
          <cell r="E1299" t="str">
            <v>20130701LGUM_368</v>
          </cell>
        </row>
        <row r="1300">
          <cell r="E1300" t="str">
            <v>20130701LGUM_369</v>
          </cell>
        </row>
        <row r="1301">
          <cell r="E1301" t="str">
            <v>20130701LGUM_370</v>
          </cell>
        </row>
        <row r="1302">
          <cell r="E1302" t="str">
            <v>20130701LGUM_371</v>
          </cell>
        </row>
        <row r="1303">
          <cell r="E1303" t="str">
            <v>20130701LGUM_372</v>
          </cell>
        </row>
        <row r="1304">
          <cell r="E1304" t="str">
            <v>20130701LGUM_373</v>
          </cell>
        </row>
        <row r="1305">
          <cell r="E1305" t="str">
            <v>20130701LGUM_374</v>
          </cell>
        </row>
        <row r="1306">
          <cell r="E1306" t="str">
            <v>20130701LGUM_375</v>
          </cell>
        </row>
        <row r="1307">
          <cell r="E1307" t="str">
            <v>20130701LGUM_376</v>
          </cell>
        </row>
        <row r="1308">
          <cell r="E1308" t="str">
            <v>20130701LGUM_377</v>
          </cell>
        </row>
        <row r="1309">
          <cell r="E1309" t="str">
            <v>20130701LGUM_378</v>
          </cell>
        </row>
        <row r="1310">
          <cell r="E1310" t="str">
            <v>20130701LGUM_379</v>
          </cell>
        </row>
        <row r="1311">
          <cell r="E1311" t="str">
            <v>20130701LGUM_380</v>
          </cell>
        </row>
        <row r="1312">
          <cell r="E1312" t="str">
            <v>20130701LGUM_381</v>
          </cell>
        </row>
        <row r="1313">
          <cell r="E1313" t="str">
            <v>20130701LGUM_382</v>
          </cell>
        </row>
        <row r="1314">
          <cell r="E1314" t="str">
            <v>20130701LGUM_383</v>
          </cell>
        </row>
        <row r="1315">
          <cell r="E1315" t="str">
            <v>20130701LGUM_384</v>
          </cell>
        </row>
        <row r="1316">
          <cell r="E1316" t="str">
            <v>20130701LGUM_385</v>
          </cell>
        </row>
        <row r="1317">
          <cell r="E1317" t="str">
            <v>20130701LGUM_400</v>
          </cell>
          <cell r="F1317">
            <v>23.54</v>
          </cell>
          <cell r="H1317">
            <v>1.0199999999999996</v>
          </cell>
        </row>
        <row r="1318">
          <cell r="E1318" t="str">
            <v>20130701LGUM_401</v>
          </cell>
          <cell r="F1318">
            <v>24.66</v>
          </cell>
          <cell r="H1318">
            <v>1.0599999999999987</v>
          </cell>
        </row>
        <row r="1319">
          <cell r="E1319" t="str">
            <v>20130701LGUM_412</v>
          </cell>
          <cell r="F1319">
            <v>19.559999999999999</v>
          </cell>
          <cell r="H1319">
            <v>0.74999999999999645</v>
          </cell>
        </row>
        <row r="1320">
          <cell r="E1320" t="str">
            <v>20130701LGUM_413</v>
          </cell>
          <cell r="F1320">
            <v>20.25</v>
          </cell>
          <cell r="H1320">
            <v>1.0599999999999987</v>
          </cell>
        </row>
        <row r="1321">
          <cell r="E1321" t="str">
            <v>20130701LGUM_414</v>
          </cell>
        </row>
        <row r="1322">
          <cell r="E1322" t="str">
            <v>20130701LGUM_415</v>
          </cell>
          <cell r="F1322">
            <v>19.95</v>
          </cell>
          <cell r="H1322">
            <v>0.75</v>
          </cell>
        </row>
        <row r="1323">
          <cell r="E1323" t="str">
            <v>20130701LGUM_416</v>
          </cell>
          <cell r="F1323">
            <v>22.32</v>
          </cell>
          <cell r="H1323">
            <v>1.0599999999999987</v>
          </cell>
        </row>
        <row r="1324">
          <cell r="E1324" t="str">
            <v>20130701LGUM_417</v>
          </cell>
          <cell r="F1324">
            <v>23.44</v>
          </cell>
          <cell r="H1324">
            <v>1.0300000000000011</v>
          </cell>
        </row>
        <row r="1325">
          <cell r="E1325" t="str">
            <v>20130701LGUM_418</v>
          </cell>
        </row>
        <row r="1326">
          <cell r="E1326" t="str">
            <v>20130701LGUM_419</v>
          </cell>
          <cell r="F1326">
            <v>24.41</v>
          </cell>
          <cell r="H1326">
            <v>1.6499999999999986</v>
          </cell>
        </row>
        <row r="1327">
          <cell r="E1327" t="str">
            <v>20130701LGUM_420</v>
          </cell>
          <cell r="F1327">
            <v>29.66</v>
          </cell>
          <cell r="H1327">
            <v>1.6499999999999986</v>
          </cell>
        </row>
        <row r="1328">
          <cell r="E1328" t="str">
            <v>20130701LGUM_421</v>
          </cell>
          <cell r="F1328">
            <v>32.6</v>
          </cell>
          <cell r="H1328">
            <v>2.6700000000000017</v>
          </cell>
        </row>
        <row r="1329">
          <cell r="E1329" t="str">
            <v>20130701LGUM_422</v>
          </cell>
          <cell r="F1329">
            <v>38.119999999999997</v>
          </cell>
          <cell r="H1329">
            <v>4.279999999999994</v>
          </cell>
        </row>
        <row r="1330">
          <cell r="E1330" t="str">
            <v>20130701LGUM_423</v>
          </cell>
          <cell r="F1330">
            <v>26.12</v>
          </cell>
          <cell r="H1330">
            <v>1.6500000000000021</v>
          </cell>
        </row>
        <row r="1331">
          <cell r="E1331" t="str">
            <v>20130701LGUM_424</v>
          </cell>
          <cell r="F1331">
            <v>28.19</v>
          </cell>
          <cell r="H1331">
            <v>3.9800000000000004</v>
          </cell>
        </row>
        <row r="1332">
          <cell r="E1332" t="str">
            <v>20130701LGUM_425</v>
          </cell>
          <cell r="F1332">
            <v>33.76</v>
          </cell>
          <cell r="H1332">
            <v>4.2799999999999976</v>
          </cell>
        </row>
        <row r="1333">
          <cell r="E1333" t="str">
            <v>20130701LGUM_426</v>
          </cell>
          <cell r="F1333">
            <v>32.99</v>
          </cell>
          <cell r="H1333">
            <v>0.75</v>
          </cell>
        </row>
        <row r="1334">
          <cell r="E1334" t="str">
            <v>20130701LGUM_427</v>
          </cell>
          <cell r="F1334">
            <v>34.97</v>
          </cell>
          <cell r="H1334">
            <v>0.75</v>
          </cell>
        </row>
        <row r="1335">
          <cell r="E1335" t="str">
            <v>20130701LGUM_428</v>
          </cell>
          <cell r="F1335">
            <v>33.85</v>
          </cell>
          <cell r="H1335">
            <v>1.0600000000000023</v>
          </cell>
        </row>
        <row r="1336">
          <cell r="E1336" t="str">
            <v>20130701LGUM_429</v>
          </cell>
          <cell r="F1336">
            <v>35.83</v>
          </cell>
          <cell r="H1336">
            <v>1.0599999999999952</v>
          </cell>
        </row>
        <row r="1337">
          <cell r="E1337" t="str">
            <v>20130701LGUM_430</v>
          </cell>
          <cell r="F1337">
            <v>32.03</v>
          </cell>
          <cell r="H1337">
            <v>0.75</v>
          </cell>
        </row>
        <row r="1338">
          <cell r="E1338" t="str">
            <v>20130701LGUM_431</v>
          </cell>
          <cell r="F1338">
            <v>32.700000000000003</v>
          </cell>
          <cell r="H1338">
            <v>0.75</v>
          </cell>
        </row>
        <row r="1339">
          <cell r="E1339" t="str">
            <v>20130701LGUM_432</v>
          </cell>
          <cell r="F1339">
            <v>34.090000000000003</v>
          </cell>
          <cell r="H1339">
            <v>1.0600000000000023</v>
          </cell>
        </row>
        <row r="1340">
          <cell r="E1340" t="str">
            <v>20130701LGUM_433</v>
          </cell>
          <cell r="F1340">
            <v>34.75</v>
          </cell>
          <cell r="H1340">
            <v>1.0600000000000023</v>
          </cell>
        </row>
        <row r="1341">
          <cell r="E1341" t="str">
            <v>20130701LGUM_434</v>
          </cell>
        </row>
        <row r="1342">
          <cell r="E1342" t="str">
            <v>20130701LGUM_435</v>
          </cell>
        </row>
        <row r="1343">
          <cell r="E1343" t="str">
            <v>20130701LGUM_436</v>
          </cell>
        </row>
        <row r="1344">
          <cell r="E1344" t="str">
            <v>20130701LGUM_437</v>
          </cell>
        </row>
        <row r="1345">
          <cell r="E1345" t="str">
            <v>20130701LGUM_438</v>
          </cell>
        </row>
        <row r="1346">
          <cell r="E1346" t="str">
            <v>20130701LGUM_439</v>
          </cell>
          <cell r="F1346">
            <v>16.23</v>
          </cell>
          <cell r="H1346">
            <v>1.6499999999999986</v>
          </cell>
        </row>
        <row r="1347">
          <cell r="E1347" t="str">
            <v>20130701LGUM_440</v>
          </cell>
          <cell r="F1347">
            <v>18.02</v>
          </cell>
          <cell r="H1347">
            <v>2.67</v>
          </cell>
        </row>
        <row r="1348">
          <cell r="E1348" t="str">
            <v>20130701LGUM_441</v>
          </cell>
          <cell r="F1348">
            <v>22.05</v>
          </cell>
          <cell r="H1348">
            <v>4.2800000000000011</v>
          </cell>
        </row>
        <row r="1349">
          <cell r="E1349" t="str">
            <v>20130701LGUM_452</v>
          </cell>
          <cell r="F1349">
            <v>12.59</v>
          </cell>
          <cell r="H1349">
            <v>1.6500000000000004</v>
          </cell>
        </row>
        <row r="1350">
          <cell r="E1350" t="str">
            <v>20130701LGUM_453</v>
          </cell>
          <cell r="F1350">
            <v>14.83</v>
          </cell>
          <cell r="H1350">
            <v>3.9800000000000004</v>
          </cell>
        </row>
        <row r="1351">
          <cell r="E1351" t="str">
            <v>20130701LGUM_454</v>
          </cell>
          <cell r="F1351">
            <v>17.11</v>
          </cell>
          <cell r="H1351">
            <v>4.2800000000000011</v>
          </cell>
        </row>
        <row r="1352">
          <cell r="E1352" t="str">
            <v>20130701LGUM_455</v>
          </cell>
          <cell r="F1352">
            <v>13.54</v>
          </cell>
          <cell r="H1352">
            <v>1.6499999999999986</v>
          </cell>
        </row>
        <row r="1353">
          <cell r="E1353" t="str">
            <v>20130701LGUM_456</v>
          </cell>
          <cell r="F1353">
            <v>17.940000000000001</v>
          </cell>
          <cell r="H1353">
            <v>4.2800000000000011</v>
          </cell>
        </row>
        <row r="1354">
          <cell r="E1354" t="str">
            <v>20130701LGUM_457</v>
          </cell>
          <cell r="F1354">
            <v>10.62</v>
          </cell>
          <cell r="H1354">
            <v>1.0599999999999987</v>
          </cell>
        </row>
        <row r="1355">
          <cell r="E1355" t="str">
            <v>20130701LGUM_458</v>
          </cell>
          <cell r="F1355">
            <v>10.98</v>
          </cell>
          <cell r="H1355">
            <v>3.7700000000000014</v>
          </cell>
        </row>
        <row r="1356">
          <cell r="E1356" t="str">
            <v>20130701LGUM_459</v>
          </cell>
        </row>
        <row r="1357">
          <cell r="E1357" t="str">
            <v>20130701LGUM_460</v>
          </cell>
        </row>
        <row r="1358">
          <cell r="E1358" t="str">
            <v>20130701LGUM_461</v>
          </cell>
        </row>
        <row r="1359">
          <cell r="E1359" t="str">
            <v>20130701LGUM_462</v>
          </cell>
        </row>
        <row r="1360">
          <cell r="E1360" t="str">
            <v>20130701LGUM_470</v>
          </cell>
          <cell r="F1360">
            <v>12.53</v>
          </cell>
          <cell r="H1360">
            <v>1.3699999999999992</v>
          </cell>
        </row>
        <row r="1361">
          <cell r="E1361" t="str">
            <v>20130701LGUM_471</v>
          </cell>
          <cell r="F1361">
            <v>14.81</v>
          </cell>
          <cell r="H1361">
            <v>1.3699999999999992</v>
          </cell>
        </row>
        <row r="1362">
          <cell r="E1362" t="str">
            <v>20130701LGUM_472</v>
          </cell>
        </row>
        <row r="1363">
          <cell r="E1363" t="str">
            <v>20130701LGUM_473</v>
          </cell>
          <cell r="F1363">
            <v>18.399999999999999</v>
          </cell>
          <cell r="H1363">
            <v>3.1799999999999979</v>
          </cell>
        </row>
        <row r="1364">
          <cell r="E1364" t="str">
            <v>20130701LGUM_474</v>
          </cell>
          <cell r="F1364">
            <v>20.69</v>
          </cell>
          <cell r="H1364">
            <v>3.1799999999999997</v>
          </cell>
        </row>
        <row r="1365">
          <cell r="E1365" t="str">
            <v>20130701LGUM_475</v>
          </cell>
          <cell r="F1365">
            <v>28.14</v>
          </cell>
          <cell r="H1365">
            <v>3.1800000000000033</v>
          </cell>
        </row>
        <row r="1366">
          <cell r="E1366" t="str">
            <v>20130701LGUM_476</v>
          </cell>
          <cell r="F1366">
            <v>39.03</v>
          </cell>
          <cell r="H1366">
            <v>9.8100000000000023</v>
          </cell>
        </row>
        <row r="1367">
          <cell r="E1367" t="str">
            <v>20130701LGUM_477</v>
          </cell>
          <cell r="F1367">
            <v>42.21</v>
          </cell>
          <cell r="H1367">
            <v>9.8100000000000023</v>
          </cell>
        </row>
        <row r="1368">
          <cell r="E1368" t="str">
            <v>20130701LGUM_478</v>
          </cell>
        </row>
        <row r="1369">
          <cell r="E1369" t="str">
            <v>20130701LGUM_479</v>
          </cell>
          <cell r="F1369">
            <v>13.8</v>
          </cell>
          <cell r="H1369">
            <v>1.370000000000001</v>
          </cell>
        </row>
        <row r="1370">
          <cell r="E1370" t="str">
            <v>20130701LGUM_480</v>
          </cell>
          <cell r="F1370">
            <v>23.57</v>
          </cell>
          <cell r="H1370">
            <v>1.370000000000001</v>
          </cell>
        </row>
        <row r="1371">
          <cell r="E1371" t="str">
            <v>20130701LGUM_481</v>
          </cell>
          <cell r="F1371">
            <v>20.18</v>
          </cell>
          <cell r="H1371">
            <v>3.1800000000000033</v>
          </cell>
        </row>
        <row r="1372">
          <cell r="E1372" t="str">
            <v>20130701LGUM_482</v>
          </cell>
          <cell r="F1372">
            <v>29.93</v>
          </cell>
          <cell r="H1372">
            <v>3.1800000000000033</v>
          </cell>
        </row>
        <row r="1373">
          <cell r="E1373" t="str">
            <v>20130701LGUM_483</v>
          </cell>
          <cell r="F1373">
            <v>41.99</v>
          </cell>
          <cell r="H1373">
            <v>9.8100000000000023</v>
          </cell>
        </row>
        <row r="1374">
          <cell r="E1374" t="str">
            <v>20130701LGUM_484</v>
          </cell>
          <cell r="F1374">
            <v>51.74</v>
          </cell>
          <cell r="H1374">
            <v>9.8100000000000023</v>
          </cell>
        </row>
        <row r="1375">
          <cell r="E1375" t="str">
            <v>20140101LGUM_201</v>
          </cell>
          <cell r="F1375">
            <v>8.14</v>
          </cell>
          <cell r="H1375">
            <v>1.0899999999999999</v>
          </cell>
        </row>
        <row r="1376">
          <cell r="E1376" t="str">
            <v>20140101LGUM_203</v>
          </cell>
          <cell r="F1376">
            <v>10.959999999999999</v>
          </cell>
          <cell r="H1376">
            <v>2.7099999999999991</v>
          </cell>
        </row>
        <row r="1377">
          <cell r="E1377" t="str">
            <v>20140101LGUM_204</v>
          </cell>
          <cell r="F1377">
            <v>13.510000000000002</v>
          </cell>
          <cell r="H1377">
            <v>4.2000000000000011</v>
          </cell>
        </row>
        <row r="1378">
          <cell r="E1378" t="str">
            <v>20140101LGUM_206</v>
          </cell>
          <cell r="F1378">
            <v>12.450000000000001</v>
          </cell>
          <cell r="H1378">
            <v>1.0899999999999999</v>
          </cell>
        </row>
        <row r="1379">
          <cell r="E1379" t="str">
            <v>20140101LGUM_207</v>
          </cell>
          <cell r="F1379">
            <v>15.54</v>
          </cell>
          <cell r="H1379">
            <v>4.2000000000000011</v>
          </cell>
        </row>
        <row r="1380">
          <cell r="E1380" t="str">
            <v>20140101LGUM_208</v>
          </cell>
          <cell r="F1380">
            <v>14.24</v>
          </cell>
          <cell r="H1380">
            <v>1.9100000000000001</v>
          </cell>
        </row>
        <row r="1381">
          <cell r="E1381" t="str">
            <v>20140101LGUM_209</v>
          </cell>
          <cell r="F1381">
            <v>27.69</v>
          </cell>
          <cell r="H1381">
            <v>10.170000000000002</v>
          </cell>
        </row>
        <row r="1382">
          <cell r="E1382" t="str">
            <v>20140101LGUM_210</v>
          </cell>
          <cell r="F1382">
            <v>28.89</v>
          </cell>
          <cell r="H1382">
            <v>10.170000000000002</v>
          </cell>
        </row>
        <row r="1383">
          <cell r="E1383" t="str">
            <v>20140101LGUM_252</v>
          </cell>
          <cell r="F1383">
            <v>9.57</v>
          </cell>
          <cell r="H1383">
            <v>1.9099999999999993</v>
          </cell>
        </row>
        <row r="1384">
          <cell r="E1384" t="str">
            <v>20140101LGUM_266</v>
          </cell>
          <cell r="F1384">
            <v>27.34</v>
          </cell>
          <cell r="H1384">
            <v>2.8000000000000007</v>
          </cell>
        </row>
        <row r="1385">
          <cell r="E1385" t="str">
            <v>20140101LGUM_267</v>
          </cell>
          <cell r="F1385">
            <v>31.4</v>
          </cell>
          <cell r="H1385">
            <v>4.4499999999999993</v>
          </cell>
        </row>
        <row r="1386">
          <cell r="E1386" t="str">
            <v>20140101LGUM_274</v>
          </cell>
          <cell r="F1386">
            <v>17.189999999999998</v>
          </cell>
          <cell r="H1386">
            <v>1.2699999999999996</v>
          </cell>
        </row>
        <row r="1387">
          <cell r="E1387" t="str">
            <v>20140101LGUM_275</v>
          </cell>
          <cell r="F1387">
            <v>24.89</v>
          </cell>
          <cell r="H1387">
            <v>1.7899999999999991</v>
          </cell>
        </row>
        <row r="1388">
          <cell r="E1388" t="str">
            <v>20140101LGUM_276</v>
          </cell>
          <cell r="F1388">
            <v>14.17</v>
          </cell>
          <cell r="H1388">
            <v>0.88000000000000078</v>
          </cell>
        </row>
        <row r="1389">
          <cell r="E1389" t="str">
            <v>20140101LGUM_277</v>
          </cell>
          <cell r="F1389">
            <v>22.15</v>
          </cell>
          <cell r="H1389">
            <v>1.7900000000000027</v>
          </cell>
        </row>
        <row r="1390">
          <cell r="E1390" t="str">
            <v>20140101LGUM_278</v>
          </cell>
          <cell r="F1390">
            <v>72.550000000000011</v>
          </cell>
          <cell r="H1390">
            <v>9.8400000000000034</v>
          </cell>
        </row>
        <row r="1391">
          <cell r="E1391" t="str">
            <v>20140101LGUM_279</v>
          </cell>
          <cell r="F1391">
            <v>41.43</v>
          </cell>
          <cell r="H1391">
            <v>9.8399999999999963</v>
          </cell>
        </row>
        <row r="1392">
          <cell r="E1392" t="str">
            <v>20140101LGUM_280</v>
          </cell>
          <cell r="F1392">
            <v>19.38</v>
          </cell>
          <cell r="H1392">
            <v>0.87999999999999901</v>
          </cell>
        </row>
        <row r="1393">
          <cell r="E1393" t="str">
            <v>20140101LGUM_281</v>
          </cell>
          <cell r="F1393">
            <v>20.349999999999998</v>
          </cell>
          <cell r="H1393">
            <v>1.2699999999999996</v>
          </cell>
        </row>
        <row r="1394">
          <cell r="E1394" t="str">
            <v>20140101LGUM_282</v>
          </cell>
          <cell r="F1394">
            <v>19.53</v>
          </cell>
          <cell r="H1394">
            <v>0.87999999999999901</v>
          </cell>
        </row>
        <row r="1395">
          <cell r="E1395" t="str">
            <v>20140101LGUM_283</v>
          </cell>
          <cell r="F1395">
            <v>20.819999999999997</v>
          </cell>
          <cell r="H1395">
            <v>1.2699999999999996</v>
          </cell>
        </row>
        <row r="1396">
          <cell r="E1396" t="str">
            <v>20140101LGUM_314</v>
          </cell>
          <cell r="F1396">
            <v>19.2</v>
          </cell>
          <cell r="H1396">
            <v>2.7100000000000009</v>
          </cell>
        </row>
        <row r="1397">
          <cell r="E1397" t="str">
            <v>20140101LGUM_315</v>
          </cell>
          <cell r="F1397">
            <v>22.949999999999996</v>
          </cell>
          <cell r="H1397">
            <v>4.1999999999999993</v>
          </cell>
        </row>
        <row r="1398">
          <cell r="E1398" t="str">
            <v>20140101LGUM_318</v>
          </cell>
          <cell r="F1398">
            <v>17.419999999999998</v>
          </cell>
          <cell r="H1398">
            <v>1.9100000000000001</v>
          </cell>
        </row>
        <row r="1399">
          <cell r="E1399" t="str">
            <v>20140101LGUM_347</v>
          </cell>
          <cell r="F1399">
            <v>22.939999999999998</v>
          </cell>
          <cell r="H1399">
            <v>26.14</v>
          </cell>
        </row>
        <row r="1400">
          <cell r="E1400" t="str">
            <v>20140101LGUM_348</v>
          </cell>
          <cell r="F1400">
            <v>13.12</v>
          </cell>
          <cell r="H1400">
            <v>2.9800000000000004</v>
          </cell>
        </row>
        <row r="1401">
          <cell r="E1401" t="str">
            <v>20140101LGUM_349</v>
          </cell>
          <cell r="F1401">
            <v>9.0200000000000014</v>
          </cell>
          <cell r="H1401">
            <v>0.91000000000000014</v>
          </cell>
        </row>
        <row r="1402">
          <cell r="E1402" t="str">
            <v>20140101LGUM_400</v>
          </cell>
          <cell r="F1402">
            <v>23.89</v>
          </cell>
          <cell r="H1402">
            <v>1.0199999999999996</v>
          </cell>
        </row>
        <row r="1403">
          <cell r="E1403" t="str">
            <v>20140101LGUM_401</v>
          </cell>
          <cell r="F1403">
            <v>24.9</v>
          </cell>
          <cell r="H1403">
            <v>1.0599999999999987</v>
          </cell>
        </row>
        <row r="1404">
          <cell r="E1404" t="str">
            <v>20140101LGUM_412</v>
          </cell>
          <cell r="F1404">
            <v>19.79</v>
          </cell>
          <cell r="H1404">
            <v>0.74999999999999645</v>
          </cell>
        </row>
        <row r="1405">
          <cell r="E1405" t="str">
            <v>20140101LGUM_413</v>
          </cell>
          <cell r="F1405">
            <v>20.49</v>
          </cell>
          <cell r="H1405">
            <v>1.0599999999999987</v>
          </cell>
        </row>
        <row r="1406">
          <cell r="E1406" t="str">
            <v>20140101LGUM_415</v>
          </cell>
          <cell r="F1406">
            <v>20.18</v>
          </cell>
          <cell r="H1406">
            <v>0.75</v>
          </cell>
        </row>
        <row r="1407">
          <cell r="E1407" t="str">
            <v>20140101LGUM_416</v>
          </cell>
          <cell r="F1407">
            <v>22.56</v>
          </cell>
          <cell r="H1407">
            <v>1.0599999999999987</v>
          </cell>
        </row>
        <row r="1408">
          <cell r="E1408" t="str">
            <v>20140101LGUM_417</v>
          </cell>
          <cell r="F1408">
            <v>23.68</v>
          </cell>
          <cell r="H1408">
            <v>1.0300000000000011</v>
          </cell>
        </row>
        <row r="1409">
          <cell r="E1409" t="str">
            <v>20140101LGUM_419</v>
          </cell>
          <cell r="F1409">
            <v>24.77</v>
          </cell>
          <cell r="H1409">
            <v>1.6499999999999986</v>
          </cell>
        </row>
        <row r="1410">
          <cell r="E1410" t="str">
            <v>20140101LGUM_420</v>
          </cell>
          <cell r="F1410">
            <v>29.889999999999997</v>
          </cell>
          <cell r="H1410">
            <v>1.6499999999999986</v>
          </cell>
        </row>
        <row r="1411">
          <cell r="E1411" t="str">
            <v>20140101LGUM_421</v>
          </cell>
          <cell r="F1411">
            <v>32.860000000000007</v>
          </cell>
          <cell r="H1411">
            <v>2.6700000000000017</v>
          </cell>
        </row>
        <row r="1412">
          <cell r="E1412" t="str">
            <v>20140101LGUM_422</v>
          </cell>
          <cell r="F1412">
            <v>38.389999999999993</v>
          </cell>
          <cell r="H1412">
            <v>4.279999999999994</v>
          </cell>
        </row>
        <row r="1413">
          <cell r="E1413" t="str">
            <v>20140101LGUM_423</v>
          </cell>
          <cell r="F1413">
            <v>26.349999999999998</v>
          </cell>
          <cell r="H1413">
            <v>1.6500000000000021</v>
          </cell>
        </row>
        <row r="1414">
          <cell r="E1414" t="str">
            <v>20140101LGUM_424</v>
          </cell>
          <cell r="F1414">
            <v>28.45</v>
          </cell>
          <cell r="H1414">
            <v>3.9800000000000004</v>
          </cell>
        </row>
        <row r="1415">
          <cell r="E1415" t="str">
            <v>20140101LGUM_425</v>
          </cell>
          <cell r="F1415">
            <v>34.029999999999994</v>
          </cell>
          <cell r="H1415">
            <v>4.2799999999999976</v>
          </cell>
        </row>
        <row r="1416">
          <cell r="E1416" t="str">
            <v>20140101LGUM_426</v>
          </cell>
          <cell r="F1416">
            <v>33.22</v>
          </cell>
          <cell r="H1416">
            <v>0.75</v>
          </cell>
        </row>
        <row r="1417">
          <cell r="E1417" t="str">
            <v>20140101LGUM_427</v>
          </cell>
          <cell r="F1417">
            <v>35.199999999999996</v>
          </cell>
          <cell r="H1417">
            <v>0.75</v>
          </cell>
        </row>
        <row r="1418">
          <cell r="E1418" t="str">
            <v>20140101LGUM_428</v>
          </cell>
          <cell r="F1418">
            <v>34.090000000000003</v>
          </cell>
          <cell r="H1418">
            <v>1.0600000000000023</v>
          </cell>
        </row>
        <row r="1419">
          <cell r="E1419" t="str">
            <v>20140101LGUM_429</v>
          </cell>
          <cell r="F1419">
            <v>36.07</v>
          </cell>
          <cell r="H1419">
            <v>1.0599999999999952</v>
          </cell>
        </row>
        <row r="1420">
          <cell r="E1420" t="str">
            <v>20140101LGUM_430</v>
          </cell>
          <cell r="F1420">
            <v>32.26</v>
          </cell>
          <cell r="H1420">
            <v>0.75</v>
          </cell>
        </row>
        <row r="1421">
          <cell r="E1421" t="str">
            <v>20140101LGUM_431</v>
          </cell>
          <cell r="F1421">
            <v>32.93</v>
          </cell>
          <cell r="H1421">
            <v>0.75</v>
          </cell>
        </row>
        <row r="1422">
          <cell r="E1422" t="str">
            <v>20140101LGUM_432</v>
          </cell>
          <cell r="F1422">
            <v>34.330000000000005</v>
          </cell>
          <cell r="H1422">
            <v>1.0600000000000023</v>
          </cell>
        </row>
        <row r="1423">
          <cell r="E1423" t="str">
            <v>20140101LGUM_433</v>
          </cell>
          <cell r="F1423">
            <v>34.99</v>
          </cell>
          <cell r="H1423">
            <v>1.0600000000000023</v>
          </cell>
        </row>
        <row r="1424">
          <cell r="E1424" t="str">
            <v>20140101LGUM_439</v>
          </cell>
          <cell r="F1424">
            <v>16.459999999999997</v>
          </cell>
          <cell r="H1424">
            <v>1.6499999999999986</v>
          </cell>
        </row>
        <row r="1425">
          <cell r="E1425" t="str">
            <v>20140101LGUM_440</v>
          </cell>
          <cell r="F1425">
            <v>18.279999999999998</v>
          </cell>
          <cell r="H1425">
            <v>2.67</v>
          </cell>
        </row>
        <row r="1426">
          <cell r="E1426" t="str">
            <v>20140101LGUM_441</v>
          </cell>
          <cell r="F1426">
            <v>22.32</v>
          </cell>
          <cell r="H1426">
            <v>4.2800000000000011</v>
          </cell>
        </row>
        <row r="1427">
          <cell r="E1427" t="str">
            <v>20140101LGUM_452</v>
          </cell>
          <cell r="F1427">
            <v>12.82</v>
          </cell>
          <cell r="H1427">
            <v>1.6500000000000004</v>
          </cell>
        </row>
        <row r="1428">
          <cell r="E1428" t="str">
            <v>20140101LGUM_453</v>
          </cell>
          <cell r="F1428">
            <v>15.08</v>
          </cell>
          <cell r="H1428">
            <v>3.9800000000000004</v>
          </cell>
        </row>
        <row r="1429">
          <cell r="E1429" t="str">
            <v>20140101LGUM_454</v>
          </cell>
          <cell r="F1429">
            <v>17.38</v>
          </cell>
          <cell r="H1429">
            <v>4.2800000000000011</v>
          </cell>
        </row>
        <row r="1430">
          <cell r="E1430" t="str">
            <v>20140101LGUM_455</v>
          </cell>
          <cell r="F1430">
            <v>13.77</v>
          </cell>
          <cell r="H1430">
            <v>1.6499999999999986</v>
          </cell>
        </row>
        <row r="1431">
          <cell r="E1431" t="str">
            <v>20140101LGUM_456</v>
          </cell>
          <cell r="F1431">
            <v>18.21</v>
          </cell>
          <cell r="H1431">
            <v>4.2800000000000011</v>
          </cell>
        </row>
        <row r="1432">
          <cell r="E1432" t="str">
            <v>20140101LGUM_457</v>
          </cell>
          <cell r="F1432">
            <v>10.86</v>
          </cell>
          <cell r="H1432">
            <v>1.0599999999999987</v>
          </cell>
        </row>
        <row r="1433">
          <cell r="E1433" t="str">
            <v>20140101LGUM_458</v>
          </cell>
          <cell r="F1433">
            <v>11.13</v>
          </cell>
          <cell r="H1433">
            <v>3.7700000000000014</v>
          </cell>
        </row>
        <row r="1434">
          <cell r="E1434" t="str">
            <v>20140101LGUM_470</v>
          </cell>
          <cell r="F1434">
            <v>12.79</v>
          </cell>
          <cell r="H1434">
            <v>1.3699999999999992</v>
          </cell>
        </row>
        <row r="1435">
          <cell r="E1435" t="str">
            <v>20140101LGUM_471</v>
          </cell>
          <cell r="F1435">
            <v>15.07</v>
          </cell>
          <cell r="H1435">
            <v>1.3699999999999992</v>
          </cell>
        </row>
        <row r="1436">
          <cell r="E1436" t="str">
            <v>20140101LGUM_473</v>
          </cell>
          <cell r="F1436">
            <v>18.68</v>
          </cell>
          <cell r="H1436">
            <v>3.1799999999999979</v>
          </cell>
        </row>
        <row r="1437">
          <cell r="E1437" t="str">
            <v>20140101LGUM_474</v>
          </cell>
          <cell r="F1437">
            <v>20.970000000000002</v>
          </cell>
          <cell r="H1437">
            <v>3.1799999999999997</v>
          </cell>
        </row>
        <row r="1438">
          <cell r="E1438" t="str">
            <v>20140101LGUM_475</v>
          </cell>
          <cell r="F1438">
            <v>28.42</v>
          </cell>
          <cell r="H1438">
            <v>3.1800000000000033</v>
          </cell>
        </row>
        <row r="1439">
          <cell r="E1439" t="str">
            <v>20140101LGUM_476</v>
          </cell>
          <cell r="F1439">
            <v>39.6</v>
          </cell>
          <cell r="H1439">
            <v>9.8100000000000023</v>
          </cell>
        </row>
        <row r="1440">
          <cell r="E1440" t="str">
            <v>20140101LGUM_477</v>
          </cell>
          <cell r="F1440">
            <v>42.78</v>
          </cell>
          <cell r="H1440">
            <v>9.8100000000000023</v>
          </cell>
        </row>
        <row r="1441">
          <cell r="E1441" t="str">
            <v>20140101LGUM_479</v>
          </cell>
          <cell r="F1441">
            <v>14.06</v>
          </cell>
          <cell r="H1441">
            <v>1.370000000000001</v>
          </cell>
        </row>
        <row r="1442">
          <cell r="E1442" t="str">
            <v>20140101LGUM_480</v>
          </cell>
          <cell r="F1442">
            <v>23.83</v>
          </cell>
          <cell r="H1442">
            <v>1.370000000000001</v>
          </cell>
        </row>
        <row r="1443">
          <cell r="E1443" t="str">
            <v>20140101LGUM_481</v>
          </cell>
          <cell r="F1443">
            <v>20.46</v>
          </cell>
          <cell r="H1443">
            <v>3.1800000000000033</v>
          </cell>
        </row>
        <row r="1444">
          <cell r="E1444" t="str">
            <v>20140101LGUM_482</v>
          </cell>
          <cell r="F1444">
            <v>30.21</v>
          </cell>
          <cell r="H1444">
            <v>3.1800000000000033</v>
          </cell>
        </row>
        <row r="1445">
          <cell r="E1445" t="str">
            <v>20140101LGUM_483</v>
          </cell>
          <cell r="F1445">
            <v>42.56</v>
          </cell>
          <cell r="H1445">
            <v>9.8100000000000023</v>
          </cell>
        </row>
        <row r="1446">
          <cell r="E1446" t="str">
            <v>20140101LGUM_484</v>
          </cell>
          <cell r="F1446">
            <v>52.31</v>
          </cell>
          <cell r="H1446">
            <v>9.8100000000000023</v>
          </cell>
        </row>
      </sheetData>
      <sheetData sheetId="19"/>
      <sheetData sheetId="20">
        <row r="3">
          <cell r="B3" t="str">
            <v>JAN 2016</v>
          </cell>
          <cell r="C3" t="str">
            <v>LGCME451</v>
          </cell>
          <cell r="D3">
            <v>0</v>
          </cell>
          <cell r="E3">
            <v>0</v>
          </cell>
          <cell r="F3">
            <v>0</v>
          </cell>
          <cell r="G3">
            <v>0</v>
          </cell>
          <cell r="H3">
            <v>0</v>
          </cell>
          <cell r="O3">
            <v>0</v>
          </cell>
          <cell r="P3">
            <v>0</v>
          </cell>
          <cell r="Q3">
            <v>0</v>
          </cell>
        </row>
        <row r="4">
          <cell r="B4" t="str">
            <v>JAN 2016</v>
          </cell>
          <cell r="C4" t="str">
            <v>LGCME551</v>
          </cell>
          <cell r="D4">
            <v>28220</v>
          </cell>
          <cell r="E4">
            <v>0</v>
          </cell>
          <cell r="F4">
            <v>0</v>
          </cell>
          <cell r="G4">
            <v>0</v>
          </cell>
          <cell r="H4">
            <v>31971164</v>
          </cell>
          <cell r="O4">
            <v>0</v>
          </cell>
          <cell r="P4">
            <v>0</v>
          </cell>
          <cell r="Q4">
            <v>0</v>
          </cell>
        </row>
        <row r="5">
          <cell r="B5" t="str">
            <v>JAN 2016</v>
          </cell>
          <cell r="C5" t="str">
            <v>LGCME551UM</v>
          </cell>
          <cell r="D5">
            <v>0</v>
          </cell>
          <cell r="E5">
            <v>0</v>
          </cell>
          <cell r="F5">
            <v>0</v>
          </cell>
          <cell r="G5">
            <v>0</v>
          </cell>
          <cell r="H5">
            <v>0</v>
          </cell>
          <cell r="O5">
            <v>0</v>
          </cell>
          <cell r="P5">
            <v>0</v>
          </cell>
          <cell r="Q5">
            <v>0</v>
          </cell>
        </row>
        <row r="6">
          <cell r="B6" t="str">
            <v>JAN 2016</v>
          </cell>
          <cell r="C6" t="str">
            <v>LGCME552</v>
          </cell>
          <cell r="D6">
            <v>0</v>
          </cell>
          <cell r="E6">
            <v>0</v>
          </cell>
          <cell r="F6">
            <v>0</v>
          </cell>
          <cell r="G6">
            <v>0</v>
          </cell>
          <cell r="H6">
            <v>0</v>
          </cell>
          <cell r="O6">
            <v>0</v>
          </cell>
          <cell r="P6">
            <v>0</v>
          </cell>
          <cell r="Q6">
            <v>0</v>
          </cell>
        </row>
        <row r="7">
          <cell r="B7" t="str">
            <v>JAN 2016</v>
          </cell>
          <cell r="C7" t="str">
            <v>LGCME557</v>
          </cell>
          <cell r="D7">
            <v>0</v>
          </cell>
          <cell r="E7">
            <v>0</v>
          </cell>
          <cell r="F7">
            <v>0</v>
          </cell>
          <cell r="G7">
            <v>0</v>
          </cell>
          <cell r="H7">
            <v>0</v>
          </cell>
          <cell r="O7">
            <v>0</v>
          </cell>
          <cell r="P7">
            <v>0</v>
          </cell>
          <cell r="Q7">
            <v>0</v>
          </cell>
        </row>
        <row r="8">
          <cell r="B8" t="str">
            <v>JAN 2016</v>
          </cell>
          <cell r="C8" t="str">
            <v>LGCME561</v>
          </cell>
          <cell r="D8">
            <v>2585</v>
          </cell>
          <cell r="E8">
            <v>0</v>
          </cell>
          <cell r="F8">
            <v>0</v>
          </cell>
          <cell r="G8">
            <v>0</v>
          </cell>
          <cell r="H8">
            <v>134413194</v>
          </cell>
          <cell r="O8">
            <v>0</v>
          </cell>
          <cell r="P8">
            <v>342390</v>
          </cell>
          <cell r="Q8">
            <v>0</v>
          </cell>
        </row>
        <row r="9">
          <cell r="B9" t="str">
            <v>JAN 2016</v>
          </cell>
          <cell r="C9" t="str">
            <v>LGCME563</v>
          </cell>
          <cell r="D9">
            <v>52</v>
          </cell>
          <cell r="E9">
            <v>0</v>
          </cell>
          <cell r="F9">
            <v>0</v>
          </cell>
          <cell r="G9">
            <v>0</v>
          </cell>
          <cell r="H9">
            <v>11527513</v>
          </cell>
          <cell r="O9">
            <v>0</v>
          </cell>
          <cell r="P9">
            <v>28709</v>
          </cell>
          <cell r="Q9">
            <v>0</v>
          </cell>
        </row>
        <row r="10">
          <cell r="B10" t="str">
            <v>JAN 2016</v>
          </cell>
          <cell r="C10" t="str">
            <v>LGCME567</v>
          </cell>
          <cell r="D10">
            <v>0</v>
          </cell>
          <cell r="E10">
            <v>0</v>
          </cell>
          <cell r="F10">
            <v>0</v>
          </cell>
          <cell r="G10">
            <v>0</v>
          </cell>
          <cell r="H10">
            <v>0</v>
          </cell>
          <cell r="O10">
            <v>0</v>
          </cell>
          <cell r="P10">
            <v>0</v>
          </cell>
          <cell r="Q10">
            <v>0</v>
          </cell>
        </row>
        <row r="11">
          <cell r="B11" t="str">
            <v>JAN 2016</v>
          </cell>
          <cell r="C11" t="str">
            <v>LGCME591</v>
          </cell>
          <cell r="D11">
            <v>222</v>
          </cell>
          <cell r="E11">
            <v>0</v>
          </cell>
          <cell r="F11">
            <v>0</v>
          </cell>
          <cell r="G11">
            <v>0</v>
          </cell>
          <cell r="H11">
            <v>58180401</v>
          </cell>
          <cell r="O11">
            <v>118759</v>
          </cell>
          <cell r="P11">
            <v>109001</v>
          </cell>
          <cell r="Q11">
            <v>106595</v>
          </cell>
        </row>
        <row r="12">
          <cell r="B12" t="str">
            <v>JAN 2016</v>
          </cell>
          <cell r="C12" t="str">
            <v>LGCME593</v>
          </cell>
          <cell r="D12">
            <v>40</v>
          </cell>
          <cell r="E12">
            <v>0</v>
          </cell>
          <cell r="F12">
            <v>0</v>
          </cell>
          <cell r="G12">
            <v>0</v>
          </cell>
          <cell r="H12">
            <v>28843197</v>
          </cell>
          <cell r="O12">
            <v>67143</v>
          </cell>
          <cell r="P12">
            <v>59358</v>
          </cell>
          <cell r="Q12">
            <v>57314</v>
          </cell>
        </row>
        <row r="13">
          <cell r="B13" t="str">
            <v>JAN 2016</v>
          </cell>
          <cell r="C13" t="str">
            <v>LGCME651</v>
          </cell>
          <cell r="D13">
            <v>16386</v>
          </cell>
          <cell r="E13">
            <v>0</v>
          </cell>
          <cell r="F13">
            <v>0</v>
          </cell>
          <cell r="G13">
            <v>0</v>
          </cell>
          <cell r="H13">
            <v>81564370</v>
          </cell>
          <cell r="O13">
            <v>202711</v>
          </cell>
          <cell r="P13">
            <v>0</v>
          </cell>
          <cell r="Q13">
            <v>0</v>
          </cell>
        </row>
        <row r="14">
          <cell r="B14" t="str">
            <v>JAN 2016</v>
          </cell>
          <cell r="C14" t="str">
            <v>LGCME652</v>
          </cell>
          <cell r="D14">
            <v>0</v>
          </cell>
          <cell r="E14">
            <v>0</v>
          </cell>
          <cell r="F14">
            <v>0</v>
          </cell>
          <cell r="G14">
            <v>0</v>
          </cell>
          <cell r="H14">
            <v>0</v>
          </cell>
          <cell r="O14">
            <v>0</v>
          </cell>
          <cell r="P14">
            <v>0</v>
          </cell>
          <cell r="Q14">
            <v>0</v>
          </cell>
        </row>
        <row r="15">
          <cell r="B15" t="str">
            <v>JAN 2016</v>
          </cell>
          <cell r="C15" t="str">
            <v>LGCME657</v>
          </cell>
          <cell r="D15">
            <v>0</v>
          </cell>
          <cell r="E15">
            <v>0</v>
          </cell>
          <cell r="F15">
            <v>0</v>
          </cell>
          <cell r="G15">
            <v>0</v>
          </cell>
          <cell r="H15">
            <v>0</v>
          </cell>
          <cell r="O15">
            <v>0</v>
          </cell>
          <cell r="P15">
            <v>0</v>
          </cell>
          <cell r="Q15">
            <v>0</v>
          </cell>
        </row>
        <row r="16">
          <cell r="B16" t="str">
            <v>JAN 2016</v>
          </cell>
          <cell r="C16" t="str">
            <v>LGCME671</v>
          </cell>
          <cell r="D16">
            <v>2</v>
          </cell>
          <cell r="E16">
            <v>0</v>
          </cell>
          <cell r="F16">
            <v>0</v>
          </cell>
          <cell r="G16">
            <v>0</v>
          </cell>
          <cell r="H16">
            <v>5498880</v>
          </cell>
          <cell r="O16">
            <v>0</v>
          </cell>
          <cell r="P16">
            <v>9307</v>
          </cell>
          <cell r="Q16">
            <v>0</v>
          </cell>
        </row>
        <row r="17">
          <cell r="B17" t="str">
            <v>JAN 2016</v>
          </cell>
          <cell r="C17" t="str">
            <v>LGCSR760</v>
          </cell>
          <cell r="D17">
            <v>0</v>
          </cell>
          <cell r="E17">
            <v>0</v>
          </cell>
          <cell r="F17">
            <v>0</v>
          </cell>
          <cell r="G17">
            <v>0</v>
          </cell>
          <cell r="H17">
            <v>0</v>
          </cell>
          <cell r="O17">
            <v>0</v>
          </cell>
          <cell r="P17">
            <v>0</v>
          </cell>
          <cell r="Q17">
            <v>0</v>
          </cell>
        </row>
        <row r="18">
          <cell r="B18" t="str">
            <v>JAN 2016</v>
          </cell>
          <cell r="C18" t="str">
            <v>LGCSR780</v>
          </cell>
          <cell r="D18">
            <v>0</v>
          </cell>
          <cell r="E18">
            <v>0</v>
          </cell>
          <cell r="F18">
            <v>0</v>
          </cell>
          <cell r="G18">
            <v>0</v>
          </cell>
          <cell r="H18">
            <v>0</v>
          </cell>
          <cell r="O18">
            <v>0</v>
          </cell>
          <cell r="P18">
            <v>0</v>
          </cell>
          <cell r="Q18">
            <v>0</v>
          </cell>
        </row>
        <row r="19">
          <cell r="B19" t="str">
            <v>JAN 2016</v>
          </cell>
          <cell r="C19" t="str">
            <v>LGINE599</v>
          </cell>
          <cell r="D19">
            <v>1</v>
          </cell>
          <cell r="E19">
            <v>0</v>
          </cell>
          <cell r="F19">
            <v>0</v>
          </cell>
          <cell r="G19">
            <v>0</v>
          </cell>
          <cell r="H19">
            <v>10975500</v>
          </cell>
          <cell r="O19">
            <v>0</v>
          </cell>
          <cell r="P19">
            <v>15562</v>
          </cell>
          <cell r="Q19">
            <v>0</v>
          </cell>
        </row>
        <row r="20">
          <cell r="B20" t="str">
            <v>JAN 2016</v>
          </cell>
          <cell r="C20" t="str">
            <v>LGINE643</v>
          </cell>
          <cell r="D20">
            <v>12</v>
          </cell>
          <cell r="E20">
            <v>0</v>
          </cell>
          <cell r="F20">
            <v>0</v>
          </cell>
          <cell r="G20">
            <v>0</v>
          </cell>
          <cell r="H20">
            <v>68922949</v>
          </cell>
          <cell r="O20">
            <v>167002</v>
          </cell>
          <cell r="P20">
            <v>151811</v>
          </cell>
          <cell r="Q20">
            <v>93556</v>
          </cell>
        </row>
        <row r="21">
          <cell r="B21" t="str">
            <v>JAN 2016</v>
          </cell>
          <cell r="C21" t="str">
            <v>LGINE661</v>
          </cell>
          <cell r="D21">
            <v>213</v>
          </cell>
          <cell r="E21">
            <v>0</v>
          </cell>
          <cell r="F21">
            <v>0</v>
          </cell>
          <cell r="G21">
            <v>0</v>
          </cell>
          <cell r="H21">
            <v>18274284</v>
          </cell>
          <cell r="O21">
            <v>0</v>
          </cell>
          <cell r="P21">
            <v>59090</v>
          </cell>
          <cell r="Q21">
            <v>0</v>
          </cell>
        </row>
        <row r="22">
          <cell r="B22" t="str">
            <v>JAN 2016</v>
          </cell>
          <cell r="C22" t="str">
            <v>LGINE663</v>
          </cell>
          <cell r="D22">
            <v>21</v>
          </cell>
          <cell r="E22">
            <v>0</v>
          </cell>
          <cell r="F22">
            <v>0</v>
          </cell>
          <cell r="G22">
            <v>0</v>
          </cell>
          <cell r="H22">
            <v>1034319</v>
          </cell>
          <cell r="O22">
            <v>0</v>
          </cell>
          <cell r="P22">
            <v>3851</v>
          </cell>
          <cell r="Q22">
            <v>0</v>
          </cell>
        </row>
        <row r="23">
          <cell r="B23" t="str">
            <v>JAN 2016</v>
          </cell>
          <cell r="C23" t="str">
            <v>LGINE691</v>
          </cell>
          <cell r="D23">
            <v>99</v>
          </cell>
          <cell r="E23">
            <v>0</v>
          </cell>
          <cell r="F23">
            <v>0</v>
          </cell>
          <cell r="G23">
            <v>0</v>
          </cell>
          <cell r="H23">
            <v>20040159</v>
          </cell>
          <cell r="O23">
            <v>50459</v>
          </cell>
          <cell r="P23">
            <v>45581</v>
          </cell>
          <cell r="Q23">
            <v>44967</v>
          </cell>
        </row>
        <row r="24">
          <cell r="B24" t="str">
            <v>JAN 2016</v>
          </cell>
          <cell r="C24" t="str">
            <v>LGINE693</v>
          </cell>
          <cell r="D24">
            <v>70</v>
          </cell>
          <cell r="E24">
            <v>0</v>
          </cell>
          <cell r="F24">
            <v>0</v>
          </cell>
          <cell r="G24">
            <v>0</v>
          </cell>
          <cell r="H24">
            <v>130426785</v>
          </cell>
          <cell r="O24">
            <v>328863</v>
          </cell>
          <cell r="P24">
            <v>298563</v>
          </cell>
          <cell r="Q24">
            <v>294597</v>
          </cell>
        </row>
        <row r="25">
          <cell r="B25" t="str">
            <v>JAN 2016</v>
          </cell>
          <cell r="C25" t="str">
            <v>LGMLE570</v>
          </cell>
          <cell r="D25">
            <v>0</v>
          </cell>
          <cell r="E25">
            <v>0</v>
          </cell>
          <cell r="F25">
            <v>0</v>
          </cell>
          <cell r="G25">
            <v>0</v>
          </cell>
          <cell r="H25">
            <v>0</v>
          </cell>
          <cell r="O25">
            <v>0</v>
          </cell>
          <cell r="P25">
            <v>0</v>
          </cell>
          <cell r="Q25">
            <v>0</v>
          </cell>
        </row>
        <row r="26">
          <cell r="B26" t="str">
            <v>JAN 2016</v>
          </cell>
          <cell r="C26" t="str">
            <v>LGMLE571</v>
          </cell>
          <cell r="D26">
            <v>156</v>
          </cell>
          <cell r="E26">
            <v>0</v>
          </cell>
          <cell r="F26">
            <v>0</v>
          </cell>
          <cell r="G26">
            <v>0</v>
          </cell>
          <cell r="H26">
            <v>358279</v>
          </cell>
          <cell r="O26">
            <v>0</v>
          </cell>
          <cell r="P26">
            <v>0</v>
          </cell>
          <cell r="Q26">
            <v>0</v>
          </cell>
        </row>
        <row r="27">
          <cell r="B27" t="str">
            <v>JAN 2016</v>
          </cell>
          <cell r="C27" t="str">
            <v>LGMLE572</v>
          </cell>
          <cell r="D27">
            <v>0</v>
          </cell>
          <cell r="E27">
            <v>0</v>
          </cell>
          <cell r="F27">
            <v>0</v>
          </cell>
          <cell r="G27">
            <v>0</v>
          </cell>
          <cell r="H27">
            <v>0</v>
          </cell>
          <cell r="O27">
            <v>0</v>
          </cell>
          <cell r="P27">
            <v>0</v>
          </cell>
          <cell r="Q27">
            <v>0</v>
          </cell>
        </row>
        <row r="28">
          <cell r="B28" t="str">
            <v>JAN 2016</v>
          </cell>
          <cell r="C28" t="str">
            <v>LGMLE573</v>
          </cell>
          <cell r="D28">
            <v>905</v>
          </cell>
          <cell r="E28">
            <v>0</v>
          </cell>
          <cell r="F28">
            <v>0</v>
          </cell>
          <cell r="G28">
            <v>0</v>
          </cell>
          <cell r="H28">
            <v>289226</v>
          </cell>
          <cell r="O28">
            <v>0</v>
          </cell>
          <cell r="P28">
            <v>0</v>
          </cell>
          <cell r="Q28">
            <v>0</v>
          </cell>
        </row>
        <row r="29">
          <cell r="B29" t="str">
            <v>JAN 2016</v>
          </cell>
          <cell r="C29" t="str">
            <v>LGMLE574</v>
          </cell>
          <cell r="D29">
            <v>0</v>
          </cell>
          <cell r="E29">
            <v>0</v>
          </cell>
          <cell r="F29">
            <v>0</v>
          </cell>
          <cell r="G29">
            <v>0</v>
          </cell>
          <cell r="H29">
            <v>0</v>
          </cell>
          <cell r="O29">
            <v>0</v>
          </cell>
          <cell r="P29">
            <v>0</v>
          </cell>
          <cell r="Q29">
            <v>0</v>
          </cell>
        </row>
        <row r="30">
          <cell r="B30" t="str">
            <v>JAN 2016</v>
          </cell>
          <cell r="C30" t="str">
            <v>LGRSE411</v>
          </cell>
          <cell r="D30">
            <v>0</v>
          </cell>
          <cell r="E30">
            <v>0</v>
          </cell>
          <cell r="F30">
            <v>0</v>
          </cell>
          <cell r="G30">
            <v>0</v>
          </cell>
          <cell r="H30">
            <v>0</v>
          </cell>
          <cell r="O30">
            <v>0</v>
          </cell>
          <cell r="P30">
            <v>0</v>
          </cell>
          <cell r="Q30">
            <v>0</v>
          </cell>
        </row>
        <row r="31">
          <cell r="B31" t="str">
            <v>JAN 2016</v>
          </cell>
          <cell r="C31" t="str">
            <v>LGRSE511</v>
          </cell>
          <cell r="D31">
            <v>361605</v>
          </cell>
          <cell r="E31">
            <v>0</v>
          </cell>
          <cell r="F31">
            <v>0</v>
          </cell>
          <cell r="G31">
            <v>0</v>
          </cell>
          <cell r="H31">
            <v>375125149</v>
          </cell>
          <cell r="O31">
            <v>0</v>
          </cell>
          <cell r="P31">
            <v>0</v>
          </cell>
          <cell r="Q31">
            <v>0</v>
          </cell>
        </row>
        <row r="32">
          <cell r="B32" t="str">
            <v>JAN 2016</v>
          </cell>
          <cell r="C32" t="str">
            <v>LGRSE519</v>
          </cell>
          <cell r="D32">
            <v>0</v>
          </cell>
          <cell r="E32">
            <v>0</v>
          </cell>
          <cell r="F32">
            <v>0</v>
          </cell>
          <cell r="G32">
            <v>0</v>
          </cell>
          <cell r="H32">
            <v>0</v>
          </cell>
          <cell r="O32">
            <v>0</v>
          </cell>
          <cell r="P32">
            <v>0</v>
          </cell>
          <cell r="Q32">
            <v>0</v>
          </cell>
        </row>
        <row r="33">
          <cell r="B33" t="str">
            <v>JAN 2016</v>
          </cell>
          <cell r="C33" t="str">
            <v>LGRSE540</v>
          </cell>
          <cell r="D33">
            <v>0</v>
          </cell>
          <cell r="E33">
            <v>0</v>
          </cell>
          <cell r="F33">
            <v>0</v>
          </cell>
          <cell r="G33">
            <v>0</v>
          </cell>
          <cell r="H33">
            <v>0</v>
          </cell>
          <cell r="O33">
            <v>0</v>
          </cell>
          <cell r="P33">
            <v>0</v>
          </cell>
          <cell r="Q33">
            <v>0</v>
          </cell>
        </row>
        <row r="34">
          <cell r="B34" t="str">
            <v>JAN 2016</v>
          </cell>
          <cell r="C34" t="str">
            <v>LGRSE543</v>
          </cell>
          <cell r="D34">
            <v>20</v>
          </cell>
          <cell r="E34">
            <v>13171</v>
          </cell>
          <cell r="F34">
            <v>6352</v>
          </cell>
          <cell r="G34">
            <v>4480</v>
          </cell>
          <cell r="H34">
            <v>24003</v>
          </cell>
          <cell r="O34">
            <v>0</v>
          </cell>
          <cell r="P34">
            <v>0</v>
          </cell>
          <cell r="Q34">
            <v>0</v>
          </cell>
        </row>
        <row r="35">
          <cell r="B35" t="str">
            <v>JAN 2016</v>
          </cell>
          <cell r="C35" t="str">
            <v>LGRSE547</v>
          </cell>
          <cell r="D35">
            <v>0</v>
          </cell>
          <cell r="E35">
            <v>0</v>
          </cell>
          <cell r="F35">
            <v>0</v>
          </cell>
          <cell r="G35">
            <v>0</v>
          </cell>
          <cell r="H35">
            <v>0</v>
          </cell>
          <cell r="O35">
            <v>0</v>
          </cell>
          <cell r="P35">
            <v>0</v>
          </cell>
          <cell r="Q35">
            <v>0</v>
          </cell>
        </row>
        <row r="36">
          <cell r="B36" t="str">
            <v>JAN 2016</v>
          </cell>
          <cell r="C36" t="str">
            <v>Result</v>
          </cell>
        </row>
        <row r="37">
          <cell r="B37" t="str">
            <v>FEB 2016</v>
          </cell>
          <cell r="C37" t="str">
            <v>LGCME451</v>
          </cell>
          <cell r="D37">
            <v>0</v>
          </cell>
          <cell r="E37">
            <v>0</v>
          </cell>
          <cell r="F37">
            <v>0</v>
          </cell>
          <cell r="G37">
            <v>0</v>
          </cell>
          <cell r="H37">
            <v>0</v>
          </cell>
          <cell r="O37">
            <v>0</v>
          </cell>
          <cell r="P37">
            <v>0</v>
          </cell>
          <cell r="Q37">
            <v>0</v>
          </cell>
        </row>
        <row r="38">
          <cell r="B38" t="str">
            <v>FEB 2016</v>
          </cell>
          <cell r="C38" t="str">
            <v>LGCME551</v>
          </cell>
          <cell r="D38">
            <v>28231</v>
          </cell>
          <cell r="E38">
            <v>0</v>
          </cell>
          <cell r="F38">
            <v>0</v>
          </cell>
          <cell r="G38">
            <v>0</v>
          </cell>
          <cell r="H38">
            <v>28606751</v>
          </cell>
          <cell r="O38">
            <v>0</v>
          </cell>
          <cell r="P38">
            <v>0</v>
          </cell>
          <cell r="Q38">
            <v>0</v>
          </cell>
        </row>
        <row r="39">
          <cell r="B39" t="str">
            <v>FEB 2016</v>
          </cell>
          <cell r="C39" t="str">
            <v>LGCME551UM</v>
          </cell>
          <cell r="D39">
            <v>0</v>
          </cell>
          <cell r="E39">
            <v>0</v>
          </cell>
          <cell r="F39">
            <v>0</v>
          </cell>
          <cell r="G39">
            <v>0</v>
          </cell>
          <cell r="H39">
            <v>0</v>
          </cell>
          <cell r="O39">
            <v>0</v>
          </cell>
          <cell r="P39">
            <v>0</v>
          </cell>
          <cell r="Q39">
            <v>0</v>
          </cell>
        </row>
        <row r="40">
          <cell r="B40" t="str">
            <v>FEB 2016</v>
          </cell>
          <cell r="C40" t="str">
            <v>LGCME552</v>
          </cell>
          <cell r="D40">
            <v>0</v>
          </cell>
          <cell r="E40">
            <v>0</v>
          </cell>
          <cell r="F40">
            <v>0</v>
          </cell>
          <cell r="G40">
            <v>0</v>
          </cell>
          <cell r="H40">
            <v>0</v>
          </cell>
          <cell r="O40">
            <v>0</v>
          </cell>
          <cell r="P40">
            <v>0</v>
          </cell>
          <cell r="Q40">
            <v>0</v>
          </cell>
        </row>
        <row r="41">
          <cell r="B41" t="str">
            <v>FEB 2016</v>
          </cell>
          <cell r="C41" t="str">
            <v>LGCME557</v>
          </cell>
          <cell r="D41">
            <v>0</v>
          </cell>
          <cell r="E41">
            <v>0</v>
          </cell>
          <cell r="F41">
            <v>0</v>
          </cell>
          <cell r="G41">
            <v>0</v>
          </cell>
          <cell r="H41">
            <v>0</v>
          </cell>
          <cell r="O41">
            <v>0</v>
          </cell>
          <cell r="P41">
            <v>0</v>
          </cell>
          <cell r="Q41">
            <v>0</v>
          </cell>
        </row>
        <row r="42">
          <cell r="B42" t="str">
            <v>FEB 2016</v>
          </cell>
          <cell r="C42" t="str">
            <v>LGCME561</v>
          </cell>
          <cell r="D42">
            <v>2585</v>
          </cell>
          <cell r="E42">
            <v>0</v>
          </cell>
          <cell r="F42">
            <v>0</v>
          </cell>
          <cell r="G42">
            <v>0</v>
          </cell>
          <cell r="H42">
            <v>127422858</v>
          </cell>
          <cell r="O42">
            <v>0</v>
          </cell>
          <cell r="P42">
            <v>337388</v>
          </cell>
          <cell r="Q42">
            <v>0</v>
          </cell>
        </row>
        <row r="43">
          <cell r="B43" t="str">
            <v>FEB 2016</v>
          </cell>
          <cell r="C43" t="str">
            <v>LGCME563</v>
          </cell>
          <cell r="D43">
            <v>52</v>
          </cell>
          <cell r="E43">
            <v>0</v>
          </cell>
          <cell r="F43">
            <v>0</v>
          </cell>
          <cell r="G43">
            <v>0</v>
          </cell>
          <cell r="H43">
            <v>10127683</v>
          </cell>
          <cell r="O43">
            <v>0</v>
          </cell>
          <cell r="P43">
            <v>26300</v>
          </cell>
          <cell r="Q43">
            <v>0</v>
          </cell>
        </row>
        <row r="44">
          <cell r="B44" t="str">
            <v>FEB 2016</v>
          </cell>
          <cell r="C44" t="str">
            <v>LGCME567</v>
          </cell>
          <cell r="D44">
            <v>0</v>
          </cell>
          <cell r="E44">
            <v>0</v>
          </cell>
          <cell r="F44">
            <v>0</v>
          </cell>
          <cell r="G44">
            <v>0</v>
          </cell>
          <cell r="H44">
            <v>0</v>
          </cell>
          <cell r="O44">
            <v>0</v>
          </cell>
          <cell r="P44">
            <v>0</v>
          </cell>
          <cell r="Q44">
            <v>0</v>
          </cell>
        </row>
        <row r="45">
          <cell r="B45" t="str">
            <v>FEB 2016</v>
          </cell>
          <cell r="C45" t="str">
            <v>LGCME591</v>
          </cell>
          <cell r="D45">
            <v>223</v>
          </cell>
          <cell r="E45">
            <v>0</v>
          </cell>
          <cell r="F45">
            <v>0</v>
          </cell>
          <cell r="G45">
            <v>0</v>
          </cell>
          <cell r="H45">
            <v>55589072</v>
          </cell>
          <cell r="O45">
            <v>135574</v>
          </cell>
          <cell r="P45">
            <v>124531</v>
          </cell>
          <cell r="Q45">
            <v>121967</v>
          </cell>
        </row>
        <row r="46">
          <cell r="B46" t="str">
            <v>FEB 2016</v>
          </cell>
          <cell r="C46" t="str">
            <v>LGCME593</v>
          </cell>
          <cell r="D46">
            <v>40</v>
          </cell>
          <cell r="E46">
            <v>0</v>
          </cell>
          <cell r="F46">
            <v>0</v>
          </cell>
          <cell r="G46">
            <v>0</v>
          </cell>
          <cell r="H46">
            <v>25576926</v>
          </cell>
          <cell r="O46">
            <v>65290</v>
          </cell>
          <cell r="P46">
            <v>56701</v>
          </cell>
          <cell r="Q46">
            <v>55318</v>
          </cell>
        </row>
        <row r="47">
          <cell r="B47" t="str">
            <v>FEB 2016</v>
          </cell>
          <cell r="C47" t="str">
            <v>LGCME651</v>
          </cell>
          <cell r="D47">
            <v>16392</v>
          </cell>
          <cell r="E47">
            <v>0</v>
          </cell>
          <cell r="F47">
            <v>0</v>
          </cell>
          <cell r="G47">
            <v>0</v>
          </cell>
          <cell r="H47">
            <v>72913022</v>
          </cell>
          <cell r="O47">
            <v>197213</v>
          </cell>
          <cell r="P47">
            <v>0</v>
          </cell>
          <cell r="Q47">
            <v>0</v>
          </cell>
        </row>
        <row r="48">
          <cell r="B48" t="str">
            <v>FEB 2016</v>
          </cell>
          <cell r="C48" t="str">
            <v>LGCME652</v>
          </cell>
          <cell r="D48">
            <v>0</v>
          </cell>
          <cell r="E48">
            <v>0</v>
          </cell>
          <cell r="F48">
            <v>0</v>
          </cell>
          <cell r="G48">
            <v>0</v>
          </cell>
          <cell r="H48">
            <v>0</v>
          </cell>
          <cell r="O48">
            <v>0</v>
          </cell>
          <cell r="P48">
            <v>0</v>
          </cell>
          <cell r="Q48">
            <v>0</v>
          </cell>
        </row>
        <row r="49">
          <cell r="B49" t="str">
            <v>FEB 2016</v>
          </cell>
          <cell r="C49" t="str">
            <v>LGCME657</v>
          </cell>
          <cell r="D49">
            <v>0</v>
          </cell>
          <cell r="E49">
            <v>0</v>
          </cell>
          <cell r="F49">
            <v>0</v>
          </cell>
          <cell r="G49">
            <v>0</v>
          </cell>
          <cell r="H49">
            <v>0</v>
          </cell>
          <cell r="O49">
            <v>0</v>
          </cell>
          <cell r="P49">
            <v>0</v>
          </cell>
          <cell r="Q49">
            <v>0</v>
          </cell>
        </row>
        <row r="50">
          <cell r="B50" t="str">
            <v>FEB 2016</v>
          </cell>
          <cell r="C50" t="str">
            <v>LGCME671</v>
          </cell>
          <cell r="D50">
            <v>2</v>
          </cell>
          <cell r="E50">
            <v>0</v>
          </cell>
          <cell r="F50">
            <v>0</v>
          </cell>
          <cell r="G50">
            <v>0</v>
          </cell>
          <cell r="H50">
            <v>4744800</v>
          </cell>
          <cell r="O50">
            <v>0</v>
          </cell>
          <cell r="P50">
            <v>9307</v>
          </cell>
          <cell r="Q50">
            <v>0</v>
          </cell>
        </row>
        <row r="51">
          <cell r="B51" t="str">
            <v>FEB 2016</v>
          </cell>
          <cell r="C51" t="str">
            <v>LGCSR760</v>
          </cell>
          <cell r="D51">
            <v>0</v>
          </cell>
          <cell r="E51">
            <v>0</v>
          </cell>
          <cell r="F51">
            <v>0</v>
          </cell>
          <cell r="G51">
            <v>0</v>
          </cell>
          <cell r="H51">
            <v>0</v>
          </cell>
          <cell r="O51">
            <v>0</v>
          </cell>
          <cell r="P51">
            <v>0</v>
          </cell>
          <cell r="Q51">
            <v>0</v>
          </cell>
        </row>
        <row r="52">
          <cell r="B52" t="str">
            <v>FEB 2016</v>
          </cell>
          <cell r="C52" t="str">
            <v>LGCSR780</v>
          </cell>
          <cell r="D52">
            <v>0</v>
          </cell>
          <cell r="E52">
            <v>0</v>
          </cell>
          <cell r="F52">
            <v>0</v>
          </cell>
          <cell r="G52">
            <v>0</v>
          </cell>
          <cell r="H52">
            <v>0</v>
          </cell>
          <cell r="O52">
            <v>0</v>
          </cell>
          <cell r="P52">
            <v>0</v>
          </cell>
          <cell r="Q52">
            <v>0</v>
          </cell>
        </row>
        <row r="53">
          <cell r="B53" t="str">
            <v>FEB 2016</v>
          </cell>
          <cell r="C53" t="str">
            <v>LGINE599</v>
          </cell>
          <cell r="D53">
            <v>1</v>
          </cell>
          <cell r="E53">
            <v>0</v>
          </cell>
          <cell r="F53">
            <v>0</v>
          </cell>
          <cell r="G53">
            <v>0</v>
          </cell>
          <cell r="H53">
            <v>9522500</v>
          </cell>
          <cell r="O53">
            <v>0</v>
          </cell>
          <cell r="P53">
            <v>14314</v>
          </cell>
          <cell r="Q53">
            <v>0</v>
          </cell>
        </row>
        <row r="54">
          <cell r="B54" t="str">
            <v>FEB 2016</v>
          </cell>
          <cell r="C54" t="str">
            <v>LGINE643</v>
          </cell>
          <cell r="D54">
            <v>12</v>
          </cell>
          <cell r="E54">
            <v>0</v>
          </cell>
          <cell r="F54">
            <v>0</v>
          </cell>
          <cell r="G54">
            <v>0</v>
          </cell>
          <cell r="H54">
            <v>56255087</v>
          </cell>
          <cell r="O54">
            <v>157758</v>
          </cell>
          <cell r="P54">
            <v>144484</v>
          </cell>
          <cell r="Q54">
            <v>79386</v>
          </cell>
        </row>
        <row r="55">
          <cell r="B55" t="str">
            <v>FEB 2016</v>
          </cell>
          <cell r="C55" t="str">
            <v>LGINE661</v>
          </cell>
          <cell r="D55">
            <v>213</v>
          </cell>
          <cell r="E55">
            <v>0</v>
          </cell>
          <cell r="F55">
            <v>0</v>
          </cell>
          <cell r="G55">
            <v>0</v>
          </cell>
          <cell r="H55">
            <v>17230019</v>
          </cell>
          <cell r="O55">
            <v>0</v>
          </cell>
          <cell r="P55">
            <v>58144</v>
          </cell>
          <cell r="Q55">
            <v>0</v>
          </cell>
        </row>
        <row r="56">
          <cell r="B56" t="str">
            <v>FEB 2016</v>
          </cell>
          <cell r="C56" t="str">
            <v>LGINE663</v>
          </cell>
          <cell r="D56">
            <v>21</v>
          </cell>
          <cell r="E56">
            <v>0</v>
          </cell>
          <cell r="F56">
            <v>0</v>
          </cell>
          <cell r="G56">
            <v>0</v>
          </cell>
          <cell r="H56">
            <v>963928</v>
          </cell>
          <cell r="O56">
            <v>0</v>
          </cell>
          <cell r="P56">
            <v>3731</v>
          </cell>
          <cell r="Q56">
            <v>0</v>
          </cell>
        </row>
        <row r="57">
          <cell r="B57" t="str">
            <v>FEB 2016</v>
          </cell>
          <cell r="C57" t="str">
            <v>LGINE691</v>
          </cell>
          <cell r="D57">
            <v>100</v>
          </cell>
          <cell r="E57">
            <v>0</v>
          </cell>
          <cell r="F57">
            <v>0</v>
          </cell>
          <cell r="G57">
            <v>0</v>
          </cell>
          <cell r="H57">
            <v>19781342</v>
          </cell>
          <cell r="O57">
            <v>53949</v>
          </cell>
          <cell r="P57">
            <v>49120</v>
          </cell>
          <cell r="Q57">
            <v>48259</v>
          </cell>
        </row>
        <row r="58">
          <cell r="B58" t="str">
            <v>FEB 2016</v>
          </cell>
          <cell r="C58" t="str">
            <v>LGINE693</v>
          </cell>
          <cell r="D58">
            <v>71</v>
          </cell>
          <cell r="E58">
            <v>0</v>
          </cell>
          <cell r="F58">
            <v>0</v>
          </cell>
          <cell r="G58">
            <v>0</v>
          </cell>
          <cell r="H58">
            <v>121550529</v>
          </cell>
          <cell r="O58">
            <v>318625</v>
          </cell>
          <cell r="P58">
            <v>289268</v>
          </cell>
          <cell r="Q58">
            <v>285425</v>
          </cell>
        </row>
        <row r="59">
          <cell r="B59" t="str">
            <v>FEB 2016</v>
          </cell>
          <cell r="C59" t="str">
            <v>LGMLE570</v>
          </cell>
          <cell r="D59">
            <v>0</v>
          </cell>
          <cell r="E59">
            <v>0</v>
          </cell>
          <cell r="F59">
            <v>0</v>
          </cell>
          <cell r="G59">
            <v>0</v>
          </cell>
          <cell r="H59">
            <v>0</v>
          </cell>
          <cell r="O59">
            <v>0</v>
          </cell>
          <cell r="P59">
            <v>0</v>
          </cell>
          <cell r="Q59">
            <v>0</v>
          </cell>
        </row>
        <row r="60">
          <cell r="B60" t="str">
            <v>FEB 2016</v>
          </cell>
          <cell r="C60" t="str">
            <v>LGMLE571</v>
          </cell>
          <cell r="D60">
            <v>156</v>
          </cell>
          <cell r="E60">
            <v>0</v>
          </cell>
          <cell r="F60">
            <v>0</v>
          </cell>
          <cell r="G60">
            <v>0</v>
          </cell>
          <cell r="H60">
            <v>268287</v>
          </cell>
          <cell r="O60">
            <v>0</v>
          </cell>
          <cell r="P60">
            <v>0</v>
          </cell>
          <cell r="Q60">
            <v>0</v>
          </cell>
        </row>
        <row r="61">
          <cell r="B61" t="str">
            <v>FEB 2016</v>
          </cell>
          <cell r="C61" t="str">
            <v>LGMLE572</v>
          </cell>
          <cell r="D61">
            <v>0</v>
          </cell>
          <cell r="E61">
            <v>0</v>
          </cell>
          <cell r="F61">
            <v>0</v>
          </cell>
          <cell r="G61">
            <v>0</v>
          </cell>
          <cell r="H61">
            <v>0</v>
          </cell>
          <cell r="O61">
            <v>0</v>
          </cell>
          <cell r="P61">
            <v>0</v>
          </cell>
          <cell r="Q61">
            <v>0</v>
          </cell>
        </row>
        <row r="62">
          <cell r="B62" t="str">
            <v>FEB 2016</v>
          </cell>
          <cell r="C62" t="str">
            <v>LGMLE573</v>
          </cell>
          <cell r="D62">
            <v>905</v>
          </cell>
          <cell r="E62">
            <v>0</v>
          </cell>
          <cell r="F62">
            <v>0</v>
          </cell>
          <cell r="G62">
            <v>0</v>
          </cell>
          <cell r="H62">
            <v>231486</v>
          </cell>
          <cell r="O62">
            <v>0</v>
          </cell>
          <cell r="P62">
            <v>0</v>
          </cell>
          <cell r="Q62">
            <v>0</v>
          </cell>
        </row>
        <row r="63">
          <cell r="B63" t="str">
            <v>FEB 2016</v>
          </cell>
          <cell r="C63" t="str">
            <v>LGMLE574</v>
          </cell>
          <cell r="D63">
            <v>0</v>
          </cell>
          <cell r="E63">
            <v>0</v>
          </cell>
          <cell r="F63">
            <v>0</v>
          </cell>
          <cell r="G63">
            <v>0</v>
          </cell>
          <cell r="H63">
            <v>0</v>
          </cell>
          <cell r="O63">
            <v>0</v>
          </cell>
          <cell r="P63">
            <v>0</v>
          </cell>
          <cell r="Q63">
            <v>0</v>
          </cell>
        </row>
        <row r="64">
          <cell r="B64" t="str">
            <v>FEB 2016</v>
          </cell>
          <cell r="C64" t="str">
            <v>LGRSE411</v>
          </cell>
          <cell r="D64">
            <v>0</v>
          </cell>
          <cell r="E64">
            <v>0</v>
          </cell>
          <cell r="F64">
            <v>0</v>
          </cell>
          <cell r="G64">
            <v>0</v>
          </cell>
          <cell r="H64">
            <v>0</v>
          </cell>
          <cell r="O64">
            <v>0</v>
          </cell>
          <cell r="P64">
            <v>0</v>
          </cell>
          <cell r="Q64">
            <v>0</v>
          </cell>
        </row>
        <row r="65">
          <cell r="B65" t="str">
            <v>FEB 2016</v>
          </cell>
          <cell r="C65" t="str">
            <v>LGRSE511</v>
          </cell>
          <cell r="D65">
            <v>361807</v>
          </cell>
          <cell r="E65">
            <v>0</v>
          </cell>
          <cell r="F65">
            <v>0</v>
          </cell>
          <cell r="G65">
            <v>0</v>
          </cell>
          <cell r="H65">
            <v>328309831</v>
          </cell>
          <cell r="O65">
            <v>0</v>
          </cell>
          <cell r="P65">
            <v>0</v>
          </cell>
          <cell r="Q65">
            <v>0</v>
          </cell>
        </row>
        <row r="66">
          <cell r="B66" t="str">
            <v>FEB 2016</v>
          </cell>
          <cell r="C66" t="str">
            <v>LGRSE519</v>
          </cell>
          <cell r="D66">
            <v>0</v>
          </cell>
          <cell r="E66">
            <v>0</v>
          </cell>
          <cell r="F66">
            <v>0</v>
          </cell>
          <cell r="G66">
            <v>0</v>
          </cell>
          <cell r="H66">
            <v>0</v>
          </cell>
          <cell r="O66">
            <v>0</v>
          </cell>
          <cell r="P66">
            <v>0</v>
          </cell>
          <cell r="Q66">
            <v>0</v>
          </cell>
        </row>
        <row r="67">
          <cell r="B67" t="str">
            <v>FEB 2016</v>
          </cell>
          <cell r="C67" t="str">
            <v>LGRSE540</v>
          </cell>
          <cell r="D67">
            <v>0</v>
          </cell>
          <cell r="E67">
            <v>0</v>
          </cell>
          <cell r="F67">
            <v>0</v>
          </cell>
          <cell r="G67">
            <v>0</v>
          </cell>
          <cell r="H67">
            <v>0</v>
          </cell>
          <cell r="O67">
            <v>0</v>
          </cell>
          <cell r="P67">
            <v>0</v>
          </cell>
          <cell r="Q67">
            <v>0</v>
          </cell>
        </row>
        <row r="68">
          <cell r="B68" t="str">
            <v>FEB 2016</v>
          </cell>
          <cell r="C68" t="str">
            <v>LGRSE543</v>
          </cell>
          <cell r="D68">
            <v>20</v>
          </cell>
          <cell r="E68">
            <v>10967</v>
          </cell>
          <cell r="F68">
            <v>5695</v>
          </cell>
          <cell r="G68">
            <v>3400</v>
          </cell>
          <cell r="H68">
            <v>20062</v>
          </cell>
          <cell r="O68">
            <v>0</v>
          </cell>
          <cell r="P68">
            <v>0</v>
          </cell>
          <cell r="Q68">
            <v>0</v>
          </cell>
        </row>
        <row r="69">
          <cell r="B69" t="str">
            <v>FEB 2016</v>
          </cell>
          <cell r="C69" t="str">
            <v>LGRSE547</v>
          </cell>
          <cell r="D69">
            <v>0</v>
          </cell>
          <cell r="E69">
            <v>0</v>
          </cell>
          <cell r="F69">
            <v>0</v>
          </cell>
          <cell r="G69">
            <v>0</v>
          </cell>
          <cell r="H69">
            <v>0</v>
          </cell>
          <cell r="O69">
            <v>0</v>
          </cell>
          <cell r="P69">
            <v>0</v>
          </cell>
          <cell r="Q69">
            <v>0</v>
          </cell>
        </row>
        <row r="70">
          <cell r="B70" t="str">
            <v>FEB 2016</v>
          </cell>
          <cell r="C70" t="str">
            <v>Result</v>
          </cell>
        </row>
        <row r="71">
          <cell r="B71" t="str">
            <v>MAR 2016</v>
          </cell>
          <cell r="C71" t="str">
            <v>LGCME451</v>
          </cell>
          <cell r="D71">
            <v>0</v>
          </cell>
          <cell r="E71">
            <v>0</v>
          </cell>
          <cell r="F71">
            <v>0</v>
          </cell>
          <cell r="G71">
            <v>0</v>
          </cell>
          <cell r="H71">
            <v>0</v>
          </cell>
          <cell r="O71">
            <v>0</v>
          </cell>
          <cell r="P71">
            <v>0</v>
          </cell>
          <cell r="Q71">
            <v>0</v>
          </cell>
        </row>
        <row r="72">
          <cell r="B72" t="str">
            <v>MAR 2016</v>
          </cell>
          <cell r="C72" t="str">
            <v>LGCME551</v>
          </cell>
          <cell r="D72">
            <v>28242</v>
          </cell>
          <cell r="E72">
            <v>0</v>
          </cell>
          <cell r="F72">
            <v>0</v>
          </cell>
          <cell r="G72">
            <v>0</v>
          </cell>
          <cell r="H72">
            <v>29862341</v>
          </cell>
          <cell r="O72">
            <v>0</v>
          </cell>
          <cell r="P72">
            <v>0</v>
          </cell>
          <cell r="Q72">
            <v>0</v>
          </cell>
        </row>
        <row r="73">
          <cell r="B73" t="str">
            <v>MAR 2016</v>
          </cell>
          <cell r="C73" t="str">
            <v>LGCME551UM</v>
          </cell>
          <cell r="D73">
            <v>0</v>
          </cell>
          <cell r="E73">
            <v>0</v>
          </cell>
          <cell r="F73">
            <v>0</v>
          </cell>
          <cell r="G73">
            <v>0</v>
          </cell>
          <cell r="H73">
            <v>0</v>
          </cell>
          <cell r="O73">
            <v>0</v>
          </cell>
          <cell r="P73">
            <v>0</v>
          </cell>
          <cell r="Q73">
            <v>0</v>
          </cell>
        </row>
        <row r="74">
          <cell r="B74" t="str">
            <v>MAR 2016</v>
          </cell>
          <cell r="C74" t="str">
            <v>LGCME552</v>
          </cell>
          <cell r="D74">
            <v>0</v>
          </cell>
          <cell r="E74">
            <v>0</v>
          </cell>
          <cell r="F74">
            <v>0</v>
          </cell>
          <cell r="G74">
            <v>0</v>
          </cell>
          <cell r="H74">
            <v>0</v>
          </cell>
          <cell r="O74">
            <v>0</v>
          </cell>
          <cell r="P74">
            <v>0</v>
          </cell>
          <cell r="Q74">
            <v>0</v>
          </cell>
        </row>
        <row r="75">
          <cell r="B75" t="str">
            <v>MAR 2016</v>
          </cell>
          <cell r="C75" t="str">
            <v>LGCME557</v>
          </cell>
          <cell r="D75">
            <v>0</v>
          </cell>
          <cell r="E75">
            <v>0</v>
          </cell>
          <cell r="F75">
            <v>0</v>
          </cell>
          <cell r="G75">
            <v>0</v>
          </cell>
          <cell r="H75">
            <v>0</v>
          </cell>
          <cell r="O75">
            <v>0</v>
          </cell>
          <cell r="P75">
            <v>0</v>
          </cell>
          <cell r="Q75">
            <v>0</v>
          </cell>
        </row>
        <row r="76">
          <cell r="B76" t="str">
            <v>MAR 2016</v>
          </cell>
          <cell r="C76" t="str">
            <v>LGCME561</v>
          </cell>
          <cell r="D76">
            <v>2585</v>
          </cell>
          <cell r="E76">
            <v>0</v>
          </cell>
          <cell r="F76">
            <v>0</v>
          </cell>
          <cell r="G76">
            <v>0</v>
          </cell>
          <cell r="H76">
            <v>130807807</v>
          </cell>
          <cell r="O76">
            <v>0</v>
          </cell>
          <cell r="P76">
            <v>329383</v>
          </cell>
          <cell r="Q76">
            <v>0</v>
          </cell>
        </row>
        <row r="77">
          <cell r="B77" t="str">
            <v>MAR 2016</v>
          </cell>
          <cell r="C77" t="str">
            <v>LGCME563</v>
          </cell>
          <cell r="D77">
            <v>52</v>
          </cell>
          <cell r="E77">
            <v>0</v>
          </cell>
          <cell r="F77">
            <v>0</v>
          </cell>
          <cell r="G77">
            <v>0</v>
          </cell>
          <cell r="H77">
            <v>10824710</v>
          </cell>
          <cell r="O77">
            <v>0</v>
          </cell>
          <cell r="P77">
            <v>26650</v>
          </cell>
          <cell r="Q77">
            <v>0</v>
          </cell>
        </row>
        <row r="78">
          <cell r="B78" t="str">
            <v>MAR 2016</v>
          </cell>
          <cell r="C78" t="str">
            <v>LGCME567</v>
          </cell>
          <cell r="D78">
            <v>0</v>
          </cell>
          <cell r="E78">
            <v>0</v>
          </cell>
          <cell r="F78">
            <v>0</v>
          </cell>
          <cell r="G78">
            <v>0</v>
          </cell>
          <cell r="H78">
            <v>0</v>
          </cell>
          <cell r="O78">
            <v>0</v>
          </cell>
          <cell r="P78">
            <v>0</v>
          </cell>
          <cell r="Q78">
            <v>0</v>
          </cell>
        </row>
        <row r="79">
          <cell r="B79" t="str">
            <v>MAR 2016</v>
          </cell>
          <cell r="C79" t="str">
            <v>LGCME591</v>
          </cell>
          <cell r="D79">
            <v>224</v>
          </cell>
          <cell r="E79">
            <v>0</v>
          </cell>
          <cell r="F79">
            <v>0</v>
          </cell>
          <cell r="G79">
            <v>0</v>
          </cell>
          <cell r="H79">
            <v>57508342</v>
          </cell>
          <cell r="O79">
            <v>130300</v>
          </cell>
          <cell r="P79">
            <v>120754</v>
          </cell>
          <cell r="Q79">
            <v>117662</v>
          </cell>
        </row>
        <row r="80">
          <cell r="B80" t="str">
            <v>MAR 2016</v>
          </cell>
          <cell r="C80" t="str">
            <v>LGCME593</v>
          </cell>
          <cell r="D80">
            <v>40</v>
          </cell>
          <cell r="E80">
            <v>0</v>
          </cell>
          <cell r="F80">
            <v>0</v>
          </cell>
          <cell r="G80">
            <v>0</v>
          </cell>
          <cell r="H80">
            <v>27203323</v>
          </cell>
          <cell r="O80">
            <v>65971</v>
          </cell>
          <cell r="P80">
            <v>59840</v>
          </cell>
          <cell r="Q80">
            <v>58531</v>
          </cell>
        </row>
        <row r="81">
          <cell r="B81" t="str">
            <v>MAR 2016</v>
          </cell>
          <cell r="C81" t="str">
            <v>LGCME651</v>
          </cell>
          <cell r="D81">
            <v>16398</v>
          </cell>
          <cell r="E81">
            <v>0</v>
          </cell>
          <cell r="F81">
            <v>0</v>
          </cell>
          <cell r="G81">
            <v>0</v>
          </cell>
          <cell r="H81">
            <v>76141682</v>
          </cell>
          <cell r="O81">
            <v>197201</v>
          </cell>
          <cell r="P81">
            <v>0</v>
          </cell>
          <cell r="Q81">
            <v>0</v>
          </cell>
        </row>
        <row r="82">
          <cell r="B82" t="str">
            <v>MAR 2016</v>
          </cell>
          <cell r="C82" t="str">
            <v>LGCME652</v>
          </cell>
          <cell r="D82">
            <v>0</v>
          </cell>
          <cell r="E82">
            <v>0</v>
          </cell>
          <cell r="F82">
            <v>0</v>
          </cell>
          <cell r="G82">
            <v>0</v>
          </cell>
          <cell r="H82">
            <v>0</v>
          </cell>
          <cell r="O82">
            <v>0</v>
          </cell>
          <cell r="P82">
            <v>0</v>
          </cell>
          <cell r="Q82">
            <v>0</v>
          </cell>
        </row>
        <row r="83">
          <cell r="B83" t="str">
            <v>MAR 2016</v>
          </cell>
          <cell r="C83" t="str">
            <v>LGCME657</v>
          </cell>
          <cell r="D83">
            <v>0</v>
          </cell>
          <cell r="E83">
            <v>0</v>
          </cell>
          <cell r="F83">
            <v>0</v>
          </cell>
          <cell r="G83">
            <v>0</v>
          </cell>
          <cell r="H83">
            <v>0</v>
          </cell>
          <cell r="O83">
            <v>0</v>
          </cell>
          <cell r="P83">
            <v>0</v>
          </cell>
          <cell r="Q83">
            <v>0</v>
          </cell>
        </row>
        <row r="84">
          <cell r="B84" t="str">
            <v>MAR 2016</v>
          </cell>
          <cell r="C84" t="str">
            <v>LGCME671</v>
          </cell>
          <cell r="D84">
            <v>2</v>
          </cell>
          <cell r="E84">
            <v>0</v>
          </cell>
          <cell r="F84">
            <v>0</v>
          </cell>
          <cell r="G84">
            <v>0</v>
          </cell>
          <cell r="H84">
            <v>4351200</v>
          </cell>
          <cell r="O84">
            <v>0</v>
          </cell>
          <cell r="P84">
            <v>9307</v>
          </cell>
          <cell r="Q84">
            <v>0</v>
          </cell>
        </row>
        <row r="85">
          <cell r="B85" t="str">
            <v>MAR 2016</v>
          </cell>
          <cell r="C85" t="str">
            <v>LGINE599</v>
          </cell>
          <cell r="D85">
            <v>1</v>
          </cell>
          <cell r="E85">
            <v>0</v>
          </cell>
          <cell r="F85">
            <v>0</v>
          </cell>
          <cell r="G85">
            <v>0</v>
          </cell>
          <cell r="H85">
            <v>9371000</v>
          </cell>
          <cell r="O85">
            <v>0</v>
          </cell>
          <cell r="P85">
            <v>12754</v>
          </cell>
          <cell r="Q85">
            <v>0</v>
          </cell>
        </row>
        <row r="86">
          <cell r="B86" t="str">
            <v>MAR 2016</v>
          </cell>
          <cell r="C86" t="str">
            <v>LGINE643</v>
          </cell>
          <cell r="D86">
            <v>12</v>
          </cell>
          <cell r="E86">
            <v>0</v>
          </cell>
          <cell r="F86">
            <v>0</v>
          </cell>
          <cell r="G86">
            <v>0</v>
          </cell>
          <cell r="H86">
            <v>68950546</v>
          </cell>
          <cell r="O86">
            <v>157141</v>
          </cell>
          <cell r="P86">
            <v>151309</v>
          </cell>
          <cell r="Q86">
            <v>92518</v>
          </cell>
        </row>
        <row r="87">
          <cell r="B87" t="str">
            <v>MAR 2016</v>
          </cell>
          <cell r="C87" t="str">
            <v>LGINE661</v>
          </cell>
          <cell r="D87">
            <v>212</v>
          </cell>
          <cell r="E87">
            <v>0</v>
          </cell>
          <cell r="F87">
            <v>0</v>
          </cell>
          <cell r="G87">
            <v>0</v>
          </cell>
          <cell r="H87">
            <v>18186183</v>
          </cell>
          <cell r="O87">
            <v>0</v>
          </cell>
          <cell r="P87">
            <v>58098</v>
          </cell>
          <cell r="Q87">
            <v>0</v>
          </cell>
        </row>
        <row r="88">
          <cell r="B88" t="str">
            <v>MAR 2016</v>
          </cell>
          <cell r="C88" t="str">
            <v>LGINE663</v>
          </cell>
          <cell r="D88">
            <v>21</v>
          </cell>
          <cell r="E88">
            <v>0</v>
          </cell>
          <cell r="F88">
            <v>0</v>
          </cell>
          <cell r="G88">
            <v>0</v>
          </cell>
          <cell r="H88">
            <v>1034858</v>
          </cell>
          <cell r="O88">
            <v>0</v>
          </cell>
          <cell r="P88">
            <v>3809</v>
          </cell>
          <cell r="Q88">
            <v>0</v>
          </cell>
        </row>
        <row r="89">
          <cell r="B89" t="str">
            <v>MAR 2016</v>
          </cell>
          <cell r="C89" t="str">
            <v>LGINE691</v>
          </cell>
          <cell r="D89">
            <v>100</v>
          </cell>
          <cell r="E89">
            <v>0</v>
          </cell>
          <cell r="F89">
            <v>0</v>
          </cell>
          <cell r="G89">
            <v>0</v>
          </cell>
          <cell r="H89">
            <v>20709793</v>
          </cell>
          <cell r="O89">
            <v>53453</v>
          </cell>
          <cell r="P89">
            <v>49487</v>
          </cell>
          <cell r="Q89">
            <v>47392</v>
          </cell>
        </row>
        <row r="90">
          <cell r="B90" t="str">
            <v>MAR 2016</v>
          </cell>
          <cell r="C90" t="str">
            <v>LGINE693</v>
          </cell>
          <cell r="D90">
            <v>71</v>
          </cell>
          <cell r="E90">
            <v>0</v>
          </cell>
          <cell r="F90">
            <v>0</v>
          </cell>
          <cell r="G90">
            <v>0</v>
          </cell>
          <cell r="H90">
            <v>130494762</v>
          </cell>
          <cell r="O90">
            <v>325255</v>
          </cell>
          <cell r="P90">
            <v>295286</v>
          </cell>
          <cell r="Q90">
            <v>291364</v>
          </cell>
        </row>
        <row r="91">
          <cell r="B91" t="str">
            <v>MAR 2016</v>
          </cell>
          <cell r="C91" t="str">
            <v>LGMLE570</v>
          </cell>
          <cell r="D91">
            <v>0</v>
          </cell>
          <cell r="E91">
            <v>0</v>
          </cell>
          <cell r="F91">
            <v>0</v>
          </cell>
          <cell r="G91">
            <v>0</v>
          </cell>
          <cell r="H91">
            <v>0</v>
          </cell>
          <cell r="O91">
            <v>0</v>
          </cell>
          <cell r="P91">
            <v>0</v>
          </cell>
          <cell r="Q91">
            <v>0</v>
          </cell>
        </row>
        <row r="92">
          <cell r="B92" t="str">
            <v>MAR 2016</v>
          </cell>
          <cell r="C92" t="str">
            <v>LGMLE571</v>
          </cell>
          <cell r="D92">
            <v>156</v>
          </cell>
          <cell r="E92">
            <v>0</v>
          </cell>
          <cell r="F92">
            <v>0</v>
          </cell>
          <cell r="G92">
            <v>0</v>
          </cell>
          <cell r="H92">
            <v>246820</v>
          </cell>
          <cell r="O92">
            <v>0</v>
          </cell>
          <cell r="P92">
            <v>0</v>
          </cell>
          <cell r="Q92">
            <v>0</v>
          </cell>
        </row>
        <row r="93">
          <cell r="B93" t="str">
            <v>MAR 2016</v>
          </cell>
          <cell r="C93" t="str">
            <v>LGMLE572</v>
          </cell>
          <cell r="D93">
            <v>0</v>
          </cell>
          <cell r="E93">
            <v>0</v>
          </cell>
          <cell r="F93">
            <v>0</v>
          </cell>
          <cell r="G93">
            <v>0</v>
          </cell>
          <cell r="H93">
            <v>0</v>
          </cell>
          <cell r="O93">
            <v>0</v>
          </cell>
          <cell r="P93">
            <v>0</v>
          </cell>
          <cell r="Q93">
            <v>0</v>
          </cell>
        </row>
        <row r="94">
          <cell r="B94" t="str">
            <v>MAR 2016</v>
          </cell>
          <cell r="C94" t="str">
            <v>LGMLE573</v>
          </cell>
          <cell r="D94">
            <v>905</v>
          </cell>
          <cell r="E94">
            <v>0</v>
          </cell>
          <cell r="F94">
            <v>0</v>
          </cell>
          <cell r="G94">
            <v>0</v>
          </cell>
          <cell r="H94">
            <v>237752</v>
          </cell>
          <cell r="O94">
            <v>0</v>
          </cell>
          <cell r="P94">
            <v>0</v>
          </cell>
          <cell r="Q94">
            <v>0</v>
          </cell>
        </row>
        <row r="95">
          <cell r="B95" t="str">
            <v>MAR 2016</v>
          </cell>
          <cell r="C95" t="str">
            <v>LGMLE574</v>
          </cell>
          <cell r="D95">
            <v>0</v>
          </cell>
          <cell r="E95">
            <v>0</v>
          </cell>
          <cell r="F95">
            <v>0</v>
          </cell>
          <cell r="G95">
            <v>0</v>
          </cell>
          <cell r="H95">
            <v>0</v>
          </cell>
          <cell r="O95">
            <v>0</v>
          </cell>
          <cell r="P95">
            <v>0</v>
          </cell>
          <cell r="Q95">
            <v>0</v>
          </cell>
        </row>
        <row r="96">
          <cell r="B96" t="str">
            <v>MAR 2016</v>
          </cell>
          <cell r="C96" t="str">
            <v>LGRSE411</v>
          </cell>
          <cell r="D96">
            <v>0</v>
          </cell>
          <cell r="E96">
            <v>0</v>
          </cell>
          <cell r="F96">
            <v>0</v>
          </cell>
          <cell r="G96">
            <v>0</v>
          </cell>
          <cell r="H96">
            <v>0</v>
          </cell>
          <cell r="O96">
            <v>0</v>
          </cell>
          <cell r="P96">
            <v>0</v>
          </cell>
          <cell r="Q96">
            <v>0</v>
          </cell>
        </row>
        <row r="97">
          <cell r="B97" t="str">
            <v>MAR 2016</v>
          </cell>
          <cell r="C97" t="str">
            <v>LGRSE511</v>
          </cell>
          <cell r="D97">
            <v>362009</v>
          </cell>
          <cell r="E97">
            <v>0</v>
          </cell>
          <cell r="F97">
            <v>0</v>
          </cell>
          <cell r="G97">
            <v>0</v>
          </cell>
          <cell r="H97">
            <v>309062779</v>
          </cell>
          <cell r="O97">
            <v>0</v>
          </cell>
          <cell r="P97">
            <v>0</v>
          </cell>
          <cell r="Q97">
            <v>0</v>
          </cell>
        </row>
        <row r="98">
          <cell r="B98" t="str">
            <v>MAR 2016</v>
          </cell>
          <cell r="C98" t="str">
            <v>LGRSE519</v>
          </cell>
          <cell r="D98">
            <v>0</v>
          </cell>
          <cell r="E98">
            <v>0</v>
          </cell>
          <cell r="F98">
            <v>0</v>
          </cell>
          <cell r="G98">
            <v>0</v>
          </cell>
          <cell r="H98">
            <v>0</v>
          </cell>
          <cell r="O98">
            <v>0</v>
          </cell>
          <cell r="P98">
            <v>0</v>
          </cell>
          <cell r="Q98">
            <v>0</v>
          </cell>
        </row>
        <row r="99">
          <cell r="B99" t="str">
            <v>MAR 2016</v>
          </cell>
          <cell r="C99" t="str">
            <v>LGRSE540</v>
          </cell>
          <cell r="D99">
            <v>0</v>
          </cell>
          <cell r="E99">
            <v>0</v>
          </cell>
          <cell r="F99">
            <v>0</v>
          </cell>
          <cell r="G99">
            <v>0</v>
          </cell>
          <cell r="H99">
            <v>0</v>
          </cell>
          <cell r="O99">
            <v>0</v>
          </cell>
          <cell r="P99">
            <v>0</v>
          </cell>
          <cell r="Q99">
            <v>0</v>
          </cell>
        </row>
        <row r="100">
          <cell r="B100" t="str">
            <v>MAR 2016</v>
          </cell>
          <cell r="C100" t="str">
            <v>LGRSE543</v>
          </cell>
          <cell r="D100">
            <v>20</v>
          </cell>
          <cell r="E100">
            <v>12824</v>
          </cell>
          <cell r="F100">
            <v>6226</v>
          </cell>
          <cell r="G100">
            <v>3888</v>
          </cell>
          <cell r="H100">
            <v>22938</v>
          </cell>
          <cell r="O100">
            <v>0</v>
          </cell>
          <cell r="P100">
            <v>0</v>
          </cell>
          <cell r="Q100">
            <v>0</v>
          </cell>
        </row>
        <row r="101">
          <cell r="B101" t="str">
            <v>MAR 2016</v>
          </cell>
          <cell r="C101" t="str">
            <v>LGRSE547</v>
          </cell>
          <cell r="D101">
            <v>0</v>
          </cell>
          <cell r="E101">
            <v>0</v>
          </cell>
          <cell r="F101">
            <v>0</v>
          </cell>
          <cell r="G101">
            <v>0</v>
          </cell>
          <cell r="H101">
            <v>0</v>
          </cell>
          <cell r="O101">
            <v>0</v>
          </cell>
          <cell r="P101">
            <v>0</v>
          </cell>
          <cell r="Q101">
            <v>0</v>
          </cell>
        </row>
        <row r="102">
          <cell r="B102" t="str">
            <v>MAR 2016</v>
          </cell>
          <cell r="C102" t="str">
            <v>Result</v>
          </cell>
        </row>
        <row r="103">
          <cell r="B103" t="str">
            <v>APR 2016</v>
          </cell>
          <cell r="C103" t="str">
            <v>LGCME451</v>
          </cell>
          <cell r="D103">
            <v>0</v>
          </cell>
          <cell r="E103">
            <v>0</v>
          </cell>
          <cell r="F103">
            <v>0</v>
          </cell>
          <cell r="G103">
            <v>0</v>
          </cell>
          <cell r="H103">
            <v>0</v>
          </cell>
          <cell r="O103">
            <v>0</v>
          </cell>
          <cell r="P103">
            <v>0</v>
          </cell>
          <cell r="Q103">
            <v>0</v>
          </cell>
        </row>
        <row r="104">
          <cell r="B104" t="str">
            <v>APR 2016</v>
          </cell>
          <cell r="C104" t="str">
            <v>LGCME551</v>
          </cell>
          <cell r="D104">
            <v>28253</v>
          </cell>
          <cell r="E104">
            <v>0</v>
          </cell>
          <cell r="F104">
            <v>0</v>
          </cell>
          <cell r="G104">
            <v>0</v>
          </cell>
          <cell r="H104">
            <v>28238912</v>
          </cell>
          <cell r="O104">
            <v>0</v>
          </cell>
          <cell r="P104">
            <v>0</v>
          </cell>
          <cell r="Q104">
            <v>0</v>
          </cell>
        </row>
        <row r="105">
          <cell r="B105" t="str">
            <v>APR 2016</v>
          </cell>
          <cell r="C105" t="str">
            <v>LGCME551UM</v>
          </cell>
          <cell r="D105">
            <v>0</v>
          </cell>
          <cell r="E105">
            <v>0</v>
          </cell>
          <cell r="F105">
            <v>0</v>
          </cell>
          <cell r="G105">
            <v>0</v>
          </cell>
          <cell r="H105">
            <v>0</v>
          </cell>
          <cell r="O105">
            <v>0</v>
          </cell>
          <cell r="P105">
            <v>0</v>
          </cell>
          <cell r="Q105">
            <v>0</v>
          </cell>
        </row>
        <row r="106">
          <cell r="B106" t="str">
            <v>APR 2016</v>
          </cell>
          <cell r="C106" t="str">
            <v>LGCME552</v>
          </cell>
          <cell r="D106">
            <v>0</v>
          </cell>
          <cell r="E106">
            <v>0</v>
          </cell>
          <cell r="F106">
            <v>0</v>
          </cell>
          <cell r="G106">
            <v>0</v>
          </cell>
          <cell r="H106">
            <v>0</v>
          </cell>
          <cell r="O106">
            <v>0</v>
          </cell>
          <cell r="P106">
            <v>0</v>
          </cell>
          <cell r="Q106">
            <v>0</v>
          </cell>
        </row>
        <row r="107">
          <cell r="B107" t="str">
            <v>APR 2016</v>
          </cell>
          <cell r="C107" t="str">
            <v>LGCME557</v>
          </cell>
          <cell r="D107">
            <v>0</v>
          </cell>
          <cell r="E107">
            <v>0</v>
          </cell>
          <cell r="F107">
            <v>0</v>
          </cell>
          <cell r="G107">
            <v>0</v>
          </cell>
          <cell r="H107">
            <v>0</v>
          </cell>
          <cell r="O107">
            <v>0</v>
          </cell>
          <cell r="P107">
            <v>0</v>
          </cell>
          <cell r="Q107">
            <v>0</v>
          </cell>
        </row>
        <row r="108">
          <cell r="B108" t="str">
            <v>APR 2016</v>
          </cell>
          <cell r="C108" t="str">
            <v>LGCME561</v>
          </cell>
          <cell r="D108">
            <v>2585</v>
          </cell>
          <cell r="E108">
            <v>0</v>
          </cell>
          <cell r="F108">
            <v>0</v>
          </cell>
          <cell r="G108">
            <v>0</v>
          </cell>
          <cell r="H108">
            <v>127586690</v>
          </cell>
          <cell r="O108">
            <v>0</v>
          </cell>
          <cell r="P108">
            <v>327890</v>
          </cell>
          <cell r="Q108">
            <v>0</v>
          </cell>
        </row>
        <row r="109">
          <cell r="B109" t="str">
            <v>APR 2016</v>
          </cell>
          <cell r="C109" t="str">
            <v>LGCME563</v>
          </cell>
          <cell r="D109">
            <v>52</v>
          </cell>
          <cell r="E109">
            <v>0</v>
          </cell>
          <cell r="F109">
            <v>0</v>
          </cell>
          <cell r="G109">
            <v>0</v>
          </cell>
          <cell r="H109">
            <v>11224431</v>
          </cell>
          <cell r="O109">
            <v>0</v>
          </cell>
          <cell r="P109">
            <v>28222</v>
          </cell>
          <cell r="Q109">
            <v>0</v>
          </cell>
        </row>
        <row r="110">
          <cell r="B110" t="str">
            <v>APR 2016</v>
          </cell>
          <cell r="C110" t="str">
            <v>LGCME567</v>
          </cell>
          <cell r="D110">
            <v>0</v>
          </cell>
          <cell r="E110">
            <v>0</v>
          </cell>
          <cell r="F110">
            <v>0</v>
          </cell>
          <cell r="G110">
            <v>0</v>
          </cell>
          <cell r="H110">
            <v>0</v>
          </cell>
          <cell r="O110">
            <v>0</v>
          </cell>
          <cell r="P110">
            <v>0</v>
          </cell>
          <cell r="Q110">
            <v>0</v>
          </cell>
        </row>
        <row r="111">
          <cell r="B111" t="str">
            <v>APR 2016</v>
          </cell>
          <cell r="C111" t="str">
            <v>LGCME591</v>
          </cell>
          <cell r="D111">
            <v>225</v>
          </cell>
          <cell r="E111">
            <v>0</v>
          </cell>
          <cell r="F111">
            <v>0</v>
          </cell>
          <cell r="G111">
            <v>0</v>
          </cell>
          <cell r="H111">
            <v>56529299</v>
          </cell>
          <cell r="O111">
            <v>138479</v>
          </cell>
          <cell r="P111">
            <v>128048</v>
          </cell>
          <cell r="Q111">
            <v>124669</v>
          </cell>
        </row>
        <row r="112">
          <cell r="B112" t="str">
            <v>APR 2016</v>
          </cell>
          <cell r="C112" t="str">
            <v>LGCME593</v>
          </cell>
          <cell r="D112">
            <v>41</v>
          </cell>
          <cell r="E112">
            <v>0</v>
          </cell>
          <cell r="F112">
            <v>0</v>
          </cell>
          <cell r="G112">
            <v>0</v>
          </cell>
          <cell r="H112">
            <v>28136006</v>
          </cell>
          <cell r="O112">
            <v>68635</v>
          </cell>
          <cell r="P112">
            <v>65178</v>
          </cell>
          <cell r="Q112">
            <v>62041</v>
          </cell>
        </row>
        <row r="113">
          <cell r="B113" t="str">
            <v>APR 2016</v>
          </cell>
          <cell r="C113" t="str">
            <v>LGCME651</v>
          </cell>
          <cell r="D113">
            <v>16404</v>
          </cell>
          <cell r="E113">
            <v>0</v>
          </cell>
          <cell r="F113">
            <v>0</v>
          </cell>
          <cell r="G113">
            <v>0</v>
          </cell>
          <cell r="H113">
            <v>71967151</v>
          </cell>
          <cell r="O113">
            <v>214875</v>
          </cell>
          <cell r="P113">
            <v>0</v>
          </cell>
          <cell r="Q113">
            <v>0</v>
          </cell>
        </row>
        <row r="114">
          <cell r="B114" t="str">
            <v>APR 2016</v>
          </cell>
          <cell r="C114" t="str">
            <v>LGCME652</v>
          </cell>
          <cell r="D114">
            <v>0</v>
          </cell>
          <cell r="E114">
            <v>0</v>
          </cell>
          <cell r="F114">
            <v>0</v>
          </cell>
          <cell r="G114">
            <v>0</v>
          </cell>
          <cell r="H114">
            <v>0</v>
          </cell>
          <cell r="O114">
            <v>0</v>
          </cell>
          <cell r="P114">
            <v>0</v>
          </cell>
          <cell r="Q114">
            <v>0</v>
          </cell>
        </row>
        <row r="115">
          <cell r="B115" t="str">
            <v>APR 2016</v>
          </cell>
          <cell r="C115" t="str">
            <v>LGCME657</v>
          </cell>
          <cell r="D115">
            <v>0</v>
          </cell>
          <cell r="E115">
            <v>0</v>
          </cell>
          <cell r="F115">
            <v>0</v>
          </cell>
          <cell r="G115">
            <v>0</v>
          </cell>
          <cell r="H115">
            <v>0</v>
          </cell>
          <cell r="O115">
            <v>0</v>
          </cell>
          <cell r="P115">
            <v>0</v>
          </cell>
          <cell r="Q115">
            <v>0</v>
          </cell>
        </row>
        <row r="116">
          <cell r="B116" t="str">
            <v>APR 2016</v>
          </cell>
          <cell r="C116" t="str">
            <v>LGCME671</v>
          </cell>
          <cell r="D116">
            <v>2</v>
          </cell>
          <cell r="E116">
            <v>0</v>
          </cell>
          <cell r="F116">
            <v>0</v>
          </cell>
          <cell r="G116">
            <v>0</v>
          </cell>
          <cell r="H116">
            <v>4414320</v>
          </cell>
          <cell r="O116">
            <v>0</v>
          </cell>
          <cell r="P116">
            <v>9307</v>
          </cell>
          <cell r="Q116">
            <v>0</v>
          </cell>
        </row>
        <row r="117">
          <cell r="B117" t="str">
            <v>APR 2016</v>
          </cell>
          <cell r="C117" t="str">
            <v>LGCSR760</v>
          </cell>
          <cell r="D117">
            <v>0</v>
          </cell>
          <cell r="E117">
            <v>0</v>
          </cell>
          <cell r="F117">
            <v>0</v>
          </cell>
          <cell r="G117">
            <v>0</v>
          </cell>
          <cell r="H117">
            <v>0</v>
          </cell>
          <cell r="O117">
            <v>0</v>
          </cell>
          <cell r="P117">
            <v>0</v>
          </cell>
          <cell r="Q117">
            <v>0</v>
          </cell>
        </row>
        <row r="118">
          <cell r="B118" t="str">
            <v>APR 2016</v>
          </cell>
          <cell r="C118" t="str">
            <v>LGCSR780</v>
          </cell>
          <cell r="D118">
            <v>0</v>
          </cell>
          <cell r="E118">
            <v>0</v>
          </cell>
          <cell r="F118">
            <v>0</v>
          </cell>
          <cell r="G118">
            <v>0</v>
          </cell>
          <cell r="H118">
            <v>0</v>
          </cell>
          <cell r="O118">
            <v>0</v>
          </cell>
          <cell r="P118">
            <v>0</v>
          </cell>
          <cell r="Q118">
            <v>0</v>
          </cell>
        </row>
        <row r="119">
          <cell r="B119" t="str">
            <v>APR 2016</v>
          </cell>
          <cell r="C119" t="str">
            <v>LGINE599</v>
          </cell>
          <cell r="D119">
            <v>1</v>
          </cell>
          <cell r="E119">
            <v>0</v>
          </cell>
          <cell r="F119">
            <v>0</v>
          </cell>
          <cell r="G119">
            <v>0</v>
          </cell>
          <cell r="H119">
            <v>7236500</v>
          </cell>
          <cell r="O119">
            <v>0</v>
          </cell>
          <cell r="P119">
            <v>7072</v>
          </cell>
          <cell r="Q119">
            <v>0</v>
          </cell>
        </row>
        <row r="120">
          <cell r="B120" t="str">
            <v>APR 2016</v>
          </cell>
          <cell r="C120" t="str">
            <v>LGINE643</v>
          </cell>
          <cell r="D120">
            <v>12</v>
          </cell>
          <cell r="E120">
            <v>0</v>
          </cell>
          <cell r="F120">
            <v>0</v>
          </cell>
          <cell r="G120">
            <v>0</v>
          </cell>
          <cell r="H120">
            <v>78019986</v>
          </cell>
          <cell r="O120">
            <v>171798</v>
          </cell>
          <cell r="P120">
            <v>168988</v>
          </cell>
          <cell r="Q120">
            <v>106853</v>
          </cell>
        </row>
        <row r="121">
          <cell r="B121" t="str">
            <v>APR 2016</v>
          </cell>
          <cell r="C121" t="str">
            <v>LGINE661</v>
          </cell>
          <cell r="D121">
            <v>212</v>
          </cell>
          <cell r="E121">
            <v>0</v>
          </cell>
          <cell r="F121">
            <v>0</v>
          </cell>
          <cell r="G121">
            <v>0</v>
          </cell>
          <cell r="H121">
            <v>17964058</v>
          </cell>
          <cell r="O121">
            <v>0</v>
          </cell>
          <cell r="P121">
            <v>58664</v>
          </cell>
          <cell r="Q121">
            <v>0</v>
          </cell>
        </row>
        <row r="122">
          <cell r="B122" t="str">
            <v>APR 2016</v>
          </cell>
          <cell r="C122" t="str">
            <v>LGINE663</v>
          </cell>
          <cell r="D122">
            <v>21</v>
          </cell>
          <cell r="E122">
            <v>0</v>
          </cell>
          <cell r="F122">
            <v>0</v>
          </cell>
          <cell r="G122">
            <v>0</v>
          </cell>
          <cell r="H122">
            <v>1038168</v>
          </cell>
          <cell r="O122">
            <v>0</v>
          </cell>
          <cell r="P122">
            <v>3900</v>
          </cell>
          <cell r="Q122">
            <v>0</v>
          </cell>
        </row>
        <row r="123">
          <cell r="B123" t="str">
            <v>APR 2016</v>
          </cell>
          <cell r="C123" t="str">
            <v>LGINE691</v>
          </cell>
          <cell r="D123">
            <v>100</v>
          </cell>
          <cell r="E123">
            <v>0</v>
          </cell>
          <cell r="F123">
            <v>0</v>
          </cell>
          <cell r="G123">
            <v>0</v>
          </cell>
          <cell r="H123">
            <v>20494105</v>
          </cell>
          <cell r="O123">
            <v>53481</v>
          </cell>
          <cell r="P123">
            <v>50360</v>
          </cell>
          <cell r="Q123">
            <v>48966</v>
          </cell>
        </row>
        <row r="124">
          <cell r="B124" t="str">
            <v>APR 2016</v>
          </cell>
          <cell r="C124" t="str">
            <v>LGINE693</v>
          </cell>
          <cell r="D124">
            <v>71</v>
          </cell>
          <cell r="E124">
            <v>0</v>
          </cell>
          <cell r="F124">
            <v>0</v>
          </cell>
          <cell r="G124">
            <v>0</v>
          </cell>
          <cell r="H124">
            <v>130912123</v>
          </cell>
          <cell r="O124">
            <v>333045</v>
          </cell>
          <cell r="P124">
            <v>302359</v>
          </cell>
          <cell r="Q124">
            <v>298342</v>
          </cell>
        </row>
        <row r="125">
          <cell r="B125" t="str">
            <v>APR 2016</v>
          </cell>
          <cell r="C125" t="str">
            <v>LGMLE570</v>
          </cell>
          <cell r="D125">
            <v>0</v>
          </cell>
          <cell r="E125">
            <v>0</v>
          </cell>
          <cell r="F125">
            <v>0</v>
          </cell>
          <cell r="G125">
            <v>0</v>
          </cell>
          <cell r="H125">
            <v>0</v>
          </cell>
          <cell r="O125">
            <v>0</v>
          </cell>
          <cell r="P125">
            <v>0</v>
          </cell>
          <cell r="Q125">
            <v>0</v>
          </cell>
        </row>
        <row r="126">
          <cell r="B126" t="str">
            <v>APR 2016</v>
          </cell>
          <cell r="C126" t="str">
            <v>LGMLE571</v>
          </cell>
          <cell r="D126">
            <v>156</v>
          </cell>
          <cell r="E126">
            <v>0</v>
          </cell>
          <cell r="F126">
            <v>0</v>
          </cell>
          <cell r="G126">
            <v>0</v>
          </cell>
          <cell r="H126">
            <v>272304</v>
          </cell>
          <cell r="O126">
            <v>0</v>
          </cell>
          <cell r="P126">
            <v>0</v>
          </cell>
          <cell r="Q126">
            <v>0</v>
          </cell>
        </row>
        <row r="127">
          <cell r="B127" t="str">
            <v>APR 2016</v>
          </cell>
          <cell r="C127" t="str">
            <v>LGMLE572</v>
          </cell>
          <cell r="D127">
            <v>0</v>
          </cell>
          <cell r="E127">
            <v>0</v>
          </cell>
          <cell r="F127">
            <v>0</v>
          </cell>
          <cell r="G127">
            <v>0</v>
          </cell>
          <cell r="H127">
            <v>0</v>
          </cell>
          <cell r="O127">
            <v>0</v>
          </cell>
          <cell r="P127">
            <v>0</v>
          </cell>
          <cell r="Q127">
            <v>0</v>
          </cell>
        </row>
        <row r="128">
          <cell r="B128" t="str">
            <v>APR 2016</v>
          </cell>
          <cell r="C128" t="str">
            <v>LGMLE573</v>
          </cell>
          <cell r="D128">
            <v>905</v>
          </cell>
          <cell r="E128">
            <v>0</v>
          </cell>
          <cell r="F128">
            <v>0</v>
          </cell>
          <cell r="G128">
            <v>0</v>
          </cell>
          <cell r="H128">
            <v>241661</v>
          </cell>
          <cell r="O128">
            <v>0</v>
          </cell>
          <cell r="P128">
            <v>0</v>
          </cell>
          <cell r="Q128">
            <v>0</v>
          </cell>
        </row>
        <row r="129">
          <cell r="B129" t="str">
            <v>APR 2016</v>
          </cell>
          <cell r="C129" t="str">
            <v>LGMLE574</v>
          </cell>
          <cell r="D129">
            <v>0</v>
          </cell>
          <cell r="E129">
            <v>0</v>
          </cell>
          <cell r="F129">
            <v>0</v>
          </cell>
          <cell r="G129">
            <v>0</v>
          </cell>
          <cell r="H129">
            <v>0</v>
          </cell>
          <cell r="O129">
            <v>0</v>
          </cell>
          <cell r="P129">
            <v>0</v>
          </cell>
          <cell r="Q129">
            <v>0</v>
          </cell>
        </row>
        <row r="130">
          <cell r="B130" t="str">
            <v>APR 2016</v>
          </cell>
          <cell r="C130" t="str">
            <v>LGRSE411</v>
          </cell>
          <cell r="D130">
            <v>0</v>
          </cell>
          <cell r="E130">
            <v>0</v>
          </cell>
          <cell r="F130">
            <v>0</v>
          </cell>
          <cell r="G130">
            <v>0</v>
          </cell>
          <cell r="H130">
            <v>0</v>
          </cell>
          <cell r="O130">
            <v>0</v>
          </cell>
          <cell r="P130">
            <v>0</v>
          </cell>
          <cell r="Q130">
            <v>0</v>
          </cell>
        </row>
        <row r="131">
          <cell r="B131" t="str">
            <v>APR 2016</v>
          </cell>
          <cell r="C131" t="str">
            <v>LGRSE511</v>
          </cell>
          <cell r="D131">
            <v>362211</v>
          </cell>
          <cell r="E131">
            <v>0</v>
          </cell>
          <cell r="F131">
            <v>0</v>
          </cell>
          <cell r="G131">
            <v>0</v>
          </cell>
          <cell r="H131">
            <v>258316933</v>
          </cell>
          <cell r="O131">
            <v>0</v>
          </cell>
          <cell r="P131">
            <v>0</v>
          </cell>
          <cell r="Q131">
            <v>0</v>
          </cell>
        </row>
        <row r="132">
          <cell r="B132" t="str">
            <v>APR 2016</v>
          </cell>
          <cell r="C132" t="str">
            <v>LGRSE519</v>
          </cell>
          <cell r="D132">
            <v>0</v>
          </cell>
          <cell r="E132">
            <v>0</v>
          </cell>
          <cell r="F132">
            <v>0</v>
          </cell>
          <cell r="G132">
            <v>0</v>
          </cell>
          <cell r="H132">
            <v>0</v>
          </cell>
          <cell r="O132">
            <v>0</v>
          </cell>
          <cell r="P132">
            <v>0</v>
          </cell>
          <cell r="Q132">
            <v>0</v>
          </cell>
        </row>
        <row r="133">
          <cell r="B133" t="str">
            <v>APR 2016</v>
          </cell>
          <cell r="C133" t="str">
            <v>LGRSE540</v>
          </cell>
          <cell r="D133">
            <v>0</v>
          </cell>
          <cell r="E133">
            <v>0</v>
          </cell>
          <cell r="F133">
            <v>0</v>
          </cell>
          <cell r="G133">
            <v>0</v>
          </cell>
          <cell r="H133">
            <v>0</v>
          </cell>
          <cell r="O133">
            <v>0</v>
          </cell>
          <cell r="P133">
            <v>0</v>
          </cell>
          <cell r="Q133">
            <v>0</v>
          </cell>
        </row>
        <row r="134">
          <cell r="B134" t="str">
            <v>APR 2016</v>
          </cell>
          <cell r="C134" t="str">
            <v>LGRSE543</v>
          </cell>
          <cell r="D134">
            <v>21</v>
          </cell>
          <cell r="E134">
            <v>18583</v>
          </cell>
          <cell r="F134">
            <v>6886</v>
          </cell>
          <cell r="G134">
            <v>6455</v>
          </cell>
          <cell r="H134">
            <v>31924</v>
          </cell>
          <cell r="O134">
            <v>0</v>
          </cell>
          <cell r="P134">
            <v>0</v>
          </cell>
          <cell r="Q134">
            <v>0</v>
          </cell>
        </row>
        <row r="135">
          <cell r="B135" t="str">
            <v>APR 2016</v>
          </cell>
          <cell r="C135" t="str">
            <v>LGRSE547</v>
          </cell>
          <cell r="D135">
            <v>0</v>
          </cell>
          <cell r="E135">
            <v>0</v>
          </cell>
          <cell r="F135">
            <v>0</v>
          </cell>
          <cell r="G135">
            <v>0</v>
          </cell>
          <cell r="H135">
            <v>0</v>
          </cell>
          <cell r="O135">
            <v>0</v>
          </cell>
          <cell r="P135">
            <v>0</v>
          </cell>
          <cell r="Q135">
            <v>0</v>
          </cell>
        </row>
        <row r="136">
          <cell r="B136" t="str">
            <v>APR 2016</v>
          </cell>
          <cell r="C136" t="str">
            <v>Result</v>
          </cell>
        </row>
        <row r="137">
          <cell r="B137" t="str">
            <v>MAY 2016</v>
          </cell>
          <cell r="C137" t="str">
            <v>LGCME451</v>
          </cell>
          <cell r="D137">
            <v>0</v>
          </cell>
          <cell r="E137">
            <v>0</v>
          </cell>
          <cell r="F137">
            <v>0</v>
          </cell>
          <cell r="G137">
            <v>0</v>
          </cell>
          <cell r="H137">
            <v>0</v>
          </cell>
          <cell r="O137">
            <v>0</v>
          </cell>
          <cell r="P137">
            <v>0</v>
          </cell>
          <cell r="Q137">
            <v>0</v>
          </cell>
        </row>
        <row r="138">
          <cell r="B138" t="str">
            <v>MAY 2016</v>
          </cell>
          <cell r="C138" t="str">
            <v>LGCME551</v>
          </cell>
          <cell r="D138">
            <v>28263</v>
          </cell>
          <cell r="E138">
            <v>0</v>
          </cell>
          <cell r="F138">
            <v>0</v>
          </cell>
          <cell r="G138">
            <v>0</v>
          </cell>
          <cell r="H138">
            <v>31985395</v>
          </cell>
          <cell r="O138">
            <v>0</v>
          </cell>
          <cell r="P138">
            <v>0</v>
          </cell>
          <cell r="Q138">
            <v>0</v>
          </cell>
        </row>
        <row r="139">
          <cell r="B139" t="str">
            <v>MAY 2016</v>
          </cell>
          <cell r="C139" t="str">
            <v>LGCME551UM</v>
          </cell>
          <cell r="D139">
            <v>0</v>
          </cell>
          <cell r="E139">
            <v>0</v>
          </cell>
          <cell r="F139">
            <v>0</v>
          </cell>
          <cell r="G139">
            <v>0</v>
          </cell>
          <cell r="H139">
            <v>0</v>
          </cell>
          <cell r="O139">
            <v>0</v>
          </cell>
          <cell r="P139">
            <v>0</v>
          </cell>
          <cell r="Q139">
            <v>0</v>
          </cell>
        </row>
        <row r="140">
          <cell r="B140" t="str">
            <v>MAY 2016</v>
          </cell>
          <cell r="C140" t="str">
            <v>LGCME552</v>
          </cell>
          <cell r="D140">
            <v>0</v>
          </cell>
          <cell r="E140">
            <v>0</v>
          </cell>
          <cell r="F140">
            <v>0</v>
          </cell>
          <cell r="G140">
            <v>0</v>
          </cell>
          <cell r="H140">
            <v>0</v>
          </cell>
          <cell r="O140">
            <v>0</v>
          </cell>
          <cell r="P140">
            <v>0</v>
          </cell>
          <cell r="Q140">
            <v>0</v>
          </cell>
        </row>
        <row r="141">
          <cell r="B141" t="str">
            <v>MAY 2016</v>
          </cell>
          <cell r="C141" t="str">
            <v>LGCME557</v>
          </cell>
          <cell r="D141">
            <v>0</v>
          </cell>
          <cell r="E141">
            <v>0</v>
          </cell>
          <cell r="F141">
            <v>0</v>
          </cell>
          <cell r="G141">
            <v>0</v>
          </cell>
          <cell r="H141">
            <v>0</v>
          </cell>
          <cell r="O141">
            <v>0</v>
          </cell>
          <cell r="P141">
            <v>0</v>
          </cell>
          <cell r="Q141">
            <v>0</v>
          </cell>
        </row>
        <row r="142">
          <cell r="B142" t="str">
            <v>MAY 2016</v>
          </cell>
          <cell r="C142" t="str">
            <v>LGCME561</v>
          </cell>
          <cell r="D142">
            <v>2585</v>
          </cell>
          <cell r="E142">
            <v>0</v>
          </cell>
          <cell r="F142">
            <v>0</v>
          </cell>
          <cell r="G142">
            <v>0</v>
          </cell>
          <cell r="H142">
            <v>151860056</v>
          </cell>
          <cell r="O142">
            <v>0</v>
          </cell>
          <cell r="P142">
            <v>0</v>
          </cell>
          <cell r="Q142">
            <v>338104</v>
          </cell>
        </row>
        <row r="143">
          <cell r="B143" t="str">
            <v>MAY 2016</v>
          </cell>
          <cell r="C143" t="str">
            <v>LGCME563</v>
          </cell>
          <cell r="D143">
            <v>52</v>
          </cell>
          <cell r="E143">
            <v>0</v>
          </cell>
          <cell r="F143">
            <v>0</v>
          </cell>
          <cell r="G143">
            <v>0</v>
          </cell>
          <cell r="H143">
            <v>13088103</v>
          </cell>
          <cell r="O143">
            <v>0</v>
          </cell>
          <cell r="P143">
            <v>0</v>
          </cell>
          <cell r="Q143">
            <v>28296</v>
          </cell>
        </row>
        <row r="144">
          <cell r="B144" t="str">
            <v>MAY 2016</v>
          </cell>
          <cell r="C144" t="str">
            <v>LGCME567</v>
          </cell>
          <cell r="D144">
            <v>0</v>
          </cell>
          <cell r="E144">
            <v>0</v>
          </cell>
          <cell r="F144">
            <v>0</v>
          </cell>
          <cell r="G144">
            <v>0</v>
          </cell>
          <cell r="H144">
            <v>0</v>
          </cell>
          <cell r="O144">
            <v>0</v>
          </cell>
          <cell r="P144">
            <v>0</v>
          </cell>
          <cell r="Q144">
            <v>0</v>
          </cell>
        </row>
        <row r="145">
          <cell r="B145" t="str">
            <v>MAY 2016</v>
          </cell>
          <cell r="C145" t="str">
            <v>LGCME591</v>
          </cell>
          <cell r="D145">
            <v>226</v>
          </cell>
          <cell r="E145">
            <v>0</v>
          </cell>
          <cell r="F145">
            <v>0</v>
          </cell>
          <cell r="G145">
            <v>0</v>
          </cell>
          <cell r="H145">
            <v>67792801</v>
          </cell>
          <cell r="O145">
            <v>139944</v>
          </cell>
          <cell r="P145">
            <v>132252</v>
          </cell>
          <cell r="Q145">
            <v>130554</v>
          </cell>
        </row>
        <row r="146">
          <cell r="B146" t="str">
            <v>MAY 2016</v>
          </cell>
          <cell r="C146" t="str">
            <v>LGCME593</v>
          </cell>
          <cell r="D146">
            <v>41</v>
          </cell>
          <cell r="E146">
            <v>0</v>
          </cell>
          <cell r="F146">
            <v>0</v>
          </cell>
          <cell r="G146">
            <v>0</v>
          </cell>
          <cell r="H146">
            <v>32484574</v>
          </cell>
          <cell r="O146">
            <v>69868</v>
          </cell>
          <cell r="P146">
            <v>65445</v>
          </cell>
          <cell r="Q146">
            <v>64848</v>
          </cell>
        </row>
        <row r="147">
          <cell r="B147" t="str">
            <v>MAY 2016</v>
          </cell>
          <cell r="C147" t="str">
            <v>LGCME651</v>
          </cell>
          <cell r="D147">
            <v>16411</v>
          </cell>
          <cell r="E147">
            <v>0</v>
          </cell>
          <cell r="F147">
            <v>0</v>
          </cell>
          <cell r="G147">
            <v>0</v>
          </cell>
          <cell r="H147">
            <v>81600963</v>
          </cell>
          <cell r="O147">
            <v>220979</v>
          </cell>
          <cell r="P147">
            <v>0</v>
          </cell>
          <cell r="Q147">
            <v>0</v>
          </cell>
        </row>
        <row r="148">
          <cell r="B148" t="str">
            <v>MAY 2016</v>
          </cell>
          <cell r="C148" t="str">
            <v>LGCME652</v>
          </cell>
          <cell r="D148">
            <v>0</v>
          </cell>
          <cell r="E148">
            <v>0</v>
          </cell>
          <cell r="F148">
            <v>0</v>
          </cell>
          <cell r="G148">
            <v>0</v>
          </cell>
          <cell r="H148">
            <v>0</v>
          </cell>
          <cell r="O148">
            <v>0</v>
          </cell>
          <cell r="P148">
            <v>0</v>
          </cell>
          <cell r="Q148">
            <v>0</v>
          </cell>
        </row>
        <row r="149">
          <cell r="B149" t="str">
            <v>MAY 2016</v>
          </cell>
          <cell r="C149" t="str">
            <v>LGCME657</v>
          </cell>
          <cell r="D149">
            <v>0</v>
          </cell>
          <cell r="E149">
            <v>0</v>
          </cell>
          <cell r="F149">
            <v>0</v>
          </cell>
          <cell r="G149">
            <v>0</v>
          </cell>
          <cell r="H149">
            <v>0</v>
          </cell>
          <cell r="O149">
            <v>0</v>
          </cell>
          <cell r="P149">
            <v>0</v>
          </cell>
          <cell r="Q149">
            <v>0</v>
          </cell>
        </row>
        <row r="150">
          <cell r="B150" t="str">
            <v>MAY 2016</v>
          </cell>
          <cell r="C150" t="str">
            <v>LGCME671</v>
          </cell>
          <cell r="D150">
            <v>2</v>
          </cell>
          <cell r="E150">
            <v>0</v>
          </cell>
          <cell r="F150">
            <v>0</v>
          </cell>
          <cell r="G150">
            <v>0</v>
          </cell>
          <cell r="H150">
            <v>4343400</v>
          </cell>
          <cell r="O150">
            <v>0</v>
          </cell>
          <cell r="P150">
            <v>0</v>
          </cell>
          <cell r="Q150">
            <v>9429</v>
          </cell>
        </row>
        <row r="151">
          <cell r="B151" t="str">
            <v>MAY 2016</v>
          </cell>
          <cell r="C151" t="str">
            <v>LGCSR760</v>
          </cell>
          <cell r="D151">
            <v>0</v>
          </cell>
          <cell r="E151">
            <v>0</v>
          </cell>
          <cell r="F151">
            <v>0</v>
          </cell>
          <cell r="G151">
            <v>0</v>
          </cell>
          <cell r="H151">
            <v>0</v>
          </cell>
          <cell r="O151">
            <v>0</v>
          </cell>
          <cell r="P151">
            <v>0</v>
          </cell>
          <cell r="Q151">
            <v>0</v>
          </cell>
        </row>
        <row r="152">
          <cell r="B152" t="str">
            <v>MAY 2016</v>
          </cell>
          <cell r="C152" t="str">
            <v>LGCSR780</v>
          </cell>
          <cell r="D152">
            <v>0</v>
          </cell>
          <cell r="E152">
            <v>0</v>
          </cell>
          <cell r="F152">
            <v>0</v>
          </cell>
          <cell r="G152">
            <v>0</v>
          </cell>
          <cell r="H152">
            <v>0</v>
          </cell>
          <cell r="O152">
            <v>0</v>
          </cell>
          <cell r="P152">
            <v>0</v>
          </cell>
          <cell r="Q152">
            <v>0</v>
          </cell>
        </row>
        <row r="153">
          <cell r="B153" t="str">
            <v>MAY 2016</v>
          </cell>
          <cell r="C153" t="str">
            <v>LGINE599</v>
          </cell>
          <cell r="D153">
            <v>1</v>
          </cell>
          <cell r="E153">
            <v>0</v>
          </cell>
          <cell r="F153">
            <v>0</v>
          </cell>
          <cell r="G153">
            <v>0</v>
          </cell>
          <cell r="H153">
            <v>8289000</v>
          </cell>
          <cell r="O153">
            <v>0</v>
          </cell>
          <cell r="P153">
            <v>12946</v>
          </cell>
          <cell r="Q153">
            <v>0</v>
          </cell>
        </row>
        <row r="154">
          <cell r="B154" t="str">
            <v>MAY 2016</v>
          </cell>
          <cell r="C154" t="str">
            <v>LGINE643</v>
          </cell>
          <cell r="D154">
            <v>12</v>
          </cell>
          <cell r="E154">
            <v>0</v>
          </cell>
          <cell r="F154">
            <v>0</v>
          </cell>
          <cell r="G154">
            <v>0</v>
          </cell>
          <cell r="H154">
            <v>88780755</v>
          </cell>
          <cell r="O154">
            <v>164840</v>
          </cell>
          <cell r="P154">
            <v>163262</v>
          </cell>
          <cell r="Q154">
            <v>105280</v>
          </cell>
        </row>
        <row r="155">
          <cell r="B155" t="str">
            <v>MAY 2016</v>
          </cell>
          <cell r="C155" t="str">
            <v>LGINE661</v>
          </cell>
          <cell r="D155">
            <v>211</v>
          </cell>
          <cell r="E155">
            <v>0</v>
          </cell>
          <cell r="F155">
            <v>0</v>
          </cell>
          <cell r="G155">
            <v>0</v>
          </cell>
          <cell r="H155">
            <v>20979803</v>
          </cell>
          <cell r="O155">
            <v>0</v>
          </cell>
          <cell r="P155">
            <v>0</v>
          </cell>
          <cell r="Q155">
            <v>58644</v>
          </cell>
        </row>
        <row r="156">
          <cell r="B156" t="str">
            <v>MAY 2016</v>
          </cell>
          <cell r="C156" t="str">
            <v>LGINE663</v>
          </cell>
          <cell r="D156">
            <v>21</v>
          </cell>
          <cell r="E156">
            <v>0</v>
          </cell>
          <cell r="F156">
            <v>0</v>
          </cell>
          <cell r="G156">
            <v>0</v>
          </cell>
          <cell r="H156">
            <v>1232786</v>
          </cell>
          <cell r="O156">
            <v>0</v>
          </cell>
          <cell r="P156">
            <v>0</v>
          </cell>
          <cell r="Q156">
            <v>4010</v>
          </cell>
        </row>
        <row r="157">
          <cell r="B157" t="str">
            <v>MAY 2016</v>
          </cell>
          <cell r="C157" t="str">
            <v>LGINE691</v>
          </cell>
          <cell r="D157">
            <v>100</v>
          </cell>
          <cell r="E157">
            <v>0</v>
          </cell>
          <cell r="F157">
            <v>0</v>
          </cell>
          <cell r="G157">
            <v>0</v>
          </cell>
          <cell r="H157">
            <v>24315210</v>
          </cell>
          <cell r="O157">
            <v>55168</v>
          </cell>
          <cell r="P157">
            <v>52124</v>
          </cell>
          <cell r="Q157">
            <v>50849</v>
          </cell>
        </row>
        <row r="158">
          <cell r="B158" t="str">
            <v>MAY 2016</v>
          </cell>
          <cell r="C158" t="str">
            <v>LGINE693</v>
          </cell>
          <cell r="D158">
            <v>72</v>
          </cell>
          <cell r="E158">
            <v>0</v>
          </cell>
          <cell r="F158">
            <v>0</v>
          </cell>
          <cell r="G158">
            <v>0</v>
          </cell>
          <cell r="H158">
            <v>155453213</v>
          </cell>
          <cell r="O158">
            <v>342427</v>
          </cell>
          <cell r="P158">
            <v>310877</v>
          </cell>
          <cell r="Q158">
            <v>306747</v>
          </cell>
        </row>
        <row r="159">
          <cell r="B159" t="str">
            <v>MAY 2016</v>
          </cell>
          <cell r="C159" t="str">
            <v>LGMLE570</v>
          </cell>
          <cell r="D159">
            <v>0</v>
          </cell>
          <cell r="E159">
            <v>0</v>
          </cell>
          <cell r="F159">
            <v>0</v>
          </cell>
          <cell r="G159">
            <v>0</v>
          </cell>
          <cell r="H159">
            <v>0</v>
          </cell>
          <cell r="O159">
            <v>0</v>
          </cell>
          <cell r="P159">
            <v>0</v>
          </cell>
          <cell r="Q159">
            <v>0</v>
          </cell>
        </row>
        <row r="160">
          <cell r="B160" t="str">
            <v>MAY 2016</v>
          </cell>
          <cell r="C160" t="str">
            <v>LGMLE571</v>
          </cell>
          <cell r="D160">
            <v>156</v>
          </cell>
          <cell r="E160">
            <v>0</v>
          </cell>
          <cell r="F160">
            <v>0</v>
          </cell>
          <cell r="G160">
            <v>0</v>
          </cell>
          <cell r="H160">
            <v>306985</v>
          </cell>
          <cell r="O160">
            <v>0</v>
          </cell>
          <cell r="P160">
            <v>0</v>
          </cell>
          <cell r="Q160">
            <v>0</v>
          </cell>
        </row>
        <row r="161">
          <cell r="B161" t="str">
            <v>MAY 2016</v>
          </cell>
          <cell r="C161" t="str">
            <v>LGMLE572</v>
          </cell>
          <cell r="D161">
            <v>0</v>
          </cell>
          <cell r="E161">
            <v>0</v>
          </cell>
          <cell r="F161">
            <v>0</v>
          </cell>
          <cell r="G161">
            <v>0</v>
          </cell>
          <cell r="H161">
            <v>0</v>
          </cell>
          <cell r="O161">
            <v>0</v>
          </cell>
          <cell r="P161">
            <v>0</v>
          </cell>
          <cell r="Q161">
            <v>0</v>
          </cell>
        </row>
        <row r="162">
          <cell r="B162" t="str">
            <v>MAY 2016</v>
          </cell>
          <cell r="C162" t="str">
            <v>LGMLE573</v>
          </cell>
          <cell r="D162">
            <v>905</v>
          </cell>
          <cell r="E162">
            <v>0</v>
          </cell>
          <cell r="F162">
            <v>0</v>
          </cell>
          <cell r="G162">
            <v>0</v>
          </cell>
          <cell r="H162">
            <v>274260</v>
          </cell>
          <cell r="O162">
            <v>0</v>
          </cell>
          <cell r="P162">
            <v>0</v>
          </cell>
          <cell r="Q162">
            <v>0</v>
          </cell>
        </row>
        <row r="163">
          <cell r="B163" t="str">
            <v>MAY 2016</v>
          </cell>
          <cell r="C163" t="str">
            <v>LGMLE574</v>
          </cell>
          <cell r="D163">
            <v>0</v>
          </cell>
          <cell r="E163">
            <v>0</v>
          </cell>
          <cell r="F163">
            <v>0</v>
          </cell>
          <cell r="G163">
            <v>0</v>
          </cell>
          <cell r="H163">
            <v>0</v>
          </cell>
          <cell r="O163">
            <v>0</v>
          </cell>
          <cell r="P163">
            <v>0</v>
          </cell>
          <cell r="Q163">
            <v>0</v>
          </cell>
        </row>
        <row r="164">
          <cell r="B164" t="str">
            <v>MAY 2016</v>
          </cell>
          <cell r="C164" t="str">
            <v>LGRSE411</v>
          </cell>
          <cell r="D164">
            <v>0</v>
          </cell>
          <cell r="E164">
            <v>0</v>
          </cell>
          <cell r="F164">
            <v>0</v>
          </cell>
          <cell r="G164">
            <v>0</v>
          </cell>
          <cell r="H164">
            <v>0</v>
          </cell>
          <cell r="O164">
            <v>0</v>
          </cell>
          <cell r="P164">
            <v>0</v>
          </cell>
          <cell r="Q164">
            <v>0</v>
          </cell>
        </row>
        <row r="165">
          <cell r="B165" t="str">
            <v>MAY 2016</v>
          </cell>
          <cell r="C165" t="str">
            <v>LGRSE511</v>
          </cell>
          <cell r="D165">
            <v>362413</v>
          </cell>
          <cell r="E165">
            <v>0</v>
          </cell>
          <cell r="F165">
            <v>0</v>
          </cell>
          <cell r="G165">
            <v>0</v>
          </cell>
          <cell r="H165">
            <v>295355367</v>
          </cell>
          <cell r="O165">
            <v>0</v>
          </cell>
          <cell r="P165">
            <v>0</v>
          </cell>
          <cell r="Q165">
            <v>0</v>
          </cell>
        </row>
        <row r="166">
          <cell r="B166" t="str">
            <v>MAY 2016</v>
          </cell>
          <cell r="C166" t="str">
            <v>LGRSE519</v>
          </cell>
          <cell r="D166">
            <v>0</v>
          </cell>
          <cell r="E166">
            <v>0</v>
          </cell>
          <cell r="F166">
            <v>0</v>
          </cell>
          <cell r="G166">
            <v>0</v>
          </cell>
          <cell r="H166">
            <v>0</v>
          </cell>
          <cell r="O166">
            <v>0</v>
          </cell>
          <cell r="P166">
            <v>0</v>
          </cell>
          <cell r="Q166">
            <v>0</v>
          </cell>
        </row>
        <row r="167">
          <cell r="B167" t="str">
            <v>MAY 2016</v>
          </cell>
          <cell r="C167" t="str">
            <v>LGRSE540</v>
          </cell>
          <cell r="D167">
            <v>0</v>
          </cell>
          <cell r="E167">
            <v>0</v>
          </cell>
          <cell r="F167">
            <v>0</v>
          </cell>
          <cell r="G167">
            <v>0</v>
          </cell>
          <cell r="H167">
            <v>0</v>
          </cell>
          <cell r="O167">
            <v>0</v>
          </cell>
          <cell r="P167">
            <v>0</v>
          </cell>
          <cell r="Q167">
            <v>0</v>
          </cell>
        </row>
        <row r="168">
          <cell r="B168" t="str">
            <v>MAY 2016</v>
          </cell>
          <cell r="C168" t="str">
            <v>LGRSE543</v>
          </cell>
          <cell r="D168">
            <v>21</v>
          </cell>
          <cell r="E168">
            <v>23432</v>
          </cell>
          <cell r="F168">
            <v>8205</v>
          </cell>
          <cell r="G168">
            <v>8534</v>
          </cell>
          <cell r="H168">
            <v>40171</v>
          </cell>
          <cell r="O168">
            <v>0</v>
          </cell>
          <cell r="P168">
            <v>0</v>
          </cell>
          <cell r="Q168">
            <v>0</v>
          </cell>
        </row>
        <row r="169">
          <cell r="B169" t="str">
            <v>MAY 2016</v>
          </cell>
          <cell r="C169" t="str">
            <v>LGRSE547</v>
          </cell>
          <cell r="D169">
            <v>0</v>
          </cell>
          <cell r="E169">
            <v>0</v>
          </cell>
          <cell r="F169">
            <v>0</v>
          </cell>
          <cell r="G169">
            <v>0</v>
          </cell>
          <cell r="H169">
            <v>0</v>
          </cell>
          <cell r="O169">
            <v>0</v>
          </cell>
          <cell r="P169">
            <v>0</v>
          </cell>
          <cell r="Q169">
            <v>0</v>
          </cell>
        </row>
        <row r="170">
          <cell r="B170" t="str">
            <v>MAY 2016</v>
          </cell>
          <cell r="C170" t="str">
            <v>Result</v>
          </cell>
        </row>
        <row r="171">
          <cell r="B171" t="str">
            <v>JUN 2016</v>
          </cell>
          <cell r="C171" t="str">
            <v>LGCME451</v>
          </cell>
          <cell r="D171">
            <v>0</v>
          </cell>
          <cell r="E171">
            <v>0</v>
          </cell>
          <cell r="F171">
            <v>0</v>
          </cell>
          <cell r="G171">
            <v>0</v>
          </cell>
          <cell r="H171">
            <v>0</v>
          </cell>
          <cell r="O171">
            <v>0</v>
          </cell>
          <cell r="P171">
            <v>0</v>
          </cell>
          <cell r="Q171">
            <v>0</v>
          </cell>
        </row>
        <row r="172">
          <cell r="B172" t="str">
            <v>JUN 2016</v>
          </cell>
          <cell r="C172" t="str">
            <v>LGCME551</v>
          </cell>
          <cell r="D172">
            <v>28274</v>
          </cell>
          <cell r="E172">
            <v>0</v>
          </cell>
          <cell r="F172">
            <v>0</v>
          </cell>
          <cell r="G172">
            <v>0</v>
          </cell>
          <cell r="H172">
            <v>36031760</v>
          </cell>
          <cell r="O172">
            <v>0</v>
          </cell>
          <cell r="P172">
            <v>0</v>
          </cell>
          <cell r="Q172">
            <v>0</v>
          </cell>
        </row>
        <row r="173">
          <cell r="B173" t="str">
            <v>JUN 2016</v>
          </cell>
          <cell r="C173" t="str">
            <v>LGCME551UM</v>
          </cell>
          <cell r="D173">
            <v>0</v>
          </cell>
          <cell r="E173">
            <v>0</v>
          </cell>
          <cell r="F173">
            <v>0</v>
          </cell>
          <cell r="G173">
            <v>0</v>
          </cell>
          <cell r="H173">
            <v>0</v>
          </cell>
          <cell r="O173">
            <v>0</v>
          </cell>
          <cell r="P173">
            <v>0</v>
          </cell>
          <cell r="Q173">
            <v>0</v>
          </cell>
        </row>
        <row r="174">
          <cell r="B174" t="str">
            <v>JUN 2016</v>
          </cell>
          <cell r="C174" t="str">
            <v>LGCME552</v>
          </cell>
          <cell r="D174">
            <v>0</v>
          </cell>
          <cell r="E174">
            <v>0</v>
          </cell>
          <cell r="F174">
            <v>0</v>
          </cell>
          <cell r="G174">
            <v>0</v>
          </cell>
          <cell r="H174">
            <v>0</v>
          </cell>
          <cell r="O174">
            <v>0</v>
          </cell>
          <cell r="P174">
            <v>0</v>
          </cell>
          <cell r="Q174">
            <v>0</v>
          </cell>
        </row>
        <row r="175">
          <cell r="B175" t="str">
            <v>JUN 2016</v>
          </cell>
          <cell r="C175" t="str">
            <v>LGCME557</v>
          </cell>
          <cell r="D175">
            <v>0</v>
          </cell>
          <cell r="E175">
            <v>0</v>
          </cell>
          <cell r="F175">
            <v>0</v>
          </cell>
          <cell r="G175">
            <v>0</v>
          </cell>
          <cell r="H175">
            <v>0</v>
          </cell>
          <cell r="O175">
            <v>0</v>
          </cell>
          <cell r="P175">
            <v>0</v>
          </cell>
          <cell r="Q175">
            <v>0</v>
          </cell>
        </row>
        <row r="176">
          <cell r="B176" t="str">
            <v>JUN 2016</v>
          </cell>
          <cell r="C176" t="str">
            <v>LGCME561</v>
          </cell>
          <cell r="D176">
            <v>2585</v>
          </cell>
          <cell r="E176">
            <v>0</v>
          </cell>
          <cell r="F176">
            <v>0</v>
          </cell>
          <cell r="G176">
            <v>0</v>
          </cell>
          <cell r="H176">
            <v>170619420</v>
          </cell>
          <cell r="O176">
            <v>0</v>
          </cell>
          <cell r="P176">
            <v>0</v>
          </cell>
          <cell r="Q176">
            <v>389231</v>
          </cell>
        </row>
        <row r="177">
          <cell r="B177" t="str">
            <v>JUN 2016</v>
          </cell>
          <cell r="C177" t="str">
            <v>LGCME563</v>
          </cell>
          <cell r="D177">
            <v>52</v>
          </cell>
          <cell r="E177">
            <v>0</v>
          </cell>
          <cell r="F177">
            <v>0</v>
          </cell>
          <cell r="G177">
            <v>0</v>
          </cell>
          <cell r="H177">
            <v>14473039</v>
          </cell>
          <cell r="O177">
            <v>0</v>
          </cell>
          <cell r="P177">
            <v>0</v>
          </cell>
          <cell r="Q177">
            <v>32085</v>
          </cell>
        </row>
        <row r="178">
          <cell r="B178" t="str">
            <v>JUN 2016</v>
          </cell>
          <cell r="C178" t="str">
            <v>LGCME567</v>
          </cell>
          <cell r="D178">
            <v>0</v>
          </cell>
          <cell r="E178">
            <v>0</v>
          </cell>
          <cell r="F178">
            <v>0</v>
          </cell>
          <cell r="G178">
            <v>0</v>
          </cell>
          <cell r="H178">
            <v>0</v>
          </cell>
          <cell r="O178">
            <v>0</v>
          </cell>
          <cell r="P178">
            <v>0</v>
          </cell>
          <cell r="Q178">
            <v>0</v>
          </cell>
        </row>
        <row r="179">
          <cell r="B179" t="str">
            <v>JUN 2016</v>
          </cell>
          <cell r="C179" t="str">
            <v>LGCME591</v>
          </cell>
          <cell r="D179">
            <v>227</v>
          </cell>
          <cell r="E179">
            <v>0</v>
          </cell>
          <cell r="F179">
            <v>0</v>
          </cell>
          <cell r="G179">
            <v>0</v>
          </cell>
          <cell r="H179">
            <v>76748015</v>
          </cell>
          <cell r="O179">
            <v>155338</v>
          </cell>
          <cell r="P179">
            <v>149375</v>
          </cell>
          <cell r="Q179">
            <v>147579</v>
          </cell>
        </row>
        <row r="180">
          <cell r="B180" t="str">
            <v>JUN 2016</v>
          </cell>
          <cell r="C180" t="str">
            <v>LGCME593</v>
          </cell>
          <cell r="D180">
            <v>41</v>
          </cell>
          <cell r="E180">
            <v>0</v>
          </cell>
          <cell r="F180">
            <v>0</v>
          </cell>
          <cell r="G180">
            <v>0</v>
          </cell>
          <cell r="H180">
            <v>35716090</v>
          </cell>
          <cell r="O180">
            <v>80665</v>
          </cell>
          <cell r="P180">
            <v>74590</v>
          </cell>
          <cell r="Q180">
            <v>73984</v>
          </cell>
        </row>
        <row r="181">
          <cell r="B181" t="str">
            <v>JUN 2016</v>
          </cell>
          <cell r="C181" t="str">
            <v>LGCME651</v>
          </cell>
          <cell r="D181">
            <v>16417</v>
          </cell>
          <cell r="E181">
            <v>0</v>
          </cell>
          <cell r="F181">
            <v>0</v>
          </cell>
          <cell r="G181">
            <v>0</v>
          </cell>
          <cell r="H181">
            <v>92005903</v>
          </cell>
          <cell r="O181">
            <v>216926</v>
          </cell>
          <cell r="P181">
            <v>0</v>
          </cell>
          <cell r="Q181">
            <v>0</v>
          </cell>
        </row>
        <row r="182">
          <cell r="B182" t="str">
            <v>JUN 2016</v>
          </cell>
          <cell r="C182" t="str">
            <v>LGCME652</v>
          </cell>
          <cell r="D182">
            <v>0</v>
          </cell>
          <cell r="E182">
            <v>0</v>
          </cell>
          <cell r="F182">
            <v>0</v>
          </cell>
          <cell r="G182">
            <v>0</v>
          </cell>
          <cell r="H182">
            <v>0</v>
          </cell>
          <cell r="O182">
            <v>0</v>
          </cell>
          <cell r="P182">
            <v>0</v>
          </cell>
          <cell r="Q182">
            <v>0</v>
          </cell>
        </row>
        <row r="183">
          <cell r="B183" t="str">
            <v>JUN 2016</v>
          </cell>
          <cell r="C183" t="str">
            <v>LGCME657</v>
          </cell>
          <cell r="D183">
            <v>0</v>
          </cell>
          <cell r="E183">
            <v>0</v>
          </cell>
          <cell r="F183">
            <v>0</v>
          </cell>
          <cell r="G183">
            <v>0</v>
          </cell>
          <cell r="H183">
            <v>0</v>
          </cell>
          <cell r="O183">
            <v>0</v>
          </cell>
          <cell r="P183">
            <v>0</v>
          </cell>
          <cell r="Q183">
            <v>0</v>
          </cell>
        </row>
        <row r="184">
          <cell r="B184" t="str">
            <v>JUN 2016</v>
          </cell>
          <cell r="C184" t="str">
            <v>LGCME671</v>
          </cell>
          <cell r="D184">
            <v>2</v>
          </cell>
          <cell r="E184">
            <v>0</v>
          </cell>
          <cell r="F184">
            <v>0</v>
          </cell>
          <cell r="G184">
            <v>0</v>
          </cell>
          <cell r="H184">
            <v>4921800</v>
          </cell>
          <cell r="O184">
            <v>0</v>
          </cell>
          <cell r="P184">
            <v>0</v>
          </cell>
          <cell r="Q184">
            <v>9435</v>
          </cell>
        </row>
        <row r="185">
          <cell r="B185" t="str">
            <v>JUN 2016</v>
          </cell>
          <cell r="C185" t="str">
            <v>LGCSR760</v>
          </cell>
          <cell r="D185">
            <v>0</v>
          </cell>
          <cell r="E185">
            <v>0</v>
          </cell>
          <cell r="F185">
            <v>0</v>
          </cell>
          <cell r="G185">
            <v>0</v>
          </cell>
          <cell r="H185">
            <v>0</v>
          </cell>
          <cell r="O185">
            <v>0</v>
          </cell>
          <cell r="P185">
            <v>0</v>
          </cell>
          <cell r="Q185">
            <v>0</v>
          </cell>
        </row>
        <row r="186">
          <cell r="B186" t="str">
            <v>JUN 2016</v>
          </cell>
          <cell r="C186" t="str">
            <v>LGCSR780</v>
          </cell>
          <cell r="D186">
            <v>0</v>
          </cell>
          <cell r="E186">
            <v>0</v>
          </cell>
          <cell r="F186">
            <v>0</v>
          </cell>
          <cell r="G186">
            <v>0</v>
          </cell>
          <cell r="H186">
            <v>0</v>
          </cell>
          <cell r="O186">
            <v>0</v>
          </cell>
          <cell r="P186">
            <v>0</v>
          </cell>
          <cell r="Q186">
            <v>0</v>
          </cell>
        </row>
        <row r="187">
          <cell r="B187" t="str">
            <v>JUN 2016</v>
          </cell>
          <cell r="C187" t="str">
            <v>LGINE599</v>
          </cell>
          <cell r="D187">
            <v>1</v>
          </cell>
          <cell r="E187">
            <v>0</v>
          </cell>
          <cell r="F187">
            <v>0</v>
          </cell>
          <cell r="G187">
            <v>0</v>
          </cell>
          <cell r="H187">
            <v>10068000</v>
          </cell>
          <cell r="O187">
            <v>0</v>
          </cell>
          <cell r="P187">
            <v>0</v>
          </cell>
          <cell r="Q187">
            <v>16030</v>
          </cell>
        </row>
        <row r="188">
          <cell r="B188" t="str">
            <v>JUN 2016</v>
          </cell>
          <cell r="C188" t="str">
            <v>LGINE643</v>
          </cell>
          <cell r="D188">
            <v>12</v>
          </cell>
          <cell r="E188">
            <v>0</v>
          </cell>
          <cell r="F188">
            <v>0</v>
          </cell>
          <cell r="G188">
            <v>0</v>
          </cell>
          <cell r="H188">
            <v>85948776</v>
          </cell>
          <cell r="O188">
            <v>165068</v>
          </cell>
          <cell r="P188">
            <v>162432</v>
          </cell>
          <cell r="Q188">
            <v>104436</v>
          </cell>
        </row>
        <row r="189">
          <cell r="B189" t="str">
            <v>JUN 2016</v>
          </cell>
          <cell r="C189" t="str">
            <v>LGINE661</v>
          </cell>
          <cell r="D189">
            <v>211</v>
          </cell>
          <cell r="E189">
            <v>0</v>
          </cell>
          <cell r="F189">
            <v>0</v>
          </cell>
          <cell r="G189">
            <v>0</v>
          </cell>
          <cell r="H189">
            <v>21823098</v>
          </cell>
          <cell r="O189">
            <v>0</v>
          </cell>
          <cell r="P189">
            <v>0</v>
          </cell>
          <cell r="Q189">
            <v>62552</v>
          </cell>
        </row>
        <row r="190">
          <cell r="B190" t="str">
            <v>JUN 2016</v>
          </cell>
          <cell r="C190" t="str">
            <v>LGINE663</v>
          </cell>
          <cell r="D190">
            <v>21</v>
          </cell>
          <cell r="E190">
            <v>0</v>
          </cell>
          <cell r="F190">
            <v>0</v>
          </cell>
          <cell r="G190">
            <v>0</v>
          </cell>
          <cell r="H190">
            <v>1298252</v>
          </cell>
          <cell r="O190">
            <v>0</v>
          </cell>
          <cell r="P190">
            <v>0</v>
          </cell>
          <cell r="Q190">
            <v>4327</v>
          </cell>
        </row>
        <row r="191">
          <cell r="B191" t="str">
            <v>JUN 2016</v>
          </cell>
          <cell r="C191" t="str">
            <v>LGINE691</v>
          </cell>
          <cell r="D191">
            <v>100</v>
          </cell>
          <cell r="E191">
            <v>0</v>
          </cell>
          <cell r="F191">
            <v>0</v>
          </cell>
          <cell r="G191">
            <v>0</v>
          </cell>
          <cell r="H191">
            <v>25167481</v>
          </cell>
          <cell r="O191">
            <v>58439</v>
          </cell>
          <cell r="P191">
            <v>54724</v>
          </cell>
          <cell r="Q191">
            <v>52686</v>
          </cell>
        </row>
        <row r="192">
          <cell r="B192" t="str">
            <v>JUN 2016</v>
          </cell>
          <cell r="C192" t="str">
            <v>LGINE693</v>
          </cell>
          <cell r="D192">
            <v>72</v>
          </cell>
          <cell r="E192">
            <v>0</v>
          </cell>
          <cell r="F192">
            <v>0</v>
          </cell>
          <cell r="G192">
            <v>0</v>
          </cell>
          <cell r="H192">
            <v>163708445</v>
          </cell>
          <cell r="O192">
            <v>369509</v>
          </cell>
          <cell r="P192">
            <v>335463</v>
          </cell>
          <cell r="Q192">
            <v>331007</v>
          </cell>
        </row>
        <row r="193">
          <cell r="B193" t="str">
            <v>JUN 2016</v>
          </cell>
          <cell r="C193" t="str">
            <v>LGMLE570</v>
          </cell>
          <cell r="D193">
            <v>0</v>
          </cell>
          <cell r="E193">
            <v>0</v>
          </cell>
          <cell r="F193">
            <v>0</v>
          </cell>
          <cell r="G193">
            <v>0</v>
          </cell>
          <cell r="H193">
            <v>0</v>
          </cell>
          <cell r="O193">
            <v>0</v>
          </cell>
          <cell r="P193">
            <v>0</v>
          </cell>
          <cell r="Q193">
            <v>0</v>
          </cell>
        </row>
        <row r="194">
          <cell r="B194" t="str">
            <v>JUN 2016</v>
          </cell>
          <cell r="C194" t="str">
            <v>LGMLE571</v>
          </cell>
          <cell r="D194">
            <v>156</v>
          </cell>
          <cell r="E194">
            <v>0</v>
          </cell>
          <cell r="F194">
            <v>0</v>
          </cell>
          <cell r="G194">
            <v>0</v>
          </cell>
          <cell r="H194">
            <v>281310</v>
          </cell>
          <cell r="O194">
            <v>0</v>
          </cell>
          <cell r="P194">
            <v>0</v>
          </cell>
          <cell r="Q194">
            <v>0</v>
          </cell>
        </row>
        <row r="195">
          <cell r="B195" t="str">
            <v>JUN 2016</v>
          </cell>
          <cell r="C195" t="str">
            <v>LGMLE572</v>
          </cell>
          <cell r="D195">
            <v>0</v>
          </cell>
          <cell r="E195">
            <v>0</v>
          </cell>
          <cell r="F195">
            <v>0</v>
          </cell>
          <cell r="G195">
            <v>0</v>
          </cell>
          <cell r="H195">
            <v>0</v>
          </cell>
          <cell r="O195">
            <v>0</v>
          </cell>
          <cell r="P195">
            <v>0</v>
          </cell>
          <cell r="Q195">
            <v>0</v>
          </cell>
        </row>
        <row r="196">
          <cell r="B196" t="str">
            <v>JUN 2016</v>
          </cell>
          <cell r="C196" t="str">
            <v>LGMLE573</v>
          </cell>
          <cell r="D196">
            <v>905</v>
          </cell>
          <cell r="E196">
            <v>0</v>
          </cell>
          <cell r="F196">
            <v>0</v>
          </cell>
          <cell r="G196">
            <v>0</v>
          </cell>
          <cell r="H196">
            <v>277659</v>
          </cell>
          <cell r="O196">
            <v>0</v>
          </cell>
          <cell r="P196">
            <v>0</v>
          </cell>
          <cell r="Q196">
            <v>0</v>
          </cell>
        </row>
        <row r="197">
          <cell r="B197" t="str">
            <v>JUN 2016</v>
          </cell>
          <cell r="C197" t="str">
            <v>LGMLE574</v>
          </cell>
          <cell r="D197">
            <v>0</v>
          </cell>
          <cell r="E197">
            <v>0</v>
          </cell>
          <cell r="F197">
            <v>0</v>
          </cell>
          <cell r="G197">
            <v>0</v>
          </cell>
          <cell r="H197">
            <v>0</v>
          </cell>
          <cell r="O197">
            <v>0</v>
          </cell>
          <cell r="P197">
            <v>0</v>
          </cell>
          <cell r="Q197">
            <v>0</v>
          </cell>
        </row>
        <row r="198">
          <cell r="B198" t="str">
            <v>JUN 2016</v>
          </cell>
          <cell r="C198" t="str">
            <v>LGRSE411</v>
          </cell>
          <cell r="D198">
            <v>0</v>
          </cell>
          <cell r="E198">
            <v>0</v>
          </cell>
          <cell r="F198">
            <v>0</v>
          </cell>
          <cell r="G198">
            <v>0</v>
          </cell>
          <cell r="H198">
            <v>0</v>
          </cell>
          <cell r="O198">
            <v>0</v>
          </cell>
          <cell r="P198">
            <v>0</v>
          </cell>
          <cell r="Q198">
            <v>0</v>
          </cell>
        </row>
        <row r="199">
          <cell r="B199" t="str">
            <v>JUN 2016</v>
          </cell>
          <cell r="C199" t="str">
            <v>LGRSE511</v>
          </cell>
          <cell r="D199">
            <v>362615</v>
          </cell>
          <cell r="E199">
            <v>0</v>
          </cell>
          <cell r="F199">
            <v>0</v>
          </cell>
          <cell r="G199">
            <v>0</v>
          </cell>
          <cell r="H199">
            <v>411072623</v>
          </cell>
          <cell r="O199">
            <v>0</v>
          </cell>
          <cell r="P199">
            <v>0</v>
          </cell>
          <cell r="Q199">
            <v>0</v>
          </cell>
        </row>
        <row r="200">
          <cell r="B200" t="str">
            <v>JUN 2016</v>
          </cell>
          <cell r="C200" t="str">
            <v>LGRSE519</v>
          </cell>
          <cell r="D200">
            <v>0</v>
          </cell>
          <cell r="E200">
            <v>0</v>
          </cell>
          <cell r="F200">
            <v>0</v>
          </cell>
          <cell r="G200">
            <v>0</v>
          </cell>
          <cell r="H200">
            <v>0</v>
          </cell>
          <cell r="O200">
            <v>0</v>
          </cell>
          <cell r="P200">
            <v>0</v>
          </cell>
          <cell r="Q200">
            <v>0</v>
          </cell>
        </row>
        <row r="201">
          <cell r="B201" t="str">
            <v>JUN 2016</v>
          </cell>
          <cell r="C201" t="str">
            <v>LGRSE540</v>
          </cell>
          <cell r="D201">
            <v>0</v>
          </cell>
          <cell r="E201">
            <v>0</v>
          </cell>
          <cell r="F201">
            <v>0</v>
          </cell>
          <cell r="G201">
            <v>0</v>
          </cell>
          <cell r="H201">
            <v>0</v>
          </cell>
          <cell r="O201">
            <v>0</v>
          </cell>
          <cell r="P201">
            <v>0</v>
          </cell>
          <cell r="Q201">
            <v>0</v>
          </cell>
        </row>
        <row r="202">
          <cell r="B202" t="str">
            <v>JUN 2016</v>
          </cell>
          <cell r="C202" t="str">
            <v>LGRSE543</v>
          </cell>
          <cell r="D202">
            <v>21</v>
          </cell>
          <cell r="E202">
            <v>23293</v>
          </cell>
          <cell r="F202">
            <v>8637</v>
          </cell>
          <cell r="G202">
            <v>8200</v>
          </cell>
          <cell r="H202">
            <v>40130</v>
          </cell>
          <cell r="O202">
            <v>0</v>
          </cell>
          <cell r="P202">
            <v>0</v>
          </cell>
          <cell r="Q202">
            <v>0</v>
          </cell>
        </row>
        <row r="203">
          <cell r="B203" t="str">
            <v>JUN 2016</v>
          </cell>
          <cell r="C203" t="str">
            <v>LGRSE547</v>
          </cell>
          <cell r="D203">
            <v>0</v>
          </cell>
          <cell r="E203">
            <v>0</v>
          </cell>
          <cell r="F203">
            <v>0</v>
          </cell>
          <cell r="G203">
            <v>0</v>
          </cell>
          <cell r="H203">
            <v>0</v>
          </cell>
          <cell r="O203">
            <v>0</v>
          </cell>
          <cell r="P203">
            <v>0</v>
          </cell>
          <cell r="Q203">
            <v>0</v>
          </cell>
        </row>
        <row r="204">
          <cell r="B204" t="str">
            <v>JUN 2016</v>
          </cell>
          <cell r="C204" t="str">
            <v>Result</v>
          </cell>
        </row>
        <row r="205">
          <cell r="B205" t="str">
            <v>JUL 2015</v>
          </cell>
          <cell r="C205" t="str">
            <v>LGCME451</v>
          </cell>
          <cell r="D205">
            <v>0</v>
          </cell>
          <cell r="E205">
            <v>0</v>
          </cell>
          <cell r="F205">
            <v>0</v>
          </cell>
          <cell r="G205">
            <v>0</v>
          </cell>
          <cell r="H205">
            <v>0</v>
          </cell>
          <cell r="O205">
            <v>0</v>
          </cell>
          <cell r="P205">
            <v>0</v>
          </cell>
          <cell r="Q205">
            <v>0</v>
          </cell>
        </row>
        <row r="206">
          <cell r="B206" t="str">
            <v>JUL 2015</v>
          </cell>
          <cell r="C206" t="str">
            <v>LGCME551</v>
          </cell>
          <cell r="D206">
            <v>28156</v>
          </cell>
          <cell r="E206">
            <v>0</v>
          </cell>
          <cell r="F206">
            <v>0</v>
          </cell>
          <cell r="G206">
            <v>0</v>
          </cell>
          <cell r="H206">
            <v>40110981</v>
          </cell>
          <cell r="O206">
            <v>0</v>
          </cell>
          <cell r="P206">
            <v>0</v>
          </cell>
          <cell r="Q206">
            <v>0</v>
          </cell>
        </row>
        <row r="207">
          <cell r="B207" t="str">
            <v>JUL 2015</v>
          </cell>
          <cell r="C207" t="str">
            <v>LGCME551UM</v>
          </cell>
          <cell r="D207">
            <v>0</v>
          </cell>
          <cell r="E207">
            <v>0</v>
          </cell>
          <cell r="F207">
            <v>0</v>
          </cell>
          <cell r="G207">
            <v>0</v>
          </cell>
          <cell r="H207">
            <v>0</v>
          </cell>
          <cell r="O207">
            <v>0</v>
          </cell>
          <cell r="P207">
            <v>0</v>
          </cell>
          <cell r="Q207">
            <v>0</v>
          </cell>
        </row>
        <row r="208">
          <cell r="B208" t="str">
            <v>JUL 2015</v>
          </cell>
          <cell r="C208" t="str">
            <v>LGCME552</v>
          </cell>
          <cell r="D208">
            <v>0</v>
          </cell>
          <cell r="E208">
            <v>0</v>
          </cell>
          <cell r="F208">
            <v>0</v>
          </cell>
          <cell r="G208">
            <v>0</v>
          </cell>
          <cell r="H208">
            <v>0</v>
          </cell>
          <cell r="O208">
            <v>0</v>
          </cell>
          <cell r="P208">
            <v>0</v>
          </cell>
          <cell r="Q208">
            <v>0</v>
          </cell>
        </row>
        <row r="209">
          <cell r="B209" t="str">
            <v>JUL 2015</v>
          </cell>
          <cell r="C209" t="str">
            <v>LGCME557</v>
          </cell>
          <cell r="D209">
            <v>0</v>
          </cell>
          <cell r="E209">
            <v>0</v>
          </cell>
          <cell r="F209">
            <v>0</v>
          </cell>
          <cell r="G209">
            <v>0</v>
          </cell>
          <cell r="H209">
            <v>0</v>
          </cell>
          <cell r="O209">
            <v>0</v>
          </cell>
          <cell r="P209">
            <v>0</v>
          </cell>
          <cell r="Q209">
            <v>0</v>
          </cell>
        </row>
        <row r="210">
          <cell r="B210" t="str">
            <v>JUL 2015</v>
          </cell>
          <cell r="C210" t="str">
            <v>LGCME561</v>
          </cell>
          <cell r="D210">
            <v>2579</v>
          </cell>
          <cell r="E210">
            <v>0</v>
          </cell>
          <cell r="F210">
            <v>0</v>
          </cell>
          <cell r="G210">
            <v>0</v>
          </cell>
          <cell r="H210">
            <v>168924378</v>
          </cell>
          <cell r="O210">
            <v>0</v>
          </cell>
          <cell r="P210">
            <v>0</v>
          </cell>
          <cell r="Q210">
            <v>406609</v>
          </cell>
        </row>
        <row r="211">
          <cell r="B211" t="str">
            <v>JUL 2015</v>
          </cell>
          <cell r="C211" t="str">
            <v>LGCME563</v>
          </cell>
          <cell r="D211">
            <v>52</v>
          </cell>
          <cell r="E211">
            <v>0</v>
          </cell>
          <cell r="F211">
            <v>0</v>
          </cell>
          <cell r="G211">
            <v>0</v>
          </cell>
          <cell r="H211">
            <v>14939406</v>
          </cell>
          <cell r="O211">
            <v>0</v>
          </cell>
          <cell r="P211">
            <v>0</v>
          </cell>
          <cell r="Q211">
            <v>35012</v>
          </cell>
        </row>
        <row r="212">
          <cell r="B212" t="str">
            <v>JUL 2015</v>
          </cell>
          <cell r="C212" t="str">
            <v>LGCME567</v>
          </cell>
          <cell r="D212">
            <v>0</v>
          </cell>
          <cell r="E212">
            <v>0</v>
          </cell>
          <cell r="F212">
            <v>0</v>
          </cell>
          <cell r="G212">
            <v>0</v>
          </cell>
          <cell r="H212">
            <v>0</v>
          </cell>
          <cell r="O212">
            <v>0</v>
          </cell>
          <cell r="P212">
            <v>0</v>
          </cell>
          <cell r="Q212">
            <v>0</v>
          </cell>
        </row>
        <row r="213">
          <cell r="B213" t="str">
            <v>JUL 2015</v>
          </cell>
          <cell r="C213" t="str">
            <v>LGCME591</v>
          </cell>
          <cell r="D213">
            <v>216</v>
          </cell>
          <cell r="E213">
            <v>0</v>
          </cell>
          <cell r="F213">
            <v>0</v>
          </cell>
          <cell r="G213">
            <v>0</v>
          </cell>
          <cell r="H213">
            <v>76574431</v>
          </cell>
          <cell r="O213">
            <v>156986</v>
          </cell>
          <cell r="P213">
            <v>152069</v>
          </cell>
          <cell r="Q213">
            <v>150334</v>
          </cell>
        </row>
        <row r="214">
          <cell r="B214" t="str">
            <v>JUL 2015</v>
          </cell>
          <cell r="C214" t="str">
            <v>LGCME593</v>
          </cell>
          <cell r="D214">
            <v>38</v>
          </cell>
          <cell r="E214">
            <v>0</v>
          </cell>
          <cell r="F214">
            <v>0</v>
          </cell>
          <cell r="G214">
            <v>0</v>
          </cell>
          <cell r="H214">
            <v>36804280</v>
          </cell>
          <cell r="O214">
            <v>85062</v>
          </cell>
          <cell r="P214">
            <v>77957</v>
          </cell>
          <cell r="Q214">
            <v>76798</v>
          </cell>
        </row>
        <row r="215">
          <cell r="B215" t="str">
            <v>JUL 2015</v>
          </cell>
          <cell r="C215" t="str">
            <v>LGCME651</v>
          </cell>
          <cell r="D215">
            <v>16348</v>
          </cell>
          <cell r="E215">
            <v>0</v>
          </cell>
          <cell r="F215">
            <v>0</v>
          </cell>
          <cell r="G215">
            <v>0</v>
          </cell>
          <cell r="H215">
            <v>102495326</v>
          </cell>
          <cell r="O215">
            <v>238335</v>
          </cell>
          <cell r="P215">
            <v>0</v>
          </cell>
          <cell r="Q215">
            <v>0</v>
          </cell>
        </row>
        <row r="216">
          <cell r="B216" t="str">
            <v>JUL 2015</v>
          </cell>
          <cell r="C216" t="str">
            <v>LGCME652</v>
          </cell>
          <cell r="D216">
            <v>0</v>
          </cell>
          <cell r="E216">
            <v>0</v>
          </cell>
          <cell r="F216">
            <v>0</v>
          </cell>
          <cell r="G216">
            <v>0</v>
          </cell>
          <cell r="H216">
            <v>0</v>
          </cell>
          <cell r="O216">
            <v>0</v>
          </cell>
          <cell r="P216">
            <v>0</v>
          </cell>
          <cell r="Q216">
            <v>0</v>
          </cell>
        </row>
        <row r="217">
          <cell r="B217" t="str">
            <v>JUL 2015</v>
          </cell>
          <cell r="C217" t="str">
            <v>LGCME657</v>
          </cell>
          <cell r="D217">
            <v>0</v>
          </cell>
          <cell r="E217">
            <v>0</v>
          </cell>
          <cell r="F217">
            <v>0</v>
          </cell>
          <cell r="G217">
            <v>0</v>
          </cell>
          <cell r="H217">
            <v>0</v>
          </cell>
          <cell r="O217">
            <v>0</v>
          </cell>
          <cell r="P217">
            <v>0</v>
          </cell>
          <cell r="Q217">
            <v>0</v>
          </cell>
        </row>
        <row r="218">
          <cell r="B218" t="str">
            <v>JUL 2015</v>
          </cell>
          <cell r="C218" t="str">
            <v>LGCME671</v>
          </cell>
          <cell r="D218">
            <v>2</v>
          </cell>
          <cell r="E218">
            <v>0</v>
          </cell>
          <cell r="F218">
            <v>0</v>
          </cell>
          <cell r="G218">
            <v>0</v>
          </cell>
          <cell r="H218">
            <v>5252400</v>
          </cell>
          <cell r="O218">
            <v>0</v>
          </cell>
          <cell r="P218">
            <v>0</v>
          </cell>
          <cell r="Q218">
            <v>9450</v>
          </cell>
        </row>
        <row r="219">
          <cell r="B219" t="str">
            <v>JUL 2015</v>
          </cell>
          <cell r="C219" t="str">
            <v>LGCSR760</v>
          </cell>
          <cell r="D219">
            <v>0</v>
          </cell>
          <cell r="E219">
            <v>0</v>
          </cell>
          <cell r="F219">
            <v>0</v>
          </cell>
          <cell r="G219">
            <v>0</v>
          </cell>
          <cell r="H219">
            <v>0</v>
          </cell>
          <cell r="O219">
            <v>0</v>
          </cell>
          <cell r="P219">
            <v>0</v>
          </cell>
          <cell r="Q219">
            <v>0</v>
          </cell>
        </row>
        <row r="220">
          <cell r="B220" t="str">
            <v>JUL 2015</v>
          </cell>
          <cell r="C220" t="str">
            <v>LGINE599</v>
          </cell>
          <cell r="D220">
            <v>1</v>
          </cell>
          <cell r="E220">
            <v>0</v>
          </cell>
          <cell r="F220">
            <v>0</v>
          </cell>
          <cell r="G220">
            <v>0</v>
          </cell>
          <cell r="H220">
            <v>10990000</v>
          </cell>
          <cell r="O220">
            <v>0</v>
          </cell>
          <cell r="P220">
            <v>0</v>
          </cell>
          <cell r="Q220">
            <v>20596</v>
          </cell>
        </row>
        <row r="221">
          <cell r="B221" t="str">
            <v>JUL 2015</v>
          </cell>
          <cell r="C221" t="str">
            <v>LGINE643</v>
          </cell>
          <cell r="D221">
            <v>12</v>
          </cell>
          <cell r="E221">
            <v>0</v>
          </cell>
          <cell r="F221">
            <v>0</v>
          </cell>
          <cell r="G221">
            <v>0</v>
          </cell>
          <cell r="H221">
            <v>71457686</v>
          </cell>
          <cell r="O221">
            <v>148471</v>
          </cell>
          <cell r="P221">
            <v>144617</v>
          </cell>
          <cell r="Q221">
            <v>91611</v>
          </cell>
        </row>
        <row r="222">
          <cell r="B222" t="str">
            <v>JUL 2015</v>
          </cell>
          <cell r="C222" t="str">
            <v>LGINE661</v>
          </cell>
          <cell r="D222">
            <v>216</v>
          </cell>
          <cell r="E222">
            <v>0</v>
          </cell>
          <cell r="F222">
            <v>0</v>
          </cell>
          <cell r="G222">
            <v>0</v>
          </cell>
          <cell r="H222">
            <v>23496230</v>
          </cell>
          <cell r="O222">
            <v>0</v>
          </cell>
          <cell r="P222">
            <v>0</v>
          </cell>
          <cell r="Q222">
            <v>71167</v>
          </cell>
        </row>
        <row r="223">
          <cell r="B223" t="str">
            <v>JUL 2015</v>
          </cell>
          <cell r="C223" t="str">
            <v>LGINE663</v>
          </cell>
          <cell r="D223">
            <v>21</v>
          </cell>
          <cell r="E223">
            <v>0</v>
          </cell>
          <cell r="F223">
            <v>0</v>
          </cell>
          <cell r="G223">
            <v>0</v>
          </cell>
          <cell r="H223">
            <v>1185295</v>
          </cell>
          <cell r="O223">
            <v>0</v>
          </cell>
          <cell r="P223">
            <v>0</v>
          </cell>
          <cell r="Q223">
            <v>4169</v>
          </cell>
        </row>
        <row r="224">
          <cell r="B224" t="str">
            <v>JUL 2015</v>
          </cell>
          <cell r="C224" t="str">
            <v>LGINE691</v>
          </cell>
          <cell r="D224">
            <v>93</v>
          </cell>
          <cell r="E224">
            <v>0</v>
          </cell>
          <cell r="F224">
            <v>0</v>
          </cell>
          <cell r="G224">
            <v>0</v>
          </cell>
          <cell r="H224">
            <v>23109451</v>
          </cell>
          <cell r="O224">
            <v>55144</v>
          </cell>
          <cell r="P224">
            <v>51572</v>
          </cell>
          <cell r="Q224">
            <v>49890</v>
          </cell>
        </row>
        <row r="225">
          <cell r="B225" t="str">
            <v>JUL 2015</v>
          </cell>
          <cell r="C225" t="str">
            <v>LGINE693</v>
          </cell>
          <cell r="D225">
            <v>68</v>
          </cell>
          <cell r="E225">
            <v>0</v>
          </cell>
          <cell r="F225">
            <v>0</v>
          </cell>
          <cell r="G225">
            <v>0</v>
          </cell>
          <cell r="H225">
            <v>149464743</v>
          </cell>
          <cell r="O225">
            <v>355998</v>
          </cell>
          <cell r="P225">
            <v>323197</v>
          </cell>
          <cell r="Q225">
            <v>318904</v>
          </cell>
        </row>
        <row r="226">
          <cell r="B226" t="str">
            <v>JUL 2015</v>
          </cell>
          <cell r="C226" t="str">
            <v>LGMLE570</v>
          </cell>
          <cell r="D226">
            <v>0</v>
          </cell>
          <cell r="E226">
            <v>0</v>
          </cell>
          <cell r="F226">
            <v>0</v>
          </cell>
          <cell r="G226">
            <v>0</v>
          </cell>
          <cell r="H226">
            <v>0</v>
          </cell>
          <cell r="O226">
            <v>0</v>
          </cell>
          <cell r="P226">
            <v>0</v>
          </cell>
          <cell r="Q226">
            <v>0</v>
          </cell>
        </row>
        <row r="227">
          <cell r="B227" t="str">
            <v>JUL 2015</v>
          </cell>
          <cell r="C227" t="str">
            <v>LGMLE571</v>
          </cell>
          <cell r="D227">
            <v>156</v>
          </cell>
          <cell r="E227">
            <v>0</v>
          </cell>
          <cell r="F227">
            <v>0</v>
          </cell>
          <cell r="G227">
            <v>0</v>
          </cell>
          <cell r="H227">
            <v>264288</v>
          </cell>
          <cell r="O227">
            <v>0</v>
          </cell>
          <cell r="P227">
            <v>0</v>
          </cell>
          <cell r="Q227">
            <v>0</v>
          </cell>
        </row>
        <row r="228">
          <cell r="B228" t="str">
            <v>JUL 2015</v>
          </cell>
          <cell r="C228" t="str">
            <v>LGMLE572</v>
          </cell>
          <cell r="D228">
            <v>0</v>
          </cell>
          <cell r="E228">
            <v>0</v>
          </cell>
          <cell r="F228">
            <v>0</v>
          </cell>
          <cell r="G228">
            <v>0</v>
          </cell>
          <cell r="H228">
            <v>0</v>
          </cell>
          <cell r="O228">
            <v>0</v>
          </cell>
          <cell r="P228">
            <v>0</v>
          </cell>
          <cell r="Q228">
            <v>0</v>
          </cell>
        </row>
        <row r="229">
          <cell r="B229" t="str">
            <v>JUL 2015</v>
          </cell>
          <cell r="C229" t="str">
            <v>LGMLE573</v>
          </cell>
          <cell r="D229">
            <v>905</v>
          </cell>
          <cell r="E229">
            <v>0</v>
          </cell>
          <cell r="F229">
            <v>0</v>
          </cell>
          <cell r="G229">
            <v>0</v>
          </cell>
          <cell r="H229">
            <v>256936</v>
          </cell>
          <cell r="O229">
            <v>0</v>
          </cell>
          <cell r="P229">
            <v>0</v>
          </cell>
          <cell r="Q229">
            <v>0</v>
          </cell>
        </row>
        <row r="230">
          <cell r="B230" t="str">
            <v>JUL 2015</v>
          </cell>
          <cell r="C230" t="str">
            <v>LGMLE574</v>
          </cell>
          <cell r="D230">
            <v>0</v>
          </cell>
          <cell r="E230">
            <v>0</v>
          </cell>
          <cell r="F230">
            <v>0</v>
          </cell>
          <cell r="G230">
            <v>0</v>
          </cell>
          <cell r="H230">
            <v>0</v>
          </cell>
          <cell r="O230">
            <v>0</v>
          </cell>
          <cell r="P230">
            <v>0</v>
          </cell>
          <cell r="Q230">
            <v>0</v>
          </cell>
        </row>
        <row r="231">
          <cell r="B231" t="str">
            <v>JUL 2015</v>
          </cell>
          <cell r="C231" t="str">
            <v>LGRSE411</v>
          </cell>
          <cell r="D231">
            <v>0</v>
          </cell>
          <cell r="E231">
            <v>0</v>
          </cell>
          <cell r="F231">
            <v>0</v>
          </cell>
          <cell r="G231">
            <v>0</v>
          </cell>
          <cell r="H231">
            <v>0</v>
          </cell>
          <cell r="O231">
            <v>0</v>
          </cell>
          <cell r="P231">
            <v>0</v>
          </cell>
          <cell r="Q231">
            <v>0</v>
          </cell>
        </row>
        <row r="232">
          <cell r="B232" t="str">
            <v>JUL 2015</v>
          </cell>
          <cell r="C232" t="str">
            <v>LGRSE511</v>
          </cell>
          <cell r="D232">
            <v>360372</v>
          </cell>
          <cell r="E232">
            <v>0</v>
          </cell>
          <cell r="F232">
            <v>0</v>
          </cell>
          <cell r="G232">
            <v>0</v>
          </cell>
          <cell r="H232">
            <v>517281280</v>
          </cell>
          <cell r="O232">
            <v>0</v>
          </cell>
          <cell r="P232">
            <v>0</v>
          </cell>
          <cell r="Q232">
            <v>0</v>
          </cell>
        </row>
        <row r="233">
          <cell r="B233" t="str">
            <v>JUL 2015</v>
          </cell>
          <cell r="C233" t="str">
            <v>LGRSE519</v>
          </cell>
          <cell r="D233">
            <v>0</v>
          </cell>
          <cell r="E233">
            <v>0</v>
          </cell>
          <cell r="F233">
            <v>0</v>
          </cell>
          <cell r="G233">
            <v>0</v>
          </cell>
          <cell r="H233">
            <v>0</v>
          </cell>
          <cell r="O233">
            <v>0</v>
          </cell>
          <cell r="P233">
            <v>0</v>
          </cell>
          <cell r="Q233">
            <v>0</v>
          </cell>
        </row>
        <row r="234">
          <cell r="B234" t="str">
            <v>JUL 2015</v>
          </cell>
          <cell r="C234" t="str">
            <v>LGRSE540</v>
          </cell>
          <cell r="D234">
            <v>0</v>
          </cell>
          <cell r="E234">
            <v>0</v>
          </cell>
          <cell r="F234">
            <v>0</v>
          </cell>
          <cell r="G234">
            <v>0</v>
          </cell>
          <cell r="H234">
            <v>0</v>
          </cell>
          <cell r="O234">
            <v>0</v>
          </cell>
          <cell r="P234">
            <v>0</v>
          </cell>
          <cell r="Q234">
            <v>0</v>
          </cell>
        </row>
        <row r="235">
          <cell r="B235" t="str">
            <v>JUL 2015</v>
          </cell>
          <cell r="C235" t="str">
            <v>LGRSE543</v>
          </cell>
          <cell r="D235">
            <v>20</v>
          </cell>
          <cell r="E235">
            <v>17747</v>
          </cell>
          <cell r="F235">
            <v>6131</v>
          </cell>
          <cell r="G235">
            <v>6208</v>
          </cell>
          <cell r="H235">
            <v>30086</v>
          </cell>
          <cell r="O235">
            <v>0</v>
          </cell>
          <cell r="P235">
            <v>0</v>
          </cell>
          <cell r="Q235">
            <v>0</v>
          </cell>
        </row>
        <row r="236">
          <cell r="B236" t="str">
            <v>JUL 2015</v>
          </cell>
          <cell r="C236" t="str">
            <v>LGRSE547</v>
          </cell>
          <cell r="D236">
            <v>0</v>
          </cell>
          <cell r="E236">
            <v>0</v>
          </cell>
          <cell r="F236">
            <v>0</v>
          </cell>
          <cell r="G236">
            <v>0</v>
          </cell>
          <cell r="H236">
            <v>0</v>
          </cell>
          <cell r="O236">
            <v>0</v>
          </cell>
          <cell r="P236">
            <v>0</v>
          </cell>
          <cell r="Q236">
            <v>0</v>
          </cell>
        </row>
        <row r="237">
          <cell r="B237" t="str">
            <v>JUL 2015</v>
          </cell>
          <cell r="C237" t="str">
            <v>Result</v>
          </cell>
        </row>
        <row r="238">
          <cell r="B238" t="str">
            <v>AUG 2015</v>
          </cell>
          <cell r="C238" t="str">
            <v>LGCME451</v>
          </cell>
          <cell r="D238">
            <v>0</v>
          </cell>
          <cell r="E238">
            <v>0</v>
          </cell>
          <cell r="F238">
            <v>0</v>
          </cell>
          <cell r="G238">
            <v>0</v>
          </cell>
          <cell r="H238">
            <v>0</v>
          </cell>
          <cell r="O238">
            <v>0</v>
          </cell>
          <cell r="P238">
            <v>0</v>
          </cell>
          <cell r="Q238">
            <v>0</v>
          </cell>
        </row>
        <row r="239">
          <cell r="B239" t="str">
            <v>AUG 2015</v>
          </cell>
          <cell r="C239" t="str">
            <v>LGCME551</v>
          </cell>
          <cell r="D239">
            <v>28166</v>
          </cell>
          <cell r="E239">
            <v>0</v>
          </cell>
          <cell r="F239">
            <v>0</v>
          </cell>
          <cell r="G239">
            <v>0</v>
          </cell>
          <cell r="H239">
            <v>40346505</v>
          </cell>
          <cell r="O239">
            <v>0</v>
          </cell>
          <cell r="P239">
            <v>0</v>
          </cell>
          <cell r="Q239">
            <v>0</v>
          </cell>
        </row>
        <row r="240">
          <cell r="B240" t="str">
            <v>AUG 2015</v>
          </cell>
          <cell r="C240" t="str">
            <v>LGCME551UM</v>
          </cell>
          <cell r="D240">
            <v>0</v>
          </cell>
          <cell r="E240">
            <v>0</v>
          </cell>
          <cell r="F240">
            <v>0</v>
          </cell>
          <cell r="G240">
            <v>0</v>
          </cell>
          <cell r="H240">
            <v>0</v>
          </cell>
          <cell r="O240">
            <v>0</v>
          </cell>
          <cell r="P240">
            <v>0</v>
          </cell>
          <cell r="Q240">
            <v>0</v>
          </cell>
        </row>
        <row r="241">
          <cell r="B241" t="str">
            <v>AUG 2015</v>
          </cell>
          <cell r="C241" t="str">
            <v>LGCME552</v>
          </cell>
          <cell r="D241">
            <v>0</v>
          </cell>
          <cell r="E241">
            <v>0</v>
          </cell>
          <cell r="F241">
            <v>0</v>
          </cell>
          <cell r="G241">
            <v>0</v>
          </cell>
          <cell r="H241">
            <v>0</v>
          </cell>
          <cell r="O241">
            <v>0</v>
          </cell>
          <cell r="P241">
            <v>0</v>
          </cell>
          <cell r="Q241">
            <v>0</v>
          </cell>
        </row>
        <row r="242">
          <cell r="B242" t="str">
            <v>AUG 2015</v>
          </cell>
          <cell r="C242" t="str">
            <v>LGCME557</v>
          </cell>
          <cell r="D242">
            <v>0</v>
          </cell>
          <cell r="E242">
            <v>0</v>
          </cell>
          <cell r="F242">
            <v>0</v>
          </cell>
          <cell r="G242">
            <v>0</v>
          </cell>
          <cell r="H242">
            <v>0</v>
          </cell>
          <cell r="O242">
            <v>0</v>
          </cell>
          <cell r="P242">
            <v>0</v>
          </cell>
          <cell r="Q242">
            <v>0</v>
          </cell>
        </row>
        <row r="243">
          <cell r="B243" t="str">
            <v>AUG 2015</v>
          </cell>
          <cell r="C243" t="str">
            <v>LGCME561</v>
          </cell>
          <cell r="D243">
            <v>2579</v>
          </cell>
          <cell r="E243">
            <v>0</v>
          </cell>
          <cell r="F243">
            <v>0</v>
          </cell>
          <cell r="G243">
            <v>0</v>
          </cell>
          <cell r="H243">
            <v>169566983</v>
          </cell>
          <cell r="O243">
            <v>0</v>
          </cell>
          <cell r="P243">
            <v>0</v>
          </cell>
          <cell r="Q243">
            <v>412938</v>
          </cell>
        </row>
        <row r="244">
          <cell r="B244" t="str">
            <v>AUG 2015</v>
          </cell>
          <cell r="C244" t="str">
            <v>LGCME563</v>
          </cell>
          <cell r="D244">
            <v>52</v>
          </cell>
          <cell r="E244">
            <v>0</v>
          </cell>
          <cell r="F244">
            <v>0</v>
          </cell>
          <cell r="G244">
            <v>0</v>
          </cell>
          <cell r="H244">
            <v>14885241</v>
          </cell>
          <cell r="O244">
            <v>0</v>
          </cell>
          <cell r="P244">
            <v>0</v>
          </cell>
          <cell r="Q244">
            <v>35310</v>
          </cell>
        </row>
        <row r="245">
          <cell r="B245" t="str">
            <v>AUG 2015</v>
          </cell>
          <cell r="C245" t="str">
            <v>LGCME567</v>
          </cell>
          <cell r="D245">
            <v>0</v>
          </cell>
          <cell r="E245">
            <v>0</v>
          </cell>
          <cell r="F245">
            <v>0</v>
          </cell>
          <cell r="G245">
            <v>0</v>
          </cell>
          <cell r="H245">
            <v>0</v>
          </cell>
          <cell r="O245">
            <v>0</v>
          </cell>
          <cell r="P245">
            <v>0</v>
          </cell>
          <cell r="Q245">
            <v>0</v>
          </cell>
        </row>
        <row r="246">
          <cell r="B246" t="str">
            <v>AUG 2015</v>
          </cell>
          <cell r="C246" t="str">
            <v>LGCME591</v>
          </cell>
          <cell r="D246">
            <v>217</v>
          </cell>
          <cell r="E246">
            <v>0</v>
          </cell>
          <cell r="F246">
            <v>0</v>
          </cell>
          <cell r="G246">
            <v>0</v>
          </cell>
          <cell r="H246">
            <v>77456015</v>
          </cell>
          <cell r="O246">
            <v>162445</v>
          </cell>
          <cell r="P246">
            <v>157888</v>
          </cell>
          <cell r="Q246">
            <v>155706</v>
          </cell>
        </row>
        <row r="247">
          <cell r="B247" t="str">
            <v>AUG 2015</v>
          </cell>
          <cell r="C247" t="str">
            <v>LGCME593</v>
          </cell>
          <cell r="D247">
            <v>38</v>
          </cell>
          <cell r="E247">
            <v>0</v>
          </cell>
          <cell r="F247">
            <v>0</v>
          </cell>
          <cell r="G247">
            <v>0</v>
          </cell>
          <cell r="H247">
            <v>36677896</v>
          </cell>
          <cell r="O247">
            <v>83741</v>
          </cell>
          <cell r="P247">
            <v>78985</v>
          </cell>
          <cell r="Q247">
            <v>77873</v>
          </cell>
        </row>
        <row r="248">
          <cell r="B248" t="str">
            <v>AUG 2015</v>
          </cell>
          <cell r="C248" t="str">
            <v>LGCME651</v>
          </cell>
          <cell r="D248">
            <v>16355</v>
          </cell>
          <cell r="E248">
            <v>0</v>
          </cell>
          <cell r="F248">
            <v>0</v>
          </cell>
          <cell r="G248">
            <v>0</v>
          </cell>
          <cell r="H248">
            <v>103100960</v>
          </cell>
          <cell r="O248">
            <v>239619</v>
          </cell>
          <cell r="P248">
            <v>0</v>
          </cell>
          <cell r="Q248">
            <v>0</v>
          </cell>
        </row>
        <row r="249">
          <cell r="B249" t="str">
            <v>AUG 2015</v>
          </cell>
          <cell r="C249" t="str">
            <v>LGCME652</v>
          </cell>
          <cell r="D249">
            <v>0</v>
          </cell>
          <cell r="E249">
            <v>0</v>
          </cell>
          <cell r="F249">
            <v>0</v>
          </cell>
          <cell r="G249">
            <v>0</v>
          </cell>
          <cell r="H249">
            <v>0</v>
          </cell>
          <cell r="O249">
            <v>0</v>
          </cell>
          <cell r="P249">
            <v>0</v>
          </cell>
          <cell r="Q249">
            <v>0</v>
          </cell>
        </row>
        <row r="250">
          <cell r="B250" t="str">
            <v>AUG 2015</v>
          </cell>
          <cell r="C250" t="str">
            <v>LGCME657</v>
          </cell>
          <cell r="D250">
            <v>0</v>
          </cell>
          <cell r="E250">
            <v>0</v>
          </cell>
          <cell r="F250">
            <v>0</v>
          </cell>
          <cell r="G250">
            <v>0</v>
          </cell>
          <cell r="H250">
            <v>0</v>
          </cell>
          <cell r="O250">
            <v>0</v>
          </cell>
          <cell r="P250">
            <v>0</v>
          </cell>
          <cell r="Q250">
            <v>0</v>
          </cell>
        </row>
        <row r="251">
          <cell r="B251" t="str">
            <v>AUG 2015</v>
          </cell>
          <cell r="C251" t="str">
            <v>LGCME671</v>
          </cell>
          <cell r="D251">
            <v>2</v>
          </cell>
          <cell r="E251">
            <v>0</v>
          </cell>
          <cell r="F251">
            <v>0</v>
          </cell>
          <cell r="G251">
            <v>0</v>
          </cell>
          <cell r="H251">
            <v>5119500</v>
          </cell>
          <cell r="O251">
            <v>0</v>
          </cell>
          <cell r="P251">
            <v>0</v>
          </cell>
          <cell r="Q251">
            <v>9450</v>
          </cell>
        </row>
        <row r="252">
          <cell r="B252" t="str">
            <v>AUG 2015</v>
          </cell>
          <cell r="C252" t="str">
            <v>LGCSR760</v>
          </cell>
          <cell r="D252">
            <v>0</v>
          </cell>
          <cell r="E252">
            <v>0</v>
          </cell>
          <cell r="F252">
            <v>0</v>
          </cell>
          <cell r="G252">
            <v>0</v>
          </cell>
          <cell r="H252">
            <v>0</v>
          </cell>
          <cell r="O252">
            <v>0</v>
          </cell>
          <cell r="P252">
            <v>0</v>
          </cell>
          <cell r="Q252">
            <v>0</v>
          </cell>
        </row>
        <row r="253">
          <cell r="B253" t="str">
            <v>AUG 2015</v>
          </cell>
          <cell r="C253" t="str">
            <v>LGINE599</v>
          </cell>
          <cell r="D253">
            <v>1</v>
          </cell>
          <cell r="E253">
            <v>0</v>
          </cell>
          <cell r="F253">
            <v>0</v>
          </cell>
          <cell r="G253">
            <v>0</v>
          </cell>
          <cell r="H253">
            <v>10824200</v>
          </cell>
          <cell r="O253">
            <v>0</v>
          </cell>
          <cell r="P253">
            <v>0</v>
          </cell>
          <cell r="Q253">
            <v>16552</v>
          </cell>
        </row>
        <row r="254">
          <cell r="B254" t="str">
            <v>AUG 2015</v>
          </cell>
          <cell r="C254" t="str">
            <v>LGINE643</v>
          </cell>
          <cell r="D254">
            <v>12</v>
          </cell>
          <cell r="E254">
            <v>0</v>
          </cell>
          <cell r="F254">
            <v>0</v>
          </cell>
          <cell r="G254">
            <v>0</v>
          </cell>
          <cell r="H254">
            <v>77369757</v>
          </cell>
          <cell r="O254">
            <v>158091</v>
          </cell>
          <cell r="P254">
            <v>152483</v>
          </cell>
          <cell r="Q254">
            <v>100356</v>
          </cell>
        </row>
        <row r="255">
          <cell r="B255" t="str">
            <v>AUG 2015</v>
          </cell>
          <cell r="C255" t="str">
            <v>LGINE661</v>
          </cell>
          <cell r="D255">
            <v>216</v>
          </cell>
          <cell r="E255">
            <v>0</v>
          </cell>
          <cell r="F255">
            <v>0</v>
          </cell>
          <cell r="G255">
            <v>0</v>
          </cell>
          <cell r="H255">
            <v>22942935</v>
          </cell>
          <cell r="O255">
            <v>0</v>
          </cell>
          <cell r="P255">
            <v>0</v>
          </cell>
          <cell r="Q255">
            <v>70377</v>
          </cell>
        </row>
        <row r="256">
          <cell r="B256" t="str">
            <v>AUG 2015</v>
          </cell>
          <cell r="C256" t="str">
            <v>LGINE663</v>
          </cell>
          <cell r="D256">
            <v>21</v>
          </cell>
          <cell r="E256">
            <v>0</v>
          </cell>
          <cell r="F256">
            <v>0</v>
          </cell>
          <cell r="G256">
            <v>0</v>
          </cell>
          <cell r="H256">
            <v>1251083</v>
          </cell>
          <cell r="O256">
            <v>0</v>
          </cell>
          <cell r="P256">
            <v>0</v>
          </cell>
          <cell r="Q256">
            <v>4452</v>
          </cell>
        </row>
        <row r="257">
          <cell r="B257" t="str">
            <v>AUG 2015</v>
          </cell>
          <cell r="C257" t="str">
            <v>LGINE691</v>
          </cell>
          <cell r="D257">
            <v>94</v>
          </cell>
          <cell r="E257">
            <v>0</v>
          </cell>
          <cell r="F257">
            <v>0</v>
          </cell>
          <cell r="G257">
            <v>0</v>
          </cell>
          <cell r="H257">
            <v>23497311</v>
          </cell>
          <cell r="O257">
            <v>57193</v>
          </cell>
          <cell r="P257">
            <v>53980</v>
          </cell>
          <cell r="Q257">
            <v>52025</v>
          </cell>
        </row>
        <row r="258">
          <cell r="B258" t="str">
            <v>AUG 2015</v>
          </cell>
          <cell r="C258" t="str">
            <v>LGINE693</v>
          </cell>
          <cell r="D258">
            <v>69</v>
          </cell>
          <cell r="E258">
            <v>0</v>
          </cell>
          <cell r="F258">
            <v>0</v>
          </cell>
          <cell r="G258">
            <v>0</v>
          </cell>
          <cell r="H258">
            <v>157760478</v>
          </cell>
          <cell r="O258">
            <v>380170</v>
          </cell>
          <cell r="P258">
            <v>345142</v>
          </cell>
          <cell r="Q258">
            <v>340557</v>
          </cell>
        </row>
        <row r="259">
          <cell r="B259" t="str">
            <v>AUG 2015</v>
          </cell>
          <cell r="C259" t="str">
            <v>LGMLE570</v>
          </cell>
          <cell r="D259">
            <v>0</v>
          </cell>
          <cell r="E259">
            <v>0</v>
          </cell>
          <cell r="F259">
            <v>0</v>
          </cell>
          <cell r="G259">
            <v>0</v>
          </cell>
          <cell r="H259">
            <v>0</v>
          </cell>
          <cell r="O259">
            <v>0</v>
          </cell>
          <cell r="P259">
            <v>0</v>
          </cell>
          <cell r="Q259">
            <v>0</v>
          </cell>
        </row>
        <row r="260">
          <cell r="B260" t="str">
            <v>AUG 2015</v>
          </cell>
          <cell r="C260" t="str">
            <v>LGMLE571</v>
          </cell>
          <cell r="D260">
            <v>156</v>
          </cell>
          <cell r="E260">
            <v>0</v>
          </cell>
          <cell r="F260">
            <v>0</v>
          </cell>
          <cell r="G260">
            <v>0</v>
          </cell>
          <cell r="H260">
            <v>258896</v>
          </cell>
          <cell r="O260">
            <v>0</v>
          </cell>
          <cell r="P260">
            <v>0</v>
          </cell>
          <cell r="Q260">
            <v>0</v>
          </cell>
        </row>
        <row r="261">
          <cell r="B261" t="str">
            <v>AUG 2015</v>
          </cell>
          <cell r="C261" t="str">
            <v>LGMLE572</v>
          </cell>
          <cell r="D261">
            <v>0</v>
          </cell>
          <cell r="E261">
            <v>0</v>
          </cell>
          <cell r="F261">
            <v>0</v>
          </cell>
          <cell r="G261">
            <v>0</v>
          </cell>
          <cell r="H261">
            <v>0</v>
          </cell>
          <cell r="O261">
            <v>0</v>
          </cell>
          <cell r="P261">
            <v>0</v>
          </cell>
          <cell r="Q261">
            <v>0</v>
          </cell>
        </row>
        <row r="262">
          <cell r="B262" t="str">
            <v>AUG 2015</v>
          </cell>
          <cell r="C262" t="str">
            <v>LGMLE573</v>
          </cell>
          <cell r="D262">
            <v>905</v>
          </cell>
          <cell r="E262">
            <v>0</v>
          </cell>
          <cell r="F262">
            <v>0</v>
          </cell>
          <cell r="G262">
            <v>0</v>
          </cell>
          <cell r="H262">
            <v>255201</v>
          </cell>
          <cell r="O262">
            <v>0</v>
          </cell>
          <cell r="P262">
            <v>0</v>
          </cell>
          <cell r="Q262">
            <v>0</v>
          </cell>
        </row>
        <row r="263">
          <cell r="B263" t="str">
            <v>AUG 2015</v>
          </cell>
          <cell r="C263" t="str">
            <v>LGMLE574</v>
          </cell>
          <cell r="D263">
            <v>0</v>
          </cell>
          <cell r="E263">
            <v>0</v>
          </cell>
          <cell r="F263">
            <v>0</v>
          </cell>
          <cell r="G263">
            <v>0</v>
          </cell>
          <cell r="H263">
            <v>0</v>
          </cell>
          <cell r="O263">
            <v>0</v>
          </cell>
          <cell r="P263">
            <v>0</v>
          </cell>
          <cell r="Q263">
            <v>0</v>
          </cell>
        </row>
        <row r="264">
          <cell r="B264" t="str">
            <v>AUG 2015</v>
          </cell>
          <cell r="C264" t="str">
            <v>LGRSE411</v>
          </cell>
          <cell r="D264">
            <v>0</v>
          </cell>
          <cell r="E264">
            <v>0</v>
          </cell>
          <cell r="F264">
            <v>0</v>
          </cell>
          <cell r="G264">
            <v>0</v>
          </cell>
          <cell r="H264">
            <v>0</v>
          </cell>
          <cell r="O264">
            <v>0</v>
          </cell>
          <cell r="P264">
            <v>0</v>
          </cell>
          <cell r="Q264">
            <v>0</v>
          </cell>
        </row>
        <row r="265">
          <cell r="B265" t="str">
            <v>AUG 2015</v>
          </cell>
          <cell r="C265" t="str">
            <v>LGRSE511</v>
          </cell>
          <cell r="D265">
            <v>360578</v>
          </cell>
          <cell r="E265">
            <v>0</v>
          </cell>
          <cell r="F265">
            <v>0</v>
          </cell>
          <cell r="G265">
            <v>0</v>
          </cell>
          <cell r="H265">
            <v>516766239</v>
          </cell>
          <cell r="O265">
            <v>0</v>
          </cell>
          <cell r="P265">
            <v>0</v>
          </cell>
          <cell r="Q265">
            <v>0</v>
          </cell>
        </row>
        <row r="266">
          <cell r="B266" t="str">
            <v>AUG 2015</v>
          </cell>
          <cell r="C266" t="str">
            <v>LGRSE519</v>
          </cell>
          <cell r="D266">
            <v>0</v>
          </cell>
          <cell r="E266">
            <v>0</v>
          </cell>
          <cell r="F266">
            <v>0</v>
          </cell>
          <cell r="G266">
            <v>0</v>
          </cell>
          <cell r="H266">
            <v>0</v>
          </cell>
          <cell r="O266">
            <v>0</v>
          </cell>
          <cell r="P266">
            <v>0</v>
          </cell>
          <cell r="Q266">
            <v>0</v>
          </cell>
        </row>
        <row r="267">
          <cell r="B267" t="str">
            <v>AUG 2015</v>
          </cell>
          <cell r="C267" t="str">
            <v>LGRSE540</v>
          </cell>
          <cell r="D267">
            <v>0</v>
          </cell>
          <cell r="E267">
            <v>0</v>
          </cell>
          <cell r="F267">
            <v>0</v>
          </cell>
          <cell r="G267">
            <v>0</v>
          </cell>
          <cell r="H267">
            <v>0</v>
          </cell>
          <cell r="O267">
            <v>0</v>
          </cell>
          <cell r="P267">
            <v>0</v>
          </cell>
          <cell r="Q267">
            <v>0</v>
          </cell>
        </row>
        <row r="268">
          <cell r="B268" t="str">
            <v>AUG 2015</v>
          </cell>
          <cell r="C268" t="str">
            <v>LGRSE543</v>
          </cell>
          <cell r="D268">
            <v>20</v>
          </cell>
          <cell r="E268">
            <v>11960</v>
          </cell>
          <cell r="F268">
            <v>5584</v>
          </cell>
          <cell r="G268">
            <v>3820</v>
          </cell>
          <cell r="H268">
            <v>21364</v>
          </cell>
          <cell r="O268">
            <v>0</v>
          </cell>
          <cell r="P268">
            <v>0</v>
          </cell>
          <cell r="Q268">
            <v>0</v>
          </cell>
        </row>
        <row r="269">
          <cell r="B269" t="str">
            <v>AUG 2015</v>
          </cell>
          <cell r="C269" t="str">
            <v>LGRSE547</v>
          </cell>
          <cell r="D269">
            <v>0</v>
          </cell>
          <cell r="E269">
            <v>0</v>
          </cell>
          <cell r="F269">
            <v>0</v>
          </cell>
          <cell r="G269">
            <v>0</v>
          </cell>
          <cell r="H269">
            <v>0</v>
          </cell>
          <cell r="O269">
            <v>0</v>
          </cell>
          <cell r="P269">
            <v>0</v>
          </cell>
          <cell r="Q269">
            <v>0</v>
          </cell>
        </row>
        <row r="270">
          <cell r="B270" t="str">
            <v>AUG 2015</v>
          </cell>
          <cell r="C270" t="str">
            <v>Result</v>
          </cell>
        </row>
        <row r="271">
          <cell r="B271" t="str">
            <v>SEP 2015</v>
          </cell>
          <cell r="C271" t="str">
            <v>LGCME451</v>
          </cell>
          <cell r="D271">
            <v>0</v>
          </cell>
          <cell r="E271">
            <v>0</v>
          </cell>
          <cell r="F271">
            <v>0</v>
          </cell>
          <cell r="G271">
            <v>0</v>
          </cell>
          <cell r="H271">
            <v>0</v>
          </cell>
          <cell r="O271">
            <v>0</v>
          </cell>
          <cell r="P271">
            <v>0</v>
          </cell>
          <cell r="Q271">
            <v>0</v>
          </cell>
        </row>
        <row r="272">
          <cell r="B272" t="str">
            <v>SEP 2015</v>
          </cell>
          <cell r="C272" t="str">
            <v>LGCME551</v>
          </cell>
          <cell r="D272">
            <v>28177</v>
          </cell>
          <cell r="E272">
            <v>0</v>
          </cell>
          <cell r="F272">
            <v>0</v>
          </cell>
          <cell r="G272">
            <v>0</v>
          </cell>
          <cell r="H272">
            <v>32918663</v>
          </cell>
          <cell r="O272">
            <v>0</v>
          </cell>
          <cell r="P272">
            <v>0</v>
          </cell>
          <cell r="Q272">
            <v>0</v>
          </cell>
        </row>
        <row r="273">
          <cell r="B273" t="str">
            <v>SEP 2015</v>
          </cell>
          <cell r="C273" t="str">
            <v>LGCME551UM</v>
          </cell>
          <cell r="D273">
            <v>0</v>
          </cell>
          <cell r="E273">
            <v>0</v>
          </cell>
          <cell r="F273">
            <v>0</v>
          </cell>
          <cell r="G273">
            <v>0</v>
          </cell>
          <cell r="H273">
            <v>0</v>
          </cell>
          <cell r="O273">
            <v>0</v>
          </cell>
          <cell r="P273">
            <v>0</v>
          </cell>
          <cell r="Q273">
            <v>0</v>
          </cell>
        </row>
        <row r="274">
          <cell r="B274" t="str">
            <v>SEP 2015</v>
          </cell>
          <cell r="C274" t="str">
            <v>LGCME552</v>
          </cell>
          <cell r="D274">
            <v>0</v>
          </cell>
          <cell r="E274">
            <v>0</v>
          </cell>
          <cell r="F274">
            <v>0</v>
          </cell>
          <cell r="G274">
            <v>0</v>
          </cell>
          <cell r="H274">
            <v>0</v>
          </cell>
          <cell r="O274">
            <v>0</v>
          </cell>
          <cell r="P274">
            <v>0</v>
          </cell>
          <cell r="Q274">
            <v>0</v>
          </cell>
        </row>
        <row r="275">
          <cell r="B275" t="str">
            <v>SEP 2015</v>
          </cell>
          <cell r="C275" t="str">
            <v>LGCME557</v>
          </cell>
          <cell r="D275">
            <v>0</v>
          </cell>
          <cell r="E275">
            <v>0</v>
          </cell>
          <cell r="F275">
            <v>0</v>
          </cell>
          <cell r="G275">
            <v>0</v>
          </cell>
          <cell r="H275">
            <v>0</v>
          </cell>
          <cell r="O275">
            <v>0</v>
          </cell>
          <cell r="P275">
            <v>0</v>
          </cell>
          <cell r="Q275">
            <v>0</v>
          </cell>
        </row>
        <row r="276">
          <cell r="B276" t="str">
            <v>SEP 2015</v>
          </cell>
          <cell r="C276" t="str">
            <v>LGCME561</v>
          </cell>
          <cell r="D276">
            <v>2579</v>
          </cell>
          <cell r="E276">
            <v>0</v>
          </cell>
          <cell r="F276">
            <v>0</v>
          </cell>
          <cell r="G276">
            <v>0</v>
          </cell>
          <cell r="H276">
            <v>143721391</v>
          </cell>
          <cell r="O276">
            <v>0</v>
          </cell>
          <cell r="P276">
            <v>0</v>
          </cell>
          <cell r="Q276">
            <v>407882</v>
          </cell>
        </row>
        <row r="277">
          <cell r="B277" t="str">
            <v>SEP 2015</v>
          </cell>
          <cell r="C277" t="str">
            <v>LGCME563</v>
          </cell>
          <cell r="D277">
            <v>52</v>
          </cell>
          <cell r="E277">
            <v>0</v>
          </cell>
          <cell r="F277">
            <v>0</v>
          </cell>
          <cell r="G277">
            <v>0</v>
          </cell>
          <cell r="H277">
            <v>13180844</v>
          </cell>
          <cell r="O277">
            <v>0</v>
          </cell>
          <cell r="P277">
            <v>0</v>
          </cell>
          <cell r="Q277">
            <v>36679</v>
          </cell>
        </row>
        <row r="278">
          <cell r="B278" t="str">
            <v>SEP 2015</v>
          </cell>
          <cell r="C278" t="str">
            <v>LGCME567</v>
          </cell>
          <cell r="D278">
            <v>0</v>
          </cell>
          <cell r="E278">
            <v>0</v>
          </cell>
          <cell r="F278">
            <v>0</v>
          </cell>
          <cell r="G278">
            <v>0</v>
          </cell>
          <cell r="H278">
            <v>0</v>
          </cell>
          <cell r="O278">
            <v>0</v>
          </cell>
          <cell r="P278">
            <v>0</v>
          </cell>
          <cell r="Q278">
            <v>0</v>
          </cell>
        </row>
        <row r="279">
          <cell r="B279" t="str">
            <v>SEP 2015</v>
          </cell>
          <cell r="C279" t="str">
            <v>LGCME591</v>
          </cell>
          <cell r="D279">
            <v>218</v>
          </cell>
          <cell r="E279">
            <v>0</v>
          </cell>
          <cell r="F279">
            <v>0</v>
          </cell>
          <cell r="G279">
            <v>0</v>
          </cell>
          <cell r="H279">
            <v>66161499</v>
          </cell>
          <cell r="O279">
            <v>156169</v>
          </cell>
          <cell r="P279">
            <v>151786</v>
          </cell>
          <cell r="Q279">
            <v>149867</v>
          </cell>
        </row>
        <row r="280">
          <cell r="B280" t="str">
            <v>SEP 2015</v>
          </cell>
          <cell r="C280" t="str">
            <v>LGCME593</v>
          </cell>
          <cell r="D280">
            <v>38</v>
          </cell>
          <cell r="E280">
            <v>0</v>
          </cell>
          <cell r="F280">
            <v>0</v>
          </cell>
          <cell r="G280">
            <v>0</v>
          </cell>
          <cell r="H280">
            <v>32700970</v>
          </cell>
          <cell r="O280">
            <v>83488</v>
          </cell>
          <cell r="P280">
            <v>81209</v>
          </cell>
          <cell r="Q280">
            <v>80536</v>
          </cell>
        </row>
        <row r="281">
          <cell r="B281" t="str">
            <v>SEP 2015</v>
          </cell>
          <cell r="C281" t="str">
            <v>LGCME651</v>
          </cell>
          <cell r="D281">
            <v>16361</v>
          </cell>
          <cell r="E281">
            <v>0</v>
          </cell>
          <cell r="F281">
            <v>0</v>
          </cell>
          <cell r="G281">
            <v>0</v>
          </cell>
          <cell r="H281">
            <v>84000796</v>
          </cell>
          <cell r="O281">
            <v>227086</v>
          </cell>
          <cell r="P281">
            <v>0</v>
          </cell>
          <cell r="Q281">
            <v>0</v>
          </cell>
        </row>
        <row r="282">
          <cell r="B282" t="str">
            <v>SEP 2015</v>
          </cell>
          <cell r="C282" t="str">
            <v>LGCME652</v>
          </cell>
          <cell r="D282">
            <v>0</v>
          </cell>
          <cell r="E282">
            <v>0</v>
          </cell>
          <cell r="F282">
            <v>0</v>
          </cell>
          <cell r="G282">
            <v>0</v>
          </cell>
          <cell r="H282">
            <v>0</v>
          </cell>
          <cell r="O282">
            <v>0</v>
          </cell>
          <cell r="P282">
            <v>0</v>
          </cell>
          <cell r="Q282">
            <v>0</v>
          </cell>
        </row>
        <row r="283">
          <cell r="B283" t="str">
            <v>SEP 2015</v>
          </cell>
          <cell r="C283" t="str">
            <v>LGCME657</v>
          </cell>
          <cell r="D283">
            <v>0</v>
          </cell>
          <cell r="E283">
            <v>0</v>
          </cell>
          <cell r="F283">
            <v>0</v>
          </cell>
          <cell r="G283">
            <v>0</v>
          </cell>
          <cell r="H283">
            <v>0</v>
          </cell>
          <cell r="O283">
            <v>0</v>
          </cell>
          <cell r="P283">
            <v>0</v>
          </cell>
          <cell r="Q283">
            <v>0</v>
          </cell>
        </row>
        <row r="284">
          <cell r="B284" t="str">
            <v>SEP 2015</v>
          </cell>
          <cell r="C284" t="str">
            <v>LGCME671</v>
          </cell>
          <cell r="D284">
            <v>2</v>
          </cell>
          <cell r="E284">
            <v>0</v>
          </cell>
          <cell r="F284">
            <v>0</v>
          </cell>
          <cell r="G284">
            <v>0</v>
          </cell>
          <cell r="H284">
            <v>5318100</v>
          </cell>
          <cell r="O284">
            <v>0</v>
          </cell>
          <cell r="P284">
            <v>0</v>
          </cell>
          <cell r="Q284">
            <v>9450</v>
          </cell>
        </row>
        <row r="285">
          <cell r="B285" t="str">
            <v>SEP 2015</v>
          </cell>
          <cell r="C285" t="str">
            <v>LGCSR760</v>
          </cell>
          <cell r="D285">
            <v>0</v>
          </cell>
          <cell r="E285">
            <v>0</v>
          </cell>
          <cell r="F285">
            <v>0</v>
          </cell>
          <cell r="G285">
            <v>0</v>
          </cell>
          <cell r="H285">
            <v>0</v>
          </cell>
          <cell r="O285">
            <v>0</v>
          </cell>
          <cell r="P285">
            <v>0</v>
          </cell>
          <cell r="Q285">
            <v>0</v>
          </cell>
        </row>
        <row r="286">
          <cell r="B286" t="str">
            <v>SEP 2015</v>
          </cell>
          <cell r="C286" t="str">
            <v>LGCSR780</v>
          </cell>
          <cell r="D286">
            <v>0</v>
          </cell>
          <cell r="E286">
            <v>0</v>
          </cell>
          <cell r="F286">
            <v>0</v>
          </cell>
          <cell r="G286">
            <v>0</v>
          </cell>
          <cell r="H286">
            <v>0</v>
          </cell>
          <cell r="O286">
            <v>0</v>
          </cell>
          <cell r="P286">
            <v>0</v>
          </cell>
          <cell r="Q286">
            <v>0</v>
          </cell>
        </row>
        <row r="287">
          <cell r="B287" t="str">
            <v>SEP 2015</v>
          </cell>
          <cell r="C287" t="str">
            <v>LGINE599</v>
          </cell>
          <cell r="D287">
            <v>1</v>
          </cell>
          <cell r="E287">
            <v>0</v>
          </cell>
          <cell r="F287">
            <v>0</v>
          </cell>
          <cell r="G287">
            <v>0</v>
          </cell>
          <cell r="H287">
            <v>8540000</v>
          </cell>
          <cell r="O287">
            <v>0</v>
          </cell>
          <cell r="P287">
            <v>0</v>
          </cell>
          <cell r="Q287">
            <v>13654</v>
          </cell>
        </row>
        <row r="288">
          <cell r="B288" t="str">
            <v>SEP 2015</v>
          </cell>
          <cell r="C288" t="str">
            <v>LGINE643</v>
          </cell>
          <cell r="D288">
            <v>12</v>
          </cell>
          <cell r="E288">
            <v>0</v>
          </cell>
          <cell r="F288">
            <v>0</v>
          </cell>
          <cell r="G288">
            <v>0</v>
          </cell>
          <cell r="H288">
            <v>64168870</v>
          </cell>
          <cell r="O288">
            <v>159696</v>
          </cell>
          <cell r="P288">
            <v>155509</v>
          </cell>
          <cell r="Q288">
            <v>97048</v>
          </cell>
        </row>
        <row r="289">
          <cell r="B289" t="str">
            <v>SEP 2015</v>
          </cell>
          <cell r="C289" t="str">
            <v>LGINE661</v>
          </cell>
          <cell r="D289">
            <v>215</v>
          </cell>
          <cell r="E289">
            <v>0</v>
          </cell>
          <cell r="F289">
            <v>0</v>
          </cell>
          <cell r="G289">
            <v>0</v>
          </cell>
          <cell r="H289">
            <v>19657594</v>
          </cell>
          <cell r="O289">
            <v>0</v>
          </cell>
          <cell r="P289">
            <v>0</v>
          </cell>
          <cell r="Q289">
            <v>71083</v>
          </cell>
        </row>
        <row r="290">
          <cell r="B290" t="str">
            <v>SEP 2015</v>
          </cell>
          <cell r="C290" t="str">
            <v>LGINE663</v>
          </cell>
          <cell r="D290">
            <v>21</v>
          </cell>
          <cell r="E290">
            <v>0</v>
          </cell>
          <cell r="F290">
            <v>0</v>
          </cell>
          <cell r="G290">
            <v>0</v>
          </cell>
          <cell r="H290">
            <v>1023218</v>
          </cell>
          <cell r="O290">
            <v>0</v>
          </cell>
          <cell r="P290">
            <v>0</v>
          </cell>
          <cell r="Q290">
            <v>4245</v>
          </cell>
        </row>
        <row r="291">
          <cell r="B291" t="str">
            <v>SEP 2015</v>
          </cell>
          <cell r="C291" t="str">
            <v>LGINE691</v>
          </cell>
          <cell r="D291">
            <v>95</v>
          </cell>
          <cell r="E291">
            <v>0</v>
          </cell>
          <cell r="F291">
            <v>0</v>
          </cell>
          <cell r="G291">
            <v>0</v>
          </cell>
          <cell r="H291">
            <v>20552866</v>
          </cell>
          <cell r="O291">
            <v>54409</v>
          </cell>
          <cell r="P291">
            <v>51469</v>
          </cell>
          <cell r="Q291">
            <v>50102</v>
          </cell>
        </row>
        <row r="292">
          <cell r="B292" t="str">
            <v>SEP 2015</v>
          </cell>
          <cell r="C292" t="str">
            <v>LGINE693</v>
          </cell>
          <cell r="D292">
            <v>69</v>
          </cell>
          <cell r="E292">
            <v>0</v>
          </cell>
          <cell r="F292">
            <v>0</v>
          </cell>
          <cell r="G292">
            <v>0</v>
          </cell>
          <cell r="H292">
            <v>129026932</v>
          </cell>
          <cell r="O292">
            <v>362538</v>
          </cell>
          <cell r="P292">
            <v>329134</v>
          </cell>
          <cell r="Q292">
            <v>324762</v>
          </cell>
        </row>
        <row r="293">
          <cell r="B293" t="str">
            <v>SEP 2015</v>
          </cell>
          <cell r="C293" t="str">
            <v>LGMLE570</v>
          </cell>
          <cell r="D293">
            <v>0</v>
          </cell>
          <cell r="E293">
            <v>0</v>
          </cell>
          <cell r="F293">
            <v>0</v>
          </cell>
          <cell r="G293">
            <v>0</v>
          </cell>
          <cell r="H293">
            <v>0</v>
          </cell>
          <cell r="O293">
            <v>0</v>
          </cell>
          <cell r="P293">
            <v>0</v>
          </cell>
          <cell r="Q293">
            <v>0</v>
          </cell>
        </row>
        <row r="294">
          <cell r="B294" t="str">
            <v>SEP 2015</v>
          </cell>
          <cell r="C294" t="str">
            <v>LGMLE571</v>
          </cell>
          <cell r="D294">
            <v>156</v>
          </cell>
          <cell r="E294">
            <v>0</v>
          </cell>
          <cell r="F294">
            <v>0</v>
          </cell>
          <cell r="G294">
            <v>0</v>
          </cell>
          <cell r="H294">
            <v>238222</v>
          </cell>
          <cell r="O294">
            <v>0</v>
          </cell>
          <cell r="P294">
            <v>0</v>
          </cell>
          <cell r="Q294">
            <v>0</v>
          </cell>
        </row>
        <row r="295">
          <cell r="B295" t="str">
            <v>SEP 2015</v>
          </cell>
          <cell r="C295" t="str">
            <v>LGMLE572</v>
          </cell>
          <cell r="D295">
            <v>0</v>
          </cell>
          <cell r="E295">
            <v>0</v>
          </cell>
          <cell r="F295">
            <v>0</v>
          </cell>
          <cell r="G295">
            <v>0</v>
          </cell>
          <cell r="H295">
            <v>0</v>
          </cell>
          <cell r="O295">
            <v>0</v>
          </cell>
          <cell r="P295">
            <v>0</v>
          </cell>
          <cell r="Q295">
            <v>0</v>
          </cell>
        </row>
        <row r="296">
          <cell r="B296" t="str">
            <v>SEP 2015</v>
          </cell>
          <cell r="C296" t="str">
            <v>LGMLE573</v>
          </cell>
          <cell r="D296">
            <v>905</v>
          </cell>
          <cell r="E296">
            <v>0</v>
          </cell>
          <cell r="F296">
            <v>0</v>
          </cell>
          <cell r="G296">
            <v>0</v>
          </cell>
          <cell r="H296">
            <v>223416</v>
          </cell>
          <cell r="O296">
            <v>0</v>
          </cell>
          <cell r="P296">
            <v>0</v>
          </cell>
          <cell r="Q296">
            <v>0</v>
          </cell>
        </row>
        <row r="297">
          <cell r="B297" t="str">
            <v>SEP 2015</v>
          </cell>
          <cell r="C297" t="str">
            <v>LGMLE574</v>
          </cell>
          <cell r="D297">
            <v>0</v>
          </cell>
          <cell r="E297">
            <v>0</v>
          </cell>
          <cell r="F297">
            <v>0</v>
          </cell>
          <cell r="G297">
            <v>0</v>
          </cell>
          <cell r="H297">
            <v>0</v>
          </cell>
          <cell r="O297">
            <v>0</v>
          </cell>
          <cell r="P297">
            <v>0</v>
          </cell>
          <cell r="Q297">
            <v>0</v>
          </cell>
        </row>
        <row r="298">
          <cell r="B298" t="str">
            <v>SEP 2015</v>
          </cell>
          <cell r="C298" t="str">
            <v>LGRSE411</v>
          </cell>
          <cell r="D298">
            <v>0</v>
          </cell>
          <cell r="E298">
            <v>0</v>
          </cell>
          <cell r="F298">
            <v>0</v>
          </cell>
          <cell r="G298">
            <v>0</v>
          </cell>
          <cell r="H298">
            <v>0</v>
          </cell>
          <cell r="O298">
            <v>0</v>
          </cell>
          <cell r="P298">
            <v>0</v>
          </cell>
          <cell r="Q298">
            <v>0</v>
          </cell>
        </row>
        <row r="299">
          <cell r="B299" t="str">
            <v>SEP 2015</v>
          </cell>
          <cell r="C299" t="str">
            <v>LGRSE511</v>
          </cell>
          <cell r="D299">
            <v>360785</v>
          </cell>
          <cell r="E299">
            <v>0</v>
          </cell>
          <cell r="F299">
            <v>0</v>
          </cell>
          <cell r="G299">
            <v>0</v>
          </cell>
          <cell r="H299">
            <v>387412176</v>
          </cell>
          <cell r="O299">
            <v>0</v>
          </cell>
          <cell r="P299">
            <v>0</v>
          </cell>
          <cell r="Q299">
            <v>0</v>
          </cell>
        </row>
        <row r="300">
          <cell r="B300" t="str">
            <v>SEP 2015</v>
          </cell>
          <cell r="C300" t="str">
            <v>LGRSE519</v>
          </cell>
          <cell r="D300">
            <v>0</v>
          </cell>
          <cell r="E300">
            <v>0</v>
          </cell>
          <cell r="F300">
            <v>0</v>
          </cell>
          <cell r="G300">
            <v>0</v>
          </cell>
          <cell r="H300">
            <v>0</v>
          </cell>
          <cell r="O300">
            <v>0</v>
          </cell>
          <cell r="P300">
            <v>0</v>
          </cell>
          <cell r="Q300">
            <v>0</v>
          </cell>
        </row>
        <row r="301">
          <cell r="B301" t="str">
            <v>SEP 2015</v>
          </cell>
          <cell r="C301" t="str">
            <v>LGRSE540</v>
          </cell>
          <cell r="D301">
            <v>0</v>
          </cell>
          <cell r="E301">
            <v>0</v>
          </cell>
          <cell r="F301">
            <v>0</v>
          </cell>
          <cell r="G301">
            <v>0</v>
          </cell>
          <cell r="H301">
            <v>0</v>
          </cell>
          <cell r="O301">
            <v>0</v>
          </cell>
          <cell r="P301">
            <v>0</v>
          </cell>
          <cell r="Q301">
            <v>0</v>
          </cell>
        </row>
        <row r="302">
          <cell r="B302" t="str">
            <v>SEP 2015</v>
          </cell>
          <cell r="C302" t="str">
            <v>LGRSE543</v>
          </cell>
          <cell r="D302">
            <v>20</v>
          </cell>
          <cell r="E302">
            <v>11196</v>
          </cell>
          <cell r="F302">
            <v>5538</v>
          </cell>
          <cell r="G302">
            <v>3260</v>
          </cell>
          <cell r="H302">
            <v>19994</v>
          </cell>
          <cell r="O302">
            <v>0</v>
          </cell>
          <cell r="P302">
            <v>0</v>
          </cell>
          <cell r="Q302">
            <v>0</v>
          </cell>
        </row>
        <row r="303">
          <cell r="B303" t="str">
            <v>SEP 2015</v>
          </cell>
          <cell r="C303" t="str">
            <v>Result</v>
          </cell>
        </row>
        <row r="304">
          <cell r="B304" t="str">
            <v>OCT 2015</v>
          </cell>
          <cell r="C304" t="str">
            <v>LGCME451</v>
          </cell>
          <cell r="D304">
            <v>0</v>
          </cell>
          <cell r="E304">
            <v>0</v>
          </cell>
          <cell r="F304">
            <v>0</v>
          </cell>
          <cell r="G304">
            <v>0</v>
          </cell>
          <cell r="H304">
            <v>0</v>
          </cell>
          <cell r="O304">
            <v>0</v>
          </cell>
          <cell r="P304">
            <v>0</v>
          </cell>
          <cell r="Q304">
            <v>0</v>
          </cell>
        </row>
        <row r="305">
          <cell r="B305" t="str">
            <v>OCT 2015</v>
          </cell>
          <cell r="C305" t="str">
            <v>LGCME551</v>
          </cell>
          <cell r="D305">
            <v>28188</v>
          </cell>
          <cell r="E305">
            <v>0</v>
          </cell>
          <cell r="F305">
            <v>0</v>
          </cell>
          <cell r="G305">
            <v>0</v>
          </cell>
          <cell r="H305">
            <v>29801686</v>
          </cell>
          <cell r="O305">
            <v>0</v>
          </cell>
          <cell r="P305">
            <v>0</v>
          </cell>
          <cell r="Q305">
            <v>0</v>
          </cell>
        </row>
        <row r="306">
          <cell r="B306" t="str">
            <v>OCT 2015</v>
          </cell>
          <cell r="C306" t="str">
            <v>LGCME551UM</v>
          </cell>
          <cell r="D306">
            <v>0</v>
          </cell>
          <cell r="E306">
            <v>0</v>
          </cell>
          <cell r="F306">
            <v>0</v>
          </cell>
          <cell r="G306">
            <v>0</v>
          </cell>
          <cell r="H306">
            <v>0</v>
          </cell>
          <cell r="O306">
            <v>0</v>
          </cell>
          <cell r="P306">
            <v>0</v>
          </cell>
          <cell r="Q306">
            <v>0</v>
          </cell>
        </row>
        <row r="307">
          <cell r="B307" t="str">
            <v>OCT 2015</v>
          </cell>
          <cell r="C307" t="str">
            <v>LGCME552</v>
          </cell>
          <cell r="D307">
            <v>0</v>
          </cell>
          <cell r="E307">
            <v>0</v>
          </cell>
          <cell r="F307">
            <v>0</v>
          </cell>
          <cell r="G307">
            <v>0</v>
          </cell>
          <cell r="H307">
            <v>0</v>
          </cell>
          <cell r="O307">
            <v>0</v>
          </cell>
          <cell r="P307">
            <v>0</v>
          </cell>
          <cell r="Q307">
            <v>0</v>
          </cell>
        </row>
        <row r="308">
          <cell r="B308" t="str">
            <v>OCT 2015</v>
          </cell>
          <cell r="C308" t="str">
            <v>LGCME557</v>
          </cell>
          <cell r="D308">
            <v>0</v>
          </cell>
          <cell r="E308">
            <v>0</v>
          </cell>
          <cell r="F308">
            <v>0</v>
          </cell>
          <cell r="G308">
            <v>0</v>
          </cell>
          <cell r="H308">
            <v>0</v>
          </cell>
          <cell r="O308">
            <v>0</v>
          </cell>
          <cell r="P308">
            <v>0</v>
          </cell>
          <cell r="Q308">
            <v>0</v>
          </cell>
        </row>
        <row r="309">
          <cell r="B309" t="str">
            <v>OCT 2015</v>
          </cell>
          <cell r="C309" t="str">
            <v>LGCME561</v>
          </cell>
          <cell r="D309">
            <v>2579</v>
          </cell>
          <cell r="E309">
            <v>0</v>
          </cell>
          <cell r="F309">
            <v>0</v>
          </cell>
          <cell r="G309">
            <v>0</v>
          </cell>
          <cell r="H309">
            <v>137270484</v>
          </cell>
          <cell r="O309">
            <v>0</v>
          </cell>
          <cell r="P309">
            <v>350228</v>
          </cell>
          <cell r="Q309">
            <v>0</v>
          </cell>
        </row>
        <row r="310">
          <cell r="B310" t="str">
            <v>OCT 2015</v>
          </cell>
          <cell r="C310" t="str">
            <v>LGCME563</v>
          </cell>
          <cell r="D310">
            <v>52</v>
          </cell>
          <cell r="E310">
            <v>0</v>
          </cell>
          <cell r="F310">
            <v>0</v>
          </cell>
          <cell r="G310">
            <v>0</v>
          </cell>
          <cell r="H310">
            <v>12153894</v>
          </cell>
          <cell r="O310">
            <v>0</v>
          </cell>
          <cell r="P310">
            <v>30305</v>
          </cell>
          <cell r="Q310">
            <v>0</v>
          </cell>
        </row>
        <row r="311">
          <cell r="B311" t="str">
            <v>OCT 2015</v>
          </cell>
          <cell r="C311" t="str">
            <v>LGCME567</v>
          </cell>
          <cell r="D311">
            <v>0</v>
          </cell>
          <cell r="E311">
            <v>0</v>
          </cell>
          <cell r="F311">
            <v>0</v>
          </cell>
          <cell r="G311">
            <v>0</v>
          </cell>
          <cell r="H311">
            <v>0</v>
          </cell>
          <cell r="O311">
            <v>0</v>
          </cell>
          <cell r="P311">
            <v>0</v>
          </cell>
          <cell r="Q311">
            <v>0</v>
          </cell>
        </row>
        <row r="312">
          <cell r="B312" t="str">
            <v>OCT 2015</v>
          </cell>
          <cell r="C312" t="str">
            <v>LGCME591</v>
          </cell>
          <cell r="D312">
            <v>219</v>
          </cell>
          <cell r="E312">
            <v>0</v>
          </cell>
          <cell r="F312">
            <v>0</v>
          </cell>
          <cell r="G312">
            <v>0</v>
          </cell>
          <cell r="H312">
            <v>63676678</v>
          </cell>
          <cell r="O312">
            <v>143906</v>
          </cell>
          <cell r="P312">
            <v>139178</v>
          </cell>
          <cell r="Q312">
            <v>137189</v>
          </cell>
        </row>
        <row r="313">
          <cell r="B313" t="str">
            <v>OCT 2015</v>
          </cell>
          <cell r="C313" t="str">
            <v>LGCME593</v>
          </cell>
          <cell r="D313">
            <v>39</v>
          </cell>
          <cell r="E313">
            <v>0</v>
          </cell>
          <cell r="F313">
            <v>0</v>
          </cell>
          <cell r="G313">
            <v>0</v>
          </cell>
          <cell r="H313">
            <v>30304753</v>
          </cell>
          <cell r="O313">
            <v>74509</v>
          </cell>
          <cell r="P313">
            <v>71650</v>
          </cell>
          <cell r="Q313">
            <v>70634</v>
          </cell>
        </row>
        <row r="314">
          <cell r="B314" t="str">
            <v>OCT 2015</v>
          </cell>
          <cell r="C314" t="str">
            <v>LGCME651</v>
          </cell>
          <cell r="D314">
            <v>16367</v>
          </cell>
          <cell r="E314">
            <v>0</v>
          </cell>
          <cell r="F314">
            <v>0</v>
          </cell>
          <cell r="G314">
            <v>0</v>
          </cell>
          <cell r="H314">
            <v>75985713</v>
          </cell>
          <cell r="O314">
            <v>215612</v>
          </cell>
          <cell r="P314">
            <v>0</v>
          </cell>
          <cell r="Q314">
            <v>0</v>
          </cell>
        </row>
        <row r="315">
          <cell r="B315" t="str">
            <v>OCT 2015</v>
          </cell>
          <cell r="C315" t="str">
            <v>LGCME652</v>
          </cell>
          <cell r="D315">
            <v>0</v>
          </cell>
          <cell r="E315">
            <v>0</v>
          </cell>
          <cell r="F315">
            <v>0</v>
          </cell>
          <cell r="G315">
            <v>0</v>
          </cell>
          <cell r="H315">
            <v>0</v>
          </cell>
          <cell r="O315">
            <v>0</v>
          </cell>
          <cell r="P315">
            <v>0</v>
          </cell>
          <cell r="Q315">
            <v>0</v>
          </cell>
        </row>
        <row r="316">
          <cell r="B316" t="str">
            <v>OCT 2015</v>
          </cell>
          <cell r="C316" t="str">
            <v>LGCME657</v>
          </cell>
          <cell r="D316">
            <v>0</v>
          </cell>
          <cell r="E316">
            <v>0</v>
          </cell>
          <cell r="F316">
            <v>0</v>
          </cell>
          <cell r="G316">
            <v>0</v>
          </cell>
          <cell r="H316">
            <v>0</v>
          </cell>
          <cell r="O316">
            <v>0</v>
          </cell>
          <cell r="P316">
            <v>0</v>
          </cell>
          <cell r="Q316">
            <v>0</v>
          </cell>
        </row>
        <row r="317">
          <cell r="B317" t="str">
            <v>OCT 2015</v>
          </cell>
          <cell r="C317" t="str">
            <v>LGCME671</v>
          </cell>
          <cell r="D317">
            <v>2</v>
          </cell>
          <cell r="E317">
            <v>0</v>
          </cell>
          <cell r="F317">
            <v>0</v>
          </cell>
          <cell r="G317">
            <v>0</v>
          </cell>
          <cell r="H317">
            <v>4450800</v>
          </cell>
          <cell r="O317">
            <v>0</v>
          </cell>
          <cell r="P317">
            <v>9450</v>
          </cell>
          <cell r="Q317">
            <v>0</v>
          </cell>
        </row>
        <row r="318">
          <cell r="B318" t="str">
            <v>OCT 2015</v>
          </cell>
          <cell r="C318" t="str">
            <v>LGCSR760</v>
          </cell>
          <cell r="D318">
            <v>0</v>
          </cell>
          <cell r="E318">
            <v>0</v>
          </cell>
          <cell r="F318">
            <v>0</v>
          </cell>
          <cell r="G318">
            <v>0</v>
          </cell>
          <cell r="H318">
            <v>0</v>
          </cell>
          <cell r="O318">
            <v>0</v>
          </cell>
          <cell r="P318">
            <v>0</v>
          </cell>
          <cell r="Q318">
            <v>0</v>
          </cell>
        </row>
        <row r="319">
          <cell r="B319" t="str">
            <v>OCT 2015</v>
          </cell>
          <cell r="C319" t="str">
            <v>LGCSR780</v>
          </cell>
          <cell r="D319">
            <v>0</v>
          </cell>
          <cell r="E319">
            <v>0</v>
          </cell>
          <cell r="F319">
            <v>0</v>
          </cell>
          <cell r="G319">
            <v>0</v>
          </cell>
          <cell r="H319">
            <v>0</v>
          </cell>
          <cell r="O319">
            <v>0</v>
          </cell>
          <cell r="P319">
            <v>0</v>
          </cell>
          <cell r="Q319">
            <v>0</v>
          </cell>
        </row>
        <row r="320">
          <cell r="B320" t="str">
            <v>OCT 2015</v>
          </cell>
          <cell r="C320" t="str">
            <v>LGINE599</v>
          </cell>
          <cell r="D320">
            <v>1</v>
          </cell>
          <cell r="E320">
            <v>0</v>
          </cell>
          <cell r="F320">
            <v>0</v>
          </cell>
          <cell r="G320">
            <v>0</v>
          </cell>
          <cell r="H320">
            <v>7093200</v>
          </cell>
          <cell r="O320">
            <v>0</v>
          </cell>
          <cell r="P320">
            <v>8332</v>
          </cell>
          <cell r="Q320">
            <v>0</v>
          </cell>
        </row>
        <row r="321">
          <cell r="B321" t="str">
            <v>OCT 2015</v>
          </cell>
          <cell r="C321" t="str">
            <v>LGINE643</v>
          </cell>
          <cell r="D321">
            <v>12</v>
          </cell>
          <cell r="E321">
            <v>0</v>
          </cell>
          <cell r="F321">
            <v>0</v>
          </cell>
          <cell r="G321">
            <v>0</v>
          </cell>
          <cell r="H321">
            <v>68882846</v>
          </cell>
          <cell r="O321">
            <v>163502</v>
          </cell>
          <cell r="P321">
            <v>157323</v>
          </cell>
          <cell r="Q321">
            <v>93632</v>
          </cell>
        </row>
        <row r="322">
          <cell r="B322" t="str">
            <v>OCT 2015</v>
          </cell>
          <cell r="C322" t="str">
            <v>LGINE661</v>
          </cell>
          <cell r="D322">
            <v>215</v>
          </cell>
          <cell r="E322">
            <v>0</v>
          </cell>
          <cell r="F322">
            <v>0</v>
          </cell>
          <cell r="G322">
            <v>0</v>
          </cell>
          <cell r="H322">
            <v>19399423</v>
          </cell>
          <cell r="O322">
            <v>0</v>
          </cell>
          <cell r="P322">
            <v>62733</v>
          </cell>
          <cell r="Q322">
            <v>0</v>
          </cell>
        </row>
        <row r="323">
          <cell r="B323" t="str">
            <v>OCT 2015</v>
          </cell>
          <cell r="C323" t="str">
            <v>LGINE663</v>
          </cell>
          <cell r="D323">
            <v>21</v>
          </cell>
          <cell r="E323">
            <v>0</v>
          </cell>
          <cell r="F323">
            <v>0</v>
          </cell>
          <cell r="G323">
            <v>0</v>
          </cell>
          <cell r="H323">
            <v>1042841</v>
          </cell>
          <cell r="O323">
            <v>0</v>
          </cell>
          <cell r="P323">
            <v>3889</v>
          </cell>
          <cell r="Q323">
            <v>0</v>
          </cell>
        </row>
        <row r="324">
          <cell r="B324" t="str">
            <v>OCT 2015</v>
          </cell>
          <cell r="C324" t="str">
            <v>LGINE691</v>
          </cell>
          <cell r="D324">
            <v>96</v>
          </cell>
          <cell r="E324">
            <v>0</v>
          </cell>
          <cell r="F324">
            <v>0</v>
          </cell>
          <cell r="G324">
            <v>0</v>
          </cell>
          <cell r="H324">
            <v>20321484</v>
          </cell>
          <cell r="O324">
            <v>52059</v>
          </cell>
          <cell r="P324">
            <v>47898</v>
          </cell>
          <cell r="Q324">
            <v>46862</v>
          </cell>
        </row>
        <row r="325">
          <cell r="B325" t="str">
            <v>OCT 2015</v>
          </cell>
          <cell r="C325" t="str">
            <v>LGINE693</v>
          </cell>
          <cell r="D325">
            <v>69</v>
          </cell>
          <cell r="E325">
            <v>0</v>
          </cell>
          <cell r="F325">
            <v>0</v>
          </cell>
          <cell r="G325">
            <v>0</v>
          </cell>
          <cell r="H325">
            <v>131501376</v>
          </cell>
          <cell r="O325">
            <v>332089</v>
          </cell>
          <cell r="P325">
            <v>301491</v>
          </cell>
          <cell r="Q325">
            <v>297486</v>
          </cell>
        </row>
        <row r="326">
          <cell r="B326" t="str">
            <v>OCT 2015</v>
          </cell>
          <cell r="C326" t="str">
            <v>LGMLE570</v>
          </cell>
          <cell r="D326">
            <v>0</v>
          </cell>
          <cell r="E326">
            <v>0</v>
          </cell>
          <cell r="F326">
            <v>0</v>
          </cell>
          <cell r="G326">
            <v>0</v>
          </cell>
          <cell r="H326">
            <v>0</v>
          </cell>
          <cell r="O326">
            <v>0</v>
          </cell>
          <cell r="P326">
            <v>0</v>
          </cell>
          <cell r="Q326">
            <v>0</v>
          </cell>
        </row>
        <row r="327">
          <cell r="B327" t="str">
            <v>OCT 2015</v>
          </cell>
          <cell r="C327" t="str">
            <v>LGMLE571</v>
          </cell>
          <cell r="D327">
            <v>156</v>
          </cell>
          <cell r="E327">
            <v>0</v>
          </cell>
          <cell r="F327">
            <v>0</v>
          </cell>
          <cell r="G327">
            <v>0</v>
          </cell>
          <cell r="H327">
            <v>273372</v>
          </cell>
          <cell r="O327">
            <v>0</v>
          </cell>
          <cell r="P327">
            <v>0</v>
          </cell>
          <cell r="Q327">
            <v>0</v>
          </cell>
        </row>
        <row r="328">
          <cell r="B328" t="str">
            <v>OCT 2015</v>
          </cell>
          <cell r="C328" t="str">
            <v>LGMLE572</v>
          </cell>
          <cell r="D328">
            <v>0</v>
          </cell>
          <cell r="E328">
            <v>0</v>
          </cell>
          <cell r="F328">
            <v>0</v>
          </cell>
          <cell r="G328">
            <v>0</v>
          </cell>
          <cell r="H328">
            <v>0</v>
          </cell>
          <cell r="O328">
            <v>0</v>
          </cell>
          <cell r="P328">
            <v>0</v>
          </cell>
          <cell r="Q328">
            <v>0</v>
          </cell>
        </row>
        <row r="329">
          <cell r="B329" t="str">
            <v>OCT 2015</v>
          </cell>
          <cell r="C329" t="str">
            <v>LGMLE573</v>
          </cell>
          <cell r="D329">
            <v>905</v>
          </cell>
          <cell r="E329">
            <v>0</v>
          </cell>
          <cell r="F329">
            <v>0</v>
          </cell>
          <cell r="G329">
            <v>0</v>
          </cell>
          <cell r="H329">
            <v>250217</v>
          </cell>
          <cell r="O329">
            <v>0</v>
          </cell>
          <cell r="P329">
            <v>0</v>
          </cell>
          <cell r="Q329">
            <v>0</v>
          </cell>
        </row>
        <row r="330">
          <cell r="B330" t="str">
            <v>OCT 2015</v>
          </cell>
          <cell r="C330" t="str">
            <v>LGMLE574</v>
          </cell>
          <cell r="D330">
            <v>0</v>
          </cell>
          <cell r="E330">
            <v>0</v>
          </cell>
          <cell r="F330">
            <v>0</v>
          </cell>
          <cell r="G330">
            <v>0</v>
          </cell>
          <cell r="H330">
            <v>0</v>
          </cell>
          <cell r="O330">
            <v>0</v>
          </cell>
          <cell r="P330">
            <v>0</v>
          </cell>
          <cell r="Q330">
            <v>0</v>
          </cell>
        </row>
        <row r="331">
          <cell r="B331" t="str">
            <v>OCT 2015</v>
          </cell>
          <cell r="C331" t="str">
            <v>LGRSE411</v>
          </cell>
          <cell r="D331">
            <v>0</v>
          </cell>
          <cell r="E331">
            <v>0</v>
          </cell>
          <cell r="F331">
            <v>0</v>
          </cell>
          <cell r="G331">
            <v>0</v>
          </cell>
          <cell r="H331">
            <v>0</v>
          </cell>
          <cell r="O331">
            <v>0</v>
          </cell>
          <cell r="P331">
            <v>0</v>
          </cell>
          <cell r="Q331">
            <v>0</v>
          </cell>
        </row>
        <row r="332">
          <cell r="B332" t="str">
            <v>OCT 2015</v>
          </cell>
          <cell r="C332" t="str">
            <v>LGRSE511</v>
          </cell>
          <cell r="D332">
            <v>360991</v>
          </cell>
          <cell r="E332">
            <v>0</v>
          </cell>
          <cell r="F332">
            <v>0</v>
          </cell>
          <cell r="G332">
            <v>0</v>
          </cell>
          <cell r="H332">
            <v>275093953</v>
          </cell>
          <cell r="O332">
            <v>0</v>
          </cell>
          <cell r="P332">
            <v>0</v>
          </cell>
          <cell r="Q332">
            <v>0</v>
          </cell>
        </row>
        <row r="333">
          <cell r="B333" t="str">
            <v>OCT 2015</v>
          </cell>
          <cell r="C333" t="str">
            <v>LGRSE519</v>
          </cell>
          <cell r="D333">
            <v>0</v>
          </cell>
          <cell r="E333">
            <v>0</v>
          </cell>
          <cell r="F333">
            <v>0</v>
          </cell>
          <cell r="G333">
            <v>0</v>
          </cell>
          <cell r="H333">
            <v>0</v>
          </cell>
          <cell r="O333">
            <v>0</v>
          </cell>
          <cell r="P333">
            <v>0</v>
          </cell>
          <cell r="Q333">
            <v>0</v>
          </cell>
        </row>
        <row r="334">
          <cell r="B334" t="str">
            <v>OCT 2015</v>
          </cell>
          <cell r="C334" t="str">
            <v>LGRSE540</v>
          </cell>
          <cell r="D334">
            <v>0</v>
          </cell>
          <cell r="E334">
            <v>0</v>
          </cell>
          <cell r="F334">
            <v>0</v>
          </cell>
          <cell r="G334">
            <v>0</v>
          </cell>
          <cell r="H334">
            <v>0</v>
          </cell>
          <cell r="O334">
            <v>0</v>
          </cell>
          <cell r="P334">
            <v>0</v>
          </cell>
          <cell r="Q334">
            <v>0</v>
          </cell>
        </row>
        <row r="335">
          <cell r="B335" t="str">
            <v>OCT 2015</v>
          </cell>
          <cell r="C335" t="str">
            <v>LGRSE543</v>
          </cell>
          <cell r="D335">
            <v>20</v>
          </cell>
          <cell r="E335">
            <v>14140</v>
          </cell>
          <cell r="F335">
            <v>7399</v>
          </cell>
          <cell r="G335">
            <v>4513</v>
          </cell>
          <cell r="H335">
            <v>26052</v>
          </cell>
          <cell r="O335">
            <v>0</v>
          </cell>
          <cell r="P335">
            <v>0</v>
          </cell>
          <cell r="Q335">
            <v>0</v>
          </cell>
        </row>
        <row r="336">
          <cell r="B336" t="str">
            <v>OCT 2015</v>
          </cell>
          <cell r="C336" t="str">
            <v>LGRSE547</v>
          </cell>
          <cell r="D336">
            <v>0</v>
          </cell>
          <cell r="E336">
            <v>0</v>
          </cell>
          <cell r="F336">
            <v>0</v>
          </cell>
          <cell r="G336">
            <v>0</v>
          </cell>
          <cell r="H336">
            <v>0</v>
          </cell>
          <cell r="O336">
            <v>0</v>
          </cell>
          <cell r="P336">
            <v>0</v>
          </cell>
          <cell r="Q336">
            <v>0</v>
          </cell>
        </row>
        <row r="337">
          <cell r="B337" t="str">
            <v>OCT 2015</v>
          </cell>
          <cell r="C337" t="str">
            <v>Result</v>
          </cell>
        </row>
        <row r="338">
          <cell r="B338" t="str">
            <v>NOV 2015</v>
          </cell>
          <cell r="C338" t="str">
            <v>LGCME451</v>
          </cell>
          <cell r="D338">
            <v>0</v>
          </cell>
          <cell r="E338">
            <v>0</v>
          </cell>
          <cell r="F338">
            <v>0</v>
          </cell>
          <cell r="G338">
            <v>0</v>
          </cell>
          <cell r="H338">
            <v>0</v>
          </cell>
          <cell r="O338">
            <v>0</v>
          </cell>
          <cell r="P338">
            <v>0</v>
          </cell>
          <cell r="Q338">
            <v>0</v>
          </cell>
        </row>
        <row r="339">
          <cell r="B339" t="str">
            <v>NOV 2015</v>
          </cell>
          <cell r="C339" t="str">
            <v>LGCME551</v>
          </cell>
          <cell r="D339">
            <v>28199</v>
          </cell>
          <cell r="E339">
            <v>0</v>
          </cell>
          <cell r="F339">
            <v>0</v>
          </cell>
          <cell r="G339">
            <v>0</v>
          </cell>
          <cell r="H339">
            <v>29115339</v>
          </cell>
          <cell r="O339">
            <v>0</v>
          </cell>
          <cell r="P339">
            <v>0</v>
          </cell>
          <cell r="Q339">
            <v>0</v>
          </cell>
        </row>
        <row r="340">
          <cell r="B340" t="str">
            <v>NOV 2015</v>
          </cell>
          <cell r="C340" t="str">
            <v>LGCME551UM</v>
          </cell>
          <cell r="D340">
            <v>0</v>
          </cell>
          <cell r="E340">
            <v>0</v>
          </cell>
          <cell r="F340">
            <v>0</v>
          </cell>
          <cell r="G340">
            <v>0</v>
          </cell>
          <cell r="H340">
            <v>0</v>
          </cell>
          <cell r="O340">
            <v>0</v>
          </cell>
          <cell r="P340">
            <v>0</v>
          </cell>
          <cell r="Q340">
            <v>0</v>
          </cell>
        </row>
        <row r="341">
          <cell r="B341" t="str">
            <v>NOV 2015</v>
          </cell>
          <cell r="C341" t="str">
            <v>LGCME552</v>
          </cell>
          <cell r="D341">
            <v>0</v>
          </cell>
          <cell r="E341">
            <v>0</v>
          </cell>
          <cell r="F341">
            <v>0</v>
          </cell>
          <cell r="G341">
            <v>0</v>
          </cell>
          <cell r="H341">
            <v>0</v>
          </cell>
          <cell r="O341">
            <v>0</v>
          </cell>
          <cell r="P341">
            <v>0</v>
          </cell>
          <cell r="Q341">
            <v>0</v>
          </cell>
        </row>
        <row r="342">
          <cell r="B342" t="str">
            <v>NOV 2015</v>
          </cell>
          <cell r="C342" t="str">
            <v>LGCME557</v>
          </cell>
          <cell r="D342">
            <v>0</v>
          </cell>
          <cell r="E342">
            <v>0</v>
          </cell>
          <cell r="F342">
            <v>0</v>
          </cell>
          <cell r="G342">
            <v>0</v>
          </cell>
          <cell r="H342">
            <v>0</v>
          </cell>
          <cell r="O342">
            <v>0</v>
          </cell>
          <cell r="P342">
            <v>0</v>
          </cell>
          <cell r="Q342">
            <v>0</v>
          </cell>
        </row>
        <row r="343">
          <cell r="B343" t="str">
            <v>NOV 2015</v>
          </cell>
          <cell r="C343" t="str">
            <v>LGCME561</v>
          </cell>
          <cell r="D343">
            <v>2579</v>
          </cell>
          <cell r="E343">
            <v>0</v>
          </cell>
          <cell r="F343">
            <v>0</v>
          </cell>
          <cell r="G343">
            <v>0</v>
          </cell>
          <cell r="H343">
            <v>129888119</v>
          </cell>
          <cell r="O343">
            <v>0</v>
          </cell>
          <cell r="P343">
            <v>317514</v>
          </cell>
          <cell r="Q343">
            <v>0</v>
          </cell>
        </row>
        <row r="344">
          <cell r="B344" t="str">
            <v>NOV 2015</v>
          </cell>
          <cell r="C344" t="str">
            <v>LGCME563</v>
          </cell>
          <cell r="D344">
            <v>52</v>
          </cell>
          <cell r="E344">
            <v>0</v>
          </cell>
          <cell r="F344">
            <v>0</v>
          </cell>
          <cell r="G344">
            <v>0</v>
          </cell>
          <cell r="H344">
            <v>11303433</v>
          </cell>
          <cell r="O344">
            <v>0</v>
          </cell>
          <cell r="P344">
            <v>26967</v>
          </cell>
          <cell r="Q344">
            <v>0</v>
          </cell>
        </row>
        <row r="345">
          <cell r="B345" t="str">
            <v>NOV 2015</v>
          </cell>
          <cell r="C345" t="str">
            <v>LGCME567</v>
          </cell>
          <cell r="D345">
            <v>0</v>
          </cell>
          <cell r="E345">
            <v>0</v>
          </cell>
          <cell r="F345">
            <v>0</v>
          </cell>
          <cell r="G345">
            <v>0</v>
          </cell>
          <cell r="H345">
            <v>0</v>
          </cell>
          <cell r="O345">
            <v>0</v>
          </cell>
          <cell r="P345">
            <v>0</v>
          </cell>
          <cell r="Q345">
            <v>0</v>
          </cell>
        </row>
        <row r="346">
          <cell r="B346" t="str">
            <v>NOV 2015</v>
          </cell>
          <cell r="C346" t="str">
            <v>LGCME591</v>
          </cell>
          <cell r="D346">
            <v>220</v>
          </cell>
          <cell r="E346">
            <v>0</v>
          </cell>
          <cell r="F346">
            <v>0</v>
          </cell>
          <cell r="G346">
            <v>0</v>
          </cell>
          <cell r="H346">
            <v>60713564</v>
          </cell>
          <cell r="O346">
            <v>137838</v>
          </cell>
          <cell r="P346">
            <v>130077</v>
          </cell>
          <cell r="Q346">
            <v>125528</v>
          </cell>
        </row>
        <row r="347">
          <cell r="B347" t="str">
            <v>NOV 2015</v>
          </cell>
          <cell r="C347" t="str">
            <v>LGCME593</v>
          </cell>
          <cell r="D347">
            <v>39</v>
          </cell>
          <cell r="E347">
            <v>0</v>
          </cell>
          <cell r="F347">
            <v>0</v>
          </cell>
          <cell r="G347">
            <v>0</v>
          </cell>
          <cell r="H347">
            <v>28320345</v>
          </cell>
          <cell r="O347">
            <v>70146</v>
          </cell>
          <cell r="P347">
            <v>65072</v>
          </cell>
          <cell r="Q347">
            <v>63316</v>
          </cell>
        </row>
        <row r="348">
          <cell r="B348" t="str">
            <v>NOV 2015</v>
          </cell>
          <cell r="C348" t="str">
            <v>LGCME651</v>
          </cell>
          <cell r="D348">
            <v>16373</v>
          </cell>
          <cell r="E348">
            <v>0</v>
          </cell>
          <cell r="F348">
            <v>0</v>
          </cell>
          <cell r="G348">
            <v>0</v>
          </cell>
          <cell r="H348">
            <v>74220820</v>
          </cell>
          <cell r="O348">
            <v>211286</v>
          </cell>
          <cell r="P348">
            <v>0</v>
          </cell>
          <cell r="Q348">
            <v>0</v>
          </cell>
        </row>
        <row r="349">
          <cell r="B349" t="str">
            <v>NOV 2015</v>
          </cell>
          <cell r="C349" t="str">
            <v>LGCME652</v>
          </cell>
          <cell r="D349">
            <v>0</v>
          </cell>
          <cell r="E349">
            <v>0</v>
          </cell>
          <cell r="F349">
            <v>0</v>
          </cell>
          <cell r="G349">
            <v>0</v>
          </cell>
          <cell r="H349">
            <v>0</v>
          </cell>
          <cell r="O349">
            <v>0</v>
          </cell>
          <cell r="P349">
            <v>0</v>
          </cell>
          <cell r="Q349">
            <v>0</v>
          </cell>
        </row>
        <row r="350">
          <cell r="B350" t="str">
            <v>NOV 2015</v>
          </cell>
          <cell r="C350" t="str">
            <v>LGCME657</v>
          </cell>
          <cell r="D350">
            <v>0</v>
          </cell>
          <cell r="E350">
            <v>0</v>
          </cell>
          <cell r="F350">
            <v>0</v>
          </cell>
          <cell r="G350">
            <v>0</v>
          </cell>
          <cell r="H350">
            <v>0</v>
          </cell>
          <cell r="O350">
            <v>0</v>
          </cell>
          <cell r="P350">
            <v>0</v>
          </cell>
          <cell r="Q350">
            <v>0</v>
          </cell>
        </row>
        <row r="351">
          <cell r="B351" t="str">
            <v>NOV 2015</v>
          </cell>
          <cell r="C351" t="str">
            <v>LGCME671</v>
          </cell>
          <cell r="D351">
            <v>2</v>
          </cell>
          <cell r="E351">
            <v>0</v>
          </cell>
          <cell r="F351">
            <v>0</v>
          </cell>
          <cell r="G351">
            <v>0</v>
          </cell>
          <cell r="H351">
            <v>4366800</v>
          </cell>
          <cell r="O351">
            <v>0</v>
          </cell>
          <cell r="P351">
            <v>9450</v>
          </cell>
          <cell r="Q351">
            <v>0</v>
          </cell>
        </row>
        <row r="352">
          <cell r="B352" t="str">
            <v>NOV 2015</v>
          </cell>
          <cell r="C352" t="str">
            <v>LGCSR760</v>
          </cell>
          <cell r="D352">
            <v>0</v>
          </cell>
          <cell r="E352">
            <v>0</v>
          </cell>
          <cell r="F352">
            <v>0</v>
          </cell>
          <cell r="G352">
            <v>0</v>
          </cell>
          <cell r="H352">
            <v>0</v>
          </cell>
          <cell r="O352">
            <v>0</v>
          </cell>
          <cell r="P352">
            <v>0</v>
          </cell>
          <cell r="Q352">
            <v>0</v>
          </cell>
        </row>
        <row r="353">
          <cell r="B353" t="str">
            <v>NOV 2015</v>
          </cell>
          <cell r="C353" t="str">
            <v>LGCSR780</v>
          </cell>
          <cell r="D353">
            <v>0</v>
          </cell>
          <cell r="E353">
            <v>0</v>
          </cell>
          <cell r="F353">
            <v>0</v>
          </cell>
          <cell r="G353">
            <v>0</v>
          </cell>
          <cell r="H353">
            <v>0</v>
          </cell>
          <cell r="O353">
            <v>0</v>
          </cell>
          <cell r="P353">
            <v>0</v>
          </cell>
          <cell r="Q353">
            <v>0</v>
          </cell>
        </row>
        <row r="354">
          <cell r="B354" t="str">
            <v>NOV 2015</v>
          </cell>
          <cell r="C354" t="str">
            <v>LGINE599</v>
          </cell>
          <cell r="D354">
            <v>1</v>
          </cell>
          <cell r="E354">
            <v>0</v>
          </cell>
          <cell r="F354">
            <v>0</v>
          </cell>
          <cell r="G354">
            <v>0</v>
          </cell>
          <cell r="H354">
            <v>7436000</v>
          </cell>
          <cell r="O354">
            <v>0</v>
          </cell>
          <cell r="P354">
            <v>9520</v>
          </cell>
          <cell r="Q354">
            <v>0</v>
          </cell>
        </row>
        <row r="355">
          <cell r="B355" t="str">
            <v>NOV 2015</v>
          </cell>
          <cell r="C355" t="str">
            <v>LGINE643</v>
          </cell>
          <cell r="D355">
            <v>12</v>
          </cell>
          <cell r="E355">
            <v>0</v>
          </cell>
          <cell r="F355">
            <v>0</v>
          </cell>
          <cell r="G355">
            <v>0</v>
          </cell>
          <cell r="H355">
            <v>71794294</v>
          </cell>
          <cell r="O355">
            <v>148975</v>
          </cell>
          <cell r="P355">
            <v>144575</v>
          </cell>
          <cell r="Q355">
            <v>93494</v>
          </cell>
        </row>
        <row r="356">
          <cell r="B356" t="str">
            <v>NOV 2015</v>
          </cell>
          <cell r="C356" t="str">
            <v>LGINE661</v>
          </cell>
          <cell r="D356">
            <v>214</v>
          </cell>
          <cell r="E356">
            <v>0</v>
          </cell>
          <cell r="F356">
            <v>0</v>
          </cell>
          <cell r="G356">
            <v>0</v>
          </cell>
          <cell r="H356">
            <v>19146672</v>
          </cell>
          <cell r="O356">
            <v>0</v>
          </cell>
          <cell r="P356">
            <v>59196</v>
          </cell>
          <cell r="Q356">
            <v>0</v>
          </cell>
        </row>
        <row r="357">
          <cell r="B357" t="str">
            <v>NOV 2015</v>
          </cell>
          <cell r="C357" t="str">
            <v>LGINE663</v>
          </cell>
          <cell r="D357">
            <v>21</v>
          </cell>
          <cell r="E357">
            <v>0</v>
          </cell>
          <cell r="F357">
            <v>0</v>
          </cell>
          <cell r="G357">
            <v>0</v>
          </cell>
          <cell r="H357">
            <v>1056885</v>
          </cell>
          <cell r="O357">
            <v>0</v>
          </cell>
          <cell r="P357">
            <v>3776</v>
          </cell>
          <cell r="Q357">
            <v>0</v>
          </cell>
        </row>
        <row r="358">
          <cell r="B358" t="str">
            <v>NOV 2015</v>
          </cell>
          <cell r="C358" t="str">
            <v>LGINE691</v>
          </cell>
          <cell r="D358">
            <v>97</v>
          </cell>
          <cell r="E358">
            <v>0</v>
          </cell>
          <cell r="F358">
            <v>0</v>
          </cell>
          <cell r="G358">
            <v>0</v>
          </cell>
          <cell r="H358">
            <v>20853450</v>
          </cell>
          <cell r="O358">
            <v>53247</v>
          </cell>
          <cell r="P358">
            <v>49958</v>
          </cell>
          <cell r="Q358">
            <v>49046</v>
          </cell>
        </row>
        <row r="359">
          <cell r="B359" t="str">
            <v>NOV 2015</v>
          </cell>
          <cell r="C359" t="str">
            <v>LGINE693</v>
          </cell>
          <cell r="D359">
            <v>70</v>
          </cell>
          <cell r="E359">
            <v>0</v>
          </cell>
          <cell r="F359">
            <v>0</v>
          </cell>
          <cell r="G359">
            <v>0</v>
          </cell>
          <cell r="H359">
            <v>133272351</v>
          </cell>
          <cell r="O359">
            <v>322436</v>
          </cell>
          <cell r="P359">
            <v>292728</v>
          </cell>
          <cell r="Q359">
            <v>288839</v>
          </cell>
        </row>
        <row r="360">
          <cell r="B360" t="str">
            <v>NOV 2015</v>
          </cell>
          <cell r="C360" t="str">
            <v>LGMLE570</v>
          </cell>
          <cell r="D360">
            <v>0</v>
          </cell>
          <cell r="E360">
            <v>0</v>
          </cell>
          <cell r="F360">
            <v>0</v>
          </cell>
          <cell r="G360">
            <v>0</v>
          </cell>
          <cell r="H360">
            <v>0</v>
          </cell>
          <cell r="O360">
            <v>0</v>
          </cell>
          <cell r="P360">
            <v>0</v>
          </cell>
          <cell r="Q360">
            <v>0</v>
          </cell>
        </row>
        <row r="361">
          <cell r="B361" t="str">
            <v>NOV 2015</v>
          </cell>
          <cell r="C361" t="str">
            <v>LGMLE571</v>
          </cell>
          <cell r="D361">
            <v>156</v>
          </cell>
          <cell r="E361">
            <v>0</v>
          </cell>
          <cell r="F361">
            <v>0</v>
          </cell>
          <cell r="G361">
            <v>0</v>
          </cell>
          <cell r="H361">
            <v>314517</v>
          </cell>
          <cell r="O361">
            <v>0</v>
          </cell>
          <cell r="P361">
            <v>0</v>
          </cell>
          <cell r="Q361">
            <v>0</v>
          </cell>
        </row>
        <row r="362">
          <cell r="B362" t="str">
            <v>NOV 2015</v>
          </cell>
          <cell r="C362" t="str">
            <v>LGMLE572</v>
          </cell>
          <cell r="D362">
            <v>0</v>
          </cell>
          <cell r="E362">
            <v>0</v>
          </cell>
          <cell r="F362">
            <v>0</v>
          </cell>
          <cell r="G362">
            <v>0</v>
          </cell>
          <cell r="H362">
            <v>0</v>
          </cell>
          <cell r="O362">
            <v>0</v>
          </cell>
          <cell r="P362">
            <v>0</v>
          </cell>
          <cell r="Q362">
            <v>0</v>
          </cell>
        </row>
        <row r="363">
          <cell r="B363" t="str">
            <v>NOV 2015</v>
          </cell>
          <cell r="C363" t="str">
            <v>LGMLE573</v>
          </cell>
          <cell r="D363">
            <v>905</v>
          </cell>
          <cell r="E363">
            <v>0</v>
          </cell>
          <cell r="F363">
            <v>0</v>
          </cell>
          <cell r="G363">
            <v>0</v>
          </cell>
          <cell r="H363">
            <v>269918</v>
          </cell>
          <cell r="O363">
            <v>0</v>
          </cell>
          <cell r="P363">
            <v>0</v>
          </cell>
          <cell r="Q363">
            <v>0</v>
          </cell>
        </row>
        <row r="364">
          <cell r="B364" t="str">
            <v>NOV 2015</v>
          </cell>
          <cell r="C364" t="str">
            <v>LGMLE574</v>
          </cell>
          <cell r="D364">
            <v>0</v>
          </cell>
          <cell r="E364">
            <v>0</v>
          </cell>
          <cell r="F364">
            <v>0</v>
          </cell>
          <cell r="G364">
            <v>0</v>
          </cell>
          <cell r="H364">
            <v>0</v>
          </cell>
          <cell r="O364">
            <v>0</v>
          </cell>
          <cell r="P364">
            <v>0</v>
          </cell>
          <cell r="Q364">
            <v>0</v>
          </cell>
        </row>
        <row r="365">
          <cell r="B365" t="str">
            <v>NOV 2015</v>
          </cell>
          <cell r="C365" t="str">
            <v>LGRSE411</v>
          </cell>
          <cell r="D365">
            <v>0</v>
          </cell>
          <cell r="E365">
            <v>0</v>
          </cell>
          <cell r="F365">
            <v>0</v>
          </cell>
          <cell r="G365">
            <v>0</v>
          </cell>
          <cell r="H365">
            <v>0</v>
          </cell>
          <cell r="O365">
            <v>0</v>
          </cell>
          <cell r="P365">
            <v>0</v>
          </cell>
          <cell r="Q365">
            <v>0</v>
          </cell>
        </row>
        <row r="366">
          <cell r="B366" t="str">
            <v>NOV 2015</v>
          </cell>
          <cell r="C366" t="str">
            <v>LGRSE511</v>
          </cell>
          <cell r="D366">
            <v>361197</v>
          </cell>
          <cell r="E366">
            <v>0</v>
          </cell>
          <cell r="F366">
            <v>0</v>
          </cell>
          <cell r="G366">
            <v>0</v>
          </cell>
          <cell r="H366">
            <v>257447544</v>
          </cell>
          <cell r="O366">
            <v>0</v>
          </cell>
          <cell r="P366">
            <v>0</v>
          </cell>
          <cell r="Q366">
            <v>0</v>
          </cell>
        </row>
        <row r="367">
          <cell r="B367" t="str">
            <v>NOV 2015</v>
          </cell>
          <cell r="C367" t="str">
            <v>LGRSE519</v>
          </cell>
          <cell r="D367">
            <v>0</v>
          </cell>
          <cell r="E367">
            <v>0</v>
          </cell>
          <cell r="F367">
            <v>0</v>
          </cell>
          <cell r="G367">
            <v>0</v>
          </cell>
          <cell r="H367">
            <v>0</v>
          </cell>
          <cell r="O367">
            <v>0</v>
          </cell>
          <cell r="P367">
            <v>0</v>
          </cell>
          <cell r="Q367">
            <v>0</v>
          </cell>
        </row>
        <row r="368">
          <cell r="B368" t="str">
            <v>NOV 2015</v>
          </cell>
          <cell r="C368" t="str">
            <v>LGRSE540</v>
          </cell>
          <cell r="D368">
            <v>0</v>
          </cell>
          <cell r="E368">
            <v>0</v>
          </cell>
          <cell r="F368">
            <v>0</v>
          </cell>
          <cell r="G368">
            <v>0</v>
          </cell>
          <cell r="H368">
            <v>0</v>
          </cell>
          <cell r="O368">
            <v>0</v>
          </cell>
          <cell r="P368">
            <v>0</v>
          </cell>
          <cell r="Q368">
            <v>0</v>
          </cell>
        </row>
        <row r="369">
          <cell r="B369" t="str">
            <v>NOV 2015</v>
          </cell>
          <cell r="C369" t="str">
            <v>LGRSE543</v>
          </cell>
          <cell r="D369">
            <v>20</v>
          </cell>
          <cell r="E369">
            <v>14974</v>
          </cell>
          <cell r="F369">
            <v>8705</v>
          </cell>
          <cell r="G369">
            <v>5454</v>
          </cell>
          <cell r="H369">
            <v>29133</v>
          </cell>
          <cell r="O369">
            <v>0</v>
          </cell>
          <cell r="P369">
            <v>0</v>
          </cell>
          <cell r="Q369">
            <v>0</v>
          </cell>
        </row>
        <row r="370">
          <cell r="B370" t="str">
            <v>NOV 2015</v>
          </cell>
          <cell r="C370" t="str">
            <v>LGRSE547</v>
          </cell>
          <cell r="D370">
            <v>0</v>
          </cell>
          <cell r="E370">
            <v>0</v>
          </cell>
          <cell r="F370">
            <v>0</v>
          </cell>
          <cell r="G370">
            <v>0</v>
          </cell>
          <cell r="H370">
            <v>0</v>
          </cell>
          <cell r="O370">
            <v>0</v>
          </cell>
          <cell r="P370">
            <v>0</v>
          </cell>
          <cell r="Q370">
            <v>0</v>
          </cell>
        </row>
        <row r="371">
          <cell r="B371" t="str">
            <v>NOV 2015</v>
          </cell>
          <cell r="C371" t="str">
            <v>Result</v>
          </cell>
        </row>
        <row r="372">
          <cell r="B372" t="str">
            <v>DEC 2015</v>
          </cell>
          <cell r="C372" t="str">
            <v>LGCME451</v>
          </cell>
          <cell r="D372">
            <v>0</v>
          </cell>
          <cell r="E372">
            <v>0</v>
          </cell>
          <cell r="F372">
            <v>0</v>
          </cell>
          <cell r="G372">
            <v>0</v>
          </cell>
          <cell r="H372">
            <v>0</v>
          </cell>
          <cell r="O372">
            <v>0</v>
          </cell>
          <cell r="P372">
            <v>0</v>
          </cell>
          <cell r="Q372">
            <v>0</v>
          </cell>
        </row>
        <row r="373">
          <cell r="B373" t="str">
            <v>DEC 2015</v>
          </cell>
          <cell r="C373" t="str">
            <v>LGCME551</v>
          </cell>
          <cell r="D373">
            <v>28209</v>
          </cell>
          <cell r="E373">
            <v>0</v>
          </cell>
          <cell r="F373">
            <v>0</v>
          </cell>
          <cell r="G373">
            <v>0</v>
          </cell>
          <cell r="H373">
            <v>30941036</v>
          </cell>
          <cell r="O373">
            <v>0</v>
          </cell>
          <cell r="P373">
            <v>0</v>
          </cell>
          <cell r="Q373">
            <v>0</v>
          </cell>
        </row>
        <row r="374">
          <cell r="B374" t="str">
            <v>DEC 2015</v>
          </cell>
          <cell r="C374" t="str">
            <v>LGCME551UM</v>
          </cell>
          <cell r="D374">
            <v>0</v>
          </cell>
          <cell r="E374">
            <v>0</v>
          </cell>
          <cell r="F374">
            <v>0</v>
          </cell>
          <cell r="G374">
            <v>0</v>
          </cell>
          <cell r="H374">
            <v>0</v>
          </cell>
          <cell r="O374">
            <v>0</v>
          </cell>
          <cell r="P374">
            <v>0</v>
          </cell>
          <cell r="Q374">
            <v>0</v>
          </cell>
        </row>
        <row r="375">
          <cell r="B375" t="str">
            <v>DEC 2015</v>
          </cell>
          <cell r="C375" t="str">
            <v>LGCME552</v>
          </cell>
          <cell r="D375">
            <v>0</v>
          </cell>
          <cell r="E375">
            <v>0</v>
          </cell>
          <cell r="F375">
            <v>0</v>
          </cell>
          <cell r="G375">
            <v>0</v>
          </cell>
          <cell r="H375">
            <v>0</v>
          </cell>
          <cell r="O375">
            <v>0</v>
          </cell>
          <cell r="P375">
            <v>0</v>
          </cell>
          <cell r="Q375">
            <v>0</v>
          </cell>
        </row>
        <row r="376">
          <cell r="B376" t="str">
            <v>DEC 2015</v>
          </cell>
          <cell r="C376" t="str">
            <v>LGCME557</v>
          </cell>
          <cell r="D376">
            <v>0</v>
          </cell>
          <cell r="E376">
            <v>0</v>
          </cell>
          <cell r="F376">
            <v>0</v>
          </cell>
          <cell r="G376">
            <v>0</v>
          </cell>
          <cell r="H376">
            <v>0</v>
          </cell>
          <cell r="O376">
            <v>0</v>
          </cell>
          <cell r="P376">
            <v>0</v>
          </cell>
          <cell r="Q376">
            <v>0</v>
          </cell>
        </row>
        <row r="377">
          <cell r="B377" t="str">
            <v>DEC 2015</v>
          </cell>
          <cell r="C377" t="str">
            <v>LGCME561</v>
          </cell>
          <cell r="D377">
            <v>2579</v>
          </cell>
          <cell r="E377">
            <v>0</v>
          </cell>
          <cell r="F377">
            <v>0</v>
          </cell>
          <cell r="G377">
            <v>0</v>
          </cell>
          <cell r="H377">
            <v>135751631</v>
          </cell>
          <cell r="O377">
            <v>0</v>
          </cell>
          <cell r="P377">
            <v>333856</v>
          </cell>
          <cell r="Q377">
            <v>0</v>
          </cell>
        </row>
        <row r="378">
          <cell r="B378" t="str">
            <v>DEC 2015</v>
          </cell>
          <cell r="C378" t="str">
            <v>LGCME563</v>
          </cell>
          <cell r="D378">
            <v>52</v>
          </cell>
          <cell r="E378">
            <v>0</v>
          </cell>
          <cell r="F378">
            <v>0</v>
          </cell>
          <cell r="G378">
            <v>0</v>
          </cell>
          <cell r="H378">
            <v>11973010</v>
          </cell>
          <cell r="O378">
            <v>0</v>
          </cell>
          <cell r="P378">
            <v>28734</v>
          </cell>
          <cell r="Q378">
            <v>0</v>
          </cell>
        </row>
        <row r="379">
          <cell r="B379" t="str">
            <v>DEC 2015</v>
          </cell>
          <cell r="C379" t="str">
            <v>LGCME567</v>
          </cell>
          <cell r="D379">
            <v>0</v>
          </cell>
          <cell r="E379">
            <v>0</v>
          </cell>
          <cell r="F379">
            <v>0</v>
          </cell>
          <cell r="G379">
            <v>0</v>
          </cell>
          <cell r="H379">
            <v>0</v>
          </cell>
          <cell r="O379">
            <v>0</v>
          </cell>
          <cell r="P379">
            <v>0</v>
          </cell>
          <cell r="Q379">
            <v>0</v>
          </cell>
        </row>
        <row r="380">
          <cell r="B380" t="str">
            <v>DEC 2015</v>
          </cell>
          <cell r="C380" t="str">
            <v>LGCME591</v>
          </cell>
          <cell r="D380">
            <v>221</v>
          </cell>
          <cell r="E380">
            <v>0</v>
          </cell>
          <cell r="F380">
            <v>0</v>
          </cell>
          <cell r="G380">
            <v>0</v>
          </cell>
          <cell r="H380">
            <v>63933591</v>
          </cell>
          <cell r="O380">
            <v>139785</v>
          </cell>
          <cell r="P380">
            <v>130277</v>
          </cell>
          <cell r="Q380">
            <v>127194</v>
          </cell>
        </row>
        <row r="381">
          <cell r="B381" t="str">
            <v>DEC 2015</v>
          </cell>
          <cell r="C381" t="str">
            <v>LGCME593</v>
          </cell>
          <cell r="D381">
            <v>39</v>
          </cell>
          <cell r="E381">
            <v>0</v>
          </cell>
          <cell r="F381">
            <v>0</v>
          </cell>
          <cell r="G381">
            <v>0</v>
          </cell>
          <cell r="H381">
            <v>29882690</v>
          </cell>
          <cell r="O381">
            <v>72450</v>
          </cell>
          <cell r="P381">
            <v>66090</v>
          </cell>
          <cell r="Q381">
            <v>62924</v>
          </cell>
        </row>
        <row r="382">
          <cell r="B382" t="str">
            <v>DEC 2015</v>
          </cell>
          <cell r="C382" t="str">
            <v>LGCME651</v>
          </cell>
          <cell r="D382">
            <v>16380</v>
          </cell>
          <cell r="E382">
            <v>0</v>
          </cell>
          <cell r="F382">
            <v>0</v>
          </cell>
          <cell r="G382">
            <v>0</v>
          </cell>
          <cell r="H382">
            <v>78915468</v>
          </cell>
          <cell r="O382">
            <v>192223</v>
          </cell>
          <cell r="P382">
            <v>0</v>
          </cell>
          <cell r="Q382">
            <v>0</v>
          </cell>
        </row>
        <row r="383">
          <cell r="B383" t="str">
            <v>DEC 2015</v>
          </cell>
          <cell r="C383" t="str">
            <v>LGCME652</v>
          </cell>
          <cell r="D383">
            <v>0</v>
          </cell>
          <cell r="E383">
            <v>0</v>
          </cell>
          <cell r="F383">
            <v>0</v>
          </cell>
          <cell r="G383">
            <v>0</v>
          </cell>
          <cell r="H383">
            <v>0</v>
          </cell>
          <cell r="O383">
            <v>0</v>
          </cell>
          <cell r="P383">
            <v>0</v>
          </cell>
          <cell r="Q383">
            <v>0</v>
          </cell>
        </row>
        <row r="384">
          <cell r="B384" t="str">
            <v>DEC 2015</v>
          </cell>
          <cell r="C384" t="str">
            <v>LGCME657</v>
          </cell>
          <cell r="D384">
            <v>0</v>
          </cell>
          <cell r="E384">
            <v>0</v>
          </cell>
          <cell r="F384">
            <v>0</v>
          </cell>
          <cell r="G384">
            <v>0</v>
          </cell>
          <cell r="H384">
            <v>0</v>
          </cell>
          <cell r="O384">
            <v>0</v>
          </cell>
          <cell r="P384">
            <v>0</v>
          </cell>
          <cell r="Q384">
            <v>0</v>
          </cell>
        </row>
        <row r="385">
          <cell r="B385" t="str">
            <v>DEC 2015</v>
          </cell>
          <cell r="C385" t="str">
            <v>LGCME671</v>
          </cell>
          <cell r="D385">
            <v>2</v>
          </cell>
          <cell r="E385">
            <v>0</v>
          </cell>
          <cell r="F385">
            <v>0</v>
          </cell>
          <cell r="G385">
            <v>0</v>
          </cell>
          <cell r="H385">
            <v>4790100</v>
          </cell>
          <cell r="O385">
            <v>0</v>
          </cell>
          <cell r="P385">
            <v>9472</v>
          </cell>
          <cell r="Q385">
            <v>0</v>
          </cell>
        </row>
        <row r="386">
          <cell r="B386" t="str">
            <v>DEC 2015</v>
          </cell>
          <cell r="C386" t="str">
            <v>LGCSR760</v>
          </cell>
          <cell r="D386">
            <v>0</v>
          </cell>
          <cell r="E386">
            <v>0</v>
          </cell>
          <cell r="F386">
            <v>0</v>
          </cell>
          <cell r="G386">
            <v>0</v>
          </cell>
          <cell r="H386">
            <v>0</v>
          </cell>
          <cell r="O386">
            <v>0</v>
          </cell>
          <cell r="P386">
            <v>0</v>
          </cell>
          <cell r="Q386">
            <v>0</v>
          </cell>
        </row>
        <row r="387">
          <cell r="B387" t="str">
            <v>DEC 2015</v>
          </cell>
          <cell r="C387" t="str">
            <v>LGCSR780</v>
          </cell>
          <cell r="D387">
            <v>0</v>
          </cell>
          <cell r="E387">
            <v>0</v>
          </cell>
          <cell r="F387">
            <v>0</v>
          </cell>
          <cell r="G387">
            <v>0</v>
          </cell>
          <cell r="H387">
            <v>0</v>
          </cell>
          <cell r="O387">
            <v>0</v>
          </cell>
          <cell r="P387">
            <v>0</v>
          </cell>
          <cell r="Q387">
            <v>0</v>
          </cell>
        </row>
        <row r="388">
          <cell r="B388" t="str">
            <v>DEC 2015</v>
          </cell>
          <cell r="C388" t="str">
            <v>LGINE599</v>
          </cell>
          <cell r="D388">
            <v>1</v>
          </cell>
          <cell r="E388">
            <v>0</v>
          </cell>
          <cell r="F388">
            <v>0</v>
          </cell>
          <cell r="G388">
            <v>0</v>
          </cell>
          <cell r="H388">
            <v>9529000</v>
          </cell>
          <cell r="O388">
            <v>0</v>
          </cell>
          <cell r="P388">
            <v>12334</v>
          </cell>
          <cell r="Q388">
            <v>0</v>
          </cell>
        </row>
        <row r="389">
          <cell r="B389" t="str">
            <v>DEC 2015</v>
          </cell>
          <cell r="C389" t="str">
            <v>LGINE643</v>
          </cell>
          <cell r="D389">
            <v>12</v>
          </cell>
          <cell r="E389">
            <v>0</v>
          </cell>
          <cell r="F389">
            <v>0</v>
          </cell>
          <cell r="G389">
            <v>0</v>
          </cell>
          <cell r="H389">
            <v>76289433</v>
          </cell>
          <cell r="O389">
            <v>155352</v>
          </cell>
          <cell r="P389">
            <v>147641</v>
          </cell>
          <cell r="Q389">
            <v>99948</v>
          </cell>
        </row>
        <row r="390">
          <cell r="B390" t="str">
            <v>DEC 2015</v>
          </cell>
          <cell r="C390" t="str">
            <v>LGINE661</v>
          </cell>
          <cell r="D390">
            <v>214</v>
          </cell>
          <cell r="E390">
            <v>0</v>
          </cell>
          <cell r="F390">
            <v>0</v>
          </cell>
          <cell r="G390">
            <v>0</v>
          </cell>
          <cell r="H390">
            <v>18982755</v>
          </cell>
          <cell r="O390">
            <v>0</v>
          </cell>
          <cell r="P390">
            <v>59075</v>
          </cell>
          <cell r="Q390">
            <v>0</v>
          </cell>
        </row>
        <row r="391">
          <cell r="B391" t="str">
            <v>DEC 2015</v>
          </cell>
          <cell r="C391" t="str">
            <v>LGINE663</v>
          </cell>
          <cell r="D391">
            <v>21</v>
          </cell>
          <cell r="E391">
            <v>0</v>
          </cell>
          <cell r="F391">
            <v>0</v>
          </cell>
          <cell r="G391">
            <v>0</v>
          </cell>
          <cell r="H391">
            <v>1085432</v>
          </cell>
          <cell r="O391">
            <v>0</v>
          </cell>
          <cell r="P391">
            <v>3901</v>
          </cell>
          <cell r="Q391">
            <v>0</v>
          </cell>
        </row>
        <row r="392">
          <cell r="B392" t="str">
            <v>DEC 2015</v>
          </cell>
          <cell r="C392" t="str">
            <v>LGINE691</v>
          </cell>
          <cell r="D392">
            <v>98</v>
          </cell>
          <cell r="E392">
            <v>0</v>
          </cell>
          <cell r="F392">
            <v>0</v>
          </cell>
          <cell r="G392">
            <v>0</v>
          </cell>
          <cell r="H392">
            <v>20700534</v>
          </cell>
          <cell r="O392">
            <v>51840</v>
          </cell>
          <cell r="P392">
            <v>48096</v>
          </cell>
          <cell r="Q392">
            <v>46727</v>
          </cell>
        </row>
        <row r="393">
          <cell r="B393" t="str">
            <v>DEC 2015</v>
          </cell>
          <cell r="C393" t="str">
            <v>LGINE693</v>
          </cell>
          <cell r="D393">
            <v>70</v>
          </cell>
          <cell r="E393">
            <v>0</v>
          </cell>
          <cell r="F393">
            <v>0</v>
          </cell>
          <cell r="G393">
            <v>0</v>
          </cell>
          <cell r="H393">
            <v>136872012</v>
          </cell>
          <cell r="O393">
            <v>333146</v>
          </cell>
          <cell r="P393">
            <v>302451</v>
          </cell>
          <cell r="Q393">
            <v>298433</v>
          </cell>
        </row>
        <row r="394">
          <cell r="B394" t="str">
            <v>DEC 2015</v>
          </cell>
          <cell r="C394" t="str">
            <v>LGMLE570</v>
          </cell>
          <cell r="D394">
            <v>0</v>
          </cell>
          <cell r="E394">
            <v>0</v>
          </cell>
          <cell r="F394">
            <v>0</v>
          </cell>
          <cell r="G394">
            <v>0</v>
          </cell>
          <cell r="H394">
            <v>0</v>
          </cell>
          <cell r="O394">
            <v>0</v>
          </cell>
          <cell r="P394">
            <v>0</v>
          </cell>
          <cell r="Q394">
            <v>0</v>
          </cell>
        </row>
        <row r="395">
          <cell r="B395" t="str">
            <v>DEC 2015</v>
          </cell>
          <cell r="C395" t="str">
            <v>LGMLE571</v>
          </cell>
          <cell r="D395">
            <v>156</v>
          </cell>
          <cell r="E395">
            <v>0</v>
          </cell>
          <cell r="F395">
            <v>0</v>
          </cell>
          <cell r="G395">
            <v>0</v>
          </cell>
          <cell r="H395">
            <v>359458</v>
          </cell>
          <cell r="O395">
            <v>0</v>
          </cell>
          <cell r="P395">
            <v>0</v>
          </cell>
          <cell r="Q395">
            <v>0</v>
          </cell>
        </row>
        <row r="396">
          <cell r="B396" t="str">
            <v>DEC 2015</v>
          </cell>
          <cell r="C396" t="str">
            <v>LGMLE572</v>
          </cell>
          <cell r="D396">
            <v>0</v>
          </cell>
          <cell r="E396">
            <v>0</v>
          </cell>
          <cell r="F396">
            <v>0</v>
          </cell>
          <cell r="G396">
            <v>0</v>
          </cell>
          <cell r="H396">
            <v>0</v>
          </cell>
          <cell r="O396">
            <v>0</v>
          </cell>
          <cell r="P396">
            <v>0</v>
          </cell>
          <cell r="Q396">
            <v>0</v>
          </cell>
        </row>
        <row r="397">
          <cell r="B397" t="str">
            <v>DEC 2015</v>
          </cell>
          <cell r="C397" t="str">
            <v>LGMLE573</v>
          </cell>
          <cell r="D397">
            <v>905</v>
          </cell>
          <cell r="E397">
            <v>0</v>
          </cell>
          <cell r="F397">
            <v>0</v>
          </cell>
          <cell r="G397">
            <v>0</v>
          </cell>
          <cell r="H397">
            <v>295991</v>
          </cell>
          <cell r="O397">
            <v>0</v>
          </cell>
          <cell r="P397">
            <v>0</v>
          </cell>
          <cell r="Q397">
            <v>0</v>
          </cell>
        </row>
        <row r="398">
          <cell r="B398" t="str">
            <v>DEC 2015</v>
          </cell>
          <cell r="C398" t="str">
            <v>LGMLE574</v>
          </cell>
          <cell r="D398">
            <v>0</v>
          </cell>
          <cell r="E398">
            <v>0</v>
          </cell>
          <cell r="F398">
            <v>0</v>
          </cell>
          <cell r="G398">
            <v>0</v>
          </cell>
          <cell r="H398">
            <v>0</v>
          </cell>
          <cell r="O398">
            <v>0</v>
          </cell>
          <cell r="P398">
            <v>0</v>
          </cell>
          <cell r="Q398">
            <v>0</v>
          </cell>
        </row>
        <row r="399">
          <cell r="B399" t="str">
            <v>DEC 2015</v>
          </cell>
          <cell r="C399" t="str">
            <v>LGRSE411</v>
          </cell>
          <cell r="D399">
            <v>0</v>
          </cell>
          <cell r="E399">
            <v>0</v>
          </cell>
          <cell r="F399">
            <v>0</v>
          </cell>
          <cell r="G399">
            <v>0</v>
          </cell>
          <cell r="H399">
            <v>0</v>
          </cell>
          <cell r="O399">
            <v>0</v>
          </cell>
          <cell r="P399">
            <v>0</v>
          </cell>
          <cell r="Q399">
            <v>0</v>
          </cell>
        </row>
        <row r="400">
          <cell r="B400" t="str">
            <v>DEC 2015</v>
          </cell>
          <cell r="C400" t="str">
            <v>LGRSE511</v>
          </cell>
          <cell r="D400">
            <v>361403</v>
          </cell>
          <cell r="E400">
            <v>0</v>
          </cell>
          <cell r="F400">
            <v>0</v>
          </cell>
          <cell r="G400">
            <v>0</v>
          </cell>
          <cell r="H400">
            <v>335470235</v>
          </cell>
          <cell r="O400">
            <v>0</v>
          </cell>
          <cell r="P400">
            <v>0</v>
          </cell>
          <cell r="Q400">
            <v>0</v>
          </cell>
        </row>
        <row r="401">
          <cell r="B401" t="str">
            <v>DEC 2015</v>
          </cell>
          <cell r="C401" t="str">
            <v>LGRSE519</v>
          </cell>
          <cell r="D401">
            <v>0</v>
          </cell>
          <cell r="E401">
            <v>0</v>
          </cell>
          <cell r="F401">
            <v>0</v>
          </cell>
          <cell r="G401">
            <v>0</v>
          </cell>
          <cell r="H401">
            <v>0</v>
          </cell>
          <cell r="O401">
            <v>0</v>
          </cell>
          <cell r="P401">
            <v>0</v>
          </cell>
          <cell r="Q401">
            <v>0</v>
          </cell>
        </row>
        <row r="402">
          <cell r="B402" t="str">
            <v>DEC 2015</v>
          </cell>
          <cell r="C402" t="str">
            <v>LGRSE540</v>
          </cell>
          <cell r="D402">
            <v>0</v>
          </cell>
          <cell r="E402">
            <v>0</v>
          </cell>
          <cell r="F402">
            <v>0</v>
          </cell>
          <cell r="G402">
            <v>0</v>
          </cell>
          <cell r="H402">
            <v>0</v>
          </cell>
          <cell r="O402">
            <v>0</v>
          </cell>
          <cell r="P402">
            <v>0</v>
          </cell>
          <cell r="Q402">
            <v>0</v>
          </cell>
        </row>
        <row r="403">
          <cell r="B403" t="str">
            <v>DEC 2015</v>
          </cell>
          <cell r="C403" t="str">
            <v>LGRSE543</v>
          </cell>
          <cell r="D403">
            <v>20</v>
          </cell>
          <cell r="E403">
            <v>12835</v>
          </cell>
          <cell r="F403">
            <v>7619</v>
          </cell>
          <cell r="G403">
            <v>5042</v>
          </cell>
          <cell r="H403">
            <v>25496</v>
          </cell>
          <cell r="O403">
            <v>0</v>
          </cell>
          <cell r="P403">
            <v>0</v>
          </cell>
          <cell r="Q403">
            <v>0</v>
          </cell>
        </row>
        <row r="404">
          <cell r="B404" t="str">
            <v>DEC 2015</v>
          </cell>
          <cell r="C404" t="str">
            <v>Result</v>
          </cell>
        </row>
      </sheetData>
      <sheetData sheetId="21">
        <row r="3">
          <cell r="A3" t="str">
            <v>JAN 2016</v>
          </cell>
          <cell r="B3" t="str">
            <v>RLS</v>
          </cell>
          <cell r="C3" t="str">
            <v>LE_900POLE</v>
          </cell>
          <cell r="J3">
            <v>1675</v>
          </cell>
        </row>
        <row r="4">
          <cell r="A4" t="str">
            <v>JAN 2016</v>
          </cell>
          <cell r="B4" t="str">
            <v xml:space="preserve">LS </v>
          </cell>
          <cell r="C4" t="str">
            <v>LE_900POLE</v>
          </cell>
          <cell r="J4">
            <v>5267</v>
          </cell>
        </row>
        <row r="5">
          <cell r="A5" t="str">
            <v>JAN 2016</v>
          </cell>
          <cell r="B5" t="str">
            <v>RLS</v>
          </cell>
          <cell r="C5" t="str">
            <v>LE_901POLE</v>
          </cell>
          <cell r="J5">
            <v>157</v>
          </cell>
        </row>
        <row r="6">
          <cell r="A6" t="str">
            <v>JAN 2016</v>
          </cell>
          <cell r="B6" t="str">
            <v xml:space="preserve">LS </v>
          </cell>
          <cell r="C6" t="str">
            <v>LE_901POLE</v>
          </cell>
          <cell r="J6">
            <v>0</v>
          </cell>
        </row>
        <row r="7">
          <cell r="A7" t="str">
            <v>JAN 2016</v>
          </cell>
          <cell r="B7" t="str">
            <v>RLS</v>
          </cell>
          <cell r="C7" t="str">
            <v>LE_902POLE</v>
          </cell>
          <cell r="J7">
            <v>277</v>
          </cell>
        </row>
        <row r="8">
          <cell r="A8" t="str">
            <v>JAN 2016</v>
          </cell>
          <cell r="B8" t="str">
            <v xml:space="preserve">LS </v>
          </cell>
          <cell r="C8" t="str">
            <v>LE_902POLE</v>
          </cell>
          <cell r="J8">
            <v>3</v>
          </cell>
        </row>
        <row r="9">
          <cell r="A9" t="str">
            <v>JAN 2016</v>
          </cell>
          <cell r="B9" t="str">
            <v>RLS</v>
          </cell>
          <cell r="C9" t="str">
            <v>LE_950BASE</v>
          </cell>
          <cell r="J9">
            <v>32</v>
          </cell>
        </row>
        <row r="10">
          <cell r="A10" t="str">
            <v>JAN 2016</v>
          </cell>
          <cell r="B10" t="str">
            <v xml:space="preserve">LS </v>
          </cell>
          <cell r="C10" t="str">
            <v>LE_950BASE</v>
          </cell>
          <cell r="J10">
            <v>10</v>
          </cell>
        </row>
        <row r="11">
          <cell r="A11" t="str">
            <v>JAN 2016</v>
          </cell>
          <cell r="B11" t="str">
            <v>RLS</v>
          </cell>
          <cell r="C11" t="str">
            <v>LE_951BASE</v>
          </cell>
          <cell r="J11">
            <v>175</v>
          </cell>
        </row>
        <row r="12">
          <cell r="A12" t="str">
            <v>JAN 2016</v>
          </cell>
          <cell r="B12" t="str">
            <v xml:space="preserve">LS </v>
          </cell>
          <cell r="C12" t="str">
            <v>LE_951BASE</v>
          </cell>
          <cell r="J12">
            <v>3</v>
          </cell>
        </row>
        <row r="13">
          <cell r="A13" t="str">
            <v>JAN 2016</v>
          </cell>
          <cell r="B13" t="str">
            <v>RLS</v>
          </cell>
          <cell r="C13" t="str">
            <v>LE_956BASE</v>
          </cell>
          <cell r="J13">
            <v>179</v>
          </cell>
        </row>
        <row r="14">
          <cell r="A14" t="str">
            <v>JAN 2016</v>
          </cell>
          <cell r="B14" t="str">
            <v xml:space="preserve">LS </v>
          </cell>
          <cell r="C14" t="str">
            <v>LE_956BASE</v>
          </cell>
          <cell r="J14">
            <v>56</v>
          </cell>
        </row>
        <row r="15">
          <cell r="A15" t="str">
            <v>JAN 2016</v>
          </cell>
          <cell r="B15" t="str">
            <v>RLS</v>
          </cell>
          <cell r="C15" t="str">
            <v>LE_956BASE</v>
          </cell>
          <cell r="J15">
            <v>53</v>
          </cell>
        </row>
        <row r="16">
          <cell r="A16" t="str">
            <v>JAN 2016</v>
          </cell>
          <cell r="B16" t="str">
            <v xml:space="preserve">LS </v>
          </cell>
          <cell r="C16" t="str">
            <v>LE_956BASE</v>
          </cell>
          <cell r="J16">
            <v>112</v>
          </cell>
        </row>
        <row r="17">
          <cell r="A17" t="str">
            <v>JAN 2016</v>
          </cell>
          <cell r="B17" t="str">
            <v>RLS</v>
          </cell>
          <cell r="C17" t="str">
            <v>LE_950BASE</v>
          </cell>
          <cell r="J17">
            <v>45</v>
          </cell>
        </row>
        <row r="18">
          <cell r="A18" t="str">
            <v>JAN 2016</v>
          </cell>
          <cell r="B18" t="str">
            <v xml:space="preserve">LS </v>
          </cell>
          <cell r="C18" t="str">
            <v>LE_950BASE</v>
          </cell>
          <cell r="J18">
            <v>3</v>
          </cell>
        </row>
        <row r="19">
          <cell r="A19" t="str">
            <v>JAN 2016</v>
          </cell>
          <cell r="B19" t="str">
            <v>RLS</v>
          </cell>
          <cell r="C19" t="str">
            <v>LE_951BASE</v>
          </cell>
          <cell r="J19">
            <v>20</v>
          </cell>
        </row>
        <row r="20">
          <cell r="A20" t="str">
            <v>JAN 2016</v>
          </cell>
          <cell r="B20" t="str">
            <v xml:space="preserve">LS </v>
          </cell>
          <cell r="C20" t="str">
            <v>LE_951BASE</v>
          </cell>
          <cell r="J20">
            <v>66</v>
          </cell>
        </row>
        <row r="21">
          <cell r="A21" t="str">
            <v>JAN 2016</v>
          </cell>
          <cell r="B21" t="str">
            <v>RLS</v>
          </cell>
          <cell r="C21" t="str">
            <v>LE_956BASE</v>
          </cell>
          <cell r="J21">
            <v>1</v>
          </cell>
        </row>
        <row r="22">
          <cell r="A22" t="str">
            <v>JAN 2016</v>
          </cell>
          <cell r="B22" t="str">
            <v xml:space="preserve">LS </v>
          </cell>
          <cell r="C22" t="str">
            <v>LE_956BASE</v>
          </cell>
          <cell r="J22">
            <v>79</v>
          </cell>
        </row>
        <row r="23">
          <cell r="A23" t="str">
            <v>JAN 2016</v>
          </cell>
          <cell r="B23" t="str">
            <v>RLS</v>
          </cell>
          <cell r="C23" t="str">
            <v>LE_956BASE</v>
          </cell>
          <cell r="J23">
            <v>6</v>
          </cell>
        </row>
        <row r="24">
          <cell r="A24" t="str">
            <v>JAN 2016</v>
          </cell>
          <cell r="B24" t="str">
            <v xml:space="preserve">LS </v>
          </cell>
          <cell r="C24" t="str">
            <v>LE_956BASE</v>
          </cell>
          <cell r="J24">
            <v>60</v>
          </cell>
        </row>
        <row r="25">
          <cell r="A25" t="str">
            <v>JAN 2016</v>
          </cell>
          <cell r="B25" t="str">
            <v>RLS</v>
          </cell>
          <cell r="C25" t="str">
            <v>LE_958POLE</v>
          </cell>
          <cell r="J25">
            <v>37</v>
          </cell>
        </row>
        <row r="26">
          <cell r="A26" t="str">
            <v>JAN 2016</v>
          </cell>
          <cell r="B26" t="str">
            <v xml:space="preserve">LS </v>
          </cell>
          <cell r="C26" t="str">
            <v>LE_958POLE</v>
          </cell>
          <cell r="J26">
            <v>425</v>
          </cell>
        </row>
        <row r="27">
          <cell r="A27" t="str">
            <v>JAN 2016</v>
          </cell>
          <cell r="C27" t="str">
            <v>Result</v>
          </cell>
          <cell r="I27">
            <v>0</v>
          </cell>
          <cell r="J27">
            <v>8741</v>
          </cell>
        </row>
        <row r="28">
          <cell r="A28" t="str">
            <v>FEB 2016</v>
          </cell>
          <cell r="B28" t="str">
            <v>RLS</v>
          </cell>
          <cell r="C28" t="str">
            <v>LE_900POLE</v>
          </cell>
          <cell r="J28">
            <v>1660</v>
          </cell>
        </row>
        <row r="29">
          <cell r="A29" t="str">
            <v>FEB 2016</v>
          </cell>
          <cell r="B29" t="str">
            <v xml:space="preserve">LS </v>
          </cell>
          <cell r="C29" t="str">
            <v>LE_900POLE</v>
          </cell>
          <cell r="J29">
            <v>5183</v>
          </cell>
        </row>
        <row r="30">
          <cell r="A30" t="str">
            <v>FEB 2016</v>
          </cell>
          <cell r="B30" t="str">
            <v>RLS</v>
          </cell>
          <cell r="C30" t="str">
            <v>LE_901POLE</v>
          </cell>
          <cell r="J30">
            <v>157</v>
          </cell>
        </row>
        <row r="31">
          <cell r="A31" t="str">
            <v>FEB 2016</v>
          </cell>
          <cell r="B31" t="str">
            <v xml:space="preserve">LS </v>
          </cell>
          <cell r="C31" t="str">
            <v>LE_901POLE</v>
          </cell>
          <cell r="J31">
            <v>0</v>
          </cell>
        </row>
        <row r="32">
          <cell r="A32" t="str">
            <v>FEB 2016</v>
          </cell>
          <cell r="B32" t="str">
            <v>RLS</v>
          </cell>
          <cell r="C32" t="str">
            <v>LE_902POLE</v>
          </cell>
          <cell r="J32">
            <v>277</v>
          </cell>
        </row>
        <row r="33">
          <cell r="A33" t="str">
            <v>FEB 2016</v>
          </cell>
          <cell r="B33" t="str">
            <v xml:space="preserve">LS </v>
          </cell>
          <cell r="C33" t="str">
            <v>LE_902POLE</v>
          </cell>
          <cell r="J33">
            <v>3</v>
          </cell>
        </row>
        <row r="34">
          <cell r="A34" t="str">
            <v>FEB 2016</v>
          </cell>
          <cell r="B34" t="str">
            <v>RLS</v>
          </cell>
          <cell r="C34" t="str">
            <v>LE_950BASE</v>
          </cell>
          <cell r="J34">
            <v>32</v>
          </cell>
        </row>
        <row r="35">
          <cell r="A35" t="str">
            <v>FEB 2016</v>
          </cell>
          <cell r="B35" t="str">
            <v xml:space="preserve">LS </v>
          </cell>
          <cell r="C35" t="str">
            <v>LE_950BASE</v>
          </cell>
          <cell r="J35">
            <v>10</v>
          </cell>
        </row>
        <row r="36">
          <cell r="A36" t="str">
            <v>FEB 2016</v>
          </cell>
          <cell r="B36" t="str">
            <v>RLS</v>
          </cell>
          <cell r="C36" t="str">
            <v>LE_951BASE</v>
          </cell>
          <cell r="J36">
            <v>175</v>
          </cell>
        </row>
        <row r="37">
          <cell r="A37" t="str">
            <v>FEB 2016</v>
          </cell>
          <cell r="B37" t="str">
            <v xml:space="preserve">LS </v>
          </cell>
          <cell r="C37" t="str">
            <v>LE_951BASE</v>
          </cell>
          <cell r="J37">
            <v>3</v>
          </cell>
        </row>
        <row r="38">
          <cell r="A38" t="str">
            <v>FEB 2016</v>
          </cell>
          <cell r="B38" t="str">
            <v>RLS</v>
          </cell>
          <cell r="C38" t="str">
            <v>LE_956BASE</v>
          </cell>
          <cell r="J38">
            <v>179</v>
          </cell>
        </row>
        <row r="39">
          <cell r="A39" t="str">
            <v>FEB 2016</v>
          </cell>
          <cell r="B39" t="str">
            <v xml:space="preserve">LS </v>
          </cell>
          <cell r="C39" t="str">
            <v>LE_956BASE</v>
          </cell>
          <cell r="J39">
            <v>56</v>
          </cell>
        </row>
        <row r="40">
          <cell r="A40" t="str">
            <v>FEB 2016</v>
          </cell>
          <cell r="B40" t="str">
            <v>RLS</v>
          </cell>
          <cell r="C40" t="str">
            <v>LE_956BASE</v>
          </cell>
          <cell r="J40">
            <v>53</v>
          </cell>
        </row>
        <row r="41">
          <cell r="A41" t="str">
            <v>FEB 2016</v>
          </cell>
          <cell r="B41" t="str">
            <v xml:space="preserve">LS </v>
          </cell>
          <cell r="C41" t="str">
            <v>LE_956BASE</v>
          </cell>
          <cell r="J41">
            <v>111</v>
          </cell>
        </row>
        <row r="42">
          <cell r="A42" t="str">
            <v>FEB 2016</v>
          </cell>
          <cell r="B42" t="str">
            <v>RLS</v>
          </cell>
          <cell r="C42" t="str">
            <v>LE_950BASE</v>
          </cell>
          <cell r="J42">
            <v>45</v>
          </cell>
        </row>
        <row r="43">
          <cell r="A43" t="str">
            <v>FEB 2016</v>
          </cell>
          <cell r="B43" t="str">
            <v xml:space="preserve">LS </v>
          </cell>
          <cell r="C43" t="str">
            <v>LE_950BASE</v>
          </cell>
          <cell r="J43">
            <v>3</v>
          </cell>
        </row>
        <row r="44">
          <cell r="A44" t="str">
            <v>FEB 2016</v>
          </cell>
          <cell r="B44" t="str">
            <v>RLS</v>
          </cell>
          <cell r="C44" t="str">
            <v>LE_951BASE</v>
          </cell>
          <cell r="J44">
            <v>20</v>
          </cell>
        </row>
        <row r="45">
          <cell r="A45" t="str">
            <v>FEB 2016</v>
          </cell>
          <cell r="B45" t="str">
            <v xml:space="preserve">LS </v>
          </cell>
          <cell r="C45" t="str">
            <v>LE_951BASE</v>
          </cell>
          <cell r="J45">
            <v>70</v>
          </cell>
        </row>
        <row r="46">
          <cell r="A46" t="str">
            <v>FEB 2016</v>
          </cell>
          <cell r="B46" t="str">
            <v>RLS</v>
          </cell>
          <cell r="C46" t="str">
            <v>LE_956BASE</v>
          </cell>
          <cell r="J46">
            <v>1</v>
          </cell>
        </row>
        <row r="47">
          <cell r="A47" t="str">
            <v>FEB 2016</v>
          </cell>
          <cell r="B47" t="str">
            <v xml:space="preserve">LS </v>
          </cell>
          <cell r="C47" t="str">
            <v>LE_956BASE</v>
          </cell>
          <cell r="J47">
            <v>79</v>
          </cell>
        </row>
        <row r="48">
          <cell r="A48" t="str">
            <v>FEB 2016</v>
          </cell>
          <cell r="B48" t="str">
            <v>RLS</v>
          </cell>
          <cell r="C48" t="str">
            <v>LE_956BASE</v>
          </cell>
          <cell r="J48">
            <v>6</v>
          </cell>
        </row>
        <row r="49">
          <cell r="A49" t="str">
            <v>FEB 2016</v>
          </cell>
          <cell r="B49" t="str">
            <v xml:space="preserve">LS </v>
          </cell>
          <cell r="C49" t="str">
            <v>LE_956BASE</v>
          </cell>
          <cell r="J49">
            <v>64</v>
          </cell>
        </row>
        <row r="50">
          <cell r="A50" t="str">
            <v>FEB 2016</v>
          </cell>
          <cell r="B50" t="str">
            <v>RLS</v>
          </cell>
          <cell r="C50" t="str">
            <v>LE_958POLE</v>
          </cell>
          <cell r="J50">
            <v>36</v>
          </cell>
        </row>
        <row r="51">
          <cell r="A51" t="str">
            <v>FEB 2016</v>
          </cell>
          <cell r="B51" t="str">
            <v xml:space="preserve">LS </v>
          </cell>
          <cell r="C51" t="str">
            <v>LE_958POLE</v>
          </cell>
          <cell r="J51">
            <v>423</v>
          </cell>
        </row>
        <row r="52">
          <cell r="A52" t="str">
            <v>FEB 2016</v>
          </cell>
          <cell r="C52" t="str">
            <v>Result</v>
          </cell>
          <cell r="I52">
            <v>0</v>
          </cell>
          <cell r="J52">
            <v>8646</v>
          </cell>
        </row>
        <row r="53">
          <cell r="A53" t="str">
            <v>MAR 2016</v>
          </cell>
          <cell r="B53" t="str">
            <v>RLS</v>
          </cell>
          <cell r="C53" t="str">
            <v>LE_900POLE</v>
          </cell>
          <cell r="J53">
            <v>1654</v>
          </cell>
        </row>
        <row r="54">
          <cell r="A54" t="str">
            <v>MAR 2016</v>
          </cell>
          <cell r="B54" t="str">
            <v xml:space="preserve">LS </v>
          </cell>
          <cell r="C54" t="str">
            <v>LE_900POLE</v>
          </cell>
          <cell r="J54">
            <v>5204</v>
          </cell>
        </row>
        <row r="55">
          <cell r="A55" t="str">
            <v>MAR 2016</v>
          </cell>
          <cell r="B55" t="str">
            <v>RLS</v>
          </cell>
          <cell r="C55" t="str">
            <v>LE_901POLE</v>
          </cell>
          <cell r="J55">
            <v>157</v>
          </cell>
        </row>
        <row r="56">
          <cell r="A56" t="str">
            <v>MAR 2016</v>
          </cell>
          <cell r="B56" t="str">
            <v xml:space="preserve">LS </v>
          </cell>
          <cell r="C56" t="str">
            <v>LE_901POLE</v>
          </cell>
          <cell r="J56">
            <v>0</v>
          </cell>
        </row>
        <row r="57">
          <cell r="A57" t="str">
            <v>MAR 2016</v>
          </cell>
          <cell r="B57" t="str">
            <v>RLS</v>
          </cell>
          <cell r="C57" t="str">
            <v>LE_902POLE</v>
          </cell>
          <cell r="J57">
            <v>277</v>
          </cell>
        </row>
        <row r="58">
          <cell r="A58" t="str">
            <v>MAR 2016</v>
          </cell>
          <cell r="B58" t="str">
            <v xml:space="preserve">LS </v>
          </cell>
          <cell r="C58" t="str">
            <v>LE_902POLE</v>
          </cell>
          <cell r="J58">
            <v>3</v>
          </cell>
        </row>
        <row r="59">
          <cell r="A59" t="str">
            <v>MAR 2016</v>
          </cell>
          <cell r="B59" t="str">
            <v>RLS</v>
          </cell>
          <cell r="C59" t="str">
            <v>LE_950BASE</v>
          </cell>
          <cell r="J59">
            <v>32</v>
          </cell>
        </row>
        <row r="60">
          <cell r="A60" t="str">
            <v>MAR 2016</v>
          </cell>
          <cell r="B60" t="str">
            <v xml:space="preserve">LS </v>
          </cell>
          <cell r="C60" t="str">
            <v>LE_950BASE</v>
          </cell>
          <cell r="J60">
            <v>10</v>
          </cell>
        </row>
        <row r="61">
          <cell r="A61" t="str">
            <v>MAR 2016</v>
          </cell>
          <cell r="B61" t="str">
            <v>RLS</v>
          </cell>
          <cell r="C61" t="str">
            <v>LE_951BASE</v>
          </cell>
          <cell r="J61">
            <v>175</v>
          </cell>
        </row>
        <row r="62">
          <cell r="A62" t="str">
            <v>MAR 2016</v>
          </cell>
          <cell r="B62" t="str">
            <v xml:space="preserve">LS </v>
          </cell>
          <cell r="C62" t="str">
            <v>LE_951BASE</v>
          </cell>
          <cell r="J62">
            <v>3</v>
          </cell>
        </row>
        <row r="63">
          <cell r="A63" t="str">
            <v>MAR 2016</v>
          </cell>
          <cell r="B63" t="str">
            <v>RLS</v>
          </cell>
          <cell r="C63" t="str">
            <v>LE_956BASE</v>
          </cell>
          <cell r="J63">
            <v>179</v>
          </cell>
        </row>
        <row r="64">
          <cell r="A64" t="str">
            <v>MAR 2016</v>
          </cell>
          <cell r="B64" t="str">
            <v xml:space="preserve">LS </v>
          </cell>
          <cell r="C64" t="str">
            <v>LE_956BASE</v>
          </cell>
          <cell r="J64">
            <v>56</v>
          </cell>
        </row>
        <row r="65">
          <cell r="A65" t="str">
            <v>MAR 2016</v>
          </cell>
          <cell r="B65" t="str">
            <v>RLS</v>
          </cell>
          <cell r="C65" t="str">
            <v>LE_956BASE</v>
          </cell>
          <cell r="J65">
            <v>53</v>
          </cell>
        </row>
        <row r="66">
          <cell r="A66" t="str">
            <v>MAR 2016</v>
          </cell>
          <cell r="B66" t="str">
            <v xml:space="preserve">LS </v>
          </cell>
          <cell r="C66" t="str">
            <v>LE_956BASE</v>
          </cell>
          <cell r="J66">
            <v>112</v>
          </cell>
        </row>
        <row r="67">
          <cell r="A67" t="str">
            <v>MAR 2016</v>
          </cell>
          <cell r="B67" t="str">
            <v>RLS</v>
          </cell>
          <cell r="C67" t="str">
            <v>LE_950BASE</v>
          </cell>
          <cell r="J67">
            <v>45</v>
          </cell>
        </row>
        <row r="68">
          <cell r="A68" t="str">
            <v>MAR 2016</v>
          </cell>
          <cell r="B68" t="str">
            <v xml:space="preserve">LS </v>
          </cell>
          <cell r="C68" t="str">
            <v>LE_950BASE</v>
          </cell>
          <cell r="J68">
            <v>3</v>
          </cell>
        </row>
        <row r="69">
          <cell r="A69" t="str">
            <v>MAR 2016</v>
          </cell>
          <cell r="B69" t="str">
            <v>RLS</v>
          </cell>
          <cell r="C69" t="str">
            <v>LE_951BASE</v>
          </cell>
          <cell r="J69">
            <v>20</v>
          </cell>
        </row>
        <row r="70">
          <cell r="A70" t="str">
            <v>MAR 2016</v>
          </cell>
          <cell r="B70" t="str">
            <v xml:space="preserve">LS </v>
          </cell>
          <cell r="C70" t="str">
            <v>LE_951BASE</v>
          </cell>
          <cell r="J70">
            <v>70</v>
          </cell>
        </row>
        <row r="71">
          <cell r="A71" t="str">
            <v>MAR 2016</v>
          </cell>
          <cell r="B71" t="str">
            <v>RLS</v>
          </cell>
          <cell r="C71" t="str">
            <v>LE_956BASE</v>
          </cell>
          <cell r="J71">
            <v>1</v>
          </cell>
        </row>
        <row r="72">
          <cell r="A72" t="str">
            <v>MAR 2016</v>
          </cell>
          <cell r="B72" t="str">
            <v xml:space="preserve">LS </v>
          </cell>
          <cell r="C72" t="str">
            <v>LE_956BASE</v>
          </cell>
          <cell r="J72">
            <v>79</v>
          </cell>
        </row>
        <row r="73">
          <cell r="A73" t="str">
            <v>MAR 2016</v>
          </cell>
          <cell r="B73" t="str">
            <v>RLS</v>
          </cell>
          <cell r="C73" t="str">
            <v>LE_956BASE</v>
          </cell>
          <cell r="J73">
            <v>6</v>
          </cell>
        </row>
        <row r="74">
          <cell r="A74" t="str">
            <v>MAR 2016</v>
          </cell>
          <cell r="B74" t="str">
            <v xml:space="preserve">LS </v>
          </cell>
          <cell r="C74" t="str">
            <v>LE_956BASE</v>
          </cell>
          <cell r="J74">
            <v>60</v>
          </cell>
        </row>
        <row r="75">
          <cell r="A75" t="str">
            <v>MAR 2016</v>
          </cell>
          <cell r="B75" t="str">
            <v>RLS</v>
          </cell>
          <cell r="C75" t="str">
            <v>LE_958POLE</v>
          </cell>
          <cell r="J75">
            <v>36</v>
          </cell>
        </row>
        <row r="76">
          <cell r="A76" t="str">
            <v>MAR 2016</v>
          </cell>
          <cell r="B76" t="str">
            <v xml:space="preserve">LS </v>
          </cell>
          <cell r="C76" t="str">
            <v>LE_958POLE</v>
          </cell>
          <cell r="J76">
            <v>420</v>
          </cell>
        </row>
        <row r="77">
          <cell r="A77" t="str">
            <v>MAR 2016</v>
          </cell>
          <cell r="C77" t="str">
            <v>Result</v>
          </cell>
          <cell r="J77">
            <v>8655</v>
          </cell>
        </row>
        <row r="78">
          <cell r="A78" t="str">
            <v>APR 2016</v>
          </cell>
          <cell r="B78" t="str">
            <v>RLS</v>
          </cell>
          <cell r="C78" t="str">
            <v>LE_900POLE</v>
          </cell>
          <cell r="J78">
            <v>1622</v>
          </cell>
        </row>
        <row r="79">
          <cell r="A79" t="str">
            <v>APR 2016</v>
          </cell>
          <cell r="B79" t="str">
            <v xml:space="preserve">LS </v>
          </cell>
          <cell r="C79" t="str">
            <v>LE_900POLE</v>
          </cell>
          <cell r="J79">
            <v>5141</v>
          </cell>
        </row>
        <row r="80">
          <cell r="A80" t="str">
            <v>APR 2016</v>
          </cell>
          <cell r="B80" t="str">
            <v>RLS</v>
          </cell>
          <cell r="C80" t="str">
            <v>LE_901POLE</v>
          </cell>
          <cell r="J80">
            <v>157</v>
          </cell>
        </row>
        <row r="81">
          <cell r="A81" t="str">
            <v>APR 2016</v>
          </cell>
          <cell r="B81" t="str">
            <v xml:space="preserve">LS </v>
          </cell>
          <cell r="C81" t="str">
            <v>LE_901POLE</v>
          </cell>
          <cell r="J81">
            <v>0</v>
          </cell>
        </row>
        <row r="82">
          <cell r="A82" t="str">
            <v>APR 2016</v>
          </cell>
          <cell r="B82" t="str">
            <v>RLS</v>
          </cell>
          <cell r="C82" t="str">
            <v>LE_902POLE</v>
          </cell>
          <cell r="J82">
            <v>277</v>
          </cell>
        </row>
        <row r="83">
          <cell r="A83" t="str">
            <v>APR 2016</v>
          </cell>
          <cell r="B83" t="str">
            <v xml:space="preserve">LS </v>
          </cell>
          <cell r="C83" t="str">
            <v>LE_902POLE</v>
          </cell>
          <cell r="J83">
            <v>3</v>
          </cell>
        </row>
        <row r="84">
          <cell r="A84" t="str">
            <v>APR 2016</v>
          </cell>
          <cell r="B84" t="str">
            <v>RLS</v>
          </cell>
          <cell r="C84" t="str">
            <v>LE_950BASE</v>
          </cell>
          <cell r="J84">
            <v>32</v>
          </cell>
        </row>
        <row r="85">
          <cell r="A85" t="str">
            <v>APR 2016</v>
          </cell>
          <cell r="B85" t="str">
            <v xml:space="preserve">LS </v>
          </cell>
          <cell r="C85" t="str">
            <v>LE_950BASE</v>
          </cell>
          <cell r="J85">
            <v>10</v>
          </cell>
        </row>
        <row r="86">
          <cell r="A86" t="str">
            <v>APR 2016</v>
          </cell>
          <cell r="B86" t="str">
            <v>RLS</v>
          </cell>
          <cell r="C86" t="str">
            <v>LE_951BASE</v>
          </cell>
          <cell r="J86">
            <v>175</v>
          </cell>
        </row>
        <row r="87">
          <cell r="A87" t="str">
            <v>APR 2016</v>
          </cell>
          <cell r="B87" t="str">
            <v xml:space="preserve">LS </v>
          </cell>
          <cell r="C87" t="str">
            <v>LE_951BASE</v>
          </cell>
          <cell r="J87">
            <v>3</v>
          </cell>
        </row>
        <row r="88">
          <cell r="A88" t="str">
            <v>APR 2016</v>
          </cell>
          <cell r="B88" t="str">
            <v>RLS</v>
          </cell>
          <cell r="C88" t="str">
            <v>LE_956BASE</v>
          </cell>
          <cell r="J88">
            <v>179</v>
          </cell>
        </row>
        <row r="89">
          <cell r="A89" t="str">
            <v>APR 2016</v>
          </cell>
          <cell r="B89" t="str">
            <v xml:space="preserve">LS </v>
          </cell>
          <cell r="C89" t="str">
            <v>LE_956BASE</v>
          </cell>
          <cell r="J89">
            <v>66</v>
          </cell>
        </row>
        <row r="90">
          <cell r="A90" t="str">
            <v>APR 2016</v>
          </cell>
          <cell r="B90" t="str">
            <v>RLS</v>
          </cell>
          <cell r="C90" t="str">
            <v>LE_956BASE</v>
          </cell>
          <cell r="J90">
            <v>53</v>
          </cell>
        </row>
        <row r="91">
          <cell r="A91" t="str">
            <v>APR 2016</v>
          </cell>
          <cell r="B91" t="str">
            <v xml:space="preserve">LS </v>
          </cell>
          <cell r="C91" t="str">
            <v>LE_956BASE</v>
          </cell>
          <cell r="J91">
            <v>112</v>
          </cell>
        </row>
        <row r="92">
          <cell r="A92" t="str">
            <v>APR 2016</v>
          </cell>
          <cell r="B92" t="str">
            <v>RLS</v>
          </cell>
          <cell r="C92" t="str">
            <v>LE_950BASE</v>
          </cell>
          <cell r="J92">
            <v>45</v>
          </cell>
        </row>
        <row r="93">
          <cell r="A93" t="str">
            <v>APR 2016</v>
          </cell>
          <cell r="B93" t="str">
            <v xml:space="preserve">LS </v>
          </cell>
          <cell r="C93" t="str">
            <v>LE_950BASE</v>
          </cell>
          <cell r="J93">
            <v>3</v>
          </cell>
        </row>
        <row r="94">
          <cell r="A94" t="str">
            <v>APR 2016</v>
          </cell>
          <cell r="B94" t="str">
            <v>RLS</v>
          </cell>
          <cell r="C94" t="str">
            <v>LE_951BASE</v>
          </cell>
          <cell r="J94">
            <v>20</v>
          </cell>
        </row>
        <row r="95">
          <cell r="A95" t="str">
            <v>APR 2016</v>
          </cell>
          <cell r="B95" t="str">
            <v xml:space="preserve">LS </v>
          </cell>
          <cell r="C95" t="str">
            <v>LE_951BASE</v>
          </cell>
          <cell r="J95">
            <v>70</v>
          </cell>
        </row>
        <row r="96">
          <cell r="A96" t="str">
            <v>APR 2016</v>
          </cell>
          <cell r="B96" t="str">
            <v>RLS</v>
          </cell>
          <cell r="C96" t="str">
            <v>LE_956BASE</v>
          </cell>
          <cell r="J96">
            <v>1</v>
          </cell>
        </row>
        <row r="97">
          <cell r="A97" t="str">
            <v>APR 2016</v>
          </cell>
          <cell r="B97" t="str">
            <v xml:space="preserve">LS </v>
          </cell>
          <cell r="C97" t="str">
            <v>LE_956BASE</v>
          </cell>
          <cell r="J97">
            <v>79</v>
          </cell>
        </row>
        <row r="98">
          <cell r="A98" t="str">
            <v>APR 2016</v>
          </cell>
          <cell r="B98" t="str">
            <v>RLS</v>
          </cell>
          <cell r="C98" t="str">
            <v>LE_956BASE</v>
          </cell>
          <cell r="J98">
            <v>6</v>
          </cell>
        </row>
        <row r="99">
          <cell r="A99" t="str">
            <v>APR 2016</v>
          </cell>
          <cell r="B99" t="str">
            <v xml:space="preserve">LS </v>
          </cell>
          <cell r="C99" t="str">
            <v>LE_956BASE</v>
          </cell>
          <cell r="J99">
            <v>60</v>
          </cell>
        </row>
        <row r="100">
          <cell r="A100" t="str">
            <v>APR 2016</v>
          </cell>
          <cell r="B100" t="str">
            <v>RLS</v>
          </cell>
          <cell r="C100" t="str">
            <v>LE_958POLE</v>
          </cell>
          <cell r="J100">
            <v>35</v>
          </cell>
        </row>
        <row r="101">
          <cell r="A101" t="str">
            <v>APR 2016</v>
          </cell>
          <cell r="B101" t="str">
            <v xml:space="preserve">LS </v>
          </cell>
          <cell r="C101" t="str">
            <v>LE_958POLE</v>
          </cell>
          <cell r="J101">
            <v>418</v>
          </cell>
        </row>
        <row r="102">
          <cell r="A102" t="str">
            <v>APR 2016</v>
          </cell>
          <cell r="C102" t="str">
            <v>Result</v>
          </cell>
          <cell r="J102">
            <v>8567</v>
          </cell>
        </row>
        <row r="103">
          <cell r="A103" t="str">
            <v>Revenue Period</v>
          </cell>
        </row>
        <row r="104">
          <cell r="A104" t="str">
            <v>MAY 2016</v>
          </cell>
          <cell r="B104" t="str">
            <v>RLS</v>
          </cell>
          <cell r="C104" t="str">
            <v>LE_900POLE</v>
          </cell>
          <cell r="J104">
            <v>1655</v>
          </cell>
        </row>
        <row r="105">
          <cell r="A105" t="str">
            <v>MAY 2016</v>
          </cell>
          <cell r="B105" t="str">
            <v xml:space="preserve">LS </v>
          </cell>
          <cell r="C105" t="str">
            <v>LE_900POLE</v>
          </cell>
          <cell r="J105">
            <v>5230</v>
          </cell>
        </row>
        <row r="106">
          <cell r="A106" t="str">
            <v>MAY 2016</v>
          </cell>
          <cell r="B106" t="str">
            <v>RLS</v>
          </cell>
          <cell r="C106" t="str">
            <v>LE_901POLE</v>
          </cell>
          <cell r="J106">
            <v>157</v>
          </cell>
        </row>
        <row r="107">
          <cell r="A107" t="str">
            <v>MAY 2016</v>
          </cell>
          <cell r="B107" t="str">
            <v xml:space="preserve">LS </v>
          </cell>
          <cell r="C107" t="str">
            <v>LE_901POLE</v>
          </cell>
          <cell r="J107">
            <v>0</v>
          </cell>
        </row>
        <row r="108">
          <cell r="A108" t="str">
            <v>MAY 2016</v>
          </cell>
          <cell r="B108" t="str">
            <v>RLS</v>
          </cell>
          <cell r="C108" t="str">
            <v>LE_902POLE</v>
          </cell>
          <cell r="J108">
            <v>277</v>
          </cell>
        </row>
        <row r="109">
          <cell r="A109" t="str">
            <v>MAY 2016</v>
          </cell>
          <cell r="B109" t="str">
            <v xml:space="preserve">LS </v>
          </cell>
          <cell r="C109" t="str">
            <v>LE_902POLE</v>
          </cell>
          <cell r="J109">
            <v>3</v>
          </cell>
        </row>
        <row r="110">
          <cell r="A110" t="str">
            <v>MAY 2016</v>
          </cell>
          <cell r="B110" t="str">
            <v>RLS</v>
          </cell>
          <cell r="C110" t="str">
            <v>LE_950BASE</v>
          </cell>
          <cell r="J110">
            <v>32</v>
          </cell>
        </row>
        <row r="111">
          <cell r="A111" t="str">
            <v>MAY 2016</v>
          </cell>
          <cell r="B111" t="str">
            <v xml:space="preserve">LS </v>
          </cell>
          <cell r="C111" t="str">
            <v>LE_950BASE</v>
          </cell>
          <cell r="J111">
            <v>10</v>
          </cell>
        </row>
        <row r="112">
          <cell r="A112" t="str">
            <v>MAY 2016</v>
          </cell>
          <cell r="B112" t="str">
            <v>RLS</v>
          </cell>
          <cell r="C112" t="str">
            <v>LE_951BASE</v>
          </cell>
          <cell r="J112">
            <v>175</v>
          </cell>
        </row>
        <row r="113">
          <cell r="A113" t="str">
            <v>MAY 2016</v>
          </cell>
          <cell r="B113" t="str">
            <v xml:space="preserve">LS </v>
          </cell>
          <cell r="C113" t="str">
            <v>LE_951BASE</v>
          </cell>
          <cell r="J113">
            <v>3</v>
          </cell>
        </row>
        <row r="114">
          <cell r="A114" t="str">
            <v>MAY 2016</v>
          </cell>
          <cell r="B114" t="str">
            <v>RLS</v>
          </cell>
          <cell r="C114" t="str">
            <v>LE_956BASE</v>
          </cell>
          <cell r="J114">
            <v>179</v>
          </cell>
        </row>
        <row r="115">
          <cell r="A115" t="str">
            <v>MAY 2016</v>
          </cell>
          <cell r="B115" t="str">
            <v xml:space="preserve">LS </v>
          </cell>
          <cell r="C115" t="str">
            <v>LE_956BASE</v>
          </cell>
          <cell r="J115">
            <v>56</v>
          </cell>
        </row>
        <row r="116">
          <cell r="A116" t="str">
            <v>MAY 2016</v>
          </cell>
          <cell r="B116" t="str">
            <v>RLS</v>
          </cell>
          <cell r="C116" t="str">
            <v>LE_956BASE</v>
          </cell>
          <cell r="J116">
            <v>53</v>
          </cell>
        </row>
        <row r="117">
          <cell r="A117" t="str">
            <v>MAY 2016</v>
          </cell>
          <cell r="B117" t="str">
            <v xml:space="preserve">LS </v>
          </cell>
          <cell r="C117" t="str">
            <v>LE_956BASE</v>
          </cell>
          <cell r="J117">
            <v>112</v>
          </cell>
        </row>
        <row r="118">
          <cell r="A118" t="str">
            <v>MAY 2016</v>
          </cell>
          <cell r="B118" t="str">
            <v>RLS</v>
          </cell>
          <cell r="C118" t="str">
            <v>LE_950BASE</v>
          </cell>
          <cell r="J118">
            <v>45</v>
          </cell>
        </row>
        <row r="119">
          <cell r="A119" t="str">
            <v>MAY 2016</v>
          </cell>
          <cell r="B119" t="str">
            <v xml:space="preserve">LS </v>
          </cell>
          <cell r="C119" t="str">
            <v>LE_950BASE</v>
          </cell>
          <cell r="J119">
            <v>3</v>
          </cell>
        </row>
        <row r="120">
          <cell r="A120" t="str">
            <v>MAY 2016</v>
          </cell>
          <cell r="B120" t="str">
            <v>RLS</v>
          </cell>
          <cell r="C120" t="str">
            <v>LE_951BASE</v>
          </cell>
          <cell r="J120">
            <v>20</v>
          </cell>
        </row>
        <row r="121">
          <cell r="A121" t="str">
            <v>MAY 2016</v>
          </cell>
          <cell r="B121" t="str">
            <v xml:space="preserve">LS </v>
          </cell>
          <cell r="C121" t="str">
            <v>LE_951BASE</v>
          </cell>
          <cell r="J121">
            <v>68</v>
          </cell>
        </row>
        <row r="122">
          <cell r="A122" t="str">
            <v>MAY 2016</v>
          </cell>
          <cell r="B122" t="str">
            <v>RLS</v>
          </cell>
          <cell r="C122" t="str">
            <v>LE_956BASE</v>
          </cell>
          <cell r="J122">
            <v>1</v>
          </cell>
        </row>
        <row r="123">
          <cell r="A123" t="str">
            <v>MAY 2016</v>
          </cell>
          <cell r="B123" t="str">
            <v xml:space="preserve">LS </v>
          </cell>
          <cell r="C123" t="str">
            <v>LE_956BASE</v>
          </cell>
          <cell r="J123">
            <v>79</v>
          </cell>
        </row>
        <row r="124">
          <cell r="A124" t="str">
            <v>MAY 2016</v>
          </cell>
          <cell r="B124" t="str">
            <v>RLS</v>
          </cell>
          <cell r="C124" t="str">
            <v>LE_956BASE</v>
          </cell>
          <cell r="J124">
            <v>6</v>
          </cell>
        </row>
        <row r="125">
          <cell r="A125" t="str">
            <v>MAY 2016</v>
          </cell>
          <cell r="B125" t="str">
            <v xml:space="preserve">LS </v>
          </cell>
          <cell r="C125" t="str">
            <v>LE_956BASE</v>
          </cell>
          <cell r="J125">
            <v>60</v>
          </cell>
        </row>
        <row r="126">
          <cell r="A126" t="str">
            <v>MAY 2016</v>
          </cell>
          <cell r="B126" t="str">
            <v>RLS</v>
          </cell>
          <cell r="C126" t="str">
            <v>LE_958POLE</v>
          </cell>
          <cell r="J126">
            <v>37</v>
          </cell>
        </row>
        <row r="127">
          <cell r="A127" t="str">
            <v>MAY 2016</v>
          </cell>
          <cell r="B127" t="str">
            <v xml:space="preserve">LS </v>
          </cell>
          <cell r="C127" t="str">
            <v>LE_958POLE</v>
          </cell>
          <cell r="J127">
            <v>421</v>
          </cell>
        </row>
        <row r="128">
          <cell r="A128" t="str">
            <v>MAY 2016</v>
          </cell>
          <cell r="C128" t="str">
            <v>Result</v>
          </cell>
        </row>
        <row r="129">
          <cell r="A129" t="str">
            <v>Revenue Period</v>
          </cell>
          <cell r="C129" t="str">
            <v>Price</v>
          </cell>
        </row>
        <row r="130">
          <cell r="A130" t="str">
            <v>JUNE 2016</v>
          </cell>
          <cell r="B130" t="str">
            <v>RLS</v>
          </cell>
          <cell r="C130" t="str">
            <v>LE_900POLE</v>
          </cell>
          <cell r="J130">
            <v>1627</v>
          </cell>
        </row>
        <row r="131">
          <cell r="A131" t="str">
            <v>JUNE 2016</v>
          </cell>
          <cell r="B131" t="str">
            <v xml:space="preserve">LS </v>
          </cell>
          <cell r="C131" t="str">
            <v>LE_900POLE</v>
          </cell>
          <cell r="J131">
            <v>5212</v>
          </cell>
        </row>
        <row r="132">
          <cell r="A132" t="str">
            <v>JUNE 2016</v>
          </cell>
          <cell r="B132" t="str">
            <v>RLS</v>
          </cell>
          <cell r="C132" t="str">
            <v>LE_901POLE</v>
          </cell>
          <cell r="J132">
            <v>155</v>
          </cell>
        </row>
        <row r="133">
          <cell r="A133" t="str">
            <v>JUNE 2016</v>
          </cell>
          <cell r="B133" t="str">
            <v xml:space="preserve">LS </v>
          </cell>
          <cell r="C133" t="str">
            <v>LE_901POLE</v>
          </cell>
          <cell r="J133">
            <v>0</v>
          </cell>
        </row>
        <row r="134">
          <cell r="A134" t="str">
            <v>JUNE 2016</v>
          </cell>
          <cell r="B134" t="str">
            <v>RLS</v>
          </cell>
          <cell r="C134" t="str">
            <v>LE_902POLE</v>
          </cell>
          <cell r="J134">
            <v>277</v>
          </cell>
        </row>
        <row r="135">
          <cell r="A135" t="str">
            <v>JUNE 2016</v>
          </cell>
          <cell r="B135" t="str">
            <v xml:space="preserve">LS </v>
          </cell>
          <cell r="C135" t="str">
            <v>LE_902POLE</v>
          </cell>
          <cell r="J135">
            <v>3</v>
          </cell>
        </row>
        <row r="136">
          <cell r="A136" t="str">
            <v>JUNE 2016</v>
          </cell>
          <cell r="B136" t="str">
            <v>RLS</v>
          </cell>
          <cell r="C136" t="str">
            <v>LE_950BASE</v>
          </cell>
          <cell r="J136">
            <v>30</v>
          </cell>
        </row>
        <row r="137">
          <cell r="A137" t="str">
            <v>JUNE 2016</v>
          </cell>
          <cell r="B137" t="str">
            <v xml:space="preserve">LS </v>
          </cell>
          <cell r="C137" t="str">
            <v>LE_950BASE</v>
          </cell>
          <cell r="J137">
            <v>10</v>
          </cell>
        </row>
        <row r="138">
          <cell r="A138" t="str">
            <v>JUNE 2016</v>
          </cell>
          <cell r="B138" t="str">
            <v>RLS</v>
          </cell>
          <cell r="C138" t="str">
            <v>LE_951BASE</v>
          </cell>
          <cell r="J138">
            <v>175</v>
          </cell>
        </row>
        <row r="139">
          <cell r="A139" t="str">
            <v>JUNE 2016</v>
          </cell>
          <cell r="B139" t="str">
            <v xml:space="preserve">LS </v>
          </cell>
          <cell r="C139" t="str">
            <v>LE_951BASE</v>
          </cell>
          <cell r="J139">
            <v>3</v>
          </cell>
        </row>
        <row r="140">
          <cell r="A140" t="str">
            <v>JUNE 2016</v>
          </cell>
          <cell r="B140" t="str">
            <v>RLS</v>
          </cell>
          <cell r="C140" t="str">
            <v>LE_956BASE</v>
          </cell>
          <cell r="J140">
            <v>179</v>
          </cell>
        </row>
        <row r="141">
          <cell r="A141" t="str">
            <v>JUNE 2016</v>
          </cell>
          <cell r="B141" t="str">
            <v xml:space="preserve">LS </v>
          </cell>
          <cell r="C141" t="str">
            <v>LE_956BASE</v>
          </cell>
          <cell r="J141">
            <v>56</v>
          </cell>
        </row>
        <row r="142">
          <cell r="A142" t="str">
            <v>JUNE 2016</v>
          </cell>
          <cell r="B142" t="str">
            <v>RLS</v>
          </cell>
          <cell r="C142" t="str">
            <v>LE_956BASE</v>
          </cell>
          <cell r="J142">
            <v>53</v>
          </cell>
        </row>
        <row r="143">
          <cell r="A143" t="str">
            <v>JUNE 2016</v>
          </cell>
          <cell r="B143" t="str">
            <v xml:space="preserve">LS </v>
          </cell>
          <cell r="C143" t="str">
            <v>LE_956BASE</v>
          </cell>
          <cell r="J143">
            <v>112</v>
          </cell>
        </row>
        <row r="144">
          <cell r="A144" t="str">
            <v>JUNE 2016</v>
          </cell>
          <cell r="B144" t="str">
            <v>RLS</v>
          </cell>
          <cell r="C144" t="str">
            <v>LE_950BASE</v>
          </cell>
          <cell r="J144">
            <v>45</v>
          </cell>
        </row>
        <row r="145">
          <cell r="A145" t="str">
            <v>JUNE 2016</v>
          </cell>
          <cell r="B145" t="str">
            <v xml:space="preserve">LS </v>
          </cell>
          <cell r="C145" t="str">
            <v>LE_950BASE</v>
          </cell>
          <cell r="J145">
            <v>3</v>
          </cell>
        </row>
        <row r="146">
          <cell r="A146" t="str">
            <v>JUNE 2016</v>
          </cell>
          <cell r="B146" t="str">
            <v>RLS</v>
          </cell>
          <cell r="C146" t="str">
            <v>LE_951BASE</v>
          </cell>
          <cell r="J146">
            <v>20</v>
          </cell>
        </row>
        <row r="147">
          <cell r="A147" t="str">
            <v>JUNE 2016</v>
          </cell>
          <cell r="B147" t="str">
            <v xml:space="preserve">LS </v>
          </cell>
          <cell r="C147" t="str">
            <v>LE_951BASE</v>
          </cell>
          <cell r="J147">
            <v>72</v>
          </cell>
        </row>
        <row r="148">
          <cell r="A148" t="str">
            <v>JUNE 2016</v>
          </cell>
          <cell r="B148" t="str">
            <v>RLS</v>
          </cell>
          <cell r="C148" t="str">
            <v>LE_956BASE</v>
          </cell>
          <cell r="J148">
            <v>1</v>
          </cell>
        </row>
        <row r="149">
          <cell r="A149" t="str">
            <v>JUNE 2016</v>
          </cell>
          <cell r="B149" t="str">
            <v xml:space="preserve">LS </v>
          </cell>
          <cell r="C149" t="str">
            <v>LE_956BASE</v>
          </cell>
          <cell r="J149">
            <v>79</v>
          </cell>
        </row>
        <row r="150">
          <cell r="A150" t="str">
            <v>JUNE 2016</v>
          </cell>
          <cell r="B150" t="str">
            <v>RLS</v>
          </cell>
          <cell r="C150" t="str">
            <v>LE_956BASE</v>
          </cell>
          <cell r="J150">
            <v>6</v>
          </cell>
        </row>
        <row r="151">
          <cell r="A151" t="str">
            <v>JUNE 2016</v>
          </cell>
          <cell r="B151" t="str">
            <v xml:space="preserve">LS </v>
          </cell>
          <cell r="C151" t="str">
            <v>LE_956BASE</v>
          </cell>
          <cell r="J151">
            <v>60</v>
          </cell>
        </row>
        <row r="152">
          <cell r="A152" t="str">
            <v>JUNE 2016</v>
          </cell>
          <cell r="B152" t="str">
            <v>RLS</v>
          </cell>
          <cell r="C152" t="str">
            <v>LE_958POLE</v>
          </cell>
          <cell r="J152">
            <v>36</v>
          </cell>
        </row>
        <row r="153">
          <cell r="A153" t="str">
            <v>JUNE 2016</v>
          </cell>
          <cell r="B153" t="str">
            <v xml:space="preserve">LS </v>
          </cell>
          <cell r="C153" t="str">
            <v>LE_958POLE</v>
          </cell>
          <cell r="J153">
            <v>416</v>
          </cell>
        </row>
        <row r="154">
          <cell r="A154" t="str">
            <v>JUNE 2016</v>
          </cell>
          <cell r="C154" t="str">
            <v>Result</v>
          </cell>
        </row>
        <row r="155">
          <cell r="A155" t="str">
            <v>Revenue Period</v>
          </cell>
          <cell r="C155" t="str">
            <v>Price</v>
          </cell>
        </row>
        <row r="156">
          <cell r="A156" t="str">
            <v>JUL 2015</v>
          </cell>
          <cell r="B156" t="str">
            <v>RLS</v>
          </cell>
          <cell r="C156" t="str">
            <v>LE_900POLE</v>
          </cell>
          <cell r="J156">
            <v>1627</v>
          </cell>
        </row>
        <row r="157">
          <cell r="A157" t="str">
            <v>JUL 2015</v>
          </cell>
          <cell r="B157" t="str">
            <v xml:space="preserve">LS </v>
          </cell>
          <cell r="C157" t="str">
            <v>LE_900POLE</v>
          </cell>
          <cell r="J157">
            <v>5224</v>
          </cell>
        </row>
        <row r="158">
          <cell r="A158" t="str">
            <v>JUL 2015</v>
          </cell>
          <cell r="B158" t="str">
            <v>RLS</v>
          </cell>
          <cell r="C158" t="str">
            <v>LE_901POLE</v>
          </cell>
          <cell r="J158">
            <v>155</v>
          </cell>
        </row>
        <row r="159">
          <cell r="A159" t="str">
            <v>JUL 2015</v>
          </cell>
          <cell r="B159" t="str">
            <v xml:space="preserve">LS </v>
          </cell>
          <cell r="C159" t="str">
            <v>LE_901POLE</v>
          </cell>
          <cell r="J159">
            <v>0</v>
          </cell>
        </row>
        <row r="160">
          <cell r="A160" t="str">
            <v>JUL 2015</v>
          </cell>
          <cell r="B160" t="str">
            <v>RLS</v>
          </cell>
          <cell r="C160" t="str">
            <v>LE_902POLE</v>
          </cell>
          <cell r="J160">
            <v>277</v>
          </cell>
        </row>
        <row r="161">
          <cell r="A161" t="str">
            <v>JUL 2015</v>
          </cell>
          <cell r="B161" t="str">
            <v xml:space="preserve">LS </v>
          </cell>
          <cell r="C161" t="str">
            <v>LE_902POLE</v>
          </cell>
          <cell r="J161">
            <v>3</v>
          </cell>
        </row>
        <row r="162">
          <cell r="A162" t="str">
            <v>JUL 2015</v>
          </cell>
          <cell r="B162" t="str">
            <v>RLS</v>
          </cell>
          <cell r="C162" t="str">
            <v>LE_950BASE</v>
          </cell>
          <cell r="J162">
            <v>30</v>
          </cell>
        </row>
        <row r="163">
          <cell r="A163" t="str">
            <v>JUL 2015</v>
          </cell>
          <cell r="B163" t="str">
            <v xml:space="preserve">LS </v>
          </cell>
          <cell r="C163" t="str">
            <v>LE_950BASE</v>
          </cell>
          <cell r="J163">
            <v>10</v>
          </cell>
        </row>
        <row r="164">
          <cell r="A164" t="str">
            <v>JUL 2015</v>
          </cell>
          <cell r="B164" t="str">
            <v>RLS</v>
          </cell>
          <cell r="C164" t="str">
            <v>LE_951BASE</v>
          </cell>
          <cell r="J164">
            <v>175</v>
          </cell>
        </row>
        <row r="165">
          <cell r="A165" t="str">
            <v>JUL 2015</v>
          </cell>
          <cell r="B165" t="str">
            <v xml:space="preserve">LS </v>
          </cell>
          <cell r="C165" t="str">
            <v>LE_951BASE</v>
          </cell>
          <cell r="J165">
            <v>3</v>
          </cell>
        </row>
        <row r="166">
          <cell r="A166" t="str">
            <v>JUL 2015</v>
          </cell>
          <cell r="B166" t="str">
            <v>RLS</v>
          </cell>
          <cell r="C166" t="str">
            <v>LE_956BASE</v>
          </cell>
          <cell r="J166">
            <v>179</v>
          </cell>
        </row>
        <row r="167">
          <cell r="A167" t="str">
            <v>JUL 2015</v>
          </cell>
          <cell r="B167" t="str">
            <v xml:space="preserve">LS </v>
          </cell>
          <cell r="C167" t="str">
            <v>LE_956BASE</v>
          </cell>
          <cell r="J167">
            <v>56</v>
          </cell>
        </row>
        <row r="168">
          <cell r="A168" t="str">
            <v>JUL 2015</v>
          </cell>
          <cell r="B168" t="str">
            <v>RLS</v>
          </cell>
          <cell r="C168" t="str">
            <v>LE_956BASE</v>
          </cell>
          <cell r="J168">
            <v>53</v>
          </cell>
        </row>
        <row r="169">
          <cell r="A169" t="str">
            <v>JUL 2015</v>
          </cell>
          <cell r="B169" t="str">
            <v xml:space="preserve">LS </v>
          </cell>
          <cell r="C169" t="str">
            <v>LE_956BASE</v>
          </cell>
          <cell r="J169">
            <v>112</v>
          </cell>
        </row>
        <row r="170">
          <cell r="A170" t="str">
            <v>JUL 2015</v>
          </cell>
          <cell r="B170" t="str">
            <v>RLS</v>
          </cell>
          <cell r="C170" t="str">
            <v>LE_950BASE</v>
          </cell>
          <cell r="J170">
            <v>45</v>
          </cell>
        </row>
        <row r="171">
          <cell r="A171" t="str">
            <v>JUL 2015</v>
          </cell>
          <cell r="B171" t="str">
            <v xml:space="preserve">LS </v>
          </cell>
          <cell r="C171" t="str">
            <v>LE_950BASE</v>
          </cell>
          <cell r="J171">
            <v>3</v>
          </cell>
        </row>
        <row r="172">
          <cell r="A172" t="str">
            <v>JUL 2015</v>
          </cell>
          <cell r="B172" t="str">
            <v>RLS</v>
          </cell>
          <cell r="C172" t="str">
            <v>LE_951BASE</v>
          </cell>
          <cell r="J172">
            <v>20</v>
          </cell>
        </row>
        <row r="173">
          <cell r="A173" t="str">
            <v>JUL 2015</v>
          </cell>
          <cell r="B173" t="str">
            <v xml:space="preserve">LS </v>
          </cell>
          <cell r="C173" t="str">
            <v>LE_951BASE</v>
          </cell>
          <cell r="J173">
            <v>70</v>
          </cell>
        </row>
        <row r="174">
          <cell r="A174" t="str">
            <v>JUL 2015</v>
          </cell>
          <cell r="B174" t="str">
            <v>RLS</v>
          </cell>
          <cell r="C174" t="str">
            <v>LE_956BASE</v>
          </cell>
          <cell r="J174">
            <v>1</v>
          </cell>
        </row>
        <row r="175">
          <cell r="A175" t="str">
            <v>JUL 2015</v>
          </cell>
          <cell r="B175" t="str">
            <v xml:space="preserve">LS </v>
          </cell>
          <cell r="C175" t="str">
            <v>LE_956BASE</v>
          </cell>
          <cell r="J175">
            <v>83</v>
          </cell>
        </row>
        <row r="176">
          <cell r="A176" t="str">
            <v>JUL 2015</v>
          </cell>
          <cell r="B176" t="str">
            <v>RLS</v>
          </cell>
          <cell r="C176" t="str">
            <v>LE_956BASE</v>
          </cell>
          <cell r="J176">
            <v>6</v>
          </cell>
        </row>
        <row r="177">
          <cell r="A177" t="str">
            <v>JUL 2015</v>
          </cell>
          <cell r="B177" t="str">
            <v xml:space="preserve">LS </v>
          </cell>
          <cell r="C177" t="str">
            <v>LE_956BASE</v>
          </cell>
          <cell r="J177">
            <v>60</v>
          </cell>
        </row>
        <row r="178">
          <cell r="A178" t="str">
            <v>JUL 2015</v>
          </cell>
          <cell r="B178" t="str">
            <v>RLS</v>
          </cell>
          <cell r="C178" t="str">
            <v>LE_958POLE</v>
          </cell>
          <cell r="J178">
            <v>37</v>
          </cell>
        </row>
        <row r="179">
          <cell r="A179" t="str">
            <v>JUL 2015</v>
          </cell>
          <cell r="B179" t="str">
            <v xml:space="preserve">LS </v>
          </cell>
          <cell r="C179" t="str">
            <v>LE_958POLE</v>
          </cell>
          <cell r="J179">
            <v>420</v>
          </cell>
        </row>
        <row r="180">
          <cell r="A180" t="str">
            <v>JUL 2015</v>
          </cell>
          <cell r="C180" t="str">
            <v>Result</v>
          </cell>
        </row>
        <row r="181">
          <cell r="A181" t="str">
            <v>Revenue Period</v>
          </cell>
          <cell r="C181" t="str">
            <v>Price</v>
          </cell>
        </row>
        <row r="182">
          <cell r="A182" t="str">
            <v>AUG 2015</v>
          </cell>
          <cell r="B182" t="str">
            <v>RLS</v>
          </cell>
          <cell r="C182" t="str">
            <v>LE_900POLE</v>
          </cell>
          <cell r="J182">
            <v>1635</v>
          </cell>
        </row>
        <row r="183">
          <cell r="A183" t="str">
            <v>AUG 2015</v>
          </cell>
          <cell r="B183" t="str">
            <v xml:space="preserve">LS </v>
          </cell>
          <cell r="C183" t="str">
            <v>LE_900POLE</v>
          </cell>
          <cell r="J183">
            <v>5150</v>
          </cell>
        </row>
        <row r="184">
          <cell r="A184" t="str">
            <v>AUG 2015</v>
          </cell>
          <cell r="B184" t="str">
            <v>RLS</v>
          </cell>
          <cell r="C184" t="str">
            <v>LE_901POLE</v>
          </cell>
          <cell r="J184">
            <v>155</v>
          </cell>
        </row>
        <row r="185">
          <cell r="A185" t="str">
            <v>AUG 2015</v>
          </cell>
          <cell r="B185" t="str">
            <v xml:space="preserve">LS </v>
          </cell>
          <cell r="C185" t="str">
            <v>LE_901POLE</v>
          </cell>
          <cell r="J185">
            <v>0</v>
          </cell>
        </row>
        <row r="186">
          <cell r="A186" t="str">
            <v>AUG 2015</v>
          </cell>
          <cell r="B186" t="str">
            <v>RLS</v>
          </cell>
          <cell r="C186" t="str">
            <v>LE_902POLE</v>
          </cell>
          <cell r="J186">
            <v>277</v>
          </cell>
        </row>
        <row r="187">
          <cell r="A187" t="str">
            <v>AUG 2015</v>
          </cell>
          <cell r="B187" t="str">
            <v xml:space="preserve">LS </v>
          </cell>
          <cell r="C187" t="str">
            <v>LE_902POLE</v>
          </cell>
          <cell r="J187">
            <v>3</v>
          </cell>
        </row>
        <row r="188">
          <cell r="A188" t="str">
            <v>AUG 2015</v>
          </cell>
          <cell r="B188" t="str">
            <v>RLS</v>
          </cell>
          <cell r="C188" t="str">
            <v>LE_950BASE</v>
          </cell>
          <cell r="J188">
            <v>30</v>
          </cell>
        </row>
        <row r="189">
          <cell r="A189" t="str">
            <v>AUG 2015</v>
          </cell>
          <cell r="B189" t="str">
            <v xml:space="preserve">LS </v>
          </cell>
          <cell r="C189" t="str">
            <v>LE_950BASE</v>
          </cell>
          <cell r="J189">
            <v>10</v>
          </cell>
        </row>
        <row r="190">
          <cell r="A190" t="str">
            <v>AUG 2015</v>
          </cell>
          <cell r="B190" t="str">
            <v>RLS</v>
          </cell>
          <cell r="C190" t="str">
            <v>LE_951BASE</v>
          </cell>
          <cell r="J190">
            <v>175</v>
          </cell>
        </row>
        <row r="191">
          <cell r="A191" t="str">
            <v>AUG 2015</v>
          </cell>
          <cell r="B191" t="str">
            <v xml:space="preserve">LS </v>
          </cell>
          <cell r="C191" t="str">
            <v>LE_951BASE</v>
          </cell>
          <cell r="J191">
            <v>3</v>
          </cell>
        </row>
        <row r="192">
          <cell r="A192" t="str">
            <v>AUG 2015</v>
          </cell>
          <cell r="B192" t="str">
            <v>RLS</v>
          </cell>
          <cell r="C192" t="str">
            <v>LE_956BASE</v>
          </cell>
          <cell r="J192">
            <v>179</v>
          </cell>
        </row>
        <row r="193">
          <cell r="A193" t="str">
            <v>AUG 2015</v>
          </cell>
          <cell r="B193" t="str">
            <v xml:space="preserve">LS </v>
          </cell>
          <cell r="C193" t="str">
            <v>LE_956BASE</v>
          </cell>
          <cell r="J193">
            <v>56</v>
          </cell>
        </row>
        <row r="194">
          <cell r="A194" t="str">
            <v>AUG 2015</v>
          </cell>
          <cell r="B194" t="str">
            <v>RLS</v>
          </cell>
          <cell r="C194" t="str">
            <v>LE_956BASE</v>
          </cell>
          <cell r="J194">
            <v>53</v>
          </cell>
        </row>
        <row r="195">
          <cell r="A195" t="str">
            <v>AUG 2015</v>
          </cell>
          <cell r="B195" t="str">
            <v xml:space="preserve">LS </v>
          </cell>
          <cell r="C195" t="str">
            <v>LE_956BASE</v>
          </cell>
          <cell r="J195">
            <v>112</v>
          </cell>
        </row>
        <row r="196">
          <cell r="A196" t="str">
            <v>AUG 2015</v>
          </cell>
          <cell r="B196" t="str">
            <v>RLS</v>
          </cell>
          <cell r="C196" t="str">
            <v>LE_950BASE</v>
          </cell>
          <cell r="J196">
            <v>45</v>
          </cell>
        </row>
        <row r="197">
          <cell r="A197" t="str">
            <v>AUG 2015</v>
          </cell>
          <cell r="B197" t="str">
            <v xml:space="preserve">LS </v>
          </cell>
          <cell r="C197" t="str">
            <v>LE_950BASE</v>
          </cell>
          <cell r="J197">
            <v>3</v>
          </cell>
        </row>
        <row r="198">
          <cell r="A198" t="str">
            <v>AUG 2015</v>
          </cell>
          <cell r="B198" t="str">
            <v>RLS</v>
          </cell>
          <cell r="C198" t="str">
            <v>LE_951BASE</v>
          </cell>
          <cell r="J198">
            <v>20</v>
          </cell>
        </row>
        <row r="199">
          <cell r="A199" t="str">
            <v>AUG 2015</v>
          </cell>
          <cell r="B199" t="str">
            <v xml:space="preserve">LS </v>
          </cell>
          <cell r="C199" t="str">
            <v>LE_951BASE</v>
          </cell>
          <cell r="J199">
            <v>70</v>
          </cell>
        </row>
        <row r="200">
          <cell r="A200" t="str">
            <v>AUG 2015</v>
          </cell>
          <cell r="B200" t="str">
            <v>RLS</v>
          </cell>
          <cell r="C200" t="str">
            <v>LE_956BASE</v>
          </cell>
          <cell r="J200">
            <v>1</v>
          </cell>
        </row>
        <row r="201">
          <cell r="A201" t="str">
            <v>AUG 2015</v>
          </cell>
          <cell r="B201" t="str">
            <v xml:space="preserve">LS </v>
          </cell>
          <cell r="C201" t="str">
            <v>LE_956BASE</v>
          </cell>
          <cell r="J201">
            <v>72</v>
          </cell>
        </row>
        <row r="202">
          <cell r="A202" t="str">
            <v>AUG 2015</v>
          </cell>
          <cell r="B202" t="str">
            <v>RLS</v>
          </cell>
          <cell r="C202" t="str">
            <v>LE_956BASE</v>
          </cell>
          <cell r="J202">
            <v>6</v>
          </cell>
        </row>
        <row r="203">
          <cell r="A203" t="str">
            <v>AUG 2015</v>
          </cell>
          <cell r="B203" t="str">
            <v xml:space="preserve">LS </v>
          </cell>
          <cell r="C203" t="str">
            <v>LE_956BASE</v>
          </cell>
          <cell r="J203">
            <v>60</v>
          </cell>
        </row>
        <row r="204">
          <cell r="A204" t="str">
            <v>AUG 2015</v>
          </cell>
          <cell r="B204" t="str">
            <v>RLS</v>
          </cell>
          <cell r="C204" t="str">
            <v>LE_958POLE</v>
          </cell>
          <cell r="J204">
            <v>37</v>
          </cell>
        </row>
        <row r="205">
          <cell r="A205" t="str">
            <v>AUG 2015</v>
          </cell>
          <cell r="B205" t="str">
            <v xml:space="preserve">LS </v>
          </cell>
          <cell r="C205" t="str">
            <v>LE_958POLE</v>
          </cell>
          <cell r="J205">
            <v>409</v>
          </cell>
        </row>
        <row r="206">
          <cell r="A206" t="str">
            <v>AUG 2015</v>
          </cell>
          <cell r="C206" t="str">
            <v>Result</v>
          </cell>
        </row>
        <row r="207">
          <cell r="A207" t="str">
            <v>SEP 2015</v>
          </cell>
          <cell r="B207" t="str">
            <v>RLS</v>
          </cell>
          <cell r="C207" t="str">
            <v>LE_900POLE</v>
          </cell>
          <cell r="J207">
            <v>1723</v>
          </cell>
        </row>
        <row r="208">
          <cell r="A208" t="str">
            <v>SEP 2015</v>
          </cell>
          <cell r="B208" t="str">
            <v xml:space="preserve">LS </v>
          </cell>
          <cell r="C208" t="str">
            <v>LE_900POLE</v>
          </cell>
          <cell r="J208">
            <v>5243</v>
          </cell>
        </row>
        <row r="209">
          <cell r="A209" t="str">
            <v>SEP 2015</v>
          </cell>
          <cell r="B209" t="str">
            <v>RLS</v>
          </cell>
          <cell r="C209" t="str">
            <v>LE_901POLE</v>
          </cell>
          <cell r="J209">
            <v>157</v>
          </cell>
        </row>
        <row r="210">
          <cell r="A210" t="str">
            <v>SEP 2015</v>
          </cell>
          <cell r="B210" t="str">
            <v xml:space="preserve">LS </v>
          </cell>
          <cell r="C210" t="str">
            <v>LE_901POLE</v>
          </cell>
          <cell r="J210">
            <v>0</v>
          </cell>
        </row>
        <row r="211">
          <cell r="A211" t="str">
            <v>SEP 2015</v>
          </cell>
          <cell r="B211" t="str">
            <v>RLS</v>
          </cell>
          <cell r="C211" t="str">
            <v>LE_902POLE</v>
          </cell>
          <cell r="J211">
            <v>277</v>
          </cell>
        </row>
        <row r="212">
          <cell r="A212" t="str">
            <v>SEP 2015</v>
          </cell>
          <cell r="B212" t="str">
            <v xml:space="preserve">LS </v>
          </cell>
          <cell r="C212" t="str">
            <v>LE_902POLE</v>
          </cell>
          <cell r="J212">
            <v>3</v>
          </cell>
        </row>
        <row r="213">
          <cell r="A213" t="str">
            <v>SEP 2015</v>
          </cell>
          <cell r="B213" t="str">
            <v>RLS</v>
          </cell>
          <cell r="C213" t="str">
            <v>LE_950BASE</v>
          </cell>
          <cell r="J213">
            <v>32</v>
          </cell>
        </row>
        <row r="214">
          <cell r="A214" t="str">
            <v>SEP 2015</v>
          </cell>
          <cell r="B214" t="str">
            <v xml:space="preserve">LS </v>
          </cell>
          <cell r="C214" t="str">
            <v>LE_950BASE</v>
          </cell>
          <cell r="J214">
            <v>10</v>
          </cell>
        </row>
        <row r="215">
          <cell r="A215" t="str">
            <v>SEP 2015</v>
          </cell>
          <cell r="B215" t="str">
            <v>RLS</v>
          </cell>
          <cell r="C215" t="str">
            <v>LE_951BASE</v>
          </cell>
          <cell r="J215">
            <v>175</v>
          </cell>
        </row>
        <row r="216">
          <cell r="A216" t="str">
            <v>SEP 2015</v>
          </cell>
          <cell r="B216" t="str">
            <v xml:space="preserve">LS </v>
          </cell>
          <cell r="C216" t="str">
            <v>LE_951BASE</v>
          </cell>
          <cell r="J216">
            <v>3</v>
          </cell>
        </row>
        <row r="217">
          <cell r="A217" t="str">
            <v>SEP 2015</v>
          </cell>
          <cell r="B217" t="str">
            <v>RLS</v>
          </cell>
          <cell r="C217" t="str">
            <v>LE_952BASE</v>
          </cell>
          <cell r="J217">
            <v>179</v>
          </cell>
        </row>
        <row r="218">
          <cell r="A218" t="str">
            <v>SEP 2015</v>
          </cell>
          <cell r="B218" t="str">
            <v xml:space="preserve">LS </v>
          </cell>
          <cell r="C218" t="str">
            <v>LE_952BASE</v>
          </cell>
          <cell r="J218">
            <v>56</v>
          </cell>
        </row>
        <row r="219">
          <cell r="A219" t="str">
            <v>SEP 2015</v>
          </cell>
          <cell r="B219" t="str">
            <v>RLS</v>
          </cell>
          <cell r="C219" t="str">
            <v>LE_953BASE</v>
          </cell>
          <cell r="J219">
            <v>53</v>
          </cell>
        </row>
        <row r="220">
          <cell r="A220" t="str">
            <v>SEP 2015</v>
          </cell>
          <cell r="B220" t="str">
            <v xml:space="preserve">LS </v>
          </cell>
          <cell r="C220" t="str">
            <v>LE_953BASE</v>
          </cell>
          <cell r="J220">
            <v>112</v>
          </cell>
        </row>
        <row r="221">
          <cell r="A221" t="str">
            <v>SEP 2015</v>
          </cell>
          <cell r="B221" t="str">
            <v>RLS</v>
          </cell>
          <cell r="C221" t="str">
            <v>LE_954BASE</v>
          </cell>
          <cell r="J221">
            <v>45</v>
          </cell>
        </row>
        <row r="222">
          <cell r="A222" t="str">
            <v>SEP 2015</v>
          </cell>
          <cell r="B222" t="str">
            <v xml:space="preserve">LS </v>
          </cell>
          <cell r="C222" t="str">
            <v>LE_954BASE</v>
          </cell>
          <cell r="J222">
            <v>3</v>
          </cell>
        </row>
        <row r="223">
          <cell r="A223" t="str">
            <v>SEP 2015</v>
          </cell>
          <cell r="B223" t="str">
            <v>RLS</v>
          </cell>
          <cell r="C223" t="str">
            <v>LE_955BASE</v>
          </cell>
          <cell r="J223">
            <v>20</v>
          </cell>
        </row>
        <row r="224">
          <cell r="A224" t="str">
            <v>SEP 2015</v>
          </cell>
          <cell r="B224" t="str">
            <v xml:space="preserve">LS </v>
          </cell>
          <cell r="C224" t="str">
            <v>LE_955BASE</v>
          </cell>
          <cell r="J224">
            <v>70</v>
          </cell>
        </row>
        <row r="225">
          <cell r="A225" t="str">
            <v>SEP 2015</v>
          </cell>
          <cell r="B225" t="str">
            <v>RLS</v>
          </cell>
          <cell r="C225" t="str">
            <v>LE_956BASE</v>
          </cell>
          <cell r="J225">
            <v>1</v>
          </cell>
        </row>
        <row r="226">
          <cell r="A226" t="str">
            <v>SEP 2015</v>
          </cell>
          <cell r="B226" t="str">
            <v xml:space="preserve">LS </v>
          </cell>
          <cell r="C226" t="str">
            <v>LE_956BASE</v>
          </cell>
          <cell r="J226">
            <v>64</v>
          </cell>
        </row>
        <row r="227">
          <cell r="A227" t="str">
            <v>SEP 2015</v>
          </cell>
          <cell r="B227" t="str">
            <v>RLS</v>
          </cell>
          <cell r="C227" t="str">
            <v>LE_957BASE</v>
          </cell>
          <cell r="J227">
            <v>6</v>
          </cell>
        </row>
        <row r="228">
          <cell r="A228" t="str">
            <v>SEP 2015</v>
          </cell>
          <cell r="B228" t="str">
            <v xml:space="preserve">LS </v>
          </cell>
          <cell r="C228" t="str">
            <v>LE_957BASE</v>
          </cell>
          <cell r="J228">
            <v>60</v>
          </cell>
        </row>
        <row r="229">
          <cell r="A229" t="str">
            <v>SEP 2015</v>
          </cell>
          <cell r="B229" t="str">
            <v>RLS</v>
          </cell>
          <cell r="C229" t="str">
            <v>LE_958POLE</v>
          </cell>
          <cell r="J229">
            <v>37</v>
          </cell>
        </row>
        <row r="230">
          <cell r="A230" t="str">
            <v>SEP 2015</v>
          </cell>
          <cell r="B230" t="str">
            <v xml:space="preserve">LS </v>
          </cell>
          <cell r="C230" t="str">
            <v>LE_958POLE</v>
          </cell>
          <cell r="J230">
            <v>432</v>
          </cell>
        </row>
        <row r="231">
          <cell r="A231" t="str">
            <v>SEP 2015</v>
          </cell>
          <cell r="C231" t="str">
            <v>Result</v>
          </cell>
        </row>
        <row r="232">
          <cell r="A232" t="str">
            <v>OCT 2015</v>
          </cell>
          <cell r="B232" t="str">
            <v>RLS</v>
          </cell>
          <cell r="C232" t="str">
            <v>LE_900POLE</v>
          </cell>
          <cell r="J232">
            <v>1702</v>
          </cell>
        </row>
        <row r="233">
          <cell r="A233" t="str">
            <v>OCT 2015</v>
          </cell>
          <cell r="B233" t="str">
            <v xml:space="preserve">LS </v>
          </cell>
          <cell r="C233" t="str">
            <v>LE_900POLE</v>
          </cell>
          <cell r="J233">
            <v>5261</v>
          </cell>
        </row>
        <row r="234">
          <cell r="A234" t="str">
            <v>OCT 2015</v>
          </cell>
          <cell r="B234" t="str">
            <v>RLS</v>
          </cell>
          <cell r="C234" t="str">
            <v>LE_901POLE</v>
          </cell>
          <cell r="J234">
            <v>157</v>
          </cell>
        </row>
        <row r="235">
          <cell r="A235" t="str">
            <v>OCT 2015</v>
          </cell>
          <cell r="B235" t="str">
            <v xml:space="preserve">LS </v>
          </cell>
          <cell r="C235" t="str">
            <v>LE_901POLE</v>
          </cell>
          <cell r="J235">
            <v>0</v>
          </cell>
        </row>
        <row r="236">
          <cell r="A236" t="str">
            <v>OCT 2015</v>
          </cell>
          <cell r="B236" t="str">
            <v>RLS</v>
          </cell>
          <cell r="C236" t="str">
            <v>LE_902POLE</v>
          </cell>
          <cell r="J236">
            <v>277</v>
          </cell>
        </row>
        <row r="237">
          <cell r="A237" t="str">
            <v>OCT 2015</v>
          </cell>
          <cell r="B237" t="str">
            <v xml:space="preserve">LS </v>
          </cell>
          <cell r="C237" t="str">
            <v>LE_902POLE</v>
          </cell>
          <cell r="J237">
            <v>3</v>
          </cell>
        </row>
        <row r="238">
          <cell r="A238" t="str">
            <v>OCT 2015</v>
          </cell>
          <cell r="B238" t="str">
            <v>RLS</v>
          </cell>
          <cell r="C238" t="str">
            <v>LE_950BASE</v>
          </cell>
          <cell r="J238">
            <v>32</v>
          </cell>
        </row>
        <row r="239">
          <cell r="A239" t="str">
            <v>OCT 2015</v>
          </cell>
          <cell r="B239" t="str">
            <v xml:space="preserve">LS </v>
          </cell>
          <cell r="C239" t="str">
            <v>LE_950BASE</v>
          </cell>
          <cell r="J239">
            <v>10</v>
          </cell>
        </row>
        <row r="240">
          <cell r="A240" t="str">
            <v>OCT 2015</v>
          </cell>
          <cell r="B240" t="str">
            <v>RLS</v>
          </cell>
          <cell r="C240" t="str">
            <v>LE_951BASE</v>
          </cell>
          <cell r="J240">
            <v>175</v>
          </cell>
        </row>
        <row r="241">
          <cell r="A241" t="str">
            <v>OCT 2015</v>
          </cell>
          <cell r="B241" t="str">
            <v xml:space="preserve">LS </v>
          </cell>
          <cell r="C241" t="str">
            <v>LE_951BASE</v>
          </cell>
          <cell r="J241">
            <v>3</v>
          </cell>
        </row>
        <row r="242">
          <cell r="A242" t="str">
            <v>OCT 2015</v>
          </cell>
          <cell r="B242" t="str">
            <v>RLS</v>
          </cell>
          <cell r="C242" t="str">
            <v>LE_952BASE</v>
          </cell>
          <cell r="J242">
            <v>179</v>
          </cell>
        </row>
        <row r="243">
          <cell r="A243" t="str">
            <v>OCT 2015</v>
          </cell>
          <cell r="B243" t="str">
            <v xml:space="preserve">LS </v>
          </cell>
          <cell r="C243" t="str">
            <v>LE_952BASE</v>
          </cell>
          <cell r="J243">
            <v>56</v>
          </cell>
        </row>
        <row r="244">
          <cell r="A244" t="str">
            <v>OCT 2015</v>
          </cell>
          <cell r="B244" t="str">
            <v>RLS</v>
          </cell>
          <cell r="C244" t="str">
            <v>LE_953BASE</v>
          </cell>
          <cell r="J244">
            <v>53</v>
          </cell>
        </row>
        <row r="245">
          <cell r="A245" t="str">
            <v>OCT 2015</v>
          </cell>
          <cell r="B245" t="str">
            <v xml:space="preserve">LS </v>
          </cell>
          <cell r="C245" t="str">
            <v>LE_953BASE</v>
          </cell>
          <cell r="J245">
            <v>132</v>
          </cell>
        </row>
        <row r="246">
          <cell r="A246" t="str">
            <v>OCT 2015</v>
          </cell>
          <cell r="B246" t="str">
            <v>RLS</v>
          </cell>
          <cell r="C246" t="str">
            <v>LE_954BASE</v>
          </cell>
          <cell r="J246">
            <v>45</v>
          </cell>
        </row>
        <row r="247">
          <cell r="A247" t="str">
            <v>OCT 2015</v>
          </cell>
          <cell r="B247" t="str">
            <v xml:space="preserve">LS </v>
          </cell>
          <cell r="C247" t="str">
            <v>LE_954BASE</v>
          </cell>
          <cell r="J247">
            <v>3</v>
          </cell>
        </row>
        <row r="248">
          <cell r="A248" t="str">
            <v>OCT 2015</v>
          </cell>
          <cell r="B248" t="str">
            <v>RLS</v>
          </cell>
          <cell r="C248" t="str">
            <v>LE_955BASE</v>
          </cell>
          <cell r="J248">
            <v>20</v>
          </cell>
        </row>
        <row r="249">
          <cell r="A249" t="str">
            <v>OCT 2015</v>
          </cell>
          <cell r="B249" t="str">
            <v xml:space="preserve">LS </v>
          </cell>
          <cell r="C249" t="str">
            <v>LE_955BASE</v>
          </cell>
          <cell r="J249">
            <v>70</v>
          </cell>
        </row>
        <row r="250">
          <cell r="A250" t="str">
            <v>OCT 2015</v>
          </cell>
          <cell r="B250" t="str">
            <v>RLS</v>
          </cell>
          <cell r="C250" t="str">
            <v>LE_956BASE</v>
          </cell>
          <cell r="J250">
            <v>1</v>
          </cell>
        </row>
        <row r="251">
          <cell r="A251" t="str">
            <v>OCT 2015</v>
          </cell>
          <cell r="B251" t="str">
            <v xml:space="preserve">LS </v>
          </cell>
          <cell r="C251" t="str">
            <v>LE_956BASE</v>
          </cell>
          <cell r="J251">
            <v>231</v>
          </cell>
        </row>
        <row r="252">
          <cell r="A252" t="str">
            <v>OCT 2015</v>
          </cell>
          <cell r="B252" t="str">
            <v>RLS</v>
          </cell>
          <cell r="C252" t="str">
            <v>LE_957BASE</v>
          </cell>
          <cell r="J252">
            <v>6</v>
          </cell>
        </row>
        <row r="253">
          <cell r="A253" t="str">
            <v>OCT 2015</v>
          </cell>
          <cell r="B253" t="str">
            <v xml:space="preserve">LS </v>
          </cell>
          <cell r="C253" t="str">
            <v>LE_957BASE</v>
          </cell>
          <cell r="J253">
            <v>60</v>
          </cell>
        </row>
        <row r="254">
          <cell r="A254" t="str">
            <v>OCT 2015</v>
          </cell>
          <cell r="B254" t="str">
            <v>RLS</v>
          </cell>
          <cell r="C254" t="str">
            <v>LE_958POLE</v>
          </cell>
          <cell r="J254">
            <v>39</v>
          </cell>
        </row>
        <row r="255">
          <cell r="A255" t="str">
            <v>OCT 2015</v>
          </cell>
          <cell r="B255" t="str">
            <v xml:space="preserve">LS </v>
          </cell>
          <cell r="C255" t="str">
            <v>LE_958POLE</v>
          </cell>
          <cell r="J255">
            <v>432</v>
          </cell>
        </row>
        <row r="256">
          <cell r="A256" t="str">
            <v>OCT 2015</v>
          </cell>
          <cell r="C256" t="str">
            <v>Result</v>
          </cell>
        </row>
        <row r="257">
          <cell r="A257" t="str">
            <v>NOV 2015</v>
          </cell>
          <cell r="B257" t="str">
            <v>RLS</v>
          </cell>
          <cell r="C257" t="str">
            <v>LE_900POLE</v>
          </cell>
          <cell r="J257">
            <v>1686</v>
          </cell>
        </row>
        <row r="258">
          <cell r="A258" t="str">
            <v>NOV 2015</v>
          </cell>
          <cell r="B258" t="str">
            <v xml:space="preserve">LS </v>
          </cell>
          <cell r="C258" t="str">
            <v>LE_900POLE</v>
          </cell>
          <cell r="J258">
            <v>5194</v>
          </cell>
        </row>
        <row r="259">
          <cell r="A259" t="str">
            <v>NOV 2015</v>
          </cell>
          <cell r="B259" t="str">
            <v>RLS</v>
          </cell>
          <cell r="C259" t="str">
            <v>LE_901POLE</v>
          </cell>
          <cell r="J259">
            <v>157</v>
          </cell>
        </row>
        <row r="260">
          <cell r="A260" t="str">
            <v>NOV 2015</v>
          </cell>
          <cell r="B260" t="str">
            <v xml:space="preserve">LS </v>
          </cell>
          <cell r="C260" t="str">
            <v>LE_901POLE</v>
          </cell>
          <cell r="J260">
            <v>0</v>
          </cell>
        </row>
        <row r="261">
          <cell r="A261" t="str">
            <v>NOV 2015</v>
          </cell>
          <cell r="B261" t="str">
            <v>RLS</v>
          </cell>
          <cell r="C261" t="str">
            <v>LE_902POLE</v>
          </cell>
          <cell r="J261">
            <v>277</v>
          </cell>
        </row>
        <row r="262">
          <cell r="A262" t="str">
            <v>NOV 2015</v>
          </cell>
          <cell r="B262" t="str">
            <v xml:space="preserve">LS </v>
          </cell>
          <cell r="C262" t="str">
            <v>LE_902POLE</v>
          </cell>
          <cell r="J262">
            <v>3</v>
          </cell>
        </row>
        <row r="263">
          <cell r="A263" t="str">
            <v>NOV 2015</v>
          </cell>
          <cell r="B263" t="str">
            <v>RLS</v>
          </cell>
          <cell r="C263" t="str">
            <v>LE_950BASE</v>
          </cell>
          <cell r="J263">
            <v>32</v>
          </cell>
        </row>
        <row r="264">
          <cell r="A264" t="str">
            <v>NOV 2015</v>
          </cell>
          <cell r="B264" t="str">
            <v xml:space="preserve">LS </v>
          </cell>
          <cell r="C264" t="str">
            <v>LE_950BASE</v>
          </cell>
          <cell r="J264">
            <v>10</v>
          </cell>
        </row>
        <row r="265">
          <cell r="A265" t="str">
            <v>NOV 2015</v>
          </cell>
          <cell r="B265" t="str">
            <v>RLS</v>
          </cell>
          <cell r="C265" t="str">
            <v>LE_951BASE</v>
          </cell>
          <cell r="J265">
            <v>175</v>
          </cell>
        </row>
        <row r="266">
          <cell r="A266" t="str">
            <v>NOV 2015</v>
          </cell>
          <cell r="B266" t="str">
            <v xml:space="preserve">LS </v>
          </cell>
          <cell r="C266" t="str">
            <v>LE_951BASE</v>
          </cell>
          <cell r="J266">
            <v>3</v>
          </cell>
        </row>
        <row r="267">
          <cell r="A267" t="str">
            <v>NOV 2015</v>
          </cell>
          <cell r="B267" t="str">
            <v>RLS</v>
          </cell>
          <cell r="C267" t="str">
            <v>LE_952BASE</v>
          </cell>
          <cell r="J267">
            <v>179</v>
          </cell>
        </row>
        <row r="268">
          <cell r="A268" t="str">
            <v>NOV 2015</v>
          </cell>
          <cell r="B268" t="str">
            <v xml:space="preserve">LS </v>
          </cell>
          <cell r="C268" t="str">
            <v>LE_952BASE</v>
          </cell>
          <cell r="J268">
            <v>56</v>
          </cell>
        </row>
        <row r="269">
          <cell r="A269" t="str">
            <v>NOV 2015</v>
          </cell>
          <cell r="B269" t="str">
            <v>RLS</v>
          </cell>
          <cell r="C269" t="str">
            <v>LE_953BASE</v>
          </cell>
          <cell r="J269">
            <v>53</v>
          </cell>
        </row>
        <row r="270">
          <cell r="A270" t="str">
            <v>NOV 2015</v>
          </cell>
          <cell r="B270" t="str">
            <v xml:space="preserve">LS </v>
          </cell>
          <cell r="C270" t="str">
            <v>LE_953BASE</v>
          </cell>
          <cell r="J270">
            <v>92</v>
          </cell>
        </row>
        <row r="271">
          <cell r="A271" t="str">
            <v>NOV 2015</v>
          </cell>
          <cell r="B271" t="str">
            <v>RLS</v>
          </cell>
          <cell r="C271" t="str">
            <v>LE_954BASE</v>
          </cell>
          <cell r="J271">
            <v>45</v>
          </cell>
        </row>
        <row r="272">
          <cell r="A272" t="str">
            <v>NOV 2015</v>
          </cell>
          <cell r="B272" t="str">
            <v xml:space="preserve">LS </v>
          </cell>
          <cell r="C272" t="str">
            <v>LE_954BASE</v>
          </cell>
          <cell r="J272">
            <v>3</v>
          </cell>
        </row>
        <row r="273">
          <cell r="A273" t="str">
            <v>NOV 2015</v>
          </cell>
          <cell r="B273" t="str">
            <v>RLS</v>
          </cell>
          <cell r="C273" t="str">
            <v>LE_955BASE</v>
          </cell>
          <cell r="J273">
            <v>20</v>
          </cell>
        </row>
        <row r="274">
          <cell r="A274" t="str">
            <v>NOV 2015</v>
          </cell>
          <cell r="B274" t="str">
            <v xml:space="preserve">LS </v>
          </cell>
          <cell r="C274" t="str">
            <v>LE_955BASE</v>
          </cell>
          <cell r="J274">
            <v>70</v>
          </cell>
        </row>
        <row r="275">
          <cell r="A275" t="str">
            <v>NOV 2015</v>
          </cell>
          <cell r="B275" t="str">
            <v>RLS</v>
          </cell>
          <cell r="C275" t="str">
            <v>LE_956BASE</v>
          </cell>
          <cell r="J275">
            <v>1</v>
          </cell>
        </row>
        <row r="276">
          <cell r="A276" t="str">
            <v>NOV 2015</v>
          </cell>
          <cell r="B276" t="str">
            <v xml:space="preserve">LS </v>
          </cell>
          <cell r="C276" t="str">
            <v>LE_956BASE</v>
          </cell>
          <cell r="J276">
            <v>79</v>
          </cell>
        </row>
        <row r="277">
          <cell r="A277" t="str">
            <v>NOV 2015</v>
          </cell>
          <cell r="B277" t="str">
            <v>RLS</v>
          </cell>
          <cell r="C277" t="str">
            <v>LE_957BASE</v>
          </cell>
          <cell r="J277">
            <v>6</v>
          </cell>
        </row>
        <row r="278">
          <cell r="A278" t="str">
            <v>NOV 2015</v>
          </cell>
          <cell r="B278" t="str">
            <v xml:space="preserve">LS </v>
          </cell>
          <cell r="C278" t="str">
            <v>LE_957BASE</v>
          </cell>
          <cell r="J278">
            <v>60</v>
          </cell>
        </row>
        <row r="279">
          <cell r="A279" t="str">
            <v>NOV 2015</v>
          </cell>
          <cell r="B279" t="str">
            <v>RLS</v>
          </cell>
          <cell r="C279" t="str">
            <v>LE_958POLE</v>
          </cell>
          <cell r="J279">
            <v>37</v>
          </cell>
        </row>
        <row r="280">
          <cell r="A280" t="str">
            <v>NOV 2015</v>
          </cell>
          <cell r="B280" t="str">
            <v xml:space="preserve">LS </v>
          </cell>
          <cell r="C280" t="str">
            <v>LE_958POLE</v>
          </cell>
          <cell r="J280">
            <v>426</v>
          </cell>
        </row>
        <row r="281">
          <cell r="A281" t="str">
            <v>NOV 2015</v>
          </cell>
          <cell r="C281" t="str">
            <v>Result</v>
          </cell>
        </row>
        <row r="282">
          <cell r="A282" t="str">
            <v>DEC 2015</v>
          </cell>
          <cell r="B282" t="str">
            <v>RLS</v>
          </cell>
          <cell r="C282" t="str">
            <v>LE_900POLE</v>
          </cell>
          <cell r="J282">
            <v>1677</v>
          </cell>
        </row>
        <row r="283">
          <cell r="A283" t="str">
            <v>DEC 2015</v>
          </cell>
          <cell r="B283" t="str">
            <v xml:space="preserve">LS </v>
          </cell>
          <cell r="C283" t="str">
            <v>LE_900POLE</v>
          </cell>
          <cell r="J283">
            <v>5238</v>
          </cell>
        </row>
        <row r="284">
          <cell r="A284" t="str">
            <v>DEC 2015</v>
          </cell>
          <cell r="B284" t="str">
            <v>RLS</v>
          </cell>
          <cell r="C284" t="str">
            <v>LE_901POLE</v>
          </cell>
          <cell r="J284">
            <v>157</v>
          </cell>
        </row>
        <row r="285">
          <cell r="A285" t="str">
            <v>DEC 2015</v>
          </cell>
          <cell r="B285" t="str">
            <v xml:space="preserve">LS </v>
          </cell>
          <cell r="C285" t="str">
            <v>LE_901POLE</v>
          </cell>
          <cell r="J285">
            <v>0</v>
          </cell>
        </row>
        <row r="286">
          <cell r="A286" t="str">
            <v>DEC 2015</v>
          </cell>
          <cell r="B286" t="str">
            <v>RLS</v>
          </cell>
          <cell r="C286" t="str">
            <v>LE_902POLE</v>
          </cell>
          <cell r="J286">
            <v>277</v>
          </cell>
        </row>
        <row r="287">
          <cell r="A287" t="str">
            <v>DEC 2015</v>
          </cell>
          <cell r="B287" t="str">
            <v xml:space="preserve">LS </v>
          </cell>
          <cell r="C287" t="str">
            <v>LE_902POLE</v>
          </cell>
          <cell r="J287">
            <v>3</v>
          </cell>
        </row>
        <row r="288">
          <cell r="A288" t="str">
            <v>DEC 2015</v>
          </cell>
          <cell r="B288" t="str">
            <v>RLS</v>
          </cell>
          <cell r="C288" t="str">
            <v>LE_950BASE</v>
          </cell>
          <cell r="J288">
            <v>32</v>
          </cell>
        </row>
        <row r="289">
          <cell r="A289" t="str">
            <v>DEC 2015</v>
          </cell>
          <cell r="B289" t="str">
            <v xml:space="preserve">LS </v>
          </cell>
          <cell r="C289" t="str">
            <v>LE_950BASE</v>
          </cell>
          <cell r="J289">
            <v>10</v>
          </cell>
        </row>
        <row r="290">
          <cell r="A290" t="str">
            <v>DEC 2015</v>
          </cell>
          <cell r="B290" t="str">
            <v>RLS</v>
          </cell>
          <cell r="C290" t="str">
            <v>LE_951BASE</v>
          </cell>
          <cell r="J290">
            <v>175</v>
          </cell>
        </row>
        <row r="291">
          <cell r="A291" t="str">
            <v>DEC 2015</v>
          </cell>
          <cell r="B291" t="str">
            <v xml:space="preserve">LS </v>
          </cell>
          <cell r="C291" t="str">
            <v>LE_951BASE</v>
          </cell>
          <cell r="J291">
            <v>3</v>
          </cell>
        </row>
        <row r="292">
          <cell r="A292" t="str">
            <v>DEC 2015</v>
          </cell>
          <cell r="B292" t="str">
            <v>RLS</v>
          </cell>
          <cell r="C292" t="str">
            <v>LE_956BASE</v>
          </cell>
          <cell r="J292">
            <v>179</v>
          </cell>
        </row>
        <row r="293">
          <cell r="A293" t="str">
            <v>DEC 2015</v>
          </cell>
          <cell r="B293" t="str">
            <v xml:space="preserve">LS </v>
          </cell>
          <cell r="C293" t="str">
            <v>LE_956BASE</v>
          </cell>
          <cell r="J293">
            <v>56</v>
          </cell>
        </row>
        <row r="294">
          <cell r="A294" t="str">
            <v>DEC 2015</v>
          </cell>
          <cell r="B294" t="str">
            <v>RLS</v>
          </cell>
          <cell r="C294" t="str">
            <v>LE_956BASE</v>
          </cell>
          <cell r="J294">
            <v>53</v>
          </cell>
        </row>
        <row r="295">
          <cell r="A295" t="str">
            <v>DEC 2015</v>
          </cell>
          <cell r="B295" t="str">
            <v xml:space="preserve">LS </v>
          </cell>
          <cell r="C295" t="str">
            <v>LE_956BASE</v>
          </cell>
          <cell r="J295">
            <v>112</v>
          </cell>
        </row>
        <row r="296">
          <cell r="A296" t="str">
            <v>DEC 2015</v>
          </cell>
          <cell r="B296" t="str">
            <v>RLS</v>
          </cell>
          <cell r="C296" t="str">
            <v>LE_950BASE</v>
          </cell>
          <cell r="J296">
            <v>45</v>
          </cell>
        </row>
        <row r="297">
          <cell r="A297" t="str">
            <v>DEC 2015</v>
          </cell>
          <cell r="B297" t="str">
            <v xml:space="preserve">LS </v>
          </cell>
          <cell r="C297" t="str">
            <v>LE_950BASE</v>
          </cell>
          <cell r="J297">
            <v>3</v>
          </cell>
        </row>
        <row r="298">
          <cell r="A298" t="str">
            <v>DEC 2015</v>
          </cell>
          <cell r="B298" t="str">
            <v>RLS</v>
          </cell>
          <cell r="C298" t="str">
            <v>LE_951BASE</v>
          </cell>
          <cell r="J298">
            <v>20</v>
          </cell>
        </row>
        <row r="299">
          <cell r="A299" t="str">
            <v>DEC 2015</v>
          </cell>
          <cell r="B299" t="str">
            <v xml:space="preserve">LS </v>
          </cell>
          <cell r="C299" t="str">
            <v>LE_951BASE</v>
          </cell>
          <cell r="J299">
            <v>70</v>
          </cell>
        </row>
        <row r="300">
          <cell r="A300" t="str">
            <v>DEC 2015</v>
          </cell>
          <cell r="B300" t="str">
            <v>RLS</v>
          </cell>
          <cell r="C300" t="str">
            <v>LE_956BASE</v>
          </cell>
          <cell r="J300">
            <v>1</v>
          </cell>
        </row>
        <row r="301">
          <cell r="A301" t="str">
            <v>DEC 2015</v>
          </cell>
          <cell r="B301" t="str">
            <v xml:space="preserve">LS </v>
          </cell>
          <cell r="C301" t="str">
            <v>LE_956BASE</v>
          </cell>
          <cell r="J301">
            <v>79</v>
          </cell>
        </row>
        <row r="302">
          <cell r="A302" t="str">
            <v>DEC 2015</v>
          </cell>
          <cell r="B302" t="str">
            <v>RLS</v>
          </cell>
          <cell r="C302" t="str">
            <v>LE_956BASE</v>
          </cell>
          <cell r="J302">
            <v>6</v>
          </cell>
        </row>
        <row r="303">
          <cell r="A303" t="str">
            <v>DEC 2015</v>
          </cell>
          <cell r="B303" t="str">
            <v xml:space="preserve">LS </v>
          </cell>
          <cell r="C303" t="str">
            <v>LE_956BASE</v>
          </cell>
          <cell r="J303">
            <v>60</v>
          </cell>
        </row>
        <row r="304">
          <cell r="A304" t="str">
            <v>DEC 2015</v>
          </cell>
          <cell r="B304" t="str">
            <v>RLS</v>
          </cell>
          <cell r="C304" t="str">
            <v>LE_958POLE</v>
          </cell>
          <cell r="J304">
            <v>37</v>
          </cell>
        </row>
        <row r="305">
          <cell r="A305" t="str">
            <v>DEC 2015</v>
          </cell>
          <cell r="B305" t="str">
            <v xml:space="preserve">LS </v>
          </cell>
          <cell r="C305" t="str">
            <v>LE_958POLE</v>
          </cell>
          <cell r="J305">
            <v>431</v>
          </cell>
        </row>
        <row r="306">
          <cell r="A306" t="str">
            <v>DEC 2015</v>
          </cell>
          <cell r="C306" t="str">
            <v>Result</v>
          </cell>
        </row>
      </sheetData>
      <sheetData sheetId="22">
        <row r="3">
          <cell r="A3" t="str">
            <v>JAN 2016</v>
          </cell>
          <cell r="B3" t="str">
            <v>LGUM_201</v>
          </cell>
          <cell r="C3">
            <v>79</v>
          </cell>
        </row>
        <row r="4">
          <cell r="A4" t="str">
            <v>JAN 2016</v>
          </cell>
          <cell r="B4" t="str">
            <v>LGUM_203</v>
          </cell>
          <cell r="C4">
            <v>3887</v>
          </cell>
        </row>
        <row r="5">
          <cell r="A5" t="str">
            <v>JAN 2016</v>
          </cell>
          <cell r="B5" t="str">
            <v>LGUM_204</v>
          </cell>
          <cell r="C5">
            <v>3853</v>
          </cell>
        </row>
        <row r="6">
          <cell r="A6" t="str">
            <v>JAN 2016</v>
          </cell>
          <cell r="B6" t="str">
            <v>LGUM_206</v>
          </cell>
          <cell r="C6">
            <v>97</v>
          </cell>
        </row>
        <row r="7">
          <cell r="A7" t="str">
            <v>JAN 2016</v>
          </cell>
          <cell r="B7" t="str">
            <v>LGUM_207</v>
          </cell>
          <cell r="C7">
            <v>767</v>
          </cell>
        </row>
        <row r="8">
          <cell r="A8" t="str">
            <v>JAN 2016</v>
          </cell>
          <cell r="B8" t="str">
            <v>LGUM_208</v>
          </cell>
          <cell r="C8">
            <v>1414</v>
          </cell>
        </row>
        <row r="9">
          <cell r="A9" t="str">
            <v>JAN 2016</v>
          </cell>
          <cell r="B9" t="str">
            <v>LGUM_209</v>
          </cell>
          <cell r="C9">
            <v>45</v>
          </cell>
        </row>
        <row r="10">
          <cell r="A10" t="str">
            <v>JAN 2016</v>
          </cell>
          <cell r="B10" t="str">
            <v>LGUM_210</v>
          </cell>
          <cell r="C10">
            <v>365</v>
          </cell>
        </row>
        <row r="11">
          <cell r="A11" t="str">
            <v>JAN 2016</v>
          </cell>
          <cell r="B11" t="str">
            <v>LGUM_252</v>
          </cell>
          <cell r="C11">
            <v>4021</v>
          </cell>
        </row>
        <row r="12">
          <cell r="A12" t="str">
            <v>JAN 2016</v>
          </cell>
          <cell r="B12" t="str">
            <v>LGUM_266</v>
          </cell>
          <cell r="C12">
            <v>2034</v>
          </cell>
        </row>
        <row r="13">
          <cell r="A13" t="str">
            <v>JAN 2016</v>
          </cell>
          <cell r="B13" t="str">
            <v>LGUM_267</v>
          </cell>
          <cell r="C13">
            <v>2265</v>
          </cell>
        </row>
        <row r="14">
          <cell r="A14" t="str">
            <v>JAN 2016</v>
          </cell>
          <cell r="B14" t="str">
            <v>LGUM_274</v>
          </cell>
          <cell r="C14">
            <v>16883</v>
          </cell>
        </row>
        <row r="15">
          <cell r="A15" t="str">
            <v>JAN 2016</v>
          </cell>
          <cell r="B15" t="str">
            <v>LGUM_275</v>
          </cell>
          <cell r="C15">
            <v>520</v>
          </cell>
        </row>
        <row r="16">
          <cell r="A16" t="str">
            <v>JAN 2016</v>
          </cell>
          <cell r="B16" t="str">
            <v>LGUM_276</v>
          </cell>
          <cell r="C16">
            <v>1329</v>
          </cell>
        </row>
        <row r="17">
          <cell r="A17" t="str">
            <v>JAN 2016</v>
          </cell>
          <cell r="B17" t="str">
            <v>LGUM_277</v>
          </cell>
          <cell r="C17">
            <v>2276</v>
          </cell>
        </row>
        <row r="18">
          <cell r="A18" t="str">
            <v>JAN 2016</v>
          </cell>
          <cell r="B18" t="str">
            <v>LGUM_278</v>
          </cell>
          <cell r="C18">
            <v>17</v>
          </cell>
        </row>
        <row r="19">
          <cell r="A19" t="str">
            <v>JAN 2016</v>
          </cell>
          <cell r="B19" t="str">
            <v>LGUM_279</v>
          </cell>
          <cell r="C19">
            <v>11</v>
          </cell>
        </row>
        <row r="20">
          <cell r="A20" t="str">
            <v>JAN 2016</v>
          </cell>
          <cell r="B20" t="str">
            <v>LGUM_280</v>
          </cell>
          <cell r="C20">
            <v>45</v>
          </cell>
        </row>
        <row r="21">
          <cell r="A21" t="str">
            <v>JAN 2016</v>
          </cell>
          <cell r="B21" t="str">
            <v>LGUM_281</v>
          </cell>
          <cell r="C21">
            <v>243</v>
          </cell>
        </row>
        <row r="22">
          <cell r="A22" t="str">
            <v>JAN 2016</v>
          </cell>
          <cell r="B22" t="str">
            <v>LGUM_282</v>
          </cell>
          <cell r="C22">
            <v>104</v>
          </cell>
        </row>
        <row r="23">
          <cell r="A23" t="str">
            <v>JAN 2016</v>
          </cell>
          <cell r="B23" t="str">
            <v>LGUM_283</v>
          </cell>
          <cell r="C23">
            <v>81</v>
          </cell>
        </row>
        <row r="24">
          <cell r="A24" t="str">
            <v>JAN 2016</v>
          </cell>
          <cell r="B24" t="str">
            <v>LGUM_314</v>
          </cell>
          <cell r="C24">
            <v>550</v>
          </cell>
        </row>
        <row r="25">
          <cell r="A25" t="str">
            <v>JAN 2016</v>
          </cell>
          <cell r="B25" t="str">
            <v>LGUM_315</v>
          </cell>
          <cell r="C25">
            <v>527</v>
          </cell>
        </row>
        <row r="26">
          <cell r="A26" t="str">
            <v>JAN 2016</v>
          </cell>
          <cell r="B26" t="str">
            <v>LGUM_318</v>
          </cell>
          <cell r="C26">
            <v>53</v>
          </cell>
        </row>
        <row r="27">
          <cell r="A27" t="str">
            <v>JAN 2016</v>
          </cell>
          <cell r="B27" t="str">
            <v>LGUM_348</v>
          </cell>
          <cell r="C27">
            <v>39</v>
          </cell>
        </row>
        <row r="28">
          <cell r="A28" t="str">
            <v>JAN 2016</v>
          </cell>
          <cell r="B28" t="str">
            <v>LGUM_349</v>
          </cell>
          <cell r="C28">
            <v>17</v>
          </cell>
        </row>
        <row r="29">
          <cell r="A29" t="str">
            <v>JAN 2016</v>
          </cell>
          <cell r="B29" t="str">
            <v>LGUM_400</v>
          </cell>
          <cell r="C29">
            <v>32</v>
          </cell>
        </row>
        <row r="30">
          <cell r="A30" t="str">
            <v>JAN 2016</v>
          </cell>
          <cell r="B30" t="str">
            <v>LGUM_401</v>
          </cell>
          <cell r="C30">
            <v>4</v>
          </cell>
        </row>
        <row r="31">
          <cell r="A31" t="str">
            <v>JAN 2016</v>
          </cell>
          <cell r="B31" t="str">
            <v>LGUM_412</v>
          </cell>
          <cell r="C31">
            <v>222</v>
          </cell>
        </row>
        <row r="32">
          <cell r="A32" t="str">
            <v>JAN 2016</v>
          </cell>
          <cell r="B32" t="str">
            <v>LGUM_413</v>
          </cell>
          <cell r="C32">
            <v>2037</v>
          </cell>
        </row>
        <row r="33">
          <cell r="A33" t="str">
            <v>JAN 2016</v>
          </cell>
          <cell r="B33" t="str">
            <v>LGUM_415</v>
          </cell>
          <cell r="C33">
            <v>31</v>
          </cell>
        </row>
        <row r="34">
          <cell r="A34" t="str">
            <v>JAN 2016</v>
          </cell>
          <cell r="B34" t="str">
            <v>LGUM_416</v>
          </cell>
          <cell r="C34">
            <v>1810</v>
          </cell>
        </row>
        <row r="35">
          <cell r="A35" t="str">
            <v>JAN 2016</v>
          </cell>
          <cell r="B35" t="str">
            <v>LGUM_417</v>
          </cell>
          <cell r="C35">
            <v>35</v>
          </cell>
        </row>
        <row r="36">
          <cell r="A36" t="str">
            <v>JAN 2016</v>
          </cell>
          <cell r="B36" t="str">
            <v>LGUM_419</v>
          </cell>
          <cell r="C36">
            <v>111</v>
          </cell>
        </row>
        <row r="37">
          <cell r="A37" t="str">
            <v>JAN 2016</v>
          </cell>
          <cell r="B37" t="str">
            <v>LGUM_420</v>
          </cell>
          <cell r="C37">
            <v>47</v>
          </cell>
        </row>
        <row r="38">
          <cell r="A38" t="str">
            <v>JAN 2016</v>
          </cell>
          <cell r="B38" t="str">
            <v>LGUM_421</v>
          </cell>
          <cell r="C38">
            <v>176</v>
          </cell>
        </row>
        <row r="39">
          <cell r="A39" t="str">
            <v>JAN 2016</v>
          </cell>
          <cell r="B39" t="str">
            <v>LGUM_422</v>
          </cell>
          <cell r="C39">
            <v>355</v>
          </cell>
        </row>
        <row r="40">
          <cell r="A40" t="str">
            <v>JAN 2016</v>
          </cell>
          <cell r="B40" t="str">
            <v>LGUM_423</v>
          </cell>
          <cell r="C40">
            <v>17</v>
          </cell>
        </row>
        <row r="41">
          <cell r="A41" t="str">
            <v>JAN 2016</v>
          </cell>
          <cell r="B41" t="str">
            <v>LGUM_424</v>
          </cell>
          <cell r="C41">
            <v>385</v>
          </cell>
        </row>
        <row r="42">
          <cell r="A42" t="str">
            <v>JAN 2016</v>
          </cell>
          <cell r="B42" t="str">
            <v>LGUM_425</v>
          </cell>
          <cell r="C42">
            <v>34</v>
          </cell>
        </row>
        <row r="43">
          <cell r="A43" t="str">
            <v>JAN 2016</v>
          </cell>
          <cell r="B43" t="str">
            <v>LGUM_426</v>
          </cell>
          <cell r="C43">
            <v>40</v>
          </cell>
        </row>
        <row r="44">
          <cell r="A44" t="str">
            <v>JAN 2016</v>
          </cell>
          <cell r="B44" t="str">
            <v>LGUM_427</v>
          </cell>
          <cell r="C44">
            <v>52</v>
          </cell>
        </row>
        <row r="45">
          <cell r="A45" t="str">
            <v>JAN 2016</v>
          </cell>
          <cell r="B45" t="str">
            <v>LGUM_428</v>
          </cell>
          <cell r="C45">
            <v>205</v>
          </cell>
        </row>
        <row r="46">
          <cell r="A46" t="str">
            <v>JAN 2016</v>
          </cell>
          <cell r="B46" t="str">
            <v>LGUM_429</v>
          </cell>
          <cell r="C46">
            <v>190</v>
          </cell>
        </row>
        <row r="47">
          <cell r="A47" t="str">
            <v>JAN 2016</v>
          </cell>
          <cell r="B47" t="str">
            <v>LGUM_430</v>
          </cell>
          <cell r="C47">
            <v>13</v>
          </cell>
        </row>
        <row r="48">
          <cell r="A48" t="str">
            <v>JAN 2016</v>
          </cell>
          <cell r="B48" t="str">
            <v>LGUM_431</v>
          </cell>
          <cell r="C48">
            <v>44</v>
          </cell>
        </row>
        <row r="49">
          <cell r="A49" t="str">
            <v>JAN 2016</v>
          </cell>
          <cell r="B49" t="str">
            <v>LGUM_432</v>
          </cell>
          <cell r="C49">
            <v>10</v>
          </cell>
        </row>
        <row r="50">
          <cell r="A50" t="str">
            <v>JAN 2016</v>
          </cell>
          <cell r="B50" t="str">
            <v>LGUM_433</v>
          </cell>
          <cell r="C50">
            <v>188</v>
          </cell>
        </row>
        <row r="51">
          <cell r="A51" t="str">
            <v>JAN 2016</v>
          </cell>
          <cell r="B51" t="str">
            <v>LGUM_440</v>
          </cell>
          <cell r="C51">
            <v>2</v>
          </cell>
        </row>
        <row r="52">
          <cell r="A52" t="str">
            <v>JAN 2016</v>
          </cell>
          <cell r="B52" t="str">
            <v>LGUM_441</v>
          </cell>
          <cell r="C52">
            <v>14</v>
          </cell>
        </row>
        <row r="53">
          <cell r="A53" t="str">
            <v>JAN 2016</v>
          </cell>
          <cell r="B53" t="str">
            <v>LGUM_452</v>
          </cell>
          <cell r="C53">
            <v>6373</v>
          </cell>
        </row>
        <row r="54">
          <cell r="A54" t="str">
            <v>JAN 2016</v>
          </cell>
          <cell r="B54" t="str">
            <v>LGUM_453</v>
          </cell>
          <cell r="C54">
            <v>8953</v>
          </cell>
        </row>
        <row r="55">
          <cell r="A55" t="str">
            <v>JAN 2016</v>
          </cell>
          <cell r="B55" t="str">
            <v>LGUM_454</v>
          </cell>
          <cell r="C55">
            <v>5659</v>
          </cell>
        </row>
        <row r="56">
          <cell r="A56" t="str">
            <v>JAN 2016</v>
          </cell>
          <cell r="B56" t="str">
            <v>LGUM_455</v>
          </cell>
          <cell r="C56">
            <v>412</v>
          </cell>
        </row>
        <row r="57">
          <cell r="A57" t="str">
            <v>JAN 2016</v>
          </cell>
          <cell r="B57" t="str">
            <v>LGUM_456</v>
          </cell>
          <cell r="C57">
            <v>12971</v>
          </cell>
        </row>
        <row r="58">
          <cell r="A58" t="str">
            <v>JAN 2016</v>
          </cell>
          <cell r="B58" t="str">
            <v>LGUM_457</v>
          </cell>
          <cell r="C58">
            <v>3281</v>
          </cell>
        </row>
        <row r="59">
          <cell r="A59" t="str">
            <v>JAN 2016</v>
          </cell>
          <cell r="B59" t="str">
            <v>LGUM_458</v>
          </cell>
          <cell r="C59">
            <v>5</v>
          </cell>
        </row>
        <row r="60">
          <cell r="A60" t="str">
            <v>JAN 2016</v>
          </cell>
          <cell r="B60" t="str">
            <v>LGUM_470</v>
          </cell>
          <cell r="C60">
            <v>22</v>
          </cell>
        </row>
        <row r="61">
          <cell r="A61" t="str">
            <v>JAN 2016</v>
          </cell>
          <cell r="B61" t="str">
            <v>LGUM_471</v>
          </cell>
          <cell r="C61">
            <v>2</v>
          </cell>
        </row>
        <row r="62">
          <cell r="A62" t="str">
            <v>JAN 2016</v>
          </cell>
          <cell r="B62" t="str">
            <v>LGUM_473</v>
          </cell>
          <cell r="C62">
            <v>294</v>
          </cell>
        </row>
        <row r="63">
          <cell r="A63" t="str">
            <v>JAN 2016</v>
          </cell>
          <cell r="B63" t="str">
            <v>LGUM_474</v>
          </cell>
          <cell r="C63">
            <v>53</v>
          </cell>
        </row>
        <row r="64">
          <cell r="A64" t="str">
            <v>JAN 2016</v>
          </cell>
          <cell r="B64" t="str">
            <v>LGUM_475</v>
          </cell>
          <cell r="C64">
            <v>2</v>
          </cell>
        </row>
        <row r="65">
          <cell r="A65" t="str">
            <v>JAN 2016</v>
          </cell>
          <cell r="B65" t="str">
            <v>LGUM_476</v>
          </cell>
          <cell r="C65">
            <v>363</v>
          </cell>
        </row>
        <row r="66">
          <cell r="A66" t="str">
            <v>JAN 2016</v>
          </cell>
          <cell r="B66" t="str">
            <v>LGUM_477</v>
          </cell>
          <cell r="C66">
            <v>60</v>
          </cell>
        </row>
        <row r="67">
          <cell r="A67" t="str">
            <v>JAN 2016</v>
          </cell>
          <cell r="B67" t="str">
            <v>LGUM_479</v>
          </cell>
          <cell r="C67">
            <v>0</v>
          </cell>
        </row>
        <row r="68">
          <cell r="A68" t="str">
            <v>JAN 2016</v>
          </cell>
          <cell r="B68" t="str">
            <v>LGUM_480</v>
          </cell>
          <cell r="C68">
            <v>18</v>
          </cell>
        </row>
        <row r="69">
          <cell r="A69" t="str">
            <v>JAN 2016</v>
          </cell>
          <cell r="B69" t="str">
            <v>LGUM_481</v>
          </cell>
          <cell r="C69">
            <v>4</v>
          </cell>
        </row>
        <row r="70">
          <cell r="A70" t="str">
            <v>JAN 2016</v>
          </cell>
          <cell r="B70" t="str">
            <v>LGUM_482</v>
          </cell>
          <cell r="C70">
            <v>39</v>
          </cell>
        </row>
        <row r="71">
          <cell r="A71" t="str">
            <v>JAN 2016</v>
          </cell>
          <cell r="B71" t="str">
            <v>LGUM_483</v>
          </cell>
          <cell r="C71">
            <v>2</v>
          </cell>
        </row>
        <row r="72">
          <cell r="A72" t="str">
            <v>JAN 2016</v>
          </cell>
          <cell r="B72" t="str">
            <v>LGUM_484</v>
          </cell>
          <cell r="C72">
            <v>13</v>
          </cell>
        </row>
        <row r="73">
          <cell r="A73" t="str">
            <v>JAN 2016</v>
          </cell>
        </row>
        <row r="74">
          <cell r="A74" t="str">
            <v>JAN 2016</v>
          </cell>
        </row>
        <row r="75">
          <cell r="B75" t="str">
            <v>Result</v>
          </cell>
        </row>
        <row r="76">
          <cell r="A76" t="str">
            <v>FEB 2016</v>
          </cell>
          <cell r="B76" t="str">
            <v>LGUM_201</v>
          </cell>
          <cell r="C76">
            <v>79</v>
          </cell>
        </row>
        <row r="77">
          <cell r="A77" t="str">
            <v>FEB 2016</v>
          </cell>
          <cell r="B77" t="str">
            <v>LGUM_203</v>
          </cell>
          <cell r="C77">
            <v>3863</v>
          </cell>
        </row>
        <row r="78">
          <cell r="A78" t="str">
            <v>FEB 2016</v>
          </cell>
          <cell r="B78" t="str">
            <v>LGUM_204</v>
          </cell>
          <cell r="C78">
            <v>3839</v>
          </cell>
        </row>
        <row r="79">
          <cell r="A79" t="str">
            <v>FEB 2016</v>
          </cell>
          <cell r="B79" t="str">
            <v>LGUM_206</v>
          </cell>
          <cell r="C79">
            <v>98</v>
          </cell>
        </row>
        <row r="80">
          <cell r="A80" t="str">
            <v>FEB 2016</v>
          </cell>
          <cell r="B80" t="str">
            <v>LGUM_207</v>
          </cell>
          <cell r="C80">
            <v>754</v>
          </cell>
        </row>
        <row r="81">
          <cell r="A81" t="str">
            <v>FEB 2016</v>
          </cell>
          <cell r="B81" t="str">
            <v>LGUM_208</v>
          </cell>
          <cell r="C81">
            <v>1413</v>
          </cell>
        </row>
        <row r="82">
          <cell r="A82" t="str">
            <v>FEB 2016</v>
          </cell>
          <cell r="B82" t="str">
            <v>LGUM_209</v>
          </cell>
          <cell r="C82">
            <v>45</v>
          </cell>
        </row>
        <row r="83">
          <cell r="A83" t="str">
            <v>FEB 2016</v>
          </cell>
          <cell r="B83" t="str">
            <v>LGUM_210</v>
          </cell>
          <cell r="C83">
            <v>356</v>
          </cell>
        </row>
        <row r="84">
          <cell r="A84" t="str">
            <v>FEB 2016</v>
          </cell>
          <cell r="B84" t="str">
            <v>LGUM_252</v>
          </cell>
          <cell r="C84">
            <v>4021</v>
          </cell>
        </row>
        <row r="85">
          <cell r="A85" t="str">
            <v>FEB 2016</v>
          </cell>
          <cell r="B85" t="str">
            <v>LGUM_266</v>
          </cell>
          <cell r="C85">
            <v>1931</v>
          </cell>
        </row>
        <row r="86">
          <cell r="A86" t="str">
            <v>FEB 2016</v>
          </cell>
          <cell r="B86" t="str">
            <v>LGUM_267</v>
          </cell>
          <cell r="C86">
            <v>2230</v>
          </cell>
        </row>
        <row r="87">
          <cell r="A87" t="str">
            <v>FEB 2016</v>
          </cell>
          <cell r="B87" t="str">
            <v>LGUM_274</v>
          </cell>
          <cell r="C87">
            <v>16906</v>
          </cell>
        </row>
        <row r="88">
          <cell r="A88" t="str">
            <v>FEB 2016</v>
          </cell>
          <cell r="B88" t="str">
            <v>LGUM_275</v>
          </cell>
          <cell r="C88">
            <v>522</v>
          </cell>
        </row>
        <row r="89">
          <cell r="A89" t="str">
            <v>FEB 2016</v>
          </cell>
          <cell r="B89" t="str">
            <v>LGUM_276</v>
          </cell>
          <cell r="C89">
            <v>1334</v>
          </cell>
        </row>
        <row r="90">
          <cell r="A90" t="str">
            <v>FEB 2016</v>
          </cell>
          <cell r="B90" t="str">
            <v>LGUM_277</v>
          </cell>
          <cell r="C90">
            <v>2275</v>
          </cell>
        </row>
        <row r="91">
          <cell r="A91" t="str">
            <v>FEB 2016</v>
          </cell>
          <cell r="B91" t="str">
            <v>LGUM_278</v>
          </cell>
          <cell r="C91">
            <v>17</v>
          </cell>
        </row>
        <row r="92">
          <cell r="A92" t="str">
            <v>FEB 2016</v>
          </cell>
          <cell r="B92" t="str">
            <v>LGUM_279</v>
          </cell>
          <cell r="C92">
            <v>11</v>
          </cell>
        </row>
        <row r="93">
          <cell r="A93" t="str">
            <v>FEB 2016</v>
          </cell>
          <cell r="B93" t="str">
            <v>LGUM_280</v>
          </cell>
          <cell r="C93">
            <v>45</v>
          </cell>
        </row>
        <row r="94">
          <cell r="A94" t="str">
            <v>FEB 2016</v>
          </cell>
          <cell r="B94" t="str">
            <v>LGUM_281</v>
          </cell>
          <cell r="C94">
            <v>243</v>
          </cell>
        </row>
        <row r="95">
          <cell r="A95" t="str">
            <v>FEB 2016</v>
          </cell>
          <cell r="B95" t="str">
            <v>LGUM_282</v>
          </cell>
          <cell r="C95">
            <v>104</v>
          </cell>
        </row>
        <row r="96">
          <cell r="A96" t="str">
            <v>FEB 2016</v>
          </cell>
          <cell r="B96" t="str">
            <v>LGUM_283</v>
          </cell>
          <cell r="C96">
            <v>81</v>
          </cell>
        </row>
        <row r="97">
          <cell r="A97" t="str">
            <v>FEB 2016</v>
          </cell>
          <cell r="B97" t="str">
            <v>LGUM_314</v>
          </cell>
          <cell r="C97">
            <v>546</v>
          </cell>
        </row>
        <row r="98">
          <cell r="A98" t="str">
            <v>FEB 2016</v>
          </cell>
          <cell r="B98" t="str">
            <v>LGUM_315</v>
          </cell>
          <cell r="C98">
            <v>516</v>
          </cell>
        </row>
        <row r="99">
          <cell r="A99" t="str">
            <v>FEB 2016</v>
          </cell>
          <cell r="B99" t="str">
            <v>LGUM_318</v>
          </cell>
          <cell r="C99">
            <v>53</v>
          </cell>
        </row>
        <row r="100">
          <cell r="A100" t="str">
            <v>FEB 2016</v>
          </cell>
          <cell r="B100" t="str">
            <v>LGUM_348</v>
          </cell>
          <cell r="C100">
            <v>39</v>
          </cell>
        </row>
        <row r="101">
          <cell r="A101" t="str">
            <v>FEB 2016</v>
          </cell>
          <cell r="B101" t="str">
            <v>LGUM_349</v>
          </cell>
          <cell r="C101">
            <v>17</v>
          </cell>
        </row>
        <row r="102">
          <cell r="A102" t="str">
            <v>FEB 2016</v>
          </cell>
          <cell r="B102" t="str">
            <v>LGUM_400</v>
          </cell>
          <cell r="C102">
            <v>33</v>
          </cell>
        </row>
        <row r="103">
          <cell r="A103" t="str">
            <v>FEB 2016</v>
          </cell>
          <cell r="B103" t="str">
            <v>LGUM_401</v>
          </cell>
          <cell r="C103">
            <v>4</v>
          </cell>
        </row>
        <row r="104">
          <cell r="A104" t="str">
            <v>FEB 2016</v>
          </cell>
          <cell r="B104" t="str">
            <v>LGUM_412</v>
          </cell>
          <cell r="C104">
            <v>223</v>
          </cell>
        </row>
        <row r="105">
          <cell r="A105" t="str">
            <v>FEB 2016</v>
          </cell>
          <cell r="B105" t="str">
            <v>LGUM_413</v>
          </cell>
          <cell r="C105">
            <v>2038</v>
          </cell>
        </row>
        <row r="106">
          <cell r="A106" t="str">
            <v>FEB 2016</v>
          </cell>
          <cell r="B106" t="str">
            <v>LGUM_415</v>
          </cell>
          <cell r="C106">
            <v>32</v>
          </cell>
        </row>
        <row r="107">
          <cell r="A107" t="str">
            <v>FEB 2016</v>
          </cell>
          <cell r="B107" t="str">
            <v>LGUM_416</v>
          </cell>
          <cell r="C107">
            <v>1811</v>
          </cell>
        </row>
        <row r="108">
          <cell r="A108" t="str">
            <v>FEB 2016</v>
          </cell>
          <cell r="B108" t="str">
            <v>LGUM_417</v>
          </cell>
          <cell r="C108">
            <v>35</v>
          </cell>
        </row>
        <row r="109">
          <cell r="A109" t="str">
            <v>FEB 2016</v>
          </cell>
          <cell r="B109" t="str">
            <v>LGUM_419</v>
          </cell>
          <cell r="C109">
            <v>111</v>
          </cell>
        </row>
        <row r="110">
          <cell r="A110" t="str">
            <v>FEB 2016</v>
          </cell>
          <cell r="B110" t="str">
            <v>LGUM_420</v>
          </cell>
          <cell r="C110">
            <v>53</v>
          </cell>
        </row>
        <row r="111">
          <cell r="A111" t="str">
            <v>FEB 2016</v>
          </cell>
          <cell r="B111" t="str">
            <v>LGUM_421</v>
          </cell>
          <cell r="C111">
            <v>176</v>
          </cell>
        </row>
        <row r="112">
          <cell r="A112" t="str">
            <v>FEB 2016</v>
          </cell>
          <cell r="B112" t="str">
            <v>LGUM_422</v>
          </cell>
          <cell r="C112">
            <v>363</v>
          </cell>
        </row>
        <row r="113">
          <cell r="A113" t="str">
            <v>FEB 2016</v>
          </cell>
          <cell r="B113" t="str">
            <v>LGUM_423</v>
          </cell>
          <cell r="C113">
            <v>17</v>
          </cell>
        </row>
        <row r="114">
          <cell r="A114" t="str">
            <v>FEB 2016</v>
          </cell>
          <cell r="B114" t="str">
            <v>LGUM_424</v>
          </cell>
          <cell r="C114">
            <v>405</v>
          </cell>
        </row>
        <row r="115">
          <cell r="A115" t="str">
            <v>FEB 2016</v>
          </cell>
          <cell r="B115" t="str">
            <v>LGUM_425</v>
          </cell>
          <cell r="C115">
            <v>34</v>
          </cell>
        </row>
        <row r="116">
          <cell r="A116" t="str">
            <v>FEB 2016</v>
          </cell>
          <cell r="B116" t="str">
            <v>LGUM_426</v>
          </cell>
          <cell r="C116">
            <v>40</v>
          </cell>
        </row>
        <row r="117">
          <cell r="A117" t="str">
            <v>FEB 2016</v>
          </cell>
          <cell r="B117" t="str">
            <v>LGUM_427</v>
          </cell>
          <cell r="C117">
            <v>52</v>
          </cell>
        </row>
        <row r="118">
          <cell r="A118" t="str">
            <v>FEB 2016</v>
          </cell>
          <cell r="B118" t="str">
            <v>LGUM_428</v>
          </cell>
          <cell r="C118">
            <v>205</v>
          </cell>
        </row>
        <row r="119">
          <cell r="A119" t="str">
            <v>FEB 2016</v>
          </cell>
          <cell r="B119" t="str">
            <v>LGUM_429</v>
          </cell>
          <cell r="C119">
            <v>194</v>
          </cell>
        </row>
        <row r="120">
          <cell r="A120" t="str">
            <v>FEB 2016</v>
          </cell>
          <cell r="B120" t="str">
            <v>LGUM_430</v>
          </cell>
          <cell r="C120">
            <v>13</v>
          </cell>
        </row>
        <row r="121">
          <cell r="A121" t="str">
            <v>FEB 2016</v>
          </cell>
          <cell r="B121" t="str">
            <v>LGUM_431</v>
          </cell>
          <cell r="C121">
            <v>44</v>
          </cell>
        </row>
        <row r="122">
          <cell r="A122" t="str">
            <v>FEB 2016</v>
          </cell>
          <cell r="B122" t="str">
            <v>LGUM_432</v>
          </cell>
          <cell r="C122">
            <v>10</v>
          </cell>
        </row>
        <row r="123">
          <cell r="A123" t="str">
            <v>FEB 2016</v>
          </cell>
          <cell r="B123" t="str">
            <v>LGUM_433</v>
          </cell>
          <cell r="C123">
            <v>192</v>
          </cell>
        </row>
        <row r="124">
          <cell r="A124" t="str">
            <v>FEB 2016</v>
          </cell>
          <cell r="B124" t="str">
            <v>LGUM_439</v>
          </cell>
          <cell r="C124">
            <v>0</v>
          </cell>
        </row>
        <row r="125">
          <cell r="A125" t="str">
            <v>FEB 2016</v>
          </cell>
          <cell r="B125" t="str">
            <v>LGUM_440</v>
          </cell>
          <cell r="C125">
            <v>4</v>
          </cell>
        </row>
        <row r="126">
          <cell r="A126" t="str">
            <v>FEB 2016</v>
          </cell>
          <cell r="B126" t="str">
            <v>LGUM_441</v>
          </cell>
          <cell r="C126">
            <v>12</v>
          </cell>
        </row>
        <row r="127">
          <cell r="A127" t="str">
            <v>FEB 2016</v>
          </cell>
          <cell r="B127" t="str">
            <v>LGUM_452</v>
          </cell>
          <cell r="C127">
            <v>6384</v>
          </cell>
        </row>
        <row r="128">
          <cell r="A128" t="str">
            <v>FEB 2016</v>
          </cell>
          <cell r="B128" t="str">
            <v>LGUM_453</v>
          </cell>
          <cell r="C128">
            <v>9001</v>
          </cell>
        </row>
        <row r="129">
          <cell r="A129" t="str">
            <v>FEB 2016</v>
          </cell>
          <cell r="B129" t="str">
            <v>LGUM_454</v>
          </cell>
          <cell r="C129">
            <v>5514</v>
          </cell>
        </row>
        <row r="130">
          <cell r="A130" t="str">
            <v>FEB 2016</v>
          </cell>
          <cell r="B130" t="str">
            <v>LGUM_455</v>
          </cell>
          <cell r="C130">
            <v>407</v>
          </cell>
        </row>
        <row r="131">
          <cell r="A131" t="str">
            <v>FEB 2016</v>
          </cell>
          <cell r="B131" t="str">
            <v>LGUM_456</v>
          </cell>
          <cell r="C131">
            <v>12837</v>
          </cell>
        </row>
        <row r="132">
          <cell r="A132" t="str">
            <v>FEB 2016</v>
          </cell>
          <cell r="B132" t="str">
            <v>LGUM_457</v>
          </cell>
          <cell r="C132">
            <v>3285</v>
          </cell>
        </row>
        <row r="133">
          <cell r="A133" t="str">
            <v>FEB 2016</v>
          </cell>
          <cell r="B133" t="str">
            <v>LGUM_458</v>
          </cell>
          <cell r="C133">
            <v>5</v>
          </cell>
        </row>
        <row r="134">
          <cell r="A134" t="str">
            <v>FEB 2016</v>
          </cell>
          <cell r="B134" t="str">
            <v>LGUM_470</v>
          </cell>
          <cell r="C134">
            <v>22</v>
          </cell>
        </row>
        <row r="135">
          <cell r="A135" t="str">
            <v>FEB 2016</v>
          </cell>
          <cell r="B135" t="str">
            <v>LGUM_471</v>
          </cell>
          <cell r="C135">
            <v>2</v>
          </cell>
        </row>
        <row r="136">
          <cell r="A136" t="str">
            <v>FEB 2016</v>
          </cell>
          <cell r="B136" t="str">
            <v>LGUM_473</v>
          </cell>
          <cell r="C136">
            <v>298</v>
          </cell>
        </row>
        <row r="137">
          <cell r="A137" t="str">
            <v>FEB 2016</v>
          </cell>
          <cell r="B137" t="str">
            <v>LGUM_474</v>
          </cell>
          <cell r="C137">
            <v>53</v>
          </cell>
        </row>
        <row r="138">
          <cell r="A138" t="str">
            <v>FEB 2016</v>
          </cell>
          <cell r="B138" t="str">
            <v>LGUM_475</v>
          </cell>
          <cell r="C138">
            <v>2</v>
          </cell>
        </row>
        <row r="139">
          <cell r="A139" t="str">
            <v>FEB 2016</v>
          </cell>
          <cell r="B139" t="str">
            <v>LGUM_476</v>
          </cell>
          <cell r="C139">
            <v>383</v>
          </cell>
        </row>
        <row r="140">
          <cell r="A140" t="str">
            <v>FEB 2016</v>
          </cell>
          <cell r="B140" t="str">
            <v>LGUM_477</v>
          </cell>
          <cell r="C140">
            <v>60</v>
          </cell>
        </row>
        <row r="141">
          <cell r="A141" t="str">
            <v>FEB 2016</v>
          </cell>
          <cell r="B141" t="str">
            <v>LGUM_479</v>
          </cell>
          <cell r="C141">
            <v>0</v>
          </cell>
        </row>
        <row r="142">
          <cell r="A142" t="str">
            <v>FEB 2016</v>
          </cell>
          <cell r="B142" t="str">
            <v>LGUM_480</v>
          </cell>
          <cell r="C142">
            <v>18</v>
          </cell>
        </row>
        <row r="143">
          <cell r="A143" t="str">
            <v>FEB 2016</v>
          </cell>
          <cell r="B143" t="str">
            <v>LGUM_481</v>
          </cell>
          <cell r="C143">
            <v>4</v>
          </cell>
        </row>
        <row r="144">
          <cell r="A144" t="str">
            <v>FEB 2016</v>
          </cell>
          <cell r="B144" t="str">
            <v>LGUM_482</v>
          </cell>
          <cell r="C144">
            <v>39</v>
          </cell>
        </row>
        <row r="145">
          <cell r="A145" t="str">
            <v>FEB 2016</v>
          </cell>
          <cell r="B145" t="str">
            <v>LGUM_483</v>
          </cell>
          <cell r="C145">
            <v>2</v>
          </cell>
        </row>
        <row r="146">
          <cell r="A146" t="str">
            <v>FEB 2016</v>
          </cell>
          <cell r="B146" t="str">
            <v>LGUM_484</v>
          </cell>
          <cell r="C146">
            <v>13</v>
          </cell>
        </row>
        <row r="147">
          <cell r="A147" t="str">
            <v>FEB 2016</v>
          </cell>
        </row>
        <row r="148">
          <cell r="A148" t="str">
            <v>FEB 2016</v>
          </cell>
          <cell r="B148" t="str">
            <v>Result</v>
          </cell>
        </row>
        <row r="149">
          <cell r="A149" t="str">
            <v>MAR 2016</v>
          </cell>
          <cell r="B149" t="str">
            <v>LGUM_201</v>
          </cell>
          <cell r="C149">
            <v>79</v>
          </cell>
        </row>
        <row r="150">
          <cell r="A150" t="str">
            <v>MAR 2016</v>
          </cell>
          <cell r="B150" t="str">
            <v>LGUM_203</v>
          </cell>
          <cell r="C150">
            <v>3572</v>
          </cell>
        </row>
        <row r="151">
          <cell r="A151" t="str">
            <v>MAR 2016</v>
          </cell>
          <cell r="B151" t="str">
            <v>LGUM_204</v>
          </cell>
          <cell r="C151">
            <v>3762</v>
          </cell>
        </row>
        <row r="152">
          <cell r="A152" t="str">
            <v>MAR 2016</v>
          </cell>
          <cell r="B152" t="str">
            <v>LGUM_206</v>
          </cell>
          <cell r="C152">
            <v>97</v>
          </cell>
        </row>
        <row r="153">
          <cell r="A153" t="str">
            <v>MAR 2016</v>
          </cell>
          <cell r="B153" t="str">
            <v>LGUM_207</v>
          </cell>
          <cell r="C153">
            <v>761</v>
          </cell>
        </row>
        <row r="154">
          <cell r="A154" t="str">
            <v>MAR 2016</v>
          </cell>
          <cell r="B154" t="str">
            <v>LGUM_208</v>
          </cell>
          <cell r="C154">
            <v>1408</v>
          </cell>
        </row>
        <row r="155">
          <cell r="A155" t="str">
            <v>MAR 2016</v>
          </cell>
          <cell r="B155" t="str">
            <v>LGUM_209</v>
          </cell>
          <cell r="C155">
            <v>43</v>
          </cell>
        </row>
        <row r="156">
          <cell r="A156" t="str">
            <v>MAR 2016</v>
          </cell>
          <cell r="B156" t="str">
            <v>LGUM_210</v>
          </cell>
          <cell r="C156">
            <v>339</v>
          </cell>
        </row>
        <row r="157">
          <cell r="A157" t="str">
            <v>MAR 2016</v>
          </cell>
          <cell r="B157" t="str">
            <v>LGUM_252</v>
          </cell>
          <cell r="C157">
            <v>3912</v>
          </cell>
        </row>
        <row r="158">
          <cell r="A158" t="str">
            <v>MAR 2016</v>
          </cell>
          <cell r="B158" t="str">
            <v>LGUM_266</v>
          </cell>
          <cell r="C158">
            <v>1983</v>
          </cell>
        </row>
        <row r="159">
          <cell r="A159" t="str">
            <v>MAR 2016</v>
          </cell>
          <cell r="B159" t="str">
            <v>LGUM_267</v>
          </cell>
          <cell r="C159">
            <v>2188</v>
          </cell>
        </row>
        <row r="160">
          <cell r="A160" t="str">
            <v>MAR 2016</v>
          </cell>
          <cell r="B160" t="str">
            <v>LGUM_274</v>
          </cell>
          <cell r="C160">
            <v>16786</v>
          </cell>
        </row>
        <row r="161">
          <cell r="A161" t="str">
            <v>MAR 2016</v>
          </cell>
          <cell r="B161" t="str">
            <v>LGUM_275</v>
          </cell>
          <cell r="C161">
            <v>506</v>
          </cell>
        </row>
        <row r="162">
          <cell r="A162" t="str">
            <v>MAR 2016</v>
          </cell>
          <cell r="B162" t="str">
            <v>LGUM_276</v>
          </cell>
          <cell r="C162">
            <v>1337</v>
          </cell>
        </row>
        <row r="163">
          <cell r="A163" t="str">
            <v>MAR 2016</v>
          </cell>
          <cell r="B163" t="str">
            <v>LGUM_277</v>
          </cell>
          <cell r="C163">
            <v>2273</v>
          </cell>
        </row>
        <row r="164">
          <cell r="A164" t="str">
            <v>MAR 2016</v>
          </cell>
          <cell r="B164" t="str">
            <v>LGUM_278</v>
          </cell>
          <cell r="C164">
            <v>17</v>
          </cell>
        </row>
        <row r="165">
          <cell r="A165" t="str">
            <v>MAR 2016</v>
          </cell>
          <cell r="B165" t="str">
            <v>LGUM_279</v>
          </cell>
          <cell r="C165">
            <v>11</v>
          </cell>
        </row>
        <row r="166">
          <cell r="A166" t="str">
            <v>MAR 2016</v>
          </cell>
          <cell r="B166" t="str">
            <v>LGUM_280</v>
          </cell>
          <cell r="C166">
            <v>45</v>
          </cell>
        </row>
        <row r="167">
          <cell r="A167" t="str">
            <v>MAR 2016</v>
          </cell>
          <cell r="B167" t="str">
            <v>LGUM_281</v>
          </cell>
          <cell r="C167">
            <v>243</v>
          </cell>
        </row>
        <row r="168">
          <cell r="A168" t="str">
            <v>MAR 2016</v>
          </cell>
          <cell r="B168" t="str">
            <v>LGUM_282</v>
          </cell>
          <cell r="C168">
            <v>104</v>
          </cell>
        </row>
        <row r="169">
          <cell r="A169" t="str">
            <v>MAR 2016</v>
          </cell>
          <cell r="B169" t="str">
            <v>LGUM_283</v>
          </cell>
          <cell r="C169">
            <v>81</v>
          </cell>
        </row>
        <row r="170">
          <cell r="A170" t="str">
            <v>MAR 2016</v>
          </cell>
          <cell r="B170" t="str">
            <v>LGUM_314</v>
          </cell>
          <cell r="C170">
            <v>488</v>
          </cell>
        </row>
        <row r="171">
          <cell r="A171" t="str">
            <v>MAR 2016</v>
          </cell>
          <cell r="B171" t="str">
            <v>LGUM_315</v>
          </cell>
          <cell r="C171">
            <v>514</v>
          </cell>
        </row>
        <row r="172">
          <cell r="A172" t="str">
            <v>MAR 2016</v>
          </cell>
          <cell r="B172" t="str">
            <v>LGUM_318</v>
          </cell>
          <cell r="C172">
            <v>53</v>
          </cell>
        </row>
        <row r="173">
          <cell r="A173" t="str">
            <v>MAR 2016</v>
          </cell>
          <cell r="B173" t="str">
            <v>LGUM_348</v>
          </cell>
          <cell r="C173">
            <v>39</v>
          </cell>
        </row>
        <row r="174">
          <cell r="A174" t="str">
            <v>MAR 2016</v>
          </cell>
          <cell r="B174" t="str">
            <v>LGUM_349</v>
          </cell>
          <cell r="C174">
            <v>17</v>
          </cell>
        </row>
        <row r="175">
          <cell r="A175" t="str">
            <v>MAR 2016</v>
          </cell>
          <cell r="B175" t="str">
            <v>LGUM_400</v>
          </cell>
          <cell r="C175">
            <v>32</v>
          </cell>
        </row>
        <row r="176">
          <cell r="A176" t="str">
            <v>MAR 2016</v>
          </cell>
          <cell r="B176" t="str">
            <v>LGUM_401</v>
          </cell>
          <cell r="C176">
            <v>4</v>
          </cell>
        </row>
        <row r="177">
          <cell r="A177" t="str">
            <v>MAR 2016</v>
          </cell>
          <cell r="B177" t="str">
            <v>LGUM_412</v>
          </cell>
          <cell r="C177">
            <v>222</v>
          </cell>
        </row>
        <row r="178">
          <cell r="A178" t="str">
            <v>MAR 2016</v>
          </cell>
          <cell r="B178" t="str">
            <v>LGUM_413</v>
          </cell>
          <cell r="C178">
            <v>2039</v>
          </cell>
        </row>
        <row r="179">
          <cell r="A179" t="str">
            <v>MAR 2016</v>
          </cell>
          <cell r="B179" t="str">
            <v>LGUM_415</v>
          </cell>
          <cell r="C179">
            <v>31</v>
          </cell>
        </row>
        <row r="180">
          <cell r="A180" t="str">
            <v>MAR 2016</v>
          </cell>
          <cell r="B180" t="str">
            <v>LGUM_416</v>
          </cell>
          <cell r="C180">
            <v>1847</v>
          </cell>
        </row>
        <row r="181">
          <cell r="A181" t="str">
            <v>MAR 2016</v>
          </cell>
          <cell r="B181" t="str">
            <v>LGUM_417</v>
          </cell>
          <cell r="C181">
            <v>35</v>
          </cell>
        </row>
        <row r="182">
          <cell r="A182" t="str">
            <v>MAR 2016</v>
          </cell>
          <cell r="B182" t="str">
            <v>LGUM_419</v>
          </cell>
          <cell r="C182">
            <v>111</v>
          </cell>
        </row>
        <row r="183">
          <cell r="A183" t="str">
            <v>MAR 2016</v>
          </cell>
          <cell r="B183" t="str">
            <v>LGUM_420</v>
          </cell>
          <cell r="C183">
            <v>59</v>
          </cell>
        </row>
        <row r="184">
          <cell r="A184" t="str">
            <v>MAR 2016</v>
          </cell>
          <cell r="B184" t="str">
            <v>LGUM_421</v>
          </cell>
          <cell r="C184">
            <v>176</v>
          </cell>
        </row>
        <row r="185">
          <cell r="A185" t="str">
            <v>MAR 2016</v>
          </cell>
          <cell r="B185" t="str">
            <v>LGUM_422</v>
          </cell>
          <cell r="C185">
            <v>426</v>
          </cell>
        </row>
        <row r="186">
          <cell r="A186" t="str">
            <v>MAR 2016</v>
          </cell>
          <cell r="B186" t="str">
            <v>LGUM_423</v>
          </cell>
          <cell r="C186">
            <v>17</v>
          </cell>
        </row>
        <row r="187">
          <cell r="A187" t="str">
            <v>MAR 2016</v>
          </cell>
          <cell r="B187" t="str">
            <v>LGUM_424</v>
          </cell>
          <cell r="C187">
            <v>387</v>
          </cell>
        </row>
        <row r="188">
          <cell r="A188" t="str">
            <v>MAR 2016</v>
          </cell>
          <cell r="B188" t="str">
            <v>LGUM_425</v>
          </cell>
          <cell r="C188">
            <v>34</v>
          </cell>
        </row>
        <row r="189">
          <cell r="A189" t="str">
            <v>MAR 2016</v>
          </cell>
          <cell r="B189" t="str">
            <v>LGUM_426</v>
          </cell>
          <cell r="C189">
            <v>40</v>
          </cell>
        </row>
        <row r="190">
          <cell r="A190" t="str">
            <v>MAR 2016</v>
          </cell>
          <cell r="B190" t="str">
            <v>LGUM_427</v>
          </cell>
          <cell r="C190">
            <v>52</v>
          </cell>
        </row>
        <row r="191">
          <cell r="A191" t="str">
            <v>MAR 2016</v>
          </cell>
          <cell r="B191" t="str">
            <v>LGUM_428</v>
          </cell>
          <cell r="C191">
            <v>204</v>
          </cell>
        </row>
        <row r="192">
          <cell r="A192" t="str">
            <v>MAR 2016</v>
          </cell>
          <cell r="B192" t="str">
            <v>LGUM_429</v>
          </cell>
          <cell r="C192">
            <v>189</v>
          </cell>
        </row>
        <row r="193">
          <cell r="A193" t="str">
            <v>MAR 2016</v>
          </cell>
          <cell r="B193" t="str">
            <v>LGUM_430</v>
          </cell>
          <cell r="C193">
            <v>13</v>
          </cell>
        </row>
        <row r="194">
          <cell r="A194" t="str">
            <v>MAR 2016</v>
          </cell>
          <cell r="B194" t="str">
            <v>LGUM_431</v>
          </cell>
          <cell r="C194">
            <v>44</v>
          </cell>
        </row>
        <row r="195">
          <cell r="A195" t="str">
            <v>MAR 2016</v>
          </cell>
          <cell r="B195" t="str">
            <v>LGUM_432</v>
          </cell>
          <cell r="C195">
            <v>10</v>
          </cell>
        </row>
        <row r="196">
          <cell r="A196" t="str">
            <v>MAR 2016</v>
          </cell>
          <cell r="B196" t="str">
            <v>LGUM_433</v>
          </cell>
          <cell r="C196">
            <v>191</v>
          </cell>
        </row>
        <row r="197">
          <cell r="A197" t="str">
            <v>MAR 2016</v>
          </cell>
          <cell r="B197" t="str">
            <v>LGUM_440</v>
          </cell>
          <cell r="C197">
            <v>2</v>
          </cell>
        </row>
        <row r="198">
          <cell r="A198" t="str">
            <v>MAR 2016</v>
          </cell>
          <cell r="B198" t="str">
            <v>LGUM_441</v>
          </cell>
          <cell r="C198">
            <v>14</v>
          </cell>
        </row>
        <row r="199">
          <cell r="A199" t="str">
            <v>MAR 2016</v>
          </cell>
          <cell r="B199" t="str">
            <v>LGUM_452</v>
          </cell>
          <cell r="C199">
            <v>6174</v>
          </cell>
        </row>
        <row r="200">
          <cell r="A200" t="str">
            <v>MAR 2016</v>
          </cell>
          <cell r="B200" t="str">
            <v>LGUM_453</v>
          </cell>
          <cell r="C200">
            <v>8695</v>
          </cell>
        </row>
        <row r="201">
          <cell r="A201" t="str">
            <v>MAR 2016</v>
          </cell>
          <cell r="B201" t="str">
            <v>LGUM_454</v>
          </cell>
          <cell r="C201">
            <v>5490</v>
          </cell>
        </row>
        <row r="202">
          <cell r="A202" t="str">
            <v>MAR 2016</v>
          </cell>
          <cell r="B202" t="str">
            <v>LGUM_455</v>
          </cell>
          <cell r="C202">
            <v>413</v>
          </cell>
        </row>
        <row r="203">
          <cell r="A203" t="str">
            <v>MAR 2016</v>
          </cell>
          <cell r="B203" t="str">
            <v>LGUM_456</v>
          </cell>
          <cell r="C203">
            <v>12938</v>
          </cell>
        </row>
        <row r="204">
          <cell r="A204" t="str">
            <v>MAR 2016</v>
          </cell>
          <cell r="B204" t="str">
            <v>LGUM_457</v>
          </cell>
          <cell r="C204">
            <v>3300</v>
          </cell>
        </row>
        <row r="205">
          <cell r="A205" t="str">
            <v>MAR 2016</v>
          </cell>
          <cell r="B205" t="str">
            <v>LGUM_458</v>
          </cell>
          <cell r="C205">
            <v>5</v>
          </cell>
        </row>
        <row r="206">
          <cell r="A206" t="str">
            <v>MAR 2016</v>
          </cell>
          <cell r="B206" t="str">
            <v>LGUM_470</v>
          </cell>
          <cell r="C206">
            <v>22</v>
          </cell>
        </row>
        <row r="207">
          <cell r="A207" t="str">
            <v>MAR 2016</v>
          </cell>
          <cell r="B207" t="str">
            <v>LGUM_471</v>
          </cell>
          <cell r="C207">
            <v>2</v>
          </cell>
        </row>
        <row r="208">
          <cell r="A208" t="str">
            <v>MAR 2016</v>
          </cell>
          <cell r="B208" t="str">
            <v>LGUM_473</v>
          </cell>
          <cell r="C208">
            <v>332</v>
          </cell>
        </row>
        <row r="209">
          <cell r="A209" t="str">
            <v>MAR 2016</v>
          </cell>
          <cell r="B209" t="str">
            <v>LGUM_474</v>
          </cell>
          <cell r="C209">
            <v>53</v>
          </cell>
        </row>
        <row r="210">
          <cell r="A210" t="str">
            <v>MAR 2016</v>
          </cell>
          <cell r="B210" t="str">
            <v>LGUM_475</v>
          </cell>
          <cell r="C210">
            <v>2</v>
          </cell>
        </row>
        <row r="211">
          <cell r="A211" t="str">
            <v>MAR 2016</v>
          </cell>
          <cell r="B211" t="str">
            <v>LGUM_476</v>
          </cell>
          <cell r="C211">
            <v>393</v>
          </cell>
        </row>
        <row r="212">
          <cell r="A212" t="str">
            <v>MAR 2016</v>
          </cell>
          <cell r="B212" t="str">
            <v>LGUM_477</v>
          </cell>
          <cell r="C212">
            <v>60</v>
          </cell>
        </row>
        <row r="213">
          <cell r="A213" t="str">
            <v>MAR 2016</v>
          </cell>
          <cell r="B213" t="str">
            <v>LGUM_480</v>
          </cell>
          <cell r="C213">
            <v>18</v>
          </cell>
        </row>
        <row r="214">
          <cell r="A214" t="str">
            <v>MAR 2016</v>
          </cell>
          <cell r="B214" t="str">
            <v>LGUM_481</v>
          </cell>
          <cell r="C214">
            <v>4</v>
          </cell>
        </row>
        <row r="215">
          <cell r="A215" t="str">
            <v>MAR 2016</v>
          </cell>
          <cell r="B215" t="str">
            <v>LGUM_482</v>
          </cell>
          <cell r="C215">
            <v>41</v>
          </cell>
        </row>
        <row r="216">
          <cell r="A216" t="str">
            <v>MAR 2016</v>
          </cell>
          <cell r="B216" t="str">
            <v>LGUM_483</v>
          </cell>
          <cell r="C216">
            <v>2</v>
          </cell>
        </row>
        <row r="217">
          <cell r="A217" t="str">
            <v>MAR 2016</v>
          </cell>
          <cell r="B217" t="str">
            <v>LGUM_484</v>
          </cell>
          <cell r="C217">
            <v>13</v>
          </cell>
        </row>
        <row r="218">
          <cell r="A218" t="str">
            <v>MAR 2016</v>
          </cell>
        </row>
        <row r="219">
          <cell r="A219" t="str">
            <v>MAR 2016</v>
          </cell>
        </row>
        <row r="220">
          <cell r="A220" t="str">
            <v>APR 2016</v>
          </cell>
          <cell r="B220" t="str">
            <v>LGUM_201</v>
          </cell>
          <cell r="C220">
            <v>77</v>
          </cell>
        </row>
        <row r="221">
          <cell r="A221" t="str">
            <v>APR 2016</v>
          </cell>
          <cell r="B221" t="str">
            <v>LGUM_203</v>
          </cell>
          <cell r="C221">
            <v>3744</v>
          </cell>
        </row>
        <row r="222">
          <cell r="A222" t="str">
            <v>APR 2016</v>
          </cell>
          <cell r="B222" t="str">
            <v>LGUM_204</v>
          </cell>
          <cell r="C222">
            <v>3750</v>
          </cell>
        </row>
        <row r="223">
          <cell r="A223" t="str">
            <v>APR 2016</v>
          </cell>
          <cell r="B223" t="str">
            <v>LGUM_206</v>
          </cell>
          <cell r="C223">
            <v>97</v>
          </cell>
        </row>
        <row r="224">
          <cell r="A224" t="str">
            <v>APR 2016</v>
          </cell>
          <cell r="B224" t="str">
            <v>LGUM_207</v>
          </cell>
          <cell r="C224">
            <v>728</v>
          </cell>
        </row>
        <row r="225">
          <cell r="A225" t="str">
            <v>APR 2016</v>
          </cell>
          <cell r="B225" t="str">
            <v>LGUM_208</v>
          </cell>
          <cell r="C225">
            <v>1400</v>
          </cell>
        </row>
        <row r="226">
          <cell r="A226" t="str">
            <v>APR 2016</v>
          </cell>
          <cell r="B226" t="str">
            <v>LGUM_209</v>
          </cell>
          <cell r="C226">
            <v>45</v>
          </cell>
        </row>
        <row r="227">
          <cell r="A227" t="str">
            <v>APR 2016</v>
          </cell>
          <cell r="B227" t="str">
            <v>LGUM_210</v>
          </cell>
          <cell r="C227">
            <v>347</v>
          </cell>
        </row>
        <row r="228">
          <cell r="A228" t="str">
            <v>APR 2016</v>
          </cell>
          <cell r="B228" t="str">
            <v>LGUM_252</v>
          </cell>
          <cell r="C228">
            <v>3969</v>
          </cell>
        </row>
        <row r="229">
          <cell r="A229" t="str">
            <v>APR 2016</v>
          </cell>
          <cell r="B229" t="str">
            <v>LGUM_266</v>
          </cell>
          <cell r="C229">
            <v>2024</v>
          </cell>
        </row>
        <row r="230">
          <cell r="A230" t="str">
            <v>APR 2016</v>
          </cell>
          <cell r="B230" t="str">
            <v>LGUM_267</v>
          </cell>
          <cell r="C230">
            <v>2217</v>
          </cell>
        </row>
        <row r="231">
          <cell r="A231" t="str">
            <v>APR 2016</v>
          </cell>
          <cell r="B231" t="str">
            <v>LGUM_274</v>
          </cell>
          <cell r="C231">
            <v>16808</v>
          </cell>
        </row>
        <row r="232">
          <cell r="A232" t="str">
            <v>APR 2016</v>
          </cell>
          <cell r="B232" t="str">
            <v>LGUM_275</v>
          </cell>
          <cell r="C232">
            <v>508</v>
          </cell>
        </row>
        <row r="233">
          <cell r="A233" t="str">
            <v>APR 2016</v>
          </cell>
          <cell r="B233" t="str">
            <v>LGUM_276</v>
          </cell>
          <cell r="C233">
            <v>1328</v>
          </cell>
        </row>
        <row r="234">
          <cell r="A234" t="str">
            <v>APR 2016</v>
          </cell>
          <cell r="B234" t="str">
            <v>LGUM_277</v>
          </cell>
          <cell r="C234">
            <v>2263</v>
          </cell>
        </row>
        <row r="235">
          <cell r="A235" t="str">
            <v>APR 2016</v>
          </cell>
          <cell r="B235" t="str">
            <v>LGUM_278</v>
          </cell>
          <cell r="C235">
            <v>17</v>
          </cell>
        </row>
        <row r="236">
          <cell r="A236" t="str">
            <v>APR 2016</v>
          </cell>
          <cell r="B236" t="str">
            <v>LGUM_279</v>
          </cell>
          <cell r="C236">
            <v>11</v>
          </cell>
        </row>
        <row r="237">
          <cell r="A237" t="str">
            <v>APR 2016</v>
          </cell>
          <cell r="B237" t="str">
            <v>LGUM_280</v>
          </cell>
          <cell r="C237">
            <v>45</v>
          </cell>
        </row>
        <row r="238">
          <cell r="A238" t="str">
            <v>APR 2016</v>
          </cell>
          <cell r="B238" t="str">
            <v>LGUM_281</v>
          </cell>
          <cell r="C238">
            <v>242</v>
          </cell>
        </row>
        <row r="239">
          <cell r="A239" t="str">
            <v>APR 2016</v>
          </cell>
          <cell r="B239" t="str">
            <v>LGUM_282</v>
          </cell>
          <cell r="C239">
            <v>104</v>
          </cell>
        </row>
        <row r="240">
          <cell r="A240" t="str">
            <v>APR 2016</v>
          </cell>
          <cell r="B240" t="str">
            <v>LGUM_283</v>
          </cell>
          <cell r="C240">
            <v>80</v>
          </cell>
        </row>
        <row r="241">
          <cell r="A241" t="str">
            <v>APR 2016</v>
          </cell>
          <cell r="B241" t="str">
            <v>LGUM_314</v>
          </cell>
          <cell r="C241">
            <v>522</v>
          </cell>
        </row>
        <row r="242">
          <cell r="A242" t="str">
            <v>APR 2016</v>
          </cell>
          <cell r="B242" t="str">
            <v>LGUM_315</v>
          </cell>
          <cell r="C242">
            <v>509</v>
          </cell>
        </row>
        <row r="243">
          <cell r="A243" t="str">
            <v>APR 2016</v>
          </cell>
          <cell r="B243" t="str">
            <v>LGUM_318</v>
          </cell>
          <cell r="C243">
            <v>53</v>
          </cell>
        </row>
        <row r="244">
          <cell r="A244" t="str">
            <v>APR 2016</v>
          </cell>
          <cell r="B244" t="str">
            <v>LGUM_348</v>
          </cell>
          <cell r="C244">
            <v>39</v>
          </cell>
        </row>
        <row r="245">
          <cell r="A245" t="str">
            <v>APR 2016</v>
          </cell>
          <cell r="B245" t="str">
            <v>LGUM_349</v>
          </cell>
          <cell r="C245">
            <v>17</v>
          </cell>
        </row>
        <row r="246">
          <cell r="A246" t="str">
            <v>APR 2016</v>
          </cell>
          <cell r="B246" t="str">
            <v>LGUM_400</v>
          </cell>
          <cell r="C246">
            <v>35</v>
          </cell>
        </row>
        <row r="247">
          <cell r="A247" t="str">
            <v>APR 2016</v>
          </cell>
          <cell r="B247" t="str">
            <v>LGUM_401</v>
          </cell>
          <cell r="C247">
            <v>4</v>
          </cell>
        </row>
        <row r="248">
          <cell r="A248" t="str">
            <v>APR 2016</v>
          </cell>
          <cell r="B248" t="str">
            <v>LGUM_412</v>
          </cell>
          <cell r="C248">
            <v>221</v>
          </cell>
        </row>
        <row r="249">
          <cell r="A249" t="str">
            <v>APR 2016</v>
          </cell>
          <cell r="B249" t="str">
            <v>LGUM_413</v>
          </cell>
          <cell r="C249">
            <v>2052</v>
          </cell>
        </row>
        <row r="250">
          <cell r="A250" t="str">
            <v>APR 2016</v>
          </cell>
          <cell r="B250" t="str">
            <v>LGUM_415</v>
          </cell>
          <cell r="C250">
            <v>39</v>
          </cell>
        </row>
        <row r="251">
          <cell r="A251" t="str">
            <v>APR 2016</v>
          </cell>
          <cell r="B251" t="str">
            <v>LGUM_416</v>
          </cell>
          <cell r="C251">
            <v>1810</v>
          </cell>
        </row>
        <row r="252">
          <cell r="A252" t="str">
            <v>APR 2016</v>
          </cell>
          <cell r="B252" t="str">
            <v>LGUM_417</v>
          </cell>
          <cell r="C252">
            <v>39</v>
          </cell>
        </row>
        <row r="253">
          <cell r="A253" t="str">
            <v>APR 2016</v>
          </cell>
          <cell r="B253" t="str">
            <v>LGUM_419</v>
          </cell>
          <cell r="C253">
            <v>111</v>
          </cell>
        </row>
        <row r="254">
          <cell r="A254" t="str">
            <v>APR 2016</v>
          </cell>
          <cell r="B254" t="str">
            <v>LGUM_420</v>
          </cell>
          <cell r="C254">
            <v>53</v>
          </cell>
        </row>
        <row r="255">
          <cell r="A255" t="str">
            <v>APR 2016</v>
          </cell>
          <cell r="B255" t="str">
            <v>LGUM_421</v>
          </cell>
          <cell r="C255">
            <v>181</v>
          </cell>
        </row>
        <row r="256">
          <cell r="A256" t="str">
            <v>APR 2016</v>
          </cell>
          <cell r="B256" t="str">
            <v>LGUM_422</v>
          </cell>
          <cell r="C256">
            <v>390</v>
          </cell>
        </row>
        <row r="257">
          <cell r="A257" t="str">
            <v>APR 2016</v>
          </cell>
          <cell r="B257" t="str">
            <v>LGUM_423</v>
          </cell>
          <cell r="C257">
            <v>17</v>
          </cell>
        </row>
        <row r="258">
          <cell r="A258" t="str">
            <v>APR 2016</v>
          </cell>
          <cell r="B258" t="str">
            <v>LGUM_424</v>
          </cell>
          <cell r="C258">
            <v>430</v>
          </cell>
        </row>
        <row r="259">
          <cell r="A259" t="str">
            <v>APR 2016</v>
          </cell>
          <cell r="B259" t="str">
            <v>LGUM_425</v>
          </cell>
          <cell r="C259">
            <v>34</v>
          </cell>
        </row>
        <row r="260">
          <cell r="A260" t="str">
            <v>APR 2016</v>
          </cell>
          <cell r="B260" t="str">
            <v>LGUM_426</v>
          </cell>
          <cell r="C260">
            <v>40</v>
          </cell>
        </row>
        <row r="261">
          <cell r="A261" t="str">
            <v>APR 2016</v>
          </cell>
          <cell r="B261" t="str">
            <v>LGUM_427</v>
          </cell>
          <cell r="C261">
            <v>52</v>
          </cell>
        </row>
        <row r="262">
          <cell r="A262" t="str">
            <v>APR 2016</v>
          </cell>
          <cell r="B262" t="str">
            <v>LGUM_428</v>
          </cell>
          <cell r="C262">
            <v>204</v>
          </cell>
        </row>
        <row r="263">
          <cell r="A263" t="str">
            <v>APR 2016</v>
          </cell>
          <cell r="B263" t="str">
            <v>LGUM_429</v>
          </cell>
          <cell r="C263">
            <v>220</v>
          </cell>
        </row>
        <row r="264">
          <cell r="A264" t="str">
            <v>APR 2016</v>
          </cell>
          <cell r="B264" t="str">
            <v>LGUM_430</v>
          </cell>
          <cell r="C264">
            <v>13</v>
          </cell>
        </row>
        <row r="265">
          <cell r="A265" t="str">
            <v>APR 2016</v>
          </cell>
          <cell r="B265" t="str">
            <v>LGUM_431</v>
          </cell>
          <cell r="C265">
            <v>44</v>
          </cell>
        </row>
        <row r="266">
          <cell r="A266" t="str">
            <v>APR 2016</v>
          </cell>
          <cell r="B266" t="str">
            <v>LGUM_432</v>
          </cell>
          <cell r="C266">
            <v>10</v>
          </cell>
        </row>
        <row r="267">
          <cell r="A267" t="str">
            <v>APR 2016</v>
          </cell>
          <cell r="B267" t="str">
            <v>LGUM_433</v>
          </cell>
          <cell r="C267">
            <v>191</v>
          </cell>
        </row>
        <row r="268">
          <cell r="A268" t="str">
            <v>APR 2016</v>
          </cell>
          <cell r="B268" t="str">
            <v>LGUM_440</v>
          </cell>
          <cell r="C268">
            <v>2</v>
          </cell>
        </row>
        <row r="269">
          <cell r="A269" t="str">
            <v>APR 2016</v>
          </cell>
          <cell r="B269" t="str">
            <v>LGUM_441</v>
          </cell>
          <cell r="C269">
            <v>14</v>
          </cell>
        </row>
        <row r="270">
          <cell r="A270" t="str">
            <v>APR 2016</v>
          </cell>
          <cell r="B270" t="str">
            <v>LGUM_452</v>
          </cell>
          <cell r="C270">
            <v>6475</v>
          </cell>
        </row>
        <row r="271">
          <cell r="A271" t="str">
            <v>APR 2016</v>
          </cell>
          <cell r="B271" t="str">
            <v>LGUM_453</v>
          </cell>
          <cell r="C271">
            <v>9113</v>
          </cell>
        </row>
        <row r="272">
          <cell r="A272" t="str">
            <v>APR 2016</v>
          </cell>
          <cell r="B272" t="str">
            <v>LGUM_454</v>
          </cell>
          <cell r="C272">
            <v>5479</v>
          </cell>
        </row>
        <row r="273">
          <cell r="A273" t="str">
            <v>APR 2016</v>
          </cell>
          <cell r="B273" t="str">
            <v>LGUM_455</v>
          </cell>
          <cell r="C273">
            <v>401</v>
          </cell>
        </row>
        <row r="274">
          <cell r="A274" t="str">
            <v>APR 2016</v>
          </cell>
          <cell r="B274" t="str">
            <v>LGUM_456</v>
          </cell>
          <cell r="C274">
            <v>12783</v>
          </cell>
        </row>
        <row r="275">
          <cell r="A275" t="str">
            <v>APR 2016</v>
          </cell>
          <cell r="B275" t="str">
            <v>LGUM_457</v>
          </cell>
          <cell r="C275">
            <v>3291</v>
          </cell>
        </row>
        <row r="276">
          <cell r="A276" t="str">
            <v>APR 2016</v>
          </cell>
          <cell r="B276" t="str">
            <v>LGUM_458</v>
          </cell>
          <cell r="C276">
            <v>5</v>
          </cell>
        </row>
        <row r="277">
          <cell r="A277" t="str">
            <v>APR 2016</v>
          </cell>
          <cell r="B277" t="str">
            <v>LGUM_470</v>
          </cell>
          <cell r="C277">
            <v>22</v>
          </cell>
        </row>
        <row r="278">
          <cell r="A278" t="str">
            <v>APR 2016</v>
          </cell>
          <cell r="B278" t="str">
            <v>LGUM_471</v>
          </cell>
          <cell r="C278">
            <v>2</v>
          </cell>
        </row>
        <row r="279">
          <cell r="A279" t="str">
            <v>APR 2016</v>
          </cell>
          <cell r="B279" t="str">
            <v>LGUM_473</v>
          </cell>
          <cell r="C279">
            <v>500</v>
          </cell>
        </row>
        <row r="280">
          <cell r="A280" t="str">
            <v>APR 2016</v>
          </cell>
          <cell r="B280" t="str">
            <v>LGUM_474</v>
          </cell>
          <cell r="C280">
            <v>55</v>
          </cell>
        </row>
        <row r="281">
          <cell r="A281" t="str">
            <v>APR 2016</v>
          </cell>
          <cell r="B281" t="str">
            <v>LGUM_475</v>
          </cell>
          <cell r="C281">
            <v>2</v>
          </cell>
        </row>
        <row r="282">
          <cell r="A282" t="str">
            <v>APR 2016</v>
          </cell>
          <cell r="B282" t="str">
            <v>LGUM_476</v>
          </cell>
          <cell r="C282">
            <v>383</v>
          </cell>
        </row>
        <row r="283">
          <cell r="A283" t="str">
            <v>APR 2016</v>
          </cell>
          <cell r="B283" t="str">
            <v>LGUM_477</v>
          </cell>
          <cell r="C283">
            <v>58</v>
          </cell>
        </row>
        <row r="284">
          <cell r="A284" t="str">
            <v>APR 2016</v>
          </cell>
          <cell r="B284" t="str">
            <v>LGUM_480</v>
          </cell>
          <cell r="C284">
            <v>18</v>
          </cell>
        </row>
        <row r="285">
          <cell r="A285" t="str">
            <v>APR 2016</v>
          </cell>
          <cell r="B285" t="str">
            <v>LGUM_481</v>
          </cell>
          <cell r="C285">
            <v>4</v>
          </cell>
        </row>
        <row r="286">
          <cell r="A286" t="str">
            <v>APR 2016</v>
          </cell>
          <cell r="B286" t="str">
            <v>LGUM_482</v>
          </cell>
          <cell r="C286">
            <v>40</v>
          </cell>
        </row>
        <row r="287">
          <cell r="A287" t="str">
            <v>APR 2016</v>
          </cell>
          <cell r="B287" t="str">
            <v>LGUM_483</v>
          </cell>
          <cell r="C287">
            <v>2</v>
          </cell>
        </row>
        <row r="288">
          <cell r="A288" t="str">
            <v>APR 2016</v>
          </cell>
          <cell r="B288" t="str">
            <v>LGUM_484</v>
          </cell>
          <cell r="C288">
            <v>13</v>
          </cell>
        </row>
        <row r="289">
          <cell r="A289" t="str">
            <v>APR 2016</v>
          </cell>
        </row>
        <row r="290">
          <cell r="A290" t="str">
            <v>APR 2016</v>
          </cell>
        </row>
        <row r="291">
          <cell r="A291" t="str">
            <v>MAY 2016</v>
          </cell>
          <cell r="B291" t="str">
            <v>LGUM_201</v>
          </cell>
          <cell r="C291">
            <v>54</v>
          </cell>
        </row>
        <row r="292">
          <cell r="A292" t="str">
            <v>MAY 2016</v>
          </cell>
          <cell r="B292" t="str">
            <v>LGUM_203</v>
          </cell>
          <cell r="C292">
            <v>1893</v>
          </cell>
        </row>
        <row r="293">
          <cell r="A293" t="str">
            <v>MAY 2016</v>
          </cell>
          <cell r="B293" t="str">
            <v>LGUM_204</v>
          </cell>
          <cell r="C293">
            <v>947</v>
          </cell>
        </row>
        <row r="294">
          <cell r="A294" t="str">
            <v>MAY 2016</v>
          </cell>
          <cell r="B294" t="str">
            <v>LGUM_206</v>
          </cell>
          <cell r="C294">
            <v>94</v>
          </cell>
        </row>
        <row r="295">
          <cell r="A295" t="str">
            <v>MAY 2016</v>
          </cell>
          <cell r="B295" t="str">
            <v>LGUM_207</v>
          </cell>
          <cell r="C295">
            <v>752</v>
          </cell>
        </row>
        <row r="296">
          <cell r="A296" t="str">
            <v>MAY 2016</v>
          </cell>
          <cell r="B296" t="str">
            <v>LGUM_208</v>
          </cell>
          <cell r="C296">
            <v>1005</v>
          </cell>
        </row>
        <row r="297">
          <cell r="A297" t="str">
            <v>MAY 2016</v>
          </cell>
          <cell r="B297" t="str">
            <v>LGUM_209</v>
          </cell>
          <cell r="C297">
            <v>41</v>
          </cell>
        </row>
        <row r="298">
          <cell r="A298" t="str">
            <v>MAY 2016</v>
          </cell>
          <cell r="B298" t="str">
            <v>LGUM_210</v>
          </cell>
          <cell r="C298">
            <v>361</v>
          </cell>
        </row>
        <row r="299">
          <cell r="A299" t="str">
            <v>MAY 2016</v>
          </cell>
          <cell r="B299" t="str">
            <v>LGUM_252</v>
          </cell>
          <cell r="C299">
            <v>2941</v>
          </cell>
        </row>
        <row r="300">
          <cell r="A300" t="str">
            <v>MAY 2016</v>
          </cell>
          <cell r="B300" t="str">
            <v>LGUM_266</v>
          </cell>
          <cell r="C300">
            <v>785</v>
          </cell>
        </row>
        <row r="301">
          <cell r="A301" t="str">
            <v>MAY 2016</v>
          </cell>
          <cell r="B301" t="str">
            <v>LGUM_267</v>
          </cell>
          <cell r="C301">
            <v>1769</v>
          </cell>
        </row>
        <row r="302">
          <cell r="A302" t="str">
            <v>MAY 2016</v>
          </cell>
          <cell r="B302" t="str">
            <v>LGUM_274</v>
          </cell>
          <cell r="C302">
            <v>16032</v>
          </cell>
        </row>
        <row r="303">
          <cell r="A303" t="str">
            <v>MAY 2016</v>
          </cell>
          <cell r="B303" t="str">
            <v>LGUM_275</v>
          </cell>
          <cell r="C303">
            <v>453</v>
          </cell>
        </row>
        <row r="304">
          <cell r="A304" t="str">
            <v>MAY 2016</v>
          </cell>
          <cell r="B304" t="str">
            <v>LGUM_276</v>
          </cell>
          <cell r="C304">
            <v>1301</v>
          </cell>
        </row>
        <row r="305">
          <cell r="A305" t="str">
            <v>MAY 2016</v>
          </cell>
          <cell r="B305" t="str">
            <v>LGUM_277</v>
          </cell>
          <cell r="C305">
            <v>1996</v>
          </cell>
        </row>
        <row r="306">
          <cell r="A306" t="str">
            <v>MAY 2016</v>
          </cell>
          <cell r="B306" t="str">
            <v>LGUM_278</v>
          </cell>
          <cell r="C306">
            <v>16</v>
          </cell>
        </row>
        <row r="307">
          <cell r="A307" t="str">
            <v>MAY 2016</v>
          </cell>
          <cell r="B307" t="str">
            <v>LGUM_279</v>
          </cell>
          <cell r="C307">
            <v>11</v>
          </cell>
        </row>
        <row r="308">
          <cell r="A308" t="str">
            <v>MAY 2016</v>
          </cell>
          <cell r="B308" t="str">
            <v>LGUM_280</v>
          </cell>
          <cell r="C308">
            <v>44</v>
          </cell>
        </row>
        <row r="309">
          <cell r="A309" t="str">
            <v>MAY 2016</v>
          </cell>
          <cell r="B309" t="str">
            <v>LGUM_281</v>
          </cell>
          <cell r="C309">
            <v>238</v>
          </cell>
        </row>
        <row r="310">
          <cell r="A310" t="str">
            <v>MAY 2016</v>
          </cell>
          <cell r="B310" t="str">
            <v>LGUM_282</v>
          </cell>
          <cell r="C310">
            <v>102</v>
          </cell>
        </row>
        <row r="311">
          <cell r="A311" t="str">
            <v>MAY 2016</v>
          </cell>
          <cell r="B311" t="str">
            <v>LGUM_283</v>
          </cell>
          <cell r="C311">
            <v>79</v>
          </cell>
        </row>
        <row r="312">
          <cell r="A312" t="str">
            <v>MAY 2016</v>
          </cell>
          <cell r="B312" t="str">
            <v>LGUM_314</v>
          </cell>
          <cell r="C312">
            <v>102</v>
          </cell>
        </row>
        <row r="313">
          <cell r="A313" t="str">
            <v>MAY 2016</v>
          </cell>
          <cell r="B313" t="str">
            <v>LGUM_315</v>
          </cell>
          <cell r="C313">
            <v>24</v>
          </cell>
        </row>
        <row r="314">
          <cell r="A314" t="str">
            <v>MAY 2016</v>
          </cell>
          <cell r="B314" t="str">
            <v>LGUM_318</v>
          </cell>
          <cell r="C314">
            <v>47</v>
          </cell>
        </row>
        <row r="315">
          <cell r="A315" t="str">
            <v>MAY 2016</v>
          </cell>
          <cell r="B315" t="str">
            <v>LGUM_348</v>
          </cell>
          <cell r="C315">
            <v>7</v>
          </cell>
        </row>
        <row r="316">
          <cell r="A316" t="str">
            <v>MAY 2016</v>
          </cell>
          <cell r="B316" t="str">
            <v>LGUM_349</v>
          </cell>
          <cell r="C316">
            <v>479</v>
          </cell>
        </row>
        <row r="317">
          <cell r="A317" t="str">
            <v>MAY 2016</v>
          </cell>
          <cell r="B317" t="str">
            <v>LGUM_400</v>
          </cell>
          <cell r="C317">
            <v>1696</v>
          </cell>
        </row>
        <row r="318">
          <cell r="A318" t="str">
            <v>MAY 2016</v>
          </cell>
          <cell r="B318" t="str">
            <v>LGUM_401</v>
          </cell>
          <cell r="C318">
            <v>30</v>
          </cell>
        </row>
        <row r="319">
          <cell r="A319" t="str">
            <v>MAY 2016</v>
          </cell>
          <cell r="B319" t="str">
            <v>LGUM_412</v>
          </cell>
          <cell r="C319">
            <v>2044</v>
          </cell>
        </row>
        <row r="320">
          <cell r="A320" t="str">
            <v>MAY 2016</v>
          </cell>
          <cell r="B320" t="str">
            <v>LGUM_413</v>
          </cell>
          <cell r="C320">
            <v>44</v>
          </cell>
        </row>
        <row r="321">
          <cell r="A321" t="str">
            <v>MAY 2016</v>
          </cell>
          <cell r="B321" t="str">
            <v>LGUM_415</v>
          </cell>
          <cell r="C321">
            <v>133</v>
          </cell>
        </row>
        <row r="322">
          <cell r="A322" t="str">
            <v>MAY 2016</v>
          </cell>
          <cell r="B322" t="str">
            <v>LGUM_416</v>
          </cell>
          <cell r="C322">
            <v>69</v>
          </cell>
        </row>
        <row r="323">
          <cell r="A323" t="str">
            <v>MAY 2016</v>
          </cell>
          <cell r="B323" t="str">
            <v>LGUM_417</v>
          </cell>
          <cell r="C323">
            <v>235</v>
          </cell>
        </row>
        <row r="324">
          <cell r="A324" t="str">
            <v>MAY 2016</v>
          </cell>
          <cell r="B324" t="str">
            <v>LGUM_419</v>
          </cell>
          <cell r="C324">
            <v>583</v>
          </cell>
        </row>
        <row r="325">
          <cell r="A325" t="str">
            <v>MAY 2016</v>
          </cell>
          <cell r="B325" t="str">
            <v>LGUM_420</v>
          </cell>
          <cell r="C325">
            <v>12</v>
          </cell>
        </row>
        <row r="326">
          <cell r="A326" t="str">
            <v>MAY 2016</v>
          </cell>
          <cell r="B326" t="str">
            <v>LGUM_421</v>
          </cell>
          <cell r="C326">
            <v>33</v>
          </cell>
        </row>
        <row r="327">
          <cell r="A327" t="str">
            <v>MAY 2016</v>
          </cell>
          <cell r="B327" t="str">
            <v>LGUM_422</v>
          </cell>
          <cell r="C327">
            <v>23</v>
          </cell>
        </row>
        <row r="328">
          <cell r="A328" t="str">
            <v>MAY 2016</v>
          </cell>
          <cell r="B328" t="str">
            <v>LGUM_423</v>
          </cell>
          <cell r="C328">
            <v>50</v>
          </cell>
        </row>
        <row r="329">
          <cell r="A329" t="str">
            <v>MAY 2016</v>
          </cell>
          <cell r="B329" t="str">
            <v>LGUM_424</v>
          </cell>
          <cell r="C329">
            <v>61</v>
          </cell>
        </row>
        <row r="330">
          <cell r="A330" t="str">
            <v>MAY 2016</v>
          </cell>
          <cell r="B330" t="str">
            <v>LGUM_425</v>
          </cell>
          <cell r="C330">
            <v>200</v>
          </cell>
        </row>
        <row r="331">
          <cell r="A331" t="str">
            <v>MAY 2016</v>
          </cell>
          <cell r="B331" t="str">
            <v>LGUM_426</v>
          </cell>
          <cell r="C331">
            <v>205</v>
          </cell>
        </row>
        <row r="332">
          <cell r="A332" t="str">
            <v>MAY 2016</v>
          </cell>
          <cell r="B332" t="str">
            <v>LGUM_427</v>
          </cell>
          <cell r="C332">
            <v>1</v>
          </cell>
        </row>
        <row r="333">
          <cell r="A333" t="str">
            <v>MAY 2016</v>
          </cell>
          <cell r="B333" t="str">
            <v>LGUM_428</v>
          </cell>
          <cell r="C333">
            <v>42</v>
          </cell>
        </row>
        <row r="334">
          <cell r="A334" t="str">
            <v>MAY 2016</v>
          </cell>
          <cell r="B334" t="str">
            <v>LGUM_429</v>
          </cell>
          <cell r="C334">
            <v>9</v>
          </cell>
        </row>
        <row r="335">
          <cell r="A335" t="str">
            <v>MAY 2016</v>
          </cell>
          <cell r="B335" t="str">
            <v>LGUM_430</v>
          </cell>
          <cell r="C335">
            <v>203</v>
          </cell>
        </row>
        <row r="336">
          <cell r="A336" t="str">
            <v>MAY 2016</v>
          </cell>
          <cell r="B336" t="str">
            <v>LGUM_431</v>
          </cell>
          <cell r="C336">
            <v>1</v>
          </cell>
        </row>
        <row r="337">
          <cell r="A337" t="str">
            <v>MAY 2016</v>
          </cell>
          <cell r="B337" t="str">
            <v>LGUM_432</v>
          </cell>
          <cell r="C337">
            <v>9</v>
          </cell>
        </row>
        <row r="338">
          <cell r="A338" t="str">
            <v>MAY 2016</v>
          </cell>
          <cell r="B338" t="str">
            <v>LGUM_433</v>
          </cell>
          <cell r="C338">
            <v>1203</v>
          </cell>
        </row>
        <row r="339">
          <cell r="A339" t="str">
            <v>MAY 2016</v>
          </cell>
          <cell r="B339" t="str">
            <v>LGUM_440</v>
          </cell>
          <cell r="C339">
            <v>1767</v>
          </cell>
        </row>
        <row r="340">
          <cell r="A340" t="str">
            <v>MAY 2016</v>
          </cell>
          <cell r="B340" t="str">
            <v>LGUM_441</v>
          </cell>
          <cell r="C340">
            <v>2616</v>
          </cell>
        </row>
        <row r="341">
          <cell r="A341" t="str">
            <v>MAY 2016</v>
          </cell>
          <cell r="B341" t="str">
            <v>LGUM_452</v>
          </cell>
          <cell r="C341">
            <v>432</v>
          </cell>
        </row>
        <row r="342">
          <cell r="A342" t="str">
            <v>MAY 2016</v>
          </cell>
          <cell r="B342" t="str">
            <v>LGUM_453</v>
          </cell>
          <cell r="C342">
            <v>15333</v>
          </cell>
        </row>
        <row r="343">
          <cell r="A343" t="str">
            <v>MAY 2016</v>
          </cell>
          <cell r="B343" t="str">
            <v>LGUM_454</v>
          </cell>
          <cell r="C343">
            <v>2029</v>
          </cell>
        </row>
        <row r="344">
          <cell r="A344" t="str">
            <v>MAY 2016</v>
          </cell>
          <cell r="B344" t="str">
            <v>LGUM_455</v>
          </cell>
          <cell r="C344">
            <v>3</v>
          </cell>
        </row>
        <row r="345">
          <cell r="A345" t="str">
            <v>MAY 2016</v>
          </cell>
          <cell r="B345" t="str">
            <v>LGUM_456</v>
          </cell>
          <cell r="C345">
            <v>16</v>
          </cell>
        </row>
        <row r="346">
          <cell r="A346" t="str">
            <v>MAY 2016</v>
          </cell>
          <cell r="B346" t="str">
            <v>LGUM_457</v>
          </cell>
          <cell r="C346">
            <v>3</v>
          </cell>
        </row>
        <row r="347">
          <cell r="A347" t="str">
            <v>MAY 2016</v>
          </cell>
          <cell r="B347" t="str">
            <v>LGUM_458</v>
          </cell>
          <cell r="C347">
            <v>672</v>
          </cell>
        </row>
        <row r="348">
          <cell r="A348" t="str">
            <v>MAY 2016</v>
          </cell>
          <cell r="B348" t="str">
            <v>LGUM_470</v>
          </cell>
          <cell r="C348">
            <v>85</v>
          </cell>
        </row>
        <row r="349">
          <cell r="A349" t="str">
            <v>MAY 2016</v>
          </cell>
          <cell r="B349" t="str">
            <v>LGUM_471</v>
          </cell>
          <cell r="C349">
            <v>4</v>
          </cell>
        </row>
        <row r="350">
          <cell r="A350" t="str">
            <v>MAY 2016</v>
          </cell>
          <cell r="B350" t="str">
            <v>LGUM_473</v>
          </cell>
          <cell r="C350">
            <v>920</v>
          </cell>
        </row>
        <row r="351">
          <cell r="A351" t="str">
            <v>MAY 2016</v>
          </cell>
          <cell r="B351" t="str">
            <v>LGUM_474</v>
          </cell>
          <cell r="C351">
            <v>124</v>
          </cell>
        </row>
        <row r="352">
          <cell r="A352" t="str">
            <v>MAY 2016</v>
          </cell>
          <cell r="B352" t="str">
            <v>LGUM_475</v>
          </cell>
          <cell r="C352">
            <v>15</v>
          </cell>
        </row>
        <row r="353">
          <cell r="A353" t="str">
            <v>MAY 2016</v>
          </cell>
          <cell r="B353" t="str">
            <v>LGUM_476</v>
          </cell>
          <cell r="C353">
            <v>2</v>
          </cell>
        </row>
        <row r="354">
          <cell r="A354" t="str">
            <v>MAY 2016</v>
          </cell>
          <cell r="B354" t="str">
            <v>LGUM_477</v>
          </cell>
          <cell r="C354">
            <v>28</v>
          </cell>
        </row>
        <row r="355">
          <cell r="A355" t="str">
            <v>MAY 2016</v>
          </cell>
          <cell r="B355" t="str">
            <v>LGUM_480</v>
          </cell>
          <cell r="C355">
            <v>3</v>
          </cell>
        </row>
        <row r="356">
          <cell r="A356" t="str">
            <v>MAY 2016</v>
          </cell>
          <cell r="B356" t="str">
            <v>LGUM_481</v>
          </cell>
          <cell r="C356">
            <v>32</v>
          </cell>
        </row>
        <row r="357">
          <cell r="A357" t="str">
            <v>MAY 2016</v>
          </cell>
          <cell r="B357" t="str">
            <v>LGUM_482</v>
          </cell>
          <cell r="C357">
            <v>39</v>
          </cell>
        </row>
        <row r="358">
          <cell r="A358" t="str">
            <v>MAY 2016</v>
          </cell>
          <cell r="B358" t="str">
            <v>LGUM_483</v>
          </cell>
          <cell r="C358">
            <v>2</v>
          </cell>
        </row>
        <row r="359">
          <cell r="A359" t="str">
            <v>MAY 2016</v>
          </cell>
          <cell r="B359" t="str">
            <v>LGUM_484</v>
          </cell>
          <cell r="C359">
            <v>13</v>
          </cell>
        </row>
        <row r="360">
          <cell r="A360" t="str">
            <v>MAY 2016</v>
          </cell>
        </row>
        <row r="361">
          <cell r="A361" t="str">
            <v>MAY 2016</v>
          </cell>
        </row>
        <row r="362">
          <cell r="A362" t="str">
            <v>JUN 2016</v>
          </cell>
          <cell r="B362" t="str">
            <v>LGUM_201</v>
          </cell>
          <cell r="C362">
            <v>78</v>
          </cell>
        </row>
        <row r="363">
          <cell r="A363" t="str">
            <v>JUN 2016</v>
          </cell>
          <cell r="B363" t="str">
            <v>LGUM_203</v>
          </cell>
          <cell r="C363">
            <v>5739</v>
          </cell>
        </row>
        <row r="364">
          <cell r="A364" t="str">
            <v>JUN 2016</v>
          </cell>
          <cell r="B364" t="str">
            <v>LGUM_204</v>
          </cell>
          <cell r="C364">
            <v>6574</v>
          </cell>
        </row>
        <row r="365">
          <cell r="A365" t="str">
            <v>JUN 2016</v>
          </cell>
          <cell r="B365" t="str">
            <v>LGUM_206</v>
          </cell>
          <cell r="C365">
            <v>93</v>
          </cell>
        </row>
        <row r="366">
          <cell r="A366" t="str">
            <v>JUN 2016</v>
          </cell>
          <cell r="B366" t="str">
            <v>LGUM_207</v>
          </cell>
          <cell r="C366">
            <v>770</v>
          </cell>
        </row>
        <row r="367">
          <cell r="A367" t="str">
            <v>JUN 2016</v>
          </cell>
          <cell r="B367" t="str">
            <v>LGUM_208</v>
          </cell>
          <cell r="C367">
            <v>1772</v>
          </cell>
        </row>
        <row r="368">
          <cell r="A368" t="str">
            <v>JUN 2016</v>
          </cell>
          <cell r="B368" t="str">
            <v>LGUM_209</v>
          </cell>
          <cell r="C368">
            <v>44</v>
          </cell>
        </row>
        <row r="369">
          <cell r="A369" t="str">
            <v>JUN 2016</v>
          </cell>
          <cell r="B369" t="str">
            <v>LGUM_210</v>
          </cell>
          <cell r="C369">
            <v>346</v>
          </cell>
        </row>
        <row r="370">
          <cell r="A370" t="str">
            <v>JUN 2016</v>
          </cell>
          <cell r="B370" t="str">
            <v>LGUM_252</v>
          </cell>
          <cell r="C370">
            <v>5018</v>
          </cell>
        </row>
        <row r="371">
          <cell r="A371" t="str">
            <v>JUN 2016</v>
          </cell>
          <cell r="B371" t="str">
            <v>LGUM_266</v>
          </cell>
          <cell r="C371">
            <v>3340</v>
          </cell>
        </row>
        <row r="372">
          <cell r="A372" t="str">
            <v>JUN 2016</v>
          </cell>
          <cell r="B372" t="str">
            <v>LGUM_267</v>
          </cell>
          <cell r="C372">
            <v>2724</v>
          </cell>
        </row>
        <row r="373">
          <cell r="A373" t="str">
            <v>JUN 2016</v>
          </cell>
          <cell r="B373" t="str">
            <v>LGUM_274</v>
          </cell>
          <cell r="C373">
            <v>17417</v>
          </cell>
        </row>
        <row r="374">
          <cell r="A374" t="str">
            <v>JUN 2016</v>
          </cell>
          <cell r="B374" t="str">
            <v>LGUM_275</v>
          </cell>
          <cell r="C374">
            <v>595</v>
          </cell>
        </row>
        <row r="375">
          <cell r="A375" t="str">
            <v>JUN 2016</v>
          </cell>
          <cell r="B375" t="str">
            <v>LGUM_276</v>
          </cell>
          <cell r="C375">
            <v>1348</v>
          </cell>
        </row>
        <row r="376">
          <cell r="A376" t="str">
            <v>JUN 2016</v>
          </cell>
          <cell r="B376" t="str">
            <v>LGUM_277</v>
          </cell>
          <cell r="C376">
            <v>2508</v>
          </cell>
        </row>
        <row r="377">
          <cell r="A377" t="str">
            <v>JUN 2016</v>
          </cell>
          <cell r="B377" t="str">
            <v>LGUM_278</v>
          </cell>
          <cell r="C377">
            <v>17</v>
          </cell>
        </row>
        <row r="378">
          <cell r="A378" t="str">
            <v>JUN 2016</v>
          </cell>
          <cell r="B378" t="str">
            <v>LGUM_279</v>
          </cell>
          <cell r="C378">
            <v>11</v>
          </cell>
        </row>
        <row r="379">
          <cell r="A379" t="str">
            <v>JUN 2016</v>
          </cell>
          <cell r="B379" t="str">
            <v>LGUM_280</v>
          </cell>
          <cell r="C379">
            <v>45</v>
          </cell>
        </row>
        <row r="380">
          <cell r="A380" t="str">
            <v>JUN 2016</v>
          </cell>
          <cell r="B380" t="str">
            <v>LGUM_281</v>
          </cell>
          <cell r="C380">
            <v>241</v>
          </cell>
        </row>
        <row r="381">
          <cell r="A381" t="str">
            <v>JUN 2016</v>
          </cell>
          <cell r="B381" t="str">
            <v>LGUM_282</v>
          </cell>
          <cell r="C381">
            <v>104</v>
          </cell>
        </row>
        <row r="382">
          <cell r="A382" t="str">
            <v>JUN 2016</v>
          </cell>
          <cell r="B382" t="str">
            <v>LGUM_283</v>
          </cell>
          <cell r="C382">
            <v>81</v>
          </cell>
        </row>
        <row r="383">
          <cell r="A383" t="str">
            <v>JUN 2016</v>
          </cell>
          <cell r="B383" t="str">
            <v>LGUM_314</v>
          </cell>
          <cell r="C383">
            <v>982</v>
          </cell>
        </row>
        <row r="384">
          <cell r="A384" t="str">
            <v>JUN 2016</v>
          </cell>
          <cell r="B384" t="str">
            <v>LGUM_315</v>
          </cell>
          <cell r="C384">
            <v>981</v>
          </cell>
        </row>
        <row r="385">
          <cell r="A385" t="str">
            <v>JUN 2016</v>
          </cell>
          <cell r="B385" t="str">
            <v>LGUM_318</v>
          </cell>
          <cell r="C385">
            <v>106</v>
          </cell>
        </row>
        <row r="386">
          <cell r="A386" t="str">
            <v>JUN 2016</v>
          </cell>
          <cell r="B386" t="str">
            <v>LGUM_348</v>
          </cell>
          <cell r="C386">
            <v>79</v>
          </cell>
        </row>
        <row r="387">
          <cell r="A387" t="str">
            <v>JUN 2016</v>
          </cell>
          <cell r="B387" t="str">
            <v>LGUM_349</v>
          </cell>
          <cell r="C387">
            <v>33</v>
          </cell>
        </row>
        <row r="388">
          <cell r="A388" t="str">
            <v>JUN 2016</v>
          </cell>
          <cell r="B388" t="str">
            <v>LGUM_400</v>
          </cell>
          <cell r="C388">
            <v>35</v>
          </cell>
        </row>
        <row r="389">
          <cell r="A389" t="str">
            <v>JUN 2016</v>
          </cell>
          <cell r="B389" t="str">
            <v>LGUM_401</v>
          </cell>
          <cell r="C389">
            <v>4</v>
          </cell>
        </row>
        <row r="390">
          <cell r="A390" t="str">
            <v>JUN 2016</v>
          </cell>
          <cell r="B390" t="str">
            <v>LGUM_412</v>
          </cell>
          <cell r="C390">
            <v>219</v>
          </cell>
        </row>
        <row r="391">
          <cell r="A391" t="str">
            <v>JUN 2016</v>
          </cell>
          <cell r="B391" t="str">
            <v>LGUM_413</v>
          </cell>
          <cell r="C391">
            <v>2154</v>
          </cell>
        </row>
        <row r="392">
          <cell r="A392" t="str">
            <v>JUN 2016</v>
          </cell>
          <cell r="B392" t="str">
            <v>LGUM_415</v>
          </cell>
          <cell r="C392">
            <v>38</v>
          </cell>
        </row>
        <row r="393">
          <cell r="A393" t="str">
            <v>JUN 2016</v>
          </cell>
          <cell r="B393" t="str">
            <v>LGUM_416</v>
          </cell>
          <cell r="C393">
            <v>1807</v>
          </cell>
        </row>
        <row r="394">
          <cell r="A394" t="str">
            <v>JUN 2016</v>
          </cell>
          <cell r="B394" t="str">
            <v>LGUM_417</v>
          </cell>
          <cell r="C394">
            <v>39</v>
          </cell>
        </row>
        <row r="395">
          <cell r="A395" t="str">
            <v>JUN 2016</v>
          </cell>
          <cell r="B395" t="str">
            <v>LGUM_419</v>
          </cell>
          <cell r="C395">
            <v>111</v>
          </cell>
        </row>
        <row r="396">
          <cell r="A396" t="str">
            <v>JUN 2016</v>
          </cell>
          <cell r="B396" t="str">
            <v>LGUM_420</v>
          </cell>
          <cell r="C396">
            <v>53</v>
          </cell>
        </row>
        <row r="397">
          <cell r="A397" t="str">
            <v>JUN 2016</v>
          </cell>
          <cell r="B397" t="str">
            <v>LGUM_421</v>
          </cell>
          <cell r="C397">
            <v>183</v>
          </cell>
        </row>
        <row r="398">
          <cell r="A398" t="str">
            <v>JUN 2016</v>
          </cell>
          <cell r="B398" t="str">
            <v>LGUM_422</v>
          </cell>
          <cell r="C398">
            <v>374</v>
          </cell>
        </row>
        <row r="399">
          <cell r="A399" t="str">
            <v>JUN 2016</v>
          </cell>
          <cell r="B399" t="str">
            <v>LGUM_423</v>
          </cell>
          <cell r="C399">
            <v>29</v>
          </cell>
        </row>
        <row r="400">
          <cell r="A400" t="str">
            <v>JUN 2016</v>
          </cell>
          <cell r="B400" t="str">
            <v>LGUM_424</v>
          </cell>
          <cell r="C400">
            <v>880</v>
          </cell>
        </row>
        <row r="401">
          <cell r="A401" t="str">
            <v>JUN 2016</v>
          </cell>
          <cell r="B401" t="str">
            <v>LGUM_425</v>
          </cell>
          <cell r="C401">
            <v>42</v>
          </cell>
        </row>
        <row r="402">
          <cell r="A402" t="str">
            <v>JUN 2016</v>
          </cell>
          <cell r="B402" t="str">
            <v>LGUM_426</v>
          </cell>
          <cell r="C402">
            <v>40</v>
          </cell>
        </row>
        <row r="403">
          <cell r="A403" t="str">
            <v>JUN 2016</v>
          </cell>
          <cell r="B403" t="str">
            <v>LGUM_427</v>
          </cell>
          <cell r="C403">
            <v>54</v>
          </cell>
        </row>
        <row r="404">
          <cell r="A404" t="str">
            <v>JUN 2016</v>
          </cell>
          <cell r="B404" t="str">
            <v>LGUM_428</v>
          </cell>
          <cell r="C404">
            <v>289</v>
          </cell>
        </row>
        <row r="405">
          <cell r="A405" t="str">
            <v>JUN 2016</v>
          </cell>
          <cell r="B405" t="str">
            <v>LGUM_429</v>
          </cell>
          <cell r="C405">
            <v>194</v>
          </cell>
        </row>
        <row r="406">
          <cell r="A406" t="str">
            <v>JUN 2016</v>
          </cell>
          <cell r="B406" t="str">
            <v>LGUM_430</v>
          </cell>
          <cell r="C406">
            <v>25</v>
          </cell>
        </row>
        <row r="407">
          <cell r="A407" t="str">
            <v>JUN 2016</v>
          </cell>
          <cell r="B407" t="str">
            <v>LGUM_431</v>
          </cell>
          <cell r="C407">
            <v>44</v>
          </cell>
        </row>
        <row r="408">
          <cell r="A408" t="str">
            <v>JUN 2016</v>
          </cell>
          <cell r="B408" t="str">
            <v>LGUM_432</v>
          </cell>
          <cell r="C408">
            <v>10</v>
          </cell>
        </row>
        <row r="409">
          <cell r="A409" t="str">
            <v>JUN 2016</v>
          </cell>
          <cell r="B409" t="str">
            <v>LGUM_433</v>
          </cell>
          <cell r="C409">
            <v>192</v>
          </cell>
        </row>
        <row r="410">
          <cell r="A410" t="str">
            <v>JUN 2016</v>
          </cell>
          <cell r="B410" t="str">
            <v>LGUM_440</v>
          </cell>
          <cell r="C410">
            <v>2</v>
          </cell>
        </row>
        <row r="411">
          <cell r="A411" t="str">
            <v>JUN 2016</v>
          </cell>
          <cell r="B411" t="str">
            <v>LGUM_441</v>
          </cell>
          <cell r="C411">
            <v>18</v>
          </cell>
        </row>
        <row r="412">
          <cell r="A412" t="str">
            <v>JUN 2016</v>
          </cell>
          <cell r="B412" t="str">
            <v>LGUM_452</v>
          </cell>
          <cell r="C412">
            <v>9720</v>
          </cell>
        </row>
        <row r="413">
          <cell r="A413" t="str">
            <v>JUN 2016</v>
          </cell>
          <cell r="B413" t="str">
            <v>LGUM_453</v>
          </cell>
          <cell r="C413">
            <v>16566</v>
          </cell>
        </row>
        <row r="414">
          <cell r="A414" t="str">
            <v>JUN 2016</v>
          </cell>
          <cell r="B414" t="str">
            <v>LGUM_454</v>
          </cell>
          <cell r="C414">
            <v>7675</v>
          </cell>
        </row>
        <row r="415">
          <cell r="A415" t="str">
            <v>JUN 2016</v>
          </cell>
          <cell r="B415" t="str">
            <v>LGUM_455</v>
          </cell>
          <cell r="C415">
            <v>408</v>
          </cell>
        </row>
        <row r="416">
          <cell r="A416" t="str">
            <v>JUN 2016</v>
          </cell>
          <cell r="B416" t="str">
            <v>LGUM_456</v>
          </cell>
          <cell r="C416">
            <v>12961</v>
          </cell>
        </row>
        <row r="417">
          <cell r="A417" t="str">
            <v>JUN 2016</v>
          </cell>
          <cell r="B417" t="str">
            <v>LGUM_457</v>
          </cell>
          <cell r="C417">
            <v>3363</v>
          </cell>
        </row>
        <row r="418">
          <cell r="A418" t="str">
            <v>JUN 2016</v>
          </cell>
          <cell r="B418" t="str">
            <v>LGUM_458</v>
          </cell>
          <cell r="C418">
            <v>6</v>
          </cell>
        </row>
        <row r="419">
          <cell r="A419" t="str">
            <v>JUN 2016</v>
          </cell>
          <cell r="B419" t="str">
            <v>LGUM_470</v>
          </cell>
          <cell r="C419">
            <v>24</v>
          </cell>
        </row>
        <row r="420">
          <cell r="A420" t="str">
            <v>JUN 2016</v>
          </cell>
          <cell r="B420" t="str">
            <v>LGUM_471</v>
          </cell>
          <cell r="C420">
            <v>2</v>
          </cell>
        </row>
        <row r="421">
          <cell r="A421" t="str">
            <v>JUN 2016</v>
          </cell>
          <cell r="B421" t="str">
            <v>LGUM_473</v>
          </cell>
          <cell r="C421">
            <v>407</v>
          </cell>
        </row>
        <row r="422">
          <cell r="A422" t="str">
            <v>JUN 2016</v>
          </cell>
          <cell r="B422" t="str">
            <v>LGUM_474</v>
          </cell>
          <cell r="C422">
            <v>53</v>
          </cell>
        </row>
        <row r="423">
          <cell r="A423" t="str">
            <v>JUN 2016</v>
          </cell>
          <cell r="B423" t="str">
            <v>LGUM_475</v>
          </cell>
          <cell r="C423">
            <v>2</v>
          </cell>
        </row>
        <row r="424">
          <cell r="A424" t="str">
            <v>JUN 2016</v>
          </cell>
          <cell r="B424" t="str">
            <v>LGUM_476</v>
          </cell>
          <cell r="C424">
            <v>398</v>
          </cell>
        </row>
        <row r="425">
          <cell r="A425" t="str">
            <v>JUN 2016</v>
          </cell>
          <cell r="B425" t="str">
            <v>LGUM_477</v>
          </cell>
          <cell r="C425">
            <v>60</v>
          </cell>
        </row>
        <row r="426">
          <cell r="A426" t="str">
            <v>JUN 2016</v>
          </cell>
          <cell r="B426" t="str">
            <v>LGUM_480</v>
          </cell>
          <cell r="C426">
            <v>18</v>
          </cell>
        </row>
        <row r="427">
          <cell r="A427" t="str">
            <v>JUN 2016</v>
          </cell>
          <cell r="B427" t="str">
            <v>LGUM_481</v>
          </cell>
          <cell r="C427">
            <v>4</v>
          </cell>
        </row>
        <row r="428">
          <cell r="A428" t="str">
            <v>JUN 2016</v>
          </cell>
          <cell r="B428" t="str">
            <v>LGUM_482</v>
          </cell>
          <cell r="C428">
            <v>45</v>
          </cell>
        </row>
        <row r="429">
          <cell r="A429" t="str">
            <v>JUN 2016</v>
          </cell>
          <cell r="B429" t="str">
            <v>LGUM_483</v>
          </cell>
          <cell r="C429">
            <v>2</v>
          </cell>
        </row>
        <row r="430">
          <cell r="A430" t="str">
            <v>JUN 2016</v>
          </cell>
          <cell r="B430" t="str">
            <v>LGUM_484</v>
          </cell>
          <cell r="C430">
            <v>13</v>
          </cell>
        </row>
        <row r="431">
          <cell r="A431" t="str">
            <v>JUN 2016</v>
          </cell>
        </row>
        <row r="432">
          <cell r="A432" t="str">
            <v>JUN 2016</v>
          </cell>
        </row>
        <row r="433">
          <cell r="A433" t="str">
            <v>JUL 2015</v>
          </cell>
          <cell r="B433" t="str">
            <v>LGUM_201</v>
          </cell>
          <cell r="C433">
            <v>75</v>
          </cell>
        </row>
        <row r="434">
          <cell r="A434" t="str">
            <v>JUL 2015</v>
          </cell>
          <cell r="B434" t="str">
            <v>LGUM_203</v>
          </cell>
          <cell r="C434">
            <v>3649</v>
          </cell>
        </row>
        <row r="435">
          <cell r="A435" t="str">
            <v>JUL 2015</v>
          </cell>
          <cell r="B435" t="str">
            <v>LGUM_204</v>
          </cell>
          <cell r="C435">
            <v>3686</v>
          </cell>
        </row>
        <row r="436">
          <cell r="A436" t="str">
            <v>JUL 2015</v>
          </cell>
          <cell r="B436" t="str">
            <v>LGUM_206</v>
          </cell>
          <cell r="C436">
            <v>92</v>
          </cell>
        </row>
        <row r="437">
          <cell r="A437" t="str">
            <v>JUL 2015</v>
          </cell>
          <cell r="B437" t="str">
            <v>LGUM_207</v>
          </cell>
          <cell r="C437">
            <v>744</v>
          </cell>
        </row>
        <row r="438">
          <cell r="A438" t="str">
            <v>JUL 2015</v>
          </cell>
          <cell r="B438" t="str">
            <v>LGUM_208</v>
          </cell>
          <cell r="C438">
            <v>1387</v>
          </cell>
        </row>
        <row r="439">
          <cell r="A439" t="str">
            <v>JUL 2015</v>
          </cell>
          <cell r="B439" t="str">
            <v>LGUM_209</v>
          </cell>
          <cell r="C439">
            <v>43</v>
          </cell>
        </row>
        <row r="440">
          <cell r="A440" t="str">
            <v>JUL 2015</v>
          </cell>
          <cell r="B440" t="str">
            <v>LGUM_210</v>
          </cell>
          <cell r="C440">
            <v>329</v>
          </cell>
        </row>
        <row r="441">
          <cell r="A441" t="str">
            <v>JUL 2015</v>
          </cell>
          <cell r="B441" t="str">
            <v>LGUM_252</v>
          </cell>
          <cell r="C441">
            <v>3911</v>
          </cell>
        </row>
        <row r="442">
          <cell r="A442" t="str">
            <v>JUL 2015</v>
          </cell>
          <cell r="B442" t="str">
            <v>LGUM_266</v>
          </cell>
          <cell r="C442">
            <v>2037</v>
          </cell>
        </row>
        <row r="443">
          <cell r="A443" t="str">
            <v>JUL 2015</v>
          </cell>
          <cell r="B443" t="str">
            <v>LGUM_267</v>
          </cell>
          <cell r="C443">
            <v>2275</v>
          </cell>
        </row>
        <row r="444">
          <cell r="A444" t="str">
            <v>JUL 2015</v>
          </cell>
          <cell r="B444" t="str">
            <v>LGUM_274</v>
          </cell>
          <cell r="C444">
            <v>16749</v>
          </cell>
        </row>
        <row r="445">
          <cell r="A445" t="str">
            <v>JUL 2015</v>
          </cell>
          <cell r="B445" t="str">
            <v>LGUM_275</v>
          </cell>
          <cell r="C445">
            <v>516</v>
          </cell>
        </row>
        <row r="446">
          <cell r="A446" t="str">
            <v>JUL 2015</v>
          </cell>
          <cell r="B446" t="str">
            <v>LGUM_276</v>
          </cell>
          <cell r="C446">
            <v>1321</v>
          </cell>
        </row>
        <row r="447">
          <cell r="A447" t="str">
            <v>JUL 2015</v>
          </cell>
          <cell r="B447" t="str">
            <v>LGUM_277</v>
          </cell>
          <cell r="C447">
            <v>2292</v>
          </cell>
        </row>
        <row r="448">
          <cell r="A448" t="str">
            <v>JUL 2015</v>
          </cell>
          <cell r="B448" t="str">
            <v>LGUM_278</v>
          </cell>
          <cell r="C448">
            <v>17</v>
          </cell>
        </row>
        <row r="449">
          <cell r="A449" t="str">
            <v>JUL 2015</v>
          </cell>
          <cell r="B449" t="str">
            <v>LGUM_279</v>
          </cell>
          <cell r="C449">
            <v>11</v>
          </cell>
        </row>
        <row r="450">
          <cell r="A450" t="str">
            <v>JUL 2015</v>
          </cell>
          <cell r="B450" t="str">
            <v>LGUM_280</v>
          </cell>
          <cell r="C450">
            <v>45</v>
          </cell>
        </row>
        <row r="451">
          <cell r="A451" t="str">
            <v>JUL 2015</v>
          </cell>
          <cell r="B451" t="str">
            <v>LGUM_281</v>
          </cell>
          <cell r="C451">
            <v>239</v>
          </cell>
        </row>
        <row r="452">
          <cell r="A452" t="str">
            <v>JUL 2015</v>
          </cell>
          <cell r="B452" t="str">
            <v>LGUM_282</v>
          </cell>
          <cell r="C452">
            <v>103</v>
          </cell>
        </row>
        <row r="453">
          <cell r="A453" t="str">
            <v>JUL 2015</v>
          </cell>
          <cell r="B453" t="str">
            <v>LGUM_283</v>
          </cell>
          <cell r="C453">
            <v>80</v>
          </cell>
        </row>
        <row r="454">
          <cell r="A454" t="str">
            <v>JUL 2015</v>
          </cell>
          <cell r="B454" t="str">
            <v>LGUM_314</v>
          </cell>
          <cell r="C454">
            <v>512</v>
          </cell>
        </row>
        <row r="455">
          <cell r="A455" t="str">
            <v>JUL 2015</v>
          </cell>
          <cell r="B455" t="str">
            <v>LGUM_315</v>
          </cell>
          <cell r="C455">
            <v>497</v>
          </cell>
        </row>
        <row r="456">
          <cell r="A456" t="str">
            <v>JUL 2015</v>
          </cell>
          <cell r="B456" t="str">
            <v>LGUM_318</v>
          </cell>
          <cell r="C456">
            <v>53</v>
          </cell>
        </row>
        <row r="457">
          <cell r="A457" t="str">
            <v>JUL 2015</v>
          </cell>
          <cell r="B457" t="str">
            <v>LGUM_348</v>
          </cell>
          <cell r="C457">
            <v>39</v>
          </cell>
        </row>
        <row r="458">
          <cell r="A458" t="str">
            <v>JUL 2015</v>
          </cell>
          <cell r="B458" t="str">
            <v>LGUM_349</v>
          </cell>
          <cell r="C458">
            <v>17</v>
          </cell>
        </row>
        <row r="459">
          <cell r="A459" t="str">
            <v>JUL 2015</v>
          </cell>
          <cell r="B459" t="str">
            <v>LGUM_400</v>
          </cell>
          <cell r="C459">
            <v>35</v>
          </cell>
        </row>
        <row r="460">
          <cell r="A460" t="str">
            <v>JUL 2015</v>
          </cell>
          <cell r="B460" t="str">
            <v>LGUM_401</v>
          </cell>
          <cell r="C460">
            <v>4</v>
          </cell>
        </row>
        <row r="461">
          <cell r="A461" t="str">
            <v>JUL 2015</v>
          </cell>
          <cell r="B461" t="str">
            <v>LGUM_412</v>
          </cell>
          <cell r="C461">
            <v>219</v>
          </cell>
        </row>
        <row r="462">
          <cell r="A462" t="str">
            <v>JUL 2015</v>
          </cell>
          <cell r="B462" t="str">
            <v>LGUM_413</v>
          </cell>
          <cell r="C462">
            <v>2088</v>
          </cell>
        </row>
        <row r="463">
          <cell r="A463" t="str">
            <v>JUL 2015</v>
          </cell>
          <cell r="B463" t="str">
            <v>LGUM_415</v>
          </cell>
          <cell r="C463">
            <v>37</v>
          </cell>
        </row>
        <row r="464">
          <cell r="A464" t="str">
            <v>JUL 2015</v>
          </cell>
          <cell r="B464" t="str">
            <v>LGUM_416</v>
          </cell>
          <cell r="C464">
            <v>1835</v>
          </cell>
        </row>
        <row r="465">
          <cell r="A465" t="str">
            <v>JUL 2015</v>
          </cell>
          <cell r="B465" t="str">
            <v>LGUM_417</v>
          </cell>
          <cell r="C465">
            <v>39</v>
          </cell>
        </row>
        <row r="466">
          <cell r="A466" t="str">
            <v>JUL 2015</v>
          </cell>
          <cell r="B466" t="str">
            <v>LGUM_419</v>
          </cell>
          <cell r="C466">
            <v>110</v>
          </cell>
        </row>
        <row r="467">
          <cell r="A467" t="str">
            <v>JUL 2015</v>
          </cell>
          <cell r="B467" t="str">
            <v>LGUM_420</v>
          </cell>
          <cell r="C467">
            <v>53</v>
          </cell>
        </row>
        <row r="468">
          <cell r="A468" t="str">
            <v>JUL 2015</v>
          </cell>
          <cell r="B468" t="str">
            <v>LGUM_421</v>
          </cell>
          <cell r="C468">
            <v>173</v>
          </cell>
        </row>
        <row r="469">
          <cell r="A469" t="str">
            <v>JUL 2015</v>
          </cell>
          <cell r="B469" t="str">
            <v>LGUM_422</v>
          </cell>
          <cell r="C469">
            <v>388</v>
          </cell>
        </row>
        <row r="470">
          <cell r="A470" t="str">
            <v>JUL 2015</v>
          </cell>
          <cell r="B470" t="str">
            <v>LGUM_423</v>
          </cell>
          <cell r="C470">
            <v>21</v>
          </cell>
        </row>
        <row r="471">
          <cell r="A471" t="str">
            <v>JUL 2015</v>
          </cell>
          <cell r="B471" t="str">
            <v>LGUM_424</v>
          </cell>
          <cell r="C471">
            <v>448</v>
          </cell>
        </row>
        <row r="472">
          <cell r="A472" t="str">
            <v>JUL 2015</v>
          </cell>
          <cell r="B472" t="str">
            <v>LGUM_425</v>
          </cell>
          <cell r="C472">
            <v>34</v>
          </cell>
        </row>
        <row r="473">
          <cell r="A473" t="str">
            <v>JUL 2015</v>
          </cell>
          <cell r="B473" t="str">
            <v>LGUM_426</v>
          </cell>
          <cell r="C473">
            <v>40</v>
          </cell>
        </row>
        <row r="474">
          <cell r="A474" t="str">
            <v>JUL 2015</v>
          </cell>
          <cell r="B474" t="str">
            <v>LGUM_427</v>
          </cell>
          <cell r="C474">
            <v>52</v>
          </cell>
        </row>
        <row r="475">
          <cell r="A475" t="str">
            <v>JUL 2015</v>
          </cell>
          <cell r="B475" t="str">
            <v>LGUM_428</v>
          </cell>
          <cell r="C475">
            <v>216</v>
          </cell>
        </row>
        <row r="476">
          <cell r="A476" t="str">
            <v>JUL 2015</v>
          </cell>
          <cell r="B476" t="str">
            <v>LGUM_429</v>
          </cell>
          <cell r="C476">
            <v>193</v>
          </cell>
        </row>
        <row r="477">
          <cell r="A477" t="str">
            <v>JUL 2015</v>
          </cell>
          <cell r="B477" t="str">
            <v>LGUM_430</v>
          </cell>
          <cell r="C477">
            <v>13</v>
          </cell>
        </row>
        <row r="478">
          <cell r="A478" t="str">
            <v>JUL 2015</v>
          </cell>
          <cell r="B478" t="str">
            <v>LGUM_431</v>
          </cell>
          <cell r="C478">
            <v>44</v>
          </cell>
        </row>
        <row r="479">
          <cell r="A479" t="str">
            <v>JUL 2015</v>
          </cell>
          <cell r="B479" t="str">
            <v>LGUM_432</v>
          </cell>
          <cell r="C479">
            <v>10</v>
          </cell>
        </row>
        <row r="480">
          <cell r="A480" t="str">
            <v>JUL 2015</v>
          </cell>
          <cell r="B480" t="str">
            <v>LGUM_433</v>
          </cell>
          <cell r="C480">
            <v>191</v>
          </cell>
        </row>
        <row r="481">
          <cell r="A481" t="str">
            <v>JUL 2015</v>
          </cell>
          <cell r="B481" t="str">
            <v>LGUM_440</v>
          </cell>
          <cell r="C481">
            <v>2</v>
          </cell>
        </row>
        <row r="482">
          <cell r="A482" t="str">
            <v>JUL 2015</v>
          </cell>
          <cell r="B482" t="str">
            <v>LGUM_441</v>
          </cell>
          <cell r="C482">
            <v>17</v>
          </cell>
        </row>
        <row r="483">
          <cell r="A483" t="str">
            <v>JUL 2015</v>
          </cell>
          <cell r="B483" t="str">
            <v>LGUM_452</v>
          </cell>
          <cell r="C483">
            <v>6446</v>
          </cell>
        </row>
        <row r="484">
          <cell r="A484" t="str">
            <v>JUL 2015</v>
          </cell>
          <cell r="B484" t="str">
            <v>LGUM_453</v>
          </cell>
          <cell r="C484">
            <v>9193</v>
          </cell>
        </row>
        <row r="485">
          <cell r="A485" t="str">
            <v>JUL 2015</v>
          </cell>
          <cell r="B485" t="str">
            <v>LGUM_454</v>
          </cell>
          <cell r="C485">
            <v>5487</v>
          </cell>
        </row>
        <row r="486">
          <cell r="A486" t="str">
            <v>JUL 2015</v>
          </cell>
          <cell r="B486" t="str">
            <v>LGUM_455</v>
          </cell>
          <cell r="C486">
            <v>409</v>
          </cell>
        </row>
        <row r="487">
          <cell r="A487" t="str">
            <v>JUL 2015</v>
          </cell>
          <cell r="B487" t="str">
            <v>LGUM_456</v>
          </cell>
          <cell r="C487">
            <v>12934</v>
          </cell>
        </row>
        <row r="488">
          <cell r="A488" t="str">
            <v>JUL 2015</v>
          </cell>
          <cell r="B488" t="str">
            <v>LGUM_457</v>
          </cell>
          <cell r="C488">
            <v>3316</v>
          </cell>
        </row>
        <row r="489">
          <cell r="A489" t="str">
            <v>JUL 2015</v>
          </cell>
          <cell r="B489" t="str">
            <v>LGUM_458</v>
          </cell>
          <cell r="C489">
            <v>5</v>
          </cell>
        </row>
        <row r="490">
          <cell r="A490" t="str">
            <v>JUL 2015</v>
          </cell>
          <cell r="B490" t="str">
            <v>LGUM_470</v>
          </cell>
          <cell r="C490">
            <v>23</v>
          </cell>
        </row>
        <row r="491">
          <cell r="A491" t="str">
            <v>JUL 2015</v>
          </cell>
          <cell r="B491" t="str">
            <v>LGUM_471</v>
          </cell>
          <cell r="C491">
            <v>2</v>
          </cell>
        </row>
        <row r="492">
          <cell r="A492" t="str">
            <v>JUL 2015</v>
          </cell>
          <cell r="B492" t="str">
            <v>LGUM_473</v>
          </cell>
          <cell r="C492">
            <v>432</v>
          </cell>
        </row>
        <row r="493">
          <cell r="A493" t="str">
            <v>JUL 2015</v>
          </cell>
          <cell r="B493" t="str">
            <v>LGUM_474</v>
          </cell>
          <cell r="C493">
            <v>54</v>
          </cell>
        </row>
        <row r="494">
          <cell r="A494" t="str">
            <v>JUL 2015</v>
          </cell>
          <cell r="B494" t="str">
            <v>LGUM_475</v>
          </cell>
          <cell r="C494">
            <v>2</v>
          </cell>
        </row>
        <row r="495">
          <cell r="A495" t="str">
            <v>JUL 2015</v>
          </cell>
          <cell r="B495" t="str">
            <v>LGUM_476</v>
          </cell>
          <cell r="C495">
            <v>399</v>
          </cell>
        </row>
        <row r="496">
          <cell r="A496" t="str">
            <v>JUL 2015</v>
          </cell>
          <cell r="B496" t="str">
            <v>LGUM_477</v>
          </cell>
          <cell r="C496">
            <v>58</v>
          </cell>
        </row>
        <row r="497">
          <cell r="A497" t="str">
            <v>JUL 2015</v>
          </cell>
          <cell r="B497" t="str">
            <v>LGUM_480</v>
          </cell>
          <cell r="C497">
            <v>18</v>
          </cell>
        </row>
        <row r="498">
          <cell r="A498" t="str">
            <v>JUL 2015</v>
          </cell>
          <cell r="B498" t="str">
            <v>LGUM_481</v>
          </cell>
          <cell r="C498">
            <v>4</v>
          </cell>
        </row>
        <row r="499">
          <cell r="A499" t="str">
            <v>JUL 2015</v>
          </cell>
          <cell r="B499" t="str">
            <v>LGUM_482</v>
          </cell>
          <cell r="C499">
            <v>43</v>
          </cell>
        </row>
        <row r="500">
          <cell r="A500" t="str">
            <v>JUL 2015</v>
          </cell>
          <cell r="B500" t="str">
            <v>LGUM_483</v>
          </cell>
          <cell r="C500">
            <v>2</v>
          </cell>
        </row>
        <row r="501">
          <cell r="A501" t="str">
            <v>JUL 2015</v>
          </cell>
          <cell r="B501" t="str">
            <v>LGUM_484</v>
          </cell>
          <cell r="C501">
            <v>13</v>
          </cell>
        </row>
        <row r="502">
          <cell r="A502" t="str">
            <v>JUL 2015</v>
          </cell>
        </row>
        <row r="503">
          <cell r="A503" t="str">
            <v>JUL 2015</v>
          </cell>
        </row>
        <row r="504">
          <cell r="A504" t="str">
            <v>AUG 2015</v>
          </cell>
          <cell r="B504" t="str">
            <v>LGUM_201</v>
          </cell>
          <cell r="C504">
            <v>75</v>
          </cell>
        </row>
        <row r="505">
          <cell r="A505" t="str">
            <v>AUG 2015</v>
          </cell>
          <cell r="B505" t="str">
            <v>LGUM_203</v>
          </cell>
          <cell r="C505">
            <v>3647</v>
          </cell>
        </row>
        <row r="506">
          <cell r="A506" t="str">
            <v>AUG 2015</v>
          </cell>
          <cell r="B506" t="str">
            <v>LGUM_204</v>
          </cell>
          <cell r="C506">
            <v>3672</v>
          </cell>
        </row>
        <row r="507">
          <cell r="A507" t="str">
            <v>AUG 2015</v>
          </cell>
          <cell r="B507" t="str">
            <v>LGUM_206</v>
          </cell>
          <cell r="C507">
            <v>92</v>
          </cell>
        </row>
        <row r="508">
          <cell r="A508" t="str">
            <v>AUG 2015</v>
          </cell>
          <cell r="B508" t="str">
            <v>LGUM_207</v>
          </cell>
          <cell r="C508">
            <v>727</v>
          </cell>
        </row>
        <row r="509">
          <cell r="A509" t="str">
            <v>AUG 2015</v>
          </cell>
          <cell r="B509" t="str">
            <v>LGUM_208</v>
          </cell>
          <cell r="C509">
            <v>1389</v>
          </cell>
        </row>
        <row r="510">
          <cell r="A510" t="str">
            <v>AUG 2015</v>
          </cell>
          <cell r="B510" t="str">
            <v>LGUM_209</v>
          </cell>
          <cell r="C510">
            <v>42</v>
          </cell>
        </row>
        <row r="511">
          <cell r="A511" t="str">
            <v>AUG 2015</v>
          </cell>
          <cell r="B511" t="str">
            <v>LGUM_210</v>
          </cell>
          <cell r="C511">
            <v>325</v>
          </cell>
        </row>
        <row r="512">
          <cell r="A512" t="str">
            <v>AUG 2015</v>
          </cell>
          <cell r="B512" t="str">
            <v>LGUM_252</v>
          </cell>
          <cell r="C512">
            <v>3903</v>
          </cell>
        </row>
        <row r="513">
          <cell r="A513" t="str">
            <v>AUG 2015</v>
          </cell>
          <cell r="B513" t="str">
            <v>LGUM_266</v>
          </cell>
          <cell r="C513">
            <v>2019</v>
          </cell>
        </row>
        <row r="514">
          <cell r="A514" t="str">
            <v>AUG 2015</v>
          </cell>
          <cell r="B514" t="str">
            <v>LGUM_267</v>
          </cell>
          <cell r="C514">
            <v>2263</v>
          </cell>
        </row>
        <row r="515">
          <cell r="A515" t="str">
            <v>AUG 2015</v>
          </cell>
          <cell r="B515" t="str">
            <v>LGUM_274</v>
          </cell>
          <cell r="C515">
            <v>16754</v>
          </cell>
        </row>
        <row r="516">
          <cell r="A516" t="str">
            <v>AUG 2015</v>
          </cell>
          <cell r="B516" t="str">
            <v>LGUM_275</v>
          </cell>
          <cell r="C516">
            <v>517</v>
          </cell>
        </row>
        <row r="517">
          <cell r="A517" t="str">
            <v>AUG 2015</v>
          </cell>
          <cell r="B517" t="str">
            <v>LGUM_276</v>
          </cell>
          <cell r="C517">
            <v>1286</v>
          </cell>
        </row>
        <row r="518">
          <cell r="A518" t="str">
            <v>AUG 2015</v>
          </cell>
          <cell r="B518" t="str">
            <v>LGUM_277</v>
          </cell>
          <cell r="C518">
            <v>2246</v>
          </cell>
        </row>
        <row r="519">
          <cell r="A519" t="str">
            <v>AUG 2015</v>
          </cell>
          <cell r="B519" t="str">
            <v>LGUM_278</v>
          </cell>
          <cell r="C519">
            <v>17</v>
          </cell>
        </row>
        <row r="520">
          <cell r="A520" t="str">
            <v>AUG 2015</v>
          </cell>
          <cell r="B520" t="str">
            <v>LGUM_279</v>
          </cell>
          <cell r="C520">
            <v>11</v>
          </cell>
        </row>
        <row r="521">
          <cell r="A521" t="str">
            <v>AUG 2015</v>
          </cell>
          <cell r="B521" t="str">
            <v>LGUM_280</v>
          </cell>
          <cell r="C521">
            <v>45</v>
          </cell>
        </row>
        <row r="522">
          <cell r="A522" t="str">
            <v>AUG 2015</v>
          </cell>
          <cell r="B522" t="str">
            <v>LGUM_281</v>
          </cell>
          <cell r="C522">
            <v>239</v>
          </cell>
        </row>
        <row r="523">
          <cell r="A523" t="str">
            <v>AUG 2015</v>
          </cell>
          <cell r="B523" t="str">
            <v>LGUM_282</v>
          </cell>
          <cell r="C523">
            <v>104</v>
          </cell>
        </row>
        <row r="524">
          <cell r="A524" t="str">
            <v>AUG 2015</v>
          </cell>
          <cell r="B524" t="str">
            <v>LGUM_283</v>
          </cell>
          <cell r="C524">
            <v>80</v>
          </cell>
        </row>
        <row r="525">
          <cell r="A525" t="str">
            <v>AUG 2015</v>
          </cell>
          <cell r="B525" t="str">
            <v>LGUM_314</v>
          </cell>
          <cell r="C525">
            <v>506</v>
          </cell>
        </row>
        <row r="526">
          <cell r="A526" t="str">
            <v>AUG 2015</v>
          </cell>
          <cell r="B526" t="str">
            <v>LGUM_315</v>
          </cell>
          <cell r="C526">
            <v>497</v>
          </cell>
        </row>
        <row r="527">
          <cell r="A527" t="str">
            <v>AUG 2015</v>
          </cell>
          <cell r="B527" t="str">
            <v>LGUM_318</v>
          </cell>
          <cell r="C527">
            <v>53</v>
          </cell>
        </row>
        <row r="528">
          <cell r="A528" t="str">
            <v>AUG 2015</v>
          </cell>
          <cell r="B528" t="str">
            <v>LGUM_348</v>
          </cell>
          <cell r="C528">
            <v>39</v>
          </cell>
        </row>
        <row r="529">
          <cell r="A529" t="str">
            <v>AUG 2015</v>
          </cell>
          <cell r="B529" t="str">
            <v>LGUM_349</v>
          </cell>
          <cell r="C529">
            <v>17</v>
          </cell>
        </row>
        <row r="530">
          <cell r="A530" t="str">
            <v>AUG 2015</v>
          </cell>
          <cell r="B530" t="str">
            <v>LGUM_400</v>
          </cell>
          <cell r="C530">
            <v>35</v>
          </cell>
        </row>
        <row r="531">
          <cell r="A531" t="str">
            <v>AUG 2015</v>
          </cell>
          <cell r="B531" t="str">
            <v>LGUM_401</v>
          </cell>
          <cell r="C531">
            <v>4</v>
          </cell>
        </row>
        <row r="532">
          <cell r="A532" t="str">
            <v>AUG 2015</v>
          </cell>
          <cell r="B532" t="str">
            <v>LGUM_412</v>
          </cell>
          <cell r="C532">
            <v>238</v>
          </cell>
        </row>
        <row r="533">
          <cell r="A533" t="str">
            <v>AUG 2015</v>
          </cell>
          <cell r="B533" t="str">
            <v>LGUM_413</v>
          </cell>
          <cell r="C533">
            <v>2146</v>
          </cell>
        </row>
        <row r="534">
          <cell r="A534" t="str">
            <v>AUG 2015</v>
          </cell>
          <cell r="B534" t="str">
            <v>LGUM_415</v>
          </cell>
          <cell r="C534">
            <v>37</v>
          </cell>
        </row>
        <row r="535">
          <cell r="A535" t="str">
            <v>AUG 2015</v>
          </cell>
          <cell r="B535" t="str">
            <v>LGUM_416</v>
          </cell>
          <cell r="C535">
            <v>1843</v>
          </cell>
        </row>
        <row r="536">
          <cell r="A536" t="str">
            <v>AUG 2015</v>
          </cell>
          <cell r="B536" t="str">
            <v>LGUM_417</v>
          </cell>
          <cell r="C536">
            <v>39</v>
          </cell>
        </row>
        <row r="537">
          <cell r="A537" t="str">
            <v>AUG 2015</v>
          </cell>
          <cell r="B537" t="str">
            <v>LGUM_419</v>
          </cell>
          <cell r="C537">
            <v>108</v>
          </cell>
        </row>
        <row r="538">
          <cell r="A538" t="str">
            <v>AUG 2015</v>
          </cell>
          <cell r="B538" t="str">
            <v>LGUM_420</v>
          </cell>
          <cell r="C538">
            <v>53</v>
          </cell>
        </row>
        <row r="539">
          <cell r="A539" t="str">
            <v>AUG 2015</v>
          </cell>
          <cell r="B539" t="str">
            <v>LGUM_421</v>
          </cell>
          <cell r="C539">
            <v>177</v>
          </cell>
        </row>
        <row r="540">
          <cell r="A540" t="str">
            <v>AUG 2015</v>
          </cell>
          <cell r="B540" t="str">
            <v>LGUM_422</v>
          </cell>
          <cell r="C540">
            <v>378</v>
          </cell>
        </row>
        <row r="541">
          <cell r="A541" t="str">
            <v>AUG 2015</v>
          </cell>
          <cell r="B541" t="str">
            <v>LGUM_423</v>
          </cell>
          <cell r="C541">
            <v>22</v>
          </cell>
        </row>
        <row r="542">
          <cell r="A542" t="str">
            <v>AUG 2015</v>
          </cell>
          <cell r="B542" t="str">
            <v>LGUM_424</v>
          </cell>
          <cell r="C542">
            <v>455</v>
          </cell>
        </row>
        <row r="543">
          <cell r="A543" t="str">
            <v>AUG 2015</v>
          </cell>
          <cell r="B543" t="str">
            <v>LGUM_425</v>
          </cell>
          <cell r="C543">
            <v>34</v>
          </cell>
        </row>
        <row r="544">
          <cell r="A544" t="str">
            <v>AUG 2015</v>
          </cell>
          <cell r="B544" t="str">
            <v>LGUM_426</v>
          </cell>
          <cell r="C544">
            <v>40</v>
          </cell>
        </row>
        <row r="545">
          <cell r="A545" t="str">
            <v>AUG 2015</v>
          </cell>
          <cell r="B545" t="str">
            <v>LGUM_427</v>
          </cell>
          <cell r="C545">
            <v>52</v>
          </cell>
        </row>
        <row r="546">
          <cell r="A546" t="str">
            <v>AUG 2015</v>
          </cell>
          <cell r="B546" t="str">
            <v>LGUM_428</v>
          </cell>
          <cell r="C546">
            <v>216</v>
          </cell>
        </row>
        <row r="547">
          <cell r="A547" t="str">
            <v>AUG 2015</v>
          </cell>
          <cell r="B547" t="str">
            <v>LGUM_429</v>
          </cell>
          <cell r="C547">
            <v>218</v>
          </cell>
        </row>
        <row r="548">
          <cell r="A548" t="str">
            <v>AUG 2015</v>
          </cell>
          <cell r="B548" t="str">
            <v>LGUM_430</v>
          </cell>
          <cell r="C548">
            <v>13</v>
          </cell>
        </row>
        <row r="549">
          <cell r="A549" t="str">
            <v>AUG 2015</v>
          </cell>
          <cell r="B549" t="str">
            <v>LGUM_431</v>
          </cell>
          <cell r="C549">
            <v>44</v>
          </cell>
        </row>
        <row r="550">
          <cell r="A550" t="str">
            <v>AUG 2015</v>
          </cell>
          <cell r="B550" t="str">
            <v>LGUM_432</v>
          </cell>
          <cell r="C550">
            <v>10</v>
          </cell>
        </row>
        <row r="551">
          <cell r="A551" t="str">
            <v>AUG 2015</v>
          </cell>
          <cell r="B551" t="str">
            <v>LGUM_433</v>
          </cell>
          <cell r="C551">
            <v>191</v>
          </cell>
        </row>
        <row r="552">
          <cell r="A552" t="str">
            <v>AUG 2015</v>
          </cell>
          <cell r="B552" t="str">
            <v>LGUM_440</v>
          </cell>
          <cell r="C552">
            <v>2</v>
          </cell>
        </row>
        <row r="553">
          <cell r="A553" t="str">
            <v>AUG 2015</v>
          </cell>
          <cell r="B553" t="str">
            <v>LGUM_441</v>
          </cell>
          <cell r="C553">
            <v>19</v>
          </cell>
        </row>
        <row r="554">
          <cell r="A554" t="str">
            <v>AUG 2015</v>
          </cell>
          <cell r="B554" t="str">
            <v>LGUM_452</v>
          </cell>
          <cell r="C554">
            <v>6445</v>
          </cell>
        </row>
        <row r="555">
          <cell r="A555" t="str">
            <v>AUG 2015</v>
          </cell>
          <cell r="B555" t="str">
            <v>LGUM_453</v>
          </cell>
          <cell r="C555">
            <v>9227</v>
          </cell>
        </row>
        <row r="556">
          <cell r="A556" t="str">
            <v>AUG 2015</v>
          </cell>
          <cell r="B556" t="str">
            <v>LGUM_454</v>
          </cell>
          <cell r="C556">
            <v>5457</v>
          </cell>
        </row>
        <row r="557">
          <cell r="A557" t="str">
            <v>AUG 2015</v>
          </cell>
          <cell r="B557" t="str">
            <v>LGUM_455</v>
          </cell>
          <cell r="C557">
            <v>397</v>
          </cell>
        </row>
        <row r="558">
          <cell r="A558" t="str">
            <v>AUG 2015</v>
          </cell>
          <cell r="B558" t="str">
            <v>LGUM_456</v>
          </cell>
          <cell r="C558">
            <v>12772</v>
          </cell>
        </row>
        <row r="559">
          <cell r="A559" t="str">
            <v>AUG 2015</v>
          </cell>
          <cell r="B559" t="str">
            <v>LGUM_457</v>
          </cell>
          <cell r="C559">
            <v>3327</v>
          </cell>
        </row>
        <row r="560">
          <cell r="A560" t="str">
            <v>AUG 2015</v>
          </cell>
          <cell r="B560" t="str">
            <v>LGUM_458</v>
          </cell>
          <cell r="C560">
            <v>5</v>
          </cell>
        </row>
        <row r="561">
          <cell r="A561" t="str">
            <v>AUG 2015</v>
          </cell>
          <cell r="B561" t="str">
            <v>LGUM_470</v>
          </cell>
          <cell r="C561">
            <v>23</v>
          </cell>
        </row>
        <row r="562">
          <cell r="A562" t="str">
            <v>AUG 2015</v>
          </cell>
          <cell r="B562" t="str">
            <v>LGUM_471</v>
          </cell>
          <cell r="C562">
            <v>2</v>
          </cell>
        </row>
        <row r="563">
          <cell r="A563" t="str">
            <v>AUG 2015</v>
          </cell>
          <cell r="B563" t="str">
            <v>LGUM_473</v>
          </cell>
          <cell r="C563">
            <v>430</v>
          </cell>
        </row>
        <row r="564">
          <cell r="A564" t="str">
            <v>AUG 2015</v>
          </cell>
          <cell r="B564" t="str">
            <v>LGUM_474</v>
          </cell>
          <cell r="C564">
            <v>53</v>
          </cell>
        </row>
        <row r="565">
          <cell r="A565" t="str">
            <v>AUG 2015</v>
          </cell>
          <cell r="B565" t="str">
            <v>LGUM_475</v>
          </cell>
          <cell r="C565">
            <v>2</v>
          </cell>
        </row>
        <row r="566">
          <cell r="A566" t="str">
            <v>AUG 2015</v>
          </cell>
          <cell r="B566" t="str">
            <v>LGUM_476</v>
          </cell>
          <cell r="C566">
            <v>402</v>
          </cell>
        </row>
        <row r="567">
          <cell r="A567" t="str">
            <v>AUG 2015</v>
          </cell>
          <cell r="B567" t="str">
            <v>LGUM_477</v>
          </cell>
          <cell r="C567">
            <v>62</v>
          </cell>
        </row>
        <row r="568">
          <cell r="A568" t="str">
            <v>AUG 2015</v>
          </cell>
          <cell r="B568" t="str">
            <v>LGUM_480</v>
          </cell>
          <cell r="C568">
            <v>18</v>
          </cell>
        </row>
        <row r="569">
          <cell r="A569" t="str">
            <v>AUG 2015</v>
          </cell>
          <cell r="B569" t="str">
            <v>LGUM_481</v>
          </cell>
          <cell r="C569">
            <v>4</v>
          </cell>
        </row>
        <row r="570">
          <cell r="A570" t="str">
            <v>AUG 2015</v>
          </cell>
          <cell r="B570" t="str">
            <v>LGUM_482</v>
          </cell>
          <cell r="C570">
            <v>43</v>
          </cell>
        </row>
        <row r="571">
          <cell r="A571" t="str">
            <v>AUG 2015</v>
          </cell>
          <cell r="B571" t="str">
            <v>LGUM_483</v>
          </cell>
          <cell r="C571">
            <v>2</v>
          </cell>
        </row>
        <row r="572">
          <cell r="A572" t="str">
            <v>AUG 2015</v>
          </cell>
          <cell r="B572" t="str">
            <v>LGUM_484</v>
          </cell>
          <cell r="C572">
            <v>13</v>
          </cell>
        </row>
        <row r="573">
          <cell r="A573" t="str">
            <v>AUG 2015</v>
          </cell>
        </row>
        <row r="574">
          <cell r="A574" t="str">
            <v>AUG 2015</v>
          </cell>
        </row>
        <row r="575">
          <cell r="A575" t="str">
            <v>SEP 2015</v>
          </cell>
          <cell r="B575" t="str">
            <v>LGUM_201</v>
          </cell>
          <cell r="C575">
            <v>77</v>
          </cell>
        </row>
        <row r="576">
          <cell r="A576" t="str">
            <v>SEP 2015</v>
          </cell>
          <cell r="B576" t="str">
            <v>LGUM_203</v>
          </cell>
          <cell r="C576">
            <v>3839</v>
          </cell>
        </row>
        <row r="577">
          <cell r="A577" t="str">
            <v>SEP 2015</v>
          </cell>
          <cell r="B577" t="str">
            <v>LGUM_204</v>
          </cell>
          <cell r="C577">
            <v>3859</v>
          </cell>
        </row>
        <row r="578">
          <cell r="A578" t="str">
            <v>SEP 2015</v>
          </cell>
          <cell r="B578" t="str">
            <v>LGUM_206</v>
          </cell>
          <cell r="C578">
            <v>96</v>
          </cell>
        </row>
        <row r="579">
          <cell r="A579" t="str">
            <v>SEP 2015</v>
          </cell>
          <cell r="B579" t="str">
            <v>LGUM_207</v>
          </cell>
          <cell r="C579">
            <v>751</v>
          </cell>
        </row>
        <row r="580">
          <cell r="A580" t="str">
            <v>SEP 2015</v>
          </cell>
          <cell r="B580" t="str">
            <v>LGUM_208</v>
          </cell>
          <cell r="C580">
            <v>1351</v>
          </cell>
        </row>
        <row r="581">
          <cell r="A581" t="str">
            <v>SEP 2015</v>
          </cell>
          <cell r="B581" t="str">
            <v>LGUM_209</v>
          </cell>
          <cell r="C581">
            <v>45</v>
          </cell>
        </row>
        <row r="582">
          <cell r="A582" t="str">
            <v>SEP 2015</v>
          </cell>
          <cell r="B582" t="str">
            <v>LGUM_210</v>
          </cell>
          <cell r="C582">
            <v>382</v>
          </cell>
        </row>
        <row r="583">
          <cell r="A583" t="str">
            <v>SEP 2015</v>
          </cell>
          <cell r="B583" t="str">
            <v>LGUM_252</v>
          </cell>
          <cell r="C583">
            <v>4067</v>
          </cell>
        </row>
        <row r="584">
          <cell r="A584" t="str">
            <v>SEP 2015</v>
          </cell>
          <cell r="B584" t="str">
            <v>LGUM_266</v>
          </cell>
          <cell r="C584">
            <v>2018</v>
          </cell>
        </row>
        <row r="585">
          <cell r="A585" t="str">
            <v>SEP 2015</v>
          </cell>
          <cell r="B585" t="str">
            <v>LGUM_267</v>
          </cell>
          <cell r="C585">
            <v>2221</v>
          </cell>
        </row>
        <row r="586">
          <cell r="A586" t="str">
            <v>SEP 2015</v>
          </cell>
          <cell r="B586" t="str">
            <v>LGUM_274</v>
          </cell>
          <cell r="C586">
            <v>16635</v>
          </cell>
        </row>
        <row r="587">
          <cell r="A587" t="str">
            <v>SEP 2015</v>
          </cell>
          <cell r="B587" t="str">
            <v>LGUM_275</v>
          </cell>
          <cell r="C587">
            <v>510</v>
          </cell>
        </row>
        <row r="588">
          <cell r="A588" t="str">
            <v>SEP 2015</v>
          </cell>
          <cell r="B588" t="str">
            <v>LGUM_276</v>
          </cell>
          <cell r="C588">
            <v>1307</v>
          </cell>
        </row>
        <row r="589">
          <cell r="A589" t="str">
            <v>SEP 2015</v>
          </cell>
          <cell r="B589" t="str">
            <v>LGUM_277</v>
          </cell>
          <cell r="C589">
            <v>2234</v>
          </cell>
        </row>
        <row r="590">
          <cell r="A590" t="str">
            <v>SEP 2015</v>
          </cell>
          <cell r="B590" t="str">
            <v>LGUM_278</v>
          </cell>
          <cell r="C590">
            <v>17</v>
          </cell>
        </row>
        <row r="591">
          <cell r="A591" t="str">
            <v>SEP 2015</v>
          </cell>
          <cell r="B591" t="str">
            <v>LGUM_279</v>
          </cell>
          <cell r="C591">
            <v>11</v>
          </cell>
        </row>
        <row r="592">
          <cell r="A592" t="str">
            <v>SEP 2015</v>
          </cell>
          <cell r="B592" t="str">
            <v>LGUM_280</v>
          </cell>
          <cell r="C592">
            <v>45</v>
          </cell>
        </row>
        <row r="593">
          <cell r="A593" t="str">
            <v>SEP 2015</v>
          </cell>
          <cell r="B593" t="str">
            <v>LGUM_281</v>
          </cell>
          <cell r="C593">
            <v>240</v>
          </cell>
        </row>
        <row r="594">
          <cell r="A594" t="str">
            <v>SEP 2015</v>
          </cell>
          <cell r="B594" t="str">
            <v>LGUM_282</v>
          </cell>
          <cell r="C594">
            <v>103</v>
          </cell>
        </row>
        <row r="595">
          <cell r="A595" t="str">
            <v>SEP 2015</v>
          </cell>
          <cell r="B595" t="str">
            <v>LGUM_283</v>
          </cell>
          <cell r="C595">
            <v>80</v>
          </cell>
        </row>
        <row r="596">
          <cell r="A596" t="str">
            <v>SEP 2015</v>
          </cell>
          <cell r="B596" t="str">
            <v>LGUM_314</v>
          </cell>
          <cell r="C596">
            <v>558</v>
          </cell>
        </row>
        <row r="597">
          <cell r="A597" t="str">
            <v>SEP 2015</v>
          </cell>
          <cell r="B597" t="str">
            <v>LGUM_315</v>
          </cell>
          <cell r="C597">
            <v>534</v>
          </cell>
        </row>
        <row r="598">
          <cell r="A598" t="str">
            <v>SEP 2015</v>
          </cell>
          <cell r="B598" t="str">
            <v>LGUM_318</v>
          </cell>
          <cell r="C598">
            <v>55</v>
          </cell>
        </row>
        <row r="599">
          <cell r="A599" t="str">
            <v>SEP 2015</v>
          </cell>
          <cell r="B599" t="str">
            <v>LGUM_348</v>
          </cell>
          <cell r="C599">
            <v>39</v>
          </cell>
        </row>
        <row r="600">
          <cell r="A600" t="str">
            <v>SEP 2015</v>
          </cell>
          <cell r="B600" t="str">
            <v>LGUM_349</v>
          </cell>
          <cell r="C600">
            <v>16</v>
          </cell>
        </row>
        <row r="601">
          <cell r="A601" t="str">
            <v>SEP 2015</v>
          </cell>
          <cell r="B601" t="str">
            <v>LGUM_400</v>
          </cell>
          <cell r="C601">
            <v>32</v>
          </cell>
        </row>
        <row r="602">
          <cell r="A602" t="str">
            <v>SEP 2015</v>
          </cell>
          <cell r="B602" t="str">
            <v>LGUM_401</v>
          </cell>
          <cell r="C602">
            <v>4</v>
          </cell>
        </row>
        <row r="603">
          <cell r="A603" t="str">
            <v>SEP 2015</v>
          </cell>
          <cell r="B603" t="str">
            <v>LGUM_412</v>
          </cell>
          <cell r="C603">
            <v>212</v>
          </cell>
        </row>
        <row r="604">
          <cell r="A604" t="str">
            <v>SEP 2015</v>
          </cell>
          <cell r="B604" t="str">
            <v>LGUM_413</v>
          </cell>
          <cell r="C604">
            <v>1995</v>
          </cell>
        </row>
        <row r="605">
          <cell r="A605" t="str">
            <v>SEP 2015</v>
          </cell>
          <cell r="B605" t="str">
            <v>LGUM_415</v>
          </cell>
          <cell r="C605">
            <v>19</v>
          </cell>
        </row>
        <row r="606">
          <cell r="A606" t="str">
            <v>SEP 2015</v>
          </cell>
          <cell r="B606" t="str">
            <v>LGUM_416</v>
          </cell>
          <cell r="C606">
            <v>1782</v>
          </cell>
        </row>
        <row r="607">
          <cell r="A607" t="str">
            <v>SEP 2015</v>
          </cell>
          <cell r="B607" t="str">
            <v>LGUM_417</v>
          </cell>
          <cell r="C607">
            <v>35</v>
          </cell>
        </row>
        <row r="608">
          <cell r="A608" t="str">
            <v>SEP 2015</v>
          </cell>
          <cell r="B608" t="str">
            <v>LGUM_419</v>
          </cell>
          <cell r="C608">
            <v>112</v>
          </cell>
        </row>
        <row r="609">
          <cell r="A609" t="str">
            <v>SEP 2015</v>
          </cell>
          <cell r="B609" t="str">
            <v>LGUM_420</v>
          </cell>
          <cell r="C609">
            <v>53</v>
          </cell>
        </row>
        <row r="610">
          <cell r="A610" t="str">
            <v>SEP 2015</v>
          </cell>
          <cell r="B610" t="str">
            <v>LGUM_421</v>
          </cell>
          <cell r="C610">
            <v>175</v>
          </cell>
        </row>
        <row r="611">
          <cell r="A611" t="str">
            <v>SEP 2015</v>
          </cell>
          <cell r="B611" t="str">
            <v>LGUM_422</v>
          </cell>
          <cell r="C611">
            <v>351</v>
          </cell>
        </row>
        <row r="612">
          <cell r="A612" t="str">
            <v>SEP 2015</v>
          </cell>
          <cell r="B612" t="str">
            <v>LGUM_423</v>
          </cell>
          <cell r="C612">
            <v>17</v>
          </cell>
        </row>
        <row r="613">
          <cell r="A613" t="str">
            <v>SEP 2015</v>
          </cell>
          <cell r="B613" t="str">
            <v>LGUM_424</v>
          </cell>
          <cell r="C613">
            <v>350</v>
          </cell>
        </row>
        <row r="614">
          <cell r="A614" t="str">
            <v>SEP 2015</v>
          </cell>
          <cell r="B614" t="str">
            <v>LGUM_425</v>
          </cell>
          <cell r="C614">
            <v>31</v>
          </cell>
        </row>
        <row r="615">
          <cell r="A615" t="str">
            <v>SEP 2015</v>
          </cell>
          <cell r="B615" t="str">
            <v>LGUM_426</v>
          </cell>
          <cell r="C615">
            <v>40</v>
          </cell>
        </row>
        <row r="616">
          <cell r="A616" t="str">
            <v>SEP 2015</v>
          </cell>
          <cell r="B616" t="str">
            <v>LGUM_427</v>
          </cell>
          <cell r="C616">
            <v>52</v>
          </cell>
        </row>
        <row r="617">
          <cell r="A617" t="str">
            <v>SEP 2015</v>
          </cell>
          <cell r="B617" t="str">
            <v>LGUM_428</v>
          </cell>
          <cell r="C617">
            <v>194</v>
          </cell>
        </row>
        <row r="618">
          <cell r="A618" t="str">
            <v>SEP 2015</v>
          </cell>
          <cell r="B618" t="str">
            <v>LGUM_429</v>
          </cell>
          <cell r="C618">
            <v>189</v>
          </cell>
        </row>
        <row r="619">
          <cell r="A619" t="str">
            <v>SEP 2015</v>
          </cell>
          <cell r="B619" t="str">
            <v>LGUM_430</v>
          </cell>
          <cell r="C619">
            <v>13</v>
          </cell>
        </row>
        <row r="620">
          <cell r="A620" t="str">
            <v>SEP 2015</v>
          </cell>
          <cell r="B620" t="str">
            <v>LGUM_431</v>
          </cell>
          <cell r="C620">
            <v>44</v>
          </cell>
        </row>
        <row r="621">
          <cell r="A621" t="str">
            <v>SEP 2015</v>
          </cell>
          <cell r="B621" t="str">
            <v>LGUM_432</v>
          </cell>
          <cell r="C621">
            <v>10</v>
          </cell>
        </row>
        <row r="622">
          <cell r="A622" t="str">
            <v>SEP 2015</v>
          </cell>
          <cell r="B622" t="str">
            <v>LGUM_433</v>
          </cell>
          <cell r="C622">
            <v>191</v>
          </cell>
        </row>
        <row r="623">
          <cell r="A623" t="str">
            <v>SEP 2015</v>
          </cell>
          <cell r="B623" t="str">
            <v>LGUM_440</v>
          </cell>
          <cell r="C623">
            <v>2</v>
          </cell>
        </row>
        <row r="624">
          <cell r="A624" t="str">
            <v>SEP 2015</v>
          </cell>
          <cell r="B624" t="str">
            <v>LGUM_441</v>
          </cell>
          <cell r="C624">
            <v>12</v>
          </cell>
        </row>
        <row r="625">
          <cell r="A625" t="str">
            <v>SEP 2015</v>
          </cell>
          <cell r="B625" t="str">
            <v>LGUM_452</v>
          </cell>
          <cell r="C625">
            <v>6194</v>
          </cell>
        </row>
        <row r="626">
          <cell r="A626" t="str">
            <v>SEP 2015</v>
          </cell>
          <cell r="B626" t="str">
            <v>LGUM_453</v>
          </cell>
          <cell r="C626">
            <v>8760</v>
          </cell>
        </row>
        <row r="627">
          <cell r="A627" t="str">
            <v>SEP 2015</v>
          </cell>
          <cell r="B627" t="str">
            <v>LGUM_454</v>
          </cell>
          <cell r="C627">
            <v>5521</v>
          </cell>
        </row>
        <row r="628">
          <cell r="A628" t="str">
            <v>SEP 2015</v>
          </cell>
          <cell r="B628" t="str">
            <v>LGUM_455</v>
          </cell>
          <cell r="C628">
            <v>390</v>
          </cell>
        </row>
        <row r="629">
          <cell r="A629" t="str">
            <v>SEP 2015</v>
          </cell>
          <cell r="B629" t="str">
            <v>LGUM_456</v>
          </cell>
          <cell r="C629">
            <v>12780</v>
          </cell>
        </row>
        <row r="630">
          <cell r="A630" t="str">
            <v>SEP 2015</v>
          </cell>
          <cell r="B630" t="str">
            <v>LGUM_457</v>
          </cell>
          <cell r="C630">
            <v>3149</v>
          </cell>
        </row>
        <row r="631">
          <cell r="A631" t="str">
            <v>SEP 2015</v>
          </cell>
          <cell r="B631" t="str">
            <v>LGUM_458</v>
          </cell>
          <cell r="C631">
            <v>4</v>
          </cell>
        </row>
        <row r="632">
          <cell r="A632" t="str">
            <v>SEP 2015</v>
          </cell>
          <cell r="B632" t="str">
            <v>LGUM_470</v>
          </cell>
          <cell r="C632">
            <v>19</v>
          </cell>
        </row>
        <row r="633">
          <cell r="A633" t="str">
            <v>SEP 2015</v>
          </cell>
          <cell r="B633" t="str">
            <v>LGUM_471</v>
          </cell>
          <cell r="C633">
            <v>2</v>
          </cell>
        </row>
        <row r="634">
          <cell r="A634" t="str">
            <v>SEP 2015</v>
          </cell>
          <cell r="B634" t="str">
            <v>LGUM_473</v>
          </cell>
          <cell r="C634">
            <v>260</v>
          </cell>
        </row>
        <row r="635">
          <cell r="A635" t="str">
            <v>SEP 2015</v>
          </cell>
          <cell r="B635" t="str">
            <v>LGUM_474</v>
          </cell>
          <cell r="C635">
            <v>52</v>
          </cell>
        </row>
        <row r="636">
          <cell r="A636" t="str">
            <v>SEP 2015</v>
          </cell>
          <cell r="B636" t="str">
            <v>LGUM_475</v>
          </cell>
          <cell r="C636">
            <v>2</v>
          </cell>
        </row>
        <row r="637">
          <cell r="A637" t="str">
            <v>SEP 2015</v>
          </cell>
          <cell r="B637" t="str">
            <v>LGUM_476</v>
          </cell>
          <cell r="C637">
            <v>318</v>
          </cell>
        </row>
        <row r="638">
          <cell r="A638" t="str">
            <v>SEP 2015</v>
          </cell>
          <cell r="B638" t="str">
            <v>LGUM_477</v>
          </cell>
          <cell r="C638">
            <v>59</v>
          </cell>
        </row>
        <row r="639">
          <cell r="A639" t="str">
            <v>SEP 2015</v>
          </cell>
          <cell r="B639" t="str">
            <v>LGUM_480</v>
          </cell>
          <cell r="C639">
            <v>18</v>
          </cell>
        </row>
        <row r="640">
          <cell r="A640" t="str">
            <v>SEP 2015</v>
          </cell>
          <cell r="B640" t="str">
            <v>LGUM_481</v>
          </cell>
          <cell r="C640">
            <v>4</v>
          </cell>
        </row>
        <row r="641">
          <cell r="A641" t="str">
            <v>SEP 2015</v>
          </cell>
          <cell r="B641" t="str">
            <v>LGUM_482</v>
          </cell>
          <cell r="C641">
            <v>39</v>
          </cell>
        </row>
        <row r="642">
          <cell r="A642" t="str">
            <v>SEP 2015</v>
          </cell>
          <cell r="B642" t="str">
            <v>LGUM_483</v>
          </cell>
          <cell r="C642">
            <v>2</v>
          </cell>
        </row>
        <row r="643">
          <cell r="A643" t="str">
            <v>SEP 2015</v>
          </cell>
          <cell r="B643" t="str">
            <v>LGUM_484</v>
          </cell>
          <cell r="C643">
            <v>13</v>
          </cell>
        </row>
        <row r="644">
          <cell r="A644" t="str">
            <v>SEP 2015</v>
          </cell>
        </row>
        <row r="645">
          <cell r="A645" t="str">
            <v>SEP 2015</v>
          </cell>
        </row>
        <row r="646">
          <cell r="A646" t="str">
            <v>OCT 2015</v>
          </cell>
          <cell r="B646" t="str">
            <v>LGUM_201</v>
          </cell>
          <cell r="C646">
            <v>75</v>
          </cell>
        </row>
        <row r="647">
          <cell r="A647" t="str">
            <v>OCT 2015</v>
          </cell>
          <cell r="B647" t="str">
            <v>LGUM_203</v>
          </cell>
          <cell r="C647">
            <v>3845</v>
          </cell>
        </row>
        <row r="648">
          <cell r="A648" t="str">
            <v>OCT 2015</v>
          </cell>
          <cell r="B648" t="str">
            <v>LGUM_204</v>
          </cell>
          <cell r="C648">
            <v>3835</v>
          </cell>
        </row>
        <row r="649">
          <cell r="A649" t="str">
            <v>OCT 2015</v>
          </cell>
          <cell r="B649" t="str">
            <v>LGUM_206</v>
          </cell>
          <cell r="C649">
            <v>96</v>
          </cell>
        </row>
        <row r="650">
          <cell r="A650" t="str">
            <v>OCT 2015</v>
          </cell>
          <cell r="B650" t="str">
            <v>LGUM_207</v>
          </cell>
          <cell r="C650">
            <v>790</v>
          </cell>
        </row>
        <row r="651">
          <cell r="A651" t="str">
            <v>OCT 2015</v>
          </cell>
          <cell r="B651" t="str">
            <v>LGUM_208</v>
          </cell>
          <cell r="C651">
            <v>1454</v>
          </cell>
        </row>
        <row r="652">
          <cell r="A652" t="str">
            <v>OCT 2015</v>
          </cell>
          <cell r="B652" t="str">
            <v>LGUM_209</v>
          </cell>
          <cell r="C652">
            <v>45</v>
          </cell>
        </row>
        <row r="653">
          <cell r="A653" t="str">
            <v>OCT 2015</v>
          </cell>
          <cell r="B653" t="str">
            <v>LGUM_210</v>
          </cell>
          <cell r="C653">
            <v>362</v>
          </cell>
        </row>
        <row r="654">
          <cell r="A654" t="str">
            <v>OCT 2015</v>
          </cell>
          <cell r="B654" t="str">
            <v>LGUM_252</v>
          </cell>
          <cell r="C654">
            <v>4003</v>
          </cell>
        </row>
        <row r="655">
          <cell r="A655" t="str">
            <v>OCT 2015</v>
          </cell>
          <cell r="B655" t="str">
            <v>LGUM_266</v>
          </cell>
          <cell r="C655">
            <v>2011</v>
          </cell>
        </row>
        <row r="656">
          <cell r="A656" t="str">
            <v>OCT 2015</v>
          </cell>
          <cell r="B656" t="str">
            <v>LGUM_267</v>
          </cell>
          <cell r="C656">
            <v>2261</v>
          </cell>
        </row>
        <row r="657">
          <cell r="A657" t="str">
            <v>OCT 2015</v>
          </cell>
          <cell r="B657" t="str">
            <v>LGUM_274</v>
          </cell>
          <cell r="C657">
            <v>16614</v>
          </cell>
        </row>
        <row r="658">
          <cell r="A658" t="str">
            <v>OCT 2015</v>
          </cell>
          <cell r="B658" t="str">
            <v>LGUM_275</v>
          </cell>
          <cell r="C658">
            <v>529</v>
          </cell>
        </row>
        <row r="659">
          <cell r="A659" t="str">
            <v>OCT 2015</v>
          </cell>
          <cell r="B659" t="str">
            <v>LGUM_276</v>
          </cell>
          <cell r="C659">
            <v>1283</v>
          </cell>
        </row>
        <row r="660">
          <cell r="A660" t="str">
            <v>OCT 2015</v>
          </cell>
          <cell r="B660" t="str">
            <v>LGUM_277</v>
          </cell>
          <cell r="C660">
            <v>2259</v>
          </cell>
        </row>
        <row r="661">
          <cell r="A661" t="str">
            <v>OCT 2015</v>
          </cell>
          <cell r="B661" t="str">
            <v>LGUM_278</v>
          </cell>
          <cell r="C661">
            <v>16</v>
          </cell>
        </row>
        <row r="662">
          <cell r="A662" t="str">
            <v>OCT 2015</v>
          </cell>
          <cell r="B662" t="str">
            <v>LGUM_279</v>
          </cell>
          <cell r="C662">
            <v>11</v>
          </cell>
        </row>
        <row r="663">
          <cell r="A663" t="str">
            <v>OCT 2015</v>
          </cell>
          <cell r="B663" t="str">
            <v>LGUM_280</v>
          </cell>
          <cell r="C663">
            <v>45</v>
          </cell>
        </row>
        <row r="664">
          <cell r="A664" t="str">
            <v>OCT 2015</v>
          </cell>
          <cell r="B664" t="str">
            <v>LGUM_281</v>
          </cell>
          <cell r="C664">
            <v>239</v>
          </cell>
        </row>
        <row r="665">
          <cell r="A665" t="str">
            <v>OCT 2015</v>
          </cell>
          <cell r="B665" t="str">
            <v>LGUM_282</v>
          </cell>
          <cell r="C665">
            <v>103</v>
          </cell>
        </row>
        <row r="666">
          <cell r="A666" t="str">
            <v>OCT 2015</v>
          </cell>
          <cell r="B666" t="str">
            <v>LGUM_283</v>
          </cell>
          <cell r="C666">
            <v>79</v>
          </cell>
        </row>
        <row r="667">
          <cell r="A667" t="str">
            <v>OCT 2015</v>
          </cell>
          <cell r="B667" t="str">
            <v>LGUM_314</v>
          </cell>
          <cell r="C667">
            <v>555</v>
          </cell>
        </row>
        <row r="668">
          <cell r="A668" t="str">
            <v>OCT 2015</v>
          </cell>
          <cell r="B668" t="str">
            <v>LGUM_315</v>
          </cell>
          <cell r="C668">
            <v>531</v>
          </cell>
        </row>
        <row r="669">
          <cell r="A669" t="str">
            <v>OCT 2015</v>
          </cell>
          <cell r="B669" t="str">
            <v>LGUM_318</v>
          </cell>
          <cell r="C669">
            <v>54</v>
          </cell>
        </row>
        <row r="670">
          <cell r="A670" t="str">
            <v>OCT 2015</v>
          </cell>
          <cell r="B670" t="str">
            <v>LGUM_348</v>
          </cell>
          <cell r="C670">
            <v>39</v>
          </cell>
        </row>
        <row r="671">
          <cell r="A671" t="str">
            <v>OCT 2015</v>
          </cell>
          <cell r="B671" t="str">
            <v>LGUM_349</v>
          </cell>
          <cell r="C671">
            <v>16</v>
          </cell>
        </row>
        <row r="672">
          <cell r="A672" t="str">
            <v>OCT 2015</v>
          </cell>
          <cell r="B672" t="str">
            <v>LGUM_400</v>
          </cell>
          <cell r="C672">
            <v>48</v>
          </cell>
        </row>
        <row r="673">
          <cell r="A673" t="str">
            <v>OCT 2015</v>
          </cell>
          <cell r="B673" t="str">
            <v>LGUM_401</v>
          </cell>
          <cell r="C673">
            <v>4</v>
          </cell>
        </row>
        <row r="674">
          <cell r="A674" t="str">
            <v>OCT 2015</v>
          </cell>
          <cell r="B674" t="str">
            <v>LGUM_412</v>
          </cell>
          <cell r="C674">
            <v>221</v>
          </cell>
        </row>
        <row r="675">
          <cell r="A675" t="str">
            <v>OCT 2015</v>
          </cell>
          <cell r="B675" t="str">
            <v>LGUM_413</v>
          </cell>
          <cell r="C675">
            <v>2074</v>
          </cell>
        </row>
        <row r="676">
          <cell r="A676" t="str">
            <v>OCT 2015</v>
          </cell>
          <cell r="B676" t="str">
            <v>LGUM_415</v>
          </cell>
          <cell r="C676">
            <v>27</v>
          </cell>
        </row>
        <row r="677">
          <cell r="A677" t="str">
            <v>OCT 2015</v>
          </cell>
          <cell r="B677" t="str">
            <v>LGUM_416</v>
          </cell>
          <cell r="C677">
            <v>1776</v>
          </cell>
        </row>
        <row r="678">
          <cell r="A678" t="str">
            <v>OCT 2015</v>
          </cell>
          <cell r="B678" t="str">
            <v>LGUM_417</v>
          </cell>
          <cell r="C678">
            <v>35</v>
          </cell>
        </row>
        <row r="679">
          <cell r="A679" t="str">
            <v>OCT 2015</v>
          </cell>
          <cell r="B679" t="str">
            <v>LGUM_419</v>
          </cell>
          <cell r="C679">
            <v>111</v>
          </cell>
        </row>
        <row r="680">
          <cell r="A680" t="str">
            <v>OCT 2015</v>
          </cell>
          <cell r="B680" t="str">
            <v>LGUM_420</v>
          </cell>
          <cell r="C680">
            <v>53</v>
          </cell>
        </row>
        <row r="681">
          <cell r="A681" t="str">
            <v>OCT 2015</v>
          </cell>
          <cell r="B681" t="str">
            <v>LGUM_421</v>
          </cell>
          <cell r="C681">
            <v>174</v>
          </cell>
        </row>
        <row r="682">
          <cell r="A682" t="str">
            <v>OCT 2015</v>
          </cell>
          <cell r="B682" t="str">
            <v>LGUM_422</v>
          </cell>
          <cell r="C682">
            <v>356</v>
          </cell>
        </row>
        <row r="683">
          <cell r="A683" t="str">
            <v>OCT 2015</v>
          </cell>
          <cell r="B683" t="str">
            <v>LGUM_423</v>
          </cell>
          <cell r="C683">
            <v>17</v>
          </cell>
        </row>
        <row r="684">
          <cell r="A684" t="str">
            <v>OCT 2015</v>
          </cell>
          <cell r="B684" t="str">
            <v>LGUM_424</v>
          </cell>
          <cell r="C684">
            <v>353</v>
          </cell>
        </row>
        <row r="685">
          <cell r="A685" t="str">
            <v>OCT 2015</v>
          </cell>
          <cell r="B685" t="str">
            <v>LGUM_425</v>
          </cell>
          <cell r="C685">
            <v>37</v>
          </cell>
        </row>
        <row r="686">
          <cell r="A686" t="str">
            <v>OCT 2015</v>
          </cell>
          <cell r="B686" t="str">
            <v>LGUM_426</v>
          </cell>
          <cell r="C686">
            <v>40</v>
          </cell>
        </row>
        <row r="687">
          <cell r="A687" t="str">
            <v>OCT 2015</v>
          </cell>
          <cell r="B687" t="str">
            <v>LGUM_427</v>
          </cell>
          <cell r="C687">
            <v>52</v>
          </cell>
        </row>
        <row r="688">
          <cell r="A688" t="str">
            <v>OCT 2015</v>
          </cell>
          <cell r="B688" t="str">
            <v>LGUM_428</v>
          </cell>
          <cell r="C688">
            <v>194</v>
          </cell>
        </row>
        <row r="689">
          <cell r="A689" t="str">
            <v>OCT 2015</v>
          </cell>
          <cell r="B689" t="str">
            <v>LGUM_429</v>
          </cell>
          <cell r="C689">
            <v>188</v>
          </cell>
        </row>
        <row r="690">
          <cell r="A690" t="str">
            <v>OCT 2015</v>
          </cell>
          <cell r="B690" t="str">
            <v>LGUM_430</v>
          </cell>
          <cell r="C690">
            <v>13</v>
          </cell>
        </row>
        <row r="691">
          <cell r="A691" t="str">
            <v>OCT 2015</v>
          </cell>
          <cell r="B691" t="str">
            <v>LGUM_431</v>
          </cell>
          <cell r="C691">
            <v>44</v>
          </cell>
        </row>
        <row r="692">
          <cell r="A692" t="str">
            <v>OCT 2015</v>
          </cell>
          <cell r="B692" t="str">
            <v>LGUM_432</v>
          </cell>
          <cell r="C692">
            <v>10</v>
          </cell>
        </row>
        <row r="693">
          <cell r="A693" t="str">
            <v>OCT 2015</v>
          </cell>
          <cell r="B693" t="str">
            <v>LGUM_433</v>
          </cell>
          <cell r="C693">
            <v>210</v>
          </cell>
        </row>
        <row r="694">
          <cell r="A694" t="str">
            <v>OCT 2015</v>
          </cell>
          <cell r="B694" t="str">
            <v>LGUM_440</v>
          </cell>
          <cell r="C694">
            <v>2</v>
          </cell>
        </row>
        <row r="695">
          <cell r="A695" t="str">
            <v>OCT 2015</v>
          </cell>
          <cell r="B695" t="str">
            <v>LGUM_441</v>
          </cell>
          <cell r="C695">
            <v>13</v>
          </cell>
        </row>
        <row r="696">
          <cell r="A696" t="str">
            <v>OCT 2015</v>
          </cell>
          <cell r="B696" t="str">
            <v>LGUM_452</v>
          </cell>
          <cell r="C696">
            <v>6194</v>
          </cell>
        </row>
        <row r="697">
          <cell r="A697" t="str">
            <v>OCT 2015</v>
          </cell>
          <cell r="B697" t="str">
            <v>LGUM_453</v>
          </cell>
          <cell r="C697">
            <v>8765</v>
          </cell>
        </row>
        <row r="698">
          <cell r="A698" t="str">
            <v>OCT 2015</v>
          </cell>
          <cell r="B698" t="str">
            <v>LGUM_454</v>
          </cell>
          <cell r="C698">
            <v>5522</v>
          </cell>
        </row>
        <row r="699">
          <cell r="A699" t="str">
            <v>OCT 2015</v>
          </cell>
          <cell r="B699" t="str">
            <v>LGUM_455</v>
          </cell>
          <cell r="C699">
            <v>399</v>
          </cell>
        </row>
        <row r="700">
          <cell r="A700" t="str">
            <v>OCT 2015</v>
          </cell>
          <cell r="B700" t="str">
            <v>LGUM_456</v>
          </cell>
          <cell r="C700">
            <v>12813</v>
          </cell>
        </row>
        <row r="701">
          <cell r="A701" t="str">
            <v>OCT 2015</v>
          </cell>
          <cell r="B701" t="str">
            <v>LGUM_457</v>
          </cell>
          <cell r="C701">
            <v>3157</v>
          </cell>
        </row>
        <row r="702">
          <cell r="A702" t="str">
            <v>OCT 2015</v>
          </cell>
          <cell r="B702" t="str">
            <v>LGUM_458</v>
          </cell>
          <cell r="C702">
            <v>5</v>
          </cell>
        </row>
        <row r="703">
          <cell r="A703" t="str">
            <v>OCT 2015</v>
          </cell>
          <cell r="B703" t="str">
            <v>LGUM_470</v>
          </cell>
          <cell r="C703">
            <v>13</v>
          </cell>
        </row>
        <row r="704">
          <cell r="A704" t="str">
            <v>OCT 2015</v>
          </cell>
          <cell r="B704" t="str">
            <v>LGUM_471</v>
          </cell>
          <cell r="C704">
            <v>2</v>
          </cell>
        </row>
        <row r="705">
          <cell r="A705" t="str">
            <v>OCT 2015</v>
          </cell>
          <cell r="B705" t="str">
            <v>LGUM_473</v>
          </cell>
          <cell r="C705">
            <v>274</v>
          </cell>
        </row>
        <row r="706">
          <cell r="A706" t="str">
            <v>OCT 2015</v>
          </cell>
          <cell r="B706" t="str">
            <v>LGUM_474</v>
          </cell>
          <cell r="C706">
            <v>53</v>
          </cell>
        </row>
        <row r="707">
          <cell r="A707" t="str">
            <v>OCT 2015</v>
          </cell>
          <cell r="B707" t="str">
            <v>LGUM_475</v>
          </cell>
          <cell r="C707">
            <v>2</v>
          </cell>
        </row>
        <row r="708">
          <cell r="A708" t="str">
            <v>OCT 2015</v>
          </cell>
          <cell r="B708" t="str">
            <v>LGUM_476</v>
          </cell>
          <cell r="C708">
            <v>348</v>
          </cell>
        </row>
        <row r="709">
          <cell r="A709" t="str">
            <v>OCT 2015</v>
          </cell>
          <cell r="B709" t="str">
            <v>LGUM_477</v>
          </cell>
          <cell r="C709">
            <v>59</v>
          </cell>
        </row>
        <row r="710">
          <cell r="A710" t="str">
            <v>OCT 2015</v>
          </cell>
          <cell r="B710" t="str">
            <v>LGUM_480</v>
          </cell>
          <cell r="C710">
            <v>17</v>
          </cell>
        </row>
        <row r="711">
          <cell r="A711" t="str">
            <v>OCT 2015</v>
          </cell>
          <cell r="B711" t="str">
            <v>LGUM_481</v>
          </cell>
          <cell r="C711">
            <v>4</v>
          </cell>
        </row>
        <row r="712">
          <cell r="A712" t="str">
            <v>OCT 2015</v>
          </cell>
          <cell r="B712" t="str">
            <v>LGUM_482</v>
          </cell>
          <cell r="C712">
            <v>39</v>
          </cell>
        </row>
        <row r="713">
          <cell r="A713" t="str">
            <v>OCT 2015</v>
          </cell>
          <cell r="B713" t="str">
            <v>LGUM_483</v>
          </cell>
          <cell r="C713">
            <v>2</v>
          </cell>
        </row>
        <row r="714">
          <cell r="A714" t="str">
            <v>OCT 2015</v>
          </cell>
          <cell r="B714" t="str">
            <v>LGUM_484</v>
          </cell>
          <cell r="C714">
            <v>13</v>
          </cell>
        </row>
        <row r="715">
          <cell r="A715" t="str">
            <v>OCT 2015</v>
          </cell>
        </row>
        <row r="716">
          <cell r="A716" t="str">
            <v>OCT 2015</v>
          </cell>
        </row>
        <row r="717">
          <cell r="A717" t="str">
            <v>NOV 2015</v>
          </cell>
          <cell r="B717" t="str">
            <v>LGUM_201</v>
          </cell>
          <cell r="C717">
            <v>75</v>
          </cell>
        </row>
        <row r="718">
          <cell r="A718" t="str">
            <v>NOV 2015</v>
          </cell>
          <cell r="B718" t="str">
            <v>LGUM_203</v>
          </cell>
          <cell r="C718">
            <v>4572</v>
          </cell>
        </row>
        <row r="719">
          <cell r="A719" t="str">
            <v>NOV 2015</v>
          </cell>
          <cell r="B719" t="str">
            <v>LGUM_204</v>
          </cell>
          <cell r="C719">
            <v>3811</v>
          </cell>
        </row>
        <row r="720">
          <cell r="A720" t="str">
            <v>NOV 2015</v>
          </cell>
          <cell r="B720" t="str">
            <v>LGUM_206</v>
          </cell>
          <cell r="C720">
            <v>96</v>
          </cell>
        </row>
        <row r="721">
          <cell r="A721" t="str">
            <v>NOV 2015</v>
          </cell>
          <cell r="B721" t="str">
            <v>LGUM_207</v>
          </cell>
          <cell r="C721">
            <v>756</v>
          </cell>
        </row>
        <row r="722">
          <cell r="A722" t="str">
            <v>NOV 2015</v>
          </cell>
          <cell r="B722" t="str">
            <v>LGUM_208</v>
          </cell>
          <cell r="C722">
            <v>1399</v>
          </cell>
        </row>
        <row r="723">
          <cell r="A723" t="str">
            <v>NOV 2015</v>
          </cell>
          <cell r="B723" t="str">
            <v>LGUM_209</v>
          </cell>
          <cell r="C723">
            <v>45</v>
          </cell>
        </row>
        <row r="724">
          <cell r="A724" t="str">
            <v>NOV 2015</v>
          </cell>
          <cell r="B724" t="str">
            <v>LGUM_210</v>
          </cell>
          <cell r="C724">
            <v>355</v>
          </cell>
        </row>
        <row r="725">
          <cell r="A725" t="str">
            <v>NOV 2015</v>
          </cell>
          <cell r="B725" t="str">
            <v>LGUM_252</v>
          </cell>
          <cell r="C725">
            <v>3988</v>
          </cell>
        </row>
        <row r="726">
          <cell r="A726" t="str">
            <v>NOV 2015</v>
          </cell>
          <cell r="B726" t="str">
            <v>LGUM_266</v>
          </cell>
          <cell r="C726">
            <v>2010</v>
          </cell>
        </row>
        <row r="727">
          <cell r="A727" t="str">
            <v>NOV 2015</v>
          </cell>
          <cell r="B727" t="str">
            <v>LGUM_267</v>
          </cell>
          <cell r="C727">
            <v>2200</v>
          </cell>
        </row>
        <row r="728">
          <cell r="A728" t="str">
            <v>NOV 2015</v>
          </cell>
          <cell r="B728" t="str">
            <v>LGUM_274</v>
          </cell>
          <cell r="C728">
            <v>16575</v>
          </cell>
        </row>
        <row r="729">
          <cell r="A729" t="str">
            <v>NOV 2015</v>
          </cell>
          <cell r="B729" t="str">
            <v>LGUM_275</v>
          </cell>
          <cell r="C729">
            <v>515</v>
          </cell>
        </row>
        <row r="730">
          <cell r="A730" t="str">
            <v>NOV 2015</v>
          </cell>
          <cell r="B730" t="str">
            <v>LGUM_276</v>
          </cell>
          <cell r="C730">
            <v>1301</v>
          </cell>
        </row>
        <row r="731">
          <cell r="A731" t="str">
            <v>NOV 2015</v>
          </cell>
          <cell r="B731" t="str">
            <v>LGUM_277</v>
          </cell>
          <cell r="C731">
            <v>2243</v>
          </cell>
        </row>
        <row r="732">
          <cell r="A732" t="str">
            <v>NOV 2015</v>
          </cell>
          <cell r="B732" t="str">
            <v>LGUM_278</v>
          </cell>
          <cell r="C732">
            <v>16</v>
          </cell>
        </row>
        <row r="733">
          <cell r="A733" t="str">
            <v>NOV 2015</v>
          </cell>
          <cell r="B733" t="str">
            <v>LGUM_279</v>
          </cell>
          <cell r="C733">
            <v>11</v>
          </cell>
        </row>
        <row r="734">
          <cell r="A734" t="str">
            <v>NOV 2015</v>
          </cell>
          <cell r="B734" t="str">
            <v>LGUM_280</v>
          </cell>
          <cell r="C734">
            <v>45</v>
          </cell>
        </row>
        <row r="735">
          <cell r="A735" t="str">
            <v>NOV 2015</v>
          </cell>
          <cell r="B735" t="str">
            <v>LGUM_281</v>
          </cell>
          <cell r="C735">
            <v>239</v>
          </cell>
        </row>
        <row r="736">
          <cell r="A736" t="str">
            <v>NOV 2015</v>
          </cell>
          <cell r="B736" t="str">
            <v>LGUM_282</v>
          </cell>
          <cell r="C736">
            <v>103</v>
          </cell>
        </row>
        <row r="737">
          <cell r="A737" t="str">
            <v>NOV 2015</v>
          </cell>
          <cell r="B737" t="str">
            <v>LGUM_283</v>
          </cell>
          <cell r="C737">
            <v>79</v>
          </cell>
        </row>
        <row r="738">
          <cell r="A738" t="str">
            <v>NOV 2015</v>
          </cell>
          <cell r="B738" t="str">
            <v>LGUM_314</v>
          </cell>
          <cell r="C738">
            <v>552</v>
          </cell>
        </row>
        <row r="739">
          <cell r="A739" t="str">
            <v>NOV 2015</v>
          </cell>
          <cell r="B739" t="str">
            <v>LGUM_315</v>
          </cell>
          <cell r="C739">
            <v>529</v>
          </cell>
        </row>
        <row r="740">
          <cell r="A740" t="str">
            <v>NOV 2015</v>
          </cell>
          <cell r="B740" t="str">
            <v>LGUM_318</v>
          </cell>
          <cell r="C740">
            <v>53</v>
          </cell>
        </row>
        <row r="741">
          <cell r="A741" t="str">
            <v>NOV 2015</v>
          </cell>
          <cell r="B741" t="str">
            <v>LGUM_348</v>
          </cell>
          <cell r="C741">
            <v>39</v>
          </cell>
        </row>
        <row r="742">
          <cell r="A742" t="str">
            <v>NOV 2015</v>
          </cell>
          <cell r="B742" t="str">
            <v>LGUM_349</v>
          </cell>
          <cell r="C742">
            <v>16</v>
          </cell>
        </row>
        <row r="743">
          <cell r="A743" t="str">
            <v>NOV 2015</v>
          </cell>
          <cell r="B743" t="str">
            <v>LGUM_400</v>
          </cell>
          <cell r="C743">
            <v>32</v>
          </cell>
        </row>
        <row r="744">
          <cell r="A744" t="str">
            <v>NOV 2015</v>
          </cell>
          <cell r="B744" t="str">
            <v>LGUM_401</v>
          </cell>
          <cell r="C744">
            <v>4</v>
          </cell>
        </row>
        <row r="745">
          <cell r="A745" t="str">
            <v>NOV 2015</v>
          </cell>
          <cell r="B745" t="str">
            <v>LGUM_412</v>
          </cell>
          <cell r="C745">
            <v>220</v>
          </cell>
        </row>
        <row r="746">
          <cell r="A746" t="str">
            <v>NOV 2015</v>
          </cell>
          <cell r="B746" t="str">
            <v>LGUM_413</v>
          </cell>
          <cell r="C746">
            <v>2033</v>
          </cell>
        </row>
        <row r="747">
          <cell r="A747" t="str">
            <v>NOV 2015</v>
          </cell>
          <cell r="B747" t="str">
            <v>LGUM_415</v>
          </cell>
          <cell r="C747">
            <v>27</v>
          </cell>
        </row>
        <row r="748">
          <cell r="A748" t="str">
            <v>NOV 2015</v>
          </cell>
          <cell r="B748" t="str">
            <v>LGUM_416</v>
          </cell>
          <cell r="C748">
            <v>1778</v>
          </cell>
        </row>
        <row r="749">
          <cell r="A749" t="str">
            <v>NOV 2015</v>
          </cell>
          <cell r="B749" t="str">
            <v>LGUM_417</v>
          </cell>
          <cell r="C749">
            <v>35</v>
          </cell>
        </row>
        <row r="750">
          <cell r="A750" t="str">
            <v>NOV 2015</v>
          </cell>
          <cell r="B750" t="str">
            <v>LGUM_419</v>
          </cell>
          <cell r="C750">
            <v>111</v>
          </cell>
        </row>
        <row r="751">
          <cell r="A751" t="str">
            <v>NOV 2015</v>
          </cell>
          <cell r="B751" t="str">
            <v>LGUM_420</v>
          </cell>
          <cell r="C751">
            <v>53</v>
          </cell>
        </row>
        <row r="752">
          <cell r="A752" t="str">
            <v>NOV 2015</v>
          </cell>
          <cell r="B752" t="str">
            <v>LGUM_421</v>
          </cell>
          <cell r="C752">
            <v>174</v>
          </cell>
        </row>
        <row r="753">
          <cell r="A753" t="str">
            <v>NOV 2015</v>
          </cell>
          <cell r="B753" t="str">
            <v>LGUM_422</v>
          </cell>
          <cell r="C753">
            <v>358</v>
          </cell>
        </row>
        <row r="754">
          <cell r="A754" t="str">
            <v>NOV 2015</v>
          </cell>
          <cell r="B754" t="str">
            <v>LGUM_423</v>
          </cell>
          <cell r="C754">
            <v>17</v>
          </cell>
        </row>
        <row r="755">
          <cell r="A755" t="str">
            <v>NOV 2015</v>
          </cell>
          <cell r="B755" t="str">
            <v>LGUM_424</v>
          </cell>
          <cell r="C755">
            <v>363</v>
          </cell>
        </row>
        <row r="756">
          <cell r="A756" t="str">
            <v>NOV 2015</v>
          </cell>
          <cell r="B756" t="str">
            <v>LGUM_425</v>
          </cell>
          <cell r="C756">
            <v>31</v>
          </cell>
        </row>
        <row r="757">
          <cell r="A757" t="str">
            <v>NOV 2015</v>
          </cell>
          <cell r="B757" t="str">
            <v>LGUM_426</v>
          </cell>
          <cell r="C757">
            <v>40</v>
          </cell>
        </row>
        <row r="758">
          <cell r="A758" t="str">
            <v>NOV 2015</v>
          </cell>
          <cell r="B758" t="str">
            <v>LGUM_427</v>
          </cell>
          <cell r="C758">
            <v>52</v>
          </cell>
        </row>
        <row r="759">
          <cell r="A759" t="str">
            <v>NOV 2015</v>
          </cell>
          <cell r="B759" t="str">
            <v>LGUM_428</v>
          </cell>
          <cell r="C759">
            <v>195</v>
          </cell>
        </row>
        <row r="760">
          <cell r="A760" t="str">
            <v>NOV 2015</v>
          </cell>
          <cell r="B760" t="str">
            <v>LGUM_429</v>
          </cell>
          <cell r="C760">
            <v>187</v>
          </cell>
        </row>
        <row r="761">
          <cell r="A761" t="str">
            <v>NOV 2015</v>
          </cell>
          <cell r="B761" t="str">
            <v>LGUM_430</v>
          </cell>
          <cell r="C761">
            <v>13</v>
          </cell>
        </row>
        <row r="762">
          <cell r="A762" t="str">
            <v>NOV 2015</v>
          </cell>
          <cell r="B762" t="str">
            <v>LGUM_431</v>
          </cell>
          <cell r="C762">
            <v>44</v>
          </cell>
        </row>
        <row r="763">
          <cell r="A763" t="str">
            <v>NOV 2015</v>
          </cell>
          <cell r="B763" t="str">
            <v>LGUM_432</v>
          </cell>
          <cell r="C763">
            <v>10</v>
          </cell>
        </row>
        <row r="764">
          <cell r="A764" t="str">
            <v>NOV 2015</v>
          </cell>
          <cell r="B764" t="str">
            <v>LGUM_433</v>
          </cell>
          <cell r="C764">
            <v>170</v>
          </cell>
        </row>
        <row r="765">
          <cell r="A765" t="str">
            <v>NOV 2015</v>
          </cell>
          <cell r="B765" t="str">
            <v>LGUM_440</v>
          </cell>
          <cell r="C765">
            <v>2</v>
          </cell>
        </row>
        <row r="766">
          <cell r="A766" t="str">
            <v>NOV 2015</v>
          </cell>
          <cell r="B766" t="str">
            <v>LGUM_441</v>
          </cell>
          <cell r="C766">
            <v>13</v>
          </cell>
        </row>
        <row r="767">
          <cell r="A767" t="str">
            <v>NOV 2015</v>
          </cell>
          <cell r="B767" t="str">
            <v>LGUM_452</v>
          </cell>
          <cell r="C767">
            <v>6198</v>
          </cell>
        </row>
        <row r="768">
          <cell r="A768" t="str">
            <v>NOV 2015</v>
          </cell>
          <cell r="B768" t="str">
            <v>LGUM_453</v>
          </cell>
          <cell r="C768">
            <v>7957</v>
          </cell>
        </row>
        <row r="769">
          <cell r="A769" t="str">
            <v>NOV 2015</v>
          </cell>
          <cell r="B769" t="str">
            <v>LGUM_454</v>
          </cell>
          <cell r="C769">
            <v>5472</v>
          </cell>
        </row>
        <row r="770">
          <cell r="A770" t="str">
            <v>NOV 2015</v>
          </cell>
          <cell r="B770" t="str">
            <v>LGUM_455</v>
          </cell>
          <cell r="C770">
            <v>403</v>
          </cell>
        </row>
        <row r="771">
          <cell r="A771" t="str">
            <v>NOV 2015</v>
          </cell>
          <cell r="B771" t="str">
            <v>LGUM_456</v>
          </cell>
          <cell r="C771">
            <v>12613</v>
          </cell>
        </row>
        <row r="772">
          <cell r="A772" t="str">
            <v>NOV 2015</v>
          </cell>
          <cell r="B772" t="str">
            <v>LGUM_457</v>
          </cell>
          <cell r="C772">
            <v>3169</v>
          </cell>
        </row>
        <row r="773">
          <cell r="A773" t="str">
            <v>NOV 2015</v>
          </cell>
          <cell r="B773" t="str">
            <v>LGUM_458</v>
          </cell>
          <cell r="C773">
            <v>5</v>
          </cell>
        </row>
        <row r="774">
          <cell r="A774" t="str">
            <v>NOV 2015</v>
          </cell>
          <cell r="B774" t="str">
            <v>LGUM_470</v>
          </cell>
          <cell r="C774">
            <v>17</v>
          </cell>
        </row>
        <row r="775">
          <cell r="A775" t="str">
            <v>NOV 2015</v>
          </cell>
          <cell r="B775" t="str">
            <v>LGUM_471</v>
          </cell>
          <cell r="C775">
            <v>2</v>
          </cell>
        </row>
        <row r="776">
          <cell r="A776" t="str">
            <v>NOV 2015</v>
          </cell>
          <cell r="B776" t="str">
            <v>LGUM_473</v>
          </cell>
          <cell r="C776">
            <v>268</v>
          </cell>
        </row>
        <row r="777">
          <cell r="A777" t="str">
            <v>NOV 2015</v>
          </cell>
          <cell r="B777" t="str">
            <v>LGUM_474</v>
          </cell>
          <cell r="C777">
            <v>52</v>
          </cell>
        </row>
        <row r="778">
          <cell r="A778" t="str">
            <v>NOV 2015</v>
          </cell>
          <cell r="B778" t="str">
            <v>LGUM_475</v>
          </cell>
          <cell r="C778">
            <v>2</v>
          </cell>
        </row>
        <row r="779">
          <cell r="A779" t="str">
            <v>NOV 2015</v>
          </cell>
          <cell r="B779" t="str">
            <v>LGUM_476</v>
          </cell>
          <cell r="C779">
            <v>339</v>
          </cell>
        </row>
        <row r="780">
          <cell r="A780" t="str">
            <v>NOV 2015</v>
          </cell>
          <cell r="B780" t="str">
            <v>LGUM_477</v>
          </cell>
          <cell r="C780">
            <v>59</v>
          </cell>
        </row>
        <row r="781">
          <cell r="A781" t="str">
            <v>NOV 2015</v>
          </cell>
          <cell r="B781" t="str">
            <v>LGUM_480</v>
          </cell>
          <cell r="C781">
            <v>17</v>
          </cell>
        </row>
        <row r="782">
          <cell r="A782" t="str">
            <v>NOV 2015</v>
          </cell>
          <cell r="B782" t="str">
            <v>LGUM_481</v>
          </cell>
          <cell r="C782">
            <v>4</v>
          </cell>
        </row>
        <row r="783">
          <cell r="A783" t="str">
            <v>NOV 2015</v>
          </cell>
          <cell r="B783" t="str">
            <v>LGUM_482</v>
          </cell>
          <cell r="C783">
            <v>39</v>
          </cell>
        </row>
        <row r="784">
          <cell r="A784" t="str">
            <v>NOV 2015</v>
          </cell>
          <cell r="B784" t="str">
            <v>LGUM_483</v>
          </cell>
          <cell r="C784">
            <v>2</v>
          </cell>
        </row>
        <row r="785">
          <cell r="A785" t="str">
            <v>NOV 2015</v>
          </cell>
          <cell r="B785" t="str">
            <v>LGUM_484</v>
          </cell>
          <cell r="C785">
            <v>13</v>
          </cell>
        </row>
        <row r="786">
          <cell r="A786" t="str">
            <v>NOV 2015</v>
          </cell>
        </row>
        <row r="787">
          <cell r="A787" t="str">
            <v>NOV 2015</v>
          </cell>
        </row>
        <row r="788">
          <cell r="A788" t="str">
            <v>DEC 2015</v>
          </cell>
          <cell r="B788" t="str">
            <v>LGUM_201</v>
          </cell>
          <cell r="C788">
            <v>75</v>
          </cell>
        </row>
        <row r="789">
          <cell r="A789" t="str">
            <v>DEC 2015</v>
          </cell>
          <cell r="B789" t="str">
            <v>LGUM_203</v>
          </cell>
          <cell r="C789">
            <v>4602</v>
          </cell>
        </row>
        <row r="790">
          <cell r="A790" t="str">
            <v>DEC 2015</v>
          </cell>
          <cell r="B790" t="str">
            <v>LGUM_204</v>
          </cell>
          <cell r="C790">
            <v>3835</v>
          </cell>
        </row>
        <row r="791">
          <cell r="A791" t="str">
            <v>DEC 2015</v>
          </cell>
          <cell r="B791" t="str">
            <v>LGUM_206</v>
          </cell>
          <cell r="C791">
            <v>97</v>
          </cell>
        </row>
        <row r="792">
          <cell r="A792" t="str">
            <v>DEC 2015</v>
          </cell>
          <cell r="B792" t="str">
            <v>LGUM_207</v>
          </cell>
          <cell r="C792">
            <v>761</v>
          </cell>
        </row>
        <row r="793">
          <cell r="A793" t="str">
            <v>DEC 2015</v>
          </cell>
          <cell r="B793" t="str">
            <v>LGUM_208</v>
          </cell>
          <cell r="C793">
            <v>1408</v>
          </cell>
        </row>
        <row r="794">
          <cell r="A794" t="str">
            <v>DEC 2015</v>
          </cell>
          <cell r="B794" t="str">
            <v>LGUM_209</v>
          </cell>
          <cell r="C794">
            <v>46</v>
          </cell>
        </row>
        <row r="795">
          <cell r="A795" t="str">
            <v>DEC 2015</v>
          </cell>
          <cell r="B795" t="str">
            <v>LGUM_210</v>
          </cell>
          <cell r="C795">
            <v>357</v>
          </cell>
        </row>
        <row r="796">
          <cell r="A796" t="str">
            <v>DEC 2015</v>
          </cell>
          <cell r="B796" t="str">
            <v>LGUM_252</v>
          </cell>
          <cell r="C796">
            <v>4014</v>
          </cell>
        </row>
        <row r="797">
          <cell r="A797" t="str">
            <v>DEC 2015</v>
          </cell>
          <cell r="B797" t="str">
            <v>LGUM_266</v>
          </cell>
          <cell r="C797">
            <v>2023</v>
          </cell>
        </row>
        <row r="798">
          <cell r="A798" t="str">
            <v>DEC 2015</v>
          </cell>
          <cell r="B798" t="str">
            <v>LGUM_267</v>
          </cell>
          <cell r="C798">
            <v>2214</v>
          </cell>
        </row>
        <row r="799">
          <cell r="A799" t="str">
            <v>DEC 2015</v>
          </cell>
          <cell r="B799" t="str">
            <v>LGUM_274</v>
          </cell>
          <cell r="C799">
            <v>16681</v>
          </cell>
        </row>
        <row r="800">
          <cell r="A800" t="str">
            <v>DEC 2015</v>
          </cell>
          <cell r="B800" t="str">
            <v>LGUM_275</v>
          </cell>
          <cell r="C800">
            <v>518</v>
          </cell>
        </row>
        <row r="801">
          <cell r="A801" t="str">
            <v>DEC 2015</v>
          </cell>
          <cell r="B801" t="str">
            <v>LGUM_276</v>
          </cell>
          <cell r="C801">
            <v>1309</v>
          </cell>
        </row>
        <row r="802">
          <cell r="A802" t="str">
            <v>DEC 2015</v>
          </cell>
          <cell r="B802" t="str">
            <v>LGUM_277</v>
          </cell>
          <cell r="C802">
            <v>2258</v>
          </cell>
        </row>
        <row r="803">
          <cell r="A803" t="str">
            <v>DEC 2015</v>
          </cell>
          <cell r="B803" t="str">
            <v>LGUM_278</v>
          </cell>
          <cell r="C803">
            <v>17</v>
          </cell>
        </row>
        <row r="804">
          <cell r="A804" t="str">
            <v>DEC 2015</v>
          </cell>
          <cell r="B804" t="str">
            <v>LGUM_279</v>
          </cell>
          <cell r="C804">
            <v>11</v>
          </cell>
        </row>
        <row r="805">
          <cell r="A805" t="str">
            <v>DEC 2015</v>
          </cell>
          <cell r="B805" t="str">
            <v>LGUM_280</v>
          </cell>
          <cell r="C805">
            <v>45</v>
          </cell>
        </row>
        <row r="806">
          <cell r="A806" t="str">
            <v>DEC 2015</v>
          </cell>
          <cell r="B806" t="str">
            <v>LGUM_281</v>
          </cell>
          <cell r="C806">
            <v>241</v>
          </cell>
        </row>
        <row r="807">
          <cell r="A807" t="str">
            <v>DEC 2015</v>
          </cell>
          <cell r="B807" t="str">
            <v>LGUM_282</v>
          </cell>
          <cell r="C807">
            <v>103</v>
          </cell>
        </row>
        <row r="808">
          <cell r="A808" t="str">
            <v>DEC 2015</v>
          </cell>
          <cell r="B808" t="str">
            <v>LGUM_283</v>
          </cell>
          <cell r="C808">
            <v>80</v>
          </cell>
        </row>
        <row r="809">
          <cell r="A809" t="str">
            <v>DEC 2015</v>
          </cell>
          <cell r="B809" t="str">
            <v>LGUM_314</v>
          </cell>
          <cell r="C809">
            <v>555</v>
          </cell>
        </row>
        <row r="810">
          <cell r="A810" t="str">
            <v>DEC 2015</v>
          </cell>
          <cell r="B810" t="str">
            <v>LGUM_315</v>
          </cell>
          <cell r="C810">
            <v>532</v>
          </cell>
        </row>
        <row r="811">
          <cell r="A811" t="str">
            <v>DEC 2015</v>
          </cell>
          <cell r="B811" t="str">
            <v>LGUM_318</v>
          </cell>
          <cell r="C811">
            <v>54</v>
          </cell>
        </row>
        <row r="812">
          <cell r="A812" t="str">
            <v>DEC 2015</v>
          </cell>
          <cell r="B812" t="str">
            <v>LGUM_348</v>
          </cell>
          <cell r="C812">
            <v>39</v>
          </cell>
        </row>
        <row r="813">
          <cell r="A813" t="str">
            <v>DEC 2015</v>
          </cell>
          <cell r="B813" t="str">
            <v>LGUM_349</v>
          </cell>
          <cell r="C813">
            <v>17</v>
          </cell>
        </row>
        <row r="814">
          <cell r="A814" t="str">
            <v>DEC 2015</v>
          </cell>
          <cell r="B814" t="str">
            <v>LGUM_400</v>
          </cell>
          <cell r="C814">
            <v>32</v>
          </cell>
        </row>
        <row r="815">
          <cell r="A815" t="str">
            <v>DEC 2015</v>
          </cell>
          <cell r="B815" t="str">
            <v>LGUM_401</v>
          </cell>
          <cell r="C815">
            <v>4</v>
          </cell>
        </row>
        <row r="816">
          <cell r="A816" t="str">
            <v>DEC 2015</v>
          </cell>
          <cell r="B816" t="str">
            <v>LGUM_412</v>
          </cell>
          <cell r="C816">
            <v>221</v>
          </cell>
        </row>
        <row r="817">
          <cell r="A817" t="str">
            <v>DEC 2015</v>
          </cell>
          <cell r="B817" t="str">
            <v>LGUM_413</v>
          </cell>
          <cell r="C817">
            <v>2046</v>
          </cell>
        </row>
        <row r="818">
          <cell r="A818" t="str">
            <v>DEC 2015</v>
          </cell>
          <cell r="B818" t="str">
            <v>LGUM_415</v>
          </cell>
          <cell r="C818">
            <v>27</v>
          </cell>
        </row>
        <row r="819">
          <cell r="A819" t="str">
            <v>DEC 2015</v>
          </cell>
          <cell r="B819" t="str">
            <v>LGUM_416</v>
          </cell>
          <cell r="C819">
            <v>1789</v>
          </cell>
        </row>
        <row r="820">
          <cell r="A820" t="str">
            <v>DEC 2015</v>
          </cell>
          <cell r="B820" t="str">
            <v>LGUM_417</v>
          </cell>
          <cell r="C820">
            <v>35</v>
          </cell>
        </row>
        <row r="821">
          <cell r="A821" t="str">
            <v>DEC 2015</v>
          </cell>
          <cell r="B821" t="str">
            <v>LGUM_419</v>
          </cell>
          <cell r="C821">
            <v>111</v>
          </cell>
        </row>
        <row r="822">
          <cell r="A822" t="str">
            <v>DEC 2015</v>
          </cell>
          <cell r="B822" t="str">
            <v>LGUM_420</v>
          </cell>
          <cell r="C822">
            <v>53</v>
          </cell>
        </row>
        <row r="823">
          <cell r="A823" t="str">
            <v>DEC 2015</v>
          </cell>
          <cell r="B823" t="str">
            <v>LGUM_421</v>
          </cell>
          <cell r="C823">
            <v>175</v>
          </cell>
        </row>
        <row r="824">
          <cell r="A824" t="str">
            <v>DEC 2015</v>
          </cell>
          <cell r="B824" t="str">
            <v>LGUM_422</v>
          </cell>
          <cell r="C824">
            <v>361</v>
          </cell>
        </row>
        <row r="825">
          <cell r="A825" t="str">
            <v>DEC 2015</v>
          </cell>
          <cell r="B825" t="str">
            <v>LGUM_423</v>
          </cell>
          <cell r="C825">
            <v>17</v>
          </cell>
        </row>
        <row r="826">
          <cell r="A826" t="str">
            <v>DEC 2015</v>
          </cell>
          <cell r="B826" t="str">
            <v>LGUM_424</v>
          </cell>
          <cell r="C826">
            <v>365</v>
          </cell>
        </row>
        <row r="827">
          <cell r="A827" t="str">
            <v>DEC 2015</v>
          </cell>
          <cell r="B827" t="str">
            <v>LGUM_425</v>
          </cell>
          <cell r="C827">
            <v>31</v>
          </cell>
        </row>
        <row r="828">
          <cell r="A828" t="str">
            <v>DEC 2015</v>
          </cell>
          <cell r="B828" t="str">
            <v>LGUM_426</v>
          </cell>
          <cell r="C828">
            <v>40</v>
          </cell>
        </row>
        <row r="829">
          <cell r="A829" t="str">
            <v>DEC 2015</v>
          </cell>
          <cell r="B829" t="str">
            <v>LGUM_427</v>
          </cell>
          <cell r="C829">
            <v>52</v>
          </cell>
        </row>
        <row r="830">
          <cell r="A830" t="str">
            <v>DEC 2015</v>
          </cell>
          <cell r="B830" t="str">
            <v>LGUM_428</v>
          </cell>
          <cell r="C830">
            <v>196</v>
          </cell>
        </row>
        <row r="831">
          <cell r="A831" t="str">
            <v>DEC 2015</v>
          </cell>
          <cell r="B831" t="str">
            <v>LGUM_429</v>
          </cell>
          <cell r="C831">
            <v>189</v>
          </cell>
        </row>
        <row r="832">
          <cell r="A832" t="str">
            <v>DEC 2015</v>
          </cell>
          <cell r="B832" t="str">
            <v>LGUM_430</v>
          </cell>
          <cell r="C832">
            <v>13</v>
          </cell>
        </row>
        <row r="833">
          <cell r="A833" t="str">
            <v>DEC 2015</v>
          </cell>
          <cell r="B833" t="str">
            <v>LGUM_431</v>
          </cell>
          <cell r="C833">
            <v>44</v>
          </cell>
        </row>
        <row r="834">
          <cell r="A834" t="str">
            <v>DEC 2015</v>
          </cell>
          <cell r="B834" t="str">
            <v>LGUM_432</v>
          </cell>
          <cell r="C834">
            <v>10</v>
          </cell>
        </row>
        <row r="835">
          <cell r="A835" t="str">
            <v>DEC 2015</v>
          </cell>
          <cell r="B835" t="str">
            <v>LGUM_433</v>
          </cell>
          <cell r="C835">
            <v>171</v>
          </cell>
        </row>
        <row r="836">
          <cell r="A836" t="str">
            <v>DEC 2015</v>
          </cell>
          <cell r="B836" t="str">
            <v>LGUM_440</v>
          </cell>
          <cell r="C836">
            <v>2</v>
          </cell>
        </row>
        <row r="837">
          <cell r="A837" t="str">
            <v>DEC 2015</v>
          </cell>
          <cell r="B837" t="str">
            <v>LGUM_441</v>
          </cell>
          <cell r="C837">
            <v>13</v>
          </cell>
        </row>
        <row r="838">
          <cell r="A838" t="str">
            <v>DEC 2015</v>
          </cell>
          <cell r="B838" t="str">
            <v>LGUM_452</v>
          </cell>
          <cell r="C838">
            <v>6238</v>
          </cell>
        </row>
        <row r="839">
          <cell r="A839" t="str">
            <v>DEC 2015</v>
          </cell>
          <cell r="B839" t="str">
            <v>LGUM_453</v>
          </cell>
          <cell r="C839">
            <v>8008</v>
          </cell>
        </row>
        <row r="840">
          <cell r="A840" t="str">
            <v>DEC 2015</v>
          </cell>
          <cell r="B840" t="str">
            <v>LGUM_454</v>
          </cell>
          <cell r="C840">
            <v>5508</v>
          </cell>
        </row>
        <row r="841">
          <cell r="A841" t="str">
            <v>DEC 2015</v>
          </cell>
          <cell r="B841" t="str">
            <v>LGUM_455</v>
          </cell>
          <cell r="C841">
            <v>405</v>
          </cell>
        </row>
        <row r="842">
          <cell r="A842" t="str">
            <v>DEC 2015</v>
          </cell>
          <cell r="B842" t="str">
            <v>LGUM_456</v>
          </cell>
          <cell r="C842">
            <v>12694</v>
          </cell>
        </row>
        <row r="843">
          <cell r="A843" t="str">
            <v>DEC 2015</v>
          </cell>
          <cell r="B843" t="str">
            <v>LGUM_457</v>
          </cell>
          <cell r="C843">
            <v>3189</v>
          </cell>
        </row>
        <row r="844">
          <cell r="A844" t="str">
            <v>DEC 2015</v>
          </cell>
          <cell r="B844" t="str">
            <v>LGUM_458</v>
          </cell>
          <cell r="C844">
            <v>5</v>
          </cell>
        </row>
        <row r="845">
          <cell r="A845" t="str">
            <v>DEC 2015</v>
          </cell>
          <cell r="B845" t="str">
            <v>LGUM_470</v>
          </cell>
          <cell r="C845">
            <v>17</v>
          </cell>
        </row>
        <row r="846">
          <cell r="A846" t="str">
            <v>DEC 2015</v>
          </cell>
          <cell r="B846" t="str">
            <v>LGUM_471</v>
          </cell>
          <cell r="C846">
            <v>2</v>
          </cell>
        </row>
        <row r="847">
          <cell r="A847" t="str">
            <v>DEC 2015</v>
          </cell>
          <cell r="B847" t="str">
            <v>LGUM_473</v>
          </cell>
          <cell r="C847">
            <v>270</v>
          </cell>
        </row>
        <row r="848">
          <cell r="A848" t="str">
            <v>DEC 2015</v>
          </cell>
          <cell r="B848" t="str">
            <v>LGUM_474</v>
          </cell>
          <cell r="C848">
            <v>53</v>
          </cell>
        </row>
        <row r="849">
          <cell r="A849" t="str">
            <v>DEC 2015</v>
          </cell>
          <cell r="B849" t="str">
            <v>LGUM_475</v>
          </cell>
          <cell r="C849">
            <v>2</v>
          </cell>
        </row>
        <row r="850">
          <cell r="A850" t="str">
            <v>DEC 2015</v>
          </cell>
          <cell r="B850" t="str">
            <v>LGUM_476</v>
          </cell>
          <cell r="C850">
            <v>341</v>
          </cell>
        </row>
        <row r="851">
          <cell r="A851" t="str">
            <v>DEC 2015</v>
          </cell>
          <cell r="B851" t="str">
            <v>LGUM_477</v>
          </cell>
          <cell r="C851">
            <v>59</v>
          </cell>
        </row>
        <row r="852">
          <cell r="A852" t="str">
            <v>DEC 2015</v>
          </cell>
          <cell r="B852" t="str">
            <v>LGUM_480</v>
          </cell>
          <cell r="C852">
            <v>18</v>
          </cell>
        </row>
        <row r="853">
          <cell r="A853" t="str">
            <v>DEC 2015</v>
          </cell>
          <cell r="B853" t="str">
            <v>LGUM_481</v>
          </cell>
          <cell r="C853">
            <v>4</v>
          </cell>
        </row>
        <row r="854">
          <cell r="A854" t="str">
            <v>DEC 2015</v>
          </cell>
          <cell r="B854" t="str">
            <v>LGUM_482</v>
          </cell>
          <cell r="C854">
            <v>39</v>
          </cell>
        </row>
        <row r="855">
          <cell r="A855" t="str">
            <v>DEC 2015</v>
          </cell>
          <cell r="B855" t="str">
            <v>LGUM_483</v>
          </cell>
          <cell r="C855">
            <v>2</v>
          </cell>
        </row>
        <row r="856">
          <cell r="A856" t="str">
            <v>DEC 2015</v>
          </cell>
          <cell r="B856" t="str">
            <v>LGUM_484</v>
          </cell>
          <cell r="C856">
            <v>13</v>
          </cell>
        </row>
        <row r="857">
          <cell r="A857" t="str">
            <v>DEC 2015</v>
          </cell>
        </row>
        <row r="858">
          <cell r="A858" t="str">
            <v>DEC 2015</v>
          </cell>
        </row>
      </sheetData>
      <sheetData sheetId="23">
        <row r="2">
          <cell r="B2" t="str">
            <v>Rate Category</v>
          </cell>
          <cell r="L2" t="str">
            <v>$</v>
          </cell>
          <cell r="M2" t="str">
            <v>$</v>
          </cell>
          <cell r="P2" t="str">
            <v>$</v>
          </cell>
          <cell r="Q2" t="str">
            <v>$</v>
          </cell>
          <cell r="R2" t="str">
            <v>$</v>
          </cell>
          <cell r="T2" t="str">
            <v>$</v>
          </cell>
          <cell r="U2" t="str">
            <v>$</v>
          </cell>
        </row>
        <row r="3">
          <cell r="E3" t="str">
            <v>KWH</v>
          </cell>
          <cell r="L3" t="str">
            <v>DSM</v>
          </cell>
          <cell r="M3" t="str">
            <v>FAC</v>
          </cell>
          <cell r="P3" t="str">
            <v>Curtailable Serv. Rider</v>
          </cell>
          <cell r="Q3" t="str">
            <v>MSR</v>
          </cell>
          <cell r="R3" t="str">
            <v>Revenue Amount</v>
          </cell>
        </row>
        <row r="4">
          <cell r="A4" t="str">
            <v>Revenue Period</v>
          </cell>
          <cell r="B4" t="str">
            <v>Rate Category</v>
          </cell>
          <cell r="E4" t="str">
            <v>KWH</v>
          </cell>
          <cell r="L4" t="str">
            <v>$</v>
          </cell>
          <cell r="M4" t="str">
            <v>$</v>
          </cell>
          <cell r="P4" t="str">
            <v>$</v>
          </cell>
          <cell r="Q4" t="str">
            <v>$</v>
          </cell>
          <cell r="R4" t="str">
            <v>$</v>
          </cell>
        </row>
        <row r="5">
          <cell r="A5" t="str">
            <v>JAN 2016</v>
          </cell>
          <cell r="B5" t="str">
            <v>LEUM_825</v>
          </cell>
          <cell r="T5">
            <v>0</v>
          </cell>
          <cell r="U5">
            <v>0</v>
          </cell>
        </row>
        <row r="6">
          <cell r="A6" t="str">
            <v>JAN 2016</v>
          </cell>
          <cell r="B6" t="str">
            <v>LEUM_826</v>
          </cell>
          <cell r="T6">
            <v>0</v>
          </cell>
          <cell r="U6">
            <v>0</v>
          </cell>
        </row>
        <row r="7">
          <cell r="A7" t="str">
            <v>JAN 2016</v>
          </cell>
          <cell r="B7" t="str">
            <v>ODL</v>
          </cell>
          <cell r="E7">
            <v>16278824</v>
          </cell>
          <cell r="L7">
            <v>0</v>
          </cell>
          <cell r="M7">
            <v>-41465</v>
          </cell>
          <cell r="P7">
            <v>0</v>
          </cell>
          <cell r="R7">
            <v>1664945</v>
          </cell>
          <cell r="T7">
            <v>0</v>
          </cell>
          <cell r="U7">
            <v>146115</v>
          </cell>
        </row>
        <row r="8">
          <cell r="A8" t="str">
            <v>JAN 2016</v>
          </cell>
          <cell r="B8" t="str">
            <v>LEUM_829</v>
          </cell>
          <cell r="E8">
            <v>0</v>
          </cell>
          <cell r="L8">
            <v>0</v>
          </cell>
          <cell r="M8">
            <v>0</v>
          </cell>
          <cell r="P8">
            <v>0</v>
          </cell>
          <cell r="R8">
            <v>0</v>
          </cell>
          <cell r="T8">
            <v>0</v>
          </cell>
          <cell r="U8">
            <v>0</v>
          </cell>
        </row>
        <row r="9">
          <cell r="A9" t="str">
            <v>JAN 2016</v>
          </cell>
          <cell r="B9" t="str">
            <v>LGCME000</v>
          </cell>
          <cell r="E9">
            <v>0</v>
          </cell>
          <cell r="L9">
            <v>0</v>
          </cell>
          <cell r="M9">
            <v>0</v>
          </cell>
          <cell r="P9">
            <v>0</v>
          </cell>
          <cell r="R9">
            <v>0</v>
          </cell>
          <cell r="T9">
            <v>0</v>
          </cell>
          <cell r="U9">
            <v>0</v>
          </cell>
        </row>
        <row r="10">
          <cell r="A10" t="str">
            <v>JAN 2016</v>
          </cell>
          <cell r="B10" t="str">
            <v>LGCME451</v>
          </cell>
          <cell r="E10">
            <v>0</v>
          </cell>
          <cell r="L10">
            <v>0</v>
          </cell>
          <cell r="M10">
            <v>0</v>
          </cell>
          <cell r="P10">
            <v>0</v>
          </cell>
          <cell r="R10">
            <v>0</v>
          </cell>
          <cell r="T10">
            <v>0</v>
          </cell>
          <cell r="U10">
            <v>0</v>
          </cell>
        </row>
        <row r="11">
          <cell r="A11" t="str">
            <v>JAN 2016</v>
          </cell>
          <cell r="B11" t="str">
            <v>LGCME551</v>
          </cell>
          <cell r="E11">
            <v>31971164</v>
          </cell>
          <cell r="L11">
            <v>41726</v>
          </cell>
          <cell r="M11">
            <v>-81436</v>
          </cell>
          <cell r="P11">
            <v>0</v>
          </cell>
          <cell r="R11">
            <v>3731907</v>
          </cell>
          <cell r="T11">
            <v>0</v>
          </cell>
          <cell r="U11">
            <v>286967</v>
          </cell>
        </row>
        <row r="12">
          <cell r="A12" t="str">
            <v>JAN 2016</v>
          </cell>
          <cell r="B12" t="str">
            <v>LGCME551UM</v>
          </cell>
          <cell r="E12">
            <v>0</v>
          </cell>
          <cell r="L12">
            <v>0</v>
          </cell>
          <cell r="M12">
            <v>0</v>
          </cell>
          <cell r="P12">
            <v>0</v>
          </cell>
          <cell r="R12">
            <v>0</v>
          </cell>
          <cell r="T12">
            <v>0</v>
          </cell>
          <cell r="U12">
            <v>0</v>
          </cell>
        </row>
        <row r="13">
          <cell r="A13" t="str">
            <v>JAN 2016</v>
          </cell>
          <cell r="B13" t="str">
            <v>LGCME552</v>
          </cell>
          <cell r="E13">
            <v>0</v>
          </cell>
          <cell r="L13">
            <v>0</v>
          </cell>
          <cell r="M13">
            <v>0</v>
          </cell>
          <cell r="P13">
            <v>0</v>
          </cell>
          <cell r="R13">
            <v>0</v>
          </cell>
          <cell r="T13">
            <v>0</v>
          </cell>
          <cell r="U13">
            <v>0</v>
          </cell>
        </row>
        <row r="14">
          <cell r="A14" t="str">
            <v>JAN 2016</v>
          </cell>
          <cell r="B14" t="str">
            <v>LGCME557</v>
          </cell>
          <cell r="E14">
            <v>0</v>
          </cell>
          <cell r="L14">
            <v>0</v>
          </cell>
          <cell r="M14">
            <v>0</v>
          </cell>
          <cell r="P14">
            <v>0</v>
          </cell>
          <cell r="R14">
            <v>0</v>
          </cell>
          <cell r="T14">
            <v>0</v>
          </cell>
          <cell r="U14">
            <v>0</v>
          </cell>
        </row>
        <row r="15">
          <cell r="A15" t="str">
            <v>JAN 2016</v>
          </cell>
          <cell r="B15" t="str">
            <v>LGCME561</v>
          </cell>
          <cell r="E15">
            <v>134413194</v>
          </cell>
          <cell r="L15">
            <v>175424</v>
          </cell>
          <cell r="M15">
            <v>-342375</v>
          </cell>
          <cell r="P15">
            <v>0</v>
          </cell>
          <cell r="R15">
            <v>11526227</v>
          </cell>
          <cell r="T15">
            <v>4796887</v>
          </cell>
          <cell r="U15">
            <v>1206466</v>
          </cell>
        </row>
        <row r="16">
          <cell r="A16" t="str">
            <v>JAN 2016</v>
          </cell>
          <cell r="B16" t="str">
            <v>LGCME563</v>
          </cell>
          <cell r="E16">
            <v>11527513</v>
          </cell>
          <cell r="L16">
            <v>15045</v>
          </cell>
          <cell r="M16">
            <v>-29363</v>
          </cell>
          <cell r="P16">
            <v>0</v>
          </cell>
          <cell r="R16">
            <v>885306</v>
          </cell>
          <cell r="T16">
            <v>334745</v>
          </cell>
          <cell r="U16">
            <v>103469</v>
          </cell>
        </row>
        <row r="17">
          <cell r="A17" t="str">
            <v>JAN 2016</v>
          </cell>
          <cell r="B17" t="str">
            <v>LGCME567</v>
          </cell>
          <cell r="E17">
            <v>0</v>
          </cell>
          <cell r="L17">
            <v>0</v>
          </cell>
          <cell r="M17">
            <v>0</v>
          </cell>
          <cell r="P17">
            <v>0</v>
          </cell>
          <cell r="R17">
            <v>0</v>
          </cell>
          <cell r="T17">
            <v>0</v>
          </cell>
          <cell r="U17">
            <v>0</v>
          </cell>
        </row>
        <row r="18">
          <cell r="A18" t="str">
            <v>JAN 2016</v>
          </cell>
          <cell r="B18" t="str">
            <v>LGCME591</v>
          </cell>
          <cell r="E18">
            <v>58180400</v>
          </cell>
          <cell r="L18">
            <v>75932</v>
          </cell>
          <cell r="M18">
            <v>-148196</v>
          </cell>
          <cell r="P18">
            <v>0</v>
          </cell>
          <cell r="R18">
            <v>4433680</v>
          </cell>
          <cell r="T18">
            <v>1617931</v>
          </cell>
          <cell r="U18">
            <v>522216</v>
          </cell>
        </row>
        <row r="19">
          <cell r="A19" t="str">
            <v>JAN 2016</v>
          </cell>
          <cell r="B19" t="str">
            <v>LGCME593</v>
          </cell>
          <cell r="E19">
            <v>28843197</v>
          </cell>
          <cell r="L19">
            <v>37643</v>
          </cell>
          <cell r="M19">
            <v>-73469</v>
          </cell>
          <cell r="P19">
            <v>0</v>
          </cell>
          <cell r="R19">
            <v>2180511</v>
          </cell>
          <cell r="T19">
            <v>846520</v>
          </cell>
          <cell r="U19">
            <v>258891</v>
          </cell>
        </row>
        <row r="20">
          <cell r="A20" t="str">
            <v>JAN 2016</v>
          </cell>
          <cell r="B20" t="str">
            <v>LGCME651</v>
          </cell>
          <cell r="E20">
            <v>81564370</v>
          </cell>
          <cell r="L20">
            <v>106450</v>
          </cell>
          <cell r="M20">
            <v>-207760</v>
          </cell>
          <cell r="P20">
            <v>0</v>
          </cell>
          <cell r="R20">
            <v>8654387</v>
          </cell>
          <cell r="T20">
            <v>0</v>
          </cell>
          <cell r="U20">
            <v>732105</v>
          </cell>
        </row>
        <row r="21">
          <cell r="A21" t="str">
            <v>JAN 2016</v>
          </cell>
          <cell r="B21" t="str">
            <v>LGCME652</v>
          </cell>
          <cell r="E21">
            <v>0</v>
          </cell>
          <cell r="L21">
            <v>0</v>
          </cell>
          <cell r="M21">
            <v>0</v>
          </cell>
          <cell r="P21">
            <v>0</v>
          </cell>
          <cell r="R21">
            <v>0</v>
          </cell>
          <cell r="T21">
            <v>0</v>
          </cell>
          <cell r="U21">
            <v>0</v>
          </cell>
        </row>
        <row r="22">
          <cell r="A22" t="str">
            <v>JAN 2016</v>
          </cell>
          <cell r="B22" t="str">
            <v>LGCME657</v>
          </cell>
          <cell r="E22">
            <v>0</v>
          </cell>
          <cell r="L22">
            <v>0</v>
          </cell>
          <cell r="M22">
            <v>0</v>
          </cell>
          <cell r="P22">
            <v>0</v>
          </cell>
          <cell r="R22">
            <v>0</v>
          </cell>
          <cell r="T22">
            <v>0</v>
          </cell>
          <cell r="U22">
            <v>0</v>
          </cell>
        </row>
        <row r="23">
          <cell r="A23" t="str">
            <v>JAN 2016</v>
          </cell>
          <cell r="B23" t="str">
            <v>LGCME671</v>
          </cell>
          <cell r="E23">
            <v>5498880</v>
          </cell>
          <cell r="L23">
            <v>0</v>
          </cell>
          <cell r="M23">
            <v>-14007</v>
          </cell>
          <cell r="P23">
            <v>0</v>
          </cell>
          <cell r="R23">
            <v>335248</v>
          </cell>
          <cell r="T23">
            <v>96330</v>
          </cell>
          <cell r="U23">
            <v>49357</v>
          </cell>
        </row>
        <row r="24">
          <cell r="A24" t="str">
            <v>JAN 2016</v>
          </cell>
          <cell r="B24" t="str">
            <v>LGCSR760</v>
          </cell>
          <cell r="E24">
            <v>0</v>
          </cell>
          <cell r="L24">
            <v>0</v>
          </cell>
          <cell r="M24">
            <v>0</v>
          </cell>
          <cell r="P24">
            <v>-286526</v>
          </cell>
          <cell r="R24">
            <v>-286526</v>
          </cell>
          <cell r="T24">
            <v>0</v>
          </cell>
          <cell r="U24">
            <v>0</v>
          </cell>
        </row>
        <row r="25">
          <cell r="A25" t="str">
            <v>JAN 2016</v>
          </cell>
          <cell r="B25" t="str">
            <v>LGCSR780</v>
          </cell>
          <cell r="E25">
            <v>0</v>
          </cell>
          <cell r="L25">
            <v>0</v>
          </cell>
          <cell r="M25">
            <v>0</v>
          </cell>
          <cell r="P25">
            <v>0</v>
          </cell>
          <cell r="R25">
            <v>0</v>
          </cell>
          <cell r="T25">
            <v>0</v>
          </cell>
          <cell r="U25">
            <v>0</v>
          </cell>
        </row>
        <row r="26">
          <cell r="A26" t="str">
            <v>JAN 2016</v>
          </cell>
          <cell r="B26" t="str">
            <v>LGINE000</v>
          </cell>
          <cell r="E26">
            <v>0</v>
          </cell>
          <cell r="L26">
            <v>0</v>
          </cell>
          <cell r="M26">
            <v>0</v>
          </cell>
          <cell r="P26">
            <v>0</v>
          </cell>
          <cell r="R26">
            <v>0</v>
          </cell>
          <cell r="T26">
            <v>0</v>
          </cell>
          <cell r="U26">
            <v>0</v>
          </cell>
        </row>
        <row r="27">
          <cell r="A27" t="str">
            <v>JAN 2016</v>
          </cell>
          <cell r="B27" t="str">
            <v>LGINE599</v>
          </cell>
          <cell r="E27">
            <v>10975500</v>
          </cell>
          <cell r="L27">
            <v>0</v>
          </cell>
          <cell r="M27">
            <v>-27957</v>
          </cell>
          <cell r="P27">
            <v>0</v>
          </cell>
          <cell r="R27">
            <v>678990</v>
          </cell>
          <cell r="T27">
            <v>197948</v>
          </cell>
          <cell r="U27">
            <v>98514</v>
          </cell>
        </row>
        <row r="28">
          <cell r="A28" t="str">
            <v>JAN 2016</v>
          </cell>
          <cell r="B28" t="str">
            <v>LGINE643</v>
          </cell>
          <cell r="E28">
            <v>68922949</v>
          </cell>
          <cell r="L28">
            <v>0</v>
          </cell>
          <cell r="M28">
            <v>-175559</v>
          </cell>
          <cell r="P28">
            <v>0</v>
          </cell>
          <cell r="R28">
            <v>4280566</v>
          </cell>
          <cell r="T28">
            <v>1340369</v>
          </cell>
          <cell r="U28">
            <v>618639</v>
          </cell>
        </row>
        <row r="29">
          <cell r="A29" t="str">
            <v>JAN 2016</v>
          </cell>
          <cell r="B29" t="str">
            <v>LGINE661</v>
          </cell>
          <cell r="E29">
            <v>18274284</v>
          </cell>
          <cell r="L29">
            <v>23850</v>
          </cell>
          <cell r="M29">
            <v>-46548</v>
          </cell>
          <cell r="P29">
            <v>0</v>
          </cell>
          <cell r="R29">
            <v>1730286</v>
          </cell>
          <cell r="T29">
            <v>827852</v>
          </cell>
          <cell r="U29">
            <v>164026</v>
          </cell>
        </row>
        <row r="30">
          <cell r="A30" t="str">
            <v>JAN 2016</v>
          </cell>
          <cell r="B30" t="str">
            <v>LGINE663</v>
          </cell>
          <cell r="E30">
            <v>1034319</v>
          </cell>
          <cell r="L30">
            <v>1350</v>
          </cell>
          <cell r="M30">
            <v>-2635</v>
          </cell>
          <cell r="P30">
            <v>0</v>
          </cell>
          <cell r="R30">
            <v>97078</v>
          </cell>
          <cell r="T30">
            <v>44901</v>
          </cell>
          <cell r="U30">
            <v>9284</v>
          </cell>
        </row>
        <row r="31">
          <cell r="A31" t="str">
            <v>JAN 2016</v>
          </cell>
          <cell r="B31" t="str">
            <v>LGINE691</v>
          </cell>
          <cell r="E31">
            <v>20040159</v>
          </cell>
          <cell r="L31">
            <v>26155</v>
          </cell>
          <cell r="M31">
            <v>-51046</v>
          </cell>
          <cell r="P31">
            <v>0</v>
          </cell>
          <cell r="R31">
            <v>1656545</v>
          </cell>
          <cell r="T31">
            <v>682157</v>
          </cell>
          <cell r="U31">
            <v>179876</v>
          </cell>
        </row>
        <row r="32">
          <cell r="A32" t="str">
            <v>JAN 2016</v>
          </cell>
          <cell r="B32" t="str">
            <v>LGINE693</v>
          </cell>
          <cell r="E32">
            <v>130426785</v>
          </cell>
          <cell r="L32">
            <v>170221</v>
          </cell>
          <cell r="M32">
            <v>-332221</v>
          </cell>
          <cell r="P32">
            <v>0</v>
          </cell>
          <cell r="R32">
            <v>9333492</v>
          </cell>
          <cell r="T32">
            <v>3689308</v>
          </cell>
          <cell r="U32">
            <v>1170685</v>
          </cell>
        </row>
        <row r="33">
          <cell r="A33" t="str">
            <v>JAN 2016</v>
          </cell>
          <cell r="B33" t="str">
            <v>LGMLE570</v>
          </cell>
          <cell r="E33">
            <v>0</v>
          </cell>
          <cell r="L33">
            <v>0</v>
          </cell>
          <cell r="M33">
            <v>0</v>
          </cell>
          <cell r="P33">
            <v>0</v>
          </cell>
          <cell r="R33">
            <v>0</v>
          </cell>
          <cell r="T33">
            <v>0</v>
          </cell>
          <cell r="U33">
            <v>0</v>
          </cell>
        </row>
        <row r="34">
          <cell r="A34" t="str">
            <v>JAN 2016</v>
          </cell>
          <cell r="B34" t="str">
            <v>LGMLE571</v>
          </cell>
          <cell r="E34">
            <v>0</v>
          </cell>
          <cell r="L34">
            <v>0</v>
          </cell>
          <cell r="M34">
            <v>0</v>
          </cell>
          <cell r="P34">
            <v>0</v>
          </cell>
          <cell r="R34">
            <v>0</v>
          </cell>
          <cell r="T34">
            <v>0</v>
          </cell>
          <cell r="U34">
            <v>0</v>
          </cell>
        </row>
        <row r="35">
          <cell r="A35" t="str">
            <v>JAN 2016</v>
          </cell>
          <cell r="B35" t="str">
            <v>LGMLE572</v>
          </cell>
          <cell r="E35">
            <v>0</v>
          </cell>
          <cell r="L35">
            <v>0</v>
          </cell>
          <cell r="M35">
            <v>0</v>
          </cell>
          <cell r="P35">
            <v>0</v>
          </cell>
          <cell r="R35">
            <v>0</v>
          </cell>
          <cell r="T35">
            <v>0</v>
          </cell>
          <cell r="U35">
            <v>0</v>
          </cell>
        </row>
        <row r="36">
          <cell r="A36" t="str">
            <v>JAN 2016</v>
          </cell>
          <cell r="B36" t="str">
            <v>LGMLE573</v>
          </cell>
          <cell r="E36">
            <v>0</v>
          </cell>
          <cell r="L36">
            <v>0</v>
          </cell>
          <cell r="M36">
            <v>0</v>
          </cell>
          <cell r="P36">
            <v>0</v>
          </cell>
          <cell r="R36">
            <v>0</v>
          </cell>
          <cell r="T36">
            <v>0</v>
          </cell>
          <cell r="U36">
            <v>0</v>
          </cell>
        </row>
        <row r="37">
          <cell r="A37" t="str">
            <v>JAN 2016</v>
          </cell>
          <cell r="B37" t="str">
            <v>LGMLE574</v>
          </cell>
          <cell r="E37">
            <v>0</v>
          </cell>
          <cell r="L37">
            <v>0</v>
          </cell>
          <cell r="M37">
            <v>0</v>
          </cell>
          <cell r="P37">
            <v>0</v>
          </cell>
          <cell r="R37">
            <v>0</v>
          </cell>
          <cell r="T37">
            <v>0</v>
          </cell>
          <cell r="U37">
            <v>0</v>
          </cell>
        </row>
        <row r="38">
          <cell r="A38" t="str">
            <v>JAN 2016</v>
          </cell>
          <cell r="B38" t="str">
            <v>LGRSE000</v>
          </cell>
          <cell r="E38">
            <v>0</v>
          </cell>
          <cell r="L38">
            <v>0</v>
          </cell>
          <cell r="M38">
            <v>0</v>
          </cell>
          <cell r="P38">
            <v>0</v>
          </cell>
          <cell r="R38">
            <v>0</v>
          </cell>
          <cell r="T38">
            <v>0</v>
          </cell>
          <cell r="U38">
            <v>0</v>
          </cell>
        </row>
        <row r="39">
          <cell r="A39" t="str">
            <v>JAN 2016</v>
          </cell>
          <cell r="B39" t="str">
            <v>LGRSE411</v>
          </cell>
          <cell r="E39">
            <v>0</v>
          </cell>
          <cell r="L39">
            <v>0</v>
          </cell>
          <cell r="M39">
            <v>0</v>
          </cell>
          <cell r="P39">
            <v>0</v>
          </cell>
          <cell r="R39">
            <v>0</v>
          </cell>
          <cell r="T39">
            <v>0</v>
          </cell>
          <cell r="U39">
            <v>0</v>
          </cell>
        </row>
        <row r="40">
          <cell r="A40" t="str">
            <v>JAN 2016</v>
          </cell>
          <cell r="B40" t="str">
            <v>LGRSE511</v>
          </cell>
          <cell r="E40">
            <v>375149152</v>
          </cell>
          <cell r="L40">
            <v>489610</v>
          </cell>
          <cell r="M40">
            <v>-955574</v>
          </cell>
          <cell r="P40">
            <v>0</v>
          </cell>
          <cell r="R40">
            <v>37085813</v>
          </cell>
          <cell r="T40">
            <v>0</v>
          </cell>
          <cell r="U40">
            <v>3367263</v>
          </cell>
        </row>
        <row r="41">
          <cell r="A41" t="str">
            <v>JAN 2016</v>
          </cell>
          <cell r="B41" t="str">
            <v>LGRSE519</v>
          </cell>
          <cell r="E41">
            <v>0</v>
          </cell>
          <cell r="L41">
            <v>0</v>
          </cell>
          <cell r="M41">
            <v>0</v>
          </cell>
          <cell r="P41">
            <v>0</v>
          </cell>
          <cell r="R41">
            <v>0</v>
          </cell>
          <cell r="T41">
            <v>0</v>
          </cell>
          <cell r="U41">
            <v>0</v>
          </cell>
        </row>
        <row r="42">
          <cell r="A42" t="str">
            <v>JAN 2016</v>
          </cell>
          <cell r="B42" t="str">
            <v>LGRSE540</v>
          </cell>
          <cell r="E42">
            <v>0</v>
          </cell>
          <cell r="L42">
            <v>0</v>
          </cell>
          <cell r="M42">
            <v>0</v>
          </cell>
          <cell r="P42">
            <v>0</v>
          </cell>
          <cell r="R42">
            <v>0</v>
          </cell>
          <cell r="T42">
            <v>0</v>
          </cell>
          <cell r="U42">
            <v>0</v>
          </cell>
        </row>
        <row r="43">
          <cell r="A43" t="str">
            <v>JAN 2016</v>
          </cell>
          <cell r="B43" t="str">
            <v>LGRSE543</v>
          </cell>
          <cell r="E43">
            <v>0</v>
          </cell>
          <cell r="L43">
            <v>0</v>
          </cell>
          <cell r="M43">
            <v>0</v>
          </cell>
          <cell r="P43">
            <v>0</v>
          </cell>
          <cell r="R43">
            <v>0</v>
          </cell>
          <cell r="T43">
            <v>0</v>
          </cell>
          <cell r="U43">
            <v>0</v>
          </cell>
        </row>
        <row r="44">
          <cell r="A44" t="str">
            <v>JAN 2016</v>
          </cell>
          <cell r="B44" t="str">
            <v>LGRSE547</v>
          </cell>
          <cell r="E44">
            <v>0</v>
          </cell>
          <cell r="L44">
            <v>0</v>
          </cell>
          <cell r="M44">
            <v>0</v>
          </cell>
          <cell r="P44">
            <v>0</v>
          </cell>
          <cell r="R44">
            <v>0</v>
          </cell>
          <cell r="T44">
            <v>0</v>
          </cell>
          <cell r="U44">
            <v>0</v>
          </cell>
        </row>
        <row r="45">
          <cell r="A45" t="str">
            <v>JAN 2016</v>
          </cell>
          <cell r="B45" t="str">
            <v>LGUM_000</v>
          </cell>
          <cell r="T45">
            <v>0</v>
          </cell>
          <cell r="U45">
            <v>0</v>
          </cell>
        </row>
        <row r="46">
          <cell r="A46" t="str">
            <v>JAN 2016</v>
          </cell>
          <cell r="B46" t="str">
            <v>LGUM_201</v>
          </cell>
          <cell r="T46">
            <v>0</v>
          </cell>
          <cell r="U46">
            <v>0</v>
          </cell>
        </row>
        <row r="47">
          <cell r="A47" t="str">
            <v>JAN 2016</v>
          </cell>
          <cell r="B47" t="str">
            <v>LGUM_203</v>
          </cell>
          <cell r="T47">
            <v>0</v>
          </cell>
          <cell r="U47">
            <v>0</v>
          </cell>
        </row>
        <row r="48">
          <cell r="A48" t="str">
            <v>JAN 2016</v>
          </cell>
          <cell r="B48" t="str">
            <v>LGUM_204</v>
          </cell>
          <cell r="T48">
            <v>0</v>
          </cell>
          <cell r="U48">
            <v>0</v>
          </cell>
        </row>
        <row r="49">
          <cell r="A49" t="str">
            <v>JAN 2016</v>
          </cell>
          <cell r="B49" t="str">
            <v>LGUM_204CU</v>
          </cell>
          <cell r="T49">
            <v>0</v>
          </cell>
          <cell r="U49">
            <v>0</v>
          </cell>
        </row>
        <row r="50">
          <cell r="A50" t="str">
            <v>JAN 2016</v>
          </cell>
          <cell r="B50" t="str">
            <v>LGUM_206</v>
          </cell>
          <cell r="T50">
            <v>0</v>
          </cell>
          <cell r="U50">
            <v>0</v>
          </cell>
        </row>
        <row r="51">
          <cell r="A51" t="str">
            <v>JAN 2016</v>
          </cell>
          <cell r="B51" t="str">
            <v>LGUM_207</v>
          </cell>
          <cell r="T51">
            <v>0</v>
          </cell>
          <cell r="U51">
            <v>0</v>
          </cell>
        </row>
        <row r="52">
          <cell r="A52" t="str">
            <v>JAN 2016</v>
          </cell>
          <cell r="B52" t="str">
            <v>LGUM_208</v>
          </cell>
          <cell r="T52">
            <v>0</v>
          </cell>
          <cell r="U52">
            <v>0</v>
          </cell>
        </row>
        <row r="53">
          <cell r="A53" t="str">
            <v>JAN 2016</v>
          </cell>
          <cell r="B53" t="str">
            <v>LGUM_209</v>
          </cell>
          <cell r="T53">
            <v>0</v>
          </cell>
          <cell r="U53">
            <v>0</v>
          </cell>
        </row>
        <row r="54">
          <cell r="A54" t="str">
            <v>JAN 2016</v>
          </cell>
          <cell r="B54" t="str">
            <v>LGUM_209CU</v>
          </cell>
          <cell r="T54">
            <v>0</v>
          </cell>
          <cell r="U54">
            <v>0</v>
          </cell>
        </row>
        <row r="55">
          <cell r="A55" t="str">
            <v>JAN 2016</v>
          </cell>
          <cell r="B55" t="str">
            <v>LGUM_210</v>
          </cell>
          <cell r="T55">
            <v>0</v>
          </cell>
          <cell r="U55">
            <v>0</v>
          </cell>
        </row>
        <row r="56">
          <cell r="A56" t="str">
            <v>JAN 2016</v>
          </cell>
          <cell r="B56" t="str">
            <v>LGUM_252</v>
          </cell>
          <cell r="T56">
            <v>0</v>
          </cell>
          <cell r="U56">
            <v>0</v>
          </cell>
        </row>
        <row r="57">
          <cell r="A57" t="str">
            <v>JAN 2016</v>
          </cell>
          <cell r="B57" t="str">
            <v>LGUM_266</v>
          </cell>
          <cell r="T57">
            <v>0</v>
          </cell>
          <cell r="U57">
            <v>0</v>
          </cell>
        </row>
        <row r="58">
          <cell r="A58" t="str">
            <v>JAN 2016</v>
          </cell>
          <cell r="B58" t="str">
            <v>LGUM_267</v>
          </cell>
          <cell r="T58">
            <v>0</v>
          </cell>
          <cell r="U58">
            <v>0</v>
          </cell>
        </row>
        <row r="59">
          <cell r="A59" t="str">
            <v>JAN 2016</v>
          </cell>
          <cell r="B59" t="str">
            <v>LGUM_274</v>
          </cell>
          <cell r="T59">
            <v>0</v>
          </cell>
          <cell r="U59">
            <v>0</v>
          </cell>
        </row>
        <row r="60">
          <cell r="A60" t="str">
            <v>JAN 2016</v>
          </cell>
          <cell r="B60" t="str">
            <v>LGUM_275</v>
          </cell>
          <cell r="T60">
            <v>0</v>
          </cell>
          <cell r="U60">
            <v>0</v>
          </cell>
        </row>
        <row r="61">
          <cell r="A61" t="str">
            <v>JAN 2016</v>
          </cell>
          <cell r="B61" t="str">
            <v>LGUM_276</v>
          </cell>
          <cell r="T61">
            <v>0</v>
          </cell>
          <cell r="U61">
            <v>0</v>
          </cell>
        </row>
        <row r="62">
          <cell r="A62" t="str">
            <v>JAN 2016</v>
          </cell>
          <cell r="B62" t="str">
            <v>LGUM_277</v>
          </cell>
          <cell r="T62">
            <v>0</v>
          </cell>
          <cell r="U62">
            <v>0</v>
          </cell>
        </row>
        <row r="63">
          <cell r="A63" t="str">
            <v>JAN 2016</v>
          </cell>
          <cell r="B63" t="str">
            <v>LGUM_278</v>
          </cell>
          <cell r="T63">
            <v>0</v>
          </cell>
          <cell r="U63">
            <v>0</v>
          </cell>
        </row>
        <row r="64">
          <cell r="A64" t="str">
            <v>JAN 2016</v>
          </cell>
          <cell r="B64" t="str">
            <v>LGUM_279</v>
          </cell>
          <cell r="T64">
            <v>0</v>
          </cell>
          <cell r="U64">
            <v>0</v>
          </cell>
        </row>
        <row r="65">
          <cell r="A65" t="str">
            <v>JAN 2016</v>
          </cell>
          <cell r="B65" t="str">
            <v>LGUM_280</v>
          </cell>
          <cell r="T65">
            <v>0</v>
          </cell>
          <cell r="U65">
            <v>0</v>
          </cell>
        </row>
        <row r="66">
          <cell r="A66" t="str">
            <v>JAN 2016</v>
          </cell>
          <cell r="B66" t="str">
            <v>LGUM_281</v>
          </cell>
          <cell r="T66">
            <v>0</v>
          </cell>
          <cell r="U66">
            <v>0</v>
          </cell>
        </row>
        <row r="67">
          <cell r="A67" t="str">
            <v>JAN 2016</v>
          </cell>
          <cell r="B67" t="str">
            <v>LGUM_282</v>
          </cell>
          <cell r="T67">
            <v>0</v>
          </cell>
          <cell r="U67">
            <v>0</v>
          </cell>
        </row>
        <row r="68">
          <cell r="A68" t="str">
            <v>JAN 2016</v>
          </cell>
          <cell r="B68" t="str">
            <v>LGUM_283</v>
          </cell>
          <cell r="T68">
            <v>0</v>
          </cell>
          <cell r="U68">
            <v>0</v>
          </cell>
        </row>
        <row r="69">
          <cell r="A69" t="str">
            <v>JAN 2016</v>
          </cell>
          <cell r="B69" t="str">
            <v>LGUM_314</v>
          </cell>
          <cell r="T69">
            <v>0</v>
          </cell>
          <cell r="U69">
            <v>0</v>
          </cell>
        </row>
        <row r="70">
          <cell r="A70" t="str">
            <v>JAN 2016</v>
          </cell>
          <cell r="B70" t="str">
            <v>LGUM_315</v>
          </cell>
          <cell r="T70">
            <v>0</v>
          </cell>
          <cell r="U70">
            <v>0</v>
          </cell>
        </row>
        <row r="71">
          <cell r="A71" t="str">
            <v>JAN 2016</v>
          </cell>
          <cell r="B71" t="str">
            <v>LGUM_318</v>
          </cell>
          <cell r="T71">
            <v>0</v>
          </cell>
          <cell r="U71">
            <v>0</v>
          </cell>
        </row>
        <row r="72">
          <cell r="A72" t="str">
            <v>JAN 2016</v>
          </cell>
          <cell r="B72" t="str">
            <v>LGUM_348</v>
          </cell>
          <cell r="T72">
            <v>0</v>
          </cell>
          <cell r="U72">
            <v>0</v>
          </cell>
        </row>
        <row r="73">
          <cell r="A73" t="str">
            <v>JAN 2016</v>
          </cell>
          <cell r="B73" t="str">
            <v>LGUM_349</v>
          </cell>
          <cell r="T73">
            <v>0</v>
          </cell>
          <cell r="U73">
            <v>0</v>
          </cell>
        </row>
        <row r="74">
          <cell r="A74" t="str">
            <v>JAN 2016</v>
          </cell>
          <cell r="B74" t="str">
            <v>LGUM_400</v>
          </cell>
          <cell r="T74">
            <v>0</v>
          </cell>
          <cell r="U74">
            <v>0</v>
          </cell>
        </row>
        <row r="75">
          <cell r="A75" t="str">
            <v>JAN 2016</v>
          </cell>
          <cell r="B75" t="str">
            <v>LGUM_401</v>
          </cell>
          <cell r="T75">
            <v>0</v>
          </cell>
          <cell r="U75">
            <v>0</v>
          </cell>
        </row>
        <row r="76">
          <cell r="A76" t="str">
            <v>JAN 2016</v>
          </cell>
          <cell r="B76" t="str">
            <v>LGUM_412</v>
          </cell>
          <cell r="T76">
            <v>0</v>
          </cell>
          <cell r="U76">
            <v>0</v>
          </cell>
        </row>
        <row r="77">
          <cell r="A77" t="str">
            <v>JAN 2016</v>
          </cell>
          <cell r="B77" t="str">
            <v>LGUM_413</v>
          </cell>
          <cell r="T77">
            <v>0</v>
          </cell>
          <cell r="U77">
            <v>0</v>
          </cell>
        </row>
        <row r="78">
          <cell r="A78" t="str">
            <v>JAN 2016</v>
          </cell>
          <cell r="B78" t="str">
            <v>LGUM_415</v>
          </cell>
          <cell r="T78">
            <v>0</v>
          </cell>
          <cell r="U78">
            <v>0</v>
          </cell>
        </row>
        <row r="79">
          <cell r="A79" t="str">
            <v>JAN 2016</v>
          </cell>
          <cell r="B79" t="str">
            <v>LGUM_416</v>
          </cell>
          <cell r="T79">
            <v>0</v>
          </cell>
          <cell r="U79">
            <v>0</v>
          </cell>
        </row>
        <row r="80">
          <cell r="A80" t="str">
            <v>JAN 2016</v>
          </cell>
          <cell r="B80" t="str">
            <v>LGUM_417</v>
          </cell>
          <cell r="T80">
            <v>0</v>
          </cell>
          <cell r="U80">
            <v>0</v>
          </cell>
        </row>
        <row r="81">
          <cell r="A81" t="str">
            <v>JAN 2016</v>
          </cell>
          <cell r="B81" t="str">
            <v>LGUM_419</v>
          </cell>
          <cell r="T81">
            <v>0</v>
          </cell>
          <cell r="U81">
            <v>0</v>
          </cell>
        </row>
        <row r="82">
          <cell r="A82" t="str">
            <v>JAN 2016</v>
          </cell>
          <cell r="B82" t="str">
            <v>LGUM_420</v>
          </cell>
          <cell r="T82">
            <v>0</v>
          </cell>
          <cell r="U82">
            <v>0</v>
          </cell>
        </row>
        <row r="83">
          <cell r="A83" t="str">
            <v>JAN 2016</v>
          </cell>
          <cell r="B83" t="str">
            <v>LGUM_421</v>
          </cell>
          <cell r="T83">
            <v>0</v>
          </cell>
          <cell r="U83">
            <v>0</v>
          </cell>
        </row>
        <row r="84">
          <cell r="A84" t="str">
            <v>JAN 2016</v>
          </cell>
          <cell r="B84" t="str">
            <v>LGUM_422</v>
          </cell>
          <cell r="T84">
            <v>0</v>
          </cell>
          <cell r="U84">
            <v>0</v>
          </cell>
        </row>
        <row r="85">
          <cell r="A85" t="str">
            <v>JAN 2016</v>
          </cell>
          <cell r="B85" t="str">
            <v>LGUM_423</v>
          </cell>
          <cell r="T85">
            <v>0</v>
          </cell>
          <cell r="U85">
            <v>0</v>
          </cell>
        </row>
        <row r="86">
          <cell r="A86" t="str">
            <v>JAN 2016</v>
          </cell>
          <cell r="B86" t="str">
            <v>LGUM_424</v>
          </cell>
          <cell r="T86">
            <v>0</v>
          </cell>
          <cell r="U86">
            <v>0</v>
          </cell>
        </row>
        <row r="87">
          <cell r="A87" t="str">
            <v>JAN 2016</v>
          </cell>
          <cell r="B87" t="str">
            <v>LGUM_425</v>
          </cell>
          <cell r="T87">
            <v>0</v>
          </cell>
          <cell r="U87">
            <v>0</v>
          </cell>
        </row>
        <row r="88">
          <cell r="A88" t="str">
            <v>JAN 2016</v>
          </cell>
          <cell r="B88" t="str">
            <v>LGUM_426</v>
          </cell>
          <cell r="T88">
            <v>0</v>
          </cell>
          <cell r="U88">
            <v>0</v>
          </cell>
        </row>
        <row r="89">
          <cell r="A89" t="str">
            <v>JAN 2016</v>
          </cell>
          <cell r="B89" t="str">
            <v>LGUM_427</v>
          </cell>
          <cell r="T89">
            <v>0</v>
          </cell>
          <cell r="U89">
            <v>0</v>
          </cell>
        </row>
        <row r="90">
          <cell r="A90" t="str">
            <v>JAN 2016</v>
          </cell>
          <cell r="B90" t="str">
            <v>LGUM_428</v>
          </cell>
          <cell r="T90">
            <v>0</v>
          </cell>
          <cell r="U90">
            <v>0</v>
          </cell>
        </row>
        <row r="91">
          <cell r="A91" t="str">
            <v>JAN 2016</v>
          </cell>
          <cell r="B91" t="str">
            <v>LGUM_429</v>
          </cell>
          <cell r="T91">
            <v>0</v>
          </cell>
          <cell r="U91">
            <v>0</v>
          </cell>
        </row>
        <row r="92">
          <cell r="A92" t="str">
            <v>JAN 2016</v>
          </cell>
          <cell r="B92" t="str">
            <v>LGUM_430</v>
          </cell>
          <cell r="T92">
            <v>0</v>
          </cell>
          <cell r="U92">
            <v>0</v>
          </cell>
        </row>
        <row r="93">
          <cell r="A93" t="str">
            <v>JAN 2016</v>
          </cell>
          <cell r="B93" t="str">
            <v>LGUM_431</v>
          </cell>
          <cell r="T93">
            <v>0</v>
          </cell>
          <cell r="U93">
            <v>0</v>
          </cell>
        </row>
        <row r="94">
          <cell r="A94" t="str">
            <v>JAN 2016</v>
          </cell>
          <cell r="B94" t="str">
            <v>LGUM_432</v>
          </cell>
          <cell r="T94">
            <v>0</v>
          </cell>
          <cell r="U94">
            <v>0</v>
          </cell>
        </row>
        <row r="95">
          <cell r="A95" t="str">
            <v>JAN 2016</v>
          </cell>
          <cell r="B95" t="str">
            <v>LGUM_433</v>
          </cell>
          <cell r="T95">
            <v>0</v>
          </cell>
          <cell r="U95">
            <v>0</v>
          </cell>
        </row>
        <row r="96">
          <cell r="A96" t="str">
            <v>JAN 2016</v>
          </cell>
          <cell r="B96" t="str">
            <v>LGUM_440</v>
          </cell>
          <cell r="T96">
            <v>0</v>
          </cell>
          <cell r="U96">
            <v>0</v>
          </cell>
        </row>
        <row r="97">
          <cell r="A97" t="str">
            <v>JAN 2016</v>
          </cell>
          <cell r="B97" t="str">
            <v>LGUM_441</v>
          </cell>
          <cell r="T97">
            <v>0</v>
          </cell>
          <cell r="U97">
            <v>0</v>
          </cell>
        </row>
        <row r="98">
          <cell r="A98" t="str">
            <v>JAN 2016</v>
          </cell>
          <cell r="B98" t="str">
            <v>LGUM_452</v>
          </cell>
          <cell r="T98">
            <v>0</v>
          </cell>
          <cell r="U98">
            <v>0</v>
          </cell>
        </row>
        <row r="99">
          <cell r="A99" t="str">
            <v>JAN 2016</v>
          </cell>
          <cell r="B99" t="str">
            <v>LGUM_453</v>
          </cell>
          <cell r="T99">
            <v>0</v>
          </cell>
          <cell r="U99">
            <v>0</v>
          </cell>
        </row>
        <row r="100">
          <cell r="A100" t="str">
            <v>JAN 2016</v>
          </cell>
          <cell r="B100" t="str">
            <v>LGUM_453CU</v>
          </cell>
          <cell r="T100">
            <v>0</v>
          </cell>
          <cell r="U100">
            <v>0</v>
          </cell>
        </row>
        <row r="101">
          <cell r="A101" t="str">
            <v>JAN 2016</v>
          </cell>
          <cell r="B101" t="str">
            <v>LGUM_454</v>
          </cell>
          <cell r="T101">
            <v>0</v>
          </cell>
          <cell r="U101">
            <v>0</v>
          </cell>
        </row>
        <row r="102">
          <cell r="A102" t="str">
            <v>JAN 2016</v>
          </cell>
          <cell r="B102" t="str">
            <v>LGUM_454CU</v>
          </cell>
          <cell r="T102">
            <v>0</v>
          </cell>
          <cell r="U102">
            <v>0</v>
          </cell>
        </row>
        <row r="103">
          <cell r="A103" t="str">
            <v>JAN 2016</v>
          </cell>
          <cell r="B103" t="str">
            <v>LGUM_455</v>
          </cell>
          <cell r="T103">
            <v>0</v>
          </cell>
          <cell r="U103">
            <v>0</v>
          </cell>
        </row>
        <row r="104">
          <cell r="A104" t="str">
            <v>JAN 2016</v>
          </cell>
          <cell r="B104" t="str">
            <v>LGUM_456</v>
          </cell>
          <cell r="T104">
            <v>0</v>
          </cell>
          <cell r="U104">
            <v>0</v>
          </cell>
        </row>
        <row r="105">
          <cell r="A105" t="str">
            <v>JAN 2016</v>
          </cell>
          <cell r="B105" t="str">
            <v>LGUM_456CU</v>
          </cell>
          <cell r="T105">
            <v>0</v>
          </cell>
          <cell r="U105">
            <v>0</v>
          </cell>
        </row>
        <row r="106">
          <cell r="A106" t="str">
            <v>JAN 2016</v>
          </cell>
          <cell r="B106" t="str">
            <v>LGUM_457</v>
          </cell>
          <cell r="T106">
            <v>0</v>
          </cell>
          <cell r="U106">
            <v>0</v>
          </cell>
        </row>
        <row r="107">
          <cell r="A107" t="str">
            <v>JAN 2016</v>
          </cell>
          <cell r="B107" t="str">
            <v>LGUM_458</v>
          </cell>
          <cell r="T107">
            <v>0</v>
          </cell>
          <cell r="U107">
            <v>0</v>
          </cell>
        </row>
        <row r="108">
          <cell r="A108" t="str">
            <v>JAN 2016</v>
          </cell>
          <cell r="B108" t="str">
            <v>LGUM_470</v>
          </cell>
          <cell r="T108">
            <v>0</v>
          </cell>
          <cell r="U108">
            <v>0</v>
          </cell>
        </row>
        <row r="109">
          <cell r="A109" t="str">
            <v>JAN 2016</v>
          </cell>
          <cell r="B109" t="str">
            <v>LGUM_471</v>
          </cell>
          <cell r="T109">
            <v>0</v>
          </cell>
          <cell r="U109">
            <v>0</v>
          </cell>
        </row>
        <row r="110">
          <cell r="A110" t="str">
            <v>JAN 2016</v>
          </cell>
          <cell r="B110" t="str">
            <v>LGUM_473</v>
          </cell>
          <cell r="T110">
            <v>0</v>
          </cell>
          <cell r="U110">
            <v>0</v>
          </cell>
        </row>
        <row r="111">
          <cell r="A111" t="str">
            <v>JAN 2016</v>
          </cell>
          <cell r="B111" t="str">
            <v>LGUM_474</v>
          </cell>
          <cell r="T111">
            <v>0</v>
          </cell>
          <cell r="U111">
            <v>0</v>
          </cell>
        </row>
        <row r="112">
          <cell r="A112" t="str">
            <v>JAN 2016</v>
          </cell>
          <cell r="B112" t="str">
            <v>LGUM_475</v>
          </cell>
          <cell r="T112">
            <v>0</v>
          </cell>
          <cell r="U112">
            <v>0</v>
          </cell>
        </row>
        <row r="113">
          <cell r="A113" t="str">
            <v>JAN 2016</v>
          </cell>
          <cell r="B113" t="str">
            <v>LGUM_476</v>
          </cell>
          <cell r="T113">
            <v>0</v>
          </cell>
          <cell r="U113">
            <v>0</v>
          </cell>
        </row>
        <row r="114">
          <cell r="A114" t="str">
            <v>JAN 2016</v>
          </cell>
          <cell r="B114" t="str">
            <v>LGUM_477</v>
          </cell>
          <cell r="T114">
            <v>0</v>
          </cell>
          <cell r="U114">
            <v>0</v>
          </cell>
        </row>
        <row r="115">
          <cell r="A115" t="str">
            <v>JAN 2016</v>
          </cell>
          <cell r="B115" t="str">
            <v>LGUM_480</v>
          </cell>
          <cell r="T115">
            <v>0</v>
          </cell>
          <cell r="U115">
            <v>0</v>
          </cell>
        </row>
        <row r="116">
          <cell r="A116" t="str">
            <v>JAN 2016</v>
          </cell>
          <cell r="B116" t="str">
            <v>LGUM_481</v>
          </cell>
          <cell r="T116">
            <v>0</v>
          </cell>
          <cell r="U116">
            <v>0</v>
          </cell>
        </row>
        <row r="117">
          <cell r="A117" t="str">
            <v>JAN 2016</v>
          </cell>
          <cell r="B117" t="str">
            <v>LGUM_482</v>
          </cell>
          <cell r="T117">
            <v>0</v>
          </cell>
          <cell r="U117">
            <v>0</v>
          </cell>
        </row>
        <row r="118">
          <cell r="A118" t="str">
            <v>JAN 2016</v>
          </cell>
          <cell r="B118" t="str">
            <v>LGUM_483</v>
          </cell>
          <cell r="T118">
            <v>0</v>
          </cell>
          <cell r="U118">
            <v>0</v>
          </cell>
        </row>
        <row r="119">
          <cell r="A119" t="str">
            <v>JAN 2016</v>
          </cell>
          <cell r="B119" t="str">
            <v>LGUM_484</v>
          </cell>
          <cell r="T119">
            <v>0</v>
          </cell>
          <cell r="U119">
            <v>0</v>
          </cell>
        </row>
        <row r="120">
          <cell r="A120" t="str">
            <v>JAN 2016</v>
          </cell>
          <cell r="B120" t="str">
            <v>Result</v>
          </cell>
          <cell r="T120">
            <v>0</v>
          </cell>
          <cell r="U120">
            <v>0</v>
          </cell>
        </row>
        <row r="121">
          <cell r="A121" t="str">
            <v>FEB 2016</v>
          </cell>
          <cell r="B121" t="str">
            <v>LEUM_826</v>
          </cell>
          <cell r="T121">
            <v>0</v>
          </cell>
          <cell r="U121">
            <v>0</v>
          </cell>
        </row>
        <row r="122">
          <cell r="A122" t="str">
            <v>FEB 2016</v>
          </cell>
          <cell r="B122" t="str">
            <v>LEUM_826</v>
          </cell>
          <cell r="T122">
            <v>0</v>
          </cell>
          <cell r="U122">
            <v>0</v>
          </cell>
        </row>
        <row r="123">
          <cell r="A123" t="str">
            <v>FEB 2016</v>
          </cell>
          <cell r="B123" t="str">
            <v>ODL</v>
          </cell>
          <cell r="E123">
            <v>13359321</v>
          </cell>
          <cell r="L123">
            <v>0</v>
          </cell>
          <cell r="M123">
            <v>-70730</v>
          </cell>
          <cell r="P123">
            <v>0</v>
          </cell>
          <cell r="R123">
            <v>1600624</v>
          </cell>
          <cell r="T123">
            <v>0</v>
          </cell>
          <cell r="U123">
            <v>127989</v>
          </cell>
        </row>
        <row r="124">
          <cell r="A124" t="str">
            <v>FEB 2016</v>
          </cell>
          <cell r="B124" t="str">
            <v>LEUM_829</v>
          </cell>
          <cell r="E124">
            <v>0</v>
          </cell>
          <cell r="L124">
            <v>0</v>
          </cell>
          <cell r="M124">
            <v>0</v>
          </cell>
          <cell r="P124">
            <v>0</v>
          </cell>
          <cell r="R124">
            <v>0</v>
          </cell>
          <cell r="T124">
            <v>0</v>
          </cell>
          <cell r="U124">
            <v>0</v>
          </cell>
        </row>
        <row r="125">
          <cell r="A125" t="str">
            <v>FEB 2016</v>
          </cell>
          <cell r="B125" t="str">
            <v>LGCME000</v>
          </cell>
          <cell r="E125">
            <v>0</v>
          </cell>
          <cell r="L125">
            <v>0</v>
          </cell>
          <cell r="M125">
            <v>0</v>
          </cell>
          <cell r="P125">
            <v>0</v>
          </cell>
          <cell r="R125">
            <v>0</v>
          </cell>
          <cell r="T125">
            <v>0</v>
          </cell>
          <cell r="U125">
            <v>0</v>
          </cell>
        </row>
        <row r="126">
          <cell r="A126" t="str">
            <v>FEB 2016</v>
          </cell>
          <cell r="B126" t="str">
            <v>LGCME451</v>
          </cell>
          <cell r="E126">
            <v>0</v>
          </cell>
          <cell r="L126">
            <v>0</v>
          </cell>
          <cell r="M126">
            <v>0</v>
          </cell>
          <cell r="P126">
            <v>0</v>
          </cell>
          <cell r="R126">
            <v>0</v>
          </cell>
          <cell r="T126">
            <v>0</v>
          </cell>
          <cell r="U126">
            <v>0</v>
          </cell>
        </row>
        <row r="127">
          <cell r="A127" t="str">
            <v>FEB 2016</v>
          </cell>
          <cell r="B127" t="str">
            <v>LGCME551</v>
          </cell>
          <cell r="E127">
            <v>28606751</v>
          </cell>
          <cell r="L127">
            <v>40769</v>
          </cell>
          <cell r="M127">
            <v>-151456</v>
          </cell>
          <cell r="P127">
            <v>0</v>
          </cell>
          <cell r="R127">
            <v>3340941</v>
          </cell>
          <cell r="T127">
            <v>0</v>
          </cell>
          <cell r="U127">
            <v>274067</v>
          </cell>
        </row>
        <row r="128">
          <cell r="A128" t="str">
            <v>FEB 2016</v>
          </cell>
          <cell r="B128" t="str">
            <v>LGCME551UM</v>
          </cell>
          <cell r="E128">
            <v>0</v>
          </cell>
          <cell r="L128">
            <v>0</v>
          </cell>
          <cell r="M128">
            <v>0</v>
          </cell>
          <cell r="P128">
            <v>0</v>
          </cell>
          <cell r="R128">
            <v>0</v>
          </cell>
          <cell r="T128">
            <v>0</v>
          </cell>
          <cell r="U128">
            <v>0</v>
          </cell>
        </row>
        <row r="129">
          <cell r="A129" t="str">
            <v>FEB 2016</v>
          </cell>
          <cell r="B129" t="str">
            <v>LGCME552</v>
          </cell>
          <cell r="E129">
            <v>0</v>
          </cell>
          <cell r="L129">
            <v>0</v>
          </cell>
          <cell r="M129">
            <v>0</v>
          </cell>
          <cell r="P129">
            <v>0</v>
          </cell>
          <cell r="R129">
            <v>0</v>
          </cell>
          <cell r="T129">
            <v>0</v>
          </cell>
          <cell r="U129">
            <v>0</v>
          </cell>
        </row>
        <row r="130">
          <cell r="A130" t="str">
            <v>FEB 2016</v>
          </cell>
          <cell r="B130" t="str">
            <v>LGCME557</v>
          </cell>
          <cell r="E130">
            <v>0</v>
          </cell>
          <cell r="L130">
            <v>0</v>
          </cell>
          <cell r="M130">
            <v>0</v>
          </cell>
          <cell r="P130">
            <v>0</v>
          </cell>
          <cell r="R130">
            <v>0</v>
          </cell>
          <cell r="T130">
            <v>0</v>
          </cell>
          <cell r="U130">
            <v>0</v>
          </cell>
        </row>
        <row r="131">
          <cell r="A131" t="str">
            <v>FEB 2016</v>
          </cell>
          <cell r="B131" t="str">
            <v>LGCME561</v>
          </cell>
          <cell r="E131">
            <v>127422858</v>
          </cell>
          <cell r="L131">
            <v>181598</v>
          </cell>
          <cell r="M131">
            <v>-674631</v>
          </cell>
          <cell r="P131">
            <v>0</v>
          </cell>
          <cell r="R131">
            <v>10860569</v>
          </cell>
          <cell r="T131">
            <v>4726808</v>
          </cell>
          <cell r="U131">
            <v>1220775</v>
          </cell>
        </row>
        <row r="132">
          <cell r="A132" t="str">
            <v>FEB 2016</v>
          </cell>
          <cell r="B132" t="str">
            <v>LGCME563</v>
          </cell>
          <cell r="E132">
            <v>10127683</v>
          </cell>
          <cell r="L132">
            <v>14434</v>
          </cell>
          <cell r="M132">
            <v>-53620</v>
          </cell>
          <cell r="P132">
            <v>0</v>
          </cell>
          <cell r="R132">
            <v>770951</v>
          </cell>
          <cell r="T132">
            <v>306657</v>
          </cell>
          <cell r="U132">
            <v>97028</v>
          </cell>
        </row>
        <row r="133">
          <cell r="A133" t="str">
            <v>FEB 2016</v>
          </cell>
          <cell r="B133" t="str">
            <v>LGCME567</v>
          </cell>
          <cell r="E133">
            <v>0</v>
          </cell>
          <cell r="L133">
            <v>0</v>
          </cell>
          <cell r="M133">
            <v>0</v>
          </cell>
          <cell r="P133">
            <v>0</v>
          </cell>
          <cell r="R133">
            <v>0</v>
          </cell>
          <cell r="T133">
            <v>0</v>
          </cell>
          <cell r="U133">
            <v>0</v>
          </cell>
        </row>
        <row r="134">
          <cell r="A134" t="str">
            <v>FEB 2016</v>
          </cell>
          <cell r="B134" t="str">
            <v>LGCME591</v>
          </cell>
          <cell r="E134">
            <v>55589071</v>
          </cell>
          <cell r="L134">
            <v>79223</v>
          </cell>
          <cell r="M134">
            <v>-294312</v>
          </cell>
          <cell r="P134">
            <v>0</v>
          </cell>
          <cell r="R134">
            <v>4429233</v>
          </cell>
          <cell r="T134">
            <v>1849147</v>
          </cell>
          <cell r="U134">
            <v>532571</v>
          </cell>
        </row>
        <row r="135">
          <cell r="A135" t="str">
            <v>FEB 2016</v>
          </cell>
          <cell r="B135" t="str">
            <v>LGCME593</v>
          </cell>
          <cell r="E135">
            <v>25576926</v>
          </cell>
          <cell r="L135">
            <v>36451</v>
          </cell>
          <cell r="M135">
            <v>-135415</v>
          </cell>
          <cell r="P135">
            <v>0</v>
          </cell>
          <cell r="R135">
            <v>1949088</v>
          </cell>
          <cell r="T135">
            <v>816531</v>
          </cell>
          <cell r="U135">
            <v>245040</v>
          </cell>
        </row>
        <row r="136">
          <cell r="A136" t="str">
            <v>FEB 2016</v>
          </cell>
          <cell r="B136" t="str">
            <v>LGCME651</v>
          </cell>
          <cell r="E136">
            <v>72913022</v>
          </cell>
          <cell r="L136">
            <v>103913</v>
          </cell>
          <cell r="M136">
            <v>-386033</v>
          </cell>
          <cell r="P136">
            <v>0</v>
          </cell>
          <cell r="R136">
            <v>7650019</v>
          </cell>
          <cell r="T136">
            <v>0</v>
          </cell>
          <cell r="U136">
            <v>698543</v>
          </cell>
        </row>
        <row r="137">
          <cell r="A137" t="str">
            <v>FEB 2016</v>
          </cell>
          <cell r="B137" t="str">
            <v>LGCME652</v>
          </cell>
          <cell r="E137">
            <v>0</v>
          </cell>
          <cell r="L137">
            <v>0</v>
          </cell>
          <cell r="M137">
            <v>0</v>
          </cell>
          <cell r="P137">
            <v>0</v>
          </cell>
          <cell r="R137">
            <v>0</v>
          </cell>
          <cell r="T137">
            <v>0</v>
          </cell>
          <cell r="U137">
            <v>0</v>
          </cell>
        </row>
        <row r="138">
          <cell r="A138" t="str">
            <v>FEB 2016</v>
          </cell>
          <cell r="B138" t="str">
            <v>LGCME657</v>
          </cell>
          <cell r="E138">
            <v>0</v>
          </cell>
          <cell r="L138">
            <v>0</v>
          </cell>
          <cell r="M138">
            <v>0</v>
          </cell>
          <cell r="P138">
            <v>0</v>
          </cell>
          <cell r="R138">
            <v>0</v>
          </cell>
          <cell r="T138">
            <v>0</v>
          </cell>
          <cell r="U138">
            <v>0</v>
          </cell>
        </row>
        <row r="139">
          <cell r="A139" t="str">
            <v>FEB 2016</v>
          </cell>
          <cell r="B139" t="str">
            <v>LGCME671</v>
          </cell>
          <cell r="E139">
            <v>4744800</v>
          </cell>
          <cell r="L139">
            <v>0</v>
          </cell>
          <cell r="M139">
            <v>-25121</v>
          </cell>
          <cell r="P139">
            <v>0</v>
          </cell>
          <cell r="R139">
            <v>292319</v>
          </cell>
          <cell r="T139">
            <v>96330</v>
          </cell>
          <cell r="U139">
            <v>45458</v>
          </cell>
        </row>
        <row r="140">
          <cell r="A140" t="str">
            <v>FEB 2016</v>
          </cell>
          <cell r="B140" t="str">
            <v>LGCSR760</v>
          </cell>
          <cell r="E140">
            <v>0</v>
          </cell>
          <cell r="L140">
            <v>0</v>
          </cell>
          <cell r="M140">
            <v>0</v>
          </cell>
          <cell r="P140">
            <v>-286526</v>
          </cell>
          <cell r="R140">
            <v>-286526</v>
          </cell>
          <cell r="T140">
            <v>0</v>
          </cell>
          <cell r="U140">
            <v>0</v>
          </cell>
        </row>
        <row r="141">
          <cell r="A141" t="str">
            <v>FEB 2016</v>
          </cell>
          <cell r="B141" t="str">
            <v>LGCSR780</v>
          </cell>
          <cell r="E141">
            <v>0</v>
          </cell>
          <cell r="L141">
            <v>0</v>
          </cell>
          <cell r="M141">
            <v>0</v>
          </cell>
          <cell r="P141">
            <v>0</v>
          </cell>
          <cell r="R141">
            <v>0</v>
          </cell>
          <cell r="T141">
            <v>0</v>
          </cell>
          <cell r="U141">
            <v>0</v>
          </cell>
        </row>
        <row r="142">
          <cell r="A142" t="str">
            <v>FEB 2016</v>
          </cell>
          <cell r="B142" t="str">
            <v>LGINE000</v>
          </cell>
          <cell r="E142">
            <v>0</v>
          </cell>
          <cell r="L142">
            <v>0</v>
          </cell>
          <cell r="M142">
            <v>0</v>
          </cell>
          <cell r="P142">
            <v>0</v>
          </cell>
          <cell r="R142">
            <v>0</v>
          </cell>
          <cell r="T142">
            <v>0</v>
          </cell>
          <cell r="U142">
            <v>0</v>
          </cell>
        </row>
        <row r="143">
          <cell r="A143" t="str">
            <v>FEB 2016</v>
          </cell>
          <cell r="B143" t="str">
            <v>LGINE599</v>
          </cell>
          <cell r="E143">
            <v>9522500</v>
          </cell>
          <cell r="L143">
            <v>0</v>
          </cell>
          <cell r="M143">
            <v>-50416</v>
          </cell>
          <cell r="P143">
            <v>0</v>
          </cell>
          <cell r="R143">
            <v>579030</v>
          </cell>
          <cell r="T143">
            <v>182074</v>
          </cell>
          <cell r="U143">
            <v>91230</v>
          </cell>
        </row>
        <row r="144">
          <cell r="A144" t="str">
            <v>FEB 2016</v>
          </cell>
          <cell r="B144" t="str">
            <v>LGINE643</v>
          </cell>
          <cell r="E144">
            <v>56255087</v>
          </cell>
          <cell r="L144">
            <v>0</v>
          </cell>
          <cell r="M144">
            <v>-297839</v>
          </cell>
          <cell r="P144">
            <v>0</v>
          </cell>
          <cell r="R144">
            <v>3509415</v>
          </cell>
          <cell r="T144">
            <v>1228493</v>
          </cell>
          <cell r="U144">
            <v>538952</v>
          </cell>
        </row>
        <row r="145">
          <cell r="A145" t="str">
            <v>FEB 2016</v>
          </cell>
          <cell r="B145" t="str">
            <v>LGINE661</v>
          </cell>
          <cell r="E145">
            <v>17230019</v>
          </cell>
          <cell r="L145">
            <v>24556</v>
          </cell>
          <cell r="M145">
            <v>-91223</v>
          </cell>
          <cell r="P145">
            <v>0</v>
          </cell>
          <cell r="R145">
            <v>1631712</v>
          </cell>
          <cell r="T145">
            <v>814599</v>
          </cell>
          <cell r="U145">
            <v>165072</v>
          </cell>
        </row>
        <row r="146">
          <cell r="A146" t="str">
            <v>FEB 2016</v>
          </cell>
          <cell r="B146" t="str">
            <v>LGINE663</v>
          </cell>
          <cell r="E146">
            <v>963928</v>
          </cell>
          <cell r="L146">
            <v>1374</v>
          </cell>
          <cell r="M146">
            <v>-5103</v>
          </cell>
          <cell r="P146">
            <v>0</v>
          </cell>
          <cell r="R146">
            <v>90423</v>
          </cell>
          <cell r="T146">
            <v>43504</v>
          </cell>
          <cell r="U146">
            <v>9235</v>
          </cell>
        </row>
        <row r="147">
          <cell r="A147" t="str">
            <v>FEB 2016</v>
          </cell>
          <cell r="B147" t="str">
            <v>LGINE691</v>
          </cell>
          <cell r="E147">
            <v>19781342</v>
          </cell>
          <cell r="L147">
            <v>28192</v>
          </cell>
          <cell r="M147">
            <v>-104731</v>
          </cell>
          <cell r="P147">
            <v>0</v>
          </cell>
          <cell r="R147">
            <v>1654442</v>
          </cell>
          <cell r="T147">
            <v>732191</v>
          </cell>
          <cell r="U147">
            <v>189515</v>
          </cell>
        </row>
        <row r="148">
          <cell r="A148" t="str">
            <v>FEB 2016</v>
          </cell>
          <cell r="B148" t="str">
            <v>LGINE693</v>
          </cell>
          <cell r="E148">
            <v>121550529</v>
          </cell>
          <cell r="L148">
            <v>173229</v>
          </cell>
          <cell r="M148">
            <v>-643541</v>
          </cell>
          <cell r="P148">
            <v>0</v>
          </cell>
          <cell r="R148">
            <v>8590415</v>
          </cell>
          <cell r="T148">
            <v>3574454</v>
          </cell>
          <cell r="U148">
            <v>1164515</v>
          </cell>
        </row>
        <row r="149">
          <cell r="A149" t="str">
            <v>FEB 2016</v>
          </cell>
          <cell r="B149" t="str">
            <v>LGMLE570</v>
          </cell>
          <cell r="E149">
            <v>0</v>
          </cell>
          <cell r="L149">
            <v>0</v>
          </cell>
          <cell r="M149">
            <v>0</v>
          </cell>
          <cell r="P149">
            <v>0</v>
          </cell>
          <cell r="R149">
            <v>0</v>
          </cell>
          <cell r="T149">
            <v>0</v>
          </cell>
          <cell r="U149">
            <v>0</v>
          </cell>
        </row>
        <row r="150">
          <cell r="A150" t="str">
            <v>FEB 2016</v>
          </cell>
          <cell r="B150" t="str">
            <v>LGMLE571</v>
          </cell>
          <cell r="E150">
            <v>0</v>
          </cell>
          <cell r="L150">
            <v>0</v>
          </cell>
          <cell r="M150">
            <v>0</v>
          </cell>
          <cell r="P150">
            <v>0</v>
          </cell>
          <cell r="R150">
            <v>0</v>
          </cell>
          <cell r="T150">
            <v>0</v>
          </cell>
          <cell r="U150">
            <v>0</v>
          </cell>
        </row>
        <row r="151">
          <cell r="A151" t="str">
            <v>FEB 2016</v>
          </cell>
          <cell r="B151" t="str">
            <v>LGMLE572</v>
          </cell>
          <cell r="E151">
            <v>0</v>
          </cell>
          <cell r="L151">
            <v>0</v>
          </cell>
          <cell r="M151">
            <v>0</v>
          </cell>
          <cell r="P151">
            <v>0</v>
          </cell>
          <cell r="R151">
            <v>0</v>
          </cell>
          <cell r="T151">
            <v>0</v>
          </cell>
          <cell r="U151">
            <v>0</v>
          </cell>
        </row>
        <row r="152">
          <cell r="A152" t="str">
            <v>FEB 2016</v>
          </cell>
          <cell r="B152" t="str">
            <v>LGMLE573</v>
          </cell>
          <cell r="E152">
            <v>0</v>
          </cell>
          <cell r="L152">
            <v>0</v>
          </cell>
          <cell r="M152">
            <v>0</v>
          </cell>
          <cell r="P152">
            <v>0</v>
          </cell>
          <cell r="R152">
            <v>0</v>
          </cell>
          <cell r="T152">
            <v>0</v>
          </cell>
          <cell r="U152">
            <v>0</v>
          </cell>
        </row>
        <row r="153">
          <cell r="A153" t="str">
            <v>FEB 2016</v>
          </cell>
          <cell r="B153" t="str">
            <v>LGMLE574</v>
          </cell>
          <cell r="E153">
            <v>0</v>
          </cell>
          <cell r="L153">
            <v>0</v>
          </cell>
          <cell r="M153">
            <v>0</v>
          </cell>
          <cell r="P153">
            <v>0</v>
          </cell>
          <cell r="R153">
            <v>0</v>
          </cell>
          <cell r="T153">
            <v>0</v>
          </cell>
          <cell r="U153">
            <v>0</v>
          </cell>
        </row>
        <row r="154">
          <cell r="A154" t="str">
            <v>FEB 2016</v>
          </cell>
          <cell r="B154" t="str">
            <v>LGRSE000</v>
          </cell>
          <cell r="E154">
            <v>0</v>
          </cell>
          <cell r="L154">
            <v>0</v>
          </cell>
          <cell r="M154">
            <v>0</v>
          </cell>
          <cell r="P154">
            <v>0</v>
          </cell>
          <cell r="R154">
            <v>0</v>
          </cell>
          <cell r="T154">
            <v>0</v>
          </cell>
          <cell r="U154">
            <v>0</v>
          </cell>
        </row>
        <row r="155">
          <cell r="A155" t="str">
            <v>FEB 2016</v>
          </cell>
          <cell r="B155" t="str">
            <v>LGRSE411</v>
          </cell>
          <cell r="E155">
            <v>0</v>
          </cell>
          <cell r="L155">
            <v>0</v>
          </cell>
          <cell r="M155">
            <v>0</v>
          </cell>
          <cell r="P155">
            <v>0</v>
          </cell>
          <cell r="R155">
            <v>0</v>
          </cell>
          <cell r="T155">
            <v>0</v>
          </cell>
          <cell r="U155">
            <v>0</v>
          </cell>
        </row>
        <row r="156">
          <cell r="A156" t="str">
            <v>FEB 2016</v>
          </cell>
          <cell r="B156" t="str">
            <v>LGRSE511</v>
          </cell>
          <cell r="E156">
            <v>328329893</v>
          </cell>
          <cell r="L156">
            <v>467923</v>
          </cell>
          <cell r="M156">
            <v>-1738319</v>
          </cell>
          <cell r="P156">
            <v>0</v>
          </cell>
          <cell r="R156">
            <v>32280731</v>
          </cell>
          <cell r="T156">
            <v>0</v>
          </cell>
          <cell r="U156">
            <v>3145565</v>
          </cell>
        </row>
        <row r="157">
          <cell r="A157" t="str">
            <v>FEB 2016</v>
          </cell>
          <cell r="B157" t="str">
            <v>LGRSE519</v>
          </cell>
          <cell r="E157">
            <v>0</v>
          </cell>
          <cell r="L157">
            <v>0</v>
          </cell>
          <cell r="M157">
            <v>0</v>
          </cell>
          <cell r="P157">
            <v>0</v>
          </cell>
          <cell r="R157">
            <v>0</v>
          </cell>
          <cell r="T157">
            <v>0</v>
          </cell>
          <cell r="U157">
            <v>0</v>
          </cell>
        </row>
        <row r="158">
          <cell r="A158" t="str">
            <v>FEB 2016</v>
          </cell>
          <cell r="B158" t="str">
            <v>LGRSE540</v>
          </cell>
          <cell r="E158">
            <v>0</v>
          </cell>
          <cell r="L158">
            <v>0</v>
          </cell>
          <cell r="M158">
            <v>0</v>
          </cell>
          <cell r="P158">
            <v>0</v>
          </cell>
          <cell r="R158">
            <v>0</v>
          </cell>
          <cell r="T158">
            <v>0</v>
          </cell>
          <cell r="U158">
            <v>0</v>
          </cell>
        </row>
        <row r="159">
          <cell r="A159" t="str">
            <v>FEB 2016</v>
          </cell>
          <cell r="B159" t="str">
            <v>LGRSE543</v>
          </cell>
          <cell r="E159">
            <v>0</v>
          </cell>
          <cell r="L159">
            <v>0</v>
          </cell>
          <cell r="M159">
            <v>0</v>
          </cell>
          <cell r="P159">
            <v>0</v>
          </cell>
          <cell r="R159">
            <v>0</v>
          </cell>
          <cell r="T159">
            <v>0</v>
          </cell>
          <cell r="U159">
            <v>0</v>
          </cell>
        </row>
        <row r="160">
          <cell r="A160" t="str">
            <v>FEB 2016</v>
          </cell>
          <cell r="B160" t="str">
            <v>LGRSE547</v>
          </cell>
          <cell r="E160">
            <v>0</v>
          </cell>
          <cell r="L160">
            <v>0</v>
          </cell>
          <cell r="M160">
            <v>0</v>
          </cell>
          <cell r="P160">
            <v>0</v>
          </cell>
          <cell r="R160">
            <v>0</v>
          </cell>
          <cell r="T160">
            <v>0</v>
          </cell>
          <cell r="U160">
            <v>0</v>
          </cell>
        </row>
        <row r="161">
          <cell r="A161" t="str">
            <v>FEB 2016</v>
          </cell>
          <cell r="B161" t="str">
            <v>LGUM_000</v>
          </cell>
          <cell r="T161">
            <v>0</v>
          </cell>
          <cell r="U161">
            <v>0</v>
          </cell>
        </row>
        <row r="162">
          <cell r="A162" t="str">
            <v>FEB 2016</v>
          </cell>
          <cell r="B162" t="str">
            <v>LGUM_201</v>
          </cell>
          <cell r="T162">
            <v>0</v>
          </cell>
          <cell r="U162">
            <v>0</v>
          </cell>
        </row>
        <row r="163">
          <cell r="A163" t="str">
            <v>FEB 2016</v>
          </cell>
          <cell r="B163" t="str">
            <v>LGUM_203</v>
          </cell>
          <cell r="T163">
            <v>0</v>
          </cell>
          <cell r="U163">
            <v>0</v>
          </cell>
        </row>
        <row r="164">
          <cell r="A164" t="str">
            <v>FEB 2016</v>
          </cell>
          <cell r="B164" t="str">
            <v>LGUM_204</v>
          </cell>
          <cell r="T164">
            <v>0</v>
          </cell>
          <cell r="U164">
            <v>0</v>
          </cell>
        </row>
        <row r="165">
          <cell r="A165" t="str">
            <v>FEB 2016</v>
          </cell>
          <cell r="B165" t="str">
            <v>LGUM_204CU</v>
          </cell>
          <cell r="T165">
            <v>0</v>
          </cell>
          <cell r="U165">
            <v>0</v>
          </cell>
        </row>
        <row r="166">
          <cell r="A166" t="str">
            <v>FEB 2016</v>
          </cell>
          <cell r="B166" t="str">
            <v>LGUM_206</v>
          </cell>
          <cell r="T166">
            <v>0</v>
          </cell>
          <cell r="U166">
            <v>0</v>
          </cell>
        </row>
        <row r="167">
          <cell r="A167" t="str">
            <v>FEB 2016</v>
          </cell>
          <cell r="B167" t="str">
            <v>LGUM_207</v>
          </cell>
          <cell r="T167">
            <v>0</v>
          </cell>
          <cell r="U167">
            <v>0</v>
          </cell>
        </row>
        <row r="168">
          <cell r="A168" t="str">
            <v>FEB 2016</v>
          </cell>
          <cell r="B168" t="str">
            <v>LGUM_208</v>
          </cell>
          <cell r="T168">
            <v>0</v>
          </cell>
          <cell r="U168">
            <v>0</v>
          </cell>
        </row>
        <row r="169">
          <cell r="A169" t="str">
            <v>FEB 2016</v>
          </cell>
          <cell r="B169" t="str">
            <v>LGUM_209</v>
          </cell>
          <cell r="T169">
            <v>0</v>
          </cell>
          <cell r="U169">
            <v>0</v>
          </cell>
        </row>
        <row r="170">
          <cell r="A170" t="str">
            <v>FEB 2016</v>
          </cell>
          <cell r="B170" t="str">
            <v>LGUM_209CU</v>
          </cell>
          <cell r="T170">
            <v>0</v>
          </cell>
          <cell r="U170">
            <v>0</v>
          </cell>
        </row>
        <row r="171">
          <cell r="A171" t="str">
            <v>FEB 2016</v>
          </cell>
          <cell r="B171" t="str">
            <v>LGUM_210</v>
          </cell>
          <cell r="T171">
            <v>0</v>
          </cell>
          <cell r="U171">
            <v>0</v>
          </cell>
        </row>
        <row r="172">
          <cell r="A172" t="str">
            <v>FEB 2016</v>
          </cell>
          <cell r="B172" t="str">
            <v>LGUM_252</v>
          </cell>
          <cell r="T172">
            <v>0</v>
          </cell>
          <cell r="U172">
            <v>0</v>
          </cell>
        </row>
        <row r="173">
          <cell r="A173" t="str">
            <v>FEB 2016</v>
          </cell>
          <cell r="B173" t="str">
            <v>LGUM_266</v>
          </cell>
          <cell r="T173">
            <v>0</v>
          </cell>
          <cell r="U173">
            <v>0</v>
          </cell>
        </row>
        <row r="174">
          <cell r="A174" t="str">
            <v>FEB 2016</v>
          </cell>
          <cell r="B174" t="str">
            <v>LGUM_267</v>
          </cell>
          <cell r="T174">
            <v>0</v>
          </cell>
          <cell r="U174">
            <v>0</v>
          </cell>
        </row>
        <row r="175">
          <cell r="A175" t="str">
            <v>FEB 2016</v>
          </cell>
          <cell r="B175" t="str">
            <v>LGUM_274</v>
          </cell>
          <cell r="T175">
            <v>0</v>
          </cell>
          <cell r="U175">
            <v>0</v>
          </cell>
        </row>
        <row r="176">
          <cell r="A176" t="str">
            <v>FEB 2016</v>
          </cell>
          <cell r="B176" t="str">
            <v>LGUM_275</v>
          </cell>
          <cell r="T176">
            <v>0</v>
          </cell>
          <cell r="U176">
            <v>0</v>
          </cell>
        </row>
        <row r="177">
          <cell r="A177" t="str">
            <v>FEB 2016</v>
          </cell>
          <cell r="B177" t="str">
            <v>LGUM_276</v>
          </cell>
          <cell r="T177">
            <v>0</v>
          </cell>
          <cell r="U177">
            <v>0</v>
          </cell>
        </row>
        <row r="178">
          <cell r="A178" t="str">
            <v>FEB 2016</v>
          </cell>
          <cell r="B178" t="str">
            <v>LGUM_277</v>
          </cell>
          <cell r="T178">
            <v>0</v>
          </cell>
          <cell r="U178">
            <v>0</v>
          </cell>
        </row>
        <row r="179">
          <cell r="A179" t="str">
            <v>FEB 2016</v>
          </cell>
          <cell r="B179" t="str">
            <v>LGUM_278</v>
          </cell>
          <cell r="T179">
            <v>0</v>
          </cell>
          <cell r="U179">
            <v>0</v>
          </cell>
        </row>
        <row r="180">
          <cell r="A180" t="str">
            <v>FEB 2016</v>
          </cell>
          <cell r="B180" t="str">
            <v>LGUM_279</v>
          </cell>
          <cell r="T180">
            <v>0</v>
          </cell>
          <cell r="U180">
            <v>0</v>
          </cell>
        </row>
        <row r="181">
          <cell r="A181" t="str">
            <v>FEB 2016</v>
          </cell>
          <cell r="B181" t="str">
            <v>LGUM_280</v>
          </cell>
          <cell r="T181">
            <v>0</v>
          </cell>
          <cell r="U181">
            <v>0</v>
          </cell>
        </row>
        <row r="182">
          <cell r="A182" t="str">
            <v>FEB 2016</v>
          </cell>
          <cell r="B182" t="str">
            <v>LGUM_281</v>
          </cell>
          <cell r="T182">
            <v>0</v>
          </cell>
          <cell r="U182">
            <v>0</v>
          </cell>
        </row>
        <row r="183">
          <cell r="A183" t="str">
            <v>FEB 2016</v>
          </cell>
          <cell r="B183" t="str">
            <v>LGUM_282</v>
          </cell>
          <cell r="T183">
            <v>0</v>
          </cell>
          <cell r="U183">
            <v>0</v>
          </cell>
        </row>
        <row r="184">
          <cell r="A184" t="str">
            <v>FEB 2016</v>
          </cell>
          <cell r="B184" t="str">
            <v>LGUM_283</v>
          </cell>
          <cell r="T184">
            <v>0</v>
          </cell>
          <cell r="U184">
            <v>0</v>
          </cell>
        </row>
        <row r="185">
          <cell r="A185" t="str">
            <v>FEB 2016</v>
          </cell>
          <cell r="B185" t="str">
            <v>LGUM_314</v>
          </cell>
          <cell r="T185">
            <v>0</v>
          </cell>
          <cell r="U185">
            <v>0</v>
          </cell>
        </row>
        <row r="186">
          <cell r="A186" t="str">
            <v>FEB 2016</v>
          </cell>
          <cell r="B186" t="str">
            <v>LGUM_315</v>
          </cell>
          <cell r="T186">
            <v>0</v>
          </cell>
          <cell r="U186">
            <v>0</v>
          </cell>
        </row>
        <row r="187">
          <cell r="A187" t="str">
            <v>FEB 2016</v>
          </cell>
          <cell r="B187" t="str">
            <v>LGUM_318</v>
          </cell>
          <cell r="T187">
            <v>0</v>
          </cell>
          <cell r="U187">
            <v>0</v>
          </cell>
        </row>
        <row r="188">
          <cell r="A188" t="str">
            <v>FEB 2016</v>
          </cell>
          <cell r="B188" t="str">
            <v>LGUM_348</v>
          </cell>
          <cell r="T188">
            <v>0</v>
          </cell>
          <cell r="U188">
            <v>0</v>
          </cell>
        </row>
        <row r="189">
          <cell r="A189" t="str">
            <v>FEB 2016</v>
          </cell>
          <cell r="B189" t="str">
            <v>LGUM_349</v>
          </cell>
          <cell r="T189">
            <v>0</v>
          </cell>
          <cell r="U189">
            <v>0</v>
          </cell>
        </row>
        <row r="190">
          <cell r="A190" t="str">
            <v>FEB 2016</v>
          </cell>
          <cell r="B190" t="str">
            <v>LGUM_400</v>
          </cell>
          <cell r="T190">
            <v>0</v>
          </cell>
          <cell r="U190">
            <v>0</v>
          </cell>
        </row>
        <row r="191">
          <cell r="A191" t="str">
            <v>FEB 2016</v>
          </cell>
          <cell r="B191" t="str">
            <v>LGUM_401</v>
          </cell>
          <cell r="T191">
            <v>0</v>
          </cell>
          <cell r="U191">
            <v>0</v>
          </cell>
        </row>
        <row r="192">
          <cell r="A192" t="str">
            <v>FEB 2016</v>
          </cell>
          <cell r="B192" t="str">
            <v>LGUM_412</v>
          </cell>
          <cell r="T192">
            <v>0</v>
          </cell>
          <cell r="U192">
            <v>0</v>
          </cell>
        </row>
        <row r="193">
          <cell r="A193" t="str">
            <v>FEB 2016</v>
          </cell>
          <cell r="B193" t="str">
            <v>LGUM_413</v>
          </cell>
          <cell r="T193">
            <v>0</v>
          </cell>
          <cell r="U193">
            <v>0</v>
          </cell>
        </row>
        <row r="194">
          <cell r="A194" t="str">
            <v>FEB 2016</v>
          </cell>
          <cell r="B194" t="str">
            <v>LGUM_415</v>
          </cell>
          <cell r="T194">
            <v>0</v>
          </cell>
          <cell r="U194">
            <v>0</v>
          </cell>
        </row>
        <row r="195">
          <cell r="A195" t="str">
            <v>FEB 2016</v>
          </cell>
          <cell r="B195" t="str">
            <v>LGUM_416</v>
          </cell>
          <cell r="T195">
            <v>0</v>
          </cell>
          <cell r="U195">
            <v>0</v>
          </cell>
        </row>
        <row r="196">
          <cell r="A196" t="str">
            <v>FEB 2016</v>
          </cell>
          <cell r="B196" t="str">
            <v>LGUM_417</v>
          </cell>
          <cell r="T196">
            <v>0</v>
          </cell>
          <cell r="U196">
            <v>0</v>
          </cell>
        </row>
        <row r="197">
          <cell r="A197" t="str">
            <v>FEB 2016</v>
          </cell>
          <cell r="B197" t="str">
            <v>LGUM_419</v>
          </cell>
          <cell r="T197">
            <v>0</v>
          </cell>
          <cell r="U197">
            <v>0</v>
          </cell>
        </row>
        <row r="198">
          <cell r="A198" t="str">
            <v>FEB 2016</v>
          </cell>
          <cell r="B198" t="str">
            <v>LGUM_420</v>
          </cell>
          <cell r="T198">
            <v>0</v>
          </cell>
          <cell r="U198">
            <v>0</v>
          </cell>
        </row>
        <row r="199">
          <cell r="A199" t="str">
            <v>FEB 2016</v>
          </cell>
          <cell r="B199" t="str">
            <v>LGUM_421</v>
          </cell>
          <cell r="T199">
            <v>0</v>
          </cell>
          <cell r="U199">
            <v>0</v>
          </cell>
        </row>
        <row r="200">
          <cell r="A200" t="str">
            <v>FEB 2016</v>
          </cell>
          <cell r="B200" t="str">
            <v>LGUM_422</v>
          </cell>
          <cell r="T200">
            <v>0</v>
          </cell>
          <cell r="U200">
            <v>0</v>
          </cell>
        </row>
        <row r="201">
          <cell r="A201" t="str">
            <v>FEB 2016</v>
          </cell>
          <cell r="B201" t="str">
            <v>LGUM_423</v>
          </cell>
          <cell r="T201">
            <v>0</v>
          </cell>
          <cell r="U201">
            <v>0</v>
          </cell>
        </row>
        <row r="202">
          <cell r="A202" t="str">
            <v>FEB 2016</v>
          </cell>
          <cell r="B202" t="str">
            <v>LGUM_424</v>
          </cell>
          <cell r="T202">
            <v>0</v>
          </cell>
          <cell r="U202">
            <v>0</v>
          </cell>
        </row>
        <row r="203">
          <cell r="A203" t="str">
            <v>FEB 2016</v>
          </cell>
          <cell r="B203" t="str">
            <v>LGUM_425</v>
          </cell>
          <cell r="T203">
            <v>0</v>
          </cell>
          <cell r="U203">
            <v>0</v>
          </cell>
        </row>
        <row r="204">
          <cell r="A204" t="str">
            <v>FEB 2016</v>
          </cell>
          <cell r="B204" t="str">
            <v>LGUM_426</v>
          </cell>
          <cell r="T204">
            <v>0</v>
          </cell>
          <cell r="U204">
            <v>0</v>
          </cell>
        </row>
        <row r="205">
          <cell r="A205" t="str">
            <v>FEB 2016</v>
          </cell>
          <cell r="B205" t="str">
            <v>LGUM_427</v>
          </cell>
          <cell r="T205">
            <v>0</v>
          </cell>
          <cell r="U205">
            <v>0</v>
          </cell>
        </row>
        <row r="206">
          <cell r="A206" t="str">
            <v>FEB 2016</v>
          </cell>
          <cell r="B206" t="str">
            <v>LGUM_428</v>
          </cell>
          <cell r="T206">
            <v>0</v>
          </cell>
          <cell r="U206">
            <v>0</v>
          </cell>
        </row>
        <row r="207">
          <cell r="A207" t="str">
            <v>FEB 2016</v>
          </cell>
          <cell r="B207" t="str">
            <v>LGUM_429</v>
          </cell>
          <cell r="T207">
            <v>0</v>
          </cell>
          <cell r="U207">
            <v>0</v>
          </cell>
        </row>
        <row r="208">
          <cell r="A208" t="str">
            <v>FEB 2016</v>
          </cell>
          <cell r="B208" t="str">
            <v>LGUM_430</v>
          </cell>
          <cell r="T208">
            <v>0</v>
          </cell>
          <cell r="U208">
            <v>0</v>
          </cell>
        </row>
        <row r="209">
          <cell r="A209" t="str">
            <v>FEB 2016</v>
          </cell>
          <cell r="B209" t="str">
            <v>LGUM_431</v>
          </cell>
          <cell r="T209">
            <v>0</v>
          </cell>
          <cell r="U209">
            <v>0</v>
          </cell>
        </row>
        <row r="210">
          <cell r="A210" t="str">
            <v>FEB 2016</v>
          </cell>
          <cell r="B210" t="str">
            <v>LGUM_432</v>
          </cell>
          <cell r="T210">
            <v>0</v>
          </cell>
          <cell r="U210">
            <v>0</v>
          </cell>
        </row>
        <row r="211">
          <cell r="A211" t="str">
            <v>FEB 2016</v>
          </cell>
          <cell r="B211" t="str">
            <v>LGUM_433</v>
          </cell>
          <cell r="T211">
            <v>0</v>
          </cell>
          <cell r="U211">
            <v>0</v>
          </cell>
        </row>
        <row r="212">
          <cell r="A212" t="str">
            <v>FEB 2016</v>
          </cell>
          <cell r="B212" t="str">
            <v>LGUM_440</v>
          </cell>
          <cell r="T212">
            <v>0</v>
          </cell>
          <cell r="U212">
            <v>0</v>
          </cell>
        </row>
        <row r="213">
          <cell r="A213" t="str">
            <v>FEB 2016</v>
          </cell>
          <cell r="B213" t="str">
            <v>LGUM_441</v>
          </cell>
          <cell r="T213">
            <v>0</v>
          </cell>
          <cell r="U213">
            <v>0</v>
          </cell>
        </row>
        <row r="214">
          <cell r="A214" t="str">
            <v>FEB 2016</v>
          </cell>
          <cell r="B214" t="str">
            <v>LGUM_452</v>
          </cell>
          <cell r="T214">
            <v>0</v>
          </cell>
          <cell r="U214">
            <v>0</v>
          </cell>
        </row>
        <row r="215">
          <cell r="A215" t="str">
            <v>FEB 2016</v>
          </cell>
          <cell r="B215" t="str">
            <v>LGUM_452CU</v>
          </cell>
          <cell r="T215">
            <v>0</v>
          </cell>
          <cell r="U215">
            <v>0</v>
          </cell>
        </row>
        <row r="216">
          <cell r="A216" t="str">
            <v>FEB 2016</v>
          </cell>
          <cell r="B216" t="str">
            <v>LGUM_453</v>
          </cell>
          <cell r="T216">
            <v>0</v>
          </cell>
          <cell r="U216">
            <v>0</v>
          </cell>
        </row>
        <row r="217">
          <cell r="A217" t="str">
            <v>FEB 2016</v>
          </cell>
          <cell r="B217" t="str">
            <v>LGUM_453CU</v>
          </cell>
          <cell r="T217">
            <v>0</v>
          </cell>
          <cell r="U217">
            <v>0</v>
          </cell>
        </row>
        <row r="218">
          <cell r="A218" t="str">
            <v>FEB 2016</v>
          </cell>
          <cell r="B218" t="str">
            <v>LGUM_454</v>
          </cell>
          <cell r="T218">
            <v>0</v>
          </cell>
          <cell r="U218">
            <v>0</v>
          </cell>
        </row>
        <row r="219">
          <cell r="A219" t="str">
            <v>FEB 2016</v>
          </cell>
          <cell r="B219" t="str">
            <v>LGUM_454CU</v>
          </cell>
          <cell r="T219">
            <v>0</v>
          </cell>
          <cell r="U219">
            <v>0</v>
          </cell>
        </row>
        <row r="220">
          <cell r="A220" t="str">
            <v>FEB 2016</v>
          </cell>
          <cell r="B220" t="str">
            <v>LGUM_455</v>
          </cell>
          <cell r="T220">
            <v>0</v>
          </cell>
          <cell r="U220">
            <v>0</v>
          </cell>
        </row>
        <row r="221">
          <cell r="A221" t="str">
            <v>FEB 2016</v>
          </cell>
          <cell r="B221" t="str">
            <v>LGUM_456</v>
          </cell>
          <cell r="T221">
            <v>0</v>
          </cell>
          <cell r="U221">
            <v>0</v>
          </cell>
        </row>
        <row r="222">
          <cell r="A222" t="str">
            <v>FEB 2016</v>
          </cell>
          <cell r="B222" t="str">
            <v>LGUM_456CU</v>
          </cell>
          <cell r="T222">
            <v>0</v>
          </cell>
          <cell r="U222">
            <v>0</v>
          </cell>
        </row>
        <row r="223">
          <cell r="A223" t="str">
            <v>FEB 2016</v>
          </cell>
          <cell r="B223" t="str">
            <v>LGUM_457</v>
          </cell>
          <cell r="T223">
            <v>0</v>
          </cell>
          <cell r="U223">
            <v>0</v>
          </cell>
        </row>
        <row r="224">
          <cell r="A224" t="str">
            <v>FEB 2016</v>
          </cell>
          <cell r="B224" t="str">
            <v>LGUM_458</v>
          </cell>
          <cell r="T224">
            <v>0</v>
          </cell>
          <cell r="U224">
            <v>0</v>
          </cell>
        </row>
        <row r="225">
          <cell r="A225" t="str">
            <v>FEB 2016</v>
          </cell>
          <cell r="B225" t="str">
            <v>LGUM_470</v>
          </cell>
          <cell r="T225">
            <v>0</v>
          </cell>
          <cell r="U225">
            <v>0</v>
          </cell>
        </row>
        <row r="226">
          <cell r="A226" t="str">
            <v>FEB 2016</v>
          </cell>
          <cell r="B226" t="str">
            <v>LGUM_471</v>
          </cell>
          <cell r="T226">
            <v>0</v>
          </cell>
          <cell r="U226">
            <v>0</v>
          </cell>
        </row>
        <row r="227">
          <cell r="A227" t="str">
            <v>FEB 2016</v>
          </cell>
          <cell r="B227" t="str">
            <v>LGUM_473</v>
          </cell>
          <cell r="T227">
            <v>0</v>
          </cell>
          <cell r="U227">
            <v>0</v>
          </cell>
        </row>
        <row r="228">
          <cell r="A228" t="str">
            <v>FEB 2016</v>
          </cell>
          <cell r="B228" t="str">
            <v>LGUM_474</v>
          </cell>
          <cell r="T228">
            <v>0</v>
          </cell>
          <cell r="U228">
            <v>0</v>
          </cell>
        </row>
        <row r="229">
          <cell r="A229" t="str">
            <v>FEB 2016</v>
          </cell>
          <cell r="B229" t="str">
            <v>LGUM_475</v>
          </cell>
          <cell r="T229">
            <v>0</v>
          </cell>
          <cell r="U229">
            <v>0</v>
          </cell>
        </row>
        <row r="230">
          <cell r="A230" t="str">
            <v>FEB 2016</v>
          </cell>
          <cell r="B230" t="str">
            <v>LGUM_476</v>
          </cell>
          <cell r="T230">
            <v>0</v>
          </cell>
          <cell r="U230">
            <v>0</v>
          </cell>
        </row>
        <row r="231">
          <cell r="A231" t="str">
            <v>FEB 2016</v>
          </cell>
          <cell r="B231" t="str">
            <v>LGUM_477</v>
          </cell>
          <cell r="T231">
            <v>0</v>
          </cell>
          <cell r="U231">
            <v>0</v>
          </cell>
        </row>
        <row r="232">
          <cell r="A232" t="str">
            <v>FEB 2016</v>
          </cell>
          <cell r="B232" t="str">
            <v>LGUM_480</v>
          </cell>
          <cell r="T232">
            <v>0</v>
          </cell>
          <cell r="U232">
            <v>0</v>
          </cell>
        </row>
        <row r="233">
          <cell r="A233" t="str">
            <v>FEB 2016</v>
          </cell>
          <cell r="B233" t="str">
            <v>LGUM_481</v>
          </cell>
          <cell r="T233">
            <v>0</v>
          </cell>
          <cell r="U233">
            <v>0</v>
          </cell>
        </row>
        <row r="234">
          <cell r="A234" t="str">
            <v>FEB 2016</v>
          </cell>
          <cell r="B234" t="str">
            <v>LGUM_482</v>
          </cell>
          <cell r="T234">
            <v>0</v>
          </cell>
          <cell r="U234">
            <v>0</v>
          </cell>
        </row>
        <row r="235">
          <cell r="A235" t="str">
            <v>FEB 2016</v>
          </cell>
          <cell r="B235" t="str">
            <v>LGUM_483</v>
          </cell>
          <cell r="T235">
            <v>0</v>
          </cell>
          <cell r="U235">
            <v>0</v>
          </cell>
        </row>
        <row r="236">
          <cell r="A236" t="str">
            <v>FEB 2016</v>
          </cell>
          <cell r="B236" t="str">
            <v>LGUM_484</v>
          </cell>
          <cell r="T236">
            <v>0</v>
          </cell>
          <cell r="U236">
            <v>0</v>
          </cell>
        </row>
        <row r="237">
          <cell r="A237" t="str">
            <v>FEB 2016</v>
          </cell>
          <cell r="B237" t="str">
            <v>Result</v>
          </cell>
          <cell r="T237">
            <v>0</v>
          </cell>
          <cell r="U237">
            <v>0</v>
          </cell>
        </row>
        <row r="238">
          <cell r="A238" t="str">
            <v>MAR 2016</v>
          </cell>
          <cell r="B238" t="str">
            <v>LEUM_826</v>
          </cell>
          <cell r="T238">
            <v>0</v>
          </cell>
          <cell r="U238">
            <v>0</v>
          </cell>
        </row>
        <row r="239">
          <cell r="A239" t="str">
            <v>MAR 2016</v>
          </cell>
          <cell r="B239" t="str">
            <v>LEUM_826</v>
          </cell>
          <cell r="T239">
            <v>0</v>
          </cell>
          <cell r="U239">
            <v>0</v>
          </cell>
        </row>
        <row r="240">
          <cell r="A240" t="str">
            <v>MAR 2016</v>
          </cell>
          <cell r="B240" t="str">
            <v>ODL</v>
          </cell>
          <cell r="E240">
            <v>12095163</v>
          </cell>
          <cell r="L240">
            <v>0</v>
          </cell>
          <cell r="M240">
            <v>-17056</v>
          </cell>
          <cell r="P240">
            <v>0</v>
          </cell>
          <cell r="R240">
            <v>1639553</v>
          </cell>
          <cell r="T240">
            <v>0</v>
          </cell>
          <cell r="U240">
            <v>125413</v>
          </cell>
        </row>
        <row r="241">
          <cell r="A241" t="str">
            <v>MAR 2016</v>
          </cell>
          <cell r="B241" t="str">
            <v>LEUM_829</v>
          </cell>
          <cell r="E241">
            <v>0</v>
          </cell>
          <cell r="L241">
            <v>0</v>
          </cell>
          <cell r="M241">
            <v>0</v>
          </cell>
          <cell r="P241">
            <v>0</v>
          </cell>
          <cell r="R241">
            <v>0</v>
          </cell>
          <cell r="T241">
            <v>0</v>
          </cell>
          <cell r="U241">
            <v>0</v>
          </cell>
        </row>
        <row r="242">
          <cell r="A242" t="str">
            <v>MAR 2016</v>
          </cell>
          <cell r="B242" t="str">
            <v>LGCME000</v>
          </cell>
          <cell r="E242">
            <v>0</v>
          </cell>
          <cell r="L242">
            <v>0</v>
          </cell>
          <cell r="M242">
            <v>0</v>
          </cell>
          <cell r="P242">
            <v>0</v>
          </cell>
          <cell r="R242">
            <v>0</v>
          </cell>
          <cell r="T242">
            <v>0</v>
          </cell>
          <cell r="U242">
            <v>0</v>
          </cell>
        </row>
        <row r="243">
          <cell r="A243" t="str">
            <v>MAR 2016</v>
          </cell>
          <cell r="B243" t="str">
            <v>LGCME451</v>
          </cell>
          <cell r="E243">
            <v>0</v>
          </cell>
          <cell r="L243">
            <v>0</v>
          </cell>
          <cell r="M243">
            <v>0</v>
          </cell>
          <cell r="P243">
            <v>0</v>
          </cell>
          <cell r="R243">
            <v>0</v>
          </cell>
          <cell r="T243">
            <v>0</v>
          </cell>
          <cell r="U243">
            <v>0</v>
          </cell>
        </row>
        <row r="244">
          <cell r="A244" t="str">
            <v>MAR 2016</v>
          </cell>
          <cell r="B244" t="str">
            <v>LGCME551</v>
          </cell>
          <cell r="E244">
            <v>29862341</v>
          </cell>
          <cell r="L244">
            <v>50362</v>
          </cell>
          <cell r="M244">
            <v>-42112</v>
          </cell>
          <cell r="P244">
            <v>0</v>
          </cell>
          <cell r="R244">
            <v>3610351</v>
          </cell>
          <cell r="T244">
            <v>0</v>
          </cell>
          <cell r="U244">
            <v>309639</v>
          </cell>
        </row>
        <row r="245">
          <cell r="A245" t="str">
            <v>MAR 2016</v>
          </cell>
          <cell r="B245" t="str">
            <v>LGCME551UM</v>
          </cell>
          <cell r="E245">
            <v>0</v>
          </cell>
          <cell r="L245">
            <v>0</v>
          </cell>
          <cell r="M245">
            <v>0</v>
          </cell>
          <cell r="P245">
            <v>0</v>
          </cell>
          <cell r="R245">
            <v>0</v>
          </cell>
          <cell r="T245">
            <v>0</v>
          </cell>
          <cell r="U245">
            <v>0</v>
          </cell>
        </row>
        <row r="246">
          <cell r="A246" t="str">
            <v>MAR 2016</v>
          </cell>
          <cell r="B246" t="str">
            <v>LGCME552</v>
          </cell>
          <cell r="E246">
            <v>0</v>
          </cell>
          <cell r="L246">
            <v>0</v>
          </cell>
          <cell r="M246">
            <v>0</v>
          </cell>
          <cell r="P246">
            <v>0</v>
          </cell>
          <cell r="R246">
            <v>0</v>
          </cell>
          <cell r="T246">
            <v>0</v>
          </cell>
          <cell r="U246">
            <v>0</v>
          </cell>
        </row>
        <row r="247">
          <cell r="A247" t="str">
            <v>MAR 2016</v>
          </cell>
          <cell r="B247" t="str">
            <v>LGCME557</v>
          </cell>
          <cell r="E247">
            <v>0</v>
          </cell>
          <cell r="L247">
            <v>0</v>
          </cell>
          <cell r="M247">
            <v>0</v>
          </cell>
          <cell r="P247">
            <v>0</v>
          </cell>
          <cell r="R247">
            <v>0</v>
          </cell>
          <cell r="T247">
            <v>0</v>
          </cell>
          <cell r="U247">
            <v>0</v>
          </cell>
        </row>
        <row r="248">
          <cell r="A248" t="str">
            <v>MAR 2016</v>
          </cell>
          <cell r="B248" t="str">
            <v>LGCME561</v>
          </cell>
          <cell r="E248">
            <v>130807807</v>
          </cell>
          <cell r="L248">
            <v>220606</v>
          </cell>
          <cell r="M248">
            <v>-184464</v>
          </cell>
          <cell r="P248">
            <v>0</v>
          </cell>
          <cell r="R248">
            <v>11550573</v>
          </cell>
          <cell r="T248">
            <v>4614655</v>
          </cell>
          <cell r="U248">
            <v>1356328</v>
          </cell>
        </row>
        <row r="249">
          <cell r="A249" t="str">
            <v>MAR 2016</v>
          </cell>
          <cell r="B249" t="str">
            <v>LGCME563</v>
          </cell>
          <cell r="E249">
            <v>10824710</v>
          </cell>
          <cell r="L249">
            <v>18256</v>
          </cell>
          <cell r="M249">
            <v>-15265</v>
          </cell>
          <cell r="P249">
            <v>0</v>
          </cell>
          <cell r="R249">
            <v>859782</v>
          </cell>
          <cell r="T249">
            <v>310734</v>
          </cell>
          <cell r="U249">
            <v>112240</v>
          </cell>
        </row>
        <row r="250">
          <cell r="A250" t="str">
            <v>MAR 2016</v>
          </cell>
          <cell r="B250" t="str">
            <v>LGCME567</v>
          </cell>
          <cell r="E250">
            <v>0</v>
          </cell>
          <cell r="L250">
            <v>0</v>
          </cell>
          <cell r="M250">
            <v>0</v>
          </cell>
          <cell r="P250">
            <v>0</v>
          </cell>
          <cell r="R250">
            <v>0</v>
          </cell>
          <cell r="T250">
            <v>0</v>
          </cell>
          <cell r="U250">
            <v>0</v>
          </cell>
        </row>
        <row r="251">
          <cell r="A251" t="str">
            <v>MAR 2016</v>
          </cell>
          <cell r="B251" t="str">
            <v>LGCME591</v>
          </cell>
          <cell r="E251">
            <v>57508342</v>
          </cell>
          <cell r="L251">
            <v>96987</v>
          </cell>
          <cell r="M251">
            <v>-81098</v>
          </cell>
          <cell r="P251">
            <v>0</v>
          </cell>
          <cell r="R251">
            <v>4736280</v>
          </cell>
          <cell r="T251">
            <v>1784711</v>
          </cell>
          <cell r="U251">
            <v>596296</v>
          </cell>
        </row>
        <row r="252">
          <cell r="A252" t="str">
            <v>MAR 2016</v>
          </cell>
          <cell r="B252" t="str">
            <v>LGCME593</v>
          </cell>
          <cell r="E252">
            <v>27203323</v>
          </cell>
          <cell r="L252">
            <v>45878</v>
          </cell>
          <cell r="M252">
            <v>-38362</v>
          </cell>
          <cell r="P252">
            <v>0</v>
          </cell>
          <cell r="R252">
            <v>2188968</v>
          </cell>
          <cell r="T252">
            <v>850938</v>
          </cell>
          <cell r="U252">
            <v>282068</v>
          </cell>
        </row>
        <row r="253">
          <cell r="A253" t="str">
            <v>MAR 2016</v>
          </cell>
          <cell r="B253" t="str">
            <v>LGCME651</v>
          </cell>
          <cell r="E253">
            <v>76141682</v>
          </cell>
          <cell r="L253">
            <v>128412</v>
          </cell>
          <cell r="M253">
            <v>-107374</v>
          </cell>
          <cell r="P253">
            <v>0</v>
          </cell>
          <cell r="R253">
            <v>8339260</v>
          </cell>
          <cell r="T253">
            <v>0</v>
          </cell>
          <cell r="U253">
            <v>789503</v>
          </cell>
        </row>
        <row r="254">
          <cell r="A254" t="str">
            <v>MAR 2016</v>
          </cell>
          <cell r="B254" t="str">
            <v>LGCME652</v>
          </cell>
          <cell r="E254">
            <v>0</v>
          </cell>
          <cell r="L254">
            <v>0</v>
          </cell>
          <cell r="M254">
            <v>0</v>
          </cell>
          <cell r="P254">
            <v>0</v>
          </cell>
          <cell r="R254">
            <v>0</v>
          </cell>
          <cell r="T254">
            <v>0</v>
          </cell>
          <cell r="U254">
            <v>0</v>
          </cell>
        </row>
        <row r="255">
          <cell r="A255" t="str">
            <v>MAR 2016</v>
          </cell>
          <cell r="B255" t="str">
            <v>LGCME657</v>
          </cell>
          <cell r="E255">
            <v>0</v>
          </cell>
          <cell r="L255">
            <v>0</v>
          </cell>
          <cell r="M255">
            <v>0</v>
          </cell>
          <cell r="P255">
            <v>0</v>
          </cell>
          <cell r="R255">
            <v>0</v>
          </cell>
          <cell r="T255">
            <v>0</v>
          </cell>
          <cell r="U255">
            <v>0</v>
          </cell>
        </row>
        <row r="256">
          <cell r="A256" t="str">
            <v>MAR 2016</v>
          </cell>
          <cell r="B256" t="str">
            <v>LGCME671</v>
          </cell>
          <cell r="E256">
            <v>4351200</v>
          </cell>
          <cell r="L256">
            <v>0</v>
          </cell>
          <cell r="M256">
            <v>-6136</v>
          </cell>
          <cell r="P256">
            <v>0</v>
          </cell>
          <cell r="R256">
            <v>296392</v>
          </cell>
          <cell r="T256">
            <v>96330</v>
          </cell>
          <cell r="U256">
            <v>45117</v>
          </cell>
        </row>
        <row r="257">
          <cell r="A257" t="str">
            <v>MAR 2016</v>
          </cell>
          <cell r="B257" t="str">
            <v>LGCSR760</v>
          </cell>
          <cell r="E257">
            <v>0</v>
          </cell>
          <cell r="L257">
            <v>0</v>
          </cell>
          <cell r="M257">
            <v>0</v>
          </cell>
          <cell r="P257">
            <v>-286526</v>
          </cell>
          <cell r="R257">
            <v>-286526</v>
          </cell>
          <cell r="T257">
            <v>0</v>
          </cell>
          <cell r="U257">
            <v>0</v>
          </cell>
        </row>
        <row r="258">
          <cell r="A258" t="str">
            <v>MAR 2016</v>
          </cell>
          <cell r="B258" t="str">
            <v>LGCSR780</v>
          </cell>
          <cell r="E258">
            <v>0</v>
          </cell>
          <cell r="L258">
            <v>0</v>
          </cell>
          <cell r="M258">
            <v>0</v>
          </cell>
          <cell r="P258">
            <v>0</v>
          </cell>
          <cell r="R258">
            <v>0</v>
          </cell>
          <cell r="T258">
            <v>0</v>
          </cell>
          <cell r="U258">
            <v>0</v>
          </cell>
        </row>
        <row r="259">
          <cell r="A259" t="str">
            <v>MAR 2016</v>
          </cell>
          <cell r="B259" t="str">
            <v>LGINE000</v>
          </cell>
          <cell r="E259">
            <v>0</v>
          </cell>
          <cell r="L259">
            <v>0</v>
          </cell>
          <cell r="M259">
            <v>0</v>
          </cell>
          <cell r="P259">
            <v>0</v>
          </cell>
          <cell r="R259">
            <v>0</v>
          </cell>
          <cell r="T259">
            <v>0</v>
          </cell>
          <cell r="U259">
            <v>0</v>
          </cell>
        </row>
        <row r="260">
          <cell r="A260" t="str">
            <v>MAR 2016</v>
          </cell>
          <cell r="B260" t="str">
            <v>LGINE599</v>
          </cell>
          <cell r="E260">
            <v>9371000</v>
          </cell>
          <cell r="L260">
            <v>0</v>
          </cell>
          <cell r="M260">
            <v>-13215</v>
          </cell>
          <cell r="P260">
            <v>0</v>
          </cell>
          <cell r="R260">
            <v>596658</v>
          </cell>
          <cell r="T260">
            <v>162231</v>
          </cell>
          <cell r="U260">
            <v>97167</v>
          </cell>
        </row>
        <row r="261">
          <cell r="A261" t="str">
            <v>MAR 2016</v>
          </cell>
          <cell r="B261" t="str">
            <v>LGINE643</v>
          </cell>
          <cell r="E261">
            <v>68950546</v>
          </cell>
          <cell r="L261">
            <v>0</v>
          </cell>
          <cell r="M261">
            <v>-97233</v>
          </cell>
          <cell r="P261">
            <v>0</v>
          </cell>
          <cell r="R261">
            <v>4422843</v>
          </cell>
          <cell r="T261">
            <v>1307023</v>
          </cell>
          <cell r="U261">
            <v>714939</v>
          </cell>
        </row>
        <row r="262">
          <cell r="A262" t="str">
            <v>MAR 2016</v>
          </cell>
          <cell r="B262" t="str">
            <v>LGINE661</v>
          </cell>
          <cell r="E262">
            <v>18186183</v>
          </cell>
          <cell r="L262">
            <v>30671</v>
          </cell>
          <cell r="M262">
            <v>-25646</v>
          </cell>
          <cell r="P262">
            <v>0</v>
          </cell>
          <cell r="R262">
            <v>1764992</v>
          </cell>
          <cell r="T262">
            <v>813958</v>
          </cell>
          <cell r="U262">
            <v>188570</v>
          </cell>
        </row>
        <row r="263">
          <cell r="A263" t="str">
            <v>MAR 2016</v>
          </cell>
          <cell r="B263" t="str">
            <v>LGINE663</v>
          </cell>
          <cell r="E263">
            <v>1034858</v>
          </cell>
          <cell r="L263">
            <v>1745</v>
          </cell>
          <cell r="M263">
            <v>-1459</v>
          </cell>
          <cell r="P263">
            <v>0</v>
          </cell>
          <cell r="R263">
            <v>99624</v>
          </cell>
          <cell r="T263">
            <v>44409</v>
          </cell>
          <cell r="U263">
            <v>10730</v>
          </cell>
        </row>
        <row r="264">
          <cell r="A264" t="str">
            <v>MAR 2016</v>
          </cell>
          <cell r="B264" t="str">
            <v>LGINE691</v>
          </cell>
          <cell r="E264">
            <v>20709793</v>
          </cell>
          <cell r="L264">
            <v>34927</v>
          </cell>
          <cell r="M264">
            <v>-29205</v>
          </cell>
          <cell r="P264">
            <v>0</v>
          </cell>
          <cell r="R264">
            <v>1793345</v>
          </cell>
          <cell r="T264">
            <v>726565</v>
          </cell>
          <cell r="U264">
            <v>214737</v>
          </cell>
        </row>
        <row r="265">
          <cell r="A265" t="str">
            <v>MAR 2016</v>
          </cell>
          <cell r="B265" t="str">
            <v>LGINE693</v>
          </cell>
          <cell r="E265">
            <v>130494762</v>
          </cell>
          <cell r="L265">
            <v>220078</v>
          </cell>
          <cell r="M265">
            <v>-184022</v>
          </cell>
          <cell r="P265">
            <v>0</v>
          </cell>
          <cell r="R265">
            <v>9676168</v>
          </cell>
          <cell r="T265">
            <v>3648825</v>
          </cell>
          <cell r="U265">
            <v>1353083</v>
          </cell>
        </row>
        <row r="266">
          <cell r="A266" t="str">
            <v>MAR 2016</v>
          </cell>
          <cell r="B266" t="str">
            <v>LGMLE570</v>
          </cell>
          <cell r="E266">
            <v>0</v>
          </cell>
          <cell r="L266">
            <v>0</v>
          </cell>
          <cell r="M266">
            <v>0</v>
          </cell>
          <cell r="P266">
            <v>0</v>
          </cell>
          <cell r="R266">
            <v>0</v>
          </cell>
          <cell r="T266">
            <v>0</v>
          </cell>
          <cell r="U266">
            <v>0</v>
          </cell>
        </row>
        <row r="267">
          <cell r="A267" t="str">
            <v>MAR 2016</v>
          </cell>
          <cell r="B267" t="str">
            <v>LGMLE571</v>
          </cell>
          <cell r="E267">
            <v>0</v>
          </cell>
          <cell r="L267">
            <v>0</v>
          </cell>
          <cell r="M267">
            <v>0</v>
          </cell>
          <cell r="P267">
            <v>0</v>
          </cell>
          <cell r="R267">
            <v>0</v>
          </cell>
          <cell r="T267">
            <v>0</v>
          </cell>
          <cell r="U267">
            <v>0</v>
          </cell>
        </row>
        <row r="268">
          <cell r="A268" t="str">
            <v>MAR 2016</v>
          </cell>
          <cell r="B268" t="str">
            <v>LGMLE572</v>
          </cell>
          <cell r="E268">
            <v>0</v>
          </cell>
          <cell r="L268">
            <v>0</v>
          </cell>
          <cell r="M268">
            <v>0</v>
          </cell>
          <cell r="P268">
            <v>0</v>
          </cell>
          <cell r="R268">
            <v>0</v>
          </cell>
          <cell r="T268">
            <v>0</v>
          </cell>
          <cell r="U268">
            <v>0</v>
          </cell>
        </row>
        <row r="269">
          <cell r="A269" t="str">
            <v>MAR 2016</v>
          </cell>
          <cell r="B269" t="str">
            <v>LGMLE573</v>
          </cell>
          <cell r="E269">
            <v>0</v>
          </cell>
          <cell r="L269">
            <v>0</v>
          </cell>
          <cell r="M269">
            <v>0</v>
          </cell>
          <cell r="P269">
            <v>0</v>
          </cell>
          <cell r="R269">
            <v>0</v>
          </cell>
          <cell r="T269">
            <v>0</v>
          </cell>
          <cell r="U269">
            <v>0</v>
          </cell>
        </row>
        <row r="270">
          <cell r="A270" t="str">
            <v>MAR 2016</v>
          </cell>
          <cell r="B270" t="str">
            <v>LGMLE574</v>
          </cell>
          <cell r="E270">
            <v>0</v>
          </cell>
          <cell r="L270">
            <v>0</v>
          </cell>
          <cell r="M270">
            <v>0</v>
          </cell>
          <cell r="P270">
            <v>0</v>
          </cell>
          <cell r="R270">
            <v>0</v>
          </cell>
          <cell r="T270">
            <v>0</v>
          </cell>
          <cell r="U270">
            <v>0</v>
          </cell>
        </row>
        <row r="271">
          <cell r="A271" t="str">
            <v>MAR 2016</v>
          </cell>
          <cell r="B271" t="str">
            <v>LGRSE000</v>
          </cell>
          <cell r="E271">
            <v>0</v>
          </cell>
          <cell r="L271">
            <v>0</v>
          </cell>
          <cell r="M271">
            <v>0</v>
          </cell>
          <cell r="P271">
            <v>0</v>
          </cell>
          <cell r="R271">
            <v>0</v>
          </cell>
          <cell r="T271">
            <v>0</v>
          </cell>
          <cell r="U271">
            <v>0</v>
          </cell>
        </row>
        <row r="272">
          <cell r="A272" t="str">
            <v>MAR 2016</v>
          </cell>
          <cell r="B272" t="str">
            <v>LGRSE411</v>
          </cell>
          <cell r="E272">
            <v>0</v>
          </cell>
          <cell r="L272">
            <v>0</v>
          </cell>
          <cell r="M272">
            <v>0</v>
          </cell>
          <cell r="P272">
            <v>0</v>
          </cell>
          <cell r="R272">
            <v>0</v>
          </cell>
          <cell r="T272">
            <v>0</v>
          </cell>
          <cell r="U272">
            <v>0</v>
          </cell>
        </row>
        <row r="273">
          <cell r="A273" t="str">
            <v>MAR 2016</v>
          </cell>
          <cell r="B273" t="str">
            <v>LGRSE511</v>
          </cell>
          <cell r="E273">
            <v>309085717</v>
          </cell>
          <cell r="L273">
            <v>521269</v>
          </cell>
          <cell r="M273">
            <v>-435869</v>
          </cell>
          <cell r="P273">
            <v>0</v>
          </cell>
          <cell r="R273">
            <v>32143843</v>
          </cell>
          <cell r="T273">
            <v>0</v>
          </cell>
          <cell r="U273">
            <v>3204868</v>
          </cell>
        </row>
        <row r="274">
          <cell r="A274" t="str">
            <v>MAR 2016</v>
          </cell>
          <cell r="B274" t="str">
            <v>LGRSE519</v>
          </cell>
          <cell r="E274">
            <v>0</v>
          </cell>
          <cell r="L274">
            <v>0</v>
          </cell>
          <cell r="M274">
            <v>0</v>
          </cell>
          <cell r="P274">
            <v>0</v>
          </cell>
          <cell r="R274">
            <v>0</v>
          </cell>
          <cell r="T274">
            <v>0</v>
          </cell>
          <cell r="U274">
            <v>0</v>
          </cell>
        </row>
        <row r="275">
          <cell r="A275" t="str">
            <v>MAR 2016</v>
          </cell>
          <cell r="B275" t="str">
            <v>LGRSE540</v>
          </cell>
          <cell r="E275">
            <v>0</v>
          </cell>
          <cell r="L275">
            <v>0</v>
          </cell>
          <cell r="M275">
            <v>0</v>
          </cell>
          <cell r="P275">
            <v>0</v>
          </cell>
          <cell r="R275">
            <v>0</v>
          </cell>
          <cell r="T275">
            <v>0</v>
          </cell>
          <cell r="U275">
            <v>0</v>
          </cell>
        </row>
        <row r="276">
          <cell r="A276" t="str">
            <v>MAR 2016</v>
          </cell>
          <cell r="B276" t="str">
            <v>LGRSE543</v>
          </cell>
          <cell r="E276">
            <v>0</v>
          </cell>
          <cell r="L276">
            <v>0</v>
          </cell>
          <cell r="M276">
            <v>0</v>
          </cell>
          <cell r="P276">
            <v>0</v>
          </cell>
          <cell r="R276">
            <v>0</v>
          </cell>
          <cell r="T276">
            <v>0</v>
          </cell>
          <cell r="U276">
            <v>0</v>
          </cell>
        </row>
        <row r="277">
          <cell r="A277" t="str">
            <v>MAR 2016</v>
          </cell>
          <cell r="B277" t="str">
            <v>LGRSE547</v>
          </cell>
          <cell r="E277">
            <v>0</v>
          </cell>
          <cell r="L277">
            <v>0</v>
          </cell>
          <cell r="M277">
            <v>0</v>
          </cell>
          <cell r="P277">
            <v>0</v>
          </cell>
          <cell r="R277">
            <v>0</v>
          </cell>
          <cell r="T277">
            <v>0</v>
          </cell>
          <cell r="U277">
            <v>0</v>
          </cell>
        </row>
        <row r="278">
          <cell r="A278" t="str">
            <v>MAR 2016</v>
          </cell>
          <cell r="B278" t="str">
            <v>LGUM_000</v>
          </cell>
          <cell r="T278">
            <v>0</v>
          </cell>
          <cell r="U278">
            <v>0</v>
          </cell>
        </row>
        <row r="279">
          <cell r="A279" t="str">
            <v>MAR 2016</v>
          </cell>
          <cell r="B279" t="str">
            <v>LGUM_201</v>
          </cell>
          <cell r="T279">
            <v>0</v>
          </cell>
          <cell r="U279">
            <v>0</v>
          </cell>
        </row>
        <row r="280">
          <cell r="A280" t="str">
            <v>MAR 2016</v>
          </cell>
          <cell r="B280" t="str">
            <v>LGUM_203</v>
          </cell>
          <cell r="T280">
            <v>0</v>
          </cell>
          <cell r="U280">
            <v>0</v>
          </cell>
        </row>
        <row r="281">
          <cell r="A281" t="str">
            <v>MAR 2016</v>
          </cell>
          <cell r="B281" t="str">
            <v>LGUM_204</v>
          </cell>
          <cell r="T281">
            <v>0</v>
          </cell>
          <cell r="U281">
            <v>0</v>
          </cell>
        </row>
        <row r="282">
          <cell r="A282" t="str">
            <v>MAR 2016</v>
          </cell>
          <cell r="B282" t="str">
            <v>LGUM_204CU</v>
          </cell>
          <cell r="T282">
            <v>0</v>
          </cell>
          <cell r="U282">
            <v>0</v>
          </cell>
        </row>
        <row r="283">
          <cell r="A283" t="str">
            <v>MAR 2016</v>
          </cell>
          <cell r="B283" t="str">
            <v>LGUM_206</v>
          </cell>
          <cell r="T283">
            <v>0</v>
          </cell>
          <cell r="U283">
            <v>0</v>
          </cell>
        </row>
        <row r="284">
          <cell r="A284" t="str">
            <v>MAR 2016</v>
          </cell>
          <cell r="B284" t="str">
            <v>LGUM_207</v>
          </cell>
          <cell r="T284">
            <v>0</v>
          </cell>
          <cell r="U284">
            <v>0</v>
          </cell>
        </row>
        <row r="285">
          <cell r="A285" t="str">
            <v>MAR 2016</v>
          </cell>
          <cell r="B285" t="str">
            <v>LGUM_208</v>
          </cell>
          <cell r="T285">
            <v>0</v>
          </cell>
          <cell r="U285">
            <v>0</v>
          </cell>
        </row>
        <row r="286">
          <cell r="A286" t="str">
            <v>MAR 2016</v>
          </cell>
          <cell r="B286" t="str">
            <v>LGUM_209</v>
          </cell>
          <cell r="T286">
            <v>0</v>
          </cell>
          <cell r="U286">
            <v>0</v>
          </cell>
        </row>
        <row r="287">
          <cell r="A287" t="str">
            <v>MAR 2016</v>
          </cell>
          <cell r="B287" t="str">
            <v>LGUM_209CU</v>
          </cell>
          <cell r="T287">
            <v>0</v>
          </cell>
          <cell r="U287">
            <v>0</v>
          </cell>
        </row>
        <row r="288">
          <cell r="A288" t="str">
            <v>MAR 2016</v>
          </cell>
          <cell r="B288" t="str">
            <v>LGUM_210</v>
          </cell>
          <cell r="T288">
            <v>0</v>
          </cell>
          <cell r="U288">
            <v>0</v>
          </cell>
        </row>
        <row r="289">
          <cell r="A289" t="str">
            <v>MAR 2016</v>
          </cell>
          <cell r="B289" t="str">
            <v>LGUM_252</v>
          </cell>
          <cell r="T289">
            <v>0</v>
          </cell>
          <cell r="U289">
            <v>0</v>
          </cell>
        </row>
        <row r="290">
          <cell r="A290" t="str">
            <v>MAR 2016</v>
          </cell>
          <cell r="B290" t="str">
            <v>LGUM_266</v>
          </cell>
          <cell r="T290">
            <v>0</v>
          </cell>
          <cell r="U290">
            <v>0</v>
          </cell>
        </row>
        <row r="291">
          <cell r="A291" t="str">
            <v>MAR 2016</v>
          </cell>
          <cell r="B291" t="str">
            <v>LGUM_267</v>
          </cell>
          <cell r="T291">
            <v>0</v>
          </cell>
          <cell r="U291">
            <v>0</v>
          </cell>
        </row>
        <row r="292">
          <cell r="A292" t="str">
            <v>MAR 2016</v>
          </cell>
          <cell r="B292" t="str">
            <v>LGUM_274</v>
          </cell>
          <cell r="T292">
            <v>0</v>
          </cell>
          <cell r="U292">
            <v>0</v>
          </cell>
        </row>
        <row r="293">
          <cell r="A293" t="str">
            <v>MAR 2016</v>
          </cell>
          <cell r="B293" t="str">
            <v>LGUM_275</v>
          </cell>
          <cell r="T293">
            <v>0</v>
          </cell>
          <cell r="U293">
            <v>0</v>
          </cell>
        </row>
        <row r="294">
          <cell r="A294" t="str">
            <v>MAR 2016</v>
          </cell>
          <cell r="B294" t="str">
            <v>LGUM_276</v>
          </cell>
          <cell r="T294">
            <v>0</v>
          </cell>
          <cell r="U294">
            <v>0</v>
          </cell>
        </row>
        <row r="295">
          <cell r="A295" t="str">
            <v>MAR 2016</v>
          </cell>
          <cell r="B295" t="str">
            <v>LGUM_277</v>
          </cell>
          <cell r="T295">
            <v>0</v>
          </cell>
          <cell r="U295">
            <v>0</v>
          </cell>
        </row>
        <row r="296">
          <cell r="A296" t="str">
            <v>MAR 2016</v>
          </cell>
          <cell r="B296" t="str">
            <v>LGUM_278</v>
          </cell>
          <cell r="T296">
            <v>0</v>
          </cell>
          <cell r="U296">
            <v>0</v>
          </cell>
        </row>
        <row r="297">
          <cell r="A297" t="str">
            <v>MAR 2016</v>
          </cell>
          <cell r="B297" t="str">
            <v>LGUM_279</v>
          </cell>
          <cell r="T297">
            <v>0</v>
          </cell>
          <cell r="U297">
            <v>0</v>
          </cell>
        </row>
        <row r="298">
          <cell r="A298" t="str">
            <v>MAR 2016</v>
          </cell>
          <cell r="B298" t="str">
            <v>LGUM_280</v>
          </cell>
          <cell r="T298">
            <v>0</v>
          </cell>
          <cell r="U298">
            <v>0</v>
          </cell>
        </row>
        <row r="299">
          <cell r="A299" t="str">
            <v>MAR 2016</v>
          </cell>
          <cell r="B299" t="str">
            <v>LGUM_281</v>
          </cell>
          <cell r="T299">
            <v>0</v>
          </cell>
          <cell r="U299">
            <v>0</v>
          </cell>
        </row>
        <row r="300">
          <cell r="A300" t="str">
            <v>MAR 2016</v>
          </cell>
          <cell r="B300" t="str">
            <v>LGUM_282</v>
          </cell>
          <cell r="T300">
            <v>0</v>
          </cell>
          <cell r="U300">
            <v>0</v>
          </cell>
        </row>
        <row r="301">
          <cell r="A301" t="str">
            <v>MAR 2016</v>
          </cell>
          <cell r="B301" t="str">
            <v>LGUM_283</v>
          </cell>
          <cell r="T301">
            <v>0</v>
          </cell>
          <cell r="U301">
            <v>0</v>
          </cell>
        </row>
        <row r="302">
          <cell r="A302" t="str">
            <v>MAR 2016</v>
          </cell>
          <cell r="B302" t="str">
            <v>LGUM_314</v>
          </cell>
          <cell r="T302">
            <v>0</v>
          </cell>
          <cell r="U302">
            <v>0</v>
          </cell>
        </row>
        <row r="303">
          <cell r="A303" t="str">
            <v>MAR 2016</v>
          </cell>
          <cell r="B303" t="str">
            <v>LGUM_315</v>
          </cell>
          <cell r="T303">
            <v>0</v>
          </cell>
          <cell r="U303">
            <v>0</v>
          </cell>
        </row>
        <row r="304">
          <cell r="A304" t="str">
            <v>MAR 2016</v>
          </cell>
          <cell r="B304" t="str">
            <v>LGUM_318</v>
          </cell>
          <cell r="T304">
            <v>0</v>
          </cell>
          <cell r="U304">
            <v>0</v>
          </cell>
        </row>
        <row r="305">
          <cell r="A305" t="str">
            <v>MAR 2016</v>
          </cell>
          <cell r="B305" t="str">
            <v>LGUM_348</v>
          </cell>
          <cell r="T305">
            <v>0</v>
          </cell>
          <cell r="U305">
            <v>0</v>
          </cell>
        </row>
        <row r="306">
          <cell r="A306" t="str">
            <v>MAR 2016</v>
          </cell>
          <cell r="B306" t="str">
            <v>LGUM_349</v>
          </cell>
          <cell r="T306">
            <v>0</v>
          </cell>
          <cell r="U306">
            <v>0</v>
          </cell>
        </row>
        <row r="307">
          <cell r="A307" t="str">
            <v>MAR 2016</v>
          </cell>
          <cell r="B307" t="str">
            <v>LGUM_400</v>
          </cell>
          <cell r="T307">
            <v>0</v>
          </cell>
          <cell r="U307">
            <v>0</v>
          </cell>
        </row>
        <row r="308">
          <cell r="A308" t="str">
            <v>MAR 2016</v>
          </cell>
          <cell r="B308" t="str">
            <v>LGUM_401</v>
          </cell>
          <cell r="T308">
            <v>0</v>
          </cell>
          <cell r="U308">
            <v>0</v>
          </cell>
        </row>
        <row r="309">
          <cell r="A309" t="str">
            <v>MAR 2016</v>
          </cell>
          <cell r="B309" t="str">
            <v>LGUM_412</v>
          </cell>
          <cell r="T309">
            <v>0</v>
          </cell>
          <cell r="U309">
            <v>0</v>
          </cell>
        </row>
        <row r="310">
          <cell r="A310" t="str">
            <v>MAR 2016</v>
          </cell>
          <cell r="B310" t="str">
            <v>LGUM_413</v>
          </cell>
          <cell r="T310">
            <v>0</v>
          </cell>
          <cell r="U310">
            <v>0</v>
          </cell>
        </row>
        <row r="311">
          <cell r="A311" t="str">
            <v>MAR 2016</v>
          </cell>
          <cell r="B311" t="str">
            <v>LGUM_415</v>
          </cell>
          <cell r="T311">
            <v>0</v>
          </cell>
          <cell r="U311">
            <v>0</v>
          </cell>
        </row>
        <row r="312">
          <cell r="A312" t="str">
            <v>MAR 2016</v>
          </cell>
          <cell r="B312" t="str">
            <v>LGUM_416</v>
          </cell>
          <cell r="T312">
            <v>0</v>
          </cell>
          <cell r="U312">
            <v>0</v>
          </cell>
        </row>
        <row r="313">
          <cell r="A313" t="str">
            <v>MAR 2016</v>
          </cell>
          <cell r="B313" t="str">
            <v>LGUM_417</v>
          </cell>
          <cell r="T313">
            <v>0</v>
          </cell>
          <cell r="U313">
            <v>0</v>
          </cell>
        </row>
        <row r="314">
          <cell r="A314" t="str">
            <v>MAR 2016</v>
          </cell>
          <cell r="B314" t="str">
            <v>LGUM_419</v>
          </cell>
          <cell r="T314">
            <v>0</v>
          </cell>
          <cell r="U314">
            <v>0</v>
          </cell>
        </row>
        <row r="315">
          <cell r="A315" t="str">
            <v>MAR 2016</v>
          </cell>
          <cell r="B315" t="str">
            <v>LGUM_420</v>
          </cell>
          <cell r="T315">
            <v>0</v>
          </cell>
          <cell r="U315">
            <v>0</v>
          </cell>
        </row>
        <row r="316">
          <cell r="A316" t="str">
            <v>MAR 2016</v>
          </cell>
          <cell r="B316" t="str">
            <v>LGUM_421</v>
          </cell>
          <cell r="T316">
            <v>0</v>
          </cell>
          <cell r="U316">
            <v>0</v>
          </cell>
        </row>
        <row r="317">
          <cell r="A317" t="str">
            <v>MAR 2016</v>
          </cell>
          <cell r="B317" t="str">
            <v>LGUM_422</v>
          </cell>
          <cell r="T317">
            <v>0</v>
          </cell>
          <cell r="U317">
            <v>0</v>
          </cell>
        </row>
        <row r="318">
          <cell r="A318" t="str">
            <v>MAR 2016</v>
          </cell>
          <cell r="B318" t="str">
            <v>LGUM_423</v>
          </cell>
          <cell r="T318">
            <v>0</v>
          </cell>
          <cell r="U318">
            <v>0</v>
          </cell>
        </row>
        <row r="319">
          <cell r="A319" t="str">
            <v>MAR 2016</v>
          </cell>
          <cell r="B319" t="str">
            <v>LGUM_424</v>
          </cell>
          <cell r="T319">
            <v>0</v>
          </cell>
          <cell r="U319">
            <v>0</v>
          </cell>
        </row>
        <row r="320">
          <cell r="A320" t="str">
            <v>MAR 2016</v>
          </cell>
          <cell r="B320" t="str">
            <v>LGUM_425</v>
          </cell>
          <cell r="T320">
            <v>0</v>
          </cell>
          <cell r="U320">
            <v>0</v>
          </cell>
        </row>
        <row r="321">
          <cell r="A321" t="str">
            <v>MAR 2016</v>
          </cell>
          <cell r="B321" t="str">
            <v>LGUM_426</v>
          </cell>
          <cell r="T321">
            <v>0</v>
          </cell>
          <cell r="U321">
            <v>0</v>
          </cell>
        </row>
        <row r="322">
          <cell r="A322" t="str">
            <v>MAR 2016</v>
          </cell>
          <cell r="B322" t="str">
            <v>LGUM_427</v>
          </cell>
          <cell r="T322">
            <v>0</v>
          </cell>
          <cell r="U322">
            <v>0</v>
          </cell>
        </row>
        <row r="323">
          <cell r="A323" t="str">
            <v>MAR 2016</v>
          </cell>
          <cell r="B323" t="str">
            <v>LGUM_428</v>
          </cell>
          <cell r="T323">
            <v>0</v>
          </cell>
          <cell r="U323">
            <v>0</v>
          </cell>
        </row>
        <row r="324">
          <cell r="A324" t="str">
            <v>MAR 2016</v>
          </cell>
          <cell r="B324" t="str">
            <v>LGUM_429</v>
          </cell>
          <cell r="T324">
            <v>0</v>
          </cell>
          <cell r="U324">
            <v>0</v>
          </cell>
        </row>
        <row r="325">
          <cell r="A325" t="str">
            <v>MAR 2016</v>
          </cell>
          <cell r="B325" t="str">
            <v>LGUM_430</v>
          </cell>
          <cell r="T325">
            <v>0</v>
          </cell>
          <cell r="U325">
            <v>0</v>
          </cell>
        </row>
        <row r="326">
          <cell r="A326" t="str">
            <v>MAR 2016</v>
          </cell>
          <cell r="B326" t="str">
            <v>LGUM_431</v>
          </cell>
          <cell r="T326">
            <v>0</v>
          </cell>
          <cell r="U326">
            <v>0</v>
          </cell>
        </row>
        <row r="327">
          <cell r="A327" t="str">
            <v>MAR 2016</v>
          </cell>
          <cell r="B327" t="str">
            <v>LGUM_432</v>
          </cell>
          <cell r="T327">
            <v>0</v>
          </cell>
          <cell r="U327">
            <v>0</v>
          </cell>
        </row>
        <row r="328">
          <cell r="A328" t="str">
            <v>MAR 2016</v>
          </cell>
          <cell r="B328" t="str">
            <v>LGUM_433</v>
          </cell>
          <cell r="T328">
            <v>0</v>
          </cell>
          <cell r="U328">
            <v>0</v>
          </cell>
        </row>
        <row r="329">
          <cell r="A329" t="str">
            <v>MAR 2016</v>
          </cell>
          <cell r="B329" t="str">
            <v>LGUM_440</v>
          </cell>
          <cell r="T329">
            <v>0</v>
          </cell>
          <cell r="U329">
            <v>0</v>
          </cell>
        </row>
        <row r="330">
          <cell r="A330" t="str">
            <v>MAR 2016</v>
          </cell>
          <cell r="B330" t="str">
            <v>LGUM_441</v>
          </cell>
          <cell r="T330">
            <v>0</v>
          </cell>
          <cell r="U330">
            <v>0</v>
          </cell>
        </row>
        <row r="331">
          <cell r="A331" t="str">
            <v>MAR 2016</v>
          </cell>
          <cell r="B331" t="str">
            <v>LGUM_452</v>
          </cell>
          <cell r="T331">
            <v>0</v>
          </cell>
          <cell r="U331">
            <v>0</v>
          </cell>
        </row>
        <row r="332">
          <cell r="A332" t="str">
            <v>MAR 2016</v>
          </cell>
          <cell r="B332" t="str">
            <v>LGUM_452CU</v>
          </cell>
          <cell r="T332">
            <v>0</v>
          </cell>
          <cell r="U332">
            <v>0</v>
          </cell>
        </row>
        <row r="333">
          <cell r="A333" t="str">
            <v>MAR 2016</v>
          </cell>
          <cell r="B333" t="str">
            <v>LGUM_453</v>
          </cell>
          <cell r="T333">
            <v>0</v>
          </cell>
          <cell r="U333">
            <v>0</v>
          </cell>
        </row>
        <row r="334">
          <cell r="A334" t="str">
            <v>MAR 2016</v>
          </cell>
          <cell r="B334" t="str">
            <v>LGUM_453CU</v>
          </cell>
          <cell r="T334">
            <v>0</v>
          </cell>
          <cell r="U334">
            <v>0</v>
          </cell>
        </row>
        <row r="335">
          <cell r="A335" t="str">
            <v>MAR 2016</v>
          </cell>
          <cell r="B335" t="str">
            <v>LGUM_454</v>
          </cell>
          <cell r="T335">
            <v>0</v>
          </cell>
          <cell r="U335">
            <v>0</v>
          </cell>
        </row>
        <row r="336">
          <cell r="A336" t="str">
            <v>MAR 2016</v>
          </cell>
          <cell r="B336" t="str">
            <v>LGUM_454CU</v>
          </cell>
          <cell r="T336">
            <v>0</v>
          </cell>
          <cell r="U336">
            <v>0</v>
          </cell>
        </row>
        <row r="337">
          <cell r="A337" t="str">
            <v>MAR 2016</v>
          </cell>
          <cell r="B337" t="str">
            <v>LGUM_455</v>
          </cell>
          <cell r="T337">
            <v>0</v>
          </cell>
          <cell r="U337">
            <v>0</v>
          </cell>
        </row>
        <row r="338">
          <cell r="A338" t="str">
            <v>MAR 2016</v>
          </cell>
          <cell r="B338" t="str">
            <v>LGUM_456</v>
          </cell>
          <cell r="T338">
            <v>0</v>
          </cell>
          <cell r="U338">
            <v>0</v>
          </cell>
        </row>
        <row r="339">
          <cell r="A339" t="str">
            <v>MAR 2016</v>
          </cell>
          <cell r="B339" t="str">
            <v>LGUM_456CU</v>
          </cell>
          <cell r="T339">
            <v>0</v>
          </cell>
          <cell r="U339">
            <v>0</v>
          </cell>
        </row>
        <row r="340">
          <cell r="A340" t="str">
            <v>MAR 2016</v>
          </cell>
          <cell r="B340" t="str">
            <v>LGUM_457</v>
          </cell>
          <cell r="T340">
            <v>0</v>
          </cell>
          <cell r="U340">
            <v>0</v>
          </cell>
        </row>
        <row r="341">
          <cell r="A341" t="str">
            <v>MAR 2016</v>
          </cell>
          <cell r="B341" t="str">
            <v>LGUM_458</v>
          </cell>
          <cell r="T341">
            <v>0</v>
          </cell>
          <cell r="U341">
            <v>0</v>
          </cell>
        </row>
        <row r="342">
          <cell r="A342" t="str">
            <v>MAR 2016</v>
          </cell>
          <cell r="B342" t="str">
            <v>LGUM_470</v>
          </cell>
          <cell r="T342">
            <v>0</v>
          </cell>
          <cell r="U342">
            <v>0</v>
          </cell>
        </row>
        <row r="343">
          <cell r="A343" t="str">
            <v>MAR 2016</v>
          </cell>
          <cell r="B343" t="str">
            <v>LGUM_471</v>
          </cell>
          <cell r="T343">
            <v>0</v>
          </cell>
          <cell r="U343">
            <v>0</v>
          </cell>
        </row>
        <row r="344">
          <cell r="A344" t="str">
            <v>MAR 2016</v>
          </cell>
          <cell r="B344" t="str">
            <v>LGUM_473</v>
          </cell>
          <cell r="T344">
            <v>0</v>
          </cell>
          <cell r="U344">
            <v>0</v>
          </cell>
        </row>
        <row r="345">
          <cell r="A345" t="str">
            <v>MAR 2016</v>
          </cell>
          <cell r="B345" t="str">
            <v>LGUM_474</v>
          </cell>
          <cell r="T345">
            <v>0</v>
          </cell>
          <cell r="U345">
            <v>0</v>
          </cell>
        </row>
        <row r="346">
          <cell r="A346" t="str">
            <v>MAR 2016</v>
          </cell>
          <cell r="B346" t="str">
            <v>LGUM_475</v>
          </cell>
          <cell r="T346">
            <v>0</v>
          </cell>
          <cell r="U346">
            <v>0</v>
          </cell>
        </row>
        <row r="347">
          <cell r="A347" t="str">
            <v>MAR 2016</v>
          </cell>
          <cell r="B347" t="str">
            <v>LGUM_476</v>
          </cell>
          <cell r="T347">
            <v>0</v>
          </cell>
          <cell r="U347">
            <v>0</v>
          </cell>
        </row>
        <row r="348">
          <cell r="A348" t="str">
            <v>MAR 2016</v>
          </cell>
          <cell r="B348" t="str">
            <v>LGUM_477</v>
          </cell>
          <cell r="T348">
            <v>0</v>
          </cell>
          <cell r="U348">
            <v>0</v>
          </cell>
        </row>
        <row r="349">
          <cell r="A349" t="str">
            <v>MAR 2016</v>
          </cell>
          <cell r="B349" t="str">
            <v>LGUM_480</v>
          </cell>
          <cell r="T349">
            <v>0</v>
          </cell>
          <cell r="U349">
            <v>0</v>
          </cell>
        </row>
        <row r="350">
          <cell r="A350" t="str">
            <v>MAR 2016</v>
          </cell>
          <cell r="B350" t="str">
            <v>LGUM_481</v>
          </cell>
          <cell r="T350">
            <v>0</v>
          </cell>
          <cell r="U350">
            <v>0</v>
          </cell>
        </row>
        <row r="351">
          <cell r="A351" t="str">
            <v>MAR 2016</v>
          </cell>
          <cell r="B351" t="str">
            <v>LGUM_482</v>
          </cell>
          <cell r="T351">
            <v>0</v>
          </cell>
          <cell r="U351">
            <v>0</v>
          </cell>
        </row>
        <row r="352">
          <cell r="A352" t="str">
            <v>MAR 2016</v>
          </cell>
          <cell r="B352" t="str">
            <v>LGUM_483</v>
          </cell>
          <cell r="T352">
            <v>0</v>
          </cell>
          <cell r="U352">
            <v>0</v>
          </cell>
        </row>
        <row r="353">
          <cell r="A353" t="str">
            <v>MAR 2016</v>
          </cell>
          <cell r="B353" t="str">
            <v>LGUM_484</v>
          </cell>
          <cell r="T353">
            <v>0</v>
          </cell>
          <cell r="U353">
            <v>0</v>
          </cell>
        </row>
        <row r="354">
          <cell r="A354" t="str">
            <v>APR 2016</v>
          </cell>
          <cell r="B354" t="str">
            <v>Result</v>
          </cell>
          <cell r="T354">
            <v>0</v>
          </cell>
          <cell r="U354">
            <v>0</v>
          </cell>
        </row>
        <row r="355">
          <cell r="A355" t="str">
            <v>APR 2016</v>
          </cell>
          <cell r="B355" t="str">
            <v>LEUM_826</v>
          </cell>
          <cell r="T355">
            <v>0</v>
          </cell>
          <cell r="U355">
            <v>0</v>
          </cell>
        </row>
        <row r="356">
          <cell r="A356" t="str">
            <v>APR 2016</v>
          </cell>
          <cell r="B356" t="str">
            <v>LEUM_826</v>
          </cell>
          <cell r="T356">
            <v>0</v>
          </cell>
          <cell r="U356">
            <v>0</v>
          </cell>
        </row>
        <row r="357">
          <cell r="A357" t="str">
            <v>APR 2016</v>
          </cell>
          <cell r="B357" t="str">
            <v>ODL</v>
          </cell>
          <cell r="E357">
            <v>8078182</v>
          </cell>
          <cell r="L357">
            <v>0</v>
          </cell>
          <cell r="M357">
            <v>-7038</v>
          </cell>
          <cell r="P357">
            <v>0</v>
          </cell>
          <cell r="R357">
            <v>1630094</v>
          </cell>
          <cell r="T357">
            <v>0</v>
          </cell>
          <cell r="U357">
            <v>89427</v>
          </cell>
        </row>
        <row r="358">
          <cell r="A358" t="str">
            <v>APR 2016</v>
          </cell>
          <cell r="B358" t="str">
            <v>LEUM_829</v>
          </cell>
          <cell r="E358">
            <v>0</v>
          </cell>
          <cell r="L358">
            <v>0</v>
          </cell>
          <cell r="M358">
            <v>0</v>
          </cell>
          <cell r="P358">
            <v>0</v>
          </cell>
          <cell r="R358">
            <v>0</v>
          </cell>
          <cell r="T358">
            <v>0</v>
          </cell>
          <cell r="U358">
            <v>0</v>
          </cell>
        </row>
        <row r="359">
          <cell r="A359" t="str">
            <v>APR 2016</v>
          </cell>
          <cell r="B359" t="str">
            <v>LGCME000</v>
          </cell>
          <cell r="E359">
            <v>0</v>
          </cell>
          <cell r="L359">
            <v>0</v>
          </cell>
          <cell r="M359">
            <v>0</v>
          </cell>
          <cell r="P359">
            <v>0</v>
          </cell>
          <cell r="R359">
            <v>0</v>
          </cell>
          <cell r="T359">
            <v>0</v>
          </cell>
          <cell r="U359">
            <v>0</v>
          </cell>
        </row>
        <row r="360">
          <cell r="A360" t="str">
            <v>APR 2016</v>
          </cell>
          <cell r="B360" t="str">
            <v>LGCME451</v>
          </cell>
          <cell r="E360">
            <v>0</v>
          </cell>
          <cell r="L360">
            <v>0</v>
          </cell>
          <cell r="M360">
            <v>0</v>
          </cell>
          <cell r="P360">
            <v>0</v>
          </cell>
          <cell r="R360">
            <v>0</v>
          </cell>
          <cell r="T360">
            <v>0</v>
          </cell>
          <cell r="U360">
            <v>0</v>
          </cell>
        </row>
        <row r="361">
          <cell r="A361" t="str">
            <v>APR 2016</v>
          </cell>
          <cell r="B361" t="str">
            <v>LGCME551</v>
          </cell>
          <cell r="E361">
            <v>28238912</v>
          </cell>
          <cell r="L361">
            <v>47394</v>
          </cell>
          <cell r="M361">
            <v>-24602</v>
          </cell>
          <cell r="P361">
            <v>0</v>
          </cell>
          <cell r="R361">
            <v>3479793</v>
          </cell>
          <cell r="T361">
            <v>0</v>
          </cell>
          <cell r="U361">
            <v>312609</v>
          </cell>
        </row>
        <row r="362">
          <cell r="A362" t="str">
            <v>APR 2016</v>
          </cell>
          <cell r="B362" t="str">
            <v>LGCME551UM</v>
          </cell>
          <cell r="E362">
            <v>0</v>
          </cell>
          <cell r="L362">
            <v>0</v>
          </cell>
          <cell r="M362">
            <v>0</v>
          </cell>
          <cell r="P362">
            <v>0</v>
          </cell>
          <cell r="R362">
            <v>0</v>
          </cell>
          <cell r="T362">
            <v>0</v>
          </cell>
          <cell r="U362">
            <v>0</v>
          </cell>
        </row>
        <row r="363">
          <cell r="A363" t="str">
            <v>APR 2016</v>
          </cell>
          <cell r="B363" t="str">
            <v>LGCME552</v>
          </cell>
          <cell r="E363">
            <v>0</v>
          </cell>
          <cell r="L363">
            <v>0</v>
          </cell>
          <cell r="M363">
            <v>0</v>
          </cell>
          <cell r="P363">
            <v>0</v>
          </cell>
          <cell r="R363">
            <v>0</v>
          </cell>
          <cell r="T363">
            <v>0</v>
          </cell>
          <cell r="U363">
            <v>0</v>
          </cell>
        </row>
        <row r="364">
          <cell r="A364" t="str">
            <v>APR 2016</v>
          </cell>
          <cell r="B364" t="str">
            <v>LGCME557</v>
          </cell>
          <cell r="E364">
            <v>0</v>
          </cell>
          <cell r="L364">
            <v>0</v>
          </cell>
          <cell r="M364">
            <v>0</v>
          </cell>
          <cell r="P364">
            <v>0</v>
          </cell>
          <cell r="R364">
            <v>0</v>
          </cell>
          <cell r="T364">
            <v>0</v>
          </cell>
          <cell r="U364">
            <v>0</v>
          </cell>
        </row>
        <row r="365">
          <cell r="A365" t="str">
            <v>APR 2016</v>
          </cell>
          <cell r="B365" t="str">
            <v>LGCME561</v>
          </cell>
          <cell r="E365">
            <v>127586690</v>
          </cell>
          <cell r="L365">
            <v>214131</v>
          </cell>
          <cell r="M365">
            <v>-111155</v>
          </cell>
          <cell r="P365">
            <v>0</v>
          </cell>
          <cell r="R365">
            <v>11521789</v>
          </cell>
          <cell r="T365">
            <v>4593741</v>
          </cell>
          <cell r="U365">
            <v>1412403</v>
          </cell>
        </row>
        <row r="366">
          <cell r="A366" t="str">
            <v>APR 2016</v>
          </cell>
          <cell r="B366" t="str">
            <v>LGCME563</v>
          </cell>
          <cell r="E366">
            <v>11224431</v>
          </cell>
          <cell r="L366">
            <v>18838</v>
          </cell>
          <cell r="M366">
            <v>-9779</v>
          </cell>
          <cell r="P366">
            <v>0</v>
          </cell>
          <cell r="R366">
            <v>911891</v>
          </cell>
          <cell r="T366">
            <v>329064</v>
          </cell>
          <cell r="U366">
            <v>124256</v>
          </cell>
        </row>
        <row r="367">
          <cell r="A367" t="str">
            <v>APR 2016</v>
          </cell>
          <cell r="B367" t="str">
            <v>LGCME567</v>
          </cell>
          <cell r="E367">
            <v>0</v>
          </cell>
          <cell r="L367">
            <v>0</v>
          </cell>
          <cell r="M367">
            <v>0</v>
          </cell>
          <cell r="P367">
            <v>0</v>
          </cell>
          <cell r="R367">
            <v>0</v>
          </cell>
          <cell r="T367">
            <v>0</v>
          </cell>
          <cell r="U367">
            <v>0</v>
          </cell>
        </row>
        <row r="368">
          <cell r="A368" t="str">
            <v>APR 2016</v>
          </cell>
          <cell r="B368" t="str">
            <v>LGCME591</v>
          </cell>
          <cell r="E368">
            <v>56529299</v>
          </cell>
          <cell r="L368">
            <v>94874</v>
          </cell>
          <cell r="M368">
            <v>-49249</v>
          </cell>
          <cell r="P368">
            <v>0</v>
          </cell>
          <cell r="R368">
            <v>4865072</v>
          </cell>
          <cell r="T368">
            <v>1893140</v>
          </cell>
          <cell r="U368">
            <v>625787</v>
          </cell>
        </row>
        <row r="369">
          <cell r="A369" t="str">
            <v>APR 2016</v>
          </cell>
          <cell r="B369" t="str">
            <v>LGCME593</v>
          </cell>
          <cell r="E369">
            <v>28136006</v>
          </cell>
          <cell r="L369">
            <v>47221</v>
          </cell>
          <cell r="M369">
            <v>-24512</v>
          </cell>
          <cell r="P369">
            <v>0</v>
          </cell>
          <cell r="R369">
            <v>2322513</v>
          </cell>
          <cell r="T369">
            <v>904053</v>
          </cell>
          <cell r="U369">
            <v>311470</v>
          </cell>
        </row>
        <row r="370">
          <cell r="A370" t="str">
            <v>APR 2016</v>
          </cell>
          <cell r="B370" t="str">
            <v>LGCME651</v>
          </cell>
          <cell r="E370">
            <v>71967151</v>
          </cell>
          <cell r="L370">
            <v>120784</v>
          </cell>
          <cell r="M370">
            <v>-62699</v>
          </cell>
          <cell r="P370">
            <v>0</v>
          </cell>
          <cell r="R370">
            <v>8002408</v>
          </cell>
          <cell r="T370">
            <v>0</v>
          </cell>
          <cell r="U370">
            <v>796686</v>
          </cell>
        </row>
        <row r="371">
          <cell r="A371" t="str">
            <v>APR 2016</v>
          </cell>
          <cell r="B371" t="str">
            <v>LGCME652</v>
          </cell>
          <cell r="E371">
            <v>0</v>
          </cell>
          <cell r="L371">
            <v>0</v>
          </cell>
          <cell r="M371">
            <v>0</v>
          </cell>
          <cell r="P371">
            <v>0</v>
          </cell>
          <cell r="R371">
            <v>0</v>
          </cell>
          <cell r="T371">
            <v>0</v>
          </cell>
          <cell r="U371">
            <v>0</v>
          </cell>
        </row>
        <row r="372">
          <cell r="A372" t="str">
            <v>APR 2016</v>
          </cell>
          <cell r="B372" t="str">
            <v>LGCME657</v>
          </cell>
          <cell r="E372">
            <v>0</v>
          </cell>
          <cell r="L372">
            <v>0</v>
          </cell>
          <cell r="M372">
            <v>0</v>
          </cell>
          <cell r="P372">
            <v>0</v>
          </cell>
          <cell r="R372">
            <v>0</v>
          </cell>
          <cell r="T372">
            <v>0</v>
          </cell>
          <cell r="U372">
            <v>0</v>
          </cell>
        </row>
        <row r="373">
          <cell r="A373" t="str">
            <v>APR 2016</v>
          </cell>
          <cell r="B373" t="str">
            <v>LGCME671</v>
          </cell>
          <cell r="E373">
            <v>4414320</v>
          </cell>
          <cell r="L373">
            <v>0</v>
          </cell>
          <cell r="M373">
            <v>-3846</v>
          </cell>
          <cell r="P373">
            <v>0</v>
          </cell>
          <cell r="R373">
            <v>304769</v>
          </cell>
          <cell r="T373">
            <v>96330</v>
          </cell>
          <cell r="U373">
            <v>48867</v>
          </cell>
        </row>
        <row r="374">
          <cell r="A374" t="str">
            <v>APR 2016</v>
          </cell>
          <cell r="B374" t="str">
            <v>LGCSR760</v>
          </cell>
          <cell r="E374">
            <v>0</v>
          </cell>
          <cell r="L374">
            <v>0</v>
          </cell>
          <cell r="M374">
            <v>0</v>
          </cell>
          <cell r="P374">
            <v>-286526</v>
          </cell>
          <cell r="R374">
            <v>-286526</v>
          </cell>
          <cell r="T374">
            <v>0</v>
          </cell>
          <cell r="U374">
            <v>0</v>
          </cell>
        </row>
        <row r="375">
          <cell r="A375" t="str">
            <v>APR 2016</v>
          </cell>
          <cell r="B375" t="str">
            <v>LGCSR780</v>
          </cell>
          <cell r="E375">
            <v>0</v>
          </cell>
          <cell r="L375">
            <v>0</v>
          </cell>
          <cell r="M375">
            <v>0</v>
          </cell>
          <cell r="P375">
            <v>0</v>
          </cell>
          <cell r="R375">
            <v>0</v>
          </cell>
          <cell r="T375">
            <v>0</v>
          </cell>
          <cell r="U375">
            <v>0</v>
          </cell>
        </row>
        <row r="376">
          <cell r="A376" t="str">
            <v>APR 2016</v>
          </cell>
          <cell r="B376" t="str">
            <v>LGINE000</v>
          </cell>
          <cell r="E376">
            <v>0</v>
          </cell>
          <cell r="L376">
            <v>0</v>
          </cell>
          <cell r="M376">
            <v>0</v>
          </cell>
          <cell r="P376">
            <v>0</v>
          </cell>
          <cell r="R376">
            <v>0</v>
          </cell>
          <cell r="T376">
            <v>0</v>
          </cell>
          <cell r="U376">
            <v>0</v>
          </cell>
        </row>
        <row r="377">
          <cell r="A377" t="str">
            <v>APR 2016</v>
          </cell>
          <cell r="B377" t="str">
            <v>LGINE599</v>
          </cell>
          <cell r="E377">
            <v>7236500</v>
          </cell>
          <cell r="L377">
            <v>0</v>
          </cell>
          <cell r="M377">
            <v>-6305</v>
          </cell>
          <cell r="P377">
            <v>0</v>
          </cell>
          <cell r="R377">
            <v>434405</v>
          </cell>
          <cell r="T377">
            <v>89956</v>
          </cell>
          <cell r="U377">
            <v>80109</v>
          </cell>
        </row>
        <row r="378">
          <cell r="A378" t="str">
            <v>APR 2016</v>
          </cell>
          <cell r="B378" t="str">
            <v>LGINE643</v>
          </cell>
          <cell r="E378">
            <v>78019986</v>
          </cell>
          <cell r="L378">
            <v>0</v>
          </cell>
          <cell r="M378">
            <v>-67972</v>
          </cell>
          <cell r="P378">
            <v>0</v>
          </cell>
          <cell r="R378">
            <v>5086832</v>
          </cell>
          <cell r="T378">
            <v>1465590</v>
          </cell>
          <cell r="U378">
            <v>863692</v>
          </cell>
        </row>
        <row r="379">
          <cell r="A379" t="str">
            <v>APR 2016</v>
          </cell>
          <cell r="B379" t="str">
            <v>LGINE661</v>
          </cell>
          <cell r="E379">
            <v>17964058</v>
          </cell>
          <cell r="L379">
            <v>30149</v>
          </cell>
          <cell r="M379">
            <v>-15651</v>
          </cell>
          <cell r="P379">
            <v>0</v>
          </cell>
          <cell r="R379">
            <v>1783661</v>
          </cell>
          <cell r="T379">
            <v>821877</v>
          </cell>
          <cell r="U379">
            <v>198865</v>
          </cell>
        </row>
        <row r="380">
          <cell r="A380" t="str">
            <v>APR 2016</v>
          </cell>
          <cell r="B380" t="str">
            <v>LGINE663</v>
          </cell>
          <cell r="E380">
            <v>1038168</v>
          </cell>
          <cell r="L380">
            <v>1742</v>
          </cell>
          <cell r="M380">
            <v>-904</v>
          </cell>
          <cell r="P380">
            <v>0</v>
          </cell>
          <cell r="R380">
            <v>102132</v>
          </cell>
          <cell r="T380">
            <v>45473</v>
          </cell>
          <cell r="U380">
            <v>11493</v>
          </cell>
        </row>
        <row r="381">
          <cell r="A381" t="str">
            <v>APR 2016</v>
          </cell>
          <cell r="B381" t="str">
            <v>LGINE691</v>
          </cell>
          <cell r="E381">
            <v>20494105</v>
          </cell>
          <cell r="L381">
            <v>34396</v>
          </cell>
          <cell r="M381">
            <v>-17855</v>
          </cell>
          <cell r="P381">
            <v>0</v>
          </cell>
          <cell r="R381">
            <v>1821359</v>
          </cell>
          <cell r="T381">
            <v>740230</v>
          </cell>
          <cell r="U381">
            <v>226873</v>
          </cell>
        </row>
        <row r="382">
          <cell r="A382" t="str">
            <v>APR 2016</v>
          </cell>
          <cell r="B382" t="str">
            <v>LGINE693</v>
          </cell>
          <cell r="E382">
            <v>130912123</v>
          </cell>
          <cell r="L382">
            <v>219713</v>
          </cell>
          <cell r="M382">
            <v>-114052</v>
          </cell>
          <cell r="P382">
            <v>0</v>
          </cell>
          <cell r="R382">
            <v>9944065</v>
          </cell>
          <cell r="T382">
            <v>3736218</v>
          </cell>
          <cell r="U382">
            <v>1449216</v>
          </cell>
        </row>
        <row r="383">
          <cell r="A383" t="str">
            <v>APR 2016</v>
          </cell>
          <cell r="B383" t="str">
            <v>LGMLE570</v>
          </cell>
          <cell r="E383">
            <v>0</v>
          </cell>
          <cell r="L383">
            <v>0</v>
          </cell>
          <cell r="M383">
            <v>0</v>
          </cell>
          <cell r="P383">
            <v>0</v>
          </cell>
          <cell r="R383">
            <v>0</v>
          </cell>
          <cell r="T383">
            <v>0</v>
          </cell>
          <cell r="U383">
            <v>0</v>
          </cell>
        </row>
        <row r="384">
          <cell r="A384" t="str">
            <v>APR 2016</v>
          </cell>
          <cell r="B384" t="str">
            <v>LGMLE571</v>
          </cell>
          <cell r="E384">
            <v>0</v>
          </cell>
          <cell r="L384">
            <v>0</v>
          </cell>
          <cell r="M384">
            <v>0</v>
          </cell>
          <cell r="P384">
            <v>0</v>
          </cell>
          <cell r="R384">
            <v>0</v>
          </cell>
          <cell r="T384">
            <v>0</v>
          </cell>
          <cell r="U384">
            <v>0</v>
          </cell>
        </row>
        <row r="385">
          <cell r="A385" t="str">
            <v>APR 2016</v>
          </cell>
          <cell r="B385" t="str">
            <v>LGMLE572</v>
          </cell>
          <cell r="E385">
            <v>0</v>
          </cell>
          <cell r="L385">
            <v>0</v>
          </cell>
          <cell r="M385">
            <v>0</v>
          </cell>
          <cell r="P385">
            <v>0</v>
          </cell>
          <cell r="R385">
            <v>0</v>
          </cell>
          <cell r="T385">
            <v>0</v>
          </cell>
          <cell r="U385">
            <v>0</v>
          </cell>
        </row>
        <row r="386">
          <cell r="A386" t="str">
            <v>APR 2016</v>
          </cell>
          <cell r="B386" t="str">
            <v>LGMLE573</v>
          </cell>
          <cell r="E386">
            <v>0</v>
          </cell>
          <cell r="L386">
            <v>0</v>
          </cell>
          <cell r="M386">
            <v>0</v>
          </cell>
          <cell r="P386">
            <v>0</v>
          </cell>
          <cell r="R386">
            <v>0</v>
          </cell>
          <cell r="T386">
            <v>0</v>
          </cell>
          <cell r="U386">
            <v>0</v>
          </cell>
        </row>
        <row r="387">
          <cell r="A387" t="str">
            <v>APR 2016</v>
          </cell>
          <cell r="B387" t="str">
            <v>LGMLE574</v>
          </cell>
          <cell r="E387">
            <v>0</v>
          </cell>
          <cell r="L387">
            <v>0</v>
          </cell>
          <cell r="M387">
            <v>0</v>
          </cell>
          <cell r="P387">
            <v>0</v>
          </cell>
          <cell r="R387">
            <v>0</v>
          </cell>
          <cell r="T387">
            <v>0</v>
          </cell>
          <cell r="U387">
            <v>0</v>
          </cell>
        </row>
        <row r="388">
          <cell r="A388" t="str">
            <v>APR 2016</v>
          </cell>
          <cell r="B388" t="str">
            <v>LGRSE000</v>
          </cell>
          <cell r="T388">
            <v>0</v>
          </cell>
          <cell r="U388">
            <v>0</v>
          </cell>
        </row>
        <row r="389">
          <cell r="A389" t="str">
            <v>APR 2016</v>
          </cell>
          <cell r="B389" t="str">
            <v>LGRSE411</v>
          </cell>
          <cell r="T389">
            <v>0</v>
          </cell>
          <cell r="U389">
            <v>0</v>
          </cell>
        </row>
        <row r="390">
          <cell r="A390" t="str">
            <v>APR 2016</v>
          </cell>
          <cell r="B390" t="str">
            <v>LGRSE511</v>
          </cell>
          <cell r="E390">
            <v>258348857</v>
          </cell>
          <cell r="L390">
            <v>433592</v>
          </cell>
          <cell r="M390">
            <v>-225077</v>
          </cell>
          <cell r="P390">
            <v>0</v>
          </cell>
          <cell r="R390">
            <v>27826721</v>
          </cell>
          <cell r="T390">
            <v>0</v>
          </cell>
          <cell r="U390">
            <v>2859958</v>
          </cell>
        </row>
        <row r="391">
          <cell r="A391" t="str">
            <v>APR 2016</v>
          </cell>
          <cell r="B391" t="str">
            <v>LGRSE519</v>
          </cell>
          <cell r="T391">
            <v>0</v>
          </cell>
          <cell r="U391">
            <v>0</v>
          </cell>
        </row>
        <row r="392">
          <cell r="A392" t="str">
            <v>APR 2016</v>
          </cell>
          <cell r="B392" t="str">
            <v>LGRSE540</v>
          </cell>
          <cell r="T392">
            <v>0</v>
          </cell>
          <cell r="U392">
            <v>0</v>
          </cell>
        </row>
        <row r="393">
          <cell r="A393" t="str">
            <v>APR 2016</v>
          </cell>
          <cell r="B393" t="str">
            <v>LGRSE543</v>
          </cell>
          <cell r="T393">
            <v>0</v>
          </cell>
          <cell r="U393">
            <v>0</v>
          </cell>
        </row>
        <row r="394">
          <cell r="A394" t="str">
            <v>APR 2016</v>
          </cell>
          <cell r="B394" t="str">
            <v>LGRSE547</v>
          </cell>
          <cell r="T394">
            <v>0</v>
          </cell>
          <cell r="U394">
            <v>0</v>
          </cell>
        </row>
        <row r="395">
          <cell r="A395" t="str">
            <v>APR 2016</v>
          </cell>
          <cell r="B395" t="str">
            <v>LGUM_000</v>
          </cell>
          <cell r="T395">
            <v>0</v>
          </cell>
          <cell r="U395">
            <v>0</v>
          </cell>
        </row>
        <row r="396">
          <cell r="A396" t="str">
            <v>APR 2016</v>
          </cell>
          <cell r="B396" t="str">
            <v>LGUM_201</v>
          </cell>
          <cell r="T396">
            <v>0</v>
          </cell>
          <cell r="U396">
            <v>0</v>
          </cell>
        </row>
        <row r="397">
          <cell r="A397" t="str">
            <v>APR 2016</v>
          </cell>
          <cell r="B397" t="str">
            <v>LGUM_203</v>
          </cell>
          <cell r="T397">
            <v>0</v>
          </cell>
          <cell r="U397">
            <v>0</v>
          </cell>
        </row>
        <row r="398">
          <cell r="A398" t="str">
            <v>APR 2016</v>
          </cell>
          <cell r="B398" t="str">
            <v>LGUM_204</v>
          </cell>
          <cell r="T398">
            <v>0</v>
          </cell>
          <cell r="U398">
            <v>0</v>
          </cell>
        </row>
        <row r="399">
          <cell r="A399" t="str">
            <v>APR 2016</v>
          </cell>
          <cell r="B399" t="str">
            <v>LGUM_204CU</v>
          </cell>
          <cell r="T399">
            <v>0</v>
          </cell>
          <cell r="U399">
            <v>0</v>
          </cell>
        </row>
        <row r="400">
          <cell r="A400" t="str">
            <v>APR 2016</v>
          </cell>
          <cell r="B400" t="str">
            <v>LGUM_206</v>
          </cell>
          <cell r="T400">
            <v>0</v>
          </cell>
          <cell r="U400">
            <v>0</v>
          </cell>
        </row>
        <row r="401">
          <cell r="A401" t="str">
            <v>APR 2016</v>
          </cell>
          <cell r="B401" t="str">
            <v>LGUM_207</v>
          </cell>
          <cell r="T401">
            <v>0</v>
          </cell>
          <cell r="U401">
            <v>0</v>
          </cell>
        </row>
        <row r="402">
          <cell r="A402" t="str">
            <v>APR 2016</v>
          </cell>
          <cell r="B402" t="str">
            <v>LGUM_208</v>
          </cell>
          <cell r="T402">
            <v>0</v>
          </cell>
          <cell r="U402">
            <v>0</v>
          </cell>
        </row>
        <row r="403">
          <cell r="A403" t="str">
            <v>APR 2016</v>
          </cell>
          <cell r="B403" t="str">
            <v>LGUM_209</v>
          </cell>
          <cell r="T403">
            <v>0</v>
          </cell>
          <cell r="U403">
            <v>0</v>
          </cell>
        </row>
        <row r="404">
          <cell r="A404" t="str">
            <v>APR 2016</v>
          </cell>
          <cell r="B404" t="str">
            <v>LGUM_209CU</v>
          </cell>
          <cell r="T404">
            <v>0</v>
          </cell>
          <cell r="U404">
            <v>0</v>
          </cell>
        </row>
        <row r="405">
          <cell r="A405" t="str">
            <v>APR 2016</v>
          </cell>
          <cell r="B405" t="str">
            <v>LGUM_210</v>
          </cell>
          <cell r="T405">
            <v>0</v>
          </cell>
          <cell r="U405">
            <v>0</v>
          </cell>
        </row>
        <row r="406">
          <cell r="A406" t="str">
            <v>APR 2016</v>
          </cell>
          <cell r="B406" t="str">
            <v>LGUM_252</v>
          </cell>
          <cell r="T406">
            <v>0</v>
          </cell>
          <cell r="U406">
            <v>0</v>
          </cell>
        </row>
        <row r="407">
          <cell r="A407" t="str">
            <v>APR 2016</v>
          </cell>
          <cell r="B407" t="str">
            <v>LGUM_266</v>
          </cell>
          <cell r="T407">
            <v>0</v>
          </cell>
          <cell r="U407">
            <v>0</v>
          </cell>
        </row>
        <row r="408">
          <cell r="A408" t="str">
            <v>APR 2016</v>
          </cell>
          <cell r="B408" t="str">
            <v>LGUM_267</v>
          </cell>
          <cell r="T408">
            <v>0</v>
          </cell>
          <cell r="U408">
            <v>0</v>
          </cell>
        </row>
        <row r="409">
          <cell r="A409" t="str">
            <v>APR 2016</v>
          </cell>
          <cell r="B409" t="str">
            <v>LGUM_274</v>
          </cell>
          <cell r="T409">
            <v>0</v>
          </cell>
          <cell r="U409">
            <v>0</v>
          </cell>
        </row>
        <row r="410">
          <cell r="A410" t="str">
            <v>APR 2016</v>
          </cell>
          <cell r="B410" t="str">
            <v>LGUM_275</v>
          </cell>
          <cell r="T410">
            <v>0</v>
          </cell>
          <cell r="U410">
            <v>0</v>
          </cell>
        </row>
        <row r="411">
          <cell r="A411" t="str">
            <v>APR 2016</v>
          </cell>
          <cell r="B411" t="str">
            <v>LGUM_276</v>
          </cell>
          <cell r="T411">
            <v>0</v>
          </cell>
          <cell r="U411">
            <v>0</v>
          </cell>
        </row>
        <row r="412">
          <cell r="A412" t="str">
            <v>APR 2016</v>
          </cell>
          <cell r="B412" t="str">
            <v>LGUM_277</v>
          </cell>
          <cell r="T412">
            <v>0</v>
          </cell>
          <cell r="U412">
            <v>0</v>
          </cell>
        </row>
        <row r="413">
          <cell r="A413" t="str">
            <v>APR 2016</v>
          </cell>
          <cell r="B413" t="str">
            <v>LGUM_278</v>
          </cell>
          <cell r="T413">
            <v>0</v>
          </cell>
          <cell r="U413">
            <v>0</v>
          </cell>
        </row>
        <row r="414">
          <cell r="A414" t="str">
            <v>APR 2016</v>
          </cell>
          <cell r="B414" t="str">
            <v>LGUM_279</v>
          </cell>
          <cell r="T414">
            <v>0</v>
          </cell>
          <cell r="U414">
            <v>0</v>
          </cell>
        </row>
        <row r="415">
          <cell r="A415" t="str">
            <v>APR 2016</v>
          </cell>
          <cell r="B415" t="str">
            <v>LGUM_280</v>
          </cell>
          <cell r="T415">
            <v>0</v>
          </cell>
          <cell r="U415">
            <v>0</v>
          </cell>
        </row>
        <row r="416">
          <cell r="A416" t="str">
            <v>APR 2016</v>
          </cell>
          <cell r="B416" t="str">
            <v>LGUM_281</v>
          </cell>
          <cell r="T416">
            <v>0</v>
          </cell>
          <cell r="U416">
            <v>0</v>
          </cell>
        </row>
        <row r="417">
          <cell r="A417" t="str">
            <v>APR 2016</v>
          </cell>
          <cell r="B417" t="str">
            <v>LGUM_282</v>
          </cell>
          <cell r="T417">
            <v>0</v>
          </cell>
          <cell r="U417">
            <v>0</v>
          </cell>
        </row>
        <row r="418">
          <cell r="A418" t="str">
            <v>APR 2016</v>
          </cell>
          <cell r="B418" t="str">
            <v>LGUM_283</v>
          </cell>
          <cell r="T418">
            <v>0</v>
          </cell>
          <cell r="U418">
            <v>0</v>
          </cell>
        </row>
        <row r="419">
          <cell r="A419" t="str">
            <v>APR 2016</v>
          </cell>
          <cell r="B419" t="str">
            <v>LGUM_314</v>
          </cell>
          <cell r="T419">
            <v>0</v>
          </cell>
          <cell r="U419">
            <v>0</v>
          </cell>
        </row>
        <row r="420">
          <cell r="A420" t="str">
            <v>APR 2016</v>
          </cell>
          <cell r="B420" t="str">
            <v>LGUM_315</v>
          </cell>
          <cell r="T420">
            <v>0</v>
          </cell>
          <cell r="U420">
            <v>0</v>
          </cell>
        </row>
        <row r="421">
          <cell r="A421" t="str">
            <v>APR 2016</v>
          </cell>
          <cell r="B421" t="str">
            <v>LGUM_318</v>
          </cell>
          <cell r="T421">
            <v>0</v>
          </cell>
          <cell r="U421">
            <v>0</v>
          </cell>
        </row>
        <row r="422">
          <cell r="A422" t="str">
            <v>APR 2016</v>
          </cell>
          <cell r="B422" t="str">
            <v>LGUM_348</v>
          </cell>
          <cell r="T422">
            <v>0</v>
          </cell>
          <cell r="U422">
            <v>0</v>
          </cell>
        </row>
        <row r="423">
          <cell r="A423" t="str">
            <v>APR 2016</v>
          </cell>
          <cell r="B423" t="str">
            <v>LGUM_349</v>
          </cell>
          <cell r="T423">
            <v>0</v>
          </cell>
          <cell r="U423">
            <v>0</v>
          </cell>
        </row>
        <row r="424">
          <cell r="A424" t="str">
            <v>APR 2016</v>
          </cell>
          <cell r="B424" t="str">
            <v>LGUM_400</v>
          </cell>
          <cell r="T424">
            <v>0</v>
          </cell>
          <cell r="U424">
            <v>0</v>
          </cell>
        </row>
        <row r="425">
          <cell r="A425" t="str">
            <v>APR 2016</v>
          </cell>
          <cell r="B425" t="str">
            <v>LGUM_401</v>
          </cell>
          <cell r="T425">
            <v>0</v>
          </cell>
          <cell r="U425">
            <v>0</v>
          </cell>
        </row>
        <row r="426">
          <cell r="A426" t="str">
            <v>APR 2016</v>
          </cell>
          <cell r="B426" t="str">
            <v>LGUM_412</v>
          </cell>
          <cell r="T426">
            <v>0</v>
          </cell>
          <cell r="U426">
            <v>0</v>
          </cell>
        </row>
        <row r="427">
          <cell r="A427" t="str">
            <v>APR 2016</v>
          </cell>
          <cell r="B427" t="str">
            <v>LGUM_413</v>
          </cell>
          <cell r="T427">
            <v>0</v>
          </cell>
          <cell r="U427">
            <v>0</v>
          </cell>
        </row>
        <row r="428">
          <cell r="A428" t="str">
            <v>APR 2016</v>
          </cell>
          <cell r="B428" t="str">
            <v>LGUM_415</v>
          </cell>
          <cell r="T428">
            <v>0</v>
          </cell>
          <cell r="U428">
            <v>0</v>
          </cell>
        </row>
        <row r="429">
          <cell r="A429" t="str">
            <v>APR 2016</v>
          </cell>
          <cell r="B429" t="str">
            <v>LGUM_416</v>
          </cell>
          <cell r="T429">
            <v>0</v>
          </cell>
          <cell r="U429">
            <v>0</v>
          </cell>
        </row>
        <row r="430">
          <cell r="A430" t="str">
            <v>APR 2016</v>
          </cell>
          <cell r="B430" t="str">
            <v>LGUM_417</v>
          </cell>
          <cell r="T430">
            <v>0</v>
          </cell>
          <cell r="U430">
            <v>0</v>
          </cell>
        </row>
        <row r="431">
          <cell r="A431" t="str">
            <v>APR 2016</v>
          </cell>
          <cell r="B431" t="str">
            <v>LGUM_419</v>
          </cell>
          <cell r="T431">
            <v>0</v>
          </cell>
          <cell r="U431">
            <v>0</v>
          </cell>
        </row>
        <row r="432">
          <cell r="A432" t="str">
            <v>APR 2016</v>
          </cell>
          <cell r="B432" t="str">
            <v>LGUM_420</v>
          </cell>
          <cell r="T432">
            <v>0</v>
          </cell>
          <cell r="U432">
            <v>0</v>
          </cell>
        </row>
        <row r="433">
          <cell r="A433" t="str">
            <v>APR 2016</v>
          </cell>
          <cell r="B433" t="str">
            <v>LGUM_421</v>
          </cell>
          <cell r="T433">
            <v>0</v>
          </cell>
          <cell r="U433">
            <v>0</v>
          </cell>
        </row>
        <row r="434">
          <cell r="A434" t="str">
            <v>APR 2016</v>
          </cell>
          <cell r="B434" t="str">
            <v>LGUM_422</v>
          </cell>
          <cell r="T434">
            <v>0</v>
          </cell>
          <cell r="U434">
            <v>0</v>
          </cell>
        </row>
        <row r="435">
          <cell r="A435" t="str">
            <v>APR 2016</v>
          </cell>
          <cell r="B435" t="str">
            <v>LGUM_423</v>
          </cell>
          <cell r="T435">
            <v>0</v>
          </cell>
          <cell r="U435">
            <v>0</v>
          </cell>
        </row>
        <row r="436">
          <cell r="A436" t="str">
            <v>APR 2016</v>
          </cell>
          <cell r="B436" t="str">
            <v>LGUM_424</v>
          </cell>
          <cell r="T436">
            <v>0</v>
          </cell>
          <cell r="U436">
            <v>0</v>
          </cell>
        </row>
        <row r="437">
          <cell r="A437" t="str">
            <v>APR 2016</v>
          </cell>
          <cell r="B437" t="str">
            <v>LGUM_425</v>
          </cell>
          <cell r="T437">
            <v>0</v>
          </cell>
          <cell r="U437">
            <v>0</v>
          </cell>
        </row>
        <row r="438">
          <cell r="A438" t="str">
            <v>APR 2016</v>
          </cell>
          <cell r="B438" t="str">
            <v>LGUM_426</v>
          </cell>
          <cell r="T438">
            <v>0</v>
          </cell>
          <cell r="U438">
            <v>0</v>
          </cell>
        </row>
        <row r="439">
          <cell r="A439" t="str">
            <v>APR 2016</v>
          </cell>
          <cell r="B439" t="str">
            <v>LGUM_427</v>
          </cell>
          <cell r="T439">
            <v>0</v>
          </cell>
          <cell r="U439">
            <v>0</v>
          </cell>
        </row>
        <row r="440">
          <cell r="A440" t="str">
            <v>APR 2016</v>
          </cell>
          <cell r="B440" t="str">
            <v>LGUM_428</v>
          </cell>
          <cell r="T440">
            <v>0</v>
          </cell>
          <cell r="U440">
            <v>0</v>
          </cell>
        </row>
        <row r="441">
          <cell r="A441" t="str">
            <v>APR 2016</v>
          </cell>
          <cell r="B441" t="str">
            <v>LGUM_429</v>
          </cell>
          <cell r="T441">
            <v>0</v>
          </cell>
          <cell r="U441">
            <v>0</v>
          </cell>
        </row>
        <row r="442">
          <cell r="A442" t="str">
            <v>APR 2016</v>
          </cell>
          <cell r="B442" t="str">
            <v>LGUM_430</v>
          </cell>
          <cell r="T442">
            <v>0</v>
          </cell>
          <cell r="U442">
            <v>0</v>
          </cell>
        </row>
        <row r="443">
          <cell r="A443" t="str">
            <v>APR 2016</v>
          </cell>
          <cell r="B443" t="str">
            <v>LGUM_431</v>
          </cell>
          <cell r="T443">
            <v>0</v>
          </cell>
          <cell r="U443">
            <v>0</v>
          </cell>
        </row>
        <row r="444">
          <cell r="A444" t="str">
            <v>APR 2016</v>
          </cell>
          <cell r="B444" t="str">
            <v>LGUM_432</v>
          </cell>
          <cell r="T444">
            <v>0</v>
          </cell>
          <cell r="U444">
            <v>0</v>
          </cell>
        </row>
        <row r="445">
          <cell r="A445" t="str">
            <v>APR 2016</v>
          </cell>
          <cell r="B445" t="str">
            <v>LGUM_433</v>
          </cell>
          <cell r="T445">
            <v>0</v>
          </cell>
          <cell r="U445">
            <v>0</v>
          </cell>
        </row>
        <row r="446">
          <cell r="A446" t="str">
            <v>APR 2016</v>
          </cell>
          <cell r="B446" t="str">
            <v>LGUM_440</v>
          </cell>
          <cell r="T446">
            <v>0</v>
          </cell>
          <cell r="U446">
            <v>0</v>
          </cell>
        </row>
        <row r="447">
          <cell r="A447" t="str">
            <v>APR 2016</v>
          </cell>
          <cell r="B447" t="str">
            <v>LGUM_441</v>
          </cell>
          <cell r="T447">
            <v>0</v>
          </cell>
          <cell r="U447">
            <v>0</v>
          </cell>
        </row>
        <row r="448">
          <cell r="A448" t="str">
            <v>APR 2016</v>
          </cell>
          <cell r="B448" t="str">
            <v>LGUM_452</v>
          </cell>
          <cell r="T448">
            <v>0</v>
          </cell>
          <cell r="U448">
            <v>0</v>
          </cell>
        </row>
        <row r="449">
          <cell r="A449" t="str">
            <v>APR 2016</v>
          </cell>
          <cell r="B449" t="str">
            <v>LGUM_452CU</v>
          </cell>
          <cell r="T449">
            <v>0</v>
          </cell>
          <cell r="U449">
            <v>0</v>
          </cell>
        </row>
        <row r="450">
          <cell r="A450" t="str">
            <v>APR 2016</v>
          </cell>
          <cell r="B450" t="str">
            <v>LGUM_453</v>
          </cell>
          <cell r="T450">
            <v>0</v>
          </cell>
          <cell r="U450">
            <v>0</v>
          </cell>
        </row>
        <row r="451">
          <cell r="A451" t="str">
            <v>APR 2016</v>
          </cell>
          <cell r="B451" t="str">
            <v>LGUM_453CU</v>
          </cell>
          <cell r="T451">
            <v>0</v>
          </cell>
          <cell r="U451">
            <v>0</v>
          </cell>
        </row>
        <row r="452">
          <cell r="A452" t="str">
            <v>APR 2016</v>
          </cell>
          <cell r="B452" t="str">
            <v>LGUM_454</v>
          </cell>
          <cell r="T452">
            <v>0</v>
          </cell>
          <cell r="U452">
            <v>0</v>
          </cell>
        </row>
        <row r="453">
          <cell r="A453" t="str">
            <v>APR 2016</v>
          </cell>
          <cell r="B453" t="str">
            <v>LGUM_454CU</v>
          </cell>
          <cell r="T453">
            <v>0</v>
          </cell>
          <cell r="U453">
            <v>0</v>
          </cell>
        </row>
        <row r="454">
          <cell r="A454" t="str">
            <v>APR 2016</v>
          </cell>
          <cell r="B454" t="str">
            <v>LGUM_455</v>
          </cell>
          <cell r="T454">
            <v>0</v>
          </cell>
          <cell r="U454">
            <v>0</v>
          </cell>
        </row>
        <row r="455">
          <cell r="A455" t="str">
            <v>APR 2016</v>
          </cell>
          <cell r="B455" t="str">
            <v>LGUM_456</v>
          </cell>
          <cell r="T455">
            <v>0</v>
          </cell>
          <cell r="U455">
            <v>0</v>
          </cell>
        </row>
        <row r="456">
          <cell r="A456" t="str">
            <v>APR 2016</v>
          </cell>
          <cell r="B456" t="str">
            <v>LGUM_456CU</v>
          </cell>
          <cell r="T456">
            <v>0</v>
          </cell>
          <cell r="U456">
            <v>0</v>
          </cell>
        </row>
        <row r="457">
          <cell r="A457" t="str">
            <v>APR 2016</v>
          </cell>
          <cell r="B457" t="str">
            <v>LGUM_457</v>
          </cell>
          <cell r="T457">
            <v>0</v>
          </cell>
          <cell r="U457">
            <v>0</v>
          </cell>
        </row>
        <row r="458">
          <cell r="A458" t="str">
            <v>APR 2016</v>
          </cell>
          <cell r="B458" t="str">
            <v>LGUM_458</v>
          </cell>
          <cell r="T458">
            <v>0</v>
          </cell>
          <cell r="U458">
            <v>0</v>
          </cell>
        </row>
        <row r="459">
          <cell r="A459" t="str">
            <v>APR 2016</v>
          </cell>
          <cell r="B459" t="str">
            <v>LGUM_470</v>
          </cell>
          <cell r="T459">
            <v>0</v>
          </cell>
          <cell r="U459">
            <v>0</v>
          </cell>
        </row>
        <row r="460">
          <cell r="A460" t="str">
            <v>APR 2016</v>
          </cell>
          <cell r="B460" t="str">
            <v>LGUM_471</v>
          </cell>
          <cell r="T460">
            <v>0</v>
          </cell>
          <cell r="U460">
            <v>0</v>
          </cell>
        </row>
        <row r="461">
          <cell r="A461" t="str">
            <v>APR 2016</v>
          </cell>
          <cell r="B461" t="str">
            <v>LGUM_473</v>
          </cell>
          <cell r="T461">
            <v>0</v>
          </cell>
          <cell r="U461">
            <v>0</v>
          </cell>
        </row>
        <row r="462">
          <cell r="A462" t="str">
            <v>APR 2016</v>
          </cell>
          <cell r="B462" t="str">
            <v>LGUM_474</v>
          </cell>
          <cell r="T462">
            <v>0</v>
          </cell>
          <cell r="U462">
            <v>0</v>
          </cell>
        </row>
        <row r="463">
          <cell r="A463" t="str">
            <v>APR 2016</v>
          </cell>
          <cell r="B463" t="str">
            <v>LGUM_475</v>
          </cell>
          <cell r="T463">
            <v>0</v>
          </cell>
          <cell r="U463">
            <v>0</v>
          </cell>
        </row>
        <row r="464">
          <cell r="A464" t="str">
            <v>APR 2016</v>
          </cell>
          <cell r="B464" t="str">
            <v>LGUM_476</v>
          </cell>
          <cell r="T464">
            <v>0</v>
          </cell>
          <cell r="U464">
            <v>0</v>
          </cell>
        </row>
        <row r="465">
          <cell r="A465" t="str">
            <v>APR 2016</v>
          </cell>
          <cell r="B465" t="str">
            <v>LGUM_477</v>
          </cell>
          <cell r="T465">
            <v>0</v>
          </cell>
          <cell r="U465">
            <v>0</v>
          </cell>
        </row>
        <row r="466">
          <cell r="A466" t="str">
            <v>APR 2016</v>
          </cell>
          <cell r="B466" t="str">
            <v>LGUM_480</v>
          </cell>
          <cell r="T466">
            <v>0</v>
          </cell>
          <cell r="U466">
            <v>0</v>
          </cell>
        </row>
        <row r="467">
          <cell r="A467" t="str">
            <v>APR 2016</v>
          </cell>
          <cell r="B467" t="str">
            <v>LGUM_481</v>
          </cell>
          <cell r="T467">
            <v>0</v>
          </cell>
          <cell r="U467">
            <v>0</v>
          </cell>
        </row>
        <row r="468">
          <cell r="A468" t="str">
            <v>APR 2016</v>
          </cell>
          <cell r="B468" t="str">
            <v>LGUM_482</v>
          </cell>
          <cell r="T468">
            <v>0</v>
          </cell>
          <cell r="U468">
            <v>0</v>
          </cell>
        </row>
        <row r="469">
          <cell r="A469" t="str">
            <v>APR 2016</v>
          </cell>
          <cell r="B469" t="str">
            <v>LGUM_483</v>
          </cell>
          <cell r="T469">
            <v>0</v>
          </cell>
          <cell r="U469">
            <v>0</v>
          </cell>
        </row>
        <row r="470">
          <cell r="A470" t="str">
            <v>APR 2016</v>
          </cell>
          <cell r="B470" t="str">
            <v>LGUM_484</v>
          </cell>
          <cell r="T470">
            <v>0</v>
          </cell>
          <cell r="U470">
            <v>0</v>
          </cell>
        </row>
        <row r="471">
          <cell r="A471" t="str">
            <v>APR 2016</v>
          </cell>
          <cell r="B471" t="str">
            <v>Result</v>
          </cell>
          <cell r="T471">
            <v>0</v>
          </cell>
          <cell r="U471">
            <v>0</v>
          </cell>
        </row>
        <row r="472">
          <cell r="A472" t="str">
            <v>MAY 2016</v>
          </cell>
          <cell r="B472" t="str">
            <v>LEUM_826</v>
          </cell>
          <cell r="T472">
            <v>0</v>
          </cell>
          <cell r="U472">
            <v>0</v>
          </cell>
        </row>
        <row r="473">
          <cell r="A473" t="str">
            <v>MAY 2016</v>
          </cell>
          <cell r="B473" t="str">
            <v>LEUM_826</v>
          </cell>
          <cell r="T473">
            <v>0</v>
          </cell>
          <cell r="U473">
            <v>0</v>
          </cell>
        </row>
        <row r="474">
          <cell r="A474" t="str">
            <v>MAY 2016</v>
          </cell>
          <cell r="B474" t="str">
            <v>ODL</v>
          </cell>
          <cell r="E474">
            <v>8869365</v>
          </cell>
          <cell r="L474">
            <v>0</v>
          </cell>
          <cell r="M474">
            <v>1711</v>
          </cell>
          <cell r="P474">
            <v>0</v>
          </cell>
          <cell r="R474">
            <v>1284816</v>
          </cell>
          <cell r="T474">
            <v>0</v>
          </cell>
          <cell r="U474">
            <v>92840</v>
          </cell>
        </row>
        <row r="475">
          <cell r="A475" t="str">
            <v>MAY 2016</v>
          </cell>
          <cell r="B475" t="str">
            <v>LEUM_829</v>
          </cell>
          <cell r="E475">
            <v>0</v>
          </cell>
          <cell r="L475">
            <v>0</v>
          </cell>
          <cell r="M475">
            <v>0</v>
          </cell>
          <cell r="P475">
            <v>0</v>
          </cell>
          <cell r="R475">
            <v>0</v>
          </cell>
          <cell r="T475">
            <v>0</v>
          </cell>
          <cell r="U475">
            <v>0</v>
          </cell>
        </row>
        <row r="476">
          <cell r="A476" t="str">
            <v>MAY 2016</v>
          </cell>
          <cell r="B476" t="str">
            <v>LGCME000</v>
          </cell>
          <cell r="E476">
            <v>0</v>
          </cell>
          <cell r="L476">
            <v>0</v>
          </cell>
          <cell r="M476">
            <v>0</v>
          </cell>
          <cell r="P476">
            <v>0</v>
          </cell>
          <cell r="R476">
            <v>0</v>
          </cell>
          <cell r="T476">
            <v>0</v>
          </cell>
          <cell r="U476">
            <v>0</v>
          </cell>
        </row>
        <row r="477">
          <cell r="A477" t="str">
            <v>MAY 2016</v>
          </cell>
          <cell r="B477" t="str">
            <v>LGCME451</v>
          </cell>
          <cell r="E477">
            <v>0</v>
          </cell>
          <cell r="L477">
            <v>0</v>
          </cell>
          <cell r="M477">
            <v>0</v>
          </cell>
          <cell r="P477">
            <v>0</v>
          </cell>
          <cell r="R477">
            <v>0</v>
          </cell>
          <cell r="T477">
            <v>0</v>
          </cell>
          <cell r="U477">
            <v>0</v>
          </cell>
        </row>
        <row r="478">
          <cell r="A478" t="str">
            <v>MAY 2016</v>
          </cell>
          <cell r="B478" t="str">
            <v>LGCME551</v>
          </cell>
          <cell r="E478">
            <v>31985395</v>
          </cell>
          <cell r="L478">
            <v>66952</v>
          </cell>
          <cell r="M478">
            <v>6170</v>
          </cell>
          <cell r="P478">
            <v>0</v>
          </cell>
          <cell r="R478">
            <v>3894740</v>
          </cell>
          <cell r="T478">
            <v>0</v>
          </cell>
          <cell r="U478">
            <v>334807</v>
          </cell>
        </row>
        <row r="479">
          <cell r="A479" t="str">
            <v>MAY 2016</v>
          </cell>
          <cell r="B479" t="str">
            <v>LGCME551UM</v>
          </cell>
          <cell r="E479">
            <v>0</v>
          </cell>
          <cell r="L479">
            <v>0</v>
          </cell>
          <cell r="M479">
            <v>0</v>
          </cell>
          <cell r="P479">
            <v>0</v>
          </cell>
          <cell r="R479">
            <v>0</v>
          </cell>
          <cell r="T479">
            <v>0</v>
          </cell>
          <cell r="U479">
            <v>0</v>
          </cell>
        </row>
        <row r="480">
          <cell r="A480" t="str">
            <v>MAY 2016</v>
          </cell>
          <cell r="B480" t="str">
            <v>LGCME552</v>
          </cell>
          <cell r="E480">
            <v>0</v>
          </cell>
          <cell r="L480">
            <v>0</v>
          </cell>
          <cell r="M480">
            <v>0</v>
          </cell>
          <cell r="P480">
            <v>0</v>
          </cell>
          <cell r="R480">
            <v>0</v>
          </cell>
          <cell r="T480">
            <v>0</v>
          </cell>
          <cell r="U480">
            <v>0</v>
          </cell>
        </row>
        <row r="481">
          <cell r="A481" t="str">
            <v>MAY 2016</v>
          </cell>
          <cell r="B481" t="str">
            <v>LGCME557</v>
          </cell>
          <cell r="E481">
            <v>0</v>
          </cell>
          <cell r="L481">
            <v>0</v>
          </cell>
          <cell r="M481">
            <v>0</v>
          </cell>
          <cell r="P481">
            <v>0</v>
          </cell>
          <cell r="R481">
            <v>0</v>
          </cell>
          <cell r="T481">
            <v>0</v>
          </cell>
          <cell r="U481">
            <v>0</v>
          </cell>
        </row>
        <row r="482">
          <cell r="A482" t="str">
            <v>MAY 2016</v>
          </cell>
          <cell r="B482" t="str">
            <v>LGCME561</v>
          </cell>
          <cell r="E482">
            <v>151860057</v>
          </cell>
          <cell r="L482">
            <v>317872</v>
          </cell>
          <cell r="M482">
            <v>29296</v>
          </cell>
          <cell r="P482">
            <v>0</v>
          </cell>
          <cell r="R482">
            <v>13879832</v>
          </cell>
          <cell r="T482">
            <v>5544904</v>
          </cell>
          <cell r="U482">
            <v>1589592</v>
          </cell>
        </row>
        <row r="483">
          <cell r="A483" t="str">
            <v>MAY 2016</v>
          </cell>
          <cell r="B483" t="str">
            <v>LGCME563</v>
          </cell>
          <cell r="E483">
            <v>13088103</v>
          </cell>
          <cell r="L483">
            <v>27396</v>
          </cell>
          <cell r="M483">
            <v>2525</v>
          </cell>
          <cell r="P483">
            <v>0</v>
          </cell>
          <cell r="R483">
            <v>1084323</v>
          </cell>
          <cell r="T483">
            <v>394724</v>
          </cell>
          <cell r="U483">
            <v>136999</v>
          </cell>
        </row>
        <row r="484">
          <cell r="A484" t="str">
            <v>MAY 2016</v>
          </cell>
          <cell r="B484" t="str">
            <v>LGCME567</v>
          </cell>
          <cell r="E484">
            <v>0</v>
          </cell>
          <cell r="L484">
            <v>0</v>
          </cell>
          <cell r="M484">
            <v>0</v>
          </cell>
          <cell r="P484">
            <v>0</v>
          </cell>
          <cell r="R484">
            <v>0</v>
          </cell>
          <cell r="T484">
            <v>0</v>
          </cell>
          <cell r="U484">
            <v>0</v>
          </cell>
        </row>
        <row r="485">
          <cell r="A485" t="str">
            <v>MAY 2016</v>
          </cell>
          <cell r="B485" t="str">
            <v>LGCME591</v>
          </cell>
          <cell r="E485">
            <v>67792801</v>
          </cell>
          <cell r="L485">
            <v>141903</v>
          </cell>
          <cell r="M485">
            <v>13078</v>
          </cell>
          <cell r="P485">
            <v>0</v>
          </cell>
          <cell r="R485">
            <v>5568648</v>
          </cell>
          <cell r="T485">
            <v>1953914</v>
          </cell>
          <cell r="U485">
            <v>709620</v>
          </cell>
        </row>
        <row r="486">
          <cell r="A486" t="str">
            <v>MAY 2016</v>
          </cell>
          <cell r="B486" t="str">
            <v>LGCME593</v>
          </cell>
          <cell r="E486">
            <v>32484574</v>
          </cell>
          <cell r="L486">
            <v>67996</v>
          </cell>
          <cell r="M486">
            <v>6267</v>
          </cell>
          <cell r="P486">
            <v>0</v>
          </cell>
          <cell r="R486">
            <v>2590680</v>
          </cell>
          <cell r="T486">
            <v>926423</v>
          </cell>
          <cell r="U486">
            <v>340032</v>
          </cell>
        </row>
        <row r="487">
          <cell r="A487" t="str">
            <v>MAY 2016</v>
          </cell>
          <cell r="B487" t="str">
            <v>LGCME651</v>
          </cell>
          <cell r="E487">
            <v>81600963</v>
          </cell>
          <cell r="L487">
            <v>170806</v>
          </cell>
          <cell r="M487">
            <v>15742</v>
          </cell>
          <cell r="P487">
            <v>0</v>
          </cell>
          <cell r="R487">
            <v>9068512</v>
          </cell>
          <cell r="T487">
            <v>0</v>
          </cell>
          <cell r="U487">
            <v>854157</v>
          </cell>
        </row>
        <row r="488">
          <cell r="A488" t="str">
            <v>MAY 2016</v>
          </cell>
          <cell r="B488" t="str">
            <v>LGCME652</v>
          </cell>
          <cell r="E488">
            <v>0</v>
          </cell>
          <cell r="L488">
            <v>0</v>
          </cell>
          <cell r="M488">
            <v>0</v>
          </cell>
          <cell r="P488">
            <v>0</v>
          </cell>
          <cell r="R488">
            <v>0</v>
          </cell>
          <cell r="T488">
            <v>0</v>
          </cell>
          <cell r="U488">
            <v>0</v>
          </cell>
        </row>
        <row r="489">
          <cell r="A489" t="str">
            <v>MAY 2016</v>
          </cell>
          <cell r="B489" t="str">
            <v>LGCME657</v>
          </cell>
          <cell r="E489">
            <v>0</v>
          </cell>
          <cell r="L489">
            <v>0</v>
          </cell>
          <cell r="M489">
            <v>0</v>
          </cell>
          <cell r="P489">
            <v>0</v>
          </cell>
          <cell r="R489">
            <v>0</v>
          </cell>
          <cell r="T489">
            <v>0</v>
          </cell>
          <cell r="U489">
            <v>0</v>
          </cell>
        </row>
        <row r="490">
          <cell r="A490" t="str">
            <v>MAY 2016</v>
          </cell>
          <cell r="B490" t="str">
            <v>LGCME671</v>
          </cell>
          <cell r="E490">
            <v>4343400</v>
          </cell>
          <cell r="L490">
            <v>0</v>
          </cell>
          <cell r="M490">
            <v>838</v>
          </cell>
          <cell r="P490">
            <v>0</v>
          </cell>
          <cell r="R490">
            <v>304686</v>
          </cell>
          <cell r="T490">
            <v>97591</v>
          </cell>
          <cell r="U490">
            <v>45464</v>
          </cell>
        </row>
        <row r="491">
          <cell r="A491" t="str">
            <v>MAY 2016</v>
          </cell>
          <cell r="B491" t="str">
            <v>LGCSR760</v>
          </cell>
          <cell r="E491">
            <v>0</v>
          </cell>
          <cell r="L491">
            <v>0</v>
          </cell>
          <cell r="M491">
            <v>0</v>
          </cell>
          <cell r="P491">
            <v>-286526</v>
          </cell>
          <cell r="R491">
            <v>-286526</v>
          </cell>
          <cell r="T491">
            <v>0</v>
          </cell>
          <cell r="U491">
            <v>0</v>
          </cell>
        </row>
        <row r="492">
          <cell r="A492" t="str">
            <v>MAY 2016</v>
          </cell>
          <cell r="B492" t="str">
            <v>LGCSR780</v>
          </cell>
          <cell r="E492">
            <v>0</v>
          </cell>
          <cell r="L492">
            <v>0</v>
          </cell>
          <cell r="M492">
            <v>0</v>
          </cell>
          <cell r="P492">
            <v>0</v>
          </cell>
          <cell r="R492">
            <v>0</v>
          </cell>
          <cell r="T492">
            <v>0</v>
          </cell>
          <cell r="U492">
            <v>0</v>
          </cell>
        </row>
        <row r="493">
          <cell r="A493" t="str">
            <v>MAY 2016</v>
          </cell>
          <cell r="B493" t="str">
            <v>LGINE000</v>
          </cell>
          <cell r="E493">
            <v>0</v>
          </cell>
          <cell r="L493">
            <v>0</v>
          </cell>
          <cell r="M493">
            <v>0</v>
          </cell>
          <cell r="P493">
            <v>0</v>
          </cell>
          <cell r="R493">
            <v>0</v>
          </cell>
          <cell r="T493">
            <v>0</v>
          </cell>
          <cell r="U493">
            <v>0</v>
          </cell>
        </row>
        <row r="494">
          <cell r="A494" t="str">
            <v>MAY 2016</v>
          </cell>
          <cell r="B494" t="str">
            <v>LGINE599</v>
          </cell>
          <cell r="E494">
            <v>8289000</v>
          </cell>
          <cell r="L494">
            <v>0</v>
          </cell>
          <cell r="M494">
            <v>1599</v>
          </cell>
          <cell r="P494">
            <v>0</v>
          </cell>
          <cell r="R494">
            <v>563046</v>
          </cell>
          <cell r="T494">
            <v>164673</v>
          </cell>
          <cell r="U494">
            <v>86765</v>
          </cell>
        </row>
        <row r="495">
          <cell r="A495" t="str">
            <v>MAY 2016</v>
          </cell>
          <cell r="B495" t="str">
            <v>LGINE643</v>
          </cell>
          <cell r="E495">
            <v>88780755</v>
          </cell>
          <cell r="L495">
            <v>0</v>
          </cell>
          <cell r="M495">
            <v>17127</v>
          </cell>
          <cell r="P495">
            <v>0</v>
          </cell>
          <cell r="R495">
            <v>5582542</v>
          </cell>
          <cell r="T495">
            <v>1422119</v>
          </cell>
          <cell r="U495">
            <v>929311</v>
          </cell>
        </row>
        <row r="496">
          <cell r="A496" t="str">
            <v>MAY 2016</v>
          </cell>
          <cell r="B496" t="str">
            <v>LGINE661</v>
          </cell>
          <cell r="E496">
            <v>20979803</v>
          </cell>
          <cell r="L496">
            <v>43915</v>
          </cell>
          <cell r="M496">
            <v>4047</v>
          </cell>
          <cell r="P496">
            <v>0</v>
          </cell>
          <cell r="R496">
            <v>2100097</v>
          </cell>
          <cell r="T496">
            <v>961759</v>
          </cell>
          <cell r="U496">
            <v>219606</v>
          </cell>
        </row>
        <row r="497">
          <cell r="A497" t="str">
            <v>MAY 2016</v>
          </cell>
          <cell r="B497" t="str">
            <v>LGINE663</v>
          </cell>
          <cell r="E497">
            <v>1232786</v>
          </cell>
          <cell r="L497">
            <v>2580</v>
          </cell>
          <cell r="M497">
            <v>238</v>
          </cell>
          <cell r="P497">
            <v>0</v>
          </cell>
          <cell r="R497">
            <v>123627</v>
          </cell>
          <cell r="T497">
            <v>55936</v>
          </cell>
          <cell r="U497">
            <v>12904</v>
          </cell>
        </row>
        <row r="498">
          <cell r="A498" t="str">
            <v>MAY 2016</v>
          </cell>
          <cell r="B498" t="str">
            <v>LGINE691</v>
          </cell>
          <cell r="E498">
            <v>24315210</v>
          </cell>
          <cell r="L498">
            <v>50896</v>
          </cell>
          <cell r="M498">
            <v>4691</v>
          </cell>
          <cell r="P498">
            <v>0</v>
          </cell>
          <cell r="R498">
            <v>2066721</v>
          </cell>
          <cell r="T498">
            <v>766439</v>
          </cell>
          <cell r="U498">
            <v>254519</v>
          </cell>
        </row>
        <row r="499">
          <cell r="A499" t="str">
            <v>MAY 2016</v>
          </cell>
          <cell r="B499" t="str">
            <v>LGINE693</v>
          </cell>
          <cell r="E499">
            <v>155453214</v>
          </cell>
          <cell r="L499">
            <v>325393</v>
          </cell>
          <cell r="M499">
            <v>29989</v>
          </cell>
          <cell r="P499">
            <v>0</v>
          </cell>
          <cell r="R499">
            <v>11345592</v>
          </cell>
          <cell r="T499">
            <v>3841472</v>
          </cell>
          <cell r="U499">
            <v>1627204</v>
          </cell>
        </row>
        <row r="500">
          <cell r="A500" t="str">
            <v>MAY 2016</v>
          </cell>
          <cell r="B500" t="str">
            <v>LGMLE570</v>
          </cell>
          <cell r="E500">
            <v>0</v>
          </cell>
          <cell r="L500">
            <v>0</v>
          </cell>
          <cell r="M500">
            <v>0</v>
          </cell>
          <cell r="P500">
            <v>0</v>
          </cell>
          <cell r="R500">
            <v>0</v>
          </cell>
          <cell r="T500">
            <v>0</v>
          </cell>
          <cell r="U500">
            <v>0</v>
          </cell>
        </row>
        <row r="501">
          <cell r="A501" t="str">
            <v>MAY 2016</v>
          </cell>
          <cell r="B501" t="str">
            <v>LGMLE571</v>
          </cell>
          <cell r="E501">
            <v>0</v>
          </cell>
          <cell r="L501">
            <v>0</v>
          </cell>
          <cell r="M501">
            <v>0</v>
          </cell>
          <cell r="P501">
            <v>0</v>
          </cell>
          <cell r="R501">
            <v>0</v>
          </cell>
          <cell r="T501">
            <v>0</v>
          </cell>
          <cell r="U501">
            <v>0</v>
          </cell>
        </row>
        <row r="502">
          <cell r="A502" t="str">
            <v>MAY 2016</v>
          </cell>
          <cell r="B502" t="str">
            <v>LGMLE572</v>
          </cell>
          <cell r="E502">
            <v>0</v>
          </cell>
          <cell r="L502">
            <v>0</v>
          </cell>
          <cell r="M502">
            <v>0</v>
          </cell>
          <cell r="P502">
            <v>0</v>
          </cell>
          <cell r="R502">
            <v>0</v>
          </cell>
          <cell r="T502">
            <v>0</v>
          </cell>
          <cell r="U502">
            <v>0</v>
          </cell>
        </row>
        <row r="503">
          <cell r="A503" t="str">
            <v>MAY 2016</v>
          </cell>
          <cell r="B503" t="str">
            <v>LGMLE573</v>
          </cell>
          <cell r="E503">
            <v>0</v>
          </cell>
          <cell r="L503">
            <v>0</v>
          </cell>
          <cell r="M503">
            <v>0</v>
          </cell>
          <cell r="P503">
            <v>0</v>
          </cell>
          <cell r="R503">
            <v>0</v>
          </cell>
          <cell r="T503">
            <v>0</v>
          </cell>
          <cell r="U503">
            <v>0</v>
          </cell>
        </row>
        <row r="504">
          <cell r="A504" t="str">
            <v>MAY 2016</v>
          </cell>
          <cell r="B504" t="str">
            <v>LGMLE574</v>
          </cell>
          <cell r="E504">
            <v>0</v>
          </cell>
          <cell r="L504">
            <v>0</v>
          </cell>
          <cell r="M504">
            <v>0</v>
          </cell>
          <cell r="P504">
            <v>0</v>
          </cell>
          <cell r="R504">
            <v>0</v>
          </cell>
          <cell r="T504">
            <v>0</v>
          </cell>
          <cell r="U504">
            <v>0</v>
          </cell>
        </row>
        <row r="505">
          <cell r="A505" t="str">
            <v>MAY 2016</v>
          </cell>
          <cell r="B505" t="str">
            <v>LGRSE000</v>
          </cell>
          <cell r="E505">
            <v>0</v>
          </cell>
          <cell r="L505">
            <v>0</v>
          </cell>
          <cell r="M505">
            <v>0</v>
          </cell>
          <cell r="P505">
            <v>0</v>
          </cell>
          <cell r="R505">
            <v>0</v>
          </cell>
          <cell r="T505">
            <v>0</v>
          </cell>
          <cell r="U505">
            <v>0</v>
          </cell>
        </row>
        <row r="506">
          <cell r="A506" t="str">
            <v>MAY 2016</v>
          </cell>
          <cell r="B506" t="str">
            <v>LGRSE411</v>
          </cell>
          <cell r="E506">
            <v>0</v>
          </cell>
          <cell r="L506">
            <v>0</v>
          </cell>
          <cell r="M506">
            <v>0</v>
          </cell>
          <cell r="P506">
            <v>0</v>
          </cell>
          <cell r="R506">
            <v>0</v>
          </cell>
          <cell r="T506">
            <v>0</v>
          </cell>
          <cell r="U506">
            <v>0</v>
          </cell>
        </row>
        <row r="507">
          <cell r="A507" t="str">
            <v>MAY 2016</v>
          </cell>
          <cell r="B507" t="str">
            <v>LGRSE511</v>
          </cell>
          <cell r="E507">
            <v>295395538</v>
          </cell>
          <cell r="L507">
            <v>618320</v>
          </cell>
          <cell r="M507">
            <v>56986</v>
          </cell>
          <cell r="P507">
            <v>0</v>
          </cell>
          <cell r="R507">
            <v>31519662</v>
          </cell>
          <cell r="T507">
            <v>0</v>
          </cell>
          <cell r="U507">
            <v>3092047</v>
          </cell>
        </row>
        <row r="508">
          <cell r="A508" t="str">
            <v>MAY 2016</v>
          </cell>
          <cell r="B508" t="str">
            <v>LGRSE519</v>
          </cell>
          <cell r="E508">
            <v>0</v>
          </cell>
          <cell r="L508">
            <v>0</v>
          </cell>
          <cell r="M508">
            <v>0</v>
          </cell>
          <cell r="P508">
            <v>0</v>
          </cell>
          <cell r="R508">
            <v>0</v>
          </cell>
          <cell r="T508">
            <v>0</v>
          </cell>
          <cell r="U508">
            <v>0</v>
          </cell>
        </row>
        <row r="509">
          <cell r="A509" t="str">
            <v>MAY 2016</v>
          </cell>
          <cell r="B509" t="str">
            <v>LGRSE540</v>
          </cell>
          <cell r="E509">
            <v>0</v>
          </cell>
          <cell r="L509">
            <v>0</v>
          </cell>
          <cell r="M509">
            <v>0</v>
          </cell>
          <cell r="P509">
            <v>0</v>
          </cell>
          <cell r="R509">
            <v>0</v>
          </cell>
          <cell r="T509">
            <v>0</v>
          </cell>
          <cell r="U509">
            <v>0</v>
          </cell>
        </row>
        <row r="510">
          <cell r="A510" t="str">
            <v>MAY 2016</v>
          </cell>
          <cell r="B510" t="str">
            <v>LGRSE543</v>
          </cell>
          <cell r="E510">
            <v>0</v>
          </cell>
          <cell r="L510">
            <v>0</v>
          </cell>
          <cell r="M510">
            <v>0</v>
          </cell>
          <cell r="P510">
            <v>0</v>
          </cell>
          <cell r="R510">
            <v>0</v>
          </cell>
          <cell r="T510">
            <v>0</v>
          </cell>
          <cell r="U510">
            <v>0</v>
          </cell>
        </row>
        <row r="511">
          <cell r="A511" t="str">
            <v>MAY 2016</v>
          </cell>
          <cell r="B511" t="str">
            <v>LGRSE547</v>
          </cell>
          <cell r="E511">
            <v>0</v>
          </cell>
          <cell r="L511">
            <v>0</v>
          </cell>
          <cell r="M511">
            <v>0</v>
          </cell>
          <cell r="P511">
            <v>0</v>
          </cell>
          <cell r="R511">
            <v>0</v>
          </cell>
          <cell r="T511">
            <v>0</v>
          </cell>
          <cell r="U511">
            <v>0</v>
          </cell>
        </row>
        <row r="512">
          <cell r="A512" t="str">
            <v>MAY 2016</v>
          </cell>
          <cell r="B512" t="str">
            <v>LGUM_000</v>
          </cell>
          <cell r="T512">
            <v>0</v>
          </cell>
          <cell r="U512">
            <v>0</v>
          </cell>
        </row>
        <row r="513">
          <cell r="A513" t="str">
            <v>MAY 2016</v>
          </cell>
          <cell r="B513" t="str">
            <v>LGUM_201</v>
          </cell>
          <cell r="T513">
            <v>0</v>
          </cell>
          <cell r="U513">
            <v>0</v>
          </cell>
        </row>
        <row r="514">
          <cell r="A514" t="str">
            <v>MAY 2016</v>
          </cell>
          <cell r="B514" t="str">
            <v>LGUM_203</v>
          </cell>
          <cell r="T514">
            <v>0</v>
          </cell>
          <cell r="U514">
            <v>0</v>
          </cell>
        </row>
        <row r="515">
          <cell r="A515" t="str">
            <v>MAY 2016</v>
          </cell>
          <cell r="B515" t="str">
            <v>LGUM_204</v>
          </cell>
          <cell r="T515">
            <v>0</v>
          </cell>
          <cell r="U515">
            <v>0</v>
          </cell>
        </row>
        <row r="516">
          <cell r="A516" t="str">
            <v>MAY 2016</v>
          </cell>
          <cell r="B516" t="str">
            <v>LGUM_204CU</v>
          </cell>
          <cell r="T516">
            <v>0</v>
          </cell>
          <cell r="U516">
            <v>0</v>
          </cell>
        </row>
        <row r="517">
          <cell r="A517" t="str">
            <v>MAY 2016</v>
          </cell>
          <cell r="B517" t="str">
            <v>LGUM_206</v>
          </cell>
          <cell r="T517">
            <v>0</v>
          </cell>
          <cell r="U517">
            <v>0</v>
          </cell>
        </row>
        <row r="518">
          <cell r="A518" t="str">
            <v>MAY 2016</v>
          </cell>
          <cell r="B518" t="str">
            <v>LGUM_207</v>
          </cell>
          <cell r="T518">
            <v>0</v>
          </cell>
          <cell r="U518">
            <v>0</v>
          </cell>
        </row>
        <row r="519">
          <cell r="A519" t="str">
            <v>MAY 2016</v>
          </cell>
          <cell r="B519" t="str">
            <v>LGUM_208</v>
          </cell>
          <cell r="T519">
            <v>0</v>
          </cell>
          <cell r="U519">
            <v>0</v>
          </cell>
        </row>
        <row r="520">
          <cell r="A520" t="str">
            <v>MAY 2016</v>
          </cell>
          <cell r="B520" t="str">
            <v>LGUM_209</v>
          </cell>
          <cell r="T520">
            <v>0</v>
          </cell>
          <cell r="U520">
            <v>0</v>
          </cell>
        </row>
        <row r="521">
          <cell r="A521" t="str">
            <v>MAY 2016</v>
          </cell>
          <cell r="B521" t="str">
            <v>LGUM_209CU</v>
          </cell>
          <cell r="T521">
            <v>0</v>
          </cell>
          <cell r="U521">
            <v>0</v>
          </cell>
        </row>
        <row r="522">
          <cell r="A522" t="str">
            <v>MAY 2016</v>
          </cell>
          <cell r="B522" t="str">
            <v>LGUM_210</v>
          </cell>
          <cell r="T522">
            <v>0</v>
          </cell>
          <cell r="U522">
            <v>0</v>
          </cell>
        </row>
        <row r="523">
          <cell r="A523" t="str">
            <v>MAY 2016</v>
          </cell>
          <cell r="B523" t="str">
            <v>LGUM_252</v>
          </cell>
          <cell r="T523">
            <v>0</v>
          </cell>
          <cell r="U523">
            <v>0</v>
          </cell>
        </row>
        <row r="524">
          <cell r="A524" t="str">
            <v>MAY 2016</v>
          </cell>
          <cell r="B524" t="str">
            <v>LGUM_266</v>
          </cell>
          <cell r="T524">
            <v>0</v>
          </cell>
          <cell r="U524">
            <v>0</v>
          </cell>
        </row>
        <row r="525">
          <cell r="A525" t="str">
            <v>MAY 2016</v>
          </cell>
          <cell r="B525" t="str">
            <v>LGUM_267</v>
          </cell>
          <cell r="T525">
            <v>0</v>
          </cell>
          <cell r="U525">
            <v>0</v>
          </cell>
        </row>
        <row r="526">
          <cell r="A526" t="str">
            <v>MAY 2016</v>
          </cell>
          <cell r="B526" t="str">
            <v>LGUM_274</v>
          </cell>
          <cell r="T526">
            <v>0</v>
          </cell>
          <cell r="U526">
            <v>0</v>
          </cell>
        </row>
        <row r="527">
          <cell r="A527" t="str">
            <v>MAY 2016</v>
          </cell>
          <cell r="B527" t="str">
            <v>LGUM_275</v>
          </cell>
          <cell r="T527">
            <v>0</v>
          </cell>
          <cell r="U527">
            <v>0</v>
          </cell>
        </row>
        <row r="528">
          <cell r="A528" t="str">
            <v>MAY 2016</v>
          </cell>
          <cell r="B528" t="str">
            <v>LGUM_276</v>
          </cell>
          <cell r="T528">
            <v>0</v>
          </cell>
          <cell r="U528">
            <v>0</v>
          </cell>
        </row>
        <row r="529">
          <cell r="A529" t="str">
            <v>MAY 2016</v>
          </cell>
          <cell r="B529" t="str">
            <v>LGUM_277</v>
          </cell>
          <cell r="T529">
            <v>0</v>
          </cell>
          <cell r="U529">
            <v>0</v>
          </cell>
        </row>
        <row r="530">
          <cell r="A530" t="str">
            <v>MAY 2016</v>
          </cell>
          <cell r="B530" t="str">
            <v>LGUM_278</v>
          </cell>
          <cell r="T530">
            <v>0</v>
          </cell>
          <cell r="U530">
            <v>0</v>
          </cell>
        </row>
        <row r="531">
          <cell r="A531" t="str">
            <v>MAY 2016</v>
          </cell>
          <cell r="B531" t="str">
            <v>LGUM_279</v>
          </cell>
          <cell r="T531">
            <v>0</v>
          </cell>
          <cell r="U531">
            <v>0</v>
          </cell>
        </row>
        <row r="532">
          <cell r="A532" t="str">
            <v>MAY 2016</v>
          </cell>
          <cell r="B532" t="str">
            <v>LGUM_280</v>
          </cell>
          <cell r="T532">
            <v>0</v>
          </cell>
          <cell r="U532">
            <v>0</v>
          </cell>
        </row>
        <row r="533">
          <cell r="A533" t="str">
            <v>MAY 2016</v>
          </cell>
          <cell r="B533" t="str">
            <v>LGUM_281</v>
          </cell>
          <cell r="T533">
            <v>0</v>
          </cell>
          <cell r="U533">
            <v>0</v>
          </cell>
        </row>
        <row r="534">
          <cell r="A534" t="str">
            <v>MAY 2016</v>
          </cell>
          <cell r="B534" t="str">
            <v>LGUM_282</v>
          </cell>
          <cell r="T534">
            <v>0</v>
          </cell>
          <cell r="U534">
            <v>0</v>
          </cell>
        </row>
        <row r="535">
          <cell r="A535" t="str">
            <v>MAY 2016</v>
          </cell>
          <cell r="B535" t="str">
            <v>LGUM_283</v>
          </cell>
          <cell r="T535">
            <v>0</v>
          </cell>
          <cell r="U535">
            <v>0</v>
          </cell>
        </row>
        <row r="536">
          <cell r="A536" t="str">
            <v>MAY 2016</v>
          </cell>
          <cell r="B536" t="str">
            <v>LGUM_314</v>
          </cell>
          <cell r="T536">
            <v>0</v>
          </cell>
          <cell r="U536">
            <v>0</v>
          </cell>
        </row>
        <row r="537">
          <cell r="A537" t="str">
            <v>MAY 2016</v>
          </cell>
          <cell r="B537" t="str">
            <v>LGUM_315</v>
          </cell>
          <cell r="T537">
            <v>0</v>
          </cell>
          <cell r="U537">
            <v>0</v>
          </cell>
        </row>
        <row r="538">
          <cell r="A538" t="str">
            <v>MAY 2016</v>
          </cell>
          <cell r="B538" t="str">
            <v>LGUM_318</v>
          </cell>
          <cell r="T538">
            <v>0</v>
          </cell>
          <cell r="U538">
            <v>0</v>
          </cell>
        </row>
        <row r="539">
          <cell r="A539" t="str">
            <v>MAY 2016</v>
          </cell>
          <cell r="B539" t="str">
            <v>LGUM_348</v>
          </cell>
          <cell r="T539">
            <v>0</v>
          </cell>
          <cell r="U539">
            <v>0</v>
          </cell>
        </row>
        <row r="540">
          <cell r="A540" t="str">
            <v>MAY 2016</v>
          </cell>
          <cell r="B540" t="str">
            <v>LGUM_349</v>
          </cell>
          <cell r="T540">
            <v>0</v>
          </cell>
          <cell r="U540">
            <v>0</v>
          </cell>
        </row>
        <row r="541">
          <cell r="A541" t="str">
            <v>MAY 2016</v>
          </cell>
          <cell r="B541" t="str">
            <v>LGUM_400</v>
          </cell>
          <cell r="T541">
            <v>0</v>
          </cell>
          <cell r="U541">
            <v>0</v>
          </cell>
        </row>
        <row r="542">
          <cell r="A542" t="str">
            <v>MAY 2016</v>
          </cell>
          <cell r="B542" t="str">
            <v>LGUM_401</v>
          </cell>
          <cell r="T542">
            <v>0</v>
          </cell>
          <cell r="U542">
            <v>0</v>
          </cell>
        </row>
        <row r="543">
          <cell r="A543" t="str">
            <v>MAY 2016</v>
          </cell>
          <cell r="B543" t="str">
            <v>LGUM_412</v>
          </cell>
          <cell r="T543">
            <v>0</v>
          </cell>
          <cell r="U543">
            <v>0</v>
          </cell>
        </row>
        <row r="544">
          <cell r="A544" t="str">
            <v>MAY 2016</v>
          </cell>
          <cell r="B544" t="str">
            <v>LGUM_413</v>
          </cell>
          <cell r="T544">
            <v>0</v>
          </cell>
          <cell r="U544">
            <v>0</v>
          </cell>
        </row>
        <row r="545">
          <cell r="A545" t="str">
            <v>MAY 2016</v>
          </cell>
          <cell r="B545" t="str">
            <v>LGUM_415</v>
          </cell>
          <cell r="T545">
            <v>0</v>
          </cell>
          <cell r="U545">
            <v>0</v>
          </cell>
        </row>
        <row r="546">
          <cell r="A546" t="str">
            <v>MAY 2016</v>
          </cell>
          <cell r="B546" t="str">
            <v>LGUM_416</v>
          </cell>
          <cell r="T546">
            <v>0</v>
          </cell>
          <cell r="U546">
            <v>0</v>
          </cell>
        </row>
        <row r="547">
          <cell r="A547" t="str">
            <v>MAY 2016</v>
          </cell>
          <cell r="B547" t="str">
            <v>LGUM_417</v>
          </cell>
          <cell r="T547">
            <v>0</v>
          </cell>
          <cell r="U547">
            <v>0</v>
          </cell>
        </row>
        <row r="548">
          <cell r="A548" t="str">
            <v>MAY 2016</v>
          </cell>
          <cell r="B548" t="str">
            <v>LGUM_419</v>
          </cell>
          <cell r="T548">
            <v>0</v>
          </cell>
          <cell r="U548">
            <v>0</v>
          </cell>
        </row>
        <row r="549">
          <cell r="A549" t="str">
            <v>MAY 2016</v>
          </cell>
          <cell r="B549" t="str">
            <v>LGUM_420</v>
          </cell>
          <cell r="T549">
            <v>0</v>
          </cell>
          <cell r="U549">
            <v>0</v>
          </cell>
        </row>
        <row r="550">
          <cell r="A550" t="str">
            <v>MAY 2016</v>
          </cell>
          <cell r="B550" t="str">
            <v>LGUM_421</v>
          </cell>
          <cell r="T550">
            <v>0</v>
          </cell>
          <cell r="U550">
            <v>0</v>
          </cell>
        </row>
        <row r="551">
          <cell r="A551" t="str">
            <v>MAY 2016</v>
          </cell>
          <cell r="B551" t="str">
            <v>LGUM_422</v>
          </cell>
          <cell r="T551">
            <v>0</v>
          </cell>
          <cell r="U551">
            <v>0</v>
          </cell>
        </row>
        <row r="552">
          <cell r="A552" t="str">
            <v>MAY 2016</v>
          </cell>
          <cell r="B552" t="str">
            <v>LGUM_423</v>
          </cell>
          <cell r="T552">
            <v>0</v>
          </cell>
          <cell r="U552">
            <v>0</v>
          </cell>
        </row>
        <row r="553">
          <cell r="A553" t="str">
            <v>MAY 2016</v>
          </cell>
          <cell r="B553" t="str">
            <v>LGUM_424</v>
          </cell>
          <cell r="T553">
            <v>0</v>
          </cell>
          <cell r="U553">
            <v>0</v>
          </cell>
        </row>
        <row r="554">
          <cell r="A554" t="str">
            <v>MAY 2016</v>
          </cell>
          <cell r="B554" t="str">
            <v>LGUM_425</v>
          </cell>
          <cell r="T554">
            <v>0</v>
          </cell>
          <cell r="U554">
            <v>0</v>
          </cell>
        </row>
        <row r="555">
          <cell r="A555" t="str">
            <v>MAY 2016</v>
          </cell>
          <cell r="B555" t="str">
            <v>LGUM_426</v>
          </cell>
          <cell r="T555">
            <v>0</v>
          </cell>
          <cell r="U555">
            <v>0</v>
          </cell>
        </row>
        <row r="556">
          <cell r="A556" t="str">
            <v>MAY 2016</v>
          </cell>
          <cell r="B556" t="str">
            <v>LGUM_427</v>
          </cell>
          <cell r="T556">
            <v>0</v>
          </cell>
          <cell r="U556">
            <v>0</v>
          </cell>
        </row>
        <row r="557">
          <cell r="A557" t="str">
            <v>MAY 2016</v>
          </cell>
          <cell r="B557" t="str">
            <v>LGUM_428</v>
          </cell>
          <cell r="T557">
            <v>0</v>
          </cell>
          <cell r="U557">
            <v>0</v>
          </cell>
        </row>
        <row r="558">
          <cell r="A558" t="str">
            <v>MAY 2016</v>
          </cell>
          <cell r="B558" t="str">
            <v>LGUM_429</v>
          </cell>
          <cell r="T558">
            <v>0</v>
          </cell>
          <cell r="U558">
            <v>0</v>
          </cell>
        </row>
        <row r="559">
          <cell r="A559" t="str">
            <v>MAY 2016</v>
          </cell>
          <cell r="B559" t="str">
            <v>LGUM_430</v>
          </cell>
          <cell r="T559">
            <v>0</v>
          </cell>
          <cell r="U559">
            <v>0</v>
          </cell>
        </row>
        <row r="560">
          <cell r="A560" t="str">
            <v>MAY 2016</v>
          </cell>
          <cell r="B560" t="str">
            <v>LGUM_431</v>
          </cell>
          <cell r="T560">
            <v>0</v>
          </cell>
          <cell r="U560">
            <v>0</v>
          </cell>
        </row>
        <row r="561">
          <cell r="A561" t="str">
            <v>MAY 2016</v>
          </cell>
          <cell r="B561" t="str">
            <v>LGUM_432</v>
          </cell>
          <cell r="T561">
            <v>0</v>
          </cell>
          <cell r="U561">
            <v>0</v>
          </cell>
        </row>
        <row r="562">
          <cell r="A562" t="str">
            <v>MAY 2016</v>
          </cell>
          <cell r="B562" t="str">
            <v>LGUM_433</v>
          </cell>
          <cell r="T562">
            <v>0</v>
          </cell>
          <cell r="U562">
            <v>0</v>
          </cell>
        </row>
        <row r="563">
          <cell r="A563" t="str">
            <v>MAY 2016</v>
          </cell>
          <cell r="B563" t="str">
            <v>LGUM_440</v>
          </cell>
          <cell r="T563">
            <v>0</v>
          </cell>
          <cell r="U563">
            <v>0</v>
          </cell>
        </row>
        <row r="564">
          <cell r="A564" t="str">
            <v>MAY 2016</v>
          </cell>
          <cell r="B564" t="str">
            <v>LGUM_441</v>
          </cell>
          <cell r="T564">
            <v>0</v>
          </cell>
          <cell r="U564">
            <v>0</v>
          </cell>
        </row>
        <row r="565">
          <cell r="A565" t="str">
            <v>MAY 2016</v>
          </cell>
          <cell r="B565" t="str">
            <v>LGUM_452</v>
          </cell>
          <cell r="T565">
            <v>0</v>
          </cell>
          <cell r="U565">
            <v>0</v>
          </cell>
        </row>
        <row r="566">
          <cell r="A566" t="str">
            <v>MAY 2016</v>
          </cell>
          <cell r="B566" t="str">
            <v>LGUM_452CU</v>
          </cell>
          <cell r="T566">
            <v>0</v>
          </cell>
          <cell r="U566">
            <v>0</v>
          </cell>
        </row>
        <row r="567">
          <cell r="A567" t="str">
            <v>MAY 2016</v>
          </cell>
          <cell r="B567" t="str">
            <v>LGUM_453</v>
          </cell>
          <cell r="T567">
            <v>0</v>
          </cell>
          <cell r="U567">
            <v>0</v>
          </cell>
        </row>
        <row r="568">
          <cell r="A568" t="str">
            <v>MAY 2016</v>
          </cell>
          <cell r="B568" t="str">
            <v>LGUM_453CU</v>
          </cell>
          <cell r="T568">
            <v>0</v>
          </cell>
          <cell r="U568">
            <v>0</v>
          </cell>
        </row>
        <row r="569">
          <cell r="A569" t="str">
            <v>MAY 2016</v>
          </cell>
          <cell r="B569" t="str">
            <v>LGUM_454</v>
          </cell>
          <cell r="T569">
            <v>0</v>
          </cell>
          <cell r="U569">
            <v>0</v>
          </cell>
        </row>
        <row r="570">
          <cell r="A570" t="str">
            <v>MAY 2016</v>
          </cell>
          <cell r="B570" t="str">
            <v>LGUM_454CU</v>
          </cell>
          <cell r="T570">
            <v>0</v>
          </cell>
          <cell r="U570">
            <v>0</v>
          </cell>
        </row>
        <row r="571">
          <cell r="A571" t="str">
            <v>MAY 2016</v>
          </cell>
          <cell r="B571" t="str">
            <v>LGUM_455</v>
          </cell>
          <cell r="T571">
            <v>0</v>
          </cell>
          <cell r="U571">
            <v>0</v>
          </cell>
        </row>
        <row r="572">
          <cell r="A572" t="str">
            <v>MAY 2016</v>
          </cell>
          <cell r="B572" t="str">
            <v>LGUM_456</v>
          </cell>
          <cell r="T572">
            <v>0</v>
          </cell>
          <cell r="U572">
            <v>0</v>
          </cell>
        </row>
        <row r="573">
          <cell r="A573" t="str">
            <v>MAY 2016</v>
          </cell>
          <cell r="B573" t="str">
            <v>LGUM_456CU</v>
          </cell>
          <cell r="T573">
            <v>0</v>
          </cell>
          <cell r="U573">
            <v>0</v>
          </cell>
        </row>
        <row r="574">
          <cell r="A574" t="str">
            <v>MAY 2016</v>
          </cell>
          <cell r="B574" t="str">
            <v>LGUM_457</v>
          </cell>
          <cell r="T574">
            <v>0</v>
          </cell>
          <cell r="U574">
            <v>0</v>
          </cell>
        </row>
        <row r="575">
          <cell r="A575" t="str">
            <v>MAY 2016</v>
          </cell>
          <cell r="B575" t="str">
            <v>LGUM_458</v>
          </cell>
          <cell r="T575">
            <v>0</v>
          </cell>
          <cell r="U575">
            <v>0</v>
          </cell>
        </row>
        <row r="576">
          <cell r="A576" t="str">
            <v>MAY 2016</v>
          </cell>
          <cell r="B576" t="str">
            <v>LGUM_470</v>
          </cell>
          <cell r="T576">
            <v>0</v>
          </cell>
          <cell r="U576">
            <v>0</v>
          </cell>
        </row>
        <row r="577">
          <cell r="A577" t="str">
            <v>MAY 2016</v>
          </cell>
          <cell r="B577" t="str">
            <v>LGUM_471</v>
          </cell>
          <cell r="T577">
            <v>0</v>
          </cell>
          <cell r="U577">
            <v>0</v>
          </cell>
        </row>
        <row r="578">
          <cell r="A578" t="str">
            <v>MAY 2016</v>
          </cell>
          <cell r="B578" t="str">
            <v>LGUM_473</v>
          </cell>
          <cell r="T578">
            <v>0</v>
          </cell>
          <cell r="U578">
            <v>0</v>
          </cell>
        </row>
        <row r="579">
          <cell r="A579" t="str">
            <v>MAY 2016</v>
          </cell>
          <cell r="B579" t="str">
            <v>LGUM_474</v>
          </cell>
          <cell r="T579">
            <v>0</v>
          </cell>
          <cell r="U579">
            <v>0</v>
          </cell>
        </row>
        <row r="580">
          <cell r="A580" t="str">
            <v>MAY 2016</v>
          </cell>
          <cell r="B580" t="str">
            <v>LGUM_475</v>
          </cell>
          <cell r="T580">
            <v>0</v>
          </cell>
          <cell r="U580">
            <v>0</v>
          </cell>
        </row>
        <row r="581">
          <cell r="A581" t="str">
            <v>MAY 2016</v>
          </cell>
          <cell r="B581" t="str">
            <v>LGUM_476</v>
          </cell>
          <cell r="T581">
            <v>0</v>
          </cell>
          <cell r="U581">
            <v>0</v>
          </cell>
        </row>
        <row r="582">
          <cell r="A582" t="str">
            <v>MAY 2016</v>
          </cell>
          <cell r="B582" t="str">
            <v>LGUM_477</v>
          </cell>
          <cell r="T582">
            <v>0</v>
          </cell>
          <cell r="U582">
            <v>0</v>
          </cell>
        </row>
        <row r="583">
          <cell r="A583" t="str">
            <v>MAY 2016</v>
          </cell>
          <cell r="B583" t="str">
            <v>LGUM_480</v>
          </cell>
          <cell r="T583">
            <v>0</v>
          </cell>
          <cell r="U583">
            <v>0</v>
          </cell>
        </row>
        <row r="584">
          <cell r="A584" t="str">
            <v>MAY 2016</v>
          </cell>
          <cell r="B584" t="str">
            <v>LGUM_481</v>
          </cell>
          <cell r="T584">
            <v>0</v>
          </cell>
          <cell r="U584">
            <v>0</v>
          </cell>
        </row>
        <row r="585">
          <cell r="A585" t="str">
            <v>MAY 2016</v>
          </cell>
          <cell r="B585" t="str">
            <v>LGUM_482</v>
          </cell>
          <cell r="T585">
            <v>0</v>
          </cell>
          <cell r="U585">
            <v>0</v>
          </cell>
        </row>
        <row r="586">
          <cell r="A586" t="str">
            <v>MAY 2016</v>
          </cell>
          <cell r="B586" t="str">
            <v>LGUM_483</v>
          </cell>
          <cell r="T586">
            <v>0</v>
          </cell>
          <cell r="U586">
            <v>0</v>
          </cell>
        </row>
        <row r="587">
          <cell r="A587" t="str">
            <v>MAY 2016</v>
          </cell>
          <cell r="B587" t="str">
            <v>LGUM_484</v>
          </cell>
          <cell r="T587">
            <v>0</v>
          </cell>
          <cell r="U587">
            <v>0</v>
          </cell>
        </row>
        <row r="588">
          <cell r="A588" t="str">
            <v>MAY 2016</v>
          </cell>
          <cell r="B588" t="str">
            <v>Result</v>
          </cell>
          <cell r="T588">
            <v>0</v>
          </cell>
          <cell r="U588">
            <v>0</v>
          </cell>
        </row>
        <row r="589">
          <cell r="A589" t="str">
            <v>JUN 2016</v>
          </cell>
          <cell r="B589" t="str">
            <v>LEUM_826</v>
          </cell>
          <cell r="T589">
            <v>0</v>
          </cell>
          <cell r="U589">
            <v>0</v>
          </cell>
        </row>
        <row r="590">
          <cell r="A590" t="str">
            <v>JUN 2016</v>
          </cell>
          <cell r="B590" t="str">
            <v>LEUM_826</v>
          </cell>
          <cell r="T590">
            <v>0</v>
          </cell>
          <cell r="U590">
            <v>0</v>
          </cell>
        </row>
        <row r="591">
          <cell r="A591" t="str">
            <v>JUN 2016</v>
          </cell>
          <cell r="B591" t="str">
            <v>ODL</v>
          </cell>
          <cell r="E591">
            <v>7911510</v>
          </cell>
          <cell r="L591">
            <v>0</v>
          </cell>
          <cell r="M591">
            <v>11986</v>
          </cell>
          <cell r="P591">
            <v>0</v>
          </cell>
          <cell r="R591">
            <v>2016258</v>
          </cell>
          <cell r="T591">
            <v>0</v>
          </cell>
          <cell r="U591">
            <v>73018</v>
          </cell>
        </row>
        <row r="592">
          <cell r="A592" t="str">
            <v>JUN 2016</v>
          </cell>
          <cell r="B592" t="str">
            <v>LEUM_829</v>
          </cell>
          <cell r="E592">
            <v>0</v>
          </cell>
          <cell r="L592">
            <v>0</v>
          </cell>
          <cell r="M592">
            <v>0</v>
          </cell>
          <cell r="P592">
            <v>0</v>
          </cell>
          <cell r="R592">
            <v>0</v>
          </cell>
          <cell r="T592">
            <v>0</v>
          </cell>
          <cell r="U592">
            <v>0</v>
          </cell>
        </row>
        <row r="593">
          <cell r="A593" t="str">
            <v>JUN 2016</v>
          </cell>
          <cell r="B593" t="str">
            <v>LGCME000</v>
          </cell>
          <cell r="E593">
            <v>0</v>
          </cell>
          <cell r="L593">
            <v>0</v>
          </cell>
          <cell r="M593">
            <v>0</v>
          </cell>
          <cell r="P593">
            <v>0</v>
          </cell>
          <cell r="R593">
            <v>0</v>
          </cell>
          <cell r="T593">
            <v>0</v>
          </cell>
          <cell r="U593">
            <v>0</v>
          </cell>
        </row>
        <row r="594">
          <cell r="A594" t="str">
            <v>JUN 2016</v>
          </cell>
          <cell r="B594" t="str">
            <v>LGCME451</v>
          </cell>
          <cell r="E594">
            <v>0</v>
          </cell>
          <cell r="L594">
            <v>0</v>
          </cell>
          <cell r="M594">
            <v>0</v>
          </cell>
          <cell r="P594">
            <v>0</v>
          </cell>
          <cell r="R594">
            <v>0</v>
          </cell>
          <cell r="T594">
            <v>0</v>
          </cell>
          <cell r="U594">
            <v>0</v>
          </cell>
        </row>
        <row r="595">
          <cell r="A595" t="str">
            <v>JUN 2016</v>
          </cell>
          <cell r="B595" t="str">
            <v>LGCME551</v>
          </cell>
          <cell r="E595">
            <v>36031760</v>
          </cell>
          <cell r="L595">
            <v>59241</v>
          </cell>
          <cell r="M595">
            <v>54588</v>
          </cell>
          <cell r="P595">
            <v>0</v>
          </cell>
          <cell r="R595">
            <v>4302998</v>
          </cell>
          <cell r="T595">
            <v>0</v>
          </cell>
          <cell r="U595">
            <v>332547</v>
          </cell>
        </row>
        <row r="596">
          <cell r="A596" t="str">
            <v>JUN 2016</v>
          </cell>
          <cell r="B596" t="str">
            <v>LGCME551UM</v>
          </cell>
          <cell r="E596">
            <v>0</v>
          </cell>
          <cell r="L596">
            <v>0</v>
          </cell>
          <cell r="M596">
            <v>0</v>
          </cell>
          <cell r="P596">
            <v>0</v>
          </cell>
          <cell r="R596">
            <v>0</v>
          </cell>
          <cell r="T596">
            <v>0</v>
          </cell>
          <cell r="U596">
            <v>0</v>
          </cell>
        </row>
        <row r="597">
          <cell r="A597" t="str">
            <v>JUN 2016</v>
          </cell>
          <cell r="B597" t="str">
            <v>LGCME552</v>
          </cell>
          <cell r="E597">
            <v>0</v>
          </cell>
          <cell r="L597">
            <v>0</v>
          </cell>
          <cell r="M597">
            <v>0</v>
          </cell>
          <cell r="P597">
            <v>0</v>
          </cell>
          <cell r="R597">
            <v>0</v>
          </cell>
          <cell r="T597">
            <v>0</v>
          </cell>
          <cell r="U597">
            <v>0</v>
          </cell>
        </row>
        <row r="598">
          <cell r="A598" t="str">
            <v>JUN 2016</v>
          </cell>
          <cell r="B598" t="str">
            <v>LGCME557</v>
          </cell>
          <cell r="E598">
            <v>0</v>
          </cell>
          <cell r="L598">
            <v>0</v>
          </cell>
          <cell r="M598">
            <v>0</v>
          </cell>
          <cell r="P598">
            <v>0</v>
          </cell>
          <cell r="R598">
            <v>0</v>
          </cell>
          <cell r="T598">
            <v>0</v>
          </cell>
          <cell r="U598">
            <v>0</v>
          </cell>
        </row>
        <row r="599">
          <cell r="A599" t="str">
            <v>JUN 2016</v>
          </cell>
          <cell r="B599" t="str">
            <v>LGCME561</v>
          </cell>
          <cell r="E599">
            <v>170619420</v>
          </cell>
          <cell r="L599">
            <v>280522</v>
          </cell>
          <cell r="M599">
            <v>258487</v>
          </cell>
          <cell r="P599">
            <v>0</v>
          </cell>
          <cell r="R599">
            <v>15656883</v>
          </cell>
          <cell r="T599">
            <v>6383382</v>
          </cell>
          <cell r="U599">
            <v>1574695</v>
          </cell>
        </row>
        <row r="600">
          <cell r="A600" t="str">
            <v>JUN 2016</v>
          </cell>
          <cell r="B600" t="str">
            <v>LGCME563</v>
          </cell>
          <cell r="E600">
            <v>14473039</v>
          </cell>
          <cell r="L600">
            <v>23796</v>
          </cell>
          <cell r="M600">
            <v>21927</v>
          </cell>
          <cell r="P600">
            <v>0</v>
          </cell>
          <cell r="R600">
            <v>1203937</v>
          </cell>
          <cell r="T600">
            <v>447588</v>
          </cell>
          <cell r="U600">
            <v>133576</v>
          </cell>
        </row>
        <row r="601">
          <cell r="A601" t="str">
            <v>JUN 2016</v>
          </cell>
          <cell r="B601" t="str">
            <v>LGCME567</v>
          </cell>
          <cell r="E601">
            <v>0</v>
          </cell>
          <cell r="L601">
            <v>0</v>
          </cell>
          <cell r="M601">
            <v>0</v>
          </cell>
          <cell r="P601">
            <v>0</v>
          </cell>
          <cell r="R601">
            <v>0</v>
          </cell>
          <cell r="T601">
            <v>0</v>
          </cell>
          <cell r="U601">
            <v>0</v>
          </cell>
        </row>
        <row r="602">
          <cell r="A602" t="str">
            <v>JUN 2016</v>
          </cell>
          <cell r="B602" t="str">
            <v>LGCME591</v>
          </cell>
          <cell r="E602">
            <v>76748015</v>
          </cell>
          <cell r="L602">
            <v>126184</v>
          </cell>
          <cell r="M602">
            <v>116272</v>
          </cell>
          <cell r="P602">
            <v>0</v>
          </cell>
          <cell r="R602">
            <v>6255173</v>
          </cell>
          <cell r="T602">
            <v>2196742</v>
          </cell>
          <cell r="U602">
            <v>708329</v>
          </cell>
        </row>
        <row r="603">
          <cell r="A603" t="str">
            <v>JUN 2016</v>
          </cell>
          <cell r="B603" t="str">
            <v>LGCME593</v>
          </cell>
          <cell r="E603">
            <v>35716090</v>
          </cell>
          <cell r="L603">
            <v>58722</v>
          </cell>
          <cell r="M603">
            <v>54110</v>
          </cell>
          <cell r="P603">
            <v>0</v>
          </cell>
          <cell r="R603">
            <v>2875979</v>
          </cell>
          <cell r="T603">
            <v>1060430</v>
          </cell>
          <cell r="U603">
            <v>329634</v>
          </cell>
        </row>
        <row r="604">
          <cell r="A604" t="str">
            <v>JUN 2016</v>
          </cell>
          <cell r="B604" t="str">
            <v>LGCME651</v>
          </cell>
          <cell r="E604">
            <v>92005903</v>
          </cell>
          <cell r="L604">
            <v>151270</v>
          </cell>
          <cell r="M604">
            <v>139388</v>
          </cell>
          <cell r="P604">
            <v>0</v>
          </cell>
          <cell r="R604">
            <v>10118220</v>
          </cell>
          <cell r="T604">
            <v>0</v>
          </cell>
          <cell r="U604">
            <v>849148</v>
          </cell>
        </row>
        <row r="605">
          <cell r="A605" t="str">
            <v>JUN 2016</v>
          </cell>
          <cell r="B605" t="str">
            <v>LGCME652</v>
          </cell>
          <cell r="E605">
            <v>0</v>
          </cell>
          <cell r="L605">
            <v>0</v>
          </cell>
          <cell r="M605">
            <v>0</v>
          </cell>
          <cell r="P605">
            <v>0</v>
          </cell>
          <cell r="R605">
            <v>0</v>
          </cell>
          <cell r="T605">
            <v>0</v>
          </cell>
          <cell r="U605">
            <v>0</v>
          </cell>
        </row>
        <row r="606">
          <cell r="A606" t="str">
            <v>JUN 2016</v>
          </cell>
          <cell r="B606" t="str">
            <v>LGCME657</v>
          </cell>
          <cell r="E606">
            <v>0</v>
          </cell>
          <cell r="L606">
            <v>0</v>
          </cell>
          <cell r="M606">
            <v>0</v>
          </cell>
          <cell r="P606">
            <v>0</v>
          </cell>
          <cell r="R606">
            <v>0</v>
          </cell>
          <cell r="T606">
            <v>0</v>
          </cell>
          <cell r="U606">
            <v>0</v>
          </cell>
        </row>
        <row r="607">
          <cell r="A607" t="str">
            <v>JUN 2016</v>
          </cell>
          <cell r="B607" t="str">
            <v>LGCME671</v>
          </cell>
          <cell r="E607">
            <v>4921800</v>
          </cell>
          <cell r="L607">
            <v>0</v>
          </cell>
          <cell r="M607">
            <v>7456</v>
          </cell>
          <cell r="P607">
            <v>0</v>
          </cell>
          <cell r="R607">
            <v>332738</v>
          </cell>
          <cell r="T607">
            <v>97652</v>
          </cell>
          <cell r="U607">
            <v>45425</v>
          </cell>
        </row>
        <row r="608">
          <cell r="A608" t="str">
            <v>JUN 2016</v>
          </cell>
          <cell r="B608" t="str">
            <v>LGCSR760</v>
          </cell>
          <cell r="E608">
            <v>0</v>
          </cell>
          <cell r="L608">
            <v>0</v>
          </cell>
          <cell r="M608">
            <v>0</v>
          </cell>
          <cell r="P608">
            <v>-286526</v>
          </cell>
          <cell r="R608">
            <v>-286526</v>
          </cell>
          <cell r="T608">
            <v>0</v>
          </cell>
          <cell r="U608">
            <v>0</v>
          </cell>
        </row>
        <row r="609">
          <cell r="A609" t="str">
            <v>JUN 2016</v>
          </cell>
          <cell r="B609" t="str">
            <v>LGCSR780</v>
          </cell>
          <cell r="E609">
            <v>0</v>
          </cell>
          <cell r="L609">
            <v>0</v>
          </cell>
          <cell r="M609">
            <v>0</v>
          </cell>
          <cell r="P609">
            <v>0</v>
          </cell>
          <cell r="R609">
            <v>0</v>
          </cell>
          <cell r="T609">
            <v>0</v>
          </cell>
          <cell r="U609">
            <v>0</v>
          </cell>
        </row>
        <row r="610">
          <cell r="A610" t="str">
            <v>JUN 2016</v>
          </cell>
          <cell r="B610" t="str">
            <v>LGINE000</v>
          </cell>
          <cell r="E610">
            <v>0</v>
          </cell>
          <cell r="L610">
            <v>0</v>
          </cell>
          <cell r="M610">
            <v>0</v>
          </cell>
          <cell r="P610">
            <v>0</v>
          </cell>
          <cell r="R610">
            <v>0</v>
          </cell>
          <cell r="T610">
            <v>0</v>
          </cell>
          <cell r="U610">
            <v>0</v>
          </cell>
        </row>
        <row r="611">
          <cell r="A611" t="str">
            <v>JUN 2016</v>
          </cell>
          <cell r="B611" t="str">
            <v>LGINE599</v>
          </cell>
          <cell r="E611">
            <v>10068000</v>
          </cell>
          <cell r="L611">
            <v>0</v>
          </cell>
          <cell r="M611">
            <v>15253</v>
          </cell>
          <cell r="P611">
            <v>0</v>
          </cell>
          <cell r="R611">
            <v>725808</v>
          </cell>
          <cell r="T611">
            <v>241092</v>
          </cell>
          <cell r="U611">
            <v>92920</v>
          </cell>
        </row>
        <row r="612">
          <cell r="A612" t="str">
            <v>JUN 2016</v>
          </cell>
          <cell r="B612" t="str">
            <v>LGINE643</v>
          </cell>
          <cell r="E612">
            <v>85948776</v>
          </cell>
          <cell r="L612">
            <v>0</v>
          </cell>
          <cell r="M612">
            <v>130212</v>
          </cell>
          <cell r="P612">
            <v>0</v>
          </cell>
          <cell r="R612">
            <v>5451629</v>
          </cell>
          <cell r="T612">
            <v>1416421</v>
          </cell>
          <cell r="U612">
            <v>793246</v>
          </cell>
        </row>
        <row r="613">
          <cell r="A613" t="str">
            <v>JUN 2016</v>
          </cell>
          <cell r="B613" t="str">
            <v>LGINE661</v>
          </cell>
          <cell r="E613">
            <v>21823098</v>
          </cell>
          <cell r="L613">
            <v>35880</v>
          </cell>
          <cell r="M613">
            <v>33062</v>
          </cell>
          <cell r="P613">
            <v>0</v>
          </cell>
          <cell r="R613">
            <v>2201208</v>
          </cell>
          <cell r="T613">
            <v>1025847</v>
          </cell>
          <cell r="U613">
            <v>201412</v>
          </cell>
        </row>
        <row r="614">
          <cell r="A614" t="str">
            <v>JUN 2016</v>
          </cell>
          <cell r="B614" t="str">
            <v>LGINE663</v>
          </cell>
          <cell r="E614">
            <v>1298252</v>
          </cell>
          <cell r="L614">
            <v>2135</v>
          </cell>
          <cell r="M614">
            <v>1967</v>
          </cell>
          <cell r="P614">
            <v>0</v>
          </cell>
          <cell r="R614">
            <v>130982</v>
          </cell>
          <cell r="T614">
            <v>60360</v>
          </cell>
          <cell r="U614">
            <v>11982</v>
          </cell>
        </row>
        <row r="615">
          <cell r="A615" t="str">
            <v>JUN 2016</v>
          </cell>
          <cell r="B615" t="str">
            <v>LGINE691</v>
          </cell>
          <cell r="E615">
            <v>25167481</v>
          </cell>
          <cell r="L615">
            <v>41379</v>
          </cell>
          <cell r="M615">
            <v>38128</v>
          </cell>
          <cell r="P615">
            <v>0</v>
          </cell>
          <cell r="R615">
            <v>2138441</v>
          </cell>
          <cell r="T615">
            <v>802473</v>
          </cell>
          <cell r="U615">
            <v>232278</v>
          </cell>
        </row>
        <row r="616">
          <cell r="A616" t="str">
            <v>JUN 2016</v>
          </cell>
          <cell r="B616" t="str">
            <v>LGINE693</v>
          </cell>
          <cell r="E616">
            <v>163708445</v>
          </cell>
          <cell r="L616">
            <v>269159</v>
          </cell>
          <cell r="M616">
            <v>248017</v>
          </cell>
          <cell r="P616">
            <v>0</v>
          </cell>
          <cell r="R616">
            <v>11986976</v>
          </cell>
          <cell r="T616">
            <v>4145284</v>
          </cell>
          <cell r="U616">
            <v>1510911</v>
          </cell>
        </row>
        <row r="617">
          <cell r="A617" t="str">
            <v>JUN 2016</v>
          </cell>
          <cell r="B617" t="str">
            <v>LGMLE570</v>
          </cell>
          <cell r="E617">
            <v>0</v>
          </cell>
          <cell r="L617">
            <v>0</v>
          </cell>
          <cell r="M617">
            <v>0</v>
          </cell>
          <cell r="P617">
            <v>0</v>
          </cell>
          <cell r="R617">
            <v>0</v>
          </cell>
          <cell r="T617">
            <v>0</v>
          </cell>
          <cell r="U617">
            <v>0</v>
          </cell>
        </row>
        <row r="618">
          <cell r="A618" t="str">
            <v>JUN 2016</v>
          </cell>
          <cell r="B618" t="str">
            <v>LGMLE571</v>
          </cell>
          <cell r="E618">
            <v>0</v>
          </cell>
          <cell r="L618">
            <v>0</v>
          </cell>
          <cell r="M618">
            <v>0</v>
          </cell>
          <cell r="P618">
            <v>0</v>
          </cell>
          <cell r="R618">
            <v>0</v>
          </cell>
          <cell r="T618">
            <v>0</v>
          </cell>
          <cell r="U618">
            <v>0</v>
          </cell>
        </row>
        <row r="619">
          <cell r="A619" t="str">
            <v>JUN 2016</v>
          </cell>
          <cell r="B619" t="str">
            <v>LGMLE572</v>
          </cell>
          <cell r="E619">
            <v>0</v>
          </cell>
          <cell r="L619">
            <v>0</v>
          </cell>
          <cell r="M619">
            <v>0</v>
          </cell>
          <cell r="P619">
            <v>0</v>
          </cell>
          <cell r="R619">
            <v>0</v>
          </cell>
          <cell r="T619">
            <v>0</v>
          </cell>
          <cell r="U619">
            <v>0</v>
          </cell>
        </row>
        <row r="620">
          <cell r="A620" t="str">
            <v>JUN 2016</v>
          </cell>
          <cell r="B620" t="str">
            <v>LGMLE573</v>
          </cell>
          <cell r="E620">
            <v>0</v>
          </cell>
          <cell r="L620">
            <v>0</v>
          </cell>
          <cell r="M620">
            <v>0</v>
          </cell>
          <cell r="P620">
            <v>0</v>
          </cell>
          <cell r="R620">
            <v>0</v>
          </cell>
          <cell r="T620">
            <v>0</v>
          </cell>
          <cell r="U620">
            <v>0</v>
          </cell>
        </row>
        <row r="621">
          <cell r="A621" t="str">
            <v>JUN 2016</v>
          </cell>
          <cell r="B621" t="str">
            <v>LGMLE574</v>
          </cell>
          <cell r="E621">
            <v>0</v>
          </cell>
          <cell r="L621">
            <v>0</v>
          </cell>
          <cell r="M621">
            <v>0</v>
          </cell>
          <cell r="P621">
            <v>0</v>
          </cell>
          <cell r="R621">
            <v>0</v>
          </cell>
          <cell r="T621">
            <v>0</v>
          </cell>
          <cell r="U621">
            <v>0</v>
          </cell>
        </row>
        <row r="622">
          <cell r="A622" t="str">
            <v>JUN 2016</v>
          </cell>
          <cell r="B622" t="str">
            <v>LGRSE000</v>
          </cell>
          <cell r="E622">
            <v>0</v>
          </cell>
          <cell r="L622">
            <v>0</v>
          </cell>
          <cell r="M622">
            <v>0</v>
          </cell>
          <cell r="P622">
            <v>0</v>
          </cell>
          <cell r="R622">
            <v>0</v>
          </cell>
          <cell r="T622">
            <v>0</v>
          </cell>
          <cell r="U622">
            <v>0</v>
          </cell>
        </row>
        <row r="623">
          <cell r="A623" t="str">
            <v>JUN 2016</v>
          </cell>
          <cell r="B623" t="str">
            <v>LGRSE411</v>
          </cell>
          <cell r="E623">
            <v>0</v>
          </cell>
          <cell r="L623">
            <v>0</v>
          </cell>
          <cell r="M623">
            <v>0</v>
          </cell>
          <cell r="P623">
            <v>0</v>
          </cell>
          <cell r="R623">
            <v>0</v>
          </cell>
          <cell r="T623">
            <v>0</v>
          </cell>
          <cell r="U623">
            <v>0</v>
          </cell>
        </row>
        <row r="624">
          <cell r="A624" t="str">
            <v>JUN 2016</v>
          </cell>
          <cell r="B624" t="str">
            <v>LGRSE511</v>
          </cell>
          <cell r="E624">
            <v>411112753</v>
          </cell>
          <cell r="L624">
            <v>675926</v>
          </cell>
          <cell r="M624">
            <v>622832</v>
          </cell>
          <cell r="P624">
            <v>0</v>
          </cell>
          <cell r="R624">
            <v>42192836</v>
          </cell>
          <cell r="T624">
            <v>0</v>
          </cell>
          <cell r="U624">
            <v>3794276</v>
          </cell>
        </row>
        <row r="625">
          <cell r="A625" t="str">
            <v>JUN 2016</v>
          </cell>
          <cell r="B625" t="str">
            <v>LGRSE519</v>
          </cell>
          <cell r="E625">
            <v>0</v>
          </cell>
          <cell r="L625">
            <v>0</v>
          </cell>
          <cell r="M625">
            <v>0</v>
          </cell>
          <cell r="P625">
            <v>0</v>
          </cell>
          <cell r="R625">
            <v>0</v>
          </cell>
          <cell r="T625">
            <v>0</v>
          </cell>
          <cell r="U625">
            <v>0</v>
          </cell>
        </row>
        <row r="626">
          <cell r="A626" t="str">
            <v>JUN 2016</v>
          </cell>
          <cell r="B626" t="str">
            <v>LGRSE540</v>
          </cell>
          <cell r="E626">
            <v>0</v>
          </cell>
          <cell r="L626">
            <v>0</v>
          </cell>
          <cell r="M626">
            <v>0</v>
          </cell>
          <cell r="P626">
            <v>0</v>
          </cell>
          <cell r="R626">
            <v>0</v>
          </cell>
          <cell r="T626">
            <v>0</v>
          </cell>
          <cell r="U626">
            <v>0</v>
          </cell>
        </row>
        <row r="627">
          <cell r="A627" t="str">
            <v>JUN 2016</v>
          </cell>
          <cell r="B627" t="str">
            <v>LGRSE543</v>
          </cell>
          <cell r="E627">
            <v>0</v>
          </cell>
          <cell r="L627">
            <v>0</v>
          </cell>
          <cell r="M627">
            <v>0</v>
          </cell>
          <cell r="P627">
            <v>0</v>
          </cell>
          <cell r="R627">
            <v>0</v>
          </cell>
          <cell r="T627">
            <v>0</v>
          </cell>
          <cell r="U627">
            <v>0</v>
          </cell>
        </row>
        <row r="628">
          <cell r="A628" t="str">
            <v>JUN 2016</v>
          </cell>
          <cell r="B628" t="str">
            <v>LGRSE547</v>
          </cell>
          <cell r="E628">
            <v>0</v>
          </cell>
          <cell r="L628">
            <v>0</v>
          </cell>
          <cell r="M628">
            <v>0</v>
          </cell>
          <cell r="P628">
            <v>0</v>
          </cell>
          <cell r="R628">
            <v>0</v>
          </cell>
          <cell r="T628">
            <v>0</v>
          </cell>
          <cell r="U628">
            <v>0</v>
          </cell>
        </row>
        <row r="629">
          <cell r="A629" t="str">
            <v>JUN 2016</v>
          </cell>
          <cell r="B629" t="str">
            <v>LGUM_000</v>
          </cell>
          <cell r="T629">
            <v>0</v>
          </cell>
          <cell r="U629">
            <v>0</v>
          </cell>
        </row>
        <row r="630">
          <cell r="A630" t="str">
            <v>JUN 2016</v>
          </cell>
          <cell r="B630" t="str">
            <v>LGUM_201</v>
          </cell>
          <cell r="T630">
            <v>0</v>
          </cell>
          <cell r="U630">
            <v>0</v>
          </cell>
        </row>
        <row r="631">
          <cell r="A631" t="str">
            <v>JUN 2016</v>
          </cell>
          <cell r="B631" t="str">
            <v>LGUM_203</v>
          </cell>
          <cell r="T631">
            <v>0</v>
          </cell>
          <cell r="U631">
            <v>0</v>
          </cell>
        </row>
        <row r="632">
          <cell r="A632" t="str">
            <v>JUN 2016</v>
          </cell>
          <cell r="B632" t="str">
            <v>LGUM_204</v>
          </cell>
          <cell r="T632">
            <v>0</v>
          </cell>
          <cell r="U632">
            <v>0</v>
          </cell>
        </row>
        <row r="633">
          <cell r="A633" t="str">
            <v>JUN 2016</v>
          </cell>
          <cell r="B633" t="str">
            <v>LGUM_204CU</v>
          </cell>
          <cell r="T633">
            <v>0</v>
          </cell>
          <cell r="U633">
            <v>0</v>
          </cell>
        </row>
        <row r="634">
          <cell r="A634" t="str">
            <v>JUN 2016</v>
          </cell>
          <cell r="B634" t="str">
            <v>LGUM_206</v>
          </cell>
          <cell r="T634">
            <v>0</v>
          </cell>
          <cell r="U634">
            <v>0</v>
          </cell>
        </row>
        <row r="635">
          <cell r="A635" t="str">
            <v>JUN 2016</v>
          </cell>
          <cell r="B635" t="str">
            <v>LGUM_207</v>
          </cell>
          <cell r="T635">
            <v>0</v>
          </cell>
          <cell r="U635">
            <v>0</v>
          </cell>
        </row>
        <row r="636">
          <cell r="A636" t="str">
            <v>JUN 2016</v>
          </cell>
          <cell r="B636" t="str">
            <v>LGUM_208</v>
          </cell>
          <cell r="T636">
            <v>0</v>
          </cell>
          <cell r="U636">
            <v>0</v>
          </cell>
        </row>
        <row r="637">
          <cell r="A637" t="str">
            <v>JUN 2016</v>
          </cell>
          <cell r="B637" t="str">
            <v>LGUM_209</v>
          </cell>
          <cell r="T637">
            <v>0</v>
          </cell>
          <cell r="U637">
            <v>0</v>
          </cell>
        </row>
        <row r="638">
          <cell r="A638" t="str">
            <v>JUN 2016</v>
          </cell>
          <cell r="B638" t="str">
            <v>LGUM_209CU</v>
          </cell>
          <cell r="T638">
            <v>0</v>
          </cell>
          <cell r="U638">
            <v>0</v>
          </cell>
        </row>
        <row r="639">
          <cell r="A639" t="str">
            <v>JUN 2016</v>
          </cell>
          <cell r="B639" t="str">
            <v>LGUM_210</v>
          </cell>
          <cell r="T639">
            <v>0</v>
          </cell>
          <cell r="U639">
            <v>0</v>
          </cell>
        </row>
        <row r="640">
          <cell r="A640" t="str">
            <v>JUN 2016</v>
          </cell>
          <cell r="B640" t="str">
            <v>LGUM_252</v>
          </cell>
          <cell r="T640">
            <v>0</v>
          </cell>
          <cell r="U640">
            <v>0</v>
          </cell>
        </row>
        <row r="641">
          <cell r="A641" t="str">
            <v>JUN 2016</v>
          </cell>
          <cell r="B641" t="str">
            <v>LGUM_266</v>
          </cell>
          <cell r="T641">
            <v>0</v>
          </cell>
          <cell r="U641">
            <v>0</v>
          </cell>
        </row>
        <row r="642">
          <cell r="A642" t="str">
            <v>JUN 2016</v>
          </cell>
          <cell r="B642" t="str">
            <v>LGUM_267</v>
          </cell>
          <cell r="T642">
            <v>0</v>
          </cell>
          <cell r="U642">
            <v>0</v>
          </cell>
        </row>
        <row r="643">
          <cell r="A643" t="str">
            <v>JUN 2016</v>
          </cell>
          <cell r="B643" t="str">
            <v>LGUM_274</v>
          </cell>
          <cell r="T643">
            <v>0</v>
          </cell>
          <cell r="U643">
            <v>0</v>
          </cell>
        </row>
        <row r="644">
          <cell r="A644" t="str">
            <v>JUN 2016</v>
          </cell>
          <cell r="B644" t="str">
            <v>LGUM_275</v>
          </cell>
          <cell r="T644">
            <v>0</v>
          </cell>
          <cell r="U644">
            <v>0</v>
          </cell>
        </row>
        <row r="645">
          <cell r="A645" t="str">
            <v>JUN 2016</v>
          </cell>
          <cell r="B645" t="str">
            <v>LGUM_276</v>
          </cell>
          <cell r="T645">
            <v>0</v>
          </cell>
          <cell r="U645">
            <v>0</v>
          </cell>
        </row>
        <row r="646">
          <cell r="A646" t="str">
            <v>JUN 2016</v>
          </cell>
          <cell r="B646" t="str">
            <v>LGUM_277</v>
          </cell>
          <cell r="T646">
            <v>0</v>
          </cell>
          <cell r="U646">
            <v>0</v>
          </cell>
        </row>
        <row r="647">
          <cell r="A647" t="str">
            <v>JUN 2016</v>
          </cell>
          <cell r="B647" t="str">
            <v>LGUM_278</v>
          </cell>
          <cell r="T647">
            <v>0</v>
          </cell>
          <cell r="U647">
            <v>0</v>
          </cell>
        </row>
        <row r="648">
          <cell r="A648" t="str">
            <v>JUN 2016</v>
          </cell>
          <cell r="B648" t="str">
            <v>LGUM_279</v>
          </cell>
          <cell r="T648">
            <v>0</v>
          </cell>
          <cell r="U648">
            <v>0</v>
          </cell>
        </row>
        <row r="649">
          <cell r="A649" t="str">
            <v>JUN 2016</v>
          </cell>
          <cell r="B649" t="str">
            <v>LGUM_280</v>
          </cell>
          <cell r="T649">
            <v>0</v>
          </cell>
          <cell r="U649">
            <v>0</v>
          </cell>
        </row>
        <row r="650">
          <cell r="A650" t="str">
            <v>JUN 2016</v>
          </cell>
          <cell r="B650" t="str">
            <v>LGUM_281</v>
          </cell>
          <cell r="T650">
            <v>0</v>
          </cell>
          <cell r="U650">
            <v>0</v>
          </cell>
        </row>
        <row r="651">
          <cell r="A651" t="str">
            <v>JUN 2016</v>
          </cell>
          <cell r="B651" t="str">
            <v>LGUM_282</v>
          </cell>
          <cell r="T651">
            <v>0</v>
          </cell>
          <cell r="U651">
            <v>0</v>
          </cell>
        </row>
        <row r="652">
          <cell r="A652" t="str">
            <v>JUN 2016</v>
          </cell>
          <cell r="B652" t="str">
            <v>LGUM_283</v>
          </cell>
          <cell r="T652">
            <v>0</v>
          </cell>
          <cell r="U652">
            <v>0</v>
          </cell>
        </row>
        <row r="653">
          <cell r="A653" t="str">
            <v>JUN 2016</v>
          </cell>
          <cell r="B653" t="str">
            <v>LGUM_314</v>
          </cell>
          <cell r="T653">
            <v>0</v>
          </cell>
          <cell r="U653">
            <v>0</v>
          </cell>
        </row>
        <row r="654">
          <cell r="A654" t="str">
            <v>JUN 2016</v>
          </cell>
          <cell r="B654" t="str">
            <v>LGUM_315</v>
          </cell>
          <cell r="T654">
            <v>0</v>
          </cell>
          <cell r="U654">
            <v>0</v>
          </cell>
        </row>
        <row r="655">
          <cell r="A655" t="str">
            <v>JUN 2016</v>
          </cell>
          <cell r="B655" t="str">
            <v>LGUM_318</v>
          </cell>
          <cell r="T655">
            <v>0</v>
          </cell>
          <cell r="U655">
            <v>0</v>
          </cell>
        </row>
        <row r="656">
          <cell r="A656" t="str">
            <v>JUN 2016</v>
          </cell>
          <cell r="B656" t="str">
            <v>LGUM_348</v>
          </cell>
          <cell r="T656">
            <v>0</v>
          </cell>
          <cell r="U656">
            <v>0</v>
          </cell>
        </row>
        <row r="657">
          <cell r="A657" t="str">
            <v>JUN 2016</v>
          </cell>
          <cell r="B657" t="str">
            <v>LGUM_349</v>
          </cell>
          <cell r="T657">
            <v>0</v>
          </cell>
          <cell r="U657">
            <v>0</v>
          </cell>
        </row>
        <row r="658">
          <cell r="A658" t="str">
            <v>JUN 2016</v>
          </cell>
          <cell r="B658" t="str">
            <v>LGUM_400</v>
          </cell>
          <cell r="T658">
            <v>0</v>
          </cell>
          <cell r="U658">
            <v>0</v>
          </cell>
        </row>
        <row r="659">
          <cell r="A659" t="str">
            <v>JUN 2016</v>
          </cell>
          <cell r="B659" t="str">
            <v>LGUM_401</v>
          </cell>
          <cell r="T659">
            <v>0</v>
          </cell>
          <cell r="U659">
            <v>0</v>
          </cell>
        </row>
        <row r="660">
          <cell r="A660" t="str">
            <v>JUN 2016</v>
          </cell>
          <cell r="B660" t="str">
            <v>LGUM_412</v>
          </cell>
          <cell r="T660">
            <v>0</v>
          </cell>
          <cell r="U660">
            <v>0</v>
          </cell>
        </row>
        <row r="661">
          <cell r="A661" t="str">
            <v>JUN 2016</v>
          </cell>
          <cell r="B661" t="str">
            <v>LGUM_413</v>
          </cell>
          <cell r="T661">
            <v>0</v>
          </cell>
          <cell r="U661">
            <v>0</v>
          </cell>
        </row>
        <row r="662">
          <cell r="A662" t="str">
            <v>JUN 2016</v>
          </cell>
          <cell r="B662" t="str">
            <v>LGUM_415</v>
          </cell>
          <cell r="T662">
            <v>0</v>
          </cell>
          <cell r="U662">
            <v>0</v>
          </cell>
        </row>
        <row r="663">
          <cell r="A663" t="str">
            <v>JUN 2016</v>
          </cell>
          <cell r="B663" t="str">
            <v>LGUM_416</v>
          </cell>
          <cell r="T663">
            <v>0</v>
          </cell>
          <cell r="U663">
            <v>0</v>
          </cell>
        </row>
        <row r="664">
          <cell r="A664" t="str">
            <v>JUN 2016</v>
          </cell>
          <cell r="B664" t="str">
            <v>LGUM_417</v>
          </cell>
          <cell r="T664">
            <v>0</v>
          </cell>
          <cell r="U664">
            <v>0</v>
          </cell>
        </row>
        <row r="665">
          <cell r="A665" t="str">
            <v>JUN 2016</v>
          </cell>
          <cell r="B665" t="str">
            <v>LGUM_419</v>
          </cell>
          <cell r="T665">
            <v>0</v>
          </cell>
          <cell r="U665">
            <v>0</v>
          </cell>
        </row>
        <row r="666">
          <cell r="A666" t="str">
            <v>JUN 2016</v>
          </cell>
          <cell r="B666" t="str">
            <v>LGUM_420</v>
          </cell>
          <cell r="T666">
            <v>0</v>
          </cell>
          <cell r="U666">
            <v>0</v>
          </cell>
        </row>
        <row r="667">
          <cell r="A667" t="str">
            <v>JUN 2016</v>
          </cell>
          <cell r="B667" t="str">
            <v>LGUM_421</v>
          </cell>
          <cell r="T667">
            <v>0</v>
          </cell>
          <cell r="U667">
            <v>0</v>
          </cell>
        </row>
        <row r="668">
          <cell r="A668" t="str">
            <v>JUN 2016</v>
          </cell>
          <cell r="B668" t="str">
            <v>LGUM_422</v>
          </cell>
          <cell r="T668">
            <v>0</v>
          </cell>
          <cell r="U668">
            <v>0</v>
          </cell>
        </row>
        <row r="669">
          <cell r="A669" t="str">
            <v>JUN 2016</v>
          </cell>
          <cell r="B669" t="str">
            <v>LGUM_423</v>
          </cell>
          <cell r="T669">
            <v>0</v>
          </cell>
          <cell r="U669">
            <v>0</v>
          </cell>
        </row>
        <row r="670">
          <cell r="A670" t="str">
            <v>JUN 2016</v>
          </cell>
          <cell r="B670" t="str">
            <v>LGUM_424</v>
          </cell>
          <cell r="T670">
            <v>0</v>
          </cell>
          <cell r="U670">
            <v>0</v>
          </cell>
        </row>
        <row r="671">
          <cell r="A671" t="str">
            <v>JUN 2016</v>
          </cell>
          <cell r="B671" t="str">
            <v>LGUM_425</v>
          </cell>
          <cell r="T671">
            <v>0</v>
          </cell>
          <cell r="U671">
            <v>0</v>
          </cell>
        </row>
        <row r="672">
          <cell r="A672" t="str">
            <v>JUN 2016</v>
          </cell>
          <cell r="B672" t="str">
            <v>LGUM_426</v>
          </cell>
          <cell r="T672">
            <v>0</v>
          </cell>
          <cell r="U672">
            <v>0</v>
          </cell>
        </row>
        <row r="673">
          <cell r="A673" t="str">
            <v>JUN 2016</v>
          </cell>
          <cell r="B673" t="str">
            <v>LGUM_427</v>
          </cell>
          <cell r="T673">
            <v>0</v>
          </cell>
          <cell r="U673">
            <v>0</v>
          </cell>
        </row>
        <row r="674">
          <cell r="A674" t="str">
            <v>JUN 2016</v>
          </cell>
          <cell r="B674" t="str">
            <v>LGUM_428</v>
          </cell>
          <cell r="T674">
            <v>0</v>
          </cell>
          <cell r="U674">
            <v>0</v>
          </cell>
        </row>
        <row r="675">
          <cell r="A675" t="str">
            <v>JUN 2016</v>
          </cell>
          <cell r="B675" t="str">
            <v>LGUM_429</v>
          </cell>
          <cell r="T675">
            <v>0</v>
          </cell>
          <cell r="U675">
            <v>0</v>
          </cell>
        </row>
        <row r="676">
          <cell r="A676" t="str">
            <v>JUN 2016</v>
          </cell>
          <cell r="B676" t="str">
            <v>LGUM_430</v>
          </cell>
          <cell r="T676">
            <v>0</v>
          </cell>
          <cell r="U676">
            <v>0</v>
          </cell>
        </row>
        <row r="677">
          <cell r="A677" t="str">
            <v>JUN 2016</v>
          </cell>
          <cell r="B677" t="str">
            <v>LGUM_431</v>
          </cell>
          <cell r="T677">
            <v>0</v>
          </cell>
          <cell r="U677">
            <v>0</v>
          </cell>
        </row>
        <row r="678">
          <cell r="A678" t="str">
            <v>JUN 2016</v>
          </cell>
          <cell r="B678" t="str">
            <v>LGUM_432</v>
          </cell>
          <cell r="T678">
            <v>0</v>
          </cell>
          <cell r="U678">
            <v>0</v>
          </cell>
        </row>
        <row r="679">
          <cell r="A679" t="str">
            <v>JUN 2016</v>
          </cell>
          <cell r="B679" t="str">
            <v>LGUM_433</v>
          </cell>
          <cell r="T679">
            <v>0</v>
          </cell>
          <cell r="U679">
            <v>0</v>
          </cell>
        </row>
        <row r="680">
          <cell r="A680" t="str">
            <v>JUN 2016</v>
          </cell>
          <cell r="B680" t="str">
            <v>LGUM_440</v>
          </cell>
          <cell r="T680">
            <v>0</v>
          </cell>
          <cell r="U680">
            <v>0</v>
          </cell>
        </row>
        <row r="681">
          <cell r="A681" t="str">
            <v>JUN 2016</v>
          </cell>
          <cell r="B681" t="str">
            <v>LGUM_441</v>
          </cell>
          <cell r="T681">
            <v>0</v>
          </cell>
          <cell r="U681">
            <v>0</v>
          </cell>
        </row>
        <row r="682">
          <cell r="A682" t="str">
            <v>JUN 2016</v>
          </cell>
          <cell r="B682" t="str">
            <v>LGUM_452</v>
          </cell>
          <cell r="T682">
            <v>0</v>
          </cell>
          <cell r="U682">
            <v>0</v>
          </cell>
        </row>
        <row r="683">
          <cell r="A683" t="str">
            <v>JUN 2016</v>
          </cell>
          <cell r="B683" t="str">
            <v>LGUM_452CU</v>
          </cell>
          <cell r="T683">
            <v>0</v>
          </cell>
          <cell r="U683">
            <v>0</v>
          </cell>
        </row>
        <row r="684">
          <cell r="A684" t="str">
            <v>JUN 2016</v>
          </cell>
          <cell r="B684" t="str">
            <v>LGUM_453</v>
          </cell>
          <cell r="T684">
            <v>0</v>
          </cell>
          <cell r="U684">
            <v>0</v>
          </cell>
        </row>
        <row r="685">
          <cell r="A685" t="str">
            <v>JUN 2016</v>
          </cell>
          <cell r="B685" t="str">
            <v>LGUM_453CU</v>
          </cell>
          <cell r="T685">
            <v>0</v>
          </cell>
          <cell r="U685">
            <v>0</v>
          </cell>
        </row>
        <row r="686">
          <cell r="A686" t="str">
            <v>JUN 2016</v>
          </cell>
          <cell r="B686" t="str">
            <v>LGUM_454</v>
          </cell>
          <cell r="T686">
            <v>0</v>
          </cell>
          <cell r="U686">
            <v>0</v>
          </cell>
        </row>
        <row r="687">
          <cell r="A687" t="str">
            <v>JUN 2016</v>
          </cell>
          <cell r="B687" t="str">
            <v>LGUM_454CU</v>
          </cell>
          <cell r="T687">
            <v>0</v>
          </cell>
          <cell r="U687">
            <v>0</v>
          </cell>
        </row>
        <row r="688">
          <cell r="A688" t="str">
            <v>JUN 2016</v>
          </cell>
          <cell r="B688" t="str">
            <v>LGUM_455</v>
          </cell>
          <cell r="T688">
            <v>0</v>
          </cell>
          <cell r="U688">
            <v>0</v>
          </cell>
        </row>
        <row r="689">
          <cell r="A689" t="str">
            <v>JUN 2016</v>
          </cell>
          <cell r="B689" t="str">
            <v>LGUM_456</v>
          </cell>
          <cell r="T689">
            <v>0</v>
          </cell>
          <cell r="U689">
            <v>0</v>
          </cell>
        </row>
        <row r="690">
          <cell r="A690" t="str">
            <v>JUN 2016</v>
          </cell>
          <cell r="B690" t="str">
            <v>LGUM_456CU</v>
          </cell>
          <cell r="T690">
            <v>0</v>
          </cell>
          <cell r="U690">
            <v>0</v>
          </cell>
        </row>
        <row r="691">
          <cell r="A691" t="str">
            <v>JUN 2016</v>
          </cell>
          <cell r="B691" t="str">
            <v>LGUM_457</v>
          </cell>
          <cell r="T691">
            <v>0</v>
          </cell>
          <cell r="U691">
            <v>0</v>
          </cell>
        </row>
        <row r="692">
          <cell r="A692" t="str">
            <v>JUN 2016</v>
          </cell>
          <cell r="B692" t="str">
            <v>LGUM_458</v>
          </cell>
          <cell r="T692">
            <v>0</v>
          </cell>
          <cell r="U692">
            <v>0</v>
          </cell>
        </row>
        <row r="693">
          <cell r="A693" t="str">
            <v>JUN 2016</v>
          </cell>
          <cell r="B693" t="str">
            <v>LGUM_470</v>
          </cell>
          <cell r="T693">
            <v>0</v>
          </cell>
          <cell r="U693">
            <v>0</v>
          </cell>
        </row>
        <row r="694">
          <cell r="A694" t="str">
            <v>JUN 2016</v>
          </cell>
          <cell r="B694" t="str">
            <v>LGUM_471</v>
          </cell>
          <cell r="T694">
            <v>0</v>
          </cell>
          <cell r="U694">
            <v>0</v>
          </cell>
        </row>
        <row r="695">
          <cell r="A695" t="str">
            <v>JUN 2016</v>
          </cell>
          <cell r="B695" t="str">
            <v>LGUM_473</v>
          </cell>
          <cell r="T695">
            <v>0</v>
          </cell>
          <cell r="U695">
            <v>0</v>
          </cell>
        </row>
        <row r="696">
          <cell r="A696" t="str">
            <v>JUN 2016</v>
          </cell>
          <cell r="B696" t="str">
            <v>LGUM_474</v>
          </cell>
          <cell r="T696">
            <v>0</v>
          </cell>
          <cell r="U696">
            <v>0</v>
          </cell>
        </row>
        <row r="697">
          <cell r="A697" t="str">
            <v>JUN 2016</v>
          </cell>
          <cell r="B697" t="str">
            <v>LGUM_475</v>
          </cell>
          <cell r="T697">
            <v>0</v>
          </cell>
          <cell r="U697">
            <v>0</v>
          </cell>
        </row>
        <row r="698">
          <cell r="A698" t="str">
            <v>JUN 2016</v>
          </cell>
          <cell r="B698" t="str">
            <v>LGUM_476</v>
          </cell>
          <cell r="T698">
            <v>0</v>
          </cell>
          <cell r="U698">
            <v>0</v>
          </cell>
        </row>
        <row r="699">
          <cell r="A699" t="str">
            <v>JUN 2016</v>
          </cell>
          <cell r="B699" t="str">
            <v>LGUM_477</v>
          </cell>
          <cell r="T699">
            <v>0</v>
          </cell>
          <cell r="U699">
            <v>0</v>
          </cell>
        </row>
        <row r="700">
          <cell r="A700" t="str">
            <v>JUN 2016</v>
          </cell>
          <cell r="B700" t="str">
            <v>LGUM_480</v>
          </cell>
          <cell r="T700">
            <v>0</v>
          </cell>
          <cell r="U700">
            <v>0</v>
          </cell>
        </row>
        <row r="701">
          <cell r="A701" t="str">
            <v>JUN 2016</v>
          </cell>
          <cell r="B701" t="str">
            <v>LGUM_481</v>
          </cell>
          <cell r="T701">
            <v>0</v>
          </cell>
          <cell r="U701">
            <v>0</v>
          </cell>
        </row>
        <row r="702">
          <cell r="A702" t="str">
            <v>JUN 2016</v>
          </cell>
          <cell r="B702" t="str">
            <v>LGUM_482</v>
          </cell>
          <cell r="T702">
            <v>0</v>
          </cell>
          <cell r="U702">
            <v>0</v>
          </cell>
        </row>
        <row r="703">
          <cell r="A703" t="str">
            <v>JUN 2016</v>
          </cell>
          <cell r="B703" t="str">
            <v>LGUM_483</v>
          </cell>
          <cell r="T703">
            <v>0</v>
          </cell>
          <cell r="U703">
            <v>0</v>
          </cell>
        </row>
        <row r="704">
          <cell r="A704" t="str">
            <v>JUN 2016</v>
          </cell>
          <cell r="B704" t="str">
            <v>LGUM_484</v>
          </cell>
          <cell r="T704">
            <v>0</v>
          </cell>
          <cell r="U704">
            <v>0</v>
          </cell>
        </row>
        <row r="705">
          <cell r="A705" t="str">
            <v>JUN 2016</v>
          </cell>
          <cell r="B705" t="str">
            <v>Result</v>
          </cell>
          <cell r="T705">
            <v>0</v>
          </cell>
          <cell r="U705">
            <v>0</v>
          </cell>
        </row>
        <row r="706">
          <cell r="A706" t="str">
            <v>JUL 2015</v>
          </cell>
          <cell r="B706" t="str">
            <v>LEUM_826</v>
          </cell>
          <cell r="T706">
            <v>0</v>
          </cell>
          <cell r="U706">
            <v>0</v>
          </cell>
        </row>
        <row r="707">
          <cell r="A707" t="str">
            <v>JUL 2015</v>
          </cell>
          <cell r="B707" t="str">
            <v>LEUM_826</v>
          </cell>
          <cell r="T707">
            <v>0</v>
          </cell>
          <cell r="U707">
            <v>0</v>
          </cell>
        </row>
        <row r="708">
          <cell r="A708" t="str">
            <v>JUL 2015</v>
          </cell>
          <cell r="B708" t="str">
            <v>ODL</v>
          </cell>
          <cell r="E708">
            <v>7505864</v>
          </cell>
          <cell r="L708">
            <v>0</v>
          </cell>
          <cell r="M708">
            <v>14702</v>
          </cell>
          <cell r="P708">
            <v>0</v>
          </cell>
          <cell r="R708">
            <v>1613472</v>
          </cell>
          <cell r="T708">
            <v>0</v>
          </cell>
          <cell r="U708">
            <v>47403</v>
          </cell>
        </row>
        <row r="709">
          <cell r="A709" t="str">
            <v>JUL 2015</v>
          </cell>
          <cell r="B709" t="str">
            <v>LEUM_829</v>
          </cell>
          <cell r="E709">
            <v>0</v>
          </cell>
          <cell r="L709">
            <v>0</v>
          </cell>
          <cell r="M709">
            <v>0</v>
          </cell>
          <cell r="P709">
            <v>0</v>
          </cell>
          <cell r="R709">
            <v>0</v>
          </cell>
          <cell r="T709">
            <v>0</v>
          </cell>
          <cell r="U709">
            <v>0</v>
          </cell>
        </row>
        <row r="710">
          <cell r="A710" t="str">
            <v>JUL 2015</v>
          </cell>
          <cell r="B710" t="str">
            <v>LGCME000</v>
          </cell>
          <cell r="E710">
            <v>0</v>
          </cell>
          <cell r="L710">
            <v>0</v>
          </cell>
          <cell r="M710">
            <v>0</v>
          </cell>
          <cell r="P710">
            <v>0</v>
          </cell>
          <cell r="R710">
            <v>0</v>
          </cell>
          <cell r="T710">
            <v>0</v>
          </cell>
          <cell r="U710">
            <v>0</v>
          </cell>
        </row>
        <row r="711">
          <cell r="A711" t="str">
            <v>JUL 2015</v>
          </cell>
          <cell r="B711" t="str">
            <v>LGCME451</v>
          </cell>
          <cell r="E711">
            <v>0</v>
          </cell>
          <cell r="L711">
            <v>0</v>
          </cell>
          <cell r="M711">
            <v>0</v>
          </cell>
          <cell r="P711">
            <v>0</v>
          </cell>
          <cell r="R711">
            <v>0</v>
          </cell>
          <cell r="T711">
            <v>0</v>
          </cell>
          <cell r="U711">
            <v>0</v>
          </cell>
        </row>
        <row r="712">
          <cell r="A712" t="str">
            <v>JUL 2015</v>
          </cell>
          <cell r="B712" t="str">
            <v>LGCME551</v>
          </cell>
          <cell r="E712">
            <v>40110981</v>
          </cell>
          <cell r="L712">
            <v>66058</v>
          </cell>
          <cell r="M712">
            <v>78567</v>
          </cell>
          <cell r="P712">
            <v>0</v>
          </cell>
          <cell r="R712">
            <v>4624793</v>
          </cell>
          <cell r="T712">
            <v>0</v>
          </cell>
          <cell r="U712">
            <v>253317</v>
          </cell>
        </row>
        <row r="713">
          <cell r="A713" t="str">
            <v>JUL 2015</v>
          </cell>
          <cell r="B713" t="str">
            <v>LGCME551UM</v>
          </cell>
          <cell r="E713">
            <v>0</v>
          </cell>
          <cell r="L713">
            <v>0</v>
          </cell>
          <cell r="M713">
            <v>0</v>
          </cell>
          <cell r="P713">
            <v>0</v>
          </cell>
          <cell r="R713">
            <v>0</v>
          </cell>
          <cell r="T713">
            <v>0</v>
          </cell>
          <cell r="U713">
            <v>0</v>
          </cell>
        </row>
        <row r="714">
          <cell r="A714" t="str">
            <v>JUL 2015</v>
          </cell>
          <cell r="B714" t="str">
            <v>LGCME552</v>
          </cell>
          <cell r="E714">
            <v>0</v>
          </cell>
          <cell r="L714">
            <v>0</v>
          </cell>
          <cell r="M714">
            <v>0</v>
          </cell>
          <cell r="P714">
            <v>0</v>
          </cell>
          <cell r="R714">
            <v>0</v>
          </cell>
          <cell r="T714">
            <v>0</v>
          </cell>
          <cell r="U714">
            <v>0</v>
          </cell>
        </row>
        <row r="715">
          <cell r="A715" t="str">
            <v>JUL 2015</v>
          </cell>
          <cell r="B715" t="str">
            <v>LGCME557</v>
          </cell>
          <cell r="E715">
            <v>0</v>
          </cell>
          <cell r="L715">
            <v>0</v>
          </cell>
          <cell r="M715">
            <v>0</v>
          </cell>
          <cell r="P715">
            <v>0</v>
          </cell>
          <cell r="R715">
            <v>0</v>
          </cell>
          <cell r="T715">
            <v>0</v>
          </cell>
          <cell r="U715">
            <v>0</v>
          </cell>
        </row>
        <row r="716">
          <cell r="A716" t="str">
            <v>JUL 2015</v>
          </cell>
          <cell r="B716" t="str">
            <v>LGCME561</v>
          </cell>
          <cell r="E716">
            <v>168924378</v>
          </cell>
          <cell r="L716">
            <v>278198</v>
          </cell>
          <cell r="M716">
            <v>330880</v>
          </cell>
          <cell r="P716">
            <v>0</v>
          </cell>
          <cell r="R716">
            <v>15434735</v>
          </cell>
          <cell r="T716">
            <v>6668392</v>
          </cell>
          <cell r="U716">
            <v>1066824</v>
          </cell>
        </row>
        <row r="717">
          <cell r="A717" t="str">
            <v>JUL 2015</v>
          </cell>
          <cell r="B717" t="str">
            <v>LGCME563</v>
          </cell>
          <cell r="E717">
            <v>14939406</v>
          </cell>
          <cell r="L717">
            <v>24603</v>
          </cell>
          <cell r="M717">
            <v>29263</v>
          </cell>
          <cell r="P717">
            <v>0</v>
          </cell>
          <cell r="R717">
            <v>1231997</v>
          </cell>
          <cell r="T717">
            <v>488422</v>
          </cell>
          <cell r="U717">
            <v>94348</v>
          </cell>
        </row>
        <row r="718">
          <cell r="A718" t="str">
            <v>JUL 2015</v>
          </cell>
          <cell r="B718" t="str">
            <v>LGCME567</v>
          </cell>
          <cell r="E718">
            <v>0</v>
          </cell>
          <cell r="L718">
            <v>0</v>
          </cell>
          <cell r="M718">
            <v>0</v>
          </cell>
          <cell r="P718">
            <v>0</v>
          </cell>
          <cell r="R718">
            <v>0</v>
          </cell>
          <cell r="T718">
            <v>0</v>
          </cell>
          <cell r="U718">
            <v>0</v>
          </cell>
        </row>
        <row r="719">
          <cell r="A719" t="str">
            <v>JUL 2015</v>
          </cell>
          <cell r="B719" t="str">
            <v>LGCME591</v>
          </cell>
          <cell r="E719">
            <v>76574431</v>
          </cell>
          <cell r="L719">
            <v>126109</v>
          </cell>
          <cell r="M719">
            <v>149990</v>
          </cell>
          <cell r="P719">
            <v>0</v>
          </cell>
          <cell r="R719">
            <v>6090535</v>
          </cell>
          <cell r="T719">
            <v>2232318</v>
          </cell>
          <cell r="U719">
            <v>483598</v>
          </cell>
        </row>
        <row r="720">
          <cell r="A720" t="str">
            <v>JUL 2015</v>
          </cell>
          <cell r="B720" t="str">
            <v>LGCME593</v>
          </cell>
          <cell r="E720">
            <v>36804280</v>
          </cell>
          <cell r="L720">
            <v>60612</v>
          </cell>
          <cell r="M720">
            <v>72090</v>
          </cell>
          <cell r="P720">
            <v>0</v>
          </cell>
          <cell r="R720">
            <v>2887026</v>
          </cell>
          <cell r="T720">
            <v>1108247</v>
          </cell>
          <cell r="U720">
            <v>232434</v>
          </cell>
        </row>
        <row r="721">
          <cell r="A721" t="str">
            <v>JUL 2015</v>
          </cell>
          <cell r="B721" t="str">
            <v>LGCME651</v>
          </cell>
          <cell r="E721">
            <v>102495326</v>
          </cell>
          <cell r="L721">
            <v>168798</v>
          </cell>
          <cell r="M721">
            <v>200762</v>
          </cell>
          <cell r="P721">
            <v>0</v>
          </cell>
          <cell r="R721">
            <v>10950971</v>
          </cell>
          <cell r="T721">
            <v>0</v>
          </cell>
          <cell r="U721">
            <v>647299</v>
          </cell>
        </row>
        <row r="722">
          <cell r="A722" t="str">
            <v>JUL 2015</v>
          </cell>
          <cell r="B722" t="str">
            <v>LGCME652</v>
          </cell>
          <cell r="E722">
            <v>0</v>
          </cell>
          <cell r="L722">
            <v>0</v>
          </cell>
          <cell r="M722">
            <v>0</v>
          </cell>
          <cell r="P722">
            <v>0</v>
          </cell>
          <cell r="R722">
            <v>0</v>
          </cell>
          <cell r="T722">
            <v>0</v>
          </cell>
          <cell r="U722">
            <v>0</v>
          </cell>
        </row>
        <row r="723">
          <cell r="A723" t="str">
            <v>JUL 2015</v>
          </cell>
          <cell r="B723" t="str">
            <v>LGCME657</v>
          </cell>
          <cell r="E723">
            <v>0</v>
          </cell>
          <cell r="L723">
            <v>0</v>
          </cell>
          <cell r="M723">
            <v>0</v>
          </cell>
          <cell r="P723">
            <v>0</v>
          </cell>
          <cell r="R723">
            <v>0</v>
          </cell>
          <cell r="T723">
            <v>0</v>
          </cell>
          <cell r="U723">
            <v>0</v>
          </cell>
        </row>
        <row r="724">
          <cell r="A724" t="str">
            <v>JUL 2015</v>
          </cell>
          <cell r="B724" t="str">
            <v>LGCME671</v>
          </cell>
          <cell r="E724">
            <v>5252400</v>
          </cell>
          <cell r="L724">
            <v>0</v>
          </cell>
          <cell r="M724">
            <v>10288</v>
          </cell>
          <cell r="P724">
            <v>0</v>
          </cell>
          <cell r="R724">
            <v>335714</v>
          </cell>
          <cell r="T724">
            <v>97811</v>
          </cell>
          <cell r="U724">
            <v>33171</v>
          </cell>
        </row>
        <row r="725">
          <cell r="A725" t="str">
            <v>JUL 2015</v>
          </cell>
          <cell r="B725" t="str">
            <v>LGCSR760</v>
          </cell>
          <cell r="E725">
            <v>0</v>
          </cell>
          <cell r="L725">
            <v>0</v>
          </cell>
          <cell r="M725">
            <v>0</v>
          </cell>
          <cell r="P725">
            <v>-286526</v>
          </cell>
          <cell r="R725">
            <v>-286526</v>
          </cell>
          <cell r="T725">
            <v>0</v>
          </cell>
          <cell r="U725">
            <v>0</v>
          </cell>
        </row>
        <row r="726">
          <cell r="A726" t="str">
            <v>JUL 2015</v>
          </cell>
          <cell r="B726" t="str">
            <v>LGCSR780</v>
          </cell>
          <cell r="E726">
            <v>0</v>
          </cell>
          <cell r="L726">
            <v>0</v>
          </cell>
          <cell r="M726">
            <v>0</v>
          </cell>
          <cell r="P726">
            <v>0</v>
          </cell>
          <cell r="R726">
            <v>0</v>
          </cell>
          <cell r="T726">
            <v>0</v>
          </cell>
          <cell r="U726">
            <v>0</v>
          </cell>
        </row>
        <row r="727">
          <cell r="A727" t="str">
            <v>JUL 2015</v>
          </cell>
          <cell r="B727" t="str">
            <v>LGINE000</v>
          </cell>
          <cell r="E727">
            <v>0</v>
          </cell>
          <cell r="L727">
            <v>0</v>
          </cell>
          <cell r="M727">
            <v>0</v>
          </cell>
          <cell r="P727">
            <v>0</v>
          </cell>
          <cell r="R727">
            <v>0</v>
          </cell>
          <cell r="T727">
            <v>0</v>
          </cell>
          <cell r="U727">
            <v>0</v>
          </cell>
        </row>
        <row r="728">
          <cell r="A728" t="str">
            <v>JUL 2015</v>
          </cell>
          <cell r="B728" t="str">
            <v>LGINE599</v>
          </cell>
          <cell r="E728">
            <v>10990000</v>
          </cell>
          <cell r="L728">
            <v>0</v>
          </cell>
          <cell r="M728">
            <v>21527</v>
          </cell>
          <cell r="P728">
            <v>0</v>
          </cell>
          <cell r="R728">
            <v>811723</v>
          </cell>
          <cell r="T728">
            <v>309763</v>
          </cell>
          <cell r="U728">
            <v>69406</v>
          </cell>
        </row>
        <row r="729">
          <cell r="A729" t="str">
            <v>JUL 2015</v>
          </cell>
          <cell r="B729" t="str">
            <v>LGINE643</v>
          </cell>
          <cell r="E729">
            <v>71457686</v>
          </cell>
          <cell r="L729">
            <v>0</v>
          </cell>
          <cell r="M729">
            <v>139967</v>
          </cell>
          <cell r="P729">
            <v>0</v>
          </cell>
          <cell r="R729">
            <v>4438851</v>
          </cell>
          <cell r="T729">
            <v>1258978</v>
          </cell>
          <cell r="U729">
            <v>451284</v>
          </cell>
        </row>
        <row r="730">
          <cell r="A730" t="str">
            <v>JUL 2015</v>
          </cell>
          <cell r="B730" t="str">
            <v>LGINE661</v>
          </cell>
          <cell r="E730">
            <v>23496230</v>
          </cell>
          <cell r="L730">
            <v>38695</v>
          </cell>
          <cell r="M730">
            <v>46023</v>
          </cell>
          <cell r="P730">
            <v>0</v>
          </cell>
          <cell r="R730">
            <v>2373638</v>
          </cell>
          <cell r="T730">
            <v>1167144</v>
          </cell>
          <cell r="U730">
            <v>148388</v>
          </cell>
        </row>
        <row r="731">
          <cell r="A731" t="str">
            <v>JUL 2015</v>
          </cell>
          <cell r="B731" t="str">
            <v>LGINE663</v>
          </cell>
          <cell r="E731">
            <v>1185295</v>
          </cell>
          <cell r="L731">
            <v>1952</v>
          </cell>
          <cell r="M731">
            <v>2322</v>
          </cell>
          <cell r="P731">
            <v>0</v>
          </cell>
          <cell r="R731">
            <v>120017</v>
          </cell>
          <cell r="T731">
            <v>58153</v>
          </cell>
          <cell r="U731">
            <v>7486</v>
          </cell>
        </row>
        <row r="732">
          <cell r="A732" t="str">
            <v>JUL 2015</v>
          </cell>
          <cell r="B732" t="str">
            <v>LGINE691</v>
          </cell>
          <cell r="E732">
            <v>23109451</v>
          </cell>
          <cell r="L732">
            <v>38059</v>
          </cell>
          <cell r="M732">
            <v>45266</v>
          </cell>
          <cell r="P732">
            <v>0</v>
          </cell>
          <cell r="R732">
            <v>1927927</v>
          </cell>
          <cell r="T732">
            <v>757991</v>
          </cell>
          <cell r="U732">
            <v>145945</v>
          </cell>
        </row>
        <row r="733">
          <cell r="A733" t="str">
            <v>JUL 2015</v>
          </cell>
          <cell r="B733" t="str">
            <v>LGINE693</v>
          </cell>
          <cell r="E733">
            <v>149464743</v>
          </cell>
          <cell r="L733">
            <v>246151</v>
          </cell>
          <cell r="M733">
            <v>292763</v>
          </cell>
          <cell r="P733">
            <v>0</v>
          </cell>
          <cell r="R733">
            <v>10785025</v>
          </cell>
          <cell r="T733">
            <v>3993719</v>
          </cell>
          <cell r="U733">
            <v>943929</v>
          </cell>
        </row>
        <row r="734">
          <cell r="A734" t="str">
            <v>JUL 2015</v>
          </cell>
          <cell r="B734" t="str">
            <v>LGMLE570</v>
          </cell>
          <cell r="E734">
            <v>0</v>
          </cell>
          <cell r="L734">
            <v>0</v>
          </cell>
          <cell r="M734">
            <v>0</v>
          </cell>
          <cell r="P734">
            <v>0</v>
          </cell>
          <cell r="R734">
            <v>0</v>
          </cell>
          <cell r="T734">
            <v>0</v>
          </cell>
          <cell r="U734">
            <v>0</v>
          </cell>
        </row>
        <row r="735">
          <cell r="A735" t="str">
            <v>JUL 2015</v>
          </cell>
          <cell r="B735" t="str">
            <v>LGMLE571</v>
          </cell>
          <cell r="E735">
            <v>0</v>
          </cell>
          <cell r="L735">
            <v>0</v>
          </cell>
          <cell r="M735">
            <v>0</v>
          </cell>
          <cell r="P735">
            <v>0</v>
          </cell>
          <cell r="R735">
            <v>0</v>
          </cell>
          <cell r="T735">
            <v>0</v>
          </cell>
          <cell r="U735">
            <v>0</v>
          </cell>
        </row>
        <row r="736">
          <cell r="A736" t="str">
            <v>JUL 2015</v>
          </cell>
          <cell r="B736" t="str">
            <v>LGMLE572</v>
          </cell>
          <cell r="E736">
            <v>0</v>
          </cell>
          <cell r="L736">
            <v>0</v>
          </cell>
          <cell r="M736">
            <v>0</v>
          </cell>
          <cell r="P736">
            <v>0</v>
          </cell>
          <cell r="R736">
            <v>0</v>
          </cell>
          <cell r="T736">
            <v>0</v>
          </cell>
          <cell r="U736">
            <v>0</v>
          </cell>
        </row>
        <row r="737">
          <cell r="A737" t="str">
            <v>JUL 2015</v>
          </cell>
          <cell r="B737" t="str">
            <v>LGMLE573</v>
          </cell>
          <cell r="E737">
            <v>0</v>
          </cell>
          <cell r="L737">
            <v>0</v>
          </cell>
          <cell r="M737">
            <v>0</v>
          </cell>
          <cell r="P737">
            <v>0</v>
          </cell>
          <cell r="R737">
            <v>0</v>
          </cell>
          <cell r="T737">
            <v>0</v>
          </cell>
          <cell r="U737">
            <v>0</v>
          </cell>
        </row>
        <row r="738">
          <cell r="A738" t="str">
            <v>JUL 2015</v>
          </cell>
          <cell r="B738" t="str">
            <v>LGMLE574</v>
          </cell>
          <cell r="E738">
            <v>0</v>
          </cell>
          <cell r="L738">
            <v>0</v>
          </cell>
          <cell r="M738">
            <v>0</v>
          </cell>
          <cell r="P738">
            <v>0</v>
          </cell>
          <cell r="R738">
            <v>0</v>
          </cell>
          <cell r="T738">
            <v>0</v>
          </cell>
          <cell r="U738">
            <v>0</v>
          </cell>
        </row>
        <row r="739">
          <cell r="A739" t="str">
            <v>JUL 2015</v>
          </cell>
          <cell r="B739" t="str">
            <v>LGRSE000</v>
          </cell>
          <cell r="E739">
            <v>0</v>
          </cell>
          <cell r="L739">
            <v>0</v>
          </cell>
          <cell r="M739">
            <v>0</v>
          </cell>
          <cell r="P739">
            <v>0</v>
          </cell>
          <cell r="R739">
            <v>0</v>
          </cell>
          <cell r="T739">
            <v>0</v>
          </cell>
          <cell r="U739">
            <v>0</v>
          </cell>
        </row>
        <row r="740">
          <cell r="A740" t="str">
            <v>JUL 2015</v>
          </cell>
          <cell r="B740" t="str">
            <v>LGRSE411</v>
          </cell>
          <cell r="E740">
            <v>0</v>
          </cell>
          <cell r="L740">
            <v>0</v>
          </cell>
          <cell r="M740">
            <v>0</v>
          </cell>
          <cell r="P740">
            <v>0</v>
          </cell>
          <cell r="R740">
            <v>0</v>
          </cell>
          <cell r="T740">
            <v>0</v>
          </cell>
          <cell r="U740">
            <v>0</v>
          </cell>
        </row>
        <row r="741">
          <cell r="A741" t="str">
            <v>JUL 2015</v>
          </cell>
          <cell r="B741" t="str">
            <v>LGRSE511</v>
          </cell>
          <cell r="E741">
            <v>517311366</v>
          </cell>
          <cell r="L741">
            <v>851950</v>
          </cell>
          <cell r="M741">
            <v>1013282</v>
          </cell>
          <cell r="P741">
            <v>0</v>
          </cell>
          <cell r="R741">
            <v>50784538</v>
          </cell>
          <cell r="T741">
            <v>0</v>
          </cell>
          <cell r="U741">
            <v>3267026</v>
          </cell>
        </row>
        <row r="742">
          <cell r="A742" t="str">
            <v>JUL 2015</v>
          </cell>
          <cell r="B742" t="str">
            <v>LGRSE519</v>
          </cell>
          <cell r="E742">
            <v>0</v>
          </cell>
          <cell r="L742">
            <v>0</v>
          </cell>
          <cell r="M742">
            <v>0</v>
          </cell>
          <cell r="P742">
            <v>0</v>
          </cell>
          <cell r="R742">
            <v>0</v>
          </cell>
          <cell r="T742">
            <v>0</v>
          </cell>
          <cell r="U742">
            <v>0</v>
          </cell>
        </row>
        <row r="743">
          <cell r="A743" t="str">
            <v>JUL 2015</v>
          </cell>
          <cell r="B743" t="str">
            <v>LGRSE540</v>
          </cell>
          <cell r="E743">
            <v>0</v>
          </cell>
          <cell r="L743">
            <v>0</v>
          </cell>
          <cell r="M743">
            <v>0</v>
          </cell>
          <cell r="P743">
            <v>0</v>
          </cell>
          <cell r="R743">
            <v>0</v>
          </cell>
          <cell r="T743">
            <v>0</v>
          </cell>
          <cell r="U743">
            <v>0</v>
          </cell>
        </row>
        <row r="744">
          <cell r="A744" t="str">
            <v>JUL 2015</v>
          </cell>
          <cell r="B744" t="str">
            <v>LGRSE543</v>
          </cell>
          <cell r="E744">
            <v>0</v>
          </cell>
          <cell r="L744">
            <v>0</v>
          </cell>
          <cell r="M744">
            <v>0</v>
          </cell>
          <cell r="P744">
            <v>0</v>
          </cell>
          <cell r="R744">
            <v>0</v>
          </cell>
          <cell r="T744">
            <v>0</v>
          </cell>
          <cell r="U744">
            <v>0</v>
          </cell>
        </row>
        <row r="745">
          <cell r="A745" t="str">
            <v>JUL 2015</v>
          </cell>
          <cell r="B745" t="str">
            <v>LGRSE547</v>
          </cell>
          <cell r="E745">
            <v>0</v>
          </cell>
          <cell r="L745">
            <v>0</v>
          </cell>
          <cell r="M745">
            <v>0</v>
          </cell>
          <cell r="P745">
            <v>0</v>
          </cell>
          <cell r="R745">
            <v>0</v>
          </cell>
          <cell r="T745">
            <v>0</v>
          </cell>
          <cell r="U745">
            <v>0</v>
          </cell>
        </row>
        <row r="746">
          <cell r="A746" t="str">
            <v>JUL 2015</v>
          </cell>
          <cell r="B746" t="str">
            <v>LGUM_000</v>
          </cell>
          <cell r="T746">
            <v>0</v>
          </cell>
          <cell r="U746">
            <v>0</v>
          </cell>
        </row>
        <row r="747">
          <cell r="A747" t="str">
            <v>JUL 2015</v>
          </cell>
          <cell r="B747" t="str">
            <v>LGUM_201</v>
          </cell>
          <cell r="T747">
            <v>0</v>
          </cell>
          <cell r="U747">
            <v>0</v>
          </cell>
        </row>
        <row r="748">
          <cell r="A748" t="str">
            <v>JUL 2015</v>
          </cell>
          <cell r="B748" t="str">
            <v>LGUM_203</v>
          </cell>
          <cell r="T748">
            <v>0</v>
          </cell>
          <cell r="U748">
            <v>0</v>
          </cell>
        </row>
        <row r="749">
          <cell r="A749" t="str">
            <v>JUL 2015</v>
          </cell>
          <cell r="B749" t="str">
            <v>LGUM_204</v>
          </cell>
          <cell r="T749">
            <v>0</v>
          </cell>
          <cell r="U749">
            <v>0</v>
          </cell>
        </row>
        <row r="750">
          <cell r="A750" t="str">
            <v>JUL 2015</v>
          </cell>
          <cell r="B750" t="str">
            <v>LGUM_204CU</v>
          </cell>
          <cell r="T750">
            <v>0</v>
          </cell>
          <cell r="U750">
            <v>0</v>
          </cell>
        </row>
        <row r="751">
          <cell r="A751" t="str">
            <v>JUL 2015</v>
          </cell>
          <cell r="B751" t="str">
            <v>LGUM_206</v>
          </cell>
          <cell r="T751">
            <v>0</v>
          </cell>
          <cell r="U751">
            <v>0</v>
          </cell>
        </row>
        <row r="752">
          <cell r="A752" t="str">
            <v>JUL 2015</v>
          </cell>
          <cell r="B752" t="str">
            <v>LGUM_207</v>
          </cell>
          <cell r="T752">
            <v>0</v>
          </cell>
          <cell r="U752">
            <v>0</v>
          </cell>
        </row>
        <row r="753">
          <cell r="A753" t="str">
            <v>JUL 2015</v>
          </cell>
          <cell r="B753" t="str">
            <v>LGUM_208</v>
          </cell>
          <cell r="T753">
            <v>0</v>
          </cell>
          <cell r="U753">
            <v>0</v>
          </cell>
        </row>
        <row r="754">
          <cell r="A754" t="str">
            <v>JUL 2015</v>
          </cell>
          <cell r="B754" t="str">
            <v>LGUM_209</v>
          </cell>
          <cell r="T754">
            <v>0</v>
          </cell>
          <cell r="U754">
            <v>0</v>
          </cell>
        </row>
        <row r="755">
          <cell r="A755" t="str">
            <v>JUL 2015</v>
          </cell>
          <cell r="B755" t="str">
            <v>LGUM_209CU</v>
          </cell>
          <cell r="T755">
            <v>0</v>
          </cell>
          <cell r="U755">
            <v>0</v>
          </cell>
        </row>
        <row r="756">
          <cell r="A756" t="str">
            <v>JUL 2015</v>
          </cell>
          <cell r="B756" t="str">
            <v>LGUM_210</v>
          </cell>
          <cell r="T756">
            <v>0</v>
          </cell>
          <cell r="U756">
            <v>0</v>
          </cell>
        </row>
        <row r="757">
          <cell r="A757" t="str">
            <v>JUL 2015</v>
          </cell>
          <cell r="B757" t="str">
            <v>LGUM_252</v>
          </cell>
          <cell r="T757">
            <v>0</v>
          </cell>
          <cell r="U757">
            <v>0</v>
          </cell>
        </row>
        <row r="758">
          <cell r="A758" t="str">
            <v>JUL 2015</v>
          </cell>
          <cell r="B758" t="str">
            <v>LGUM_266</v>
          </cell>
          <cell r="T758">
            <v>0</v>
          </cell>
          <cell r="U758">
            <v>0</v>
          </cell>
        </row>
        <row r="759">
          <cell r="A759" t="str">
            <v>JUL 2015</v>
          </cell>
          <cell r="B759" t="str">
            <v>LGUM_267</v>
          </cell>
          <cell r="T759">
            <v>0</v>
          </cell>
          <cell r="U759">
            <v>0</v>
          </cell>
        </row>
        <row r="760">
          <cell r="A760" t="str">
            <v>JUL 2015</v>
          </cell>
          <cell r="B760" t="str">
            <v>LGUM_274</v>
          </cell>
          <cell r="T760">
            <v>0</v>
          </cell>
          <cell r="U760">
            <v>0</v>
          </cell>
        </row>
        <row r="761">
          <cell r="A761" t="str">
            <v>JUL 2015</v>
          </cell>
          <cell r="B761" t="str">
            <v>LGUM_275</v>
          </cell>
          <cell r="T761">
            <v>0</v>
          </cell>
          <cell r="U761">
            <v>0</v>
          </cell>
        </row>
        <row r="762">
          <cell r="A762" t="str">
            <v>JUL 2015</v>
          </cell>
          <cell r="B762" t="str">
            <v>LGUM_276</v>
          </cell>
          <cell r="T762">
            <v>0</v>
          </cell>
          <cell r="U762">
            <v>0</v>
          </cell>
        </row>
        <row r="763">
          <cell r="A763" t="str">
            <v>JUL 2015</v>
          </cell>
          <cell r="B763" t="str">
            <v>LGUM_277</v>
          </cell>
          <cell r="T763">
            <v>0</v>
          </cell>
          <cell r="U763">
            <v>0</v>
          </cell>
        </row>
        <row r="764">
          <cell r="A764" t="str">
            <v>JUL 2015</v>
          </cell>
          <cell r="B764" t="str">
            <v>LGUM_278</v>
          </cell>
          <cell r="T764">
            <v>0</v>
          </cell>
          <cell r="U764">
            <v>0</v>
          </cell>
        </row>
        <row r="765">
          <cell r="A765" t="str">
            <v>JUL 2015</v>
          </cell>
          <cell r="B765" t="str">
            <v>LGUM_279</v>
          </cell>
          <cell r="T765">
            <v>0</v>
          </cell>
          <cell r="U765">
            <v>0</v>
          </cell>
        </row>
        <row r="766">
          <cell r="A766" t="str">
            <v>JUL 2015</v>
          </cell>
          <cell r="B766" t="str">
            <v>LGUM_280</v>
          </cell>
          <cell r="T766">
            <v>0</v>
          </cell>
          <cell r="U766">
            <v>0</v>
          </cell>
        </row>
        <row r="767">
          <cell r="A767" t="str">
            <v>JUL 2015</v>
          </cell>
          <cell r="B767" t="str">
            <v>LGUM_281</v>
          </cell>
          <cell r="T767">
            <v>0</v>
          </cell>
          <cell r="U767">
            <v>0</v>
          </cell>
        </row>
        <row r="768">
          <cell r="A768" t="str">
            <v>JUL 2015</v>
          </cell>
          <cell r="B768" t="str">
            <v>LGUM_282</v>
          </cell>
          <cell r="T768">
            <v>0</v>
          </cell>
          <cell r="U768">
            <v>0</v>
          </cell>
        </row>
        <row r="769">
          <cell r="A769" t="str">
            <v>JUL 2015</v>
          </cell>
          <cell r="B769" t="str">
            <v>LGUM_283</v>
          </cell>
          <cell r="T769">
            <v>0</v>
          </cell>
          <cell r="U769">
            <v>0</v>
          </cell>
        </row>
        <row r="770">
          <cell r="A770" t="str">
            <v>JUL 2015</v>
          </cell>
          <cell r="B770" t="str">
            <v>LGUM_314</v>
          </cell>
          <cell r="T770">
            <v>0</v>
          </cell>
          <cell r="U770">
            <v>0</v>
          </cell>
        </row>
        <row r="771">
          <cell r="A771" t="str">
            <v>JUL 2015</v>
          </cell>
          <cell r="B771" t="str">
            <v>LGUM_315</v>
          </cell>
          <cell r="T771">
            <v>0</v>
          </cell>
          <cell r="U771">
            <v>0</v>
          </cell>
        </row>
        <row r="772">
          <cell r="A772" t="str">
            <v>JUL 2015</v>
          </cell>
          <cell r="B772" t="str">
            <v>LGUM_318</v>
          </cell>
          <cell r="T772">
            <v>0</v>
          </cell>
          <cell r="U772">
            <v>0</v>
          </cell>
        </row>
        <row r="773">
          <cell r="A773" t="str">
            <v>JUL 2015</v>
          </cell>
          <cell r="B773" t="str">
            <v>LGUM_348</v>
          </cell>
          <cell r="T773">
            <v>0</v>
          </cell>
          <cell r="U773">
            <v>0</v>
          </cell>
        </row>
        <row r="774">
          <cell r="A774" t="str">
            <v>JUL 2015</v>
          </cell>
          <cell r="B774" t="str">
            <v>LGUM_349</v>
          </cell>
          <cell r="T774">
            <v>0</v>
          </cell>
          <cell r="U774">
            <v>0</v>
          </cell>
        </row>
        <row r="775">
          <cell r="A775" t="str">
            <v>JUL 2015</v>
          </cell>
          <cell r="B775" t="str">
            <v>LGUM_400</v>
          </cell>
          <cell r="T775">
            <v>0</v>
          </cell>
          <cell r="U775">
            <v>0</v>
          </cell>
        </row>
        <row r="776">
          <cell r="A776" t="str">
            <v>JUL 2015</v>
          </cell>
          <cell r="B776" t="str">
            <v>LGUM_401</v>
          </cell>
          <cell r="T776">
            <v>0</v>
          </cell>
          <cell r="U776">
            <v>0</v>
          </cell>
        </row>
        <row r="777">
          <cell r="A777" t="str">
            <v>JUL 2015</v>
          </cell>
          <cell r="B777" t="str">
            <v>LGUM_412</v>
          </cell>
          <cell r="T777">
            <v>0</v>
          </cell>
          <cell r="U777">
            <v>0</v>
          </cell>
        </row>
        <row r="778">
          <cell r="A778" t="str">
            <v>JUL 2015</v>
          </cell>
          <cell r="B778" t="str">
            <v>LGUM_413</v>
          </cell>
          <cell r="T778">
            <v>0</v>
          </cell>
          <cell r="U778">
            <v>0</v>
          </cell>
        </row>
        <row r="779">
          <cell r="A779" t="str">
            <v>JUL 2015</v>
          </cell>
          <cell r="B779" t="str">
            <v>LGUM_415</v>
          </cell>
          <cell r="T779">
            <v>0</v>
          </cell>
          <cell r="U779">
            <v>0</v>
          </cell>
        </row>
        <row r="780">
          <cell r="A780" t="str">
            <v>JUL 2015</v>
          </cell>
          <cell r="B780" t="str">
            <v>LGUM_416</v>
          </cell>
          <cell r="T780">
            <v>0</v>
          </cell>
          <cell r="U780">
            <v>0</v>
          </cell>
        </row>
        <row r="781">
          <cell r="A781" t="str">
            <v>JUL 2015</v>
          </cell>
          <cell r="B781" t="str">
            <v>LGUM_417</v>
          </cell>
          <cell r="T781">
            <v>0</v>
          </cell>
          <cell r="U781">
            <v>0</v>
          </cell>
        </row>
        <row r="782">
          <cell r="A782" t="str">
            <v>JUL 2015</v>
          </cell>
          <cell r="B782" t="str">
            <v>LGUM_419</v>
          </cell>
          <cell r="T782">
            <v>0</v>
          </cell>
          <cell r="U782">
            <v>0</v>
          </cell>
        </row>
        <row r="783">
          <cell r="A783" t="str">
            <v>JUL 2015</v>
          </cell>
          <cell r="B783" t="str">
            <v>LGUM_420</v>
          </cell>
          <cell r="T783">
            <v>0</v>
          </cell>
          <cell r="U783">
            <v>0</v>
          </cell>
        </row>
        <row r="784">
          <cell r="A784" t="str">
            <v>JUL 2015</v>
          </cell>
          <cell r="B784" t="str">
            <v>LGUM_421</v>
          </cell>
          <cell r="T784">
            <v>0</v>
          </cell>
          <cell r="U784">
            <v>0</v>
          </cell>
        </row>
        <row r="785">
          <cell r="A785" t="str">
            <v>JUL 2015</v>
          </cell>
          <cell r="B785" t="str">
            <v>LGUM_422</v>
          </cell>
          <cell r="T785">
            <v>0</v>
          </cell>
          <cell r="U785">
            <v>0</v>
          </cell>
        </row>
        <row r="786">
          <cell r="A786" t="str">
            <v>JUL 2015</v>
          </cell>
          <cell r="B786" t="str">
            <v>LGUM_423</v>
          </cell>
          <cell r="T786">
            <v>0</v>
          </cell>
          <cell r="U786">
            <v>0</v>
          </cell>
        </row>
        <row r="787">
          <cell r="A787" t="str">
            <v>JUL 2015</v>
          </cell>
          <cell r="B787" t="str">
            <v>LGUM_424</v>
          </cell>
          <cell r="T787">
            <v>0</v>
          </cell>
          <cell r="U787">
            <v>0</v>
          </cell>
        </row>
        <row r="788">
          <cell r="A788" t="str">
            <v>JUL 2015</v>
          </cell>
          <cell r="B788" t="str">
            <v>LGUM_425</v>
          </cell>
          <cell r="T788">
            <v>0</v>
          </cell>
          <cell r="U788">
            <v>0</v>
          </cell>
        </row>
        <row r="789">
          <cell r="A789" t="str">
            <v>JUL 2015</v>
          </cell>
          <cell r="B789" t="str">
            <v>LGUM_426</v>
          </cell>
          <cell r="T789">
            <v>0</v>
          </cell>
          <cell r="U789">
            <v>0</v>
          </cell>
        </row>
        <row r="790">
          <cell r="A790" t="str">
            <v>JUL 2015</v>
          </cell>
          <cell r="B790" t="str">
            <v>LGUM_427</v>
          </cell>
          <cell r="T790">
            <v>0</v>
          </cell>
          <cell r="U790">
            <v>0</v>
          </cell>
        </row>
        <row r="791">
          <cell r="A791" t="str">
            <v>JUL 2015</v>
          </cell>
          <cell r="B791" t="str">
            <v>LGUM_428</v>
          </cell>
          <cell r="T791">
            <v>0</v>
          </cell>
          <cell r="U791">
            <v>0</v>
          </cell>
        </row>
        <row r="792">
          <cell r="A792" t="str">
            <v>JUL 2015</v>
          </cell>
          <cell r="B792" t="str">
            <v>LGUM_429</v>
          </cell>
          <cell r="T792">
            <v>0</v>
          </cell>
          <cell r="U792">
            <v>0</v>
          </cell>
        </row>
        <row r="793">
          <cell r="A793" t="str">
            <v>JUL 2015</v>
          </cell>
          <cell r="B793" t="str">
            <v>LGUM_430</v>
          </cell>
          <cell r="T793">
            <v>0</v>
          </cell>
          <cell r="U793">
            <v>0</v>
          </cell>
        </row>
        <row r="794">
          <cell r="A794" t="str">
            <v>JUL 2015</v>
          </cell>
          <cell r="B794" t="str">
            <v>LGUM_431</v>
          </cell>
          <cell r="T794">
            <v>0</v>
          </cell>
          <cell r="U794">
            <v>0</v>
          </cell>
        </row>
        <row r="795">
          <cell r="A795" t="str">
            <v>JUL 2015</v>
          </cell>
          <cell r="B795" t="str">
            <v>LGUM_432</v>
          </cell>
          <cell r="T795">
            <v>0</v>
          </cell>
          <cell r="U795">
            <v>0</v>
          </cell>
        </row>
        <row r="796">
          <cell r="A796" t="str">
            <v>JUL 2015</v>
          </cell>
          <cell r="B796" t="str">
            <v>LGUM_433</v>
          </cell>
          <cell r="T796">
            <v>0</v>
          </cell>
          <cell r="U796">
            <v>0</v>
          </cell>
        </row>
        <row r="797">
          <cell r="A797" t="str">
            <v>JUL 2015</v>
          </cell>
          <cell r="B797" t="str">
            <v>LGUM_440</v>
          </cell>
          <cell r="T797">
            <v>0</v>
          </cell>
          <cell r="U797">
            <v>0</v>
          </cell>
        </row>
        <row r="798">
          <cell r="A798" t="str">
            <v>JUL 2015</v>
          </cell>
          <cell r="B798" t="str">
            <v>LGUM_441</v>
          </cell>
          <cell r="T798">
            <v>0</v>
          </cell>
          <cell r="U798">
            <v>0</v>
          </cell>
        </row>
        <row r="799">
          <cell r="A799" t="str">
            <v>JUL 2015</v>
          </cell>
          <cell r="B799" t="str">
            <v>LGUM_452</v>
          </cell>
          <cell r="T799">
            <v>0</v>
          </cell>
          <cell r="U799">
            <v>0</v>
          </cell>
        </row>
        <row r="800">
          <cell r="A800" t="str">
            <v>JUL 2015</v>
          </cell>
          <cell r="B800" t="str">
            <v>LGUM_452CU</v>
          </cell>
          <cell r="T800">
            <v>0</v>
          </cell>
          <cell r="U800">
            <v>0</v>
          </cell>
        </row>
        <row r="801">
          <cell r="A801" t="str">
            <v>JUL 2015</v>
          </cell>
          <cell r="B801" t="str">
            <v>LGUM_453</v>
          </cell>
          <cell r="T801">
            <v>0</v>
          </cell>
          <cell r="U801">
            <v>0</v>
          </cell>
        </row>
        <row r="802">
          <cell r="A802" t="str">
            <v>JUL 2015</v>
          </cell>
          <cell r="B802" t="str">
            <v>LGUM_453CU</v>
          </cell>
          <cell r="T802">
            <v>0</v>
          </cell>
          <cell r="U802">
            <v>0</v>
          </cell>
        </row>
        <row r="803">
          <cell r="A803" t="str">
            <v>JUL 2015</v>
          </cell>
          <cell r="B803" t="str">
            <v>LGUM_454</v>
          </cell>
          <cell r="T803">
            <v>0</v>
          </cell>
          <cell r="U803">
            <v>0</v>
          </cell>
        </row>
        <row r="804">
          <cell r="A804" t="str">
            <v>JUL 2015</v>
          </cell>
          <cell r="B804" t="str">
            <v>LGUM_454CU</v>
          </cell>
          <cell r="T804">
            <v>0</v>
          </cell>
          <cell r="U804">
            <v>0</v>
          </cell>
        </row>
        <row r="805">
          <cell r="A805" t="str">
            <v>JUL 2015</v>
          </cell>
          <cell r="B805" t="str">
            <v>LGUM_455</v>
          </cell>
          <cell r="T805">
            <v>0</v>
          </cell>
          <cell r="U805">
            <v>0</v>
          </cell>
        </row>
        <row r="806">
          <cell r="A806" t="str">
            <v>JUL 2015</v>
          </cell>
          <cell r="B806" t="str">
            <v>LGUM_456</v>
          </cell>
          <cell r="T806">
            <v>0</v>
          </cell>
          <cell r="U806">
            <v>0</v>
          </cell>
        </row>
        <row r="807">
          <cell r="A807" t="str">
            <v>JUL 2015</v>
          </cell>
          <cell r="B807" t="str">
            <v>LGUM_456CU</v>
          </cell>
          <cell r="T807">
            <v>0</v>
          </cell>
          <cell r="U807">
            <v>0</v>
          </cell>
        </row>
        <row r="808">
          <cell r="A808" t="str">
            <v>JUL 2015</v>
          </cell>
          <cell r="B808" t="str">
            <v>LGUM_457</v>
          </cell>
          <cell r="T808">
            <v>0</v>
          </cell>
          <cell r="U808">
            <v>0</v>
          </cell>
        </row>
        <row r="809">
          <cell r="A809" t="str">
            <v>JUL 2015</v>
          </cell>
          <cell r="B809" t="str">
            <v>LGUM_458</v>
          </cell>
          <cell r="T809">
            <v>0</v>
          </cell>
          <cell r="U809">
            <v>0</v>
          </cell>
        </row>
        <row r="810">
          <cell r="A810" t="str">
            <v>JUL 2015</v>
          </cell>
          <cell r="B810" t="str">
            <v>LGUM_470</v>
          </cell>
          <cell r="T810">
            <v>0</v>
          </cell>
          <cell r="U810">
            <v>0</v>
          </cell>
        </row>
        <row r="811">
          <cell r="A811" t="str">
            <v>JUL 2015</v>
          </cell>
          <cell r="B811" t="str">
            <v>LGUM_471</v>
          </cell>
          <cell r="T811">
            <v>0</v>
          </cell>
          <cell r="U811">
            <v>0</v>
          </cell>
        </row>
        <row r="812">
          <cell r="A812" t="str">
            <v>JUL 2015</v>
          </cell>
          <cell r="B812" t="str">
            <v>LGUM_473</v>
          </cell>
          <cell r="T812">
            <v>0</v>
          </cell>
          <cell r="U812">
            <v>0</v>
          </cell>
        </row>
        <row r="813">
          <cell r="A813" t="str">
            <v>JUL 2015</v>
          </cell>
          <cell r="B813" t="str">
            <v>LGUM_474</v>
          </cell>
          <cell r="T813">
            <v>0</v>
          </cell>
          <cell r="U813">
            <v>0</v>
          </cell>
        </row>
        <row r="814">
          <cell r="A814" t="str">
            <v>JUL 2015</v>
          </cell>
          <cell r="B814" t="str">
            <v>LGUM_475</v>
          </cell>
          <cell r="T814">
            <v>0</v>
          </cell>
          <cell r="U814">
            <v>0</v>
          </cell>
        </row>
        <row r="815">
          <cell r="A815" t="str">
            <v>JUL 2015</v>
          </cell>
          <cell r="B815" t="str">
            <v>LGUM_476</v>
          </cell>
          <cell r="T815">
            <v>0</v>
          </cell>
          <cell r="U815">
            <v>0</v>
          </cell>
        </row>
        <row r="816">
          <cell r="A816" t="str">
            <v>JUL 2015</v>
          </cell>
          <cell r="B816" t="str">
            <v>LGUM_477</v>
          </cell>
          <cell r="T816">
            <v>0</v>
          </cell>
          <cell r="U816">
            <v>0</v>
          </cell>
        </row>
        <row r="817">
          <cell r="A817" t="str">
            <v>JUL 2015</v>
          </cell>
          <cell r="B817" t="str">
            <v>LGUM_480</v>
          </cell>
          <cell r="T817">
            <v>0</v>
          </cell>
          <cell r="U817">
            <v>0</v>
          </cell>
        </row>
        <row r="818">
          <cell r="A818" t="str">
            <v>JUL 2015</v>
          </cell>
          <cell r="B818" t="str">
            <v>LGUM_481</v>
          </cell>
          <cell r="T818">
            <v>0</v>
          </cell>
          <cell r="U818">
            <v>0</v>
          </cell>
        </row>
        <row r="819">
          <cell r="A819" t="str">
            <v>JUL 2015</v>
          </cell>
          <cell r="B819" t="str">
            <v>LGUM_482</v>
          </cell>
          <cell r="T819">
            <v>0</v>
          </cell>
          <cell r="U819">
            <v>0</v>
          </cell>
        </row>
        <row r="820">
          <cell r="A820" t="str">
            <v>JUL 2015</v>
          </cell>
          <cell r="B820" t="str">
            <v>LGUM_483</v>
          </cell>
          <cell r="T820">
            <v>0</v>
          </cell>
          <cell r="U820">
            <v>0</v>
          </cell>
        </row>
        <row r="821">
          <cell r="A821" t="str">
            <v>JUL 2015</v>
          </cell>
          <cell r="B821" t="str">
            <v>LGUM_484</v>
          </cell>
          <cell r="T821">
            <v>0</v>
          </cell>
          <cell r="U821">
            <v>0</v>
          </cell>
        </row>
        <row r="822">
          <cell r="A822" t="str">
            <v>JUL 2015</v>
          </cell>
          <cell r="B822" t="str">
            <v>Result</v>
          </cell>
          <cell r="T822">
            <v>0</v>
          </cell>
          <cell r="U822">
            <v>0</v>
          </cell>
        </row>
        <row r="823">
          <cell r="A823" t="str">
            <v>AUG 2015</v>
          </cell>
          <cell r="B823" t="str">
            <v>LEUM_826</v>
          </cell>
          <cell r="T823">
            <v>0</v>
          </cell>
          <cell r="U823">
            <v>0</v>
          </cell>
        </row>
        <row r="824">
          <cell r="A824" t="str">
            <v>AUG 2015</v>
          </cell>
          <cell r="B824" t="str">
            <v>LEUM_826</v>
          </cell>
          <cell r="T824">
            <v>0</v>
          </cell>
          <cell r="U824">
            <v>0</v>
          </cell>
        </row>
        <row r="825">
          <cell r="A825" t="str">
            <v>AUG 2015</v>
          </cell>
          <cell r="B825" t="str">
            <v>ODL</v>
          </cell>
          <cell r="E825">
            <v>7966910</v>
          </cell>
          <cell r="L825">
            <v>0</v>
          </cell>
          <cell r="M825">
            <v>17133</v>
          </cell>
          <cell r="P825">
            <v>0</v>
          </cell>
          <cell r="R825">
            <v>1615568</v>
          </cell>
          <cell r="T825">
            <v>0</v>
          </cell>
          <cell r="U825">
            <v>51055</v>
          </cell>
        </row>
        <row r="826">
          <cell r="A826" t="str">
            <v>AUG 2015</v>
          </cell>
          <cell r="B826" t="str">
            <v>LEUM_829</v>
          </cell>
          <cell r="E826">
            <v>0</v>
          </cell>
          <cell r="L826">
            <v>0</v>
          </cell>
          <cell r="M826">
            <v>0</v>
          </cell>
          <cell r="P826">
            <v>0</v>
          </cell>
          <cell r="R826">
            <v>0</v>
          </cell>
          <cell r="T826">
            <v>0</v>
          </cell>
          <cell r="U826">
            <v>0</v>
          </cell>
        </row>
        <row r="827">
          <cell r="A827" t="str">
            <v>AUG 2015</v>
          </cell>
          <cell r="B827" t="str">
            <v>LGCME000</v>
          </cell>
          <cell r="E827">
            <v>0</v>
          </cell>
          <cell r="L827">
            <v>0</v>
          </cell>
          <cell r="M827">
            <v>0</v>
          </cell>
          <cell r="P827">
            <v>0</v>
          </cell>
          <cell r="R827">
            <v>0</v>
          </cell>
          <cell r="T827">
            <v>0</v>
          </cell>
          <cell r="U827">
            <v>0</v>
          </cell>
        </row>
        <row r="828">
          <cell r="A828" t="str">
            <v>AUG 2015</v>
          </cell>
          <cell r="B828" t="str">
            <v>LGCME451</v>
          </cell>
          <cell r="E828">
            <v>0</v>
          </cell>
          <cell r="L828">
            <v>0</v>
          </cell>
          <cell r="M828">
            <v>0</v>
          </cell>
          <cell r="P828">
            <v>0</v>
          </cell>
          <cell r="R828">
            <v>0</v>
          </cell>
          <cell r="T828">
            <v>0</v>
          </cell>
          <cell r="U828">
            <v>0</v>
          </cell>
        </row>
        <row r="829">
          <cell r="A829" t="str">
            <v>AUG 2015</v>
          </cell>
          <cell r="B829" t="str">
            <v>LGCME551</v>
          </cell>
          <cell r="E829">
            <v>40346505</v>
          </cell>
          <cell r="L829">
            <v>81733</v>
          </cell>
          <cell r="M829">
            <v>86768</v>
          </cell>
          <cell r="P829">
            <v>0</v>
          </cell>
          <cell r="R829">
            <v>4675636</v>
          </cell>
          <cell r="T829">
            <v>0</v>
          </cell>
          <cell r="U829">
            <v>258556</v>
          </cell>
        </row>
        <row r="830">
          <cell r="A830" t="str">
            <v>AUG 2015</v>
          </cell>
          <cell r="B830" t="str">
            <v>LGCME551UM</v>
          </cell>
          <cell r="E830">
            <v>0</v>
          </cell>
          <cell r="L830">
            <v>0</v>
          </cell>
          <cell r="M830">
            <v>0</v>
          </cell>
          <cell r="P830">
            <v>0</v>
          </cell>
          <cell r="R830">
            <v>0</v>
          </cell>
          <cell r="T830">
            <v>0</v>
          </cell>
          <cell r="U830">
            <v>0</v>
          </cell>
        </row>
        <row r="831">
          <cell r="A831" t="str">
            <v>AUG 2015</v>
          </cell>
          <cell r="B831" t="str">
            <v>LGCME552</v>
          </cell>
          <cell r="E831">
            <v>0</v>
          </cell>
          <cell r="L831">
            <v>0</v>
          </cell>
          <cell r="M831">
            <v>0</v>
          </cell>
          <cell r="P831">
            <v>0</v>
          </cell>
          <cell r="R831">
            <v>0</v>
          </cell>
          <cell r="T831">
            <v>0</v>
          </cell>
          <cell r="U831">
            <v>0</v>
          </cell>
        </row>
        <row r="832">
          <cell r="A832" t="str">
            <v>AUG 2015</v>
          </cell>
          <cell r="B832" t="str">
            <v>LGCME557</v>
          </cell>
          <cell r="E832">
            <v>0</v>
          </cell>
          <cell r="L832">
            <v>0</v>
          </cell>
          <cell r="M832">
            <v>0</v>
          </cell>
          <cell r="P832">
            <v>0</v>
          </cell>
          <cell r="R832">
            <v>0</v>
          </cell>
          <cell r="T832">
            <v>0</v>
          </cell>
          <cell r="U832">
            <v>0</v>
          </cell>
        </row>
        <row r="833">
          <cell r="A833" t="str">
            <v>AUG 2015</v>
          </cell>
          <cell r="B833" t="str">
            <v>LGCME561</v>
          </cell>
          <cell r="E833">
            <v>169566983</v>
          </cell>
          <cell r="L833">
            <v>343506</v>
          </cell>
          <cell r="M833">
            <v>364664</v>
          </cell>
          <cell r="P833">
            <v>0</v>
          </cell>
          <cell r="R833">
            <v>15683535</v>
          </cell>
          <cell r="T833">
            <v>6772185</v>
          </cell>
          <cell r="U833">
            <v>1086650</v>
          </cell>
        </row>
        <row r="834">
          <cell r="A834" t="str">
            <v>AUG 2015</v>
          </cell>
          <cell r="B834" t="str">
            <v>LGCME563</v>
          </cell>
          <cell r="E834">
            <v>14885241</v>
          </cell>
          <cell r="L834">
            <v>30154</v>
          </cell>
          <cell r="M834">
            <v>32012</v>
          </cell>
          <cell r="P834">
            <v>0</v>
          </cell>
          <cell r="R834">
            <v>1243362</v>
          </cell>
          <cell r="T834">
            <v>492572</v>
          </cell>
          <cell r="U834">
            <v>95390</v>
          </cell>
        </row>
        <row r="835">
          <cell r="A835" t="str">
            <v>AUG 2015</v>
          </cell>
          <cell r="B835" t="str">
            <v>LGCME567</v>
          </cell>
          <cell r="E835">
            <v>0</v>
          </cell>
          <cell r="L835">
            <v>0</v>
          </cell>
          <cell r="M835">
            <v>0</v>
          </cell>
          <cell r="P835">
            <v>0</v>
          </cell>
          <cell r="R835">
            <v>0</v>
          </cell>
          <cell r="T835">
            <v>0</v>
          </cell>
          <cell r="U835">
            <v>0</v>
          </cell>
        </row>
        <row r="836">
          <cell r="A836" t="str">
            <v>AUG 2015</v>
          </cell>
          <cell r="B836" t="str">
            <v>LGCME591</v>
          </cell>
          <cell r="E836">
            <v>77456015</v>
          </cell>
          <cell r="L836">
            <v>156909</v>
          </cell>
          <cell r="M836">
            <v>166574</v>
          </cell>
          <cell r="P836">
            <v>0</v>
          </cell>
          <cell r="R836">
            <v>6266966</v>
          </cell>
          <cell r="T836">
            <v>2313220</v>
          </cell>
          <cell r="U836">
            <v>496368</v>
          </cell>
        </row>
        <row r="837">
          <cell r="A837" t="str">
            <v>AUG 2015</v>
          </cell>
          <cell r="B837" t="str">
            <v>LGCME593</v>
          </cell>
          <cell r="E837">
            <v>36677896</v>
          </cell>
          <cell r="L837">
            <v>74302</v>
          </cell>
          <cell r="M837">
            <v>78878</v>
          </cell>
          <cell r="P837">
            <v>0</v>
          </cell>
          <cell r="R837">
            <v>2910551</v>
          </cell>
          <cell r="T837">
            <v>1113498</v>
          </cell>
          <cell r="U837">
            <v>235046</v>
          </cell>
        </row>
        <row r="838">
          <cell r="A838" t="str">
            <v>AUG 2015</v>
          </cell>
          <cell r="B838" t="str">
            <v>LGCME651</v>
          </cell>
          <cell r="E838">
            <v>103100960</v>
          </cell>
          <cell r="L838">
            <v>208860</v>
          </cell>
          <cell r="M838">
            <v>221725</v>
          </cell>
          <cell r="P838">
            <v>0</v>
          </cell>
          <cell r="R838">
            <v>11080946</v>
          </cell>
          <cell r="T838">
            <v>0</v>
          </cell>
          <cell r="U838">
            <v>660710</v>
          </cell>
        </row>
        <row r="839">
          <cell r="A839" t="str">
            <v>AUG 2015</v>
          </cell>
          <cell r="B839" t="str">
            <v>LGCME652</v>
          </cell>
          <cell r="E839">
            <v>0</v>
          </cell>
          <cell r="L839">
            <v>0</v>
          </cell>
          <cell r="M839">
            <v>0</v>
          </cell>
          <cell r="P839">
            <v>0</v>
          </cell>
          <cell r="R839">
            <v>0</v>
          </cell>
          <cell r="T839">
            <v>0</v>
          </cell>
          <cell r="U839">
            <v>0</v>
          </cell>
        </row>
        <row r="840">
          <cell r="A840" t="str">
            <v>AUG 2015</v>
          </cell>
          <cell r="B840" t="str">
            <v>LGCME657</v>
          </cell>
          <cell r="E840">
            <v>0</v>
          </cell>
          <cell r="L840">
            <v>0</v>
          </cell>
          <cell r="M840">
            <v>0</v>
          </cell>
          <cell r="P840">
            <v>0</v>
          </cell>
          <cell r="R840">
            <v>0</v>
          </cell>
          <cell r="T840">
            <v>0</v>
          </cell>
          <cell r="U840">
            <v>0</v>
          </cell>
        </row>
        <row r="841">
          <cell r="A841" t="str">
            <v>AUG 2015</v>
          </cell>
          <cell r="B841" t="str">
            <v>LGCME671</v>
          </cell>
          <cell r="E841">
            <v>5119500</v>
          </cell>
          <cell r="L841">
            <v>0</v>
          </cell>
          <cell r="M841">
            <v>11010</v>
          </cell>
          <cell r="P841">
            <v>0</v>
          </cell>
          <cell r="R841">
            <v>331152</v>
          </cell>
          <cell r="T841">
            <v>97811</v>
          </cell>
          <cell r="U841">
            <v>32808</v>
          </cell>
        </row>
        <row r="842">
          <cell r="A842" t="str">
            <v>AUG 2015</v>
          </cell>
          <cell r="B842" t="str">
            <v>LGCSR760</v>
          </cell>
          <cell r="E842">
            <v>0</v>
          </cell>
          <cell r="L842">
            <v>0</v>
          </cell>
          <cell r="M842">
            <v>0</v>
          </cell>
          <cell r="P842">
            <v>-286526</v>
          </cell>
          <cell r="R842">
            <v>-286526</v>
          </cell>
          <cell r="T842">
            <v>0</v>
          </cell>
          <cell r="U842">
            <v>0</v>
          </cell>
        </row>
        <row r="843">
          <cell r="A843" t="str">
            <v>AUG 2015</v>
          </cell>
          <cell r="B843" t="str">
            <v>LGCSR780</v>
          </cell>
          <cell r="E843">
            <v>0</v>
          </cell>
          <cell r="L843">
            <v>0</v>
          </cell>
          <cell r="M843">
            <v>0</v>
          </cell>
          <cell r="P843">
            <v>0</v>
          </cell>
          <cell r="R843">
            <v>0</v>
          </cell>
          <cell r="T843">
            <v>0</v>
          </cell>
          <cell r="U843">
            <v>0</v>
          </cell>
        </row>
        <row r="844">
          <cell r="A844" t="str">
            <v>AUG 2015</v>
          </cell>
          <cell r="B844" t="str">
            <v>LGINE000</v>
          </cell>
          <cell r="E844">
            <v>0</v>
          </cell>
          <cell r="L844">
            <v>0</v>
          </cell>
          <cell r="M844">
            <v>0</v>
          </cell>
          <cell r="P844">
            <v>0</v>
          </cell>
          <cell r="R844">
            <v>0</v>
          </cell>
          <cell r="T844">
            <v>0</v>
          </cell>
          <cell r="U844">
            <v>0</v>
          </cell>
        </row>
        <row r="845">
          <cell r="A845" t="str">
            <v>AUG 2015</v>
          </cell>
          <cell r="B845" t="str">
            <v>LGINE599</v>
          </cell>
          <cell r="E845">
            <v>10824200</v>
          </cell>
          <cell r="L845">
            <v>0</v>
          </cell>
          <cell r="M845">
            <v>23278</v>
          </cell>
          <cell r="P845">
            <v>0</v>
          </cell>
          <cell r="R845">
            <v>746411</v>
          </cell>
          <cell r="T845">
            <v>248942</v>
          </cell>
          <cell r="U845">
            <v>69366</v>
          </cell>
        </row>
        <row r="846">
          <cell r="A846" t="str">
            <v>AUG 2015</v>
          </cell>
          <cell r="B846" t="str">
            <v>LGINE643</v>
          </cell>
          <cell r="E846">
            <v>77369757</v>
          </cell>
          <cell r="L846">
            <v>0</v>
          </cell>
          <cell r="M846">
            <v>166388</v>
          </cell>
          <cell r="P846">
            <v>0</v>
          </cell>
          <cell r="R846">
            <v>4813068</v>
          </cell>
          <cell r="T846">
            <v>1348816</v>
          </cell>
          <cell r="U846">
            <v>495815</v>
          </cell>
        </row>
        <row r="847">
          <cell r="A847" t="str">
            <v>AUG 2015</v>
          </cell>
          <cell r="B847" t="str">
            <v>LGINE661</v>
          </cell>
          <cell r="E847">
            <v>22942935</v>
          </cell>
          <cell r="L847">
            <v>46477</v>
          </cell>
          <cell r="M847">
            <v>49340</v>
          </cell>
          <cell r="P847">
            <v>0</v>
          </cell>
          <cell r="R847">
            <v>2347947</v>
          </cell>
          <cell r="T847">
            <v>1154180</v>
          </cell>
          <cell r="U847">
            <v>147027</v>
          </cell>
        </row>
        <row r="848">
          <cell r="A848" t="str">
            <v>AUG 2015</v>
          </cell>
          <cell r="B848" t="str">
            <v>LGINE663</v>
          </cell>
          <cell r="E848">
            <v>1251083</v>
          </cell>
          <cell r="L848">
            <v>2534</v>
          </cell>
          <cell r="M848">
            <v>2691</v>
          </cell>
          <cell r="P848">
            <v>0</v>
          </cell>
          <cell r="R848">
            <v>128031</v>
          </cell>
          <cell r="T848">
            <v>62101</v>
          </cell>
          <cell r="U848">
            <v>8017</v>
          </cell>
        </row>
        <row r="849">
          <cell r="A849" t="str">
            <v>AUG 2015</v>
          </cell>
          <cell r="B849" t="str">
            <v>LGINE691</v>
          </cell>
          <cell r="E849">
            <v>23497311</v>
          </cell>
          <cell r="L849">
            <v>47601</v>
          </cell>
          <cell r="M849">
            <v>50532</v>
          </cell>
          <cell r="P849">
            <v>0</v>
          </cell>
          <cell r="R849">
            <v>1995150</v>
          </cell>
          <cell r="T849">
            <v>790095</v>
          </cell>
          <cell r="U849">
            <v>150580</v>
          </cell>
        </row>
        <row r="850">
          <cell r="A850" t="str">
            <v>AUG 2015</v>
          </cell>
          <cell r="B850" t="str">
            <v>LGINE693</v>
          </cell>
          <cell r="E850">
            <v>157760478</v>
          </cell>
          <cell r="L850">
            <v>319589</v>
          </cell>
          <cell r="M850">
            <v>339274</v>
          </cell>
          <cell r="P850">
            <v>0</v>
          </cell>
          <cell r="R850">
            <v>11537005</v>
          </cell>
          <cell r="T850">
            <v>4264888</v>
          </cell>
          <cell r="U850">
            <v>1010989</v>
          </cell>
        </row>
        <row r="851">
          <cell r="A851" t="str">
            <v>AUG 2015</v>
          </cell>
          <cell r="B851" t="str">
            <v>LGMLE570</v>
          </cell>
          <cell r="E851">
            <v>0</v>
          </cell>
          <cell r="L851">
            <v>0</v>
          </cell>
          <cell r="M851">
            <v>0</v>
          </cell>
          <cell r="P851">
            <v>0</v>
          </cell>
          <cell r="R851">
            <v>0</v>
          </cell>
          <cell r="T851">
            <v>0</v>
          </cell>
          <cell r="U851">
            <v>0</v>
          </cell>
        </row>
        <row r="852">
          <cell r="A852" t="str">
            <v>AUG 2015</v>
          </cell>
          <cell r="B852" t="str">
            <v>LGMLE571</v>
          </cell>
          <cell r="E852">
            <v>0</v>
          </cell>
          <cell r="L852">
            <v>0</v>
          </cell>
          <cell r="M852">
            <v>0</v>
          </cell>
          <cell r="P852">
            <v>0</v>
          </cell>
          <cell r="R852">
            <v>0</v>
          </cell>
          <cell r="T852">
            <v>0</v>
          </cell>
          <cell r="U852">
            <v>0</v>
          </cell>
        </row>
        <row r="853">
          <cell r="A853" t="str">
            <v>AUG 2015</v>
          </cell>
          <cell r="B853" t="str">
            <v>LGMLE572</v>
          </cell>
          <cell r="E853">
            <v>0</v>
          </cell>
          <cell r="L853">
            <v>0</v>
          </cell>
          <cell r="M853">
            <v>0</v>
          </cell>
          <cell r="P853">
            <v>0</v>
          </cell>
          <cell r="R853">
            <v>0</v>
          </cell>
          <cell r="T853">
            <v>0</v>
          </cell>
          <cell r="U853">
            <v>0</v>
          </cell>
        </row>
        <row r="854">
          <cell r="A854" t="str">
            <v>AUG 2015</v>
          </cell>
          <cell r="B854" t="str">
            <v>LGMLE573</v>
          </cell>
          <cell r="E854">
            <v>0</v>
          </cell>
          <cell r="L854">
            <v>0</v>
          </cell>
          <cell r="M854">
            <v>0</v>
          </cell>
          <cell r="P854">
            <v>0</v>
          </cell>
          <cell r="R854">
            <v>0</v>
          </cell>
          <cell r="T854">
            <v>0</v>
          </cell>
          <cell r="U854">
            <v>0</v>
          </cell>
        </row>
        <row r="855">
          <cell r="A855" t="str">
            <v>AUG 2015</v>
          </cell>
          <cell r="B855" t="str">
            <v>LGMLE574</v>
          </cell>
          <cell r="E855">
            <v>0</v>
          </cell>
          <cell r="L855">
            <v>0</v>
          </cell>
          <cell r="M855">
            <v>0</v>
          </cell>
          <cell r="P855">
            <v>0</v>
          </cell>
          <cell r="R855">
            <v>0</v>
          </cell>
          <cell r="T855">
            <v>0</v>
          </cell>
          <cell r="U855">
            <v>0</v>
          </cell>
        </row>
        <row r="856">
          <cell r="A856" t="str">
            <v>AUG 2015</v>
          </cell>
          <cell r="B856" t="str">
            <v>LGRSE000</v>
          </cell>
          <cell r="E856">
            <v>0</v>
          </cell>
          <cell r="L856">
            <v>0</v>
          </cell>
          <cell r="M856">
            <v>0</v>
          </cell>
          <cell r="P856">
            <v>0</v>
          </cell>
          <cell r="R856">
            <v>0</v>
          </cell>
          <cell r="T856">
            <v>0</v>
          </cell>
          <cell r="U856">
            <v>0</v>
          </cell>
        </row>
        <row r="857">
          <cell r="A857" t="str">
            <v>AUG 2015</v>
          </cell>
          <cell r="B857" t="str">
            <v>LGRSE411</v>
          </cell>
          <cell r="E857">
            <v>0</v>
          </cell>
          <cell r="L857">
            <v>0</v>
          </cell>
          <cell r="M857">
            <v>0</v>
          </cell>
          <cell r="P857">
            <v>0</v>
          </cell>
          <cell r="R857">
            <v>0</v>
          </cell>
          <cell r="T857">
            <v>0</v>
          </cell>
          <cell r="U857">
            <v>0</v>
          </cell>
        </row>
        <row r="858">
          <cell r="A858" t="str">
            <v>AUG 2015</v>
          </cell>
          <cell r="B858" t="str">
            <v>LGRSE511</v>
          </cell>
          <cell r="E858">
            <v>516787603</v>
          </cell>
          <cell r="L858">
            <v>1046901</v>
          </cell>
          <cell r="M858">
            <v>1111384</v>
          </cell>
          <cell r="P858">
            <v>0</v>
          </cell>
          <cell r="R858">
            <v>51082253</v>
          </cell>
          <cell r="T858">
            <v>0</v>
          </cell>
          <cell r="U858">
            <v>3311772</v>
          </cell>
        </row>
        <row r="859">
          <cell r="A859" t="str">
            <v>AUG 2015</v>
          </cell>
          <cell r="B859" t="str">
            <v>LGRSE519</v>
          </cell>
          <cell r="E859">
            <v>0</v>
          </cell>
          <cell r="L859">
            <v>0</v>
          </cell>
          <cell r="M859">
            <v>0</v>
          </cell>
          <cell r="P859">
            <v>0</v>
          </cell>
          <cell r="R859">
            <v>0</v>
          </cell>
          <cell r="T859">
            <v>0</v>
          </cell>
          <cell r="U859">
            <v>0</v>
          </cell>
        </row>
        <row r="860">
          <cell r="A860" t="str">
            <v>AUG 2015</v>
          </cell>
          <cell r="B860" t="str">
            <v>LGRSE540</v>
          </cell>
          <cell r="E860">
            <v>0</v>
          </cell>
          <cell r="L860">
            <v>0</v>
          </cell>
          <cell r="M860">
            <v>0</v>
          </cell>
          <cell r="P860">
            <v>0</v>
          </cell>
          <cell r="R860">
            <v>0</v>
          </cell>
          <cell r="T860">
            <v>0</v>
          </cell>
          <cell r="U860">
            <v>0</v>
          </cell>
        </row>
        <row r="861">
          <cell r="A861" t="str">
            <v>AUG 2015</v>
          </cell>
          <cell r="B861" t="str">
            <v>LGRSE543</v>
          </cell>
          <cell r="E861">
            <v>0</v>
          </cell>
          <cell r="L861">
            <v>0</v>
          </cell>
          <cell r="M861">
            <v>0</v>
          </cell>
          <cell r="P861">
            <v>0</v>
          </cell>
          <cell r="R861">
            <v>0</v>
          </cell>
          <cell r="T861">
            <v>0</v>
          </cell>
          <cell r="U861">
            <v>0</v>
          </cell>
        </row>
        <row r="862">
          <cell r="A862" t="str">
            <v>AUG 2015</v>
          </cell>
          <cell r="B862" t="str">
            <v>LGRSE547</v>
          </cell>
          <cell r="E862">
            <v>0</v>
          </cell>
          <cell r="L862">
            <v>0</v>
          </cell>
          <cell r="M862">
            <v>0</v>
          </cell>
          <cell r="P862">
            <v>0</v>
          </cell>
          <cell r="R862">
            <v>0</v>
          </cell>
          <cell r="T862">
            <v>0</v>
          </cell>
          <cell r="U862">
            <v>0</v>
          </cell>
        </row>
        <row r="863">
          <cell r="A863" t="str">
            <v>AUG 2015</v>
          </cell>
          <cell r="B863" t="str">
            <v>LGUM_000</v>
          </cell>
          <cell r="T863">
            <v>0</v>
          </cell>
          <cell r="U863">
            <v>0</v>
          </cell>
        </row>
        <row r="864">
          <cell r="A864" t="str">
            <v>AUG 2015</v>
          </cell>
          <cell r="B864" t="str">
            <v>LGUM_201</v>
          </cell>
          <cell r="T864">
            <v>0</v>
          </cell>
          <cell r="U864">
            <v>0</v>
          </cell>
        </row>
        <row r="865">
          <cell r="A865" t="str">
            <v>AUG 2015</v>
          </cell>
          <cell r="B865" t="str">
            <v>LGUM_203</v>
          </cell>
          <cell r="T865">
            <v>0</v>
          </cell>
          <cell r="U865">
            <v>0</v>
          </cell>
        </row>
        <row r="866">
          <cell r="A866" t="str">
            <v>AUG 2015</v>
          </cell>
          <cell r="B866" t="str">
            <v>LGUM_204</v>
          </cell>
          <cell r="T866">
            <v>0</v>
          </cell>
          <cell r="U866">
            <v>0</v>
          </cell>
        </row>
        <row r="867">
          <cell r="A867" t="str">
            <v>AUG 2015</v>
          </cell>
          <cell r="B867" t="str">
            <v>LGUM_204CU</v>
          </cell>
          <cell r="T867">
            <v>0</v>
          </cell>
          <cell r="U867">
            <v>0</v>
          </cell>
        </row>
        <row r="868">
          <cell r="A868" t="str">
            <v>AUG 2015</v>
          </cell>
          <cell r="B868" t="str">
            <v>LGUM_206</v>
          </cell>
          <cell r="T868">
            <v>0</v>
          </cell>
          <cell r="U868">
            <v>0</v>
          </cell>
        </row>
        <row r="869">
          <cell r="A869" t="str">
            <v>AUG 2015</v>
          </cell>
          <cell r="B869" t="str">
            <v>LGUM_207</v>
          </cell>
          <cell r="T869">
            <v>0</v>
          </cell>
          <cell r="U869">
            <v>0</v>
          </cell>
        </row>
        <row r="870">
          <cell r="A870" t="str">
            <v>AUG 2015</v>
          </cell>
          <cell r="B870" t="str">
            <v>LGUM_208</v>
          </cell>
          <cell r="T870">
            <v>0</v>
          </cell>
          <cell r="U870">
            <v>0</v>
          </cell>
        </row>
        <row r="871">
          <cell r="A871" t="str">
            <v>AUG 2015</v>
          </cell>
          <cell r="B871" t="str">
            <v>LGUM_209</v>
          </cell>
          <cell r="T871">
            <v>0</v>
          </cell>
          <cell r="U871">
            <v>0</v>
          </cell>
        </row>
        <row r="872">
          <cell r="A872" t="str">
            <v>AUG 2015</v>
          </cell>
          <cell r="B872" t="str">
            <v>LGUM_209CU</v>
          </cell>
          <cell r="T872">
            <v>0</v>
          </cell>
          <cell r="U872">
            <v>0</v>
          </cell>
        </row>
        <row r="873">
          <cell r="A873" t="str">
            <v>AUG 2015</v>
          </cell>
          <cell r="B873" t="str">
            <v>LGUM_210</v>
          </cell>
          <cell r="T873">
            <v>0</v>
          </cell>
          <cell r="U873">
            <v>0</v>
          </cell>
        </row>
        <row r="874">
          <cell r="A874" t="str">
            <v>AUG 2015</v>
          </cell>
          <cell r="B874" t="str">
            <v>LGUM_252</v>
          </cell>
          <cell r="T874">
            <v>0</v>
          </cell>
          <cell r="U874">
            <v>0</v>
          </cell>
        </row>
        <row r="875">
          <cell r="A875" t="str">
            <v>AUG 2015</v>
          </cell>
          <cell r="B875" t="str">
            <v>LGUM_266</v>
          </cell>
          <cell r="T875">
            <v>0</v>
          </cell>
          <cell r="U875">
            <v>0</v>
          </cell>
        </row>
        <row r="876">
          <cell r="A876" t="str">
            <v>AUG 2015</v>
          </cell>
          <cell r="B876" t="str">
            <v>LGUM_267</v>
          </cell>
          <cell r="T876">
            <v>0</v>
          </cell>
          <cell r="U876">
            <v>0</v>
          </cell>
        </row>
        <row r="877">
          <cell r="A877" t="str">
            <v>AUG 2015</v>
          </cell>
          <cell r="B877" t="str">
            <v>LGUM_274</v>
          </cell>
          <cell r="T877">
            <v>0</v>
          </cell>
          <cell r="U877">
            <v>0</v>
          </cell>
        </row>
        <row r="878">
          <cell r="A878" t="str">
            <v>AUG 2015</v>
          </cell>
          <cell r="B878" t="str">
            <v>LGUM_275</v>
          </cell>
          <cell r="T878">
            <v>0</v>
          </cell>
          <cell r="U878">
            <v>0</v>
          </cell>
        </row>
        <row r="879">
          <cell r="A879" t="str">
            <v>AUG 2015</v>
          </cell>
          <cell r="B879" t="str">
            <v>LGUM_276</v>
          </cell>
          <cell r="T879">
            <v>0</v>
          </cell>
          <cell r="U879">
            <v>0</v>
          </cell>
        </row>
        <row r="880">
          <cell r="A880" t="str">
            <v>AUG 2015</v>
          </cell>
          <cell r="B880" t="str">
            <v>LGUM_277</v>
          </cell>
          <cell r="T880">
            <v>0</v>
          </cell>
          <cell r="U880">
            <v>0</v>
          </cell>
        </row>
        <row r="881">
          <cell r="A881" t="str">
            <v>AUG 2015</v>
          </cell>
          <cell r="B881" t="str">
            <v>LGUM_278</v>
          </cell>
          <cell r="T881">
            <v>0</v>
          </cell>
          <cell r="U881">
            <v>0</v>
          </cell>
        </row>
        <row r="882">
          <cell r="A882" t="str">
            <v>AUG 2015</v>
          </cell>
          <cell r="B882" t="str">
            <v>LGUM_279</v>
          </cell>
          <cell r="T882">
            <v>0</v>
          </cell>
          <cell r="U882">
            <v>0</v>
          </cell>
        </row>
        <row r="883">
          <cell r="A883" t="str">
            <v>AUG 2015</v>
          </cell>
          <cell r="B883" t="str">
            <v>LGUM_280</v>
          </cell>
          <cell r="T883">
            <v>0</v>
          </cell>
          <cell r="U883">
            <v>0</v>
          </cell>
        </row>
        <row r="884">
          <cell r="A884" t="str">
            <v>AUG 2015</v>
          </cell>
          <cell r="B884" t="str">
            <v>LGUM_281</v>
          </cell>
          <cell r="T884">
            <v>0</v>
          </cell>
          <cell r="U884">
            <v>0</v>
          </cell>
        </row>
        <row r="885">
          <cell r="A885" t="str">
            <v>AUG 2015</v>
          </cell>
          <cell r="B885" t="str">
            <v>LGUM_282</v>
          </cell>
          <cell r="T885">
            <v>0</v>
          </cell>
          <cell r="U885">
            <v>0</v>
          </cell>
        </row>
        <row r="886">
          <cell r="A886" t="str">
            <v>AUG 2015</v>
          </cell>
          <cell r="B886" t="str">
            <v>LGUM_283</v>
          </cell>
          <cell r="T886">
            <v>0</v>
          </cell>
          <cell r="U886">
            <v>0</v>
          </cell>
        </row>
        <row r="887">
          <cell r="A887" t="str">
            <v>AUG 2015</v>
          </cell>
          <cell r="B887" t="str">
            <v>LGUM_314</v>
          </cell>
          <cell r="T887">
            <v>0</v>
          </cell>
          <cell r="U887">
            <v>0</v>
          </cell>
        </row>
        <row r="888">
          <cell r="A888" t="str">
            <v>AUG 2015</v>
          </cell>
          <cell r="B888" t="str">
            <v>LGUM_315</v>
          </cell>
          <cell r="T888">
            <v>0</v>
          </cell>
          <cell r="U888">
            <v>0</v>
          </cell>
        </row>
        <row r="889">
          <cell r="A889" t="str">
            <v>AUG 2015</v>
          </cell>
          <cell r="B889" t="str">
            <v>LGUM_318</v>
          </cell>
          <cell r="T889">
            <v>0</v>
          </cell>
          <cell r="U889">
            <v>0</v>
          </cell>
        </row>
        <row r="890">
          <cell r="A890" t="str">
            <v>AUG 2015</v>
          </cell>
          <cell r="B890" t="str">
            <v>LGUM_348</v>
          </cell>
          <cell r="T890">
            <v>0</v>
          </cell>
          <cell r="U890">
            <v>0</v>
          </cell>
        </row>
        <row r="891">
          <cell r="A891" t="str">
            <v>AUG 2015</v>
          </cell>
          <cell r="B891" t="str">
            <v>LGUM_349</v>
          </cell>
          <cell r="T891">
            <v>0</v>
          </cell>
          <cell r="U891">
            <v>0</v>
          </cell>
        </row>
        <row r="892">
          <cell r="A892" t="str">
            <v>AUG 2015</v>
          </cell>
          <cell r="B892" t="str">
            <v>LGUM_400</v>
          </cell>
          <cell r="T892">
            <v>0</v>
          </cell>
          <cell r="U892">
            <v>0</v>
          </cell>
        </row>
        <row r="893">
          <cell r="A893" t="str">
            <v>AUG 2015</v>
          </cell>
          <cell r="B893" t="str">
            <v>LGUM_401</v>
          </cell>
          <cell r="T893">
            <v>0</v>
          </cell>
          <cell r="U893">
            <v>0</v>
          </cell>
        </row>
        <row r="894">
          <cell r="A894" t="str">
            <v>AUG 2015</v>
          </cell>
          <cell r="B894" t="str">
            <v>LGUM_412</v>
          </cell>
          <cell r="T894">
            <v>0</v>
          </cell>
          <cell r="U894">
            <v>0</v>
          </cell>
        </row>
        <row r="895">
          <cell r="A895" t="str">
            <v>AUG 2015</v>
          </cell>
          <cell r="B895" t="str">
            <v>LGUM_413</v>
          </cell>
          <cell r="T895">
            <v>0</v>
          </cell>
          <cell r="U895">
            <v>0</v>
          </cell>
        </row>
        <row r="896">
          <cell r="A896" t="str">
            <v>AUG 2015</v>
          </cell>
          <cell r="B896" t="str">
            <v>LGUM_415</v>
          </cell>
          <cell r="T896">
            <v>0</v>
          </cell>
          <cell r="U896">
            <v>0</v>
          </cell>
        </row>
        <row r="897">
          <cell r="A897" t="str">
            <v>AUG 2015</v>
          </cell>
          <cell r="B897" t="str">
            <v>LGUM_416</v>
          </cell>
          <cell r="T897">
            <v>0</v>
          </cell>
          <cell r="U897">
            <v>0</v>
          </cell>
        </row>
        <row r="898">
          <cell r="A898" t="str">
            <v>AUG 2015</v>
          </cell>
          <cell r="B898" t="str">
            <v>LGUM_417</v>
          </cell>
          <cell r="T898">
            <v>0</v>
          </cell>
          <cell r="U898">
            <v>0</v>
          </cell>
        </row>
        <row r="899">
          <cell r="A899" t="str">
            <v>AUG 2015</v>
          </cell>
          <cell r="B899" t="str">
            <v>LGUM_419</v>
          </cell>
          <cell r="T899">
            <v>0</v>
          </cell>
          <cell r="U899">
            <v>0</v>
          </cell>
        </row>
        <row r="900">
          <cell r="A900" t="str">
            <v>AUG 2015</v>
          </cell>
          <cell r="B900" t="str">
            <v>LGUM_420</v>
          </cell>
          <cell r="T900">
            <v>0</v>
          </cell>
          <cell r="U900">
            <v>0</v>
          </cell>
        </row>
        <row r="901">
          <cell r="A901" t="str">
            <v>AUG 2015</v>
          </cell>
          <cell r="B901" t="str">
            <v>LGUM_421</v>
          </cell>
          <cell r="T901">
            <v>0</v>
          </cell>
          <cell r="U901">
            <v>0</v>
          </cell>
        </row>
        <row r="902">
          <cell r="A902" t="str">
            <v>AUG 2015</v>
          </cell>
          <cell r="B902" t="str">
            <v>LGUM_422</v>
          </cell>
          <cell r="T902">
            <v>0</v>
          </cell>
          <cell r="U902">
            <v>0</v>
          </cell>
        </row>
        <row r="903">
          <cell r="A903" t="str">
            <v>AUG 2015</v>
          </cell>
          <cell r="B903" t="str">
            <v>LGUM_423</v>
          </cell>
          <cell r="T903">
            <v>0</v>
          </cell>
          <cell r="U903">
            <v>0</v>
          </cell>
        </row>
        <row r="904">
          <cell r="A904" t="str">
            <v>AUG 2015</v>
          </cell>
          <cell r="B904" t="str">
            <v>LGUM_424</v>
          </cell>
          <cell r="T904">
            <v>0</v>
          </cell>
          <cell r="U904">
            <v>0</v>
          </cell>
        </row>
        <row r="905">
          <cell r="A905" t="str">
            <v>AUG 2015</v>
          </cell>
          <cell r="B905" t="str">
            <v>LGUM_425</v>
          </cell>
          <cell r="T905">
            <v>0</v>
          </cell>
          <cell r="U905">
            <v>0</v>
          </cell>
        </row>
        <row r="906">
          <cell r="A906" t="str">
            <v>AUG 2015</v>
          </cell>
          <cell r="B906" t="str">
            <v>LGUM_426</v>
          </cell>
          <cell r="T906">
            <v>0</v>
          </cell>
          <cell r="U906">
            <v>0</v>
          </cell>
        </row>
        <row r="907">
          <cell r="A907" t="str">
            <v>AUG 2015</v>
          </cell>
          <cell r="B907" t="str">
            <v>LGUM_427</v>
          </cell>
          <cell r="T907">
            <v>0</v>
          </cell>
          <cell r="U907">
            <v>0</v>
          </cell>
        </row>
        <row r="908">
          <cell r="A908" t="str">
            <v>AUG 2015</v>
          </cell>
          <cell r="B908" t="str">
            <v>LGUM_428</v>
          </cell>
          <cell r="T908">
            <v>0</v>
          </cell>
          <cell r="U908">
            <v>0</v>
          </cell>
        </row>
        <row r="909">
          <cell r="A909" t="str">
            <v>AUG 2015</v>
          </cell>
          <cell r="B909" t="str">
            <v>LGUM_429</v>
          </cell>
          <cell r="T909">
            <v>0</v>
          </cell>
          <cell r="U909">
            <v>0</v>
          </cell>
        </row>
        <row r="910">
          <cell r="A910" t="str">
            <v>AUG 2015</v>
          </cell>
          <cell r="B910" t="str">
            <v>LGUM_430</v>
          </cell>
          <cell r="T910">
            <v>0</v>
          </cell>
          <cell r="U910">
            <v>0</v>
          </cell>
        </row>
        <row r="911">
          <cell r="A911" t="str">
            <v>AUG 2015</v>
          </cell>
          <cell r="B911" t="str">
            <v>LGUM_431</v>
          </cell>
          <cell r="T911">
            <v>0</v>
          </cell>
          <cell r="U911">
            <v>0</v>
          </cell>
        </row>
        <row r="912">
          <cell r="A912" t="str">
            <v>AUG 2015</v>
          </cell>
          <cell r="B912" t="str">
            <v>LGUM_432</v>
          </cell>
          <cell r="T912">
            <v>0</v>
          </cell>
          <cell r="U912">
            <v>0</v>
          </cell>
        </row>
        <row r="913">
          <cell r="A913" t="str">
            <v>AUG 2015</v>
          </cell>
          <cell r="B913" t="str">
            <v>LGUM_433</v>
          </cell>
          <cell r="T913">
            <v>0</v>
          </cell>
          <cell r="U913">
            <v>0</v>
          </cell>
        </row>
        <row r="914">
          <cell r="A914" t="str">
            <v>AUG 2015</v>
          </cell>
          <cell r="B914" t="str">
            <v>LGUM_440</v>
          </cell>
          <cell r="T914">
            <v>0</v>
          </cell>
          <cell r="U914">
            <v>0</v>
          </cell>
        </row>
        <row r="915">
          <cell r="A915" t="str">
            <v>AUG 2015</v>
          </cell>
          <cell r="B915" t="str">
            <v>LGUM_441</v>
          </cell>
          <cell r="T915">
            <v>0</v>
          </cell>
          <cell r="U915">
            <v>0</v>
          </cell>
        </row>
        <row r="916">
          <cell r="A916" t="str">
            <v>AUG 2015</v>
          </cell>
          <cell r="B916" t="str">
            <v>LGUM_452</v>
          </cell>
          <cell r="T916">
            <v>0</v>
          </cell>
          <cell r="U916">
            <v>0</v>
          </cell>
        </row>
        <row r="917">
          <cell r="A917" t="str">
            <v>AUG 2015</v>
          </cell>
          <cell r="B917" t="str">
            <v>LGUM_452CU</v>
          </cell>
          <cell r="T917">
            <v>0</v>
          </cell>
          <cell r="U917">
            <v>0</v>
          </cell>
        </row>
        <row r="918">
          <cell r="A918" t="str">
            <v>AUG 2015</v>
          </cell>
          <cell r="B918" t="str">
            <v>LGUM_453</v>
          </cell>
          <cell r="T918">
            <v>0</v>
          </cell>
          <cell r="U918">
            <v>0</v>
          </cell>
        </row>
        <row r="919">
          <cell r="A919" t="str">
            <v>AUG 2015</v>
          </cell>
          <cell r="B919" t="str">
            <v>LGUM_453CU</v>
          </cell>
          <cell r="T919">
            <v>0</v>
          </cell>
          <cell r="U919">
            <v>0</v>
          </cell>
        </row>
        <row r="920">
          <cell r="A920" t="str">
            <v>AUG 2015</v>
          </cell>
          <cell r="B920" t="str">
            <v>LGUM_454</v>
          </cell>
          <cell r="T920">
            <v>0</v>
          </cell>
          <cell r="U920">
            <v>0</v>
          </cell>
        </row>
        <row r="921">
          <cell r="A921" t="str">
            <v>AUG 2015</v>
          </cell>
          <cell r="B921" t="str">
            <v>LGUM_454CU</v>
          </cell>
          <cell r="T921">
            <v>0</v>
          </cell>
          <cell r="U921">
            <v>0</v>
          </cell>
        </row>
        <row r="922">
          <cell r="A922" t="str">
            <v>AUG 2015</v>
          </cell>
          <cell r="B922" t="str">
            <v>LGUM_455</v>
          </cell>
          <cell r="T922">
            <v>0</v>
          </cell>
          <cell r="U922">
            <v>0</v>
          </cell>
        </row>
        <row r="923">
          <cell r="A923" t="str">
            <v>AUG 2015</v>
          </cell>
          <cell r="B923" t="str">
            <v>LGUM_456</v>
          </cell>
          <cell r="T923">
            <v>0</v>
          </cell>
          <cell r="U923">
            <v>0</v>
          </cell>
        </row>
        <row r="924">
          <cell r="A924" t="str">
            <v>AUG 2015</v>
          </cell>
          <cell r="B924" t="str">
            <v>LGUM_456CU</v>
          </cell>
          <cell r="T924">
            <v>0</v>
          </cell>
          <cell r="U924">
            <v>0</v>
          </cell>
        </row>
        <row r="925">
          <cell r="A925" t="str">
            <v>AUG 2015</v>
          </cell>
          <cell r="B925" t="str">
            <v>LGUM_457</v>
          </cell>
          <cell r="T925">
            <v>0</v>
          </cell>
          <cell r="U925">
            <v>0</v>
          </cell>
        </row>
        <row r="926">
          <cell r="A926" t="str">
            <v>AUG 2015</v>
          </cell>
          <cell r="B926" t="str">
            <v>LGUM_458</v>
          </cell>
          <cell r="T926">
            <v>0</v>
          </cell>
          <cell r="U926">
            <v>0</v>
          </cell>
        </row>
        <row r="927">
          <cell r="A927" t="str">
            <v>AUG 2015</v>
          </cell>
          <cell r="B927" t="str">
            <v>LGUM_470</v>
          </cell>
          <cell r="T927">
            <v>0</v>
          </cell>
          <cell r="U927">
            <v>0</v>
          </cell>
        </row>
        <row r="928">
          <cell r="A928" t="str">
            <v>AUG 2015</v>
          </cell>
          <cell r="B928" t="str">
            <v>LGUM_471</v>
          </cell>
          <cell r="T928">
            <v>0</v>
          </cell>
          <cell r="U928">
            <v>0</v>
          </cell>
        </row>
        <row r="929">
          <cell r="A929" t="str">
            <v>AUG 2015</v>
          </cell>
          <cell r="B929" t="str">
            <v>LGUM_473</v>
          </cell>
          <cell r="T929">
            <v>0</v>
          </cell>
          <cell r="U929">
            <v>0</v>
          </cell>
        </row>
        <row r="930">
          <cell r="A930" t="str">
            <v>AUG 2015</v>
          </cell>
          <cell r="B930" t="str">
            <v>LGUM_474</v>
          </cell>
          <cell r="T930">
            <v>0</v>
          </cell>
          <cell r="U930">
            <v>0</v>
          </cell>
        </row>
        <row r="931">
          <cell r="A931" t="str">
            <v>AUG 2015</v>
          </cell>
          <cell r="B931" t="str">
            <v>LGUM_475</v>
          </cell>
          <cell r="T931">
            <v>0</v>
          </cell>
          <cell r="U931">
            <v>0</v>
          </cell>
        </row>
        <row r="932">
          <cell r="A932" t="str">
            <v>AUG 2015</v>
          </cell>
          <cell r="B932" t="str">
            <v>LGUM_476</v>
          </cell>
          <cell r="T932">
            <v>0</v>
          </cell>
          <cell r="U932">
            <v>0</v>
          </cell>
        </row>
        <row r="933">
          <cell r="A933" t="str">
            <v>AUG 2015</v>
          </cell>
          <cell r="B933" t="str">
            <v>LGUM_477</v>
          </cell>
          <cell r="T933">
            <v>0</v>
          </cell>
          <cell r="U933">
            <v>0</v>
          </cell>
        </row>
        <row r="934">
          <cell r="A934" t="str">
            <v>AUG 2015</v>
          </cell>
          <cell r="B934" t="str">
            <v>LGUM_480</v>
          </cell>
          <cell r="T934">
            <v>0</v>
          </cell>
          <cell r="U934">
            <v>0</v>
          </cell>
        </row>
        <row r="935">
          <cell r="A935" t="str">
            <v>AUG 2015</v>
          </cell>
          <cell r="B935" t="str">
            <v>LGUM_481</v>
          </cell>
          <cell r="T935">
            <v>0</v>
          </cell>
          <cell r="U935">
            <v>0</v>
          </cell>
        </row>
        <row r="936">
          <cell r="A936" t="str">
            <v>AUG 2015</v>
          </cell>
          <cell r="B936" t="str">
            <v>LGUM_482</v>
          </cell>
          <cell r="T936">
            <v>0</v>
          </cell>
          <cell r="U936">
            <v>0</v>
          </cell>
        </row>
        <row r="937">
          <cell r="A937" t="str">
            <v>AUG 2015</v>
          </cell>
          <cell r="B937" t="str">
            <v>LGUM_483</v>
          </cell>
          <cell r="T937">
            <v>0</v>
          </cell>
          <cell r="U937">
            <v>0</v>
          </cell>
        </row>
        <row r="938">
          <cell r="A938" t="str">
            <v>AUG 2015</v>
          </cell>
          <cell r="B938" t="str">
            <v>LGUM_484</v>
          </cell>
          <cell r="T938">
            <v>0</v>
          </cell>
          <cell r="U938">
            <v>0</v>
          </cell>
        </row>
        <row r="939">
          <cell r="A939" t="str">
            <v>AUG 2015</v>
          </cell>
          <cell r="B939" t="str">
            <v>Result</v>
          </cell>
          <cell r="T939">
            <v>0</v>
          </cell>
          <cell r="U939">
            <v>0</v>
          </cell>
        </row>
        <row r="940">
          <cell r="A940" t="str">
            <v>SEP 2015</v>
          </cell>
          <cell r="B940" t="str">
            <v>LEUM_826</v>
          </cell>
          <cell r="T940">
            <v>0</v>
          </cell>
          <cell r="U940">
            <v>0</v>
          </cell>
        </row>
        <row r="941">
          <cell r="A941" t="str">
            <v>SEP 2015</v>
          </cell>
          <cell r="B941" t="str">
            <v>LEUM_826</v>
          </cell>
          <cell r="T941">
            <v>0</v>
          </cell>
          <cell r="U941">
            <v>0</v>
          </cell>
        </row>
        <row r="942">
          <cell r="A942" t="str">
            <v>SEP 2015</v>
          </cell>
          <cell r="B942" t="str">
            <v>ODL</v>
          </cell>
          <cell r="E942">
            <v>7528109</v>
          </cell>
          <cell r="L942">
            <v>0</v>
          </cell>
          <cell r="M942">
            <v>1990</v>
          </cell>
          <cell r="P942">
            <v>0</v>
          </cell>
          <cell r="R942">
            <v>1586353</v>
          </cell>
          <cell r="T942">
            <v>0</v>
          </cell>
          <cell r="U942">
            <v>63496</v>
          </cell>
        </row>
        <row r="943">
          <cell r="A943" t="str">
            <v>SEP 2015</v>
          </cell>
          <cell r="B943" t="str">
            <v>LEUM_829</v>
          </cell>
          <cell r="E943">
            <v>0</v>
          </cell>
          <cell r="L943">
            <v>0</v>
          </cell>
          <cell r="M943">
            <v>0</v>
          </cell>
          <cell r="P943">
            <v>0</v>
          </cell>
          <cell r="R943">
            <v>0</v>
          </cell>
          <cell r="T943">
            <v>0</v>
          </cell>
          <cell r="U943">
            <v>0</v>
          </cell>
        </row>
        <row r="944">
          <cell r="A944" t="str">
            <v>SEP 2015</v>
          </cell>
          <cell r="B944" t="str">
            <v>LGCME000</v>
          </cell>
          <cell r="E944">
            <v>0</v>
          </cell>
          <cell r="L944">
            <v>0</v>
          </cell>
          <cell r="M944">
            <v>0</v>
          </cell>
          <cell r="P944">
            <v>0</v>
          </cell>
          <cell r="R944">
            <v>0</v>
          </cell>
          <cell r="T944">
            <v>0</v>
          </cell>
          <cell r="U944">
            <v>0</v>
          </cell>
        </row>
        <row r="945">
          <cell r="A945" t="str">
            <v>SEP 2015</v>
          </cell>
          <cell r="B945" t="str">
            <v>LGCME451</v>
          </cell>
          <cell r="E945">
            <v>0</v>
          </cell>
          <cell r="L945">
            <v>0</v>
          </cell>
          <cell r="M945">
            <v>0</v>
          </cell>
          <cell r="P945">
            <v>0</v>
          </cell>
          <cell r="R945">
            <v>0</v>
          </cell>
          <cell r="T945">
            <v>0</v>
          </cell>
          <cell r="U945">
            <v>0</v>
          </cell>
        </row>
        <row r="946">
          <cell r="A946" t="str">
            <v>SEP 2015</v>
          </cell>
          <cell r="B946" t="str">
            <v>LGCME551</v>
          </cell>
          <cell r="E946">
            <v>32918663</v>
          </cell>
          <cell r="L946">
            <v>70389</v>
          </cell>
          <cell r="M946">
            <v>8703</v>
          </cell>
          <cell r="P946">
            <v>0</v>
          </cell>
          <cell r="R946">
            <v>3927079</v>
          </cell>
          <cell r="T946">
            <v>0</v>
          </cell>
          <cell r="U946">
            <v>277652</v>
          </cell>
        </row>
        <row r="947">
          <cell r="A947" t="str">
            <v>SEP 2015</v>
          </cell>
          <cell r="B947" t="str">
            <v>LGCME551UM</v>
          </cell>
          <cell r="E947">
            <v>0</v>
          </cell>
          <cell r="L947">
            <v>0</v>
          </cell>
          <cell r="M947">
            <v>0</v>
          </cell>
          <cell r="P947">
            <v>0</v>
          </cell>
          <cell r="R947">
            <v>0</v>
          </cell>
          <cell r="T947">
            <v>0</v>
          </cell>
          <cell r="U947">
            <v>0</v>
          </cell>
        </row>
        <row r="948">
          <cell r="A948" t="str">
            <v>SEP 2015</v>
          </cell>
          <cell r="B948" t="str">
            <v>LGCME552</v>
          </cell>
          <cell r="E948">
            <v>0</v>
          </cell>
          <cell r="L948">
            <v>0</v>
          </cell>
          <cell r="M948">
            <v>0</v>
          </cell>
          <cell r="P948">
            <v>0</v>
          </cell>
          <cell r="R948">
            <v>0</v>
          </cell>
          <cell r="T948">
            <v>0</v>
          </cell>
          <cell r="U948">
            <v>0</v>
          </cell>
        </row>
        <row r="949">
          <cell r="A949" t="str">
            <v>SEP 2015</v>
          </cell>
          <cell r="B949" t="str">
            <v>LGCME557</v>
          </cell>
          <cell r="E949">
            <v>0</v>
          </cell>
          <cell r="L949">
            <v>0</v>
          </cell>
          <cell r="M949">
            <v>0</v>
          </cell>
          <cell r="P949">
            <v>0</v>
          </cell>
          <cell r="R949">
            <v>0</v>
          </cell>
          <cell r="T949">
            <v>0</v>
          </cell>
          <cell r="U949">
            <v>0</v>
          </cell>
        </row>
        <row r="950">
          <cell r="A950" t="str">
            <v>SEP 2015</v>
          </cell>
          <cell r="B950" t="str">
            <v>LGCME561</v>
          </cell>
          <cell r="E950">
            <v>143721391</v>
          </cell>
          <cell r="L950">
            <v>307314</v>
          </cell>
          <cell r="M950">
            <v>37999</v>
          </cell>
          <cell r="P950">
            <v>0</v>
          </cell>
          <cell r="R950">
            <v>14314000</v>
          </cell>
          <cell r="T950">
            <v>6689273</v>
          </cell>
          <cell r="U950">
            <v>1212215</v>
          </cell>
        </row>
        <row r="951">
          <cell r="A951" t="str">
            <v>SEP 2015</v>
          </cell>
          <cell r="B951" t="str">
            <v>LGCME563</v>
          </cell>
          <cell r="E951">
            <v>13180844</v>
          </cell>
          <cell r="L951">
            <v>28184</v>
          </cell>
          <cell r="M951">
            <v>3485</v>
          </cell>
          <cell r="P951">
            <v>0</v>
          </cell>
          <cell r="R951">
            <v>1180841</v>
          </cell>
          <cell r="T951">
            <v>511678</v>
          </cell>
          <cell r="U951">
            <v>111174</v>
          </cell>
        </row>
        <row r="952">
          <cell r="A952" t="str">
            <v>SEP 2015</v>
          </cell>
          <cell r="B952" t="str">
            <v>LGCME567</v>
          </cell>
          <cell r="E952">
            <v>0</v>
          </cell>
          <cell r="L952">
            <v>0</v>
          </cell>
          <cell r="M952">
            <v>0</v>
          </cell>
          <cell r="P952">
            <v>0</v>
          </cell>
          <cell r="R952">
            <v>0</v>
          </cell>
          <cell r="T952">
            <v>0</v>
          </cell>
          <cell r="U952">
            <v>0</v>
          </cell>
        </row>
        <row r="953">
          <cell r="A953" t="str">
            <v>SEP 2015</v>
          </cell>
          <cell r="B953" t="str">
            <v>LGCME591</v>
          </cell>
          <cell r="E953">
            <v>66161499</v>
          </cell>
          <cell r="L953">
            <v>141471</v>
          </cell>
          <cell r="M953">
            <v>17493</v>
          </cell>
          <cell r="P953">
            <v>0</v>
          </cell>
          <cell r="R953">
            <v>5625363</v>
          </cell>
          <cell r="T953">
            <v>2224917</v>
          </cell>
          <cell r="U953">
            <v>558038</v>
          </cell>
        </row>
        <row r="954">
          <cell r="A954" t="str">
            <v>SEP 2015</v>
          </cell>
          <cell r="B954" t="str">
            <v>LGCME593</v>
          </cell>
          <cell r="E954">
            <v>32700970</v>
          </cell>
          <cell r="L954">
            <v>69923</v>
          </cell>
          <cell r="M954">
            <v>8646</v>
          </cell>
          <cell r="P954">
            <v>0</v>
          </cell>
          <cell r="R954">
            <v>2748888</v>
          </cell>
          <cell r="T954">
            <v>1137197</v>
          </cell>
          <cell r="U954">
            <v>275816</v>
          </cell>
        </row>
        <row r="955">
          <cell r="A955" t="str">
            <v>SEP 2015</v>
          </cell>
          <cell r="B955" t="str">
            <v>LGCME651</v>
          </cell>
          <cell r="E955">
            <v>84000796</v>
          </cell>
          <cell r="L955">
            <v>179616</v>
          </cell>
          <cell r="M955">
            <v>22209</v>
          </cell>
          <cell r="P955">
            <v>0</v>
          </cell>
          <cell r="R955">
            <v>9155588</v>
          </cell>
          <cell r="T955">
            <v>0</v>
          </cell>
          <cell r="U955">
            <v>708503</v>
          </cell>
        </row>
        <row r="956">
          <cell r="A956" t="str">
            <v>SEP 2015</v>
          </cell>
          <cell r="B956" t="str">
            <v>LGCME652</v>
          </cell>
          <cell r="E956">
            <v>0</v>
          </cell>
          <cell r="L956">
            <v>0</v>
          </cell>
          <cell r="M956">
            <v>0</v>
          </cell>
          <cell r="P956">
            <v>0</v>
          </cell>
          <cell r="R956">
            <v>0</v>
          </cell>
          <cell r="T956">
            <v>0</v>
          </cell>
          <cell r="U956">
            <v>0</v>
          </cell>
        </row>
        <row r="957">
          <cell r="A957" t="str">
            <v>SEP 2015</v>
          </cell>
          <cell r="B957" t="str">
            <v>LGCME657</v>
          </cell>
          <cell r="E957">
            <v>0</v>
          </cell>
          <cell r="L957">
            <v>0</v>
          </cell>
          <cell r="M957">
            <v>0</v>
          </cell>
          <cell r="P957">
            <v>0</v>
          </cell>
          <cell r="R957">
            <v>0</v>
          </cell>
          <cell r="T957">
            <v>0</v>
          </cell>
          <cell r="U957">
            <v>0</v>
          </cell>
        </row>
        <row r="958">
          <cell r="A958" t="str">
            <v>SEP 2015</v>
          </cell>
          <cell r="B958" t="str">
            <v>LGCME671</v>
          </cell>
          <cell r="E958">
            <v>5318100</v>
          </cell>
          <cell r="L958">
            <v>0</v>
          </cell>
          <cell r="M958">
            <v>1406</v>
          </cell>
          <cell r="P958">
            <v>0</v>
          </cell>
          <cell r="R958">
            <v>340948</v>
          </cell>
          <cell r="T958">
            <v>97811</v>
          </cell>
          <cell r="U958">
            <v>44855</v>
          </cell>
        </row>
        <row r="959">
          <cell r="A959" t="str">
            <v>SEP 2015</v>
          </cell>
          <cell r="B959" t="str">
            <v>LGCSR760</v>
          </cell>
          <cell r="E959">
            <v>0</v>
          </cell>
          <cell r="L959">
            <v>0</v>
          </cell>
          <cell r="M959">
            <v>0</v>
          </cell>
          <cell r="P959">
            <v>-286526</v>
          </cell>
          <cell r="R959">
            <v>-286526</v>
          </cell>
          <cell r="T959">
            <v>0</v>
          </cell>
          <cell r="U959">
            <v>0</v>
          </cell>
        </row>
        <row r="960">
          <cell r="A960" t="str">
            <v>SEP 2015</v>
          </cell>
          <cell r="B960" t="str">
            <v>LGCSR780</v>
          </cell>
          <cell r="E960">
            <v>0</v>
          </cell>
          <cell r="L960">
            <v>0</v>
          </cell>
          <cell r="M960">
            <v>0</v>
          </cell>
          <cell r="P960">
            <v>0</v>
          </cell>
          <cell r="R960">
            <v>0</v>
          </cell>
          <cell r="T960">
            <v>0</v>
          </cell>
          <cell r="U960">
            <v>0</v>
          </cell>
        </row>
        <row r="961">
          <cell r="A961" t="str">
            <v>SEP 2015</v>
          </cell>
          <cell r="B961" t="str">
            <v>LGINE000</v>
          </cell>
          <cell r="E961">
            <v>0</v>
          </cell>
          <cell r="L961">
            <v>0</v>
          </cell>
          <cell r="M961">
            <v>0</v>
          </cell>
          <cell r="P961">
            <v>0</v>
          </cell>
          <cell r="R961">
            <v>0</v>
          </cell>
          <cell r="T961">
            <v>0</v>
          </cell>
          <cell r="U961">
            <v>0</v>
          </cell>
        </row>
        <row r="962">
          <cell r="A962" t="str">
            <v>SEP 2015</v>
          </cell>
          <cell r="B962" t="str">
            <v>LGINE599</v>
          </cell>
          <cell r="E962">
            <v>8540000</v>
          </cell>
          <cell r="L962">
            <v>0</v>
          </cell>
          <cell r="M962">
            <v>2258</v>
          </cell>
          <cell r="P962">
            <v>0</v>
          </cell>
          <cell r="R962">
            <v>599041</v>
          </cell>
          <cell r="T962">
            <v>205356</v>
          </cell>
          <cell r="U962">
            <v>72030</v>
          </cell>
        </row>
        <row r="963">
          <cell r="A963" t="str">
            <v>SEP 2015</v>
          </cell>
          <cell r="B963" t="str">
            <v>LGINE643</v>
          </cell>
          <cell r="E963">
            <v>64168870</v>
          </cell>
          <cell r="L963">
            <v>0</v>
          </cell>
          <cell r="M963">
            <v>16966</v>
          </cell>
          <cell r="P963">
            <v>0</v>
          </cell>
          <cell r="R963">
            <v>4230953</v>
          </cell>
          <cell r="T963">
            <v>1347260</v>
          </cell>
          <cell r="U963">
            <v>541231</v>
          </cell>
        </row>
        <row r="964">
          <cell r="A964" t="str">
            <v>SEP 2015</v>
          </cell>
          <cell r="B964" t="str">
            <v>LGINE661</v>
          </cell>
          <cell r="E964">
            <v>19657594</v>
          </cell>
          <cell r="L964">
            <v>42033</v>
          </cell>
          <cell r="M964">
            <v>5197</v>
          </cell>
          <cell r="P964">
            <v>0</v>
          </cell>
          <cell r="R964">
            <v>2196235</v>
          </cell>
          <cell r="T964">
            <v>1165755</v>
          </cell>
          <cell r="U964">
            <v>165802</v>
          </cell>
        </row>
        <row r="965">
          <cell r="A965" t="str">
            <v>SEP 2015</v>
          </cell>
          <cell r="B965" t="str">
            <v>LGINE663</v>
          </cell>
          <cell r="E965">
            <v>1023218</v>
          </cell>
          <cell r="L965">
            <v>2188</v>
          </cell>
          <cell r="M965">
            <v>271</v>
          </cell>
          <cell r="P965">
            <v>0</v>
          </cell>
          <cell r="R965">
            <v>114051</v>
          </cell>
          <cell r="T965">
            <v>59221</v>
          </cell>
          <cell r="U965">
            <v>8630</v>
          </cell>
        </row>
        <row r="966">
          <cell r="A966" t="str">
            <v>SEP 2015</v>
          </cell>
          <cell r="B966" t="str">
            <v>LGINE691</v>
          </cell>
          <cell r="E966">
            <v>20552866</v>
          </cell>
          <cell r="L966">
            <v>43947</v>
          </cell>
          <cell r="M966">
            <v>5434</v>
          </cell>
          <cell r="P966">
            <v>0</v>
          </cell>
          <cell r="R966">
            <v>1817676</v>
          </cell>
          <cell r="T966">
            <v>755883</v>
          </cell>
          <cell r="U966">
            <v>173353</v>
          </cell>
        </row>
        <row r="967">
          <cell r="A967" t="str">
            <v>SEP 2015</v>
          </cell>
          <cell r="B967" t="str">
            <v>LGINE693</v>
          </cell>
          <cell r="E967">
            <v>129026932</v>
          </cell>
          <cell r="L967">
            <v>275894</v>
          </cell>
          <cell r="M967">
            <v>34114</v>
          </cell>
          <cell r="P967">
            <v>0</v>
          </cell>
          <cell r="R967">
            <v>10051036</v>
          </cell>
          <cell r="T967">
            <v>4067080</v>
          </cell>
          <cell r="U967">
            <v>1088275</v>
          </cell>
        </row>
        <row r="968">
          <cell r="A968" t="str">
            <v>SEP 2015</v>
          </cell>
          <cell r="B968" t="str">
            <v>LGMLE570</v>
          </cell>
          <cell r="E968">
            <v>0</v>
          </cell>
          <cell r="L968">
            <v>0</v>
          </cell>
          <cell r="M968">
            <v>0</v>
          </cell>
          <cell r="P968">
            <v>0</v>
          </cell>
          <cell r="R968">
            <v>0</v>
          </cell>
          <cell r="T968">
            <v>0</v>
          </cell>
          <cell r="U968">
            <v>0</v>
          </cell>
        </row>
        <row r="969">
          <cell r="A969" t="str">
            <v>SEP 2015</v>
          </cell>
          <cell r="B969" t="str">
            <v>LGMLE571</v>
          </cell>
          <cell r="E969">
            <v>0</v>
          </cell>
          <cell r="L969">
            <v>0</v>
          </cell>
          <cell r="M969">
            <v>0</v>
          </cell>
          <cell r="P969">
            <v>0</v>
          </cell>
          <cell r="R969">
            <v>0</v>
          </cell>
          <cell r="T969">
            <v>0</v>
          </cell>
          <cell r="U969">
            <v>0</v>
          </cell>
        </row>
        <row r="970">
          <cell r="A970" t="str">
            <v>SEP 2015</v>
          </cell>
          <cell r="B970" t="str">
            <v>LGMLE572</v>
          </cell>
          <cell r="E970">
            <v>0</v>
          </cell>
          <cell r="L970">
            <v>0</v>
          </cell>
          <cell r="M970">
            <v>0</v>
          </cell>
          <cell r="P970">
            <v>0</v>
          </cell>
          <cell r="R970">
            <v>0</v>
          </cell>
          <cell r="T970">
            <v>0</v>
          </cell>
          <cell r="U970">
            <v>0</v>
          </cell>
        </row>
        <row r="971">
          <cell r="A971" t="str">
            <v>SEP 2015</v>
          </cell>
          <cell r="B971" t="str">
            <v>LGMLE573</v>
          </cell>
          <cell r="E971">
            <v>0</v>
          </cell>
          <cell r="L971">
            <v>0</v>
          </cell>
          <cell r="M971">
            <v>0</v>
          </cell>
          <cell r="P971">
            <v>0</v>
          </cell>
          <cell r="R971">
            <v>0</v>
          </cell>
          <cell r="T971">
            <v>0</v>
          </cell>
          <cell r="U971">
            <v>0</v>
          </cell>
        </row>
        <row r="972">
          <cell r="A972" t="str">
            <v>SEP 2015</v>
          </cell>
          <cell r="B972" t="str">
            <v>LGMLE574</v>
          </cell>
          <cell r="E972">
            <v>0</v>
          </cell>
          <cell r="L972">
            <v>0</v>
          </cell>
          <cell r="M972">
            <v>0</v>
          </cell>
          <cell r="P972">
            <v>0</v>
          </cell>
          <cell r="R972">
            <v>0</v>
          </cell>
          <cell r="T972">
            <v>0</v>
          </cell>
          <cell r="U972">
            <v>0</v>
          </cell>
        </row>
        <row r="973">
          <cell r="A973" t="str">
            <v>SEP 2015</v>
          </cell>
          <cell r="B973" t="str">
            <v>LGRSE000</v>
          </cell>
          <cell r="E973">
            <v>0</v>
          </cell>
          <cell r="L973">
            <v>0</v>
          </cell>
          <cell r="M973">
            <v>0</v>
          </cell>
          <cell r="P973">
            <v>0</v>
          </cell>
          <cell r="R973">
            <v>0</v>
          </cell>
          <cell r="T973">
            <v>0</v>
          </cell>
          <cell r="U973">
            <v>0</v>
          </cell>
        </row>
        <row r="974">
          <cell r="A974" t="str">
            <v>SEP 2015</v>
          </cell>
          <cell r="B974" t="str">
            <v>LGRSE411</v>
          </cell>
          <cell r="E974">
            <v>0</v>
          </cell>
          <cell r="L974">
            <v>0</v>
          </cell>
          <cell r="M974">
            <v>0</v>
          </cell>
          <cell r="P974">
            <v>0</v>
          </cell>
          <cell r="R974">
            <v>0</v>
          </cell>
          <cell r="T974">
            <v>0</v>
          </cell>
          <cell r="U974">
            <v>0</v>
          </cell>
        </row>
        <row r="975">
          <cell r="A975" t="str">
            <v>SEP 2015</v>
          </cell>
          <cell r="B975" t="str">
            <v>LGRSE511</v>
          </cell>
          <cell r="E975">
            <v>387432170</v>
          </cell>
          <cell r="L975">
            <v>828433</v>
          </cell>
          <cell r="M975">
            <v>102434</v>
          </cell>
          <cell r="P975">
            <v>0</v>
          </cell>
          <cell r="R975">
            <v>39366332</v>
          </cell>
          <cell r="T975">
            <v>0</v>
          </cell>
          <cell r="U975">
            <v>3267789</v>
          </cell>
        </row>
        <row r="976">
          <cell r="A976" t="str">
            <v>SEP 2015</v>
          </cell>
          <cell r="B976" t="str">
            <v>LGRSE519</v>
          </cell>
          <cell r="E976">
            <v>0</v>
          </cell>
          <cell r="L976">
            <v>0</v>
          </cell>
          <cell r="M976">
            <v>0</v>
          </cell>
          <cell r="P976">
            <v>0</v>
          </cell>
          <cell r="R976">
            <v>0</v>
          </cell>
          <cell r="T976">
            <v>0</v>
          </cell>
          <cell r="U976">
            <v>0</v>
          </cell>
        </row>
        <row r="977">
          <cell r="A977" t="str">
            <v>SEP 2015</v>
          </cell>
          <cell r="B977" t="str">
            <v>LGRSE540</v>
          </cell>
          <cell r="E977">
            <v>0</v>
          </cell>
          <cell r="L977">
            <v>0</v>
          </cell>
          <cell r="M977">
            <v>0</v>
          </cell>
          <cell r="P977">
            <v>0</v>
          </cell>
          <cell r="R977">
            <v>0</v>
          </cell>
          <cell r="T977">
            <v>0</v>
          </cell>
          <cell r="U977">
            <v>0</v>
          </cell>
        </row>
        <row r="978">
          <cell r="A978" t="str">
            <v>SEP 2015</v>
          </cell>
          <cell r="B978" t="str">
            <v>LGRSE543</v>
          </cell>
          <cell r="E978">
            <v>0</v>
          </cell>
          <cell r="L978">
            <v>0</v>
          </cell>
          <cell r="M978">
            <v>0</v>
          </cell>
          <cell r="P978">
            <v>0</v>
          </cell>
          <cell r="R978">
            <v>0</v>
          </cell>
          <cell r="T978">
            <v>0</v>
          </cell>
          <cell r="U978">
            <v>0</v>
          </cell>
        </row>
        <row r="979">
          <cell r="A979" t="str">
            <v>SEP 2015</v>
          </cell>
          <cell r="B979" t="str">
            <v>LGRSE547</v>
          </cell>
          <cell r="E979">
            <v>0</v>
          </cell>
          <cell r="L979">
            <v>0</v>
          </cell>
          <cell r="M979">
            <v>0</v>
          </cell>
          <cell r="P979">
            <v>0</v>
          </cell>
          <cell r="R979">
            <v>0</v>
          </cell>
          <cell r="T979">
            <v>0</v>
          </cell>
          <cell r="U979">
            <v>0</v>
          </cell>
        </row>
        <row r="980">
          <cell r="A980" t="str">
            <v>SEP 2015</v>
          </cell>
          <cell r="B980" t="str">
            <v>LGUM_000</v>
          </cell>
          <cell r="T980">
            <v>0</v>
          </cell>
          <cell r="U980">
            <v>0</v>
          </cell>
        </row>
        <row r="981">
          <cell r="A981" t="str">
            <v>SEP 2015</v>
          </cell>
          <cell r="B981" t="str">
            <v>LGUM_201</v>
          </cell>
          <cell r="T981">
            <v>0</v>
          </cell>
          <cell r="U981">
            <v>0</v>
          </cell>
        </row>
        <row r="982">
          <cell r="A982" t="str">
            <v>SEP 2015</v>
          </cell>
          <cell r="B982" t="str">
            <v>LGUM_203</v>
          </cell>
          <cell r="T982">
            <v>0</v>
          </cell>
          <cell r="U982">
            <v>0</v>
          </cell>
        </row>
        <row r="983">
          <cell r="A983" t="str">
            <v>SEP 2015</v>
          </cell>
          <cell r="B983" t="str">
            <v>LGUM_204</v>
          </cell>
          <cell r="T983">
            <v>0</v>
          </cell>
          <cell r="U983">
            <v>0</v>
          </cell>
        </row>
        <row r="984">
          <cell r="A984" t="str">
            <v>SEP 2015</v>
          </cell>
          <cell r="B984" t="str">
            <v>LGUM_204CU</v>
          </cell>
          <cell r="T984">
            <v>0</v>
          </cell>
          <cell r="U984">
            <v>0</v>
          </cell>
        </row>
        <row r="985">
          <cell r="A985" t="str">
            <v>SEP 2015</v>
          </cell>
          <cell r="B985" t="str">
            <v>LGUM_206</v>
          </cell>
          <cell r="T985">
            <v>0</v>
          </cell>
          <cell r="U985">
            <v>0</v>
          </cell>
        </row>
        <row r="986">
          <cell r="A986" t="str">
            <v>SEP 2015</v>
          </cell>
          <cell r="B986" t="str">
            <v>LGUM_207</v>
          </cell>
          <cell r="T986">
            <v>0</v>
          </cell>
          <cell r="U986">
            <v>0</v>
          </cell>
        </row>
        <row r="987">
          <cell r="A987" t="str">
            <v>SEP 2015</v>
          </cell>
          <cell r="B987" t="str">
            <v>LGUM_208</v>
          </cell>
          <cell r="T987">
            <v>0</v>
          </cell>
          <cell r="U987">
            <v>0</v>
          </cell>
        </row>
        <row r="988">
          <cell r="A988" t="str">
            <v>SEP 2015</v>
          </cell>
          <cell r="B988" t="str">
            <v>LGUM_209</v>
          </cell>
          <cell r="T988">
            <v>0</v>
          </cell>
          <cell r="U988">
            <v>0</v>
          </cell>
        </row>
        <row r="989">
          <cell r="A989" t="str">
            <v>SEP 2015</v>
          </cell>
          <cell r="B989" t="str">
            <v>LGUM_209CU</v>
          </cell>
          <cell r="T989">
            <v>0</v>
          </cell>
          <cell r="U989">
            <v>0</v>
          </cell>
        </row>
        <row r="990">
          <cell r="A990" t="str">
            <v>SEP 2015</v>
          </cell>
          <cell r="B990" t="str">
            <v>LGUM_210</v>
          </cell>
          <cell r="T990">
            <v>0</v>
          </cell>
          <cell r="U990">
            <v>0</v>
          </cell>
        </row>
        <row r="991">
          <cell r="A991" t="str">
            <v>SEP 2015</v>
          </cell>
          <cell r="B991" t="str">
            <v>LGUM_252</v>
          </cell>
          <cell r="T991">
            <v>0</v>
          </cell>
          <cell r="U991">
            <v>0</v>
          </cell>
        </row>
        <row r="992">
          <cell r="A992" t="str">
            <v>SEP 2015</v>
          </cell>
          <cell r="B992" t="str">
            <v>LGUM_266</v>
          </cell>
          <cell r="T992">
            <v>0</v>
          </cell>
          <cell r="U992">
            <v>0</v>
          </cell>
        </row>
        <row r="993">
          <cell r="A993" t="str">
            <v>SEP 2015</v>
          </cell>
          <cell r="B993" t="str">
            <v>LGUM_267</v>
          </cell>
          <cell r="T993">
            <v>0</v>
          </cell>
          <cell r="U993">
            <v>0</v>
          </cell>
        </row>
        <row r="994">
          <cell r="A994" t="str">
            <v>SEP 2015</v>
          </cell>
          <cell r="B994" t="str">
            <v>LGUM_274</v>
          </cell>
          <cell r="T994">
            <v>0</v>
          </cell>
          <cell r="U994">
            <v>0</v>
          </cell>
        </row>
        <row r="995">
          <cell r="A995" t="str">
            <v>SEP 2015</v>
          </cell>
          <cell r="B995" t="str">
            <v>LGUM_275</v>
          </cell>
          <cell r="T995">
            <v>0</v>
          </cell>
          <cell r="U995">
            <v>0</v>
          </cell>
        </row>
        <row r="996">
          <cell r="A996" t="str">
            <v>SEP 2015</v>
          </cell>
          <cell r="B996" t="str">
            <v>LGUM_276</v>
          </cell>
          <cell r="T996">
            <v>0</v>
          </cell>
          <cell r="U996">
            <v>0</v>
          </cell>
        </row>
        <row r="997">
          <cell r="A997" t="str">
            <v>SEP 2015</v>
          </cell>
          <cell r="B997" t="str">
            <v>LGUM_277</v>
          </cell>
          <cell r="T997">
            <v>0</v>
          </cell>
          <cell r="U997">
            <v>0</v>
          </cell>
        </row>
        <row r="998">
          <cell r="A998" t="str">
            <v>SEP 2015</v>
          </cell>
          <cell r="B998" t="str">
            <v>LGUM_278</v>
          </cell>
          <cell r="T998">
            <v>0</v>
          </cell>
          <cell r="U998">
            <v>0</v>
          </cell>
        </row>
        <row r="999">
          <cell r="A999" t="str">
            <v>SEP 2015</v>
          </cell>
          <cell r="B999" t="str">
            <v>LGUM_279</v>
          </cell>
          <cell r="T999">
            <v>0</v>
          </cell>
          <cell r="U999">
            <v>0</v>
          </cell>
        </row>
        <row r="1000">
          <cell r="A1000" t="str">
            <v>SEP 2015</v>
          </cell>
          <cell r="B1000" t="str">
            <v>LGUM_280</v>
          </cell>
          <cell r="T1000">
            <v>0</v>
          </cell>
          <cell r="U1000">
            <v>0</v>
          </cell>
        </row>
        <row r="1001">
          <cell r="A1001" t="str">
            <v>SEP 2015</v>
          </cell>
          <cell r="B1001" t="str">
            <v>LGUM_281</v>
          </cell>
          <cell r="T1001">
            <v>0</v>
          </cell>
          <cell r="U1001">
            <v>0</v>
          </cell>
        </row>
        <row r="1002">
          <cell r="A1002" t="str">
            <v>SEP 2015</v>
          </cell>
          <cell r="B1002" t="str">
            <v>LGUM_282</v>
          </cell>
          <cell r="T1002">
            <v>0</v>
          </cell>
          <cell r="U1002">
            <v>0</v>
          </cell>
        </row>
        <row r="1003">
          <cell r="A1003" t="str">
            <v>SEP 2015</v>
          </cell>
          <cell r="B1003" t="str">
            <v>LGUM_283</v>
          </cell>
          <cell r="T1003">
            <v>0</v>
          </cell>
          <cell r="U1003">
            <v>0</v>
          </cell>
        </row>
        <row r="1004">
          <cell r="A1004" t="str">
            <v>SEP 2015</v>
          </cell>
          <cell r="B1004" t="str">
            <v>LGUM_314</v>
          </cell>
          <cell r="T1004">
            <v>0</v>
          </cell>
          <cell r="U1004">
            <v>0</v>
          </cell>
        </row>
        <row r="1005">
          <cell r="A1005" t="str">
            <v>SEP 2015</v>
          </cell>
          <cell r="B1005" t="str">
            <v>LGUM_315</v>
          </cell>
          <cell r="T1005">
            <v>0</v>
          </cell>
          <cell r="U1005">
            <v>0</v>
          </cell>
        </row>
        <row r="1006">
          <cell r="A1006" t="str">
            <v>SEP 2015</v>
          </cell>
          <cell r="B1006" t="str">
            <v>LGUM_318</v>
          </cell>
          <cell r="T1006">
            <v>0</v>
          </cell>
          <cell r="U1006">
            <v>0</v>
          </cell>
        </row>
        <row r="1007">
          <cell r="A1007" t="str">
            <v>SEP 2015</v>
          </cell>
          <cell r="B1007" t="str">
            <v>LGUM_348</v>
          </cell>
          <cell r="T1007">
            <v>0</v>
          </cell>
          <cell r="U1007">
            <v>0</v>
          </cell>
        </row>
        <row r="1008">
          <cell r="A1008" t="str">
            <v>SEP 2015</v>
          </cell>
          <cell r="B1008" t="str">
            <v>LGUM_349</v>
          </cell>
          <cell r="T1008">
            <v>0</v>
          </cell>
          <cell r="U1008">
            <v>0</v>
          </cell>
        </row>
        <row r="1009">
          <cell r="A1009" t="str">
            <v>SEP 2015</v>
          </cell>
          <cell r="B1009" t="str">
            <v>LGUM_400</v>
          </cell>
          <cell r="T1009">
            <v>0</v>
          </cell>
          <cell r="U1009">
            <v>0</v>
          </cell>
        </row>
        <row r="1010">
          <cell r="A1010" t="str">
            <v>SEP 2015</v>
          </cell>
          <cell r="B1010" t="str">
            <v>LGUM_401</v>
          </cell>
          <cell r="T1010">
            <v>0</v>
          </cell>
          <cell r="U1010">
            <v>0</v>
          </cell>
        </row>
        <row r="1011">
          <cell r="A1011" t="str">
            <v>SEP 2015</v>
          </cell>
          <cell r="B1011" t="str">
            <v>LGUM_412</v>
          </cell>
          <cell r="T1011">
            <v>0</v>
          </cell>
          <cell r="U1011">
            <v>0</v>
          </cell>
        </row>
        <row r="1012">
          <cell r="A1012" t="str">
            <v>SEP 2015</v>
          </cell>
          <cell r="B1012" t="str">
            <v>LGUM_413</v>
          </cell>
          <cell r="T1012">
            <v>0</v>
          </cell>
          <cell r="U1012">
            <v>0</v>
          </cell>
        </row>
        <row r="1013">
          <cell r="A1013" t="str">
            <v>SEP 2015</v>
          </cell>
          <cell r="B1013" t="str">
            <v>LGUM_415</v>
          </cell>
          <cell r="T1013">
            <v>0</v>
          </cell>
          <cell r="U1013">
            <v>0</v>
          </cell>
        </row>
        <row r="1014">
          <cell r="A1014" t="str">
            <v>SEP 2015</v>
          </cell>
          <cell r="B1014" t="str">
            <v>LGUM_416</v>
          </cell>
          <cell r="T1014">
            <v>0</v>
          </cell>
          <cell r="U1014">
            <v>0</v>
          </cell>
        </row>
        <row r="1015">
          <cell r="A1015" t="str">
            <v>SEP 2015</v>
          </cell>
          <cell r="B1015" t="str">
            <v>LGUM_417</v>
          </cell>
          <cell r="T1015">
            <v>0</v>
          </cell>
          <cell r="U1015">
            <v>0</v>
          </cell>
        </row>
        <row r="1016">
          <cell r="A1016" t="str">
            <v>SEP 2015</v>
          </cell>
          <cell r="B1016" t="str">
            <v>LGUM_419</v>
          </cell>
          <cell r="T1016">
            <v>0</v>
          </cell>
          <cell r="U1016">
            <v>0</v>
          </cell>
        </row>
        <row r="1017">
          <cell r="A1017" t="str">
            <v>SEP 2015</v>
          </cell>
          <cell r="B1017" t="str">
            <v>LGUM_420</v>
          </cell>
          <cell r="T1017">
            <v>0</v>
          </cell>
          <cell r="U1017">
            <v>0</v>
          </cell>
        </row>
        <row r="1018">
          <cell r="A1018" t="str">
            <v>SEP 2015</v>
          </cell>
          <cell r="B1018" t="str">
            <v>LGUM_421</v>
          </cell>
          <cell r="T1018">
            <v>0</v>
          </cell>
          <cell r="U1018">
            <v>0</v>
          </cell>
        </row>
        <row r="1019">
          <cell r="A1019" t="str">
            <v>SEP 2015</v>
          </cell>
          <cell r="B1019" t="str">
            <v>LGUM_422</v>
          </cell>
          <cell r="T1019">
            <v>0</v>
          </cell>
          <cell r="U1019">
            <v>0</v>
          </cell>
        </row>
        <row r="1020">
          <cell r="A1020" t="str">
            <v>SEP 2015</v>
          </cell>
          <cell r="B1020" t="str">
            <v>LGUM_423</v>
          </cell>
          <cell r="T1020">
            <v>0</v>
          </cell>
          <cell r="U1020">
            <v>0</v>
          </cell>
        </row>
        <row r="1021">
          <cell r="A1021" t="str">
            <v>SEP 2015</v>
          </cell>
          <cell r="B1021" t="str">
            <v>LGUM_424</v>
          </cell>
          <cell r="T1021">
            <v>0</v>
          </cell>
          <cell r="U1021">
            <v>0</v>
          </cell>
        </row>
        <row r="1022">
          <cell r="A1022" t="str">
            <v>SEP 2015</v>
          </cell>
          <cell r="B1022" t="str">
            <v>LGUM_425</v>
          </cell>
          <cell r="T1022">
            <v>0</v>
          </cell>
          <cell r="U1022">
            <v>0</v>
          </cell>
        </row>
        <row r="1023">
          <cell r="A1023" t="str">
            <v>SEP 2015</v>
          </cell>
          <cell r="B1023" t="str">
            <v>LGUM_426</v>
          </cell>
          <cell r="T1023">
            <v>0</v>
          </cell>
          <cell r="U1023">
            <v>0</v>
          </cell>
        </row>
        <row r="1024">
          <cell r="A1024" t="str">
            <v>SEP 2015</v>
          </cell>
          <cell r="B1024" t="str">
            <v>LGUM_427</v>
          </cell>
          <cell r="T1024">
            <v>0</v>
          </cell>
          <cell r="U1024">
            <v>0</v>
          </cell>
        </row>
        <row r="1025">
          <cell r="A1025" t="str">
            <v>SEP 2015</v>
          </cell>
          <cell r="B1025" t="str">
            <v>LGUM_428</v>
          </cell>
          <cell r="T1025">
            <v>0</v>
          </cell>
          <cell r="U1025">
            <v>0</v>
          </cell>
        </row>
        <row r="1026">
          <cell r="A1026" t="str">
            <v>SEP 2015</v>
          </cell>
          <cell r="B1026" t="str">
            <v>LGUM_429</v>
          </cell>
          <cell r="T1026">
            <v>0</v>
          </cell>
          <cell r="U1026">
            <v>0</v>
          </cell>
        </row>
        <row r="1027">
          <cell r="A1027" t="str">
            <v>SEP 2015</v>
          </cell>
          <cell r="B1027" t="str">
            <v>LGUM_430</v>
          </cell>
          <cell r="T1027">
            <v>0</v>
          </cell>
          <cell r="U1027">
            <v>0</v>
          </cell>
        </row>
        <row r="1028">
          <cell r="A1028" t="str">
            <v>SEP 2015</v>
          </cell>
          <cell r="B1028" t="str">
            <v>LGUM_431</v>
          </cell>
          <cell r="T1028">
            <v>0</v>
          </cell>
          <cell r="U1028">
            <v>0</v>
          </cell>
        </row>
        <row r="1029">
          <cell r="A1029" t="str">
            <v>SEP 2015</v>
          </cell>
          <cell r="B1029" t="str">
            <v>LGUM_432</v>
          </cell>
          <cell r="T1029">
            <v>0</v>
          </cell>
          <cell r="U1029">
            <v>0</v>
          </cell>
        </row>
        <row r="1030">
          <cell r="A1030" t="str">
            <v>SEP 2015</v>
          </cell>
          <cell r="B1030" t="str">
            <v>LGUM_433</v>
          </cell>
          <cell r="T1030">
            <v>0</v>
          </cell>
          <cell r="U1030">
            <v>0</v>
          </cell>
        </row>
        <row r="1031">
          <cell r="A1031" t="str">
            <v>SEP 2015</v>
          </cell>
          <cell r="B1031" t="str">
            <v>LGUM_440</v>
          </cell>
          <cell r="T1031">
            <v>0</v>
          </cell>
          <cell r="U1031">
            <v>0</v>
          </cell>
        </row>
        <row r="1032">
          <cell r="A1032" t="str">
            <v>SEP 2015</v>
          </cell>
          <cell r="B1032" t="str">
            <v>LGUM_441</v>
          </cell>
          <cell r="T1032">
            <v>0</v>
          </cell>
          <cell r="U1032">
            <v>0</v>
          </cell>
        </row>
        <row r="1033">
          <cell r="A1033" t="str">
            <v>SEP 2015</v>
          </cell>
          <cell r="B1033" t="str">
            <v>LGUM_452</v>
          </cell>
          <cell r="T1033">
            <v>0</v>
          </cell>
          <cell r="U1033">
            <v>0</v>
          </cell>
        </row>
        <row r="1034">
          <cell r="A1034" t="str">
            <v>SEP 2015</v>
          </cell>
          <cell r="B1034" t="str">
            <v>LGUM_452CU</v>
          </cell>
          <cell r="T1034">
            <v>0</v>
          </cell>
          <cell r="U1034">
            <v>0</v>
          </cell>
        </row>
        <row r="1035">
          <cell r="A1035" t="str">
            <v>SEP 2015</v>
          </cell>
          <cell r="B1035" t="str">
            <v>LGUM_453</v>
          </cell>
          <cell r="T1035">
            <v>0</v>
          </cell>
          <cell r="U1035">
            <v>0</v>
          </cell>
        </row>
        <row r="1036">
          <cell r="A1036" t="str">
            <v>SEP 2015</v>
          </cell>
          <cell r="B1036" t="str">
            <v>LGUM_453CU</v>
          </cell>
          <cell r="T1036">
            <v>0</v>
          </cell>
          <cell r="U1036">
            <v>0</v>
          </cell>
        </row>
        <row r="1037">
          <cell r="A1037" t="str">
            <v>SEP 2015</v>
          </cell>
          <cell r="B1037" t="str">
            <v>LGUM_454</v>
          </cell>
          <cell r="T1037">
            <v>0</v>
          </cell>
          <cell r="U1037">
            <v>0</v>
          </cell>
        </row>
        <row r="1038">
          <cell r="A1038" t="str">
            <v>SEP 2015</v>
          </cell>
          <cell r="B1038" t="str">
            <v>LGUM_454CU</v>
          </cell>
          <cell r="T1038">
            <v>0</v>
          </cell>
          <cell r="U1038">
            <v>0</v>
          </cell>
        </row>
        <row r="1039">
          <cell r="A1039" t="str">
            <v>SEP 2015</v>
          </cell>
          <cell r="B1039" t="str">
            <v>LGUM_455</v>
          </cell>
          <cell r="T1039">
            <v>0</v>
          </cell>
          <cell r="U1039">
            <v>0</v>
          </cell>
        </row>
        <row r="1040">
          <cell r="A1040" t="str">
            <v>SEP 2015</v>
          </cell>
          <cell r="B1040" t="str">
            <v>LGUM_456</v>
          </cell>
          <cell r="T1040">
            <v>0</v>
          </cell>
          <cell r="U1040">
            <v>0</v>
          </cell>
        </row>
        <row r="1041">
          <cell r="A1041" t="str">
            <v>SEP 2015</v>
          </cell>
          <cell r="B1041" t="str">
            <v>LGUM_456CU</v>
          </cell>
          <cell r="T1041">
            <v>0</v>
          </cell>
          <cell r="U1041">
            <v>0</v>
          </cell>
        </row>
        <row r="1042">
          <cell r="A1042" t="str">
            <v>SEP 2015</v>
          </cell>
          <cell r="B1042" t="str">
            <v>LGUM_457</v>
          </cell>
          <cell r="T1042">
            <v>0</v>
          </cell>
          <cell r="U1042">
            <v>0</v>
          </cell>
        </row>
        <row r="1043">
          <cell r="A1043" t="str">
            <v>SEP 2015</v>
          </cell>
          <cell r="B1043" t="str">
            <v>LGUM_458</v>
          </cell>
          <cell r="T1043">
            <v>0</v>
          </cell>
          <cell r="U1043">
            <v>0</v>
          </cell>
        </row>
        <row r="1044">
          <cell r="A1044" t="str">
            <v>SEP 2015</v>
          </cell>
          <cell r="B1044" t="str">
            <v>LGUM_470</v>
          </cell>
          <cell r="T1044">
            <v>0</v>
          </cell>
          <cell r="U1044">
            <v>0</v>
          </cell>
        </row>
        <row r="1045">
          <cell r="A1045" t="str">
            <v>SEP 2015</v>
          </cell>
          <cell r="B1045" t="str">
            <v>LGUM_471</v>
          </cell>
          <cell r="T1045">
            <v>0</v>
          </cell>
          <cell r="U1045">
            <v>0</v>
          </cell>
        </row>
        <row r="1046">
          <cell r="A1046" t="str">
            <v>SEP 2015</v>
          </cell>
          <cell r="B1046" t="str">
            <v>LGUM_473</v>
          </cell>
          <cell r="T1046">
            <v>0</v>
          </cell>
          <cell r="U1046">
            <v>0</v>
          </cell>
        </row>
        <row r="1047">
          <cell r="A1047" t="str">
            <v>SEP 2015</v>
          </cell>
          <cell r="B1047" t="str">
            <v>LGUM_474</v>
          </cell>
          <cell r="T1047">
            <v>0</v>
          </cell>
          <cell r="U1047">
            <v>0</v>
          </cell>
        </row>
        <row r="1048">
          <cell r="A1048" t="str">
            <v>SEP 2015</v>
          </cell>
          <cell r="B1048" t="str">
            <v>LGUM_475</v>
          </cell>
          <cell r="T1048">
            <v>0</v>
          </cell>
          <cell r="U1048">
            <v>0</v>
          </cell>
        </row>
        <row r="1049">
          <cell r="A1049" t="str">
            <v>SEP 2015</v>
          </cell>
          <cell r="B1049" t="str">
            <v>LGUM_476</v>
          </cell>
          <cell r="T1049">
            <v>0</v>
          </cell>
          <cell r="U1049">
            <v>0</v>
          </cell>
        </row>
        <row r="1050">
          <cell r="A1050" t="str">
            <v>SEP 2015</v>
          </cell>
          <cell r="B1050" t="str">
            <v>LGUM_477</v>
          </cell>
          <cell r="T1050">
            <v>0</v>
          </cell>
          <cell r="U1050">
            <v>0</v>
          </cell>
        </row>
        <row r="1051">
          <cell r="A1051" t="str">
            <v>SEP 2015</v>
          </cell>
          <cell r="B1051" t="str">
            <v>LGUM_480</v>
          </cell>
          <cell r="T1051">
            <v>0</v>
          </cell>
          <cell r="U1051">
            <v>0</v>
          </cell>
        </row>
        <row r="1052">
          <cell r="A1052" t="str">
            <v>SEP 2015</v>
          </cell>
          <cell r="B1052" t="str">
            <v>LGUM_481</v>
          </cell>
          <cell r="T1052">
            <v>0</v>
          </cell>
          <cell r="U1052">
            <v>0</v>
          </cell>
        </row>
        <row r="1053">
          <cell r="A1053" t="str">
            <v>SEP 2015</v>
          </cell>
          <cell r="B1053" t="str">
            <v>LGUM_482</v>
          </cell>
          <cell r="T1053">
            <v>0</v>
          </cell>
          <cell r="U1053">
            <v>0</v>
          </cell>
        </row>
        <row r="1054">
          <cell r="A1054" t="str">
            <v>SEP 2015</v>
          </cell>
          <cell r="B1054" t="str">
            <v>LGUM_483</v>
          </cell>
          <cell r="T1054">
            <v>0</v>
          </cell>
          <cell r="U1054">
            <v>0</v>
          </cell>
        </row>
        <row r="1055">
          <cell r="A1055" t="str">
            <v>SEP 2015</v>
          </cell>
          <cell r="B1055" t="str">
            <v>LGUM_484</v>
          </cell>
          <cell r="T1055">
            <v>0</v>
          </cell>
          <cell r="U1055">
            <v>0</v>
          </cell>
        </row>
        <row r="1056">
          <cell r="A1056" t="str">
            <v>SEP 2015</v>
          </cell>
          <cell r="B1056" t="str">
            <v>Result</v>
          </cell>
          <cell r="T1056">
            <v>0</v>
          </cell>
          <cell r="U1056">
            <v>0</v>
          </cell>
        </row>
        <row r="1057">
          <cell r="A1057" t="str">
            <v>OCT 2015</v>
          </cell>
          <cell r="B1057" t="str">
            <v>LEUM_826</v>
          </cell>
          <cell r="T1057">
            <v>0</v>
          </cell>
          <cell r="U1057">
            <v>0</v>
          </cell>
        </row>
        <row r="1058">
          <cell r="A1058" t="str">
            <v>OCT 2015</v>
          </cell>
          <cell r="B1058" t="str">
            <v>LEUM_826</v>
          </cell>
          <cell r="T1058">
            <v>0</v>
          </cell>
          <cell r="U1058">
            <v>0</v>
          </cell>
        </row>
        <row r="1059">
          <cell r="A1059" t="str">
            <v>OCT 2015</v>
          </cell>
          <cell r="B1059" t="str">
            <v>ODL</v>
          </cell>
          <cell r="E1059">
            <v>8830823</v>
          </cell>
          <cell r="L1059">
            <v>0</v>
          </cell>
          <cell r="M1059">
            <v>-1915</v>
          </cell>
          <cell r="P1059">
            <v>0</v>
          </cell>
          <cell r="R1059">
            <v>1615581</v>
          </cell>
          <cell r="T1059">
            <v>0</v>
          </cell>
          <cell r="U1059">
            <v>84314</v>
          </cell>
        </row>
        <row r="1060">
          <cell r="A1060" t="str">
            <v>OCT 2015</v>
          </cell>
          <cell r="B1060" t="str">
            <v>LEUM_829</v>
          </cell>
          <cell r="E1060">
            <v>0</v>
          </cell>
          <cell r="L1060">
            <v>0</v>
          </cell>
          <cell r="M1060">
            <v>0</v>
          </cell>
          <cell r="P1060">
            <v>0</v>
          </cell>
          <cell r="R1060">
            <v>0</v>
          </cell>
          <cell r="T1060">
            <v>0</v>
          </cell>
          <cell r="U1060">
            <v>0</v>
          </cell>
        </row>
        <row r="1061">
          <cell r="A1061" t="str">
            <v>OCT 2015</v>
          </cell>
          <cell r="B1061" t="str">
            <v>LGCME000</v>
          </cell>
          <cell r="E1061">
            <v>0</v>
          </cell>
          <cell r="L1061">
            <v>0</v>
          </cell>
          <cell r="M1061">
            <v>0</v>
          </cell>
          <cell r="P1061">
            <v>0</v>
          </cell>
          <cell r="R1061">
            <v>0</v>
          </cell>
          <cell r="T1061">
            <v>0</v>
          </cell>
          <cell r="U1061">
            <v>0</v>
          </cell>
        </row>
        <row r="1062">
          <cell r="A1062" t="str">
            <v>OCT 2015</v>
          </cell>
          <cell r="B1062" t="str">
            <v>LGCME451</v>
          </cell>
          <cell r="E1062">
            <v>0</v>
          </cell>
          <cell r="L1062">
            <v>0</v>
          </cell>
          <cell r="M1062">
            <v>0</v>
          </cell>
          <cell r="P1062">
            <v>0</v>
          </cell>
          <cell r="R1062">
            <v>0</v>
          </cell>
          <cell r="T1062">
            <v>0</v>
          </cell>
          <cell r="U1062">
            <v>0</v>
          </cell>
        </row>
        <row r="1063">
          <cell r="A1063" t="str">
            <v>OCT 2015</v>
          </cell>
          <cell r="B1063" t="str">
            <v>LGCME551</v>
          </cell>
          <cell r="E1063">
            <v>29801686</v>
          </cell>
          <cell r="L1063">
            <v>69247</v>
          </cell>
          <cell r="M1063">
            <v>-6464</v>
          </cell>
          <cell r="P1063">
            <v>0</v>
          </cell>
          <cell r="R1063">
            <v>3633168</v>
          </cell>
          <cell r="T1063">
            <v>0</v>
          </cell>
          <cell r="U1063">
            <v>284538</v>
          </cell>
        </row>
        <row r="1064">
          <cell r="A1064" t="str">
            <v>OCT 2015</v>
          </cell>
          <cell r="B1064" t="str">
            <v>LGCME551UM</v>
          </cell>
          <cell r="E1064">
            <v>0</v>
          </cell>
          <cell r="L1064">
            <v>0</v>
          </cell>
          <cell r="M1064">
            <v>0</v>
          </cell>
          <cell r="P1064">
            <v>0</v>
          </cell>
          <cell r="R1064">
            <v>0</v>
          </cell>
          <cell r="T1064">
            <v>0</v>
          </cell>
          <cell r="U1064">
            <v>0</v>
          </cell>
        </row>
        <row r="1065">
          <cell r="A1065" t="str">
            <v>OCT 2015</v>
          </cell>
          <cell r="B1065" t="str">
            <v>LGCME552</v>
          </cell>
          <cell r="E1065">
            <v>0</v>
          </cell>
          <cell r="L1065">
            <v>0</v>
          </cell>
          <cell r="M1065">
            <v>0</v>
          </cell>
          <cell r="P1065">
            <v>0</v>
          </cell>
          <cell r="R1065">
            <v>0</v>
          </cell>
          <cell r="T1065">
            <v>0</v>
          </cell>
          <cell r="U1065">
            <v>0</v>
          </cell>
        </row>
        <row r="1066">
          <cell r="A1066" t="str">
            <v>OCT 2015</v>
          </cell>
          <cell r="B1066" t="str">
            <v>LGCME557</v>
          </cell>
          <cell r="E1066">
            <v>0</v>
          </cell>
          <cell r="L1066">
            <v>0</v>
          </cell>
          <cell r="M1066">
            <v>0</v>
          </cell>
          <cell r="P1066">
            <v>0</v>
          </cell>
          <cell r="R1066">
            <v>0</v>
          </cell>
          <cell r="T1066">
            <v>0</v>
          </cell>
          <cell r="U1066">
            <v>0</v>
          </cell>
        </row>
        <row r="1067">
          <cell r="A1067" t="str">
            <v>OCT 2015</v>
          </cell>
          <cell r="B1067" t="str">
            <v>LGCME561</v>
          </cell>
          <cell r="E1067">
            <v>137270484</v>
          </cell>
          <cell r="L1067">
            <v>318963</v>
          </cell>
          <cell r="M1067">
            <v>-29774</v>
          </cell>
          <cell r="P1067">
            <v>0</v>
          </cell>
          <cell r="R1067">
            <v>12311794</v>
          </cell>
          <cell r="T1067">
            <v>4906692</v>
          </cell>
          <cell r="U1067">
            <v>1310621</v>
          </cell>
        </row>
        <row r="1068">
          <cell r="A1068" t="str">
            <v>OCT 2015</v>
          </cell>
          <cell r="B1068" t="str">
            <v>LGCME563</v>
          </cell>
          <cell r="E1068">
            <v>12153894</v>
          </cell>
          <cell r="L1068">
            <v>28241</v>
          </cell>
          <cell r="M1068">
            <v>-2636</v>
          </cell>
          <cell r="P1068">
            <v>0</v>
          </cell>
          <cell r="R1068">
            <v>981003</v>
          </cell>
          <cell r="T1068">
            <v>353354</v>
          </cell>
          <cell r="U1068">
            <v>116042</v>
          </cell>
        </row>
        <row r="1069">
          <cell r="A1069" t="str">
            <v>OCT 2015</v>
          </cell>
          <cell r="B1069" t="str">
            <v>LGCME567</v>
          </cell>
          <cell r="E1069">
            <v>0</v>
          </cell>
          <cell r="L1069">
            <v>0</v>
          </cell>
          <cell r="M1069">
            <v>0</v>
          </cell>
          <cell r="P1069">
            <v>0</v>
          </cell>
          <cell r="R1069">
            <v>0</v>
          </cell>
          <cell r="T1069">
            <v>0</v>
          </cell>
          <cell r="U1069">
            <v>0</v>
          </cell>
        </row>
        <row r="1070">
          <cell r="A1070" t="str">
            <v>OCT 2015</v>
          </cell>
          <cell r="B1070" t="str">
            <v>LGCME591</v>
          </cell>
          <cell r="E1070">
            <v>63676678</v>
          </cell>
          <cell r="L1070">
            <v>147960</v>
          </cell>
          <cell r="M1070">
            <v>-13811</v>
          </cell>
          <cell r="P1070">
            <v>0</v>
          </cell>
          <cell r="R1070">
            <v>5368157</v>
          </cell>
          <cell r="T1070">
            <v>2041542</v>
          </cell>
          <cell r="U1070">
            <v>607968</v>
          </cell>
        </row>
        <row r="1071">
          <cell r="A1071" t="str">
            <v>OCT 2015</v>
          </cell>
          <cell r="B1071" t="str">
            <v>LGCME593</v>
          </cell>
          <cell r="E1071">
            <v>30304753</v>
          </cell>
          <cell r="L1071">
            <v>70416</v>
          </cell>
          <cell r="M1071">
            <v>-6573</v>
          </cell>
          <cell r="P1071">
            <v>0</v>
          </cell>
          <cell r="R1071">
            <v>2523756</v>
          </cell>
          <cell r="T1071">
            <v>1004260</v>
          </cell>
          <cell r="U1071">
            <v>289342</v>
          </cell>
        </row>
        <row r="1072">
          <cell r="A1072" t="str">
            <v>OCT 2015</v>
          </cell>
          <cell r="B1072" t="str">
            <v>LGCME651</v>
          </cell>
          <cell r="E1072">
            <v>75985713</v>
          </cell>
          <cell r="L1072">
            <v>176561</v>
          </cell>
          <cell r="M1072">
            <v>-16481</v>
          </cell>
          <cell r="P1072">
            <v>0</v>
          </cell>
          <cell r="R1072">
            <v>8398951</v>
          </cell>
          <cell r="T1072">
            <v>0</v>
          </cell>
          <cell r="U1072">
            <v>725491</v>
          </cell>
        </row>
        <row r="1073">
          <cell r="A1073" t="str">
            <v>OCT 2015</v>
          </cell>
          <cell r="B1073" t="str">
            <v>LGCME652</v>
          </cell>
          <cell r="E1073">
            <v>0</v>
          </cell>
          <cell r="L1073">
            <v>0</v>
          </cell>
          <cell r="M1073">
            <v>0</v>
          </cell>
          <cell r="P1073">
            <v>0</v>
          </cell>
          <cell r="R1073">
            <v>0</v>
          </cell>
          <cell r="T1073">
            <v>0</v>
          </cell>
          <cell r="U1073">
            <v>0</v>
          </cell>
        </row>
        <row r="1074">
          <cell r="A1074" t="str">
            <v>OCT 2015</v>
          </cell>
          <cell r="B1074" t="str">
            <v>LGCME657</v>
          </cell>
          <cell r="E1074">
            <v>0</v>
          </cell>
          <cell r="L1074">
            <v>0</v>
          </cell>
          <cell r="M1074">
            <v>0</v>
          </cell>
          <cell r="P1074">
            <v>0</v>
          </cell>
          <cell r="R1074">
            <v>0</v>
          </cell>
          <cell r="T1074">
            <v>0</v>
          </cell>
          <cell r="U1074">
            <v>0</v>
          </cell>
        </row>
        <row r="1075">
          <cell r="A1075" t="str">
            <v>OCT 2015</v>
          </cell>
          <cell r="B1075" t="str">
            <v>LGCME671</v>
          </cell>
          <cell r="E1075">
            <v>4450800</v>
          </cell>
          <cell r="L1075">
            <v>0</v>
          </cell>
          <cell r="M1075">
            <v>-965</v>
          </cell>
          <cell r="P1075">
            <v>0</v>
          </cell>
          <cell r="R1075">
            <v>304109</v>
          </cell>
          <cell r="T1075">
            <v>97811</v>
          </cell>
          <cell r="U1075">
            <v>42495</v>
          </cell>
        </row>
        <row r="1076">
          <cell r="A1076" t="str">
            <v>OCT 2015</v>
          </cell>
          <cell r="B1076" t="str">
            <v>LGCSR760</v>
          </cell>
          <cell r="E1076">
            <v>0</v>
          </cell>
          <cell r="L1076">
            <v>0</v>
          </cell>
          <cell r="M1076">
            <v>0</v>
          </cell>
          <cell r="P1076">
            <v>-286526</v>
          </cell>
          <cell r="R1076">
            <v>-286526</v>
          </cell>
          <cell r="T1076">
            <v>0</v>
          </cell>
          <cell r="U1076">
            <v>0</v>
          </cell>
        </row>
        <row r="1077">
          <cell r="A1077" t="str">
            <v>OCT 2015</v>
          </cell>
          <cell r="B1077" t="str">
            <v>LGCSR780</v>
          </cell>
          <cell r="E1077">
            <v>0</v>
          </cell>
          <cell r="L1077">
            <v>0</v>
          </cell>
          <cell r="M1077">
            <v>0</v>
          </cell>
          <cell r="P1077">
            <v>0</v>
          </cell>
          <cell r="R1077">
            <v>0</v>
          </cell>
          <cell r="T1077">
            <v>0</v>
          </cell>
          <cell r="U1077">
            <v>0</v>
          </cell>
        </row>
        <row r="1078">
          <cell r="A1078" t="str">
            <v>OCT 2015</v>
          </cell>
          <cell r="B1078" t="str">
            <v>LGINE000</v>
          </cell>
          <cell r="E1078">
            <v>0</v>
          </cell>
          <cell r="L1078">
            <v>0</v>
          </cell>
          <cell r="M1078">
            <v>0</v>
          </cell>
          <cell r="P1078">
            <v>0</v>
          </cell>
          <cell r="R1078">
            <v>0</v>
          </cell>
          <cell r="T1078">
            <v>0</v>
          </cell>
          <cell r="U1078">
            <v>0</v>
          </cell>
        </row>
        <row r="1079">
          <cell r="A1079" t="str">
            <v>OCT 2015</v>
          </cell>
          <cell r="B1079" t="str">
            <v>LGINE599</v>
          </cell>
          <cell r="E1079">
            <v>7093200</v>
          </cell>
          <cell r="L1079">
            <v>0</v>
          </cell>
          <cell r="M1079">
            <v>-1539</v>
          </cell>
          <cell r="P1079">
            <v>0</v>
          </cell>
          <cell r="R1079">
            <v>437454</v>
          </cell>
          <cell r="T1079">
            <v>105983</v>
          </cell>
          <cell r="U1079">
            <v>67724</v>
          </cell>
        </row>
        <row r="1080">
          <cell r="A1080" t="str">
            <v>OCT 2015</v>
          </cell>
          <cell r="B1080" t="str">
            <v>LGINE643</v>
          </cell>
          <cell r="E1080">
            <v>68882846</v>
          </cell>
          <cell r="L1080">
            <v>0</v>
          </cell>
          <cell r="M1080">
            <v>-14941</v>
          </cell>
          <cell r="P1080">
            <v>0</v>
          </cell>
          <cell r="R1080">
            <v>4486033</v>
          </cell>
          <cell r="T1080">
            <v>1347628</v>
          </cell>
          <cell r="U1080">
            <v>657675</v>
          </cell>
        </row>
        <row r="1081">
          <cell r="A1081" t="str">
            <v>OCT 2015</v>
          </cell>
          <cell r="B1081" t="str">
            <v>LGINE661</v>
          </cell>
          <cell r="E1081">
            <v>19399423</v>
          </cell>
          <cell r="L1081">
            <v>45077</v>
          </cell>
          <cell r="M1081">
            <v>-4208</v>
          </cell>
          <cell r="P1081">
            <v>0</v>
          </cell>
          <cell r="R1081">
            <v>1911948</v>
          </cell>
          <cell r="T1081">
            <v>878892</v>
          </cell>
          <cell r="U1081">
            <v>185220</v>
          </cell>
        </row>
        <row r="1082">
          <cell r="A1082" t="str">
            <v>OCT 2015</v>
          </cell>
          <cell r="B1082" t="str">
            <v>LGINE663</v>
          </cell>
          <cell r="E1082">
            <v>1042841</v>
          </cell>
          <cell r="L1082">
            <v>2423</v>
          </cell>
          <cell r="M1082">
            <v>-226</v>
          </cell>
          <cell r="P1082">
            <v>0</v>
          </cell>
          <cell r="R1082">
            <v>102008</v>
          </cell>
          <cell r="T1082">
            <v>45342</v>
          </cell>
          <cell r="U1082">
            <v>9957</v>
          </cell>
        </row>
        <row r="1083">
          <cell r="A1083" t="str">
            <v>OCT 2015</v>
          </cell>
          <cell r="B1083" t="str">
            <v>LGINE691</v>
          </cell>
          <cell r="E1083">
            <v>20321484</v>
          </cell>
          <cell r="L1083">
            <v>47219</v>
          </cell>
          <cell r="M1083">
            <v>-4408</v>
          </cell>
          <cell r="P1083">
            <v>0</v>
          </cell>
          <cell r="R1083">
            <v>1777444</v>
          </cell>
          <cell r="T1083">
            <v>710582</v>
          </cell>
          <cell r="U1083">
            <v>194024</v>
          </cell>
        </row>
        <row r="1084">
          <cell r="A1084" t="str">
            <v>OCT 2015</v>
          </cell>
          <cell r="B1084" t="str">
            <v>LGINE693</v>
          </cell>
          <cell r="E1084">
            <v>131501376</v>
          </cell>
          <cell r="L1084">
            <v>305558</v>
          </cell>
          <cell r="M1084">
            <v>-28522</v>
          </cell>
          <cell r="P1084">
            <v>0</v>
          </cell>
          <cell r="R1084">
            <v>9931287</v>
          </cell>
          <cell r="T1084">
            <v>3725494</v>
          </cell>
          <cell r="U1084">
            <v>1255539</v>
          </cell>
        </row>
        <row r="1085">
          <cell r="A1085" t="str">
            <v>OCT 2015</v>
          </cell>
          <cell r="B1085" t="str">
            <v>LGMLE570</v>
          </cell>
          <cell r="E1085">
            <v>0</v>
          </cell>
          <cell r="L1085">
            <v>0</v>
          </cell>
          <cell r="M1085">
            <v>0</v>
          </cell>
          <cell r="P1085">
            <v>0</v>
          </cell>
          <cell r="R1085">
            <v>0</v>
          </cell>
          <cell r="T1085">
            <v>0</v>
          </cell>
          <cell r="U1085">
            <v>0</v>
          </cell>
        </row>
        <row r="1086">
          <cell r="A1086" t="str">
            <v>OCT 2015</v>
          </cell>
          <cell r="B1086" t="str">
            <v>LGMLE571</v>
          </cell>
          <cell r="E1086">
            <v>0</v>
          </cell>
          <cell r="L1086">
            <v>0</v>
          </cell>
          <cell r="M1086">
            <v>0</v>
          </cell>
          <cell r="P1086">
            <v>0</v>
          </cell>
          <cell r="R1086">
            <v>0</v>
          </cell>
          <cell r="T1086">
            <v>0</v>
          </cell>
          <cell r="U1086">
            <v>0</v>
          </cell>
        </row>
        <row r="1087">
          <cell r="A1087" t="str">
            <v>OCT 2015</v>
          </cell>
          <cell r="B1087" t="str">
            <v>LGMLE572</v>
          </cell>
          <cell r="E1087">
            <v>0</v>
          </cell>
          <cell r="L1087">
            <v>0</v>
          </cell>
          <cell r="M1087">
            <v>0</v>
          </cell>
          <cell r="P1087">
            <v>0</v>
          </cell>
          <cell r="R1087">
            <v>0</v>
          </cell>
          <cell r="T1087">
            <v>0</v>
          </cell>
          <cell r="U1087">
            <v>0</v>
          </cell>
        </row>
        <row r="1088">
          <cell r="A1088" t="str">
            <v>OCT 2015</v>
          </cell>
          <cell r="B1088" t="str">
            <v>LGMLE573</v>
          </cell>
          <cell r="E1088">
            <v>0</v>
          </cell>
          <cell r="L1088">
            <v>0</v>
          </cell>
          <cell r="M1088">
            <v>0</v>
          </cell>
          <cell r="P1088">
            <v>0</v>
          </cell>
          <cell r="R1088">
            <v>0</v>
          </cell>
          <cell r="T1088">
            <v>0</v>
          </cell>
          <cell r="U1088">
            <v>0</v>
          </cell>
        </row>
        <row r="1089">
          <cell r="A1089" t="str">
            <v>OCT 2015</v>
          </cell>
          <cell r="B1089" t="str">
            <v>LGMLE574</v>
          </cell>
          <cell r="E1089">
            <v>0</v>
          </cell>
          <cell r="L1089">
            <v>0</v>
          </cell>
          <cell r="M1089">
            <v>0</v>
          </cell>
          <cell r="P1089">
            <v>0</v>
          </cell>
          <cell r="R1089">
            <v>0</v>
          </cell>
          <cell r="T1089">
            <v>0</v>
          </cell>
          <cell r="U1089">
            <v>0</v>
          </cell>
        </row>
        <row r="1090">
          <cell r="A1090" t="str">
            <v>OCT 2015</v>
          </cell>
          <cell r="B1090" t="str">
            <v>LGRSE000</v>
          </cell>
          <cell r="E1090">
            <v>0</v>
          </cell>
          <cell r="L1090">
            <v>0</v>
          </cell>
          <cell r="M1090">
            <v>0</v>
          </cell>
          <cell r="P1090">
            <v>0</v>
          </cell>
          <cell r="R1090">
            <v>0</v>
          </cell>
          <cell r="T1090">
            <v>0</v>
          </cell>
          <cell r="U1090">
            <v>0</v>
          </cell>
        </row>
        <row r="1091">
          <cell r="A1091" t="str">
            <v>OCT 2015</v>
          </cell>
          <cell r="B1091" t="str">
            <v>LGRSE411</v>
          </cell>
          <cell r="E1091">
            <v>0</v>
          </cell>
          <cell r="L1091">
            <v>0</v>
          </cell>
          <cell r="M1091">
            <v>0</v>
          </cell>
          <cell r="P1091">
            <v>0</v>
          </cell>
          <cell r="R1091">
            <v>0</v>
          </cell>
          <cell r="T1091">
            <v>0</v>
          </cell>
          <cell r="U1091">
            <v>0</v>
          </cell>
        </row>
        <row r="1092">
          <cell r="A1092" t="str">
            <v>OCT 2015</v>
          </cell>
          <cell r="B1092" t="str">
            <v>LGRSE511</v>
          </cell>
          <cell r="E1092">
            <v>275120005</v>
          </cell>
          <cell r="L1092">
            <v>639271</v>
          </cell>
          <cell r="M1092">
            <v>-59673</v>
          </cell>
          <cell r="P1092">
            <v>0</v>
          </cell>
          <cell r="R1092">
            <v>29305929</v>
          </cell>
          <cell r="T1092">
            <v>0</v>
          </cell>
          <cell r="U1092">
            <v>2626771</v>
          </cell>
        </row>
        <row r="1093">
          <cell r="A1093" t="str">
            <v>OCT 2015</v>
          </cell>
          <cell r="B1093" t="str">
            <v>LGRSE519</v>
          </cell>
          <cell r="E1093">
            <v>0</v>
          </cell>
          <cell r="L1093">
            <v>0</v>
          </cell>
          <cell r="M1093">
            <v>0</v>
          </cell>
          <cell r="P1093">
            <v>0</v>
          </cell>
          <cell r="R1093">
            <v>0</v>
          </cell>
          <cell r="T1093">
            <v>0</v>
          </cell>
          <cell r="U1093">
            <v>0</v>
          </cell>
        </row>
        <row r="1094">
          <cell r="A1094" t="str">
            <v>OCT 2015</v>
          </cell>
          <cell r="B1094" t="str">
            <v>LGRSE540</v>
          </cell>
          <cell r="E1094">
            <v>0</v>
          </cell>
          <cell r="L1094">
            <v>0</v>
          </cell>
          <cell r="M1094">
            <v>0</v>
          </cell>
          <cell r="P1094">
            <v>0</v>
          </cell>
          <cell r="R1094">
            <v>0</v>
          </cell>
          <cell r="T1094">
            <v>0</v>
          </cell>
          <cell r="U1094">
            <v>0</v>
          </cell>
        </row>
        <row r="1095">
          <cell r="A1095" t="str">
            <v>OCT 2015</v>
          </cell>
          <cell r="B1095" t="str">
            <v>LGRSE543</v>
          </cell>
          <cell r="E1095">
            <v>0</v>
          </cell>
          <cell r="L1095">
            <v>0</v>
          </cell>
          <cell r="M1095">
            <v>0</v>
          </cell>
          <cell r="P1095">
            <v>0</v>
          </cell>
          <cell r="R1095">
            <v>0</v>
          </cell>
          <cell r="T1095">
            <v>0</v>
          </cell>
          <cell r="U1095">
            <v>0</v>
          </cell>
        </row>
        <row r="1096">
          <cell r="A1096" t="str">
            <v>OCT 2015</v>
          </cell>
          <cell r="B1096" t="str">
            <v>LGRSE547</v>
          </cell>
          <cell r="E1096">
            <v>0</v>
          </cell>
          <cell r="L1096">
            <v>0</v>
          </cell>
          <cell r="M1096">
            <v>0</v>
          </cell>
          <cell r="P1096">
            <v>0</v>
          </cell>
          <cell r="R1096">
            <v>0</v>
          </cell>
          <cell r="T1096">
            <v>0</v>
          </cell>
          <cell r="U1096">
            <v>0</v>
          </cell>
        </row>
        <row r="1097">
          <cell r="A1097" t="str">
            <v>OCT 2015</v>
          </cell>
          <cell r="B1097" t="str">
            <v>LGUM_000</v>
          </cell>
          <cell r="T1097">
            <v>0</v>
          </cell>
          <cell r="U1097">
            <v>0</v>
          </cell>
        </row>
        <row r="1098">
          <cell r="A1098" t="str">
            <v>OCT 2015</v>
          </cell>
          <cell r="B1098" t="str">
            <v>LGUM_201</v>
          </cell>
          <cell r="T1098">
            <v>0</v>
          </cell>
          <cell r="U1098">
            <v>0</v>
          </cell>
        </row>
        <row r="1099">
          <cell r="A1099" t="str">
            <v>OCT 2015</v>
          </cell>
          <cell r="B1099" t="str">
            <v>LGUM_203</v>
          </cell>
          <cell r="T1099">
            <v>0</v>
          </cell>
          <cell r="U1099">
            <v>0</v>
          </cell>
        </row>
        <row r="1100">
          <cell r="A1100" t="str">
            <v>OCT 2015</v>
          </cell>
          <cell r="B1100" t="str">
            <v>LGUM_204</v>
          </cell>
          <cell r="T1100">
            <v>0</v>
          </cell>
          <cell r="U1100">
            <v>0</v>
          </cell>
        </row>
        <row r="1101">
          <cell r="A1101" t="str">
            <v>OCT 2015</v>
          </cell>
          <cell r="B1101" t="str">
            <v>LGUM_204CU</v>
          </cell>
          <cell r="T1101">
            <v>0</v>
          </cell>
          <cell r="U1101">
            <v>0</v>
          </cell>
        </row>
        <row r="1102">
          <cell r="A1102" t="str">
            <v>OCT 2015</v>
          </cell>
          <cell r="B1102" t="str">
            <v>LGUM_206</v>
          </cell>
          <cell r="T1102">
            <v>0</v>
          </cell>
          <cell r="U1102">
            <v>0</v>
          </cell>
        </row>
        <row r="1103">
          <cell r="A1103" t="str">
            <v>OCT 2015</v>
          </cell>
          <cell r="B1103" t="str">
            <v>LGUM_207</v>
          </cell>
          <cell r="T1103">
            <v>0</v>
          </cell>
          <cell r="U1103">
            <v>0</v>
          </cell>
        </row>
        <row r="1104">
          <cell r="A1104" t="str">
            <v>OCT 2015</v>
          </cell>
          <cell r="B1104" t="str">
            <v>LGUM_208</v>
          </cell>
          <cell r="T1104">
            <v>0</v>
          </cell>
          <cell r="U1104">
            <v>0</v>
          </cell>
        </row>
        <row r="1105">
          <cell r="A1105" t="str">
            <v>OCT 2015</v>
          </cell>
          <cell r="B1105" t="str">
            <v>LGUM_209</v>
          </cell>
          <cell r="T1105">
            <v>0</v>
          </cell>
          <cell r="U1105">
            <v>0</v>
          </cell>
        </row>
        <row r="1106">
          <cell r="A1106" t="str">
            <v>OCT 2015</v>
          </cell>
          <cell r="B1106" t="str">
            <v>LGUM_209CU</v>
          </cell>
          <cell r="T1106">
            <v>0</v>
          </cell>
          <cell r="U1106">
            <v>0</v>
          </cell>
        </row>
        <row r="1107">
          <cell r="A1107" t="str">
            <v>OCT 2015</v>
          </cell>
          <cell r="B1107" t="str">
            <v>LGUM_210</v>
          </cell>
          <cell r="T1107">
            <v>0</v>
          </cell>
          <cell r="U1107">
            <v>0</v>
          </cell>
        </row>
        <row r="1108">
          <cell r="A1108" t="str">
            <v>OCT 2015</v>
          </cell>
          <cell r="B1108" t="str">
            <v>LGUM_252</v>
          </cell>
          <cell r="T1108">
            <v>0</v>
          </cell>
          <cell r="U1108">
            <v>0</v>
          </cell>
        </row>
        <row r="1109">
          <cell r="A1109" t="str">
            <v>OCT 2015</v>
          </cell>
          <cell r="B1109" t="str">
            <v>LGUM_266</v>
          </cell>
          <cell r="T1109">
            <v>0</v>
          </cell>
          <cell r="U1109">
            <v>0</v>
          </cell>
        </row>
        <row r="1110">
          <cell r="A1110" t="str">
            <v>OCT 2015</v>
          </cell>
          <cell r="B1110" t="str">
            <v>LGUM_267</v>
          </cell>
          <cell r="T1110">
            <v>0</v>
          </cell>
          <cell r="U1110">
            <v>0</v>
          </cell>
        </row>
        <row r="1111">
          <cell r="A1111" t="str">
            <v>OCT 2015</v>
          </cell>
          <cell r="B1111" t="str">
            <v>LGUM_274</v>
          </cell>
          <cell r="T1111">
            <v>0</v>
          </cell>
          <cell r="U1111">
            <v>0</v>
          </cell>
        </row>
        <row r="1112">
          <cell r="A1112" t="str">
            <v>OCT 2015</v>
          </cell>
          <cell r="B1112" t="str">
            <v>LGUM_275</v>
          </cell>
          <cell r="T1112">
            <v>0</v>
          </cell>
          <cell r="U1112">
            <v>0</v>
          </cell>
        </row>
        <row r="1113">
          <cell r="A1113" t="str">
            <v>OCT 2015</v>
          </cell>
          <cell r="B1113" t="str">
            <v>LGUM_276</v>
          </cell>
          <cell r="T1113">
            <v>0</v>
          </cell>
          <cell r="U1113">
            <v>0</v>
          </cell>
        </row>
        <row r="1114">
          <cell r="A1114" t="str">
            <v>OCT 2015</v>
          </cell>
          <cell r="B1114" t="str">
            <v>LGUM_277</v>
          </cell>
          <cell r="T1114">
            <v>0</v>
          </cell>
          <cell r="U1114">
            <v>0</v>
          </cell>
        </row>
        <row r="1115">
          <cell r="A1115" t="str">
            <v>OCT 2015</v>
          </cell>
          <cell r="B1115" t="str">
            <v>LGUM_278</v>
          </cell>
          <cell r="T1115">
            <v>0</v>
          </cell>
          <cell r="U1115">
            <v>0</v>
          </cell>
        </row>
        <row r="1116">
          <cell r="A1116" t="str">
            <v>OCT 2015</v>
          </cell>
          <cell r="B1116" t="str">
            <v>LGUM_279</v>
          </cell>
          <cell r="T1116">
            <v>0</v>
          </cell>
          <cell r="U1116">
            <v>0</v>
          </cell>
        </row>
        <row r="1117">
          <cell r="A1117" t="str">
            <v>OCT 2015</v>
          </cell>
          <cell r="B1117" t="str">
            <v>LGUM_280</v>
          </cell>
          <cell r="T1117">
            <v>0</v>
          </cell>
          <cell r="U1117">
            <v>0</v>
          </cell>
        </row>
        <row r="1118">
          <cell r="A1118" t="str">
            <v>OCT 2015</v>
          </cell>
          <cell r="B1118" t="str">
            <v>LGUM_281</v>
          </cell>
          <cell r="T1118">
            <v>0</v>
          </cell>
          <cell r="U1118">
            <v>0</v>
          </cell>
        </row>
        <row r="1119">
          <cell r="A1119" t="str">
            <v>OCT 2015</v>
          </cell>
          <cell r="B1119" t="str">
            <v>LGUM_282</v>
          </cell>
          <cell r="T1119">
            <v>0</v>
          </cell>
          <cell r="U1119">
            <v>0</v>
          </cell>
        </row>
        <row r="1120">
          <cell r="A1120" t="str">
            <v>OCT 2015</v>
          </cell>
          <cell r="B1120" t="str">
            <v>LGUM_283</v>
          </cell>
          <cell r="T1120">
            <v>0</v>
          </cell>
          <cell r="U1120">
            <v>0</v>
          </cell>
        </row>
        <row r="1121">
          <cell r="A1121" t="str">
            <v>OCT 2015</v>
          </cell>
          <cell r="B1121" t="str">
            <v>LGUM_314</v>
          </cell>
          <cell r="T1121">
            <v>0</v>
          </cell>
          <cell r="U1121">
            <v>0</v>
          </cell>
        </row>
        <row r="1122">
          <cell r="A1122" t="str">
            <v>OCT 2015</v>
          </cell>
          <cell r="B1122" t="str">
            <v>LGUM_315</v>
          </cell>
          <cell r="T1122">
            <v>0</v>
          </cell>
          <cell r="U1122">
            <v>0</v>
          </cell>
        </row>
        <row r="1123">
          <cell r="A1123" t="str">
            <v>OCT 2015</v>
          </cell>
          <cell r="B1123" t="str">
            <v>LGUM_318</v>
          </cell>
          <cell r="T1123">
            <v>0</v>
          </cell>
          <cell r="U1123">
            <v>0</v>
          </cell>
        </row>
        <row r="1124">
          <cell r="A1124" t="str">
            <v>OCT 2015</v>
          </cell>
          <cell r="B1124" t="str">
            <v>LGUM_348</v>
          </cell>
          <cell r="T1124">
            <v>0</v>
          </cell>
          <cell r="U1124">
            <v>0</v>
          </cell>
        </row>
        <row r="1125">
          <cell r="A1125" t="str">
            <v>OCT 2015</v>
          </cell>
          <cell r="B1125" t="str">
            <v>LGUM_349</v>
          </cell>
          <cell r="T1125">
            <v>0</v>
          </cell>
          <cell r="U1125">
            <v>0</v>
          </cell>
        </row>
        <row r="1126">
          <cell r="A1126" t="str">
            <v>OCT 2015</v>
          </cell>
          <cell r="B1126" t="str">
            <v>LGUM_400</v>
          </cell>
          <cell r="T1126">
            <v>0</v>
          </cell>
          <cell r="U1126">
            <v>0</v>
          </cell>
        </row>
        <row r="1127">
          <cell r="A1127" t="str">
            <v>OCT 2015</v>
          </cell>
          <cell r="B1127" t="str">
            <v>LGUM_401</v>
          </cell>
          <cell r="T1127">
            <v>0</v>
          </cell>
          <cell r="U1127">
            <v>0</v>
          </cell>
        </row>
        <row r="1128">
          <cell r="A1128" t="str">
            <v>OCT 2015</v>
          </cell>
          <cell r="B1128" t="str">
            <v>LGUM_412</v>
          </cell>
          <cell r="T1128">
            <v>0</v>
          </cell>
          <cell r="U1128">
            <v>0</v>
          </cell>
        </row>
        <row r="1129">
          <cell r="A1129" t="str">
            <v>OCT 2015</v>
          </cell>
          <cell r="B1129" t="str">
            <v>LGUM_413</v>
          </cell>
          <cell r="T1129">
            <v>0</v>
          </cell>
          <cell r="U1129">
            <v>0</v>
          </cell>
        </row>
        <row r="1130">
          <cell r="A1130" t="str">
            <v>OCT 2015</v>
          </cell>
          <cell r="B1130" t="str">
            <v>LGUM_415</v>
          </cell>
          <cell r="T1130">
            <v>0</v>
          </cell>
          <cell r="U1130">
            <v>0</v>
          </cell>
        </row>
        <row r="1131">
          <cell r="A1131" t="str">
            <v>OCT 2015</v>
          </cell>
          <cell r="B1131" t="str">
            <v>LGUM_416</v>
          </cell>
          <cell r="T1131">
            <v>0</v>
          </cell>
          <cell r="U1131">
            <v>0</v>
          </cell>
        </row>
        <row r="1132">
          <cell r="A1132" t="str">
            <v>OCT 2015</v>
          </cell>
          <cell r="B1132" t="str">
            <v>LGUM_417</v>
          </cell>
          <cell r="T1132">
            <v>0</v>
          </cell>
          <cell r="U1132">
            <v>0</v>
          </cell>
        </row>
        <row r="1133">
          <cell r="A1133" t="str">
            <v>OCT 2015</v>
          </cell>
          <cell r="B1133" t="str">
            <v>LGUM_419</v>
          </cell>
          <cell r="T1133">
            <v>0</v>
          </cell>
          <cell r="U1133">
            <v>0</v>
          </cell>
        </row>
        <row r="1134">
          <cell r="A1134" t="str">
            <v>OCT 2015</v>
          </cell>
          <cell r="B1134" t="str">
            <v>LGUM_420</v>
          </cell>
          <cell r="T1134">
            <v>0</v>
          </cell>
          <cell r="U1134">
            <v>0</v>
          </cell>
        </row>
        <row r="1135">
          <cell r="A1135" t="str">
            <v>OCT 2015</v>
          </cell>
          <cell r="B1135" t="str">
            <v>LGUM_421</v>
          </cell>
          <cell r="T1135">
            <v>0</v>
          </cell>
          <cell r="U1135">
            <v>0</v>
          </cell>
        </row>
        <row r="1136">
          <cell r="A1136" t="str">
            <v>OCT 2015</v>
          </cell>
          <cell r="B1136" t="str">
            <v>LGUM_422</v>
          </cell>
          <cell r="T1136">
            <v>0</v>
          </cell>
          <cell r="U1136">
            <v>0</v>
          </cell>
        </row>
        <row r="1137">
          <cell r="A1137" t="str">
            <v>OCT 2015</v>
          </cell>
          <cell r="B1137" t="str">
            <v>LGUM_423</v>
          </cell>
          <cell r="T1137">
            <v>0</v>
          </cell>
          <cell r="U1137">
            <v>0</v>
          </cell>
        </row>
        <row r="1138">
          <cell r="A1138" t="str">
            <v>OCT 2015</v>
          </cell>
          <cell r="B1138" t="str">
            <v>LGUM_424</v>
          </cell>
          <cell r="T1138">
            <v>0</v>
          </cell>
          <cell r="U1138">
            <v>0</v>
          </cell>
        </row>
        <row r="1139">
          <cell r="A1139" t="str">
            <v>OCT 2015</v>
          </cell>
          <cell r="B1139" t="str">
            <v>LGUM_425</v>
          </cell>
          <cell r="T1139">
            <v>0</v>
          </cell>
          <cell r="U1139">
            <v>0</v>
          </cell>
        </row>
        <row r="1140">
          <cell r="A1140" t="str">
            <v>OCT 2015</v>
          </cell>
          <cell r="B1140" t="str">
            <v>LGUM_426</v>
          </cell>
          <cell r="T1140">
            <v>0</v>
          </cell>
          <cell r="U1140">
            <v>0</v>
          </cell>
        </row>
        <row r="1141">
          <cell r="A1141" t="str">
            <v>OCT 2015</v>
          </cell>
          <cell r="B1141" t="str">
            <v>LGUM_427</v>
          </cell>
          <cell r="T1141">
            <v>0</v>
          </cell>
          <cell r="U1141">
            <v>0</v>
          </cell>
        </row>
        <row r="1142">
          <cell r="A1142" t="str">
            <v>OCT 2015</v>
          </cell>
          <cell r="B1142" t="str">
            <v>LGUM_428</v>
          </cell>
          <cell r="T1142">
            <v>0</v>
          </cell>
          <cell r="U1142">
            <v>0</v>
          </cell>
        </row>
        <row r="1143">
          <cell r="A1143" t="str">
            <v>OCT 2015</v>
          </cell>
          <cell r="B1143" t="str">
            <v>LGUM_429</v>
          </cell>
          <cell r="T1143">
            <v>0</v>
          </cell>
          <cell r="U1143">
            <v>0</v>
          </cell>
        </row>
        <row r="1144">
          <cell r="A1144" t="str">
            <v>OCT 2015</v>
          </cell>
          <cell r="B1144" t="str">
            <v>LGUM_430</v>
          </cell>
          <cell r="T1144">
            <v>0</v>
          </cell>
          <cell r="U1144">
            <v>0</v>
          </cell>
        </row>
        <row r="1145">
          <cell r="A1145" t="str">
            <v>OCT 2015</v>
          </cell>
          <cell r="B1145" t="str">
            <v>LGUM_431</v>
          </cell>
          <cell r="T1145">
            <v>0</v>
          </cell>
          <cell r="U1145">
            <v>0</v>
          </cell>
        </row>
        <row r="1146">
          <cell r="A1146" t="str">
            <v>OCT 2015</v>
          </cell>
          <cell r="B1146" t="str">
            <v>LGUM_432</v>
          </cell>
          <cell r="T1146">
            <v>0</v>
          </cell>
          <cell r="U1146">
            <v>0</v>
          </cell>
        </row>
        <row r="1147">
          <cell r="A1147" t="str">
            <v>OCT 2015</v>
          </cell>
          <cell r="B1147" t="str">
            <v>LGUM_433</v>
          </cell>
          <cell r="T1147">
            <v>0</v>
          </cell>
          <cell r="U1147">
            <v>0</v>
          </cell>
        </row>
        <row r="1148">
          <cell r="A1148" t="str">
            <v>OCT 2015</v>
          </cell>
          <cell r="B1148" t="str">
            <v>LGUM_440</v>
          </cell>
          <cell r="T1148">
            <v>0</v>
          </cell>
          <cell r="U1148">
            <v>0</v>
          </cell>
        </row>
        <row r="1149">
          <cell r="A1149" t="str">
            <v>OCT 2015</v>
          </cell>
          <cell r="B1149" t="str">
            <v>LGUM_441</v>
          </cell>
          <cell r="T1149">
            <v>0</v>
          </cell>
          <cell r="U1149">
            <v>0</v>
          </cell>
        </row>
        <row r="1150">
          <cell r="A1150" t="str">
            <v>OCT 2015</v>
          </cell>
          <cell r="B1150" t="str">
            <v>LGUM_452</v>
          </cell>
          <cell r="T1150">
            <v>0</v>
          </cell>
          <cell r="U1150">
            <v>0</v>
          </cell>
        </row>
        <row r="1151">
          <cell r="A1151" t="str">
            <v>OCT 2015</v>
          </cell>
          <cell r="B1151" t="str">
            <v>LGUM_452CU</v>
          </cell>
          <cell r="T1151">
            <v>0</v>
          </cell>
          <cell r="U1151">
            <v>0</v>
          </cell>
        </row>
        <row r="1152">
          <cell r="A1152" t="str">
            <v>OCT 2015</v>
          </cell>
          <cell r="B1152" t="str">
            <v>LGUM_453</v>
          </cell>
          <cell r="T1152">
            <v>0</v>
          </cell>
          <cell r="U1152">
            <v>0</v>
          </cell>
        </row>
        <row r="1153">
          <cell r="A1153" t="str">
            <v>OCT 2015</v>
          </cell>
          <cell r="B1153" t="str">
            <v>LGUM_453CU</v>
          </cell>
          <cell r="T1153">
            <v>0</v>
          </cell>
          <cell r="U1153">
            <v>0</v>
          </cell>
        </row>
        <row r="1154">
          <cell r="A1154" t="str">
            <v>OCT 2015</v>
          </cell>
          <cell r="B1154" t="str">
            <v>LGUM_454</v>
          </cell>
          <cell r="T1154">
            <v>0</v>
          </cell>
          <cell r="U1154">
            <v>0</v>
          </cell>
        </row>
        <row r="1155">
          <cell r="A1155" t="str">
            <v>OCT 2015</v>
          </cell>
          <cell r="B1155" t="str">
            <v>LGUM_454CU</v>
          </cell>
          <cell r="T1155">
            <v>0</v>
          </cell>
          <cell r="U1155">
            <v>0</v>
          </cell>
        </row>
        <row r="1156">
          <cell r="A1156" t="str">
            <v>OCT 2015</v>
          </cell>
          <cell r="B1156" t="str">
            <v>LGUM_455</v>
          </cell>
          <cell r="T1156">
            <v>0</v>
          </cell>
          <cell r="U1156">
            <v>0</v>
          </cell>
        </row>
        <row r="1157">
          <cell r="A1157" t="str">
            <v>OCT 2015</v>
          </cell>
          <cell r="B1157" t="str">
            <v>LGUM_456</v>
          </cell>
          <cell r="T1157">
            <v>0</v>
          </cell>
          <cell r="U1157">
            <v>0</v>
          </cell>
        </row>
        <row r="1158">
          <cell r="A1158" t="str">
            <v>OCT 2015</v>
          </cell>
          <cell r="B1158" t="str">
            <v>LGUM_456CU</v>
          </cell>
          <cell r="T1158">
            <v>0</v>
          </cell>
          <cell r="U1158">
            <v>0</v>
          </cell>
        </row>
        <row r="1159">
          <cell r="A1159" t="str">
            <v>OCT 2015</v>
          </cell>
          <cell r="B1159" t="str">
            <v>LGUM_457</v>
          </cell>
          <cell r="T1159">
            <v>0</v>
          </cell>
          <cell r="U1159">
            <v>0</v>
          </cell>
        </row>
        <row r="1160">
          <cell r="A1160" t="str">
            <v>OCT 2015</v>
          </cell>
          <cell r="B1160" t="str">
            <v>LGUM_458</v>
          </cell>
          <cell r="T1160">
            <v>0</v>
          </cell>
          <cell r="U1160">
            <v>0</v>
          </cell>
        </row>
        <row r="1161">
          <cell r="A1161" t="str">
            <v>OCT 2015</v>
          </cell>
          <cell r="B1161" t="str">
            <v>LGUM_470</v>
          </cell>
          <cell r="T1161">
            <v>0</v>
          </cell>
          <cell r="U1161">
            <v>0</v>
          </cell>
        </row>
        <row r="1162">
          <cell r="A1162" t="str">
            <v>OCT 2015</v>
          </cell>
          <cell r="B1162" t="str">
            <v>LGUM_471</v>
          </cell>
          <cell r="T1162">
            <v>0</v>
          </cell>
          <cell r="U1162">
            <v>0</v>
          </cell>
        </row>
        <row r="1163">
          <cell r="A1163" t="str">
            <v>OCT 2015</v>
          </cell>
          <cell r="B1163" t="str">
            <v>LGUM_473</v>
          </cell>
          <cell r="T1163">
            <v>0</v>
          </cell>
          <cell r="U1163">
            <v>0</v>
          </cell>
        </row>
        <row r="1164">
          <cell r="A1164" t="str">
            <v>OCT 2015</v>
          </cell>
          <cell r="B1164" t="str">
            <v>LGUM_474</v>
          </cell>
          <cell r="T1164">
            <v>0</v>
          </cell>
          <cell r="U1164">
            <v>0</v>
          </cell>
        </row>
        <row r="1165">
          <cell r="A1165" t="str">
            <v>OCT 2015</v>
          </cell>
          <cell r="B1165" t="str">
            <v>LGUM_475</v>
          </cell>
          <cell r="T1165">
            <v>0</v>
          </cell>
          <cell r="U1165">
            <v>0</v>
          </cell>
        </row>
        <row r="1166">
          <cell r="A1166" t="str">
            <v>OCT 2015</v>
          </cell>
          <cell r="B1166" t="str">
            <v>LGUM_476</v>
          </cell>
          <cell r="T1166">
            <v>0</v>
          </cell>
          <cell r="U1166">
            <v>0</v>
          </cell>
        </row>
        <row r="1167">
          <cell r="A1167" t="str">
            <v>OCT 2015</v>
          </cell>
          <cell r="B1167" t="str">
            <v>LGUM_477</v>
          </cell>
          <cell r="T1167">
            <v>0</v>
          </cell>
          <cell r="U1167">
            <v>0</v>
          </cell>
        </row>
        <row r="1168">
          <cell r="A1168" t="str">
            <v>OCT 2015</v>
          </cell>
          <cell r="B1168" t="str">
            <v>LGUM_480</v>
          </cell>
          <cell r="T1168">
            <v>0</v>
          </cell>
          <cell r="U1168">
            <v>0</v>
          </cell>
        </row>
        <row r="1169">
          <cell r="A1169" t="str">
            <v>OCT 2015</v>
          </cell>
          <cell r="B1169" t="str">
            <v>LGUM_481</v>
          </cell>
          <cell r="T1169">
            <v>0</v>
          </cell>
          <cell r="U1169">
            <v>0</v>
          </cell>
        </row>
        <row r="1170">
          <cell r="A1170" t="str">
            <v>OCT 2015</v>
          </cell>
          <cell r="B1170" t="str">
            <v>LGUM_482</v>
          </cell>
          <cell r="T1170">
            <v>0</v>
          </cell>
          <cell r="U1170">
            <v>0</v>
          </cell>
        </row>
        <row r="1171">
          <cell r="A1171" t="str">
            <v>OCT 2015</v>
          </cell>
          <cell r="B1171" t="str">
            <v>LGUM_483</v>
          </cell>
          <cell r="T1171">
            <v>0</v>
          </cell>
          <cell r="U1171">
            <v>0</v>
          </cell>
        </row>
        <row r="1172">
          <cell r="A1172" t="str">
            <v>OCT 2015</v>
          </cell>
          <cell r="B1172" t="str">
            <v>LGUM_484</v>
          </cell>
          <cell r="T1172">
            <v>0</v>
          </cell>
          <cell r="U1172">
            <v>0</v>
          </cell>
        </row>
        <row r="1173">
          <cell r="A1173" t="str">
            <v>OCT 2015</v>
          </cell>
          <cell r="B1173" t="str">
            <v>Result</v>
          </cell>
          <cell r="T1173">
            <v>0</v>
          </cell>
          <cell r="U1173">
            <v>0</v>
          </cell>
        </row>
        <row r="1174">
          <cell r="A1174" t="str">
            <v>NOV 2015</v>
          </cell>
          <cell r="B1174" t="str">
            <v>LEUM_826</v>
          </cell>
          <cell r="T1174">
            <v>0</v>
          </cell>
          <cell r="U1174">
            <v>0</v>
          </cell>
        </row>
        <row r="1175">
          <cell r="A1175" t="str">
            <v>NOV 2015</v>
          </cell>
          <cell r="B1175" t="str">
            <v>LEUM_826</v>
          </cell>
          <cell r="T1175">
            <v>0</v>
          </cell>
          <cell r="U1175">
            <v>0</v>
          </cell>
        </row>
        <row r="1176">
          <cell r="A1176" t="str">
            <v>NOV 2015</v>
          </cell>
          <cell r="B1176" t="str">
            <v>ODL</v>
          </cell>
          <cell r="E1176">
            <v>10115161</v>
          </cell>
          <cell r="L1176">
            <v>0</v>
          </cell>
          <cell r="M1176">
            <v>-2250</v>
          </cell>
          <cell r="P1176">
            <v>0</v>
          </cell>
          <cell r="R1176">
            <v>1621901</v>
          </cell>
          <cell r="T1176">
            <v>0</v>
          </cell>
          <cell r="U1176">
            <v>104288</v>
          </cell>
        </row>
        <row r="1177">
          <cell r="A1177" t="str">
            <v>NOV 2015</v>
          </cell>
          <cell r="B1177" t="str">
            <v>LEUM_829</v>
          </cell>
          <cell r="E1177">
            <v>0</v>
          </cell>
          <cell r="L1177">
            <v>0</v>
          </cell>
          <cell r="M1177">
            <v>0</v>
          </cell>
          <cell r="P1177">
            <v>0</v>
          </cell>
          <cell r="R1177">
            <v>0</v>
          </cell>
          <cell r="T1177">
            <v>0</v>
          </cell>
          <cell r="U1177">
            <v>0</v>
          </cell>
        </row>
        <row r="1178">
          <cell r="A1178" t="str">
            <v>NOV 2015</v>
          </cell>
          <cell r="B1178" t="str">
            <v>LGCME000</v>
          </cell>
          <cell r="E1178">
            <v>0</v>
          </cell>
          <cell r="L1178">
            <v>0</v>
          </cell>
          <cell r="M1178">
            <v>0</v>
          </cell>
          <cell r="P1178">
            <v>0</v>
          </cell>
          <cell r="R1178">
            <v>0</v>
          </cell>
          <cell r="T1178">
            <v>0</v>
          </cell>
          <cell r="U1178">
            <v>0</v>
          </cell>
        </row>
        <row r="1179">
          <cell r="A1179" t="str">
            <v>NOV 2015</v>
          </cell>
          <cell r="B1179" t="str">
            <v>LGCME451</v>
          </cell>
          <cell r="E1179">
            <v>0</v>
          </cell>
          <cell r="L1179">
            <v>0</v>
          </cell>
          <cell r="M1179">
            <v>0</v>
          </cell>
          <cell r="P1179">
            <v>0</v>
          </cell>
          <cell r="R1179">
            <v>0</v>
          </cell>
          <cell r="T1179">
            <v>0</v>
          </cell>
          <cell r="U1179">
            <v>0</v>
          </cell>
        </row>
        <row r="1180">
          <cell r="A1180" t="str">
            <v>NOV 2015</v>
          </cell>
          <cell r="B1180" t="str">
            <v>LGCME551</v>
          </cell>
          <cell r="E1180">
            <v>29115339</v>
          </cell>
          <cell r="L1180">
            <v>69916</v>
          </cell>
          <cell r="M1180">
            <v>-6477</v>
          </cell>
          <cell r="P1180">
            <v>0</v>
          </cell>
          <cell r="R1180">
            <v>3586988</v>
          </cell>
          <cell r="T1180">
            <v>0</v>
          </cell>
          <cell r="U1180">
            <v>300180</v>
          </cell>
        </row>
        <row r="1181">
          <cell r="A1181" t="str">
            <v>NOV 2015</v>
          </cell>
          <cell r="B1181" t="str">
            <v>LGCME551UM</v>
          </cell>
          <cell r="E1181">
            <v>0</v>
          </cell>
          <cell r="L1181">
            <v>0</v>
          </cell>
          <cell r="M1181">
            <v>0</v>
          </cell>
          <cell r="P1181">
            <v>0</v>
          </cell>
          <cell r="R1181">
            <v>0</v>
          </cell>
          <cell r="T1181">
            <v>0</v>
          </cell>
          <cell r="U1181">
            <v>0</v>
          </cell>
        </row>
        <row r="1182">
          <cell r="A1182" t="str">
            <v>NOV 2015</v>
          </cell>
          <cell r="B1182" t="str">
            <v>LGCME552</v>
          </cell>
          <cell r="E1182">
            <v>0</v>
          </cell>
          <cell r="L1182">
            <v>0</v>
          </cell>
          <cell r="M1182">
            <v>0</v>
          </cell>
          <cell r="P1182">
            <v>0</v>
          </cell>
          <cell r="R1182">
            <v>0</v>
          </cell>
          <cell r="T1182">
            <v>0</v>
          </cell>
          <cell r="U1182">
            <v>0</v>
          </cell>
        </row>
        <row r="1183">
          <cell r="A1183" t="str">
            <v>NOV 2015</v>
          </cell>
          <cell r="B1183" t="str">
            <v>LGCME557</v>
          </cell>
          <cell r="E1183">
            <v>0</v>
          </cell>
          <cell r="L1183">
            <v>0</v>
          </cell>
          <cell r="M1183">
            <v>0</v>
          </cell>
          <cell r="P1183">
            <v>0</v>
          </cell>
          <cell r="R1183">
            <v>0</v>
          </cell>
          <cell r="T1183">
            <v>0</v>
          </cell>
          <cell r="U1183">
            <v>0</v>
          </cell>
        </row>
        <row r="1184">
          <cell r="A1184" t="str">
            <v>NOV 2015</v>
          </cell>
          <cell r="B1184" t="str">
            <v>LGCME561</v>
          </cell>
          <cell r="E1184">
            <v>129888119</v>
          </cell>
          <cell r="L1184">
            <v>311904</v>
          </cell>
          <cell r="M1184">
            <v>-28896</v>
          </cell>
          <cell r="P1184">
            <v>0</v>
          </cell>
          <cell r="R1184">
            <v>11576097</v>
          </cell>
          <cell r="T1184">
            <v>4448370</v>
          </cell>
          <cell r="U1184">
            <v>1339151</v>
          </cell>
        </row>
        <row r="1185">
          <cell r="A1185" t="str">
            <v>NOV 2015</v>
          </cell>
          <cell r="B1185" t="str">
            <v>LGCME563</v>
          </cell>
          <cell r="E1185">
            <v>11303433</v>
          </cell>
          <cell r="L1185">
            <v>27143</v>
          </cell>
          <cell r="M1185">
            <v>-2515</v>
          </cell>
          <cell r="P1185">
            <v>0</v>
          </cell>
          <cell r="R1185">
            <v>908218</v>
          </cell>
          <cell r="T1185">
            <v>314438</v>
          </cell>
          <cell r="U1185">
            <v>116539</v>
          </cell>
        </row>
        <row r="1186">
          <cell r="A1186" t="str">
            <v>NOV 2015</v>
          </cell>
          <cell r="B1186" t="str">
            <v>LGCME567</v>
          </cell>
          <cell r="E1186">
            <v>0</v>
          </cell>
          <cell r="L1186">
            <v>0</v>
          </cell>
          <cell r="M1186">
            <v>0</v>
          </cell>
          <cell r="P1186">
            <v>0</v>
          </cell>
          <cell r="R1186">
            <v>0</v>
          </cell>
          <cell r="T1186">
            <v>0</v>
          </cell>
          <cell r="U1186">
            <v>0</v>
          </cell>
        </row>
        <row r="1187">
          <cell r="A1187" t="str">
            <v>NOV 2015</v>
          </cell>
          <cell r="B1187" t="str">
            <v>LGCME591</v>
          </cell>
          <cell r="E1187">
            <v>60713563</v>
          </cell>
          <cell r="L1187">
            <v>145793</v>
          </cell>
          <cell r="M1187">
            <v>-13507</v>
          </cell>
          <cell r="P1187">
            <v>0</v>
          </cell>
          <cell r="R1187">
            <v>5129696</v>
          </cell>
          <cell r="T1187">
            <v>1904979</v>
          </cell>
          <cell r="U1187">
            <v>625959</v>
          </cell>
        </row>
        <row r="1188">
          <cell r="A1188" t="str">
            <v>NOV 2015</v>
          </cell>
          <cell r="B1188" t="str">
            <v>LGCME593</v>
          </cell>
          <cell r="E1188">
            <v>28320345</v>
          </cell>
          <cell r="L1188">
            <v>68006</v>
          </cell>
          <cell r="M1188">
            <v>-6300</v>
          </cell>
          <cell r="P1188">
            <v>0</v>
          </cell>
          <cell r="R1188">
            <v>2361452</v>
          </cell>
          <cell r="T1188">
            <v>917058</v>
          </cell>
          <cell r="U1188">
            <v>291984</v>
          </cell>
        </row>
        <row r="1189">
          <cell r="A1189" t="str">
            <v>NOV 2015</v>
          </cell>
          <cell r="B1189" t="str">
            <v>LGCME651</v>
          </cell>
          <cell r="E1189">
            <v>74220820</v>
          </cell>
          <cell r="L1189">
            <v>178229</v>
          </cell>
          <cell r="M1189">
            <v>-16512</v>
          </cell>
          <cell r="P1189">
            <v>0</v>
          </cell>
          <cell r="R1189">
            <v>8279330</v>
          </cell>
          <cell r="T1189">
            <v>0</v>
          </cell>
          <cell r="U1189">
            <v>765219</v>
          </cell>
        </row>
        <row r="1190">
          <cell r="A1190" t="str">
            <v>NOV 2015</v>
          </cell>
          <cell r="B1190" t="str">
            <v>LGCME652</v>
          </cell>
          <cell r="E1190">
            <v>0</v>
          </cell>
          <cell r="L1190">
            <v>0</v>
          </cell>
          <cell r="M1190">
            <v>0</v>
          </cell>
          <cell r="P1190">
            <v>0</v>
          </cell>
          <cell r="R1190">
            <v>0</v>
          </cell>
          <cell r="T1190">
            <v>0</v>
          </cell>
          <cell r="U1190">
            <v>0</v>
          </cell>
        </row>
        <row r="1191">
          <cell r="A1191" t="str">
            <v>NOV 2015</v>
          </cell>
          <cell r="B1191" t="str">
            <v>LGCME657</v>
          </cell>
          <cell r="E1191">
            <v>0</v>
          </cell>
          <cell r="L1191">
            <v>0</v>
          </cell>
          <cell r="M1191">
            <v>0</v>
          </cell>
          <cell r="P1191">
            <v>0</v>
          </cell>
          <cell r="R1191">
            <v>0</v>
          </cell>
          <cell r="T1191">
            <v>0</v>
          </cell>
          <cell r="U1191">
            <v>0</v>
          </cell>
        </row>
        <row r="1192">
          <cell r="A1192" t="str">
            <v>NOV 2015</v>
          </cell>
          <cell r="B1192" t="str">
            <v>LGCME671</v>
          </cell>
          <cell r="E1192">
            <v>4366800</v>
          </cell>
          <cell r="L1192">
            <v>0</v>
          </cell>
          <cell r="M1192">
            <v>-971</v>
          </cell>
          <cell r="P1192">
            <v>0</v>
          </cell>
          <cell r="R1192">
            <v>303520</v>
          </cell>
          <cell r="T1192">
            <v>97811</v>
          </cell>
          <cell r="U1192">
            <v>45022</v>
          </cell>
        </row>
        <row r="1193">
          <cell r="A1193" t="str">
            <v>NOV 2015</v>
          </cell>
          <cell r="B1193" t="str">
            <v>LGCSR760</v>
          </cell>
          <cell r="E1193">
            <v>0</v>
          </cell>
          <cell r="L1193">
            <v>0</v>
          </cell>
          <cell r="M1193">
            <v>0</v>
          </cell>
          <cell r="P1193">
            <v>-286526</v>
          </cell>
          <cell r="R1193">
            <v>-286526</v>
          </cell>
          <cell r="T1193">
            <v>0</v>
          </cell>
          <cell r="U1193">
            <v>0</v>
          </cell>
        </row>
        <row r="1194">
          <cell r="A1194" t="str">
            <v>NOV 2015</v>
          </cell>
          <cell r="B1194" t="str">
            <v>LGCSR780</v>
          </cell>
          <cell r="E1194">
            <v>0</v>
          </cell>
          <cell r="L1194">
            <v>0</v>
          </cell>
          <cell r="M1194">
            <v>0</v>
          </cell>
          <cell r="P1194">
            <v>0</v>
          </cell>
          <cell r="R1194">
            <v>0</v>
          </cell>
          <cell r="T1194">
            <v>0</v>
          </cell>
          <cell r="U1194">
            <v>0</v>
          </cell>
        </row>
        <row r="1195">
          <cell r="A1195" t="str">
            <v>NOV 2015</v>
          </cell>
          <cell r="B1195" t="str">
            <v>LGINE000</v>
          </cell>
          <cell r="E1195">
            <v>0</v>
          </cell>
          <cell r="L1195">
            <v>0</v>
          </cell>
          <cell r="M1195">
            <v>0</v>
          </cell>
          <cell r="P1195">
            <v>0</v>
          </cell>
          <cell r="R1195">
            <v>0</v>
          </cell>
          <cell r="T1195">
            <v>0</v>
          </cell>
          <cell r="U1195">
            <v>0</v>
          </cell>
        </row>
        <row r="1196">
          <cell r="A1196" t="str">
            <v>NOV 2015</v>
          </cell>
          <cell r="B1196" t="str">
            <v>LGINE599</v>
          </cell>
          <cell r="E1196">
            <v>7436000</v>
          </cell>
          <cell r="L1196">
            <v>0</v>
          </cell>
          <cell r="M1196">
            <v>-1654</v>
          </cell>
          <cell r="P1196">
            <v>0</v>
          </cell>
          <cell r="R1196">
            <v>474212</v>
          </cell>
          <cell r="T1196">
            <v>121095</v>
          </cell>
          <cell r="U1196">
            <v>76665</v>
          </cell>
        </row>
        <row r="1197">
          <cell r="A1197" t="str">
            <v>NOV 2015</v>
          </cell>
          <cell r="B1197" t="str">
            <v>LGINE643</v>
          </cell>
          <cell r="E1197">
            <v>71794294</v>
          </cell>
          <cell r="L1197">
            <v>0</v>
          </cell>
          <cell r="M1197">
            <v>-15972</v>
          </cell>
          <cell r="P1197">
            <v>0</v>
          </cell>
          <cell r="R1197">
            <v>4593809</v>
          </cell>
          <cell r="T1197">
            <v>1268806</v>
          </cell>
          <cell r="U1197">
            <v>740202</v>
          </cell>
        </row>
        <row r="1198">
          <cell r="A1198" t="str">
            <v>NOV 2015</v>
          </cell>
          <cell r="B1198" t="str">
            <v>LGINE661</v>
          </cell>
          <cell r="E1198">
            <v>19146672</v>
          </cell>
          <cell r="L1198">
            <v>45977</v>
          </cell>
          <cell r="M1198">
            <v>-4259</v>
          </cell>
          <cell r="P1198">
            <v>0</v>
          </cell>
          <cell r="R1198">
            <v>1865067</v>
          </cell>
          <cell r="T1198">
            <v>829331</v>
          </cell>
          <cell r="U1198">
            <v>197403</v>
          </cell>
        </row>
        <row r="1199">
          <cell r="A1199" t="str">
            <v>NOV 2015</v>
          </cell>
          <cell r="B1199" t="str">
            <v>LGINE663</v>
          </cell>
          <cell r="E1199">
            <v>1056885</v>
          </cell>
          <cell r="L1199">
            <v>2538</v>
          </cell>
          <cell r="M1199">
            <v>-235</v>
          </cell>
          <cell r="P1199">
            <v>0</v>
          </cell>
          <cell r="R1199">
            <v>102287</v>
          </cell>
          <cell r="T1199">
            <v>44024</v>
          </cell>
          <cell r="U1199">
            <v>10897</v>
          </cell>
        </row>
        <row r="1200">
          <cell r="A1200" t="str">
            <v>NOV 2015</v>
          </cell>
          <cell r="B1200" t="str">
            <v>LGINE691</v>
          </cell>
          <cell r="E1200">
            <v>20853450</v>
          </cell>
          <cell r="L1200">
            <v>50076</v>
          </cell>
          <cell r="M1200">
            <v>-4639</v>
          </cell>
          <cell r="P1200">
            <v>0</v>
          </cell>
          <cell r="R1200">
            <v>1849859</v>
          </cell>
          <cell r="T1200">
            <v>737969</v>
          </cell>
          <cell r="U1200">
            <v>215000</v>
          </cell>
        </row>
        <row r="1201">
          <cell r="A1201" t="str">
            <v>NOV 2015</v>
          </cell>
          <cell r="B1201" t="str">
            <v>LGINE693</v>
          </cell>
          <cell r="E1201">
            <v>133272351</v>
          </cell>
          <cell r="L1201">
            <v>320031</v>
          </cell>
          <cell r="M1201">
            <v>-29648</v>
          </cell>
          <cell r="P1201">
            <v>0</v>
          </cell>
          <cell r="R1201">
            <v>10017808</v>
          </cell>
          <cell r="T1201">
            <v>3617207</v>
          </cell>
          <cell r="U1201">
            <v>1374042</v>
          </cell>
        </row>
        <row r="1202">
          <cell r="A1202" t="str">
            <v>NOV 2015</v>
          </cell>
          <cell r="B1202" t="str">
            <v>LGMLE570</v>
          </cell>
          <cell r="E1202">
            <v>0</v>
          </cell>
          <cell r="L1202">
            <v>0</v>
          </cell>
          <cell r="M1202">
            <v>0</v>
          </cell>
          <cell r="P1202">
            <v>0</v>
          </cell>
          <cell r="R1202">
            <v>0</v>
          </cell>
          <cell r="T1202">
            <v>0</v>
          </cell>
          <cell r="U1202">
            <v>0</v>
          </cell>
        </row>
        <row r="1203">
          <cell r="A1203" t="str">
            <v>NOV 2015</v>
          </cell>
          <cell r="B1203" t="str">
            <v>LGMLE571</v>
          </cell>
          <cell r="E1203">
            <v>0</v>
          </cell>
          <cell r="L1203">
            <v>0</v>
          </cell>
          <cell r="M1203">
            <v>0</v>
          </cell>
          <cell r="P1203">
            <v>0</v>
          </cell>
          <cell r="R1203">
            <v>0</v>
          </cell>
          <cell r="T1203">
            <v>0</v>
          </cell>
          <cell r="U1203">
            <v>0</v>
          </cell>
        </row>
        <row r="1204">
          <cell r="A1204" t="str">
            <v>NOV 2015</v>
          </cell>
          <cell r="B1204" t="str">
            <v>LGMLE572</v>
          </cell>
          <cell r="E1204">
            <v>0</v>
          </cell>
          <cell r="L1204">
            <v>0</v>
          </cell>
          <cell r="M1204">
            <v>0</v>
          </cell>
          <cell r="P1204">
            <v>0</v>
          </cell>
          <cell r="R1204">
            <v>0</v>
          </cell>
          <cell r="T1204">
            <v>0</v>
          </cell>
          <cell r="U1204">
            <v>0</v>
          </cell>
        </row>
        <row r="1205">
          <cell r="A1205" t="str">
            <v>NOV 2015</v>
          </cell>
          <cell r="B1205" t="str">
            <v>LGMLE573</v>
          </cell>
          <cell r="E1205">
            <v>0</v>
          </cell>
          <cell r="L1205">
            <v>0</v>
          </cell>
          <cell r="M1205">
            <v>0</v>
          </cell>
          <cell r="P1205">
            <v>0</v>
          </cell>
          <cell r="R1205">
            <v>0</v>
          </cell>
          <cell r="T1205">
            <v>0</v>
          </cell>
          <cell r="U1205">
            <v>0</v>
          </cell>
        </row>
        <row r="1206">
          <cell r="A1206" t="str">
            <v>NOV 2015</v>
          </cell>
          <cell r="B1206" t="str">
            <v>LGMLE574</v>
          </cell>
          <cell r="E1206">
            <v>0</v>
          </cell>
          <cell r="L1206">
            <v>0</v>
          </cell>
          <cell r="M1206">
            <v>0</v>
          </cell>
          <cell r="P1206">
            <v>0</v>
          </cell>
          <cell r="R1206">
            <v>0</v>
          </cell>
          <cell r="T1206">
            <v>0</v>
          </cell>
          <cell r="U1206">
            <v>0</v>
          </cell>
        </row>
        <row r="1207">
          <cell r="A1207" t="str">
            <v>NOV 2015</v>
          </cell>
          <cell r="B1207" t="str">
            <v>LGRSE000</v>
          </cell>
          <cell r="E1207">
            <v>0</v>
          </cell>
          <cell r="L1207">
            <v>0</v>
          </cell>
          <cell r="M1207">
            <v>0</v>
          </cell>
          <cell r="P1207">
            <v>0</v>
          </cell>
          <cell r="R1207">
            <v>0</v>
          </cell>
          <cell r="T1207">
            <v>0</v>
          </cell>
          <cell r="U1207">
            <v>0</v>
          </cell>
        </row>
        <row r="1208">
          <cell r="A1208" t="str">
            <v>NOV 2015</v>
          </cell>
          <cell r="B1208" t="str">
            <v>LGRSE411</v>
          </cell>
          <cell r="E1208">
            <v>0</v>
          </cell>
          <cell r="L1208">
            <v>0</v>
          </cell>
          <cell r="M1208">
            <v>0</v>
          </cell>
          <cell r="P1208">
            <v>0</v>
          </cell>
          <cell r="R1208">
            <v>0</v>
          </cell>
          <cell r="T1208">
            <v>0</v>
          </cell>
          <cell r="U1208">
            <v>0</v>
          </cell>
        </row>
        <row r="1209">
          <cell r="A1209" t="str">
            <v>NOV 2015</v>
          </cell>
          <cell r="B1209" t="str">
            <v>LGRSE511</v>
          </cell>
          <cell r="E1209">
            <v>257476677</v>
          </cell>
          <cell r="L1209">
            <v>618286</v>
          </cell>
          <cell r="M1209">
            <v>-57280</v>
          </cell>
          <cell r="P1209">
            <v>0</v>
          </cell>
          <cell r="R1209">
            <v>27892499</v>
          </cell>
          <cell r="T1209">
            <v>0</v>
          </cell>
          <cell r="U1209">
            <v>2654593</v>
          </cell>
        </row>
        <row r="1210">
          <cell r="A1210" t="str">
            <v>NOV 2015</v>
          </cell>
          <cell r="B1210" t="str">
            <v>LGRSE519</v>
          </cell>
          <cell r="E1210">
            <v>0</v>
          </cell>
          <cell r="L1210">
            <v>0</v>
          </cell>
          <cell r="M1210">
            <v>0</v>
          </cell>
          <cell r="P1210">
            <v>0</v>
          </cell>
          <cell r="R1210">
            <v>0</v>
          </cell>
          <cell r="T1210">
            <v>0</v>
          </cell>
          <cell r="U1210">
            <v>0</v>
          </cell>
        </row>
        <row r="1211">
          <cell r="A1211" t="str">
            <v>NOV 2015</v>
          </cell>
          <cell r="B1211" t="str">
            <v>LGRSE540</v>
          </cell>
          <cell r="E1211">
            <v>0</v>
          </cell>
          <cell r="L1211">
            <v>0</v>
          </cell>
          <cell r="M1211">
            <v>0</v>
          </cell>
          <cell r="P1211">
            <v>0</v>
          </cell>
          <cell r="R1211">
            <v>0</v>
          </cell>
          <cell r="T1211">
            <v>0</v>
          </cell>
          <cell r="U1211">
            <v>0</v>
          </cell>
        </row>
        <row r="1212">
          <cell r="A1212" t="str">
            <v>NOV 2015</v>
          </cell>
          <cell r="B1212" t="str">
            <v>LGRSE543</v>
          </cell>
          <cell r="E1212">
            <v>0</v>
          </cell>
          <cell r="L1212">
            <v>0</v>
          </cell>
          <cell r="M1212">
            <v>0</v>
          </cell>
          <cell r="P1212">
            <v>0</v>
          </cell>
          <cell r="R1212">
            <v>0</v>
          </cell>
          <cell r="T1212">
            <v>0</v>
          </cell>
          <cell r="U1212">
            <v>0</v>
          </cell>
        </row>
        <row r="1213">
          <cell r="A1213" t="str">
            <v>NOV 2015</v>
          </cell>
          <cell r="B1213" t="str">
            <v>LGRSE547</v>
          </cell>
          <cell r="E1213">
            <v>0</v>
          </cell>
          <cell r="L1213">
            <v>0</v>
          </cell>
          <cell r="M1213">
            <v>0</v>
          </cell>
          <cell r="P1213">
            <v>0</v>
          </cell>
          <cell r="R1213">
            <v>0</v>
          </cell>
          <cell r="T1213">
            <v>0</v>
          </cell>
          <cell r="U1213">
            <v>0</v>
          </cell>
        </row>
        <row r="1214">
          <cell r="A1214" t="str">
            <v>NOV 2015</v>
          </cell>
          <cell r="B1214" t="str">
            <v>LGUM_000</v>
          </cell>
          <cell r="T1214">
            <v>0</v>
          </cell>
          <cell r="U1214">
            <v>0</v>
          </cell>
        </row>
        <row r="1215">
          <cell r="A1215" t="str">
            <v>NOV 2015</v>
          </cell>
          <cell r="B1215" t="str">
            <v>LGUM_201</v>
          </cell>
          <cell r="T1215">
            <v>0</v>
          </cell>
          <cell r="U1215">
            <v>0</v>
          </cell>
        </row>
        <row r="1216">
          <cell r="A1216" t="str">
            <v>NOV 2015</v>
          </cell>
          <cell r="B1216" t="str">
            <v>LGUM_203</v>
          </cell>
          <cell r="T1216">
            <v>0</v>
          </cell>
          <cell r="U1216">
            <v>0</v>
          </cell>
        </row>
        <row r="1217">
          <cell r="A1217" t="str">
            <v>NOV 2015</v>
          </cell>
          <cell r="B1217" t="str">
            <v>LGUM_204</v>
          </cell>
          <cell r="T1217">
            <v>0</v>
          </cell>
          <cell r="U1217">
            <v>0</v>
          </cell>
        </row>
        <row r="1218">
          <cell r="A1218" t="str">
            <v>NOV 2015</v>
          </cell>
          <cell r="B1218" t="str">
            <v>LGUM_204CU</v>
          </cell>
          <cell r="T1218">
            <v>0</v>
          </cell>
          <cell r="U1218">
            <v>0</v>
          </cell>
        </row>
        <row r="1219">
          <cell r="A1219" t="str">
            <v>NOV 2015</v>
          </cell>
          <cell r="B1219" t="str">
            <v>LGUM_206</v>
          </cell>
          <cell r="T1219">
            <v>0</v>
          </cell>
          <cell r="U1219">
            <v>0</v>
          </cell>
        </row>
        <row r="1220">
          <cell r="A1220" t="str">
            <v>NOV 2015</v>
          </cell>
          <cell r="B1220" t="str">
            <v>LGUM_207</v>
          </cell>
          <cell r="T1220">
            <v>0</v>
          </cell>
          <cell r="U1220">
            <v>0</v>
          </cell>
        </row>
        <row r="1221">
          <cell r="A1221" t="str">
            <v>NOV 2015</v>
          </cell>
          <cell r="B1221" t="str">
            <v>LGUM_208</v>
          </cell>
          <cell r="T1221">
            <v>0</v>
          </cell>
          <cell r="U1221">
            <v>0</v>
          </cell>
        </row>
        <row r="1222">
          <cell r="A1222" t="str">
            <v>NOV 2015</v>
          </cell>
          <cell r="B1222" t="str">
            <v>LGUM_209</v>
          </cell>
          <cell r="T1222">
            <v>0</v>
          </cell>
          <cell r="U1222">
            <v>0</v>
          </cell>
        </row>
        <row r="1223">
          <cell r="A1223" t="str">
            <v>NOV 2015</v>
          </cell>
          <cell r="B1223" t="str">
            <v>LGUM_209CU</v>
          </cell>
          <cell r="T1223">
            <v>0</v>
          </cell>
          <cell r="U1223">
            <v>0</v>
          </cell>
        </row>
        <row r="1224">
          <cell r="A1224" t="str">
            <v>NOV 2015</v>
          </cell>
          <cell r="B1224" t="str">
            <v>LGUM_210</v>
          </cell>
          <cell r="T1224">
            <v>0</v>
          </cell>
          <cell r="U1224">
            <v>0</v>
          </cell>
        </row>
        <row r="1225">
          <cell r="A1225" t="str">
            <v>NOV 2015</v>
          </cell>
          <cell r="B1225" t="str">
            <v>LGUM_252</v>
          </cell>
          <cell r="T1225">
            <v>0</v>
          </cell>
          <cell r="U1225">
            <v>0</v>
          </cell>
        </row>
        <row r="1226">
          <cell r="A1226" t="str">
            <v>NOV 2015</v>
          </cell>
          <cell r="B1226" t="str">
            <v>LGUM_266</v>
          </cell>
          <cell r="T1226">
            <v>0</v>
          </cell>
          <cell r="U1226">
            <v>0</v>
          </cell>
        </row>
        <row r="1227">
          <cell r="A1227" t="str">
            <v>NOV 2015</v>
          </cell>
          <cell r="B1227" t="str">
            <v>LGUM_267</v>
          </cell>
          <cell r="T1227">
            <v>0</v>
          </cell>
          <cell r="U1227">
            <v>0</v>
          </cell>
        </row>
        <row r="1228">
          <cell r="A1228" t="str">
            <v>NOV 2015</v>
          </cell>
          <cell r="B1228" t="str">
            <v>LGUM_274</v>
          </cell>
          <cell r="T1228">
            <v>0</v>
          </cell>
          <cell r="U1228">
            <v>0</v>
          </cell>
        </row>
        <row r="1229">
          <cell r="A1229" t="str">
            <v>NOV 2015</v>
          </cell>
          <cell r="B1229" t="str">
            <v>LGUM_275</v>
          </cell>
          <cell r="T1229">
            <v>0</v>
          </cell>
          <cell r="U1229">
            <v>0</v>
          </cell>
        </row>
        <row r="1230">
          <cell r="A1230" t="str">
            <v>NOV 2015</v>
          </cell>
          <cell r="B1230" t="str">
            <v>LGUM_276</v>
          </cell>
          <cell r="T1230">
            <v>0</v>
          </cell>
          <cell r="U1230">
            <v>0</v>
          </cell>
        </row>
        <row r="1231">
          <cell r="A1231" t="str">
            <v>NOV 2015</v>
          </cell>
          <cell r="B1231" t="str">
            <v>LGUM_277</v>
          </cell>
          <cell r="T1231">
            <v>0</v>
          </cell>
          <cell r="U1231">
            <v>0</v>
          </cell>
        </row>
        <row r="1232">
          <cell r="A1232" t="str">
            <v>NOV 2015</v>
          </cell>
          <cell r="B1232" t="str">
            <v>LGUM_278</v>
          </cell>
          <cell r="T1232">
            <v>0</v>
          </cell>
          <cell r="U1232">
            <v>0</v>
          </cell>
        </row>
        <row r="1233">
          <cell r="A1233" t="str">
            <v>NOV 2015</v>
          </cell>
          <cell r="B1233" t="str">
            <v>LGUM_279</v>
          </cell>
          <cell r="T1233">
            <v>0</v>
          </cell>
          <cell r="U1233">
            <v>0</v>
          </cell>
        </row>
        <row r="1234">
          <cell r="A1234" t="str">
            <v>NOV 2015</v>
          </cell>
          <cell r="B1234" t="str">
            <v>LGUM_280</v>
          </cell>
          <cell r="T1234">
            <v>0</v>
          </cell>
          <cell r="U1234">
            <v>0</v>
          </cell>
        </row>
        <row r="1235">
          <cell r="A1235" t="str">
            <v>NOV 2015</v>
          </cell>
          <cell r="B1235" t="str">
            <v>LGUM_281</v>
          </cell>
          <cell r="T1235">
            <v>0</v>
          </cell>
          <cell r="U1235">
            <v>0</v>
          </cell>
        </row>
        <row r="1236">
          <cell r="A1236" t="str">
            <v>NOV 2015</v>
          </cell>
          <cell r="B1236" t="str">
            <v>LGUM_282</v>
          </cell>
          <cell r="T1236">
            <v>0</v>
          </cell>
          <cell r="U1236">
            <v>0</v>
          </cell>
        </row>
        <row r="1237">
          <cell r="A1237" t="str">
            <v>NOV 2015</v>
          </cell>
          <cell r="B1237" t="str">
            <v>LGUM_283</v>
          </cell>
          <cell r="T1237">
            <v>0</v>
          </cell>
          <cell r="U1237">
            <v>0</v>
          </cell>
        </row>
        <row r="1238">
          <cell r="A1238" t="str">
            <v>NOV 2015</v>
          </cell>
          <cell r="B1238" t="str">
            <v>LGUM_314</v>
          </cell>
          <cell r="T1238">
            <v>0</v>
          </cell>
          <cell r="U1238">
            <v>0</v>
          </cell>
        </row>
        <row r="1239">
          <cell r="A1239" t="str">
            <v>NOV 2015</v>
          </cell>
          <cell r="B1239" t="str">
            <v>LGUM_315</v>
          </cell>
          <cell r="T1239">
            <v>0</v>
          </cell>
          <cell r="U1239">
            <v>0</v>
          </cell>
        </row>
        <row r="1240">
          <cell r="A1240" t="str">
            <v>NOV 2015</v>
          </cell>
          <cell r="B1240" t="str">
            <v>LGUM_318</v>
          </cell>
          <cell r="T1240">
            <v>0</v>
          </cell>
          <cell r="U1240">
            <v>0</v>
          </cell>
        </row>
        <row r="1241">
          <cell r="A1241" t="str">
            <v>NOV 2015</v>
          </cell>
          <cell r="B1241" t="str">
            <v>LGUM_348</v>
          </cell>
          <cell r="T1241">
            <v>0</v>
          </cell>
          <cell r="U1241">
            <v>0</v>
          </cell>
        </row>
        <row r="1242">
          <cell r="A1242" t="str">
            <v>NOV 2015</v>
          </cell>
          <cell r="B1242" t="str">
            <v>LGUM_349</v>
          </cell>
          <cell r="T1242">
            <v>0</v>
          </cell>
          <cell r="U1242">
            <v>0</v>
          </cell>
        </row>
        <row r="1243">
          <cell r="A1243" t="str">
            <v>NOV 2015</v>
          </cell>
          <cell r="B1243" t="str">
            <v>LGUM_400</v>
          </cell>
          <cell r="T1243">
            <v>0</v>
          </cell>
          <cell r="U1243">
            <v>0</v>
          </cell>
        </row>
        <row r="1244">
          <cell r="A1244" t="str">
            <v>NOV 2015</v>
          </cell>
          <cell r="B1244" t="str">
            <v>LGUM_401</v>
          </cell>
          <cell r="T1244">
            <v>0</v>
          </cell>
          <cell r="U1244">
            <v>0</v>
          </cell>
        </row>
        <row r="1245">
          <cell r="A1245" t="str">
            <v>NOV 2015</v>
          </cell>
          <cell r="B1245" t="str">
            <v>LGUM_412</v>
          </cell>
          <cell r="T1245">
            <v>0</v>
          </cell>
          <cell r="U1245">
            <v>0</v>
          </cell>
        </row>
        <row r="1246">
          <cell r="A1246" t="str">
            <v>NOV 2015</v>
          </cell>
          <cell r="B1246" t="str">
            <v>LGUM_413</v>
          </cell>
          <cell r="T1246">
            <v>0</v>
          </cell>
          <cell r="U1246">
            <v>0</v>
          </cell>
        </row>
        <row r="1247">
          <cell r="A1247" t="str">
            <v>NOV 2015</v>
          </cell>
          <cell r="B1247" t="str">
            <v>LGUM_415</v>
          </cell>
          <cell r="T1247">
            <v>0</v>
          </cell>
          <cell r="U1247">
            <v>0</v>
          </cell>
        </row>
        <row r="1248">
          <cell r="A1248" t="str">
            <v>NOV 2015</v>
          </cell>
          <cell r="B1248" t="str">
            <v>LGUM_416</v>
          </cell>
          <cell r="T1248">
            <v>0</v>
          </cell>
          <cell r="U1248">
            <v>0</v>
          </cell>
        </row>
        <row r="1249">
          <cell r="A1249" t="str">
            <v>NOV 2015</v>
          </cell>
          <cell r="B1249" t="str">
            <v>LGUM_417</v>
          </cell>
          <cell r="T1249">
            <v>0</v>
          </cell>
          <cell r="U1249">
            <v>0</v>
          </cell>
        </row>
        <row r="1250">
          <cell r="A1250" t="str">
            <v>NOV 2015</v>
          </cell>
          <cell r="B1250" t="str">
            <v>LGUM_419</v>
          </cell>
          <cell r="T1250">
            <v>0</v>
          </cell>
          <cell r="U1250">
            <v>0</v>
          </cell>
        </row>
        <row r="1251">
          <cell r="A1251" t="str">
            <v>NOV 2015</v>
          </cell>
          <cell r="B1251" t="str">
            <v>LGUM_420</v>
          </cell>
          <cell r="T1251">
            <v>0</v>
          </cell>
          <cell r="U1251">
            <v>0</v>
          </cell>
        </row>
        <row r="1252">
          <cell r="A1252" t="str">
            <v>NOV 2015</v>
          </cell>
          <cell r="B1252" t="str">
            <v>LGUM_421</v>
          </cell>
          <cell r="T1252">
            <v>0</v>
          </cell>
          <cell r="U1252">
            <v>0</v>
          </cell>
        </row>
        <row r="1253">
          <cell r="A1253" t="str">
            <v>NOV 2015</v>
          </cell>
          <cell r="B1253" t="str">
            <v>LGUM_422</v>
          </cell>
          <cell r="T1253">
            <v>0</v>
          </cell>
          <cell r="U1253">
            <v>0</v>
          </cell>
        </row>
        <row r="1254">
          <cell r="A1254" t="str">
            <v>NOV 2015</v>
          </cell>
          <cell r="B1254" t="str">
            <v>LGUM_423</v>
          </cell>
          <cell r="T1254">
            <v>0</v>
          </cell>
          <cell r="U1254">
            <v>0</v>
          </cell>
        </row>
        <row r="1255">
          <cell r="A1255" t="str">
            <v>NOV 2015</v>
          </cell>
          <cell r="B1255" t="str">
            <v>LGUM_424</v>
          </cell>
          <cell r="T1255">
            <v>0</v>
          </cell>
          <cell r="U1255">
            <v>0</v>
          </cell>
        </row>
        <row r="1256">
          <cell r="A1256" t="str">
            <v>NOV 2015</v>
          </cell>
          <cell r="B1256" t="str">
            <v>LGUM_425</v>
          </cell>
          <cell r="T1256">
            <v>0</v>
          </cell>
          <cell r="U1256">
            <v>0</v>
          </cell>
        </row>
        <row r="1257">
          <cell r="A1257" t="str">
            <v>NOV 2015</v>
          </cell>
          <cell r="B1257" t="str">
            <v>LGUM_426</v>
          </cell>
          <cell r="T1257">
            <v>0</v>
          </cell>
          <cell r="U1257">
            <v>0</v>
          </cell>
        </row>
        <row r="1258">
          <cell r="A1258" t="str">
            <v>NOV 2015</v>
          </cell>
          <cell r="B1258" t="str">
            <v>LGUM_427</v>
          </cell>
          <cell r="T1258">
            <v>0</v>
          </cell>
          <cell r="U1258">
            <v>0</v>
          </cell>
        </row>
        <row r="1259">
          <cell r="A1259" t="str">
            <v>NOV 2015</v>
          </cell>
          <cell r="B1259" t="str">
            <v>LGUM_428</v>
          </cell>
          <cell r="T1259">
            <v>0</v>
          </cell>
          <cell r="U1259">
            <v>0</v>
          </cell>
        </row>
        <row r="1260">
          <cell r="A1260" t="str">
            <v>NOV 2015</v>
          </cell>
          <cell r="B1260" t="str">
            <v>LGUM_429</v>
          </cell>
          <cell r="T1260">
            <v>0</v>
          </cell>
          <cell r="U1260">
            <v>0</v>
          </cell>
        </row>
        <row r="1261">
          <cell r="A1261" t="str">
            <v>NOV 2015</v>
          </cell>
          <cell r="B1261" t="str">
            <v>LGUM_430</v>
          </cell>
          <cell r="T1261">
            <v>0</v>
          </cell>
          <cell r="U1261">
            <v>0</v>
          </cell>
        </row>
        <row r="1262">
          <cell r="A1262" t="str">
            <v>NOV 2015</v>
          </cell>
          <cell r="B1262" t="str">
            <v>LGUM_431</v>
          </cell>
          <cell r="T1262">
            <v>0</v>
          </cell>
          <cell r="U1262">
            <v>0</v>
          </cell>
        </row>
        <row r="1263">
          <cell r="A1263" t="str">
            <v>NOV 2015</v>
          </cell>
          <cell r="B1263" t="str">
            <v>LGUM_432</v>
          </cell>
          <cell r="T1263">
            <v>0</v>
          </cell>
          <cell r="U1263">
            <v>0</v>
          </cell>
        </row>
        <row r="1264">
          <cell r="A1264" t="str">
            <v>NOV 2015</v>
          </cell>
          <cell r="B1264" t="str">
            <v>LGUM_433</v>
          </cell>
          <cell r="T1264">
            <v>0</v>
          </cell>
          <cell r="U1264">
            <v>0</v>
          </cell>
        </row>
        <row r="1265">
          <cell r="A1265" t="str">
            <v>NOV 2015</v>
          </cell>
          <cell r="B1265" t="str">
            <v>LGUM_440</v>
          </cell>
          <cell r="T1265">
            <v>0</v>
          </cell>
          <cell r="U1265">
            <v>0</v>
          </cell>
        </row>
        <row r="1266">
          <cell r="A1266" t="str">
            <v>NOV 2015</v>
          </cell>
          <cell r="B1266" t="str">
            <v>LGUM_441</v>
          </cell>
          <cell r="T1266">
            <v>0</v>
          </cell>
          <cell r="U1266">
            <v>0</v>
          </cell>
        </row>
        <row r="1267">
          <cell r="A1267" t="str">
            <v>NOV 2015</v>
          </cell>
          <cell r="B1267" t="str">
            <v>LGUM_452</v>
          </cell>
          <cell r="T1267">
            <v>0</v>
          </cell>
          <cell r="U1267">
            <v>0</v>
          </cell>
        </row>
        <row r="1268">
          <cell r="A1268" t="str">
            <v>NOV 2015</v>
          </cell>
          <cell r="B1268" t="str">
            <v>LGUM_452CU</v>
          </cell>
          <cell r="T1268">
            <v>0</v>
          </cell>
          <cell r="U1268">
            <v>0</v>
          </cell>
        </row>
        <row r="1269">
          <cell r="A1269" t="str">
            <v>NOV 2015</v>
          </cell>
          <cell r="B1269" t="str">
            <v>LGUM_453</v>
          </cell>
          <cell r="T1269">
            <v>0</v>
          </cell>
          <cell r="U1269">
            <v>0</v>
          </cell>
        </row>
        <row r="1270">
          <cell r="A1270" t="str">
            <v>NOV 2015</v>
          </cell>
          <cell r="B1270" t="str">
            <v>LGUM_453CU</v>
          </cell>
          <cell r="T1270">
            <v>0</v>
          </cell>
          <cell r="U1270">
            <v>0</v>
          </cell>
        </row>
        <row r="1271">
          <cell r="A1271" t="str">
            <v>NOV 2015</v>
          </cell>
          <cell r="B1271" t="str">
            <v>LGUM_454</v>
          </cell>
          <cell r="T1271">
            <v>0</v>
          </cell>
          <cell r="U1271">
            <v>0</v>
          </cell>
        </row>
        <row r="1272">
          <cell r="A1272" t="str">
            <v>NOV 2015</v>
          </cell>
          <cell r="B1272" t="str">
            <v>LGUM_454CU</v>
          </cell>
          <cell r="T1272">
            <v>0</v>
          </cell>
          <cell r="U1272">
            <v>0</v>
          </cell>
        </row>
        <row r="1273">
          <cell r="A1273" t="str">
            <v>NOV 2015</v>
          </cell>
          <cell r="B1273" t="str">
            <v>LGUM_455</v>
          </cell>
          <cell r="T1273">
            <v>0</v>
          </cell>
          <cell r="U1273">
            <v>0</v>
          </cell>
        </row>
        <row r="1274">
          <cell r="A1274" t="str">
            <v>NOV 2015</v>
          </cell>
          <cell r="B1274" t="str">
            <v>LGUM_456</v>
          </cell>
          <cell r="T1274">
            <v>0</v>
          </cell>
          <cell r="U1274">
            <v>0</v>
          </cell>
        </row>
        <row r="1275">
          <cell r="A1275" t="str">
            <v>NOV 2015</v>
          </cell>
          <cell r="B1275" t="str">
            <v>LGUM_456CU</v>
          </cell>
          <cell r="T1275">
            <v>0</v>
          </cell>
          <cell r="U1275">
            <v>0</v>
          </cell>
        </row>
        <row r="1276">
          <cell r="A1276" t="str">
            <v>NOV 2015</v>
          </cell>
          <cell r="B1276" t="str">
            <v>LGUM_457</v>
          </cell>
          <cell r="T1276">
            <v>0</v>
          </cell>
          <cell r="U1276">
            <v>0</v>
          </cell>
        </row>
        <row r="1277">
          <cell r="A1277" t="str">
            <v>NOV 2015</v>
          </cell>
          <cell r="B1277" t="str">
            <v>LGUM_458</v>
          </cell>
          <cell r="T1277">
            <v>0</v>
          </cell>
          <cell r="U1277">
            <v>0</v>
          </cell>
        </row>
        <row r="1278">
          <cell r="A1278" t="str">
            <v>NOV 2015</v>
          </cell>
          <cell r="B1278" t="str">
            <v>LGUM_470</v>
          </cell>
          <cell r="T1278">
            <v>0</v>
          </cell>
          <cell r="U1278">
            <v>0</v>
          </cell>
        </row>
        <row r="1279">
          <cell r="A1279" t="str">
            <v>NOV 2015</v>
          </cell>
          <cell r="B1279" t="str">
            <v>LGUM_471</v>
          </cell>
          <cell r="T1279">
            <v>0</v>
          </cell>
          <cell r="U1279">
            <v>0</v>
          </cell>
        </row>
        <row r="1280">
          <cell r="A1280" t="str">
            <v>NOV 2015</v>
          </cell>
          <cell r="B1280" t="str">
            <v>LGUM_473</v>
          </cell>
          <cell r="T1280">
            <v>0</v>
          </cell>
          <cell r="U1280">
            <v>0</v>
          </cell>
        </row>
        <row r="1281">
          <cell r="A1281" t="str">
            <v>NOV 2015</v>
          </cell>
          <cell r="B1281" t="str">
            <v>LGUM_474</v>
          </cell>
          <cell r="T1281">
            <v>0</v>
          </cell>
          <cell r="U1281">
            <v>0</v>
          </cell>
        </row>
        <row r="1282">
          <cell r="A1282" t="str">
            <v>NOV 2015</v>
          </cell>
          <cell r="B1282" t="str">
            <v>LGUM_475</v>
          </cell>
          <cell r="T1282">
            <v>0</v>
          </cell>
          <cell r="U1282">
            <v>0</v>
          </cell>
        </row>
        <row r="1283">
          <cell r="A1283" t="str">
            <v>NOV 2015</v>
          </cell>
          <cell r="B1283" t="str">
            <v>LGUM_476</v>
          </cell>
          <cell r="T1283">
            <v>0</v>
          </cell>
          <cell r="U1283">
            <v>0</v>
          </cell>
        </row>
        <row r="1284">
          <cell r="A1284" t="str">
            <v>NOV 2015</v>
          </cell>
          <cell r="B1284" t="str">
            <v>LGUM_477</v>
          </cell>
          <cell r="T1284">
            <v>0</v>
          </cell>
          <cell r="U1284">
            <v>0</v>
          </cell>
        </row>
        <row r="1285">
          <cell r="A1285" t="str">
            <v>NOV 2015</v>
          </cell>
          <cell r="B1285" t="str">
            <v>LGUM_480</v>
          </cell>
          <cell r="T1285">
            <v>0</v>
          </cell>
          <cell r="U1285">
            <v>0</v>
          </cell>
        </row>
        <row r="1286">
          <cell r="A1286" t="str">
            <v>NOV 2015</v>
          </cell>
          <cell r="B1286" t="str">
            <v>LGUM_481</v>
          </cell>
          <cell r="T1286">
            <v>0</v>
          </cell>
          <cell r="U1286">
            <v>0</v>
          </cell>
        </row>
        <row r="1287">
          <cell r="A1287" t="str">
            <v>NOV 2015</v>
          </cell>
          <cell r="B1287" t="str">
            <v>LGUM_482</v>
          </cell>
          <cell r="T1287">
            <v>0</v>
          </cell>
          <cell r="U1287">
            <v>0</v>
          </cell>
        </row>
        <row r="1288">
          <cell r="A1288" t="str">
            <v>NOV 2015</v>
          </cell>
          <cell r="B1288" t="str">
            <v>LGUM_483</v>
          </cell>
          <cell r="T1288">
            <v>0</v>
          </cell>
          <cell r="U1288">
            <v>0</v>
          </cell>
        </row>
        <row r="1289">
          <cell r="A1289" t="str">
            <v>NOV 2015</v>
          </cell>
          <cell r="B1289" t="str">
            <v>LGUM_484</v>
          </cell>
          <cell r="T1289">
            <v>0</v>
          </cell>
          <cell r="U1289">
            <v>0</v>
          </cell>
        </row>
        <row r="1290">
          <cell r="A1290" t="str">
            <v>NOV 2015</v>
          </cell>
          <cell r="B1290" t="str">
            <v>Result</v>
          </cell>
          <cell r="T1290">
            <v>0</v>
          </cell>
          <cell r="U1290">
            <v>0</v>
          </cell>
        </row>
        <row r="1291">
          <cell r="A1291" t="str">
            <v>DEC 2015</v>
          </cell>
          <cell r="B1291" t="str">
            <v>LEUM_826</v>
          </cell>
          <cell r="T1291">
            <v>0</v>
          </cell>
          <cell r="U1291">
            <v>0</v>
          </cell>
        </row>
        <row r="1292">
          <cell r="A1292" t="str">
            <v>DEC 2015</v>
          </cell>
          <cell r="B1292" t="str">
            <v>LEUM_826</v>
          </cell>
          <cell r="T1292">
            <v>0</v>
          </cell>
          <cell r="U1292">
            <v>0</v>
          </cell>
        </row>
        <row r="1293">
          <cell r="A1293" t="str">
            <v>DEC 2015</v>
          </cell>
          <cell r="B1293" t="str">
            <v>ODL</v>
          </cell>
          <cell r="E1293">
            <v>14608576</v>
          </cell>
          <cell r="L1293">
            <v>0</v>
          </cell>
          <cell r="M1293">
            <v>-11458</v>
          </cell>
          <cell r="P1293">
            <v>0</v>
          </cell>
          <cell r="R1293">
            <v>1658158</v>
          </cell>
          <cell r="T1293">
            <v>0</v>
          </cell>
          <cell r="U1293">
            <v>135363</v>
          </cell>
        </row>
        <row r="1294">
          <cell r="A1294" t="str">
            <v>DEC 2015</v>
          </cell>
          <cell r="B1294" t="str">
            <v>LEUM_829</v>
          </cell>
          <cell r="E1294">
            <v>0</v>
          </cell>
          <cell r="L1294">
            <v>0</v>
          </cell>
          <cell r="M1294">
            <v>0</v>
          </cell>
          <cell r="P1294">
            <v>0</v>
          </cell>
          <cell r="R1294">
            <v>0</v>
          </cell>
          <cell r="T1294">
            <v>0</v>
          </cell>
          <cell r="U1294">
            <v>0</v>
          </cell>
        </row>
        <row r="1295">
          <cell r="A1295" t="str">
            <v>DEC 2015</v>
          </cell>
          <cell r="B1295" t="str">
            <v>LGCME000</v>
          </cell>
          <cell r="E1295">
            <v>0</v>
          </cell>
          <cell r="L1295">
            <v>0</v>
          </cell>
          <cell r="M1295">
            <v>0</v>
          </cell>
          <cell r="P1295">
            <v>0</v>
          </cell>
          <cell r="R1295">
            <v>0</v>
          </cell>
          <cell r="T1295">
            <v>0</v>
          </cell>
          <cell r="U1295">
            <v>0</v>
          </cell>
        </row>
        <row r="1296">
          <cell r="A1296" t="str">
            <v>DEC 2015</v>
          </cell>
          <cell r="B1296" t="str">
            <v>LGCME451</v>
          </cell>
          <cell r="E1296">
            <v>0</v>
          </cell>
          <cell r="L1296">
            <v>0</v>
          </cell>
          <cell r="M1296">
            <v>0</v>
          </cell>
          <cell r="P1296">
            <v>0</v>
          </cell>
          <cell r="R1296">
            <v>0</v>
          </cell>
          <cell r="T1296">
            <v>0</v>
          </cell>
          <cell r="U1296">
            <v>0</v>
          </cell>
        </row>
        <row r="1297">
          <cell r="A1297" t="str">
            <v>DEC 2015</v>
          </cell>
          <cell r="B1297" t="str">
            <v>LGCME551</v>
          </cell>
          <cell r="E1297">
            <v>30941036</v>
          </cell>
          <cell r="L1297">
            <v>69310</v>
          </cell>
          <cell r="M1297">
            <v>-24269</v>
          </cell>
          <cell r="P1297">
            <v>0</v>
          </cell>
          <cell r="R1297">
            <v>3722085</v>
          </cell>
          <cell r="T1297">
            <v>0</v>
          </cell>
          <cell r="U1297">
            <v>286700</v>
          </cell>
        </row>
        <row r="1298">
          <cell r="A1298" t="str">
            <v>DEC 2015</v>
          </cell>
          <cell r="B1298" t="str">
            <v>LGCME551UM</v>
          </cell>
          <cell r="E1298">
            <v>0</v>
          </cell>
          <cell r="L1298">
            <v>0</v>
          </cell>
          <cell r="M1298">
            <v>0</v>
          </cell>
          <cell r="P1298">
            <v>0</v>
          </cell>
          <cell r="R1298">
            <v>0</v>
          </cell>
          <cell r="T1298">
            <v>0</v>
          </cell>
          <cell r="U1298">
            <v>0</v>
          </cell>
        </row>
        <row r="1299">
          <cell r="A1299" t="str">
            <v>DEC 2015</v>
          </cell>
          <cell r="B1299" t="str">
            <v>LGCME552</v>
          </cell>
          <cell r="E1299">
            <v>0</v>
          </cell>
          <cell r="L1299">
            <v>0</v>
          </cell>
          <cell r="M1299">
            <v>0</v>
          </cell>
          <cell r="P1299">
            <v>0</v>
          </cell>
          <cell r="R1299">
            <v>0</v>
          </cell>
          <cell r="T1299">
            <v>0</v>
          </cell>
          <cell r="U1299">
            <v>0</v>
          </cell>
        </row>
        <row r="1300">
          <cell r="A1300" t="str">
            <v>DEC 2015</v>
          </cell>
          <cell r="B1300" t="str">
            <v>LGCME557</v>
          </cell>
          <cell r="E1300">
            <v>0</v>
          </cell>
          <cell r="L1300">
            <v>0</v>
          </cell>
          <cell r="M1300">
            <v>0</v>
          </cell>
          <cell r="P1300">
            <v>0</v>
          </cell>
          <cell r="R1300">
            <v>0</v>
          </cell>
          <cell r="T1300">
            <v>0</v>
          </cell>
          <cell r="U1300">
            <v>0</v>
          </cell>
        </row>
        <row r="1301">
          <cell r="A1301" t="str">
            <v>DEC 2015</v>
          </cell>
          <cell r="B1301" t="str">
            <v>LGCME561</v>
          </cell>
          <cell r="E1301">
            <v>135751631</v>
          </cell>
          <cell r="L1301">
            <v>304092</v>
          </cell>
          <cell r="M1301">
            <v>-106478</v>
          </cell>
          <cell r="P1301">
            <v>0</v>
          </cell>
          <cell r="R1301">
            <v>11876444</v>
          </cell>
          <cell r="T1301">
            <v>4677326</v>
          </cell>
          <cell r="U1301">
            <v>1257877</v>
          </cell>
        </row>
        <row r="1302">
          <cell r="A1302" t="str">
            <v>DEC 2015</v>
          </cell>
          <cell r="B1302" t="str">
            <v>LGCME563</v>
          </cell>
          <cell r="E1302">
            <v>11973010</v>
          </cell>
          <cell r="L1302">
            <v>26820</v>
          </cell>
          <cell r="M1302">
            <v>-9391</v>
          </cell>
          <cell r="P1302">
            <v>0</v>
          </cell>
          <cell r="R1302">
            <v>942307</v>
          </cell>
          <cell r="T1302">
            <v>335035</v>
          </cell>
          <cell r="U1302">
            <v>110942</v>
          </cell>
        </row>
        <row r="1303">
          <cell r="A1303" t="str">
            <v>DEC 2015</v>
          </cell>
          <cell r="B1303" t="str">
            <v>LGCME567</v>
          </cell>
          <cell r="E1303">
            <v>0</v>
          </cell>
          <cell r="L1303">
            <v>0</v>
          </cell>
          <cell r="M1303">
            <v>0</v>
          </cell>
          <cell r="P1303">
            <v>0</v>
          </cell>
          <cell r="R1303">
            <v>0</v>
          </cell>
          <cell r="T1303">
            <v>0</v>
          </cell>
          <cell r="U1303">
            <v>0</v>
          </cell>
        </row>
        <row r="1304">
          <cell r="A1304" t="str">
            <v>DEC 2015</v>
          </cell>
          <cell r="B1304" t="str">
            <v>LGCME591</v>
          </cell>
          <cell r="E1304">
            <v>63933591</v>
          </cell>
          <cell r="L1304">
            <v>143215</v>
          </cell>
          <cell r="M1304">
            <v>-50147</v>
          </cell>
          <cell r="P1304">
            <v>0</v>
          </cell>
          <cell r="R1304">
            <v>5204470</v>
          </cell>
          <cell r="T1304">
            <v>1923842</v>
          </cell>
          <cell r="U1304">
            <v>592410</v>
          </cell>
        </row>
        <row r="1305">
          <cell r="A1305" t="str">
            <v>DEC 2015</v>
          </cell>
          <cell r="B1305" t="str">
            <v>LGCME593</v>
          </cell>
          <cell r="E1305">
            <v>29882690</v>
          </cell>
          <cell r="L1305">
            <v>66939</v>
          </cell>
          <cell r="M1305">
            <v>-23439</v>
          </cell>
          <cell r="P1305">
            <v>0</v>
          </cell>
          <cell r="R1305">
            <v>2398771</v>
          </cell>
          <cell r="T1305">
            <v>928146</v>
          </cell>
          <cell r="U1305">
            <v>276894</v>
          </cell>
        </row>
        <row r="1306">
          <cell r="A1306" t="str">
            <v>DEC 2015</v>
          </cell>
          <cell r="B1306" t="str">
            <v>LGCME651</v>
          </cell>
          <cell r="E1306">
            <v>78915468</v>
          </cell>
          <cell r="L1306">
            <v>176775</v>
          </cell>
          <cell r="M1306">
            <v>-61898</v>
          </cell>
          <cell r="P1306">
            <v>0</v>
          </cell>
          <cell r="R1306">
            <v>8627531</v>
          </cell>
          <cell r="T1306">
            <v>0</v>
          </cell>
          <cell r="U1306">
            <v>731232</v>
          </cell>
        </row>
        <row r="1307">
          <cell r="A1307" t="str">
            <v>DEC 2015</v>
          </cell>
          <cell r="B1307" t="str">
            <v>LGCME652</v>
          </cell>
          <cell r="E1307">
            <v>0</v>
          </cell>
          <cell r="L1307">
            <v>0</v>
          </cell>
          <cell r="M1307">
            <v>0</v>
          </cell>
          <cell r="P1307">
            <v>0</v>
          </cell>
          <cell r="R1307">
            <v>0</v>
          </cell>
          <cell r="T1307">
            <v>0</v>
          </cell>
          <cell r="U1307">
            <v>0</v>
          </cell>
        </row>
        <row r="1308">
          <cell r="A1308" t="str">
            <v>DEC 2015</v>
          </cell>
          <cell r="B1308" t="str">
            <v>LGCME657</v>
          </cell>
          <cell r="E1308">
            <v>0</v>
          </cell>
          <cell r="L1308">
            <v>0</v>
          </cell>
          <cell r="M1308">
            <v>0</v>
          </cell>
          <cell r="P1308">
            <v>0</v>
          </cell>
          <cell r="R1308">
            <v>0</v>
          </cell>
          <cell r="T1308">
            <v>0</v>
          </cell>
          <cell r="U1308">
            <v>0</v>
          </cell>
        </row>
        <row r="1309">
          <cell r="A1309" t="str">
            <v>DEC 2015</v>
          </cell>
          <cell r="B1309" t="str">
            <v>LGCME671</v>
          </cell>
          <cell r="E1309">
            <v>4790100</v>
          </cell>
          <cell r="L1309">
            <v>0</v>
          </cell>
          <cell r="M1309">
            <v>-3757</v>
          </cell>
          <cell r="P1309">
            <v>0</v>
          </cell>
          <cell r="R1309">
            <v>315992</v>
          </cell>
          <cell r="T1309">
            <v>98035</v>
          </cell>
          <cell r="U1309">
            <v>44385</v>
          </cell>
        </row>
        <row r="1310">
          <cell r="A1310" t="str">
            <v>DEC 2015</v>
          </cell>
          <cell r="B1310" t="str">
            <v>LGCSR760</v>
          </cell>
          <cell r="E1310">
            <v>0</v>
          </cell>
          <cell r="L1310">
            <v>0</v>
          </cell>
          <cell r="M1310">
            <v>0</v>
          </cell>
          <cell r="P1310">
            <v>-286526</v>
          </cell>
          <cell r="R1310">
            <v>-286526</v>
          </cell>
          <cell r="T1310">
            <v>0</v>
          </cell>
          <cell r="U1310">
            <v>0</v>
          </cell>
        </row>
        <row r="1311">
          <cell r="A1311" t="str">
            <v>DEC 2015</v>
          </cell>
          <cell r="B1311" t="str">
            <v>LGCSR780</v>
          </cell>
          <cell r="E1311">
            <v>0</v>
          </cell>
          <cell r="L1311">
            <v>0</v>
          </cell>
          <cell r="M1311">
            <v>0</v>
          </cell>
          <cell r="P1311">
            <v>0</v>
          </cell>
          <cell r="R1311">
            <v>0</v>
          </cell>
          <cell r="T1311">
            <v>0</v>
          </cell>
          <cell r="U1311">
            <v>0</v>
          </cell>
        </row>
        <row r="1312">
          <cell r="A1312" t="str">
            <v>DEC 2015</v>
          </cell>
          <cell r="B1312" t="str">
            <v>LGINE000</v>
          </cell>
          <cell r="E1312">
            <v>0</v>
          </cell>
          <cell r="L1312">
            <v>0</v>
          </cell>
          <cell r="M1312">
            <v>0</v>
          </cell>
          <cell r="P1312">
            <v>0</v>
          </cell>
          <cell r="R1312">
            <v>0</v>
          </cell>
          <cell r="T1312">
            <v>0</v>
          </cell>
          <cell r="U1312">
            <v>0</v>
          </cell>
        </row>
        <row r="1313">
          <cell r="A1313" t="str">
            <v>DEC 2015</v>
          </cell>
          <cell r="B1313" t="str">
            <v>LGINE599</v>
          </cell>
          <cell r="E1313">
            <v>9529000</v>
          </cell>
          <cell r="L1313">
            <v>0</v>
          </cell>
          <cell r="M1313">
            <v>-7474</v>
          </cell>
          <cell r="P1313">
            <v>0</v>
          </cell>
          <cell r="R1313">
            <v>594095</v>
          </cell>
          <cell r="T1313">
            <v>156888</v>
          </cell>
          <cell r="U1313">
            <v>88296</v>
          </cell>
        </row>
        <row r="1314">
          <cell r="A1314" t="str">
            <v>DEC 2015</v>
          </cell>
          <cell r="B1314" t="str">
            <v>LGINE643</v>
          </cell>
          <cell r="E1314">
            <v>76289433</v>
          </cell>
          <cell r="L1314">
            <v>0</v>
          </cell>
          <cell r="M1314">
            <v>-59838</v>
          </cell>
          <cell r="P1314">
            <v>0</v>
          </cell>
          <cell r="R1314">
            <v>4735014</v>
          </cell>
          <cell r="T1314">
            <v>1324903</v>
          </cell>
          <cell r="U1314">
            <v>706900</v>
          </cell>
        </row>
        <row r="1315">
          <cell r="A1315" t="str">
            <v>DEC 2015</v>
          </cell>
          <cell r="B1315" t="str">
            <v>LGINE661</v>
          </cell>
          <cell r="E1315">
            <v>18982755</v>
          </cell>
          <cell r="L1315">
            <v>42523</v>
          </cell>
          <cell r="M1315">
            <v>-14889</v>
          </cell>
          <cell r="P1315">
            <v>0</v>
          </cell>
          <cell r="R1315">
            <v>1821131</v>
          </cell>
          <cell r="T1315">
            <v>827643</v>
          </cell>
          <cell r="U1315">
            <v>175895</v>
          </cell>
        </row>
        <row r="1316">
          <cell r="A1316" t="str">
            <v>DEC 2015</v>
          </cell>
          <cell r="B1316" t="str">
            <v>LGINE663</v>
          </cell>
          <cell r="E1316">
            <v>1085432</v>
          </cell>
          <cell r="L1316">
            <v>2431</v>
          </cell>
          <cell r="M1316">
            <v>-851</v>
          </cell>
          <cell r="P1316">
            <v>0</v>
          </cell>
          <cell r="R1316">
            <v>103308</v>
          </cell>
          <cell r="T1316">
            <v>45487</v>
          </cell>
          <cell r="U1316">
            <v>10058</v>
          </cell>
        </row>
        <row r="1317">
          <cell r="A1317" t="str">
            <v>DEC 2015</v>
          </cell>
          <cell r="B1317" t="str">
            <v>LGINE691</v>
          </cell>
          <cell r="E1317">
            <v>20700534</v>
          </cell>
          <cell r="L1317">
            <v>46370</v>
          </cell>
          <cell r="M1317">
            <v>-16237</v>
          </cell>
          <cell r="P1317">
            <v>0</v>
          </cell>
          <cell r="R1317">
            <v>1777277</v>
          </cell>
          <cell r="T1317">
            <v>709780</v>
          </cell>
          <cell r="U1317">
            <v>191812</v>
          </cell>
        </row>
        <row r="1318">
          <cell r="A1318" t="str">
            <v>DEC 2015</v>
          </cell>
          <cell r="B1318" t="str">
            <v>LGINE693</v>
          </cell>
          <cell r="E1318">
            <v>136872012</v>
          </cell>
          <cell r="L1318">
            <v>306601</v>
          </cell>
          <cell r="M1318">
            <v>-107356</v>
          </cell>
          <cell r="P1318">
            <v>0</v>
          </cell>
          <cell r="R1318">
            <v>10068391</v>
          </cell>
          <cell r="T1318">
            <v>3737355</v>
          </cell>
          <cell r="U1318">
            <v>1268259</v>
          </cell>
        </row>
        <row r="1319">
          <cell r="A1319" t="str">
            <v>DEC 2015</v>
          </cell>
          <cell r="B1319" t="str">
            <v>LGMLE570</v>
          </cell>
          <cell r="E1319">
            <v>0</v>
          </cell>
          <cell r="L1319">
            <v>0</v>
          </cell>
          <cell r="M1319">
            <v>0</v>
          </cell>
          <cell r="P1319">
            <v>0</v>
          </cell>
          <cell r="R1319">
            <v>0</v>
          </cell>
          <cell r="T1319">
            <v>0</v>
          </cell>
          <cell r="U1319">
            <v>0</v>
          </cell>
        </row>
        <row r="1320">
          <cell r="A1320" t="str">
            <v>DEC 2015</v>
          </cell>
          <cell r="B1320" t="str">
            <v>LGMLE571</v>
          </cell>
          <cell r="E1320">
            <v>0</v>
          </cell>
          <cell r="L1320">
            <v>0</v>
          </cell>
          <cell r="M1320">
            <v>0</v>
          </cell>
          <cell r="P1320">
            <v>0</v>
          </cell>
          <cell r="R1320">
            <v>0</v>
          </cell>
          <cell r="T1320">
            <v>0</v>
          </cell>
          <cell r="U1320">
            <v>0</v>
          </cell>
        </row>
        <row r="1321">
          <cell r="A1321" t="str">
            <v>DEC 2015</v>
          </cell>
          <cell r="B1321" t="str">
            <v>LGMLE572</v>
          </cell>
          <cell r="E1321">
            <v>0</v>
          </cell>
          <cell r="L1321">
            <v>0</v>
          </cell>
          <cell r="M1321">
            <v>0</v>
          </cell>
          <cell r="P1321">
            <v>0</v>
          </cell>
          <cell r="R1321">
            <v>0</v>
          </cell>
          <cell r="T1321">
            <v>0</v>
          </cell>
          <cell r="U1321">
            <v>0</v>
          </cell>
        </row>
        <row r="1322">
          <cell r="A1322" t="str">
            <v>DEC 2015</v>
          </cell>
          <cell r="B1322" t="str">
            <v>LGMLE573</v>
          </cell>
          <cell r="E1322">
            <v>0</v>
          </cell>
          <cell r="L1322">
            <v>0</v>
          </cell>
          <cell r="M1322">
            <v>0</v>
          </cell>
          <cell r="P1322">
            <v>0</v>
          </cell>
          <cell r="R1322">
            <v>0</v>
          </cell>
          <cell r="T1322">
            <v>0</v>
          </cell>
          <cell r="U1322">
            <v>0</v>
          </cell>
        </row>
        <row r="1323">
          <cell r="A1323" t="str">
            <v>DEC 2015</v>
          </cell>
          <cell r="B1323" t="str">
            <v>LGMLE574</v>
          </cell>
          <cell r="E1323">
            <v>0</v>
          </cell>
          <cell r="L1323">
            <v>0</v>
          </cell>
          <cell r="M1323">
            <v>0</v>
          </cell>
          <cell r="P1323">
            <v>0</v>
          </cell>
          <cell r="R1323">
            <v>0</v>
          </cell>
          <cell r="T1323">
            <v>0</v>
          </cell>
          <cell r="U1323">
            <v>0</v>
          </cell>
        </row>
        <row r="1324">
          <cell r="A1324" t="str">
            <v>DEC 2015</v>
          </cell>
          <cell r="B1324" t="str">
            <v>LGRSE000</v>
          </cell>
          <cell r="E1324">
            <v>0</v>
          </cell>
          <cell r="L1324">
            <v>0</v>
          </cell>
          <cell r="M1324">
            <v>0</v>
          </cell>
          <cell r="P1324">
            <v>0</v>
          </cell>
          <cell r="R1324">
            <v>0</v>
          </cell>
          <cell r="T1324">
            <v>0</v>
          </cell>
          <cell r="U1324">
            <v>0</v>
          </cell>
        </row>
        <row r="1325">
          <cell r="A1325" t="str">
            <v>DEC 2015</v>
          </cell>
          <cell r="B1325" t="str">
            <v>LGRSE411</v>
          </cell>
          <cell r="E1325">
            <v>0</v>
          </cell>
          <cell r="L1325">
            <v>0</v>
          </cell>
          <cell r="M1325">
            <v>0</v>
          </cell>
          <cell r="P1325">
            <v>0</v>
          </cell>
          <cell r="R1325">
            <v>0</v>
          </cell>
          <cell r="T1325">
            <v>0</v>
          </cell>
          <cell r="U1325">
            <v>0</v>
          </cell>
        </row>
        <row r="1326">
          <cell r="A1326" t="str">
            <v>DEC 2015</v>
          </cell>
          <cell r="B1326" t="str">
            <v>LGRSE511</v>
          </cell>
          <cell r="E1326">
            <v>335495731</v>
          </cell>
          <cell r="L1326">
            <v>751530</v>
          </cell>
          <cell r="M1326">
            <v>-263148</v>
          </cell>
          <cell r="P1326">
            <v>0</v>
          </cell>
          <cell r="R1326">
            <v>34577025</v>
          </cell>
          <cell r="T1326">
            <v>0</v>
          </cell>
          <cell r="U1326">
            <v>3108711</v>
          </cell>
        </row>
        <row r="1327">
          <cell r="A1327" t="str">
            <v>DEC 2015</v>
          </cell>
          <cell r="B1327" t="str">
            <v>LGRSE519</v>
          </cell>
          <cell r="E1327">
            <v>0</v>
          </cell>
          <cell r="L1327">
            <v>0</v>
          </cell>
          <cell r="M1327">
            <v>0</v>
          </cell>
          <cell r="P1327">
            <v>0</v>
          </cell>
          <cell r="R1327">
            <v>0</v>
          </cell>
          <cell r="T1327">
            <v>0</v>
          </cell>
          <cell r="U1327">
            <v>0</v>
          </cell>
        </row>
        <row r="1328">
          <cell r="A1328" t="str">
            <v>DEC 2015</v>
          </cell>
          <cell r="B1328" t="str">
            <v>LGRSE540</v>
          </cell>
          <cell r="E1328">
            <v>0</v>
          </cell>
          <cell r="L1328">
            <v>0</v>
          </cell>
          <cell r="M1328">
            <v>0</v>
          </cell>
          <cell r="P1328">
            <v>0</v>
          </cell>
          <cell r="R1328">
            <v>0</v>
          </cell>
          <cell r="T1328">
            <v>0</v>
          </cell>
          <cell r="U1328">
            <v>0</v>
          </cell>
        </row>
        <row r="1329">
          <cell r="A1329" t="str">
            <v>DEC 2015</v>
          </cell>
          <cell r="B1329" t="str">
            <v>LGRSE543</v>
          </cell>
          <cell r="E1329">
            <v>0</v>
          </cell>
          <cell r="L1329">
            <v>0</v>
          </cell>
          <cell r="M1329">
            <v>0</v>
          </cell>
          <cell r="P1329">
            <v>0</v>
          </cell>
          <cell r="R1329">
            <v>0</v>
          </cell>
          <cell r="T1329">
            <v>0</v>
          </cell>
          <cell r="U1329">
            <v>0</v>
          </cell>
        </row>
        <row r="1330">
          <cell r="A1330" t="str">
            <v>DEC 2015</v>
          </cell>
          <cell r="B1330" t="str">
            <v>LGRSE547</v>
          </cell>
          <cell r="E1330">
            <v>0</v>
          </cell>
          <cell r="L1330">
            <v>0</v>
          </cell>
          <cell r="M1330">
            <v>0</v>
          </cell>
          <cell r="P1330">
            <v>0</v>
          </cell>
          <cell r="R1330">
            <v>0</v>
          </cell>
          <cell r="T1330">
            <v>0</v>
          </cell>
          <cell r="U1330">
            <v>0</v>
          </cell>
        </row>
        <row r="1331">
          <cell r="A1331" t="str">
            <v>DEC 2015</v>
          </cell>
          <cell r="B1331" t="str">
            <v>LGUM_000</v>
          </cell>
          <cell r="T1331">
            <v>0</v>
          </cell>
          <cell r="U1331">
            <v>0</v>
          </cell>
        </row>
        <row r="1332">
          <cell r="A1332" t="str">
            <v>DEC 2015</v>
          </cell>
          <cell r="B1332" t="str">
            <v>LGUM_201</v>
          </cell>
          <cell r="T1332">
            <v>0</v>
          </cell>
          <cell r="U1332">
            <v>0</v>
          </cell>
        </row>
        <row r="1333">
          <cell r="A1333" t="str">
            <v>DEC 2015</v>
          </cell>
          <cell r="B1333" t="str">
            <v>LGUM_203</v>
          </cell>
          <cell r="T1333">
            <v>0</v>
          </cell>
          <cell r="U1333">
            <v>0</v>
          </cell>
        </row>
        <row r="1334">
          <cell r="A1334" t="str">
            <v>DEC 2015</v>
          </cell>
          <cell r="B1334" t="str">
            <v>LGUM_204</v>
          </cell>
          <cell r="T1334">
            <v>0</v>
          </cell>
          <cell r="U1334">
            <v>0</v>
          </cell>
        </row>
        <row r="1335">
          <cell r="A1335" t="str">
            <v>DEC 2015</v>
          </cell>
          <cell r="B1335" t="str">
            <v>LGUM_204CU</v>
          </cell>
          <cell r="T1335">
            <v>0</v>
          </cell>
          <cell r="U1335">
            <v>0</v>
          </cell>
        </row>
        <row r="1336">
          <cell r="A1336" t="str">
            <v>DEC 2015</v>
          </cell>
          <cell r="B1336" t="str">
            <v>LGUM_206</v>
          </cell>
          <cell r="T1336">
            <v>0</v>
          </cell>
          <cell r="U1336">
            <v>0</v>
          </cell>
        </row>
        <row r="1337">
          <cell r="A1337" t="str">
            <v>DEC 2015</v>
          </cell>
          <cell r="B1337" t="str">
            <v>LGUM_207</v>
          </cell>
          <cell r="T1337">
            <v>0</v>
          </cell>
          <cell r="U1337">
            <v>0</v>
          </cell>
        </row>
        <row r="1338">
          <cell r="A1338" t="str">
            <v>DEC 2015</v>
          </cell>
          <cell r="B1338" t="str">
            <v>LGUM_208</v>
          </cell>
          <cell r="T1338">
            <v>0</v>
          </cell>
          <cell r="U1338">
            <v>0</v>
          </cell>
        </row>
        <row r="1339">
          <cell r="A1339" t="str">
            <v>DEC 2015</v>
          </cell>
          <cell r="B1339" t="str">
            <v>LGUM_209</v>
          </cell>
          <cell r="T1339">
            <v>0</v>
          </cell>
          <cell r="U1339">
            <v>0</v>
          </cell>
        </row>
        <row r="1340">
          <cell r="A1340" t="str">
            <v>DEC 2015</v>
          </cell>
          <cell r="B1340" t="str">
            <v>LGUM_209CU</v>
          </cell>
          <cell r="T1340">
            <v>0</v>
          </cell>
          <cell r="U1340">
            <v>0</v>
          </cell>
        </row>
        <row r="1341">
          <cell r="A1341" t="str">
            <v>DEC 2015</v>
          </cell>
          <cell r="B1341" t="str">
            <v>LGUM_210</v>
          </cell>
          <cell r="T1341">
            <v>0</v>
          </cell>
          <cell r="U1341">
            <v>0</v>
          </cell>
        </row>
        <row r="1342">
          <cell r="A1342" t="str">
            <v>DEC 2015</v>
          </cell>
          <cell r="B1342" t="str">
            <v>LGUM_252</v>
          </cell>
          <cell r="T1342">
            <v>0</v>
          </cell>
          <cell r="U1342">
            <v>0</v>
          </cell>
        </row>
        <row r="1343">
          <cell r="A1343" t="str">
            <v>DEC 2015</v>
          </cell>
          <cell r="B1343" t="str">
            <v>LGUM_266</v>
          </cell>
          <cell r="T1343">
            <v>0</v>
          </cell>
          <cell r="U1343">
            <v>0</v>
          </cell>
        </row>
        <row r="1344">
          <cell r="A1344" t="str">
            <v>DEC 2015</v>
          </cell>
          <cell r="B1344" t="str">
            <v>LGUM_267</v>
          </cell>
          <cell r="T1344">
            <v>0</v>
          </cell>
          <cell r="U1344">
            <v>0</v>
          </cell>
        </row>
        <row r="1345">
          <cell r="A1345" t="str">
            <v>DEC 2015</v>
          </cell>
          <cell r="B1345" t="str">
            <v>LGUM_274</v>
          </cell>
          <cell r="T1345">
            <v>0</v>
          </cell>
          <cell r="U1345">
            <v>0</v>
          </cell>
        </row>
        <row r="1346">
          <cell r="A1346" t="str">
            <v>DEC 2015</v>
          </cell>
          <cell r="B1346" t="str">
            <v>LGUM_275</v>
          </cell>
          <cell r="T1346">
            <v>0</v>
          </cell>
          <cell r="U1346">
            <v>0</v>
          </cell>
        </row>
        <row r="1347">
          <cell r="A1347" t="str">
            <v>DEC 2015</v>
          </cell>
          <cell r="B1347" t="str">
            <v>LGUM_276</v>
          </cell>
          <cell r="T1347">
            <v>0</v>
          </cell>
          <cell r="U1347">
            <v>0</v>
          </cell>
        </row>
        <row r="1348">
          <cell r="A1348" t="str">
            <v>DEC 2015</v>
          </cell>
          <cell r="B1348" t="str">
            <v>LGUM_277</v>
          </cell>
          <cell r="T1348">
            <v>0</v>
          </cell>
          <cell r="U1348">
            <v>0</v>
          </cell>
        </row>
        <row r="1349">
          <cell r="A1349" t="str">
            <v>DEC 2015</v>
          </cell>
          <cell r="B1349" t="str">
            <v>LGUM_278</v>
          </cell>
          <cell r="T1349">
            <v>0</v>
          </cell>
          <cell r="U1349">
            <v>0</v>
          </cell>
        </row>
        <row r="1350">
          <cell r="A1350" t="str">
            <v>DEC 2015</v>
          </cell>
          <cell r="B1350" t="str">
            <v>LGUM_279</v>
          </cell>
          <cell r="T1350">
            <v>0</v>
          </cell>
          <cell r="U1350">
            <v>0</v>
          </cell>
        </row>
        <row r="1351">
          <cell r="A1351" t="str">
            <v>DEC 2015</v>
          </cell>
          <cell r="B1351" t="str">
            <v>LGUM_280</v>
          </cell>
          <cell r="T1351">
            <v>0</v>
          </cell>
          <cell r="U1351">
            <v>0</v>
          </cell>
        </row>
        <row r="1352">
          <cell r="A1352" t="str">
            <v>DEC 2015</v>
          </cell>
          <cell r="B1352" t="str">
            <v>LGUM_281</v>
          </cell>
          <cell r="T1352">
            <v>0</v>
          </cell>
          <cell r="U1352">
            <v>0</v>
          </cell>
        </row>
        <row r="1353">
          <cell r="A1353" t="str">
            <v>DEC 2015</v>
          </cell>
          <cell r="B1353" t="str">
            <v>LGUM_282</v>
          </cell>
          <cell r="T1353">
            <v>0</v>
          </cell>
          <cell r="U1353">
            <v>0</v>
          </cell>
        </row>
        <row r="1354">
          <cell r="A1354" t="str">
            <v>DEC 2015</v>
          </cell>
          <cell r="B1354" t="str">
            <v>LGUM_283</v>
          </cell>
          <cell r="T1354">
            <v>0</v>
          </cell>
          <cell r="U1354">
            <v>0</v>
          </cell>
        </row>
        <row r="1355">
          <cell r="A1355" t="str">
            <v>DEC 2015</v>
          </cell>
          <cell r="B1355" t="str">
            <v>LGUM_314</v>
          </cell>
          <cell r="T1355">
            <v>0</v>
          </cell>
          <cell r="U1355">
            <v>0</v>
          </cell>
        </row>
        <row r="1356">
          <cell r="A1356" t="str">
            <v>DEC 2015</v>
          </cell>
          <cell r="B1356" t="str">
            <v>LGUM_315</v>
          </cell>
          <cell r="T1356">
            <v>0</v>
          </cell>
          <cell r="U1356">
            <v>0</v>
          </cell>
        </row>
        <row r="1357">
          <cell r="A1357" t="str">
            <v>DEC 2015</v>
          </cell>
          <cell r="B1357" t="str">
            <v>LGUM_318</v>
          </cell>
          <cell r="T1357">
            <v>0</v>
          </cell>
          <cell r="U1357">
            <v>0</v>
          </cell>
        </row>
        <row r="1358">
          <cell r="A1358" t="str">
            <v>DEC 2015</v>
          </cell>
          <cell r="B1358" t="str">
            <v>LGUM_348</v>
          </cell>
          <cell r="T1358">
            <v>0</v>
          </cell>
          <cell r="U1358">
            <v>0</v>
          </cell>
        </row>
        <row r="1359">
          <cell r="A1359" t="str">
            <v>DEC 2015</v>
          </cell>
          <cell r="B1359" t="str">
            <v>LGUM_349</v>
          </cell>
          <cell r="T1359">
            <v>0</v>
          </cell>
          <cell r="U1359">
            <v>0</v>
          </cell>
        </row>
        <row r="1360">
          <cell r="A1360" t="str">
            <v>DEC 2015</v>
          </cell>
          <cell r="B1360" t="str">
            <v>LGUM_400</v>
          </cell>
          <cell r="T1360">
            <v>0</v>
          </cell>
          <cell r="U1360">
            <v>0</v>
          </cell>
        </row>
        <row r="1361">
          <cell r="A1361" t="str">
            <v>DEC 2015</v>
          </cell>
          <cell r="B1361" t="str">
            <v>LGUM_401</v>
          </cell>
          <cell r="T1361">
            <v>0</v>
          </cell>
          <cell r="U1361">
            <v>0</v>
          </cell>
        </row>
        <row r="1362">
          <cell r="A1362" t="str">
            <v>DEC 2015</v>
          </cell>
          <cell r="B1362" t="str">
            <v>LGUM_412</v>
          </cell>
          <cell r="T1362">
            <v>0</v>
          </cell>
          <cell r="U1362">
            <v>0</v>
          </cell>
        </row>
        <row r="1363">
          <cell r="A1363" t="str">
            <v>DEC 2015</v>
          </cell>
          <cell r="B1363" t="str">
            <v>LGUM_413</v>
          </cell>
          <cell r="T1363">
            <v>0</v>
          </cell>
          <cell r="U1363">
            <v>0</v>
          </cell>
        </row>
        <row r="1364">
          <cell r="A1364" t="str">
            <v>DEC 2015</v>
          </cell>
          <cell r="B1364" t="str">
            <v>LGUM_415</v>
          </cell>
          <cell r="T1364">
            <v>0</v>
          </cell>
          <cell r="U1364">
            <v>0</v>
          </cell>
        </row>
        <row r="1365">
          <cell r="A1365" t="str">
            <v>DEC 2015</v>
          </cell>
          <cell r="B1365" t="str">
            <v>LGUM_416</v>
          </cell>
          <cell r="T1365">
            <v>0</v>
          </cell>
          <cell r="U1365">
            <v>0</v>
          </cell>
        </row>
        <row r="1366">
          <cell r="A1366" t="str">
            <v>DEC 2015</v>
          </cell>
          <cell r="B1366" t="str">
            <v>LGUM_417</v>
          </cell>
          <cell r="T1366">
            <v>0</v>
          </cell>
          <cell r="U1366">
            <v>0</v>
          </cell>
        </row>
        <row r="1367">
          <cell r="A1367" t="str">
            <v>DEC 2015</v>
          </cell>
          <cell r="B1367" t="str">
            <v>LGUM_419</v>
          </cell>
          <cell r="T1367">
            <v>0</v>
          </cell>
          <cell r="U1367">
            <v>0</v>
          </cell>
        </row>
        <row r="1368">
          <cell r="A1368" t="str">
            <v>DEC 2015</v>
          </cell>
          <cell r="B1368" t="str">
            <v>LGUM_420</v>
          </cell>
          <cell r="T1368">
            <v>0</v>
          </cell>
          <cell r="U1368">
            <v>0</v>
          </cell>
        </row>
        <row r="1369">
          <cell r="A1369" t="str">
            <v>DEC 2015</v>
          </cell>
          <cell r="B1369" t="str">
            <v>LGUM_421</v>
          </cell>
          <cell r="T1369">
            <v>0</v>
          </cell>
          <cell r="U1369">
            <v>0</v>
          </cell>
        </row>
        <row r="1370">
          <cell r="A1370" t="str">
            <v>DEC 2015</v>
          </cell>
          <cell r="B1370" t="str">
            <v>LGUM_422</v>
          </cell>
          <cell r="T1370">
            <v>0</v>
          </cell>
          <cell r="U1370">
            <v>0</v>
          </cell>
        </row>
        <row r="1371">
          <cell r="A1371" t="str">
            <v>DEC 2015</v>
          </cell>
          <cell r="B1371" t="str">
            <v>LGUM_423</v>
          </cell>
          <cell r="T1371">
            <v>0</v>
          </cell>
          <cell r="U1371">
            <v>0</v>
          </cell>
        </row>
        <row r="1372">
          <cell r="A1372" t="str">
            <v>DEC 2015</v>
          </cell>
          <cell r="B1372" t="str">
            <v>LGUM_424</v>
          </cell>
          <cell r="T1372">
            <v>0</v>
          </cell>
          <cell r="U1372">
            <v>0</v>
          </cell>
        </row>
        <row r="1373">
          <cell r="A1373" t="str">
            <v>DEC 2015</v>
          </cell>
          <cell r="B1373" t="str">
            <v>LGUM_425</v>
          </cell>
          <cell r="T1373">
            <v>0</v>
          </cell>
          <cell r="U1373">
            <v>0</v>
          </cell>
        </row>
        <row r="1374">
          <cell r="A1374" t="str">
            <v>DEC 2015</v>
          </cell>
          <cell r="B1374" t="str">
            <v>LGUM_426</v>
          </cell>
          <cell r="T1374">
            <v>0</v>
          </cell>
          <cell r="U1374">
            <v>0</v>
          </cell>
        </row>
        <row r="1375">
          <cell r="A1375" t="str">
            <v>DEC 2015</v>
          </cell>
          <cell r="B1375" t="str">
            <v>LGUM_427</v>
          </cell>
          <cell r="T1375">
            <v>0</v>
          </cell>
          <cell r="U1375">
            <v>0</v>
          </cell>
        </row>
        <row r="1376">
          <cell r="A1376" t="str">
            <v>DEC 2015</v>
          </cell>
          <cell r="B1376" t="str">
            <v>LGUM_428</v>
          </cell>
          <cell r="T1376">
            <v>0</v>
          </cell>
          <cell r="U1376">
            <v>0</v>
          </cell>
        </row>
        <row r="1377">
          <cell r="A1377" t="str">
            <v>DEC 2015</v>
          </cell>
          <cell r="B1377" t="str">
            <v>LGUM_429</v>
          </cell>
          <cell r="T1377">
            <v>0</v>
          </cell>
          <cell r="U1377">
            <v>0</v>
          </cell>
        </row>
        <row r="1378">
          <cell r="A1378" t="str">
            <v>DEC 2015</v>
          </cell>
          <cell r="B1378" t="str">
            <v>LGUM_430</v>
          </cell>
          <cell r="T1378">
            <v>0</v>
          </cell>
          <cell r="U1378">
            <v>0</v>
          </cell>
        </row>
        <row r="1379">
          <cell r="A1379" t="str">
            <v>DEC 2015</v>
          </cell>
          <cell r="B1379" t="str">
            <v>LGUM_431</v>
          </cell>
          <cell r="T1379">
            <v>0</v>
          </cell>
          <cell r="U1379">
            <v>0</v>
          </cell>
        </row>
        <row r="1380">
          <cell r="A1380" t="str">
            <v>DEC 2015</v>
          </cell>
          <cell r="B1380" t="str">
            <v>LGUM_432</v>
          </cell>
          <cell r="T1380">
            <v>0</v>
          </cell>
          <cell r="U1380">
            <v>0</v>
          </cell>
        </row>
        <row r="1381">
          <cell r="A1381" t="str">
            <v>DEC 2015</v>
          </cell>
          <cell r="B1381" t="str">
            <v>LGUM_433</v>
          </cell>
          <cell r="T1381">
            <v>0</v>
          </cell>
          <cell r="U1381">
            <v>0</v>
          </cell>
        </row>
        <row r="1382">
          <cell r="A1382" t="str">
            <v>DEC 2015</v>
          </cell>
          <cell r="B1382" t="str">
            <v>LGUM_440</v>
          </cell>
          <cell r="T1382">
            <v>0</v>
          </cell>
          <cell r="U1382">
            <v>0</v>
          </cell>
        </row>
        <row r="1383">
          <cell r="A1383" t="str">
            <v>DEC 2015</v>
          </cell>
          <cell r="B1383" t="str">
            <v>LGUM_441</v>
          </cell>
          <cell r="T1383">
            <v>0</v>
          </cell>
          <cell r="U1383">
            <v>0</v>
          </cell>
        </row>
        <row r="1384">
          <cell r="A1384" t="str">
            <v>DEC 2015</v>
          </cell>
          <cell r="B1384" t="str">
            <v>LGUM_452</v>
          </cell>
          <cell r="T1384">
            <v>0</v>
          </cell>
          <cell r="U1384">
            <v>0</v>
          </cell>
        </row>
        <row r="1385">
          <cell r="A1385" t="str">
            <v>DEC 2015</v>
          </cell>
          <cell r="B1385" t="str">
            <v>LGUM_452CU</v>
          </cell>
          <cell r="T1385">
            <v>0</v>
          </cell>
          <cell r="U1385">
            <v>0</v>
          </cell>
        </row>
        <row r="1386">
          <cell r="A1386" t="str">
            <v>DEC 2015</v>
          </cell>
          <cell r="B1386" t="str">
            <v>LGUM_453</v>
          </cell>
          <cell r="T1386">
            <v>0</v>
          </cell>
          <cell r="U1386">
            <v>0</v>
          </cell>
        </row>
        <row r="1387">
          <cell r="A1387" t="str">
            <v>DEC 2015</v>
          </cell>
          <cell r="B1387" t="str">
            <v>LGUM_453CU</v>
          </cell>
          <cell r="T1387">
            <v>0</v>
          </cell>
          <cell r="U1387">
            <v>0</v>
          </cell>
        </row>
        <row r="1388">
          <cell r="A1388" t="str">
            <v>DEC 2015</v>
          </cell>
          <cell r="B1388" t="str">
            <v>LGUM_454</v>
          </cell>
          <cell r="T1388">
            <v>0</v>
          </cell>
          <cell r="U1388">
            <v>0</v>
          </cell>
        </row>
        <row r="1389">
          <cell r="A1389" t="str">
            <v>DEC 2015</v>
          </cell>
          <cell r="B1389" t="str">
            <v>LGUM_454CU</v>
          </cell>
          <cell r="T1389">
            <v>0</v>
          </cell>
          <cell r="U1389">
            <v>0</v>
          </cell>
        </row>
        <row r="1390">
          <cell r="A1390" t="str">
            <v>DEC 2015</v>
          </cell>
          <cell r="B1390" t="str">
            <v>LGUM_455</v>
          </cell>
          <cell r="T1390">
            <v>0</v>
          </cell>
          <cell r="U1390">
            <v>0</v>
          </cell>
        </row>
        <row r="1391">
          <cell r="A1391" t="str">
            <v>DEC 2015</v>
          </cell>
          <cell r="B1391" t="str">
            <v>LGUM_456</v>
          </cell>
          <cell r="T1391">
            <v>0</v>
          </cell>
          <cell r="U1391">
            <v>0</v>
          </cell>
        </row>
        <row r="1392">
          <cell r="A1392" t="str">
            <v>DEC 2015</v>
          </cell>
          <cell r="B1392" t="str">
            <v>LGUM_456CU</v>
          </cell>
          <cell r="T1392">
            <v>0</v>
          </cell>
          <cell r="U1392">
            <v>0</v>
          </cell>
        </row>
        <row r="1393">
          <cell r="A1393" t="str">
            <v>DEC 2015</v>
          </cell>
          <cell r="B1393" t="str">
            <v>LGUM_457</v>
          </cell>
          <cell r="T1393">
            <v>0</v>
          </cell>
          <cell r="U1393">
            <v>0</v>
          </cell>
        </row>
        <row r="1394">
          <cell r="A1394" t="str">
            <v>DEC 2015</v>
          </cell>
          <cell r="B1394" t="str">
            <v>LGUM_458</v>
          </cell>
          <cell r="T1394">
            <v>0</v>
          </cell>
          <cell r="U1394">
            <v>0</v>
          </cell>
        </row>
        <row r="1395">
          <cell r="A1395" t="str">
            <v>DEC 2015</v>
          </cell>
          <cell r="B1395" t="str">
            <v>LGUM_470</v>
          </cell>
          <cell r="T1395">
            <v>0</v>
          </cell>
          <cell r="U1395">
            <v>0</v>
          </cell>
        </row>
        <row r="1396">
          <cell r="A1396" t="str">
            <v>DEC 2015</v>
          </cell>
          <cell r="B1396" t="str">
            <v>LGUM_471</v>
          </cell>
          <cell r="T1396">
            <v>0</v>
          </cell>
          <cell r="U1396">
            <v>0</v>
          </cell>
        </row>
        <row r="1397">
          <cell r="A1397" t="str">
            <v>DEC 2015</v>
          </cell>
          <cell r="B1397" t="str">
            <v>LGUM_473</v>
          </cell>
          <cell r="T1397">
            <v>0</v>
          </cell>
          <cell r="U1397">
            <v>0</v>
          </cell>
        </row>
        <row r="1398">
          <cell r="A1398" t="str">
            <v>DEC 2015</v>
          </cell>
          <cell r="B1398" t="str">
            <v>LGUM_474</v>
          </cell>
          <cell r="T1398">
            <v>0</v>
          </cell>
          <cell r="U1398">
            <v>0</v>
          </cell>
        </row>
        <row r="1399">
          <cell r="A1399" t="str">
            <v>DEC 2015</v>
          </cell>
          <cell r="B1399" t="str">
            <v>LGUM_475</v>
          </cell>
          <cell r="T1399">
            <v>0</v>
          </cell>
          <cell r="U1399">
            <v>0</v>
          </cell>
        </row>
        <row r="1400">
          <cell r="A1400" t="str">
            <v>DEC 2015</v>
          </cell>
          <cell r="B1400" t="str">
            <v>LGUM_476</v>
          </cell>
          <cell r="T1400">
            <v>0</v>
          </cell>
          <cell r="U1400">
            <v>0</v>
          </cell>
        </row>
        <row r="1401">
          <cell r="A1401" t="str">
            <v>DEC 2015</v>
          </cell>
          <cell r="B1401" t="str">
            <v>LGUM_477</v>
          </cell>
          <cell r="T1401">
            <v>0</v>
          </cell>
          <cell r="U1401">
            <v>0</v>
          </cell>
        </row>
        <row r="1402">
          <cell r="A1402" t="str">
            <v>DEC 2015</v>
          </cell>
          <cell r="B1402" t="str">
            <v>LGUM_480</v>
          </cell>
          <cell r="T1402">
            <v>0</v>
          </cell>
          <cell r="U1402">
            <v>0</v>
          </cell>
        </row>
        <row r="1403">
          <cell r="A1403" t="str">
            <v>DEC 2015</v>
          </cell>
          <cell r="B1403" t="str">
            <v>LGUM_481</v>
          </cell>
          <cell r="T1403">
            <v>0</v>
          </cell>
          <cell r="U1403">
            <v>0</v>
          </cell>
        </row>
        <row r="1404">
          <cell r="A1404" t="str">
            <v>DEC 2015</v>
          </cell>
          <cell r="B1404" t="str">
            <v>LGUM_482</v>
          </cell>
          <cell r="T1404">
            <v>0</v>
          </cell>
          <cell r="U1404">
            <v>0</v>
          </cell>
        </row>
        <row r="1405">
          <cell r="A1405" t="str">
            <v>DEC 2015</v>
          </cell>
          <cell r="B1405" t="str">
            <v>LGUM_483</v>
          </cell>
          <cell r="T1405">
            <v>0</v>
          </cell>
          <cell r="U1405">
            <v>0</v>
          </cell>
        </row>
        <row r="1406">
          <cell r="A1406" t="str">
            <v>DEC 2015</v>
          </cell>
          <cell r="B1406" t="str">
            <v>LGUM_484</v>
          </cell>
          <cell r="T1406">
            <v>0</v>
          </cell>
          <cell r="U1406">
            <v>0</v>
          </cell>
        </row>
        <row r="1407">
          <cell r="A1407" t="str">
            <v>DEC 2015</v>
          </cell>
          <cell r="B1407" t="str">
            <v>Result</v>
          </cell>
          <cell r="T1407">
            <v>0</v>
          </cell>
          <cell r="U1407">
            <v>0</v>
          </cell>
        </row>
      </sheetData>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2.1-E"/>
      <sheetName val="Sch M-2.2-E"/>
      <sheetName val="Sch M-2.3-E pg 1-2"/>
      <sheetName val="Sch M-2.3-E pgs 3-18"/>
      <sheetName val="Sch M-2.3-E pgs 19-25"/>
      <sheetName val="Summaries==&gt;"/>
      <sheetName val="Rate Summary"/>
      <sheetName val="Data==&gt;"/>
      <sheetName val="12MonResults"/>
      <sheetName val="12MonLights"/>
      <sheetName val="12MonPoles"/>
      <sheetName val="ECR in Base Rates"/>
      <sheetName val="Sources ==&gt;"/>
      <sheetName val="Rates"/>
      <sheetName val="LightingRates"/>
      <sheetName val="PoleRates"/>
      <sheetName val="1022"/>
      <sheetName val="1051"/>
      <sheetName val="1055"/>
      <sheetName val="SBR"/>
      <sheetName val="MiscData"/>
      <sheetName val="Power Factor"/>
      <sheetName val="LEV"/>
      <sheetName val="Lighting"/>
    </sheetNames>
    <sheetDataSet>
      <sheetData sheetId="0" refreshError="1"/>
      <sheetData sheetId="1" refreshError="1"/>
      <sheetData sheetId="2" refreshError="1"/>
      <sheetData sheetId="3" refreshError="1"/>
      <sheetData sheetId="4">
        <row r="10">
          <cell r="C10">
            <v>4337986</v>
          </cell>
        </row>
      </sheetData>
      <sheetData sheetId="5">
        <row r="211">
          <cell r="G211">
            <v>18994751</v>
          </cell>
        </row>
      </sheetData>
      <sheetData sheetId="6" refreshError="1"/>
      <sheetData sheetId="7" refreshError="1"/>
      <sheetData sheetId="8" refreshError="1"/>
      <sheetData sheetId="9">
        <row r="4">
          <cell r="B4" t="str">
            <v>Jan 2016</v>
          </cell>
        </row>
      </sheetData>
      <sheetData sheetId="10">
        <row r="4">
          <cell r="B4" t="str">
            <v>Jan 2016</v>
          </cell>
        </row>
        <row r="5">
          <cell r="B5" t="str">
            <v>Jan 2016</v>
          </cell>
        </row>
        <row r="6">
          <cell r="B6" t="str">
            <v>Jan 2016</v>
          </cell>
        </row>
        <row r="7">
          <cell r="B7" t="str">
            <v>Jan 2016</v>
          </cell>
        </row>
        <row r="8">
          <cell r="B8" t="str">
            <v>Jan 2016</v>
          </cell>
        </row>
        <row r="9">
          <cell r="B9" t="str">
            <v>Jan 2016</v>
          </cell>
        </row>
        <row r="10">
          <cell r="B10" t="str">
            <v>Jan 2016</v>
          </cell>
        </row>
        <row r="11">
          <cell r="B11" t="str">
            <v>Jan 2016</v>
          </cell>
        </row>
        <row r="12">
          <cell r="B12" t="str">
            <v>Jan 2016</v>
          </cell>
        </row>
        <row r="13">
          <cell r="B13" t="str">
            <v>Jan 2016</v>
          </cell>
        </row>
        <row r="14">
          <cell r="B14" t="str">
            <v>Jan 2016</v>
          </cell>
        </row>
        <row r="15">
          <cell r="B15" t="str">
            <v>Jan 2016</v>
          </cell>
        </row>
        <row r="16">
          <cell r="B16" t="str">
            <v>Jan 2016</v>
          </cell>
        </row>
        <row r="17">
          <cell r="B17" t="str">
            <v>Jan 2016</v>
          </cell>
        </row>
        <row r="18">
          <cell r="B18" t="str">
            <v>Jan 2016</v>
          </cell>
        </row>
        <row r="19">
          <cell r="B19" t="str">
            <v>Jan 2016</v>
          </cell>
        </row>
        <row r="20">
          <cell r="B20" t="str">
            <v>Jan 2016</v>
          </cell>
        </row>
        <row r="21">
          <cell r="B21" t="str">
            <v>Jan 2016</v>
          </cell>
        </row>
        <row r="22">
          <cell r="B22" t="str">
            <v>Jan 2016</v>
          </cell>
        </row>
        <row r="23">
          <cell r="B23" t="str">
            <v>Jan 2016</v>
          </cell>
        </row>
        <row r="24">
          <cell r="B24" t="str">
            <v>Jan 2016</v>
          </cell>
        </row>
        <row r="25">
          <cell r="B25" t="str">
            <v>Jan 2016</v>
          </cell>
        </row>
        <row r="26">
          <cell r="B26" t="str">
            <v>Jan 2016</v>
          </cell>
        </row>
        <row r="27">
          <cell r="B27" t="str">
            <v>Jan 2016</v>
          </cell>
        </row>
        <row r="28">
          <cell r="B28" t="str">
            <v>Jan 2016</v>
          </cell>
        </row>
        <row r="29">
          <cell r="B29" t="str">
            <v>Jan 2016</v>
          </cell>
        </row>
        <row r="30">
          <cell r="B30" t="str">
            <v>Jan 2016</v>
          </cell>
        </row>
        <row r="31">
          <cell r="B31" t="str">
            <v>Jan 2016</v>
          </cell>
        </row>
        <row r="32">
          <cell r="B32" t="str">
            <v>Jan 2016</v>
          </cell>
        </row>
        <row r="33">
          <cell r="B33" t="str">
            <v>Jan 2016</v>
          </cell>
        </row>
        <row r="34">
          <cell r="B34" t="str">
            <v>Jan 2016</v>
          </cell>
        </row>
        <row r="35">
          <cell r="B35" t="str">
            <v>Jan 2016</v>
          </cell>
        </row>
        <row r="36">
          <cell r="B36" t="str">
            <v>Jan 2016</v>
          </cell>
        </row>
        <row r="37">
          <cell r="B37" t="str">
            <v>Jan 2016</v>
          </cell>
        </row>
        <row r="38">
          <cell r="B38" t="str">
            <v>Jan 2016</v>
          </cell>
        </row>
        <row r="39">
          <cell r="B39" t="str">
            <v>Jan 2016</v>
          </cell>
        </row>
        <row r="40">
          <cell r="B40" t="str">
            <v>Jan 2016</v>
          </cell>
        </row>
        <row r="41">
          <cell r="B41" t="str">
            <v>Jan 2016</v>
          </cell>
        </row>
        <row r="42">
          <cell r="B42" t="str">
            <v>Jan 2016</v>
          </cell>
        </row>
        <row r="43">
          <cell r="B43" t="str">
            <v>Jan 2016</v>
          </cell>
        </row>
        <row r="44">
          <cell r="B44" t="str">
            <v>Jan 2016</v>
          </cell>
        </row>
        <row r="45">
          <cell r="B45" t="str">
            <v>Jan 2016</v>
          </cell>
        </row>
        <row r="46">
          <cell r="B46" t="str">
            <v>Jan 2016</v>
          </cell>
        </row>
        <row r="47">
          <cell r="B47" t="str">
            <v>Jan 2016</v>
          </cell>
        </row>
        <row r="48">
          <cell r="B48" t="str">
            <v>Jan 2016</v>
          </cell>
        </row>
        <row r="49">
          <cell r="B49" t="str">
            <v>Jan 2016</v>
          </cell>
        </row>
        <row r="50">
          <cell r="B50" t="str">
            <v>Jan 2016</v>
          </cell>
        </row>
        <row r="51">
          <cell r="B51" t="str">
            <v>Jan 2016</v>
          </cell>
        </row>
        <row r="52">
          <cell r="B52" t="str">
            <v>Jan 2016</v>
          </cell>
        </row>
        <row r="53">
          <cell r="B53" t="str">
            <v>Jan 2016</v>
          </cell>
        </row>
        <row r="54">
          <cell r="B54" t="str">
            <v>Jan 2016</v>
          </cell>
        </row>
        <row r="55">
          <cell r="B55" t="str">
            <v>Jan 2016</v>
          </cell>
        </row>
        <row r="56">
          <cell r="B56" t="str">
            <v>Jan 2016</v>
          </cell>
        </row>
        <row r="57">
          <cell r="B57" t="str">
            <v>Jan 2016</v>
          </cell>
        </row>
        <row r="58">
          <cell r="B58" t="str">
            <v>Jan 2016</v>
          </cell>
        </row>
        <row r="59">
          <cell r="B59" t="str">
            <v>Jan 2016</v>
          </cell>
        </row>
        <row r="60">
          <cell r="B60" t="str">
            <v>Jan 2016</v>
          </cell>
        </row>
        <row r="61">
          <cell r="B61" t="str">
            <v>Jan 2016</v>
          </cell>
        </row>
        <row r="62">
          <cell r="B62" t="str">
            <v>Jan 2016</v>
          </cell>
        </row>
        <row r="63">
          <cell r="B63" t="str">
            <v>Jan 2016</v>
          </cell>
        </row>
        <row r="64">
          <cell r="B64" t="str">
            <v>Jan 2016</v>
          </cell>
        </row>
        <row r="65">
          <cell r="B65" t="str">
            <v>Jan 2016</v>
          </cell>
        </row>
        <row r="66">
          <cell r="B66" t="str">
            <v>Jan 2016</v>
          </cell>
        </row>
        <row r="67">
          <cell r="B67" t="str">
            <v>Jan 2016</v>
          </cell>
        </row>
        <row r="68">
          <cell r="B68" t="str">
            <v>Jan 2016</v>
          </cell>
        </row>
        <row r="69">
          <cell r="B69" t="str">
            <v>Jan 2016</v>
          </cell>
        </row>
        <row r="70">
          <cell r="B70" t="str">
            <v>Jan 2016</v>
          </cell>
        </row>
        <row r="71">
          <cell r="B71" t="str">
            <v>Jan 2016</v>
          </cell>
        </row>
        <row r="72">
          <cell r="B72" t="str">
            <v>Jan 2016</v>
          </cell>
        </row>
        <row r="73">
          <cell r="B73" t="str">
            <v>Jan 2016</v>
          </cell>
        </row>
        <row r="74">
          <cell r="B74" t="str">
            <v>Jan 2016</v>
          </cell>
        </row>
        <row r="75">
          <cell r="B75" t="str">
            <v>Jan 2016</v>
          </cell>
        </row>
        <row r="76">
          <cell r="B76" t="str">
            <v>Jan 2016</v>
          </cell>
        </row>
        <row r="77">
          <cell r="B77" t="str">
            <v>Feb 2016</v>
          </cell>
        </row>
        <row r="78">
          <cell r="B78" t="str">
            <v>Feb 2016</v>
          </cell>
        </row>
        <row r="79">
          <cell r="B79" t="str">
            <v>Feb 2016</v>
          </cell>
        </row>
        <row r="80">
          <cell r="B80" t="str">
            <v>Feb 2016</v>
          </cell>
        </row>
        <row r="81">
          <cell r="B81" t="str">
            <v>Feb 2016</v>
          </cell>
        </row>
        <row r="82">
          <cell r="B82" t="str">
            <v>Feb 2016</v>
          </cell>
        </row>
        <row r="83">
          <cell r="B83" t="str">
            <v>Feb 2016</v>
          </cell>
        </row>
        <row r="84">
          <cell r="B84" t="str">
            <v>Feb 2016</v>
          </cell>
        </row>
        <row r="85">
          <cell r="B85" t="str">
            <v>Feb 2016</v>
          </cell>
        </row>
        <row r="86">
          <cell r="B86" t="str">
            <v>Feb 2016</v>
          </cell>
        </row>
        <row r="87">
          <cell r="B87" t="str">
            <v>Feb 2016</v>
          </cell>
        </row>
        <row r="88">
          <cell r="B88" t="str">
            <v>Feb 2016</v>
          </cell>
        </row>
        <row r="89">
          <cell r="B89" t="str">
            <v>Feb 2016</v>
          </cell>
        </row>
        <row r="90">
          <cell r="B90" t="str">
            <v>Feb 2016</v>
          </cell>
        </row>
        <row r="91">
          <cell r="B91" t="str">
            <v>Feb 2016</v>
          </cell>
        </row>
        <row r="92">
          <cell r="B92" t="str">
            <v>Feb 2016</v>
          </cell>
        </row>
        <row r="93">
          <cell r="B93" t="str">
            <v>Feb 2016</v>
          </cell>
        </row>
        <row r="94">
          <cell r="B94" t="str">
            <v>Feb 2016</v>
          </cell>
        </row>
        <row r="95">
          <cell r="B95" t="str">
            <v>Feb 2016</v>
          </cell>
        </row>
        <row r="96">
          <cell r="B96" t="str">
            <v>Feb 2016</v>
          </cell>
        </row>
        <row r="97">
          <cell r="B97" t="str">
            <v>Feb 2016</v>
          </cell>
        </row>
        <row r="98">
          <cell r="B98" t="str">
            <v>Feb 2016</v>
          </cell>
        </row>
        <row r="99">
          <cell r="B99" t="str">
            <v>Feb 2016</v>
          </cell>
        </row>
        <row r="100">
          <cell r="B100" t="str">
            <v>Feb 2016</v>
          </cell>
        </row>
        <row r="101">
          <cell r="B101" t="str">
            <v>Feb 2016</v>
          </cell>
        </row>
        <row r="102">
          <cell r="B102" t="str">
            <v>Feb 2016</v>
          </cell>
        </row>
        <row r="103">
          <cell r="B103" t="str">
            <v>Feb 2016</v>
          </cell>
        </row>
        <row r="104">
          <cell r="B104" t="str">
            <v>Feb 2016</v>
          </cell>
        </row>
        <row r="105">
          <cell r="B105" t="str">
            <v>Feb 2016</v>
          </cell>
        </row>
        <row r="106">
          <cell r="B106" t="str">
            <v>Feb 2016</v>
          </cell>
        </row>
        <row r="107">
          <cell r="B107" t="str">
            <v>Feb 2016</v>
          </cell>
        </row>
        <row r="108">
          <cell r="B108" t="str">
            <v>Feb 2016</v>
          </cell>
        </row>
        <row r="109">
          <cell r="B109" t="str">
            <v>Feb 2016</v>
          </cell>
        </row>
        <row r="110">
          <cell r="B110" t="str">
            <v>Feb 2016</v>
          </cell>
        </row>
        <row r="111">
          <cell r="B111" t="str">
            <v>Feb 2016</v>
          </cell>
        </row>
        <row r="112">
          <cell r="B112" t="str">
            <v>Feb 2016</v>
          </cell>
        </row>
        <row r="113">
          <cell r="B113" t="str">
            <v>Feb 2016</v>
          </cell>
        </row>
        <row r="114">
          <cell r="B114" t="str">
            <v>Feb 2016</v>
          </cell>
        </row>
        <row r="115">
          <cell r="B115" t="str">
            <v>Feb 2016</v>
          </cell>
        </row>
        <row r="116">
          <cell r="B116" t="str">
            <v>Feb 2016</v>
          </cell>
        </row>
        <row r="117">
          <cell r="B117" t="str">
            <v>Feb 2016</v>
          </cell>
        </row>
        <row r="118">
          <cell r="B118" t="str">
            <v>Feb 2016</v>
          </cell>
        </row>
        <row r="119">
          <cell r="B119" t="str">
            <v>Feb 2016</v>
          </cell>
        </row>
        <row r="120">
          <cell r="B120" t="str">
            <v>Feb 2016</v>
          </cell>
        </row>
        <row r="121">
          <cell r="B121" t="str">
            <v>Feb 2016</v>
          </cell>
        </row>
        <row r="122">
          <cell r="B122" t="str">
            <v>Feb 2016</v>
          </cell>
        </row>
        <row r="123">
          <cell r="B123" t="str">
            <v>Feb 2016</v>
          </cell>
        </row>
        <row r="124">
          <cell r="B124" t="str">
            <v>Feb 2016</v>
          </cell>
        </row>
        <row r="125">
          <cell r="B125" t="str">
            <v>Feb 2016</v>
          </cell>
        </row>
        <row r="126">
          <cell r="B126" t="str">
            <v>Feb 2016</v>
          </cell>
        </row>
        <row r="127">
          <cell r="B127" t="str">
            <v>Feb 2016</v>
          </cell>
        </row>
        <row r="128">
          <cell r="B128" t="str">
            <v>Feb 2016</v>
          </cell>
        </row>
        <row r="129">
          <cell r="B129" t="str">
            <v>Feb 2016</v>
          </cell>
        </row>
        <row r="130">
          <cell r="B130" t="str">
            <v>Feb 2016</v>
          </cell>
        </row>
        <row r="131">
          <cell r="B131" t="str">
            <v>Feb 2016</v>
          </cell>
        </row>
        <row r="132">
          <cell r="B132" t="str">
            <v>Feb 2016</v>
          </cell>
        </row>
        <row r="133">
          <cell r="B133" t="str">
            <v>Feb 2016</v>
          </cell>
        </row>
        <row r="134">
          <cell r="B134" t="str">
            <v>Feb 2016</v>
          </cell>
        </row>
        <row r="135">
          <cell r="B135" t="str">
            <v>Feb 2016</v>
          </cell>
        </row>
        <row r="136">
          <cell r="B136" t="str">
            <v>Feb 2016</v>
          </cell>
        </row>
        <row r="137">
          <cell r="B137" t="str">
            <v>Feb 2016</v>
          </cell>
        </row>
        <row r="138">
          <cell r="B138" t="str">
            <v>Feb 2016</v>
          </cell>
        </row>
        <row r="139">
          <cell r="B139" t="str">
            <v>Feb 2016</v>
          </cell>
        </row>
        <row r="140">
          <cell r="B140" t="str">
            <v>Feb 2016</v>
          </cell>
        </row>
        <row r="141">
          <cell r="B141" t="str">
            <v>Feb 2016</v>
          </cell>
        </row>
        <row r="142">
          <cell r="B142" t="str">
            <v>Feb 2016</v>
          </cell>
        </row>
        <row r="143">
          <cell r="B143" t="str">
            <v>Feb 2016</v>
          </cell>
        </row>
        <row r="144">
          <cell r="B144" t="str">
            <v>Feb 2016</v>
          </cell>
        </row>
        <row r="145">
          <cell r="B145" t="str">
            <v>Feb 2016</v>
          </cell>
        </row>
        <row r="146">
          <cell r="B146" t="str">
            <v>Feb 2016</v>
          </cell>
        </row>
        <row r="147">
          <cell r="B147" t="str">
            <v>Feb 2016</v>
          </cell>
        </row>
        <row r="148">
          <cell r="B148" t="str">
            <v>Feb 2016</v>
          </cell>
        </row>
        <row r="149">
          <cell r="B149" t="str">
            <v>Feb 2016</v>
          </cell>
        </row>
        <row r="150">
          <cell r="B150" t="str">
            <v>Mar 2016</v>
          </cell>
        </row>
        <row r="151">
          <cell r="B151" t="str">
            <v>Mar 2016</v>
          </cell>
        </row>
        <row r="152">
          <cell r="B152" t="str">
            <v>Mar 2016</v>
          </cell>
        </row>
        <row r="153">
          <cell r="B153" t="str">
            <v>Mar 2016</v>
          </cell>
        </row>
        <row r="154">
          <cell r="B154" t="str">
            <v>Mar 2016</v>
          </cell>
        </row>
        <row r="155">
          <cell r="B155" t="str">
            <v>Mar 2016</v>
          </cell>
        </row>
        <row r="156">
          <cell r="B156" t="str">
            <v>Mar 2016</v>
          </cell>
        </row>
        <row r="157">
          <cell r="B157" t="str">
            <v>Mar 2016</v>
          </cell>
        </row>
        <row r="158">
          <cell r="B158" t="str">
            <v>Mar 2016</v>
          </cell>
        </row>
        <row r="159">
          <cell r="B159" t="str">
            <v>Mar 2016</v>
          </cell>
        </row>
        <row r="160">
          <cell r="B160" t="str">
            <v>Mar 2016</v>
          </cell>
        </row>
        <row r="161">
          <cell r="B161" t="str">
            <v>Mar 2016</v>
          </cell>
        </row>
        <row r="162">
          <cell r="B162" t="str">
            <v>Mar 2016</v>
          </cell>
        </row>
        <row r="163">
          <cell r="B163" t="str">
            <v>Mar 2016</v>
          </cell>
        </row>
        <row r="164">
          <cell r="B164" t="str">
            <v>Mar 2016</v>
          </cell>
        </row>
        <row r="165">
          <cell r="B165" t="str">
            <v>Mar 2016</v>
          </cell>
        </row>
        <row r="166">
          <cell r="B166" t="str">
            <v>Mar 2016</v>
          </cell>
        </row>
        <row r="167">
          <cell r="B167" t="str">
            <v>Mar 2016</v>
          </cell>
        </row>
        <row r="168">
          <cell r="B168" t="str">
            <v>Mar 2016</v>
          </cell>
        </row>
        <row r="169">
          <cell r="B169" t="str">
            <v>Mar 2016</v>
          </cell>
        </row>
        <row r="170">
          <cell r="B170" t="str">
            <v>Mar 2016</v>
          </cell>
        </row>
        <row r="171">
          <cell r="B171" t="str">
            <v>Mar 2016</v>
          </cell>
        </row>
        <row r="172">
          <cell r="B172" t="str">
            <v>Mar 2016</v>
          </cell>
        </row>
        <row r="173">
          <cell r="B173" t="str">
            <v>Mar 2016</v>
          </cell>
        </row>
        <row r="174">
          <cell r="B174" t="str">
            <v>Mar 2016</v>
          </cell>
        </row>
        <row r="175">
          <cell r="B175" t="str">
            <v>Mar 2016</v>
          </cell>
        </row>
        <row r="176">
          <cell r="B176" t="str">
            <v>Mar 2016</v>
          </cell>
        </row>
        <row r="177">
          <cell r="B177" t="str">
            <v>Mar 2016</v>
          </cell>
        </row>
        <row r="178">
          <cell r="B178" t="str">
            <v>Mar 2016</v>
          </cell>
        </row>
        <row r="179">
          <cell r="B179" t="str">
            <v>Mar 2016</v>
          </cell>
        </row>
        <row r="180">
          <cell r="B180" t="str">
            <v>Mar 2016</v>
          </cell>
        </row>
        <row r="181">
          <cell r="B181" t="str">
            <v>Mar 2016</v>
          </cell>
        </row>
        <row r="182">
          <cell r="B182" t="str">
            <v>Mar 2016</v>
          </cell>
        </row>
        <row r="183">
          <cell r="B183" t="str">
            <v>Mar 2016</v>
          </cell>
        </row>
        <row r="184">
          <cell r="B184" t="str">
            <v>Mar 2016</v>
          </cell>
        </row>
        <row r="185">
          <cell r="B185" t="str">
            <v>Mar 2016</v>
          </cell>
        </row>
        <row r="186">
          <cell r="B186" t="str">
            <v>Mar 2016</v>
          </cell>
        </row>
        <row r="187">
          <cell r="B187" t="str">
            <v>Mar 2016</v>
          </cell>
        </row>
        <row r="188">
          <cell r="B188" t="str">
            <v>Mar 2016</v>
          </cell>
        </row>
        <row r="189">
          <cell r="B189" t="str">
            <v>Mar 2016</v>
          </cell>
        </row>
        <row r="190">
          <cell r="B190" t="str">
            <v>Mar 2016</v>
          </cell>
        </row>
        <row r="191">
          <cell r="B191" t="str">
            <v>Mar 2016</v>
          </cell>
        </row>
        <row r="192">
          <cell r="B192" t="str">
            <v>Mar 2016</v>
          </cell>
        </row>
        <row r="193">
          <cell r="B193" t="str">
            <v>Mar 2016</v>
          </cell>
        </row>
        <row r="194">
          <cell r="B194" t="str">
            <v>Mar 2016</v>
          </cell>
        </row>
        <row r="195">
          <cell r="B195" t="str">
            <v>Mar 2016</v>
          </cell>
        </row>
        <row r="196">
          <cell r="B196" t="str">
            <v>Mar 2016</v>
          </cell>
        </row>
        <row r="197">
          <cell r="B197" t="str">
            <v>Mar 2016</v>
          </cell>
        </row>
        <row r="198">
          <cell r="B198" t="str">
            <v>Mar 2016</v>
          </cell>
        </row>
        <row r="199">
          <cell r="B199" t="str">
            <v>Mar 2016</v>
          </cell>
        </row>
        <row r="200">
          <cell r="B200" t="str">
            <v>Mar 2016</v>
          </cell>
        </row>
        <row r="201">
          <cell r="B201" t="str">
            <v>Mar 2016</v>
          </cell>
        </row>
        <row r="202">
          <cell r="B202" t="str">
            <v>Mar 2016</v>
          </cell>
        </row>
        <row r="203">
          <cell r="B203" t="str">
            <v>Mar 2016</v>
          </cell>
        </row>
        <row r="204">
          <cell r="B204" t="str">
            <v>Mar 2016</v>
          </cell>
        </row>
        <row r="205">
          <cell r="B205" t="str">
            <v>Mar 2016</v>
          </cell>
        </row>
        <row r="206">
          <cell r="B206" t="str">
            <v>Mar 2016</v>
          </cell>
        </row>
        <row r="207">
          <cell r="B207" t="str">
            <v>Mar 2016</v>
          </cell>
        </row>
        <row r="208">
          <cell r="B208" t="str">
            <v>Mar 2016</v>
          </cell>
        </row>
        <row r="209">
          <cell r="B209" t="str">
            <v>Mar 2016</v>
          </cell>
        </row>
        <row r="210">
          <cell r="B210" t="str">
            <v>Mar 2016</v>
          </cell>
        </row>
        <row r="211">
          <cell r="B211" t="str">
            <v>Mar 2016</v>
          </cell>
        </row>
        <row r="212">
          <cell r="B212" t="str">
            <v>Mar 2016</v>
          </cell>
        </row>
        <row r="213">
          <cell r="B213" t="str">
            <v>Mar 2016</v>
          </cell>
        </row>
        <row r="214">
          <cell r="B214" t="str">
            <v>Mar 2016</v>
          </cell>
        </row>
        <row r="215">
          <cell r="B215" t="str">
            <v>Mar 2016</v>
          </cell>
        </row>
        <row r="216">
          <cell r="B216" t="str">
            <v>Mar 2016</v>
          </cell>
        </row>
        <row r="217">
          <cell r="B217" t="str">
            <v>Mar 2016</v>
          </cell>
        </row>
        <row r="218">
          <cell r="B218" t="str">
            <v>Mar 2016</v>
          </cell>
        </row>
        <row r="219">
          <cell r="B219" t="str">
            <v>Mar 2016</v>
          </cell>
        </row>
        <row r="220">
          <cell r="B220" t="str">
            <v>Mar 2016</v>
          </cell>
        </row>
        <row r="221">
          <cell r="B221" t="str">
            <v>Mar 2016</v>
          </cell>
        </row>
        <row r="222">
          <cell r="B222" t="str">
            <v>Mar 2016</v>
          </cell>
        </row>
        <row r="223">
          <cell r="B223" t="str">
            <v>Apr 2016</v>
          </cell>
        </row>
        <row r="224">
          <cell r="B224" t="str">
            <v>Apr 2016</v>
          </cell>
        </row>
        <row r="225">
          <cell r="B225" t="str">
            <v>Apr 2016</v>
          </cell>
        </row>
        <row r="226">
          <cell r="B226" t="str">
            <v>Apr 2016</v>
          </cell>
        </row>
        <row r="227">
          <cell r="B227" t="str">
            <v>Apr 2016</v>
          </cell>
        </row>
        <row r="228">
          <cell r="B228" t="str">
            <v>Apr 2016</v>
          </cell>
        </row>
        <row r="229">
          <cell r="B229" t="str">
            <v>Apr 2016</v>
          </cell>
        </row>
        <row r="230">
          <cell r="B230" t="str">
            <v>Apr 2016</v>
          </cell>
        </row>
        <row r="231">
          <cell r="B231" t="str">
            <v>Apr 2016</v>
          </cell>
        </row>
        <row r="232">
          <cell r="B232" t="str">
            <v>Apr 2016</v>
          </cell>
        </row>
        <row r="233">
          <cell r="B233" t="str">
            <v>Apr 2016</v>
          </cell>
        </row>
        <row r="234">
          <cell r="B234" t="str">
            <v>Apr 2016</v>
          </cell>
        </row>
        <row r="235">
          <cell r="B235" t="str">
            <v>Apr 2016</v>
          </cell>
        </row>
        <row r="236">
          <cell r="B236" t="str">
            <v>Apr 2016</v>
          </cell>
        </row>
        <row r="237">
          <cell r="B237" t="str">
            <v>Apr 2016</v>
          </cell>
        </row>
        <row r="238">
          <cell r="B238" t="str">
            <v>Apr 2016</v>
          </cell>
        </row>
        <row r="239">
          <cell r="B239" t="str">
            <v>Apr 2016</v>
          </cell>
        </row>
        <row r="240">
          <cell r="B240" t="str">
            <v>Apr 2016</v>
          </cell>
        </row>
        <row r="241">
          <cell r="B241" t="str">
            <v>Apr 2016</v>
          </cell>
        </row>
        <row r="242">
          <cell r="B242" t="str">
            <v>Apr 2016</v>
          </cell>
        </row>
        <row r="243">
          <cell r="B243" t="str">
            <v>Apr 2016</v>
          </cell>
        </row>
        <row r="244">
          <cell r="B244" t="str">
            <v>Apr 2016</v>
          </cell>
        </row>
        <row r="245">
          <cell r="B245" t="str">
            <v>Apr 2016</v>
          </cell>
        </row>
        <row r="246">
          <cell r="B246" t="str">
            <v>Apr 2016</v>
          </cell>
        </row>
        <row r="247">
          <cell r="B247" t="str">
            <v>Apr 2016</v>
          </cell>
        </row>
        <row r="248">
          <cell r="B248" t="str">
            <v>Apr 2016</v>
          </cell>
        </row>
        <row r="249">
          <cell r="B249" t="str">
            <v>Apr 2016</v>
          </cell>
        </row>
        <row r="250">
          <cell r="B250" t="str">
            <v>Apr 2016</v>
          </cell>
        </row>
        <row r="251">
          <cell r="B251" t="str">
            <v>Apr 2016</v>
          </cell>
        </row>
        <row r="252">
          <cell r="B252" t="str">
            <v>Apr 2016</v>
          </cell>
        </row>
        <row r="253">
          <cell r="B253" t="str">
            <v>Apr 2016</v>
          </cell>
        </row>
        <row r="254">
          <cell r="B254" t="str">
            <v>Apr 2016</v>
          </cell>
        </row>
        <row r="255">
          <cell r="B255" t="str">
            <v>Apr 2016</v>
          </cell>
        </row>
        <row r="256">
          <cell r="B256" t="str">
            <v>Apr 2016</v>
          </cell>
        </row>
        <row r="257">
          <cell r="B257" t="str">
            <v>Apr 2016</v>
          </cell>
        </row>
        <row r="258">
          <cell r="B258" t="str">
            <v>Apr 2016</v>
          </cell>
        </row>
        <row r="259">
          <cell r="B259" t="str">
            <v>Apr 2016</v>
          </cell>
        </row>
        <row r="260">
          <cell r="B260" t="str">
            <v>Apr 2016</v>
          </cell>
        </row>
        <row r="261">
          <cell r="B261" t="str">
            <v>Apr 2016</v>
          </cell>
        </row>
        <row r="262">
          <cell r="B262" t="str">
            <v>Apr 2016</v>
          </cell>
        </row>
        <row r="263">
          <cell r="B263" t="str">
            <v>Apr 2016</v>
          </cell>
        </row>
        <row r="264">
          <cell r="B264" t="str">
            <v>Apr 2016</v>
          </cell>
        </row>
        <row r="265">
          <cell r="B265" t="str">
            <v>Apr 2016</v>
          </cell>
        </row>
        <row r="266">
          <cell r="B266" t="str">
            <v>Apr 2016</v>
          </cell>
        </row>
        <row r="267">
          <cell r="B267" t="str">
            <v>Apr 2016</v>
          </cell>
        </row>
        <row r="268">
          <cell r="B268" t="str">
            <v>Apr 2016</v>
          </cell>
        </row>
        <row r="269">
          <cell r="B269" t="str">
            <v>Apr 2016</v>
          </cell>
        </row>
        <row r="270">
          <cell r="B270" t="str">
            <v>Apr 2016</v>
          </cell>
        </row>
        <row r="271">
          <cell r="B271" t="str">
            <v>Apr 2016</v>
          </cell>
        </row>
        <row r="272">
          <cell r="B272" t="str">
            <v>Apr 2016</v>
          </cell>
        </row>
        <row r="273">
          <cell r="B273" t="str">
            <v>Apr 2016</v>
          </cell>
        </row>
        <row r="274">
          <cell r="B274" t="str">
            <v>Apr 2016</v>
          </cell>
        </row>
        <row r="275">
          <cell r="B275" t="str">
            <v>Apr 2016</v>
          </cell>
        </row>
        <row r="276">
          <cell r="B276" t="str">
            <v>Apr 2016</v>
          </cell>
        </row>
        <row r="277">
          <cell r="B277" t="str">
            <v>Apr 2016</v>
          </cell>
        </row>
        <row r="278">
          <cell r="B278" t="str">
            <v>Apr 2016</v>
          </cell>
        </row>
        <row r="279">
          <cell r="B279" t="str">
            <v>Apr 2016</v>
          </cell>
        </row>
        <row r="280">
          <cell r="B280" t="str">
            <v>Apr 2016</v>
          </cell>
        </row>
        <row r="281">
          <cell r="B281" t="str">
            <v>Apr 2016</v>
          </cell>
        </row>
        <row r="282">
          <cell r="B282" t="str">
            <v>Apr 2016</v>
          </cell>
        </row>
        <row r="283">
          <cell r="B283" t="str">
            <v>Apr 2016</v>
          </cell>
        </row>
        <row r="284">
          <cell r="B284" t="str">
            <v>Apr 2016</v>
          </cell>
        </row>
        <row r="285">
          <cell r="B285" t="str">
            <v>Apr 2016</v>
          </cell>
        </row>
        <row r="286">
          <cell r="B286" t="str">
            <v>Apr 2016</v>
          </cell>
        </row>
        <row r="287">
          <cell r="B287" t="str">
            <v>Apr 2016</v>
          </cell>
        </row>
        <row r="288">
          <cell r="B288" t="str">
            <v>Apr 2016</v>
          </cell>
        </row>
        <row r="289">
          <cell r="B289" t="str">
            <v>Apr 2016</v>
          </cell>
        </row>
        <row r="290">
          <cell r="B290" t="str">
            <v>Apr 2016</v>
          </cell>
        </row>
        <row r="291">
          <cell r="B291" t="str">
            <v>Apr 2016</v>
          </cell>
        </row>
        <row r="292">
          <cell r="B292" t="str">
            <v>Apr 2016</v>
          </cell>
        </row>
        <row r="293">
          <cell r="B293" t="str">
            <v>Apr 2016</v>
          </cell>
        </row>
        <row r="294">
          <cell r="B294" t="str">
            <v>Apr 2016</v>
          </cell>
        </row>
        <row r="295">
          <cell r="B295" t="str">
            <v>Apr 2016</v>
          </cell>
        </row>
        <row r="296">
          <cell r="B296" t="str">
            <v>May 2016</v>
          </cell>
        </row>
        <row r="297">
          <cell r="B297" t="str">
            <v>May 2016</v>
          </cell>
        </row>
        <row r="298">
          <cell r="B298" t="str">
            <v>May 2016</v>
          </cell>
        </row>
        <row r="299">
          <cell r="B299" t="str">
            <v>May 2016</v>
          </cell>
        </row>
        <row r="300">
          <cell r="B300" t="str">
            <v>May 2016</v>
          </cell>
        </row>
        <row r="301">
          <cell r="B301" t="str">
            <v>May 2016</v>
          </cell>
        </row>
        <row r="302">
          <cell r="B302" t="str">
            <v>May 2016</v>
          </cell>
        </row>
        <row r="303">
          <cell r="B303" t="str">
            <v>May 2016</v>
          </cell>
        </row>
        <row r="304">
          <cell r="B304" t="str">
            <v>May 2016</v>
          </cell>
        </row>
        <row r="305">
          <cell r="B305" t="str">
            <v>May 2016</v>
          </cell>
        </row>
        <row r="306">
          <cell r="B306" t="str">
            <v>May 2016</v>
          </cell>
        </row>
        <row r="307">
          <cell r="B307" t="str">
            <v>May 2016</v>
          </cell>
        </row>
        <row r="308">
          <cell r="B308" t="str">
            <v>May 2016</v>
          </cell>
        </row>
        <row r="309">
          <cell r="B309" t="str">
            <v>May 2016</v>
          </cell>
        </row>
        <row r="310">
          <cell r="B310" t="str">
            <v>May 2016</v>
          </cell>
        </row>
        <row r="311">
          <cell r="B311" t="str">
            <v>May 2016</v>
          </cell>
        </row>
        <row r="312">
          <cell r="B312" t="str">
            <v>May 2016</v>
          </cell>
        </row>
        <row r="313">
          <cell r="B313" t="str">
            <v>May 2016</v>
          </cell>
        </row>
        <row r="314">
          <cell r="B314" t="str">
            <v>May 2016</v>
          </cell>
        </row>
        <row r="315">
          <cell r="B315" t="str">
            <v>May 2016</v>
          </cell>
        </row>
        <row r="316">
          <cell r="B316" t="str">
            <v>May 2016</v>
          </cell>
        </row>
        <row r="317">
          <cell r="B317" t="str">
            <v>May 2016</v>
          </cell>
        </row>
        <row r="318">
          <cell r="B318" t="str">
            <v>May 2016</v>
          </cell>
        </row>
        <row r="319">
          <cell r="B319" t="str">
            <v>May 2016</v>
          </cell>
        </row>
        <row r="320">
          <cell r="B320" t="str">
            <v>May 2016</v>
          </cell>
        </row>
        <row r="321">
          <cell r="B321" t="str">
            <v>May 2016</v>
          </cell>
        </row>
        <row r="322">
          <cell r="B322" t="str">
            <v>May 2016</v>
          </cell>
        </row>
        <row r="323">
          <cell r="B323" t="str">
            <v>May 2016</v>
          </cell>
        </row>
        <row r="324">
          <cell r="B324" t="str">
            <v>May 2016</v>
          </cell>
        </row>
        <row r="325">
          <cell r="B325" t="str">
            <v>May 2016</v>
          </cell>
        </row>
        <row r="326">
          <cell r="B326" t="str">
            <v>May 2016</v>
          </cell>
        </row>
        <row r="327">
          <cell r="B327" t="str">
            <v>May 2016</v>
          </cell>
        </row>
        <row r="328">
          <cell r="B328" t="str">
            <v>May 2016</v>
          </cell>
        </row>
        <row r="329">
          <cell r="B329" t="str">
            <v>May 2016</v>
          </cell>
        </row>
        <row r="330">
          <cell r="B330" t="str">
            <v>May 2016</v>
          </cell>
        </row>
        <row r="331">
          <cell r="B331" t="str">
            <v>May 2016</v>
          </cell>
        </row>
        <row r="332">
          <cell r="B332" t="str">
            <v>May 2016</v>
          </cell>
        </row>
        <row r="333">
          <cell r="B333" t="str">
            <v>May 2016</v>
          </cell>
        </row>
        <row r="334">
          <cell r="B334" t="str">
            <v>May 2016</v>
          </cell>
        </row>
        <row r="335">
          <cell r="B335" t="str">
            <v>May 2016</v>
          </cell>
        </row>
        <row r="336">
          <cell r="B336" t="str">
            <v>May 2016</v>
          </cell>
        </row>
        <row r="337">
          <cell r="B337" t="str">
            <v>May 2016</v>
          </cell>
        </row>
        <row r="338">
          <cell r="B338" t="str">
            <v>May 2016</v>
          </cell>
        </row>
        <row r="339">
          <cell r="B339" t="str">
            <v>May 2016</v>
          </cell>
        </row>
        <row r="340">
          <cell r="B340" t="str">
            <v>May 2016</v>
          </cell>
        </row>
        <row r="341">
          <cell r="B341" t="str">
            <v>May 2016</v>
          </cell>
        </row>
        <row r="342">
          <cell r="B342" t="str">
            <v>May 2016</v>
          </cell>
        </row>
        <row r="343">
          <cell r="B343" t="str">
            <v>May 2016</v>
          </cell>
        </row>
        <row r="344">
          <cell r="B344" t="str">
            <v>May 2016</v>
          </cell>
        </row>
        <row r="345">
          <cell r="B345" t="str">
            <v>May 2016</v>
          </cell>
        </row>
        <row r="346">
          <cell r="B346" t="str">
            <v>May 2016</v>
          </cell>
        </row>
        <row r="347">
          <cell r="B347" t="str">
            <v>May 2016</v>
          </cell>
        </row>
        <row r="348">
          <cell r="B348" t="str">
            <v>May 2016</v>
          </cell>
        </row>
        <row r="349">
          <cell r="B349" t="str">
            <v>May 2016</v>
          </cell>
        </row>
        <row r="350">
          <cell r="B350" t="str">
            <v>May 2016</v>
          </cell>
        </row>
        <row r="351">
          <cell r="B351" t="str">
            <v>May 2016</v>
          </cell>
        </row>
        <row r="352">
          <cell r="B352" t="str">
            <v>May 2016</v>
          </cell>
        </row>
        <row r="353">
          <cell r="B353" t="str">
            <v>May 2016</v>
          </cell>
        </row>
        <row r="354">
          <cell r="B354" t="str">
            <v>May 2016</v>
          </cell>
        </row>
        <row r="355">
          <cell r="B355" t="str">
            <v>May 2016</v>
          </cell>
        </row>
        <row r="356">
          <cell r="B356" t="str">
            <v>May 2016</v>
          </cell>
        </row>
        <row r="357">
          <cell r="B357" t="str">
            <v>May 2016</v>
          </cell>
        </row>
        <row r="358">
          <cell r="B358" t="str">
            <v>May 2016</v>
          </cell>
        </row>
        <row r="359">
          <cell r="B359" t="str">
            <v>May 2016</v>
          </cell>
        </row>
        <row r="360">
          <cell r="B360" t="str">
            <v>May 2016</v>
          </cell>
        </row>
        <row r="361">
          <cell r="B361" t="str">
            <v>May 2016</v>
          </cell>
        </row>
        <row r="362">
          <cell r="B362" t="str">
            <v>May 2016</v>
          </cell>
        </row>
        <row r="363">
          <cell r="B363" t="str">
            <v>May 2016</v>
          </cell>
        </row>
        <row r="364">
          <cell r="B364" t="str">
            <v>May 2016</v>
          </cell>
        </row>
        <row r="365">
          <cell r="B365" t="str">
            <v>May 2016</v>
          </cell>
        </row>
        <row r="366">
          <cell r="B366" t="str">
            <v>May 2016</v>
          </cell>
        </row>
        <row r="367">
          <cell r="B367" t="str">
            <v>May 2016</v>
          </cell>
        </row>
        <row r="368">
          <cell r="B368" t="str">
            <v>May 2016</v>
          </cell>
        </row>
        <row r="369">
          <cell r="B369" t="str">
            <v>Jun 2016</v>
          </cell>
        </row>
        <row r="370">
          <cell r="B370" t="str">
            <v>Jun 2016</v>
          </cell>
        </row>
        <row r="371">
          <cell r="B371" t="str">
            <v>Jun 2016</v>
          </cell>
        </row>
        <row r="372">
          <cell r="B372" t="str">
            <v>Jun 2016</v>
          </cell>
        </row>
        <row r="373">
          <cell r="B373" t="str">
            <v>Jun 2016</v>
          </cell>
        </row>
        <row r="374">
          <cell r="B374" t="str">
            <v>Jun 2016</v>
          </cell>
        </row>
        <row r="375">
          <cell r="B375" t="str">
            <v>Jun 2016</v>
          </cell>
        </row>
        <row r="376">
          <cell r="B376" t="str">
            <v>Jun 2016</v>
          </cell>
        </row>
        <row r="377">
          <cell r="B377" t="str">
            <v>Jun 2016</v>
          </cell>
        </row>
        <row r="378">
          <cell r="B378" t="str">
            <v>Jun 2016</v>
          </cell>
        </row>
        <row r="379">
          <cell r="B379" t="str">
            <v>Jun 2016</v>
          </cell>
        </row>
        <row r="380">
          <cell r="B380" t="str">
            <v>Jun 2016</v>
          </cell>
        </row>
        <row r="381">
          <cell r="B381" t="str">
            <v>Jun 2016</v>
          </cell>
        </row>
        <row r="382">
          <cell r="B382" t="str">
            <v>Jun 2016</v>
          </cell>
        </row>
        <row r="383">
          <cell r="B383" t="str">
            <v>Jun 2016</v>
          </cell>
        </row>
        <row r="384">
          <cell r="B384" t="str">
            <v>Jun 2016</v>
          </cell>
        </row>
        <row r="385">
          <cell r="B385" t="str">
            <v>Jun 2016</v>
          </cell>
        </row>
        <row r="386">
          <cell r="B386" t="str">
            <v>Jun 2016</v>
          </cell>
        </row>
        <row r="387">
          <cell r="B387" t="str">
            <v>Jun 2016</v>
          </cell>
        </row>
        <row r="388">
          <cell r="B388" t="str">
            <v>Jun 2016</v>
          </cell>
        </row>
        <row r="389">
          <cell r="B389" t="str">
            <v>Jun 2016</v>
          </cell>
        </row>
        <row r="390">
          <cell r="B390" t="str">
            <v>Jun 2016</v>
          </cell>
        </row>
        <row r="391">
          <cell r="B391" t="str">
            <v>Jun 2016</v>
          </cell>
        </row>
        <row r="392">
          <cell r="B392" t="str">
            <v>Jun 2016</v>
          </cell>
        </row>
        <row r="393">
          <cell r="B393" t="str">
            <v>Jun 2016</v>
          </cell>
        </row>
        <row r="394">
          <cell r="B394" t="str">
            <v>Jun 2016</v>
          </cell>
        </row>
        <row r="395">
          <cell r="B395" t="str">
            <v>Jun 2016</v>
          </cell>
        </row>
        <row r="396">
          <cell r="B396" t="str">
            <v>Jun 2016</v>
          </cell>
        </row>
        <row r="397">
          <cell r="B397" t="str">
            <v>Jun 2016</v>
          </cell>
        </row>
        <row r="398">
          <cell r="B398" t="str">
            <v>Jun 2016</v>
          </cell>
        </row>
        <row r="399">
          <cell r="B399" t="str">
            <v>Jun 2016</v>
          </cell>
        </row>
        <row r="400">
          <cell r="B400" t="str">
            <v>Jun 2016</v>
          </cell>
        </row>
        <row r="401">
          <cell r="B401" t="str">
            <v>Jun 2016</v>
          </cell>
        </row>
        <row r="402">
          <cell r="B402" t="str">
            <v>Jun 2016</v>
          </cell>
        </row>
        <row r="403">
          <cell r="B403" t="str">
            <v>Jun 2016</v>
          </cell>
        </row>
        <row r="404">
          <cell r="B404" t="str">
            <v>Jun 2016</v>
          </cell>
        </row>
        <row r="405">
          <cell r="B405" t="str">
            <v>Jun 2016</v>
          </cell>
        </row>
        <row r="406">
          <cell r="B406" t="str">
            <v>Jun 2016</v>
          </cell>
        </row>
        <row r="407">
          <cell r="B407" t="str">
            <v>Jun 2016</v>
          </cell>
        </row>
        <row r="408">
          <cell r="B408" t="str">
            <v>Jun 2016</v>
          </cell>
        </row>
        <row r="409">
          <cell r="B409" t="str">
            <v>Jun 2016</v>
          </cell>
        </row>
        <row r="410">
          <cell r="B410" t="str">
            <v>Jun 2016</v>
          </cell>
        </row>
        <row r="411">
          <cell r="B411" t="str">
            <v>Jun 2016</v>
          </cell>
        </row>
        <row r="412">
          <cell r="B412" t="str">
            <v>Jun 2016</v>
          </cell>
        </row>
        <row r="413">
          <cell r="B413" t="str">
            <v>Jun 2016</v>
          </cell>
        </row>
        <row r="414">
          <cell r="B414" t="str">
            <v>Jun 2016</v>
          </cell>
        </row>
        <row r="415">
          <cell r="B415" t="str">
            <v>Jun 2016</v>
          </cell>
        </row>
        <row r="416">
          <cell r="B416" t="str">
            <v>Jun 2016</v>
          </cell>
        </row>
        <row r="417">
          <cell r="B417" t="str">
            <v>Jun 2016</v>
          </cell>
        </row>
        <row r="418">
          <cell r="B418" t="str">
            <v>Jun 2016</v>
          </cell>
        </row>
        <row r="419">
          <cell r="B419" t="str">
            <v>Jun 2016</v>
          </cell>
        </row>
        <row r="420">
          <cell r="B420" t="str">
            <v>Jun 2016</v>
          </cell>
        </row>
        <row r="421">
          <cell r="B421" t="str">
            <v>Jun 2016</v>
          </cell>
        </row>
        <row r="422">
          <cell r="B422" t="str">
            <v>Jun 2016</v>
          </cell>
        </row>
        <row r="423">
          <cell r="B423" t="str">
            <v>Jun 2016</v>
          </cell>
        </row>
        <row r="424">
          <cell r="B424" t="str">
            <v>Jun 2016</v>
          </cell>
        </row>
        <row r="425">
          <cell r="B425" t="str">
            <v>Jun 2016</v>
          </cell>
        </row>
        <row r="426">
          <cell r="B426" t="str">
            <v>Jun 2016</v>
          </cell>
        </row>
        <row r="427">
          <cell r="B427" t="str">
            <v>Jun 2016</v>
          </cell>
        </row>
        <row r="428">
          <cell r="B428" t="str">
            <v>Jun 2016</v>
          </cell>
        </row>
        <row r="429">
          <cell r="B429" t="str">
            <v>Jun 2016</v>
          </cell>
        </row>
        <row r="430">
          <cell r="B430" t="str">
            <v>Jun 2016</v>
          </cell>
        </row>
        <row r="431">
          <cell r="B431" t="str">
            <v>Jun 2016</v>
          </cell>
        </row>
        <row r="432">
          <cell r="B432" t="str">
            <v>Jun 2016</v>
          </cell>
        </row>
        <row r="433">
          <cell r="B433" t="str">
            <v>Jun 2016</v>
          </cell>
        </row>
        <row r="434">
          <cell r="B434" t="str">
            <v>Jun 2016</v>
          </cell>
        </row>
        <row r="435">
          <cell r="B435" t="str">
            <v>Jun 2016</v>
          </cell>
        </row>
        <row r="436">
          <cell r="B436" t="str">
            <v>Jun 2016</v>
          </cell>
        </row>
        <row r="437">
          <cell r="B437" t="str">
            <v>Jun 2016</v>
          </cell>
        </row>
        <row r="438">
          <cell r="B438" t="str">
            <v>Jun 2016</v>
          </cell>
        </row>
        <row r="439">
          <cell r="B439" t="str">
            <v>Jun 2016</v>
          </cell>
        </row>
        <row r="440">
          <cell r="B440" t="str">
            <v>Jun 2016</v>
          </cell>
        </row>
        <row r="441">
          <cell r="B441" t="str">
            <v>Jun 2016</v>
          </cell>
        </row>
        <row r="442">
          <cell r="B442" t="str">
            <v>Jul 2015</v>
          </cell>
        </row>
        <row r="443">
          <cell r="B443" t="str">
            <v>Jul 2015</v>
          </cell>
        </row>
        <row r="444">
          <cell r="B444" t="str">
            <v>Jul 2015</v>
          </cell>
        </row>
        <row r="445">
          <cell r="B445" t="str">
            <v>Jul 2015</v>
          </cell>
        </row>
        <row r="446">
          <cell r="B446" t="str">
            <v>Jul 2015</v>
          </cell>
        </row>
        <row r="447">
          <cell r="B447" t="str">
            <v>Jul 2015</v>
          </cell>
        </row>
        <row r="448">
          <cell r="B448" t="str">
            <v>Jul 2015</v>
          </cell>
        </row>
        <row r="449">
          <cell r="B449" t="str">
            <v>Jul 2015</v>
          </cell>
        </row>
        <row r="450">
          <cell r="B450" t="str">
            <v>Jul 2015</v>
          </cell>
        </row>
        <row r="451">
          <cell r="B451" t="str">
            <v>Jul 2015</v>
          </cell>
        </row>
        <row r="452">
          <cell r="B452" t="str">
            <v>Jul 2015</v>
          </cell>
        </row>
        <row r="453">
          <cell r="B453" t="str">
            <v>Jul 2015</v>
          </cell>
        </row>
        <row r="454">
          <cell r="B454" t="str">
            <v>Jul 2015</v>
          </cell>
        </row>
        <row r="455">
          <cell r="B455" t="str">
            <v>Jul 2015</v>
          </cell>
        </row>
        <row r="456">
          <cell r="B456" t="str">
            <v>Jul 2015</v>
          </cell>
        </row>
        <row r="457">
          <cell r="B457" t="str">
            <v>Jul 2015</v>
          </cell>
        </row>
        <row r="458">
          <cell r="B458" t="str">
            <v>Jul 2015</v>
          </cell>
        </row>
        <row r="459">
          <cell r="B459" t="str">
            <v>Jul 2015</v>
          </cell>
        </row>
        <row r="460">
          <cell r="B460" t="str">
            <v>Jul 2015</v>
          </cell>
        </row>
        <row r="461">
          <cell r="B461" t="str">
            <v>Jul 2015</v>
          </cell>
        </row>
        <row r="462">
          <cell r="B462" t="str">
            <v>Jul 2015</v>
          </cell>
        </row>
        <row r="463">
          <cell r="B463" t="str">
            <v>Jul 2015</v>
          </cell>
        </row>
        <row r="464">
          <cell r="B464" t="str">
            <v>Jul 2015</v>
          </cell>
        </row>
        <row r="465">
          <cell r="B465" t="str">
            <v>Jul 2015</v>
          </cell>
        </row>
        <row r="466">
          <cell r="B466" t="str">
            <v>Jul 2015</v>
          </cell>
        </row>
        <row r="467">
          <cell r="B467" t="str">
            <v>Jul 2015</v>
          </cell>
        </row>
        <row r="468">
          <cell r="B468" t="str">
            <v>Jul 2015</v>
          </cell>
        </row>
        <row r="469">
          <cell r="B469" t="str">
            <v>Jul 2015</v>
          </cell>
        </row>
        <row r="470">
          <cell r="B470" t="str">
            <v>Jul 2015</v>
          </cell>
        </row>
        <row r="471">
          <cell r="B471" t="str">
            <v>Jul 2015</v>
          </cell>
        </row>
        <row r="472">
          <cell r="B472" t="str">
            <v>Jul 2015</v>
          </cell>
        </row>
        <row r="473">
          <cell r="B473" t="str">
            <v>Jul 2015</v>
          </cell>
        </row>
        <row r="474">
          <cell r="B474" t="str">
            <v>Jul 2015</v>
          </cell>
        </row>
        <row r="475">
          <cell r="B475" t="str">
            <v>Jul 2015</v>
          </cell>
        </row>
        <row r="476">
          <cell r="B476" t="str">
            <v>Jul 2015</v>
          </cell>
        </row>
        <row r="477">
          <cell r="B477" t="str">
            <v>Jul 2015</v>
          </cell>
        </row>
        <row r="478">
          <cell r="B478" t="str">
            <v>Jul 2015</v>
          </cell>
        </row>
        <row r="479">
          <cell r="B479" t="str">
            <v>Jul 2015</v>
          </cell>
        </row>
        <row r="480">
          <cell r="B480" t="str">
            <v>Jul 2015</v>
          </cell>
        </row>
        <row r="481">
          <cell r="B481" t="str">
            <v>Jul 2015</v>
          </cell>
        </row>
        <row r="482">
          <cell r="B482" t="str">
            <v>Jul 2015</v>
          </cell>
        </row>
        <row r="483">
          <cell r="B483" t="str">
            <v>Jul 2015</v>
          </cell>
        </row>
        <row r="484">
          <cell r="B484" t="str">
            <v>Jul 2015</v>
          </cell>
        </row>
        <row r="485">
          <cell r="B485" t="str">
            <v>Jul 2015</v>
          </cell>
        </row>
        <row r="486">
          <cell r="B486" t="str">
            <v>Jul 2015</v>
          </cell>
        </row>
        <row r="487">
          <cell r="B487" t="str">
            <v>Jul 2015</v>
          </cell>
        </row>
        <row r="488">
          <cell r="B488" t="str">
            <v>Jul 2015</v>
          </cell>
        </row>
        <row r="489">
          <cell r="B489" t="str">
            <v>Jul 2015</v>
          </cell>
        </row>
        <row r="490">
          <cell r="B490" t="str">
            <v>Jul 2015</v>
          </cell>
        </row>
        <row r="491">
          <cell r="B491" t="str">
            <v>Jul 2015</v>
          </cell>
        </row>
        <row r="492">
          <cell r="B492" t="str">
            <v>Jul 2015</v>
          </cell>
        </row>
        <row r="493">
          <cell r="B493" t="str">
            <v>Jul 2015</v>
          </cell>
        </row>
        <row r="494">
          <cell r="B494" t="str">
            <v>Jul 2015</v>
          </cell>
        </row>
        <row r="495">
          <cell r="B495" t="str">
            <v>Jul 2015</v>
          </cell>
        </row>
        <row r="496">
          <cell r="B496" t="str">
            <v>Jul 2015</v>
          </cell>
        </row>
        <row r="497">
          <cell r="B497" t="str">
            <v>Jul 2015</v>
          </cell>
        </row>
        <row r="498">
          <cell r="B498" t="str">
            <v>Jul 2015</v>
          </cell>
        </row>
        <row r="499">
          <cell r="B499" t="str">
            <v>Jul 2015</v>
          </cell>
        </row>
        <row r="500">
          <cell r="B500" t="str">
            <v>Jul 2015</v>
          </cell>
        </row>
        <row r="501">
          <cell r="B501" t="str">
            <v>Jul 2015</v>
          </cell>
        </row>
        <row r="502">
          <cell r="B502" t="str">
            <v>Jul 2015</v>
          </cell>
        </row>
        <row r="503">
          <cell r="B503" t="str">
            <v>Jul 2015</v>
          </cell>
        </row>
        <row r="504">
          <cell r="B504" t="str">
            <v>Jul 2015</v>
          </cell>
        </row>
        <row r="505">
          <cell r="B505" t="str">
            <v>Jul 2015</v>
          </cell>
        </row>
        <row r="506">
          <cell r="B506" t="str">
            <v>Jul 2015</v>
          </cell>
        </row>
        <row r="507">
          <cell r="B507" t="str">
            <v>Jul 2015</v>
          </cell>
        </row>
        <row r="508">
          <cell r="B508" t="str">
            <v>Jul 2015</v>
          </cell>
        </row>
        <row r="509">
          <cell r="B509" t="str">
            <v>Jul 2015</v>
          </cell>
        </row>
        <row r="510">
          <cell r="B510" t="str">
            <v>Jul 2015</v>
          </cell>
        </row>
        <row r="511">
          <cell r="B511" t="str">
            <v>Jul 2015</v>
          </cell>
        </row>
        <row r="512">
          <cell r="B512" t="str">
            <v>Jul 2015</v>
          </cell>
        </row>
        <row r="513">
          <cell r="B513" t="str">
            <v>Jul 2015</v>
          </cell>
        </row>
        <row r="514">
          <cell r="B514" t="str">
            <v>Jul 2015</v>
          </cell>
        </row>
        <row r="515">
          <cell r="B515" t="str">
            <v>Aug 2015</v>
          </cell>
        </row>
        <row r="516">
          <cell r="B516" t="str">
            <v>Aug 2015</v>
          </cell>
        </row>
        <row r="517">
          <cell r="B517" t="str">
            <v>Aug 2015</v>
          </cell>
        </row>
        <row r="518">
          <cell r="B518" t="str">
            <v>Aug 2015</v>
          </cell>
        </row>
        <row r="519">
          <cell r="B519" t="str">
            <v>Aug 2015</v>
          </cell>
        </row>
        <row r="520">
          <cell r="B520" t="str">
            <v>Aug 2015</v>
          </cell>
        </row>
        <row r="521">
          <cell r="B521" t="str">
            <v>Aug 2015</v>
          </cell>
        </row>
        <row r="522">
          <cell r="B522" t="str">
            <v>Aug 2015</v>
          </cell>
        </row>
        <row r="523">
          <cell r="B523" t="str">
            <v>Aug 2015</v>
          </cell>
        </row>
        <row r="524">
          <cell r="B524" t="str">
            <v>Aug 2015</v>
          </cell>
        </row>
        <row r="525">
          <cell r="B525" t="str">
            <v>Aug 2015</v>
          </cell>
        </row>
        <row r="526">
          <cell r="B526" t="str">
            <v>Aug 2015</v>
          </cell>
        </row>
        <row r="527">
          <cell r="B527" t="str">
            <v>Aug 2015</v>
          </cell>
        </row>
        <row r="528">
          <cell r="B528" t="str">
            <v>Aug 2015</v>
          </cell>
        </row>
        <row r="529">
          <cell r="B529" t="str">
            <v>Aug 2015</v>
          </cell>
        </row>
        <row r="530">
          <cell r="B530" t="str">
            <v>Aug 2015</v>
          </cell>
        </row>
        <row r="531">
          <cell r="B531" t="str">
            <v>Aug 2015</v>
          </cell>
        </row>
        <row r="532">
          <cell r="B532" t="str">
            <v>Aug 2015</v>
          </cell>
        </row>
        <row r="533">
          <cell r="B533" t="str">
            <v>Aug 2015</v>
          </cell>
        </row>
        <row r="534">
          <cell r="B534" t="str">
            <v>Aug 2015</v>
          </cell>
        </row>
        <row r="535">
          <cell r="B535" t="str">
            <v>Aug 2015</v>
          </cell>
        </row>
        <row r="536">
          <cell r="B536" t="str">
            <v>Aug 2015</v>
          </cell>
        </row>
        <row r="537">
          <cell r="B537" t="str">
            <v>Aug 2015</v>
          </cell>
        </row>
        <row r="538">
          <cell r="B538" t="str">
            <v>Aug 2015</v>
          </cell>
        </row>
        <row r="539">
          <cell r="B539" t="str">
            <v>Aug 2015</v>
          </cell>
        </row>
        <row r="540">
          <cell r="B540" t="str">
            <v>Aug 2015</v>
          </cell>
        </row>
        <row r="541">
          <cell r="B541" t="str">
            <v>Aug 2015</v>
          </cell>
        </row>
        <row r="542">
          <cell r="B542" t="str">
            <v>Aug 2015</v>
          </cell>
        </row>
        <row r="543">
          <cell r="B543" t="str">
            <v>Aug 2015</v>
          </cell>
        </row>
        <row r="544">
          <cell r="B544" t="str">
            <v>Aug 2015</v>
          </cell>
        </row>
        <row r="545">
          <cell r="B545" t="str">
            <v>Aug 2015</v>
          </cell>
        </row>
        <row r="546">
          <cell r="B546" t="str">
            <v>Aug 2015</v>
          </cell>
        </row>
        <row r="547">
          <cell r="B547" t="str">
            <v>Aug 2015</v>
          </cell>
        </row>
        <row r="548">
          <cell r="B548" t="str">
            <v>Aug 2015</v>
          </cell>
        </row>
        <row r="549">
          <cell r="B549" t="str">
            <v>Aug 2015</v>
          </cell>
        </row>
        <row r="550">
          <cell r="B550" t="str">
            <v>Aug 2015</v>
          </cell>
        </row>
        <row r="551">
          <cell r="B551" t="str">
            <v>Aug 2015</v>
          </cell>
        </row>
        <row r="552">
          <cell r="B552" t="str">
            <v>Aug 2015</v>
          </cell>
        </row>
        <row r="553">
          <cell r="B553" t="str">
            <v>Aug 2015</v>
          </cell>
        </row>
        <row r="554">
          <cell r="B554" t="str">
            <v>Aug 2015</v>
          </cell>
        </row>
        <row r="555">
          <cell r="B555" t="str">
            <v>Aug 2015</v>
          </cell>
        </row>
        <row r="556">
          <cell r="B556" t="str">
            <v>Aug 2015</v>
          </cell>
        </row>
        <row r="557">
          <cell r="B557" t="str">
            <v>Aug 2015</v>
          </cell>
        </row>
        <row r="558">
          <cell r="B558" t="str">
            <v>Aug 2015</v>
          </cell>
        </row>
        <row r="559">
          <cell r="B559" t="str">
            <v>Aug 2015</v>
          </cell>
        </row>
        <row r="560">
          <cell r="B560" t="str">
            <v>Aug 2015</v>
          </cell>
        </row>
        <row r="561">
          <cell r="B561" t="str">
            <v>Aug 2015</v>
          </cell>
        </row>
        <row r="562">
          <cell r="B562" t="str">
            <v>Aug 2015</v>
          </cell>
        </row>
        <row r="563">
          <cell r="B563" t="str">
            <v>Aug 2015</v>
          </cell>
        </row>
        <row r="564">
          <cell r="B564" t="str">
            <v>Aug 2015</v>
          </cell>
        </row>
        <row r="565">
          <cell r="B565" t="str">
            <v>Aug 2015</v>
          </cell>
        </row>
        <row r="566">
          <cell r="B566" t="str">
            <v>Aug 2015</v>
          </cell>
        </row>
        <row r="567">
          <cell r="B567" t="str">
            <v>Aug 2015</v>
          </cell>
        </row>
        <row r="568">
          <cell r="B568" t="str">
            <v>Aug 2015</v>
          </cell>
        </row>
        <row r="569">
          <cell r="B569" t="str">
            <v>Aug 2015</v>
          </cell>
        </row>
        <row r="570">
          <cell r="B570" t="str">
            <v>Aug 2015</v>
          </cell>
        </row>
        <row r="571">
          <cell r="B571" t="str">
            <v>Aug 2015</v>
          </cell>
        </row>
        <row r="572">
          <cell r="B572" t="str">
            <v>Aug 2015</v>
          </cell>
        </row>
        <row r="573">
          <cell r="B573" t="str">
            <v>Aug 2015</v>
          </cell>
        </row>
        <row r="574">
          <cell r="B574" t="str">
            <v>Aug 2015</v>
          </cell>
        </row>
        <row r="575">
          <cell r="B575" t="str">
            <v>Aug 2015</v>
          </cell>
        </row>
        <row r="576">
          <cell r="B576" t="str">
            <v>Aug 2015</v>
          </cell>
        </row>
        <row r="577">
          <cell r="B577" t="str">
            <v>Aug 2015</v>
          </cell>
        </row>
        <row r="578">
          <cell r="B578" t="str">
            <v>Aug 2015</v>
          </cell>
        </row>
        <row r="579">
          <cell r="B579" t="str">
            <v>Aug 2015</v>
          </cell>
        </row>
        <row r="580">
          <cell r="B580" t="str">
            <v>Aug 2015</v>
          </cell>
        </row>
        <row r="581">
          <cell r="B581" t="str">
            <v>Aug 2015</v>
          </cell>
        </row>
        <row r="582">
          <cell r="B582" t="str">
            <v>Aug 2015</v>
          </cell>
        </row>
        <row r="583">
          <cell r="B583" t="str">
            <v>Aug 2015</v>
          </cell>
        </row>
        <row r="584">
          <cell r="B584" t="str">
            <v>Aug 2015</v>
          </cell>
        </row>
        <row r="585">
          <cell r="B585" t="str">
            <v>Aug 2015</v>
          </cell>
        </row>
        <row r="586">
          <cell r="B586" t="str">
            <v>Aug 2015</v>
          </cell>
        </row>
        <row r="587">
          <cell r="B587" t="str">
            <v>Aug 2015</v>
          </cell>
        </row>
        <row r="588">
          <cell r="B588" t="str">
            <v>Sep 2015</v>
          </cell>
        </row>
        <row r="589">
          <cell r="B589" t="str">
            <v>Sep 2015</v>
          </cell>
        </row>
        <row r="590">
          <cell r="B590" t="str">
            <v>Sep 2015</v>
          </cell>
        </row>
        <row r="591">
          <cell r="B591" t="str">
            <v>Sep 2015</v>
          </cell>
        </row>
        <row r="592">
          <cell r="B592" t="str">
            <v>Sep 2015</v>
          </cell>
        </row>
        <row r="593">
          <cell r="B593" t="str">
            <v>Sep 2015</v>
          </cell>
        </row>
        <row r="594">
          <cell r="B594" t="str">
            <v>Sep 2015</v>
          </cell>
        </row>
        <row r="595">
          <cell r="B595" t="str">
            <v>Sep 2015</v>
          </cell>
        </row>
        <row r="596">
          <cell r="B596" t="str">
            <v>Sep 2015</v>
          </cell>
        </row>
        <row r="597">
          <cell r="B597" t="str">
            <v>Sep 2015</v>
          </cell>
        </row>
        <row r="598">
          <cell r="B598" t="str">
            <v>Sep 2015</v>
          </cell>
        </row>
        <row r="599">
          <cell r="B599" t="str">
            <v>Sep 2015</v>
          </cell>
        </row>
        <row r="600">
          <cell r="B600" t="str">
            <v>Sep 2015</v>
          </cell>
        </row>
        <row r="601">
          <cell r="B601" t="str">
            <v>Sep 2015</v>
          </cell>
        </row>
        <row r="602">
          <cell r="B602" t="str">
            <v>Sep 2015</v>
          </cell>
        </row>
        <row r="603">
          <cell r="B603" t="str">
            <v>Sep 2015</v>
          </cell>
        </row>
        <row r="604">
          <cell r="B604" t="str">
            <v>Sep 2015</v>
          </cell>
        </row>
        <row r="605">
          <cell r="B605" t="str">
            <v>Sep 2015</v>
          </cell>
        </row>
        <row r="606">
          <cell r="B606" t="str">
            <v>Sep 2015</v>
          </cell>
        </row>
        <row r="607">
          <cell r="B607" t="str">
            <v>Sep 2015</v>
          </cell>
        </row>
        <row r="608">
          <cell r="B608" t="str">
            <v>Sep 2015</v>
          </cell>
        </row>
        <row r="609">
          <cell r="B609" t="str">
            <v>Sep 2015</v>
          </cell>
        </row>
        <row r="610">
          <cell r="B610" t="str">
            <v>Sep 2015</v>
          </cell>
        </row>
        <row r="611">
          <cell r="B611" t="str">
            <v>Sep 2015</v>
          </cell>
        </row>
        <row r="612">
          <cell r="B612" t="str">
            <v>Sep 2015</v>
          </cell>
        </row>
        <row r="613">
          <cell r="B613" t="str">
            <v>Sep 2015</v>
          </cell>
        </row>
        <row r="614">
          <cell r="B614" t="str">
            <v>Sep 2015</v>
          </cell>
        </row>
        <row r="615">
          <cell r="B615" t="str">
            <v>Sep 2015</v>
          </cell>
        </row>
        <row r="616">
          <cell r="B616" t="str">
            <v>Sep 2015</v>
          </cell>
        </row>
        <row r="617">
          <cell r="B617" t="str">
            <v>Sep 2015</v>
          </cell>
        </row>
        <row r="618">
          <cell r="B618" t="str">
            <v>Sep 2015</v>
          </cell>
        </row>
        <row r="619">
          <cell r="B619" t="str">
            <v>Sep 2015</v>
          </cell>
        </row>
        <row r="620">
          <cell r="B620" t="str">
            <v>Sep 2015</v>
          </cell>
        </row>
        <row r="621">
          <cell r="B621" t="str">
            <v>Sep 2015</v>
          </cell>
        </row>
        <row r="622">
          <cell r="B622" t="str">
            <v>Sep 2015</v>
          </cell>
        </row>
        <row r="623">
          <cell r="B623" t="str">
            <v>Sep 2015</v>
          </cell>
        </row>
        <row r="624">
          <cell r="B624" t="str">
            <v>Sep 2015</v>
          </cell>
        </row>
        <row r="625">
          <cell r="B625" t="str">
            <v>Sep 2015</v>
          </cell>
        </row>
        <row r="626">
          <cell r="B626" t="str">
            <v>Sep 2015</v>
          </cell>
        </row>
        <row r="627">
          <cell r="B627" t="str">
            <v>Sep 2015</v>
          </cell>
        </row>
        <row r="628">
          <cell r="B628" t="str">
            <v>Sep 2015</v>
          </cell>
        </row>
        <row r="629">
          <cell r="B629" t="str">
            <v>Sep 2015</v>
          </cell>
        </row>
        <row r="630">
          <cell r="B630" t="str">
            <v>Sep 2015</v>
          </cell>
        </row>
        <row r="631">
          <cell r="B631" t="str">
            <v>Sep 2015</v>
          </cell>
        </row>
        <row r="632">
          <cell r="B632" t="str">
            <v>Sep 2015</v>
          </cell>
        </row>
        <row r="633">
          <cell r="B633" t="str">
            <v>Sep 2015</v>
          </cell>
        </row>
        <row r="634">
          <cell r="B634" t="str">
            <v>Sep 2015</v>
          </cell>
        </row>
        <row r="635">
          <cell r="B635" t="str">
            <v>Sep 2015</v>
          </cell>
        </row>
        <row r="636">
          <cell r="B636" t="str">
            <v>Sep 2015</v>
          </cell>
        </row>
        <row r="637">
          <cell r="B637" t="str">
            <v>Sep 2015</v>
          </cell>
        </row>
        <row r="638">
          <cell r="B638" t="str">
            <v>Sep 2015</v>
          </cell>
        </row>
        <row r="639">
          <cell r="B639" t="str">
            <v>Sep 2015</v>
          </cell>
        </row>
        <row r="640">
          <cell r="B640" t="str">
            <v>Sep 2015</v>
          </cell>
        </row>
        <row r="641">
          <cell r="B641" t="str">
            <v>Sep 2015</v>
          </cell>
        </row>
        <row r="642">
          <cell r="B642" t="str">
            <v>Sep 2015</v>
          </cell>
        </row>
        <row r="643">
          <cell r="B643" t="str">
            <v>Sep 2015</v>
          </cell>
        </row>
        <row r="644">
          <cell r="B644" t="str">
            <v>Sep 2015</v>
          </cell>
        </row>
        <row r="645">
          <cell r="B645" t="str">
            <v>Sep 2015</v>
          </cell>
        </row>
        <row r="646">
          <cell r="B646" t="str">
            <v>Sep 2015</v>
          </cell>
        </row>
        <row r="647">
          <cell r="B647" t="str">
            <v>Sep 2015</v>
          </cell>
        </row>
        <row r="648">
          <cell r="B648" t="str">
            <v>Sep 2015</v>
          </cell>
        </row>
        <row r="649">
          <cell r="B649" t="str">
            <v>Sep 2015</v>
          </cell>
        </row>
        <row r="650">
          <cell r="B650" t="str">
            <v>Sep 2015</v>
          </cell>
        </row>
        <row r="651">
          <cell r="B651" t="str">
            <v>Sep 2015</v>
          </cell>
        </row>
        <row r="652">
          <cell r="B652" t="str">
            <v>Sep 2015</v>
          </cell>
        </row>
        <row r="653">
          <cell r="B653" t="str">
            <v>Sep 2015</v>
          </cell>
        </row>
        <row r="654">
          <cell r="B654" t="str">
            <v>Sep 2015</v>
          </cell>
        </row>
        <row r="655">
          <cell r="B655" t="str">
            <v>Sep 2015</v>
          </cell>
        </row>
        <row r="656">
          <cell r="B656" t="str">
            <v>Sep 2015</v>
          </cell>
        </row>
        <row r="657">
          <cell r="B657" t="str">
            <v>Sep 2015</v>
          </cell>
        </row>
        <row r="658">
          <cell r="B658" t="str">
            <v>Sep 2015</v>
          </cell>
        </row>
        <row r="659">
          <cell r="B659" t="str">
            <v>Sep 2015</v>
          </cell>
        </row>
        <row r="660">
          <cell r="B660" t="str">
            <v>Sep 2015</v>
          </cell>
        </row>
        <row r="661">
          <cell r="B661" t="str">
            <v>Oct 2015</v>
          </cell>
        </row>
        <row r="662">
          <cell r="B662" t="str">
            <v>Oct 2015</v>
          </cell>
        </row>
        <row r="663">
          <cell r="B663" t="str">
            <v>Oct 2015</v>
          </cell>
        </row>
        <row r="664">
          <cell r="B664" t="str">
            <v>Oct 2015</v>
          </cell>
        </row>
        <row r="665">
          <cell r="B665" t="str">
            <v>Oct 2015</v>
          </cell>
        </row>
        <row r="666">
          <cell r="B666" t="str">
            <v>Oct 2015</v>
          </cell>
        </row>
        <row r="667">
          <cell r="B667" t="str">
            <v>Oct 2015</v>
          </cell>
        </row>
        <row r="668">
          <cell r="B668" t="str">
            <v>Oct 2015</v>
          </cell>
        </row>
        <row r="669">
          <cell r="B669" t="str">
            <v>Oct 2015</v>
          </cell>
        </row>
        <row r="670">
          <cell r="B670" t="str">
            <v>Oct 2015</v>
          </cell>
        </row>
        <row r="671">
          <cell r="B671" t="str">
            <v>Oct 2015</v>
          </cell>
        </row>
        <row r="672">
          <cell r="B672" t="str">
            <v>Oct 2015</v>
          </cell>
        </row>
        <row r="673">
          <cell r="B673" t="str">
            <v>Oct 2015</v>
          </cell>
        </row>
        <row r="674">
          <cell r="B674" t="str">
            <v>Oct 2015</v>
          </cell>
        </row>
        <row r="675">
          <cell r="B675" t="str">
            <v>Oct 2015</v>
          </cell>
        </row>
        <row r="676">
          <cell r="B676" t="str">
            <v>Oct 2015</v>
          </cell>
        </row>
        <row r="677">
          <cell r="B677" t="str">
            <v>Oct 2015</v>
          </cell>
        </row>
        <row r="678">
          <cell r="B678" t="str">
            <v>Oct 2015</v>
          </cell>
        </row>
        <row r="679">
          <cell r="B679" t="str">
            <v>Oct 2015</v>
          </cell>
        </row>
        <row r="680">
          <cell r="B680" t="str">
            <v>Oct 2015</v>
          </cell>
        </row>
        <row r="681">
          <cell r="B681" t="str">
            <v>Oct 2015</v>
          </cell>
        </row>
        <row r="682">
          <cell r="B682" t="str">
            <v>Oct 2015</v>
          </cell>
        </row>
        <row r="683">
          <cell r="B683" t="str">
            <v>Oct 2015</v>
          </cell>
        </row>
        <row r="684">
          <cell r="B684" t="str">
            <v>Oct 2015</v>
          </cell>
        </row>
        <row r="685">
          <cell r="B685" t="str">
            <v>Oct 2015</v>
          </cell>
        </row>
        <row r="686">
          <cell r="B686" t="str">
            <v>Oct 2015</v>
          </cell>
        </row>
        <row r="687">
          <cell r="B687" t="str">
            <v>Oct 2015</v>
          </cell>
        </row>
        <row r="688">
          <cell r="B688" t="str">
            <v>Oct 2015</v>
          </cell>
        </row>
        <row r="689">
          <cell r="B689" t="str">
            <v>Oct 2015</v>
          </cell>
        </row>
        <row r="690">
          <cell r="B690" t="str">
            <v>Oct 2015</v>
          </cell>
        </row>
        <row r="691">
          <cell r="B691" t="str">
            <v>Oct 2015</v>
          </cell>
        </row>
        <row r="692">
          <cell r="B692" t="str">
            <v>Oct 2015</v>
          </cell>
        </row>
        <row r="693">
          <cell r="B693" t="str">
            <v>Oct 2015</v>
          </cell>
        </row>
        <row r="694">
          <cell r="B694" t="str">
            <v>Oct 2015</v>
          </cell>
        </row>
        <row r="695">
          <cell r="B695" t="str">
            <v>Oct 2015</v>
          </cell>
        </row>
        <row r="696">
          <cell r="B696" t="str">
            <v>Oct 2015</v>
          </cell>
        </row>
        <row r="697">
          <cell r="B697" t="str">
            <v>Oct 2015</v>
          </cell>
        </row>
        <row r="698">
          <cell r="B698" t="str">
            <v>Oct 2015</v>
          </cell>
        </row>
        <row r="699">
          <cell r="B699" t="str">
            <v>Oct 2015</v>
          </cell>
        </row>
        <row r="700">
          <cell r="B700" t="str">
            <v>Oct 2015</v>
          </cell>
        </row>
        <row r="701">
          <cell r="B701" t="str">
            <v>Oct 2015</v>
          </cell>
        </row>
        <row r="702">
          <cell r="B702" t="str">
            <v>Oct 2015</v>
          </cell>
        </row>
        <row r="703">
          <cell r="B703" t="str">
            <v>Oct 2015</v>
          </cell>
        </row>
        <row r="704">
          <cell r="B704" t="str">
            <v>Oct 2015</v>
          </cell>
        </row>
        <row r="705">
          <cell r="B705" t="str">
            <v>Oct 2015</v>
          </cell>
        </row>
        <row r="706">
          <cell r="B706" t="str">
            <v>Oct 2015</v>
          </cell>
        </row>
        <row r="707">
          <cell r="B707" t="str">
            <v>Oct 2015</v>
          </cell>
        </row>
        <row r="708">
          <cell r="B708" t="str">
            <v>Oct 2015</v>
          </cell>
        </row>
        <row r="709">
          <cell r="B709" t="str">
            <v>Oct 2015</v>
          </cell>
        </row>
        <row r="710">
          <cell r="B710" t="str">
            <v>Oct 2015</v>
          </cell>
        </row>
        <row r="711">
          <cell r="B711" t="str">
            <v>Oct 2015</v>
          </cell>
        </row>
        <row r="712">
          <cell r="B712" t="str">
            <v>Oct 2015</v>
          </cell>
        </row>
        <row r="713">
          <cell r="B713" t="str">
            <v>Oct 2015</v>
          </cell>
        </row>
        <row r="714">
          <cell r="B714" t="str">
            <v>Oct 2015</v>
          </cell>
        </row>
        <row r="715">
          <cell r="B715" t="str">
            <v>Oct 2015</v>
          </cell>
        </row>
        <row r="716">
          <cell r="B716" t="str">
            <v>Oct 2015</v>
          </cell>
        </row>
        <row r="717">
          <cell r="B717" t="str">
            <v>Oct 2015</v>
          </cell>
        </row>
        <row r="718">
          <cell r="B718" t="str">
            <v>Oct 2015</v>
          </cell>
        </row>
        <row r="719">
          <cell r="B719" t="str">
            <v>Oct 2015</v>
          </cell>
        </row>
        <row r="720">
          <cell r="B720" t="str">
            <v>Oct 2015</v>
          </cell>
        </row>
        <row r="721">
          <cell r="B721" t="str">
            <v>Oct 2015</v>
          </cell>
        </row>
        <row r="722">
          <cell r="B722" t="str">
            <v>Oct 2015</v>
          </cell>
        </row>
        <row r="723">
          <cell r="B723" t="str">
            <v>Oct 2015</v>
          </cell>
        </row>
        <row r="724">
          <cell r="B724" t="str">
            <v>Oct 2015</v>
          </cell>
        </row>
        <row r="725">
          <cell r="B725" t="str">
            <v>Oct 2015</v>
          </cell>
        </row>
        <row r="726">
          <cell r="B726" t="str">
            <v>Oct 2015</v>
          </cell>
        </row>
        <row r="727">
          <cell r="B727" t="str">
            <v>Oct 2015</v>
          </cell>
        </row>
        <row r="728">
          <cell r="B728" t="str">
            <v>Oct 2015</v>
          </cell>
        </row>
        <row r="729">
          <cell r="B729" t="str">
            <v>Oct 2015</v>
          </cell>
        </row>
        <row r="730">
          <cell r="B730" t="str">
            <v>Oct 2015</v>
          </cell>
        </row>
        <row r="731">
          <cell r="B731" t="str">
            <v>Oct 2015</v>
          </cell>
        </row>
        <row r="732">
          <cell r="B732" t="str">
            <v>Oct 2015</v>
          </cell>
        </row>
        <row r="733">
          <cell r="B733" t="str">
            <v>Oct 2015</v>
          </cell>
        </row>
        <row r="734">
          <cell r="B734" t="str">
            <v>Nov 2015</v>
          </cell>
        </row>
        <row r="735">
          <cell r="B735" t="str">
            <v>Nov 2015</v>
          </cell>
        </row>
        <row r="736">
          <cell r="B736" t="str">
            <v>Nov 2015</v>
          </cell>
        </row>
        <row r="737">
          <cell r="B737" t="str">
            <v>Nov 2015</v>
          </cell>
        </row>
        <row r="738">
          <cell r="B738" t="str">
            <v>Nov 2015</v>
          </cell>
        </row>
        <row r="739">
          <cell r="B739" t="str">
            <v>Nov 2015</v>
          </cell>
        </row>
        <row r="740">
          <cell r="B740" t="str">
            <v>Nov 2015</v>
          </cell>
        </row>
        <row r="741">
          <cell r="B741" t="str">
            <v>Nov 2015</v>
          </cell>
        </row>
        <row r="742">
          <cell r="B742" t="str">
            <v>Nov 2015</v>
          </cell>
        </row>
        <row r="743">
          <cell r="B743" t="str">
            <v>Nov 2015</v>
          </cell>
        </row>
        <row r="744">
          <cell r="B744" t="str">
            <v>Nov 2015</v>
          </cell>
        </row>
        <row r="745">
          <cell r="B745" t="str">
            <v>Nov 2015</v>
          </cell>
        </row>
        <row r="746">
          <cell r="B746" t="str">
            <v>Nov 2015</v>
          </cell>
        </row>
        <row r="747">
          <cell r="B747" t="str">
            <v>Nov 2015</v>
          </cell>
        </row>
        <row r="748">
          <cell r="B748" t="str">
            <v>Nov 2015</v>
          </cell>
        </row>
        <row r="749">
          <cell r="B749" t="str">
            <v>Nov 2015</v>
          </cell>
        </row>
        <row r="750">
          <cell r="B750" t="str">
            <v>Nov 2015</v>
          </cell>
        </row>
        <row r="751">
          <cell r="B751" t="str">
            <v>Nov 2015</v>
          </cell>
        </row>
        <row r="752">
          <cell r="B752" t="str">
            <v>Nov 2015</v>
          </cell>
        </row>
        <row r="753">
          <cell r="B753" t="str">
            <v>Nov 2015</v>
          </cell>
        </row>
        <row r="754">
          <cell r="B754" t="str">
            <v>Nov 2015</v>
          </cell>
        </row>
        <row r="755">
          <cell r="B755" t="str">
            <v>Nov 2015</v>
          </cell>
        </row>
        <row r="756">
          <cell r="B756" t="str">
            <v>Nov 2015</v>
          </cell>
        </row>
        <row r="757">
          <cell r="B757" t="str">
            <v>Nov 2015</v>
          </cell>
        </row>
        <row r="758">
          <cell r="B758" t="str">
            <v>Nov 2015</v>
          </cell>
        </row>
        <row r="759">
          <cell r="B759" t="str">
            <v>Nov 2015</v>
          </cell>
        </row>
        <row r="760">
          <cell r="B760" t="str">
            <v>Nov 2015</v>
          </cell>
        </row>
        <row r="761">
          <cell r="B761" t="str">
            <v>Nov 2015</v>
          </cell>
        </row>
        <row r="762">
          <cell r="B762" t="str">
            <v>Nov 2015</v>
          </cell>
        </row>
        <row r="763">
          <cell r="B763" t="str">
            <v>Nov 2015</v>
          </cell>
        </row>
        <row r="764">
          <cell r="B764" t="str">
            <v>Nov 2015</v>
          </cell>
        </row>
        <row r="765">
          <cell r="B765" t="str">
            <v>Nov 2015</v>
          </cell>
        </row>
        <row r="766">
          <cell r="B766" t="str">
            <v>Nov 2015</v>
          </cell>
        </row>
        <row r="767">
          <cell r="B767" t="str">
            <v>Nov 2015</v>
          </cell>
        </row>
        <row r="768">
          <cell r="B768" t="str">
            <v>Nov 2015</v>
          </cell>
        </row>
        <row r="769">
          <cell r="B769" t="str">
            <v>Nov 2015</v>
          </cell>
        </row>
        <row r="770">
          <cell r="B770" t="str">
            <v>Nov 2015</v>
          </cell>
        </row>
        <row r="771">
          <cell r="B771" t="str">
            <v>Nov 2015</v>
          </cell>
        </row>
        <row r="772">
          <cell r="B772" t="str">
            <v>Nov 2015</v>
          </cell>
        </row>
        <row r="773">
          <cell r="B773" t="str">
            <v>Nov 2015</v>
          </cell>
        </row>
        <row r="774">
          <cell r="B774" t="str">
            <v>Nov 2015</v>
          </cell>
        </row>
        <row r="775">
          <cell r="B775" t="str">
            <v>Nov 2015</v>
          </cell>
        </row>
        <row r="776">
          <cell r="B776" t="str">
            <v>Nov 2015</v>
          </cell>
        </row>
        <row r="777">
          <cell r="B777" t="str">
            <v>Nov 2015</v>
          </cell>
        </row>
        <row r="778">
          <cell r="B778" t="str">
            <v>Nov 2015</v>
          </cell>
        </row>
        <row r="779">
          <cell r="B779" t="str">
            <v>Nov 2015</v>
          </cell>
        </row>
        <row r="780">
          <cell r="B780" t="str">
            <v>Nov 2015</v>
          </cell>
        </row>
        <row r="781">
          <cell r="B781" t="str">
            <v>Nov 2015</v>
          </cell>
        </row>
        <row r="782">
          <cell r="B782" t="str">
            <v>Nov 2015</v>
          </cell>
        </row>
        <row r="783">
          <cell r="B783" t="str">
            <v>Nov 2015</v>
          </cell>
        </row>
        <row r="784">
          <cell r="B784" t="str">
            <v>Nov 2015</v>
          </cell>
        </row>
        <row r="785">
          <cell r="B785" t="str">
            <v>Nov 2015</v>
          </cell>
        </row>
        <row r="786">
          <cell r="B786" t="str">
            <v>Nov 2015</v>
          </cell>
        </row>
        <row r="787">
          <cell r="B787" t="str">
            <v>Nov 2015</v>
          </cell>
        </row>
        <row r="788">
          <cell r="B788" t="str">
            <v>Nov 2015</v>
          </cell>
        </row>
        <row r="789">
          <cell r="B789" t="str">
            <v>Nov 2015</v>
          </cell>
        </row>
        <row r="790">
          <cell r="B790" t="str">
            <v>Nov 2015</v>
          </cell>
        </row>
        <row r="791">
          <cell r="B791" t="str">
            <v>Nov 2015</v>
          </cell>
        </row>
        <row r="792">
          <cell r="B792" t="str">
            <v>Nov 2015</v>
          </cell>
        </row>
        <row r="793">
          <cell r="B793" t="str">
            <v>Nov 2015</v>
          </cell>
        </row>
        <row r="794">
          <cell r="B794" t="str">
            <v>Nov 2015</v>
          </cell>
        </row>
        <row r="795">
          <cell r="B795" t="str">
            <v>Nov 2015</v>
          </cell>
        </row>
        <row r="796">
          <cell r="B796" t="str">
            <v>Nov 2015</v>
          </cell>
        </row>
        <row r="797">
          <cell r="B797" t="str">
            <v>Nov 2015</v>
          </cell>
        </row>
        <row r="798">
          <cell r="B798" t="str">
            <v>Nov 2015</v>
          </cell>
        </row>
        <row r="799">
          <cell r="B799" t="str">
            <v>Nov 2015</v>
          </cell>
        </row>
        <row r="800">
          <cell r="B800" t="str">
            <v>Nov 2015</v>
          </cell>
        </row>
        <row r="801">
          <cell r="B801" t="str">
            <v>Nov 2015</v>
          </cell>
        </row>
        <row r="802">
          <cell r="B802" t="str">
            <v>Nov 2015</v>
          </cell>
        </row>
        <row r="803">
          <cell r="B803" t="str">
            <v>Nov 2015</v>
          </cell>
        </row>
        <row r="804">
          <cell r="B804" t="str">
            <v>Nov 2015</v>
          </cell>
        </row>
        <row r="805">
          <cell r="B805" t="str">
            <v>Nov 2015</v>
          </cell>
        </row>
        <row r="806">
          <cell r="B806" t="str">
            <v>Nov 2015</v>
          </cell>
        </row>
        <row r="807">
          <cell r="B807" t="str">
            <v>Dec 2015</v>
          </cell>
        </row>
        <row r="808">
          <cell r="B808" t="str">
            <v>Dec 2015</v>
          </cell>
        </row>
        <row r="809">
          <cell r="B809" t="str">
            <v>Dec 2015</v>
          </cell>
        </row>
        <row r="810">
          <cell r="B810" t="str">
            <v>Dec 2015</v>
          </cell>
        </row>
        <row r="811">
          <cell r="B811" t="str">
            <v>Dec 2015</v>
          </cell>
        </row>
        <row r="812">
          <cell r="B812" t="str">
            <v>Dec 2015</v>
          </cell>
        </row>
        <row r="813">
          <cell r="B813" t="str">
            <v>Dec 2015</v>
          </cell>
        </row>
        <row r="814">
          <cell r="B814" t="str">
            <v>Dec 2015</v>
          </cell>
        </row>
        <row r="815">
          <cell r="B815" t="str">
            <v>Dec 2015</v>
          </cell>
        </row>
        <row r="816">
          <cell r="B816" t="str">
            <v>Dec 2015</v>
          </cell>
        </row>
        <row r="817">
          <cell r="B817" t="str">
            <v>Dec 2015</v>
          </cell>
        </row>
        <row r="818">
          <cell r="B818" t="str">
            <v>Dec 2015</v>
          </cell>
        </row>
        <row r="819">
          <cell r="B819" t="str">
            <v>Dec 2015</v>
          </cell>
        </row>
        <row r="820">
          <cell r="B820" t="str">
            <v>Dec 2015</v>
          </cell>
        </row>
        <row r="821">
          <cell r="B821" t="str">
            <v>Dec 2015</v>
          </cell>
        </row>
        <row r="822">
          <cell r="B822" t="str">
            <v>Dec 2015</v>
          </cell>
        </row>
        <row r="823">
          <cell r="B823" t="str">
            <v>Dec 2015</v>
          </cell>
        </row>
        <row r="824">
          <cell r="B824" t="str">
            <v>Dec 2015</v>
          </cell>
        </row>
        <row r="825">
          <cell r="B825" t="str">
            <v>Dec 2015</v>
          </cell>
        </row>
        <row r="826">
          <cell r="B826" t="str">
            <v>Dec 2015</v>
          </cell>
        </row>
        <row r="827">
          <cell r="B827" t="str">
            <v>Dec 2015</v>
          </cell>
        </row>
        <row r="828">
          <cell r="B828" t="str">
            <v>Dec 2015</v>
          </cell>
        </row>
        <row r="829">
          <cell r="B829" t="str">
            <v>Dec 2015</v>
          </cell>
        </row>
        <row r="830">
          <cell r="B830" t="str">
            <v>Dec 2015</v>
          </cell>
        </row>
        <row r="831">
          <cell r="B831" t="str">
            <v>Dec 2015</v>
          </cell>
        </row>
        <row r="832">
          <cell r="B832" t="str">
            <v>Dec 2015</v>
          </cell>
        </row>
        <row r="833">
          <cell r="B833" t="str">
            <v>Dec 2015</v>
          </cell>
        </row>
        <row r="834">
          <cell r="B834" t="str">
            <v>Dec 2015</v>
          </cell>
        </row>
        <row r="835">
          <cell r="B835" t="str">
            <v>Dec 2015</v>
          </cell>
        </row>
        <row r="836">
          <cell r="B836" t="str">
            <v>Dec 2015</v>
          </cell>
        </row>
        <row r="837">
          <cell r="B837" t="str">
            <v>Dec 2015</v>
          </cell>
        </row>
        <row r="838">
          <cell r="B838" t="str">
            <v>Dec 2015</v>
          </cell>
        </row>
        <row r="839">
          <cell r="B839" t="str">
            <v>Dec 2015</v>
          </cell>
        </row>
        <row r="840">
          <cell r="B840" t="str">
            <v>Dec 2015</v>
          </cell>
        </row>
        <row r="841">
          <cell r="B841" t="str">
            <v>Dec 2015</v>
          </cell>
        </row>
        <row r="842">
          <cell r="B842" t="str">
            <v>Dec 2015</v>
          </cell>
        </row>
        <row r="843">
          <cell r="B843" t="str">
            <v>Dec 2015</v>
          </cell>
        </row>
        <row r="844">
          <cell r="B844" t="str">
            <v>Dec 2015</v>
          </cell>
        </row>
        <row r="845">
          <cell r="B845" t="str">
            <v>Dec 2015</v>
          </cell>
        </row>
        <row r="846">
          <cell r="B846" t="str">
            <v>Dec 2015</v>
          </cell>
        </row>
        <row r="847">
          <cell r="B847" t="str">
            <v>Dec 2015</v>
          </cell>
        </row>
        <row r="848">
          <cell r="B848" t="str">
            <v>Dec 2015</v>
          </cell>
        </row>
        <row r="849">
          <cell r="B849" t="str">
            <v>Dec 2015</v>
          </cell>
        </row>
        <row r="850">
          <cell r="B850" t="str">
            <v>Dec 2015</v>
          </cell>
        </row>
        <row r="851">
          <cell r="B851" t="str">
            <v>Dec 2015</v>
          </cell>
        </row>
        <row r="852">
          <cell r="B852" t="str">
            <v>Dec 2015</v>
          </cell>
        </row>
        <row r="853">
          <cell r="B853" t="str">
            <v>Dec 2015</v>
          </cell>
        </row>
        <row r="854">
          <cell r="B854" t="str">
            <v>Dec 2015</v>
          </cell>
        </row>
        <row r="855">
          <cell r="B855" t="str">
            <v>Dec 2015</v>
          </cell>
        </row>
        <row r="856">
          <cell r="B856" t="str">
            <v>Dec 2015</v>
          </cell>
        </row>
        <row r="857">
          <cell r="B857" t="str">
            <v>Dec 2015</v>
          </cell>
        </row>
        <row r="858">
          <cell r="B858" t="str">
            <v>Dec 2015</v>
          </cell>
        </row>
        <row r="859">
          <cell r="B859" t="str">
            <v>Dec 2015</v>
          </cell>
        </row>
        <row r="860">
          <cell r="B860" t="str">
            <v>Dec 2015</v>
          </cell>
        </row>
        <row r="861">
          <cell r="B861" t="str">
            <v>Dec 2015</v>
          </cell>
        </row>
        <row r="862">
          <cell r="B862" t="str">
            <v>Dec 2015</v>
          </cell>
        </row>
        <row r="863">
          <cell r="B863" t="str">
            <v>Dec 2015</v>
          </cell>
        </row>
        <row r="864">
          <cell r="B864" t="str">
            <v>Dec 2015</v>
          </cell>
        </row>
        <row r="865">
          <cell r="B865" t="str">
            <v>Dec 2015</v>
          </cell>
        </row>
        <row r="866">
          <cell r="B866" t="str">
            <v>Dec 2015</v>
          </cell>
        </row>
        <row r="867">
          <cell r="B867" t="str">
            <v>Dec 2015</v>
          </cell>
        </row>
        <row r="868">
          <cell r="B868" t="str">
            <v>Dec 2015</v>
          </cell>
        </row>
        <row r="869">
          <cell r="B869" t="str">
            <v>Dec 2015</v>
          </cell>
        </row>
        <row r="870">
          <cell r="B870" t="str">
            <v>Dec 2015</v>
          </cell>
        </row>
        <row r="871">
          <cell r="B871" t="str">
            <v>Dec 2015</v>
          </cell>
        </row>
        <row r="872">
          <cell r="B872" t="str">
            <v>Dec 2015</v>
          </cell>
        </row>
        <row r="873">
          <cell r="B873" t="str">
            <v>Dec 2015</v>
          </cell>
        </row>
        <row r="874">
          <cell r="B874" t="str">
            <v>Dec 2015</v>
          </cell>
        </row>
        <row r="875">
          <cell r="B875" t="str">
            <v>Dec 2015</v>
          </cell>
        </row>
        <row r="876">
          <cell r="B876" t="str">
            <v>Dec 2015</v>
          </cell>
        </row>
        <row r="877">
          <cell r="B877" t="str">
            <v>Dec 2015</v>
          </cell>
        </row>
        <row r="878">
          <cell r="B878" t="str">
            <v>Dec 2015</v>
          </cell>
        </row>
        <row r="879">
          <cell r="B879" t="str">
            <v>Dec 2015</v>
          </cell>
        </row>
      </sheetData>
      <sheetData sheetId="11">
        <row r="2">
          <cell r="C2" t="str">
            <v>RLS</v>
          </cell>
        </row>
      </sheetData>
      <sheetData sheetId="12" refreshError="1"/>
      <sheetData sheetId="13" refreshError="1"/>
      <sheetData sheetId="14">
        <row r="4">
          <cell r="E4" t="str">
            <v>20100128LGRSE411</v>
          </cell>
        </row>
      </sheetData>
      <sheetData sheetId="15">
        <row r="4">
          <cell r="E4" t="str">
            <v>20100128LGUM_001</v>
          </cell>
          <cell r="G4">
            <v>0.57999999999999996</v>
          </cell>
        </row>
        <row r="5">
          <cell r="G5">
            <v>0.57999999999999996</v>
          </cell>
        </row>
        <row r="6">
          <cell r="G6">
            <v>0.57999999999999996</v>
          </cell>
        </row>
        <row r="7">
          <cell r="G7">
            <v>0.41</v>
          </cell>
        </row>
        <row r="8">
          <cell r="G8">
            <v>0.41</v>
          </cell>
        </row>
        <row r="9">
          <cell r="G9">
            <v>0.41</v>
          </cell>
        </row>
        <row r="10">
          <cell r="G10">
            <v>0.53</v>
          </cell>
        </row>
        <row r="11">
          <cell r="G11">
            <v>0.53</v>
          </cell>
        </row>
        <row r="12">
          <cell r="G12">
            <v>0.53</v>
          </cell>
        </row>
        <row r="13">
          <cell r="G13">
            <v>0.6</v>
          </cell>
        </row>
        <row r="14">
          <cell r="G14">
            <v>0.6</v>
          </cell>
        </row>
        <row r="15">
          <cell r="G15">
            <v>0.6</v>
          </cell>
        </row>
        <row r="16">
          <cell r="G16">
            <v>0.57999999999999996</v>
          </cell>
        </row>
        <row r="17">
          <cell r="G17">
            <v>0.57999999999999996</v>
          </cell>
        </row>
        <row r="18">
          <cell r="G18">
            <v>0.57999999999999996</v>
          </cell>
        </row>
        <row r="19">
          <cell r="G19">
            <v>0.57999999999999996</v>
          </cell>
        </row>
        <row r="20">
          <cell r="G20">
            <v>0.57999999999999996</v>
          </cell>
        </row>
        <row r="21">
          <cell r="G21">
            <v>0.57999999999999996</v>
          </cell>
        </row>
        <row r="22">
          <cell r="G22">
            <v>0.6</v>
          </cell>
        </row>
        <row r="23">
          <cell r="G23">
            <v>0.6</v>
          </cell>
        </row>
        <row r="24">
          <cell r="G24">
            <v>0.6</v>
          </cell>
        </row>
        <row r="25">
          <cell r="G25">
            <v>0.41</v>
          </cell>
        </row>
        <row r="26">
          <cell r="G26">
            <v>0.41</v>
          </cell>
        </row>
        <row r="27">
          <cell r="G27">
            <v>0.41</v>
          </cell>
        </row>
        <row r="28">
          <cell r="G28">
            <v>1.0900000000000001</v>
          </cell>
        </row>
        <row r="29">
          <cell r="G29">
            <v>1.0900000000000001</v>
          </cell>
        </row>
        <row r="30">
          <cell r="G30">
            <v>1.0900000000000001</v>
          </cell>
        </row>
        <row r="31">
          <cell r="G31">
            <v>1.0900000000000001</v>
          </cell>
        </row>
        <row r="32">
          <cell r="G32">
            <v>1.0900000000000001</v>
          </cell>
        </row>
        <row r="33">
          <cell r="G33">
            <v>1.0900000000000001</v>
          </cell>
        </row>
        <row r="34">
          <cell r="G34">
            <v>0.53</v>
          </cell>
        </row>
        <row r="35">
          <cell r="G35">
            <v>0.53</v>
          </cell>
        </row>
        <row r="36">
          <cell r="G36">
            <v>0.53</v>
          </cell>
        </row>
        <row r="37">
          <cell r="G37">
            <v>0.6</v>
          </cell>
        </row>
        <row r="38">
          <cell r="G38">
            <v>0.6</v>
          </cell>
        </row>
        <row r="39">
          <cell r="G39">
            <v>0.6</v>
          </cell>
        </row>
        <row r="40">
          <cell r="G40">
            <v>0.6</v>
          </cell>
        </row>
        <row r="41">
          <cell r="G41">
            <v>0.6</v>
          </cell>
        </row>
        <row r="42">
          <cell r="G42">
            <v>0.6</v>
          </cell>
        </row>
        <row r="43">
          <cell r="G43">
            <v>0.53</v>
          </cell>
        </row>
        <row r="44">
          <cell r="G44">
            <v>0.53</v>
          </cell>
        </row>
        <row r="45">
          <cell r="G45">
            <v>0.53</v>
          </cell>
        </row>
        <row r="46">
          <cell r="G46">
            <v>0.6</v>
          </cell>
        </row>
        <row r="47">
          <cell r="G47">
            <v>0.6</v>
          </cell>
        </row>
        <row r="48">
          <cell r="G48">
            <v>0.6</v>
          </cell>
        </row>
        <row r="49">
          <cell r="G49">
            <v>0.55000000000000004</v>
          </cell>
        </row>
        <row r="50">
          <cell r="G50">
            <v>0.55000000000000004</v>
          </cell>
        </row>
        <row r="51">
          <cell r="G51">
            <v>0.55000000000000004</v>
          </cell>
        </row>
        <row r="52">
          <cell r="G52">
            <v>0.55000000000000004</v>
          </cell>
        </row>
        <row r="53">
          <cell r="G53">
            <v>0.55000000000000004</v>
          </cell>
        </row>
        <row r="54">
          <cell r="G54">
            <v>0.55000000000000004</v>
          </cell>
        </row>
        <row r="55">
          <cell r="G55">
            <v>0.57999999999999996</v>
          </cell>
        </row>
        <row r="56">
          <cell r="G56">
            <v>0.57999999999999996</v>
          </cell>
        </row>
        <row r="57">
          <cell r="G57">
            <v>0.57999999999999996</v>
          </cell>
        </row>
        <row r="58">
          <cell r="G58">
            <v>0.55000000000000004</v>
          </cell>
        </row>
        <row r="59">
          <cell r="G59">
            <v>0.55000000000000004</v>
          </cell>
        </row>
        <row r="60">
          <cell r="G60">
            <v>0.55000000000000004</v>
          </cell>
        </row>
        <row r="61">
          <cell r="G61">
            <v>0.52</v>
          </cell>
        </row>
        <row r="62">
          <cell r="G62">
            <v>0.52</v>
          </cell>
        </row>
        <row r="63">
          <cell r="G63">
            <v>0.52</v>
          </cell>
        </row>
        <row r="64">
          <cell r="G64">
            <v>0</v>
          </cell>
        </row>
        <row r="65">
          <cell r="G65">
            <v>0.41</v>
          </cell>
        </row>
        <row r="66">
          <cell r="G66">
            <v>0.41</v>
          </cell>
        </row>
        <row r="67">
          <cell r="G67">
            <v>0.41</v>
          </cell>
        </row>
        <row r="68">
          <cell r="G68">
            <v>0.53</v>
          </cell>
        </row>
        <row r="69">
          <cell r="G69">
            <v>0.53</v>
          </cell>
        </row>
        <row r="70">
          <cell r="G70">
            <v>0.53</v>
          </cell>
        </row>
        <row r="71">
          <cell r="G71">
            <v>0.6</v>
          </cell>
        </row>
        <row r="72">
          <cell r="G72">
            <v>0.6</v>
          </cell>
        </row>
        <row r="73">
          <cell r="G73">
            <v>0.6</v>
          </cell>
        </row>
        <row r="74">
          <cell r="G74">
            <v>0.57999999999999996</v>
          </cell>
        </row>
        <row r="75">
          <cell r="G75">
            <v>0.57999999999999996</v>
          </cell>
        </row>
        <row r="76">
          <cell r="G76">
            <v>0.57999999999999996</v>
          </cell>
        </row>
        <row r="77">
          <cell r="G77">
            <v>0.57999999999999996</v>
          </cell>
        </row>
        <row r="78">
          <cell r="G78">
            <v>0.57999999999999996</v>
          </cell>
        </row>
        <row r="79">
          <cell r="G79">
            <v>0.57999999999999996</v>
          </cell>
        </row>
        <row r="80">
          <cell r="G80">
            <v>0.6</v>
          </cell>
        </row>
        <row r="81">
          <cell r="G81">
            <v>0.6</v>
          </cell>
        </row>
        <row r="82">
          <cell r="G82">
            <v>0.6</v>
          </cell>
        </row>
        <row r="83">
          <cell r="G83">
            <v>0.41</v>
          </cell>
        </row>
        <row r="84">
          <cell r="G84">
            <v>0.41</v>
          </cell>
        </row>
        <row r="85">
          <cell r="G85">
            <v>0.41</v>
          </cell>
        </row>
        <row r="86">
          <cell r="G86">
            <v>1.0900000000000001</v>
          </cell>
        </row>
        <row r="87">
          <cell r="G87">
            <v>1.0900000000000001</v>
          </cell>
        </row>
        <row r="88">
          <cell r="G88">
            <v>1.0900000000000001</v>
          </cell>
        </row>
        <row r="89">
          <cell r="G89">
            <v>1.0900000000000001</v>
          </cell>
        </row>
        <row r="90">
          <cell r="G90">
            <v>1.0900000000000001</v>
          </cell>
        </row>
        <row r="91">
          <cell r="G91">
            <v>1.0900000000000001</v>
          </cell>
        </row>
        <row r="92">
          <cell r="G92">
            <v>0.53</v>
          </cell>
        </row>
        <row r="93">
          <cell r="G93">
            <v>0.53</v>
          </cell>
        </row>
        <row r="94">
          <cell r="G94">
            <v>0.53</v>
          </cell>
        </row>
        <row r="95">
          <cell r="G95">
            <v>0.6</v>
          </cell>
        </row>
        <row r="96">
          <cell r="G96">
            <v>0.6</v>
          </cell>
        </row>
        <row r="97">
          <cell r="G97">
            <v>0.6</v>
          </cell>
        </row>
        <row r="98">
          <cell r="G98">
            <v>0.6</v>
          </cell>
        </row>
        <row r="99">
          <cell r="G99">
            <v>0.6</v>
          </cell>
        </row>
        <row r="100">
          <cell r="G100">
            <v>0.6</v>
          </cell>
        </row>
        <row r="101">
          <cell r="G101">
            <v>0.53</v>
          </cell>
        </row>
        <row r="102">
          <cell r="G102">
            <v>0.53</v>
          </cell>
        </row>
        <row r="103">
          <cell r="G103">
            <v>0.53</v>
          </cell>
        </row>
        <row r="104">
          <cell r="G104">
            <v>0.6</v>
          </cell>
        </row>
        <row r="105">
          <cell r="G105">
            <v>0.6</v>
          </cell>
        </row>
        <row r="106">
          <cell r="G106">
            <v>0.6</v>
          </cell>
        </row>
        <row r="107">
          <cell r="G107">
            <v>0.55000000000000004</v>
          </cell>
        </row>
        <row r="108">
          <cell r="G108">
            <v>0.55000000000000004</v>
          </cell>
        </row>
        <row r="109">
          <cell r="G109">
            <v>0.55000000000000004</v>
          </cell>
        </row>
        <row r="110">
          <cell r="G110">
            <v>0.55000000000000004</v>
          </cell>
        </row>
        <row r="111">
          <cell r="G111">
            <v>0.55000000000000004</v>
          </cell>
        </row>
        <row r="112">
          <cell r="G112">
            <v>0.55000000000000004</v>
          </cell>
        </row>
        <row r="113">
          <cell r="G113">
            <v>0.57999999999999996</v>
          </cell>
        </row>
        <row r="114">
          <cell r="G114">
            <v>0.57999999999999996</v>
          </cell>
        </row>
        <row r="115">
          <cell r="G115">
            <v>0.57999999999999996</v>
          </cell>
        </row>
        <row r="116">
          <cell r="G116">
            <v>0.55000000000000004</v>
          </cell>
        </row>
        <row r="117">
          <cell r="G117">
            <v>0.55000000000000004</v>
          </cell>
        </row>
        <row r="118">
          <cell r="G118">
            <v>0.55000000000000004</v>
          </cell>
        </row>
        <row r="119">
          <cell r="G119">
            <v>0.52</v>
          </cell>
        </row>
        <row r="120">
          <cell r="G120">
            <v>0.52</v>
          </cell>
        </row>
        <row r="121">
          <cell r="G121">
            <v>0.52</v>
          </cell>
        </row>
        <row r="122">
          <cell r="G122">
            <v>0.55000000000000004</v>
          </cell>
        </row>
        <row r="123">
          <cell r="G123">
            <v>0.55000000000000004</v>
          </cell>
        </row>
        <row r="124">
          <cell r="G124">
            <v>0.55000000000000004</v>
          </cell>
        </row>
        <row r="125">
          <cell r="G125">
            <v>1.0900000000000001</v>
          </cell>
        </row>
        <row r="126">
          <cell r="G126">
            <v>1.0900000000000001</v>
          </cell>
        </row>
        <row r="127">
          <cell r="G127">
            <v>1.0900000000000001</v>
          </cell>
        </row>
        <row r="128">
          <cell r="G128">
            <v>1.0900000000000001</v>
          </cell>
        </row>
        <row r="129">
          <cell r="G129">
            <v>1.0900000000000001</v>
          </cell>
        </row>
        <row r="130">
          <cell r="G130">
            <v>1.0900000000000001</v>
          </cell>
        </row>
        <row r="131">
          <cell r="G131">
            <v>0.52</v>
          </cell>
        </row>
        <row r="132">
          <cell r="G132">
            <v>0.52</v>
          </cell>
        </row>
        <row r="133">
          <cell r="G133">
            <v>0.52</v>
          </cell>
        </row>
        <row r="134">
          <cell r="G134">
            <v>0.57999999999999996</v>
          </cell>
        </row>
        <row r="135">
          <cell r="G135">
            <v>0.57999999999999996</v>
          </cell>
        </row>
        <row r="136">
          <cell r="G136">
            <v>0.57999999999999996</v>
          </cell>
        </row>
        <row r="137">
          <cell r="G137">
            <v>0.52</v>
          </cell>
        </row>
        <row r="138">
          <cell r="G138">
            <v>0.52</v>
          </cell>
        </row>
        <row r="139">
          <cell r="G139">
            <v>0.52</v>
          </cell>
        </row>
        <row r="140">
          <cell r="G140">
            <v>0.57999999999999996</v>
          </cell>
        </row>
        <row r="141">
          <cell r="G141">
            <v>0.57999999999999996</v>
          </cell>
        </row>
        <row r="142">
          <cell r="G142">
            <v>0.57999999999999996</v>
          </cell>
        </row>
        <row r="143">
          <cell r="G143">
            <v>0.57999999999999996</v>
          </cell>
        </row>
        <row r="144">
          <cell r="G144">
            <v>0.41</v>
          </cell>
        </row>
        <row r="145">
          <cell r="G145">
            <v>0.53</v>
          </cell>
        </row>
        <row r="146">
          <cell r="G146">
            <v>0.6</v>
          </cell>
        </row>
        <row r="147">
          <cell r="G147">
            <v>0.57999999999999996</v>
          </cell>
        </row>
        <row r="148">
          <cell r="G148">
            <v>0.57999999999999996</v>
          </cell>
        </row>
        <row r="149">
          <cell r="G149">
            <v>0.6</v>
          </cell>
        </row>
        <row r="150">
          <cell r="G150">
            <v>0.41</v>
          </cell>
        </row>
        <row r="151">
          <cell r="G151">
            <v>1.0900000000000001</v>
          </cell>
        </row>
        <row r="152">
          <cell r="G152">
            <v>1.0900000000000001</v>
          </cell>
        </row>
        <row r="153">
          <cell r="G153">
            <v>0.53</v>
          </cell>
        </row>
        <row r="154">
          <cell r="G154">
            <v>0.6</v>
          </cell>
        </row>
        <row r="155">
          <cell r="G155">
            <v>0.6</v>
          </cell>
        </row>
        <row r="156">
          <cell r="G156">
            <v>0.53</v>
          </cell>
        </row>
        <row r="157">
          <cell r="G157">
            <v>0.6</v>
          </cell>
        </row>
        <row r="158">
          <cell r="G158">
            <v>0.53</v>
          </cell>
        </row>
        <row r="159">
          <cell r="G159">
            <v>0.53</v>
          </cell>
        </row>
        <row r="160">
          <cell r="G160">
            <v>0.41</v>
          </cell>
        </row>
        <row r="161">
          <cell r="G161">
            <v>0.6</v>
          </cell>
        </row>
        <row r="162">
          <cell r="G162">
            <v>0.53</v>
          </cell>
        </row>
        <row r="163">
          <cell r="G163">
            <v>0.53</v>
          </cell>
        </row>
        <row r="164">
          <cell r="G164">
            <v>0.55000000000000004</v>
          </cell>
        </row>
        <row r="165">
          <cell r="G165">
            <v>0.55000000000000004</v>
          </cell>
        </row>
        <row r="166">
          <cell r="G166">
            <v>0.57999999999999996</v>
          </cell>
        </row>
        <row r="167">
          <cell r="G167">
            <v>0.55000000000000004</v>
          </cell>
        </row>
        <row r="168">
          <cell r="G168">
            <v>0.6</v>
          </cell>
        </row>
        <row r="169">
          <cell r="G169">
            <v>0.53</v>
          </cell>
        </row>
        <row r="170">
          <cell r="G170">
            <v>0.6</v>
          </cell>
        </row>
        <row r="171">
          <cell r="G171">
            <v>1.73</v>
          </cell>
        </row>
        <row r="172">
          <cell r="G172">
            <v>0.57999999999999996</v>
          </cell>
        </row>
        <row r="173">
          <cell r="G173">
            <v>0.41</v>
          </cell>
        </row>
        <row r="174">
          <cell r="G174">
            <v>0.53</v>
          </cell>
        </row>
        <row r="175">
          <cell r="G175">
            <v>0.6</v>
          </cell>
        </row>
        <row r="176">
          <cell r="G176">
            <v>0.57999999999999996</v>
          </cell>
        </row>
        <row r="177">
          <cell r="G177">
            <v>0.57999999999999996</v>
          </cell>
        </row>
        <row r="178">
          <cell r="G178">
            <v>0.6</v>
          </cell>
        </row>
        <row r="179">
          <cell r="G179">
            <v>0.41</v>
          </cell>
        </row>
        <row r="180">
          <cell r="G180">
            <v>1.0900000000000001</v>
          </cell>
        </row>
        <row r="181">
          <cell r="G181">
            <v>0.53</v>
          </cell>
        </row>
        <row r="182">
          <cell r="G182">
            <v>0.6</v>
          </cell>
        </row>
        <row r="183">
          <cell r="G183">
            <v>0.6</v>
          </cell>
        </row>
        <row r="184">
          <cell r="G184">
            <v>0.53</v>
          </cell>
        </row>
        <row r="185">
          <cell r="G185">
            <v>0.6</v>
          </cell>
        </row>
        <row r="186">
          <cell r="G186">
            <v>0.53</v>
          </cell>
        </row>
        <row r="187">
          <cell r="G187">
            <v>0.53</v>
          </cell>
        </row>
        <row r="188">
          <cell r="G188">
            <v>0.41</v>
          </cell>
        </row>
        <row r="189">
          <cell r="G189">
            <v>0.6</v>
          </cell>
        </row>
        <row r="190">
          <cell r="G190">
            <v>0.53</v>
          </cell>
        </row>
        <row r="191">
          <cell r="G191">
            <v>0.53</v>
          </cell>
        </row>
        <row r="192">
          <cell r="G192">
            <v>0.55000000000000004</v>
          </cell>
        </row>
        <row r="193">
          <cell r="G193">
            <v>0.55000000000000004</v>
          </cell>
        </row>
        <row r="194">
          <cell r="G194">
            <v>0.57999999999999996</v>
          </cell>
        </row>
        <row r="195">
          <cell r="G195">
            <v>0.55000000000000004</v>
          </cell>
        </row>
        <row r="196">
          <cell r="G196">
            <v>0.52</v>
          </cell>
        </row>
        <row r="197">
          <cell r="G197">
            <v>0.55000000000000004</v>
          </cell>
        </row>
        <row r="198">
          <cell r="G198">
            <v>1.0900000000000001</v>
          </cell>
        </row>
        <row r="199">
          <cell r="G199">
            <v>1.0900000000000001</v>
          </cell>
        </row>
        <row r="200">
          <cell r="G200">
            <v>0.52</v>
          </cell>
        </row>
        <row r="201">
          <cell r="G201">
            <v>0.57999999999999996</v>
          </cell>
        </row>
        <row r="202">
          <cell r="G202">
            <v>0.52</v>
          </cell>
        </row>
        <row r="203">
          <cell r="G203">
            <v>0.57999999999999996</v>
          </cell>
        </row>
        <row r="204">
          <cell r="G204">
            <v>0.84</v>
          </cell>
        </row>
        <row r="205">
          <cell r="G205">
            <v>0.75</v>
          </cell>
        </row>
        <row r="206">
          <cell r="G206">
            <v>0.61</v>
          </cell>
        </row>
        <row r="207">
          <cell r="G207">
            <v>0.84</v>
          </cell>
        </row>
        <row r="208">
          <cell r="G208">
            <v>0.75</v>
          </cell>
        </row>
        <row r="209">
          <cell r="G209">
            <v>0.75</v>
          </cell>
        </row>
        <row r="210">
          <cell r="G210">
            <v>0.61</v>
          </cell>
        </row>
        <row r="211">
          <cell r="G211">
            <v>0.61</v>
          </cell>
        </row>
        <row r="212">
          <cell r="G212">
            <v>0.61</v>
          </cell>
        </row>
        <row r="213">
          <cell r="G213">
            <v>0.72</v>
          </cell>
        </row>
        <row r="214">
          <cell r="G214">
            <v>0.8</v>
          </cell>
        </row>
        <row r="215">
          <cell r="G215">
            <v>0.61</v>
          </cell>
        </row>
        <row r="216">
          <cell r="G216">
            <v>0.72</v>
          </cell>
        </row>
        <row r="217">
          <cell r="G217">
            <v>0.8</v>
          </cell>
        </row>
        <row r="218">
          <cell r="G218">
            <v>0.84</v>
          </cell>
        </row>
        <row r="219">
          <cell r="G219">
            <v>0.84</v>
          </cell>
        </row>
        <row r="220">
          <cell r="G220">
            <v>0.75</v>
          </cell>
        </row>
        <row r="221">
          <cell r="G221">
            <v>0.75</v>
          </cell>
        </row>
        <row r="222">
          <cell r="G222">
            <v>0.84</v>
          </cell>
        </row>
        <row r="223">
          <cell r="G223">
            <v>0.84</v>
          </cell>
        </row>
        <row r="224">
          <cell r="G224">
            <v>0.75</v>
          </cell>
        </row>
        <row r="225">
          <cell r="G225">
            <v>0.75</v>
          </cell>
        </row>
        <row r="226">
          <cell r="G226">
            <v>0.7</v>
          </cell>
        </row>
        <row r="227">
          <cell r="G227">
            <v>0.63</v>
          </cell>
        </row>
        <row r="228">
          <cell r="G228">
            <v>0.63</v>
          </cell>
        </row>
        <row r="229">
          <cell r="G229">
            <v>0.52</v>
          </cell>
        </row>
        <row r="230">
          <cell r="G230">
            <v>0.69</v>
          </cell>
        </row>
        <row r="231">
          <cell r="G231">
            <v>0.61</v>
          </cell>
        </row>
        <row r="232">
          <cell r="G232">
            <v>0.72</v>
          </cell>
        </row>
        <row r="233">
          <cell r="G233">
            <v>0.8</v>
          </cell>
        </row>
        <row r="234">
          <cell r="G234">
            <v>0.61</v>
          </cell>
        </row>
        <row r="235">
          <cell r="G235">
            <v>0.8</v>
          </cell>
        </row>
        <row r="236">
          <cell r="G236">
            <v>0.75</v>
          </cell>
        </row>
        <row r="237">
          <cell r="G237">
            <v>0.63</v>
          </cell>
        </row>
        <row r="238">
          <cell r="G238">
            <v>0.52</v>
          </cell>
        </row>
        <row r="239">
          <cell r="G239">
            <v>0.69</v>
          </cell>
        </row>
        <row r="240">
          <cell r="G240">
            <v>0.69</v>
          </cell>
        </row>
        <row r="241">
          <cell r="G241">
            <v>0.63</v>
          </cell>
        </row>
        <row r="242">
          <cell r="G242">
            <v>0.64</v>
          </cell>
        </row>
        <row r="243">
          <cell r="G243">
            <v>0.64</v>
          </cell>
        </row>
        <row r="244">
          <cell r="G244">
            <v>0.64</v>
          </cell>
        </row>
        <row r="245">
          <cell r="G245">
            <v>0.64</v>
          </cell>
        </row>
        <row r="246">
          <cell r="G246">
            <v>0.64</v>
          </cell>
        </row>
        <row r="247">
          <cell r="G247">
            <v>0.64</v>
          </cell>
        </row>
        <row r="248">
          <cell r="G248">
            <v>0.64</v>
          </cell>
        </row>
        <row r="249">
          <cell r="G249">
            <v>0.64</v>
          </cell>
        </row>
        <row r="250">
          <cell r="G250">
            <v>0.64</v>
          </cell>
        </row>
        <row r="251">
          <cell r="G251">
            <v>0.64</v>
          </cell>
        </row>
        <row r="252">
          <cell r="G252">
            <v>0.64</v>
          </cell>
        </row>
        <row r="253">
          <cell r="G253">
            <v>0.64</v>
          </cell>
        </row>
        <row r="254">
          <cell r="G254">
            <v>0.64</v>
          </cell>
        </row>
        <row r="255">
          <cell r="G255">
            <v>0.64</v>
          </cell>
        </row>
        <row r="256">
          <cell r="G256">
            <v>0.64</v>
          </cell>
        </row>
        <row r="257">
          <cell r="G257">
            <v>0.14000000000000001</v>
          </cell>
        </row>
        <row r="258">
          <cell r="G258">
            <v>0.14000000000000001</v>
          </cell>
        </row>
        <row r="259">
          <cell r="G259">
            <v>0.14000000000000001</v>
          </cell>
        </row>
        <row r="260">
          <cell r="G260">
            <v>0.1</v>
          </cell>
        </row>
        <row r="261">
          <cell r="G261">
            <v>0.1</v>
          </cell>
        </row>
        <row r="262">
          <cell r="G262">
            <v>0.1</v>
          </cell>
        </row>
        <row r="263">
          <cell r="G263">
            <v>0.13</v>
          </cell>
        </row>
        <row r="264">
          <cell r="G264">
            <v>0.13</v>
          </cell>
        </row>
        <row r="265">
          <cell r="G265">
            <v>0.13</v>
          </cell>
        </row>
        <row r="266">
          <cell r="G266">
            <v>0.15</v>
          </cell>
        </row>
        <row r="267">
          <cell r="G267">
            <v>0.15</v>
          </cell>
        </row>
        <row r="268">
          <cell r="G268">
            <v>0.15</v>
          </cell>
        </row>
        <row r="269">
          <cell r="G269">
            <v>0.14000000000000001</v>
          </cell>
        </row>
        <row r="270">
          <cell r="G270">
            <v>0.14000000000000001</v>
          </cell>
        </row>
        <row r="271">
          <cell r="G271">
            <v>0.14000000000000001</v>
          </cell>
        </row>
        <row r="272">
          <cell r="G272">
            <v>0.14000000000000001</v>
          </cell>
        </row>
        <row r="273">
          <cell r="G273">
            <v>0.14000000000000001</v>
          </cell>
        </row>
        <row r="274">
          <cell r="G274">
            <v>0.14000000000000001</v>
          </cell>
        </row>
        <row r="275">
          <cell r="G275">
            <v>0.15</v>
          </cell>
        </row>
        <row r="276">
          <cell r="G276">
            <v>0.15</v>
          </cell>
        </row>
        <row r="277">
          <cell r="G277">
            <v>0.15</v>
          </cell>
        </row>
        <row r="278">
          <cell r="G278">
            <v>0.1</v>
          </cell>
        </row>
        <row r="279">
          <cell r="G279">
            <v>0.1</v>
          </cell>
        </row>
        <row r="280">
          <cell r="G280">
            <v>0.1</v>
          </cell>
        </row>
        <row r="281">
          <cell r="G281">
            <v>0.26</v>
          </cell>
        </row>
        <row r="282">
          <cell r="G282">
            <v>0.26</v>
          </cell>
        </row>
        <row r="283">
          <cell r="G283">
            <v>0.26</v>
          </cell>
        </row>
        <row r="284">
          <cell r="G284">
            <v>0.26</v>
          </cell>
        </row>
        <row r="285">
          <cell r="G285">
            <v>0.26</v>
          </cell>
        </row>
        <row r="286">
          <cell r="G286">
            <v>0.26</v>
          </cell>
        </row>
        <row r="287">
          <cell r="G287">
            <v>0.13</v>
          </cell>
        </row>
        <row r="288">
          <cell r="G288">
            <v>0.13</v>
          </cell>
        </row>
        <row r="289">
          <cell r="G289">
            <v>0.13</v>
          </cell>
        </row>
        <row r="290">
          <cell r="G290">
            <v>0.15</v>
          </cell>
        </row>
        <row r="291">
          <cell r="G291">
            <v>0.15</v>
          </cell>
        </row>
        <row r="292">
          <cell r="G292">
            <v>0.15</v>
          </cell>
        </row>
        <row r="293">
          <cell r="G293">
            <v>0.15</v>
          </cell>
        </row>
        <row r="294">
          <cell r="G294">
            <v>0.15</v>
          </cell>
        </row>
        <row r="295">
          <cell r="G295">
            <v>0.15</v>
          </cell>
        </row>
        <row r="296">
          <cell r="G296">
            <v>0.13</v>
          </cell>
        </row>
        <row r="297">
          <cell r="G297">
            <v>0.13</v>
          </cell>
        </row>
        <row r="298">
          <cell r="G298">
            <v>0.13</v>
          </cell>
        </row>
        <row r="299">
          <cell r="G299">
            <v>0.15</v>
          </cell>
        </row>
        <row r="300">
          <cell r="G300">
            <v>0.15</v>
          </cell>
        </row>
        <row r="301">
          <cell r="G301">
            <v>0.15</v>
          </cell>
        </row>
        <row r="302">
          <cell r="G302">
            <v>0.13</v>
          </cell>
        </row>
        <row r="303">
          <cell r="G303">
            <v>0.13</v>
          </cell>
        </row>
        <row r="304">
          <cell r="G304">
            <v>0.13</v>
          </cell>
        </row>
        <row r="305">
          <cell r="G305">
            <v>0.13</v>
          </cell>
        </row>
        <row r="306">
          <cell r="G306">
            <v>0.13</v>
          </cell>
        </row>
        <row r="307">
          <cell r="G307">
            <v>0.13</v>
          </cell>
        </row>
        <row r="308">
          <cell r="G308">
            <v>0.14000000000000001</v>
          </cell>
        </row>
        <row r="309">
          <cell r="G309">
            <v>0.14000000000000001</v>
          </cell>
        </row>
        <row r="310">
          <cell r="G310">
            <v>0.14000000000000001</v>
          </cell>
        </row>
        <row r="311">
          <cell r="G311">
            <v>0.13</v>
          </cell>
        </row>
        <row r="312">
          <cell r="G312">
            <v>0.13</v>
          </cell>
        </row>
        <row r="313">
          <cell r="G313">
            <v>0.13</v>
          </cell>
        </row>
        <row r="314">
          <cell r="G314">
            <v>0.13</v>
          </cell>
        </row>
        <row r="315">
          <cell r="G315">
            <v>0.13</v>
          </cell>
        </row>
        <row r="316">
          <cell r="G316">
            <v>0.13</v>
          </cell>
        </row>
        <row r="317">
          <cell r="G317">
            <v>0</v>
          </cell>
        </row>
        <row r="318">
          <cell r="G318">
            <v>0.1</v>
          </cell>
        </row>
        <row r="319">
          <cell r="G319">
            <v>0.1</v>
          </cell>
        </row>
        <row r="320">
          <cell r="G320">
            <v>0.1</v>
          </cell>
        </row>
        <row r="321">
          <cell r="G321">
            <v>0.13</v>
          </cell>
        </row>
        <row r="322">
          <cell r="G322">
            <v>0.13</v>
          </cell>
        </row>
        <row r="323">
          <cell r="G323">
            <v>0.13</v>
          </cell>
        </row>
        <row r="324">
          <cell r="G324">
            <v>0.15</v>
          </cell>
        </row>
        <row r="325">
          <cell r="G325">
            <v>0.15</v>
          </cell>
        </row>
        <row r="326">
          <cell r="G326">
            <v>0.15</v>
          </cell>
        </row>
        <row r="327">
          <cell r="G327">
            <v>0.14000000000000001</v>
          </cell>
        </row>
        <row r="328">
          <cell r="G328">
            <v>0.14000000000000001</v>
          </cell>
        </row>
        <row r="329">
          <cell r="G329">
            <v>0.14000000000000001</v>
          </cell>
        </row>
        <row r="330">
          <cell r="G330">
            <v>0.14000000000000001</v>
          </cell>
        </row>
        <row r="331">
          <cell r="G331">
            <v>0.14000000000000001</v>
          </cell>
        </row>
        <row r="332">
          <cell r="G332">
            <v>0.14000000000000001</v>
          </cell>
        </row>
        <row r="333">
          <cell r="G333">
            <v>0.15</v>
          </cell>
        </row>
        <row r="334">
          <cell r="G334">
            <v>0.15</v>
          </cell>
        </row>
        <row r="335">
          <cell r="G335">
            <v>0.15</v>
          </cell>
        </row>
        <row r="336">
          <cell r="G336">
            <v>0.1</v>
          </cell>
        </row>
        <row r="337">
          <cell r="G337">
            <v>0.1</v>
          </cell>
        </row>
        <row r="338">
          <cell r="G338">
            <v>0.1</v>
          </cell>
        </row>
        <row r="339">
          <cell r="G339">
            <v>0.26</v>
          </cell>
        </row>
        <row r="340">
          <cell r="G340">
            <v>0.26</v>
          </cell>
        </row>
        <row r="341">
          <cell r="G341">
            <v>0.26</v>
          </cell>
        </row>
        <row r="342">
          <cell r="G342">
            <v>0.26</v>
          </cell>
        </row>
        <row r="343">
          <cell r="G343">
            <v>0.26</v>
          </cell>
        </row>
        <row r="344">
          <cell r="G344">
            <v>0.26</v>
          </cell>
        </row>
        <row r="345">
          <cell r="G345">
            <v>0.13</v>
          </cell>
        </row>
        <row r="346">
          <cell r="G346">
            <v>0.13</v>
          </cell>
        </row>
        <row r="347">
          <cell r="G347">
            <v>0.13</v>
          </cell>
        </row>
        <row r="348">
          <cell r="G348">
            <v>0.15</v>
          </cell>
        </row>
        <row r="349">
          <cell r="G349">
            <v>0.15</v>
          </cell>
        </row>
        <row r="350">
          <cell r="G350">
            <v>0.15</v>
          </cell>
        </row>
        <row r="351">
          <cell r="G351">
            <v>0.15</v>
          </cell>
        </row>
        <row r="352">
          <cell r="G352">
            <v>0.15</v>
          </cell>
        </row>
        <row r="353">
          <cell r="G353">
            <v>0.15</v>
          </cell>
        </row>
        <row r="354">
          <cell r="G354">
            <v>0.13</v>
          </cell>
        </row>
        <row r="355">
          <cell r="G355">
            <v>0.13</v>
          </cell>
        </row>
        <row r="356">
          <cell r="G356">
            <v>0.13</v>
          </cell>
        </row>
        <row r="357">
          <cell r="G357">
            <v>0.15</v>
          </cell>
        </row>
        <row r="358">
          <cell r="G358">
            <v>0.15</v>
          </cell>
        </row>
        <row r="359">
          <cell r="G359">
            <v>0.15</v>
          </cell>
        </row>
        <row r="360">
          <cell r="G360">
            <v>0.13</v>
          </cell>
        </row>
        <row r="361">
          <cell r="G361">
            <v>0.13</v>
          </cell>
        </row>
        <row r="362">
          <cell r="G362">
            <v>0.13</v>
          </cell>
        </row>
        <row r="363">
          <cell r="G363">
            <v>0.13</v>
          </cell>
        </row>
        <row r="364">
          <cell r="G364">
            <v>0.13</v>
          </cell>
        </row>
        <row r="365">
          <cell r="G365">
            <v>0.13</v>
          </cell>
        </row>
        <row r="366">
          <cell r="G366">
            <v>0.14000000000000001</v>
          </cell>
        </row>
        <row r="367">
          <cell r="G367">
            <v>0.14000000000000001</v>
          </cell>
        </row>
        <row r="368">
          <cell r="G368">
            <v>0.14000000000000001</v>
          </cell>
        </row>
        <row r="369">
          <cell r="G369">
            <v>0.13</v>
          </cell>
        </row>
        <row r="370">
          <cell r="G370">
            <v>0.13</v>
          </cell>
        </row>
        <row r="371">
          <cell r="G371">
            <v>0.13</v>
          </cell>
        </row>
        <row r="372">
          <cell r="G372">
            <v>0.13</v>
          </cell>
        </row>
        <row r="373">
          <cell r="G373">
            <v>0.13</v>
          </cell>
        </row>
        <row r="374">
          <cell r="G374">
            <v>0.13</v>
          </cell>
        </row>
        <row r="375">
          <cell r="G375">
            <v>0.13</v>
          </cell>
        </row>
        <row r="376">
          <cell r="G376">
            <v>0.13</v>
          </cell>
        </row>
        <row r="377">
          <cell r="G377">
            <v>0.13</v>
          </cell>
        </row>
        <row r="378">
          <cell r="G378">
            <v>0.26</v>
          </cell>
        </row>
        <row r="379">
          <cell r="G379">
            <v>0.26</v>
          </cell>
        </row>
        <row r="380">
          <cell r="G380">
            <v>0.26</v>
          </cell>
        </row>
        <row r="381">
          <cell r="G381">
            <v>0.26</v>
          </cell>
        </row>
        <row r="382">
          <cell r="G382">
            <v>0.26</v>
          </cell>
        </row>
        <row r="383">
          <cell r="G383">
            <v>0.26</v>
          </cell>
        </row>
        <row r="384">
          <cell r="G384">
            <v>0.13</v>
          </cell>
        </row>
        <row r="385">
          <cell r="G385">
            <v>0.13</v>
          </cell>
        </row>
        <row r="386">
          <cell r="G386">
            <v>0.13</v>
          </cell>
        </row>
        <row r="387">
          <cell r="G387">
            <v>0.14000000000000001</v>
          </cell>
        </row>
        <row r="388">
          <cell r="G388">
            <v>0.14000000000000001</v>
          </cell>
        </row>
        <row r="389">
          <cell r="G389">
            <v>0.14000000000000001</v>
          </cell>
        </row>
        <row r="390">
          <cell r="G390">
            <v>0.13</v>
          </cell>
        </row>
        <row r="391">
          <cell r="G391">
            <v>0.13</v>
          </cell>
        </row>
        <row r="392">
          <cell r="G392">
            <v>0.13</v>
          </cell>
        </row>
        <row r="393">
          <cell r="G393">
            <v>0.14000000000000001</v>
          </cell>
        </row>
        <row r="394">
          <cell r="G394">
            <v>0.14000000000000001</v>
          </cell>
        </row>
        <row r="395">
          <cell r="G395">
            <v>0.14000000000000001</v>
          </cell>
        </row>
        <row r="396">
          <cell r="G396">
            <v>0.14000000000000001</v>
          </cell>
        </row>
        <row r="397">
          <cell r="G397">
            <v>0.1</v>
          </cell>
        </row>
        <row r="398">
          <cell r="G398">
            <v>0.13</v>
          </cell>
        </row>
        <row r="399">
          <cell r="G399">
            <v>0.15</v>
          </cell>
        </row>
        <row r="400">
          <cell r="G400">
            <v>0.14000000000000001</v>
          </cell>
        </row>
        <row r="401">
          <cell r="G401">
            <v>0.14000000000000001</v>
          </cell>
        </row>
        <row r="402">
          <cell r="G402">
            <v>0.15</v>
          </cell>
        </row>
        <row r="403">
          <cell r="G403">
            <v>0.1</v>
          </cell>
        </row>
        <row r="404">
          <cell r="G404">
            <v>0.26</v>
          </cell>
        </row>
        <row r="405">
          <cell r="G405">
            <v>0.26</v>
          </cell>
        </row>
        <row r="406">
          <cell r="G406">
            <v>0.13</v>
          </cell>
        </row>
        <row r="407">
          <cell r="G407">
            <v>0.15</v>
          </cell>
        </row>
        <row r="408">
          <cell r="G408">
            <v>0.15</v>
          </cell>
        </row>
        <row r="409">
          <cell r="G409">
            <v>0.13</v>
          </cell>
        </row>
        <row r="410">
          <cell r="G410">
            <v>0.15</v>
          </cell>
        </row>
        <row r="411">
          <cell r="G411">
            <v>0.13</v>
          </cell>
        </row>
        <row r="412">
          <cell r="G412">
            <v>0.15</v>
          </cell>
        </row>
        <row r="413">
          <cell r="G413">
            <v>0.1</v>
          </cell>
        </row>
        <row r="414">
          <cell r="G414">
            <v>0.15</v>
          </cell>
        </row>
        <row r="415">
          <cell r="G415">
            <v>0.13</v>
          </cell>
        </row>
        <row r="416">
          <cell r="G416">
            <v>0.15</v>
          </cell>
        </row>
        <row r="417">
          <cell r="G417">
            <v>0.13</v>
          </cell>
        </row>
        <row r="418">
          <cell r="G418">
            <v>0.13</v>
          </cell>
        </row>
        <row r="419">
          <cell r="G419">
            <v>0.14000000000000001</v>
          </cell>
        </row>
        <row r="420">
          <cell r="G420">
            <v>0.13</v>
          </cell>
        </row>
        <row r="421">
          <cell r="G421">
            <v>0.15</v>
          </cell>
        </row>
        <row r="422">
          <cell r="G422">
            <v>0.13</v>
          </cell>
        </row>
        <row r="423">
          <cell r="G423">
            <v>0.15</v>
          </cell>
        </row>
        <row r="424">
          <cell r="G424">
            <v>0.42</v>
          </cell>
        </row>
        <row r="425">
          <cell r="G425">
            <v>0.14000000000000001</v>
          </cell>
        </row>
        <row r="426">
          <cell r="G426">
            <v>0.1</v>
          </cell>
        </row>
        <row r="427">
          <cell r="G427">
            <v>0.13</v>
          </cell>
        </row>
        <row r="428">
          <cell r="G428">
            <v>0.15</v>
          </cell>
        </row>
        <row r="429">
          <cell r="G429">
            <v>0.14000000000000001</v>
          </cell>
        </row>
        <row r="430">
          <cell r="G430">
            <v>0.14000000000000001</v>
          </cell>
        </row>
        <row r="431">
          <cell r="G431">
            <v>0.15</v>
          </cell>
        </row>
        <row r="432">
          <cell r="G432">
            <v>0.1</v>
          </cell>
        </row>
        <row r="433">
          <cell r="G433">
            <v>0.26</v>
          </cell>
        </row>
        <row r="434">
          <cell r="G434">
            <v>0.13</v>
          </cell>
        </row>
        <row r="435">
          <cell r="G435">
            <v>0.15</v>
          </cell>
        </row>
        <row r="436">
          <cell r="G436">
            <v>0.15</v>
          </cell>
        </row>
        <row r="437">
          <cell r="G437">
            <v>0.13</v>
          </cell>
        </row>
        <row r="438">
          <cell r="G438">
            <v>0.15</v>
          </cell>
        </row>
        <row r="439">
          <cell r="G439">
            <v>0.13</v>
          </cell>
        </row>
        <row r="440">
          <cell r="G440">
            <v>0.15</v>
          </cell>
        </row>
        <row r="441">
          <cell r="G441">
            <v>0.1</v>
          </cell>
        </row>
        <row r="442">
          <cell r="G442">
            <v>0.15</v>
          </cell>
        </row>
        <row r="443">
          <cell r="G443">
            <v>0.13</v>
          </cell>
        </row>
        <row r="444">
          <cell r="G444">
            <v>0.15</v>
          </cell>
        </row>
        <row r="445">
          <cell r="G445">
            <v>0.13</v>
          </cell>
        </row>
        <row r="446">
          <cell r="G446">
            <v>0.13</v>
          </cell>
        </row>
        <row r="447">
          <cell r="G447">
            <v>0.14000000000000001</v>
          </cell>
        </row>
        <row r="448">
          <cell r="G448">
            <v>0.13</v>
          </cell>
        </row>
        <row r="449">
          <cell r="G449">
            <v>0.13</v>
          </cell>
        </row>
        <row r="450">
          <cell r="G450">
            <v>0.13</v>
          </cell>
        </row>
        <row r="451">
          <cell r="G451">
            <v>0.26</v>
          </cell>
        </row>
        <row r="452">
          <cell r="G452">
            <v>0.26</v>
          </cell>
        </row>
        <row r="453">
          <cell r="G453">
            <v>0.13</v>
          </cell>
        </row>
        <row r="454">
          <cell r="G454">
            <v>0.14000000000000001</v>
          </cell>
        </row>
        <row r="455">
          <cell r="G455">
            <v>0.13</v>
          </cell>
        </row>
        <row r="456">
          <cell r="G456">
            <v>0.14000000000000001</v>
          </cell>
        </row>
        <row r="457">
          <cell r="G457">
            <v>0.17</v>
          </cell>
        </row>
        <row r="458">
          <cell r="G458">
            <v>0.18</v>
          </cell>
        </row>
        <row r="459">
          <cell r="G459">
            <v>0.2</v>
          </cell>
        </row>
        <row r="460">
          <cell r="G460">
            <v>0.18</v>
          </cell>
        </row>
        <row r="461">
          <cell r="G461">
            <v>0.15</v>
          </cell>
        </row>
        <row r="462">
          <cell r="G462">
            <v>0.2</v>
          </cell>
        </row>
        <row r="463">
          <cell r="G463">
            <v>0.18</v>
          </cell>
        </row>
        <row r="464">
          <cell r="G464">
            <v>0.18</v>
          </cell>
        </row>
        <row r="465">
          <cell r="G465">
            <v>0.15</v>
          </cell>
        </row>
        <row r="466">
          <cell r="G466">
            <v>0.15</v>
          </cell>
        </row>
        <row r="467">
          <cell r="G467">
            <v>0.15</v>
          </cell>
        </row>
        <row r="468">
          <cell r="G468">
            <v>0.72</v>
          </cell>
        </row>
        <row r="469">
          <cell r="G469">
            <v>0.19</v>
          </cell>
        </row>
        <row r="470">
          <cell r="G470">
            <v>0.15</v>
          </cell>
        </row>
        <row r="471">
          <cell r="G471">
            <v>0.72</v>
          </cell>
        </row>
        <row r="472">
          <cell r="G472">
            <v>0.19</v>
          </cell>
        </row>
        <row r="473">
          <cell r="G473">
            <v>0.2</v>
          </cell>
        </row>
        <row r="474">
          <cell r="G474">
            <v>0.2</v>
          </cell>
        </row>
        <row r="475">
          <cell r="G475">
            <v>0.18</v>
          </cell>
        </row>
        <row r="476">
          <cell r="G476">
            <v>0.18</v>
          </cell>
        </row>
        <row r="477">
          <cell r="G477">
            <v>0.2</v>
          </cell>
        </row>
        <row r="478">
          <cell r="G478">
            <v>0.2</v>
          </cell>
        </row>
        <row r="479">
          <cell r="G479">
            <v>0.18</v>
          </cell>
        </row>
        <row r="480">
          <cell r="G480">
            <v>0.18</v>
          </cell>
        </row>
        <row r="481">
          <cell r="G481">
            <v>0.17</v>
          </cell>
        </row>
        <row r="482">
          <cell r="G482">
            <v>0.15</v>
          </cell>
        </row>
        <row r="483">
          <cell r="G483">
            <v>0.15</v>
          </cell>
        </row>
        <row r="484">
          <cell r="G484">
            <v>0.13</v>
          </cell>
        </row>
        <row r="485">
          <cell r="G485">
            <v>0.17</v>
          </cell>
        </row>
        <row r="486">
          <cell r="G486">
            <v>0.15</v>
          </cell>
        </row>
        <row r="487">
          <cell r="G487">
            <v>0.72</v>
          </cell>
        </row>
        <row r="488">
          <cell r="G488">
            <v>0.19</v>
          </cell>
        </row>
        <row r="489">
          <cell r="G489">
            <v>0.15</v>
          </cell>
        </row>
        <row r="490">
          <cell r="G490">
            <v>0.72</v>
          </cell>
        </row>
        <row r="491">
          <cell r="G491">
            <v>0.19</v>
          </cell>
        </row>
        <row r="492">
          <cell r="G492">
            <v>0.15</v>
          </cell>
        </row>
        <row r="493">
          <cell r="G493">
            <v>0.19</v>
          </cell>
        </row>
        <row r="494">
          <cell r="G494">
            <v>0.18</v>
          </cell>
        </row>
        <row r="495">
          <cell r="G495">
            <v>0.15</v>
          </cell>
        </row>
        <row r="496">
          <cell r="G496">
            <v>0.13</v>
          </cell>
        </row>
        <row r="497">
          <cell r="G497">
            <v>0.17</v>
          </cell>
        </row>
        <row r="498">
          <cell r="G498">
            <v>0.17</v>
          </cell>
        </row>
        <row r="499">
          <cell r="G499">
            <v>0.15</v>
          </cell>
        </row>
        <row r="500">
          <cell r="G500">
            <v>0.16</v>
          </cell>
        </row>
        <row r="501">
          <cell r="G501">
            <v>0.16</v>
          </cell>
        </row>
        <row r="502">
          <cell r="G502">
            <v>0.16</v>
          </cell>
        </row>
        <row r="503">
          <cell r="G503">
            <v>0.16</v>
          </cell>
        </row>
        <row r="504">
          <cell r="G504">
            <v>0.16</v>
          </cell>
        </row>
        <row r="505">
          <cell r="G505">
            <v>0.16</v>
          </cell>
        </row>
        <row r="506">
          <cell r="G506">
            <v>0.16</v>
          </cell>
        </row>
        <row r="507">
          <cell r="G507">
            <v>0.16</v>
          </cell>
        </row>
        <row r="508">
          <cell r="G508">
            <v>0.16</v>
          </cell>
        </row>
        <row r="509">
          <cell r="G509">
            <v>0.16</v>
          </cell>
        </row>
        <row r="510">
          <cell r="G510">
            <v>0.16</v>
          </cell>
        </row>
        <row r="511">
          <cell r="G511">
            <v>0.16</v>
          </cell>
        </row>
        <row r="512">
          <cell r="G512">
            <v>0.16</v>
          </cell>
        </row>
        <row r="513">
          <cell r="G513">
            <v>0.16</v>
          </cell>
        </row>
        <row r="514">
          <cell r="G514">
            <v>0.16</v>
          </cell>
        </row>
        <row r="515">
          <cell r="G515">
            <v>0.14000000000000001</v>
          </cell>
        </row>
        <row r="516">
          <cell r="G516">
            <v>0.14000000000000001</v>
          </cell>
        </row>
        <row r="517">
          <cell r="G517">
            <v>0.14000000000000001</v>
          </cell>
        </row>
        <row r="518">
          <cell r="G518">
            <v>0.1</v>
          </cell>
        </row>
        <row r="519">
          <cell r="G519">
            <v>0.1</v>
          </cell>
        </row>
        <row r="520">
          <cell r="G520">
            <v>0.1</v>
          </cell>
        </row>
        <row r="521">
          <cell r="G521">
            <v>0.13</v>
          </cell>
        </row>
        <row r="522">
          <cell r="G522">
            <v>0.13</v>
          </cell>
        </row>
        <row r="523">
          <cell r="G523">
            <v>0.13</v>
          </cell>
        </row>
        <row r="524">
          <cell r="G524">
            <v>0.15</v>
          </cell>
        </row>
        <row r="525">
          <cell r="G525">
            <v>0.15</v>
          </cell>
        </row>
        <row r="526">
          <cell r="G526">
            <v>0.15</v>
          </cell>
        </row>
        <row r="527">
          <cell r="G527">
            <v>0.14000000000000001</v>
          </cell>
        </row>
        <row r="528">
          <cell r="G528">
            <v>0.14000000000000001</v>
          </cell>
        </row>
        <row r="529">
          <cell r="G529">
            <v>0.14000000000000001</v>
          </cell>
        </row>
        <row r="530">
          <cell r="G530">
            <v>0.14000000000000001</v>
          </cell>
        </row>
        <row r="531">
          <cell r="G531">
            <v>0.14000000000000001</v>
          </cell>
        </row>
        <row r="532">
          <cell r="G532">
            <v>0.14000000000000001</v>
          </cell>
        </row>
        <row r="533">
          <cell r="G533">
            <v>0.15</v>
          </cell>
        </row>
        <row r="534">
          <cell r="G534">
            <v>0.15</v>
          </cell>
        </row>
        <row r="535">
          <cell r="G535">
            <v>0.15</v>
          </cell>
        </row>
        <row r="536">
          <cell r="G536">
            <v>0.1</v>
          </cell>
        </row>
        <row r="537">
          <cell r="G537">
            <v>0.1</v>
          </cell>
        </row>
        <row r="538">
          <cell r="G538">
            <v>0.1</v>
          </cell>
        </row>
        <row r="539">
          <cell r="G539">
            <v>0.26</v>
          </cell>
        </row>
        <row r="540">
          <cell r="G540">
            <v>0.26</v>
          </cell>
        </row>
        <row r="541">
          <cell r="G541">
            <v>0.26</v>
          </cell>
        </row>
        <row r="542">
          <cell r="G542">
            <v>0.26</v>
          </cell>
        </row>
        <row r="543">
          <cell r="G543">
            <v>0.26</v>
          </cell>
        </row>
        <row r="544">
          <cell r="G544">
            <v>0.26</v>
          </cell>
        </row>
        <row r="545">
          <cell r="G545">
            <v>0.13</v>
          </cell>
        </row>
        <row r="546">
          <cell r="G546">
            <v>0.13</v>
          </cell>
        </row>
        <row r="547">
          <cell r="G547">
            <v>0.13</v>
          </cell>
        </row>
        <row r="548">
          <cell r="G548">
            <v>0.15</v>
          </cell>
        </row>
        <row r="549">
          <cell r="G549">
            <v>0.15</v>
          </cell>
        </row>
        <row r="550">
          <cell r="G550">
            <v>0.15</v>
          </cell>
        </row>
        <row r="551">
          <cell r="G551">
            <v>0.15</v>
          </cell>
        </row>
        <row r="552">
          <cell r="G552">
            <v>0.15</v>
          </cell>
        </row>
        <row r="553">
          <cell r="G553">
            <v>0.15</v>
          </cell>
        </row>
        <row r="554">
          <cell r="G554">
            <v>0.13</v>
          </cell>
        </row>
        <row r="555">
          <cell r="G555">
            <v>0.13</v>
          </cell>
        </row>
        <row r="556">
          <cell r="G556">
            <v>0.13</v>
          </cell>
        </row>
        <row r="557">
          <cell r="G557">
            <v>0.15</v>
          </cell>
        </row>
        <row r="558">
          <cell r="G558">
            <v>0.15</v>
          </cell>
        </row>
        <row r="559">
          <cell r="G559">
            <v>0.15</v>
          </cell>
        </row>
        <row r="560">
          <cell r="G560">
            <v>0.13</v>
          </cell>
        </row>
        <row r="561">
          <cell r="G561">
            <v>0.13</v>
          </cell>
        </row>
        <row r="562">
          <cell r="G562">
            <v>0.13</v>
          </cell>
        </row>
        <row r="563">
          <cell r="G563">
            <v>0.13</v>
          </cell>
        </row>
        <row r="564">
          <cell r="G564">
            <v>0.13</v>
          </cell>
        </row>
        <row r="565">
          <cell r="G565">
            <v>0.13</v>
          </cell>
        </row>
        <row r="566">
          <cell r="G566">
            <v>0.14000000000000001</v>
          </cell>
        </row>
        <row r="567">
          <cell r="G567">
            <v>0.14000000000000001</v>
          </cell>
        </row>
        <row r="568">
          <cell r="G568">
            <v>0.14000000000000001</v>
          </cell>
        </row>
        <row r="569">
          <cell r="G569">
            <v>0.13</v>
          </cell>
        </row>
        <row r="570">
          <cell r="G570">
            <v>0.13</v>
          </cell>
        </row>
        <row r="571">
          <cell r="G571">
            <v>0.13</v>
          </cell>
        </row>
        <row r="572">
          <cell r="G572">
            <v>0.13</v>
          </cell>
        </row>
        <row r="573">
          <cell r="G573">
            <v>0.13</v>
          </cell>
        </row>
        <row r="574">
          <cell r="G574">
            <v>0.13</v>
          </cell>
        </row>
        <row r="575">
          <cell r="G575">
            <v>0</v>
          </cell>
        </row>
        <row r="576">
          <cell r="G576">
            <v>0.1</v>
          </cell>
        </row>
        <row r="577">
          <cell r="G577">
            <v>0.1</v>
          </cell>
        </row>
        <row r="578">
          <cell r="G578">
            <v>0.1</v>
          </cell>
        </row>
        <row r="579">
          <cell r="G579">
            <v>0.13</v>
          </cell>
        </row>
        <row r="580">
          <cell r="G580">
            <v>0.13</v>
          </cell>
        </row>
        <row r="581">
          <cell r="G581">
            <v>0.13</v>
          </cell>
        </row>
        <row r="582">
          <cell r="G582">
            <v>0.15</v>
          </cell>
        </row>
        <row r="583">
          <cell r="G583">
            <v>0.15</v>
          </cell>
        </row>
        <row r="584">
          <cell r="G584">
            <v>0.15</v>
          </cell>
        </row>
        <row r="585">
          <cell r="G585">
            <v>0.14000000000000001</v>
          </cell>
        </row>
        <row r="586">
          <cell r="G586">
            <v>0.14000000000000001</v>
          </cell>
        </row>
        <row r="587">
          <cell r="G587">
            <v>0.14000000000000001</v>
          </cell>
        </row>
        <row r="588">
          <cell r="G588">
            <v>0.14000000000000001</v>
          </cell>
        </row>
        <row r="589">
          <cell r="G589">
            <v>0.14000000000000001</v>
          </cell>
        </row>
        <row r="590">
          <cell r="G590">
            <v>0.14000000000000001</v>
          </cell>
        </row>
        <row r="591">
          <cell r="G591">
            <v>0.15</v>
          </cell>
        </row>
        <row r="592">
          <cell r="G592">
            <v>0.15</v>
          </cell>
        </row>
        <row r="593">
          <cell r="G593">
            <v>0.15</v>
          </cell>
        </row>
        <row r="594">
          <cell r="G594">
            <v>0.1</v>
          </cell>
        </row>
        <row r="595">
          <cell r="G595">
            <v>0.1</v>
          </cell>
        </row>
        <row r="596">
          <cell r="G596">
            <v>0.1</v>
          </cell>
        </row>
        <row r="597">
          <cell r="G597">
            <v>0.26</v>
          </cell>
        </row>
        <row r="598">
          <cell r="G598">
            <v>0.26</v>
          </cell>
        </row>
        <row r="599">
          <cell r="G599">
            <v>0.26</v>
          </cell>
        </row>
        <row r="600">
          <cell r="G600">
            <v>0.26</v>
          </cell>
        </row>
        <row r="601">
          <cell r="G601">
            <v>0.26</v>
          </cell>
        </row>
        <row r="602">
          <cell r="G602">
            <v>0.26</v>
          </cell>
        </row>
        <row r="603">
          <cell r="G603">
            <v>0.13</v>
          </cell>
        </row>
        <row r="604">
          <cell r="G604">
            <v>0.13</v>
          </cell>
        </row>
        <row r="605">
          <cell r="G605">
            <v>0.13</v>
          </cell>
        </row>
        <row r="606">
          <cell r="G606">
            <v>0.15</v>
          </cell>
        </row>
        <row r="607">
          <cell r="G607">
            <v>0.15</v>
          </cell>
        </row>
        <row r="608">
          <cell r="G608">
            <v>0.15</v>
          </cell>
        </row>
        <row r="609">
          <cell r="G609">
            <v>0.15</v>
          </cell>
        </row>
        <row r="610">
          <cell r="G610">
            <v>0.15</v>
          </cell>
        </row>
        <row r="611">
          <cell r="G611">
            <v>0.15</v>
          </cell>
        </row>
        <row r="612">
          <cell r="G612">
            <v>0.13</v>
          </cell>
        </row>
        <row r="613">
          <cell r="G613">
            <v>0.13</v>
          </cell>
        </row>
        <row r="614">
          <cell r="G614">
            <v>0.13</v>
          </cell>
        </row>
        <row r="615">
          <cell r="G615">
            <v>0.15</v>
          </cell>
        </row>
        <row r="616">
          <cell r="G616">
            <v>0.15</v>
          </cell>
        </row>
        <row r="617">
          <cell r="G617">
            <v>0.15</v>
          </cell>
        </row>
        <row r="618">
          <cell r="G618">
            <v>0.13</v>
          </cell>
        </row>
        <row r="619">
          <cell r="G619">
            <v>0.13</v>
          </cell>
        </row>
        <row r="620">
          <cell r="G620">
            <v>0.13</v>
          </cell>
        </row>
        <row r="621">
          <cell r="G621">
            <v>0.13</v>
          </cell>
        </row>
        <row r="622">
          <cell r="G622">
            <v>0.13</v>
          </cell>
        </row>
        <row r="623">
          <cell r="G623">
            <v>0.13</v>
          </cell>
        </row>
        <row r="624">
          <cell r="G624">
            <v>0.14000000000000001</v>
          </cell>
        </row>
        <row r="625">
          <cell r="G625">
            <v>0.14000000000000001</v>
          </cell>
        </row>
        <row r="626">
          <cell r="G626">
            <v>0.14000000000000001</v>
          </cell>
        </row>
        <row r="627">
          <cell r="G627">
            <v>0.13</v>
          </cell>
        </row>
        <row r="628">
          <cell r="G628">
            <v>0.13</v>
          </cell>
        </row>
        <row r="629">
          <cell r="G629">
            <v>0.13</v>
          </cell>
        </row>
        <row r="630">
          <cell r="G630">
            <v>0.13</v>
          </cell>
        </row>
        <row r="631">
          <cell r="G631">
            <v>0.13</v>
          </cell>
        </row>
        <row r="632">
          <cell r="G632">
            <v>0.13</v>
          </cell>
        </row>
        <row r="633">
          <cell r="G633">
            <v>0.13</v>
          </cell>
        </row>
        <row r="634">
          <cell r="G634">
            <v>0.13</v>
          </cell>
        </row>
        <row r="635">
          <cell r="G635">
            <v>0.13</v>
          </cell>
        </row>
        <row r="636">
          <cell r="G636">
            <v>0.26</v>
          </cell>
        </row>
        <row r="637">
          <cell r="G637">
            <v>0.26</v>
          </cell>
        </row>
        <row r="638">
          <cell r="G638">
            <v>0.26</v>
          </cell>
        </row>
        <row r="639">
          <cell r="G639">
            <v>0.26</v>
          </cell>
        </row>
        <row r="640">
          <cell r="G640">
            <v>0.26</v>
          </cell>
        </row>
        <row r="641">
          <cell r="G641">
            <v>0.26</v>
          </cell>
        </row>
        <row r="642">
          <cell r="G642">
            <v>0.13</v>
          </cell>
        </row>
        <row r="643">
          <cell r="G643">
            <v>0.13</v>
          </cell>
        </row>
        <row r="644">
          <cell r="G644">
            <v>0.13</v>
          </cell>
        </row>
        <row r="645">
          <cell r="G645">
            <v>0.14000000000000001</v>
          </cell>
        </row>
        <row r="646">
          <cell r="G646">
            <v>0.14000000000000001</v>
          </cell>
        </row>
        <row r="647">
          <cell r="G647">
            <v>0.14000000000000001</v>
          </cell>
        </row>
        <row r="648">
          <cell r="G648">
            <v>0.13</v>
          </cell>
        </row>
        <row r="649">
          <cell r="G649">
            <v>0.13</v>
          </cell>
        </row>
        <row r="650">
          <cell r="G650">
            <v>0.13</v>
          </cell>
        </row>
        <row r="651">
          <cell r="G651">
            <v>0.14000000000000001</v>
          </cell>
        </row>
        <row r="652">
          <cell r="G652">
            <v>0.14000000000000001</v>
          </cell>
        </row>
        <row r="653">
          <cell r="G653">
            <v>0.14000000000000001</v>
          </cell>
        </row>
        <row r="654">
          <cell r="G654">
            <v>0.14000000000000001</v>
          </cell>
        </row>
        <row r="655">
          <cell r="G655">
            <v>0.1</v>
          </cell>
        </row>
        <row r="656">
          <cell r="G656">
            <v>0.13</v>
          </cell>
        </row>
        <row r="657">
          <cell r="G657">
            <v>0.15</v>
          </cell>
        </row>
        <row r="658">
          <cell r="G658">
            <v>0.14000000000000001</v>
          </cell>
        </row>
        <row r="659">
          <cell r="G659">
            <v>0.14000000000000001</v>
          </cell>
        </row>
        <row r="660">
          <cell r="G660">
            <v>0.15</v>
          </cell>
        </row>
        <row r="661">
          <cell r="G661">
            <v>0.1</v>
          </cell>
        </row>
        <row r="662">
          <cell r="G662">
            <v>0.26</v>
          </cell>
        </row>
        <row r="663">
          <cell r="G663">
            <v>0.26</v>
          </cell>
        </row>
        <row r="664">
          <cell r="G664">
            <v>0.13</v>
          </cell>
        </row>
        <row r="665">
          <cell r="G665">
            <v>0.15</v>
          </cell>
        </row>
        <row r="666">
          <cell r="G666">
            <v>0.15</v>
          </cell>
        </row>
        <row r="667">
          <cell r="G667">
            <v>0.13</v>
          </cell>
        </row>
        <row r="668">
          <cell r="G668">
            <v>0.15</v>
          </cell>
        </row>
        <row r="669">
          <cell r="G669">
            <v>0.13</v>
          </cell>
        </row>
        <row r="670">
          <cell r="G670">
            <v>0.15</v>
          </cell>
        </row>
        <row r="671">
          <cell r="G671">
            <v>0.1</v>
          </cell>
        </row>
        <row r="672">
          <cell r="G672">
            <v>0.15</v>
          </cell>
        </row>
        <row r="673">
          <cell r="G673">
            <v>0.13</v>
          </cell>
        </row>
        <row r="674">
          <cell r="G674">
            <v>0.15</v>
          </cell>
        </row>
        <row r="675">
          <cell r="G675">
            <v>0.13</v>
          </cell>
        </row>
        <row r="676">
          <cell r="G676">
            <v>0.13</v>
          </cell>
        </row>
        <row r="677">
          <cell r="G677">
            <v>0.14000000000000001</v>
          </cell>
        </row>
        <row r="678">
          <cell r="G678">
            <v>0.13</v>
          </cell>
        </row>
        <row r="679">
          <cell r="G679">
            <v>0.15</v>
          </cell>
        </row>
        <row r="680">
          <cell r="G680">
            <v>0.13</v>
          </cell>
        </row>
        <row r="681">
          <cell r="G681">
            <v>0.15</v>
          </cell>
        </row>
        <row r="682">
          <cell r="G682">
            <v>0.42</v>
          </cell>
        </row>
        <row r="683">
          <cell r="G683">
            <v>0.14000000000000001</v>
          </cell>
        </row>
        <row r="684">
          <cell r="G684">
            <v>0.1</v>
          </cell>
        </row>
        <row r="685">
          <cell r="G685">
            <v>0.13</v>
          </cell>
        </row>
        <row r="686">
          <cell r="G686">
            <v>0.15</v>
          </cell>
        </row>
        <row r="687">
          <cell r="G687">
            <v>0.14000000000000001</v>
          </cell>
        </row>
        <row r="688">
          <cell r="G688">
            <v>0.14000000000000001</v>
          </cell>
        </row>
        <row r="689">
          <cell r="G689">
            <v>0.15</v>
          </cell>
        </row>
        <row r="690">
          <cell r="G690">
            <v>0.1</v>
          </cell>
        </row>
        <row r="691">
          <cell r="G691">
            <v>0.26</v>
          </cell>
        </row>
        <row r="692">
          <cell r="G692">
            <v>0.13</v>
          </cell>
        </row>
        <row r="693">
          <cell r="G693">
            <v>0.15</v>
          </cell>
        </row>
        <row r="694">
          <cell r="G694">
            <v>0.15</v>
          </cell>
        </row>
        <row r="695">
          <cell r="G695">
            <v>0.13</v>
          </cell>
        </row>
        <row r="696">
          <cell r="G696">
            <v>0.15</v>
          </cell>
        </row>
        <row r="697">
          <cell r="G697">
            <v>0.13</v>
          </cell>
        </row>
        <row r="698">
          <cell r="G698">
            <v>0.15</v>
          </cell>
        </row>
        <row r="699">
          <cell r="G699">
            <v>0.1</v>
          </cell>
        </row>
        <row r="700">
          <cell r="G700">
            <v>0.15</v>
          </cell>
        </row>
        <row r="701">
          <cell r="G701">
            <v>0.13</v>
          </cell>
        </row>
        <row r="702">
          <cell r="G702">
            <v>0.15</v>
          </cell>
        </row>
        <row r="703">
          <cell r="G703">
            <v>0.13</v>
          </cell>
        </row>
        <row r="704">
          <cell r="G704">
            <v>0.13</v>
          </cell>
        </row>
        <row r="705">
          <cell r="G705">
            <v>0.14000000000000001</v>
          </cell>
        </row>
        <row r="706">
          <cell r="G706">
            <v>0.13</v>
          </cell>
        </row>
        <row r="707">
          <cell r="G707">
            <v>0.13</v>
          </cell>
        </row>
        <row r="708">
          <cell r="G708">
            <v>0.13</v>
          </cell>
        </row>
        <row r="709">
          <cell r="G709">
            <v>0.26</v>
          </cell>
        </row>
        <row r="710">
          <cell r="G710">
            <v>0.26</v>
          </cell>
        </row>
        <row r="711">
          <cell r="G711">
            <v>0.13</v>
          </cell>
        </row>
        <row r="712">
          <cell r="G712">
            <v>0.14000000000000001</v>
          </cell>
        </row>
        <row r="713">
          <cell r="G713">
            <v>0.13</v>
          </cell>
        </row>
        <row r="714">
          <cell r="G714">
            <v>0.14000000000000001</v>
          </cell>
        </row>
        <row r="715">
          <cell r="G715">
            <v>0.17</v>
          </cell>
        </row>
        <row r="716">
          <cell r="G716">
            <v>0.18</v>
          </cell>
        </row>
        <row r="717">
          <cell r="G717">
            <v>0.2</v>
          </cell>
        </row>
        <row r="718">
          <cell r="G718">
            <v>0.18</v>
          </cell>
        </row>
        <row r="719">
          <cell r="G719">
            <v>0.15</v>
          </cell>
        </row>
        <row r="720">
          <cell r="G720">
            <v>0.2</v>
          </cell>
        </row>
        <row r="721">
          <cell r="G721">
            <v>0.18</v>
          </cell>
        </row>
        <row r="722">
          <cell r="G722">
            <v>0.18</v>
          </cell>
        </row>
        <row r="723">
          <cell r="G723">
            <v>0.15</v>
          </cell>
        </row>
        <row r="724">
          <cell r="G724">
            <v>0.15</v>
          </cell>
        </row>
        <row r="725">
          <cell r="G725">
            <v>0.15</v>
          </cell>
        </row>
        <row r="726">
          <cell r="G726">
            <v>0.72</v>
          </cell>
        </row>
        <row r="727">
          <cell r="G727">
            <v>0.19</v>
          </cell>
        </row>
        <row r="728">
          <cell r="G728">
            <v>0.15</v>
          </cell>
        </row>
        <row r="729">
          <cell r="G729">
            <v>0.19</v>
          </cell>
        </row>
        <row r="730">
          <cell r="G730">
            <v>0.19</v>
          </cell>
        </row>
        <row r="731">
          <cell r="G731">
            <v>0.2</v>
          </cell>
        </row>
        <row r="732">
          <cell r="G732">
            <v>0.2</v>
          </cell>
        </row>
        <row r="733">
          <cell r="G733">
            <v>0.18</v>
          </cell>
        </row>
        <row r="734">
          <cell r="G734">
            <v>0.18</v>
          </cell>
        </row>
        <row r="735">
          <cell r="G735">
            <v>0.2</v>
          </cell>
        </row>
        <row r="736">
          <cell r="G736">
            <v>0.2</v>
          </cell>
        </row>
        <row r="737">
          <cell r="G737">
            <v>0.18</v>
          </cell>
        </row>
        <row r="738">
          <cell r="G738">
            <v>0.18</v>
          </cell>
        </row>
        <row r="739">
          <cell r="G739">
            <v>0.17</v>
          </cell>
        </row>
        <row r="740">
          <cell r="G740">
            <v>0.15</v>
          </cell>
        </row>
        <row r="741">
          <cell r="G741">
            <v>0.17</v>
          </cell>
        </row>
        <row r="742">
          <cell r="G742">
            <v>0.13</v>
          </cell>
        </row>
        <row r="743">
          <cell r="G743">
            <v>0.17</v>
          </cell>
        </row>
        <row r="744">
          <cell r="G744">
            <v>0.15</v>
          </cell>
        </row>
        <row r="745">
          <cell r="G745">
            <v>0.72</v>
          </cell>
        </row>
        <row r="746">
          <cell r="G746">
            <v>0.19</v>
          </cell>
        </row>
        <row r="747">
          <cell r="G747">
            <v>0.15</v>
          </cell>
        </row>
        <row r="748">
          <cell r="G748">
            <v>0.19</v>
          </cell>
        </row>
        <row r="749">
          <cell r="G749">
            <v>0.19</v>
          </cell>
        </row>
        <row r="750">
          <cell r="G750">
            <v>0.15</v>
          </cell>
        </row>
        <row r="751">
          <cell r="G751">
            <v>0.19</v>
          </cell>
        </row>
        <row r="752">
          <cell r="G752">
            <v>0.18</v>
          </cell>
        </row>
        <row r="753">
          <cell r="G753">
            <v>0.17</v>
          </cell>
        </row>
        <row r="754">
          <cell r="G754">
            <v>0.72</v>
          </cell>
        </row>
        <row r="755">
          <cell r="G755">
            <v>0.19</v>
          </cell>
        </row>
        <row r="756">
          <cell r="G756">
            <v>0.19</v>
          </cell>
        </row>
        <row r="757">
          <cell r="G757">
            <v>0.17</v>
          </cell>
        </row>
        <row r="758">
          <cell r="G758">
            <v>0.16</v>
          </cell>
        </row>
        <row r="759">
          <cell r="G759">
            <v>0.16</v>
          </cell>
        </row>
        <row r="760">
          <cell r="G760">
            <v>0.16</v>
          </cell>
        </row>
        <row r="761">
          <cell r="G761">
            <v>0.16</v>
          </cell>
        </row>
        <row r="762">
          <cell r="G762">
            <v>0.16</v>
          </cell>
        </row>
        <row r="763">
          <cell r="G763">
            <v>0.16</v>
          </cell>
        </row>
        <row r="764">
          <cell r="G764">
            <v>0.16</v>
          </cell>
        </row>
        <row r="765">
          <cell r="G765">
            <v>0.16</v>
          </cell>
        </row>
        <row r="766">
          <cell r="G766">
            <v>0.16</v>
          </cell>
        </row>
        <row r="767">
          <cell r="G767">
            <v>0.16</v>
          </cell>
        </row>
        <row r="768">
          <cell r="G768">
            <v>0.16</v>
          </cell>
        </row>
        <row r="769">
          <cell r="G769">
            <v>0.16</v>
          </cell>
        </row>
        <row r="770">
          <cell r="G770">
            <v>0.16</v>
          </cell>
        </row>
        <row r="771">
          <cell r="G771">
            <v>0.16</v>
          </cell>
        </row>
        <row r="772">
          <cell r="G772">
            <v>0.16</v>
          </cell>
        </row>
        <row r="773">
          <cell r="G773">
            <v>0.01</v>
          </cell>
        </row>
        <row r="774">
          <cell r="G774">
            <v>0.01</v>
          </cell>
        </row>
        <row r="775">
          <cell r="G775">
            <v>0.01</v>
          </cell>
        </row>
        <row r="776">
          <cell r="G776">
            <v>0.01</v>
          </cell>
        </row>
        <row r="777">
          <cell r="G777">
            <v>0.01</v>
          </cell>
        </row>
        <row r="778">
          <cell r="G778">
            <v>0.01</v>
          </cell>
        </row>
        <row r="779">
          <cell r="G779">
            <v>0.01</v>
          </cell>
        </row>
        <row r="780">
          <cell r="G780">
            <v>0.01</v>
          </cell>
        </row>
        <row r="781">
          <cell r="G781">
            <v>0.01</v>
          </cell>
        </row>
        <row r="782">
          <cell r="G782">
            <v>0.01</v>
          </cell>
        </row>
        <row r="783">
          <cell r="G783">
            <v>0.01</v>
          </cell>
        </row>
        <row r="784">
          <cell r="G784">
            <v>0.01</v>
          </cell>
        </row>
        <row r="785">
          <cell r="G785">
            <v>0.01</v>
          </cell>
        </row>
        <row r="786">
          <cell r="G786">
            <v>0.01</v>
          </cell>
        </row>
        <row r="787">
          <cell r="G787">
            <v>0.01</v>
          </cell>
        </row>
        <row r="788">
          <cell r="G788">
            <v>0.01</v>
          </cell>
        </row>
        <row r="789">
          <cell r="G789">
            <v>0.01</v>
          </cell>
        </row>
        <row r="790">
          <cell r="G790">
            <v>0.01</v>
          </cell>
        </row>
        <row r="791">
          <cell r="G791">
            <v>0.01</v>
          </cell>
        </row>
        <row r="792">
          <cell r="G792">
            <v>0.01</v>
          </cell>
        </row>
        <row r="793">
          <cell r="G793">
            <v>0.01</v>
          </cell>
        </row>
        <row r="794">
          <cell r="G794">
            <v>0.01</v>
          </cell>
        </row>
        <row r="795">
          <cell r="G795">
            <v>0.01</v>
          </cell>
        </row>
        <row r="796">
          <cell r="G796">
            <v>0.01</v>
          </cell>
        </row>
        <row r="797">
          <cell r="G797">
            <v>0.02</v>
          </cell>
        </row>
        <row r="798">
          <cell r="G798">
            <v>0.02</v>
          </cell>
        </row>
        <row r="799">
          <cell r="G799">
            <v>0.02</v>
          </cell>
        </row>
        <row r="800">
          <cell r="G800">
            <v>0.02</v>
          </cell>
        </row>
        <row r="801">
          <cell r="G801">
            <v>0.02</v>
          </cell>
        </row>
        <row r="802">
          <cell r="G802">
            <v>0.02</v>
          </cell>
        </row>
        <row r="803">
          <cell r="G803">
            <v>0.02</v>
          </cell>
        </row>
        <row r="804">
          <cell r="G804">
            <v>0.02</v>
          </cell>
        </row>
        <row r="805">
          <cell r="G805">
            <v>0.02</v>
          </cell>
        </row>
        <row r="806">
          <cell r="G806">
            <v>0.02</v>
          </cell>
        </row>
        <row r="807">
          <cell r="G807">
            <v>0.02</v>
          </cell>
        </row>
        <row r="808">
          <cell r="G808">
            <v>0.02</v>
          </cell>
        </row>
        <row r="809">
          <cell r="G809">
            <v>0.02</v>
          </cell>
        </row>
        <row r="810">
          <cell r="G810">
            <v>0.02</v>
          </cell>
        </row>
        <row r="811">
          <cell r="G811">
            <v>0.02</v>
          </cell>
        </row>
        <row r="812">
          <cell r="G812">
            <v>0.02</v>
          </cell>
        </row>
        <row r="813">
          <cell r="G813">
            <v>0.02</v>
          </cell>
        </row>
        <row r="814">
          <cell r="G814">
            <v>0.02</v>
          </cell>
        </row>
        <row r="815">
          <cell r="G815">
            <v>0.02</v>
          </cell>
        </row>
        <row r="816">
          <cell r="G816">
            <v>0.02</v>
          </cell>
        </row>
        <row r="817">
          <cell r="G817">
            <v>0.02</v>
          </cell>
        </row>
        <row r="818">
          <cell r="G818">
            <v>0.01</v>
          </cell>
        </row>
        <row r="819">
          <cell r="G819">
            <v>0.01</v>
          </cell>
        </row>
        <row r="820">
          <cell r="G820">
            <v>0.01</v>
          </cell>
        </row>
        <row r="821">
          <cell r="G821">
            <v>0.01</v>
          </cell>
        </row>
        <row r="822">
          <cell r="G822">
            <v>0.01</v>
          </cell>
        </row>
        <row r="823">
          <cell r="G823">
            <v>0.01</v>
          </cell>
        </row>
        <row r="824">
          <cell r="G824">
            <v>0.01</v>
          </cell>
        </row>
        <row r="825">
          <cell r="G825">
            <v>0.01</v>
          </cell>
        </row>
        <row r="826">
          <cell r="G826">
            <v>0.01</v>
          </cell>
        </row>
        <row r="827">
          <cell r="G827">
            <v>0.01</v>
          </cell>
        </row>
        <row r="828">
          <cell r="G828">
            <v>0.01</v>
          </cell>
        </row>
        <row r="829">
          <cell r="G829">
            <v>0.01</v>
          </cell>
        </row>
        <row r="830">
          <cell r="G830">
            <v>0.01</v>
          </cell>
        </row>
        <row r="831">
          <cell r="G831">
            <v>0.01</v>
          </cell>
        </row>
        <row r="832">
          <cell r="G832">
            <v>0.01</v>
          </cell>
        </row>
        <row r="834">
          <cell r="G834">
            <v>0.01</v>
          </cell>
        </row>
        <row r="835">
          <cell r="G835">
            <v>0.01</v>
          </cell>
        </row>
        <row r="836">
          <cell r="G836">
            <v>0.01</v>
          </cell>
        </row>
        <row r="837">
          <cell r="G837">
            <v>0.01</v>
          </cell>
        </row>
        <row r="838">
          <cell r="G838">
            <v>0.01</v>
          </cell>
        </row>
        <row r="839">
          <cell r="G839">
            <v>0.01</v>
          </cell>
        </row>
        <row r="840">
          <cell r="G840">
            <v>0.01</v>
          </cell>
        </row>
        <row r="841">
          <cell r="G841">
            <v>0.01</v>
          </cell>
        </row>
        <row r="842">
          <cell r="G842">
            <v>0.01</v>
          </cell>
        </row>
        <row r="843">
          <cell r="G843">
            <v>0.01</v>
          </cell>
        </row>
        <row r="844">
          <cell r="G844">
            <v>0.01</v>
          </cell>
        </row>
        <row r="845">
          <cell r="G845">
            <v>0.01</v>
          </cell>
        </row>
        <row r="846">
          <cell r="G846">
            <v>0.01</v>
          </cell>
        </row>
        <row r="847">
          <cell r="G847">
            <v>0.01</v>
          </cell>
        </row>
        <row r="848">
          <cell r="G848">
            <v>0.01</v>
          </cell>
        </row>
        <row r="849">
          <cell r="G849">
            <v>0.01</v>
          </cell>
        </row>
        <row r="850">
          <cell r="G850">
            <v>0.01</v>
          </cell>
        </row>
        <row r="851">
          <cell r="G851">
            <v>0.01</v>
          </cell>
        </row>
        <row r="852">
          <cell r="G852">
            <v>0.01</v>
          </cell>
        </row>
        <row r="853">
          <cell r="G853">
            <v>0.01</v>
          </cell>
        </row>
        <row r="854">
          <cell r="G854">
            <v>0.01</v>
          </cell>
        </row>
        <row r="855">
          <cell r="G855">
            <v>0.02</v>
          </cell>
        </row>
        <row r="856">
          <cell r="G856">
            <v>0.02</v>
          </cell>
        </row>
        <row r="857">
          <cell r="G857">
            <v>0.02</v>
          </cell>
        </row>
        <row r="858">
          <cell r="G858">
            <v>0.02</v>
          </cell>
        </row>
        <row r="859">
          <cell r="G859">
            <v>0.02</v>
          </cell>
        </row>
        <row r="860">
          <cell r="G860">
            <v>0.02</v>
          </cell>
        </row>
        <row r="861">
          <cell r="G861">
            <v>0.02</v>
          </cell>
        </row>
        <row r="862">
          <cell r="G862">
            <v>0.02</v>
          </cell>
        </row>
        <row r="863">
          <cell r="G863">
            <v>0.02</v>
          </cell>
        </row>
        <row r="864">
          <cell r="G864">
            <v>0.02</v>
          </cell>
        </row>
        <row r="865">
          <cell r="G865">
            <v>0.02</v>
          </cell>
        </row>
        <row r="866">
          <cell r="G866">
            <v>0.02</v>
          </cell>
        </row>
        <row r="867">
          <cell r="G867">
            <v>0.02</v>
          </cell>
        </row>
        <row r="868">
          <cell r="G868">
            <v>0.02</v>
          </cell>
        </row>
        <row r="869">
          <cell r="G869">
            <v>0.02</v>
          </cell>
        </row>
        <row r="870">
          <cell r="G870">
            <v>0.02</v>
          </cell>
        </row>
        <row r="871">
          <cell r="G871">
            <v>0.02</v>
          </cell>
        </row>
        <row r="872">
          <cell r="G872">
            <v>0.02</v>
          </cell>
        </row>
        <row r="873">
          <cell r="G873">
            <v>0.02</v>
          </cell>
        </row>
        <row r="874">
          <cell r="G874">
            <v>0.02</v>
          </cell>
        </row>
        <row r="875">
          <cell r="G875">
            <v>0.02</v>
          </cell>
        </row>
        <row r="876">
          <cell r="G876">
            <v>0.01</v>
          </cell>
        </row>
        <row r="877">
          <cell r="G877">
            <v>0.01</v>
          </cell>
        </row>
        <row r="878">
          <cell r="G878">
            <v>0.01</v>
          </cell>
        </row>
        <row r="879">
          <cell r="G879">
            <v>0.01</v>
          </cell>
        </row>
        <row r="880">
          <cell r="G880">
            <v>0.01</v>
          </cell>
        </row>
        <row r="881">
          <cell r="G881">
            <v>0.01</v>
          </cell>
        </row>
        <row r="882">
          <cell r="G882">
            <v>0.01</v>
          </cell>
        </row>
        <row r="883">
          <cell r="G883">
            <v>0.01</v>
          </cell>
        </row>
        <row r="884">
          <cell r="G884">
            <v>0.01</v>
          </cell>
        </row>
        <row r="885">
          <cell r="G885">
            <v>0.01</v>
          </cell>
        </row>
        <row r="886">
          <cell r="G886">
            <v>0.01</v>
          </cell>
        </row>
        <row r="887">
          <cell r="G887">
            <v>0.01</v>
          </cell>
        </row>
        <row r="888">
          <cell r="G888">
            <v>0.01</v>
          </cell>
        </row>
        <row r="889">
          <cell r="G889">
            <v>0.01</v>
          </cell>
        </row>
        <row r="890">
          <cell r="G890">
            <v>0.01</v>
          </cell>
        </row>
        <row r="891">
          <cell r="G891">
            <v>0.01</v>
          </cell>
        </row>
        <row r="892">
          <cell r="G892">
            <v>0.01</v>
          </cell>
        </row>
        <row r="893">
          <cell r="G893">
            <v>0.01</v>
          </cell>
        </row>
        <row r="894">
          <cell r="G894">
            <v>0.05</v>
          </cell>
        </row>
        <row r="895">
          <cell r="G895">
            <v>0.05</v>
          </cell>
        </row>
        <row r="896">
          <cell r="G896">
            <v>0.05</v>
          </cell>
        </row>
        <row r="897">
          <cell r="G897">
            <v>0.05</v>
          </cell>
        </row>
        <row r="898">
          <cell r="G898">
            <v>0.05</v>
          </cell>
        </row>
        <row r="899">
          <cell r="G899">
            <v>0.05</v>
          </cell>
        </row>
        <row r="900">
          <cell r="G900">
            <v>0.01</v>
          </cell>
        </row>
        <row r="901">
          <cell r="G901">
            <v>0.01</v>
          </cell>
        </row>
        <row r="902">
          <cell r="G902">
            <v>0.01</v>
          </cell>
        </row>
        <row r="903">
          <cell r="G903">
            <v>0.01</v>
          </cell>
        </row>
        <row r="904">
          <cell r="G904">
            <v>0.01</v>
          </cell>
        </row>
        <row r="905">
          <cell r="G905">
            <v>0.01</v>
          </cell>
        </row>
        <row r="906">
          <cell r="G906">
            <v>0.01</v>
          </cell>
        </row>
        <row r="907">
          <cell r="G907">
            <v>0.01</v>
          </cell>
        </row>
        <row r="908">
          <cell r="G908">
            <v>0.01</v>
          </cell>
        </row>
        <row r="909">
          <cell r="G909">
            <v>0.01</v>
          </cell>
        </row>
        <row r="910">
          <cell r="G910">
            <v>0.01</v>
          </cell>
        </row>
        <row r="911">
          <cell r="G911">
            <v>0.01</v>
          </cell>
        </row>
        <row r="912">
          <cell r="G912">
            <v>0.01</v>
          </cell>
        </row>
        <row r="913">
          <cell r="G913">
            <v>0.01</v>
          </cell>
        </row>
        <row r="914">
          <cell r="G914">
            <v>0.01</v>
          </cell>
        </row>
        <row r="915">
          <cell r="G915">
            <v>0.01</v>
          </cell>
        </row>
        <row r="916">
          <cell r="G916">
            <v>0.01</v>
          </cell>
        </row>
        <row r="917">
          <cell r="G917">
            <v>0.01</v>
          </cell>
        </row>
        <row r="918">
          <cell r="G918">
            <v>0.01</v>
          </cell>
        </row>
        <row r="919">
          <cell r="G919">
            <v>0.01</v>
          </cell>
        </row>
        <row r="920">
          <cell r="G920">
            <v>0.02</v>
          </cell>
        </row>
        <row r="921">
          <cell r="G921">
            <v>0.02</v>
          </cell>
        </row>
        <row r="922">
          <cell r="G922">
            <v>0.02</v>
          </cell>
        </row>
        <row r="923">
          <cell r="G923">
            <v>0.02</v>
          </cell>
        </row>
        <row r="924">
          <cell r="G924">
            <v>0.02</v>
          </cell>
        </row>
        <row r="925">
          <cell r="G925">
            <v>0.01</v>
          </cell>
        </row>
        <row r="926">
          <cell r="G926">
            <v>0.01</v>
          </cell>
        </row>
        <row r="927">
          <cell r="G927">
            <v>0.02</v>
          </cell>
        </row>
        <row r="928">
          <cell r="G928">
            <v>0.02</v>
          </cell>
        </row>
        <row r="929">
          <cell r="G929">
            <v>0.01</v>
          </cell>
        </row>
        <row r="930">
          <cell r="G930">
            <v>0.01</v>
          </cell>
        </row>
        <row r="931">
          <cell r="G931">
            <v>0.02</v>
          </cell>
        </row>
        <row r="932">
          <cell r="G932">
            <v>0.02</v>
          </cell>
        </row>
        <row r="933">
          <cell r="G933">
            <v>0.01</v>
          </cell>
        </row>
        <row r="934">
          <cell r="G934">
            <v>0.01</v>
          </cell>
        </row>
        <row r="935">
          <cell r="G935">
            <v>0.01</v>
          </cell>
        </row>
        <row r="936">
          <cell r="G936">
            <v>0.01</v>
          </cell>
        </row>
        <row r="937">
          <cell r="G937">
            <v>0.01</v>
          </cell>
        </row>
        <row r="938">
          <cell r="G938">
            <v>0.02</v>
          </cell>
        </row>
        <row r="939">
          <cell r="G939">
            <v>0.01</v>
          </cell>
        </row>
        <row r="940">
          <cell r="G940">
            <v>0.01</v>
          </cell>
        </row>
        <row r="941">
          <cell r="G941">
            <v>0.01</v>
          </cell>
        </row>
        <row r="942">
          <cell r="G942">
            <v>0.01</v>
          </cell>
        </row>
        <row r="943">
          <cell r="G943">
            <v>0.01</v>
          </cell>
        </row>
        <row r="944">
          <cell r="G944">
            <v>0.01</v>
          </cell>
        </row>
        <row r="945">
          <cell r="G945">
            <v>0.01</v>
          </cell>
        </row>
        <row r="946">
          <cell r="G946">
            <v>0.01</v>
          </cell>
        </row>
        <row r="947">
          <cell r="G947">
            <v>0.01</v>
          </cell>
        </row>
        <row r="948">
          <cell r="G948">
            <v>0.01</v>
          </cell>
        </row>
        <row r="949">
          <cell r="G949">
            <v>0.02</v>
          </cell>
        </row>
        <row r="950">
          <cell r="G950">
            <v>0.02</v>
          </cell>
        </row>
        <row r="951">
          <cell r="G951">
            <v>0.02</v>
          </cell>
        </row>
        <row r="952">
          <cell r="G952">
            <v>0.02</v>
          </cell>
        </row>
        <row r="953">
          <cell r="G953">
            <v>0.01</v>
          </cell>
        </row>
        <row r="954">
          <cell r="G954">
            <v>0.01</v>
          </cell>
        </row>
        <row r="955">
          <cell r="G955">
            <v>0.02</v>
          </cell>
        </row>
        <row r="956">
          <cell r="G956">
            <v>0.02</v>
          </cell>
        </row>
        <row r="957">
          <cell r="G957">
            <v>0.01</v>
          </cell>
        </row>
        <row r="958">
          <cell r="G958">
            <v>0.01</v>
          </cell>
        </row>
        <row r="959">
          <cell r="G959">
            <v>0.02</v>
          </cell>
        </row>
        <row r="960">
          <cell r="G960">
            <v>0.02</v>
          </cell>
        </row>
        <row r="961">
          <cell r="G961">
            <v>0.01</v>
          </cell>
        </row>
        <row r="962">
          <cell r="G962">
            <v>0.01</v>
          </cell>
        </row>
        <row r="963">
          <cell r="G963">
            <v>0.01</v>
          </cell>
        </row>
        <row r="964">
          <cell r="G964">
            <v>0.01</v>
          </cell>
        </row>
        <row r="965">
          <cell r="G965">
            <v>0.01</v>
          </cell>
        </row>
        <row r="966">
          <cell r="G966">
            <v>0.01</v>
          </cell>
        </row>
        <row r="967">
          <cell r="G967">
            <v>0.05</v>
          </cell>
        </row>
        <row r="968">
          <cell r="G968">
            <v>0.05</v>
          </cell>
        </row>
        <row r="969">
          <cell r="G969">
            <v>0.01</v>
          </cell>
        </row>
        <row r="970">
          <cell r="G970">
            <v>0.01</v>
          </cell>
        </row>
        <row r="971">
          <cell r="G971">
            <v>0.01</v>
          </cell>
        </row>
        <row r="972">
          <cell r="G972">
            <v>0.01</v>
          </cell>
        </row>
        <row r="973">
          <cell r="G973">
            <v>0.01</v>
          </cell>
        </row>
        <row r="974">
          <cell r="G974">
            <v>0.01</v>
          </cell>
        </row>
        <row r="975">
          <cell r="G975">
            <v>0.02</v>
          </cell>
        </row>
        <row r="976">
          <cell r="G976">
            <v>0.03</v>
          </cell>
        </row>
        <row r="977">
          <cell r="G977">
            <v>0.03</v>
          </cell>
        </row>
        <row r="978">
          <cell r="G978">
            <v>0.03</v>
          </cell>
        </row>
        <row r="979">
          <cell r="G979">
            <v>0.01</v>
          </cell>
        </row>
        <row r="980">
          <cell r="G980">
            <v>0.03</v>
          </cell>
        </row>
        <row r="981">
          <cell r="G981">
            <v>0.03</v>
          </cell>
        </row>
        <row r="982">
          <cell r="G982">
            <v>0.03</v>
          </cell>
        </row>
        <row r="983">
          <cell r="G983">
            <v>0.01</v>
          </cell>
        </row>
        <row r="984">
          <cell r="G984">
            <v>0.01</v>
          </cell>
        </row>
        <row r="985">
          <cell r="G985">
            <v>0.01</v>
          </cell>
        </row>
        <row r="986">
          <cell r="G986">
            <v>0.01</v>
          </cell>
        </row>
        <row r="987">
          <cell r="G987">
            <v>0.02</v>
          </cell>
        </row>
        <row r="988">
          <cell r="G988">
            <v>0.01</v>
          </cell>
        </row>
        <row r="989">
          <cell r="G989">
            <v>0.01</v>
          </cell>
        </row>
        <row r="990">
          <cell r="G990">
            <v>0.02</v>
          </cell>
        </row>
        <row r="991">
          <cell r="G991">
            <v>0.03</v>
          </cell>
        </row>
        <row r="992">
          <cell r="G992">
            <v>0.03</v>
          </cell>
        </row>
        <row r="993">
          <cell r="G993">
            <v>0.03</v>
          </cell>
        </row>
        <row r="994">
          <cell r="G994">
            <v>0.03</v>
          </cell>
        </row>
        <row r="995">
          <cell r="G995">
            <v>0.03</v>
          </cell>
        </row>
        <row r="996">
          <cell r="G996">
            <v>0.03</v>
          </cell>
        </row>
        <row r="997">
          <cell r="G997">
            <v>0.03</v>
          </cell>
        </row>
        <row r="998">
          <cell r="G998">
            <v>0.03</v>
          </cell>
        </row>
        <row r="999">
          <cell r="G999">
            <v>0.01</v>
          </cell>
        </row>
        <row r="1000">
          <cell r="G1000">
            <v>0.01</v>
          </cell>
        </row>
        <row r="1001">
          <cell r="G1001">
            <v>0.01</v>
          </cell>
        </row>
        <row r="1002">
          <cell r="G1002">
            <v>0.01</v>
          </cell>
        </row>
        <row r="1003">
          <cell r="G1003">
            <v>0.01</v>
          </cell>
        </row>
        <row r="1004">
          <cell r="G1004">
            <v>0.01</v>
          </cell>
        </row>
        <row r="1005">
          <cell r="G1005">
            <v>0.01</v>
          </cell>
        </row>
        <row r="1006">
          <cell r="G1006">
            <v>0.02</v>
          </cell>
        </row>
        <row r="1007">
          <cell r="G1007">
            <v>0.01</v>
          </cell>
        </row>
        <row r="1008">
          <cell r="G1008">
            <v>0.01</v>
          </cell>
        </row>
        <row r="1009">
          <cell r="G1009">
            <v>0.02</v>
          </cell>
        </row>
        <row r="1010">
          <cell r="G1010">
            <v>0.01</v>
          </cell>
        </row>
        <row r="1011">
          <cell r="G1011">
            <v>0.02</v>
          </cell>
        </row>
        <row r="1012">
          <cell r="G1012">
            <v>0.03</v>
          </cell>
        </row>
        <row r="1013">
          <cell r="G1013">
            <v>0.01</v>
          </cell>
        </row>
        <row r="1014">
          <cell r="G1014">
            <v>0.01</v>
          </cell>
        </row>
        <row r="1015">
          <cell r="G1015">
            <v>0.01</v>
          </cell>
        </row>
        <row r="1016">
          <cell r="G1016">
            <v>0.01</v>
          </cell>
        </row>
        <row r="1017">
          <cell r="G1017">
            <v>0.01</v>
          </cell>
        </row>
        <row r="1018">
          <cell r="G1018">
            <v>0.01</v>
          </cell>
        </row>
        <row r="1019">
          <cell r="G1019">
            <v>0.01</v>
          </cell>
        </row>
        <row r="1020">
          <cell r="G1020">
            <v>0.01</v>
          </cell>
        </row>
        <row r="1021">
          <cell r="G1021">
            <v>0.02</v>
          </cell>
        </row>
        <row r="1022">
          <cell r="G1022">
            <v>0.02</v>
          </cell>
        </row>
        <row r="1023">
          <cell r="G1023">
            <v>0.02</v>
          </cell>
        </row>
        <row r="1024">
          <cell r="G1024">
            <v>0.04</v>
          </cell>
        </row>
        <row r="1025">
          <cell r="G1025">
            <v>0.04</v>
          </cell>
        </row>
        <row r="1026">
          <cell r="G1026">
            <v>0.04</v>
          </cell>
        </row>
        <row r="1027">
          <cell r="G1027">
            <v>0.01</v>
          </cell>
        </row>
        <row r="1028">
          <cell r="G1028">
            <v>0.01</v>
          </cell>
        </row>
        <row r="1029">
          <cell r="G1029">
            <v>0.02</v>
          </cell>
        </row>
        <row r="1030">
          <cell r="G1030">
            <v>0.02</v>
          </cell>
        </row>
        <row r="1031">
          <cell r="G1031">
            <v>0.04</v>
          </cell>
        </row>
        <row r="1032">
          <cell r="G1032">
            <v>0.04</v>
          </cell>
        </row>
        <row r="1033">
          <cell r="G1033">
            <v>0.01</v>
          </cell>
        </row>
        <row r="1034">
          <cell r="G1034">
            <v>0.01</v>
          </cell>
        </row>
        <row r="1035">
          <cell r="G1035">
            <v>0.02</v>
          </cell>
        </row>
        <row r="1036">
          <cell r="G1036">
            <v>0.01</v>
          </cell>
        </row>
        <row r="1037">
          <cell r="G1037">
            <v>0.01</v>
          </cell>
        </row>
        <row r="1038">
          <cell r="G1038">
            <v>0.01</v>
          </cell>
        </row>
        <row r="1039">
          <cell r="G1039">
            <v>0.01</v>
          </cell>
        </row>
        <row r="1040">
          <cell r="G1040">
            <v>0.01</v>
          </cell>
        </row>
        <row r="1041">
          <cell r="G1041">
            <v>0.01</v>
          </cell>
        </row>
        <row r="1042">
          <cell r="G1042">
            <v>0.01</v>
          </cell>
        </row>
        <row r="1043">
          <cell r="G1043">
            <v>0.01</v>
          </cell>
        </row>
        <row r="1044">
          <cell r="G1044">
            <v>0.02</v>
          </cell>
        </row>
        <row r="1045">
          <cell r="G1045">
            <v>0.02</v>
          </cell>
        </row>
        <row r="1046">
          <cell r="G1046">
            <v>0.02</v>
          </cell>
        </row>
        <row r="1047">
          <cell r="G1047">
            <v>0.02</v>
          </cell>
        </row>
        <row r="1048">
          <cell r="G1048">
            <v>0.02</v>
          </cell>
        </row>
        <row r="1049">
          <cell r="G1049">
            <v>0.02</v>
          </cell>
        </row>
        <row r="1050">
          <cell r="G1050">
            <v>0.02</v>
          </cell>
        </row>
        <row r="1051">
          <cell r="G1051">
            <v>0.01</v>
          </cell>
        </row>
        <row r="1052">
          <cell r="G1052">
            <v>0.01</v>
          </cell>
        </row>
        <row r="1053">
          <cell r="G1053">
            <v>0.01</v>
          </cell>
        </row>
        <row r="1054">
          <cell r="G1054">
            <v>0.01</v>
          </cell>
        </row>
        <row r="1055">
          <cell r="G1055">
            <v>0.01</v>
          </cell>
        </row>
        <row r="1056">
          <cell r="G1056">
            <v>0</v>
          </cell>
        </row>
        <row r="1057">
          <cell r="G1057">
            <v>0.01</v>
          </cell>
        </row>
        <row r="1058">
          <cell r="G1058">
            <v>0.01</v>
          </cell>
        </row>
        <row r="1059">
          <cell r="G1059">
            <v>0.01</v>
          </cell>
        </row>
        <row r="1060">
          <cell r="G1060">
            <v>0.01</v>
          </cell>
        </row>
        <row r="1061">
          <cell r="G1061">
            <v>0.01</v>
          </cell>
        </row>
        <row r="1062">
          <cell r="G1062">
            <v>0.01</v>
          </cell>
        </row>
        <row r="1063">
          <cell r="G1063">
            <v>0.01</v>
          </cell>
        </row>
        <row r="1064">
          <cell r="G1064">
            <v>0.02</v>
          </cell>
        </row>
        <row r="1065">
          <cell r="G1065">
            <v>0.02</v>
          </cell>
        </row>
        <row r="1066">
          <cell r="G1066">
            <v>0.02</v>
          </cell>
        </row>
        <row r="1067">
          <cell r="G1067">
            <v>0.02</v>
          </cell>
        </row>
        <row r="1068">
          <cell r="G1068">
            <v>0.02</v>
          </cell>
        </row>
        <row r="1069">
          <cell r="G1069">
            <v>0.02</v>
          </cell>
        </row>
        <row r="1070">
          <cell r="G1070">
            <v>0.02</v>
          </cell>
        </row>
        <row r="1071">
          <cell r="G1071">
            <v>0.01</v>
          </cell>
        </row>
        <row r="1072">
          <cell r="G1072">
            <v>0.01</v>
          </cell>
        </row>
        <row r="1073">
          <cell r="G1073">
            <v>0.01</v>
          </cell>
        </row>
        <row r="1074">
          <cell r="G1074">
            <v>0.01</v>
          </cell>
        </row>
        <row r="1075">
          <cell r="G1075">
            <v>0.01</v>
          </cell>
        </row>
        <row r="1076">
          <cell r="G1076">
            <v>0.01</v>
          </cell>
        </row>
        <row r="1077">
          <cell r="G1077">
            <v>0.05</v>
          </cell>
        </row>
        <row r="1078">
          <cell r="G1078">
            <v>0.05</v>
          </cell>
        </row>
        <row r="1079">
          <cell r="G1079">
            <v>0.01</v>
          </cell>
        </row>
        <row r="1080">
          <cell r="G1080">
            <v>0.01</v>
          </cell>
        </row>
        <row r="1081">
          <cell r="G1081">
            <v>0.01</v>
          </cell>
        </row>
        <row r="1082">
          <cell r="G1082">
            <v>0.01</v>
          </cell>
        </row>
        <row r="1083">
          <cell r="G1083">
            <v>0.01</v>
          </cell>
        </row>
        <row r="1084">
          <cell r="G1084">
            <v>0.01</v>
          </cell>
        </row>
        <row r="1085">
          <cell r="G1085">
            <v>0.01</v>
          </cell>
        </row>
        <row r="1086">
          <cell r="G1086">
            <v>0.01</v>
          </cell>
        </row>
        <row r="1087">
          <cell r="G1087">
            <v>0.01</v>
          </cell>
        </row>
        <row r="1088">
          <cell r="G1088">
            <v>0.01</v>
          </cell>
        </row>
        <row r="1089">
          <cell r="G1089">
            <v>0.01</v>
          </cell>
        </row>
        <row r="1090">
          <cell r="G1090">
            <v>0.01</v>
          </cell>
        </row>
        <row r="1091">
          <cell r="G1091">
            <v>0.02</v>
          </cell>
        </row>
        <row r="1092">
          <cell r="G1092">
            <v>0.02</v>
          </cell>
        </row>
        <row r="1093">
          <cell r="G1093">
            <v>0.02</v>
          </cell>
        </row>
        <row r="1094">
          <cell r="G1094">
            <v>0.02</v>
          </cell>
        </row>
        <row r="1095">
          <cell r="G1095">
            <v>0.02</v>
          </cell>
        </row>
        <row r="1096">
          <cell r="G1096">
            <v>0.01</v>
          </cell>
        </row>
        <row r="1097">
          <cell r="G1097">
            <v>0.01</v>
          </cell>
        </row>
        <row r="1098">
          <cell r="G1098">
            <v>0.02</v>
          </cell>
        </row>
        <row r="1099">
          <cell r="G1099">
            <v>0.02</v>
          </cell>
        </row>
        <row r="1100">
          <cell r="G1100">
            <v>0.01</v>
          </cell>
        </row>
        <row r="1101">
          <cell r="G1101">
            <v>0.01</v>
          </cell>
        </row>
        <row r="1102">
          <cell r="G1102">
            <v>0.02</v>
          </cell>
        </row>
        <row r="1103">
          <cell r="G1103">
            <v>0.02</v>
          </cell>
        </row>
        <row r="1104">
          <cell r="G1104">
            <v>0.01</v>
          </cell>
        </row>
        <row r="1105">
          <cell r="G1105">
            <v>0.01</v>
          </cell>
        </row>
        <row r="1106">
          <cell r="G1106">
            <v>0.01</v>
          </cell>
        </row>
        <row r="1107">
          <cell r="G1107">
            <v>0.01</v>
          </cell>
        </row>
        <row r="1108">
          <cell r="G1108">
            <v>0.01</v>
          </cell>
        </row>
        <row r="1109">
          <cell r="G1109">
            <v>0.02</v>
          </cell>
        </row>
        <row r="1110">
          <cell r="G1110">
            <v>0.01</v>
          </cell>
        </row>
        <row r="1111">
          <cell r="G1111">
            <v>0.01</v>
          </cell>
        </row>
        <row r="1112">
          <cell r="G1112">
            <v>0.01</v>
          </cell>
        </row>
        <row r="1113">
          <cell r="G1113">
            <v>0.01</v>
          </cell>
        </row>
        <row r="1114">
          <cell r="G1114">
            <v>0.01</v>
          </cell>
        </row>
        <row r="1115">
          <cell r="G1115">
            <v>0.01</v>
          </cell>
        </row>
        <row r="1116">
          <cell r="G1116">
            <v>0.01</v>
          </cell>
        </row>
        <row r="1117">
          <cell r="G1117">
            <v>0.01</v>
          </cell>
        </row>
        <row r="1118">
          <cell r="G1118">
            <v>0.01</v>
          </cell>
        </row>
        <row r="1119">
          <cell r="G1119">
            <v>0.01</v>
          </cell>
        </row>
        <row r="1120">
          <cell r="G1120">
            <v>0.02</v>
          </cell>
        </row>
        <row r="1121">
          <cell r="G1121">
            <v>0.02</v>
          </cell>
        </row>
        <row r="1122">
          <cell r="G1122">
            <v>0.02</v>
          </cell>
        </row>
        <row r="1123">
          <cell r="G1123">
            <v>0.02</v>
          </cell>
        </row>
        <row r="1124">
          <cell r="G1124">
            <v>0.01</v>
          </cell>
        </row>
        <row r="1125">
          <cell r="G1125">
            <v>0.01</v>
          </cell>
        </row>
        <row r="1126">
          <cell r="G1126">
            <v>0.02</v>
          </cell>
        </row>
        <row r="1127">
          <cell r="G1127">
            <v>0.02</v>
          </cell>
        </row>
        <row r="1128">
          <cell r="G1128">
            <v>0.01</v>
          </cell>
        </row>
        <row r="1129">
          <cell r="G1129">
            <v>0.01</v>
          </cell>
        </row>
        <row r="1130">
          <cell r="G1130">
            <v>0.02</v>
          </cell>
        </row>
        <row r="1131">
          <cell r="G1131">
            <v>0.02</v>
          </cell>
        </row>
        <row r="1132">
          <cell r="G1132">
            <v>0.01</v>
          </cell>
        </row>
        <row r="1133">
          <cell r="G1133">
            <v>0.01</v>
          </cell>
        </row>
        <row r="1134">
          <cell r="G1134">
            <v>0.01</v>
          </cell>
        </row>
        <row r="1135">
          <cell r="G1135">
            <v>0.01</v>
          </cell>
        </row>
        <row r="1136">
          <cell r="G1136">
            <v>0.01</v>
          </cell>
        </row>
        <row r="1137">
          <cell r="G1137">
            <v>0.01</v>
          </cell>
        </row>
        <row r="1138">
          <cell r="G1138">
            <v>0.05</v>
          </cell>
        </row>
        <row r="1139">
          <cell r="G1139">
            <v>0.05</v>
          </cell>
        </row>
        <row r="1140">
          <cell r="G1140">
            <v>0.01</v>
          </cell>
        </row>
        <row r="1141">
          <cell r="G1141">
            <v>0.01</v>
          </cell>
        </row>
        <row r="1142">
          <cell r="G1142">
            <v>0.01</v>
          </cell>
        </row>
        <row r="1143">
          <cell r="G1143">
            <v>0.01</v>
          </cell>
        </row>
        <row r="1144">
          <cell r="G1144">
            <v>0.01</v>
          </cell>
        </row>
        <row r="1145">
          <cell r="G1145">
            <v>0.01</v>
          </cell>
        </row>
        <row r="1146">
          <cell r="G1146">
            <v>0.02</v>
          </cell>
        </row>
        <row r="1147">
          <cell r="G1147">
            <v>0.03</v>
          </cell>
        </row>
        <row r="1148">
          <cell r="G1148">
            <v>0.03</v>
          </cell>
        </row>
        <row r="1149">
          <cell r="G1149">
            <v>0.03</v>
          </cell>
        </row>
        <row r="1150">
          <cell r="G1150">
            <v>0.01</v>
          </cell>
        </row>
        <row r="1151">
          <cell r="G1151">
            <v>0.03</v>
          </cell>
        </row>
        <row r="1152">
          <cell r="G1152">
            <v>0.03</v>
          </cell>
        </row>
        <row r="1153">
          <cell r="G1153">
            <v>0.03</v>
          </cell>
        </row>
        <row r="1154">
          <cell r="G1154">
            <v>0.01</v>
          </cell>
        </row>
        <row r="1155">
          <cell r="G1155">
            <v>0.01</v>
          </cell>
        </row>
        <row r="1156">
          <cell r="G1156">
            <v>0.01</v>
          </cell>
        </row>
        <row r="1157">
          <cell r="G1157">
            <v>0.01</v>
          </cell>
        </row>
        <row r="1158">
          <cell r="G1158">
            <v>0.02</v>
          </cell>
        </row>
        <row r="1159">
          <cell r="G1159">
            <v>0.01</v>
          </cell>
        </row>
        <row r="1160">
          <cell r="G1160">
            <v>0.01</v>
          </cell>
        </row>
        <row r="1161">
          <cell r="G1161">
            <v>0.02</v>
          </cell>
        </row>
        <row r="1162">
          <cell r="G1162">
            <v>0.03</v>
          </cell>
        </row>
        <row r="1163">
          <cell r="G1163">
            <v>0.03</v>
          </cell>
        </row>
        <row r="1164">
          <cell r="G1164">
            <v>0.03</v>
          </cell>
        </row>
        <row r="1165">
          <cell r="G1165">
            <v>0.03</v>
          </cell>
        </row>
        <row r="1166">
          <cell r="G1166">
            <v>0.03</v>
          </cell>
        </row>
        <row r="1167">
          <cell r="G1167">
            <v>0.03</v>
          </cell>
        </row>
        <row r="1168">
          <cell r="G1168">
            <v>0.03</v>
          </cell>
        </row>
        <row r="1169">
          <cell r="G1169">
            <v>0.03</v>
          </cell>
        </row>
        <row r="1170">
          <cell r="G1170">
            <v>0.01</v>
          </cell>
        </row>
        <row r="1171">
          <cell r="G1171">
            <v>0.01</v>
          </cell>
        </row>
        <row r="1172">
          <cell r="G1172">
            <v>0.01</v>
          </cell>
        </row>
        <row r="1173">
          <cell r="G1173">
            <v>0.01</v>
          </cell>
        </row>
        <row r="1174">
          <cell r="G1174">
            <v>0.01</v>
          </cell>
        </row>
        <row r="1175">
          <cell r="G1175">
            <v>0.01</v>
          </cell>
        </row>
        <row r="1176">
          <cell r="G1176">
            <v>0.01</v>
          </cell>
        </row>
        <row r="1177">
          <cell r="G1177">
            <v>0.02</v>
          </cell>
        </row>
        <row r="1178">
          <cell r="G1178">
            <v>0.01</v>
          </cell>
        </row>
        <row r="1179">
          <cell r="G1179">
            <v>0.01</v>
          </cell>
        </row>
        <row r="1180">
          <cell r="G1180">
            <v>0.02</v>
          </cell>
        </row>
        <row r="1181">
          <cell r="G1181">
            <v>0.01</v>
          </cell>
        </row>
        <row r="1182">
          <cell r="G1182">
            <v>0.02</v>
          </cell>
        </row>
        <row r="1183">
          <cell r="G1183">
            <v>0.03</v>
          </cell>
        </row>
        <row r="1184">
          <cell r="G1184">
            <v>0.01</v>
          </cell>
        </row>
        <row r="1185">
          <cell r="G1185">
            <v>0.01</v>
          </cell>
        </row>
        <row r="1186">
          <cell r="G1186">
            <v>0.01</v>
          </cell>
        </row>
        <row r="1187">
          <cell r="G1187">
            <v>0.01</v>
          </cell>
        </row>
        <row r="1188">
          <cell r="G1188">
            <v>0.01</v>
          </cell>
        </row>
        <row r="1189">
          <cell r="G1189">
            <v>0.01</v>
          </cell>
        </row>
        <row r="1190">
          <cell r="G1190">
            <v>0.01</v>
          </cell>
        </row>
        <row r="1191">
          <cell r="G1191">
            <v>0.01</v>
          </cell>
        </row>
        <row r="1192">
          <cell r="G1192">
            <v>0.02</v>
          </cell>
        </row>
        <row r="1193">
          <cell r="G1193">
            <v>0.02</v>
          </cell>
        </row>
        <row r="1194">
          <cell r="G1194">
            <v>0.02</v>
          </cell>
        </row>
        <row r="1195">
          <cell r="G1195">
            <v>0.04</v>
          </cell>
        </row>
        <row r="1196">
          <cell r="G1196">
            <v>0.04</v>
          </cell>
        </row>
        <row r="1197">
          <cell r="G1197">
            <v>0.04</v>
          </cell>
        </row>
        <row r="1198">
          <cell r="G1198">
            <v>0.01</v>
          </cell>
        </row>
        <row r="1199">
          <cell r="G1199">
            <v>0.01</v>
          </cell>
        </row>
        <row r="1200">
          <cell r="G1200">
            <v>0.02</v>
          </cell>
        </row>
        <row r="1201">
          <cell r="G1201">
            <v>0.02</v>
          </cell>
        </row>
        <row r="1202">
          <cell r="G1202">
            <v>0.04</v>
          </cell>
        </row>
        <row r="1203">
          <cell r="G1203">
            <v>0.04</v>
          </cell>
        </row>
        <row r="1207">
          <cell r="G1207">
            <v>0.01</v>
          </cell>
        </row>
        <row r="1209">
          <cell r="G1209">
            <v>0.01</v>
          </cell>
        </row>
        <row r="1210">
          <cell r="G1210">
            <v>0.01</v>
          </cell>
        </row>
        <row r="1212">
          <cell r="G1212">
            <v>0.01</v>
          </cell>
        </row>
        <row r="1213">
          <cell r="G1213">
            <v>0.01</v>
          </cell>
        </row>
        <row r="1214">
          <cell r="G1214">
            <v>0.01</v>
          </cell>
        </row>
        <row r="1215">
          <cell r="G1215">
            <v>0.02</v>
          </cell>
        </row>
        <row r="1216">
          <cell r="G1216">
            <v>0.02</v>
          </cell>
        </row>
        <row r="1228">
          <cell r="G1228">
            <v>0.01</v>
          </cell>
        </row>
        <row r="1240">
          <cell r="G1240">
            <v>0.02</v>
          </cell>
        </row>
        <row r="1241">
          <cell r="G1241">
            <v>0.02</v>
          </cell>
        </row>
        <row r="1244">
          <cell r="G1244">
            <v>0.01</v>
          </cell>
        </row>
        <row r="1245">
          <cell r="G1245">
            <v>0.01</v>
          </cell>
        </row>
        <row r="1246">
          <cell r="G1246">
            <v>0.01</v>
          </cell>
        </row>
        <row r="1247">
          <cell r="G1247">
            <v>0.01</v>
          </cell>
        </row>
        <row r="1248">
          <cell r="G1248">
            <v>0.05</v>
          </cell>
        </row>
        <row r="1249">
          <cell r="G1249">
            <v>0.05</v>
          </cell>
        </row>
        <row r="1250">
          <cell r="G1250">
            <v>0.01</v>
          </cell>
        </row>
        <row r="1251">
          <cell r="G1251">
            <v>0.01</v>
          </cell>
        </row>
        <row r="1252">
          <cell r="G1252">
            <v>0.01</v>
          </cell>
        </row>
        <row r="1253">
          <cell r="G1253">
            <v>0.01</v>
          </cell>
        </row>
        <row r="1267">
          <cell r="G1267">
            <v>0.01</v>
          </cell>
        </row>
        <row r="1268">
          <cell r="G1268">
            <v>0.01</v>
          </cell>
        </row>
        <row r="1271">
          <cell r="G1271">
            <v>0.01</v>
          </cell>
        </row>
        <row r="1281">
          <cell r="G1281">
            <v>0.01</v>
          </cell>
        </row>
        <row r="1282">
          <cell r="G1282">
            <v>0.01</v>
          </cell>
        </row>
        <row r="1283">
          <cell r="G1283">
            <v>0.01</v>
          </cell>
        </row>
        <row r="1317">
          <cell r="G1317">
            <v>0.02</v>
          </cell>
        </row>
        <row r="1318">
          <cell r="G1318">
            <v>0.03</v>
          </cell>
        </row>
        <row r="1319">
          <cell r="G1319">
            <v>0.03</v>
          </cell>
        </row>
        <row r="1320">
          <cell r="G1320">
            <v>0.03</v>
          </cell>
        </row>
        <row r="1322">
          <cell r="G1322">
            <v>0.03</v>
          </cell>
        </row>
        <row r="1323">
          <cell r="G1323">
            <v>0.03</v>
          </cell>
        </row>
        <row r="1324">
          <cell r="G1324">
            <v>0.03</v>
          </cell>
        </row>
        <row r="1326">
          <cell r="G1326">
            <v>0.01</v>
          </cell>
        </row>
        <row r="1327">
          <cell r="G1327">
            <v>0.01</v>
          </cell>
        </row>
        <row r="1328">
          <cell r="G1328">
            <v>0.01</v>
          </cell>
        </row>
        <row r="1329">
          <cell r="G1329">
            <v>0.02</v>
          </cell>
        </row>
        <row r="1330">
          <cell r="G1330">
            <v>0.01</v>
          </cell>
        </row>
        <row r="1331">
          <cell r="G1331">
            <v>0.01</v>
          </cell>
        </row>
        <row r="1332">
          <cell r="G1332">
            <v>0.02</v>
          </cell>
        </row>
        <row r="1333">
          <cell r="G1333">
            <v>0.03</v>
          </cell>
        </row>
        <row r="1334">
          <cell r="G1334">
            <v>0.03</v>
          </cell>
        </row>
        <row r="1335">
          <cell r="G1335">
            <v>0.03</v>
          </cell>
        </row>
        <row r="1336">
          <cell r="G1336">
            <v>0.03</v>
          </cell>
        </row>
        <row r="1337">
          <cell r="G1337">
            <v>0.03</v>
          </cell>
        </row>
        <row r="1338">
          <cell r="G1338">
            <v>0.03</v>
          </cell>
        </row>
        <row r="1339">
          <cell r="G1339">
            <v>0.03</v>
          </cell>
        </row>
        <row r="1340">
          <cell r="G1340">
            <v>0.03</v>
          </cell>
        </row>
        <row r="1346">
          <cell r="G1346">
            <v>0.01</v>
          </cell>
        </row>
        <row r="1347">
          <cell r="G1347">
            <v>0.01</v>
          </cell>
        </row>
        <row r="1348">
          <cell r="G1348">
            <v>0.02</v>
          </cell>
        </row>
        <row r="1349">
          <cell r="G1349">
            <v>0.01</v>
          </cell>
        </row>
        <row r="1350">
          <cell r="G1350">
            <v>0.01</v>
          </cell>
        </row>
        <row r="1351">
          <cell r="G1351">
            <v>0.02</v>
          </cell>
        </row>
        <row r="1352">
          <cell r="G1352">
            <v>0.01</v>
          </cell>
        </row>
        <row r="1353">
          <cell r="G1353">
            <v>0.02</v>
          </cell>
        </row>
        <row r="1354">
          <cell r="G1354">
            <v>0.03</v>
          </cell>
        </row>
        <row r="1355">
          <cell r="G1355">
            <v>0.01</v>
          </cell>
        </row>
        <row r="1360">
          <cell r="G1360">
            <v>0.01</v>
          </cell>
        </row>
        <row r="1361">
          <cell r="G1361">
            <v>0.01</v>
          </cell>
        </row>
        <row r="1363">
          <cell r="G1363">
            <v>0.02</v>
          </cell>
        </row>
        <row r="1364">
          <cell r="G1364">
            <v>0.02</v>
          </cell>
        </row>
        <row r="1365">
          <cell r="G1365">
            <v>0.02</v>
          </cell>
        </row>
        <row r="1366">
          <cell r="G1366">
            <v>0.04</v>
          </cell>
        </row>
        <row r="1367">
          <cell r="G1367">
            <v>0.04</v>
          </cell>
        </row>
        <row r="1369">
          <cell r="G1369">
            <v>0.01</v>
          </cell>
        </row>
        <row r="1370">
          <cell r="G1370">
            <v>0.01</v>
          </cell>
        </row>
        <row r="1371">
          <cell r="G1371">
            <v>0.02</v>
          </cell>
        </row>
        <row r="1372">
          <cell r="G1372">
            <v>0.02</v>
          </cell>
        </row>
        <row r="1373">
          <cell r="G1373">
            <v>0.04</v>
          </cell>
        </row>
        <row r="1374">
          <cell r="G1374">
            <v>0.04</v>
          </cell>
        </row>
        <row r="1375">
          <cell r="G1375">
            <v>0.16</v>
          </cell>
        </row>
        <row r="1376">
          <cell r="G1376">
            <v>0.18</v>
          </cell>
        </row>
        <row r="1377">
          <cell r="G1377">
            <v>0.22</v>
          </cell>
        </row>
        <row r="1378">
          <cell r="G1378">
            <v>0.16</v>
          </cell>
        </row>
        <row r="1379">
          <cell r="G1379">
            <v>0.22</v>
          </cell>
        </row>
        <row r="1380">
          <cell r="G1380">
            <v>0.16</v>
          </cell>
        </row>
        <row r="1381">
          <cell r="G1381">
            <v>0.41</v>
          </cell>
        </row>
        <row r="1382">
          <cell r="G1382">
            <v>0.41</v>
          </cell>
        </row>
        <row r="1383">
          <cell r="G1383">
            <v>0.16</v>
          </cell>
        </row>
        <row r="1384">
          <cell r="G1384">
            <v>0.27</v>
          </cell>
        </row>
        <row r="1385">
          <cell r="G1385">
            <v>0.28999999999999998</v>
          </cell>
        </row>
        <row r="1386">
          <cell r="G1386">
            <v>0.27</v>
          </cell>
        </row>
        <row r="1387">
          <cell r="G1387">
            <v>0.24</v>
          </cell>
        </row>
        <row r="1388">
          <cell r="G1388">
            <v>0.26</v>
          </cell>
        </row>
        <row r="1389">
          <cell r="G1389">
            <v>0.24</v>
          </cell>
        </row>
        <row r="1390">
          <cell r="G1390">
            <v>0.9</v>
          </cell>
        </row>
        <row r="1391">
          <cell r="G1391">
            <v>0.9</v>
          </cell>
        </row>
        <row r="1392">
          <cell r="G1392">
            <v>0.26</v>
          </cell>
        </row>
        <row r="1393">
          <cell r="G1393">
            <v>0.27</v>
          </cell>
        </row>
        <row r="1394">
          <cell r="G1394">
            <v>0.26</v>
          </cell>
        </row>
        <row r="1395">
          <cell r="G1395">
            <v>0.27</v>
          </cell>
        </row>
        <row r="1396">
          <cell r="G1396">
            <v>0.18</v>
          </cell>
        </row>
        <row r="1397">
          <cell r="G1397">
            <v>0.22</v>
          </cell>
        </row>
        <row r="1398">
          <cell r="G1398">
            <v>0.16</v>
          </cell>
        </row>
        <row r="1399">
          <cell r="G1399">
            <v>0.22</v>
          </cell>
        </row>
        <row r="1400">
          <cell r="G1400">
            <v>0.19</v>
          </cell>
        </row>
        <row r="1401">
          <cell r="G1401">
            <v>0.14000000000000001</v>
          </cell>
        </row>
        <row r="1402">
          <cell r="G1402">
            <v>0.37</v>
          </cell>
        </row>
        <row r="1403">
          <cell r="G1403">
            <v>0.27</v>
          </cell>
        </row>
        <row r="1404">
          <cell r="G1404">
            <v>0.26</v>
          </cell>
        </row>
        <row r="1405">
          <cell r="G1405">
            <v>0.27</v>
          </cell>
        </row>
        <row r="1406">
          <cell r="G1406">
            <v>0.26</v>
          </cell>
        </row>
        <row r="1407">
          <cell r="G1407">
            <v>0.27</v>
          </cell>
        </row>
        <row r="1408">
          <cell r="G1408">
            <v>0.27</v>
          </cell>
        </row>
        <row r="1409">
          <cell r="G1409">
            <v>0.37</v>
          </cell>
        </row>
        <row r="1410">
          <cell r="G1410">
            <v>0.24</v>
          </cell>
        </row>
        <row r="1411">
          <cell r="G1411">
            <v>0.27</v>
          </cell>
        </row>
        <row r="1412">
          <cell r="G1412">
            <v>0.28999999999999998</v>
          </cell>
        </row>
        <row r="1413">
          <cell r="G1413">
            <v>0.24</v>
          </cell>
        </row>
        <row r="1414">
          <cell r="G1414">
            <v>0.27</v>
          </cell>
        </row>
        <row r="1415">
          <cell r="G1415">
            <v>0.28999999999999998</v>
          </cell>
        </row>
        <row r="1416">
          <cell r="G1416">
            <v>0.26</v>
          </cell>
        </row>
        <row r="1417">
          <cell r="G1417">
            <v>0.26</v>
          </cell>
        </row>
        <row r="1418">
          <cell r="G1418">
            <v>0.27</v>
          </cell>
        </row>
        <row r="1419">
          <cell r="G1419">
            <v>0.27</v>
          </cell>
        </row>
        <row r="1420">
          <cell r="G1420">
            <v>0.26</v>
          </cell>
        </row>
        <row r="1421">
          <cell r="G1421">
            <v>0.26</v>
          </cell>
        </row>
        <row r="1422">
          <cell r="G1422">
            <v>0.27</v>
          </cell>
        </row>
        <row r="1423">
          <cell r="G1423">
            <v>0.27</v>
          </cell>
        </row>
        <row r="1424">
          <cell r="G1424">
            <v>0.24</v>
          </cell>
        </row>
        <row r="1425">
          <cell r="G1425">
            <v>0.27</v>
          </cell>
        </row>
        <row r="1426">
          <cell r="G1426">
            <v>0.28999999999999998</v>
          </cell>
        </row>
        <row r="1427">
          <cell r="G1427">
            <v>0.24</v>
          </cell>
        </row>
        <row r="1428">
          <cell r="G1428">
            <v>0.27</v>
          </cell>
        </row>
        <row r="1429">
          <cell r="G1429">
            <v>0.28999999999999998</v>
          </cell>
        </row>
        <row r="1430">
          <cell r="G1430">
            <v>0.24</v>
          </cell>
        </row>
        <row r="1431">
          <cell r="G1431">
            <v>0.28999999999999998</v>
          </cell>
        </row>
        <row r="1432">
          <cell r="G1432">
            <v>0.27</v>
          </cell>
        </row>
        <row r="1433">
          <cell r="G1433">
            <v>0.16</v>
          </cell>
        </row>
        <row r="1434">
          <cell r="G1434">
            <v>0.27</v>
          </cell>
        </row>
        <row r="1435">
          <cell r="G1435">
            <v>0.27</v>
          </cell>
        </row>
        <row r="1436">
          <cell r="G1436">
            <v>0.3</v>
          </cell>
        </row>
        <row r="1437">
          <cell r="G1437">
            <v>0.3</v>
          </cell>
        </row>
        <row r="1438">
          <cell r="G1438">
            <v>0.3</v>
          </cell>
        </row>
        <row r="1439">
          <cell r="G1439">
            <v>0.61</v>
          </cell>
        </row>
        <row r="1440">
          <cell r="G1440">
            <v>0.61</v>
          </cell>
        </row>
        <row r="1441">
          <cell r="G1441">
            <v>0.27</v>
          </cell>
        </row>
        <row r="1442">
          <cell r="G1442">
            <v>0.27</v>
          </cell>
        </row>
        <row r="1443">
          <cell r="G1443">
            <v>0.3</v>
          </cell>
        </row>
        <row r="1444">
          <cell r="G1444">
            <v>0.3</v>
          </cell>
        </row>
        <row r="1445">
          <cell r="G1445">
            <v>0.61</v>
          </cell>
        </row>
        <row r="1446">
          <cell r="G1446">
            <v>0.61</v>
          </cell>
        </row>
      </sheetData>
      <sheetData sheetId="16" refreshError="1"/>
      <sheetData sheetId="17">
        <row r="3">
          <cell r="B3" t="str">
            <v>JAN 2016</v>
          </cell>
        </row>
      </sheetData>
      <sheetData sheetId="18">
        <row r="3">
          <cell r="A3" t="str">
            <v>JAN 2016</v>
          </cell>
        </row>
      </sheetData>
      <sheetData sheetId="19">
        <row r="3">
          <cell r="A3" t="str">
            <v>JAN 2016</v>
          </cell>
        </row>
      </sheetData>
      <sheetData sheetId="20">
        <row r="2">
          <cell r="B2" t="str">
            <v>Rate Category</v>
          </cell>
          <cell r="F2" t="str">
            <v>$</v>
          </cell>
          <cell r="S2" t="str">
            <v>$</v>
          </cell>
        </row>
        <row r="3">
          <cell r="F3" t="str">
            <v>Customer  Charge</v>
          </cell>
        </row>
        <row r="4">
          <cell r="F4" t="str">
            <v>$</v>
          </cell>
        </row>
        <row r="5">
          <cell r="S5">
            <v>0</v>
          </cell>
        </row>
        <row r="6">
          <cell r="S6">
            <v>0</v>
          </cell>
        </row>
        <row r="7">
          <cell r="F7">
            <v>0</v>
          </cell>
          <cell r="S7">
            <v>1560294</v>
          </cell>
        </row>
        <row r="8">
          <cell r="F8">
            <v>0</v>
          </cell>
          <cell r="S8">
            <v>0</v>
          </cell>
        </row>
        <row r="9">
          <cell r="F9">
            <v>0</v>
          </cell>
          <cell r="S9">
            <v>0</v>
          </cell>
        </row>
        <row r="10">
          <cell r="F10">
            <v>0</v>
          </cell>
          <cell r="S10">
            <v>0</v>
          </cell>
        </row>
        <row r="11">
          <cell r="F11">
            <v>564405</v>
          </cell>
          <cell r="S11">
            <v>2920246</v>
          </cell>
        </row>
        <row r="12">
          <cell r="F12">
            <v>0</v>
          </cell>
          <cell r="S12">
            <v>0</v>
          </cell>
        </row>
        <row r="13">
          <cell r="F13">
            <v>0</v>
          </cell>
          <cell r="S13">
            <v>0</v>
          </cell>
        </row>
        <row r="14">
          <cell r="F14">
            <v>0</v>
          </cell>
          <cell r="S14">
            <v>0</v>
          </cell>
        </row>
        <row r="15">
          <cell r="F15">
            <v>232650</v>
          </cell>
          <cell r="S15">
            <v>5457176</v>
          </cell>
        </row>
        <row r="16">
          <cell r="F16">
            <v>8840</v>
          </cell>
          <cell r="S16">
            <v>452570</v>
          </cell>
        </row>
        <row r="17">
          <cell r="F17">
            <v>0</v>
          </cell>
          <cell r="S17">
            <v>0</v>
          </cell>
        </row>
        <row r="18">
          <cell r="F18">
            <v>44400</v>
          </cell>
          <cell r="S18">
            <v>2321398</v>
          </cell>
        </row>
        <row r="19">
          <cell r="F19">
            <v>12000</v>
          </cell>
          <cell r="S19">
            <v>1098926</v>
          </cell>
        </row>
        <row r="20">
          <cell r="F20">
            <v>573501</v>
          </cell>
          <cell r="S20">
            <v>7450089</v>
          </cell>
        </row>
        <row r="21">
          <cell r="F21">
            <v>0</v>
          </cell>
          <cell r="S21">
            <v>0</v>
          </cell>
        </row>
        <row r="22">
          <cell r="F22">
            <v>0</v>
          </cell>
          <cell r="S22">
            <v>0</v>
          </cell>
        </row>
        <row r="23">
          <cell r="F23">
            <v>0</v>
          </cell>
          <cell r="S23">
            <v>203568</v>
          </cell>
        </row>
        <row r="24">
          <cell r="F24">
            <v>0</v>
          </cell>
          <cell r="S24">
            <v>0</v>
          </cell>
        </row>
        <row r="25">
          <cell r="F25">
            <v>0</v>
          </cell>
          <cell r="S25">
            <v>0</v>
          </cell>
        </row>
        <row r="26">
          <cell r="F26">
            <v>0</v>
          </cell>
          <cell r="S26">
            <v>0</v>
          </cell>
        </row>
        <row r="27">
          <cell r="F27">
            <v>0</v>
          </cell>
          <cell r="S27">
            <v>410483</v>
          </cell>
        </row>
        <row r="28">
          <cell r="F28">
            <v>9000</v>
          </cell>
          <cell r="S28">
            <v>2488118</v>
          </cell>
        </row>
        <row r="29">
          <cell r="F29">
            <v>19170</v>
          </cell>
          <cell r="S29">
            <v>741936</v>
          </cell>
        </row>
        <row r="30">
          <cell r="F30">
            <v>3570</v>
          </cell>
          <cell r="S30">
            <v>40607</v>
          </cell>
        </row>
        <row r="31">
          <cell r="F31">
            <v>19800</v>
          </cell>
          <cell r="S31">
            <v>799602</v>
          </cell>
        </row>
        <row r="32">
          <cell r="F32">
            <v>21000</v>
          </cell>
          <cell r="S32">
            <v>4614500</v>
          </cell>
        </row>
        <row r="33">
          <cell r="F33">
            <v>0</v>
          </cell>
          <cell r="S33">
            <v>0</v>
          </cell>
        </row>
        <row r="34">
          <cell r="F34">
            <v>0</v>
          </cell>
          <cell r="S34">
            <v>0</v>
          </cell>
        </row>
        <row r="35">
          <cell r="F35">
            <v>0</v>
          </cell>
          <cell r="S35">
            <v>0</v>
          </cell>
        </row>
        <row r="36">
          <cell r="F36">
            <v>0</v>
          </cell>
          <cell r="S36">
            <v>0</v>
          </cell>
        </row>
        <row r="37">
          <cell r="F37">
            <v>0</v>
          </cell>
          <cell r="S37">
            <v>0</v>
          </cell>
        </row>
        <row r="38">
          <cell r="F38">
            <v>0</v>
          </cell>
          <cell r="S38">
            <v>0</v>
          </cell>
        </row>
        <row r="39">
          <cell r="F39">
            <v>0</v>
          </cell>
          <cell r="S39">
            <v>0</v>
          </cell>
        </row>
        <row r="40">
          <cell r="F40">
            <v>3887469</v>
          </cell>
          <cell r="S40">
            <v>30297045</v>
          </cell>
        </row>
        <row r="41">
          <cell r="F41">
            <v>0</v>
          </cell>
          <cell r="S41">
            <v>0</v>
          </cell>
        </row>
        <row r="42">
          <cell r="F42">
            <v>0</v>
          </cell>
          <cell r="S42">
            <v>0</v>
          </cell>
        </row>
        <row r="43">
          <cell r="F43">
            <v>0</v>
          </cell>
          <cell r="S43">
            <v>0</v>
          </cell>
        </row>
        <row r="44">
          <cell r="F44">
            <v>0</v>
          </cell>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0</v>
          </cell>
        </row>
        <row r="55">
          <cell r="S55">
            <v>0</v>
          </cell>
        </row>
        <row r="56">
          <cell r="S56">
            <v>0</v>
          </cell>
        </row>
        <row r="57">
          <cell r="S57">
            <v>0</v>
          </cell>
        </row>
        <row r="58">
          <cell r="S58">
            <v>0</v>
          </cell>
        </row>
        <row r="59">
          <cell r="S59">
            <v>0</v>
          </cell>
        </row>
        <row r="60">
          <cell r="S60">
            <v>0</v>
          </cell>
        </row>
        <row r="61">
          <cell r="S61">
            <v>0</v>
          </cell>
        </row>
        <row r="62">
          <cell r="S62">
            <v>0</v>
          </cell>
        </row>
        <row r="63">
          <cell r="S63">
            <v>0</v>
          </cell>
        </row>
        <row r="64">
          <cell r="S64">
            <v>0</v>
          </cell>
        </row>
        <row r="65">
          <cell r="S65">
            <v>0</v>
          </cell>
        </row>
        <row r="66">
          <cell r="S66">
            <v>0</v>
          </cell>
        </row>
        <row r="67">
          <cell r="S67">
            <v>0</v>
          </cell>
        </row>
        <row r="68">
          <cell r="S68">
            <v>0</v>
          </cell>
        </row>
        <row r="69">
          <cell r="S69">
            <v>0</v>
          </cell>
        </row>
        <row r="70">
          <cell r="S70">
            <v>0</v>
          </cell>
        </row>
        <row r="71">
          <cell r="S71">
            <v>0</v>
          </cell>
        </row>
        <row r="72">
          <cell r="S72">
            <v>0</v>
          </cell>
        </row>
        <row r="73">
          <cell r="S73">
            <v>0</v>
          </cell>
        </row>
        <row r="74">
          <cell r="S74">
            <v>0</v>
          </cell>
        </row>
        <row r="75">
          <cell r="S75">
            <v>0</v>
          </cell>
        </row>
        <row r="76">
          <cell r="S76">
            <v>0</v>
          </cell>
        </row>
        <row r="77">
          <cell r="S77">
            <v>0</v>
          </cell>
        </row>
        <row r="78">
          <cell r="S78">
            <v>0</v>
          </cell>
        </row>
        <row r="79">
          <cell r="S79">
            <v>0</v>
          </cell>
        </row>
        <row r="80">
          <cell r="S80">
            <v>0</v>
          </cell>
        </row>
        <row r="81">
          <cell r="S81">
            <v>0</v>
          </cell>
        </row>
        <row r="82">
          <cell r="S82">
            <v>0</v>
          </cell>
        </row>
        <row r="83">
          <cell r="S83">
            <v>0</v>
          </cell>
        </row>
        <row r="84">
          <cell r="S84">
            <v>0</v>
          </cell>
        </row>
        <row r="85">
          <cell r="S85">
            <v>0</v>
          </cell>
        </row>
        <row r="86">
          <cell r="S86">
            <v>0</v>
          </cell>
        </row>
        <row r="87">
          <cell r="S87">
            <v>0</v>
          </cell>
        </row>
        <row r="88">
          <cell r="S88">
            <v>0</v>
          </cell>
        </row>
        <row r="89">
          <cell r="S89">
            <v>0</v>
          </cell>
        </row>
        <row r="90">
          <cell r="S90">
            <v>0</v>
          </cell>
        </row>
        <row r="91">
          <cell r="S91">
            <v>0</v>
          </cell>
        </row>
        <row r="92">
          <cell r="S92">
            <v>0</v>
          </cell>
        </row>
        <row r="93">
          <cell r="S93">
            <v>0</v>
          </cell>
        </row>
        <row r="94">
          <cell r="S94">
            <v>0</v>
          </cell>
        </row>
        <row r="95">
          <cell r="S95">
            <v>0</v>
          </cell>
        </row>
        <row r="96">
          <cell r="S96">
            <v>0</v>
          </cell>
        </row>
        <row r="97">
          <cell r="S97">
            <v>0</v>
          </cell>
        </row>
        <row r="98">
          <cell r="S98">
            <v>0</v>
          </cell>
        </row>
        <row r="99">
          <cell r="S99">
            <v>0</v>
          </cell>
        </row>
        <row r="100">
          <cell r="S100">
            <v>0</v>
          </cell>
        </row>
        <row r="101">
          <cell r="S101">
            <v>0</v>
          </cell>
        </row>
        <row r="102">
          <cell r="S102">
            <v>0</v>
          </cell>
        </row>
        <row r="103">
          <cell r="S103">
            <v>0</v>
          </cell>
        </row>
        <row r="104">
          <cell r="S104">
            <v>0</v>
          </cell>
        </row>
        <row r="105">
          <cell r="S105">
            <v>0</v>
          </cell>
        </row>
        <row r="106">
          <cell r="S106">
            <v>0</v>
          </cell>
        </row>
        <row r="107">
          <cell r="S107">
            <v>0</v>
          </cell>
        </row>
        <row r="108">
          <cell r="S108">
            <v>0</v>
          </cell>
        </row>
        <row r="109">
          <cell r="S109">
            <v>0</v>
          </cell>
        </row>
        <row r="110">
          <cell r="S110">
            <v>0</v>
          </cell>
        </row>
        <row r="111">
          <cell r="S111">
            <v>0</v>
          </cell>
        </row>
        <row r="112">
          <cell r="S112">
            <v>0</v>
          </cell>
        </row>
        <row r="113">
          <cell r="S113">
            <v>0</v>
          </cell>
        </row>
        <row r="114">
          <cell r="S114">
            <v>0</v>
          </cell>
        </row>
        <row r="115">
          <cell r="S115">
            <v>0</v>
          </cell>
        </row>
        <row r="116">
          <cell r="S116">
            <v>0</v>
          </cell>
        </row>
        <row r="117">
          <cell r="S117">
            <v>0</v>
          </cell>
        </row>
        <row r="118">
          <cell r="S118">
            <v>0</v>
          </cell>
        </row>
        <row r="119">
          <cell r="S119">
            <v>0</v>
          </cell>
        </row>
        <row r="120">
          <cell r="S120">
            <v>0</v>
          </cell>
        </row>
        <row r="121">
          <cell r="S121">
            <v>0</v>
          </cell>
        </row>
        <row r="122">
          <cell r="S122">
            <v>0</v>
          </cell>
        </row>
        <row r="123">
          <cell r="F123">
            <v>0</v>
          </cell>
          <cell r="S123">
            <v>1543365</v>
          </cell>
        </row>
        <row r="124">
          <cell r="F124">
            <v>0</v>
          </cell>
          <cell r="S124">
            <v>0</v>
          </cell>
        </row>
        <row r="125">
          <cell r="F125">
            <v>0</v>
          </cell>
          <cell r="S125">
            <v>0</v>
          </cell>
        </row>
        <row r="126">
          <cell r="F126">
            <v>0</v>
          </cell>
          <cell r="S126">
            <v>0</v>
          </cell>
        </row>
        <row r="127">
          <cell r="F127">
            <v>564620</v>
          </cell>
          <cell r="S127">
            <v>2612940</v>
          </cell>
        </row>
        <row r="128">
          <cell r="F128">
            <v>0</v>
          </cell>
          <cell r="S128">
            <v>0</v>
          </cell>
        </row>
        <row r="129">
          <cell r="F129">
            <v>0</v>
          </cell>
          <cell r="S129">
            <v>0</v>
          </cell>
        </row>
        <row r="130">
          <cell r="F130">
            <v>0</v>
          </cell>
          <cell r="S130">
            <v>0</v>
          </cell>
        </row>
        <row r="131">
          <cell r="F131">
            <v>232650</v>
          </cell>
          <cell r="S131">
            <v>5173368</v>
          </cell>
        </row>
        <row r="132">
          <cell r="F132">
            <v>8840</v>
          </cell>
          <cell r="S132">
            <v>397612</v>
          </cell>
        </row>
        <row r="133">
          <cell r="F133">
            <v>0</v>
          </cell>
          <cell r="S133">
            <v>0</v>
          </cell>
        </row>
        <row r="134">
          <cell r="F134">
            <v>44600</v>
          </cell>
          <cell r="S134">
            <v>2218004</v>
          </cell>
        </row>
        <row r="135">
          <cell r="F135">
            <v>12000</v>
          </cell>
          <cell r="S135">
            <v>974481</v>
          </cell>
        </row>
        <row r="136">
          <cell r="F136">
            <v>573720</v>
          </cell>
          <cell r="S136">
            <v>6659876</v>
          </cell>
        </row>
        <row r="137">
          <cell r="F137">
            <v>0</v>
          </cell>
          <cell r="S137">
            <v>0</v>
          </cell>
        </row>
        <row r="138">
          <cell r="F138">
            <v>0</v>
          </cell>
          <cell r="S138">
            <v>0</v>
          </cell>
        </row>
        <row r="139">
          <cell r="F139">
            <v>0</v>
          </cell>
          <cell r="S139">
            <v>175653</v>
          </cell>
        </row>
        <row r="140">
          <cell r="F140">
            <v>0</v>
          </cell>
          <cell r="S140">
            <v>0</v>
          </cell>
        </row>
        <row r="141">
          <cell r="F141">
            <v>0</v>
          </cell>
          <cell r="S141">
            <v>0</v>
          </cell>
        </row>
        <row r="142">
          <cell r="F142">
            <v>0</v>
          </cell>
          <cell r="S142">
            <v>0</v>
          </cell>
        </row>
        <row r="143">
          <cell r="F143">
            <v>0</v>
          </cell>
          <cell r="S143">
            <v>356141</v>
          </cell>
        </row>
        <row r="144">
          <cell r="F144">
            <v>9000</v>
          </cell>
          <cell r="S144">
            <v>2030809</v>
          </cell>
        </row>
        <row r="145">
          <cell r="F145">
            <v>19170</v>
          </cell>
          <cell r="S145">
            <v>699539</v>
          </cell>
        </row>
        <row r="146">
          <cell r="F146">
            <v>3570</v>
          </cell>
          <cell r="S146">
            <v>37844</v>
          </cell>
        </row>
        <row r="147">
          <cell r="F147">
            <v>20000</v>
          </cell>
          <cell r="S147">
            <v>789276</v>
          </cell>
        </row>
        <row r="148">
          <cell r="F148">
            <v>21300</v>
          </cell>
          <cell r="S148">
            <v>4300458</v>
          </cell>
        </row>
        <row r="149">
          <cell r="F149">
            <v>0</v>
          </cell>
          <cell r="S149">
            <v>0</v>
          </cell>
        </row>
        <row r="150">
          <cell r="F150">
            <v>0</v>
          </cell>
          <cell r="S150">
            <v>0</v>
          </cell>
        </row>
        <row r="151">
          <cell r="F151">
            <v>0</v>
          </cell>
          <cell r="S151">
            <v>0</v>
          </cell>
        </row>
        <row r="152">
          <cell r="F152">
            <v>0</v>
          </cell>
          <cell r="S152">
            <v>0</v>
          </cell>
        </row>
        <row r="153">
          <cell r="F153">
            <v>0</v>
          </cell>
          <cell r="S153">
            <v>0</v>
          </cell>
        </row>
        <row r="154">
          <cell r="F154">
            <v>0</v>
          </cell>
          <cell r="S154">
            <v>0</v>
          </cell>
        </row>
        <row r="155">
          <cell r="F155">
            <v>0</v>
          </cell>
          <cell r="S155">
            <v>0</v>
          </cell>
        </row>
        <row r="156">
          <cell r="F156">
            <v>3889640</v>
          </cell>
          <cell r="S156">
            <v>26515923</v>
          </cell>
        </row>
        <row r="157">
          <cell r="F157">
            <v>0</v>
          </cell>
          <cell r="S157">
            <v>0</v>
          </cell>
        </row>
        <row r="158">
          <cell r="F158">
            <v>0</v>
          </cell>
          <cell r="S158">
            <v>0</v>
          </cell>
        </row>
        <row r="159">
          <cell r="F159">
            <v>0</v>
          </cell>
          <cell r="S159">
            <v>0</v>
          </cell>
        </row>
        <row r="160">
          <cell r="F160">
            <v>0</v>
          </cell>
          <cell r="S160">
            <v>0</v>
          </cell>
        </row>
        <row r="161">
          <cell r="S161">
            <v>0</v>
          </cell>
        </row>
        <row r="162">
          <cell r="S162">
            <v>0</v>
          </cell>
        </row>
        <row r="163">
          <cell r="S163">
            <v>0</v>
          </cell>
        </row>
        <row r="164">
          <cell r="S164">
            <v>0</v>
          </cell>
        </row>
        <row r="165">
          <cell r="S165">
            <v>0</v>
          </cell>
        </row>
        <row r="166">
          <cell r="S166">
            <v>0</v>
          </cell>
        </row>
        <row r="167">
          <cell r="S167">
            <v>0</v>
          </cell>
        </row>
        <row r="168">
          <cell r="S168">
            <v>0</v>
          </cell>
        </row>
        <row r="169">
          <cell r="S169">
            <v>0</v>
          </cell>
        </row>
        <row r="170">
          <cell r="S170">
            <v>0</v>
          </cell>
        </row>
        <row r="171">
          <cell r="S171">
            <v>0</v>
          </cell>
        </row>
        <row r="172">
          <cell r="S172">
            <v>0</v>
          </cell>
        </row>
        <row r="173">
          <cell r="S173">
            <v>0</v>
          </cell>
        </row>
        <row r="174">
          <cell r="S174">
            <v>0</v>
          </cell>
        </row>
        <row r="175">
          <cell r="S175">
            <v>0</v>
          </cell>
        </row>
        <row r="176">
          <cell r="S176">
            <v>0</v>
          </cell>
        </row>
        <row r="177">
          <cell r="S177">
            <v>0</v>
          </cell>
        </row>
        <row r="178">
          <cell r="S178">
            <v>0</v>
          </cell>
        </row>
        <row r="179">
          <cell r="S179">
            <v>0</v>
          </cell>
        </row>
        <row r="180">
          <cell r="S180">
            <v>0</v>
          </cell>
        </row>
        <row r="181">
          <cell r="S181">
            <v>0</v>
          </cell>
        </row>
        <row r="182">
          <cell r="S182">
            <v>0</v>
          </cell>
        </row>
        <row r="183">
          <cell r="S183">
            <v>0</v>
          </cell>
        </row>
        <row r="184">
          <cell r="S184">
            <v>0</v>
          </cell>
        </row>
        <row r="185">
          <cell r="S185">
            <v>0</v>
          </cell>
        </row>
        <row r="186">
          <cell r="S186">
            <v>0</v>
          </cell>
        </row>
        <row r="187">
          <cell r="S187">
            <v>0</v>
          </cell>
        </row>
        <row r="188">
          <cell r="S188">
            <v>0</v>
          </cell>
        </row>
        <row r="189">
          <cell r="S189">
            <v>0</v>
          </cell>
        </row>
        <row r="190">
          <cell r="S190">
            <v>0</v>
          </cell>
        </row>
        <row r="191">
          <cell r="S191">
            <v>0</v>
          </cell>
        </row>
        <row r="192">
          <cell r="S192">
            <v>0</v>
          </cell>
        </row>
        <row r="193">
          <cell r="S193">
            <v>0</v>
          </cell>
        </row>
        <row r="194">
          <cell r="S194">
            <v>0</v>
          </cell>
        </row>
        <row r="195">
          <cell r="S195">
            <v>0</v>
          </cell>
        </row>
        <row r="196">
          <cell r="S196">
            <v>0</v>
          </cell>
        </row>
        <row r="197">
          <cell r="S197">
            <v>0</v>
          </cell>
        </row>
        <row r="198">
          <cell r="S198">
            <v>0</v>
          </cell>
        </row>
        <row r="199">
          <cell r="S199">
            <v>0</v>
          </cell>
        </row>
        <row r="200">
          <cell r="S200">
            <v>0</v>
          </cell>
        </row>
        <row r="201">
          <cell r="S201">
            <v>0</v>
          </cell>
        </row>
        <row r="202">
          <cell r="S202">
            <v>0</v>
          </cell>
        </row>
        <row r="203">
          <cell r="S203">
            <v>0</v>
          </cell>
        </row>
        <row r="204">
          <cell r="S204">
            <v>0</v>
          </cell>
        </row>
        <row r="205">
          <cell r="S205">
            <v>0</v>
          </cell>
        </row>
        <row r="206">
          <cell r="S206">
            <v>0</v>
          </cell>
        </row>
        <row r="207">
          <cell r="S207">
            <v>0</v>
          </cell>
        </row>
        <row r="208">
          <cell r="S208">
            <v>0</v>
          </cell>
        </row>
        <row r="209">
          <cell r="S209">
            <v>0</v>
          </cell>
        </row>
        <row r="210">
          <cell r="S210">
            <v>0</v>
          </cell>
        </row>
        <row r="211">
          <cell r="S211">
            <v>0</v>
          </cell>
        </row>
        <row r="212">
          <cell r="S212">
            <v>0</v>
          </cell>
        </row>
        <row r="213">
          <cell r="S213">
            <v>0</v>
          </cell>
        </row>
        <row r="214">
          <cell r="S214">
            <v>0</v>
          </cell>
        </row>
        <row r="215">
          <cell r="S215">
            <v>0</v>
          </cell>
        </row>
        <row r="216">
          <cell r="S216">
            <v>0</v>
          </cell>
        </row>
        <row r="217">
          <cell r="S217">
            <v>0</v>
          </cell>
        </row>
        <row r="218">
          <cell r="S218">
            <v>0</v>
          </cell>
        </row>
        <row r="219">
          <cell r="S219">
            <v>0</v>
          </cell>
        </row>
        <row r="220">
          <cell r="S220">
            <v>0</v>
          </cell>
        </row>
        <row r="221">
          <cell r="S221">
            <v>0</v>
          </cell>
        </row>
        <row r="222">
          <cell r="S222">
            <v>0</v>
          </cell>
        </row>
        <row r="223">
          <cell r="S223">
            <v>0</v>
          </cell>
        </row>
        <row r="224">
          <cell r="S224">
            <v>0</v>
          </cell>
        </row>
        <row r="225">
          <cell r="S225">
            <v>0</v>
          </cell>
        </row>
        <row r="226">
          <cell r="S226">
            <v>0</v>
          </cell>
        </row>
        <row r="227">
          <cell r="S227">
            <v>0</v>
          </cell>
        </row>
        <row r="228">
          <cell r="S228">
            <v>0</v>
          </cell>
        </row>
        <row r="229">
          <cell r="S229">
            <v>0</v>
          </cell>
        </row>
        <row r="230">
          <cell r="S230">
            <v>0</v>
          </cell>
        </row>
        <row r="231">
          <cell r="S231">
            <v>0</v>
          </cell>
        </row>
        <row r="232">
          <cell r="S232">
            <v>0</v>
          </cell>
        </row>
        <row r="233">
          <cell r="S233">
            <v>0</v>
          </cell>
        </row>
        <row r="234">
          <cell r="S234">
            <v>0</v>
          </cell>
        </row>
        <row r="235">
          <cell r="S235">
            <v>0</v>
          </cell>
        </row>
        <row r="236">
          <cell r="S236">
            <v>0</v>
          </cell>
        </row>
        <row r="237">
          <cell r="S237">
            <v>0</v>
          </cell>
        </row>
        <row r="238">
          <cell r="S238">
            <v>0</v>
          </cell>
        </row>
        <row r="239">
          <cell r="S239">
            <v>0</v>
          </cell>
        </row>
        <row r="240">
          <cell r="F240">
            <v>0</v>
          </cell>
          <cell r="S240">
            <v>1531197</v>
          </cell>
        </row>
        <row r="241">
          <cell r="F241">
            <v>0</v>
          </cell>
          <cell r="S241">
            <v>0</v>
          </cell>
        </row>
        <row r="242">
          <cell r="F242">
            <v>0</v>
          </cell>
          <cell r="S242">
            <v>0</v>
          </cell>
        </row>
        <row r="243">
          <cell r="F243">
            <v>0</v>
          </cell>
          <cell r="S243">
            <v>0</v>
          </cell>
        </row>
        <row r="244">
          <cell r="F244">
            <v>564835</v>
          </cell>
          <cell r="S244">
            <v>2727626</v>
          </cell>
        </row>
        <row r="245">
          <cell r="F245">
            <v>0</v>
          </cell>
          <cell r="S245">
            <v>0</v>
          </cell>
        </row>
        <row r="246">
          <cell r="F246">
            <v>0</v>
          </cell>
          <cell r="S246">
            <v>0</v>
          </cell>
        </row>
        <row r="247">
          <cell r="F247">
            <v>0</v>
          </cell>
          <cell r="S247">
            <v>0</v>
          </cell>
        </row>
        <row r="248">
          <cell r="F248">
            <v>232650</v>
          </cell>
          <cell r="S248">
            <v>5310797</v>
          </cell>
        </row>
        <row r="249">
          <cell r="F249">
            <v>8840</v>
          </cell>
          <cell r="S249">
            <v>424978</v>
          </cell>
        </row>
        <row r="250">
          <cell r="F250">
            <v>0</v>
          </cell>
          <cell r="S250">
            <v>0</v>
          </cell>
        </row>
        <row r="251">
          <cell r="F251">
            <v>44800</v>
          </cell>
          <cell r="S251">
            <v>2294583</v>
          </cell>
        </row>
        <row r="252">
          <cell r="F252">
            <v>12000</v>
          </cell>
          <cell r="S252">
            <v>1036447</v>
          </cell>
        </row>
        <row r="253">
          <cell r="F253">
            <v>573938</v>
          </cell>
          <cell r="S253">
            <v>6954782</v>
          </cell>
        </row>
        <row r="254">
          <cell r="F254">
            <v>0</v>
          </cell>
          <cell r="S254">
            <v>0</v>
          </cell>
        </row>
        <row r="255">
          <cell r="F255">
            <v>0</v>
          </cell>
          <cell r="S255">
            <v>0</v>
          </cell>
        </row>
        <row r="256">
          <cell r="F256">
            <v>0</v>
          </cell>
          <cell r="S256">
            <v>161081</v>
          </cell>
        </row>
        <row r="257">
          <cell r="F257">
            <v>0</v>
          </cell>
          <cell r="S257">
            <v>0</v>
          </cell>
        </row>
        <row r="258">
          <cell r="F258">
            <v>0</v>
          </cell>
          <cell r="S258">
            <v>0</v>
          </cell>
        </row>
        <row r="259">
          <cell r="F259">
            <v>0</v>
          </cell>
          <cell r="S259">
            <v>0</v>
          </cell>
        </row>
        <row r="260">
          <cell r="F260">
            <v>0</v>
          </cell>
          <cell r="S260">
            <v>350476</v>
          </cell>
        </row>
        <row r="261">
          <cell r="F261">
            <v>9000</v>
          </cell>
          <cell r="S261">
            <v>2489114</v>
          </cell>
        </row>
        <row r="262">
          <cell r="F262">
            <v>19080</v>
          </cell>
          <cell r="S262">
            <v>738359</v>
          </cell>
        </row>
        <row r="263">
          <cell r="F263">
            <v>3570</v>
          </cell>
          <cell r="S263">
            <v>40629</v>
          </cell>
        </row>
        <row r="264">
          <cell r="F264">
            <v>20000</v>
          </cell>
          <cell r="S264">
            <v>826321</v>
          </cell>
        </row>
        <row r="265">
          <cell r="F265">
            <v>21300</v>
          </cell>
          <cell r="S265">
            <v>4616904</v>
          </cell>
        </row>
        <row r="266">
          <cell r="F266">
            <v>0</v>
          </cell>
          <cell r="S266">
            <v>0</v>
          </cell>
        </row>
        <row r="267">
          <cell r="F267">
            <v>0</v>
          </cell>
          <cell r="S267">
            <v>0</v>
          </cell>
        </row>
        <row r="268">
          <cell r="F268">
            <v>0</v>
          </cell>
          <cell r="S268">
            <v>0</v>
          </cell>
        </row>
        <row r="269">
          <cell r="F269">
            <v>0</v>
          </cell>
          <cell r="S269">
            <v>0</v>
          </cell>
        </row>
        <row r="270">
          <cell r="F270">
            <v>0</v>
          </cell>
          <cell r="S270">
            <v>0</v>
          </cell>
        </row>
        <row r="271">
          <cell r="F271">
            <v>0</v>
          </cell>
          <cell r="S271">
            <v>0</v>
          </cell>
        </row>
        <row r="272">
          <cell r="F272">
            <v>0</v>
          </cell>
          <cell r="S272">
            <v>0</v>
          </cell>
        </row>
        <row r="273">
          <cell r="F273">
            <v>3891812</v>
          </cell>
          <cell r="S273">
            <v>24961763</v>
          </cell>
        </row>
        <row r="274">
          <cell r="F274">
            <v>0</v>
          </cell>
          <cell r="S274">
            <v>0</v>
          </cell>
        </row>
        <row r="275">
          <cell r="F275">
            <v>0</v>
          </cell>
          <cell r="S275">
            <v>0</v>
          </cell>
        </row>
        <row r="276">
          <cell r="F276">
            <v>0</v>
          </cell>
          <cell r="S276">
            <v>0</v>
          </cell>
        </row>
        <row r="277">
          <cell r="F277">
            <v>0</v>
          </cell>
          <cell r="S277">
            <v>0</v>
          </cell>
        </row>
        <row r="278">
          <cell r="S278">
            <v>0</v>
          </cell>
        </row>
        <row r="279">
          <cell r="S279">
            <v>0</v>
          </cell>
        </row>
        <row r="280">
          <cell r="S280">
            <v>0</v>
          </cell>
        </row>
        <row r="281">
          <cell r="S281">
            <v>0</v>
          </cell>
        </row>
        <row r="282">
          <cell r="S282">
            <v>0</v>
          </cell>
        </row>
        <row r="283">
          <cell r="S283">
            <v>0</v>
          </cell>
        </row>
        <row r="284">
          <cell r="S284">
            <v>0</v>
          </cell>
        </row>
        <row r="285">
          <cell r="S285">
            <v>0</v>
          </cell>
        </row>
        <row r="286">
          <cell r="S286">
            <v>0</v>
          </cell>
        </row>
        <row r="287">
          <cell r="S287">
            <v>0</v>
          </cell>
        </row>
        <row r="288">
          <cell r="S288">
            <v>0</v>
          </cell>
        </row>
        <row r="289">
          <cell r="S289">
            <v>0</v>
          </cell>
        </row>
        <row r="290">
          <cell r="S290">
            <v>0</v>
          </cell>
        </row>
        <row r="291">
          <cell r="S291">
            <v>0</v>
          </cell>
        </row>
        <row r="292">
          <cell r="S292">
            <v>0</v>
          </cell>
        </row>
        <row r="293">
          <cell r="S293">
            <v>0</v>
          </cell>
        </row>
        <row r="294">
          <cell r="S294">
            <v>0</v>
          </cell>
        </row>
        <row r="295">
          <cell r="S295">
            <v>0</v>
          </cell>
        </row>
        <row r="296">
          <cell r="S296">
            <v>0</v>
          </cell>
        </row>
        <row r="297">
          <cell r="S297">
            <v>0</v>
          </cell>
        </row>
        <row r="298">
          <cell r="S298">
            <v>0</v>
          </cell>
        </row>
        <row r="299">
          <cell r="S299">
            <v>0</v>
          </cell>
        </row>
        <row r="300">
          <cell r="S300">
            <v>0</v>
          </cell>
        </row>
        <row r="301">
          <cell r="S301">
            <v>0</v>
          </cell>
        </row>
        <row r="302">
          <cell r="S302">
            <v>0</v>
          </cell>
        </row>
        <row r="303">
          <cell r="S303">
            <v>0</v>
          </cell>
        </row>
        <row r="304">
          <cell r="S304">
            <v>0</v>
          </cell>
        </row>
        <row r="305">
          <cell r="S305">
            <v>0</v>
          </cell>
        </row>
        <row r="306">
          <cell r="S306">
            <v>0</v>
          </cell>
        </row>
        <row r="307">
          <cell r="S307">
            <v>0</v>
          </cell>
        </row>
        <row r="308">
          <cell r="S308">
            <v>0</v>
          </cell>
        </row>
        <row r="309">
          <cell r="S309">
            <v>0</v>
          </cell>
        </row>
        <row r="310">
          <cell r="S310">
            <v>0</v>
          </cell>
        </row>
        <row r="311">
          <cell r="S311">
            <v>0</v>
          </cell>
        </row>
        <row r="312">
          <cell r="S312">
            <v>0</v>
          </cell>
        </row>
        <row r="313">
          <cell r="S313">
            <v>0</v>
          </cell>
        </row>
        <row r="314">
          <cell r="S314">
            <v>0</v>
          </cell>
        </row>
        <row r="315">
          <cell r="S315">
            <v>0</v>
          </cell>
        </row>
        <row r="316">
          <cell r="S316">
            <v>0</v>
          </cell>
        </row>
        <row r="317">
          <cell r="S317">
            <v>0</v>
          </cell>
        </row>
        <row r="318">
          <cell r="S318">
            <v>0</v>
          </cell>
        </row>
        <row r="319">
          <cell r="S319">
            <v>0</v>
          </cell>
        </row>
        <row r="320">
          <cell r="S320">
            <v>0</v>
          </cell>
        </row>
        <row r="321">
          <cell r="S321">
            <v>0</v>
          </cell>
        </row>
        <row r="322">
          <cell r="S322">
            <v>0</v>
          </cell>
        </row>
        <row r="323">
          <cell r="S323">
            <v>0</v>
          </cell>
        </row>
        <row r="324">
          <cell r="S324">
            <v>0</v>
          </cell>
        </row>
        <row r="325">
          <cell r="S325">
            <v>0</v>
          </cell>
        </row>
        <row r="326">
          <cell r="S326">
            <v>0</v>
          </cell>
        </row>
        <row r="327">
          <cell r="S327">
            <v>0</v>
          </cell>
        </row>
        <row r="328">
          <cell r="S328">
            <v>0</v>
          </cell>
        </row>
        <row r="329">
          <cell r="S329">
            <v>0</v>
          </cell>
        </row>
        <row r="330">
          <cell r="S330">
            <v>0</v>
          </cell>
        </row>
        <row r="331">
          <cell r="S331">
            <v>0</v>
          </cell>
        </row>
        <row r="332">
          <cell r="S332">
            <v>0</v>
          </cell>
        </row>
        <row r="333">
          <cell r="S333">
            <v>0</v>
          </cell>
        </row>
        <row r="334">
          <cell r="S334">
            <v>0</v>
          </cell>
        </row>
        <row r="335">
          <cell r="S335">
            <v>0</v>
          </cell>
        </row>
        <row r="336">
          <cell r="S336">
            <v>0</v>
          </cell>
        </row>
        <row r="337">
          <cell r="S337">
            <v>0</v>
          </cell>
        </row>
        <row r="338">
          <cell r="S338">
            <v>0</v>
          </cell>
        </row>
        <row r="339">
          <cell r="S339">
            <v>0</v>
          </cell>
        </row>
        <row r="340">
          <cell r="S340">
            <v>0</v>
          </cell>
        </row>
        <row r="341">
          <cell r="S341">
            <v>0</v>
          </cell>
        </row>
        <row r="342">
          <cell r="S342">
            <v>0</v>
          </cell>
        </row>
        <row r="343">
          <cell r="S343">
            <v>0</v>
          </cell>
        </row>
        <row r="344">
          <cell r="S344">
            <v>0</v>
          </cell>
        </row>
        <row r="345">
          <cell r="S345">
            <v>0</v>
          </cell>
        </row>
        <row r="346">
          <cell r="S346">
            <v>0</v>
          </cell>
        </row>
        <row r="347">
          <cell r="S347">
            <v>0</v>
          </cell>
        </row>
        <row r="348">
          <cell r="S348">
            <v>0</v>
          </cell>
        </row>
        <row r="349">
          <cell r="S349">
            <v>0</v>
          </cell>
        </row>
        <row r="350">
          <cell r="S350">
            <v>0</v>
          </cell>
        </row>
        <row r="351">
          <cell r="S351">
            <v>0</v>
          </cell>
        </row>
        <row r="352">
          <cell r="S352">
            <v>0</v>
          </cell>
        </row>
        <row r="353">
          <cell r="S353">
            <v>0</v>
          </cell>
        </row>
        <row r="354">
          <cell r="S354">
            <v>0</v>
          </cell>
        </row>
        <row r="355">
          <cell r="S355">
            <v>0</v>
          </cell>
        </row>
        <row r="356">
          <cell r="S356">
            <v>0</v>
          </cell>
        </row>
        <row r="357">
          <cell r="F357">
            <v>0</v>
          </cell>
          <cell r="S357">
            <v>1547705</v>
          </cell>
        </row>
        <row r="358">
          <cell r="F358">
            <v>0</v>
          </cell>
          <cell r="S358">
            <v>0</v>
          </cell>
        </row>
        <row r="359">
          <cell r="F359">
            <v>0</v>
          </cell>
          <cell r="S359">
            <v>0</v>
          </cell>
        </row>
        <row r="360">
          <cell r="F360">
            <v>0</v>
          </cell>
          <cell r="S360">
            <v>0</v>
          </cell>
        </row>
        <row r="361">
          <cell r="F361">
            <v>565050</v>
          </cell>
          <cell r="S361">
            <v>2579342</v>
          </cell>
        </row>
        <row r="362">
          <cell r="F362">
            <v>0</v>
          </cell>
          <cell r="S362">
            <v>0</v>
          </cell>
        </row>
        <row r="363">
          <cell r="F363">
            <v>0</v>
          </cell>
          <cell r="S363">
            <v>0</v>
          </cell>
        </row>
        <row r="364">
          <cell r="F364">
            <v>0</v>
          </cell>
          <cell r="S364">
            <v>0</v>
          </cell>
        </row>
        <row r="365">
          <cell r="F365">
            <v>232650</v>
          </cell>
          <cell r="S365">
            <v>5180019</v>
          </cell>
        </row>
        <row r="366">
          <cell r="F366">
            <v>8840</v>
          </cell>
          <cell r="S366">
            <v>440671</v>
          </cell>
        </row>
        <row r="367">
          <cell r="F367">
            <v>0</v>
          </cell>
          <cell r="S367">
            <v>0</v>
          </cell>
        </row>
        <row r="368">
          <cell r="F368">
            <v>45000</v>
          </cell>
          <cell r="S368">
            <v>2255519</v>
          </cell>
        </row>
        <row r="369">
          <cell r="F369">
            <v>12300</v>
          </cell>
          <cell r="S369">
            <v>1071982</v>
          </cell>
        </row>
        <row r="370">
          <cell r="F370">
            <v>574157</v>
          </cell>
          <cell r="S370">
            <v>6573480</v>
          </cell>
        </row>
        <row r="371">
          <cell r="F371">
            <v>0</v>
          </cell>
          <cell r="S371">
            <v>0</v>
          </cell>
        </row>
        <row r="372">
          <cell r="F372">
            <v>0</v>
          </cell>
          <cell r="S372">
            <v>0</v>
          </cell>
        </row>
        <row r="373">
          <cell r="F373">
            <v>0</v>
          </cell>
          <cell r="S373">
            <v>163418</v>
          </cell>
        </row>
        <row r="374">
          <cell r="F374">
            <v>0</v>
          </cell>
          <cell r="S374">
            <v>0</v>
          </cell>
        </row>
        <row r="375">
          <cell r="F375">
            <v>0</v>
          </cell>
          <cell r="S375">
            <v>0</v>
          </cell>
        </row>
        <row r="376">
          <cell r="F376">
            <v>0</v>
          </cell>
          <cell r="S376">
            <v>0</v>
          </cell>
        </row>
        <row r="377">
          <cell r="F377">
            <v>0</v>
          </cell>
          <cell r="S377">
            <v>270645</v>
          </cell>
        </row>
        <row r="378">
          <cell r="F378">
            <v>9000</v>
          </cell>
          <cell r="S378">
            <v>2816522</v>
          </cell>
        </row>
        <row r="379">
          <cell r="F379">
            <v>19080</v>
          </cell>
          <cell r="S379">
            <v>729341</v>
          </cell>
        </row>
        <row r="380">
          <cell r="F380">
            <v>3570</v>
          </cell>
          <cell r="S380">
            <v>40758</v>
          </cell>
        </row>
        <row r="381">
          <cell r="F381">
            <v>20000</v>
          </cell>
          <cell r="S381">
            <v>817714</v>
          </cell>
        </row>
        <row r="382">
          <cell r="F382">
            <v>21300</v>
          </cell>
          <cell r="S382">
            <v>4631671</v>
          </cell>
        </row>
        <row r="383">
          <cell r="F383">
            <v>0</v>
          </cell>
          <cell r="S383">
            <v>0</v>
          </cell>
        </row>
        <row r="384">
          <cell r="F384">
            <v>0</v>
          </cell>
          <cell r="S384">
            <v>0</v>
          </cell>
        </row>
        <row r="385">
          <cell r="F385">
            <v>0</v>
          </cell>
          <cell r="S385">
            <v>0</v>
          </cell>
        </row>
        <row r="386">
          <cell r="F386">
            <v>0</v>
          </cell>
          <cell r="S386">
            <v>0</v>
          </cell>
        </row>
        <row r="387">
          <cell r="F387">
            <v>0</v>
          </cell>
          <cell r="S387">
            <v>0</v>
          </cell>
        </row>
        <row r="388">
          <cell r="S388">
            <v>0</v>
          </cell>
        </row>
        <row r="389">
          <cell r="S389">
            <v>0</v>
          </cell>
        </row>
        <row r="390">
          <cell r="F390">
            <v>3893994</v>
          </cell>
          <cell r="S390">
            <v>20864253</v>
          </cell>
        </row>
        <row r="391">
          <cell r="S391">
            <v>0</v>
          </cell>
        </row>
        <row r="392">
          <cell r="S392">
            <v>0</v>
          </cell>
        </row>
        <row r="393">
          <cell r="S393">
            <v>0</v>
          </cell>
        </row>
        <row r="394">
          <cell r="S394">
            <v>0</v>
          </cell>
        </row>
        <row r="395">
          <cell r="S395">
            <v>0</v>
          </cell>
        </row>
        <row r="396">
          <cell r="S396">
            <v>0</v>
          </cell>
        </row>
        <row r="397">
          <cell r="S397">
            <v>0</v>
          </cell>
        </row>
        <row r="398">
          <cell r="S398">
            <v>0</v>
          </cell>
        </row>
        <row r="399">
          <cell r="S399">
            <v>0</v>
          </cell>
        </row>
        <row r="400">
          <cell r="S400">
            <v>0</v>
          </cell>
        </row>
        <row r="401">
          <cell r="S401">
            <v>0</v>
          </cell>
        </row>
        <row r="402">
          <cell r="S402">
            <v>0</v>
          </cell>
        </row>
        <row r="403">
          <cell r="S403">
            <v>0</v>
          </cell>
        </row>
        <row r="404">
          <cell r="S404">
            <v>0</v>
          </cell>
        </row>
        <row r="405">
          <cell r="S405">
            <v>0</v>
          </cell>
        </row>
        <row r="406">
          <cell r="S406">
            <v>0</v>
          </cell>
        </row>
        <row r="407">
          <cell r="S407">
            <v>0</v>
          </cell>
        </row>
        <row r="408">
          <cell r="S408">
            <v>0</v>
          </cell>
        </row>
        <row r="409">
          <cell r="S409">
            <v>0</v>
          </cell>
        </row>
        <row r="410">
          <cell r="S410">
            <v>0</v>
          </cell>
        </row>
        <row r="411">
          <cell r="S411">
            <v>0</v>
          </cell>
        </row>
        <row r="412">
          <cell r="S412">
            <v>0</v>
          </cell>
        </row>
        <row r="413">
          <cell r="S413">
            <v>0</v>
          </cell>
        </row>
        <row r="414">
          <cell r="S414">
            <v>0</v>
          </cell>
        </row>
        <row r="415">
          <cell r="S415">
            <v>0</v>
          </cell>
        </row>
        <row r="416">
          <cell r="S416">
            <v>0</v>
          </cell>
        </row>
        <row r="417">
          <cell r="S417">
            <v>0</v>
          </cell>
        </row>
        <row r="418">
          <cell r="S418">
            <v>0</v>
          </cell>
        </row>
        <row r="419">
          <cell r="S419">
            <v>0</v>
          </cell>
        </row>
        <row r="420">
          <cell r="S420">
            <v>0</v>
          </cell>
        </row>
        <row r="421">
          <cell r="S421">
            <v>0</v>
          </cell>
        </row>
        <row r="422">
          <cell r="S422">
            <v>0</v>
          </cell>
        </row>
        <row r="423">
          <cell r="S423">
            <v>0</v>
          </cell>
        </row>
        <row r="424">
          <cell r="S424">
            <v>0</v>
          </cell>
        </row>
        <row r="425">
          <cell r="S425">
            <v>0</v>
          </cell>
        </row>
        <row r="426">
          <cell r="S426">
            <v>0</v>
          </cell>
        </row>
        <row r="427">
          <cell r="S427">
            <v>0</v>
          </cell>
        </row>
        <row r="428">
          <cell r="S428">
            <v>0</v>
          </cell>
        </row>
        <row r="429">
          <cell r="S429">
            <v>0</v>
          </cell>
        </row>
        <row r="430">
          <cell r="S430">
            <v>0</v>
          </cell>
        </row>
        <row r="431">
          <cell r="S431">
            <v>0</v>
          </cell>
        </row>
        <row r="432">
          <cell r="S432">
            <v>0</v>
          </cell>
        </row>
        <row r="433">
          <cell r="S433">
            <v>0</v>
          </cell>
        </row>
        <row r="434">
          <cell r="S434">
            <v>0</v>
          </cell>
        </row>
        <row r="435">
          <cell r="S435">
            <v>0</v>
          </cell>
        </row>
        <row r="436">
          <cell r="S436">
            <v>0</v>
          </cell>
        </row>
        <row r="437">
          <cell r="S437">
            <v>0</v>
          </cell>
        </row>
        <row r="438">
          <cell r="S438">
            <v>0</v>
          </cell>
        </row>
        <row r="439">
          <cell r="S439">
            <v>0</v>
          </cell>
        </row>
        <row r="440">
          <cell r="S440">
            <v>0</v>
          </cell>
        </row>
        <row r="441">
          <cell r="S441">
            <v>0</v>
          </cell>
        </row>
        <row r="442">
          <cell r="S442">
            <v>0</v>
          </cell>
        </row>
        <row r="443">
          <cell r="S443">
            <v>0</v>
          </cell>
        </row>
        <row r="444">
          <cell r="S444">
            <v>0</v>
          </cell>
        </row>
        <row r="445">
          <cell r="S445">
            <v>0</v>
          </cell>
        </row>
        <row r="446">
          <cell r="S446">
            <v>0</v>
          </cell>
        </row>
        <row r="447">
          <cell r="S447">
            <v>0</v>
          </cell>
        </row>
        <row r="448">
          <cell r="S448">
            <v>0</v>
          </cell>
        </row>
        <row r="449">
          <cell r="S449">
            <v>0</v>
          </cell>
        </row>
        <row r="450">
          <cell r="S450">
            <v>0</v>
          </cell>
        </row>
        <row r="451">
          <cell r="S451">
            <v>0</v>
          </cell>
        </row>
        <row r="452">
          <cell r="S452">
            <v>0</v>
          </cell>
        </row>
        <row r="453">
          <cell r="S453">
            <v>0</v>
          </cell>
        </row>
        <row r="454">
          <cell r="S454">
            <v>0</v>
          </cell>
        </row>
        <row r="455">
          <cell r="S455">
            <v>0</v>
          </cell>
        </row>
        <row r="456">
          <cell r="S456">
            <v>0</v>
          </cell>
        </row>
        <row r="457">
          <cell r="S457">
            <v>0</v>
          </cell>
        </row>
        <row r="458">
          <cell r="S458">
            <v>0</v>
          </cell>
        </row>
        <row r="459">
          <cell r="S459">
            <v>0</v>
          </cell>
        </row>
        <row r="460">
          <cell r="S460">
            <v>0</v>
          </cell>
        </row>
        <row r="461">
          <cell r="S461">
            <v>0</v>
          </cell>
        </row>
        <row r="462">
          <cell r="S462">
            <v>0</v>
          </cell>
        </row>
        <row r="463">
          <cell r="S463">
            <v>0</v>
          </cell>
        </row>
        <row r="464">
          <cell r="S464">
            <v>0</v>
          </cell>
        </row>
        <row r="465">
          <cell r="S465">
            <v>0</v>
          </cell>
        </row>
        <row r="466">
          <cell r="S466">
            <v>0</v>
          </cell>
        </row>
        <row r="467">
          <cell r="S467">
            <v>0</v>
          </cell>
        </row>
        <row r="468">
          <cell r="S468">
            <v>0</v>
          </cell>
        </row>
        <row r="469">
          <cell r="S469">
            <v>0</v>
          </cell>
        </row>
        <row r="470">
          <cell r="S470">
            <v>0</v>
          </cell>
        </row>
        <row r="471">
          <cell r="S471">
            <v>0</v>
          </cell>
        </row>
        <row r="472">
          <cell r="S472">
            <v>0</v>
          </cell>
        </row>
        <row r="473">
          <cell r="S473">
            <v>0</v>
          </cell>
        </row>
        <row r="474">
          <cell r="F474">
            <v>0</v>
          </cell>
          <cell r="S474">
            <v>1190265</v>
          </cell>
        </row>
        <row r="475">
          <cell r="F475">
            <v>0</v>
          </cell>
          <cell r="S475">
            <v>0</v>
          </cell>
        </row>
        <row r="476">
          <cell r="F476">
            <v>0</v>
          </cell>
          <cell r="S476">
            <v>0</v>
          </cell>
        </row>
        <row r="477">
          <cell r="F477">
            <v>0</v>
          </cell>
          <cell r="S477">
            <v>0</v>
          </cell>
        </row>
        <row r="478">
          <cell r="F478">
            <v>565266</v>
          </cell>
          <cell r="S478">
            <v>2921546</v>
          </cell>
        </row>
        <row r="479">
          <cell r="F479">
            <v>0</v>
          </cell>
          <cell r="S479">
            <v>0</v>
          </cell>
        </row>
        <row r="480">
          <cell r="F480">
            <v>0</v>
          </cell>
          <cell r="S480">
            <v>0</v>
          </cell>
        </row>
        <row r="481">
          <cell r="F481">
            <v>0</v>
          </cell>
          <cell r="S481">
            <v>0</v>
          </cell>
        </row>
        <row r="482">
          <cell r="F482">
            <v>232650</v>
          </cell>
          <cell r="S482">
            <v>6165519</v>
          </cell>
        </row>
        <row r="483">
          <cell r="F483">
            <v>8840</v>
          </cell>
          <cell r="S483">
            <v>513839</v>
          </cell>
        </row>
        <row r="484">
          <cell r="F484">
            <v>0</v>
          </cell>
          <cell r="S484">
            <v>0</v>
          </cell>
        </row>
        <row r="485">
          <cell r="F485">
            <v>45200</v>
          </cell>
          <cell r="S485">
            <v>2704933</v>
          </cell>
        </row>
        <row r="486">
          <cell r="F486">
            <v>12300</v>
          </cell>
          <cell r="S486">
            <v>1237663</v>
          </cell>
        </row>
        <row r="487">
          <cell r="F487">
            <v>574375</v>
          </cell>
          <cell r="S487">
            <v>7453432</v>
          </cell>
        </row>
        <row r="488">
          <cell r="F488">
            <v>0</v>
          </cell>
          <cell r="S488">
            <v>0</v>
          </cell>
        </row>
        <row r="489">
          <cell r="F489">
            <v>0</v>
          </cell>
          <cell r="S489">
            <v>0</v>
          </cell>
        </row>
        <row r="490">
          <cell r="F490">
            <v>0</v>
          </cell>
          <cell r="S490">
            <v>160793</v>
          </cell>
        </row>
        <row r="491">
          <cell r="F491">
            <v>0</v>
          </cell>
          <cell r="S491">
            <v>0</v>
          </cell>
        </row>
        <row r="492">
          <cell r="F492">
            <v>0</v>
          </cell>
          <cell r="S492">
            <v>0</v>
          </cell>
        </row>
        <row r="493">
          <cell r="F493">
            <v>0</v>
          </cell>
          <cell r="S493">
            <v>0</v>
          </cell>
        </row>
        <row r="494">
          <cell r="F494">
            <v>0</v>
          </cell>
          <cell r="S494">
            <v>310008</v>
          </cell>
        </row>
        <row r="495">
          <cell r="F495">
            <v>9000</v>
          </cell>
          <cell r="S495">
            <v>3204986</v>
          </cell>
        </row>
        <row r="496">
          <cell r="F496">
            <v>18990</v>
          </cell>
          <cell r="S496">
            <v>851780</v>
          </cell>
        </row>
        <row r="497">
          <cell r="F497">
            <v>3570</v>
          </cell>
          <cell r="S497">
            <v>48399</v>
          </cell>
        </row>
        <row r="498">
          <cell r="F498">
            <v>20000</v>
          </cell>
          <cell r="S498">
            <v>970176</v>
          </cell>
        </row>
        <row r="499">
          <cell r="F499">
            <v>21600</v>
          </cell>
          <cell r="S499">
            <v>5499935</v>
          </cell>
        </row>
        <row r="500">
          <cell r="F500">
            <v>0</v>
          </cell>
          <cell r="S500">
            <v>0</v>
          </cell>
        </row>
        <row r="501">
          <cell r="F501">
            <v>0</v>
          </cell>
          <cell r="S501">
            <v>0</v>
          </cell>
        </row>
        <row r="502">
          <cell r="F502">
            <v>0</v>
          </cell>
          <cell r="S502">
            <v>0</v>
          </cell>
        </row>
        <row r="503">
          <cell r="F503">
            <v>0</v>
          </cell>
          <cell r="S503">
            <v>0</v>
          </cell>
        </row>
        <row r="504">
          <cell r="F504">
            <v>0</v>
          </cell>
          <cell r="S504">
            <v>0</v>
          </cell>
        </row>
        <row r="505">
          <cell r="F505">
            <v>0</v>
          </cell>
          <cell r="S505">
            <v>0</v>
          </cell>
        </row>
        <row r="506">
          <cell r="F506">
            <v>0</v>
          </cell>
          <cell r="S506">
            <v>0</v>
          </cell>
        </row>
        <row r="507">
          <cell r="F507">
            <v>3896166</v>
          </cell>
          <cell r="S507">
            <v>23856143</v>
          </cell>
        </row>
        <row r="508">
          <cell r="F508">
            <v>0</v>
          </cell>
          <cell r="S508">
            <v>0</v>
          </cell>
        </row>
        <row r="509">
          <cell r="F509">
            <v>0</v>
          </cell>
          <cell r="S509">
            <v>0</v>
          </cell>
        </row>
        <row r="510">
          <cell r="F510">
            <v>0</v>
          </cell>
          <cell r="S510">
            <v>0</v>
          </cell>
        </row>
        <row r="511">
          <cell r="F511">
            <v>0</v>
          </cell>
          <cell r="S511">
            <v>0</v>
          </cell>
        </row>
        <row r="512">
          <cell r="S512">
            <v>0</v>
          </cell>
        </row>
        <row r="513">
          <cell r="S513">
            <v>0</v>
          </cell>
        </row>
        <row r="514">
          <cell r="S514">
            <v>0</v>
          </cell>
        </row>
        <row r="515">
          <cell r="S515">
            <v>0</v>
          </cell>
        </row>
        <row r="516">
          <cell r="S516">
            <v>0</v>
          </cell>
        </row>
        <row r="517">
          <cell r="S517">
            <v>0</v>
          </cell>
        </row>
        <row r="518">
          <cell r="S518">
            <v>0</v>
          </cell>
        </row>
        <row r="519">
          <cell r="S519">
            <v>0</v>
          </cell>
        </row>
        <row r="520">
          <cell r="S520">
            <v>0</v>
          </cell>
        </row>
        <row r="521">
          <cell r="S521">
            <v>0</v>
          </cell>
        </row>
        <row r="522">
          <cell r="S522">
            <v>0</v>
          </cell>
        </row>
        <row r="523">
          <cell r="S523">
            <v>0</v>
          </cell>
        </row>
        <row r="524">
          <cell r="S524">
            <v>0</v>
          </cell>
        </row>
        <row r="525">
          <cell r="S525">
            <v>0</v>
          </cell>
        </row>
        <row r="526">
          <cell r="S526">
            <v>0</v>
          </cell>
        </row>
        <row r="527">
          <cell r="S527">
            <v>0</v>
          </cell>
        </row>
        <row r="528">
          <cell r="S528">
            <v>0</v>
          </cell>
        </row>
        <row r="529">
          <cell r="S529">
            <v>0</v>
          </cell>
        </row>
        <row r="530">
          <cell r="S530">
            <v>0</v>
          </cell>
        </row>
        <row r="531">
          <cell r="S531">
            <v>0</v>
          </cell>
        </row>
        <row r="532">
          <cell r="S532">
            <v>0</v>
          </cell>
        </row>
        <row r="533">
          <cell r="S533">
            <v>0</v>
          </cell>
        </row>
        <row r="534">
          <cell r="S534">
            <v>0</v>
          </cell>
        </row>
        <row r="535">
          <cell r="S535">
            <v>0</v>
          </cell>
        </row>
        <row r="536">
          <cell r="S536">
            <v>0</v>
          </cell>
        </row>
        <row r="537">
          <cell r="S537">
            <v>0</v>
          </cell>
        </row>
        <row r="538">
          <cell r="S538">
            <v>0</v>
          </cell>
        </row>
        <row r="539">
          <cell r="S539">
            <v>0</v>
          </cell>
        </row>
        <row r="540">
          <cell r="S540">
            <v>0</v>
          </cell>
        </row>
        <row r="541">
          <cell r="S541">
            <v>0</v>
          </cell>
        </row>
        <row r="542">
          <cell r="S542">
            <v>0</v>
          </cell>
        </row>
        <row r="543">
          <cell r="S543">
            <v>0</v>
          </cell>
        </row>
        <row r="544">
          <cell r="S544">
            <v>0</v>
          </cell>
        </row>
        <row r="545">
          <cell r="S545">
            <v>0</v>
          </cell>
        </row>
        <row r="546">
          <cell r="S546">
            <v>0</v>
          </cell>
        </row>
        <row r="547">
          <cell r="S547">
            <v>0</v>
          </cell>
        </row>
        <row r="548">
          <cell r="S548">
            <v>0</v>
          </cell>
        </row>
        <row r="549">
          <cell r="S549">
            <v>0</v>
          </cell>
        </row>
        <row r="550">
          <cell r="S550">
            <v>0</v>
          </cell>
        </row>
        <row r="551">
          <cell r="S551">
            <v>0</v>
          </cell>
        </row>
        <row r="552">
          <cell r="S552">
            <v>0</v>
          </cell>
        </row>
        <row r="553">
          <cell r="S553">
            <v>0</v>
          </cell>
        </row>
        <row r="554">
          <cell r="S554">
            <v>0</v>
          </cell>
        </row>
        <row r="555">
          <cell r="S555">
            <v>0</v>
          </cell>
        </row>
        <row r="556">
          <cell r="S556">
            <v>0</v>
          </cell>
        </row>
        <row r="557">
          <cell r="S557">
            <v>0</v>
          </cell>
        </row>
        <row r="558">
          <cell r="S558">
            <v>0</v>
          </cell>
        </row>
        <row r="559">
          <cell r="S559">
            <v>0</v>
          </cell>
        </row>
        <row r="560">
          <cell r="S560">
            <v>0</v>
          </cell>
        </row>
        <row r="561">
          <cell r="S561">
            <v>0</v>
          </cell>
        </row>
        <row r="562">
          <cell r="S562">
            <v>0</v>
          </cell>
        </row>
        <row r="563">
          <cell r="S563">
            <v>0</v>
          </cell>
        </row>
        <row r="564">
          <cell r="S564">
            <v>0</v>
          </cell>
        </row>
        <row r="565">
          <cell r="S565">
            <v>0</v>
          </cell>
        </row>
        <row r="566">
          <cell r="S566">
            <v>0</v>
          </cell>
        </row>
        <row r="567">
          <cell r="S567">
            <v>0</v>
          </cell>
        </row>
        <row r="568">
          <cell r="S568">
            <v>0</v>
          </cell>
        </row>
        <row r="569">
          <cell r="S569">
            <v>0</v>
          </cell>
        </row>
        <row r="570">
          <cell r="S570">
            <v>0</v>
          </cell>
        </row>
        <row r="571">
          <cell r="S571">
            <v>0</v>
          </cell>
        </row>
        <row r="572">
          <cell r="S572">
            <v>0</v>
          </cell>
        </row>
        <row r="573">
          <cell r="S573">
            <v>0</v>
          </cell>
        </row>
        <row r="574">
          <cell r="S574">
            <v>0</v>
          </cell>
        </row>
        <row r="575">
          <cell r="S575">
            <v>0</v>
          </cell>
        </row>
        <row r="576">
          <cell r="S576">
            <v>0</v>
          </cell>
        </row>
        <row r="577">
          <cell r="S577">
            <v>0</v>
          </cell>
        </row>
        <row r="578">
          <cell r="S578">
            <v>0</v>
          </cell>
        </row>
        <row r="579">
          <cell r="S579">
            <v>0</v>
          </cell>
        </row>
        <row r="580">
          <cell r="S580">
            <v>0</v>
          </cell>
        </row>
        <row r="581">
          <cell r="S581">
            <v>0</v>
          </cell>
        </row>
        <row r="582">
          <cell r="S582">
            <v>0</v>
          </cell>
        </row>
        <row r="583">
          <cell r="S583">
            <v>0</v>
          </cell>
        </row>
        <row r="584">
          <cell r="S584">
            <v>0</v>
          </cell>
        </row>
        <row r="585">
          <cell r="S585">
            <v>0</v>
          </cell>
        </row>
        <row r="586">
          <cell r="S586">
            <v>0</v>
          </cell>
        </row>
        <row r="587">
          <cell r="S587">
            <v>0</v>
          </cell>
        </row>
        <row r="588">
          <cell r="S588">
            <v>0</v>
          </cell>
        </row>
        <row r="589">
          <cell r="S589">
            <v>0</v>
          </cell>
        </row>
        <row r="590">
          <cell r="S590">
            <v>0</v>
          </cell>
        </row>
        <row r="591">
          <cell r="F591">
            <v>0</v>
          </cell>
          <cell r="S591">
            <v>1931255</v>
          </cell>
        </row>
        <row r="592">
          <cell r="F592">
            <v>0</v>
          </cell>
          <cell r="S592">
            <v>0</v>
          </cell>
        </row>
        <row r="593">
          <cell r="F593">
            <v>0</v>
          </cell>
          <cell r="S593">
            <v>0</v>
          </cell>
        </row>
        <row r="594">
          <cell r="F594">
            <v>0</v>
          </cell>
          <cell r="S594">
            <v>0</v>
          </cell>
        </row>
        <row r="595">
          <cell r="F595">
            <v>565481</v>
          </cell>
          <cell r="S595">
            <v>3291140</v>
          </cell>
        </row>
        <row r="596">
          <cell r="F596">
            <v>0</v>
          </cell>
          <cell r="S596">
            <v>0</v>
          </cell>
        </row>
        <row r="597">
          <cell r="F597">
            <v>0</v>
          </cell>
          <cell r="S597">
            <v>0</v>
          </cell>
        </row>
        <row r="598">
          <cell r="F598">
            <v>0</v>
          </cell>
          <cell r="S598">
            <v>0</v>
          </cell>
        </row>
        <row r="599">
          <cell r="F599">
            <v>232650</v>
          </cell>
          <cell r="S599">
            <v>6927148</v>
          </cell>
        </row>
        <row r="600">
          <cell r="F600">
            <v>8840</v>
          </cell>
          <cell r="S600">
            <v>568211</v>
          </cell>
        </row>
        <row r="601">
          <cell r="F601">
            <v>0</v>
          </cell>
          <cell r="S601">
            <v>0</v>
          </cell>
        </row>
        <row r="602">
          <cell r="F602">
            <v>45400</v>
          </cell>
          <cell r="S602">
            <v>3062245</v>
          </cell>
        </row>
        <row r="603">
          <cell r="F603">
            <v>12300</v>
          </cell>
          <cell r="S603">
            <v>1360783</v>
          </cell>
        </row>
        <row r="604">
          <cell r="F604">
            <v>574594</v>
          </cell>
          <cell r="S604">
            <v>8403819</v>
          </cell>
        </row>
        <row r="605">
          <cell r="F605">
            <v>0</v>
          </cell>
          <cell r="S605">
            <v>0</v>
          </cell>
        </row>
        <row r="606">
          <cell r="F606">
            <v>0</v>
          </cell>
          <cell r="S606">
            <v>0</v>
          </cell>
        </row>
        <row r="607">
          <cell r="F607">
            <v>0</v>
          </cell>
          <cell r="S607">
            <v>182205</v>
          </cell>
        </row>
        <row r="608">
          <cell r="F608">
            <v>0</v>
          </cell>
          <cell r="S608">
            <v>0</v>
          </cell>
        </row>
        <row r="609">
          <cell r="F609">
            <v>0</v>
          </cell>
          <cell r="S609">
            <v>0</v>
          </cell>
        </row>
        <row r="610">
          <cell r="F610">
            <v>0</v>
          </cell>
          <cell r="S610">
            <v>0</v>
          </cell>
        </row>
        <row r="611">
          <cell r="F611">
            <v>0</v>
          </cell>
          <cell r="S611">
            <v>376543</v>
          </cell>
        </row>
        <row r="612">
          <cell r="F612">
            <v>9000</v>
          </cell>
          <cell r="S612">
            <v>3102751</v>
          </cell>
        </row>
        <row r="613">
          <cell r="F613">
            <v>18990</v>
          </cell>
          <cell r="S613">
            <v>886017</v>
          </cell>
        </row>
        <row r="614">
          <cell r="F614">
            <v>3570</v>
          </cell>
          <cell r="S614">
            <v>50969</v>
          </cell>
        </row>
        <row r="615">
          <cell r="F615">
            <v>20000</v>
          </cell>
          <cell r="S615">
            <v>1004183</v>
          </cell>
        </row>
        <row r="616">
          <cell r="F616">
            <v>21600</v>
          </cell>
          <cell r="S616">
            <v>5792005</v>
          </cell>
        </row>
        <row r="617">
          <cell r="F617">
            <v>0</v>
          </cell>
          <cell r="S617">
            <v>0</v>
          </cell>
        </row>
        <row r="618">
          <cell r="F618">
            <v>0</v>
          </cell>
          <cell r="S618">
            <v>0</v>
          </cell>
        </row>
        <row r="619">
          <cell r="F619">
            <v>0</v>
          </cell>
          <cell r="S619">
            <v>0</v>
          </cell>
        </row>
        <row r="620">
          <cell r="F620">
            <v>0</v>
          </cell>
          <cell r="S620">
            <v>0</v>
          </cell>
        </row>
        <row r="621">
          <cell r="F621">
            <v>0</v>
          </cell>
          <cell r="S621">
            <v>0</v>
          </cell>
        </row>
        <row r="622">
          <cell r="F622">
            <v>0</v>
          </cell>
          <cell r="S622">
            <v>0</v>
          </cell>
        </row>
        <row r="623">
          <cell r="F623">
            <v>0</v>
          </cell>
          <cell r="S623">
            <v>0</v>
          </cell>
        </row>
        <row r="624">
          <cell r="F624">
            <v>3898337</v>
          </cell>
          <cell r="S624">
            <v>33201466</v>
          </cell>
        </row>
        <row r="625">
          <cell r="F625">
            <v>0</v>
          </cell>
          <cell r="S625">
            <v>0</v>
          </cell>
        </row>
        <row r="626">
          <cell r="F626">
            <v>0</v>
          </cell>
          <cell r="S626">
            <v>0</v>
          </cell>
        </row>
        <row r="627">
          <cell r="F627">
            <v>0</v>
          </cell>
          <cell r="S627">
            <v>0</v>
          </cell>
        </row>
        <row r="628">
          <cell r="F628">
            <v>0</v>
          </cell>
          <cell r="S628">
            <v>0</v>
          </cell>
        </row>
        <row r="629">
          <cell r="S629">
            <v>0</v>
          </cell>
        </row>
        <row r="630">
          <cell r="S630">
            <v>0</v>
          </cell>
        </row>
        <row r="631">
          <cell r="S631">
            <v>0</v>
          </cell>
        </row>
        <row r="632">
          <cell r="S632">
            <v>0</v>
          </cell>
        </row>
        <row r="633">
          <cell r="S633">
            <v>0</v>
          </cell>
        </row>
        <row r="634">
          <cell r="S634">
            <v>0</v>
          </cell>
        </row>
        <row r="635">
          <cell r="S635">
            <v>0</v>
          </cell>
        </row>
        <row r="636">
          <cell r="S636">
            <v>0</v>
          </cell>
        </row>
        <row r="637">
          <cell r="S637">
            <v>0</v>
          </cell>
        </row>
        <row r="638">
          <cell r="S638">
            <v>0</v>
          </cell>
        </row>
        <row r="639">
          <cell r="S639">
            <v>0</v>
          </cell>
        </row>
        <row r="640">
          <cell r="S640">
            <v>0</v>
          </cell>
        </row>
        <row r="641">
          <cell r="S641">
            <v>0</v>
          </cell>
        </row>
        <row r="642">
          <cell r="S642">
            <v>0</v>
          </cell>
        </row>
        <row r="643">
          <cell r="S643">
            <v>0</v>
          </cell>
        </row>
        <row r="644">
          <cell r="S644">
            <v>0</v>
          </cell>
        </row>
        <row r="645">
          <cell r="S645">
            <v>0</v>
          </cell>
        </row>
        <row r="646">
          <cell r="S646">
            <v>0</v>
          </cell>
        </row>
        <row r="647">
          <cell r="S647">
            <v>0</v>
          </cell>
        </row>
        <row r="648">
          <cell r="S648">
            <v>0</v>
          </cell>
        </row>
        <row r="649">
          <cell r="S649">
            <v>0</v>
          </cell>
        </row>
        <row r="650">
          <cell r="S650">
            <v>0</v>
          </cell>
        </row>
        <row r="651">
          <cell r="S651">
            <v>0</v>
          </cell>
        </row>
        <row r="652">
          <cell r="S652">
            <v>0</v>
          </cell>
        </row>
        <row r="653">
          <cell r="S653">
            <v>0</v>
          </cell>
        </row>
        <row r="654">
          <cell r="S654">
            <v>0</v>
          </cell>
        </row>
        <row r="655">
          <cell r="S655">
            <v>0</v>
          </cell>
        </row>
        <row r="656">
          <cell r="S656">
            <v>0</v>
          </cell>
        </row>
        <row r="657">
          <cell r="S657">
            <v>0</v>
          </cell>
        </row>
        <row r="658">
          <cell r="S658">
            <v>0</v>
          </cell>
        </row>
        <row r="659">
          <cell r="S659">
            <v>0</v>
          </cell>
        </row>
        <row r="660">
          <cell r="S660">
            <v>0</v>
          </cell>
        </row>
        <row r="661">
          <cell r="S661">
            <v>0</v>
          </cell>
        </row>
        <row r="662">
          <cell r="S662">
            <v>0</v>
          </cell>
        </row>
        <row r="663">
          <cell r="S663">
            <v>0</v>
          </cell>
        </row>
        <row r="664">
          <cell r="S664">
            <v>0</v>
          </cell>
        </row>
        <row r="665">
          <cell r="S665">
            <v>0</v>
          </cell>
        </row>
        <row r="666">
          <cell r="S666">
            <v>0</v>
          </cell>
        </row>
        <row r="667">
          <cell r="S667">
            <v>0</v>
          </cell>
        </row>
        <row r="668">
          <cell r="S668">
            <v>0</v>
          </cell>
        </row>
        <row r="669">
          <cell r="S669">
            <v>0</v>
          </cell>
        </row>
        <row r="670">
          <cell r="S670">
            <v>0</v>
          </cell>
        </row>
        <row r="671">
          <cell r="S671">
            <v>0</v>
          </cell>
        </row>
        <row r="672">
          <cell r="S672">
            <v>0</v>
          </cell>
        </row>
        <row r="673">
          <cell r="S673">
            <v>0</v>
          </cell>
        </row>
        <row r="674">
          <cell r="S674">
            <v>0</v>
          </cell>
        </row>
        <row r="675">
          <cell r="S675">
            <v>0</v>
          </cell>
        </row>
        <row r="676">
          <cell r="S676">
            <v>0</v>
          </cell>
        </row>
        <row r="677">
          <cell r="S677">
            <v>0</v>
          </cell>
        </row>
        <row r="678">
          <cell r="S678">
            <v>0</v>
          </cell>
        </row>
        <row r="679">
          <cell r="S679">
            <v>0</v>
          </cell>
        </row>
        <row r="680">
          <cell r="S680">
            <v>0</v>
          </cell>
        </row>
        <row r="681">
          <cell r="S681">
            <v>0</v>
          </cell>
        </row>
        <row r="682">
          <cell r="S682">
            <v>0</v>
          </cell>
        </row>
        <row r="683">
          <cell r="S683">
            <v>0</v>
          </cell>
        </row>
        <row r="684">
          <cell r="S684">
            <v>0</v>
          </cell>
        </row>
        <row r="685">
          <cell r="S685">
            <v>0</v>
          </cell>
        </row>
        <row r="686">
          <cell r="S686">
            <v>0</v>
          </cell>
        </row>
        <row r="687">
          <cell r="S687">
            <v>0</v>
          </cell>
        </row>
        <row r="688">
          <cell r="S688">
            <v>0</v>
          </cell>
        </row>
        <row r="689">
          <cell r="S689">
            <v>0</v>
          </cell>
        </row>
        <row r="690">
          <cell r="S690">
            <v>0</v>
          </cell>
        </row>
        <row r="691">
          <cell r="S691">
            <v>0</v>
          </cell>
        </row>
        <row r="692">
          <cell r="S692">
            <v>0</v>
          </cell>
        </row>
        <row r="693">
          <cell r="S693">
            <v>0</v>
          </cell>
        </row>
        <row r="694">
          <cell r="S694">
            <v>0</v>
          </cell>
        </row>
        <row r="695">
          <cell r="S695">
            <v>0</v>
          </cell>
        </row>
        <row r="696">
          <cell r="S696">
            <v>0</v>
          </cell>
        </row>
        <row r="697">
          <cell r="S697">
            <v>0</v>
          </cell>
        </row>
        <row r="698">
          <cell r="S698">
            <v>0</v>
          </cell>
        </row>
        <row r="699">
          <cell r="S699">
            <v>0</v>
          </cell>
        </row>
        <row r="700">
          <cell r="S700">
            <v>0</v>
          </cell>
        </row>
        <row r="701">
          <cell r="S701">
            <v>0</v>
          </cell>
        </row>
        <row r="702">
          <cell r="S702">
            <v>0</v>
          </cell>
        </row>
        <row r="703">
          <cell r="S703">
            <v>0</v>
          </cell>
        </row>
        <row r="704">
          <cell r="S704">
            <v>0</v>
          </cell>
        </row>
        <row r="705">
          <cell r="S705">
            <v>0</v>
          </cell>
        </row>
        <row r="706">
          <cell r="S706">
            <v>0</v>
          </cell>
        </row>
        <row r="707">
          <cell r="S707">
            <v>0</v>
          </cell>
        </row>
        <row r="708">
          <cell r="F708">
            <v>0</v>
          </cell>
          <cell r="S708">
            <v>1551368</v>
          </cell>
        </row>
        <row r="709">
          <cell r="F709">
            <v>0</v>
          </cell>
          <cell r="S709">
            <v>0</v>
          </cell>
        </row>
        <row r="710">
          <cell r="F710">
            <v>0</v>
          </cell>
          <cell r="S710">
            <v>0</v>
          </cell>
        </row>
        <row r="711">
          <cell r="F711">
            <v>0</v>
          </cell>
          <cell r="S711">
            <v>0</v>
          </cell>
        </row>
        <row r="712">
          <cell r="F712">
            <v>563114</v>
          </cell>
          <cell r="S712">
            <v>3663736</v>
          </cell>
        </row>
        <row r="713">
          <cell r="F713">
            <v>0</v>
          </cell>
          <cell r="S713">
            <v>0</v>
          </cell>
        </row>
        <row r="714">
          <cell r="F714">
            <v>0</v>
          </cell>
          <cell r="S714">
            <v>0</v>
          </cell>
        </row>
        <row r="715">
          <cell r="F715">
            <v>0</v>
          </cell>
          <cell r="S715">
            <v>0</v>
          </cell>
        </row>
        <row r="716">
          <cell r="F716">
            <v>232110</v>
          </cell>
          <cell r="S716">
            <v>6858329</v>
          </cell>
        </row>
        <row r="717">
          <cell r="F717">
            <v>8840</v>
          </cell>
          <cell r="S717">
            <v>586521</v>
          </cell>
        </row>
        <row r="718">
          <cell r="F718">
            <v>0</v>
          </cell>
          <cell r="S718">
            <v>0</v>
          </cell>
        </row>
        <row r="719">
          <cell r="F719">
            <v>43200</v>
          </cell>
          <cell r="S719">
            <v>3055320</v>
          </cell>
        </row>
        <row r="720">
          <cell r="F720">
            <v>11400</v>
          </cell>
          <cell r="S720">
            <v>1402243</v>
          </cell>
        </row>
        <row r="721">
          <cell r="F721">
            <v>572190</v>
          </cell>
          <cell r="S721">
            <v>9361923</v>
          </cell>
        </row>
        <row r="722">
          <cell r="F722">
            <v>0</v>
          </cell>
          <cell r="S722">
            <v>0</v>
          </cell>
        </row>
        <row r="723">
          <cell r="F723">
            <v>0</v>
          </cell>
          <cell r="S723">
            <v>0</v>
          </cell>
        </row>
        <row r="724">
          <cell r="F724">
            <v>0</v>
          </cell>
          <cell r="S724">
            <v>194444</v>
          </cell>
        </row>
        <row r="725">
          <cell r="F725">
            <v>0</v>
          </cell>
          <cell r="S725">
            <v>0</v>
          </cell>
        </row>
        <row r="726">
          <cell r="F726">
            <v>0</v>
          </cell>
          <cell r="S726">
            <v>0</v>
          </cell>
        </row>
        <row r="727">
          <cell r="F727">
            <v>0</v>
          </cell>
          <cell r="S727">
            <v>0</v>
          </cell>
        </row>
        <row r="728">
          <cell r="F728">
            <v>0</v>
          </cell>
          <cell r="S728">
            <v>411027</v>
          </cell>
        </row>
        <row r="729">
          <cell r="F729">
            <v>9000</v>
          </cell>
          <cell r="S729">
            <v>2579623</v>
          </cell>
        </row>
        <row r="730">
          <cell r="F730">
            <v>19440</v>
          </cell>
          <cell r="S730">
            <v>953947</v>
          </cell>
        </row>
        <row r="731">
          <cell r="F731">
            <v>3570</v>
          </cell>
          <cell r="S731">
            <v>46534</v>
          </cell>
        </row>
        <row r="732">
          <cell r="F732">
            <v>18600</v>
          </cell>
          <cell r="S732">
            <v>922068</v>
          </cell>
        </row>
        <row r="733">
          <cell r="F733">
            <v>20400</v>
          </cell>
          <cell r="S733">
            <v>5288062</v>
          </cell>
        </row>
        <row r="734">
          <cell r="F734">
            <v>0</v>
          </cell>
          <cell r="S734">
            <v>0</v>
          </cell>
        </row>
        <row r="735">
          <cell r="F735">
            <v>0</v>
          </cell>
          <cell r="S735">
            <v>0</v>
          </cell>
        </row>
        <row r="736">
          <cell r="F736">
            <v>0</v>
          </cell>
          <cell r="S736">
            <v>0</v>
          </cell>
        </row>
        <row r="737">
          <cell r="F737">
            <v>0</v>
          </cell>
          <cell r="S737">
            <v>0</v>
          </cell>
        </row>
        <row r="738">
          <cell r="F738">
            <v>0</v>
          </cell>
          <cell r="S738">
            <v>0</v>
          </cell>
        </row>
        <row r="739">
          <cell r="F739">
            <v>0</v>
          </cell>
          <cell r="S739">
            <v>0</v>
          </cell>
        </row>
        <row r="740">
          <cell r="F740">
            <v>0</v>
          </cell>
          <cell r="S740">
            <v>0</v>
          </cell>
        </row>
        <row r="741">
          <cell r="F741">
            <v>3874214</v>
          </cell>
          <cell r="S741">
            <v>41778066</v>
          </cell>
        </row>
        <row r="742">
          <cell r="F742">
            <v>0</v>
          </cell>
          <cell r="S742">
            <v>0</v>
          </cell>
        </row>
        <row r="743">
          <cell r="F743">
            <v>0</v>
          </cell>
          <cell r="S743">
            <v>0</v>
          </cell>
        </row>
        <row r="744">
          <cell r="F744">
            <v>0</v>
          </cell>
          <cell r="S744">
            <v>0</v>
          </cell>
        </row>
        <row r="745">
          <cell r="F745">
            <v>0</v>
          </cell>
          <cell r="S745">
            <v>0</v>
          </cell>
        </row>
        <row r="746">
          <cell r="S746">
            <v>0</v>
          </cell>
        </row>
        <row r="747">
          <cell r="S747">
            <v>0</v>
          </cell>
        </row>
        <row r="748">
          <cell r="S748">
            <v>0</v>
          </cell>
        </row>
        <row r="749">
          <cell r="S749">
            <v>0</v>
          </cell>
        </row>
        <row r="750">
          <cell r="S750">
            <v>0</v>
          </cell>
        </row>
        <row r="751">
          <cell r="S751">
            <v>0</v>
          </cell>
        </row>
        <row r="752">
          <cell r="S752">
            <v>0</v>
          </cell>
        </row>
        <row r="753">
          <cell r="S753">
            <v>0</v>
          </cell>
        </row>
        <row r="754">
          <cell r="S754">
            <v>0</v>
          </cell>
        </row>
        <row r="755">
          <cell r="S755">
            <v>0</v>
          </cell>
        </row>
        <row r="756">
          <cell r="S756">
            <v>0</v>
          </cell>
        </row>
        <row r="757">
          <cell r="S757">
            <v>0</v>
          </cell>
        </row>
        <row r="758">
          <cell r="S758">
            <v>0</v>
          </cell>
        </row>
        <row r="759">
          <cell r="S759">
            <v>0</v>
          </cell>
        </row>
        <row r="760">
          <cell r="S760">
            <v>0</v>
          </cell>
        </row>
        <row r="761">
          <cell r="S761">
            <v>0</v>
          </cell>
        </row>
        <row r="762">
          <cell r="S762">
            <v>0</v>
          </cell>
        </row>
        <row r="763">
          <cell r="S763">
            <v>0</v>
          </cell>
        </row>
        <row r="764">
          <cell r="S764">
            <v>0</v>
          </cell>
        </row>
        <row r="765">
          <cell r="S765">
            <v>0</v>
          </cell>
        </row>
        <row r="766">
          <cell r="S766">
            <v>0</v>
          </cell>
        </row>
        <row r="767">
          <cell r="S767">
            <v>0</v>
          </cell>
        </row>
        <row r="768">
          <cell r="S768">
            <v>0</v>
          </cell>
        </row>
        <row r="769">
          <cell r="S769">
            <v>0</v>
          </cell>
        </row>
        <row r="770">
          <cell r="S770">
            <v>0</v>
          </cell>
        </row>
        <row r="771">
          <cell r="S771">
            <v>0</v>
          </cell>
        </row>
        <row r="772">
          <cell r="S772">
            <v>0</v>
          </cell>
        </row>
        <row r="773">
          <cell r="S773">
            <v>0</v>
          </cell>
        </row>
        <row r="774">
          <cell r="S774">
            <v>0</v>
          </cell>
        </row>
        <row r="775">
          <cell r="S775">
            <v>0</v>
          </cell>
        </row>
        <row r="776">
          <cell r="S776">
            <v>0</v>
          </cell>
        </row>
        <row r="777">
          <cell r="S777">
            <v>0</v>
          </cell>
        </row>
        <row r="778">
          <cell r="S778">
            <v>0</v>
          </cell>
        </row>
        <row r="779">
          <cell r="S779">
            <v>0</v>
          </cell>
        </row>
        <row r="780">
          <cell r="S780">
            <v>0</v>
          </cell>
        </row>
        <row r="781">
          <cell r="S781">
            <v>0</v>
          </cell>
        </row>
        <row r="782">
          <cell r="S782">
            <v>0</v>
          </cell>
        </row>
        <row r="783">
          <cell r="S783">
            <v>0</v>
          </cell>
        </row>
        <row r="784">
          <cell r="S784">
            <v>0</v>
          </cell>
        </row>
        <row r="785">
          <cell r="S785">
            <v>0</v>
          </cell>
        </row>
        <row r="786">
          <cell r="S786">
            <v>0</v>
          </cell>
        </row>
        <row r="787">
          <cell r="S787">
            <v>0</v>
          </cell>
        </row>
        <row r="788">
          <cell r="S788">
            <v>0</v>
          </cell>
        </row>
        <row r="789">
          <cell r="S789">
            <v>0</v>
          </cell>
        </row>
        <row r="790">
          <cell r="S790">
            <v>0</v>
          </cell>
        </row>
        <row r="791">
          <cell r="S791">
            <v>0</v>
          </cell>
        </row>
        <row r="792">
          <cell r="S792">
            <v>0</v>
          </cell>
        </row>
        <row r="793">
          <cell r="S793">
            <v>0</v>
          </cell>
        </row>
        <row r="794">
          <cell r="S794">
            <v>0</v>
          </cell>
        </row>
        <row r="795">
          <cell r="S795">
            <v>0</v>
          </cell>
        </row>
        <row r="796">
          <cell r="S796">
            <v>0</v>
          </cell>
        </row>
        <row r="797">
          <cell r="S797">
            <v>0</v>
          </cell>
        </row>
        <row r="798">
          <cell r="S798">
            <v>0</v>
          </cell>
        </row>
        <row r="799">
          <cell r="S799">
            <v>0</v>
          </cell>
        </row>
        <row r="800">
          <cell r="S800">
            <v>0</v>
          </cell>
        </row>
        <row r="801">
          <cell r="S801">
            <v>0</v>
          </cell>
        </row>
        <row r="802">
          <cell r="S802">
            <v>0</v>
          </cell>
        </row>
        <row r="803">
          <cell r="S803">
            <v>0</v>
          </cell>
        </row>
        <row r="804">
          <cell r="S804">
            <v>0</v>
          </cell>
        </row>
        <row r="805">
          <cell r="S805">
            <v>0</v>
          </cell>
        </row>
        <row r="806">
          <cell r="S806">
            <v>0</v>
          </cell>
        </row>
        <row r="807">
          <cell r="S807">
            <v>0</v>
          </cell>
        </row>
        <row r="808">
          <cell r="S808">
            <v>0</v>
          </cell>
        </row>
        <row r="809">
          <cell r="S809">
            <v>0</v>
          </cell>
        </row>
        <row r="810">
          <cell r="S810">
            <v>0</v>
          </cell>
        </row>
        <row r="811">
          <cell r="S811">
            <v>0</v>
          </cell>
        </row>
        <row r="812">
          <cell r="S812">
            <v>0</v>
          </cell>
        </row>
        <row r="813">
          <cell r="S813">
            <v>0</v>
          </cell>
        </row>
        <row r="814">
          <cell r="S814">
            <v>0</v>
          </cell>
        </row>
        <row r="815">
          <cell r="S815">
            <v>0</v>
          </cell>
        </row>
        <row r="816">
          <cell r="S816">
            <v>0</v>
          </cell>
        </row>
        <row r="817">
          <cell r="S817">
            <v>0</v>
          </cell>
        </row>
        <row r="818">
          <cell r="S818">
            <v>0</v>
          </cell>
        </row>
        <row r="819">
          <cell r="S819">
            <v>0</v>
          </cell>
        </row>
        <row r="820">
          <cell r="S820">
            <v>0</v>
          </cell>
        </row>
        <row r="821">
          <cell r="S821">
            <v>0</v>
          </cell>
        </row>
        <row r="822">
          <cell r="S822">
            <v>0</v>
          </cell>
        </row>
        <row r="823">
          <cell r="S823">
            <v>0</v>
          </cell>
        </row>
        <row r="824">
          <cell r="S824">
            <v>0</v>
          </cell>
        </row>
        <row r="825">
          <cell r="F825">
            <v>0</v>
          </cell>
          <cell r="S825">
            <v>1547379</v>
          </cell>
        </row>
        <row r="826">
          <cell r="F826">
            <v>0</v>
          </cell>
          <cell r="S826">
            <v>0</v>
          </cell>
        </row>
        <row r="827">
          <cell r="F827">
            <v>0</v>
          </cell>
          <cell r="S827">
            <v>0</v>
          </cell>
        </row>
        <row r="828">
          <cell r="F828">
            <v>0</v>
          </cell>
          <cell r="S828">
            <v>0</v>
          </cell>
        </row>
        <row r="829">
          <cell r="F829">
            <v>563329</v>
          </cell>
          <cell r="S829">
            <v>3685250</v>
          </cell>
        </row>
        <row r="830">
          <cell r="F830">
            <v>0</v>
          </cell>
          <cell r="S830">
            <v>0</v>
          </cell>
        </row>
        <row r="831">
          <cell r="F831">
            <v>0</v>
          </cell>
          <cell r="S831">
            <v>0</v>
          </cell>
        </row>
        <row r="832">
          <cell r="F832">
            <v>0</v>
          </cell>
          <cell r="S832">
            <v>0</v>
          </cell>
        </row>
        <row r="833">
          <cell r="F833">
            <v>232110</v>
          </cell>
          <cell r="S833">
            <v>6884419</v>
          </cell>
        </row>
        <row r="834">
          <cell r="F834">
            <v>8840</v>
          </cell>
          <cell r="S834">
            <v>584395</v>
          </cell>
        </row>
        <row r="835">
          <cell r="F835">
            <v>0</v>
          </cell>
          <cell r="S835">
            <v>0</v>
          </cell>
        </row>
        <row r="836">
          <cell r="F836">
            <v>43400</v>
          </cell>
          <cell r="S836">
            <v>3090495</v>
          </cell>
        </row>
        <row r="837">
          <cell r="F837">
            <v>11400</v>
          </cell>
          <cell r="S837">
            <v>1397428</v>
          </cell>
        </row>
        <row r="838">
          <cell r="F838">
            <v>572408</v>
          </cell>
          <cell r="S838">
            <v>9417242</v>
          </cell>
        </row>
        <row r="839">
          <cell r="F839">
            <v>0</v>
          </cell>
          <cell r="S839">
            <v>0</v>
          </cell>
        </row>
        <row r="840">
          <cell r="F840">
            <v>0</v>
          </cell>
          <cell r="S840">
            <v>0</v>
          </cell>
        </row>
        <row r="841">
          <cell r="F841">
            <v>0</v>
          </cell>
          <cell r="S841">
            <v>189524</v>
          </cell>
        </row>
        <row r="842">
          <cell r="F842">
            <v>0</v>
          </cell>
          <cell r="S842">
            <v>0</v>
          </cell>
        </row>
        <row r="843">
          <cell r="F843">
            <v>0</v>
          </cell>
          <cell r="S843">
            <v>0</v>
          </cell>
        </row>
        <row r="844">
          <cell r="F844">
            <v>0</v>
          </cell>
          <cell r="S844">
            <v>0</v>
          </cell>
        </row>
        <row r="845">
          <cell r="F845">
            <v>0</v>
          </cell>
          <cell r="S845">
            <v>404825</v>
          </cell>
        </row>
        <row r="846">
          <cell r="F846">
            <v>9000</v>
          </cell>
          <cell r="S846">
            <v>2793048</v>
          </cell>
        </row>
        <row r="847">
          <cell r="F847">
            <v>19440</v>
          </cell>
          <cell r="S847">
            <v>931483</v>
          </cell>
        </row>
        <row r="848">
          <cell r="F848">
            <v>3570</v>
          </cell>
          <cell r="S848">
            <v>49118</v>
          </cell>
        </row>
        <row r="849">
          <cell r="F849">
            <v>18800</v>
          </cell>
          <cell r="S849">
            <v>937543</v>
          </cell>
        </row>
        <row r="850">
          <cell r="F850">
            <v>20700</v>
          </cell>
          <cell r="S850">
            <v>5581566</v>
          </cell>
        </row>
        <row r="851">
          <cell r="F851">
            <v>0</v>
          </cell>
          <cell r="S851">
            <v>0</v>
          </cell>
        </row>
        <row r="852">
          <cell r="F852">
            <v>0</v>
          </cell>
          <cell r="S852">
            <v>0</v>
          </cell>
        </row>
        <row r="853">
          <cell r="F853">
            <v>0</v>
          </cell>
          <cell r="S853">
            <v>0</v>
          </cell>
        </row>
        <row r="854">
          <cell r="F854">
            <v>0</v>
          </cell>
          <cell r="S854">
            <v>0</v>
          </cell>
        </row>
        <row r="855">
          <cell r="F855">
            <v>0</v>
          </cell>
          <cell r="S855">
            <v>0</v>
          </cell>
        </row>
        <row r="856">
          <cell r="F856">
            <v>0</v>
          </cell>
          <cell r="S856">
            <v>0</v>
          </cell>
        </row>
        <row r="857">
          <cell r="F857">
            <v>0</v>
          </cell>
          <cell r="S857">
            <v>0</v>
          </cell>
        </row>
        <row r="858">
          <cell r="F858">
            <v>3876429</v>
          </cell>
          <cell r="S858">
            <v>41735766</v>
          </cell>
        </row>
        <row r="859">
          <cell r="F859">
            <v>0</v>
          </cell>
          <cell r="S859">
            <v>0</v>
          </cell>
        </row>
        <row r="860">
          <cell r="F860">
            <v>0</v>
          </cell>
          <cell r="S860">
            <v>0</v>
          </cell>
        </row>
        <row r="861">
          <cell r="F861">
            <v>0</v>
          </cell>
          <cell r="S861">
            <v>0</v>
          </cell>
        </row>
        <row r="862">
          <cell r="F862">
            <v>0</v>
          </cell>
          <cell r="S862">
            <v>0</v>
          </cell>
        </row>
        <row r="863">
          <cell r="S863">
            <v>0</v>
          </cell>
        </row>
        <row r="864">
          <cell r="S864">
            <v>0</v>
          </cell>
        </row>
        <row r="865">
          <cell r="S865">
            <v>0</v>
          </cell>
        </row>
        <row r="866">
          <cell r="S866">
            <v>0</v>
          </cell>
        </row>
        <row r="867">
          <cell r="S867">
            <v>0</v>
          </cell>
        </row>
        <row r="868">
          <cell r="S868">
            <v>0</v>
          </cell>
        </row>
        <row r="869">
          <cell r="S869">
            <v>0</v>
          </cell>
        </row>
        <row r="870">
          <cell r="S870">
            <v>0</v>
          </cell>
        </row>
        <row r="871">
          <cell r="S871">
            <v>0</v>
          </cell>
        </row>
        <row r="872">
          <cell r="S872">
            <v>0</v>
          </cell>
        </row>
        <row r="873">
          <cell r="S873">
            <v>0</v>
          </cell>
        </row>
        <row r="874">
          <cell r="S874">
            <v>0</v>
          </cell>
        </row>
        <row r="875">
          <cell r="S875">
            <v>0</v>
          </cell>
        </row>
        <row r="876">
          <cell r="S876">
            <v>0</v>
          </cell>
        </row>
        <row r="877">
          <cell r="S877">
            <v>0</v>
          </cell>
        </row>
        <row r="878">
          <cell r="S878">
            <v>0</v>
          </cell>
        </row>
        <row r="879">
          <cell r="S879">
            <v>0</v>
          </cell>
        </row>
        <row r="880">
          <cell r="S880">
            <v>0</v>
          </cell>
        </row>
        <row r="881">
          <cell r="S881">
            <v>0</v>
          </cell>
        </row>
        <row r="882">
          <cell r="S882">
            <v>0</v>
          </cell>
        </row>
        <row r="883">
          <cell r="S883">
            <v>0</v>
          </cell>
        </row>
        <row r="884">
          <cell r="S884">
            <v>0</v>
          </cell>
        </row>
        <row r="885">
          <cell r="S885">
            <v>0</v>
          </cell>
        </row>
        <row r="886">
          <cell r="S886">
            <v>0</v>
          </cell>
        </row>
        <row r="887">
          <cell r="S887">
            <v>0</v>
          </cell>
        </row>
        <row r="888">
          <cell r="S888">
            <v>0</v>
          </cell>
        </row>
        <row r="889">
          <cell r="S889">
            <v>0</v>
          </cell>
        </row>
        <row r="890">
          <cell r="S890">
            <v>0</v>
          </cell>
        </row>
        <row r="891">
          <cell r="S891">
            <v>0</v>
          </cell>
        </row>
        <row r="892">
          <cell r="S892">
            <v>0</v>
          </cell>
        </row>
        <row r="893">
          <cell r="S893">
            <v>0</v>
          </cell>
        </row>
        <row r="894">
          <cell r="S894">
            <v>0</v>
          </cell>
        </row>
        <row r="895">
          <cell r="S895">
            <v>0</v>
          </cell>
        </row>
        <row r="896">
          <cell r="S896">
            <v>0</v>
          </cell>
        </row>
        <row r="897">
          <cell r="S897">
            <v>0</v>
          </cell>
        </row>
        <row r="898">
          <cell r="S898">
            <v>0</v>
          </cell>
        </row>
        <row r="899">
          <cell r="S899">
            <v>0</v>
          </cell>
        </row>
        <row r="900">
          <cell r="S900">
            <v>0</v>
          </cell>
        </row>
        <row r="901">
          <cell r="S901">
            <v>0</v>
          </cell>
        </row>
        <row r="902">
          <cell r="S902">
            <v>0</v>
          </cell>
        </row>
        <row r="903">
          <cell r="S903">
            <v>0</v>
          </cell>
        </row>
        <row r="904">
          <cell r="S904">
            <v>0</v>
          </cell>
        </row>
        <row r="905">
          <cell r="S905">
            <v>0</v>
          </cell>
        </row>
        <row r="906">
          <cell r="S906">
            <v>0</v>
          </cell>
        </row>
        <row r="907">
          <cell r="S907">
            <v>0</v>
          </cell>
        </row>
        <row r="908">
          <cell r="S908">
            <v>0</v>
          </cell>
        </row>
        <row r="909">
          <cell r="S909">
            <v>0</v>
          </cell>
        </row>
        <row r="910">
          <cell r="S910">
            <v>0</v>
          </cell>
        </row>
        <row r="911">
          <cell r="S911">
            <v>0</v>
          </cell>
        </row>
        <row r="912">
          <cell r="S912">
            <v>0</v>
          </cell>
        </row>
        <row r="913">
          <cell r="S913">
            <v>0</v>
          </cell>
        </row>
        <row r="914">
          <cell r="S914">
            <v>0</v>
          </cell>
        </row>
        <row r="915">
          <cell r="S915">
            <v>0</v>
          </cell>
        </row>
        <row r="916">
          <cell r="S916">
            <v>0</v>
          </cell>
        </row>
        <row r="917">
          <cell r="S917">
            <v>0</v>
          </cell>
        </row>
        <row r="918">
          <cell r="S918">
            <v>0</v>
          </cell>
        </row>
        <row r="919">
          <cell r="S919">
            <v>0</v>
          </cell>
        </row>
        <row r="920">
          <cell r="S920">
            <v>0</v>
          </cell>
        </row>
        <row r="921">
          <cell r="S921">
            <v>0</v>
          </cell>
        </row>
        <row r="922">
          <cell r="S922">
            <v>0</v>
          </cell>
        </row>
        <row r="923">
          <cell r="S923">
            <v>0</v>
          </cell>
        </row>
        <row r="924">
          <cell r="S924">
            <v>0</v>
          </cell>
        </row>
        <row r="925">
          <cell r="S925">
            <v>0</v>
          </cell>
        </row>
        <row r="926">
          <cell r="S926">
            <v>0</v>
          </cell>
        </row>
        <row r="927">
          <cell r="S927">
            <v>0</v>
          </cell>
        </row>
        <row r="928">
          <cell r="S928">
            <v>0</v>
          </cell>
        </row>
        <row r="929">
          <cell r="S929">
            <v>0</v>
          </cell>
        </row>
        <row r="930">
          <cell r="S930">
            <v>0</v>
          </cell>
        </row>
        <row r="931">
          <cell r="S931">
            <v>0</v>
          </cell>
        </row>
        <row r="932">
          <cell r="S932">
            <v>0</v>
          </cell>
        </row>
        <row r="933">
          <cell r="S933">
            <v>0</v>
          </cell>
        </row>
        <row r="934">
          <cell r="S934">
            <v>0</v>
          </cell>
        </row>
        <row r="935">
          <cell r="S935">
            <v>0</v>
          </cell>
        </row>
        <row r="936">
          <cell r="S936">
            <v>0</v>
          </cell>
        </row>
        <row r="937">
          <cell r="S937">
            <v>0</v>
          </cell>
        </row>
        <row r="938">
          <cell r="S938">
            <v>0</v>
          </cell>
        </row>
        <row r="939">
          <cell r="S939">
            <v>0</v>
          </cell>
        </row>
        <row r="940">
          <cell r="S940">
            <v>0</v>
          </cell>
        </row>
        <row r="941">
          <cell r="S941">
            <v>0</v>
          </cell>
        </row>
        <row r="942">
          <cell r="F942">
            <v>0</v>
          </cell>
          <cell r="S942">
            <v>1520867</v>
          </cell>
        </row>
        <row r="943">
          <cell r="F943">
            <v>0</v>
          </cell>
          <cell r="S943">
            <v>0</v>
          </cell>
        </row>
        <row r="944">
          <cell r="F944">
            <v>0</v>
          </cell>
          <cell r="S944">
            <v>0</v>
          </cell>
        </row>
        <row r="945">
          <cell r="F945">
            <v>0</v>
          </cell>
          <cell r="S945">
            <v>0</v>
          </cell>
        </row>
        <row r="946">
          <cell r="F946">
            <v>563545</v>
          </cell>
          <cell r="S946">
            <v>3006791</v>
          </cell>
        </row>
        <row r="947">
          <cell r="F947">
            <v>0</v>
          </cell>
          <cell r="S947">
            <v>0</v>
          </cell>
        </row>
        <row r="948">
          <cell r="F948">
            <v>0</v>
          </cell>
          <cell r="S948">
            <v>0</v>
          </cell>
        </row>
        <row r="949">
          <cell r="F949">
            <v>0</v>
          </cell>
          <cell r="S949">
            <v>0</v>
          </cell>
        </row>
        <row r="950">
          <cell r="F950">
            <v>232110</v>
          </cell>
          <cell r="S950">
            <v>5835089</v>
          </cell>
        </row>
        <row r="951">
          <cell r="F951">
            <v>8840</v>
          </cell>
          <cell r="S951">
            <v>517480</v>
          </cell>
        </row>
        <row r="952">
          <cell r="F952">
            <v>0</v>
          </cell>
          <cell r="S952">
            <v>0</v>
          </cell>
        </row>
        <row r="953">
          <cell r="F953">
            <v>43600</v>
          </cell>
          <cell r="S953">
            <v>2639844</v>
          </cell>
        </row>
        <row r="954">
          <cell r="F954">
            <v>11400</v>
          </cell>
          <cell r="S954">
            <v>1245907</v>
          </cell>
        </row>
        <row r="955">
          <cell r="F955">
            <v>572627</v>
          </cell>
          <cell r="S955">
            <v>7672633</v>
          </cell>
        </row>
        <row r="956">
          <cell r="F956">
            <v>0</v>
          </cell>
          <cell r="S956">
            <v>0</v>
          </cell>
        </row>
        <row r="957">
          <cell r="F957">
            <v>0</v>
          </cell>
          <cell r="S957">
            <v>0</v>
          </cell>
        </row>
        <row r="958">
          <cell r="F958">
            <v>0</v>
          </cell>
          <cell r="S958">
            <v>196876</v>
          </cell>
        </row>
        <row r="959">
          <cell r="F959">
            <v>0</v>
          </cell>
          <cell r="S959">
            <v>0</v>
          </cell>
        </row>
        <row r="960">
          <cell r="F960">
            <v>0</v>
          </cell>
          <cell r="S960">
            <v>0</v>
          </cell>
        </row>
        <row r="961">
          <cell r="F961">
            <v>0</v>
          </cell>
          <cell r="S961">
            <v>0</v>
          </cell>
        </row>
        <row r="962">
          <cell r="F962">
            <v>0</v>
          </cell>
          <cell r="S962">
            <v>319396</v>
          </cell>
        </row>
        <row r="963">
          <cell r="F963">
            <v>9000</v>
          </cell>
          <cell r="S963">
            <v>2316497</v>
          </cell>
        </row>
        <row r="964">
          <cell r="F964">
            <v>19350</v>
          </cell>
          <cell r="S964">
            <v>798098</v>
          </cell>
        </row>
        <row r="965">
          <cell r="F965">
            <v>3570</v>
          </cell>
          <cell r="S965">
            <v>40172</v>
          </cell>
        </row>
        <row r="966">
          <cell r="F966">
            <v>19000</v>
          </cell>
          <cell r="S966">
            <v>820060</v>
          </cell>
        </row>
        <row r="967">
          <cell r="F967">
            <v>20700</v>
          </cell>
          <cell r="S967">
            <v>4564973</v>
          </cell>
        </row>
        <row r="968">
          <cell r="F968">
            <v>0</v>
          </cell>
          <cell r="S968">
            <v>0</v>
          </cell>
        </row>
        <row r="969">
          <cell r="F969">
            <v>0</v>
          </cell>
          <cell r="S969">
            <v>0</v>
          </cell>
        </row>
        <row r="970">
          <cell r="F970">
            <v>0</v>
          </cell>
          <cell r="S970">
            <v>0</v>
          </cell>
        </row>
        <row r="971">
          <cell r="F971">
            <v>0</v>
          </cell>
          <cell r="S971">
            <v>0</v>
          </cell>
        </row>
        <row r="972">
          <cell r="F972">
            <v>0</v>
          </cell>
          <cell r="S972">
            <v>0</v>
          </cell>
        </row>
        <row r="973">
          <cell r="F973">
            <v>0</v>
          </cell>
          <cell r="S973">
            <v>0</v>
          </cell>
        </row>
        <row r="974">
          <cell r="F974">
            <v>0</v>
          </cell>
          <cell r="S974">
            <v>0</v>
          </cell>
        </row>
        <row r="975">
          <cell r="F975">
            <v>3878654</v>
          </cell>
          <cell r="S975">
            <v>31289022</v>
          </cell>
        </row>
        <row r="976">
          <cell r="F976">
            <v>0</v>
          </cell>
          <cell r="S976">
            <v>0</v>
          </cell>
        </row>
        <row r="977">
          <cell r="F977">
            <v>0</v>
          </cell>
          <cell r="S977">
            <v>0</v>
          </cell>
        </row>
        <row r="978">
          <cell r="F978">
            <v>0</v>
          </cell>
          <cell r="S978">
            <v>0</v>
          </cell>
        </row>
        <row r="979">
          <cell r="F979">
            <v>0</v>
          </cell>
          <cell r="S979">
            <v>0</v>
          </cell>
        </row>
        <row r="980">
          <cell r="S980">
            <v>0</v>
          </cell>
        </row>
        <row r="981">
          <cell r="S981">
            <v>0</v>
          </cell>
        </row>
        <row r="982">
          <cell r="S982">
            <v>0</v>
          </cell>
        </row>
        <row r="983">
          <cell r="S983">
            <v>0</v>
          </cell>
        </row>
        <row r="984">
          <cell r="S984">
            <v>0</v>
          </cell>
        </row>
        <row r="985">
          <cell r="S985">
            <v>0</v>
          </cell>
        </row>
        <row r="986">
          <cell r="S986">
            <v>0</v>
          </cell>
        </row>
        <row r="987">
          <cell r="S987">
            <v>0</v>
          </cell>
        </row>
        <row r="988">
          <cell r="S988">
            <v>0</v>
          </cell>
        </row>
        <row r="989">
          <cell r="S989">
            <v>0</v>
          </cell>
        </row>
        <row r="990">
          <cell r="S990">
            <v>0</v>
          </cell>
        </row>
        <row r="991">
          <cell r="S991">
            <v>0</v>
          </cell>
        </row>
        <row r="992">
          <cell r="S992">
            <v>0</v>
          </cell>
        </row>
        <row r="993">
          <cell r="S993">
            <v>0</v>
          </cell>
        </row>
        <row r="994">
          <cell r="S994">
            <v>0</v>
          </cell>
        </row>
        <row r="995">
          <cell r="S995">
            <v>0</v>
          </cell>
        </row>
        <row r="996">
          <cell r="S996">
            <v>0</v>
          </cell>
        </row>
        <row r="997">
          <cell r="S997">
            <v>0</v>
          </cell>
        </row>
        <row r="998">
          <cell r="S998">
            <v>0</v>
          </cell>
        </row>
        <row r="999">
          <cell r="S999">
            <v>0</v>
          </cell>
        </row>
        <row r="1000">
          <cell r="S1000">
            <v>0</v>
          </cell>
        </row>
        <row r="1001">
          <cell r="S1001">
            <v>0</v>
          </cell>
        </row>
        <row r="1002">
          <cell r="S1002">
            <v>0</v>
          </cell>
        </row>
        <row r="1003">
          <cell r="S1003">
            <v>0</v>
          </cell>
        </row>
        <row r="1004">
          <cell r="S1004">
            <v>0</v>
          </cell>
        </row>
        <row r="1005">
          <cell r="S1005">
            <v>0</v>
          </cell>
        </row>
        <row r="1006">
          <cell r="S1006">
            <v>0</v>
          </cell>
        </row>
        <row r="1007">
          <cell r="S1007">
            <v>0</v>
          </cell>
        </row>
        <row r="1008">
          <cell r="S1008">
            <v>0</v>
          </cell>
        </row>
        <row r="1009">
          <cell r="S1009">
            <v>0</v>
          </cell>
        </row>
        <row r="1010">
          <cell r="S1010">
            <v>0</v>
          </cell>
        </row>
        <row r="1011">
          <cell r="S1011">
            <v>0</v>
          </cell>
        </row>
        <row r="1012">
          <cell r="S1012">
            <v>0</v>
          </cell>
        </row>
        <row r="1013">
          <cell r="S1013">
            <v>0</v>
          </cell>
        </row>
        <row r="1014">
          <cell r="S1014">
            <v>0</v>
          </cell>
        </row>
        <row r="1015">
          <cell r="S1015">
            <v>0</v>
          </cell>
        </row>
        <row r="1016">
          <cell r="S1016">
            <v>0</v>
          </cell>
        </row>
        <row r="1017">
          <cell r="S1017">
            <v>0</v>
          </cell>
        </row>
        <row r="1018">
          <cell r="S1018">
            <v>0</v>
          </cell>
        </row>
        <row r="1019">
          <cell r="S1019">
            <v>0</v>
          </cell>
        </row>
        <row r="1020">
          <cell r="S1020">
            <v>0</v>
          </cell>
        </row>
        <row r="1021">
          <cell r="S1021">
            <v>0</v>
          </cell>
        </row>
        <row r="1022">
          <cell r="S1022">
            <v>0</v>
          </cell>
        </row>
        <row r="1023">
          <cell r="S1023">
            <v>0</v>
          </cell>
        </row>
        <row r="1024">
          <cell r="S1024">
            <v>0</v>
          </cell>
        </row>
        <row r="1025">
          <cell r="S1025">
            <v>0</v>
          </cell>
        </row>
        <row r="1026">
          <cell r="S1026">
            <v>0</v>
          </cell>
        </row>
        <row r="1027">
          <cell r="S1027">
            <v>0</v>
          </cell>
        </row>
        <row r="1028">
          <cell r="S1028">
            <v>0</v>
          </cell>
        </row>
        <row r="1029">
          <cell r="S1029">
            <v>0</v>
          </cell>
        </row>
        <row r="1030">
          <cell r="S1030">
            <v>0</v>
          </cell>
        </row>
        <row r="1031">
          <cell r="S1031">
            <v>0</v>
          </cell>
        </row>
        <row r="1032">
          <cell r="S1032">
            <v>0</v>
          </cell>
        </row>
        <row r="1033">
          <cell r="S1033">
            <v>0</v>
          </cell>
        </row>
        <row r="1034">
          <cell r="S1034">
            <v>0</v>
          </cell>
        </row>
        <row r="1035">
          <cell r="S1035">
            <v>0</v>
          </cell>
        </row>
        <row r="1036">
          <cell r="S1036">
            <v>0</v>
          </cell>
        </row>
        <row r="1037">
          <cell r="S1037">
            <v>0</v>
          </cell>
        </row>
        <row r="1038">
          <cell r="S1038">
            <v>0</v>
          </cell>
        </row>
        <row r="1039">
          <cell r="S1039">
            <v>0</v>
          </cell>
        </row>
        <row r="1040">
          <cell r="S1040">
            <v>0</v>
          </cell>
        </row>
        <row r="1041">
          <cell r="S1041">
            <v>0</v>
          </cell>
        </row>
        <row r="1042">
          <cell r="S1042">
            <v>0</v>
          </cell>
        </row>
        <row r="1043">
          <cell r="S1043">
            <v>0</v>
          </cell>
        </row>
        <row r="1044">
          <cell r="S1044">
            <v>0</v>
          </cell>
        </row>
        <row r="1045">
          <cell r="S1045">
            <v>0</v>
          </cell>
        </row>
        <row r="1046">
          <cell r="S1046">
            <v>0</v>
          </cell>
        </row>
        <row r="1047">
          <cell r="S1047">
            <v>0</v>
          </cell>
        </row>
        <row r="1048">
          <cell r="S1048">
            <v>0</v>
          </cell>
        </row>
        <row r="1049">
          <cell r="S1049">
            <v>0</v>
          </cell>
        </row>
        <row r="1050">
          <cell r="S1050">
            <v>0</v>
          </cell>
        </row>
        <row r="1051">
          <cell r="S1051">
            <v>0</v>
          </cell>
        </row>
        <row r="1052">
          <cell r="S1052">
            <v>0</v>
          </cell>
        </row>
        <row r="1053">
          <cell r="S1053">
            <v>0</v>
          </cell>
        </row>
        <row r="1054">
          <cell r="S1054">
            <v>0</v>
          </cell>
        </row>
        <row r="1055">
          <cell r="S1055">
            <v>0</v>
          </cell>
        </row>
        <row r="1056">
          <cell r="S1056">
            <v>0</v>
          </cell>
        </row>
        <row r="1057">
          <cell r="S1057">
            <v>0</v>
          </cell>
        </row>
        <row r="1058">
          <cell r="S1058">
            <v>0</v>
          </cell>
        </row>
        <row r="1059">
          <cell r="F1059">
            <v>0</v>
          </cell>
          <cell r="S1059">
            <v>1533182</v>
          </cell>
        </row>
        <row r="1060">
          <cell r="F1060">
            <v>0</v>
          </cell>
          <cell r="S1060">
            <v>0</v>
          </cell>
        </row>
        <row r="1061">
          <cell r="F1061">
            <v>0</v>
          </cell>
          <cell r="S1061">
            <v>0</v>
          </cell>
        </row>
        <row r="1062">
          <cell r="F1062">
            <v>0</v>
          </cell>
          <cell r="S1062">
            <v>0</v>
          </cell>
        </row>
        <row r="1063">
          <cell r="F1063">
            <v>563760</v>
          </cell>
          <cell r="S1063">
            <v>2722086</v>
          </cell>
        </row>
        <row r="1064">
          <cell r="F1064">
            <v>0</v>
          </cell>
          <cell r="S1064">
            <v>0</v>
          </cell>
        </row>
        <row r="1065">
          <cell r="F1065">
            <v>0</v>
          </cell>
          <cell r="S1065">
            <v>0</v>
          </cell>
        </row>
        <row r="1066">
          <cell r="F1066">
            <v>0</v>
          </cell>
          <cell r="S1066">
            <v>0</v>
          </cell>
        </row>
        <row r="1067">
          <cell r="F1067">
            <v>232110</v>
          </cell>
          <cell r="S1067">
            <v>5573182</v>
          </cell>
        </row>
        <row r="1068">
          <cell r="F1068">
            <v>8840</v>
          </cell>
          <cell r="S1068">
            <v>477162</v>
          </cell>
        </row>
        <row r="1069">
          <cell r="F1069">
            <v>0</v>
          </cell>
          <cell r="S1069">
            <v>0</v>
          </cell>
        </row>
        <row r="1070">
          <cell r="F1070">
            <v>43800</v>
          </cell>
          <cell r="S1070">
            <v>2540699</v>
          </cell>
        </row>
        <row r="1071">
          <cell r="F1071">
            <v>11700</v>
          </cell>
          <cell r="S1071">
            <v>1154612</v>
          </cell>
        </row>
        <row r="1072">
          <cell r="F1072">
            <v>572846</v>
          </cell>
          <cell r="S1072">
            <v>6940535</v>
          </cell>
        </row>
        <row r="1073">
          <cell r="F1073">
            <v>0</v>
          </cell>
          <cell r="S1073">
            <v>0</v>
          </cell>
        </row>
        <row r="1074">
          <cell r="F1074">
            <v>0</v>
          </cell>
          <cell r="S1074">
            <v>0</v>
          </cell>
        </row>
        <row r="1075">
          <cell r="F1075">
            <v>0</v>
          </cell>
          <cell r="S1075">
            <v>164768</v>
          </cell>
        </row>
        <row r="1076">
          <cell r="F1076">
            <v>0</v>
          </cell>
          <cell r="S1076">
            <v>0</v>
          </cell>
        </row>
        <row r="1077">
          <cell r="F1077">
            <v>0</v>
          </cell>
          <cell r="S1077">
            <v>0</v>
          </cell>
        </row>
        <row r="1078">
          <cell r="F1078">
            <v>0</v>
          </cell>
          <cell r="S1078">
            <v>0</v>
          </cell>
        </row>
        <row r="1079">
          <cell r="F1079">
            <v>0</v>
          </cell>
          <cell r="S1079">
            <v>265286</v>
          </cell>
        </row>
        <row r="1080">
          <cell r="F1080">
            <v>9000</v>
          </cell>
          <cell r="S1080">
            <v>2486671</v>
          </cell>
        </row>
        <row r="1081">
          <cell r="F1081">
            <v>19350</v>
          </cell>
          <cell r="S1081">
            <v>787616</v>
          </cell>
        </row>
        <row r="1082">
          <cell r="F1082">
            <v>3570</v>
          </cell>
          <cell r="S1082">
            <v>40942</v>
          </cell>
        </row>
        <row r="1083">
          <cell r="F1083">
            <v>19200</v>
          </cell>
          <cell r="S1083">
            <v>810827</v>
          </cell>
        </row>
        <row r="1084">
          <cell r="F1084">
            <v>20700</v>
          </cell>
          <cell r="S1084">
            <v>4652519</v>
          </cell>
        </row>
        <row r="1085">
          <cell r="F1085">
            <v>0</v>
          </cell>
          <cell r="S1085">
            <v>0</v>
          </cell>
        </row>
        <row r="1086">
          <cell r="F1086">
            <v>0</v>
          </cell>
          <cell r="S1086">
            <v>0</v>
          </cell>
        </row>
        <row r="1087">
          <cell r="F1087">
            <v>0</v>
          </cell>
          <cell r="S1087">
            <v>0</v>
          </cell>
        </row>
        <row r="1088">
          <cell r="F1088">
            <v>0</v>
          </cell>
          <cell r="S1088">
            <v>0</v>
          </cell>
        </row>
        <row r="1089">
          <cell r="F1089">
            <v>0</v>
          </cell>
          <cell r="S1089">
            <v>0</v>
          </cell>
        </row>
        <row r="1090">
          <cell r="F1090">
            <v>0</v>
          </cell>
          <cell r="S1090">
            <v>0</v>
          </cell>
        </row>
        <row r="1091">
          <cell r="F1091">
            <v>0</v>
          </cell>
          <cell r="S1091">
            <v>0</v>
          </cell>
        </row>
        <row r="1092">
          <cell r="F1092">
            <v>3880868</v>
          </cell>
          <cell r="S1092">
            <v>22218692</v>
          </cell>
        </row>
        <row r="1093">
          <cell r="F1093">
            <v>0</v>
          </cell>
          <cell r="S1093">
            <v>0</v>
          </cell>
        </row>
        <row r="1094">
          <cell r="F1094">
            <v>0</v>
          </cell>
          <cell r="S1094">
            <v>0</v>
          </cell>
        </row>
        <row r="1095">
          <cell r="F1095">
            <v>0</v>
          </cell>
          <cell r="S1095">
            <v>0</v>
          </cell>
        </row>
        <row r="1096">
          <cell r="F1096">
            <v>0</v>
          </cell>
          <cell r="S1096">
            <v>0</v>
          </cell>
        </row>
        <row r="1097">
          <cell r="S1097">
            <v>0</v>
          </cell>
        </row>
        <row r="1098">
          <cell r="S1098">
            <v>0</v>
          </cell>
        </row>
        <row r="1099">
          <cell r="S1099">
            <v>0</v>
          </cell>
        </row>
        <row r="1100">
          <cell r="S1100">
            <v>0</v>
          </cell>
        </row>
        <row r="1101">
          <cell r="S1101">
            <v>0</v>
          </cell>
        </row>
        <row r="1102">
          <cell r="S1102">
            <v>0</v>
          </cell>
        </row>
        <row r="1103">
          <cell r="S1103">
            <v>0</v>
          </cell>
        </row>
        <row r="1104">
          <cell r="S1104">
            <v>0</v>
          </cell>
        </row>
        <row r="1105">
          <cell r="S1105">
            <v>0</v>
          </cell>
        </row>
        <row r="1106">
          <cell r="S1106">
            <v>0</v>
          </cell>
        </row>
        <row r="1107">
          <cell r="S1107">
            <v>0</v>
          </cell>
        </row>
        <row r="1108">
          <cell r="S1108">
            <v>0</v>
          </cell>
        </row>
        <row r="1109">
          <cell r="S1109">
            <v>0</v>
          </cell>
        </row>
        <row r="1110">
          <cell r="S1110">
            <v>0</v>
          </cell>
        </row>
        <row r="1111">
          <cell r="S1111">
            <v>0</v>
          </cell>
        </row>
        <row r="1112">
          <cell r="S1112">
            <v>0</v>
          </cell>
        </row>
        <row r="1113">
          <cell r="S1113">
            <v>0</v>
          </cell>
        </row>
        <row r="1114">
          <cell r="S1114">
            <v>0</v>
          </cell>
        </row>
        <row r="1115">
          <cell r="S1115">
            <v>0</v>
          </cell>
        </row>
        <row r="1116">
          <cell r="S1116">
            <v>0</v>
          </cell>
        </row>
        <row r="1117">
          <cell r="S1117">
            <v>0</v>
          </cell>
        </row>
        <row r="1118">
          <cell r="S1118">
            <v>0</v>
          </cell>
        </row>
        <row r="1119">
          <cell r="S1119">
            <v>0</v>
          </cell>
        </row>
        <row r="1120">
          <cell r="S1120">
            <v>0</v>
          </cell>
        </row>
        <row r="1121">
          <cell r="S1121">
            <v>0</v>
          </cell>
        </row>
        <row r="1122">
          <cell r="S1122">
            <v>0</v>
          </cell>
        </row>
        <row r="1123">
          <cell r="S1123">
            <v>0</v>
          </cell>
        </row>
        <row r="1124">
          <cell r="S1124">
            <v>0</v>
          </cell>
        </row>
        <row r="1125">
          <cell r="S1125">
            <v>0</v>
          </cell>
        </row>
        <row r="1126">
          <cell r="S1126">
            <v>0</v>
          </cell>
        </row>
        <row r="1127">
          <cell r="S1127">
            <v>0</v>
          </cell>
        </row>
        <row r="1128">
          <cell r="S1128">
            <v>0</v>
          </cell>
        </row>
        <row r="1129">
          <cell r="S1129">
            <v>0</v>
          </cell>
        </row>
        <row r="1130">
          <cell r="S1130">
            <v>0</v>
          </cell>
        </row>
        <row r="1131">
          <cell r="S1131">
            <v>0</v>
          </cell>
        </row>
        <row r="1132">
          <cell r="S1132">
            <v>0</v>
          </cell>
        </row>
        <row r="1133">
          <cell r="S1133">
            <v>0</v>
          </cell>
        </row>
        <row r="1134">
          <cell r="S1134">
            <v>0</v>
          </cell>
        </row>
        <row r="1135">
          <cell r="S1135">
            <v>0</v>
          </cell>
        </row>
        <row r="1136">
          <cell r="S1136">
            <v>0</v>
          </cell>
        </row>
        <row r="1137">
          <cell r="S1137">
            <v>0</v>
          </cell>
        </row>
        <row r="1138">
          <cell r="S1138">
            <v>0</v>
          </cell>
        </row>
        <row r="1139">
          <cell r="S1139">
            <v>0</v>
          </cell>
        </row>
        <row r="1140">
          <cell r="S1140">
            <v>0</v>
          </cell>
        </row>
        <row r="1141">
          <cell r="S1141">
            <v>0</v>
          </cell>
        </row>
        <row r="1142">
          <cell r="S1142">
            <v>0</v>
          </cell>
        </row>
        <row r="1143">
          <cell r="S1143">
            <v>0</v>
          </cell>
        </row>
        <row r="1144">
          <cell r="S1144">
            <v>0</v>
          </cell>
        </row>
        <row r="1145">
          <cell r="S1145">
            <v>0</v>
          </cell>
        </row>
        <row r="1146">
          <cell r="S1146">
            <v>0</v>
          </cell>
        </row>
        <row r="1147">
          <cell r="S1147">
            <v>0</v>
          </cell>
        </row>
        <row r="1148">
          <cell r="S1148">
            <v>0</v>
          </cell>
        </row>
        <row r="1149">
          <cell r="S1149">
            <v>0</v>
          </cell>
        </row>
        <row r="1150">
          <cell r="S1150">
            <v>0</v>
          </cell>
        </row>
        <row r="1151">
          <cell r="S1151">
            <v>0</v>
          </cell>
        </row>
        <row r="1152">
          <cell r="S1152">
            <v>0</v>
          </cell>
        </row>
        <row r="1153">
          <cell r="S1153">
            <v>0</v>
          </cell>
        </row>
        <row r="1154">
          <cell r="S1154">
            <v>0</v>
          </cell>
        </row>
        <row r="1155">
          <cell r="S1155">
            <v>0</v>
          </cell>
        </row>
        <row r="1156">
          <cell r="S1156">
            <v>0</v>
          </cell>
        </row>
        <row r="1157">
          <cell r="S1157">
            <v>0</v>
          </cell>
        </row>
        <row r="1158">
          <cell r="S1158">
            <v>0</v>
          </cell>
        </row>
        <row r="1159">
          <cell r="S1159">
            <v>0</v>
          </cell>
        </row>
        <row r="1160">
          <cell r="S1160">
            <v>0</v>
          </cell>
        </row>
        <row r="1161">
          <cell r="S1161">
            <v>0</v>
          </cell>
        </row>
        <row r="1162">
          <cell r="S1162">
            <v>0</v>
          </cell>
        </row>
        <row r="1163">
          <cell r="S1163">
            <v>0</v>
          </cell>
        </row>
        <row r="1164">
          <cell r="S1164">
            <v>0</v>
          </cell>
        </row>
        <row r="1165">
          <cell r="S1165">
            <v>0</v>
          </cell>
        </row>
        <row r="1166">
          <cell r="S1166">
            <v>0</v>
          </cell>
        </row>
        <row r="1167">
          <cell r="S1167">
            <v>0</v>
          </cell>
        </row>
        <row r="1168">
          <cell r="S1168">
            <v>0</v>
          </cell>
        </row>
        <row r="1169">
          <cell r="S1169">
            <v>0</v>
          </cell>
        </row>
        <row r="1170">
          <cell r="S1170">
            <v>0</v>
          </cell>
        </row>
        <row r="1171">
          <cell r="S1171">
            <v>0</v>
          </cell>
        </row>
        <row r="1172">
          <cell r="S1172">
            <v>0</v>
          </cell>
        </row>
        <row r="1173">
          <cell r="S1173">
            <v>0</v>
          </cell>
        </row>
        <row r="1174">
          <cell r="S1174">
            <v>0</v>
          </cell>
        </row>
        <row r="1175">
          <cell r="S1175">
            <v>0</v>
          </cell>
        </row>
        <row r="1176">
          <cell r="F1176">
            <v>0</v>
          </cell>
          <cell r="S1176">
            <v>1519863</v>
          </cell>
        </row>
        <row r="1177">
          <cell r="F1177">
            <v>0</v>
          </cell>
          <cell r="S1177">
            <v>0</v>
          </cell>
        </row>
        <row r="1178">
          <cell r="F1178">
            <v>0</v>
          </cell>
          <cell r="S1178">
            <v>0</v>
          </cell>
        </row>
        <row r="1179">
          <cell r="F1179">
            <v>0</v>
          </cell>
          <cell r="S1179">
            <v>0</v>
          </cell>
        </row>
        <row r="1180">
          <cell r="F1180">
            <v>563975</v>
          </cell>
          <cell r="S1180">
            <v>2659395</v>
          </cell>
        </row>
        <row r="1181">
          <cell r="F1181">
            <v>0</v>
          </cell>
          <cell r="S1181">
            <v>0</v>
          </cell>
        </row>
        <row r="1182">
          <cell r="F1182">
            <v>0</v>
          </cell>
          <cell r="S1182">
            <v>0</v>
          </cell>
        </row>
        <row r="1183">
          <cell r="F1183">
            <v>0</v>
          </cell>
          <cell r="S1183">
            <v>0</v>
          </cell>
        </row>
        <row r="1184">
          <cell r="F1184">
            <v>232110</v>
          </cell>
          <cell r="S1184">
            <v>5273457</v>
          </cell>
        </row>
        <row r="1185">
          <cell r="F1185">
            <v>8840</v>
          </cell>
          <cell r="S1185">
            <v>443773</v>
          </cell>
        </row>
        <row r="1186">
          <cell r="F1186">
            <v>0</v>
          </cell>
          <cell r="S1186">
            <v>0</v>
          </cell>
        </row>
        <row r="1187">
          <cell r="F1187">
            <v>44000</v>
          </cell>
          <cell r="S1187">
            <v>2422472</v>
          </cell>
        </row>
        <row r="1188">
          <cell r="F1188">
            <v>11700</v>
          </cell>
          <cell r="S1188">
            <v>1079005</v>
          </cell>
        </row>
        <row r="1189">
          <cell r="F1189">
            <v>573064</v>
          </cell>
          <cell r="S1189">
            <v>6779330</v>
          </cell>
        </row>
        <row r="1190">
          <cell r="F1190">
            <v>0</v>
          </cell>
          <cell r="S1190">
            <v>0</v>
          </cell>
        </row>
        <row r="1191">
          <cell r="F1191">
            <v>0</v>
          </cell>
          <cell r="S1191">
            <v>0</v>
          </cell>
        </row>
        <row r="1192">
          <cell r="F1192">
            <v>0</v>
          </cell>
          <cell r="S1192">
            <v>161659</v>
          </cell>
        </row>
        <row r="1193">
          <cell r="F1193">
            <v>0</v>
          </cell>
          <cell r="S1193">
            <v>0</v>
          </cell>
        </row>
        <row r="1194">
          <cell r="F1194">
            <v>0</v>
          </cell>
          <cell r="S1194">
            <v>0</v>
          </cell>
        </row>
        <row r="1195">
          <cell r="F1195">
            <v>0</v>
          </cell>
          <cell r="S1195">
            <v>0</v>
          </cell>
        </row>
        <row r="1196">
          <cell r="F1196">
            <v>0</v>
          </cell>
          <cell r="S1196">
            <v>278106</v>
          </cell>
        </row>
        <row r="1197">
          <cell r="F1197">
            <v>9000</v>
          </cell>
          <cell r="S1197">
            <v>2591775</v>
          </cell>
        </row>
        <row r="1198">
          <cell r="F1198">
            <v>19260</v>
          </cell>
          <cell r="S1198">
            <v>777355</v>
          </cell>
        </row>
        <row r="1199">
          <cell r="F1199">
            <v>3570</v>
          </cell>
          <cell r="S1199">
            <v>41493</v>
          </cell>
        </row>
        <row r="1200">
          <cell r="F1200">
            <v>19400</v>
          </cell>
          <cell r="S1200">
            <v>832053</v>
          </cell>
        </row>
        <row r="1201">
          <cell r="F1201">
            <v>21000</v>
          </cell>
          <cell r="S1201">
            <v>4715176</v>
          </cell>
        </row>
        <row r="1202">
          <cell r="F1202">
            <v>0</v>
          </cell>
          <cell r="S1202">
            <v>0</v>
          </cell>
        </row>
        <row r="1203">
          <cell r="F1203">
            <v>0</v>
          </cell>
          <cell r="S1203">
            <v>0</v>
          </cell>
        </row>
        <row r="1204">
          <cell r="F1204">
            <v>0</v>
          </cell>
          <cell r="S1204">
            <v>0</v>
          </cell>
        </row>
        <row r="1205">
          <cell r="F1205">
            <v>0</v>
          </cell>
          <cell r="S1205">
            <v>0</v>
          </cell>
        </row>
        <row r="1206">
          <cell r="F1206">
            <v>0</v>
          </cell>
          <cell r="S1206">
            <v>0</v>
          </cell>
        </row>
        <row r="1207">
          <cell r="F1207">
            <v>0</v>
          </cell>
          <cell r="S1207">
            <v>0</v>
          </cell>
        </row>
        <row r="1208">
          <cell r="F1208">
            <v>0</v>
          </cell>
          <cell r="S1208">
            <v>0</v>
          </cell>
        </row>
        <row r="1209">
          <cell r="F1209">
            <v>3883083</v>
          </cell>
          <cell r="S1209">
            <v>20793816</v>
          </cell>
        </row>
        <row r="1210">
          <cell r="F1210">
            <v>0</v>
          </cell>
          <cell r="S1210">
            <v>0</v>
          </cell>
        </row>
        <row r="1211">
          <cell r="F1211">
            <v>0</v>
          </cell>
          <cell r="S1211">
            <v>0</v>
          </cell>
        </row>
        <row r="1212">
          <cell r="F1212">
            <v>0</v>
          </cell>
          <cell r="S1212">
            <v>0</v>
          </cell>
        </row>
        <row r="1213">
          <cell r="F1213">
            <v>0</v>
          </cell>
          <cell r="S1213">
            <v>0</v>
          </cell>
        </row>
        <row r="1214">
          <cell r="S1214">
            <v>0</v>
          </cell>
        </row>
        <row r="1215">
          <cell r="S1215">
            <v>0</v>
          </cell>
        </row>
        <row r="1216">
          <cell r="S1216">
            <v>0</v>
          </cell>
        </row>
        <row r="1217">
          <cell r="S1217">
            <v>0</v>
          </cell>
        </row>
        <row r="1218">
          <cell r="S1218">
            <v>0</v>
          </cell>
        </row>
        <row r="1219">
          <cell r="S1219">
            <v>0</v>
          </cell>
        </row>
        <row r="1220">
          <cell r="S1220">
            <v>0</v>
          </cell>
        </row>
        <row r="1221">
          <cell r="S1221">
            <v>0</v>
          </cell>
        </row>
        <row r="1222">
          <cell r="S1222">
            <v>0</v>
          </cell>
        </row>
        <row r="1223">
          <cell r="S1223">
            <v>0</v>
          </cell>
        </row>
        <row r="1224">
          <cell r="S1224">
            <v>0</v>
          </cell>
        </row>
        <row r="1225">
          <cell r="S1225">
            <v>0</v>
          </cell>
        </row>
        <row r="1226">
          <cell r="S1226">
            <v>0</v>
          </cell>
        </row>
        <row r="1227">
          <cell r="S1227">
            <v>0</v>
          </cell>
        </row>
        <row r="1228">
          <cell r="S1228">
            <v>0</v>
          </cell>
        </row>
        <row r="1229">
          <cell r="S1229">
            <v>0</v>
          </cell>
        </row>
        <row r="1230">
          <cell r="S1230">
            <v>0</v>
          </cell>
        </row>
        <row r="1231">
          <cell r="S1231">
            <v>0</v>
          </cell>
        </row>
        <row r="1232">
          <cell r="S1232">
            <v>0</v>
          </cell>
        </row>
        <row r="1233">
          <cell r="S1233">
            <v>0</v>
          </cell>
        </row>
        <row r="1234">
          <cell r="S1234">
            <v>0</v>
          </cell>
        </row>
        <row r="1235">
          <cell r="S1235">
            <v>0</v>
          </cell>
        </row>
        <row r="1236">
          <cell r="S1236">
            <v>0</v>
          </cell>
        </row>
        <row r="1237">
          <cell r="S1237">
            <v>0</v>
          </cell>
        </row>
        <row r="1238">
          <cell r="S1238">
            <v>0</v>
          </cell>
        </row>
        <row r="1239">
          <cell r="S1239">
            <v>0</v>
          </cell>
        </row>
        <row r="1240">
          <cell r="S1240">
            <v>0</v>
          </cell>
        </row>
        <row r="1241">
          <cell r="S1241">
            <v>0</v>
          </cell>
        </row>
        <row r="1242">
          <cell r="S1242">
            <v>0</v>
          </cell>
        </row>
        <row r="1243">
          <cell r="S1243">
            <v>0</v>
          </cell>
        </row>
        <row r="1244">
          <cell r="S1244">
            <v>0</v>
          </cell>
        </row>
        <row r="1245">
          <cell r="S1245">
            <v>0</v>
          </cell>
        </row>
        <row r="1246">
          <cell r="S1246">
            <v>0</v>
          </cell>
        </row>
        <row r="1247">
          <cell r="S1247">
            <v>0</v>
          </cell>
        </row>
        <row r="1248">
          <cell r="S1248">
            <v>0</v>
          </cell>
        </row>
        <row r="1249">
          <cell r="S1249">
            <v>0</v>
          </cell>
        </row>
        <row r="1250">
          <cell r="S1250">
            <v>0</v>
          </cell>
        </row>
        <row r="1251">
          <cell r="S1251">
            <v>0</v>
          </cell>
        </row>
        <row r="1252">
          <cell r="S1252">
            <v>0</v>
          </cell>
        </row>
        <row r="1253">
          <cell r="S1253">
            <v>0</v>
          </cell>
        </row>
        <row r="1254">
          <cell r="S1254">
            <v>0</v>
          </cell>
        </row>
        <row r="1255">
          <cell r="S1255">
            <v>0</v>
          </cell>
        </row>
        <row r="1256">
          <cell r="S1256">
            <v>0</v>
          </cell>
        </row>
        <row r="1257">
          <cell r="S1257">
            <v>0</v>
          </cell>
        </row>
        <row r="1258">
          <cell r="S1258">
            <v>0</v>
          </cell>
        </row>
        <row r="1259">
          <cell r="S1259">
            <v>0</v>
          </cell>
        </row>
        <row r="1260">
          <cell r="S1260">
            <v>0</v>
          </cell>
        </row>
        <row r="1261">
          <cell r="S1261">
            <v>0</v>
          </cell>
        </row>
        <row r="1262">
          <cell r="S1262">
            <v>0</v>
          </cell>
        </row>
        <row r="1263">
          <cell r="S1263">
            <v>0</v>
          </cell>
        </row>
        <row r="1264">
          <cell r="S1264">
            <v>0</v>
          </cell>
        </row>
        <row r="1265">
          <cell r="S1265">
            <v>0</v>
          </cell>
        </row>
        <row r="1266">
          <cell r="S1266">
            <v>0</v>
          </cell>
        </row>
        <row r="1267">
          <cell r="S1267">
            <v>0</v>
          </cell>
        </row>
        <row r="1268">
          <cell r="S1268">
            <v>0</v>
          </cell>
        </row>
        <row r="1269">
          <cell r="S1269">
            <v>0</v>
          </cell>
        </row>
        <row r="1270">
          <cell r="S1270">
            <v>0</v>
          </cell>
        </row>
        <row r="1271">
          <cell r="S1271">
            <v>0</v>
          </cell>
        </row>
        <row r="1272">
          <cell r="S1272">
            <v>0</v>
          </cell>
        </row>
        <row r="1273">
          <cell r="S1273">
            <v>0</v>
          </cell>
        </row>
        <row r="1274">
          <cell r="S1274">
            <v>0</v>
          </cell>
        </row>
        <row r="1275">
          <cell r="S1275">
            <v>0</v>
          </cell>
        </row>
        <row r="1276">
          <cell r="S1276">
            <v>0</v>
          </cell>
        </row>
        <row r="1277">
          <cell r="S1277">
            <v>0</v>
          </cell>
        </row>
        <row r="1278">
          <cell r="S1278">
            <v>0</v>
          </cell>
        </row>
        <row r="1279">
          <cell r="S1279">
            <v>0</v>
          </cell>
        </row>
        <row r="1280">
          <cell r="S1280">
            <v>0</v>
          </cell>
        </row>
        <row r="1281">
          <cell r="S1281">
            <v>0</v>
          </cell>
        </row>
        <row r="1282">
          <cell r="S1282">
            <v>0</v>
          </cell>
        </row>
        <row r="1283">
          <cell r="S1283">
            <v>0</v>
          </cell>
        </row>
        <row r="1284">
          <cell r="S1284">
            <v>0</v>
          </cell>
        </row>
        <row r="1285">
          <cell r="S1285">
            <v>0</v>
          </cell>
        </row>
        <row r="1286">
          <cell r="S1286">
            <v>0</v>
          </cell>
        </row>
        <row r="1287">
          <cell r="S1287">
            <v>0</v>
          </cell>
        </row>
        <row r="1288">
          <cell r="S1288">
            <v>0</v>
          </cell>
        </row>
        <row r="1289">
          <cell r="S1289">
            <v>0</v>
          </cell>
        </row>
        <row r="1290">
          <cell r="S1290">
            <v>0</v>
          </cell>
        </row>
        <row r="1291">
          <cell r="S1291">
            <v>0</v>
          </cell>
        </row>
        <row r="1292">
          <cell r="S1292">
            <v>0</v>
          </cell>
        </row>
        <row r="1293">
          <cell r="F1293">
            <v>0</v>
          </cell>
          <cell r="S1293">
            <v>1534253</v>
          </cell>
        </row>
        <row r="1294">
          <cell r="F1294">
            <v>0</v>
          </cell>
          <cell r="S1294">
            <v>0</v>
          </cell>
        </row>
        <row r="1295">
          <cell r="F1295">
            <v>0</v>
          </cell>
          <cell r="S1295">
            <v>0</v>
          </cell>
        </row>
        <row r="1296">
          <cell r="F1296">
            <v>0</v>
          </cell>
          <cell r="S1296">
            <v>0</v>
          </cell>
        </row>
        <row r="1297">
          <cell r="F1297">
            <v>564190</v>
          </cell>
          <cell r="S1297">
            <v>2826154</v>
          </cell>
        </row>
        <row r="1298">
          <cell r="F1298">
            <v>0</v>
          </cell>
          <cell r="S1298">
            <v>0</v>
          </cell>
        </row>
        <row r="1299">
          <cell r="F1299">
            <v>0</v>
          </cell>
          <cell r="S1299">
            <v>0</v>
          </cell>
        </row>
        <row r="1300">
          <cell r="F1300">
            <v>0</v>
          </cell>
          <cell r="S1300">
            <v>0</v>
          </cell>
        </row>
        <row r="1301">
          <cell r="F1301">
            <v>232110</v>
          </cell>
          <cell r="S1301">
            <v>5511516</v>
          </cell>
        </row>
        <row r="1302">
          <cell r="F1302">
            <v>8840</v>
          </cell>
          <cell r="S1302">
            <v>470061</v>
          </cell>
        </row>
        <row r="1303">
          <cell r="F1303">
            <v>0</v>
          </cell>
          <cell r="S1303">
            <v>0</v>
          </cell>
        </row>
        <row r="1304">
          <cell r="F1304">
            <v>44200</v>
          </cell>
          <cell r="S1304">
            <v>2550950</v>
          </cell>
        </row>
        <row r="1305">
          <cell r="F1305">
            <v>11700</v>
          </cell>
          <cell r="S1305">
            <v>1138530</v>
          </cell>
        </row>
        <row r="1306">
          <cell r="F1306">
            <v>573283</v>
          </cell>
          <cell r="S1306">
            <v>7208140</v>
          </cell>
        </row>
        <row r="1307">
          <cell r="F1307">
            <v>0</v>
          </cell>
          <cell r="S1307">
            <v>0</v>
          </cell>
        </row>
        <row r="1308">
          <cell r="F1308">
            <v>0</v>
          </cell>
          <cell r="S1308">
            <v>0</v>
          </cell>
        </row>
        <row r="1309">
          <cell r="F1309">
            <v>0</v>
          </cell>
          <cell r="S1309">
            <v>177329</v>
          </cell>
        </row>
        <row r="1310">
          <cell r="F1310">
            <v>0</v>
          </cell>
          <cell r="S1310">
            <v>0</v>
          </cell>
        </row>
        <row r="1311">
          <cell r="F1311">
            <v>0</v>
          </cell>
          <cell r="S1311">
            <v>0</v>
          </cell>
        </row>
        <row r="1312">
          <cell r="F1312">
            <v>0</v>
          </cell>
          <cell r="S1312">
            <v>0</v>
          </cell>
        </row>
        <row r="1313">
          <cell r="F1313">
            <v>0</v>
          </cell>
          <cell r="S1313">
            <v>356384</v>
          </cell>
        </row>
        <row r="1314">
          <cell r="F1314">
            <v>9000</v>
          </cell>
          <cell r="S1314">
            <v>2754048</v>
          </cell>
        </row>
        <row r="1315">
          <cell r="F1315">
            <v>19260</v>
          </cell>
          <cell r="S1315">
            <v>770700</v>
          </cell>
        </row>
        <row r="1316">
          <cell r="F1316">
            <v>3570</v>
          </cell>
          <cell r="S1316">
            <v>42614</v>
          </cell>
        </row>
        <row r="1317">
          <cell r="F1317">
            <v>19600</v>
          </cell>
          <cell r="S1317">
            <v>825952</v>
          </cell>
        </row>
        <row r="1318">
          <cell r="F1318">
            <v>21000</v>
          </cell>
          <cell r="S1318">
            <v>4842531</v>
          </cell>
        </row>
        <row r="1319">
          <cell r="F1319">
            <v>0</v>
          </cell>
          <cell r="S1319">
            <v>0</v>
          </cell>
        </row>
        <row r="1320">
          <cell r="F1320">
            <v>0</v>
          </cell>
          <cell r="S1320">
            <v>0</v>
          </cell>
        </row>
        <row r="1321">
          <cell r="F1321">
            <v>0</v>
          </cell>
          <cell r="S1321">
            <v>0</v>
          </cell>
        </row>
        <row r="1322">
          <cell r="F1322">
            <v>0</v>
          </cell>
          <cell r="S1322">
            <v>0</v>
          </cell>
        </row>
        <row r="1323">
          <cell r="F1323">
            <v>0</v>
          </cell>
          <cell r="S1323">
            <v>0</v>
          </cell>
        </row>
        <row r="1324">
          <cell r="F1324">
            <v>0</v>
          </cell>
          <cell r="S1324">
            <v>0</v>
          </cell>
        </row>
        <row r="1325">
          <cell r="F1325">
            <v>0</v>
          </cell>
          <cell r="S1325">
            <v>0</v>
          </cell>
        </row>
        <row r="1326">
          <cell r="F1326">
            <v>3885297</v>
          </cell>
          <cell r="S1326">
            <v>27094635</v>
          </cell>
        </row>
        <row r="1327">
          <cell r="F1327">
            <v>0</v>
          </cell>
          <cell r="S1327">
            <v>0</v>
          </cell>
        </row>
        <row r="1328">
          <cell r="F1328">
            <v>0</v>
          </cell>
          <cell r="S1328">
            <v>0</v>
          </cell>
        </row>
        <row r="1329">
          <cell r="F1329">
            <v>0</v>
          </cell>
          <cell r="S1329">
            <v>0</v>
          </cell>
        </row>
        <row r="1330">
          <cell r="F1330">
            <v>0</v>
          </cell>
          <cell r="S1330">
            <v>0</v>
          </cell>
        </row>
        <row r="1331">
          <cell r="S1331">
            <v>0</v>
          </cell>
        </row>
        <row r="1332">
          <cell r="S1332">
            <v>0</v>
          </cell>
        </row>
        <row r="1333">
          <cell r="S1333">
            <v>0</v>
          </cell>
        </row>
        <row r="1334">
          <cell r="S1334">
            <v>0</v>
          </cell>
        </row>
        <row r="1335">
          <cell r="S1335">
            <v>0</v>
          </cell>
        </row>
        <row r="1336">
          <cell r="S1336">
            <v>0</v>
          </cell>
        </row>
        <row r="1337">
          <cell r="S1337">
            <v>0</v>
          </cell>
        </row>
        <row r="1338">
          <cell r="S1338">
            <v>0</v>
          </cell>
        </row>
        <row r="1339">
          <cell r="S1339">
            <v>0</v>
          </cell>
        </row>
        <row r="1340">
          <cell r="S1340">
            <v>0</v>
          </cell>
        </row>
        <row r="1341">
          <cell r="S1341">
            <v>0</v>
          </cell>
        </row>
        <row r="1342">
          <cell r="S1342">
            <v>0</v>
          </cell>
        </row>
        <row r="1343">
          <cell r="S1343">
            <v>0</v>
          </cell>
        </row>
        <row r="1344">
          <cell r="S1344">
            <v>0</v>
          </cell>
        </row>
        <row r="1345">
          <cell r="S1345">
            <v>0</v>
          </cell>
        </row>
        <row r="1346">
          <cell r="S1346">
            <v>0</v>
          </cell>
        </row>
        <row r="1347">
          <cell r="S1347">
            <v>0</v>
          </cell>
        </row>
        <row r="1348">
          <cell r="S1348">
            <v>0</v>
          </cell>
        </row>
        <row r="1349">
          <cell r="S1349">
            <v>0</v>
          </cell>
        </row>
        <row r="1350">
          <cell r="S1350">
            <v>0</v>
          </cell>
        </row>
        <row r="1351">
          <cell r="S1351">
            <v>0</v>
          </cell>
        </row>
        <row r="1352">
          <cell r="S1352">
            <v>0</v>
          </cell>
        </row>
        <row r="1353">
          <cell r="S1353">
            <v>0</v>
          </cell>
        </row>
        <row r="1354">
          <cell r="S1354">
            <v>0</v>
          </cell>
        </row>
        <row r="1355">
          <cell r="S1355">
            <v>0</v>
          </cell>
        </row>
        <row r="1356">
          <cell r="S1356">
            <v>0</v>
          </cell>
        </row>
        <row r="1357">
          <cell r="S1357">
            <v>0</v>
          </cell>
        </row>
        <row r="1358">
          <cell r="S1358">
            <v>0</v>
          </cell>
        </row>
        <row r="1359">
          <cell r="S1359">
            <v>0</v>
          </cell>
        </row>
        <row r="1360">
          <cell r="S1360">
            <v>0</v>
          </cell>
        </row>
        <row r="1361">
          <cell r="S1361">
            <v>0</v>
          </cell>
        </row>
        <row r="1362">
          <cell r="S1362">
            <v>0</v>
          </cell>
        </row>
        <row r="1363">
          <cell r="S1363">
            <v>0</v>
          </cell>
        </row>
        <row r="1364">
          <cell r="S1364">
            <v>0</v>
          </cell>
        </row>
        <row r="1365">
          <cell r="S1365">
            <v>0</v>
          </cell>
        </row>
        <row r="1366">
          <cell r="S1366">
            <v>0</v>
          </cell>
        </row>
        <row r="1367">
          <cell r="S1367">
            <v>0</v>
          </cell>
        </row>
        <row r="1368">
          <cell r="S1368">
            <v>0</v>
          </cell>
        </row>
        <row r="1369">
          <cell r="S1369">
            <v>0</v>
          </cell>
        </row>
        <row r="1370">
          <cell r="S1370">
            <v>0</v>
          </cell>
        </row>
        <row r="1371">
          <cell r="S1371">
            <v>0</v>
          </cell>
        </row>
        <row r="1372">
          <cell r="S1372">
            <v>0</v>
          </cell>
        </row>
        <row r="1373">
          <cell r="S1373">
            <v>0</v>
          </cell>
        </row>
        <row r="1374">
          <cell r="S1374">
            <v>0</v>
          </cell>
        </row>
        <row r="1375">
          <cell r="S1375">
            <v>0</v>
          </cell>
        </row>
        <row r="1376">
          <cell r="S1376">
            <v>0</v>
          </cell>
        </row>
        <row r="1377">
          <cell r="S1377">
            <v>0</v>
          </cell>
        </row>
        <row r="1378">
          <cell r="S1378">
            <v>0</v>
          </cell>
        </row>
        <row r="1379">
          <cell r="S1379">
            <v>0</v>
          </cell>
        </row>
        <row r="1380">
          <cell r="S1380">
            <v>0</v>
          </cell>
        </row>
        <row r="1381">
          <cell r="S1381">
            <v>0</v>
          </cell>
        </row>
        <row r="1382">
          <cell r="S1382">
            <v>0</v>
          </cell>
        </row>
        <row r="1383">
          <cell r="S1383">
            <v>0</v>
          </cell>
        </row>
        <row r="1384">
          <cell r="S1384">
            <v>0</v>
          </cell>
        </row>
        <row r="1385">
          <cell r="S1385">
            <v>0</v>
          </cell>
        </row>
        <row r="1386">
          <cell r="S1386">
            <v>0</v>
          </cell>
        </row>
        <row r="1387">
          <cell r="S1387">
            <v>0</v>
          </cell>
        </row>
        <row r="1388">
          <cell r="S1388">
            <v>0</v>
          </cell>
        </row>
        <row r="1389">
          <cell r="S1389">
            <v>0</v>
          </cell>
        </row>
        <row r="1390">
          <cell r="S1390">
            <v>0</v>
          </cell>
        </row>
        <row r="1391">
          <cell r="S1391">
            <v>0</v>
          </cell>
        </row>
        <row r="1392">
          <cell r="S1392">
            <v>0</v>
          </cell>
        </row>
        <row r="1393">
          <cell r="S1393">
            <v>0</v>
          </cell>
        </row>
        <row r="1394">
          <cell r="S1394">
            <v>0</v>
          </cell>
        </row>
        <row r="1395">
          <cell r="S1395">
            <v>0</v>
          </cell>
        </row>
        <row r="1396">
          <cell r="S1396">
            <v>0</v>
          </cell>
        </row>
        <row r="1397">
          <cell r="S1397">
            <v>0</v>
          </cell>
        </row>
        <row r="1398">
          <cell r="S1398">
            <v>0</v>
          </cell>
        </row>
        <row r="1399">
          <cell r="S1399">
            <v>0</v>
          </cell>
        </row>
        <row r="1400">
          <cell r="S1400">
            <v>0</v>
          </cell>
        </row>
        <row r="1401">
          <cell r="S1401">
            <v>0</v>
          </cell>
        </row>
        <row r="1402">
          <cell r="S1402">
            <v>0</v>
          </cell>
        </row>
        <row r="1403">
          <cell r="S1403">
            <v>0</v>
          </cell>
        </row>
        <row r="1404">
          <cell r="S1404">
            <v>0</v>
          </cell>
        </row>
        <row r="1405">
          <cell r="S1405">
            <v>0</v>
          </cell>
        </row>
        <row r="1406">
          <cell r="S1406">
            <v>0</v>
          </cell>
        </row>
        <row r="1407">
          <cell r="S1407">
            <v>0</v>
          </cell>
        </row>
      </sheetData>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2"/>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AA210"/>
  <sheetViews>
    <sheetView view="pageBreakPreview" zoomScale="110" zoomScaleNormal="100" zoomScaleSheetLayoutView="110" workbookViewId="0"/>
  </sheetViews>
  <sheetFormatPr defaultRowHeight="12"/>
  <cols>
    <col min="1" max="1" width="9.33203125" style="777"/>
    <col min="2" max="2" width="41.5" style="777" bestFit="1" customWidth="1"/>
    <col min="3" max="3" width="15.1640625" style="891" bestFit="1" customWidth="1"/>
    <col min="4" max="4" width="12.33203125" style="777" customWidth="1"/>
    <col min="5" max="5" width="12.1640625" style="777" customWidth="1"/>
    <col min="6" max="6" width="12.33203125" style="777" bestFit="1" customWidth="1"/>
    <col min="7" max="7" width="10.83203125" style="777" bestFit="1" customWidth="1"/>
    <col min="8" max="8" width="15.33203125" style="777" bestFit="1" customWidth="1"/>
    <col min="9" max="9" width="13.6640625" style="777" bestFit="1" customWidth="1"/>
    <col min="10" max="10" width="19" style="777" bestFit="1" customWidth="1"/>
    <col min="11" max="11" width="12.33203125" style="777" bestFit="1" customWidth="1"/>
    <col min="12" max="12" width="50.1640625" style="777" bestFit="1" customWidth="1"/>
    <col min="13" max="13" width="12.1640625" style="777" bestFit="1" customWidth="1"/>
    <col min="14" max="15" width="9.5" style="777" bestFit="1" customWidth="1"/>
    <col min="16" max="16" width="11.1640625" style="777" customWidth="1"/>
    <col min="17" max="17" width="13.83203125" style="777" customWidth="1"/>
    <col min="18" max="18" width="12.33203125" style="777" bestFit="1" customWidth="1"/>
    <col min="19" max="16384" width="9.33203125" style="777"/>
  </cols>
  <sheetData>
    <row r="1" spans="1:18" s="850" customFormat="1" ht="12.75">
      <c r="A1" s="941"/>
    </row>
    <row r="2" spans="1:18" s="850" customFormat="1" ht="12.75">
      <c r="A2" s="1147" t="s">
        <v>1462</v>
      </c>
      <c r="J2" s="860" t="s">
        <v>1489</v>
      </c>
    </row>
    <row r="3" spans="1:18" s="850" customFormat="1" ht="12.75">
      <c r="A3" s="869" t="s">
        <v>1465</v>
      </c>
      <c r="J3" s="944" t="str">
        <f>"Page "&amp;O3&amp;" of "&amp;P3</f>
        <v>Page 15 of 20</v>
      </c>
      <c r="O3" s="850">
        <f>'Settlement Exhibit 1 pgs 2-14'!O449+1</f>
        <v>15</v>
      </c>
      <c r="P3" s="850">
        <f>$P$165</f>
        <v>20</v>
      </c>
    </row>
    <row r="4" spans="1:18" s="850" customFormat="1" ht="12.75">
      <c r="A4" s="869" t="s">
        <v>1461</v>
      </c>
      <c r="J4" s="944"/>
    </row>
    <row r="5" spans="1:18" s="850" customFormat="1" ht="12.75">
      <c r="A5" s="858"/>
    </row>
    <row r="6" spans="1:18" s="850" customFormat="1" ht="12.75">
      <c r="A6" s="949"/>
      <c r="B6" s="950"/>
      <c r="C6" s="950"/>
      <c r="D6" s="950"/>
      <c r="E6" s="951"/>
      <c r="F6" s="951"/>
      <c r="G6" s="951"/>
      <c r="H6" s="952" t="s">
        <v>766</v>
      </c>
      <c r="I6" s="951"/>
      <c r="J6" s="951" t="s">
        <v>766</v>
      </c>
    </row>
    <row r="7" spans="1:18" s="850" customFormat="1" ht="12.75">
      <c r="A7" s="946"/>
      <c r="C7" s="871" t="s">
        <v>10</v>
      </c>
      <c r="D7" s="871" t="s">
        <v>1480</v>
      </c>
      <c r="E7" s="871" t="s">
        <v>998</v>
      </c>
      <c r="F7" s="871" t="s">
        <v>59</v>
      </c>
      <c r="G7" s="871" t="s">
        <v>767</v>
      </c>
      <c r="H7" s="872" t="s">
        <v>768</v>
      </c>
      <c r="I7" s="871" t="s">
        <v>769</v>
      </c>
      <c r="J7" s="871" t="s">
        <v>768</v>
      </c>
      <c r="L7" s="870" t="s">
        <v>957</v>
      </c>
      <c r="M7" s="894">
        <v>8.2799999999999999E-2</v>
      </c>
    </row>
    <row r="8" spans="1:18" s="850" customFormat="1" ht="12.75">
      <c r="A8" s="942"/>
      <c r="B8" s="876"/>
      <c r="C8" s="878" t="s">
        <v>997</v>
      </c>
      <c r="D8" s="878" t="s">
        <v>1464</v>
      </c>
      <c r="E8" s="873" t="s">
        <v>999</v>
      </c>
      <c r="F8" s="874" t="s">
        <v>95</v>
      </c>
      <c r="G8" s="873" t="s">
        <v>118</v>
      </c>
      <c r="H8" s="875" t="s">
        <v>771</v>
      </c>
      <c r="I8" s="873" t="s">
        <v>118</v>
      </c>
      <c r="J8" s="873" t="s">
        <v>772</v>
      </c>
      <c r="M8" s="778">
        <f>J205-K203</f>
        <v>2059620</v>
      </c>
    </row>
    <row r="9" spans="1:18" ht="12.75">
      <c r="A9" s="779" t="s">
        <v>1786</v>
      </c>
      <c r="B9" s="850"/>
      <c r="C9" s="871"/>
      <c r="D9" s="871"/>
      <c r="E9" s="871"/>
      <c r="F9" s="871"/>
      <c r="G9" s="893"/>
      <c r="H9" s="871"/>
      <c r="I9" s="850"/>
      <c r="J9" s="871"/>
      <c r="K9" s="850"/>
      <c r="L9" s="435"/>
      <c r="M9" s="435"/>
      <c r="N9" s="490"/>
      <c r="O9" s="435"/>
      <c r="P9" s="435"/>
      <c r="Q9" s="435"/>
      <c r="R9" s="435"/>
    </row>
    <row r="10" spans="1:18" ht="12.75">
      <c r="A10" s="962" t="s">
        <v>943</v>
      </c>
      <c r="B10" s="850"/>
      <c r="C10" s="871"/>
      <c r="D10" s="871"/>
      <c r="E10" s="871"/>
      <c r="F10" s="871"/>
      <c r="G10" s="893"/>
      <c r="H10" s="871"/>
      <c r="I10" s="850"/>
      <c r="J10" s="871"/>
      <c r="K10" s="850"/>
      <c r="L10" s="435"/>
      <c r="M10" s="435"/>
      <c r="N10" s="435"/>
      <c r="O10" s="490"/>
      <c r="P10" s="435"/>
      <c r="Q10" s="435"/>
      <c r="R10" s="435"/>
    </row>
    <row r="11" spans="1:18" ht="12.75">
      <c r="A11" s="963" t="s">
        <v>486</v>
      </c>
      <c r="B11" s="850"/>
      <c r="C11" s="871"/>
      <c r="D11" s="850"/>
      <c r="E11" s="850"/>
      <c r="F11" s="850"/>
      <c r="G11" s="850"/>
      <c r="H11" s="850"/>
      <c r="I11" s="850"/>
      <c r="J11" s="871"/>
      <c r="K11" s="850"/>
      <c r="L11" s="435"/>
      <c r="M11" s="435"/>
      <c r="N11" s="435"/>
      <c r="O11" s="490"/>
      <c r="P11" s="435"/>
      <c r="Q11" s="435"/>
      <c r="R11" s="435"/>
    </row>
    <row r="12" spans="1:18" ht="12.75">
      <c r="A12" s="1132" t="s">
        <v>944</v>
      </c>
      <c r="B12" s="850"/>
      <c r="C12" s="871" t="s">
        <v>1481</v>
      </c>
      <c r="D12" s="899" t="str">
        <f>RIGHT(E12,3)</f>
        <v>462</v>
      </c>
      <c r="E12" s="900" t="s">
        <v>365</v>
      </c>
      <c r="F12" s="769">
        <f t="shared" ref="F12:F19" si="0">SUMIF(_12MonLights_RateCategory,"KUUM_"&amp;$D12,_12MonLights_Count)</f>
        <v>102659</v>
      </c>
      <c r="G12" s="766">
        <f>SUMIF(_Lights_Tariff_Category,MiscData!$T$4&amp;"KUUM_"&amp;$D12,_Lights_Rates)</f>
        <v>8.66</v>
      </c>
      <c r="H12" s="767">
        <f t="shared" ref="H12:H19" si="1">ROUND(F12*G12,0)</f>
        <v>889027</v>
      </c>
      <c r="I12" s="766">
        <f t="shared" ref="I12:I19" si="2">ROUND(G12*(1+$M$7),2)</f>
        <v>9.3800000000000008</v>
      </c>
      <c r="J12" s="767">
        <f t="shared" ref="J12:J19" si="3">ROUND(F12*I12,0)</f>
        <v>962941</v>
      </c>
      <c r="K12" s="850"/>
      <c r="L12" s="870"/>
      <c r="M12" s="895">
        <f t="shared" ref="M12:M19" si="4">$I12/G12-1</f>
        <v>8.3140877598152585E-2</v>
      </c>
      <c r="N12" s="896"/>
      <c r="O12" s="490"/>
      <c r="P12" s="897"/>
      <c r="Q12" s="898"/>
      <c r="R12" s="441"/>
    </row>
    <row r="13" spans="1:18" ht="12.75">
      <c r="A13" s="1133" t="s">
        <v>945</v>
      </c>
      <c r="B13" s="850"/>
      <c r="C13" s="871" t="s">
        <v>1481</v>
      </c>
      <c r="D13" s="899" t="str">
        <f>RIGHT(E13,3)</f>
        <v>472</v>
      </c>
      <c r="E13" s="901" t="s">
        <v>364</v>
      </c>
      <c r="F13" s="769">
        <f t="shared" si="0"/>
        <v>103541</v>
      </c>
      <c r="G13" s="766">
        <f>SUMIF(_Lights_Tariff_Category,MiscData!$T$4&amp;"KUUM_"&amp;$D13,_Lights_Rates)</f>
        <v>11.600000000000001</v>
      </c>
      <c r="H13" s="767">
        <f t="shared" si="1"/>
        <v>1201076</v>
      </c>
      <c r="I13" s="766">
        <f t="shared" si="2"/>
        <v>12.56</v>
      </c>
      <c r="J13" s="767">
        <f t="shared" si="3"/>
        <v>1300475</v>
      </c>
      <c r="K13" s="850"/>
      <c r="L13" s="870"/>
      <c r="M13" s="895">
        <f t="shared" si="4"/>
        <v>8.2758620689655116E-2</v>
      </c>
      <c r="N13" s="896"/>
      <c r="O13" s="490"/>
      <c r="P13" s="897"/>
      <c r="Q13" s="898"/>
      <c r="R13" s="441"/>
    </row>
    <row r="14" spans="1:18" ht="12.75">
      <c r="A14" s="1133" t="s">
        <v>946</v>
      </c>
      <c r="B14" s="850"/>
      <c r="C14" s="871" t="s">
        <v>1481</v>
      </c>
      <c r="D14" s="899" t="str">
        <f>RIGHT(E14,3)</f>
        <v>463</v>
      </c>
      <c r="E14" s="901" t="s">
        <v>388</v>
      </c>
      <c r="F14" s="769">
        <f t="shared" si="0"/>
        <v>242672</v>
      </c>
      <c r="G14" s="766">
        <f>SUMIF(_Lights_Tariff_Category,MiscData!$T$4&amp;"KUUM_"&amp;$D14,_Lights_Rates)</f>
        <v>9.14</v>
      </c>
      <c r="H14" s="767">
        <f t="shared" si="1"/>
        <v>2218022</v>
      </c>
      <c r="I14" s="766">
        <f t="shared" si="2"/>
        <v>9.9</v>
      </c>
      <c r="J14" s="767">
        <f t="shared" si="3"/>
        <v>2402453</v>
      </c>
      <c r="K14" s="850"/>
      <c r="L14" s="870"/>
      <c r="M14" s="895">
        <f t="shared" si="4"/>
        <v>8.3150984682713425E-2</v>
      </c>
      <c r="N14" s="896"/>
      <c r="O14" s="490"/>
      <c r="P14" s="897"/>
      <c r="Q14" s="898"/>
      <c r="R14" s="441"/>
    </row>
    <row r="15" spans="1:18" ht="12.75">
      <c r="A15" s="1133" t="s">
        <v>947</v>
      </c>
      <c r="B15" s="850"/>
      <c r="C15" s="871" t="s">
        <v>1481</v>
      </c>
      <c r="D15" s="899" t="str">
        <f>RIGHT(E15,3)</f>
        <v>473</v>
      </c>
      <c r="E15" s="901" t="s">
        <v>387</v>
      </c>
      <c r="F15" s="769">
        <f t="shared" si="0"/>
        <v>40103</v>
      </c>
      <c r="G15" s="766">
        <f>SUMIF(_Lights_Tariff_Category,MiscData!$T$4&amp;"KUUM_"&amp;$D15,_Lights_Rates)</f>
        <v>12.3</v>
      </c>
      <c r="H15" s="767">
        <f t="shared" si="1"/>
        <v>493267</v>
      </c>
      <c r="I15" s="766">
        <f t="shared" si="2"/>
        <v>13.32</v>
      </c>
      <c r="J15" s="767">
        <f t="shared" si="3"/>
        <v>534172</v>
      </c>
      <c r="K15" s="850"/>
      <c r="L15" s="870"/>
      <c r="M15" s="895">
        <f t="shared" si="4"/>
        <v>8.2926829268292535E-2</v>
      </c>
      <c r="N15" s="896"/>
      <c r="O15" s="490"/>
      <c r="P15" s="897"/>
      <c r="Q15" s="898"/>
      <c r="R15" s="441"/>
    </row>
    <row r="16" spans="1:18" ht="12.75">
      <c r="A16" s="1133" t="s">
        <v>1017</v>
      </c>
      <c r="B16" s="850"/>
      <c r="C16" s="871" t="s">
        <v>1481</v>
      </c>
      <c r="D16" s="899" t="str">
        <f t="shared" ref="D16" si="5">RIGHT(E16,3)</f>
        <v>464</v>
      </c>
      <c r="E16" s="901" t="s">
        <v>345</v>
      </c>
      <c r="F16" s="769">
        <f t="shared" si="0"/>
        <v>89781</v>
      </c>
      <c r="G16" s="766">
        <f>SUMIF(_Lights_Tariff_Category,MiscData!$T$4&amp;"KUUM_"&amp;$D16,_Lights_Rates)</f>
        <v>14.25</v>
      </c>
      <c r="H16" s="767">
        <f t="shared" si="1"/>
        <v>1279379</v>
      </c>
      <c r="I16" s="766">
        <f t="shared" si="2"/>
        <v>15.43</v>
      </c>
      <c r="J16" s="767">
        <f t="shared" si="3"/>
        <v>1385321</v>
      </c>
      <c r="K16" s="850"/>
      <c r="L16" s="870"/>
      <c r="M16" s="895">
        <f t="shared" si="4"/>
        <v>8.2807017543859551E-2</v>
      </c>
      <c r="N16" s="896"/>
      <c r="O16" s="490"/>
      <c r="P16" s="490"/>
      <c r="Q16" s="441"/>
      <c r="R16" s="441"/>
    </row>
    <row r="17" spans="1:18" ht="12.75">
      <c r="A17" s="1133" t="s">
        <v>948</v>
      </c>
      <c r="B17" s="850"/>
      <c r="C17" s="871" t="s">
        <v>1481</v>
      </c>
      <c r="D17" s="899" t="str">
        <f>RIGHT(E17,3)</f>
        <v>474</v>
      </c>
      <c r="E17" s="901" t="s">
        <v>344</v>
      </c>
      <c r="F17" s="769">
        <f t="shared" si="0"/>
        <v>61301</v>
      </c>
      <c r="G17" s="766">
        <f>SUMIF(_Lights_Tariff_Category,MiscData!$T$4&amp;"KUUM_"&amp;$D17,_Lights_Rates)</f>
        <v>17.41</v>
      </c>
      <c r="H17" s="767">
        <f t="shared" si="1"/>
        <v>1067250</v>
      </c>
      <c r="I17" s="766">
        <f t="shared" si="2"/>
        <v>18.850000000000001</v>
      </c>
      <c r="J17" s="767">
        <f t="shared" si="3"/>
        <v>1155524</v>
      </c>
      <c r="K17" s="850"/>
      <c r="L17" s="870"/>
      <c r="M17" s="895">
        <f t="shared" si="4"/>
        <v>8.2711085582998445E-2</v>
      </c>
      <c r="N17" s="896"/>
      <c r="O17" s="490"/>
      <c r="P17" s="897"/>
      <c r="Q17" s="898"/>
      <c r="R17" s="441"/>
    </row>
    <row r="18" spans="1:18" ht="12.75">
      <c r="A18" s="1133" t="s">
        <v>949</v>
      </c>
      <c r="B18" s="850"/>
      <c r="C18" s="871" t="s">
        <v>1481</v>
      </c>
      <c r="D18" s="899" t="str">
        <f t="shared" ref="D18" si="6">RIGHT(E18,3)</f>
        <v>465</v>
      </c>
      <c r="E18" s="901" t="s">
        <v>377</v>
      </c>
      <c r="F18" s="769">
        <f t="shared" si="0"/>
        <v>33246</v>
      </c>
      <c r="G18" s="766">
        <f>SUMIF(_Lights_Tariff_Category,MiscData!$T$4&amp;"KUUM_"&amp;$D18,_Lights_Rates)</f>
        <v>22.84</v>
      </c>
      <c r="H18" s="767">
        <f t="shared" si="1"/>
        <v>759339</v>
      </c>
      <c r="I18" s="766">
        <f t="shared" si="2"/>
        <v>24.73</v>
      </c>
      <c r="J18" s="767">
        <f t="shared" si="3"/>
        <v>822174</v>
      </c>
      <c r="K18" s="850"/>
      <c r="L18" s="870"/>
      <c r="M18" s="895">
        <f t="shared" si="4"/>
        <v>8.2749562171628765E-2</v>
      </c>
      <c r="N18" s="896"/>
      <c r="O18" s="490"/>
      <c r="P18" s="490"/>
      <c r="Q18" s="441"/>
      <c r="R18" s="441"/>
    </row>
    <row r="19" spans="1:18" ht="12.75">
      <c r="A19" s="1133" t="s">
        <v>950</v>
      </c>
      <c r="B19" s="850"/>
      <c r="C19" s="871" t="s">
        <v>1481</v>
      </c>
      <c r="D19" s="899" t="str">
        <f>RIGHT(E19,3)</f>
        <v>475</v>
      </c>
      <c r="E19" s="901" t="s">
        <v>376</v>
      </c>
      <c r="F19" s="769">
        <f t="shared" si="0"/>
        <v>5976</v>
      </c>
      <c r="G19" s="766">
        <f>SUMIF(_Lights_Tariff_Category,MiscData!$T$4&amp;"KUUM_"&amp;$D19,_Lights_Rates)</f>
        <v>24.46</v>
      </c>
      <c r="H19" s="767">
        <f t="shared" si="1"/>
        <v>146173</v>
      </c>
      <c r="I19" s="766">
        <f t="shared" si="2"/>
        <v>26.49</v>
      </c>
      <c r="J19" s="767">
        <f t="shared" si="3"/>
        <v>158304</v>
      </c>
      <c r="K19" s="850"/>
      <c r="L19" s="870"/>
      <c r="M19" s="895">
        <f t="shared" si="4"/>
        <v>8.2992641046606641E-2</v>
      </c>
      <c r="N19" s="896"/>
      <c r="O19" s="490"/>
      <c r="P19" s="897"/>
      <c r="Q19" s="898"/>
      <c r="R19" s="441"/>
    </row>
    <row r="20" spans="1:18" ht="12.75">
      <c r="A20" s="903"/>
      <c r="B20" s="850"/>
      <c r="C20" s="871"/>
      <c r="D20" s="850"/>
      <c r="E20" s="850"/>
      <c r="F20" s="887"/>
      <c r="G20" s="850"/>
      <c r="H20" s="850"/>
      <c r="I20" s="853"/>
      <c r="J20" s="854"/>
      <c r="K20" s="850"/>
      <c r="L20" s="870"/>
      <c r="N20" s="435"/>
      <c r="O20" s="490"/>
      <c r="P20" s="435"/>
      <c r="Q20" s="441"/>
      <c r="R20" s="441"/>
    </row>
    <row r="21" spans="1:18" ht="12.75">
      <c r="A21" s="1133" t="s">
        <v>951</v>
      </c>
      <c r="B21" s="850"/>
      <c r="C21" s="871" t="s">
        <v>1481</v>
      </c>
      <c r="D21" s="899" t="str">
        <f>RIGHT(E21,3)</f>
        <v>487</v>
      </c>
      <c r="E21" s="901" t="s">
        <v>399</v>
      </c>
      <c r="F21" s="769">
        <f>SUMIF(_12MonLights_RateCategory,"KUUM_"&amp;$D21,_12MonLights_Count)</f>
        <v>131813</v>
      </c>
      <c r="G21" s="766">
        <f>SUMIF(_Lights_Tariff_Category,MiscData!$T$4&amp;"KUUM_"&amp;$D21,_Lights_Rates)</f>
        <v>9</v>
      </c>
      <c r="H21" s="767">
        <f>ROUND(F21*G21,0)</f>
        <v>1186317</v>
      </c>
      <c r="I21" s="766">
        <f>ROUND(G21*(1+$M$7),2)</f>
        <v>9.75</v>
      </c>
      <c r="J21" s="767">
        <f>ROUND(F21*I21,0)</f>
        <v>1285177</v>
      </c>
      <c r="K21" s="850"/>
      <c r="L21" s="870"/>
      <c r="M21" s="895">
        <f t="shared" ref="M21:M23" si="7">$I21/G21-1</f>
        <v>8.3333333333333259E-2</v>
      </c>
      <c r="N21" s="896"/>
      <c r="O21" s="490"/>
      <c r="P21" s="897"/>
      <c r="Q21" s="898"/>
      <c r="R21" s="441"/>
    </row>
    <row r="22" spans="1:18" ht="12.75">
      <c r="A22" s="1133" t="s">
        <v>1018</v>
      </c>
      <c r="B22" s="850"/>
      <c r="C22" s="871" t="s">
        <v>1481</v>
      </c>
      <c r="D22" s="899" t="str">
        <f>RIGHT(E22,3)</f>
        <v>488</v>
      </c>
      <c r="E22" s="901" t="s">
        <v>349</v>
      </c>
      <c r="F22" s="769">
        <f>SUMIF(_12MonLights_RateCategory,"KUUM_"&amp;$D22,_12MonLights_Count)</f>
        <v>77983</v>
      </c>
      <c r="G22" s="766">
        <f>SUMIF(_Lights_Tariff_Category,MiscData!$T$4&amp;"KUUM_"&amp;$D22,_Lights_Rates)</f>
        <v>13.639999999999999</v>
      </c>
      <c r="H22" s="767">
        <f>ROUND(F22*G22,0)</f>
        <v>1063688</v>
      </c>
      <c r="I22" s="766">
        <f>ROUND(G22*(1+$M$7),2)</f>
        <v>14.77</v>
      </c>
      <c r="J22" s="767">
        <f>ROUND(F22*I22,0)</f>
        <v>1151809</v>
      </c>
      <c r="K22" s="850"/>
      <c r="L22" s="870"/>
      <c r="M22" s="895">
        <f t="shared" si="7"/>
        <v>8.2844574780058799E-2</v>
      </c>
      <c r="N22" s="896"/>
      <c r="O22" s="490"/>
      <c r="P22" s="897"/>
      <c r="Q22" s="898"/>
      <c r="R22" s="441"/>
    </row>
    <row r="23" spans="1:18" ht="12.75">
      <c r="A23" s="1133" t="s">
        <v>952</v>
      </c>
      <c r="B23" s="850"/>
      <c r="C23" s="871" t="s">
        <v>1481</v>
      </c>
      <c r="D23" s="899" t="str">
        <f>RIGHT(E23,3)</f>
        <v>489</v>
      </c>
      <c r="E23" s="901" t="s">
        <v>381</v>
      </c>
      <c r="F23" s="769">
        <f>SUMIF(_12MonLights_RateCategory,"KUUM_"&amp;$D23,_12MonLights_Count)</f>
        <v>98498</v>
      </c>
      <c r="G23" s="766">
        <f>SUMIF(_Lights_Tariff_Category,MiscData!$T$4&amp;"KUUM_"&amp;$D23,_Lights_Rates)</f>
        <v>19.46</v>
      </c>
      <c r="H23" s="767">
        <f>ROUND(F23*G23,0)</f>
        <v>1916771</v>
      </c>
      <c r="I23" s="766">
        <f>ROUND(G23*(1+$M$7),2)</f>
        <v>21.07</v>
      </c>
      <c r="J23" s="767">
        <f>ROUND(F23*I23,0)</f>
        <v>2075353</v>
      </c>
      <c r="K23" s="850"/>
      <c r="L23" s="870"/>
      <c r="M23" s="895">
        <f t="shared" si="7"/>
        <v>8.2733812949640217E-2</v>
      </c>
      <c r="N23" s="896"/>
      <c r="O23" s="490"/>
      <c r="P23" s="897"/>
      <c r="Q23" s="898"/>
      <c r="R23" s="441"/>
    </row>
    <row r="24" spans="1:18" ht="12.75">
      <c r="A24" s="903"/>
      <c r="B24" s="850"/>
      <c r="C24" s="871"/>
      <c r="D24" s="850"/>
      <c r="E24" s="850"/>
      <c r="F24" s="887"/>
      <c r="G24" s="850"/>
      <c r="H24" s="850"/>
      <c r="I24" s="853"/>
      <c r="J24" s="854"/>
      <c r="K24" s="902"/>
      <c r="L24" s="870"/>
      <c r="N24" s="896"/>
      <c r="O24" s="490"/>
      <c r="P24" s="490"/>
      <c r="Q24" s="441"/>
      <c r="R24" s="441"/>
    </row>
    <row r="25" spans="1:18" ht="12.75">
      <c r="A25" s="1133" t="s">
        <v>953</v>
      </c>
      <c r="B25" s="850"/>
      <c r="C25" s="871" t="s">
        <v>1481</v>
      </c>
      <c r="D25" s="899" t="str">
        <f>RIGHT(E25,3)</f>
        <v>428</v>
      </c>
      <c r="E25" s="901" t="s">
        <v>400</v>
      </c>
      <c r="F25" s="769">
        <f>SUMIF(_12MonLights_RateCategory,"KUUM_"&amp;$D25,_12MonLights_Count)</f>
        <v>432418</v>
      </c>
      <c r="G25" s="766">
        <f>SUMIF(_Lights_Tariff_Category,MiscData!$T$4&amp;"KUUM_"&amp;$D25,_Lights_Rates)</f>
        <v>7.84</v>
      </c>
      <c r="H25" s="767">
        <f>ROUND(F25*G25,0)</f>
        <v>3390157</v>
      </c>
      <c r="I25" s="766">
        <f>ROUND(G25*(1+$M$7),2)</f>
        <v>8.49</v>
      </c>
      <c r="J25" s="767">
        <f>ROUND(F25*I25,0)</f>
        <v>3671229</v>
      </c>
      <c r="K25" s="850"/>
      <c r="L25" s="870"/>
      <c r="M25" s="895">
        <f>$I25/G25-1</f>
        <v>8.2908163265306145E-2</v>
      </c>
      <c r="N25" s="896"/>
      <c r="O25" s="490"/>
      <c r="P25" s="897"/>
      <c r="Q25" s="898"/>
      <c r="R25" s="441"/>
    </row>
    <row r="26" spans="1:18" ht="12.75">
      <c r="A26" s="903"/>
      <c r="B26" s="850"/>
      <c r="C26" s="871"/>
      <c r="D26" s="850"/>
      <c r="E26" s="850"/>
      <c r="F26" s="850"/>
      <c r="G26" s="853"/>
      <c r="H26" s="854"/>
      <c r="I26" s="850"/>
      <c r="J26" s="850"/>
      <c r="K26" s="902"/>
      <c r="L26" s="870"/>
      <c r="N26" s="435"/>
      <c r="O26" s="490"/>
      <c r="P26" s="895"/>
      <c r="Q26" s="441"/>
      <c r="R26" s="441"/>
    </row>
    <row r="27" spans="1:18" ht="12.75">
      <c r="A27" s="966" t="s">
        <v>548</v>
      </c>
      <c r="B27" s="850"/>
      <c r="C27" s="871"/>
      <c r="D27" s="850"/>
      <c r="E27" s="850"/>
      <c r="F27" s="850"/>
      <c r="G27" s="850"/>
      <c r="H27" s="850"/>
      <c r="I27" s="853"/>
      <c r="J27" s="854"/>
      <c r="K27" s="850"/>
      <c r="L27" s="870"/>
      <c r="M27" s="895"/>
      <c r="N27" s="435"/>
      <c r="O27" s="490"/>
      <c r="P27" s="895"/>
      <c r="Q27" s="441"/>
      <c r="R27" s="441"/>
    </row>
    <row r="28" spans="1:18" ht="12.75">
      <c r="A28" s="1133" t="s">
        <v>954</v>
      </c>
      <c r="B28" s="850"/>
      <c r="C28" s="871" t="s">
        <v>1481</v>
      </c>
      <c r="D28" s="899" t="str">
        <f>RIGHT(E28,3)</f>
        <v>450</v>
      </c>
      <c r="E28" s="901" t="s">
        <v>322</v>
      </c>
      <c r="F28" s="769">
        <f>SUMIF(_12MonLights_RateCategory,"KUUM_"&amp;$D28,_12MonLights_Count)</f>
        <v>7786</v>
      </c>
      <c r="G28" s="766">
        <f>SUMIF(_Lights_Tariff_Category,MiscData!$T$4&amp;"KUUM_"&amp;$D28,_Lights_Rates)</f>
        <v>14.25</v>
      </c>
      <c r="H28" s="767">
        <f>ROUND(F28*G28,0)</f>
        <v>110951</v>
      </c>
      <c r="I28" s="766">
        <f>ROUND(G28*(1+$M$7),2)</f>
        <v>15.43</v>
      </c>
      <c r="J28" s="767">
        <f>ROUND(F28*I28,0)</f>
        <v>120138</v>
      </c>
      <c r="K28" s="850"/>
      <c r="L28" s="870"/>
      <c r="M28" s="895">
        <f t="shared" ref="M28:M30" si="8">$I28/G28-1</f>
        <v>8.2807017543859551E-2</v>
      </c>
      <c r="N28" s="896"/>
      <c r="O28" s="490"/>
      <c r="P28" s="897"/>
      <c r="Q28" s="441"/>
      <c r="R28" s="441"/>
    </row>
    <row r="29" spans="1:18" ht="12.75">
      <c r="A29" s="1133" t="s">
        <v>955</v>
      </c>
      <c r="B29" s="850"/>
      <c r="C29" s="871" t="s">
        <v>1481</v>
      </c>
      <c r="D29" s="899" t="str">
        <f>RIGHT(E29,3)</f>
        <v>451</v>
      </c>
      <c r="E29" s="901" t="s">
        <v>354</v>
      </c>
      <c r="F29" s="769">
        <f>SUMIF(_12MonLights_RateCategory,"KUUM_"&amp;$D29,_12MonLights_Count)</f>
        <v>60876</v>
      </c>
      <c r="G29" s="766">
        <f>SUMIF(_Lights_Tariff_Category,MiscData!$T$4&amp;"KUUM_"&amp;$D29,_Lights_Rates)</f>
        <v>20.200000000000003</v>
      </c>
      <c r="H29" s="767">
        <f>ROUND(F29*G29,0)</f>
        <v>1229695</v>
      </c>
      <c r="I29" s="766">
        <f>ROUND(G29*(1+$M$7),2)</f>
        <v>21.87</v>
      </c>
      <c r="J29" s="767">
        <f>ROUND(F29*I29,0)</f>
        <v>1331358</v>
      </c>
      <c r="K29" s="850"/>
      <c r="L29" s="870"/>
      <c r="M29" s="895">
        <f t="shared" si="8"/>
        <v>8.2673267326732525E-2</v>
      </c>
      <c r="N29" s="896"/>
      <c r="O29" s="490"/>
      <c r="P29" s="897"/>
      <c r="Q29" s="898"/>
      <c r="R29" s="441"/>
    </row>
    <row r="30" spans="1:18" ht="12.75">
      <c r="A30" s="1133" t="s">
        <v>956</v>
      </c>
      <c r="B30" s="850"/>
      <c r="C30" s="871" t="s">
        <v>1481</v>
      </c>
      <c r="D30" s="899" t="str">
        <f>RIGHT(E30,3)</f>
        <v>452</v>
      </c>
      <c r="E30" s="901" t="s">
        <v>317</v>
      </c>
      <c r="F30" s="769">
        <f>SUMIF(_12MonLights_RateCategory,"KUUM_"&amp;$D30,_12MonLights_Count)</f>
        <v>12421</v>
      </c>
      <c r="G30" s="766">
        <f>SUMIF(_Lights_Tariff_Category,MiscData!$T$4&amp;"KUUM_"&amp;$D30,_Lights_Rates)</f>
        <v>42.350000000000009</v>
      </c>
      <c r="H30" s="767">
        <f>ROUND(F30*G30,0)</f>
        <v>526029</v>
      </c>
      <c r="I30" s="766">
        <f>ROUND(G30*(1+$M$7),2)</f>
        <v>45.86</v>
      </c>
      <c r="J30" s="767">
        <f>ROUND(F30*I30,0)</f>
        <v>569627</v>
      </c>
      <c r="K30" s="850"/>
      <c r="L30" s="870"/>
      <c r="M30" s="895">
        <f t="shared" si="8"/>
        <v>8.2880755608028212E-2</v>
      </c>
      <c r="N30" s="896"/>
      <c r="O30" s="490"/>
      <c r="P30" s="897"/>
      <c r="Q30" s="898"/>
      <c r="R30" s="441"/>
    </row>
    <row r="31" spans="1:18" ht="12.75">
      <c r="A31" s="892"/>
      <c r="B31" s="850"/>
      <c r="C31" s="867"/>
      <c r="D31" s="899"/>
      <c r="E31" s="901"/>
      <c r="F31" s="850"/>
      <c r="G31" s="766"/>
      <c r="H31" s="767"/>
      <c r="I31" s="850"/>
      <c r="J31" s="850"/>
      <c r="K31" s="850"/>
      <c r="L31" s="870"/>
      <c r="N31" s="435"/>
      <c r="O31" s="490"/>
      <c r="P31" s="895"/>
      <c r="Q31" s="441"/>
      <c r="R31" s="441"/>
    </row>
    <row r="32" spans="1:18" ht="12.75" customHeight="1">
      <c r="A32" s="903"/>
      <c r="B32" s="850"/>
      <c r="C32" s="871"/>
      <c r="D32" s="850"/>
      <c r="E32" s="850"/>
      <c r="F32" s="850"/>
      <c r="G32" s="853"/>
      <c r="H32" s="854"/>
      <c r="I32" s="853"/>
      <c r="J32" s="854"/>
      <c r="K32" s="902"/>
      <c r="L32" s="870"/>
      <c r="N32" s="435"/>
      <c r="O32" s="490"/>
      <c r="P32" s="895"/>
      <c r="Q32" s="441"/>
      <c r="R32" s="441"/>
    </row>
    <row r="33" spans="1:18" s="850" customFormat="1" ht="12.75">
      <c r="A33" s="1147" t="s">
        <v>1462</v>
      </c>
      <c r="J33" s="860" t="s">
        <v>1489</v>
      </c>
    </row>
    <row r="34" spans="1:18" s="850" customFormat="1" ht="12.75">
      <c r="A34" s="869" t="s">
        <v>1465</v>
      </c>
      <c r="J34" s="944" t="str">
        <f>"Page "&amp;O34&amp;" of "&amp;P34</f>
        <v>Page 16 of 20</v>
      </c>
      <c r="O34" s="850">
        <f>O3+1</f>
        <v>16</v>
      </c>
      <c r="P34" s="850">
        <f>$P$165</f>
        <v>20</v>
      </c>
    </row>
    <row r="35" spans="1:18" s="850" customFormat="1" ht="12.75">
      <c r="A35" s="869" t="s">
        <v>1461</v>
      </c>
      <c r="J35" s="944"/>
    </row>
    <row r="36" spans="1:18" s="850" customFormat="1" ht="12.75">
      <c r="A36" s="858"/>
    </row>
    <row r="37" spans="1:18" s="850" customFormat="1" ht="12.75">
      <c r="A37" s="949"/>
      <c r="B37" s="950"/>
      <c r="C37" s="950"/>
      <c r="D37" s="950"/>
      <c r="E37" s="951"/>
      <c r="F37" s="951"/>
      <c r="G37" s="951"/>
      <c r="H37" s="952" t="s">
        <v>766</v>
      </c>
      <c r="I37" s="951"/>
      <c r="J37" s="951" t="s">
        <v>766</v>
      </c>
    </row>
    <row r="38" spans="1:18" s="850" customFormat="1" ht="12.75">
      <c r="A38" s="946"/>
      <c r="C38" s="871" t="s">
        <v>10</v>
      </c>
      <c r="D38" s="871" t="s">
        <v>1480</v>
      </c>
      <c r="E38" s="871" t="s">
        <v>998</v>
      </c>
      <c r="F38" s="871" t="s">
        <v>59</v>
      </c>
      <c r="G38" s="871" t="s">
        <v>767</v>
      </c>
      <c r="H38" s="872" t="s">
        <v>768</v>
      </c>
      <c r="I38" s="871" t="s">
        <v>769</v>
      </c>
      <c r="J38" s="871" t="s">
        <v>768</v>
      </c>
      <c r="L38" s="870"/>
      <c r="M38" s="894"/>
    </row>
    <row r="39" spans="1:18" s="850" customFormat="1" ht="12.75">
      <c r="A39" s="942"/>
      <c r="B39" s="876"/>
      <c r="C39" s="878" t="s">
        <v>997</v>
      </c>
      <c r="D39" s="878" t="s">
        <v>1464</v>
      </c>
      <c r="E39" s="873" t="s">
        <v>999</v>
      </c>
      <c r="F39" s="874" t="s">
        <v>95</v>
      </c>
      <c r="G39" s="873" t="s">
        <v>118</v>
      </c>
      <c r="H39" s="875" t="s">
        <v>771</v>
      </c>
      <c r="I39" s="873" t="s">
        <v>118</v>
      </c>
      <c r="J39" s="873" t="s">
        <v>772</v>
      </c>
      <c r="M39" s="778"/>
    </row>
    <row r="40" spans="1:18" ht="12.75">
      <c r="A40" s="967" t="s">
        <v>1785</v>
      </c>
      <c r="B40" s="850"/>
      <c r="C40" s="871"/>
      <c r="D40" s="850"/>
      <c r="E40" s="850"/>
      <c r="F40" s="850"/>
      <c r="G40" s="853"/>
      <c r="H40" s="854"/>
      <c r="I40" s="853"/>
      <c r="J40" s="854"/>
      <c r="K40" s="902"/>
      <c r="L40" s="870"/>
      <c r="M40" s="895"/>
      <c r="N40" s="435"/>
      <c r="O40" s="490"/>
      <c r="P40" s="895"/>
      <c r="Q40" s="441"/>
      <c r="R40" s="441"/>
    </row>
    <row r="41" spans="1:18" ht="12.75">
      <c r="A41" s="962" t="s">
        <v>958</v>
      </c>
      <c r="B41" s="850"/>
      <c r="C41" s="871"/>
      <c r="D41" s="871"/>
      <c r="E41" s="871"/>
      <c r="F41" s="871"/>
      <c r="G41" s="893"/>
      <c r="H41" s="871"/>
      <c r="I41" s="850"/>
      <c r="J41" s="871"/>
      <c r="L41" s="870"/>
      <c r="M41" s="895"/>
      <c r="N41" s="435"/>
      <c r="O41" s="490"/>
      <c r="P41" s="435"/>
      <c r="Q41" s="441"/>
      <c r="R41" s="441"/>
    </row>
    <row r="42" spans="1:18" ht="12.75">
      <c r="A42" s="963" t="s">
        <v>486</v>
      </c>
      <c r="B42" s="850"/>
      <c r="C42" s="871"/>
      <c r="D42" s="850"/>
      <c r="E42" s="850"/>
      <c r="F42" s="850"/>
      <c r="G42" s="850"/>
      <c r="H42" s="850"/>
      <c r="I42" s="850"/>
      <c r="J42" s="850"/>
      <c r="L42" s="870"/>
      <c r="M42" s="435"/>
      <c r="N42" s="435"/>
      <c r="O42" s="490"/>
      <c r="P42" s="435"/>
      <c r="Q42" s="441"/>
      <c r="R42" s="441"/>
    </row>
    <row r="43" spans="1:18" ht="12.75">
      <c r="A43" s="1133" t="s">
        <v>961</v>
      </c>
      <c r="B43" s="850"/>
      <c r="C43" s="867" t="s">
        <v>1482</v>
      </c>
      <c r="D43" s="899" t="str">
        <f>RIGHT(E43,3)</f>
        <v>467</v>
      </c>
      <c r="E43" s="901" t="s">
        <v>373</v>
      </c>
      <c r="F43" s="769">
        <f>SUMIF(_12MonLights_RateCategory,"KUUM_"&amp;$D43,_12MonLights_Count)</f>
        <v>16025</v>
      </c>
      <c r="G43" s="766">
        <f>SUMIF(_Lights_Tariff_Category,MiscData!$T$4&amp;"KUUM_"&amp;$D43,_Lights_Rates)</f>
        <v>10.770000000000001</v>
      </c>
      <c r="H43" s="767">
        <f>ROUND(F43*G43,0)</f>
        <v>172589</v>
      </c>
      <c r="I43" s="766">
        <f>ROUND(SUM(H43:H43)/SUM(F43:F43)*(1+$M$7),2)</f>
        <v>11.66</v>
      </c>
      <c r="J43" s="767">
        <f>ROUND(F43*I43,0)</f>
        <v>186852</v>
      </c>
      <c r="L43" s="870"/>
      <c r="M43" s="895">
        <f t="shared" ref="M43:M44" si="9">$I43/G43-1</f>
        <v>8.2636954503249704E-2</v>
      </c>
      <c r="N43" s="896"/>
      <c r="O43" s="490"/>
      <c r="P43" s="490"/>
      <c r="Q43" s="441"/>
      <c r="R43" s="441"/>
    </row>
    <row r="44" spans="1:18" ht="12.75">
      <c r="A44" s="1133" t="s">
        <v>960</v>
      </c>
      <c r="B44" s="850"/>
      <c r="C44" s="867" t="s">
        <v>1482</v>
      </c>
      <c r="D44" s="899" t="str">
        <f>RIGHT(E44,3)</f>
        <v>468</v>
      </c>
      <c r="E44" s="901" t="s">
        <v>396</v>
      </c>
      <c r="F44" s="769">
        <f>SUMIF(_12MonLights_RateCategory,"KUUM_"&amp;$D44,_12MonLights_Count)</f>
        <v>47680</v>
      </c>
      <c r="G44" s="766">
        <f>SUMIF(_Lights_Tariff_Category,MiscData!$T$4&amp;"KUUM_"&amp;$D44,_Lights_Rates)</f>
        <v>11.16</v>
      </c>
      <c r="H44" s="767">
        <f>ROUND(F44*G44,0)</f>
        <v>532109</v>
      </c>
      <c r="I44" s="766">
        <f>ROUND(SUM(H44:H44)/SUM(F44:F44)*(1+$M$7),2)</f>
        <v>12.08</v>
      </c>
      <c r="J44" s="767">
        <f>ROUND(F44*I44,0)</f>
        <v>575974</v>
      </c>
      <c r="L44" s="870"/>
      <c r="M44" s="895">
        <f t="shared" si="9"/>
        <v>8.2437275985663083E-2</v>
      </c>
      <c r="N44" s="896"/>
      <c r="O44" s="490"/>
      <c r="P44" s="490"/>
      <c r="Q44" s="441"/>
      <c r="R44" s="441"/>
    </row>
    <row r="45" spans="1:18" ht="12.75">
      <c r="A45" s="765"/>
      <c r="B45" s="850"/>
      <c r="C45" s="871"/>
      <c r="D45" s="850"/>
      <c r="E45" s="850"/>
      <c r="F45" s="887"/>
      <c r="G45" s="850"/>
      <c r="H45" s="850"/>
      <c r="I45" s="850"/>
      <c r="J45" s="850"/>
      <c r="L45" s="870"/>
      <c r="M45" s="435"/>
      <c r="N45" s="435"/>
      <c r="O45" s="490"/>
      <c r="P45" s="435"/>
      <c r="Q45" s="441"/>
      <c r="R45" s="441"/>
    </row>
    <row r="46" spans="1:18" ht="12.75">
      <c r="A46" s="1133" t="s">
        <v>959</v>
      </c>
      <c r="B46" s="850"/>
      <c r="C46" s="867" t="s">
        <v>1482</v>
      </c>
      <c r="D46" s="899" t="str">
        <f>RIGHT(E46,3)</f>
        <v>401</v>
      </c>
      <c r="E46" s="901" t="s">
        <v>366</v>
      </c>
      <c r="F46" s="769">
        <f>SUMIF(_12MonLights_RateCategory,"KUUM_"&amp;$D46,_12MonLights_Count)</f>
        <v>618</v>
      </c>
      <c r="G46" s="766">
        <f>SUMIF(_Lights_Tariff_Category,MiscData!$T$4&amp;"KUUM_"&amp;$D46,_Lights_Rates)</f>
        <v>14.860000000000001</v>
      </c>
      <c r="H46" s="767">
        <f>ROUND(F46*G46,0)+1</f>
        <v>9184</v>
      </c>
      <c r="I46" s="766">
        <f>ROUND(SUM(H46:H46)/SUM(F46:F46)*(1+$M$7),2)</f>
        <v>16.09</v>
      </c>
      <c r="J46" s="767">
        <f>ROUND(F46*I46,0)</f>
        <v>9944</v>
      </c>
      <c r="L46" s="435"/>
      <c r="M46" s="895">
        <f t="shared" ref="M46:M49" si="10">$I46/G46-1</f>
        <v>8.2772543741588045E-2</v>
      </c>
      <c r="N46" s="896"/>
      <c r="O46" s="490"/>
      <c r="P46" s="490"/>
      <c r="Q46" s="441"/>
      <c r="R46" s="441"/>
    </row>
    <row r="47" spans="1:18" ht="12.75">
      <c r="A47" s="1133" t="s">
        <v>962</v>
      </c>
      <c r="B47" s="850"/>
      <c r="C47" s="867" t="s">
        <v>1482</v>
      </c>
      <c r="D47" s="899" t="str">
        <f t="shared" ref="D47" si="11">RIGHT(E47,3)</f>
        <v>411</v>
      </c>
      <c r="E47" s="901" t="s">
        <v>368</v>
      </c>
      <c r="F47" s="769">
        <f>SUMIF(_12MonLights_RateCategory,"KUUM_"&amp;$D47,_12MonLights_Count)</f>
        <v>1752</v>
      </c>
      <c r="G47" s="766">
        <f>SUMIF(_Lights_Tariff_Category,MiscData!$T$4&amp;"KUUM_"&amp;$D47,_Lights_Rates)</f>
        <v>21.38</v>
      </c>
      <c r="H47" s="767">
        <f>ROUND(F47*G47,0)</f>
        <v>37458</v>
      </c>
      <c r="I47" s="766">
        <f>ROUND(SUM(H47:H47)/SUM(F47:F47)*(1+$M$7),2)</f>
        <v>23.15</v>
      </c>
      <c r="J47" s="767">
        <f>ROUND(F47*I47,0)</f>
        <v>40559</v>
      </c>
      <c r="L47" s="435"/>
      <c r="M47" s="895">
        <f t="shared" si="10"/>
        <v>8.2787652011225399E-2</v>
      </c>
      <c r="N47" s="896"/>
      <c r="O47" s="490"/>
      <c r="P47" s="490"/>
      <c r="Q47" s="441"/>
      <c r="R47" s="441"/>
    </row>
    <row r="48" spans="1:18" ht="12.75">
      <c r="A48" s="1133" t="s">
        <v>963</v>
      </c>
      <c r="B48" s="850"/>
      <c r="C48" s="867" t="s">
        <v>1482</v>
      </c>
      <c r="D48" s="899" t="str">
        <f t="shared" ref="D48:D49" si="12">RIGHT(E48,3)</f>
        <v>420</v>
      </c>
      <c r="E48" s="901" t="s">
        <v>389</v>
      </c>
      <c r="F48" s="769">
        <f>SUMIF(_12MonLights_RateCategory,"KUUM_"&amp;$D48,_12MonLights_Count)</f>
        <v>5567</v>
      </c>
      <c r="G48" s="766">
        <f>SUMIF(_Lights_Tariff_Category,MiscData!$T$4&amp;"KUUM_"&amp;$D48,_Lights_Rates)</f>
        <v>15.360000000000001</v>
      </c>
      <c r="H48" s="767">
        <f>ROUND(F48*G48,0)</f>
        <v>85509</v>
      </c>
      <c r="I48" s="766">
        <f>ROUND(SUM(H48:H48)/SUM(F48:F48)*(1+$M$7),2)</f>
        <v>16.63</v>
      </c>
      <c r="J48" s="767">
        <f>ROUND(F48*I48,0)</f>
        <v>92579</v>
      </c>
      <c r="L48" s="435"/>
      <c r="M48" s="895">
        <f t="shared" si="10"/>
        <v>8.2682291666666519E-2</v>
      </c>
      <c r="N48" s="896"/>
      <c r="O48" s="490"/>
      <c r="P48" s="490"/>
      <c r="Q48" s="441"/>
      <c r="R48" s="441"/>
    </row>
    <row r="49" spans="1:18" ht="12.75">
      <c r="A49" s="1133" t="s">
        <v>964</v>
      </c>
      <c r="B49" s="850"/>
      <c r="C49" s="867" t="s">
        <v>1482</v>
      </c>
      <c r="D49" s="899" t="str">
        <f t="shared" si="12"/>
        <v>430</v>
      </c>
      <c r="E49" s="901" t="s">
        <v>391</v>
      </c>
      <c r="F49" s="769">
        <f>SUMIF(_12MonLights_RateCategory,"KUUM_"&amp;$D49,_12MonLights_Count)</f>
        <v>13825</v>
      </c>
      <c r="G49" s="766">
        <f>SUMIF(_Lights_Tariff_Category,MiscData!$T$4&amp;"KUUM_"&amp;$D49,_Lights_Rates)</f>
        <v>22</v>
      </c>
      <c r="H49" s="767">
        <f>ROUND(F49*G49,0)</f>
        <v>304150</v>
      </c>
      <c r="I49" s="766">
        <f>ROUND(SUM(H49:H49)/SUM(F49:F49)*(1+$M$7),2)</f>
        <v>23.82</v>
      </c>
      <c r="J49" s="767">
        <f>ROUND(F49*I49,0)</f>
        <v>329312</v>
      </c>
      <c r="K49" s="904"/>
      <c r="L49" s="435"/>
      <c r="M49" s="895">
        <f t="shared" si="10"/>
        <v>8.272727272727276E-2</v>
      </c>
      <c r="N49" s="896"/>
      <c r="O49" s="490"/>
      <c r="P49" s="490"/>
      <c r="Q49" s="441"/>
      <c r="R49" s="441"/>
    </row>
    <row r="50" spans="1:18" ht="12.75">
      <c r="A50" s="903"/>
      <c r="B50" s="850"/>
      <c r="C50" s="871"/>
      <c r="D50" s="850"/>
      <c r="E50" s="850"/>
      <c r="F50" s="887"/>
      <c r="G50" s="850"/>
      <c r="H50" s="850"/>
      <c r="I50" s="853"/>
      <c r="J50" s="854"/>
      <c r="L50" s="435"/>
      <c r="M50" s="895"/>
      <c r="N50" s="435"/>
      <c r="O50" s="490"/>
      <c r="P50" s="895"/>
      <c r="Q50" s="441"/>
      <c r="R50" s="441"/>
    </row>
    <row r="51" spans="1:18" ht="12.75">
      <c r="A51" s="1133" t="s">
        <v>965</v>
      </c>
      <c r="B51" s="850"/>
      <c r="C51" s="867" t="s">
        <v>1482</v>
      </c>
      <c r="D51" s="899" t="str">
        <f t="shared" ref="D51" si="13">RIGHT(E51,3)</f>
        <v>414</v>
      </c>
      <c r="E51" s="901" t="s">
        <v>371</v>
      </c>
      <c r="F51" s="769">
        <f>SUMIF(_12MonLights_RateCategory,"KUUM_"&amp;$D51,_12MonLights_Count)</f>
        <v>252</v>
      </c>
      <c r="G51" s="766">
        <f>SUMIF(_Lights_Tariff_Category,MiscData!$T$4&amp;"KUUM_"&amp;$D51,_Lights_Rates)</f>
        <v>30.84</v>
      </c>
      <c r="H51" s="767">
        <f>ROUND(F51*G51,0)</f>
        <v>7772</v>
      </c>
      <c r="I51" s="766">
        <f>ROUND(G51*(1+$M$7),2)</f>
        <v>33.39</v>
      </c>
      <c r="J51" s="767">
        <f>ROUND(F51*I51,0)</f>
        <v>8414</v>
      </c>
      <c r="L51" s="435"/>
      <c r="M51" s="895">
        <f t="shared" ref="M51:M52" si="14">$I51/G51-1</f>
        <v>8.2684824902723664E-2</v>
      </c>
      <c r="N51" s="896"/>
      <c r="O51" s="490"/>
      <c r="P51" s="897"/>
      <c r="Q51" s="898"/>
      <c r="R51" s="441"/>
    </row>
    <row r="52" spans="1:18" ht="12.75">
      <c r="A52" s="1133" t="s">
        <v>1001</v>
      </c>
      <c r="B52" s="850"/>
      <c r="C52" s="867" t="s">
        <v>1482</v>
      </c>
      <c r="D52" s="899" t="str">
        <f t="shared" ref="D52" si="15">RIGHT(E52,3)</f>
        <v>415</v>
      </c>
      <c r="E52" s="901" t="s">
        <v>394</v>
      </c>
      <c r="F52" s="769">
        <f>SUMIF(_12MonLights_RateCategory,"KUUM_"&amp;$D52,_12MonLights_Count)</f>
        <v>120</v>
      </c>
      <c r="G52" s="766">
        <f>SUMIF(_Lights_Tariff_Category,MiscData!$T$4&amp;"KUUM_"&amp;$D52,_Lights_Rates)</f>
        <v>31.22</v>
      </c>
      <c r="H52" s="767">
        <f>ROUND(F52*G52,0)</f>
        <v>3746</v>
      </c>
      <c r="I52" s="766">
        <f>ROUND(G52*(1+$M$7),2)</f>
        <v>33.81</v>
      </c>
      <c r="J52" s="767">
        <f>ROUND(F52*I52,0)</f>
        <v>4057</v>
      </c>
      <c r="L52" s="435"/>
      <c r="M52" s="895">
        <f t="shared" si="14"/>
        <v>8.295964125560551E-2</v>
      </c>
      <c r="N52" s="896"/>
      <c r="O52" s="490"/>
      <c r="P52" s="897"/>
      <c r="Q52" s="898"/>
      <c r="R52" s="441"/>
    </row>
    <row r="53" spans="1:18">
      <c r="C53" s="777"/>
      <c r="L53" s="435"/>
      <c r="N53" s="435"/>
      <c r="O53" s="490"/>
      <c r="P53" s="895"/>
      <c r="Q53" s="441"/>
      <c r="R53" s="441"/>
    </row>
    <row r="54" spans="1:18" ht="12.75">
      <c r="A54" s="903"/>
      <c r="B54" s="850"/>
      <c r="C54" s="871"/>
      <c r="D54" s="850"/>
      <c r="E54" s="850"/>
      <c r="F54" s="850"/>
      <c r="G54" s="853"/>
      <c r="H54" s="854"/>
      <c r="L54" s="435"/>
      <c r="M54" s="895"/>
      <c r="N54" s="435"/>
      <c r="O54" s="490"/>
      <c r="P54" s="895"/>
      <c r="Q54" s="441"/>
      <c r="R54" s="441"/>
    </row>
    <row r="55" spans="1:18" ht="12.75">
      <c r="A55" s="1133" t="s">
        <v>1720</v>
      </c>
      <c r="B55" s="850"/>
      <c r="C55" s="777"/>
      <c r="L55" s="435"/>
      <c r="M55" s="895"/>
      <c r="N55" s="896"/>
      <c r="O55" s="490"/>
      <c r="P55" s="897"/>
      <c r="Q55" s="898"/>
      <c r="R55" s="441"/>
    </row>
    <row r="56" spans="1:18" ht="12.75">
      <c r="A56" s="1134" t="s">
        <v>1719</v>
      </c>
      <c r="B56" s="850"/>
      <c r="C56" s="867" t="s">
        <v>1482</v>
      </c>
      <c r="D56" s="899" t="str">
        <f t="shared" ref="D56" si="16">RIGHT(E56,3)</f>
        <v>492</v>
      </c>
      <c r="E56" s="901" t="s">
        <v>678</v>
      </c>
      <c r="F56" s="769">
        <f>SUMIF(_12MonLights_RateCategory,"KUUM_"&amp;$D56,_12MonLights_Count)</f>
        <v>24</v>
      </c>
      <c r="G56" s="766">
        <f>SUMIF(_Lights_Tariff_Category,MiscData!$T$4&amp;"KUUM_"&amp;$D56,_Lights_Rates)</f>
        <v>15.370000000000001</v>
      </c>
      <c r="H56" s="767">
        <f>ROUND(F56*G56,0)</f>
        <v>369</v>
      </c>
      <c r="I56" s="766">
        <f>ROUND(G56*(1+$M$7),2)</f>
        <v>16.64</v>
      </c>
      <c r="J56" s="767">
        <f>ROUND(F56*I56,0)</f>
        <v>399</v>
      </c>
      <c r="L56" s="435"/>
      <c r="M56" s="895">
        <f t="shared" ref="M56:M57" si="17">$I56/G56-1</f>
        <v>8.2628497072218643E-2</v>
      </c>
      <c r="N56" s="896"/>
      <c r="O56" s="490"/>
      <c r="P56" s="897"/>
      <c r="Q56" s="898"/>
      <c r="R56" s="441"/>
    </row>
    <row r="57" spans="1:18" ht="12.75">
      <c r="A57" s="1133" t="s">
        <v>966</v>
      </c>
      <c r="B57" s="850"/>
      <c r="C57" s="867" t="s">
        <v>1482</v>
      </c>
      <c r="D57" s="899" t="str">
        <f t="shared" ref="D57" si="18">RIGHT(E57,3)</f>
        <v>476</v>
      </c>
      <c r="E57" s="901" t="s">
        <v>374</v>
      </c>
      <c r="F57" s="769">
        <f>SUMIF(_12MonLights_RateCategory,"KUUM_"&amp;$D57,_12MonLights_Count)</f>
        <v>54335</v>
      </c>
      <c r="G57" s="766">
        <f>SUMIF(_Lights_Tariff_Category,MiscData!$T$4&amp;"KUUM_"&amp;$D57,_Lights_Rates)</f>
        <v>16.79</v>
      </c>
      <c r="H57" s="767">
        <f>ROUND(F57*G57,0)</f>
        <v>912285</v>
      </c>
      <c r="I57" s="766">
        <f>ROUND(G57*(1+$M$7),2)</f>
        <v>18.18</v>
      </c>
      <c r="J57" s="767">
        <f>ROUND(F57*I57,0)</f>
        <v>987810</v>
      </c>
      <c r="K57" s="904"/>
      <c r="L57" s="435"/>
      <c r="M57" s="895">
        <f t="shared" si="17"/>
        <v>8.2787373436569389E-2</v>
      </c>
      <c r="N57" s="896"/>
      <c r="O57" s="490"/>
      <c r="P57" s="490"/>
      <c r="Q57" s="441"/>
      <c r="R57" s="441"/>
    </row>
    <row r="58" spans="1:18" ht="12.75">
      <c r="A58" s="1133" t="s">
        <v>1723</v>
      </c>
      <c r="B58" s="850"/>
      <c r="C58" s="777"/>
      <c r="L58" s="435"/>
      <c r="M58" s="895"/>
      <c r="N58" s="896"/>
      <c r="O58" s="490"/>
      <c r="P58" s="897"/>
      <c r="Q58" s="441"/>
      <c r="R58" s="441"/>
    </row>
    <row r="59" spans="1:18" ht="12.75">
      <c r="A59" s="1134" t="s">
        <v>1719</v>
      </c>
      <c r="B59" s="850"/>
      <c r="C59" s="867" t="s">
        <v>1482</v>
      </c>
      <c r="D59" s="899" t="str">
        <f t="shared" ref="D59" si="19">RIGHT(E59,3)</f>
        <v>497</v>
      </c>
      <c r="E59" s="901" t="s">
        <v>650</v>
      </c>
      <c r="F59" s="769">
        <f>SUMIF(_12MonLights_RateCategory,"KUUM_"&amp;$D59,_12MonLights_Count)</f>
        <v>106</v>
      </c>
      <c r="G59" s="766">
        <f>SUMIF(_Lights_Tariff_Category,MiscData!$T$4&amp;"KUUM_"&amp;$D59,_Lights_Rates)</f>
        <v>15.35</v>
      </c>
      <c r="H59" s="767">
        <f>ROUND(F59*G59,0)</f>
        <v>1627</v>
      </c>
      <c r="I59" s="766">
        <f>ROUND(G59*(1+$M$7),2)</f>
        <v>16.62</v>
      </c>
      <c r="J59" s="767">
        <f>ROUND(F59*I59,0)</f>
        <v>1762</v>
      </c>
      <c r="L59" s="435"/>
      <c r="M59" s="895">
        <f t="shared" ref="M59:M60" si="20">$I59/G59-1</f>
        <v>8.2736156351791657E-2</v>
      </c>
      <c r="N59" s="896"/>
      <c r="O59" s="490"/>
      <c r="P59" s="897"/>
      <c r="Q59" s="441"/>
      <c r="R59" s="441"/>
    </row>
    <row r="60" spans="1:18" ht="12.75">
      <c r="A60" s="1133" t="s">
        <v>967</v>
      </c>
      <c r="B60" s="850"/>
      <c r="C60" s="867" t="s">
        <v>1482</v>
      </c>
      <c r="D60" s="899" t="str">
        <f t="shared" ref="D60" si="21">RIGHT(E60,3)</f>
        <v>477</v>
      </c>
      <c r="E60" s="901" t="s">
        <v>398</v>
      </c>
      <c r="F60" s="769">
        <f>SUMIF(_12MonLights_RateCategory,"KUUM_"&amp;$D60,_12MonLights_Count)</f>
        <v>12574</v>
      </c>
      <c r="G60" s="766">
        <f>SUMIF(_Lights_Tariff_Category,MiscData!$T$4&amp;"KUUM_"&amp;$D60,_Lights_Rates)</f>
        <v>20.97</v>
      </c>
      <c r="H60" s="767">
        <f>ROUND(F60*G60,0)</f>
        <v>263677</v>
      </c>
      <c r="I60" s="766">
        <f>ROUND(G60*(1+$M$7),2)</f>
        <v>22.71</v>
      </c>
      <c r="J60" s="767">
        <f>ROUND(F60*I60,0)</f>
        <v>285556</v>
      </c>
      <c r="K60" s="904"/>
      <c r="L60" s="435"/>
      <c r="M60" s="895">
        <f t="shared" si="20"/>
        <v>8.2975679542203196E-2</v>
      </c>
      <c r="N60" s="896"/>
      <c r="O60" s="490"/>
      <c r="P60" s="490"/>
      <c r="Q60" s="441"/>
      <c r="R60" s="441"/>
    </row>
    <row r="61" spans="1:18" ht="12.75">
      <c r="A61" s="1133" t="s">
        <v>1722</v>
      </c>
      <c r="B61" s="850"/>
      <c r="C61" s="777"/>
      <c r="L61" s="435"/>
      <c r="M61" s="895"/>
      <c r="N61" s="896"/>
      <c r="O61" s="490"/>
      <c r="P61" s="897"/>
      <c r="Q61" s="441"/>
      <c r="R61" s="441"/>
    </row>
    <row r="62" spans="1:18" ht="12.75">
      <c r="A62" s="1134" t="s">
        <v>1719</v>
      </c>
      <c r="B62" s="850"/>
      <c r="C62" s="867" t="s">
        <v>1482</v>
      </c>
      <c r="D62" s="899" t="str">
        <f t="shared" ref="D62" si="22">RIGHT(E62,3)</f>
        <v>498</v>
      </c>
      <c r="E62" s="901" t="s">
        <v>447</v>
      </c>
      <c r="F62" s="769">
        <f>SUMIF(_12MonLights_RateCategory,"KUUM_"&amp;$D62,_12MonLights_Count)</f>
        <v>278</v>
      </c>
      <c r="G62" s="766">
        <f>SUMIF(_Lights_Tariff_Category,MiscData!$T$4&amp;"KUUM_"&amp;$D62,_Lights_Rates)</f>
        <v>17.72</v>
      </c>
      <c r="H62" s="767">
        <f>ROUND(F62*G62,0)</f>
        <v>4926</v>
      </c>
      <c r="I62" s="766">
        <f>ROUND(G62*(1+$M$7),2)</f>
        <v>19.190000000000001</v>
      </c>
      <c r="J62" s="767">
        <f>ROUND(F62*I62,0)</f>
        <v>5335</v>
      </c>
      <c r="L62" s="435"/>
      <c r="M62" s="895">
        <f t="shared" ref="M62:M63" si="23">$I62/G62-1</f>
        <v>8.2957110609480855E-2</v>
      </c>
      <c r="N62" s="896"/>
      <c r="O62" s="490"/>
      <c r="P62" s="897"/>
      <c r="Q62" s="441"/>
      <c r="R62" s="441"/>
    </row>
    <row r="63" spans="1:18" ht="12.75">
      <c r="A63" s="1133" t="s">
        <v>968</v>
      </c>
      <c r="B63" s="850"/>
      <c r="C63" s="867" t="s">
        <v>1482</v>
      </c>
      <c r="D63" s="899" t="str">
        <f t="shared" ref="D63" si="24">RIGHT(E63,3)</f>
        <v>478</v>
      </c>
      <c r="E63" s="901" t="s">
        <v>348</v>
      </c>
      <c r="F63" s="769">
        <f>SUMIF(_12MonLights_RateCategory,"KUUM_"&amp;$D63,_12MonLights_Count)</f>
        <v>16764</v>
      </c>
      <c r="G63" s="766">
        <f>SUMIF(_Lights_Tariff_Category,MiscData!$T$4&amp;"KUUM_"&amp;$D63,_Lights_Rates)</f>
        <v>26.86</v>
      </c>
      <c r="H63" s="767">
        <f>ROUND(F63*G63,0)</f>
        <v>450281</v>
      </c>
      <c r="I63" s="766">
        <f>ROUND(G63*(1+$M$7),2)</f>
        <v>29.08</v>
      </c>
      <c r="J63" s="767">
        <f>ROUND(F63*I63,0)</f>
        <v>487497</v>
      </c>
      <c r="K63" s="904"/>
      <c r="L63" s="435"/>
      <c r="M63" s="895">
        <f t="shared" si="23"/>
        <v>8.2650781831719922E-2</v>
      </c>
      <c r="N63" s="896"/>
      <c r="O63" s="490"/>
      <c r="P63" s="490"/>
      <c r="Q63" s="441"/>
      <c r="R63" s="441"/>
    </row>
    <row r="64" spans="1:18" ht="12.75">
      <c r="A64" s="1133" t="s">
        <v>1721</v>
      </c>
      <c r="B64" s="850"/>
      <c r="C64" s="777"/>
      <c r="L64" s="435"/>
      <c r="M64" s="895"/>
      <c r="N64" s="896"/>
      <c r="O64" s="490"/>
      <c r="P64" s="897"/>
      <c r="Q64" s="441"/>
      <c r="R64" s="441"/>
    </row>
    <row r="65" spans="1:18" ht="12.75">
      <c r="A65" s="1134" t="s">
        <v>1719</v>
      </c>
      <c r="B65" s="850"/>
      <c r="C65" s="867" t="s">
        <v>1482</v>
      </c>
      <c r="D65" s="899" t="str">
        <f t="shared" ref="D65" si="25">RIGHT(E65,3)</f>
        <v>499</v>
      </c>
      <c r="E65" s="901" t="s">
        <v>624</v>
      </c>
      <c r="F65" s="769">
        <f>SUMIF(_12MonLights_RateCategory,"KUUM_"&amp;$D65,_12MonLights_Count)</f>
        <v>287</v>
      </c>
      <c r="G65" s="766">
        <f>SUMIF(_Lights_Tariff_Category,MiscData!$T$4&amp;"KUUM_"&amp;$D65,_Lights_Rates)</f>
        <v>21.490000000000002</v>
      </c>
      <c r="H65" s="767">
        <f>ROUND(F65*G65,0)</f>
        <v>6168</v>
      </c>
      <c r="I65" s="766">
        <f>ROUND(G65*(1+$M$7),2)</f>
        <v>23.27</v>
      </c>
      <c r="J65" s="767">
        <f>ROUND(F65*I65,0)</f>
        <v>6678</v>
      </c>
      <c r="L65" s="435"/>
      <c r="M65" s="895">
        <f t="shared" ref="M65:M66" si="26">$I65/G65-1</f>
        <v>8.2829222894369448E-2</v>
      </c>
      <c r="N65" s="896"/>
      <c r="O65" s="490"/>
      <c r="P65" s="897"/>
      <c r="Q65" s="441"/>
      <c r="R65" s="441"/>
    </row>
    <row r="66" spans="1:18" ht="12.75">
      <c r="A66" s="1133" t="s">
        <v>969</v>
      </c>
      <c r="B66" s="850"/>
      <c r="C66" s="867" t="s">
        <v>1482</v>
      </c>
      <c r="D66" s="899" t="str">
        <f t="shared" ref="D66" si="27">RIGHT(E66,3)</f>
        <v>479</v>
      </c>
      <c r="E66" s="901" t="s">
        <v>380</v>
      </c>
      <c r="F66" s="769">
        <f>SUMIF(_12MonLights_RateCategory,"KUUM_"&amp;$D66,_12MonLights_Count)</f>
        <v>11340</v>
      </c>
      <c r="G66" s="766">
        <f>SUMIF(_Lights_Tariff_Category,MiscData!$T$4&amp;"KUUM_"&amp;$D66,_Lights_Rates)</f>
        <v>33.119999999999997</v>
      </c>
      <c r="H66" s="767">
        <f>ROUND(F66*G66,0)</f>
        <v>375581</v>
      </c>
      <c r="I66" s="766">
        <f>ROUND(G66*(1+$M$7),2)</f>
        <v>35.86</v>
      </c>
      <c r="J66" s="767">
        <f>ROUND(F66*I66,0)</f>
        <v>406652</v>
      </c>
      <c r="K66" s="904"/>
      <c r="L66" s="435"/>
      <c r="M66" s="895">
        <f t="shared" si="26"/>
        <v>8.2729468599033851E-2</v>
      </c>
      <c r="N66" s="896"/>
      <c r="O66" s="490"/>
      <c r="P66" s="490"/>
      <c r="Q66" s="441"/>
      <c r="R66" s="441"/>
    </row>
    <row r="67" spans="1:18" ht="12.75">
      <c r="A67" s="1133"/>
      <c r="B67" s="850"/>
      <c r="C67" s="867"/>
      <c r="D67" s="899"/>
      <c r="E67" s="901"/>
      <c r="F67" s="850"/>
      <c r="G67" s="766"/>
      <c r="H67" s="767"/>
      <c r="I67" s="766"/>
      <c r="J67" s="767"/>
      <c r="K67" s="904"/>
      <c r="L67" s="435"/>
      <c r="N67" s="896"/>
      <c r="O67" s="490"/>
      <c r="P67" s="490"/>
      <c r="Q67" s="441"/>
      <c r="R67" s="441"/>
    </row>
    <row r="68" spans="1:18" ht="12.75">
      <c r="A68" s="1132" t="s">
        <v>970</v>
      </c>
      <c r="B68" s="850"/>
      <c r="C68" s="867" t="s">
        <v>1482</v>
      </c>
      <c r="D68" s="899" t="str">
        <f t="shared" ref="D68" si="28">RIGHT(E68,3)</f>
        <v>300</v>
      </c>
      <c r="E68" s="901" t="s">
        <v>416</v>
      </c>
      <c r="F68" s="769">
        <f>SUMIF(_12MonLights_RateCategory,"KUUM_"&amp;$D68,_12MonLights_Count)</f>
        <v>0</v>
      </c>
      <c r="G68" s="766">
        <f>SUMIF(_Lights_Tariff_Category,MiscData!$T$4&amp;"KUUM_"&amp;$D68,_Lights_Rates)</f>
        <v>22.49</v>
      </c>
      <c r="H68" s="767">
        <f>ROUND(F68*G68,0)</f>
        <v>0</v>
      </c>
      <c r="I68" s="766">
        <f>ROUND(G68*(1+$M$7),2)</f>
        <v>24.35</v>
      </c>
      <c r="J68" s="767">
        <f>ROUND(F68*I68,0)</f>
        <v>0</v>
      </c>
      <c r="L68" s="435"/>
      <c r="M68" s="895">
        <f t="shared" ref="M68:M69" si="29">$I68/G68-1</f>
        <v>8.2703423743886395E-2</v>
      </c>
      <c r="N68" s="896"/>
      <c r="O68" s="490"/>
      <c r="P68" s="897"/>
      <c r="Q68" s="898"/>
      <c r="R68" s="441"/>
    </row>
    <row r="69" spans="1:18" ht="12.75">
      <c r="A69" s="1132" t="s">
        <v>971</v>
      </c>
      <c r="B69" s="850"/>
      <c r="C69" s="871" t="s">
        <v>1482</v>
      </c>
      <c r="D69" s="899" t="str">
        <f t="shared" ref="D69" si="30">RIGHT(E69,3)</f>
        <v>301</v>
      </c>
      <c r="E69" s="901" t="s">
        <v>417</v>
      </c>
      <c r="F69" s="769">
        <f>SUMIF(_12MonLights_RateCategory,"KUUM_"&amp;$D69,_12MonLights_Count)</f>
        <v>0</v>
      </c>
      <c r="G69" s="766">
        <f>SUMIF(_Lights_Tariff_Category,MiscData!$T$4&amp;"KUUM_"&amp;$D69,_Lights_Rates)</f>
        <v>23.5</v>
      </c>
      <c r="H69" s="767">
        <f>ROUND(F69*G69,0)</f>
        <v>0</v>
      </c>
      <c r="I69" s="766">
        <f>ROUND(G69*(1+$M$7),2)</f>
        <v>25.45</v>
      </c>
      <c r="J69" s="767">
        <f>ROUND(F69*I69,0)</f>
        <v>0</v>
      </c>
      <c r="L69" s="435"/>
      <c r="M69" s="895">
        <f t="shared" si="29"/>
        <v>8.2978723404255383E-2</v>
      </c>
      <c r="N69" s="896"/>
      <c r="O69" s="490"/>
      <c r="P69" s="897"/>
      <c r="Q69" s="898"/>
      <c r="R69" s="441"/>
    </row>
    <row r="70" spans="1:18">
      <c r="L70" s="435"/>
      <c r="N70" s="435"/>
      <c r="O70" s="490"/>
      <c r="P70" s="895"/>
      <c r="Q70" s="441"/>
      <c r="R70" s="441"/>
    </row>
    <row r="71" spans="1:18">
      <c r="L71" s="435"/>
      <c r="M71" s="895"/>
      <c r="N71" s="435"/>
      <c r="O71" s="490"/>
      <c r="P71" s="895"/>
      <c r="Q71" s="441"/>
      <c r="R71" s="441"/>
    </row>
    <row r="72" spans="1:18" ht="12.75" customHeight="1">
      <c r="A72" s="903"/>
      <c r="B72" s="850"/>
      <c r="C72" s="871"/>
      <c r="D72" s="850"/>
      <c r="E72" s="850"/>
      <c r="F72" s="850"/>
      <c r="G72" s="853"/>
      <c r="H72" s="854"/>
      <c r="I72" s="853"/>
      <c r="J72" s="854"/>
      <c r="K72" s="902"/>
      <c r="L72" s="870"/>
      <c r="N72" s="435"/>
      <c r="O72" s="490"/>
      <c r="P72" s="895"/>
      <c r="Q72" s="441"/>
      <c r="R72" s="441"/>
    </row>
    <row r="73" spans="1:18" s="850" customFormat="1" ht="12.75">
      <c r="A73" s="1147" t="s">
        <v>1462</v>
      </c>
      <c r="J73" s="860" t="s">
        <v>1489</v>
      </c>
    </row>
    <row r="74" spans="1:18" s="850" customFormat="1" ht="12.75">
      <c r="A74" s="869" t="s">
        <v>1465</v>
      </c>
      <c r="J74" s="944" t="str">
        <f>"Page "&amp;O74&amp;" of "&amp;P74</f>
        <v>Page 17 of 20</v>
      </c>
      <c r="O74" s="850">
        <f>O34+1</f>
        <v>17</v>
      </c>
      <c r="P74" s="850">
        <f>$P$165</f>
        <v>20</v>
      </c>
    </row>
    <row r="75" spans="1:18" s="850" customFormat="1" ht="12.75">
      <c r="A75" s="869" t="s">
        <v>1461</v>
      </c>
      <c r="J75" s="944"/>
    </row>
    <row r="76" spans="1:18" s="850" customFormat="1" ht="12.75">
      <c r="A76" s="858"/>
    </row>
    <row r="77" spans="1:18" s="850" customFormat="1" ht="12.75">
      <c r="A77" s="949"/>
      <c r="B77" s="950"/>
      <c r="C77" s="950"/>
      <c r="D77" s="950"/>
      <c r="E77" s="951"/>
      <c r="F77" s="951"/>
      <c r="G77" s="951"/>
      <c r="H77" s="952" t="s">
        <v>766</v>
      </c>
      <c r="I77" s="951"/>
      <c r="J77" s="951" t="s">
        <v>766</v>
      </c>
    </row>
    <row r="78" spans="1:18" s="850" customFormat="1" ht="12.75">
      <c r="A78" s="946"/>
      <c r="C78" s="871" t="s">
        <v>10</v>
      </c>
      <c r="D78" s="871" t="s">
        <v>1480</v>
      </c>
      <c r="E78" s="871" t="s">
        <v>998</v>
      </c>
      <c r="F78" s="871" t="s">
        <v>59</v>
      </c>
      <c r="G78" s="871" t="s">
        <v>767</v>
      </c>
      <c r="H78" s="872" t="s">
        <v>768</v>
      </c>
      <c r="I78" s="871" t="s">
        <v>769</v>
      </c>
      <c r="J78" s="871" t="s">
        <v>768</v>
      </c>
      <c r="L78" s="870"/>
      <c r="M78" s="894"/>
    </row>
    <row r="79" spans="1:18" s="850" customFormat="1" ht="12.75">
      <c r="A79" s="942"/>
      <c r="B79" s="876"/>
      <c r="C79" s="878" t="s">
        <v>997</v>
      </c>
      <c r="D79" s="878" t="s">
        <v>1464</v>
      </c>
      <c r="E79" s="873" t="s">
        <v>999</v>
      </c>
      <c r="F79" s="874" t="s">
        <v>95</v>
      </c>
      <c r="G79" s="873" t="s">
        <v>118</v>
      </c>
      <c r="H79" s="875" t="s">
        <v>771</v>
      </c>
      <c r="I79" s="873" t="s">
        <v>118</v>
      </c>
      <c r="J79" s="873" t="s">
        <v>772</v>
      </c>
      <c r="M79" s="778"/>
    </row>
    <row r="80" spans="1:18">
      <c r="A80" s="968" t="s">
        <v>1787</v>
      </c>
      <c r="L80" s="435"/>
      <c r="M80" s="895"/>
      <c r="N80" s="435"/>
      <c r="O80" s="490"/>
      <c r="P80" s="895"/>
      <c r="Q80" s="441"/>
      <c r="R80" s="441"/>
    </row>
    <row r="81" spans="1:18" ht="12.75">
      <c r="A81" s="966" t="s">
        <v>548</v>
      </c>
      <c r="L81" s="766"/>
      <c r="M81" s="895"/>
      <c r="N81" s="435"/>
      <c r="O81" s="490"/>
      <c r="P81" s="895"/>
      <c r="Q81" s="441"/>
      <c r="R81" s="441"/>
    </row>
    <row r="82" spans="1:18" ht="12.75">
      <c r="A82" s="1132" t="s">
        <v>972</v>
      </c>
      <c r="B82" s="850"/>
      <c r="C82" s="871" t="s">
        <v>1483</v>
      </c>
      <c r="D82" s="899" t="str">
        <f t="shared" ref="D82" si="31">RIGHT(E82,3)</f>
        <v>490</v>
      </c>
      <c r="E82" s="901" t="s">
        <v>321</v>
      </c>
      <c r="F82" s="769">
        <f>SUMIF(_12MonLights_RateCategory,"KUUM_"&amp;$D82,_12MonLights_Count)</f>
        <v>694</v>
      </c>
      <c r="G82" s="766">
        <f>SUMIF(_Lights_Tariff_Category,MiscData!$T$4&amp;"KUUM_"&amp;$D82,_Lights_Rates)</f>
        <v>15.47</v>
      </c>
      <c r="H82" s="767">
        <f>ROUND(F82*G82,0)</f>
        <v>10736</v>
      </c>
      <c r="I82" s="766">
        <f>ROUND(G82*(1+$M$7),2)</f>
        <v>16.75</v>
      </c>
      <c r="J82" s="767">
        <f t="shared" ref="J82" si="32">ROUND(F82*I82,0)</f>
        <v>11625</v>
      </c>
      <c r="L82" s="766"/>
      <c r="M82" s="895">
        <f>$I82/G82-1</f>
        <v>8.2740788623141492E-2</v>
      </c>
      <c r="N82" s="896"/>
      <c r="O82" s="490"/>
      <c r="P82" s="897"/>
      <c r="Q82" s="898"/>
      <c r="R82" s="460"/>
    </row>
    <row r="83" spans="1:18" ht="12.75">
      <c r="A83" s="1133" t="s">
        <v>1725</v>
      </c>
      <c r="B83" s="850"/>
      <c r="C83" s="871"/>
      <c r="D83" s="850"/>
      <c r="E83" s="850"/>
      <c r="F83" s="887"/>
      <c r="G83" s="850"/>
      <c r="H83" s="850"/>
      <c r="I83" s="850"/>
      <c r="J83" s="850"/>
      <c r="L83" s="766"/>
      <c r="N83" s="896"/>
      <c r="O83" s="490"/>
      <c r="P83" s="897"/>
      <c r="Q83" s="898"/>
      <c r="R83" s="460"/>
    </row>
    <row r="84" spans="1:18" ht="12.75">
      <c r="A84" s="1133"/>
      <c r="B84" s="850" t="s">
        <v>1724</v>
      </c>
      <c r="C84" s="871" t="s">
        <v>1483</v>
      </c>
      <c r="D84" s="899" t="str">
        <f t="shared" ref="D84" si="33">RIGHT(E84,3)</f>
        <v>494</v>
      </c>
      <c r="E84" s="901" t="s">
        <v>318</v>
      </c>
      <c r="F84" s="769">
        <f>SUMIF(_12MonLights_RateCategory,"KUUM_"&amp;$D84,_12MonLights_Count)</f>
        <v>2130</v>
      </c>
      <c r="G84" s="766">
        <f>SUMIF(_Lights_Tariff_Category,MiscData!$T$4&amp;"KUUM_"&amp;$D84,_Lights_Rates)</f>
        <v>28.37</v>
      </c>
      <c r="H84" s="767">
        <f>ROUND(F84*G84,0)</f>
        <v>60428</v>
      </c>
      <c r="I84" s="766">
        <f>ROUND(G84*(1+$M$7),2)</f>
        <v>30.72</v>
      </c>
      <c r="J84" s="767">
        <f t="shared" ref="J84" si="34">ROUND(F84*I84,0)</f>
        <v>65434</v>
      </c>
      <c r="L84" s="435"/>
      <c r="M84" s="895">
        <f>$I84/G84-1</f>
        <v>8.2833979555868797E-2</v>
      </c>
      <c r="N84" s="435"/>
      <c r="O84" s="490"/>
      <c r="P84" s="895"/>
      <c r="Q84" s="441"/>
      <c r="R84" s="441"/>
    </row>
    <row r="85" spans="1:18" ht="12.75">
      <c r="A85" s="1133" t="s">
        <v>1022</v>
      </c>
      <c r="B85" s="850"/>
      <c r="C85" s="871" t="s">
        <v>1483</v>
      </c>
      <c r="D85" s="899" t="str">
        <f t="shared" ref="D85" si="35">RIGHT(E85,3)</f>
        <v>491</v>
      </c>
      <c r="E85" s="901" t="s">
        <v>353</v>
      </c>
      <c r="F85" s="769">
        <f>SUMIF(_12MonLights_RateCategory,"KUUM_"&amp;$D85,_12MonLights_Count)</f>
        <v>3633</v>
      </c>
      <c r="G85" s="766">
        <f>SUMIF(_Lights_Tariff_Category,MiscData!$T$4&amp;"KUUM_"&amp;$D85,_Lights_Rates)</f>
        <v>21.930000000000003</v>
      </c>
      <c r="H85" s="767">
        <f>ROUND(F85*G85,0)</f>
        <v>79672</v>
      </c>
      <c r="I85" s="766">
        <f>ROUND(G85*(1+$M$7),2)</f>
        <v>23.75</v>
      </c>
      <c r="J85" s="767">
        <f t="shared" ref="J85" si="36">ROUND(F85*I85,0)</f>
        <v>86284</v>
      </c>
      <c r="L85" s="435"/>
      <c r="M85" s="895">
        <f>$I85/G85-1</f>
        <v>8.2991336069311306E-2</v>
      </c>
      <c r="N85" s="896"/>
      <c r="O85" s="490"/>
      <c r="P85" s="897"/>
      <c r="Q85" s="898"/>
      <c r="R85" s="441"/>
    </row>
    <row r="86" spans="1:18" ht="12.75">
      <c r="A86" s="1133" t="s">
        <v>973</v>
      </c>
      <c r="B86" s="850"/>
      <c r="C86" s="871"/>
      <c r="D86" s="850"/>
      <c r="E86" s="850"/>
      <c r="F86" s="887"/>
      <c r="G86" s="850"/>
      <c r="H86" s="850"/>
      <c r="I86" s="850"/>
      <c r="J86" s="850"/>
      <c r="L86" s="435"/>
      <c r="N86" s="896"/>
      <c r="O86" s="490"/>
      <c r="P86" s="897"/>
      <c r="Q86" s="898"/>
      <c r="R86" s="441"/>
    </row>
    <row r="87" spans="1:18" ht="12.75">
      <c r="A87" s="1133"/>
      <c r="B87" s="850" t="s">
        <v>1724</v>
      </c>
      <c r="C87" s="871" t="s">
        <v>1483</v>
      </c>
      <c r="D87" s="899" t="str">
        <f t="shared" ref="D87" si="37">RIGHT(E87,3)</f>
        <v>495</v>
      </c>
      <c r="E87" s="901" t="s">
        <v>350</v>
      </c>
      <c r="F87" s="769">
        <f>SUMIF(_12MonLights_RateCategory,"KUUM_"&amp;$D87,_12MonLights_Count)</f>
        <v>7461</v>
      </c>
      <c r="G87" s="766">
        <f>SUMIF(_Lights_Tariff_Category,MiscData!$T$4&amp;"KUUM_"&amp;$D87,_Lights_Rates)</f>
        <v>34.830000000000005</v>
      </c>
      <c r="H87" s="767">
        <f>ROUND(F87*G87,0)</f>
        <v>259867</v>
      </c>
      <c r="I87" s="766">
        <f>ROUND(G87*(1+$M$7),2)</f>
        <v>37.71</v>
      </c>
      <c r="J87" s="767">
        <f t="shared" ref="J87" si="38">ROUND(F87*I87,0)</f>
        <v>281354</v>
      </c>
      <c r="L87" s="435"/>
      <c r="M87" s="895">
        <f>$I87/G87-1</f>
        <v>8.268733850129184E-2</v>
      </c>
      <c r="N87" s="435"/>
      <c r="O87" s="490"/>
      <c r="P87" s="895"/>
      <c r="Q87" s="441"/>
      <c r="R87" s="441"/>
    </row>
    <row r="88" spans="1:18" ht="12.75">
      <c r="A88" s="1133" t="s">
        <v>974</v>
      </c>
      <c r="B88" s="850"/>
      <c r="C88" s="871" t="s">
        <v>1483</v>
      </c>
      <c r="D88" s="899" t="str">
        <f t="shared" ref="D88" si="39">RIGHT(E88,3)</f>
        <v>493</v>
      </c>
      <c r="E88" s="901" t="s">
        <v>316</v>
      </c>
      <c r="F88" s="769">
        <f>SUMIF(_12MonLights_RateCategory,"KUUM_"&amp;$D88,_12MonLights_Count)</f>
        <v>529</v>
      </c>
      <c r="G88" s="766">
        <f>SUMIF(_Lights_Tariff_Category,MiscData!$T$4&amp;"KUUM_"&amp;$D88,_Lights_Rates)</f>
        <v>45.7</v>
      </c>
      <c r="H88" s="767">
        <f>ROUND(F88*G88,0)</f>
        <v>24175</v>
      </c>
      <c r="I88" s="766">
        <f>ROUND(G88*(1+$M$7),2)</f>
        <v>49.48</v>
      </c>
      <c r="J88" s="767">
        <f>ROUND(F88*I88,0)</f>
        <v>26175</v>
      </c>
      <c r="L88" s="435"/>
      <c r="M88" s="895">
        <f>$I88/G88-1</f>
        <v>8.27133479212252E-2</v>
      </c>
      <c r="N88" s="896"/>
      <c r="O88" s="490"/>
      <c r="P88" s="897"/>
      <c r="Q88" s="898"/>
      <c r="R88" s="441"/>
    </row>
    <row r="89" spans="1:18" ht="12.75">
      <c r="A89" s="1133" t="s">
        <v>975</v>
      </c>
      <c r="B89" s="850"/>
      <c r="C89" s="871"/>
      <c r="D89" s="850"/>
      <c r="E89" s="850"/>
      <c r="F89" s="887"/>
      <c r="G89" s="850"/>
      <c r="H89" s="850"/>
      <c r="I89" s="850"/>
      <c r="J89" s="850"/>
      <c r="L89" s="435"/>
      <c r="N89" s="896"/>
      <c r="O89" s="490"/>
      <c r="P89" s="897"/>
      <c r="Q89" s="898"/>
      <c r="R89" s="441"/>
    </row>
    <row r="90" spans="1:18" ht="12.75">
      <c r="A90" s="965"/>
      <c r="B90" s="850" t="s">
        <v>1724</v>
      </c>
      <c r="C90" s="867" t="s">
        <v>1483</v>
      </c>
      <c r="D90" s="899" t="str">
        <f t="shared" ref="D90" si="40">RIGHT(E90,3)</f>
        <v>496</v>
      </c>
      <c r="E90" s="901" t="s">
        <v>313</v>
      </c>
      <c r="F90" s="769">
        <f>SUMIF(_12MonLights_RateCategory,"KUUM_"&amp;$D90,_12MonLights_Count)</f>
        <v>1888</v>
      </c>
      <c r="G90" s="766">
        <f>SUMIF(_Lights_Tariff_Category,MiscData!$T$4&amp;"KUUM_"&amp;$D90,_Lights_Rates)</f>
        <v>58.59</v>
      </c>
      <c r="H90" s="767">
        <f>ROUND(F90*G90,0)</f>
        <v>110618</v>
      </c>
      <c r="I90" s="766">
        <f>ROUND(G90*(1+$M$7),2)</f>
        <v>63.44</v>
      </c>
      <c r="J90" s="767">
        <f t="shared" ref="J90" si="41">ROUND(F90*I90,0)</f>
        <v>119775</v>
      </c>
      <c r="L90" s="435"/>
      <c r="M90" s="895">
        <f>$I90/G90-1</f>
        <v>8.2778631165727923E-2</v>
      </c>
      <c r="N90" s="435"/>
      <c r="O90" s="490"/>
      <c r="P90" s="897"/>
      <c r="Q90" s="441"/>
      <c r="R90" s="441"/>
    </row>
    <row r="91" spans="1:18">
      <c r="L91" s="435"/>
      <c r="N91" s="435"/>
      <c r="O91" s="490"/>
      <c r="P91" s="435"/>
      <c r="Q91" s="441"/>
      <c r="R91" s="441"/>
    </row>
    <row r="92" spans="1:18" ht="12.75" customHeight="1">
      <c r="A92" s="903"/>
      <c r="B92" s="850"/>
      <c r="C92" s="871"/>
      <c r="D92" s="850"/>
      <c r="E92" s="850"/>
      <c r="F92" s="850"/>
      <c r="G92" s="853"/>
      <c r="H92" s="854"/>
      <c r="I92" s="853"/>
      <c r="J92" s="854"/>
      <c r="K92" s="902"/>
      <c r="L92" s="870"/>
      <c r="N92" s="435"/>
      <c r="O92" s="490"/>
      <c r="P92" s="895"/>
      <c r="Q92" s="441"/>
      <c r="R92" s="441"/>
    </row>
    <row r="93" spans="1:18" s="850" customFormat="1" ht="12.75">
      <c r="A93" s="1147" t="s">
        <v>1462</v>
      </c>
      <c r="J93" s="860" t="s">
        <v>1489</v>
      </c>
    </row>
    <row r="94" spans="1:18" s="850" customFormat="1" ht="12.75">
      <c r="A94" s="869" t="s">
        <v>1465</v>
      </c>
      <c r="J94" s="944" t="str">
        <f>"Page "&amp;O94&amp;" of "&amp;P94</f>
        <v>Page 18 of 20</v>
      </c>
      <c r="O94" s="850">
        <f>O74+1</f>
        <v>18</v>
      </c>
      <c r="P94" s="850">
        <f>$P$165</f>
        <v>20</v>
      </c>
    </row>
    <row r="95" spans="1:18" s="850" customFormat="1" ht="12.75">
      <c r="A95" s="869" t="s">
        <v>1461</v>
      </c>
      <c r="J95" s="944"/>
    </row>
    <row r="96" spans="1:18" s="850" customFormat="1" ht="12.75">
      <c r="A96" s="858"/>
    </row>
    <row r="97" spans="1:18" s="850" customFormat="1" ht="12.75">
      <c r="A97" s="949"/>
      <c r="B97" s="950"/>
      <c r="C97" s="950"/>
      <c r="D97" s="950"/>
      <c r="E97" s="951"/>
      <c r="F97" s="951"/>
      <c r="G97" s="951"/>
      <c r="H97" s="952" t="s">
        <v>766</v>
      </c>
      <c r="I97" s="951"/>
      <c r="J97" s="951" t="s">
        <v>766</v>
      </c>
    </row>
    <row r="98" spans="1:18" s="850" customFormat="1" ht="12.75">
      <c r="A98" s="946"/>
      <c r="C98" s="871" t="s">
        <v>10</v>
      </c>
      <c r="D98" s="871" t="s">
        <v>1480</v>
      </c>
      <c r="E98" s="871" t="s">
        <v>998</v>
      </c>
      <c r="F98" s="871" t="s">
        <v>59</v>
      </c>
      <c r="G98" s="871" t="s">
        <v>767</v>
      </c>
      <c r="H98" s="872" t="s">
        <v>768</v>
      </c>
      <c r="I98" s="871" t="s">
        <v>769</v>
      </c>
      <c r="J98" s="871" t="s">
        <v>768</v>
      </c>
      <c r="L98" s="870"/>
      <c r="M98" s="894"/>
    </row>
    <row r="99" spans="1:18" s="850" customFormat="1" ht="12.75">
      <c r="A99" s="942"/>
      <c r="B99" s="876"/>
      <c r="C99" s="878" t="s">
        <v>997</v>
      </c>
      <c r="D99" s="878" t="s">
        <v>1464</v>
      </c>
      <c r="E99" s="873" t="s">
        <v>999</v>
      </c>
      <c r="F99" s="874" t="s">
        <v>95</v>
      </c>
      <c r="G99" s="873" t="s">
        <v>118</v>
      </c>
      <c r="H99" s="875" t="s">
        <v>771</v>
      </c>
      <c r="I99" s="873" t="s">
        <v>118</v>
      </c>
      <c r="J99" s="873" t="s">
        <v>772</v>
      </c>
      <c r="M99" s="778"/>
    </row>
    <row r="100" spans="1:18" ht="12.75">
      <c r="A100" s="779" t="s">
        <v>1788</v>
      </c>
      <c r="B100" s="913"/>
      <c r="C100" s="871"/>
      <c r="D100" s="774"/>
      <c r="E100" s="774"/>
      <c r="F100" s="850"/>
      <c r="G100" s="766"/>
      <c r="H100" s="767"/>
      <c r="I100" s="850"/>
      <c r="J100" s="871"/>
      <c r="K100" s="850"/>
      <c r="L100" s="766"/>
      <c r="M100" s="435"/>
      <c r="N100" s="435"/>
      <c r="O100" s="490"/>
      <c r="P100" s="895"/>
      <c r="Q100" s="441"/>
      <c r="R100" s="441"/>
    </row>
    <row r="101" spans="1:18" ht="12.75">
      <c r="A101" s="962" t="s">
        <v>943</v>
      </c>
      <c r="B101" s="850"/>
      <c r="C101" s="871"/>
      <c r="D101" s="871"/>
      <c r="E101" s="871"/>
      <c r="F101" s="871"/>
      <c r="G101" s="893"/>
      <c r="H101" s="871"/>
      <c r="I101" s="850"/>
      <c r="J101" s="871"/>
      <c r="K101" s="850"/>
      <c r="L101" s="766"/>
      <c r="M101" s="895"/>
      <c r="N101" s="435"/>
      <c r="O101" s="490"/>
      <c r="P101" s="895"/>
      <c r="Q101" s="441"/>
      <c r="R101" s="441"/>
    </row>
    <row r="102" spans="1:18" ht="12.75">
      <c r="A102" s="963" t="s">
        <v>486</v>
      </c>
      <c r="B102" s="850"/>
      <c r="C102" s="871"/>
      <c r="D102" s="850"/>
      <c r="E102" s="850"/>
      <c r="F102" s="850"/>
      <c r="G102" s="850"/>
      <c r="H102" s="850"/>
      <c r="I102" s="850"/>
      <c r="J102" s="850"/>
      <c r="K102" s="850"/>
      <c r="L102" s="435"/>
      <c r="M102" s="895"/>
      <c r="N102" s="435"/>
      <c r="O102" s="490"/>
      <c r="P102" s="895"/>
      <c r="Q102" s="441"/>
      <c r="R102" s="441"/>
    </row>
    <row r="103" spans="1:18" ht="12.75">
      <c r="A103" s="1133" t="s">
        <v>977</v>
      </c>
      <c r="B103" s="850"/>
      <c r="C103" s="871" t="s">
        <v>1486</v>
      </c>
      <c r="D103" s="899" t="str">
        <f t="shared" ref="D103" si="42">RIGHT(E103,3)</f>
        <v>461</v>
      </c>
      <c r="E103" s="901" t="s">
        <v>356</v>
      </c>
      <c r="F103" s="769">
        <f>SUMIF(_12MonLights_RateCategory,"KUUM_"&amp;$D103,_12MonLights_Count)</f>
        <v>78906</v>
      </c>
      <c r="G103" s="766">
        <f>SUMIF(_Lights_Tariff_Category,MiscData!$T$4&amp;"KUUM_"&amp;$D103,_Lights_Rates)</f>
        <v>7.54</v>
      </c>
      <c r="H103" s="767">
        <f>ROUND(F103*G103,0)</f>
        <v>594951</v>
      </c>
      <c r="I103" s="766">
        <f>ROUND(G103*(1+$M$7),2)</f>
        <v>8.16</v>
      </c>
      <c r="J103" s="767">
        <f t="shared" ref="J103" si="43">ROUND(F103*I103,0)</f>
        <v>643873</v>
      </c>
      <c r="K103" s="850"/>
      <c r="L103" s="905"/>
      <c r="M103" s="895">
        <f t="shared" ref="M103:M105" si="44">$I103/G103-1</f>
        <v>8.2228116710875376E-2</v>
      </c>
      <c r="N103" s="896"/>
      <c r="O103" s="490"/>
      <c r="P103" s="897"/>
      <c r="Q103" s="898"/>
      <c r="R103" s="441"/>
    </row>
    <row r="104" spans="1:18" ht="12.75">
      <c r="A104" s="1133" t="s">
        <v>978</v>
      </c>
      <c r="B104" s="850"/>
      <c r="C104" s="871" t="s">
        <v>1486</v>
      </c>
      <c r="D104" s="899" t="str">
        <f t="shared" ref="D104" si="45">RIGHT(E104,3)</f>
        <v>471</v>
      </c>
      <c r="E104" s="901" t="s">
        <v>355</v>
      </c>
      <c r="F104" s="769">
        <f>SUMIF(_12MonLights_RateCategory,"KUUM_"&amp;$D104,_12MonLights_Count)</f>
        <v>43379</v>
      </c>
      <c r="G104" s="766">
        <f>SUMIF(_Lights_Tariff_Category,MiscData!$T$4&amp;"KUUM_"&amp;$D104,_Lights_Rates)</f>
        <v>10.49</v>
      </c>
      <c r="H104" s="767">
        <f>ROUND(F104*G104,0)</f>
        <v>455046</v>
      </c>
      <c r="I104" s="766">
        <f>ROUND(G104*(1+$M$7),2)</f>
        <v>11.36</v>
      </c>
      <c r="J104" s="767">
        <f t="shared" ref="J104" si="46">ROUND(F104*I104,0)</f>
        <v>492785</v>
      </c>
      <c r="K104" s="850"/>
      <c r="L104" s="905"/>
      <c r="M104" s="895">
        <f t="shared" si="44"/>
        <v>8.293612964728303E-2</v>
      </c>
      <c r="N104" s="896"/>
      <c r="O104" s="490"/>
      <c r="P104" s="897"/>
      <c r="Q104" s="898"/>
      <c r="R104" s="441"/>
    </row>
    <row r="105" spans="1:18" ht="12.75">
      <c r="A105" s="1133" t="s">
        <v>979</v>
      </c>
      <c r="B105" s="850"/>
      <c r="C105" s="871" t="s">
        <v>1486</v>
      </c>
      <c r="D105" s="899" t="str">
        <f t="shared" ref="D105" si="47">RIGHT(E105,3)</f>
        <v>409</v>
      </c>
      <c r="E105" s="901" t="s">
        <v>382</v>
      </c>
      <c r="F105" s="769">
        <f>SUMIF(_12MonLights_RateCategory,"KUUM_"&amp;$D105,_12MonLights_Count)</f>
        <v>1654</v>
      </c>
      <c r="G105" s="766">
        <f>SUMIF(_Lights_Tariff_Category,MiscData!$T$4&amp;"KUUM_"&amp;$D105,_Lights_Rates)</f>
        <v>11.71</v>
      </c>
      <c r="H105" s="767">
        <f>ROUND(F105*G105,0)</f>
        <v>19368</v>
      </c>
      <c r="I105" s="766">
        <f>ROUND(G105*(1+$M$7),2)</f>
        <v>12.68</v>
      </c>
      <c r="J105" s="767">
        <f t="shared" ref="J105" si="48">ROUND(F105*I105,0)</f>
        <v>20973</v>
      </c>
      <c r="K105" s="850"/>
      <c r="L105" s="905"/>
      <c r="M105" s="895">
        <f t="shared" si="44"/>
        <v>8.2835183603757301E-2</v>
      </c>
      <c r="N105" s="896"/>
      <c r="O105" s="490"/>
      <c r="P105" s="897"/>
      <c r="Q105" s="898"/>
      <c r="R105" s="441"/>
    </row>
    <row r="106" spans="1:18" ht="12.75">
      <c r="A106" s="765"/>
      <c r="B106" s="850"/>
      <c r="C106" s="871"/>
      <c r="D106" s="850"/>
      <c r="E106" s="850"/>
      <c r="F106" s="887"/>
      <c r="G106" s="850"/>
      <c r="H106" s="850"/>
      <c r="I106" s="850"/>
      <c r="J106" s="850"/>
      <c r="K106" s="850"/>
      <c r="L106" s="435"/>
      <c r="N106" s="435"/>
      <c r="O106" s="490"/>
      <c r="P106" s="895"/>
      <c r="Q106" s="441"/>
      <c r="R106" s="441"/>
    </row>
    <row r="107" spans="1:18" ht="12.75">
      <c r="A107" s="1132" t="s">
        <v>976</v>
      </c>
      <c r="B107" s="850"/>
      <c r="C107" s="871" t="s">
        <v>1486</v>
      </c>
      <c r="D107" s="899" t="str">
        <f t="shared" ref="D107" si="49">RIGHT(E107,3)</f>
        <v>426</v>
      </c>
      <c r="E107" s="901" t="s">
        <v>375</v>
      </c>
      <c r="F107" s="769">
        <f>SUMIF(_12MonLights_RateCategory,"KUUM_"&amp;$D107,_12MonLights_Count)</f>
        <v>2025</v>
      </c>
      <c r="G107" s="766">
        <f>SUMIF(_Lights_Tariff_Category,MiscData!$T$4&amp;"KUUM_"&amp;$D107,_Lights_Rates)</f>
        <v>7.4399999999999995</v>
      </c>
      <c r="H107" s="767">
        <f>ROUND(F107*G107,0)</f>
        <v>15066</v>
      </c>
      <c r="I107" s="766">
        <f>ROUND(G107*(1+$M$7),2)</f>
        <v>8.06</v>
      </c>
      <c r="J107" s="767">
        <f t="shared" ref="J107" si="50">ROUND(F107*I107,0)</f>
        <v>16322</v>
      </c>
      <c r="K107" s="850"/>
      <c r="L107" s="435"/>
      <c r="M107" s="895">
        <f>$I107/G107-1</f>
        <v>8.3333333333333481E-2</v>
      </c>
      <c r="N107" s="896"/>
      <c r="O107" s="490"/>
      <c r="P107" s="897"/>
      <c r="Q107" s="898"/>
      <c r="R107" s="441"/>
    </row>
    <row r="108" spans="1:18">
      <c r="C108" s="777"/>
      <c r="L108" s="435"/>
      <c r="N108" s="435"/>
      <c r="O108" s="490"/>
      <c r="P108" s="895"/>
      <c r="Q108" s="441"/>
      <c r="R108" s="441"/>
    </row>
    <row r="109" spans="1:18" ht="12.75">
      <c r="A109" s="966" t="s">
        <v>548</v>
      </c>
      <c r="B109" s="850"/>
      <c r="C109" s="871"/>
      <c r="D109" s="850"/>
      <c r="E109" s="850"/>
      <c r="F109" s="850"/>
      <c r="G109" s="850"/>
      <c r="H109" s="850"/>
      <c r="I109" s="850"/>
      <c r="J109" s="850"/>
      <c r="K109" s="850"/>
      <c r="L109" s="435"/>
      <c r="M109" s="895"/>
      <c r="N109" s="435"/>
      <c r="O109" s="490"/>
      <c r="P109" s="895"/>
      <c r="Q109" s="441"/>
      <c r="R109" s="441"/>
    </row>
    <row r="110" spans="1:18" ht="12.75">
      <c r="A110" s="1133" t="s">
        <v>980</v>
      </c>
      <c r="B110" s="850"/>
      <c r="C110" s="871"/>
      <c r="D110" s="850"/>
      <c r="E110" s="850"/>
      <c r="F110" s="887"/>
      <c r="G110" s="850"/>
      <c r="H110" s="850"/>
      <c r="I110" s="850"/>
      <c r="J110" s="850"/>
      <c r="K110" s="850"/>
      <c r="L110" s="435"/>
      <c r="M110" s="895"/>
      <c r="N110" s="896"/>
      <c r="O110" s="490"/>
      <c r="P110" s="897"/>
      <c r="Q110" s="898"/>
      <c r="R110" s="441"/>
    </row>
    <row r="111" spans="1:18" ht="12.75">
      <c r="A111" s="765"/>
      <c r="B111" s="850" t="s">
        <v>1726</v>
      </c>
      <c r="C111" s="871" t="s">
        <v>1486</v>
      </c>
      <c r="D111" s="899" t="str">
        <f>RIGHT(E111,3)</f>
        <v>454</v>
      </c>
      <c r="E111" s="901" t="s">
        <v>320</v>
      </c>
      <c r="F111" s="769">
        <f>SUMIF(_12MonLights_RateCategory,"KUUM_"&amp;$D111,_12MonLights_Count)</f>
        <v>1773</v>
      </c>
      <c r="G111" s="766">
        <f>SUMIF(_Lights_Tariff_Category,MiscData!$T$4&amp;"KUUM_"&amp;$D111,_Lights_Rates)</f>
        <v>18.649999999999999</v>
      </c>
      <c r="H111" s="767">
        <f>ROUND(F111*G111,0)</f>
        <v>33066</v>
      </c>
      <c r="I111" s="766">
        <f>ROUND(G111*(1+$M$7),2)</f>
        <v>20.190000000000001</v>
      </c>
      <c r="J111" s="767">
        <f>ROUND(F111*I111,0)</f>
        <v>35797</v>
      </c>
      <c r="K111" s="850"/>
      <c r="L111" s="435"/>
      <c r="M111" s="895">
        <f>$I111/G111-1</f>
        <v>8.2573726541555148E-2</v>
      </c>
      <c r="N111" s="435"/>
      <c r="O111" s="490"/>
      <c r="P111" s="895"/>
      <c r="Q111" s="441"/>
      <c r="R111" s="441"/>
    </row>
    <row r="112" spans="1:18" ht="12.75">
      <c r="A112" s="1133" t="s">
        <v>981</v>
      </c>
      <c r="B112" s="850"/>
      <c r="C112" s="871"/>
      <c r="D112" s="850"/>
      <c r="E112" s="850"/>
      <c r="F112" s="887"/>
      <c r="G112" s="850"/>
      <c r="H112" s="850"/>
      <c r="I112" s="850"/>
      <c r="J112" s="850"/>
      <c r="K112" s="850"/>
      <c r="L112" s="435"/>
      <c r="N112" s="896"/>
      <c r="O112" s="490"/>
      <c r="P112" s="897"/>
      <c r="Q112" s="898"/>
      <c r="R112" s="441"/>
    </row>
    <row r="113" spans="1:18" ht="12.75">
      <c r="A113" s="765"/>
      <c r="B113" s="850" t="s">
        <v>1726</v>
      </c>
      <c r="C113" s="871" t="s">
        <v>1486</v>
      </c>
      <c r="D113" s="899" t="str">
        <f>RIGHT(E113,3)</f>
        <v>455</v>
      </c>
      <c r="E113" s="901" t="s">
        <v>352</v>
      </c>
      <c r="F113" s="769">
        <f>SUMIF(_12MonLights_RateCategory,"KUUM_"&amp;$D113,_12MonLights_Count)</f>
        <v>12232</v>
      </c>
      <c r="G113" s="766">
        <f>SUMIF(_Lights_Tariff_Category,MiscData!$T$4&amp;"KUUM_"&amp;$D113,_Lights_Rates)</f>
        <v>24.59</v>
      </c>
      <c r="H113" s="767">
        <f>ROUND(F113*G113,0)</f>
        <v>300785</v>
      </c>
      <c r="I113" s="766">
        <f>ROUND(G113*(1+$M$7),2)</f>
        <v>26.63</v>
      </c>
      <c r="J113" s="767">
        <f>ROUND(F113*I113,0)</f>
        <v>325738</v>
      </c>
      <c r="K113" s="850"/>
      <c r="L113" s="435"/>
      <c r="M113" s="895">
        <f>$I113/G113-1</f>
        <v>8.296055307035366E-2</v>
      </c>
      <c r="N113" s="435"/>
      <c r="O113" s="490"/>
      <c r="P113" s="895"/>
      <c r="Q113" s="441"/>
      <c r="R113" s="441"/>
    </row>
    <row r="114" spans="1:18" ht="12.75">
      <c r="A114" s="1133" t="s">
        <v>982</v>
      </c>
      <c r="B114" s="850"/>
      <c r="C114" s="871"/>
      <c r="D114" s="850"/>
      <c r="E114" s="850"/>
      <c r="F114" s="887"/>
      <c r="G114" s="850"/>
      <c r="H114" s="850"/>
      <c r="I114" s="850"/>
      <c r="J114" s="850"/>
      <c r="K114" s="850"/>
      <c r="L114" s="435"/>
      <c r="N114" s="896"/>
      <c r="O114" s="490"/>
      <c r="P114" s="897"/>
      <c r="Q114" s="898"/>
      <c r="R114" s="441"/>
    </row>
    <row r="115" spans="1:18" ht="12.75">
      <c r="A115" s="892"/>
      <c r="B115" s="850" t="s">
        <v>1726</v>
      </c>
      <c r="C115" s="871" t="s">
        <v>1486</v>
      </c>
      <c r="D115" s="899" t="str">
        <f>RIGHT(E115,3)</f>
        <v>459</v>
      </c>
      <c r="E115" s="901" t="s">
        <v>315</v>
      </c>
      <c r="F115" s="769">
        <f>SUMIF(_12MonLights_RateCategory,"KUUM_"&amp;$D115,_12MonLights_Count)</f>
        <v>2716</v>
      </c>
      <c r="G115" s="766">
        <f>SUMIF(_Lights_Tariff_Category,MiscData!$T$4&amp;"KUUM_"&amp;$D115,_Lights_Rates)</f>
        <v>46.740000000000009</v>
      </c>
      <c r="H115" s="767">
        <f>ROUND(F115*G115,0)</f>
        <v>126946</v>
      </c>
      <c r="I115" s="766">
        <f>ROUND(G115*(1+$M$7),2)</f>
        <v>50.61</v>
      </c>
      <c r="J115" s="767">
        <f>ROUND(F115*I115,0)</f>
        <v>137457</v>
      </c>
      <c r="K115" s="850"/>
      <c r="L115" s="435"/>
      <c r="M115" s="895">
        <f>$I115/G115-1</f>
        <v>8.2798459563542703E-2</v>
      </c>
      <c r="N115" s="435"/>
      <c r="O115" s="490"/>
      <c r="P115" s="895"/>
      <c r="Q115" s="441"/>
      <c r="R115" s="441"/>
    </row>
    <row r="116" spans="1:18" ht="12.75">
      <c r="A116" s="903"/>
      <c r="B116" s="850"/>
      <c r="C116" s="871"/>
      <c r="D116" s="850"/>
      <c r="E116" s="850"/>
      <c r="F116" s="850"/>
      <c r="G116" s="853"/>
      <c r="H116" s="854"/>
      <c r="I116" s="853"/>
      <c r="J116" s="854"/>
      <c r="K116" s="902"/>
      <c r="L116" s="905"/>
      <c r="N116" s="435"/>
      <c r="O116" s="490"/>
      <c r="P116" s="895"/>
      <c r="Q116" s="441"/>
      <c r="R116" s="441"/>
    </row>
    <row r="117" spans="1:18" ht="12.75">
      <c r="A117" s="966" t="s">
        <v>503</v>
      </c>
      <c r="B117" s="850"/>
      <c r="C117" s="871"/>
      <c r="D117" s="850"/>
      <c r="E117" s="850"/>
      <c r="F117" s="850"/>
      <c r="G117" s="850"/>
      <c r="H117" s="850"/>
      <c r="I117" s="850"/>
      <c r="J117" s="850"/>
      <c r="K117" s="850"/>
      <c r="L117" s="905"/>
      <c r="M117" s="895"/>
      <c r="N117" s="435"/>
      <c r="O117" s="490"/>
      <c r="P117" s="895"/>
      <c r="Q117" s="441"/>
      <c r="R117" s="441"/>
    </row>
    <row r="118" spans="1:18" ht="12.75">
      <c r="A118" s="1133" t="s">
        <v>983</v>
      </c>
      <c r="B118" s="850"/>
      <c r="C118" s="871" t="s">
        <v>1486</v>
      </c>
      <c r="D118" s="899" t="str">
        <f t="shared" ref="D118" si="51">RIGHT(E118,3)</f>
        <v>446</v>
      </c>
      <c r="E118" s="901" t="s">
        <v>385</v>
      </c>
      <c r="F118" s="769">
        <f t="shared" ref="F118:F123" si="52">SUMIF(_12MonLights_RateCategory,"KUUM_"&amp;$D118,_12MonLights_Count)</f>
        <v>12839</v>
      </c>
      <c r="G118" s="766">
        <f>SUMIF(_Lights_Tariff_Category,MiscData!$T$4&amp;"KUUM_"&amp;$D118,_Lights_Rates)</f>
        <v>9.5600000000000023</v>
      </c>
      <c r="H118" s="767">
        <f t="shared" ref="H118:H123" si="53">ROUND(F118*G118,0)</f>
        <v>122741</v>
      </c>
      <c r="I118" s="766">
        <f t="shared" ref="I118:I123" si="54">ROUND(G118*(1+$M$7),2)</f>
        <v>10.35</v>
      </c>
      <c r="J118" s="767">
        <f t="shared" ref="J118" si="55">ROUND(F118*I118,0)</f>
        <v>132884</v>
      </c>
      <c r="K118" s="850"/>
      <c r="L118" s="905"/>
      <c r="M118" s="895">
        <f t="shared" ref="M118:M123" si="56">$I118/G118-1</f>
        <v>8.2635983263598112E-2</v>
      </c>
      <c r="N118" s="896"/>
      <c r="O118" s="490"/>
      <c r="P118" s="897"/>
      <c r="Q118" s="898"/>
      <c r="R118" s="441"/>
    </row>
    <row r="119" spans="1:18" ht="12.75">
      <c r="A119" s="1133" t="s">
        <v>984</v>
      </c>
      <c r="B119" s="850"/>
      <c r="C119" s="871" t="s">
        <v>1486</v>
      </c>
      <c r="D119" s="899" t="str">
        <f t="shared" ref="D119" si="57">RIGHT(E119,3)</f>
        <v>456</v>
      </c>
      <c r="E119" s="901" t="s">
        <v>384</v>
      </c>
      <c r="F119" s="769">
        <f t="shared" si="52"/>
        <v>1656</v>
      </c>
      <c r="G119" s="766">
        <f>SUMIF(_Lights_Tariff_Category,MiscData!$T$4&amp;"KUUM_"&amp;$D119,_Lights_Rates)</f>
        <v>11.870000000000001</v>
      </c>
      <c r="H119" s="767">
        <f t="shared" si="53"/>
        <v>19657</v>
      </c>
      <c r="I119" s="766">
        <f t="shared" si="54"/>
        <v>12.85</v>
      </c>
      <c r="J119" s="767">
        <f t="shared" ref="J119" si="58">ROUND(F119*I119,0)</f>
        <v>21280</v>
      </c>
      <c r="K119" s="850"/>
      <c r="L119" s="905"/>
      <c r="M119" s="895">
        <f t="shared" si="56"/>
        <v>8.2561078348778238E-2</v>
      </c>
      <c r="N119" s="896"/>
      <c r="O119" s="490"/>
      <c r="P119" s="897"/>
      <c r="Q119" s="898"/>
      <c r="R119" s="441"/>
    </row>
    <row r="120" spans="1:18" ht="12.75">
      <c r="A120" s="1133" t="s">
        <v>985</v>
      </c>
      <c r="B120" s="850"/>
      <c r="C120" s="871" t="s">
        <v>1486</v>
      </c>
      <c r="D120" s="899" t="str">
        <f t="shared" ref="D120" si="59">RIGHT(E120,3)</f>
        <v>447</v>
      </c>
      <c r="E120" s="901" t="s">
        <v>312</v>
      </c>
      <c r="F120" s="769">
        <f t="shared" si="52"/>
        <v>8759</v>
      </c>
      <c r="G120" s="766">
        <f>SUMIF(_Lights_Tariff_Category,MiscData!$T$4&amp;"KUUM_"&amp;$D120,_Lights_Rates)</f>
        <v>11.32</v>
      </c>
      <c r="H120" s="767">
        <f t="shared" si="53"/>
        <v>99152</v>
      </c>
      <c r="I120" s="766">
        <f t="shared" si="54"/>
        <v>12.26</v>
      </c>
      <c r="J120" s="767">
        <f t="shared" ref="J120" si="60">ROUND(F120*I120,0)</f>
        <v>107385</v>
      </c>
      <c r="K120" s="850"/>
      <c r="L120" s="435"/>
      <c r="M120" s="895">
        <f t="shared" si="56"/>
        <v>8.3038869257950454E-2</v>
      </c>
      <c r="N120" s="896"/>
      <c r="O120" s="490"/>
      <c r="P120" s="897"/>
      <c r="Q120" s="898"/>
      <c r="R120" s="441"/>
    </row>
    <row r="121" spans="1:18" ht="12.75">
      <c r="A121" s="1133" t="s">
        <v>986</v>
      </c>
      <c r="B121" s="850"/>
      <c r="C121" s="871" t="s">
        <v>1486</v>
      </c>
      <c r="D121" s="899" t="str">
        <f t="shared" ref="D121" si="61">RIGHT(E121,3)</f>
        <v>457</v>
      </c>
      <c r="E121" s="901" t="s">
        <v>311</v>
      </c>
      <c r="F121" s="769">
        <f t="shared" si="52"/>
        <v>5332</v>
      </c>
      <c r="G121" s="766">
        <f>SUMIF(_Lights_Tariff_Category,MiscData!$T$4&amp;"KUUM_"&amp;$D121,_Lights_Rates)</f>
        <v>13.360000000000001</v>
      </c>
      <c r="H121" s="767">
        <f t="shared" si="53"/>
        <v>71236</v>
      </c>
      <c r="I121" s="766">
        <f t="shared" si="54"/>
        <v>14.47</v>
      </c>
      <c r="J121" s="767">
        <f t="shared" ref="J121" si="62">ROUND(F121*I121,0)</f>
        <v>77154</v>
      </c>
      <c r="K121" s="850"/>
      <c r="L121" s="435"/>
      <c r="M121" s="895">
        <f t="shared" si="56"/>
        <v>8.3083832335329344E-2</v>
      </c>
      <c r="N121" s="896"/>
      <c r="O121" s="490"/>
      <c r="P121" s="897"/>
      <c r="Q121" s="898"/>
      <c r="R121" s="441"/>
    </row>
    <row r="122" spans="1:18" ht="12.75">
      <c r="A122" s="1133" t="s">
        <v>987</v>
      </c>
      <c r="B122" s="850"/>
      <c r="C122" s="871" t="s">
        <v>1486</v>
      </c>
      <c r="D122" s="899" t="str">
        <f t="shared" ref="D122" si="63">RIGHT(E122,3)</f>
        <v>448</v>
      </c>
      <c r="E122" s="901" t="s">
        <v>421</v>
      </c>
      <c r="F122" s="769">
        <f t="shared" si="52"/>
        <v>17860</v>
      </c>
      <c r="G122" s="766">
        <f>SUMIF(_Lights_Tariff_Category,MiscData!$T$4&amp;"KUUM_"&amp;$D122,_Lights_Rates)</f>
        <v>12.809999999999999</v>
      </c>
      <c r="H122" s="767">
        <f t="shared" si="53"/>
        <v>228787</v>
      </c>
      <c r="I122" s="766">
        <f t="shared" si="54"/>
        <v>13.87</v>
      </c>
      <c r="J122" s="767">
        <f t="shared" ref="J122" si="64">ROUND(F122*I122,0)</f>
        <v>247718</v>
      </c>
      <c r="K122" s="904"/>
      <c r="L122" s="435"/>
      <c r="M122" s="895">
        <f t="shared" si="56"/>
        <v>8.274785323965661E-2</v>
      </c>
      <c r="N122" s="896"/>
      <c r="O122" s="490"/>
      <c r="P122" s="490"/>
      <c r="Q122" s="441"/>
      <c r="R122" s="441"/>
    </row>
    <row r="123" spans="1:18" ht="12.75">
      <c r="A123" s="1133" t="s">
        <v>988</v>
      </c>
      <c r="B123" s="850"/>
      <c r="C123" s="871" t="s">
        <v>1486</v>
      </c>
      <c r="D123" s="899" t="str">
        <f t="shared" ref="D123" si="65">RIGHT(E123,3)</f>
        <v>458</v>
      </c>
      <c r="E123" s="901" t="s">
        <v>341</v>
      </c>
      <c r="F123" s="769">
        <f t="shared" si="52"/>
        <v>17605</v>
      </c>
      <c r="G123" s="766">
        <f>SUMIF(_Lights_Tariff_Category,MiscData!$T$4&amp;"KUUM_"&amp;$D123,_Lights_Rates)</f>
        <v>15.079999999999998</v>
      </c>
      <c r="H123" s="767">
        <f t="shared" si="53"/>
        <v>265483</v>
      </c>
      <c r="I123" s="766">
        <f t="shared" si="54"/>
        <v>16.329999999999998</v>
      </c>
      <c r="J123" s="767">
        <f t="shared" ref="J123" si="66">ROUND(F123*I123,0)</f>
        <v>287490</v>
      </c>
      <c r="K123" s="904"/>
      <c r="L123" s="435"/>
      <c r="M123" s="895">
        <f t="shared" si="56"/>
        <v>8.2891246684350106E-2</v>
      </c>
      <c r="N123" s="896"/>
      <c r="O123" s="490"/>
      <c r="P123" s="490"/>
      <c r="Q123" s="441"/>
      <c r="R123" s="441"/>
    </row>
    <row r="124" spans="1:18" ht="12.75">
      <c r="C124" s="871"/>
      <c r="D124" s="850"/>
      <c r="E124" s="850"/>
      <c r="F124" s="887"/>
      <c r="G124" s="850"/>
      <c r="H124" s="850"/>
      <c r="I124" s="850"/>
      <c r="J124" s="850"/>
      <c r="L124" s="435"/>
      <c r="M124" s="895"/>
      <c r="N124" s="435"/>
      <c r="O124" s="490"/>
      <c r="P124" s="895"/>
      <c r="Q124" s="441"/>
      <c r="R124" s="441"/>
    </row>
    <row r="125" spans="1:18" ht="12.75">
      <c r="A125" s="1133" t="s">
        <v>989</v>
      </c>
      <c r="B125" s="850"/>
      <c r="C125" s="871" t="s">
        <v>1486</v>
      </c>
      <c r="D125" s="899" t="str">
        <f t="shared" ref="D125" si="67">RIGHT(E125,3)</f>
        <v>404</v>
      </c>
      <c r="E125" s="901" t="s">
        <v>386</v>
      </c>
      <c r="F125" s="769">
        <f>SUMIF(_12MonLights_RateCategory,"KUUM_"&amp;$D125,_12MonLights_Count)</f>
        <v>85978</v>
      </c>
      <c r="G125" s="766">
        <f>SUMIF(_Lights_Tariff_Category,MiscData!$T$4&amp;"KUUM_"&amp;$D125,_Lights_Rates)</f>
        <v>10.570000000000002</v>
      </c>
      <c r="H125" s="767">
        <f>ROUND(F125*G125,0)</f>
        <v>908787</v>
      </c>
      <c r="I125" s="766">
        <f>ROUND(G125*(1+$M$7),2)</f>
        <v>11.45</v>
      </c>
      <c r="J125" s="767">
        <f t="shared" ref="J125" si="68">ROUND(F125*I125,0)</f>
        <v>984448</v>
      </c>
      <c r="K125" s="850"/>
      <c r="L125" s="435"/>
      <c r="M125" s="895">
        <f>$I125/G125-1</f>
        <v>8.3254493850519973E-2</v>
      </c>
      <c r="N125" s="896"/>
      <c r="O125" s="490"/>
      <c r="P125" s="897"/>
      <c r="Q125" s="898"/>
      <c r="R125" s="441"/>
    </row>
    <row r="126" spans="1:18" ht="12.75">
      <c r="A126" s="892"/>
      <c r="B126" s="850"/>
      <c r="C126" s="871"/>
      <c r="D126" s="899"/>
      <c r="E126" s="901"/>
      <c r="F126" s="850"/>
      <c r="G126" s="766"/>
      <c r="H126" s="767"/>
      <c r="I126" s="766"/>
      <c r="J126" s="767"/>
      <c r="K126" s="850"/>
      <c r="L126" s="435"/>
      <c r="M126" s="895"/>
      <c r="N126" s="435"/>
      <c r="O126" s="490"/>
      <c r="P126" s="895"/>
      <c r="Q126" s="441"/>
      <c r="R126" s="441"/>
    </row>
    <row r="127" spans="1:18" ht="12.75" customHeight="1">
      <c r="A127" s="903"/>
      <c r="B127" s="850"/>
      <c r="C127" s="871"/>
      <c r="D127" s="850"/>
      <c r="E127" s="850"/>
      <c r="F127" s="850"/>
      <c r="G127" s="853"/>
      <c r="H127" s="854"/>
      <c r="I127" s="853"/>
      <c r="J127" s="854"/>
      <c r="K127" s="902"/>
      <c r="L127" s="870"/>
      <c r="N127" s="435"/>
      <c r="O127" s="490"/>
      <c r="P127" s="895"/>
      <c r="Q127" s="441"/>
      <c r="R127" s="441"/>
    </row>
    <row r="128" spans="1:18" s="850" customFormat="1" ht="12.75">
      <c r="A128" s="1147" t="s">
        <v>1462</v>
      </c>
      <c r="J128" s="860" t="s">
        <v>1489</v>
      </c>
    </row>
    <row r="129" spans="1:18" s="850" customFormat="1" ht="12.75">
      <c r="A129" s="869" t="s">
        <v>1465</v>
      </c>
      <c r="J129" s="944" t="str">
        <f>"Page "&amp;O129&amp;" of "&amp;P129</f>
        <v>Page 19 of 20</v>
      </c>
      <c r="O129" s="850">
        <f>O94+1</f>
        <v>19</v>
      </c>
      <c r="P129" s="850">
        <f>$P$165</f>
        <v>20</v>
      </c>
    </row>
    <row r="130" spans="1:18" s="850" customFormat="1" ht="12.75">
      <c r="A130" s="869" t="s">
        <v>1461</v>
      </c>
      <c r="J130" s="944"/>
    </row>
    <row r="131" spans="1:18" s="850" customFormat="1" ht="12.75">
      <c r="A131" s="858"/>
    </row>
    <row r="132" spans="1:18" s="850" customFormat="1" ht="12.75">
      <c r="A132" s="949"/>
      <c r="B132" s="950"/>
      <c r="C132" s="950"/>
      <c r="D132" s="950"/>
      <c r="E132" s="951"/>
      <c r="F132" s="951"/>
      <c r="G132" s="951"/>
      <c r="H132" s="952" t="s">
        <v>766</v>
      </c>
      <c r="I132" s="951"/>
      <c r="J132" s="951" t="s">
        <v>766</v>
      </c>
    </row>
    <row r="133" spans="1:18" s="850" customFormat="1" ht="12.75">
      <c r="A133" s="946"/>
      <c r="C133" s="871" t="s">
        <v>10</v>
      </c>
      <c r="D133" s="871" t="s">
        <v>1480</v>
      </c>
      <c r="E133" s="871" t="s">
        <v>998</v>
      </c>
      <c r="F133" s="871" t="s">
        <v>59</v>
      </c>
      <c r="G133" s="871" t="s">
        <v>767</v>
      </c>
      <c r="H133" s="872" t="s">
        <v>768</v>
      </c>
      <c r="I133" s="871" t="s">
        <v>769</v>
      </c>
      <c r="J133" s="871" t="s">
        <v>768</v>
      </c>
      <c r="L133" s="870"/>
      <c r="M133" s="894"/>
    </row>
    <row r="134" spans="1:18" s="850" customFormat="1" ht="12.75">
      <c r="A134" s="942"/>
      <c r="B134" s="876"/>
      <c r="C134" s="878" t="s">
        <v>997</v>
      </c>
      <c r="D134" s="878" t="s">
        <v>1464</v>
      </c>
      <c r="E134" s="873" t="s">
        <v>999</v>
      </c>
      <c r="F134" s="874" t="s">
        <v>95</v>
      </c>
      <c r="G134" s="873" t="s">
        <v>118</v>
      </c>
      <c r="H134" s="875" t="s">
        <v>771</v>
      </c>
      <c r="I134" s="873" t="s">
        <v>118</v>
      </c>
      <c r="J134" s="873" t="s">
        <v>772</v>
      </c>
      <c r="M134" s="778"/>
    </row>
    <row r="135" spans="1:18" ht="12.75">
      <c r="A135" s="968" t="s">
        <v>1789</v>
      </c>
      <c r="L135" s="870"/>
      <c r="N135" s="435"/>
      <c r="O135" s="490"/>
      <c r="P135" s="895"/>
      <c r="Q135" s="441"/>
      <c r="R135" s="441"/>
    </row>
    <row r="136" spans="1:18" ht="12.75">
      <c r="A136" s="969" t="s">
        <v>1487</v>
      </c>
      <c r="L136" s="435"/>
      <c r="M136" s="895"/>
      <c r="N136" s="435"/>
      <c r="O136" s="490"/>
      <c r="P136" s="895"/>
      <c r="Q136" s="441"/>
      <c r="R136" s="441"/>
    </row>
    <row r="137" spans="1:18" ht="12.75">
      <c r="A137" s="966" t="s">
        <v>504</v>
      </c>
      <c r="B137" s="850"/>
      <c r="C137" s="871"/>
      <c r="D137" s="850"/>
      <c r="E137" s="850"/>
      <c r="F137" s="850"/>
      <c r="G137" s="850"/>
      <c r="H137" s="850"/>
      <c r="I137" s="850"/>
      <c r="J137" s="850"/>
      <c r="K137" s="850"/>
      <c r="L137" s="435"/>
      <c r="M137" s="895"/>
      <c r="N137" s="435"/>
      <c r="O137" s="490"/>
      <c r="P137" s="895"/>
      <c r="Q137" s="441"/>
      <c r="R137" s="441"/>
    </row>
    <row r="138" spans="1:18" ht="12.75">
      <c r="A138" s="1132" t="s">
        <v>990</v>
      </c>
      <c r="B138" s="850"/>
      <c r="C138" s="871" t="s">
        <v>1488</v>
      </c>
      <c r="D138" s="899" t="str">
        <f t="shared" ref="D138" si="69">RIGHT(E138,3)</f>
        <v>421</v>
      </c>
      <c r="E138" s="901" t="s">
        <v>310</v>
      </c>
      <c r="F138" s="769">
        <f>SUMIF(_12MonLights_RateCategory,"KUUM_"&amp;$D138,_12MonLights_Count)</f>
        <v>60</v>
      </c>
      <c r="G138" s="766">
        <f>SUMIF(_Lights_Tariff_Category,MiscData!$T$4&amp;"KUUM_"&amp;$D138,_Lights_Rates)</f>
        <v>3.39</v>
      </c>
      <c r="H138" s="767">
        <f>ROUND(F138*G138,0)</f>
        <v>203</v>
      </c>
      <c r="I138" s="766">
        <f>ROUND(G138*(1+$M$7),2)</f>
        <v>3.67</v>
      </c>
      <c r="J138" s="767">
        <f t="shared" ref="J138" si="70">ROUND(F138*I138,0)</f>
        <v>220</v>
      </c>
      <c r="K138" s="850"/>
      <c r="L138" s="435"/>
      <c r="M138" s="895">
        <f t="shared" ref="M138:M142" si="71">$I138/G138-1</f>
        <v>8.2595870206489508E-2</v>
      </c>
      <c r="N138" s="896"/>
      <c r="O138" s="490"/>
      <c r="P138" s="897"/>
      <c r="Q138" s="898"/>
      <c r="R138" s="441"/>
    </row>
    <row r="139" spans="1:18" ht="12.75">
      <c r="A139" s="1133" t="s">
        <v>991</v>
      </c>
      <c r="B139" s="850"/>
      <c r="C139" s="871" t="s">
        <v>1488</v>
      </c>
      <c r="D139" s="899" t="str">
        <f t="shared" ref="D139" si="72">RIGHT(E139,3)</f>
        <v>422</v>
      </c>
      <c r="E139" s="901" t="s">
        <v>340</v>
      </c>
      <c r="F139" s="769">
        <f>SUMIF(_12MonLights_RateCategory,"KUUM_"&amp;$D139,_12MonLights_Count)</f>
        <v>8111</v>
      </c>
      <c r="G139" s="766">
        <f>SUMIF(_Lights_Tariff_Category,MiscData!$T$4&amp;"KUUM_"&amp;$D139,_Lights_Rates)</f>
        <v>4.5400000000000009</v>
      </c>
      <c r="H139" s="767">
        <f>ROUND(F139*G139,0)</f>
        <v>36824</v>
      </c>
      <c r="I139" s="766">
        <f>ROUND(G139*(1+$M$7),2)</f>
        <v>4.92</v>
      </c>
      <c r="J139" s="767">
        <f t="shared" ref="J139" si="73">ROUND(F139*I139,0)</f>
        <v>39906</v>
      </c>
      <c r="K139" s="850"/>
      <c r="L139" s="435"/>
      <c r="M139" s="895">
        <f t="shared" si="71"/>
        <v>8.3700440528634124E-2</v>
      </c>
      <c r="N139" s="896"/>
      <c r="O139" s="490"/>
      <c r="P139" s="897"/>
      <c r="Q139" s="898"/>
      <c r="R139" s="441"/>
    </row>
    <row r="140" spans="1:18" ht="12.75">
      <c r="A140" s="1133" t="s">
        <v>992</v>
      </c>
      <c r="B140" s="850"/>
      <c r="C140" s="871" t="s">
        <v>1488</v>
      </c>
      <c r="D140" s="899" t="str">
        <f t="shared" ref="D140" si="74">RIGHT(E140,3)</f>
        <v>424</v>
      </c>
      <c r="E140" s="901" t="s">
        <v>358</v>
      </c>
      <c r="F140" s="769">
        <f>SUMIF(_12MonLights_RateCategory,"KUUM_"&amp;$D140,_12MonLights_Count)</f>
        <v>986</v>
      </c>
      <c r="G140" s="766">
        <f>SUMIF(_Lights_Tariff_Category,MiscData!$T$4&amp;"KUUM_"&amp;$D140,_Lights_Rates)</f>
        <v>6.78</v>
      </c>
      <c r="H140" s="767">
        <f>ROUND(F140*G140,0)</f>
        <v>6685</v>
      </c>
      <c r="I140" s="766">
        <f>ROUND(G140*(1+$M$7),2)</f>
        <v>7.34</v>
      </c>
      <c r="J140" s="767">
        <f t="shared" ref="J140" si="75">ROUND(F140*I140,0)</f>
        <v>7237</v>
      </c>
      <c r="K140" s="850"/>
      <c r="L140" s="435"/>
      <c r="M140" s="895">
        <f t="shared" si="71"/>
        <v>8.2595870206489508E-2</v>
      </c>
      <c r="N140" s="896"/>
      <c r="O140" s="490"/>
      <c r="P140" s="897"/>
      <c r="Q140" s="898"/>
      <c r="R140" s="441"/>
    </row>
    <row r="141" spans="1:18" ht="12.75">
      <c r="A141" s="1133" t="s">
        <v>993</v>
      </c>
      <c r="B141" s="850"/>
      <c r="C141" s="871" t="s">
        <v>1488</v>
      </c>
      <c r="D141" s="899" t="str">
        <f t="shared" ref="D141" si="76">RIGHT(E141,3)</f>
        <v>434</v>
      </c>
      <c r="E141" s="901" t="s">
        <v>357</v>
      </c>
      <c r="F141" s="769">
        <f>SUMIF(_12MonLights_RateCategory,"KUUM_"&amp;$D141,_12MonLights_Count)</f>
        <v>68</v>
      </c>
      <c r="G141" s="766">
        <f>SUMIF(_Lights_Tariff_Category,MiscData!$T$4&amp;"KUUM_"&amp;$D141,_Lights_Rates)</f>
        <v>7.74</v>
      </c>
      <c r="H141" s="767">
        <f>ROUND(F141*G141,0)</f>
        <v>526</v>
      </c>
      <c r="I141" s="766">
        <f>ROUND(G141*(1+$M$7),2)</f>
        <v>8.3800000000000008</v>
      </c>
      <c r="J141" s="767">
        <f t="shared" ref="J141" si="77">ROUND(F141*I141,0)</f>
        <v>570</v>
      </c>
      <c r="K141" s="850"/>
      <c r="L141" s="435"/>
      <c r="M141" s="895">
        <f t="shared" si="71"/>
        <v>8.2687338501292063E-2</v>
      </c>
      <c r="N141" s="896"/>
      <c r="O141" s="490"/>
      <c r="P141" s="897"/>
      <c r="Q141" s="898"/>
      <c r="R141" s="441"/>
    </row>
    <row r="142" spans="1:18" ht="12.75">
      <c r="A142" s="1133" t="s">
        <v>994</v>
      </c>
      <c r="B142" s="850"/>
      <c r="C142" s="871" t="s">
        <v>1488</v>
      </c>
      <c r="D142" s="899" t="str">
        <f t="shared" ref="D142" si="78">RIGHT(E142,3)</f>
        <v>425</v>
      </c>
      <c r="E142" s="901" t="s">
        <v>383</v>
      </c>
      <c r="F142" s="769">
        <f>SUMIF(_12MonLights_RateCategory,"KUUM_"&amp;$D142,_12MonLights_Count)</f>
        <v>24</v>
      </c>
      <c r="G142" s="766">
        <f>SUMIF(_Lights_Tariff_Category,MiscData!$T$4&amp;"KUUM_"&amp;$D142,_Lights_Rates)</f>
        <v>9.06</v>
      </c>
      <c r="H142" s="767">
        <f>ROUND(F142*G142,0)</f>
        <v>217</v>
      </c>
      <c r="I142" s="766">
        <f>ROUND(G142*(1+$M$7),2)</f>
        <v>9.81</v>
      </c>
      <c r="J142" s="767">
        <f t="shared" ref="J142" si="79">ROUND(F142*I142,0)</f>
        <v>235</v>
      </c>
      <c r="K142" s="850"/>
      <c r="L142" s="435"/>
      <c r="M142" s="895">
        <f t="shared" si="71"/>
        <v>8.2781456953642474E-2</v>
      </c>
      <c r="N142" s="896"/>
      <c r="O142" s="490"/>
      <c r="P142" s="897"/>
      <c r="Q142" s="898"/>
      <c r="R142" s="441"/>
    </row>
    <row r="143" spans="1:18" ht="12.75">
      <c r="I143" s="850"/>
      <c r="J143" s="850"/>
      <c r="L143" s="870"/>
      <c r="N143" s="435"/>
      <c r="O143" s="490"/>
      <c r="P143" s="895"/>
      <c r="Q143" s="441"/>
      <c r="R143" s="441"/>
    </row>
    <row r="144" spans="1:18" ht="12.75">
      <c r="A144" s="962" t="s">
        <v>958</v>
      </c>
      <c r="B144" s="850"/>
      <c r="C144" s="871"/>
      <c r="D144" s="871"/>
      <c r="E144" s="871"/>
      <c r="F144" s="871"/>
      <c r="G144" s="893"/>
      <c r="H144" s="871"/>
      <c r="I144" s="850"/>
      <c r="J144" s="871"/>
      <c r="L144" s="870"/>
      <c r="M144" s="895"/>
      <c r="N144" s="435"/>
      <c r="O144" s="490"/>
      <c r="P144" s="435"/>
      <c r="Q144" s="441"/>
      <c r="R144" s="441"/>
    </row>
    <row r="145" spans="1:18" ht="12.75">
      <c r="A145" s="966" t="s">
        <v>548</v>
      </c>
      <c r="B145" s="850"/>
      <c r="C145" s="871"/>
      <c r="D145" s="850"/>
      <c r="E145" s="850"/>
      <c r="F145" s="850"/>
      <c r="G145" s="850"/>
      <c r="H145" s="850"/>
      <c r="I145" s="850"/>
      <c r="J145" s="850"/>
      <c r="K145" s="850"/>
      <c r="L145" s="870"/>
      <c r="M145" s="895"/>
      <c r="N145" s="435"/>
      <c r="O145" s="490"/>
      <c r="P145" s="435"/>
      <c r="Q145" s="441"/>
      <c r="R145" s="441"/>
    </row>
    <row r="146" spans="1:18" ht="12.75">
      <c r="A146" s="1133" t="s">
        <v>1727</v>
      </c>
      <c r="B146" s="850"/>
      <c r="C146" s="871"/>
      <c r="D146" s="850"/>
      <c r="E146" s="850"/>
      <c r="F146" s="887"/>
      <c r="G146" s="850"/>
      <c r="H146" s="850"/>
      <c r="I146" s="850"/>
      <c r="J146" s="850"/>
      <c r="K146" s="850"/>
      <c r="L146" s="870"/>
      <c r="M146" s="435"/>
      <c r="N146" s="896"/>
      <c r="O146" s="490"/>
      <c r="P146" s="897"/>
      <c r="Q146" s="898"/>
      <c r="R146" s="441"/>
    </row>
    <row r="147" spans="1:18" ht="12.75">
      <c r="A147" s="765"/>
      <c r="B147" s="850" t="s">
        <v>1726</v>
      </c>
      <c r="C147" s="871" t="s">
        <v>1488</v>
      </c>
      <c r="D147" s="899" t="str">
        <f t="shared" ref="D147" si="80">RIGHT(E147,3)</f>
        <v>460</v>
      </c>
      <c r="E147" s="901" t="s">
        <v>319</v>
      </c>
      <c r="F147" s="769">
        <f>SUMIF(_12MonLights_RateCategory,"KUUM_"&amp;$D147,_12MonLights_Count)</f>
        <v>42</v>
      </c>
      <c r="G147" s="766">
        <f>SUMIF(_Lights_Tariff_Category,MiscData!$T$4&amp;"KUUM_"&amp;$D147,_Lights_Rates)</f>
        <v>27.15</v>
      </c>
      <c r="H147" s="767">
        <f>ROUND(F147*G147,0)</f>
        <v>1140</v>
      </c>
      <c r="I147" s="766">
        <f>ROUND(G147*(1+$M$7),2)</f>
        <v>29.4</v>
      </c>
      <c r="J147" s="767">
        <f t="shared" ref="J147" si="81">ROUND(F147*I147,0)</f>
        <v>1235</v>
      </c>
      <c r="K147" s="850"/>
      <c r="L147" s="870"/>
      <c r="M147" s="895">
        <f>$I147/G147-1</f>
        <v>8.287292817679548E-2</v>
      </c>
      <c r="N147" s="435"/>
      <c r="O147" s="490"/>
      <c r="P147" s="895"/>
      <c r="Q147" s="441"/>
      <c r="R147" s="441"/>
    </row>
    <row r="148" spans="1:18" ht="12.75">
      <c r="A148" s="1133" t="s">
        <v>1728</v>
      </c>
      <c r="B148" s="850"/>
      <c r="C148" s="871"/>
      <c r="D148" s="850"/>
      <c r="E148" s="850"/>
      <c r="F148" s="887"/>
      <c r="G148" s="850"/>
      <c r="H148" s="850"/>
      <c r="I148" s="850"/>
      <c r="J148" s="850"/>
      <c r="K148" s="850"/>
      <c r="L148" s="870"/>
      <c r="N148" s="896"/>
      <c r="O148" s="490"/>
      <c r="P148" s="897"/>
      <c r="Q148" s="898"/>
      <c r="R148" s="441"/>
    </row>
    <row r="149" spans="1:18" ht="12.75">
      <c r="A149" s="765"/>
      <c r="B149" s="850" t="s">
        <v>1726</v>
      </c>
      <c r="C149" s="871" t="s">
        <v>1488</v>
      </c>
      <c r="D149" s="899" t="str">
        <f t="shared" ref="D149" si="82">RIGHT(E149,3)</f>
        <v>469</v>
      </c>
      <c r="E149" s="901" t="s">
        <v>351</v>
      </c>
      <c r="F149" s="769">
        <f>SUMIF(_12MonLights_RateCategory,"KUUM_"&amp;$D149,_12MonLights_Count)</f>
        <v>3478</v>
      </c>
      <c r="G149" s="766">
        <f>SUMIF(_Lights_Tariff_Category,MiscData!$T$4&amp;"KUUM_"&amp;$D149,_Lights_Rates)</f>
        <v>33.100000000000009</v>
      </c>
      <c r="H149" s="767">
        <f>ROUND(F149*G149,0)</f>
        <v>115122</v>
      </c>
      <c r="I149" s="766">
        <f>ROUND(G149*(1+$M$7),2)</f>
        <v>35.840000000000003</v>
      </c>
      <c r="J149" s="767">
        <f t="shared" ref="J149" si="83">ROUND(F149*I149,0)</f>
        <v>124652</v>
      </c>
      <c r="K149" s="850"/>
      <c r="L149" s="435"/>
      <c r="M149" s="895">
        <f>$I149/G149-1</f>
        <v>8.2779456193353251E-2</v>
      </c>
      <c r="N149" s="435"/>
      <c r="O149" s="490"/>
      <c r="P149" s="895"/>
      <c r="Q149" s="441"/>
      <c r="R149" s="441"/>
    </row>
    <row r="150" spans="1:18" ht="12.75">
      <c r="A150" s="1133" t="s">
        <v>1729</v>
      </c>
      <c r="B150" s="850"/>
      <c r="C150" s="871"/>
      <c r="D150" s="850"/>
      <c r="E150" s="850"/>
      <c r="F150" s="887"/>
      <c r="G150" s="850"/>
      <c r="H150" s="850"/>
      <c r="I150" s="850"/>
      <c r="J150" s="850"/>
      <c r="K150" s="850"/>
      <c r="L150" s="435"/>
      <c r="N150" s="896"/>
      <c r="O150" s="490"/>
      <c r="P150" s="897"/>
      <c r="Q150" s="898"/>
      <c r="R150" s="441"/>
    </row>
    <row r="151" spans="1:18" ht="12.75">
      <c r="A151" s="892"/>
      <c r="B151" s="850" t="s">
        <v>1726</v>
      </c>
      <c r="C151" s="871" t="s">
        <v>1488</v>
      </c>
      <c r="D151" s="899" t="str">
        <f t="shared" ref="D151" si="84">RIGHT(E151,3)</f>
        <v>470</v>
      </c>
      <c r="E151" s="901" t="s">
        <v>314</v>
      </c>
      <c r="F151" s="769">
        <f>SUMIF(_12MonLights_RateCategory,"KUUM_"&amp;$D151,_12MonLights_Count)</f>
        <v>637</v>
      </c>
      <c r="G151" s="766">
        <f>SUMIF(_Lights_Tariff_Category,MiscData!$T$4&amp;"KUUM_"&amp;$D151,_Lights_Rates)</f>
        <v>55.250000000000007</v>
      </c>
      <c r="H151" s="767">
        <f>ROUND(F151*G151,0)</f>
        <v>35194</v>
      </c>
      <c r="I151" s="766">
        <f>ROUND(G151*(1+$M$7),2)</f>
        <v>59.82</v>
      </c>
      <c r="J151" s="767">
        <f t="shared" ref="J151" si="85">ROUND(F151*I151,0)</f>
        <v>38105</v>
      </c>
      <c r="K151" s="850"/>
      <c r="L151" s="435"/>
      <c r="M151" s="895">
        <f>$I151/G151-1</f>
        <v>8.2714932126696672E-2</v>
      </c>
      <c r="N151" s="435"/>
      <c r="O151" s="490"/>
      <c r="P151" s="895"/>
      <c r="Q151" s="441"/>
      <c r="R151" s="441"/>
    </row>
    <row r="152" spans="1:18" ht="12.75">
      <c r="I152" s="850"/>
      <c r="J152" s="850"/>
      <c r="L152" s="435"/>
      <c r="N152" s="435"/>
      <c r="O152" s="490"/>
      <c r="P152" s="895"/>
      <c r="Q152" s="441"/>
      <c r="R152" s="441"/>
    </row>
    <row r="153" spans="1:18" ht="12.75">
      <c r="A153" s="963" t="s">
        <v>486</v>
      </c>
      <c r="B153" s="850"/>
      <c r="C153" s="871"/>
      <c r="D153" s="850"/>
      <c r="E153" s="850"/>
      <c r="F153" s="850"/>
      <c r="G153" s="850"/>
      <c r="H153" s="850"/>
      <c r="I153" s="850"/>
      <c r="J153" s="850"/>
      <c r="L153" s="435"/>
      <c r="M153" s="895"/>
      <c r="N153" s="435"/>
      <c r="O153" s="490"/>
      <c r="P153" s="895"/>
      <c r="Q153" s="441"/>
      <c r="R153" s="441"/>
    </row>
    <row r="154" spans="1:18" ht="12.75">
      <c r="A154" s="1133" t="s">
        <v>1020</v>
      </c>
      <c r="B154" s="850"/>
      <c r="C154" s="871" t="s">
        <v>1488</v>
      </c>
      <c r="D154" s="899" t="str">
        <f t="shared" ref="D154" si="86">RIGHT(E154,3)</f>
        <v>440</v>
      </c>
      <c r="E154" s="901" t="s">
        <v>359</v>
      </c>
      <c r="F154" s="769">
        <f>SUMIF(_12MonLights_RateCategory,"KUUM_"&amp;$D154,_12MonLights_Count)</f>
        <v>24</v>
      </c>
      <c r="G154" s="766">
        <f>SUMIF(_Lights_Tariff_Category,MiscData!$T$4&amp;"KUUM_"&amp;$D154,_Lights_Rates)</f>
        <v>13.610000000000001</v>
      </c>
      <c r="H154" s="767">
        <f>ROUND(F154*G154,0)</f>
        <v>327</v>
      </c>
      <c r="I154" s="766">
        <f>ROUND(G154*(1+$M$7),2)</f>
        <v>14.74</v>
      </c>
      <c r="J154" s="767">
        <f t="shared" ref="J154" si="87">ROUND(F154*I154,0)</f>
        <v>354</v>
      </c>
      <c r="L154" s="870"/>
      <c r="M154" s="895">
        <f t="shared" ref="M154:M155" si="88">$I154/G154-1</f>
        <v>8.3027185892725841E-2</v>
      </c>
      <c r="N154" s="896"/>
      <c r="O154" s="490"/>
      <c r="P154" s="897"/>
      <c r="Q154" s="898"/>
      <c r="R154" s="441"/>
    </row>
    <row r="155" spans="1:18" ht="12.75">
      <c r="A155" s="1132" t="s">
        <v>995</v>
      </c>
      <c r="B155" s="850"/>
      <c r="C155" s="871" t="s">
        <v>1488</v>
      </c>
      <c r="D155" s="899" t="str">
        <f t="shared" ref="D155" si="89">RIGHT(E155,3)</f>
        <v>410</v>
      </c>
      <c r="E155" s="901" t="s">
        <v>360</v>
      </c>
      <c r="F155" s="769">
        <f>SUMIF(_12MonLights_RateCategory,"KUUM_"&amp;$D155,_12MonLights_Count)</f>
        <v>2863</v>
      </c>
      <c r="G155" s="766">
        <f>SUMIF(_Lights_Tariff_Category,MiscData!$T$4&amp;"KUUM_"&amp;$D155,_Lights_Rates)</f>
        <v>20.259999999999998</v>
      </c>
      <c r="H155" s="767">
        <f>ROUND(F155*G155,0)</f>
        <v>58004</v>
      </c>
      <c r="I155" s="766">
        <f>ROUND(G155*(1+$M$7),2)</f>
        <v>21.94</v>
      </c>
      <c r="J155" s="767">
        <f t="shared" ref="J155" si="90">ROUND(F155*I155,0)</f>
        <v>62814</v>
      </c>
      <c r="K155" s="904"/>
      <c r="L155" s="870"/>
      <c r="M155" s="895">
        <f t="shared" si="88"/>
        <v>8.2922013820335705E-2</v>
      </c>
      <c r="N155" s="896"/>
      <c r="O155" s="490"/>
      <c r="P155" s="490"/>
      <c r="Q155" s="441"/>
      <c r="R155" s="441"/>
    </row>
    <row r="156" spans="1:18" ht="12.75">
      <c r="A156" s="892"/>
      <c r="B156" s="850"/>
      <c r="C156" s="867"/>
      <c r="D156" s="901"/>
      <c r="E156" s="901"/>
      <c r="F156" s="850"/>
      <c r="G156" s="766"/>
      <c r="H156" s="767"/>
      <c r="I156" s="850"/>
      <c r="J156" s="850"/>
      <c r="L156" s="870"/>
      <c r="M156" s="895"/>
      <c r="N156" s="435"/>
      <c r="O156" s="490"/>
      <c r="P156" s="895"/>
      <c r="Q156" s="441"/>
      <c r="R156" s="441"/>
    </row>
    <row r="157" spans="1:18" ht="12.75">
      <c r="A157" s="964" t="s">
        <v>996</v>
      </c>
      <c r="B157" s="850"/>
      <c r="C157" s="871" t="s">
        <v>1488</v>
      </c>
      <c r="D157" s="899" t="str">
        <f t="shared" ref="D157" si="91">RIGHT(E157,3)</f>
        <v>466</v>
      </c>
      <c r="E157" s="901" t="s">
        <v>363</v>
      </c>
      <c r="F157" s="769">
        <f>SUMIF(_12MonLights_RateCategory,"KUUM_"&amp;$D157,_12MonLights_Count)</f>
        <v>10284</v>
      </c>
      <c r="G157" s="766">
        <f>SUMIF(_Lights_Tariff_Category,MiscData!$T$4&amp;"KUUM_"&amp;$D157,_Lights_Rates)</f>
        <v>9.620000000000001</v>
      </c>
      <c r="H157" s="767">
        <f>ROUND(F157*G157,0)</f>
        <v>98932</v>
      </c>
      <c r="I157" s="766">
        <f>ROUND(G157*(1+$M$7),2)</f>
        <v>10.42</v>
      </c>
      <c r="J157" s="767">
        <f t="shared" ref="J157" si="92">ROUND(F157*I157,0)</f>
        <v>107159</v>
      </c>
      <c r="K157" s="904"/>
      <c r="L157" s="870"/>
      <c r="M157" s="895">
        <f>$I157/G157-1</f>
        <v>8.3160083160082943E-2</v>
      </c>
      <c r="N157" s="896"/>
      <c r="O157" s="490"/>
      <c r="P157" s="490"/>
      <c r="Q157" s="441"/>
      <c r="R157" s="441"/>
    </row>
    <row r="158" spans="1:18" ht="12.75">
      <c r="A158" s="892"/>
      <c r="B158" s="850" t="str">
        <f>VLOOKUP($E157,'Rates-Lights'!$C$218:$J$327,8,FALSE)</f>
        <v>4,000L Colonial HPS UG RC-466</v>
      </c>
      <c r="C158" s="777"/>
      <c r="K158" s="850"/>
      <c r="L158" s="870"/>
      <c r="M158" s="895"/>
      <c r="N158" s="435"/>
      <c r="O158" s="490"/>
      <c r="P158" s="895"/>
      <c r="Q158" s="441"/>
      <c r="R158" s="441"/>
    </row>
    <row r="159" spans="1:18" ht="12.75">
      <c r="B159" s="850"/>
      <c r="C159" s="867"/>
      <c r="D159" s="901"/>
      <c r="E159" s="901"/>
      <c r="F159" s="850"/>
      <c r="G159" s="766"/>
      <c r="H159" s="767"/>
      <c r="L159" s="870"/>
      <c r="M159" s="895"/>
      <c r="N159" s="435"/>
      <c r="O159" s="490"/>
      <c r="P159" s="895"/>
      <c r="Q159" s="441"/>
      <c r="R159" s="441"/>
    </row>
    <row r="160" spans="1:18" ht="12.75">
      <c r="A160" s="965" t="s">
        <v>1011</v>
      </c>
      <c r="B160" s="850"/>
      <c r="C160" s="871" t="s">
        <v>1488</v>
      </c>
      <c r="D160" s="899" t="str">
        <f t="shared" ref="D160" si="93">RIGHT(E160,3)</f>
        <v>412</v>
      </c>
      <c r="E160" s="901" t="s">
        <v>370</v>
      </c>
      <c r="F160" s="769">
        <f>SUMIF(_12MonLights_RateCategory,"KUUM_"&amp;$D160,_12MonLights_Count)</f>
        <v>336</v>
      </c>
      <c r="G160" s="766">
        <f>SUMIF(_Lights_Tariff_Category,MiscData!$T$4&amp;"KUUM_"&amp;$D160,_Lights_Rates)</f>
        <v>30.84</v>
      </c>
      <c r="H160" s="767">
        <f>ROUND(F160*G160,0)</f>
        <v>10362</v>
      </c>
      <c r="I160" s="766">
        <f>ROUND(G160*(1+$M$7),2)</f>
        <v>33.39</v>
      </c>
      <c r="J160" s="767">
        <f t="shared" ref="J160" si="94">ROUND(F160*I160,0)</f>
        <v>11219</v>
      </c>
      <c r="L160" s="870"/>
      <c r="M160" s="895">
        <f t="shared" ref="M160:M161" si="95">$I160/G160-1</f>
        <v>8.2684824902723664E-2</v>
      </c>
      <c r="N160" s="896"/>
      <c r="O160" s="490"/>
      <c r="P160" s="897"/>
      <c r="Q160" s="898"/>
      <c r="R160" s="441"/>
    </row>
    <row r="161" spans="1:27" ht="12.75">
      <c r="A161" s="965" t="s">
        <v>1012</v>
      </c>
      <c r="B161" s="850"/>
      <c r="C161" s="871" t="s">
        <v>1488</v>
      </c>
      <c r="D161" s="899" t="str">
        <f t="shared" ref="D161" si="96">RIGHT(E161,3)</f>
        <v>413</v>
      </c>
      <c r="E161" s="901" t="s">
        <v>393</v>
      </c>
      <c r="F161" s="769">
        <f>SUMIF(_12MonLights_RateCategory,"KUUM_"&amp;$D161,_12MonLights_Count)</f>
        <v>1150</v>
      </c>
      <c r="G161" s="766">
        <f>SUMIF(_Lights_Tariff_Category,MiscData!$T$4&amp;"KUUM_"&amp;$D161,_Lights_Rates)</f>
        <v>31.22</v>
      </c>
      <c r="H161" s="767">
        <f>ROUND(F161*G161,0)</f>
        <v>35903</v>
      </c>
      <c r="I161" s="766">
        <f>ROUND(G161*(1+$M$7),2)</f>
        <v>33.81</v>
      </c>
      <c r="J161" s="767">
        <f t="shared" ref="J161" si="97">ROUND(F161*I161,0)</f>
        <v>38882</v>
      </c>
      <c r="L161" s="870"/>
      <c r="M161" s="895">
        <f t="shared" si="95"/>
        <v>8.295964125560551E-2</v>
      </c>
      <c r="N161" s="896"/>
      <c r="O161" s="490"/>
      <c r="P161" s="897"/>
      <c r="Q161" s="898"/>
      <c r="R161" s="898"/>
    </row>
    <row r="162" spans="1:27" ht="12.75">
      <c r="A162" s="892"/>
      <c r="B162" s="850"/>
      <c r="C162" s="871"/>
      <c r="D162" s="899"/>
      <c r="E162" s="901"/>
      <c r="F162" s="850"/>
      <c r="G162" s="766"/>
      <c r="H162" s="767"/>
      <c r="I162" s="850"/>
      <c r="J162" s="850"/>
      <c r="L162" s="435"/>
      <c r="M162" s="895"/>
      <c r="N162" s="435"/>
      <c r="O162" s="490"/>
      <c r="P162" s="435"/>
      <c r="Q162" s="906"/>
      <c r="R162" s="906"/>
    </row>
    <row r="163" spans="1:27" ht="12.75" customHeight="1">
      <c r="A163" s="903"/>
      <c r="B163" s="850"/>
      <c r="C163" s="871"/>
      <c r="D163" s="850"/>
      <c r="E163" s="850"/>
      <c r="F163" s="850"/>
      <c r="G163" s="853"/>
      <c r="H163" s="854"/>
      <c r="I163" s="853"/>
      <c r="J163" s="854"/>
      <c r="K163" s="902"/>
      <c r="L163" s="870"/>
      <c r="N163" s="435"/>
      <c r="O163" s="490"/>
      <c r="P163" s="895"/>
      <c r="Q163" s="441"/>
      <c r="R163" s="441"/>
    </row>
    <row r="164" spans="1:27" s="850" customFormat="1" ht="12.75">
      <c r="A164" s="1147" t="s">
        <v>1462</v>
      </c>
      <c r="J164" s="860" t="s">
        <v>1489</v>
      </c>
    </row>
    <row r="165" spans="1:27" s="850" customFormat="1" ht="12.75">
      <c r="A165" s="869" t="s">
        <v>1465</v>
      </c>
      <c r="J165" s="944" t="str">
        <f>"Page "&amp;O165&amp;" of "&amp;P165</f>
        <v>Page 20 of 20</v>
      </c>
      <c r="O165" s="850">
        <f>O129+1</f>
        <v>20</v>
      </c>
      <c r="P165" s="850">
        <f>O165</f>
        <v>20</v>
      </c>
    </row>
    <row r="166" spans="1:27" s="850" customFormat="1" ht="12.75">
      <c r="A166" s="869" t="s">
        <v>1461</v>
      </c>
      <c r="J166" s="944"/>
    </row>
    <row r="167" spans="1:27" s="850" customFormat="1" ht="12.75">
      <c r="A167" s="858"/>
    </row>
    <row r="168" spans="1:27" s="850" customFormat="1" ht="12.75">
      <c r="A168" s="949"/>
      <c r="B168" s="950"/>
      <c r="C168" s="950"/>
      <c r="D168" s="950"/>
      <c r="E168" s="951"/>
      <c r="F168" s="951"/>
      <c r="G168" s="951"/>
      <c r="H168" s="952" t="s">
        <v>766</v>
      </c>
      <c r="I168" s="951"/>
      <c r="J168" s="951" t="s">
        <v>766</v>
      </c>
    </row>
    <row r="169" spans="1:27" s="850" customFormat="1" ht="12.75">
      <c r="A169" s="946"/>
      <c r="C169" s="871" t="s">
        <v>10</v>
      </c>
      <c r="D169" s="871" t="s">
        <v>1480</v>
      </c>
      <c r="E169" s="871" t="s">
        <v>998</v>
      </c>
      <c r="F169" s="871" t="s">
        <v>59</v>
      </c>
      <c r="G169" s="871" t="s">
        <v>767</v>
      </c>
      <c r="H169" s="872" t="s">
        <v>768</v>
      </c>
      <c r="I169" s="871" t="s">
        <v>769</v>
      </c>
      <c r="J169" s="871" t="s">
        <v>768</v>
      </c>
      <c r="L169" s="870"/>
      <c r="M169" s="894"/>
    </row>
    <row r="170" spans="1:27" s="850" customFormat="1" ht="12.75">
      <c r="A170" s="942"/>
      <c r="B170" s="876"/>
      <c r="C170" s="878" t="s">
        <v>997</v>
      </c>
      <c r="D170" s="878" t="s">
        <v>1464</v>
      </c>
      <c r="E170" s="873" t="s">
        <v>999</v>
      </c>
      <c r="F170" s="874" t="s">
        <v>95</v>
      </c>
      <c r="G170" s="873" t="s">
        <v>118</v>
      </c>
      <c r="H170" s="875" t="s">
        <v>771</v>
      </c>
      <c r="I170" s="873" t="s">
        <v>118</v>
      </c>
      <c r="J170" s="873" t="s">
        <v>772</v>
      </c>
      <c r="M170" s="778"/>
    </row>
    <row r="171" spans="1:27" ht="14.25">
      <c r="H171" s="914"/>
      <c r="J171" s="914"/>
      <c r="L171" s="435"/>
      <c r="M171" s="435"/>
      <c r="N171" s="435"/>
      <c r="O171" s="490"/>
      <c r="P171" s="435"/>
      <c r="Q171" s="907"/>
      <c r="R171" s="435"/>
    </row>
    <row r="172" spans="1:27" ht="12.75">
      <c r="A172" s="968" t="s">
        <v>1790</v>
      </c>
      <c r="L172" s="870"/>
      <c r="M172" s="895"/>
      <c r="N172" s="435"/>
      <c r="O172" s="490"/>
      <c r="P172" s="895"/>
      <c r="Q172" s="441"/>
      <c r="R172" s="441"/>
    </row>
    <row r="173" spans="1:27" s="775" customFormat="1" ht="12.75">
      <c r="A173" s="963" t="s">
        <v>1484</v>
      </c>
      <c r="B173" s="765"/>
      <c r="C173" s="765"/>
      <c r="D173" s="765"/>
      <c r="E173" s="765"/>
      <c r="F173" s="765"/>
      <c r="G173" s="771"/>
      <c r="H173" s="765"/>
      <c r="I173" s="765"/>
      <c r="J173" s="765"/>
      <c r="K173" s="908"/>
      <c r="L173" s="435"/>
      <c r="M173" s="435"/>
      <c r="N173" s="435"/>
      <c r="O173" s="490"/>
      <c r="P173" s="895"/>
      <c r="Q173" s="441"/>
      <c r="R173" s="441"/>
      <c r="Y173" s="909"/>
      <c r="AA173" s="910"/>
    </row>
    <row r="174" spans="1:27" s="775" customFormat="1" ht="12.75">
      <c r="A174" s="913"/>
      <c r="B174" s="911" t="s">
        <v>602</v>
      </c>
      <c r="C174" s="769"/>
      <c r="D174" s="769"/>
      <c r="E174" s="769"/>
      <c r="F174" s="769"/>
      <c r="G174" s="765"/>
      <c r="H174" s="766"/>
      <c r="J174" s="767"/>
      <c r="K174" s="766"/>
      <c r="L174" s="435"/>
      <c r="M174" s="895"/>
      <c r="N174" s="896"/>
      <c r="O174" s="490"/>
      <c r="P174" s="490"/>
      <c r="Q174" s="441"/>
      <c r="R174" s="441"/>
      <c r="AA174" s="910"/>
    </row>
    <row r="175" spans="1:27" ht="12.75">
      <c r="A175" s="965"/>
      <c r="B175" s="850" t="s">
        <v>1768</v>
      </c>
      <c r="C175" s="871" t="s">
        <v>1485</v>
      </c>
      <c r="D175" s="912">
        <v>360</v>
      </c>
      <c r="E175" s="901">
        <v>0</v>
      </c>
      <c r="F175" s="769">
        <v>48</v>
      </c>
      <c r="G175" s="766">
        <f>SUMIF(_Lights_Tariff_Category,MiscData!$T$4&amp;"KUUM_"&amp;$D175,_Lights_Rates)</f>
        <v>55.33</v>
      </c>
      <c r="H175" s="767">
        <f>ROUND(F175*G175,0)</f>
        <v>2656</v>
      </c>
      <c r="I175" s="766">
        <f>ROUND(SUM(H175:H175)/SUM(F175:F175)*(1+$M$7),2)</f>
        <v>59.91</v>
      </c>
      <c r="J175" s="767">
        <f>ROUND(F175*I175,0)</f>
        <v>2876</v>
      </c>
      <c r="L175" s="435"/>
      <c r="M175" s="895">
        <f>$I175/G175-1</f>
        <v>8.2776070847641492E-2</v>
      </c>
      <c r="N175" s="435"/>
      <c r="O175" s="490"/>
      <c r="P175" s="895"/>
      <c r="Q175" s="441"/>
      <c r="R175" s="441"/>
    </row>
    <row r="176" spans="1:27" ht="12.75">
      <c r="A176" s="965"/>
      <c r="B176" s="850" t="s">
        <v>1769</v>
      </c>
      <c r="C176" s="871" t="s">
        <v>1485</v>
      </c>
      <c r="D176" s="912">
        <v>360</v>
      </c>
      <c r="E176" s="901">
        <v>0</v>
      </c>
      <c r="F176" s="769">
        <v>4600</v>
      </c>
      <c r="G176" s="766">
        <f>SUMIF(_Lights_Tariff_Category,MiscData!$T$4&amp;"KUUM_"&amp;$D176,_Lights_Rates)</f>
        <v>55.33</v>
      </c>
      <c r="H176" s="767">
        <f>ROUND(F176*G176,0)</f>
        <v>254518</v>
      </c>
      <c r="I176" s="766">
        <f>G176</f>
        <v>55.33</v>
      </c>
      <c r="J176" s="767">
        <f>ROUND(F176*I176,0)</f>
        <v>254518</v>
      </c>
      <c r="L176" s="435" t="s">
        <v>1736</v>
      </c>
      <c r="M176" s="895">
        <f>$I176/G176-1</f>
        <v>0</v>
      </c>
      <c r="N176" s="435"/>
      <c r="O176" s="490"/>
      <c r="P176" s="895"/>
      <c r="Q176" s="441"/>
      <c r="R176" s="441"/>
    </row>
    <row r="177" spans="1:27" s="775" customFormat="1" ht="12.75">
      <c r="A177" s="965" t="s">
        <v>1735</v>
      </c>
      <c r="B177" s="774"/>
      <c r="C177" s="769"/>
      <c r="D177" s="769"/>
      <c r="E177" s="769"/>
      <c r="F177" s="769"/>
      <c r="G177" s="765"/>
      <c r="H177" s="766"/>
      <c r="I177" s="765"/>
      <c r="J177" s="766"/>
      <c r="K177" s="766"/>
      <c r="L177" s="435" t="s">
        <v>1737</v>
      </c>
      <c r="M177" s="895"/>
      <c r="N177" s="435"/>
      <c r="O177" s="490"/>
      <c r="P177" s="895"/>
      <c r="Q177" s="441"/>
      <c r="R177" s="441"/>
      <c r="V177" s="765"/>
      <c r="AA177" s="910"/>
    </row>
    <row r="178" spans="1:27" s="775" customFormat="1" ht="12.75">
      <c r="A178" s="913"/>
      <c r="B178" s="913" t="s">
        <v>606</v>
      </c>
      <c r="C178" s="871" t="s">
        <v>1485</v>
      </c>
      <c r="D178" s="1202">
        <v>2</v>
      </c>
      <c r="E178" s="769">
        <f>SUMIF(GranVille!$B$41:$B$113,$B178,GranVille!AA$41:AA$113)</f>
        <v>0</v>
      </c>
      <c r="F178" s="769">
        <f>SUMIF(GranVille!$B$41:$B$113,$D178,GranVille!Y$41:Y$113)</f>
        <v>353</v>
      </c>
      <c r="G178" s="766">
        <f>SUMIF(GranVille!$B$2:$B$15,$D178,GranVille!$U$2:$U$15)</f>
        <v>20.57</v>
      </c>
      <c r="H178" s="767">
        <f t="shared" ref="H178:H186" si="98">ROUND(F178*G178,0)</f>
        <v>7261</v>
      </c>
      <c r="I178" s="766">
        <f>G178</f>
        <v>20.57</v>
      </c>
      <c r="J178" s="767">
        <f t="shared" ref="J178:J187" si="99">ROUND(F178*I178,0)</f>
        <v>7261</v>
      </c>
      <c r="K178" s="766"/>
      <c r="L178" s="435"/>
      <c r="M178" s="895">
        <f>$I178/G178-1</f>
        <v>0</v>
      </c>
      <c r="N178" s="896"/>
      <c r="O178" s="490"/>
      <c r="P178" s="897"/>
      <c r="Q178" s="898"/>
      <c r="R178" s="441"/>
      <c r="V178" s="765"/>
      <c r="AA178" s="910"/>
    </row>
    <row r="179" spans="1:27" s="775" customFormat="1" ht="12.75">
      <c r="A179" s="913"/>
      <c r="B179" s="913" t="s">
        <v>607</v>
      </c>
      <c r="C179" s="871" t="s">
        <v>1485</v>
      </c>
      <c r="D179" s="1202">
        <v>3</v>
      </c>
      <c r="E179" s="769">
        <f>SUMIF(GranVille!$B$41:$B$113,$B179,GranVille!AA$41:AA$113)</f>
        <v>0</v>
      </c>
      <c r="F179" s="769">
        <f>SUMIF(GranVille!$B$41:$B$113,$D179,GranVille!Y$41:Y$113)</f>
        <v>288</v>
      </c>
      <c r="G179" s="766">
        <f>SUMIF(GranVille!$B$2:$B$15,$D179,GranVille!$U$2:$U$15)</f>
        <v>3.21</v>
      </c>
      <c r="H179" s="767">
        <f>ROUND(F179*G179,0)+1</f>
        <v>925</v>
      </c>
      <c r="I179" s="766">
        <f t="shared" ref="I179:I187" si="100">G179</f>
        <v>3.21</v>
      </c>
      <c r="J179" s="767">
        <f>ROUND(F179*I179,0+1)</f>
        <v>924.5</v>
      </c>
      <c r="K179" s="766"/>
      <c r="L179" s="435"/>
      <c r="M179" s="895">
        <f t="shared" ref="M179:M187" si="101">$I179/G179-1</f>
        <v>0</v>
      </c>
      <c r="N179" s="896"/>
      <c r="O179" s="490"/>
      <c r="P179" s="897"/>
      <c r="Q179" s="898"/>
      <c r="R179" s="441"/>
      <c r="V179" s="765"/>
      <c r="AA179" s="910"/>
    </row>
    <row r="180" spans="1:27" s="775" customFormat="1" ht="12.75">
      <c r="A180" s="913"/>
      <c r="B180" s="913" t="s">
        <v>608</v>
      </c>
      <c r="C180" s="871" t="s">
        <v>1485</v>
      </c>
      <c r="D180" s="1202">
        <v>4</v>
      </c>
      <c r="E180" s="769">
        <f>SUMIF(GranVille!$B$41:$B$113,$B180,GranVille!AA$41:AA$113)</f>
        <v>0</v>
      </c>
      <c r="F180" s="769">
        <f>SUMIF(GranVille!$B$41:$B$113,$D180,GranVille!Y$41:Y$113)</f>
        <v>1210</v>
      </c>
      <c r="G180" s="766">
        <f>SUMIF(GranVille!$B$2:$B$15,$D180,GranVille!$U$2:$U$15)</f>
        <v>4.43</v>
      </c>
      <c r="H180" s="767">
        <f t="shared" si="98"/>
        <v>5360</v>
      </c>
      <c r="I180" s="766">
        <f t="shared" si="100"/>
        <v>4.43</v>
      </c>
      <c r="J180" s="767">
        <f t="shared" si="99"/>
        <v>5360</v>
      </c>
      <c r="K180" s="766"/>
      <c r="L180" s="908"/>
      <c r="M180" s="895">
        <f t="shared" si="101"/>
        <v>0</v>
      </c>
      <c r="N180" s="896"/>
      <c r="O180" s="490"/>
      <c r="P180" s="897"/>
      <c r="Q180" s="898"/>
      <c r="R180" s="460"/>
      <c r="V180" s="765"/>
      <c r="AA180" s="910"/>
    </row>
    <row r="181" spans="1:27" s="775" customFormat="1" ht="12.75">
      <c r="A181" s="913"/>
      <c r="B181" s="913" t="s">
        <v>609</v>
      </c>
      <c r="C181" s="871" t="s">
        <v>1485</v>
      </c>
      <c r="D181" s="1202">
        <v>5</v>
      </c>
      <c r="E181" s="769">
        <f>SUMIF(GranVille!$B$41:$B$113,$B181,GranVille!AA$41:AA$113)</f>
        <v>0</v>
      </c>
      <c r="F181" s="769">
        <f>SUMIF(GranVille!$B$41:$B$113,$D181,GranVille!Y$41:Y$113)</f>
        <v>1200</v>
      </c>
      <c r="G181" s="766">
        <f>SUMIF(GranVille!$B$2:$B$15,$D181,GranVille!$U$2:$U$15)</f>
        <v>2.95</v>
      </c>
      <c r="H181" s="767">
        <f t="shared" si="98"/>
        <v>3540</v>
      </c>
      <c r="I181" s="766">
        <f t="shared" si="100"/>
        <v>2.95</v>
      </c>
      <c r="J181" s="767">
        <f t="shared" si="99"/>
        <v>3540</v>
      </c>
      <c r="K181" s="766"/>
      <c r="L181" s="766"/>
      <c r="M181" s="895">
        <f t="shared" si="101"/>
        <v>0</v>
      </c>
      <c r="N181" s="896"/>
      <c r="O181" s="490"/>
      <c r="P181" s="897"/>
      <c r="Q181" s="898"/>
      <c r="R181" s="460"/>
      <c r="V181" s="765"/>
      <c r="AA181" s="910"/>
    </row>
    <row r="182" spans="1:27" s="775" customFormat="1" ht="12.75">
      <c r="A182" s="913"/>
      <c r="B182" s="913" t="s">
        <v>610</v>
      </c>
      <c r="C182" s="871" t="s">
        <v>1485</v>
      </c>
      <c r="D182" s="1202">
        <v>7</v>
      </c>
      <c r="E182" s="769">
        <f>SUMIF(GranVille!$B$41:$B$113,$B182,GranVille!AA$41:AA$113)</f>
        <v>0</v>
      </c>
      <c r="F182" s="769">
        <f>SUMIF(GranVille!$B$41:$B$113,$D182,GranVille!Y$41:Y$113)</f>
        <v>0</v>
      </c>
      <c r="G182" s="766">
        <f>SUMIF(GranVille!$B$2:$B$15,$D182,GranVille!$U$2:$U$15)</f>
        <v>3.66</v>
      </c>
      <c r="H182" s="767">
        <f t="shared" si="98"/>
        <v>0</v>
      </c>
      <c r="I182" s="766">
        <f t="shared" si="100"/>
        <v>3.66</v>
      </c>
      <c r="J182" s="767">
        <f t="shared" si="99"/>
        <v>0</v>
      </c>
      <c r="K182" s="766"/>
      <c r="L182" s="435"/>
      <c r="M182" s="895">
        <f t="shared" si="101"/>
        <v>0</v>
      </c>
      <c r="N182" s="896"/>
      <c r="O182" s="490"/>
      <c r="P182" s="897"/>
      <c r="Q182" s="898"/>
      <c r="R182" s="441"/>
      <c r="V182" s="765"/>
      <c r="AA182" s="910"/>
    </row>
    <row r="183" spans="1:27" s="775" customFormat="1" ht="12.75">
      <c r="A183" s="913"/>
      <c r="B183" s="913" t="s">
        <v>575</v>
      </c>
      <c r="C183" s="871" t="s">
        <v>1485</v>
      </c>
      <c r="D183" s="1202">
        <v>6</v>
      </c>
      <c r="E183" s="769">
        <f>SUMIF(GranVille!$B$41:$B$113,$B183,GranVille!AA$41:AA$113)</f>
        <v>0</v>
      </c>
      <c r="F183" s="769">
        <f>SUMIF(GranVille!$B$41:$B$113,$D183,GranVille!Y$41:Y$113)</f>
        <v>413</v>
      </c>
      <c r="G183" s="766">
        <f>SUMIF(GranVille!$B$2:$B$15,$D183,GranVille!$U$2:$U$15)</f>
        <v>1.36</v>
      </c>
      <c r="H183" s="767">
        <f t="shared" si="98"/>
        <v>562</v>
      </c>
      <c r="I183" s="766">
        <f t="shared" si="100"/>
        <v>1.36</v>
      </c>
      <c r="J183" s="767">
        <f t="shared" si="99"/>
        <v>562</v>
      </c>
      <c r="K183" s="766"/>
      <c r="L183" s="766"/>
      <c r="M183" s="895">
        <f t="shared" si="101"/>
        <v>0</v>
      </c>
      <c r="N183" s="896"/>
      <c r="O183" s="490"/>
      <c r="P183" s="897"/>
      <c r="Q183" s="898"/>
      <c r="R183" s="460"/>
      <c r="V183" s="765"/>
      <c r="AA183" s="910"/>
    </row>
    <row r="184" spans="1:27" s="775" customFormat="1" ht="12.75">
      <c r="A184" s="913"/>
      <c r="B184" s="913" t="s">
        <v>577</v>
      </c>
      <c r="C184" s="871" t="s">
        <v>1485</v>
      </c>
      <c r="D184" s="1202">
        <v>8</v>
      </c>
      <c r="E184" s="769">
        <f>SUMIF(GranVille!$B$41:$B$113,$B184,GranVille!AA$41:AA$113)</f>
        <v>0</v>
      </c>
      <c r="F184" s="769">
        <f>SUMIF(GranVille!$B$41:$B$113,$D184,GranVille!Y$41:Y$113)</f>
        <v>689</v>
      </c>
      <c r="G184" s="766">
        <f>SUMIF(GranVille!$B$2:$B$15,$D184,GranVille!$U$2:$U$15)</f>
        <v>19.190000000000001</v>
      </c>
      <c r="H184" s="767">
        <f t="shared" si="98"/>
        <v>13222</v>
      </c>
      <c r="I184" s="766">
        <f t="shared" si="100"/>
        <v>19.190000000000001</v>
      </c>
      <c r="J184" s="767">
        <f t="shared" si="99"/>
        <v>13222</v>
      </c>
      <c r="K184" s="766"/>
      <c r="L184" s="766"/>
      <c r="M184" s="895">
        <f t="shared" si="101"/>
        <v>0</v>
      </c>
      <c r="N184" s="896"/>
      <c r="O184" s="490"/>
      <c r="P184" s="897"/>
      <c r="Q184" s="898"/>
      <c r="R184" s="460"/>
      <c r="V184" s="765"/>
      <c r="AA184" s="910"/>
    </row>
    <row r="185" spans="1:27" s="775" customFormat="1" ht="12.75">
      <c r="A185" s="913"/>
      <c r="B185" s="913" t="s">
        <v>611</v>
      </c>
      <c r="C185" s="871" t="s">
        <v>1485</v>
      </c>
      <c r="D185" s="1202">
        <v>10</v>
      </c>
      <c r="E185" s="769">
        <f>SUMIF(GranVille!$B$41:$B$113,$B185,GranVille!AA$41:AA$113)</f>
        <v>0</v>
      </c>
      <c r="F185" s="769">
        <f>SUMIF(GranVille!$B$41:$B$113,$D185,GranVille!Y$41:Y$113)</f>
        <v>0</v>
      </c>
      <c r="G185" s="766">
        <f>SUMIF(GranVille!$B$2:$B$15,$D185,GranVille!$U$2:$U$15)</f>
        <v>2.62</v>
      </c>
      <c r="H185" s="767">
        <f t="shared" si="98"/>
        <v>0</v>
      </c>
      <c r="I185" s="766">
        <f t="shared" si="100"/>
        <v>2.62</v>
      </c>
      <c r="J185" s="767">
        <f t="shared" si="99"/>
        <v>0</v>
      </c>
      <c r="K185" s="766"/>
      <c r="L185" s="766"/>
      <c r="M185" s="895">
        <f t="shared" si="101"/>
        <v>0</v>
      </c>
      <c r="N185" s="896"/>
      <c r="O185" s="490"/>
      <c r="P185" s="897"/>
      <c r="Q185" s="898"/>
      <c r="R185" s="460"/>
      <c r="V185" s="765"/>
      <c r="AA185" s="910"/>
    </row>
    <row r="186" spans="1:27" ht="12.75">
      <c r="B186" s="913" t="s">
        <v>580</v>
      </c>
      <c r="C186" s="871" t="s">
        <v>1485</v>
      </c>
      <c r="D186" s="1202">
        <v>11</v>
      </c>
      <c r="E186" s="769">
        <f>SUMIF(GranVille!$B$41:$B$113,$B186,GranVille!AA$41:AA$113)</f>
        <v>0</v>
      </c>
      <c r="F186" s="769">
        <f>SUMIF(GranVille!$B$41:$B$113,$D186,GranVille!Y$41:Y$113)</f>
        <v>666</v>
      </c>
      <c r="G186" s="766">
        <f>SUMIF(GranVille!$B$2:$B$15,$D186,GranVille!$U$2:$U$15)</f>
        <v>4.45</v>
      </c>
      <c r="H186" s="767">
        <f t="shared" si="98"/>
        <v>2964</v>
      </c>
      <c r="I186" s="766">
        <f t="shared" si="100"/>
        <v>4.45</v>
      </c>
      <c r="J186" s="767">
        <f t="shared" si="99"/>
        <v>2964</v>
      </c>
      <c r="L186" s="766"/>
      <c r="M186" s="895">
        <f t="shared" si="101"/>
        <v>0</v>
      </c>
      <c r="N186" s="896"/>
      <c r="O186" s="490"/>
      <c r="P186" s="897"/>
      <c r="Q186" s="898"/>
      <c r="R186" s="460"/>
    </row>
    <row r="187" spans="1:27" ht="12.75">
      <c r="B187" s="913" t="s">
        <v>581</v>
      </c>
      <c r="C187" s="871" t="s">
        <v>1485</v>
      </c>
      <c r="D187" s="1202">
        <v>12</v>
      </c>
      <c r="E187" s="769">
        <f>SUMIF(GranVille!$B$41:$B$113,$B187,GranVille!AA$41:AA$113)</f>
        <v>0</v>
      </c>
      <c r="F187" s="769">
        <f>SUMIF(GranVille!$B$41:$B$113,$D187,GranVille!Y$41:Y$113)</f>
        <v>0</v>
      </c>
      <c r="G187" s="766">
        <f>SUMIF(GranVille!$B$2:$B$15,$D187,GranVille!$U$2:$U$15)</f>
        <v>4.9400000000000004</v>
      </c>
      <c r="H187" s="767">
        <f t="shared" ref="H187" si="102">ROUND(F187*G187,0)</f>
        <v>0</v>
      </c>
      <c r="I187" s="766">
        <f t="shared" si="100"/>
        <v>4.9400000000000004</v>
      </c>
      <c r="J187" s="767">
        <f t="shared" si="99"/>
        <v>0</v>
      </c>
      <c r="L187" s="766"/>
      <c r="M187" s="895">
        <f t="shared" si="101"/>
        <v>0</v>
      </c>
      <c r="N187" s="896"/>
      <c r="O187" s="490"/>
      <c r="P187" s="897"/>
      <c r="Q187" s="898"/>
      <c r="R187" s="460"/>
    </row>
    <row r="188" spans="1:27" ht="12.75">
      <c r="B188" s="913"/>
      <c r="C188" s="871"/>
      <c r="D188" s="774"/>
      <c r="E188" s="774"/>
      <c r="F188" s="850"/>
      <c r="G188" s="766"/>
      <c r="H188" s="767"/>
      <c r="L188" s="766"/>
      <c r="M188" s="895"/>
      <c r="N188" s="435"/>
      <c r="O188" s="490"/>
      <c r="P188" s="895"/>
      <c r="Q188" s="441"/>
      <c r="R188" s="441"/>
    </row>
    <row r="189" spans="1:27" ht="14.25">
      <c r="H189" s="914"/>
      <c r="J189" s="914"/>
      <c r="L189" s="435"/>
      <c r="M189" s="435"/>
      <c r="N189" s="435"/>
      <c r="O189" s="490"/>
      <c r="P189" s="435"/>
      <c r="Q189" s="907"/>
      <c r="R189" s="435"/>
    </row>
    <row r="190" spans="1:27" ht="12.75">
      <c r="F190" s="860" t="s">
        <v>774</v>
      </c>
      <c r="H190" s="915">
        <f>SUM(H12:H189)</f>
        <v>25141586</v>
      </c>
      <c r="J190" s="915">
        <f>SUM(J9:J189)</f>
        <v>27201201.5</v>
      </c>
      <c r="L190" s="442"/>
      <c r="M190" s="895"/>
      <c r="N190" s="435"/>
      <c r="O190" s="490"/>
      <c r="P190" s="916"/>
      <c r="Q190" s="778"/>
      <c r="R190" s="435"/>
      <c r="S190" s="850"/>
    </row>
    <row r="191" spans="1:27" ht="12.75">
      <c r="F191" s="855" t="s">
        <v>775</v>
      </c>
      <c r="H191" s="917">
        <f>'12MonLights'!$P$1087</f>
        <v>0.99999777261962441</v>
      </c>
      <c r="J191" s="917">
        <f>H191</f>
        <v>0.99999777261962441</v>
      </c>
      <c r="L191" s="435"/>
      <c r="M191" s="916"/>
      <c r="N191" s="435"/>
      <c r="O191" s="490"/>
      <c r="P191" s="916"/>
      <c r="Q191" s="918"/>
      <c r="R191" s="435"/>
      <c r="S191" s="850"/>
    </row>
    <row r="192" spans="1:27" s="850" customFormat="1" ht="12.75">
      <c r="A192" s="777"/>
      <c r="B192" s="777"/>
      <c r="C192" s="891"/>
      <c r="D192" s="777"/>
      <c r="E192" s="777"/>
      <c r="F192" s="860" t="s">
        <v>776</v>
      </c>
      <c r="G192" s="777"/>
      <c r="H192" s="915">
        <f>ROUND(H190/H191,0)</f>
        <v>25141642</v>
      </c>
      <c r="I192" s="777"/>
      <c r="J192" s="915">
        <f>ROUND(J190/J191,0)</f>
        <v>27201262</v>
      </c>
      <c r="K192" s="777"/>
      <c r="L192" s="435"/>
      <c r="M192" s="916"/>
      <c r="N192" s="435"/>
      <c r="O192" s="490"/>
      <c r="P192" s="435"/>
      <c r="Q192" s="906"/>
      <c r="R192" s="435"/>
    </row>
    <row r="193" spans="1:19" s="850" customFormat="1" ht="12.75">
      <c r="A193" s="777" t="s">
        <v>1013</v>
      </c>
      <c r="B193" s="777"/>
      <c r="C193" s="891"/>
      <c r="D193" s="777"/>
      <c r="E193" s="777"/>
      <c r="F193" s="777"/>
      <c r="G193" s="777"/>
      <c r="H193" s="777"/>
      <c r="I193" s="777"/>
      <c r="J193" s="777"/>
      <c r="K193" s="777"/>
      <c r="L193" s="435"/>
      <c r="M193" s="435"/>
      <c r="N193" s="435"/>
      <c r="O193" s="490"/>
      <c r="P193" s="435"/>
      <c r="Q193" s="435"/>
      <c r="R193" s="435"/>
    </row>
    <row r="194" spans="1:19" s="850" customFormat="1" ht="12.75">
      <c r="A194" s="939"/>
      <c r="B194" s="850" t="s">
        <v>826</v>
      </c>
      <c r="H194" s="863">
        <v>0</v>
      </c>
      <c r="J194" s="850">
        <f>H194</f>
        <v>0</v>
      </c>
      <c r="L194" s="435"/>
      <c r="M194" s="435"/>
      <c r="N194" s="490"/>
      <c r="O194" s="435"/>
      <c r="P194" s="435"/>
      <c r="Q194" s="767"/>
      <c r="R194" s="435"/>
    </row>
    <row r="195" spans="1:19" s="850" customFormat="1" ht="12.75">
      <c r="A195" s="939"/>
      <c r="B195" s="850" t="s">
        <v>1545</v>
      </c>
      <c r="F195" s="850">
        <f>-F176</f>
        <v>-4600</v>
      </c>
      <c r="H195" s="863">
        <v>-288163</v>
      </c>
      <c r="J195" s="850">
        <f>H195</f>
        <v>-288163</v>
      </c>
      <c r="L195" s="435"/>
      <c r="M195" s="435"/>
      <c r="N195" s="490"/>
      <c r="O195" s="435"/>
      <c r="P195" s="435"/>
      <c r="Q195" s="767"/>
      <c r="R195" s="435"/>
    </row>
    <row r="196" spans="1:19" s="850" customFormat="1" ht="12.75">
      <c r="A196" s="939"/>
      <c r="B196" s="864"/>
      <c r="H196" s="863"/>
      <c r="L196" s="435"/>
      <c r="M196" s="435"/>
      <c r="N196" s="490"/>
      <c r="O196" s="435"/>
      <c r="P196" s="435"/>
      <c r="Q196" s="777"/>
      <c r="R196" s="435"/>
    </row>
    <row r="197" spans="1:19" s="850" customFormat="1" ht="15">
      <c r="A197" s="765"/>
      <c r="B197" s="864" t="s">
        <v>821</v>
      </c>
      <c r="H197" s="868">
        <f>SUM(H192:H195)</f>
        <v>24853479</v>
      </c>
      <c r="J197" s="868">
        <f>SUM(J192:J195)</f>
        <v>26913099</v>
      </c>
      <c r="L197" s="435"/>
      <c r="M197" s="435"/>
      <c r="N197" s="490"/>
      <c r="O197" s="435"/>
      <c r="P197" s="435"/>
      <c r="Q197" s="861"/>
      <c r="R197" s="435"/>
    </row>
    <row r="198" spans="1:19" s="850" customFormat="1" ht="12.75">
      <c r="A198" s="765"/>
      <c r="B198" s="864"/>
      <c r="H198" s="854"/>
      <c r="J198" s="854"/>
      <c r="L198" s="435"/>
      <c r="M198" s="435"/>
      <c r="N198" s="490"/>
      <c r="O198" s="435"/>
      <c r="P198" s="435"/>
      <c r="R198" s="435"/>
    </row>
    <row r="199" spans="1:19" s="850" customFormat="1" ht="12.75">
      <c r="A199" s="765"/>
      <c r="B199" s="858" t="s">
        <v>814</v>
      </c>
      <c r="H199" s="854">
        <v>0</v>
      </c>
      <c r="J199" s="854">
        <f>H199</f>
        <v>0</v>
      </c>
      <c r="L199" s="435"/>
      <c r="M199" s="435"/>
      <c r="N199" s="490"/>
      <c r="O199" s="435"/>
      <c r="P199" s="435"/>
      <c r="Q199" s="767"/>
      <c r="R199" s="435"/>
    </row>
    <row r="200" spans="1:19" s="850" customFormat="1" ht="12.75">
      <c r="A200" s="765"/>
      <c r="B200" s="858" t="s">
        <v>1711</v>
      </c>
      <c r="H200" s="854">
        <f>'Sch M-2.3 pg 1-2'!$D$45</f>
        <v>289956</v>
      </c>
      <c r="J200" s="767">
        <f>H200</f>
        <v>289956</v>
      </c>
      <c r="L200" s="435"/>
      <c r="M200" s="435"/>
      <c r="N200" s="490"/>
      <c r="O200" s="435"/>
      <c r="P200" s="435"/>
      <c r="Q200" s="767"/>
      <c r="R200" s="435"/>
    </row>
    <row r="201" spans="1:19" s="850" customFormat="1" ht="12.75">
      <c r="A201" s="765"/>
      <c r="B201" s="858" t="s">
        <v>1712</v>
      </c>
      <c r="H201" s="854">
        <f>'Sch M-2.3 pg 1-2'!$E$45</f>
        <v>0</v>
      </c>
      <c r="J201" s="767">
        <f>H201</f>
        <v>0</v>
      </c>
      <c r="L201" s="435"/>
      <c r="M201" s="435"/>
      <c r="N201" s="490"/>
      <c r="O201" s="435"/>
      <c r="P201" s="435"/>
      <c r="Q201" s="767"/>
      <c r="R201" s="435"/>
    </row>
    <row r="202" spans="1:19" s="850" customFormat="1" ht="12.75">
      <c r="A202" s="765"/>
      <c r="B202" s="858" t="s">
        <v>1713</v>
      </c>
      <c r="H202" s="854">
        <f>'Sch M-2.3 pg 1-2'!$F$45</f>
        <v>657032</v>
      </c>
      <c r="J202" s="767">
        <f>H202</f>
        <v>657032</v>
      </c>
      <c r="L202" s="435"/>
      <c r="M202" s="435"/>
      <c r="N202" s="490"/>
      <c r="O202" s="435"/>
      <c r="P202" s="435"/>
      <c r="Q202" s="767"/>
      <c r="R202" s="435"/>
    </row>
    <row r="203" spans="1:19" s="850" customFormat="1" ht="12.75">
      <c r="A203" s="765"/>
      <c r="B203" s="858"/>
      <c r="C203" s="858"/>
      <c r="D203" s="858"/>
      <c r="K203" s="870"/>
      <c r="L203" s="870"/>
      <c r="M203" s="435"/>
      <c r="N203" s="490"/>
      <c r="O203" s="435"/>
      <c r="P203" s="435"/>
      <c r="R203" s="435"/>
      <c r="S203" s="777"/>
    </row>
    <row r="204" spans="1:19" s="850" customFormat="1" ht="15">
      <c r="A204" s="765"/>
      <c r="B204" s="865" t="s">
        <v>815</v>
      </c>
      <c r="C204" s="769"/>
      <c r="D204" s="769"/>
      <c r="E204" s="769"/>
      <c r="F204" s="769"/>
      <c r="H204" s="866">
        <f>SUM(H197:H202)</f>
        <v>25800467</v>
      </c>
      <c r="I204" s="769"/>
      <c r="J204" s="866">
        <f>SUM(J197:J202)</f>
        <v>27860087</v>
      </c>
      <c r="K204" s="870"/>
      <c r="L204" s="870"/>
      <c r="M204" s="435"/>
      <c r="N204" s="490"/>
      <c r="O204" s="435"/>
      <c r="P204" s="435"/>
      <c r="Q204" s="866"/>
      <c r="R204" s="435"/>
      <c r="S204" s="777"/>
    </row>
    <row r="205" spans="1:19" ht="12.75">
      <c r="A205" s="940"/>
      <c r="B205" s="869" t="s">
        <v>777</v>
      </c>
      <c r="C205" s="850"/>
      <c r="D205" s="850"/>
      <c r="E205" s="850"/>
      <c r="F205" s="850"/>
      <c r="G205" s="850"/>
      <c r="H205" s="850"/>
      <c r="I205" s="850"/>
      <c r="J205" s="850">
        <f>J204-H204</f>
        <v>2059620</v>
      </c>
      <c r="K205" s="1292">
        <v>2057458.8836786856</v>
      </c>
      <c r="L205" s="850">
        <f>'Sch M-2.3 pg 1-2'!$AU$23</f>
        <v>2053508.3986504152</v>
      </c>
      <c r="M205" s="435" t="s">
        <v>751</v>
      </c>
      <c r="N205" s="490"/>
      <c r="O205" s="435"/>
      <c r="P205" s="435"/>
      <c r="Q205" s="778"/>
      <c r="R205" s="435"/>
    </row>
    <row r="206" spans="1:19" ht="12.75">
      <c r="A206" s="765"/>
      <c r="B206" s="850"/>
      <c r="C206" s="858" t="s">
        <v>778</v>
      </c>
      <c r="D206" s="858"/>
      <c r="E206" s="858"/>
      <c r="F206" s="850"/>
      <c r="G206" s="850"/>
      <c r="H206" s="850"/>
      <c r="I206" s="850"/>
      <c r="J206" s="919">
        <f>J205/H204</f>
        <v>7.9828787595201275E-2</v>
      </c>
      <c r="K206" s="850">
        <f>J205-K205</f>
        <v>2161.1163213143591</v>
      </c>
      <c r="L206" s="850">
        <f>J205-L205</f>
        <v>6111.6013495847583</v>
      </c>
      <c r="M206" s="435"/>
      <c r="N206" s="490"/>
      <c r="O206" s="435"/>
      <c r="P206" s="435"/>
      <c r="Q206" s="919"/>
      <c r="R206" s="435"/>
    </row>
    <row r="207" spans="1:19">
      <c r="L207" s="435"/>
      <c r="M207" s="435"/>
      <c r="N207" s="490"/>
      <c r="O207" s="435"/>
      <c r="P207" s="435"/>
      <c r="R207" s="435"/>
    </row>
    <row r="208" spans="1:19">
      <c r="L208" s="435"/>
      <c r="M208" s="435"/>
      <c r="N208" s="490"/>
      <c r="O208" s="435"/>
      <c r="P208" s="435"/>
      <c r="Q208" s="435"/>
      <c r="R208" s="435"/>
    </row>
    <row r="209" spans="13:18">
      <c r="M209" s="435"/>
      <c r="N209" s="490"/>
      <c r="O209" s="435"/>
      <c r="P209" s="435"/>
      <c r="Q209" s="435"/>
      <c r="R209" s="435"/>
    </row>
    <row r="210" spans="13:18">
      <c r="M210" s="435"/>
    </row>
  </sheetData>
  <printOptions horizontalCentered="1"/>
  <pageMargins left="0.7" right="0.7" top="1.74" bottom="0.5" header="0.9" footer="0.3"/>
  <pageSetup scale="74" fitToHeight="6" orientation="landscape" r:id="rId1"/>
  <headerFooter scaleWithDoc="0">
    <oddHeader>&amp;C&amp;"-,Bold"KENTUCKY UTILITIES COMPANY&amp;10
Case No. 2014-00371
Calculations of Proposed Rate Increase
Forecast Period Sales for the 12 Months Ended June 30, 2016&amp;R&amp;"Times New Roman,Bold"&amp;12Settlement Exhibit 1</oddHeader>
  </headerFooter>
  <rowBreaks count="5" manualBreakCount="5">
    <brk id="31" max="9" man="1"/>
    <brk id="71" max="9" man="1"/>
    <brk id="91" max="9" man="1"/>
    <brk id="126" max="9" man="1"/>
    <brk id="162"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2"/>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Q21"/>
  <sheetViews>
    <sheetView workbookViewId="0">
      <selection activeCell="F18" sqref="F18"/>
    </sheetView>
  </sheetViews>
  <sheetFormatPr defaultRowHeight="12"/>
  <cols>
    <col min="1" max="1" width="9.33203125" style="439"/>
    <col min="2" max="2" width="15.1640625" style="439" customWidth="1"/>
    <col min="3" max="3" width="4.5" style="439" customWidth="1"/>
    <col min="4" max="15" width="12.33203125" style="439" customWidth="1"/>
    <col min="16" max="16384" width="9.33203125" style="439"/>
  </cols>
  <sheetData>
    <row r="1" spans="1:17" ht="15">
      <c r="A1" s="1040" t="s">
        <v>654</v>
      </c>
    </row>
    <row r="2" spans="1:17">
      <c r="A2" s="439" t="s">
        <v>1035</v>
      </c>
    </row>
    <row r="4" spans="1:17" ht="12.75">
      <c r="D4" s="931" t="s">
        <v>14</v>
      </c>
      <c r="E4" s="1041" t="s">
        <v>208</v>
      </c>
      <c r="F4" s="1041"/>
      <c r="G4" s="1041" t="s">
        <v>203</v>
      </c>
      <c r="H4" s="1041"/>
      <c r="I4" s="1042" t="s">
        <v>1026</v>
      </c>
      <c r="J4" s="931" t="s">
        <v>1027</v>
      </c>
      <c r="K4" s="931" t="s">
        <v>1028</v>
      </c>
      <c r="L4" s="931" t="s">
        <v>1029</v>
      </c>
      <c r="M4" s="931" t="s">
        <v>18</v>
      </c>
      <c r="N4" s="931" t="s">
        <v>1030</v>
      </c>
      <c r="O4" s="931" t="s">
        <v>1031</v>
      </c>
      <c r="P4" s="871" t="s">
        <v>19</v>
      </c>
      <c r="Q4" s="871" t="s">
        <v>20</v>
      </c>
    </row>
    <row r="5" spans="1:17">
      <c r="E5" s="1039" t="s">
        <v>1033</v>
      </c>
      <c r="F5" s="1039" t="s">
        <v>1032</v>
      </c>
      <c r="G5" s="1039" t="s">
        <v>1033</v>
      </c>
      <c r="H5" s="1039" t="s">
        <v>1032</v>
      </c>
    </row>
    <row r="6" spans="1:17" ht="12.75">
      <c r="A6" s="1043" t="s">
        <v>1023</v>
      </c>
    </row>
    <row r="7" spans="1:17">
      <c r="B7" s="439" t="s">
        <v>1009</v>
      </c>
      <c r="D7" s="487">
        <f>'Settlement Exhibit 1 pgs 2-14'!F10</f>
        <v>10.75</v>
      </c>
      <c r="E7" s="487">
        <f>'Settlement Exhibit 1 pgs 2-14'!F112</f>
        <v>20</v>
      </c>
      <c r="F7" s="487">
        <f>'Settlement Exhibit 1 pgs 2-14'!$F$113</f>
        <v>35</v>
      </c>
      <c r="G7" s="487">
        <f>'Settlement Exhibit 1 pgs 2-14'!$F$147</f>
        <v>20</v>
      </c>
      <c r="H7" s="487">
        <f>'Settlement Exhibit 1 pgs 2-14'!$F$148</f>
        <v>35</v>
      </c>
      <c r="I7" s="487">
        <f>'Settlement Exhibit 1 pgs 2-14'!F182</f>
        <v>90</v>
      </c>
      <c r="J7" s="487">
        <f>'Settlement Exhibit 1 pgs 2-14'!F221</f>
        <v>170</v>
      </c>
      <c r="K7" s="487">
        <f>'Settlement Exhibit 1 pgs 2-14'!F260</f>
        <v>200</v>
      </c>
      <c r="L7" s="487">
        <f>'Settlement Exhibit 1 pgs 2-14'!F300</f>
        <v>300</v>
      </c>
      <c r="M7" s="487">
        <f>'Settlement Exhibit 1 pgs 2-14'!F341</f>
        <v>750</v>
      </c>
      <c r="N7" s="487">
        <f>'Settlement Exhibit 1 pgs 2-14'!F381</f>
        <v>750</v>
      </c>
      <c r="O7" s="487">
        <f>'Settlement Exhibit 1 pgs 2-14'!F387</f>
        <v>750</v>
      </c>
      <c r="Q7" s="487">
        <f>'Settlement Exhibit 1 pgs 2-14'!F457</f>
        <v>3.25</v>
      </c>
    </row>
    <row r="8" spans="1:17">
      <c r="B8" s="439" t="s">
        <v>807</v>
      </c>
      <c r="D8" s="1044">
        <f>'Settlement Exhibit 1 pgs 2-14'!F11</f>
        <v>7.7439999999999995E-2</v>
      </c>
      <c r="E8" s="1044">
        <f>'Settlement Exhibit 1 pgs 2-14'!F114</f>
        <v>9.2249999999999999E-2</v>
      </c>
      <c r="F8" s="1044">
        <f>'Settlement Exhibit 1 pgs 2-14'!$F$115</f>
        <v>9.2249999999999999E-2</v>
      </c>
      <c r="G8" s="1044">
        <f>'Settlement Exhibit 1 pgs 2-14'!$F$149</f>
        <v>7.4399999999999994E-2</v>
      </c>
      <c r="H8" s="1044">
        <f>'Settlement Exhibit 1 pgs 2-14'!$F$150</f>
        <v>7.4399999999999994E-2</v>
      </c>
      <c r="I8" s="1044">
        <f>'Settlement Exhibit 1 pgs 2-14'!F183</f>
        <v>3.5640000000000005E-2</v>
      </c>
      <c r="J8" s="1044">
        <f>'Settlement Exhibit 1 pgs 2-14'!F222</f>
        <v>3.5619999999999999E-2</v>
      </c>
      <c r="K8" s="1044">
        <f>'Settlement Exhibit 1 pgs 2-14'!F261</f>
        <v>3.773E-2</v>
      </c>
      <c r="L8" s="1044">
        <f>'Settlement Exhibit 1 pgs 2-14'!F301</f>
        <v>3.7650000000000003E-2</v>
      </c>
      <c r="M8" s="1044">
        <f>'Settlement Exhibit 1 pgs 2-14'!F342</f>
        <v>3.6339999999999997E-2</v>
      </c>
      <c r="N8" s="1044">
        <f>'Settlement Exhibit 1 pgs 2-14'!F382</f>
        <v>3.6429999999999997E-2</v>
      </c>
      <c r="O8" s="1044">
        <f>'Settlement Exhibit 1 pgs 2-14'!F388</f>
        <v>3.261E-2</v>
      </c>
      <c r="P8" s="1044">
        <f>'Settlement Exhibit 1 pgs 2-14'!F425</f>
        <v>6.3799999999999996E-2</v>
      </c>
      <c r="Q8" s="1044">
        <f>'Settlement Exhibit 1 pgs 2-14'!F458</f>
        <v>7.9780000000000004E-2</v>
      </c>
    </row>
    <row r="9" spans="1:17">
      <c r="B9" s="439" t="s">
        <v>135</v>
      </c>
      <c r="I9" s="487"/>
    </row>
    <row r="10" spans="1:17">
      <c r="B10" s="488" t="s">
        <v>21</v>
      </c>
      <c r="K10" s="487">
        <f>'Settlement Exhibit 1 pgs 2-14'!F262</f>
        <v>3.62</v>
      </c>
      <c r="L10" s="487">
        <f>'Settlement Exhibit 1 pgs 2-14'!F302</f>
        <v>1.71</v>
      </c>
      <c r="M10" s="487">
        <f>'Settlement Exhibit 1 pgs 2-14'!F343</f>
        <v>1.34</v>
      </c>
      <c r="N10" s="487">
        <f>'Settlement Exhibit 1 pgs 2-14'!F383</f>
        <v>1.8</v>
      </c>
      <c r="O10" s="487">
        <f>'Settlement Exhibit 1 pgs 2-14'!F389</f>
        <v>1.05</v>
      </c>
    </row>
    <row r="11" spans="1:17">
      <c r="B11" s="488" t="s">
        <v>1024</v>
      </c>
      <c r="I11" s="487">
        <f>'Settlement Exhibit 1 pgs 2-14'!F184</f>
        <v>15.3</v>
      </c>
      <c r="J11" s="487">
        <f>'Settlement Exhibit 1 pgs 2-14'!F223</f>
        <v>15.28</v>
      </c>
      <c r="K11" s="487">
        <f>'Settlement Exhibit 1 pgs 2-14'!F263</f>
        <v>2.95</v>
      </c>
      <c r="L11" s="487">
        <f>'Settlement Exhibit 1 pgs 2-14'!F303</f>
        <v>2.76</v>
      </c>
      <c r="M11" s="487">
        <f>'Settlement Exhibit 1 pgs 2-14'!F344</f>
        <v>2.87</v>
      </c>
      <c r="N11" s="487">
        <f>'Settlement Exhibit 1 pgs 2-14'!F384</f>
        <v>1.52</v>
      </c>
      <c r="O11" s="487">
        <f>'Settlement Exhibit 1 pgs 2-14'!F390</f>
        <v>1.52</v>
      </c>
    </row>
    <row r="12" spans="1:17">
      <c r="B12" s="488" t="s">
        <v>1025</v>
      </c>
      <c r="I12" s="487">
        <f>'Settlement Exhibit 1 pgs 2-14'!F185</f>
        <v>13.2</v>
      </c>
      <c r="J12" s="487">
        <f>'Settlement Exhibit 1 pgs 2-14'!F224</f>
        <v>13.18</v>
      </c>
      <c r="K12" s="487">
        <f>'Settlement Exhibit 1 pgs 2-14'!F264</f>
        <v>4.55</v>
      </c>
      <c r="L12" s="487">
        <f>'Settlement Exhibit 1 pgs 2-14'!F304</f>
        <v>4.26</v>
      </c>
      <c r="M12" s="487">
        <f>'Settlement Exhibit 1 pgs 2-14'!F345</f>
        <v>3.97</v>
      </c>
      <c r="N12" s="487">
        <f>'Settlement Exhibit 1 pgs 2-14'!F385</f>
        <v>2.41</v>
      </c>
      <c r="O12" s="487">
        <f>'Settlement Exhibit 1 pgs 2-14'!F391</f>
        <v>2.41</v>
      </c>
    </row>
    <row r="15" spans="1:17" ht="12.75">
      <c r="A15" s="1043" t="s">
        <v>1000</v>
      </c>
    </row>
    <row r="16" spans="1:17">
      <c r="B16" s="439" t="s">
        <v>1009</v>
      </c>
      <c r="D16" s="487">
        <f>'Settlement Exhibit 1 pgs 2-14'!I10</f>
        <v>10.75</v>
      </c>
      <c r="E16" s="487">
        <f>'Settlement Exhibit 1 pgs 2-14'!I112</f>
        <v>25</v>
      </c>
      <c r="F16" s="487">
        <f>'Settlement Exhibit 1 pgs 2-14'!$I$113</f>
        <v>40</v>
      </c>
      <c r="G16" s="487">
        <f>'Settlement Exhibit 1 pgs 2-14'!$I$147</f>
        <v>25</v>
      </c>
      <c r="H16" s="487">
        <f>'Settlement Exhibit 1 pgs 2-14'!$I$148</f>
        <v>40</v>
      </c>
      <c r="I16" s="487">
        <f>'Settlement Exhibit 1 pgs 2-14'!I182</f>
        <v>90</v>
      </c>
      <c r="J16" s="487">
        <f>'Settlement Exhibit 1 pgs 2-14'!I221</f>
        <v>200</v>
      </c>
      <c r="K16" s="487">
        <f>'Settlement Exhibit 1 pgs 2-14'!I260</f>
        <v>200</v>
      </c>
      <c r="L16" s="487">
        <f>'Settlement Exhibit 1 pgs 2-14'!I300</f>
        <v>300</v>
      </c>
      <c r="M16" s="487">
        <f>'Settlement Exhibit 1 pgs 2-14'!I341</f>
        <v>1000</v>
      </c>
      <c r="N16" s="487">
        <f>'Settlement Exhibit 1 pgs 2-14'!I381</f>
        <v>1000</v>
      </c>
      <c r="O16" s="487">
        <f>'Settlement Exhibit 1 pgs 2-14'!I387</f>
        <v>1000</v>
      </c>
      <c r="Q16" s="487">
        <f>'Settlement Exhibit 1 pgs 2-14'!I457</f>
        <v>4</v>
      </c>
    </row>
    <row r="17" spans="2:17">
      <c r="B17" s="439" t="s">
        <v>807</v>
      </c>
      <c r="D17" s="1044">
        <f>'Settlement Exhibit 1 pgs 2-14'!I11</f>
        <v>8.5080000000000003E-2</v>
      </c>
      <c r="E17" s="1044">
        <f>'Settlement Exhibit 1 pgs 2-14'!$I$114</f>
        <v>9.8739999999999994E-2</v>
      </c>
      <c r="F17" s="1044">
        <f>'Settlement Exhibit 1 pgs 2-14'!$I$115</f>
        <v>9.8739999999999994E-2</v>
      </c>
      <c r="G17" s="1044">
        <f>'Settlement Exhibit 1 pgs 2-14'!$I$149</f>
        <v>8.0939999999999998E-2</v>
      </c>
      <c r="H17" s="1044">
        <f>'Settlement Exhibit 1 pgs 2-14'!$I$150</f>
        <v>8.0939999999999998E-2</v>
      </c>
      <c r="I17" s="1044">
        <f>'Settlement Exhibit 1 pgs 2-14'!I183</f>
        <v>3.5720000000000002E-2</v>
      </c>
      <c r="J17" s="1044">
        <f>'Settlement Exhibit 1 pgs 2-14'!I222</f>
        <v>3.4459999999999998E-2</v>
      </c>
      <c r="K17" s="1044">
        <f>'Settlement Exhibit 1 pgs 2-14'!I261</f>
        <v>3.5270000000000003E-2</v>
      </c>
      <c r="L17" s="1044">
        <f>'Settlement Exhibit 1 pgs 2-14'!I301</f>
        <v>3.4320000000000003E-2</v>
      </c>
      <c r="M17" s="1044">
        <f>'Settlement Exhibit 1 pgs 2-14'!I342</f>
        <v>3.3570000000000003E-2</v>
      </c>
      <c r="N17" s="1044">
        <f>'Settlement Exhibit 1 pgs 2-14'!I382</f>
        <v>3.6429999999999997E-2</v>
      </c>
      <c r="O17" s="1044">
        <f>'Settlement Exhibit 1 pgs 2-14'!I388</f>
        <v>3.3439999999999998E-2</v>
      </c>
      <c r="P17" s="1044">
        <f>'Settlement Exhibit 1 pgs 2-14'!I425</f>
        <v>6.9120000000000001E-2</v>
      </c>
      <c r="Q17" s="1044">
        <f>'Settlement Exhibit 1 pgs 2-14'!I458</f>
        <v>8.3239999999999995E-2</v>
      </c>
    </row>
    <row r="18" spans="2:17">
      <c r="B18" s="439" t="s">
        <v>135</v>
      </c>
      <c r="F18" s="487"/>
      <c r="H18" s="487"/>
    </row>
    <row r="19" spans="2:17">
      <c r="B19" s="488" t="s">
        <v>21</v>
      </c>
      <c r="K19" s="487">
        <f>'Settlement Exhibit 1 pgs 2-14'!I262</f>
        <v>4.82</v>
      </c>
      <c r="L19" s="487">
        <f>'Settlement Exhibit 1 pgs 2-14'!I302</f>
        <v>3.04</v>
      </c>
      <c r="M19" s="487">
        <f>'Settlement Exhibit 1 pgs 2-14'!I343</f>
        <v>2.84</v>
      </c>
      <c r="N19" s="487">
        <f>'Settlement Exhibit 1 pgs 2-14'!I383</f>
        <v>2.02</v>
      </c>
      <c r="O19" s="487">
        <f>'Settlement Exhibit 1 pgs 2-14'!I389</f>
        <v>1.27</v>
      </c>
    </row>
    <row r="20" spans="2:17">
      <c r="B20" s="488" t="s">
        <v>1024</v>
      </c>
      <c r="I20" s="487">
        <f>'Settlement Exhibit 1 pgs 2-14'!I184</f>
        <v>17.55</v>
      </c>
      <c r="J20" s="487">
        <f>'Settlement Exhibit 1 pgs 2-14'!I223</f>
        <v>18.010000000000002</v>
      </c>
      <c r="K20" s="487">
        <f>'Settlement Exhibit 1 pgs 2-14'!I263</f>
        <v>4.1500000000000004</v>
      </c>
      <c r="L20" s="487">
        <f>'Settlement Exhibit 1 pgs 2-14'!I303</f>
        <v>4.09</v>
      </c>
      <c r="M20" s="487">
        <f>'Settlement Exhibit 1 pgs 2-14'!I344</f>
        <v>4.37</v>
      </c>
      <c r="N20" s="487">
        <f>'Settlement Exhibit 1 pgs 2-14'!I384</f>
        <v>1.97</v>
      </c>
      <c r="O20" s="487">
        <f>'Settlement Exhibit 1 pgs 2-14'!I390</f>
        <v>1.97</v>
      </c>
    </row>
    <row r="21" spans="2:17">
      <c r="B21" s="488" t="s">
        <v>1025</v>
      </c>
      <c r="I21" s="487">
        <f>'Settlement Exhibit 1 pgs 2-14'!I185</f>
        <v>15.450000000000001</v>
      </c>
      <c r="J21" s="487">
        <f>'Settlement Exhibit 1 pgs 2-14'!I224</f>
        <v>15.910000000000002</v>
      </c>
      <c r="K21" s="487">
        <f>'Settlement Exhibit 1 pgs 2-14'!I264</f>
        <v>5.75</v>
      </c>
      <c r="L21" s="487">
        <f>'Settlement Exhibit 1 pgs 2-14'!I304</f>
        <v>5.59</v>
      </c>
      <c r="M21" s="487">
        <f>'Settlement Exhibit 1 pgs 2-14'!I345</f>
        <v>4.47</v>
      </c>
      <c r="N21" s="487">
        <f>'Settlement Exhibit 1 pgs 2-14'!I385</f>
        <v>2.8600000000000003</v>
      </c>
      <c r="O21" s="487">
        <f>'Settlement Exhibit 1 pgs 2-14'!I391</f>
        <v>2.8600000000000003</v>
      </c>
    </row>
  </sheetData>
  <pageMargins left="0.7" right="0.7" top="0.75" bottom="0.75" header="0.3" footer="0.3"/>
  <pageSetup scale="77" orientation="landscape" r:id="rId1"/>
  <headerFooter>
    <oddFooter>&amp;L&amp;D&amp;R&amp;F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
  <sheetViews>
    <sheetView workbookViewId="0"/>
  </sheetViews>
  <sheetFormatPr defaultRowHeight="12"/>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36"/>
  <sheetViews>
    <sheetView workbookViewId="0">
      <selection sqref="A1:F1"/>
    </sheetView>
  </sheetViews>
  <sheetFormatPr defaultRowHeight="12"/>
  <cols>
    <col min="1" max="1" width="58" customWidth="1"/>
    <col min="2" max="2" width="16.5" bestFit="1" customWidth="1"/>
    <col min="3" max="3" width="1.6640625" customWidth="1"/>
    <col min="4" max="4" width="14.6640625" customWidth="1"/>
    <col min="5" max="5" width="16.83203125" customWidth="1"/>
    <col min="6" max="6" width="14.83203125" customWidth="1"/>
    <col min="7" max="7" width="16" bestFit="1" customWidth="1"/>
    <col min="8" max="8" width="9.5" bestFit="1" customWidth="1"/>
    <col min="9" max="9" width="16.83203125" customWidth="1"/>
    <col min="10" max="10" width="11.83203125" customWidth="1"/>
  </cols>
  <sheetData>
    <row r="1" spans="1:7" ht="18.75">
      <c r="A1" s="1306" t="s">
        <v>654</v>
      </c>
      <c r="B1" s="1306"/>
      <c r="C1" s="1306"/>
      <c r="D1" s="1306"/>
      <c r="E1" s="1306"/>
      <c r="F1" s="1306"/>
    </row>
    <row r="2" spans="1:7" ht="12.75">
      <c r="A2" s="1307" t="s">
        <v>1268</v>
      </c>
      <c r="B2" s="1308"/>
      <c r="C2" s="1308"/>
      <c r="D2" s="1308"/>
      <c r="E2" s="1308"/>
      <c r="F2" s="1308"/>
    </row>
    <row r="3" spans="1:7" ht="12.75">
      <c r="A3" s="404" t="s">
        <v>1269</v>
      </c>
      <c r="B3" s="404"/>
      <c r="C3" s="404"/>
      <c r="D3" s="404"/>
      <c r="E3" s="404"/>
      <c r="F3" s="404"/>
    </row>
    <row r="5" spans="1:7" ht="12.75">
      <c r="A5" s="15" t="s">
        <v>1161</v>
      </c>
      <c r="B5" s="352">
        <f>B7-B6</f>
        <v>45820651</v>
      </c>
    </row>
    <row r="6" spans="1:7" ht="15">
      <c r="A6" t="s">
        <v>1162</v>
      </c>
      <c r="B6" s="353">
        <v>5146303</v>
      </c>
    </row>
    <row r="7" spans="1:7" ht="12.75">
      <c r="A7" t="s">
        <v>1163</v>
      </c>
      <c r="B7" s="354">
        <v>50966954</v>
      </c>
    </row>
    <row r="8" spans="1:7">
      <c r="A8" s="355" t="s">
        <v>1164</v>
      </c>
    </row>
    <row r="9" spans="1:7">
      <c r="A9" s="355" t="s">
        <v>1165</v>
      </c>
    </row>
    <row r="10" spans="1:7">
      <c r="A10" s="356"/>
    </row>
    <row r="11" spans="1:7">
      <c r="A11" s="15" t="s">
        <v>1166</v>
      </c>
    </row>
    <row r="12" spans="1:7" ht="12.75">
      <c r="A12" s="15"/>
      <c r="B12" s="357">
        <v>-1</v>
      </c>
      <c r="D12" s="357">
        <f>B12-1</f>
        <v>-2</v>
      </c>
      <c r="E12" s="357">
        <f>D12-1</f>
        <v>-3</v>
      </c>
      <c r="F12" s="357">
        <f>E12-1</f>
        <v>-4</v>
      </c>
    </row>
    <row r="13" spans="1:7" ht="36">
      <c r="B13" s="78" t="s">
        <v>1167</v>
      </c>
      <c r="D13" s="78" t="s">
        <v>1168</v>
      </c>
      <c r="E13" s="2"/>
      <c r="F13" s="78" t="s">
        <v>1169</v>
      </c>
    </row>
    <row r="14" spans="1:7">
      <c r="A14" s="15" t="s">
        <v>1170</v>
      </c>
    </row>
    <row r="15" spans="1:7">
      <c r="A15" s="51" t="s">
        <v>1171</v>
      </c>
      <c r="B15" s="45">
        <f>Group1!M4</f>
        <v>533589961.03149998</v>
      </c>
      <c r="E15" s="358"/>
      <c r="F15" s="43">
        <f>Group1!N4</f>
        <v>19981584.399999999</v>
      </c>
      <c r="G15" s="359"/>
    </row>
    <row r="16" spans="1:7">
      <c r="A16" s="50" t="s">
        <v>1172</v>
      </c>
      <c r="B16" s="45">
        <f>Group1!M5</f>
        <v>0</v>
      </c>
      <c r="E16" s="358"/>
      <c r="F16" s="43">
        <f>Group1!N5</f>
        <v>0</v>
      </c>
      <c r="G16" s="14"/>
    </row>
    <row r="17" spans="1:10">
      <c r="A17" s="50" t="s">
        <v>1173</v>
      </c>
      <c r="B17" s="45">
        <f>Group1!M7</f>
        <v>665564.99315999995</v>
      </c>
      <c r="E17" s="358"/>
      <c r="F17" s="43">
        <f>Group1!N7</f>
        <v>24923.71</v>
      </c>
      <c r="G17" s="14"/>
    </row>
    <row r="18" spans="1:10">
      <c r="A18" s="50" t="s">
        <v>1174</v>
      </c>
      <c r="B18" s="45">
        <f>Group1!M9</f>
        <v>-29.536199999999997</v>
      </c>
      <c r="F18" s="43">
        <f>Group1!N9</f>
        <v>-1.1100000000000001</v>
      </c>
      <c r="G18" s="14"/>
    </row>
    <row r="19" spans="1:10">
      <c r="A19" s="51" t="s">
        <v>1175</v>
      </c>
      <c r="B19" s="45">
        <f>Group1!M13</f>
        <v>-49.359299999999998</v>
      </c>
      <c r="E19" s="358"/>
      <c r="F19" s="43">
        <f>Group1!N13</f>
        <v>-1.85</v>
      </c>
      <c r="G19" s="14"/>
    </row>
    <row r="20" spans="1:10">
      <c r="A20" s="51" t="s">
        <v>1176</v>
      </c>
      <c r="B20" s="45">
        <f>Group1!M14</f>
        <v>-372.41009999999994</v>
      </c>
      <c r="E20" s="358"/>
      <c r="F20" s="43">
        <f>Group1!N14</f>
        <v>-13.95</v>
      </c>
      <c r="G20" s="14"/>
    </row>
    <row r="21" spans="1:10" ht="14.25">
      <c r="A21" s="51" t="s">
        <v>1177</v>
      </c>
      <c r="B21" s="278">
        <f>SUM(Group1!M16:M150)</f>
        <v>-932352.24</v>
      </c>
      <c r="E21" s="360"/>
      <c r="F21" s="44">
        <f>SUM(Group1!N16:N150)</f>
        <v>-34914.199999999997</v>
      </c>
      <c r="G21" s="14"/>
    </row>
    <row r="22" spans="1:10">
      <c r="B22" s="45">
        <f>SUM(B15:B21)</f>
        <v>533322722.47905999</v>
      </c>
      <c r="D22" s="45">
        <f>ROUND(D34/B34*B22,0)</f>
        <v>19971577</v>
      </c>
      <c r="E22" s="358"/>
      <c r="F22" s="45">
        <f>SUM(F15:F21)</f>
        <v>19971577</v>
      </c>
      <c r="I22" s="361" t="s">
        <v>1178</v>
      </c>
      <c r="J22" s="61"/>
    </row>
    <row r="23" spans="1:10">
      <c r="B23" s="45"/>
      <c r="D23" s="45"/>
      <c r="F23" s="45"/>
      <c r="I23" s="361" t="s">
        <v>1179</v>
      </c>
      <c r="J23" s="61"/>
    </row>
    <row r="24" spans="1:10" ht="24.75" customHeight="1">
      <c r="B24" s="45"/>
      <c r="E24" s="78" t="s">
        <v>1180</v>
      </c>
      <c r="I24" s="362" t="s">
        <v>1181</v>
      </c>
      <c r="J24" s="363" t="s">
        <v>1182</v>
      </c>
    </row>
    <row r="25" spans="1:10">
      <c r="A25" s="15" t="s">
        <v>1183</v>
      </c>
      <c r="B25" s="45"/>
      <c r="I25" s="61"/>
      <c r="J25" s="61"/>
    </row>
    <row r="26" spans="1:10">
      <c r="A26" s="51" t="s">
        <v>1184</v>
      </c>
      <c r="B26" s="45">
        <f>SUM(Group2!L4:L5)</f>
        <v>197972725.41659999</v>
      </c>
      <c r="E26" s="45">
        <f>SUM(Group2!M4:M5)</f>
        <v>142865756.44659999</v>
      </c>
      <c r="F26" s="43">
        <f t="shared" ref="F26:F31" si="0">ROUND($D$32/$E$32*E26,0)</f>
        <v>9083587</v>
      </c>
      <c r="I26" s="349">
        <f>$D$34/$B$34*B26</f>
        <v>7413574.1830232823</v>
      </c>
      <c r="J26" s="364">
        <f>(F26-I26)/I26</f>
        <v>0.22526419453668708</v>
      </c>
    </row>
    <row r="27" spans="1:10">
      <c r="A27" s="50" t="s">
        <v>1185</v>
      </c>
      <c r="B27" s="45">
        <f>SUM(Group2!L9:L12)</f>
        <v>197559071</v>
      </c>
      <c r="E27" s="45">
        <f>SUM(Group2!M9:M11)</f>
        <v>129673604.32999998</v>
      </c>
      <c r="F27" s="43">
        <f t="shared" si="0"/>
        <v>8244813</v>
      </c>
      <c r="I27" s="349">
        <f t="shared" ref="I27:I31" si="1">$D$34/$B$34*B27</f>
        <v>7398083.8790071812</v>
      </c>
      <c r="J27" s="364">
        <f t="shared" ref="J27:J31" si="2">(F27-I27)/I27</f>
        <v>0.11445248997453236</v>
      </c>
    </row>
    <row r="28" spans="1:10">
      <c r="A28" s="51" t="s">
        <v>1186</v>
      </c>
      <c r="B28" s="45">
        <f>Group2!L14</f>
        <v>102904082.68000001</v>
      </c>
      <c r="E28" s="45">
        <f>Group2!M14</f>
        <v>56370870.080000006</v>
      </c>
      <c r="F28" s="43">
        <f t="shared" si="0"/>
        <v>3584132</v>
      </c>
      <c r="I28" s="349">
        <f t="shared" si="1"/>
        <v>3853495.7231041552</v>
      </c>
      <c r="J28" s="364">
        <f t="shared" si="2"/>
        <v>-6.9901134569619092E-2</v>
      </c>
    </row>
    <row r="29" spans="1:10">
      <c r="A29" s="51" t="s">
        <v>1187</v>
      </c>
      <c r="B29" s="45">
        <f>Group2!L18</f>
        <v>242276007.97999999</v>
      </c>
      <c r="E29" s="45">
        <f>Group2!M18</f>
        <v>118025475.78999999</v>
      </c>
      <c r="F29" s="43">
        <f t="shared" si="0"/>
        <v>7504210</v>
      </c>
      <c r="I29" s="349">
        <f t="shared" si="1"/>
        <v>9072619.2415991519</v>
      </c>
      <c r="J29" s="364">
        <f t="shared" si="2"/>
        <v>-0.17287281652995964</v>
      </c>
    </row>
    <row r="30" spans="1:10">
      <c r="A30" s="50" t="s">
        <v>1188</v>
      </c>
      <c r="B30" s="45">
        <f>Group2!L23</f>
        <v>86991332.920000002</v>
      </c>
      <c r="E30" s="45">
        <f>Group2!M23</f>
        <v>40556505.820000008</v>
      </c>
      <c r="F30" s="43">
        <f t="shared" si="0"/>
        <v>2578634</v>
      </c>
      <c r="I30" s="349">
        <f t="shared" si="1"/>
        <v>3257603.7862052852</v>
      </c>
      <c r="J30" s="364">
        <f t="shared" si="2"/>
        <v>-0.20842614104283166</v>
      </c>
    </row>
    <row r="31" spans="1:10" ht="14.25">
      <c r="A31" s="50" t="s">
        <v>1189</v>
      </c>
      <c r="B31" s="278">
        <f>Group2!L31</f>
        <v>0</v>
      </c>
      <c r="E31" s="278">
        <f>Group2!M31</f>
        <v>0</v>
      </c>
      <c r="F31" s="44">
        <f t="shared" si="0"/>
        <v>0</v>
      </c>
      <c r="I31" s="349">
        <f t="shared" si="1"/>
        <v>0</v>
      </c>
      <c r="J31" s="364" t="e">
        <f t="shared" si="2"/>
        <v>#DIV/0!</v>
      </c>
    </row>
    <row r="32" spans="1:10">
      <c r="B32" s="45">
        <f>SUM(B26:B31)</f>
        <v>827703219.99659991</v>
      </c>
      <c r="D32" s="45">
        <f>ROUND(D34/B34*B32,0)</f>
        <v>30995377</v>
      </c>
      <c r="E32" s="45">
        <f>SUM(E26:E31)</f>
        <v>487492212.4666</v>
      </c>
      <c r="F32" s="45">
        <f>SUM(F26:F31)</f>
        <v>30995376</v>
      </c>
    </row>
    <row r="33" spans="1:4">
      <c r="B33" s="45"/>
    </row>
    <row r="34" spans="1:4">
      <c r="A34" t="s">
        <v>1190</v>
      </c>
      <c r="B34" s="45">
        <f>B32+B22</f>
        <v>1361025942.4756598</v>
      </c>
      <c r="D34" s="45">
        <f>B7</f>
        <v>50966954</v>
      </c>
    </row>
    <row r="35" spans="1:4" ht="14.25">
      <c r="A35" s="15" t="s">
        <v>1191</v>
      </c>
      <c r="B35" s="278">
        <v>0</v>
      </c>
    </row>
    <row r="36" spans="1:4" ht="15.75" customHeight="1">
      <c r="A36" s="49" t="s">
        <v>1192</v>
      </c>
      <c r="B36" s="45">
        <f>B34+B35</f>
        <v>1361025942.4756598</v>
      </c>
    </row>
  </sheetData>
  <mergeCells count="2">
    <mergeCell ref="A1:F1"/>
    <mergeCell ref="A2:F2"/>
  </mergeCells>
  <printOptions horizontalCentered="1"/>
  <pageMargins left="0.7" right="0.7" top="1" bottom="0.75" header="0.3" footer="0.3"/>
  <pageSetup scale="91" orientation="landscape" r:id="rId1"/>
  <headerFooter>
    <oddFooter>&amp;R&amp;"Times New Roman,Bold"&amp;11Exhibit 1
Page 1 of 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L188"/>
  <sheetViews>
    <sheetView workbookViewId="0"/>
  </sheetViews>
  <sheetFormatPr defaultRowHeight="12.75"/>
  <cols>
    <col min="1" max="1" width="13.83203125" style="313" customWidth="1"/>
    <col min="2" max="2" width="58.83203125" style="267" customWidth="1"/>
    <col min="3" max="3" width="17.83203125" style="267" customWidth="1"/>
    <col min="4" max="5" width="20.83203125" style="267" customWidth="1"/>
    <col min="6" max="7" width="15.83203125" style="267" customWidth="1"/>
    <col min="8" max="8" width="16.83203125" style="267" customWidth="1"/>
    <col min="9" max="9" width="17.83203125" style="267" customWidth="1"/>
    <col min="10" max="10" width="20.83203125" style="267" customWidth="1"/>
    <col min="11" max="11" width="19.33203125" style="267" customWidth="1"/>
    <col min="12" max="13" width="21.33203125" style="267" customWidth="1"/>
    <col min="14" max="14" width="16.33203125" style="267" customWidth="1"/>
    <col min="15" max="16" width="18.5" style="267" customWidth="1"/>
    <col min="17" max="17" width="19.5" style="267" customWidth="1"/>
    <col min="18" max="18" width="19.6640625" style="267" customWidth="1"/>
    <col min="19" max="19" width="16.83203125" style="267" customWidth="1"/>
    <col min="20" max="20" width="15.83203125" style="267" customWidth="1"/>
    <col min="21" max="23" width="9.33203125" style="267"/>
    <col min="24" max="24" width="11" style="267" bestFit="1" customWidth="1"/>
    <col min="25" max="28" width="9.33203125" style="267"/>
    <col min="29" max="35" width="10.1640625" style="267" bestFit="1" customWidth="1"/>
    <col min="36" max="16384" width="9.33203125" style="267"/>
  </cols>
  <sheetData>
    <row r="1" spans="1:38">
      <c r="A1" s="357">
        <v>0</v>
      </c>
      <c r="B1" s="357">
        <f>A1-1</f>
        <v>-1</v>
      </c>
      <c r="C1" s="357">
        <f t="shared" ref="C1:U1" si="0">B1-1</f>
        <v>-2</v>
      </c>
      <c r="D1" s="357">
        <f>C1-1</f>
        <v>-3</v>
      </c>
      <c r="E1" s="357">
        <f>D1-1</f>
        <v>-4</v>
      </c>
      <c r="F1" s="357">
        <f>E1-1</f>
        <v>-5</v>
      </c>
      <c r="G1" s="357">
        <f t="shared" si="0"/>
        <v>-6</v>
      </c>
      <c r="H1" s="357">
        <f>G1-1</f>
        <v>-7</v>
      </c>
      <c r="I1" s="357">
        <f t="shared" si="0"/>
        <v>-8</v>
      </c>
      <c r="J1" s="357">
        <f t="shared" si="0"/>
        <v>-9</v>
      </c>
      <c r="K1" s="357">
        <f t="shared" si="0"/>
        <v>-10</v>
      </c>
      <c r="L1" s="357">
        <f t="shared" si="0"/>
        <v>-11</v>
      </c>
      <c r="M1" s="357">
        <f t="shared" si="0"/>
        <v>-12</v>
      </c>
      <c r="N1" s="357">
        <f t="shared" si="0"/>
        <v>-13</v>
      </c>
      <c r="O1" s="357">
        <f t="shared" si="0"/>
        <v>-14</v>
      </c>
      <c r="P1" s="357">
        <f t="shared" si="0"/>
        <v>-15</v>
      </c>
      <c r="Q1" s="357">
        <f t="shared" si="0"/>
        <v>-16</v>
      </c>
      <c r="R1" s="357">
        <f t="shared" si="0"/>
        <v>-17</v>
      </c>
      <c r="S1" s="357">
        <f t="shared" si="0"/>
        <v>-18</v>
      </c>
      <c r="T1" s="357">
        <f t="shared" si="0"/>
        <v>-19</v>
      </c>
      <c r="U1" s="357">
        <f t="shared" si="0"/>
        <v>-20</v>
      </c>
    </row>
    <row r="2" spans="1:38" s="269" customFormat="1" ht="38.25">
      <c r="A2" s="365" t="s">
        <v>1193</v>
      </c>
      <c r="B2" s="253" t="s">
        <v>1194</v>
      </c>
      <c r="C2" s="366" t="s">
        <v>1195</v>
      </c>
      <c r="D2" s="367" t="s">
        <v>1196</v>
      </c>
      <c r="E2" s="368" t="s">
        <v>1361</v>
      </c>
      <c r="F2" s="367" t="s">
        <v>1197</v>
      </c>
      <c r="G2" s="368" t="s">
        <v>1198</v>
      </c>
      <c r="H2" s="367" t="s">
        <v>1199</v>
      </c>
      <c r="I2" s="367" t="s">
        <v>1200</v>
      </c>
      <c r="J2" s="369" t="s">
        <v>1201</v>
      </c>
      <c r="K2" s="368" t="s">
        <v>1202</v>
      </c>
      <c r="L2" s="368" t="s">
        <v>1203</v>
      </c>
      <c r="M2" s="368" t="s">
        <v>1204</v>
      </c>
      <c r="N2" s="370" t="s">
        <v>1205</v>
      </c>
      <c r="O2" s="371" t="s">
        <v>1206</v>
      </c>
      <c r="P2" s="371" t="s">
        <v>1207</v>
      </c>
      <c r="Q2" s="371" t="s">
        <v>1208</v>
      </c>
      <c r="R2" s="372" t="s">
        <v>1209</v>
      </c>
      <c r="S2" s="372" t="s">
        <v>1210</v>
      </c>
      <c r="T2" s="269" t="s">
        <v>1211</v>
      </c>
      <c r="U2" s="373" t="s">
        <v>1212</v>
      </c>
      <c r="V2" s="252"/>
      <c r="W2" s="373"/>
      <c r="X2" s="373"/>
      <c r="Y2" s="373"/>
      <c r="Z2" s="373"/>
      <c r="AA2" s="374"/>
      <c r="AB2" s="373"/>
      <c r="AC2" s="252"/>
      <c r="AD2" s="252"/>
      <c r="AE2" s="252"/>
      <c r="AF2" s="252"/>
      <c r="AG2" s="252"/>
      <c r="AH2" s="252"/>
      <c r="AI2" s="252"/>
      <c r="AJ2" s="252"/>
      <c r="AK2" s="252"/>
      <c r="AL2" s="252"/>
    </row>
    <row r="3" spans="1:38" s="376" customFormat="1" ht="22.5" customHeight="1">
      <c r="A3" s="375"/>
      <c r="C3" s="377"/>
      <c r="D3" s="378"/>
      <c r="E3" s="378"/>
      <c r="F3" s="403"/>
      <c r="G3" s="403"/>
      <c r="H3" s="379"/>
      <c r="I3" s="379" t="str">
        <f>TEXT($D$1*-1,"(0)")&amp;" x "&amp;TEXT($F$1*-1,"(0)")</f>
        <v>(3) x (5)</v>
      </c>
      <c r="J3" s="379" t="str">
        <f>TEXT($C$1*-1,"(0)")&amp;" x "&amp;TEXT($G$1*-1,"(0)")</f>
        <v>(2) x (6)</v>
      </c>
      <c r="K3" s="379" t="str">
        <f>TEXT($I$1*-1,"(0)")&amp;" + "&amp;TEXT($J$1*-1,"(0)")</f>
        <v>(8) + (9)</v>
      </c>
      <c r="L3" s="380"/>
      <c r="M3" s="379" t="str">
        <f>TEXT($L$1*-1,"(0)")&amp;" - "&amp;TEXT($K$1*-1,"(0)")</f>
        <v>(11) - (10)</v>
      </c>
      <c r="N3" s="379" t="s">
        <v>1213</v>
      </c>
      <c r="O3" s="379" t="str">
        <f>TEXT($N$1*-1,"(0)")&amp;" ÷ "&amp;TEXT($D$1*-1,"(0)")</f>
        <v>(13) ÷ (3)</v>
      </c>
      <c r="P3" s="379" t="str">
        <f>TEXT($N$1*-1,"(0)")&amp;" ÷ "&amp;TEXT($C$1*-1,"(0)")</f>
        <v>(13) ÷ (2)</v>
      </c>
      <c r="Q3" s="379" t="str">
        <f>TEXT($O$1*-1,"(0)")&amp;" x "&amp;TEXT($D$1*-1,"(0)")&amp;" or "&amp;TEXT($P$1*-1,"(0)")&amp;" x "&amp;TEXT($C$1*-1,"(0)")</f>
        <v>(14) x (3) or (15) x (2)</v>
      </c>
      <c r="R3" s="379" t="str">
        <f>TEXT($N$1*-1,"(0)")&amp;" - "&amp;TEXT($Q$1*-1,"(0)")</f>
        <v>(13) - (16)</v>
      </c>
      <c r="S3" s="379"/>
      <c r="T3" s="379"/>
      <c r="U3" s="379"/>
    </row>
    <row r="4" spans="1:38">
      <c r="A4" s="381" t="s">
        <v>14</v>
      </c>
      <c r="B4" s="268" t="s">
        <v>1214</v>
      </c>
      <c r="D4" s="251">
        <f>SUMIF(_12MonResults_Rate,$A4,_12MonResults_KWH_Total)</f>
        <v>6197389895</v>
      </c>
      <c r="E4" s="251"/>
      <c r="F4" s="382">
        <f>VLOOKUP(A4,Rates!$B$140:$W$173,Rates!$J$3-1,FALSE)</f>
        <v>2.9999999999999997E-4</v>
      </c>
      <c r="H4" s="237">
        <f>SUMIF(_12MonResults_Rate,$A4,_12MonResults_Revenue_BaseFuel)</f>
        <v>179228515.78</v>
      </c>
      <c r="I4" s="383">
        <f>D4*F4</f>
        <v>1859216.9684999997</v>
      </c>
      <c r="K4" s="383">
        <f>SUM(I4:J4)</f>
        <v>1859216.9684999997</v>
      </c>
      <c r="L4" s="383">
        <f>SUMIF(_12MonResults_Rate,$A4,_12MonResults_Revenue_Actual)</f>
        <v>535449178</v>
      </c>
      <c r="M4" s="383">
        <f>L4-K4</f>
        <v>533589961.03149998</v>
      </c>
      <c r="N4" s="383">
        <f>ROUND($L$186/$M$153*M4,2)</f>
        <v>19981584.399999999</v>
      </c>
      <c r="O4" s="382">
        <f>ROUND(SUM($N$4,$N$5,$N$9,$N$10,$N$11,$N$13,$N$14)/SUM($D$4,$D$5,$D$9,$D$10,$D$11,$D$13,$D$14),5)</f>
        <v>3.2200000000000002E-3</v>
      </c>
      <c r="Q4" s="383">
        <f>ROUND(O4*D4,2)</f>
        <v>19955595.460000001</v>
      </c>
      <c r="R4" s="383">
        <f>N4-Q4</f>
        <v>25988.939999997616</v>
      </c>
      <c r="S4" s="382">
        <f>T4-F4+O4</f>
        <v>7.7510000000000023E-2</v>
      </c>
      <c r="T4" s="382">
        <f>VLOOKUP(A4,Rates!$B$140:$W$173,Rates!$G$3-1,FALSE)</f>
        <v>7.4590000000000017E-2</v>
      </c>
      <c r="U4" s="384">
        <f>(S4-T4)/T4</f>
        <v>3.9147338785360038E-2</v>
      </c>
      <c r="X4" s="385"/>
    </row>
    <row r="5" spans="1:38">
      <c r="A5" s="386" t="s">
        <v>831</v>
      </c>
      <c r="B5" s="267" t="s">
        <v>1215</v>
      </c>
      <c r="D5" s="251">
        <f>SUMIF(_12MonResults_Rate,$A5,_12MonResults_KWH_Total)</f>
        <v>0</v>
      </c>
      <c r="E5" s="251"/>
      <c r="F5" s="382">
        <f>VLOOKUP(A5,Rates!$B$140:$W$173,Rates!$J$3-1,FALSE)</f>
        <v>2.9999999999999997E-4</v>
      </c>
      <c r="H5" s="237">
        <f>SUMIF(_12MonResults_Rate,$A5,_12MonResults_Revenue_BaseFuel)</f>
        <v>0</v>
      </c>
      <c r="I5" s="383">
        <f>D5*F5</f>
        <v>0</v>
      </c>
      <c r="K5" s="383">
        <f t="shared" ref="K5:K14" si="1">SUM(I5:J5)</f>
        <v>0</v>
      </c>
      <c r="L5" s="383">
        <f>SUMIF(_12MonResults_Rate,$A5,_12MonResults_Revenue_Actual)</f>
        <v>0</v>
      </c>
      <c r="M5" s="383">
        <f>L5-K5</f>
        <v>0</v>
      </c>
      <c r="N5" s="383">
        <f>ROUND($L$186/$M$153*M5,2)</f>
        <v>0</v>
      </c>
      <c r="O5" s="382">
        <f>ROUND(SUM($N$4,$N$5,$N$9,$N$10,$N$11,$N$13,$N$14)/SUM($D$4,$D$5,$D$9,$D$10,$D$11,$D$13,$D$14),5)</f>
        <v>3.2200000000000002E-3</v>
      </c>
      <c r="Q5" s="383">
        <f>ROUND(O5*D5,2)</f>
        <v>0</v>
      </c>
      <c r="R5" s="383">
        <f>N5-Q5</f>
        <v>0</v>
      </c>
      <c r="S5" s="382">
        <f>T5-F5+O5</f>
        <v>7.7510000000000023E-2</v>
      </c>
      <c r="T5" s="382">
        <f>VLOOKUP(A5,Rates!$B$140:$W$173,Rates!$G$3-1,FALSE)</f>
        <v>7.4590000000000017E-2</v>
      </c>
      <c r="U5" s="384">
        <f>(S5-T5)/T5</f>
        <v>3.9147338785360038E-2</v>
      </c>
      <c r="X5" s="385"/>
    </row>
    <row r="6" spans="1:38">
      <c r="A6" s="386"/>
      <c r="D6" s="251"/>
      <c r="E6" s="251"/>
      <c r="F6" s="382"/>
      <c r="I6" s="383"/>
      <c r="K6" s="383"/>
      <c r="L6" s="383"/>
      <c r="M6" s="383"/>
      <c r="N6" s="383"/>
      <c r="O6" s="382"/>
      <c r="Q6" s="383"/>
      <c r="R6" s="383"/>
      <c r="S6" s="382"/>
      <c r="T6" s="382"/>
      <c r="U6" s="384"/>
      <c r="X6" s="385"/>
    </row>
    <row r="7" spans="1:38">
      <c r="A7" s="381" t="s">
        <v>203</v>
      </c>
      <c r="B7" s="272" t="s">
        <v>1216</v>
      </c>
      <c r="D7" s="251">
        <f>SUMIF(_12MonResults_Rate,$A7,_12MonResults_KWH_Total)</f>
        <v>7766692</v>
      </c>
      <c r="E7" s="251"/>
      <c r="F7" s="382">
        <f>VLOOKUP(A7,Rates!$B$140:$W$173,Rates!$J$3-1,FALSE)</f>
        <v>2.7E-4</v>
      </c>
      <c r="H7" s="237">
        <f>SUMIF(_12MonResults_Rate,$A7,_12MonResults_Revenue_BaseFuel)</f>
        <v>224612.73999999996</v>
      </c>
      <c r="I7" s="383">
        <f>D7*F7</f>
        <v>2097.00684</v>
      </c>
      <c r="K7" s="383">
        <f t="shared" si="1"/>
        <v>2097.00684</v>
      </c>
      <c r="L7" s="383">
        <f>SUMIF(_12MonResults_Rate,$A7,_12MonResults_Revenue_Actual)</f>
        <v>667662</v>
      </c>
      <c r="M7" s="383">
        <f>L7-SUM(K7:K7)</f>
        <v>665564.99315999995</v>
      </c>
      <c r="N7" s="383">
        <f>ROUND($L$186/$M$153*M7,2)</f>
        <v>24923.71</v>
      </c>
      <c r="O7" s="382">
        <f>ROUND($N7/$D7,5)</f>
        <v>3.2100000000000002E-3</v>
      </c>
      <c r="Q7" s="383">
        <f>ROUND(O7*D7,2)</f>
        <v>24931.08</v>
      </c>
      <c r="R7" s="383">
        <f>N7-Q7</f>
        <v>-7.3700000000026193</v>
      </c>
      <c r="S7" s="382">
        <f>T7-F7+O7</f>
        <v>7.4459999999999998E-2</v>
      </c>
      <c r="T7" s="382">
        <f>VLOOKUP(A7,Rates!$B$140:$W$173,Rates!$G$3-1,FALSE)</f>
        <v>7.152E-2</v>
      </c>
      <c r="U7" s="384">
        <f>(S7-T7)/T7</f>
        <v>4.1107382550335546E-2</v>
      </c>
      <c r="X7" s="385"/>
    </row>
    <row r="8" spans="1:38">
      <c r="A8" s="381"/>
      <c r="D8" s="251"/>
      <c r="E8" s="251"/>
      <c r="F8" s="382"/>
      <c r="I8" s="383"/>
      <c r="K8" s="383"/>
      <c r="L8" s="383"/>
      <c r="M8" s="383"/>
      <c r="N8" s="383"/>
      <c r="O8" s="382"/>
      <c r="Q8" s="383"/>
      <c r="R8" s="383"/>
      <c r="S8" s="382"/>
      <c r="T8" s="382"/>
      <c r="U8" s="384"/>
      <c r="X8" s="385"/>
    </row>
    <row r="9" spans="1:38">
      <c r="A9" s="381" t="s">
        <v>828</v>
      </c>
      <c r="B9" s="268" t="s">
        <v>1217</v>
      </c>
      <c r="D9" s="251">
        <f>SUMIF(_12MonResults_Rate,$A9,_12MonResults_KWH_P1)</f>
        <v>62620</v>
      </c>
      <c r="E9" s="251"/>
      <c r="F9" s="382">
        <f>VLOOKUP(A9,Rates!$B$140:$W$173,Rates!$J$3-1,FALSE)</f>
        <v>2.9999999999999997E-4</v>
      </c>
      <c r="H9" s="237">
        <f>SUMIF(_12MonResults_Rate,$A9,_12MonResults_Revenue_BaseFuel)</f>
        <v>2847.3</v>
      </c>
      <c r="I9" s="383">
        <f>SUMPRODUCT(D9:D11,F9:F11)</f>
        <v>29.536199999999997</v>
      </c>
      <c r="K9" s="383">
        <f>SUM(I9:J9)</f>
        <v>29.536199999999997</v>
      </c>
      <c r="L9" s="383">
        <f>SUMIF(_12MonResults_Rate,$A9,_12MonResults_Revenue_Actual)</f>
        <v>0</v>
      </c>
      <c r="M9" s="383">
        <f>L9-SUM(K9:K11)</f>
        <v>-29.536199999999997</v>
      </c>
      <c r="N9" s="383">
        <f>ROUND($L$186/$M$153*M9,2)</f>
        <v>-1.1100000000000001</v>
      </c>
      <c r="O9" s="382">
        <f t="shared" ref="O9:O11" si="2">ROUND(SUM($N$4,$N$5,$N$9,$N$10,$N$11,$N$13,$N$14)/SUM($D$4,$D$5,$D$9,$D$10,$D$11,$D$13,$D$14),5)</f>
        <v>3.2200000000000002E-3</v>
      </c>
      <c r="Q9" s="383">
        <f>ROUND(O9*D9,2)</f>
        <v>201.64</v>
      </c>
      <c r="R9" s="383">
        <f t="shared" ref="R9:R11" si="3">N9-Q9</f>
        <v>-202.75</v>
      </c>
      <c r="S9" s="382">
        <f t="shared" ref="S9:S11" si="4">T9-F9+O9</f>
        <v>5.5939999999999997E-2</v>
      </c>
      <c r="T9" s="382">
        <f>VLOOKUP(A9,Rates!$B$140:$W$173,Rates!$G$3-1,FALSE)</f>
        <v>5.3019999999999998E-2</v>
      </c>
      <c r="U9" s="384">
        <f>(S9-T9)/T9</f>
        <v>5.5073557148245932E-2</v>
      </c>
      <c r="X9" s="385"/>
    </row>
    <row r="10" spans="1:38">
      <c r="A10" s="381" t="s">
        <v>828</v>
      </c>
      <c r="B10" s="268" t="s">
        <v>1218</v>
      </c>
      <c r="D10" s="251">
        <f>SUMIF(_12MonResults_Rate,$A10,_12MonResults_KWH_P2)</f>
        <v>21870</v>
      </c>
      <c r="E10" s="251"/>
      <c r="F10" s="382">
        <f>VLOOKUP(A10,Rates!$B$140:$W$173,Rates!$J$3-1,FALSE)</f>
        <v>2.9999999999999997E-4</v>
      </c>
      <c r="I10" s="383"/>
      <c r="K10" s="383">
        <f t="shared" si="1"/>
        <v>0</v>
      </c>
      <c r="L10" s="383"/>
      <c r="M10" s="383"/>
      <c r="N10" s="383">
        <f>ROUND($L$186/$M$153*M10,2)</f>
        <v>0</v>
      </c>
      <c r="O10" s="382">
        <f t="shared" si="2"/>
        <v>3.2200000000000002E-3</v>
      </c>
      <c r="Q10" s="383">
        <f>ROUND(O10*D10,2)</f>
        <v>70.42</v>
      </c>
      <c r="R10" s="383">
        <f t="shared" si="3"/>
        <v>-70.42</v>
      </c>
      <c r="S10" s="382">
        <f t="shared" si="4"/>
        <v>7.7700000000000005E-2</v>
      </c>
      <c r="T10" s="382">
        <f>VLOOKUP(A10,Rates!$B$140:$W$173,Rates!$H$3-1,FALSE)</f>
        <v>7.4779999999999999E-2</v>
      </c>
      <c r="U10" s="384">
        <f>(S10-T10)/T10</f>
        <v>3.9047873763038324E-2</v>
      </c>
      <c r="X10" s="385"/>
    </row>
    <row r="11" spans="1:38">
      <c r="A11" s="381" t="s">
        <v>828</v>
      </c>
      <c r="B11" s="268" t="s">
        <v>1219</v>
      </c>
      <c r="D11" s="251">
        <f>SUMIF(_12MonResults_Rate,$A11,_12MonResults_KWH_P3)</f>
        <v>13964</v>
      </c>
      <c r="E11" s="251"/>
      <c r="F11" s="382">
        <f>VLOOKUP(A11,Rates!$B$140:$W$173,Rates!$J$3-1,FALSE)</f>
        <v>2.9999999999999997E-4</v>
      </c>
      <c r="I11" s="383"/>
      <c r="K11" s="383">
        <f t="shared" si="1"/>
        <v>0</v>
      </c>
      <c r="L11" s="383"/>
      <c r="M11" s="383"/>
      <c r="N11" s="383">
        <f>ROUND($L$186/$M$153*M11,2)</f>
        <v>0</v>
      </c>
      <c r="O11" s="382">
        <f t="shared" si="2"/>
        <v>3.2200000000000002E-3</v>
      </c>
      <c r="Q11" s="383">
        <f>ROUND(O11*D11,2)</f>
        <v>44.96</v>
      </c>
      <c r="R11" s="383">
        <f t="shared" si="3"/>
        <v>-44.96</v>
      </c>
      <c r="S11" s="382">
        <f t="shared" si="4"/>
        <v>0.14304</v>
      </c>
      <c r="T11" s="382">
        <f>VLOOKUP(A11,Rates!$B$140:$W$173,Rates!$I$3-1,FALSE)</f>
        <v>0.14011999999999999</v>
      </c>
      <c r="U11" s="384">
        <f>(S11-T11)/T11</f>
        <v>2.0839280616614372E-2</v>
      </c>
      <c r="X11" s="385"/>
    </row>
    <row r="12" spans="1:38">
      <c r="A12" s="381"/>
      <c r="D12" s="251"/>
      <c r="E12" s="251"/>
      <c r="F12" s="382"/>
      <c r="I12" s="383"/>
      <c r="K12" s="383"/>
      <c r="L12" s="383"/>
      <c r="M12" s="383"/>
      <c r="N12" s="383"/>
      <c r="O12" s="382"/>
      <c r="Q12" s="383"/>
      <c r="R12" s="383"/>
      <c r="S12" s="382"/>
      <c r="T12" s="382"/>
      <c r="U12" s="384"/>
      <c r="X12" s="385"/>
    </row>
    <row r="13" spans="1:38">
      <c r="A13" s="381" t="s">
        <v>19</v>
      </c>
      <c r="B13" s="267" t="s">
        <v>85</v>
      </c>
      <c r="D13" s="251">
        <f>SUMIF(_12MonResults_Rate,$A13,_12MonResults_KWH_Total)</f>
        <v>164531</v>
      </c>
      <c r="E13" s="251"/>
      <c r="F13" s="382">
        <f>VLOOKUP(A13,Rates!$B$140:$W$173,Rates!$J$3-1,FALSE)</f>
        <v>2.9999999999999997E-4</v>
      </c>
      <c r="H13" s="237">
        <f>SUMIF(_12MonResults_Rate,$A13,_12MonResults_Revenue_BaseFuel)</f>
        <v>4758.24</v>
      </c>
      <c r="I13" s="383">
        <f>D13*F13</f>
        <v>49.359299999999998</v>
      </c>
      <c r="K13" s="383">
        <f t="shared" si="1"/>
        <v>49.359299999999998</v>
      </c>
      <c r="L13" s="383">
        <f>SUMIF(_12MonResults_Rate,$A13,_12MonResults_Revenue_Actual)</f>
        <v>0</v>
      </c>
      <c r="M13" s="383">
        <f t="shared" ref="M13:M14" si="5">L13-K13</f>
        <v>-49.359299999999998</v>
      </c>
      <c r="N13" s="383">
        <f>ROUND($L$186/$M$153*M13,2)</f>
        <v>-1.85</v>
      </c>
      <c r="O13" s="382">
        <f t="shared" ref="O13:O14" si="6">ROUND(SUM($N$4,$N$5,$N$9,$N$10,$N$11,$N$13,$N$14)/SUM($D$4,$D$5,$D$9,$D$10,$D$11,$D$13,$D$14),5)</f>
        <v>3.2200000000000002E-3</v>
      </c>
      <c r="Q13" s="383">
        <f>ROUND(O13*D13,2)</f>
        <v>529.79</v>
      </c>
      <c r="R13" s="383">
        <f>N13-Q13</f>
        <v>-531.64</v>
      </c>
      <c r="S13" s="382">
        <f>T13-F13+O13</f>
        <v>6.3869999999999996E-2</v>
      </c>
      <c r="T13" s="382">
        <f>VLOOKUP(A13,Rates!$B$140:$W$173,Rates!$G$3-1,FALSE)</f>
        <v>6.0949999999999997E-2</v>
      </c>
      <c r="U13" s="384">
        <f>(S13-T13)/T13</f>
        <v>4.7908121410992599E-2</v>
      </c>
      <c r="X13" s="385"/>
    </row>
    <row r="14" spans="1:38">
      <c r="A14" s="381" t="s">
        <v>20</v>
      </c>
      <c r="B14" s="251" t="s">
        <v>1220</v>
      </c>
      <c r="D14" s="251">
        <f>SUMIF(_12MonResults_Rate,$A14,_12MonResults_KWH_Total)</f>
        <v>1241367</v>
      </c>
      <c r="E14" s="251"/>
      <c r="F14" s="382">
        <f>VLOOKUP(A14,Rates!$B$140:$W$173,Rates!$J$3-1,FALSE)</f>
        <v>2.9999999999999997E-4</v>
      </c>
      <c r="H14" s="237">
        <f>SUMIF(_12MonResults_Rate,$A14,_12MonResults_Revenue_BaseFuel)</f>
        <v>35900.339999999997</v>
      </c>
      <c r="I14" s="383">
        <f>D14*F14</f>
        <v>372.41009999999994</v>
      </c>
      <c r="K14" s="383">
        <f t="shared" si="1"/>
        <v>372.41009999999994</v>
      </c>
      <c r="L14" s="383">
        <f>SUMIF(_12MonResults_Rate,$A14,_12MonResults_Revenue_Actual)</f>
        <v>0</v>
      </c>
      <c r="M14" s="383">
        <f t="shared" si="5"/>
        <v>-372.41009999999994</v>
      </c>
      <c r="N14" s="383">
        <f>ROUND($L$186/$M$153*M14,2)</f>
        <v>-13.95</v>
      </c>
      <c r="O14" s="382">
        <f t="shared" si="6"/>
        <v>3.2200000000000002E-3</v>
      </c>
      <c r="Q14" s="383">
        <f>ROUND(O14*D14,2)</f>
        <v>3997.2</v>
      </c>
      <c r="R14" s="383">
        <f>N14-Q14</f>
        <v>-4011.1499999999996</v>
      </c>
      <c r="S14" s="382">
        <f>T14-F14+O14</f>
        <v>7.9850000000000032E-2</v>
      </c>
      <c r="T14" s="382">
        <f>VLOOKUP(A14,Rates!$B$140:$W$173,Rates!$G$3-1,FALSE)</f>
        <v>7.6930000000000026E-2</v>
      </c>
      <c r="U14" s="384">
        <f>(S14-T14)/T14</f>
        <v>3.7956583907448396E-2</v>
      </c>
      <c r="X14" s="385"/>
    </row>
    <row r="15" spans="1:38">
      <c r="A15" s="381"/>
      <c r="B15" s="251"/>
      <c r="D15" s="251"/>
      <c r="E15" s="251"/>
      <c r="F15" s="382"/>
      <c r="H15" s="237"/>
      <c r="I15" s="383"/>
      <c r="K15" s="383"/>
      <c r="L15" s="383"/>
      <c r="M15" s="383"/>
      <c r="N15" s="383"/>
      <c r="O15" s="382"/>
      <c r="Q15" s="383"/>
      <c r="R15" s="383"/>
      <c r="S15" s="382"/>
      <c r="T15" s="382"/>
      <c r="U15" s="384"/>
      <c r="X15" s="385"/>
    </row>
    <row r="16" spans="1:38">
      <c r="A16" s="387"/>
      <c r="B16" s="15" t="s">
        <v>1221</v>
      </c>
      <c r="F16" s="383"/>
      <c r="G16" s="388"/>
      <c r="H16" s="388"/>
      <c r="I16" s="383"/>
      <c r="J16" s="388"/>
      <c r="K16" s="383"/>
      <c r="L16" s="383"/>
      <c r="M16" s="383"/>
      <c r="N16" s="383"/>
      <c r="P16" s="388"/>
      <c r="Q16" s="383"/>
      <c r="R16" s="383"/>
      <c r="S16" s="389"/>
      <c r="T16" s="388"/>
      <c r="U16" s="384"/>
      <c r="W16" s="390"/>
      <c r="X16" s="385"/>
    </row>
    <row r="17" spans="1:24">
      <c r="A17" s="405" t="s">
        <v>365</v>
      </c>
      <c r="B17" s="15" t="s">
        <v>1270</v>
      </c>
      <c r="C17" s="267">
        <f t="shared" ref="C17:C24" si="7">SUMIF(_12MonLights_RateCategory,$A17,_12MonLights_Count)</f>
        <v>102659</v>
      </c>
      <c r="D17" s="267">
        <f t="shared" ref="D17:D24" si="8">SUMIF(_12MonLights_RateCategory,$A17,_12MonLights_KWH)</f>
        <v>0</v>
      </c>
      <c r="E17" s="412">
        <v>8.3000000000000004E-2</v>
      </c>
      <c r="F17" s="383"/>
      <c r="G17" s="388">
        <f>VLOOKUP($A17,'Rates-Lights'!$C$550:$I$660,5,FALSE)</f>
        <v>0.43</v>
      </c>
      <c r="H17" s="388">
        <f t="shared" ref="H17:H24" si="9">SUMIF(_12MonLights_RateCategory,TEXT(A17,0),_12MonLights_Base_Fuel_Revenue)</f>
        <v>82127.200000000012</v>
      </c>
      <c r="I17" s="383">
        <f t="shared" ref="I17:I132" si="10">C17*F17</f>
        <v>0</v>
      </c>
      <c r="J17" s="388">
        <f>ROUND(C17*G17,2)</f>
        <v>44143.37</v>
      </c>
      <c r="K17" s="383">
        <f t="shared" ref="K17:K132" si="11">SUM(I17:J17)</f>
        <v>44143.37</v>
      </c>
      <c r="L17" s="383">
        <f t="shared" ref="L17:L24" si="12">SUMIF(_12MonLights_RateCategory,TEXT($A17,0),_12MonLights_Revenue_Actual)</f>
        <v>0</v>
      </c>
      <c r="M17" s="383">
        <f t="shared" ref="M17:M132" si="13">L17-K17</f>
        <v>-44143.37</v>
      </c>
      <c r="N17" s="383">
        <f t="shared" ref="N17:N24" si="14">ROUND($L$186/$M$153*M17,2)</f>
        <v>-1653.06</v>
      </c>
      <c r="P17" s="388">
        <f>ROUND((SUMIF($E$17:$E$150,$E17,$N$17:$N$150)/SUMIF($E$17:$E$150,$E17,$C$17:$C$150)),2)</f>
        <v>-0.02</v>
      </c>
      <c r="Q17" s="383">
        <f t="shared" ref="Q17:Q132" si="15">P17*C17</f>
        <v>-2053.1799999999998</v>
      </c>
      <c r="R17" s="383">
        <f t="shared" ref="R17:R132" si="16">N17-Q17</f>
        <v>400.11999999999989</v>
      </c>
      <c r="S17" s="389">
        <f t="shared" ref="S17:S132" si="17">T17-G17+P17</f>
        <v>8.2100000000000009</v>
      </c>
      <c r="T17" s="388">
        <f>VLOOKUP($A17,'Rates-Lights'!$C$550:$I$660,3,FALSE)</f>
        <v>8.66</v>
      </c>
      <c r="U17" s="384">
        <f t="shared" ref="U17:U132" si="18">(S17-T17)/T17</f>
        <v>-5.1963048498845185E-2</v>
      </c>
      <c r="W17" s="390"/>
      <c r="X17" s="385"/>
    </row>
    <row r="18" spans="1:24">
      <c r="A18" s="405" t="s">
        <v>364</v>
      </c>
      <c r="B18" s="15" t="s">
        <v>1271</v>
      </c>
      <c r="C18" s="267">
        <f t="shared" si="7"/>
        <v>103541</v>
      </c>
      <c r="D18" s="267">
        <f t="shared" si="8"/>
        <v>0</v>
      </c>
      <c r="E18" s="412">
        <v>8.3000000000000004E-2</v>
      </c>
      <c r="F18" s="383"/>
      <c r="G18" s="388">
        <f>VLOOKUP(A18,'Rates-Lights'!$C$550:$I$660,5,FALSE)</f>
        <v>0.43</v>
      </c>
      <c r="H18" s="388">
        <f t="shared" si="9"/>
        <v>82832.799999999988</v>
      </c>
      <c r="I18" s="383">
        <f t="shared" si="10"/>
        <v>0</v>
      </c>
      <c r="J18" s="388">
        <f t="shared" ref="J18:J132" si="19">ROUND(C18*G18,2)</f>
        <v>44522.63</v>
      </c>
      <c r="K18" s="383">
        <f t="shared" si="11"/>
        <v>44522.63</v>
      </c>
      <c r="L18" s="383">
        <f t="shared" si="12"/>
        <v>0</v>
      </c>
      <c r="M18" s="383">
        <f t="shared" si="13"/>
        <v>-44522.63</v>
      </c>
      <c r="N18" s="383">
        <f t="shared" si="14"/>
        <v>-1667.26</v>
      </c>
      <c r="P18" s="388">
        <f t="shared" ref="P18:P24" si="20">ROUND((SUMIF($E$17:$E$150,$E18,$N$17:$N$150)/SUMIF($E$17:$E$150,$E18,$C$17:$C$150)),2)</f>
        <v>-0.02</v>
      </c>
      <c r="Q18" s="383">
        <f t="shared" si="15"/>
        <v>-2070.8200000000002</v>
      </c>
      <c r="R18" s="383">
        <f t="shared" si="16"/>
        <v>403.56000000000017</v>
      </c>
      <c r="S18" s="389">
        <f t="shared" si="17"/>
        <v>11.150000000000002</v>
      </c>
      <c r="T18" s="388">
        <f>VLOOKUP($A18,'Rates-Lights'!$C$550:$I$660,3,FALSE)</f>
        <v>11.600000000000001</v>
      </c>
      <c r="U18" s="384">
        <f t="shared" si="18"/>
        <v>-3.8793103448275794E-2</v>
      </c>
      <c r="W18" s="390"/>
      <c r="X18" s="385"/>
    </row>
    <row r="19" spans="1:24">
      <c r="A19" s="387" t="s">
        <v>388</v>
      </c>
      <c r="B19" s="15" t="s">
        <v>1272</v>
      </c>
      <c r="C19" s="267">
        <f t="shared" si="7"/>
        <v>242672</v>
      </c>
      <c r="D19" s="267">
        <f t="shared" si="8"/>
        <v>0</v>
      </c>
      <c r="E19" s="412">
        <v>0.11700000000000001</v>
      </c>
      <c r="F19" s="383"/>
      <c r="G19" s="388">
        <f>VLOOKUP(A19,'Rates-Lights'!$C$550:$I$660,5,FALSE)</f>
        <v>0.34</v>
      </c>
      <c r="H19" s="388">
        <f t="shared" si="9"/>
        <v>274219.36</v>
      </c>
      <c r="I19" s="383">
        <f t="shared" si="10"/>
        <v>0</v>
      </c>
      <c r="J19" s="388">
        <f t="shared" si="19"/>
        <v>82508.479999999996</v>
      </c>
      <c r="K19" s="383">
        <f t="shared" si="11"/>
        <v>82508.479999999996</v>
      </c>
      <c r="L19" s="383">
        <f t="shared" si="12"/>
        <v>0</v>
      </c>
      <c r="M19" s="383">
        <f t="shared" si="13"/>
        <v>-82508.479999999996</v>
      </c>
      <c r="N19" s="383">
        <f t="shared" si="14"/>
        <v>-3089.73</v>
      </c>
      <c r="P19" s="388">
        <f t="shared" si="20"/>
        <v>-0.01</v>
      </c>
      <c r="Q19" s="383">
        <f t="shared" si="15"/>
        <v>-2426.7200000000003</v>
      </c>
      <c r="R19" s="383">
        <f t="shared" si="16"/>
        <v>-663.00999999999976</v>
      </c>
      <c r="S19" s="389">
        <f t="shared" si="17"/>
        <v>8.7900000000000009</v>
      </c>
      <c r="T19" s="388">
        <f>VLOOKUP($A19,'Rates-Lights'!$C$550:$I$660,3,FALSE)</f>
        <v>9.14</v>
      </c>
      <c r="U19" s="384">
        <f t="shared" si="18"/>
        <v>-3.8293216630196893E-2</v>
      </c>
      <c r="W19" s="390"/>
      <c r="X19" s="385"/>
    </row>
    <row r="20" spans="1:24">
      <c r="A20" s="387" t="s">
        <v>387</v>
      </c>
      <c r="B20" s="15" t="s">
        <v>1273</v>
      </c>
      <c r="C20" s="267">
        <f t="shared" si="7"/>
        <v>40103</v>
      </c>
      <c r="D20" s="267">
        <f t="shared" si="8"/>
        <v>0</v>
      </c>
      <c r="E20" s="412">
        <v>0.11700000000000001</v>
      </c>
      <c r="F20" s="383"/>
      <c r="G20" s="388">
        <f>VLOOKUP(A20,'Rates-Lights'!$C$550:$I$660,5,FALSE)</f>
        <v>0.34</v>
      </c>
      <c r="H20" s="388">
        <f t="shared" si="9"/>
        <v>45316.390000000007</v>
      </c>
      <c r="I20" s="383">
        <f t="shared" si="10"/>
        <v>0</v>
      </c>
      <c r="J20" s="388">
        <f t="shared" si="19"/>
        <v>13635.02</v>
      </c>
      <c r="K20" s="383">
        <f t="shared" si="11"/>
        <v>13635.02</v>
      </c>
      <c r="L20" s="383">
        <f t="shared" si="12"/>
        <v>0</v>
      </c>
      <c r="M20" s="383">
        <f t="shared" si="13"/>
        <v>-13635.02</v>
      </c>
      <c r="N20" s="383">
        <f t="shared" si="14"/>
        <v>-510.6</v>
      </c>
      <c r="P20" s="388">
        <f t="shared" si="20"/>
        <v>-0.01</v>
      </c>
      <c r="Q20" s="383">
        <f t="shared" si="15"/>
        <v>-401.03000000000003</v>
      </c>
      <c r="R20" s="383">
        <f t="shared" si="16"/>
        <v>-109.57</v>
      </c>
      <c r="S20" s="389">
        <f t="shared" si="17"/>
        <v>11.950000000000001</v>
      </c>
      <c r="T20" s="388">
        <f>VLOOKUP($A20,'Rates-Lights'!$C$550:$I$660,3,FALSE)</f>
        <v>12.3</v>
      </c>
      <c r="U20" s="384">
        <f t="shared" si="18"/>
        <v>-2.8455284552845499E-2</v>
      </c>
      <c r="W20" s="390"/>
      <c r="X20" s="385"/>
    </row>
    <row r="21" spans="1:24">
      <c r="A21" s="387" t="s">
        <v>345</v>
      </c>
      <c r="B21" s="15" t="s">
        <v>1274</v>
      </c>
      <c r="C21" s="267">
        <f t="shared" si="7"/>
        <v>89781</v>
      </c>
      <c r="D21" s="267">
        <f t="shared" si="8"/>
        <v>0</v>
      </c>
      <c r="E21" s="412">
        <v>0.24199999999999999</v>
      </c>
      <c r="F21" s="383"/>
      <c r="G21" s="388">
        <f>VLOOKUP(A21,'Rates-Lights'!$C$550:$I$660,5,FALSE)</f>
        <v>0.57999999999999996</v>
      </c>
      <c r="H21" s="388">
        <f t="shared" si="9"/>
        <v>209189.73</v>
      </c>
      <c r="I21" s="383">
        <f t="shared" si="10"/>
        <v>0</v>
      </c>
      <c r="J21" s="388">
        <f t="shared" si="19"/>
        <v>52072.98</v>
      </c>
      <c r="K21" s="383">
        <f t="shared" si="11"/>
        <v>52072.98</v>
      </c>
      <c r="L21" s="383">
        <f t="shared" si="12"/>
        <v>0</v>
      </c>
      <c r="M21" s="383">
        <f t="shared" si="13"/>
        <v>-52072.98</v>
      </c>
      <c r="N21" s="383">
        <f t="shared" si="14"/>
        <v>-1950</v>
      </c>
      <c r="P21" s="388">
        <f t="shared" si="20"/>
        <v>-0.02</v>
      </c>
      <c r="Q21" s="383">
        <f t="shared" si="15"/>
        <v>-1795.6200000000001</v>
      </c>
      <c r="R21" s="383">
        <f t="shared" si="16"/>
        <v>-154.37999999999988</v>
      </c>
      <c r="S21" s="389">
        <f t="shared" si="17"/>
        <v>13.65</v>
      </c>
      <c r="T21" s="388">
        <f>VLOOKUP($A21,'Rates-Lights'!$C$550:$I$660,3,FALSE)</f>
        <v>14.25</v>
      </c>
      <c r="U21" s="384">
        <f t="shared" si="18"/>
        <v>-4.2105263157894715E-2</v>
      </c>
      <c r="W21" s="390"/>
      <c r="X21" s="385"/>
    </row>
    <row r="22" spans="1:24">
      <c r="A22" s="387" t="s">
        <v>344</v>
      </c>
      <c r="B22" s="15" t="s">
        <v>1275</v>
      </c>
      <c r="C22" s="267">
        <f t="shared" si="7"/>
        <v>61301</v>
      </c>
      <c r="D22" s="267">
        <f t="shared" si="8"/>
        <v>0</v>
      </c>
      <c r="E22" s="412">
        <v>0.24199999999999999</v>
      </c>
      <c r="F22" s="383"/>
      <c r="G22" s="388">
        <f>VLOOKUP(A22,'Rates-Lights'!$C$550:$I$660,5,FALSE)</f>
        <v>0.57999999999999996</v>
      </c>
      <c r="H22" s="388">
        <f t="shared" si="9"/>
        <v>142831.32999999999</v>
      </c>
      <c r="I22" s="383">
        <f t="shared" si="10"/>
        <v>0</v>
      </c>
      <c r="J22" s="388">
        <f t="shared" si="19"/>
        <v>35554.58</v>
      </c>
      <c r="K22" s="383">
        <f t="shared" si="11"/>
        <v>35554.58</v>
      </c>
      <c r="L22" s="383">
        <f t="shared" si="12"/>
        <v>0</v>
      </c>
      <c r="M22" s="383">
        <f t="shared" si="13"/>
        <v>-35554.58</v>
      </c>
      <c r="N22" s="383">
        <f t="shared" si="14"/>
        <v>-1331.43</v>
      </c>
      <c r="P22" s="388">
        <f t="shared" si="20"/>
        <v>-0.02</v>
      </c>
      <c r="Q22" s="383">
        <f t="shared" si="15"/>
        <v>-1226.02</v>
      </c>
      <c r="R22" s="383">
        <f t="shared" si="16"/>
        <v>-105.41000000000008</v>
      </c>
      <c r="S22" s="389">
        <f t="shared" si="17"/>
        <v>16.810000000000002</v>
      </c>
      <c r="T22" s="388">
        <f>VLOOKUP($A22,'Rates-Lights'!$C$550:$I$660,3,FALSE)</f>
        <v>17.41</v>
      </c>
      <c r="U22" s="384">
        <f t="shared" si="18"/>
        <v>-3.4462952326249158E-2</v>
      </c>
      <c r="W22" s="390"/>
      <c r="X22" s="385"/>
    </row>
    <row r="23" spans="1:24">
      <c r="A23" s="387" t="s">
        <v>377</v>
      </c>
      <c r="B23" s="15" t="s">
        <v>1276</v>
      </c>
      <c r="C23" s="267">
        <f t="shared" si="7"/>
        <v>33246</v>
      </c>
      <c r="D23" s="267">
        <f t="shared" si="8"/>
        <v>0</v>
      </c>
      <c r="E23" s="412">
        <v>0.47099999999999997</v>
      </c>
      <c r="F23" s="383"/>
      <c r="G23" s="388">
        <f>VLOOKUP(A23,'Rates-Lights'!$C$550:$I$660,5,FALSE)</f>
        <v>0.79</v>
      </c>
      <c r="H23" s="388">
        <f t="shared" si="9"/>
        <v>150604.37999999998</v>
      </c>
      <c r="I23" s="383">
        <f t="shared" si="10"/>
        <v>0</v>
      </c>
      <c r="J23" s="388">
        <f t="shared" si="19"/>
        <v>26264.34</v>
      </c>
      <c r="K23" s="383">
        <f t="shared" si="11"/>
        <v>26264.34</v>
      </c>
      <c r="L23" s="383">
        <f t="shared" si="12"/>
        <v>0</v>
      </c>
      <c r="M23" s="383">
        <f t="shared" si="13"/>
        <v>-26264.34</v>
      </c>
      <c r="N23" s="383">
        <f t="shared" si="14"/>
        <v>-983.53</v>
      </c>
      <c r="P23" s="388">
        <f t="shared" si="20"/>
        <v>-0.03</v>
      </c>
      <c r="Q23" s="383">
        <f t="shared" si="15"/>
        <v>-997.38</v>
      </c>
      <c r="R23" s="383">
        <f t="shared" si="16"/>
        <v>13.850000000000023</v>
      </c>
      <c r="S23" s="389">
        <f t="shared" si="17"/>
        <v>22.02</v>
      </c>
      <c r="T23" s="388">
        <f>VLOOKUP($A23,'Rates-Lights'!$C$550:$I$660,3,FALSE)</f>
        <v>22.84</v>
      </c>
      <c r="U23" s="384">
        <f t="shared" si="18"/>
        <v>-3.5901926444833636E-2</v>
      </c>
      <c r="W23" s="390"/>
      <c r="X23" s="385"/>
    </row>
    <row r="24" spans="1:24">
      <c r="A24" s="387" t="s">
        <v>376</v>
      </c>
      <c r="B24" s="15" t="s">
        <v>1277</v>
      </c>
      <c r="C24" s="267">
        <f t="shared" si="7"/>
        <v>5976</v>
      </c>
      <c r="D24" s="267">
        <f t="shared" si="8"/>
        <v>0</v>
      </c>
      <c r="E24" s="412">
        <v>0.47099999999999997</v>
      </c>
      <c r="F24" s="383"/>
      <c r="G24" s="388">
        <f>VLOOKUP(A24,'Rates-Lights'!$C$550:$I$660,5,FALSE)</f>
        <v>0.79</v>
      </c>
      <c r="H24" s="388">
        <f t="shared" si="9"/>
        <v>27071.279999999999</v>
      </c>
      <c r="I24" s="383">
        <f t="shared" si="10"/>
        <v>0</v>
      </c>
      <c r="J24" s="388">
        <f t="shared" si="19"/>
        <v>4721.04</v>
      </c>
      <c r="K24" s="383">
        <f t="shared" si="11"/>
        <v>4721.04</v>
      </c>
      <c r="L24" s="383">
        <f t="shared" si="12"/>
        <v>0</v>
      </c>
      <c r="M24" s="383">
        <f t="shared" si="13"/>
        <v>-4721.04</v>
      </c>
      <c r="N24" s="383">
        <f t="shared" si="14"/>
        <v>-176.79</v>
      </c>
      <c r="P24" s="388">
        <f t="shared" si="20"/>
        <v>-0.03</v>
      </c>
      <c r="Q24" s="383">
        <f t="shared" si="15"/>
        <v>-179.28</v>
      </c>
      <c r="R24" s="383">
        <f t="shared" si="16"/>
        <v>2.4900000000000091</v>
      </c>
      <c r="S24" s="389">
        <f t="shared" si="17"/>
        <v>23.64</v>
      </c>
      <c r="T24" s="388">
        <f>VLOOKUP($A24,'Rates-Lights'!$C$550:$I$660,3,FALSE)</f>
        <v>24.46</v>
      </c>
      <c r="U24" s="384">
        <f t="shared" si="18"/>
        <v>-3.3524121013900253E-2</v>
      </c>
      <c r="W24" s="390"/>
      <c r="X24" s="385"/>
    </row>
    <row r="25" spans="1:24">
      <c r="A25" s="387"/>
      <c r="B25"/>
      <c r="F25" s="383"/>
      <c r="G25" s="388"/>
      <c r="H25" s="388"/>
      <c r="I25" s="383"/>
      <c r="J25" s="388"/>
      <c r="K25" s="383"/>
      <c r="L25" s="383"/>
      <c r="M25" s="383"/>
      <c r="N25" s="383"/>
      <c r="P25" s="388"/>
      <c r="Q25" s="383"/>
      <c r="R25" s="383"/>
      <c r="S25" s="389"/>
      <c r="T25" s="388"/>
      <c r="U25" s="384"/>
      <c r="W25" s="390"/>
      <c r="X25" s="385"/>
    </row>
    <row r="26" spans="1:24">
      <c r="A26" s="387" t="s">
        <v>399</v>
      </c>
      <c r="B26" t="s">
        <v>1278</v>
      </c>
      <c r="C26" s="267">
        <f>SUMIF(_12MonLights_RateCategory,$A26,_12MonLights_Count)</f>
        <v>131813</v>
      </c>
      <c r="D26" s="267">
        <f>SUMIF(_12MonLights_RateCategory,$A26,_12MonLights_KWH)</f>
        <v>0</v>
      </c>
      <c r="E26" s="412">
        <v>0.11700000000000001</v>
      </c>
      <c r="F26" s="383"/>
      <c r="G26" s="388">
        <f>VLOOKUP(A26,'Rates-Lights'!$C$550:$I$660,5,FALSE)</f>
        <v>0.34</v>
      </c>
      <c r="H26" s="388">
        <f>SUMIF(_12MonLights_RateCategory,TEXT(A26,0),_12MonLights_Base_Fuel_Revenue)</f>
        <v>148948.69000000003</v>
      </c>
      <c r="I26" s="383">
        <f>C26*F26</f>
        <v>0</v>
      </c>
      <c r="J26" s="388">
        <f>ROUND(C26*G26,2)</f>
        <v>44816.42</v>
      </c>
      <c r="K26" s="383">
        <f>SUM(I26:J26)</f>
        <v>44816.42</v>
      </c>
      <c r="L26" s="383">
        <f>SUMIF(_12MonLights_RateCategory,TEXT($A26,0),_12MonLights_Revenue_Actual)</f>
        <v>0</v>
      </c>
      <c r="M26" s="383">
        <f>L26-K26</f>
        <v>-44816.42</v>
      </c>
      <c r="N26" s="383">
        <f>ROUND($L$186/$M$153*M26,2)</f>
        <v>-1678.26</v>
      </c>
      <c r="P26" s="388">
        <f t="shared" ref="P26:P28" si="21">ROUND((SUMIF($E$17:$E$150,$E26,$N$17:$N$150)/SUMIF($E$17:$E$150,$E26,$C$17:$C$150)),2)</f>
        <v>-0.01</v>
      </c>
      <c r="Q26" s="383">
        <f>P26*C26</f>
        <v>-1318.13</v>
      </c>
      <c r="R26" s="383">
        <f>N26-Q26</f>
        <v>-360.12999999999988</v>
      </c>
      <c r="S26" s="389">
        <f>T26-G26+P26</f>
        <v>8.65</v>
      </c>
      <c r="T26" s="388">
        <f>VLOOKUP($A26,'Rates-Lights'!$C$550:$I$660,3,FALSE)</f>
        <v>9</v>
      </c>
      <c r="U26" s="384">
        <f>(S26-T26)/T26</f>
        <v>-3.8888888888888848E-2</v>
      </c>
      <c r="W26" s="390"/>
      <c r="X26" s="385"/>
    </row>
    <row r="27" spans="1:24">
      <c r="A27" s="387" t="s">
        <v>349</v>
      </c>
      <c r="B27" s="15" t="s">
        <v>1279</v>
      </c>
      <c r="C27" s="267">
        <f>SUMIF(_12MonLights_RateCategory,$A27,_12MonLights_Count)</f>
        <v>77983</v>
      </c>
      <c r="D27" s="267">
        <f>SUMIF(_12MonLights_RateCategory,$A27,_12MonLights_KWH)</f>
        <v>0</v>
      </c>
      <c r="E27" s="412">
        <v>0.24199999999999999</v>
      </c>
      <c r="F27" s="383"/>
      <c r="G27" s="388">
        <f>VLOOKUP(A27,'Rates-Lights'!$C$550:$I$660,5,FALSE)</f>
        <v>0.57999999999999996</v>
      </c>
      <c r="H27" s="388">
        <f>SUMIF(_12MonLights_RateCategory,TEXT(A27,0),_12MonLights_Base_Fuel_Revenue)</f>
        <v>181700.38999999998</v>
      </c>
      <c r="I27" s="383">
        <f>C27*F27</f>
        <v>0</v>
      </c>
      <c r="J27" s="388">
        <f>ROUND(C27*G27,2)</f>
        <v>45230.14</v>
      </c>
      <c r="K27" s="383">
        <f>SUM(I27:J27)</f>
        <v>45230.14</v>
      </c>
      <c r="L27" s="383">
        <f>SUMIF(_12MonLights_RateCategory,TEXT($A27,0),_12MonLights_Revenue_Actual)</f>
        <v>0</v>
      </c>
      <c r="M27" s="383">
        <f>L27-K27</f>
        <v>-45230.14</v>
      </c>
      <c r="N27" s="383">
        <f>ROUND($L$186/$M$153*M27,2)</f>
        <v>-1693.75</v>
      </c>
      <c r="P27" s="388">
        <f t="shared" si="21"/>
        <v>-0.02</v>
      </c>
      <c r="Q27" s="383">
        <f>P27*C27</f>
        <v>-1559.66</v>
      </c>
      <c r="R27" s="383">
        <f>N27-Q27</f>
        <v>-134.08999999999992</v>
      </c>
      <c r="S27" s="389">
        <f>T27-G27+P27</f>
        <v>13.04</v>
      </c>
      <c r="T27" s="388">
        <f>VLOOKUP($A27,'Rates-Lights'!$C$550:$I$660,3,FALSE)</f>
        <v>13.639999999999999</v>
      </c>
      <c r="U27" s="384">
        <f>(S27-T27)/T27</f>
        <v>-4.3988269794721382E-2</v>
      </c>
      <c r="W27" s="390"/>
      <c r="X27" s="385"/>
    </row>
    <row r="28" spans="1:24">
      <c r="A28" s="387" t="s">
        <v>381</v>
      </c>
      <c r="B28" s="15" t="s">
        <v>1280</v>
      </c>
      <c r="C28" s="267">
        <f>SUMIF(_12MonLights_RateCategory,$A28,_12MonLights_Count)</f>
        <v>98498</v>
      </c>
      <c r="D28" s="267">
        <f>SUMIF(_12MonLights_RateCategory,$A28,_12MonLights_KWH)</f>
        <v>0</v>
      </c>
      <c r="E28" s="412">
        <v>0.47099999999999997</v>
      </c>
      <c r="F28" s="383"/>
      <c r="G28" s="388">
        <f>VLOOKUP(A28,'Rates-Lights'!$C$550:$I$660,5,FALSE)</f>
        <v>0.79</v>
      </c>
      <c r="H28" s="388">
        <f>SUMIF(_12MonLights_RateCategory,TEXT(A28,0),_12MonLights_Base_Fuel_Revenue)</f>
        <v>446195.94</v>
      </c>
      <c r="I28" s="383">
        <f>C28*F28</f>
        <v>0</v>
      </c>
      <c r="J28" s="388">
        <f>ROUND(C28*G28,2)</f>
        <v>77813.42</v>
      </c>
      <c r="K28" s="383">
        <f>SUM(I28:J28)</f>
        <v>77813.42</v>
      </c>
      <c r="L28" s="383">
        <f>SUMIF(_12MonLights_RateCategory,TEXT($A28,0),_12MonLights_Revenue_Actual)</f>
        <v>0</v>
      </c>
      <c r="M28" s="383">
        <f>L28-K28</f>
        <v>-77813.42</v>
      </c>
      <c r="N28" s="383">
        <f>ROUND($L$186/$M$153*M28,2)</f>
        <v>-2913.91</v>
      </c>
      <c r="P28" s="388">
        <f t="shared" si="21"/>
        <v>-0.03</v>
      </c>
      <c r="Q28" s="383">
        <f>P28*C28</f>
        <v>-2954.94</v>
      </c>
      <c r="R28" s="383">
        <f>N28-Q28</f>
        <v>41.0300000000002</v>
      </c>
      <c r="S28" s="389">
        <f>T28-G28+P28</f>
        <v>18.64</v>
      </c>
      <c r="T28" s="388">
        <f>VLOOKUP($A28,'Rates-Lights'!$C$550:$I$660,3,FALSE)</f>
        <v>19.46</v>
      </c>
      <c r="U28" s="384">
        <f>(S28-T28)/T28</f>
        <v>-4.2137718396711217E-2</v>
      </c>
      <c r="W28" s="390"/>
      <c r="X28" s="385"/>
    </row>
    <row r="29" spans="1:24">
      <c r="A29" s="387"/>
      <c r="B29" s="15"/>
      <c r="F29" s="383"/>
      <c r="G29" s="388"/>
      <c r="H29" s="388"/>
      <c r="I29" s="383"/>
      <c r="J29" s="388"/>
      <c r="K29" s="383"/>
      <c r="L29" s="383"/>
      <c r="M29" s="383"/>
      <c r="N29" s="383"/>
      <c r="P29" s="388"/>
      <c r="Q29" s="383"/>
      <c r="R29" s="383"/>
      <c r="S29" s="389"/>
      <c r="T29" s="388"/>
      <c r="U29" s="384"/>
      <c r="W29" s="390"/>
      <c r="X29" s="385"/>
    </row>
    <row r="30" spans="1:24">
      <c r="A30" s="387" t="s">
        <v>400</v>
      </c>
      <c r="B30" s="15" t="s">
        <v>1281</v>
      </c>
      <c r="C30" s="267">
        <f>SUMIF(_12MonLights_RateCategory,$A30,_12MonLights_Count)</f>
        <v>432418</v>
      </c>
      <c r="D30" s="267">
        <f>SUMIF(_12MonLights_RateCategory,$A30,_12MonLights_KWH)</f>
        <v>0</v>
      </c>
      <c r="E30" s="412">
        <v>0.11700000000000001</v>
      </c>
      <c r="F30" s="383"/>
      <c r="G30" s="388">
        <f>VLOOKUP(A30,'Rates-Lights'!$C$550:$I$660,5,FALSE)</f>
        <v>0.34</v>
      </c>
      <c r="H30" s="388">
        <f>SUMIF(_12MonLights_RateCategory,TEXT(A30,0),_12MonLights_Base_Fuel_Revenue)</f>
        <v>488632.34</v>
      </c>
      <c r="I30" s="383">
        <f>C30*F30</f>
        <v>0</v>
      </c>
      <c r="J30" s="388">
        <f>ROUND(C30*G30,2)</f>
        <v>147022.12</v>
      </c>
      <c r="K30" s="383">
        <f>SUM(I30:J30)</f>
        <v>147022.12</v>
      </c>
      <c r="L30" s="383">
        <f>SUMIF(_12MonLights_RateCategory,TEXT($A30,0),_12MonLights_Revenue_Actual)</f>
        <v>0</v>
      </c>
      <c r="M30" s="383">
        <f>L30-K30</f>
        <v>-147022.12</v>
      </c>
      <c r="N30" s="383">
        <f>ROUND($L$186/$M$153*M30,2)</f>
        <v>-5505.6</v>
      </c>
      <c r="P30" s="388">
        <f>ROUND((SUMIF($E$17:$E$150,$E30,$N$17:$N$150)/SUMIF($E$17:$E$150,$E30,$C$17:$C$150)),2)</f>
        <v>-0.01</v>
      </c>
      <c r="Q30" s="383">
        <f>P30*C30</f>
        <v>-4324.18</v>
      </c>
      <c r="R30" s="383">
        <f>N30-Q30</f>
        <v>-1181.42</v>
      </c>
      <c r="S30" s="389">
        <f>T30-G30+P30</f>
        <v>7.49</v>
      </c>
      <c r="T30" s="388">
        <f>VLOOKUP($A30,'Rates-Lights'!$C$550:$I$660,3,FALSE)</f>
        <v>7.84</v>
      </c>
      <c r="U30" s="384">
        <f>(S30-T30)/T30</f>
        <v>-4.4642857142857095E-2</v>
      </c>
      <c r="W30" s="390"/>
      <c r="X30" s="385"/>
    </row>
    <row r="31" spans="1:24">
      <c r="A31" s="387"/>
      <c r="B31"/>
      <c r="F31" s="383"/>
      <c r="G31" s="388"/>
      <c r="H31" s="388"/>
      <c r="I31" s="383"/>
      <c r="J31" s="388"/>
      <c r="K31" s="383"/>
      <c r="L31" s="383"/>
      <c r="M31" s="383"/>
      <c r="N31" s="383"/>
      <c r="P31" s="388"/>
      <c r="Q31" s="383"/>
      <c r="R31" s="383"/>
      <c r="S31" s="389"/>
      <c r="T31" s="388"/>
      <c r="U31" s="384"/>
      <c r="W31" s="390"/>
      <c r="X31" s="385"/>
    </row>
    <row r="32" spans="1:24">
      <c r="A32" s="387" t="s">
        <v>322</v>
      </c>
      <c r="B32" t="s">
        <v>1282</v>
      </c>
      <c r="C32" s="267">
        <f>SUMIF(_12MonLights_RateCategory,$A32,_12MonLights_Count)</f>
        <v>7786</v>
      </c>
      <c r="D32" s="267">
        <f>SUMIF(_12MonLights_RateCategory,$A32,_12MonLights_KWH)</f>
        <v>0</v>
      </c>
      <c r="E32" s="412">
        <v>0.15</v>
      </c>
      <c r="F32" s="383"/>
      <c r="G32" s="388">
        <f>VLOOKUP(A32,'Rates-Lights'!$C$550:$I$660,5,FALSE)</f>
        <v>0.66</v>
      </c>
      <c r="H32" s="388">
        <f>SUMIF(_12MonLights_RateCategory,TEXT(A32,0),_12MonLights_Base_Fuel_Revenue)</f>
        <v>15338.419999999998</v>
      </c>
      <c r="I32" s="383">
        <f>C32*F32</f>
        <v>0</v>
      </c>
      <c r="J32" s="388">
        <f>ROUND(C32*G32,2)</f>
        <v>5138.76</v>
      </c>
      <c r="K32" s="383">
        <f>SUM(I32:J32)</f>
        <v>5138.76</v>
      </c>
      <c r="L32" s="383">
        <f>SUMIF(_12MonLights_RateCategory,TEXT($A32,0),_12MonLights_Revenue_Actual)</f>
        <v>0</v>
      </c>
      <c r="M32" s="383">
        <f>L32-K32</f>
        <v>-5138.76</v>
      </c>
      <c r="N32" s="383">
        <f>ROUND($L$186/$M$153*M32,2)</f>
        <v>-192.43</v>
      </c>
      <c r="P32" s="388">
        <f t="shared" ref="P32:P34" si="22">ROUND((SUMIF($E$17:$E$150,$E32,$N$17:$N$150)/SUMIF($E$17:$E$150,$E32,$C$17:$C$150)),2)</f>
        <v>-0.02</v>
      </c>
      <c r="Q32" s="383">
        <f>P32*C32</f>
        <v>-155.72</v>
      </c>
      <c r="R32" s="383">
        <f>N32-Q32</f>
        <v>-36.710000000000008</v>
      </c>
      <c r="S32" s="389">
        <f>T32-G32+P32</f>
        <v>13.57</v>
      </c>
      <c r="T32" s="388">
        <f>VLOOKUP($A32,'Rates-Lights'!$C$550:$I$660,3,FALSE)</f>
        <v>14.25</v>
      </c>
      <c r="U32" s="384">
        <f>(S32-T32)/T32</f>
        <v>-4.7719298245614016E-2</v>
      </c>
      <c r="W32" s="390"/>
      <c r="X32" s="385"/>
    </row>
    <row r="33" spans="1:24">
      <c r="A33" s="387" t="s">
        <v>354</v>
      </c>
      <c r="B33" s="15" t="s">
        <v>1283</v>
      </c>
      <c r="C33" s="267">
        <f>SUMIF(_12MonLights_RateCategory,$A33,_12MonLights_Count)</f>
        <v>60876</v>
      </c>
      <c r="D33" s="267">
        <f>SUMIF(_12MonLights_RateCategory,$A33,_12MonLights_KWH)</f>
        <v>0</v>
      </c>
      <c r="E33" s="412">
        <v>0.35</v>
      </c>
      <c r="F33" s="383"/>
      <c r="G33" s="388">
        <f>VLOOKUP(A33,'Rates-Lights'!$C$550:$I$660,5,FALSE)</f>
        <v>0.84</v>
      </c>
      <c r="H33" s="388">
        <f>SUMIF(_12MonLights_RateCategory,TEXT(A33,0),_12MonLights_Base_Fuel_Revenue)</f>
        <v>261158.03999999998</v>
      </c>
      <c r="I33" s="383">
        <f>C33*F33</f>
        <v>0</v>
      </c>
      <c r="J33" s="388">
        <f>ROUND(C33*G33,2)</f>
        <v>51135.839999999997</v>
      </c>
      <c r="K33" s="383">
        <f>SUM(I33:J33)</f>
        <v>51135.839999999997</v>
      </c>
      <c r="L33" s="383">
        <f>SUMIF(_12MonLights_RateCategory,TEXT($A33,0),_12MonLights_Revenue_Actual)</f>
        <v>0</v>
      </c>
      <c r="M33" s="383">
        <f>L33-K33</f>
        <v>-51135.839999999997</v>
      </c>
      <c r="N33" s="383">
        <f>ROUND($L$186/$M$153*M33,2)</f>
        <v>-1914.91</v>
      </c>
      <c r="P33" s="388">
        <f t="shared" si="22"/>
        <v>-0.03</v>
      </c>
      <c r="Q33" s="383">
        <f>P33*C33</f>
        <v>-1826.28</v>
      </c>
      <c r="R33" s="383">
        <f>N33-Q33</f>
        <v>-88.630000000000109</v>
      </c>
      <c r="S33" s="389">
        <f>T33-G33+P33</f>
        <v>19.330000000000002</v>
      </c>
      <c r="T33" s="388">
        <f>VLOOKUP($A33,'Rates-Lights'!$C$550:$I$660,3,FALSE)</f>
        <v>20.200000000000003</v>
      </c>
      <c r="U33" s="384">
        <f>(S33-T33)/T33</f>
        <v>-4.3069306930693114E-2</v>
      </c>
      <c r="W33" s="390"/>
      <c r="X33" s="385"/>
    </row>
    <row r="34" spans="1:24">
      <c r="A34" s="387" t="s">
        <v>317</v>
      </c>
      <c r="B34" s="15" t="s">
        <v>1284</v>
      </c>
      <c r="C34" s="267">
        <f>SUMIF(_12MonLights_RateCategory,$A34,_12MonLights_Count)</f>
        <v>12421</v>
      </c>
      <c r="D34" s="267">
        <f>SUMIF(_12MonLights_RateCategory,$A34,_12MonLights_KWH)</f>
        <v>0</v>
      </c>
      <c r="E34" s="412">
        <v>1.08</v>
      </c>
      <c r="F34" s="383"/>
      <c r="G34" s="388">
        <f>VLOOKUP(A34,'Rates-Lights'!$C$550:$I$660,5,FALSE)</f>
        <v>1.7</v>
      </c>
      <c r="H34" s="388">
        <f>SUMIF(_12MonLights_RateCategory,TEXT(A34,0),_12MonLights_Base_Fuel_Revenue)</f>
        <v>129302.61</v>
      </c>
      <c r="I34" s="383">
        <f>C34*F34</f>
        <v>0</v>
      </c>
      <c r="J34" s="388">
        <f>ROUND(C34*G34,2)</f>
        <v>21115.7</v>
      </c>
      <c r="K34" s="383">
        <f>SUM(I34:J34)</f>
        <v>21115.7</v>
      </c>
      <c r="L34" s="383">
        <f>SUMIF(_12MonLights_RateCategory,TEXT($A34,0),_12MonLights_Revenue_Actual)</f>
        <v>0</v>
      </c>
      <c r="M34" s="383">
        <f>L34-K34</f>
        <v>-21115.7</v>
      </c>
      <c r="N34" s="383">
        <f>ROUND($L$186/$M$153*M34,2)</f>
        <v>-790.73</v>
      </c>
      <c r="P34" s="388">
        <f t="shared" si="22"/>
        <v>-0.06</v>
      </c>
      <c r="Q34" s="383">
        <f>P34*C34</f>
        <v>-745.26</v>
      </c>
      <c r="R34" s="383">
        <f>N34-Q34</f>
        <v>-45.470000000000027</v>
      </c>
      <c r="S34" s="389">
        <f>T34-G34+P34</f>
        <v>40.590000000000003</v>
      </c>
      <c r="T34" s="388">
        <f>VLOOKUP($A34,'Rates-Lights'!$C$550:$I$660,3,FALSE)</f>
        <v>42.350000000000009</v>
      </c>
      <c r="U34" s="384">
        <f>(S34-T34)/T34</f>
        <v>-4.1558441558441669E-2</v>
      </c>
      <c r="W34" s="390"/>
      <c r="X34" s="385"/>
    </row>
    <row r="35" spans="1:24">
      <c r="A35" s="387"/>
      <c r="B35" s="30"/>
      <c r="F35" s="383"/>
      <c r="G35" s="388"/>
      <c r="H35" s="388"/>
      <c r="I35" s="383"/>
      <c r="J35" s="388"/>
      <c r="K35" s="383"/>
      <c r="L35" s="383"/>
      <c r="M35" s="383"/>
      <c r="N35" s="383"/>
      <c r="P35" s="388"/>
      <c r="Q35" s="383"/>
      <c r="R35" s="383"/>
      <c r="S35" s="389"/>
      <c r="T35" s="388"/>
      <c r="U35" s="384"/>
      <c r="W35" s="390"/>
      <c r="X35" s="385"/>
    </row>
    <row r="36" spans="1:24">
      <c r="A36" s="387"/>
      <c r="B36" s="30" t="s">
        <v>1285</v>
      </c>
      <c r="F36" s="383"/>
      <c r="G36" s="388"/>
      <c r="H36" s="388"/>
      <c r="I36" s="383"/>
      <c r="J36" s="388"/>
      <c r="K36" s="383"/>
      <c r="L36" s="383"/>
      <c r="M36" s="383"/>
      <c r="N36" s="383"/>
      <c r="P36" s="388"/>
      <c r="Q36" s="383"/>
      <c r="R36" s="383"/>
      <c r="S36" s="389"/>
      <c r="T36" s="388"/>
      <c r="U36" s="384"/>
      <c r="W36" s="390"/>
      <c r="X36" s="385"/>
    </row>
    <row r="37" spans="1:24">
      <c r="A37" s="387" t="s">
        <v>373</v>
      </c>
      <c r="B37" t="s">
        <v>1286</v>
      </c>
      <c r="C37" s="267">
        <f>SUMIF(_12MonLights_RateCategory,$A37,_12MonLights_Count)</f>
        <v>16025</v>
      </c>
      <c r="D37" s="267">
        <f>SUMIF(_12MonLights_RateCategory,$A37,_12MonLights_KWH)</f>
        <v>0</v>
      </c>
      <c r="E37" s="412">
        <v>8.3000000000000004E-2</v>
      </c>
      <c r="F37" s="383"/>
      <c r="G37" s="388">
        <f>VLOOKUP(A37,'Rates-Lights'!$C$550:$I$660,5,FALSE)</f>
        <v>0.43</v>
      </c>
      <c r="H37" s="388">
        <f>SUMIF(_12MonLights_RateCategory,TEXT(A37,0),_12MonLights_Base_Fuel_Revenue)</f>
        <v>12820</v>
      </c>
      <c r="I37" s="383">
        <f>C37*F37</f>
        <v>0</v>
      </c>
      <c r="J37" s="388">
        <f>ROUND(C37*G37,2)</f>
        <v>6890.75</v>
      </c>
      <c r="K37" s="383">
        <f>SUM(I37:J37)</f>
        <v>6890.75</v>
      </c>
      <c r="L37" s="383">
        <f>SUMIF(_12MonLights_RateCategory,TEXT($A37,0),_12MonLights_Revenue_Actual)</f>
        <v>0</v>
      </c>
      <c r="M37" s="383">
        <f>L37-K37</f>
        <v>-6890.75</v>
      </c>
      <c r="N37" s="383">
        <f>ROUND($L$186/$M$153*M37,2)</f>
        <v>-258.04000000000002</v>
      </c>
      <c r="P37" s="388">
        <f t="shared" ref="P37:P38" si="23">ROUND((SUMIF($E$17:$E$150,$E37,$N$17:$N$150)/SUMIF($E$17:$E$150,$E37,$C$17:$C$150)),2)</f>
        <v>-0.02</v>
      </c>
      <c r="Q37" s="383">
        <f>P37*C37</f>
        <v>-320.5</v>
      </c>
      <c r="R37" s="383">
        <f>N37-Q37</f>
        <v>62.45999999999998</v>
      </c>
      <c r="S37" s="389">
        <f>T37-G37+P37</f>
        <v>10.320000000000002</v>
      </c>
      <c r="T37" s="388">
        <f>VLOOKUP($A37,'Rates-Lights'!$C$550:$I$660,3,FALSE)</f>
        <v>10.770000000000001</v>
      </c>
      <c r="U37" s="384">
        <f>(S37-T37)/T37</f>
        <v>-4.1782729805013859E-2</v>
      </c>
      <c r="W37" s="390"/>
      <c r="X37" s="385"/>
    </row>
    <row r="38" spans="1:24">
      <c r="A38" s="387" t="s">
        <v>396</v>
      </c>
      <c r="B38" s="15" t="s">
        <v>1287</v>
      </c>
      <c r="C38" s="267">
        <f>SUMIF(_12MonLights_RateCategory,$A38,_12MonLights_Count)</f>
        <v>47680</v>
      </c>
      <c r="D38" s="267">
        <f>SUMIF(_12MonLights_RateCategory,$A38,_12MonLights_KWH)</f>
        <v>0</v>
      </c>
      <c r="E38" s="412">
        <v>0.11700000000000001</v>
      </c>
      <c r="F38" s="383"/>
      <c r="G38" s="388">
        <f>VLOOKUP(A38,'Rates-Lights'!$C$550:$I$660,5,FALSE)</f>
        <v>0.34</v>
      </c>
      <c r="H38" s="388">
        <f>SUMIF(_12MonLights_RateCategory,TEXT(A38,0),_12MonLights_Base_Fuel_Revenue)</f>
        <v>53878.400000000009</v>
      </c>
      <c r="I38" s="383">
        <f>C38*F38</f>
        <v>0</v>
      </c>
      <c r="J38" s="388">
        <f>ROUND(C38*G38,2)</f>
        <v>16211.2</v>
      </c>
      <c r="K38" s="383">
        <f>SUM(I38:J38)</f>
        <v>16211.2</v>
      </c>
      <c r="L38" s="383">
        <f>SUMIF(_12MonLights_RateCategory,TEXT($A38,0),_12MonLights_Revenue_Actual)</f>
        <v>0</v>
      </c>
      <c r="M38" s="383">
        <f>L38-K38</f>
        <v>-16211.2</v>
      </c>
      <c r="N38" s="383">
        <f>ROUND($L$186/$M$153*M38,2)</f>
        <v>-607.07000000000005</v>
      </c>
      <c r="P38" s="388">
        <f t="shared" si="23"/>
        <v>-0.01</v>
      </c>
      <c r="Q38" s="383">
        <f>P38*C38</f>
        <v>-476.8</v>
      </c>
      <c r="R38" s="383">
        <f>N38-Q38</f>
        <v>-130.27000000000004</v>
      </c>
      <c r="S38" s="389">
        <f>T38-G38+P38</f>
        <v>10.81</v>
      </c>
      <c r="T38" s="388">
        <f>VLOOKUP($A38,'Rates-Lights'!$C$550:$I$660,3,FALSE)</f>
        <v>11.16</v>
      </c>
      <c r="U38" s="384">
        <f>(S38-T38)/T38</f>
        <v>-3.1362007168458751E-2</v>
      </c>
      <c r="W38" s="390"/>
      <c r="X38" s="385"/>
    </row>
    <row r="39" spans="1:24">
      <c r="A39" s="387"/>
      <c r="B39"/>
      <c r="F39" s="383"/>
      <c r="G39" s="388"/>
      <c r="H39" s="388"/>
      <c r="I39" s="383"/>
      <c r="J39" s="388"/>
      <c r="K39" s="383"/>
      <c r="L39" s="383"/>
      <c r="M39" s="383"/>
      <c r="N39" s="383"/>
      <c r="P39" s="388"/>
      <c r="Q39" s="383"/>
      <c r="R39" s="383"/>
      <c r="S39" s="389"/>
      <c r="T39" s="388"/>
      <c r="U39" s="384"/>
      <c r="W39" s="390"/>
      <c r="X39" s="385"/>
    </row>
    <row r="40" spans="1:24">
      <c r="A40" s="387" t="s">
        <v>366</v>
      </c>
      <c r="B40" s="15" t="s">
        <v>1288</v>
      </c>
      <c r="C40" s="267">
        <f>SUMIF(_12MonLights_RateCategory,$A40,_12MonLights_Count)</f>
        <v>618</v>
      </c>
      <c r="D40" s="267">
        <f>SUMIF(_12MonLights_RateCategory,$A40,_12MonLights_KWH)</f>
        <v>0</v>
      </c>
      <c r="E40" s="412">
        <v>8.3000000000000004E-2</v>
      </c>
      <c r="F40" s="383"/>
      <c r="G40" s="388">
        <f>VLOOKUP(A40,'Rates-Lights'!$C$550:$I$660,5,FALSE)</f>
        <v>0.43</v>
      </c>
      <c r="H40" s="388">
        <f>SUMIF(_12MonLights_RateCategory,TEXT(A40,0),_12MonLights_Base_Fuel_Revenue)</f>
        <v>494.40000000000003</v>
      </c>
      <c r="I40" s="383">
        <f>C40*F40</f>
        <v>0</v>
      </c>
      <c r="J40" s="388">
        <f>ROUND(C40*G40,2)</f>
        <v>265.74</v>
      </c>
      <c r="K40" s="383">
        <f>SUM(I40:J40)</f>
        <v>265.74</v>
      </c>
      <c r="L40" s="383">
        <f>SUMIF(_12MonLights_RateCategory,TEXT($A40,0),_12MonLights_Revenue_Actual)</f>
        <v>0</v>
      </c>
      <c r="M40" s="383">
        <f>L40-K40</f>
        <v>-265.74</v>
      </c>
      <c r="N40" s="383">
        <f>ROUND($L$186/$M$153*M40,2)</f>
        <v>-9.9499999999999993</v>
      </c>
      <c r="P40" s="388">
        <f t="shared" ref="P40:P43" si="24">ROUND((SUMIF($E$17:$E$150,$E40,$N$17:$N$150)/SUMIF($E$17:$E$150,$E40,$C$17:$C$150)),2)</f>
        <v>-0.02</v>
      </c>
      <c r="Q40" s="383">
        <f>P40*C40</f>
        <v>-12.36</v>
      </c>
      <c r="R40" s="383">
        <f>N40-Q40</f>
        <v>2.41</v>
      </c>
      <c r="S40" s="389">
        <f>T40-G40+P40</f>
        <v>14.410000000000002</v>
      </c>
      <c r="T40" s="388">
        <f>VLOOKUP($A40,'Rates-Lights'!$C$550:$I$660,3,FALSE)</f>
        <v>14.860000000000001</v>
      </c>
      <c r="U40" s="384">
        <f>(S40-T40)/T40</f>
        <v>-3.0282637954239518E-2</v>
      </c>
      <c r="W40" s="390"/>
      <c r="X40" s="385"/>
    </row>
    <row r="41" spans="1:24">
      <c r="A41" s="387" t="s">
        <v>368</v>
      </c>
      <c r="B41" s="15" t="s">
        <v>1289</v>
      </c>
      <c r="C41" s="267">
        <f>SUMIF(_12MonLights_RateCategory,$A41,_12MonLights_Count)</f>
        <v>1752</v>
      </c>
      <c r="D41" s="267">
        <f>SUMIF(_12MonLights_RateCategory,$A41,_12MonLights_KWH)</f>
        <v>0</v>
      </c>
      <c r="E41" s="412">
        <v>8.3000000000000004E-2</v>
      </c>
      <c r="F41" s="383"/>
      <c r="G41" s="388">
        <f>VLOOKUP(A41,'Rates-Lights'!$C$550:$I$660,5,FALSE)</f>
        <v>0.43</v>
      </c>
      <c r="H41" s="388">
        <f>SUMIF(_12MonLights_RateCategory,TEXT(A41,0),_12MonLights_Base_Fuel_Revenue)</f>
        <v>1401.5999999999997</v>
      </c>
      <c r="I41" s="383">
        <f>C41*F41</f>
        <v>0</v>
      </c>
      <c r="J41" s="388">
        <f>ROUND(C41*G41,2)</f>
        <v>753.36</v>
      </c>
      <c r="K41" s="383">
        <f>SUM(I41:J41)</f>
        <v>753.36</v>
      </c>
      <c r="L41" s="383">
        <f>SUMIF(_12MonLights_RateCategory,TEXT($A41,0),_12MonLights_Revenue_Actual)</f>
        <v>0</v>
      </c>
      <c r="M41" s="383">
        <f>L41-K41</f>
        <v>-753.36</v>
      </c>
      <c r="N41" s="383">
        <f>ROUND($L$186/$M$153*M41,2)</f>
        <v>-28.21</v>
      </c>
      <c r="P41" s="388">
        <f t="shared" si="24"/>
        <v>-0.02</v>
      </c>
      <c r="Q41" s="383">
        <f>P41*C41</f>
        <v>-35.04</v>
      </c>
      <c r="R41" s="383">
        <f>N41-Q41</f>
        <v>6.8299999999999983</v>
      </c>
      <c r="S41" s="389">
        <f>T41-G41+P41</f>
        <v>20.93</v>
      </c>
      <c r="T41" s="388">
        <f>VLOOKUP($A41,'Rates-Lights'!$C$550:$I$660,3,FALSE)</f>
        <v>21.38</v>
      </c>
      <c r="U41" s="384">
        <f>(S41-T41)/T41</f>
        <v>-2.1047708138447113E-2</v>
      </c>
      <c r="W41" s="390"/>
      <c r="X41" s="385"/>
    </row>
    <row r="42" spans="1:24">
      <c r="A42" s="387" t="s">
        <v>389</v>
      </c>
      <c r="B42" s="15" t="s">
        <v>1290</v>
      </c>
      <c r="C42" s="267">
        <f>SUMIF(_12MonLights_RateCategory,$A42,_12MonLights_Count)</f>
        <v>5567</v>
      </c>
      <c r="D42" s="267">
        <f>SUMIF(_12MonLights_RateCategory,$A42,_12MonLights_KWH)</f>
        <v>0</v>
      </c>
      <c r="E42" s="412">
        <v>0.11700000000000001</v>
      </c>
      <c r="F42" s="383"/>
      <c r="G42" s="388">
        <f>VLOOKUP(A42,'Rates-Lights'!$C$550:$I$660,5,FALSE)</f>
        <v>0.34</v>
      </c>
      <c r="H42" s="388">
        <f>SUMIF(_12MonLights_RateCategory,TEXT(A42,0),_12MonLights_Base_Fuel_Revenue)</f>
        <v>6290.7099999999991</v>
      </c>
      <c r="I42" s="383">
        <f>C42*F42</f>
        <v>0</v>
      </c>
      <c r="J42" s="388">
        <f>ROUND(C42*G42,2)</f>
        <v>1892.78</v>
      </c>
      <c r="K42" s="383">
        <f>SUM(I42:J42)</f>
        <v>1892.78</v>
      </c>
      <c r="L42" s="383">
        <f>SUMIF(_12MonLights_RateCategory,TEXT($A42,0),_12MonLights_Revenue_Actual)</f>
        <v>0</v>
      </c>
      <c r="M42" s="383">
        <f>L42-K42</f>
        <v>-1892.78</v>
      </c>
      <c r="N42" s="383">
        <f>ROUND($L$186/$M$153*M42,2)</f>
        <v>-70.88</v>
      </c>
      <c r="O42" s="390"/>
      <c r="P42" s="388">
        <f t="shared" si="24"/>
        <v>-0.01</v>
      </c>
      <c r="Q42" s="383">
        <f>P42*C42</f>
        <v>-55.67</v>
      </c>
      <c r="R42" s="383">
        <f>N42-Q42</f>
        <v>-15.209999999999994</v>
      </c>
      <c r="S42" s="389">
        <f>T42-G42+P42</f>
        <v>15.010000000000002</v>
      </c>
      <c r="T42" s="388">
        <f>VLOOKUP($A42,'Rates-Lights'!$C$550:$I$660,3,FALSE)</f>
        <v>15.360000000000001</v>
      </c>
      <c r="U42" s="384">
        <f>(S42-T42)/T42</f>
        <v>-2.2786458333333308E-2</v>
      </c>
      <c r="W42" s="390"/>
      <c r="X42" s="385"/>
    </row>
    <row r="43" spans="1:24">
      <c r="A43" s="387" t="s">
        <v>391</v>
      </c>
      <c r="B43" s="15" t="s">
        <v>1291</v>
      </c>
      <c r="C43" s="267">
        <f>SUMIF(_12MonLights_RateCategory,$A43,_12MonLights_Count)</f>
        <v>13825</v>
      </c>
      <c r="D43" s="267">
        <f>SUMIF(_12MonLights_RateCategory,$A43,_12MonLights_KWH)</f>
        <v>0</v>
      </c>
      <c r="E43" s="412">
        <v>0.11700000000000001</v>
      </c>
      <c r="F43" s="383"/>
      <c r="G43" s="388">
        <f>VLOOKUP(A43,'Rates-Lights'!$C$550:$I$660,5,FALSE)</f>
        <v>0.34</v>
      </c>
      <c r="H43" s="388">
        <f>SUMIF(_12MonLights_RateCategory,TEXT(A43,0),_12MonLights_Base_Fuel_Revenue)</f>
        <v>15622.249999999998</v>
      </c>
      <c r="I43" s="383">
        <f>C43*F43</f>
        <v>0</v>
      </c>
      <c r="J43" s="388">
        <f>ROUND(C43*G43,2)</f>
        <v>4700.5</v>
      </c>
      <c r="K43" s="383">
        <f>SUM(I43:J43)</f>
        <v>4700.5</v>
      </c>
      <c r="L43" s="383">
        <f>SUMIF(_12MonLights_RateCategory,TEXT($A43,0),_12MonLights_Revenue_Actual)</f>
        <v>0</v>
      </c>
      <c r="M43" s="383">
        <f>L43-K43</f>
        <v>-4700.5</v>
      </c>
      <c r="N43" s="383">
        <f>ROUND($L$186/$M$153*M43,2)</f>
        <v>-176.02</v>
      </c>
      <c r="P43" s="388">
        <f t="shared" si="24"/>
        <v>-0.01</v>
      </c>
      <c r="Q43" s="383">
        <f>P43*C43</f>
        <v>-138.25</v>
      </c>
      <c r="R43" s="383">
        <f>N43-Q43</f>
        <v>-37.77000000000001</v>
      </c>
      <c r="S43" s="389">
        <f>T43-G43+P43</f>
        <v>21.65</v>
      </c>
      <c r="T43" s="388">
        <f>VLOOKUP($A43,'Rates-Lights'!$C$550:$I$660,3,FALSE)</f>
        <v>22</v>
      </c>
      <c r="U43" s="384">
        <f>(S43-T43)/T43</f>
        <v>-1.5909090909090973E-2</v>
      </c>
      <c r="W43" s="390"/>
      <c r="X43" s="385"/>
    </row>
    <row r="44" spans="1:24">
      <c r="A44" s="387"/>
      <c r="B44"/>
      <c r="F44" s="383"/>
      <c r="G44" s="388"/>
      <c r="H44" s="388"/>
      <c r="I44" s="383"/>
      <c r="J44" s="388"/>
      <c r="K44" s="383"/>
      <c r="L44" s="383"/>
      <c r="M44" s="383"/>
      <c r="N44" s="383"/>
      <c r="P44" s="388"/>
      <c r="Q44" s="383"/>
      <c r="R44" s="383"/>
      <c r="S44" s="389"/>
      <c r="T44" s="388"/>
      <c r="U44" s="384"/>
      <c r="W44" s="390"/>
      <c r="X44" s="385"/>
    </row>
    <row r="45" spans="1:24">
      <c r="A45" s="387" t="s">
        <v>371</v>
      </c>
      <c r="B45" t="s">
        <v>1292</v>
      </c>
      <c r="C45" s="267">
        <f>SUMIF(_12MonLights_RateCategory,$A45,_12MonLights_Count)</f>
        <v>252</v>
      </c>
      <c r="D45" s="267">
        <f>SUMIF(_12MonLights_RateCategory,$A45,_12MonLights_KWH)</f>
        <v>0</v>
      </c>
      <c r="E45" s="412">
        <v>8.3000000000000004E-2</v>
      </c>
      <c r="F45" s="383"/>
      <c r="G45" s="388">
        <f>VLOOKUP(A45,'Rates-Lights'!$C$550:$I$660,5,FALSE)</f>
        <v>0.43</v>
      </c>
      <c r="H45" s="388">
        <f>SUMIF(_12MonLights_RateCategory,TEXT(A45,0),_12MonLights_Base_Fuel_Revenue)</f>
        <v>201.60000000000005</v>
      </c>
      <c r="I45" s="383">
        <f>C45*F45</f>
        <v>0</v>
      </c>
      <c r="J45" s="388">
        <f>ROUND(C45*G45,2)</f>
        <v>108.36</v>
      </c>
      <c r="K45" s="383">
        <f>SUM(I45:J45)</f>
        <v>108.36</v>
      </c>
      <c r="L45" s="383">
        <f>SUMIF(_12MonLights_RateCategory,TEXT($A45,0),_12MonLights_Revenue_Actual)</f>
        <v>0</v>
      </c>
      <c r="M45" s="383">
        <f>L45-K45</f>
        <v>-108.36</v>
      </c>
      <c r="N45" s="383">
        <f>ROUND($L$186/$M$153*M45,2)</f>
        <v>-4.0599999999999996</v>
      </c>
      <c r="P45" s="388">
        <f t="shared" ref="P45:P46" si="25">ROUND((SUMIF($E$17:$E$150,$E45,$N$17:$N$150)/SUMIF($E$17:$E$150,$E45,$C$17:$C$150)),2)</f>
        <v>-0.02</v>
      </c>
      <c r="Q45" s="383">
        <f>P45*C45</f>
        <v>-5.04</v>
      </c>
      <c r="R45" s="383">
        <f>N45-Q45</f>
        <v>0.98000000000000043</v>
      </c>
      <c r="S45" s="389">
        <f>T45-G45+P45</f>
        <v>30.39</v>
      </c>
      <c r="T45" s="388">
        <f>VLOOKUP($A45,'Rates-Lights'!$C$550:$I$660,3,FALSE)</f>
        <v>30.84</v>
      </c>
      <c r="U45" s="384">
        <f>(S45-T45)/T45</f>
        <v>-1.4591439688715931E-2</v>
      </c>
      <c r="W45" s="390"/>
      <c r="X45" s="385"/>
    </row>
    <row r="46" spans="1:24">
      <c r="A46" s="387" t="s">
        <v>394</v>
      </c>
      <c r="B46" s="15" t="s">
        <v>1293</v>
      </c>
      <c r="C46" s="267">
        <f>SUMIF(_12MonLights_RateCategory,$A46,_12MonLights_Count)</f>
        <v>120</v>
      </c>
      <c r="D46" s="267">
        <f>SUMIF(_12MonLights_RateCategory,$A46,_12MonLights_KWH)</f>
        <v>0</v>
      </c>
      <c r="E46" s="412">
        <v>0.11700000000000001</v>
      </c>
      <c r="F46" s="383"/>
      <c r="G46" s="388">
        <f>VLOOKUP(A46,'Rates-Lights'!$C$550:$I$660,5,FALSE)</f>
        <v>0.34</v>
      </c>
      <c r="H46" s="388">
        <f>SUMIF(_12MonLights_RateCategory,TEXT(A46,0),_12MonLights_Base_Fuel_Revenue)</f>
        <v>135.6</v>
      </c>
      <c r="I46" s="383">
        <f>C46*F46</f>
        <v>0</v>
      </c>
      <c r="J46" s="388">
        <f>ROUND(C46*G46,2)</f>
        <v>40.799999999999997</v>
      </c>
      <c r="K46" s="383">
        <f>SUM(I46:J46)</f>
        <v>40.799999999999997</v>
      </c>
      <c r="L46" s="383">
        <f>SUMIF(_12MonLights_RateCategory,TEXT($A46,0),_12MonLights_Revenue_Actual)</f>
        <v>0</v>
      </c>
      <c r="M46" s="383">
        <f>L46-K46</f>
        <v>-40.799999999999997</v>
      </c>
      <c r="N46" s="383">
        <f>ROUND($L$186/$M$153*M46,2)</f>
        <v>-1.53</v>
      </c>
      <c r="P46" s="388">
        <f t="shared" si="25"/>
        <v>-0.01</v>
      </c>
      <c r="Q46" s="383">
        <f>P46*C46</f>
        <v>-1.2</v>
      </c>
      <c r="R46" s="383">
        <f>N46-Q46</f>
        <v>-0.33000000000000007</v>
      </c>
      <c r="S46" s="389">
        <f>T46-G46+P46</f>
        <v>30.869999999999997</v>
      </c>
      <c r="T46" s="388">
        <f>VLOOKUP($A46,'Rates-Lights'!$C$550:$I$660,3,FALSE)</f>
        <v>31.22</v>
      </c>
      <c r="U46" s="384">
        <f>(S46-T46)/T46</f>
        <v>-1.1210762331838611E-2</v>
      </c>
      <c r="W46" s="390"/>
      <c r="X46" s="385"/>
    </row>
    <row r="47" spans="1:24">
      <c r="A47" s="387"/>
      <c r="B47"/>
      <c r="F47" s="383"/>
      <c r="G47" s="388"/>
      <c r="H47" s="388"/>
      <c r="I47" s="383"/>
      <c r="J47" s="388"/>
      <c r="K47" s="383"/>
      <c r="L47" s="383"/>
      <c r="M47" s="383"/>
      <c r="N47" s="383"/>
      <c r="P47" s="388"/>
      <c r="Q47" s="383"/>
      <c r="R47" s="383"/>
      <c r="S47" s="389"/>
      <c r="T47" s="388"/>
      <c r="U47" s="384"/>
      <c r="W47" s="390"/>
      <c r="X47" s="385"/>
    </row>
    <row r="48" spans="1:24">
      <c r="A48" s="405" t="s">
        <v>678</v>
      </c>
      <c r="B48" s="15" t="s">
        <v>1295</v>
      </c>
      <c r="C48" s="267">
        <f t="shared" ref="C48:C55" si="26">SUMIF(_12MonLights_RateCategory,$A48,_12MonLights_Count)</f>
        <v>24</v>
      </c>
      <c r="D48" s="267">
        <f t="shared" ref="D48:D55" si="27">SUMIF(_12MonLights_RateCategory,$A48,_12MonLights_KWH)</f>
        <v>0</v>
      </c>
      <c r="E48" s="412">
        <v>8.3000000000000004E-2</v>
      </c>
      <c r="F48" s="383"/>
      <c r="G48" s="388">
        <f>VLOOKUP(A48,'Rates-Lights'!$C$550:$I$660,5,FALSE)</f>
        <v>0.43</v>
      </c>
      <c r="H48" s="388">
        <f t="shared" ref="H48:H55" si="28">SUMIF(_12MonLights_RateCategory,TEXT(A48,0),_12MonLights_Base_Fuel_Revenue)</f>
        <v>19.2</v>
      </c>
      <c r="I48" s="383">
        <f>C48*F48</f>
        <v>0</v>
      </c>
      <c r="J48" s="388">
        <f>ROUND(C48*G48,2)</f>
        <v>10.32</v>
      </c>
      <c r="K48" s="383">
        <f t="shared" ref="K48" si="29">SUM(I48:J48)</f>
        <v>10.32</v>
      </c>
      <c r="L48" s="383">
        <f t="shared" ref="L48:L55" si="30">SUMIF(_12MonLights_RateCategory,TEXT($A48,0),_12MonLights_Revenue_Actual)</f>
        <v>0</v>
      </c>
      <c r="M48" s="383">
        <f t="shared" ref="M48" si="31">L48-K48</f>
        <v>-10.32</v>
      </c>
      <c r="N48" s="383">
        <f t="shared" ref="N48:N55" si="32">ROUND($L$186/$M$153*M48,2)</f>
        <v>-0.39</v>
      </c>
      <c r="P48" s="388">
        <f t="shared" ref="P48:P55" si="33">ROUND((SUMIF($E$17:$E$150,$E48,$N$17:$N$150)/SUMIF($E$17:$E$150,$E48,$C$17:$C$150)),2)</f>
        <v>-0.02</v>
      </c>
      <c r="Q48" s="383">
        <f t="shared" ref="Q48:Q55" si="34">P48*C48</f>
        <v>-0.48</v>
      </c>
      <c r="R48" s="383">
        <f t="shared" ref="R48" si="35">N48-Q48</f>
        <v>8.9999999999999969E-2</v>
      </c>
      <c r="S48" s="389">
        <f t="shared" ref="S48:S55" si="36">T48-G48+P48</f>
        <v>14.920000000000002</v>
      </c>
      <c r="T48" s="388">
        <f>VLOOKUP($A48,'Rates-Lights'!$C$550:$I$660,3,FALSE)</f>
        <v>15.370000000000001</v>
      </c>
      <c r="U48" s="384">
        <f t="shared" ref="U48" si="37">(S48-T48)/T48</f>
        <v>-2.9277813923227019E-2</v>
      </c>
      <c r="W48" s="390"/>
      <c r="X48" s="385"/>
    </row>
    <row r="49" spans="1:24">
      <c r="A49" s="387" t="s">
        <v>374</v>
      </c>
      <c r="B49" t="s">
        <v>1294</v>
      </c>
      <c r="C49" s="267">
        <f t="shared" si="26"/>
        <v>54335</v>
      </c>
      <c r="D49" s="267">
        <f t="shared" si="27"/>
        <v>0</v>
      </c>
      <c r="E49" s="412">
        <v>8.3000000000000004E-2</v>
      </c>
      <c r="F49" s="383"/>
      <c r="G49" s="388">
        <f>VLOOKUP(A49,'Rates-Lights'!$C$550:$I$660,5,FALSE)</f>
        <v>0.43</v>
      </c>
      <c r="H49" s="388">
        <f t="shared" si="28"/>
        <v>43468</v>
      </c>
      <c r="I49" s="383">
        <f>C49*F49</f>
        <v>0</v>
      </c>
      <c r="J49" s="388">
        <f>ROUND(C49*G49,2)</f>
        <v>23364.05</v>
      </c>
      <c r="K49" s="383">
        <f>SUM(I49:J49)</f>
        <v>23364.05</v>
      </c>
      <c r="L49" s="383">
        <f t="shared" si="30"/>
        <v>0</v>
      </c>
      <c r="M49" s="383">
        <f>L49-K49</f>
        <v>-23364.05</v>
      </c>
      <c r="N49" s="383">
        <f t="shared" si="32"/>
        <v>-874.92</v>
      </c>
      <c r="P49" s="388">
        <f t="shared" si="33"/>
        <v>-0.02</v>
      </c>
      <c r="Q49" s="383">
        <f t="shared" si="34"/>
        <v>-1086.7</v>
      </c>
      <c r="R49" s="383">
        <f>N49-Q49</f>
        <v>211.78000000000009</v>
      </c>
      <c r="S49" s="389">
        <f t="shared" si="36"/>
        <v>16.34</v>
      </c>
      <c r="T49" s="388">
        <f>VLOOKUP($A49,'Rates-Lights'!$C$550:$I$660,3,FALSE)</f>
        <v>16.79</v>
      </c>
      <c r="U49" s="384">
        <f>(S49-T49)/T49</f>
        <v>-2.6801667659320984E-2</v>
      </c>
      <c r="W49" s="390"/>
      <c r="X49" s="385"/>
    </row>
    <row r="50" spans="1:24">
      <c r="A50" s="405" t="s">
        <v>650</v>
      </c>
      <c r="B50" s="15" t="s">
        <v>1296</v>
      </c>
      <c r="C50" s="267">
        <f t="shared" si="26"/>
        <v>106</v>
      </c>
      <c r="D50" s="267">
        <f t="shared" si="27"/>
        <v>0</v>
      </c>
      <c r="E50" s="412">
        <v>0.11700000000000001</v>
      </c>
      <c r="F50" s="383"/>
      <c r="G50" s="388">
        <f>VLOOKUP(A50,'Rates-Lights'!$C$550:$I$660,5,FALSE)</f>
        <v>0.34</v>
      </c>
      <c r="H50" s="388">
        <f t="shared" si="28"/>
        <v>119.77999999999997</v>
      </c>
      <c r="I50" s="383">
        <f>C50*F50</f>
        <v>0</v>
      </c>
      <c r="J50" s="388">
        <f>ROUND(C50*G50,2)</f>
        <v>36.04</v>
      </c>
      <c r="K50" s="383">
        <f>SUM(I50:J50)</f>
        <v>36.04</v>
      </c>
      <c r="L50" s="383">
        <f t="shared" si="30"/>
        <v>0</v>
      </c>
      <c r="M50" s="383">
        <f>L50-K50</f>
        <v>-36.04</v>
      </c>
      <c r="N50" s="383">
        <f t="shared" si="32"/>
        <v>-1.35</v>
      </c>
      <c r="P50" s="388">
        <f t="shared" si="33"/>
        <v>-0.01</v>
      </c>
      <c r="Q50" s="383">
        <f t="shared" si="34"/>
        <v>-1.06</v>
      </c>
      <c r="R50" s="383">
        <f>N50-Q50</f>
        <v>-0.29000000000000004</v>
      </c>
      <c r="S50" s="389">
        <f t="shared" si="36"/>
        <v>15</v>
      </c>
      <c r="T50" s="388">
        <f>VLOOKUP($A50,'Rates-Lights'!$C$550:$I$660,3,FALSE)</f>
        <v>15.35</v>
      </c>
      <c r="U50" s="384">
        <f>(S50-T50)/T50</f>
        <v>-2.280130293159607E-2</v>
      </c>
      <c r="W50" s="390"/>
      <c r="X50" s="385"/>
    </row>
    <row r="51" spans="1:24">
      <c r="A51" s="387" t="s">
        <v>398</v>
      </c>
      <c r="B51" s="15" t="s">
        <v>1297</v>
      </c>
      <c r="C51" s="267">
        <f t="shared" si="26"/>
        <v>12574</v>
      </c>
      <c r="D51" s="267">
        <f t="shared" si="27"/>
        <v>0</v>
      </c>
      <c r="E51" s="412">
        <v>0.11700000000000001</v>
      </c>
      <c r="F51" s="383"/>
      <c r="G51" s="388">
        <f>VLOOKUP(A51,'Rates-Lights'!$C$550:$I$660,5,FALSE)</f>
        <v>0.34</v>
      </c>
      <c r="H51" s="388">
        <f t="shared" si="28"/>
        <v>14208.619999999999</v>
      </c>
      <c r="I51" s="383">
        <f>C51*F51</f>
        <v>0</v>
      </c>
      <c r="J51" s="388">
        <f>ROUND(C51*G51,2)</f>
        <v>4275.16</v>
      </c>
      <c r="K51" s="383">
        <f>SUM(I51:J51)</f>
        <v>4275.16</v>
      </c>
      <c r="L51" s="383">
        <f t="shared" si="30"/>
        <v>0</v>
      </c>
      <c r="M51" s="383">
        <f>L51-K51</f>
        <v>-4275.16</v>
      </c>
      <c r="N51" s="383">
        <f t="shared" si="32"/>
        <v>-160.09</v>
      </c>
      <c r="P51" s="388">
        <f t="shared" si="33"/>
        <v>-0.01</v>
      </c>
      <c r="Q51" s="383">
        <f t="shared" si="34"/>
        <v>-125.74000000000001</v>
      </c>
      <c r="R51" s="383">
        <f>N51-Q51</f>
        <v>-34.349999999999994</v>
      </c>
      <c r="S51" s="389">
        <f t="shared" si="36"/>
        <v>20.619999999999997</v>
      </c>
      <c r="T51" s="388">
        <f>VLOOKUP($A51,'Rates-Lights'!$C$550:$I$660,3,FALSE)</f>
        <v>20.97</v>
      </c>
      <c r="U51" s="384">
        <f>(S51-T51)/T51</f>
        <v>-1.6690510252742079E-2</v>
      </c>
      <c r="W51" s="390"/>
      <c r="X51" s="385"/>
    </row>
    <row r="52" spans="1:24">
      <c r="A52" s="387" t="s">
        <v>447</v>
      </c>
      <c r="B52" s="15" t="s">
        <v>1298</v>
      </c>
      <c r="C52" s="267">
        <f t="shared" si="26"/>
        <v>278</v>
      </c>
      <c r="D52" s="267">
        <f t="shared" si="27"/>
        <v>0</v>
      </c>
      <c r="E52" s="412">
        <v>0.24199999999999999</v>
      </c>
      <c r="F52" s="383"/>
      <c r="G52" s="388">
        <f>VLOOKUP(A52,'Rates-Lights'!$C$550:$I$660,5,FALSE)</f>
        <v>0.57999999999999996</v>
      </c>
      <c r="H52" s="388">
        <f t="shared" si="28"/>
        <v>647.74</v>
      </c>
      <c r="I52" s="383">
        <f t="shared" ref="I52" si="38">C52*F52</f>
        <v>0</v>
      </c>
      <c r="J52" s="388">
        <f t="shared" ref="J52" si="39">ROUND(C52*G52,2)</f>
        <v>161.24</v>
      </c>
      <c r="K52" s="383">
        <f t="shared" ref="K52" si="40">SUM(I52:J52)</f>
        <v>161.24</v>
      </c>
      <c r="L52" s="383">
        <f t="shared" si="30"/>
        <v>0</v>
      </c>
      <c r="M52" s="383">
        <f t="shared" ref="M52" si="41">L52-K52</f>
        <v>-161.24</v>
      </c>
      <c r="N52" s="383">
        <f t="shared" si="32"/>
        <v>-6.04</v>
      </c>
      <c r="P52" s="388">
        <f t="shared" si="33"/>
        <v>-0.02</v>
      </c>
      <c r="Q52" s="383">
        <f t="shared" si="34"/>
        <v>-5.5600000000000005</v>
      </c>
      <c r="R52" s="383">
        <f t="shared" ref="R52" si="42">N52-Q52</f>
        <v>-0.47999999999999954</v>
      </c>
      <c r="S52" s="389">
        <f t="shared" si="36"/>
        <v>17.12</v>
      </c>
      <c r="T52" s="388">
        <f>VLOOKUP($A52,'Rates-Lights'!$C$550:$I$660,3,FALSE)</f>
        <v>17.72</v>
      </c>
      <c r="U52" s="384">
        <f t="shared" ref="U52" si="43">(S52-T52)/T52</f>
        <v>-3.3860045146726747E-2</v>
      </c>
      <c r="W52" s="390"/>
      <c r="X52" s="385"/>
    </row>
    <row r="53" spans="1:24">
      <c r="A53" s="387" t="s">
        <v>348</v>
      </c>
      <c r="B53" s="15" t="s">
        <v>1299</v>
      </c>
      <c r="C53" s="267">
        <f t="shared" si="26"/>
        <v>16764</v>
      </c>
      <c r="D53" s="267">
        <f t="shared" si="27"/>
        <v>0</v>
      </c>
      <c r="E53" s="412">
        <v>0.24199999999999999</v>
      </c>
      <c r="F53" s="383"/>
      <c r="G53" s="388">
        <f>VLOOKUP(A53,'Rates-Lights'!$C$550:$I$660,5,FALSE)</f>
        <v>0.57999999999999996</v>
      </c>
      <c r="H53" s="388">
        <f t="shared" si="28"/>
        <v>39060.119999999995</v>
      </c>
      <c r="I53" s="383">
        <f>C53*F53</f>
        <v>0</v>
      </c>
      <c r="J53" s="388">
        <f>ROUND(C53*G53,2)</f>
        <v>9723.1200000000008</v>
      </c>
      <c r="K53" s="383">
        <f>SUM(I53:J53)</f>
        <v>9723.1200000000008</v>
      </c>
      <c r="L53" s="383">
        <f t="shared" si="30"/>
        <v>0</v>
      </c>
      <c r="M53" s="383">
        <f>L53-K53</f>
        <v>-9723.1200000000008</v>
      </c>
      <c r="N53" s="383">
        <f t="shared" si="32"/>
        <v>-364.11</v>
      </c>
      <c r="P53" s="388">
        <f t="shared" si="33"/>
        <v>-0.02</v>
      </c>
      <c r="Q53" s="383">
        <f t="shared" si="34"/>
        <v>-335.28000000000003</v>
      </c>
      <c r="R53" s="383">
        <f>N53-Q53</f>
        <v>-28.829999999999984</v>
      </c>
      <c r="S53" s="389">
        <f t="shared" si="36"/>
        <v>26.26</v>
      </c>
      <c r="T53" s="388">
        <f>VLOOKUP($A53,'Rates-Lights'!$C$550:$I$660,3,FALSE)</f>
        <v>26.86</v>
      </c>
      <c r="U53" s="384">
        <f>(S53-T53)/T53</f>
        <v>-2.2338049143708037E-2</v>
      </c>
      <c r="W53" s="390"/>
      <c r="X53" s="385"/>
    </row>
    <row r="54" spans="1:24">
      <c r="A54" s="387" t="s">
        <v>624</v>
      </c>
      <c r="B54" s="15" t="s">
        <v>1300</v>
      </c>
      <c r="C54" s="267">
        <f t="shared" si="26"/>
        <v>287</v>
      </c>
      <c r="D54" s="267">
        <f t="shared" si="27"/>
        <v>0</v>
      </c>
      <c r="E54" s="412">
        <v>0.47099999999999997</v>
      </c>
      <c r="F54" s="383"/>
      <c r="G54" s="388">
        <f>VLOOKUP(A54,'Rates-Lights'!$C$550:$I$660,5,FALSE)</f>
        <v>0.79</v>
      </c>
      <c r="H54" s="388">
        <f t="shared" si="28"/>
        <v>1300.1100000000001</v>
      </c>
      <c r="I54" s="383">
        <f>C54*F54</f>
        <v>0</v>
      </c>
      <c r="J54" s="388">
        <f>ROUND(C54*G54,2)</f>
        <v>226.73</v>
      </c>
      <c r="K54" s="383">
        <f>SUM(I54:J54)</f>
        <v>226.73</v>
      </c>
      <c r="L54" s="383">
        <f t="shared" si="30"/>
        <v>0</v>
      </c>
      <c r="M54" s="383">
        <f>L54-K54</f>
        <v>-226.73</v>
      </c>
      <c r="N54" s="383">
        <f t="shared" si="32"/>
        <v>-8.49</v>
      </c>
      <c r="P54" s="388">
        <f t="shared" si="33"/>
        <v>-0.03</v>
      </c>
      <c r="Q54" s="383">
        <f t="shared" si="34"/>
        <v>-8.61</v>
      </c>
      <c r="R54" s="383">
        <f>N54-Q54</f>
        <v>0.11999999999999922</v>
      </c>
      <c r="S54" s="389">
        <f t="shared" si="36"/>
        <v>20.67</v>
      </c>
      <c r="T54" s="388">
        <f>VLOOKUP($A54,'Rates-Lights'!$C$550:$I$660,3,FALSE)</f>
        <v>21.490000000000002</v>
      </c>
      <c r="U54" s="384">
        <f>(S54-T54)/T54</f>
        <v>-3.8157282456956737E-2</v>
      </c>
      <c r="W54" s="390"/>
      <c r="X54" s="385"/>
    </row>
    <row r="55" spans="1:24">
      <c r="A55" s="387" t="s">
        <v>380</v>
      </c>
      <c r="B55" s="15" t="s">
        <v>1301</v>
      </c>
      <c r="C55" s="267">
        <f t="shared" si="26"/>
        <v>11340</v>
      </c>
      <c r="D55" s="267">
        <f t="shared" si="27"/>
        <v>0</v>
      </c>
      <c r="E55" s="412">
        <v>0.47099999999999997</v>
      </c>
      <c r="F55" s="383"/>
      <c r="G55" s="388">
        <f>VLOOKUP(A55,'Rates-Lights'!$C$550:$I$660,5,FALSE)</f>
        <v>0.79</v>
      </c>
      <c r="H55" s="388">
        <f t="shared" si="28"/>
        <v>51370.2</v>
      </c>
      <c r="I55" s="383">
        <f>C55*F55</f>
        <v>0</v>
      </c>
      <c r="J55" s="388">
        <f>ROUND(C55*G55,2)</f>
        <v>8958.6</v>
      </c>
      <c r="K55" s="383">
        <f>SUM(I55:J55)</f>
        <v>8958.6</v>
      </c>
      <c r="L55" s="383">
        <f t="shared" si="30"/>
        <v>0</v>
      </c>
      <c r="M55" s="383">
        <f>L55-K55</f>
        <v>-8958.6</v>
      </c>
      <c r="N55" s="383">
        <f t="shared" si="32"/>
        <v>-335.48</v>
      </c>
      <c r="P55" s="388">
        <f t="shared" si="33"/>
        <v>-0.03</v>
      </c>
      <c r="Q55" s="383">
        <f t="shared" si="34"/>
        <v>-340.2</v>
      </c>
      <c r="R55" s="383">
        <f>N55-Q55</f>
        <v>4.7199999999999704</v>
      </c>
      <c r="S55" s="389">
        <f t="shared" si="36"/>
        <v>32.299999999999997</v>
      </c>
      <c r="T55" s="388">
        <f>VLOOKUP($A55,'Rates-Lights'!$C$550:$I$660,3,FALSE)</f>
        <v>33.119999999999997</v>
      </c>
      <c r="U55" s="384">
        <f>(S55-T55)/T55</f>
        <v>-2.4758454106280203E-2</v>
      </c>
      <c r="W55" s="390"/>
      <c r="X55" s="385"/>
    </row>
    <row r="56" spans="1:24">
      <c r="A56" s="387"/>
      <c r="B56"/>
      <c r="F56" s="383"/>
      <c r="G56" s="388"/>
      <c r="H56" s="388"/>
      <c r="I56" s="383"/>
      <c r="J56" s="388"/>
      <c r="K56" s="383"/>
      <c r="L56" s="383"/>
      <c r="M56" s="383"/>
      <c r="N56" s="383"/>
      <c r="P56" s="388"/>
      <c r="Q56" s="383"/>
      <c r="R56" s="383"/>
      <c r="S56" s="389"/>
      <c r="T56" s="388"/>
      <c r="U56" s="384"/>
      <c r="W56" s="390"/>
      <c r="X56" s="385"/>
    </row>
    <row r="57" spans="1:24">
      <c r="A57" s="387" t="s">
        <v>416</v>
      </c>
      <c r="B57" t="s">
        <v>1302</v>
      </c>
      <c r="C57" s="267">
        <f>SUMIF(_12MonLights_RateCategory,$A57,_12MonLights_Count)</f>
        <v>0</v>
      </c>
      <c r="D57" s="267">
        <f>SUMIF(_12MonLights_RateCategory,$A57,_12MonLights_KWH)</f>
        <v>0</v>
      </c>
      <c r="E57" s="412">
        <v>0.06</v>
      </c>
      <c r="F57" s="383"/>
      <c r="G57" s="388">
        <f>VLOOKUP(A57,'Rates-Lights'!$C$550:$I$660,5,FALSE)</f>
        <v>0.33</v>
      </c>
      <c r="H57" s="388">
        <f>SUMIF(_12MonLights_RateCategory,TEXT(A57,0),_12MonLights_Base_Fuel_Revenue)</f>
        <v>0</v>
      </c>
      <c r="I57" s="383">
        <f>C57*F57</f>
        <v>0</v>
      </c>
      <c r="J57" s="388">
        <f>ROUND(C57*G57,2)</f>
        <v>0</v>
      </c>
      <c r="K57" s="383">
        <f>SUM(I57:J57)</f>
        <v>0</v>
      </c>
      <c r="L57" s="383">
        <f>SUMIF(_12MonLights_RateCategory,TEXT($A57,0),_12MonLights_Revenue_Actual)</f>
        <v>0</v>
      </c>
      <c r="M57" s="383">
        <f>L57-K57</f>
        <v>0</v>
      </c>
      <c r="N57" s="383">
        <f>ROUND($L$186/$M$153*M57,2)</f>
        <v>0</v>
      </c>
      <c r="P57" s="388">
        <f t="shared" ref="P57:P58" si="44">ROUND((SUMIF($E$17:$E$150,$E57,$N$17:$N$150)/SUMIF($E$17:$E$150,$E57,$C$17:$C$150)),2)</f>
        <v>-0.01</v>
      </c>
      <c r="Q57" s="383">
        <f>P57*C57</f>
        <v>0</v>
      </c>
      <c r="R57" s="383">
        <f>N57-Q57</f>
        <v>0</v>
      </c>
      <c r="S57" s="389">
        <f>T57-G57+P57</f>
        <v>22.15</v>
      </c>
      <c r="T57" s="388">
        <f>VLOOKUP($A57,'Rates-Lights'!$C$550:$I$660,3,FALSE)</f>
        <v>22.49</v>
      </c>
      <c r="U57" s="384">
        <f>(S57-T57)/T57</f>
        <v>-1.5117830146731875E-2</v>
      </c>
      <c r="W57" s="390"/>
      <c r="X57" s="385"/>
    </row>
    <row r="58" spans="1:24">
      <c r="A58" s="387" t="s">
        <v>417</v>
      </c>
      <c r="B58" s="15" t="s">
        <v>1303</v>
      </c>
      <c r="C58" s="267">
        <f>SUMIF(_12MonLights_RateCategory,$A58,_12MonLights_Count)</f>
        <v>0</v>
      </c>
      <c r="D58" s="267">
        <f>SUMIF(_12MonLights_RateCategory,$A58,_12MonLights_KWH)</f>
        <v>0</v>
      </c>
      <c r="E58" s="412">
        <v>0.11700000000000001</v>
      </c>
      <c r="F58" s="383"/>
      <c r="G58" s="388">
        <f>VLOOKUP(A58,'Rates-Lights'!$C$550:$I$660,5,FALSE)</f>
        <v>0.34</v>
      </c>
      <c r="H58" s="388">
        <f>SUMIF(_12MonLights_RateCategory,TEXT(A58,0),_12MonLights_Base_Fuel_Revenue)</f>
        <v>0</v>
      </c>
      <c r="I58" s="383">
        <f>C58*F58</f>
        <v>0</v>
      </c>
      <c r="J58" s="388">
        <f>ROUND(C58*G58,2)</f>
        <v>0</v>
      </c>
      <c r="K58" s="383">
        <f>SUM(I58:J58)</f>
        <v>0</v>
      </c>
      <c r="L58" s="383">
        <f>SUMIF(_12MonLights_RateCategory,TEXT($A58,0),_12MonLights_Revenue_Actual)</f>
        <v>0</v>
      </c>
      <c r="M58" s="383">
        <f>L58-K58</f>
        <v>0</v>
      </c>
      <c r="N58" s="383">
        <f>ROUND($L$186/$M$153*M58,2)</f>
        <v>0</v>
      </c>
      <c r="P58" s="388">
        <f t="shared" si="44"/>
        <v>-0.01</v>
      </c>
      <c r="Q58" s="383">
        <f>P58*C58</f>
        <v>0</v>
      </c>
      <c r="R58" s="383">
        <f>N58-Q58</f>
        <v>0</v>
      </c>
      <c r="S58" s="389">
        <f>T58-G58+P58</f>
        <v>23.15</v>
      </c>
      <c r="T58" s="388">
        <f>VLOOKUP($A58,'Rates-Lights'!$C$550:$I$660,3,FALSE)</f>
        <v>23.5</v>
      </c>
      <c r="U58" s="384">
        <f>(S58-T58)/T58</f>
        <v>-1.4893617021276655E-2</v>
      </c>
      <c r="W58" s="390"/>
      <c r="X58" s="385"/>
    </row>
    <row r="59" spans="1:24">
      <c r="A59" s="387"/>
      <c r="B59"/>
      <c r="F59" s="383"/>
      <c r="G59" s="388"/>
      <c r="H59" s="388"/>
      <c r="I59" s="383"/>
      <c r="J59" s="388"/>
      <c r="K59" s="383"/>
      <c r="L59" s="383"/>
      <c r="M59" s="383"/>
      <c r="N59" s="383"/>
      <c r="P59" s="388"/>
      <c r="Q59" s="383"/>
      <c r="R59" s="383"/>
      <c r="S59" s="389"/>
      <c r="T59" s="388"/>
      <c r="U59" s="384"/>
      <c r="W59" s="390"/>
      <c r="X59" s="385"/>
    </row>
    <row r="60" spans="1:24">
      <c r="A60" s="387"/>
      <c r="B60" t="s">
        <v>1304</v>
      </c>
      <c r="F60" s="383"/>
      <c r="G60" s="388"/>
      <c r="H60" s="388"/>
      <c r="I60" s="383"/>
      <c r="J60" s="388"/>
      <c r="K60" s="383"/>
      <c r="L60" s="383"/>
      <c r="M60" s="383"/>
      <c r="N60" s="383"/>
      <c r="P60" s="388"/>
      <c r="Q60" s="383"/>
      <c r="R60" s="383"/>
      <c r="S60" s="389"/>
      <c r="T60" s="388"/>
      <c r="U60" s="384"/>
      <c r="W60" s="390"/>
      <c r="X60" s="385"/>
    </row>
    <row r="61" spans="1:24">
      <c r="A61" s="387" t="s">
        <v>323</v>
      </c>
      <c r="B61" s="15" t="s">
        <v>1305</v>
      </c>
      <c r="C61" s="267">
        <f t="shared" ref="C61:C82" si="45">SUMIF(_12MonLights_RateCategory,$A61,_12MonLights_Count)</f>
        <v>2105</v>
      </c>
      <c r="D61" s="267">
        <f t="shared" ref="D61:D82" si="46">SUMIF(_12MonLights_RateCategory,$A61,_12MonLights_KWH)</f>
        <v>0</v>
      </c>
      <c r="E61" s="412">
        <v>0.18099999999999999</v>
      </c>
      <c r="F61" s="383"/>
      <c r="G61" s="388">
        <f>VLOOKUP(A61,'Rates-Lights'!$C$550:$I$660,5,FALSE)</f>
        <v>2.41</v>
      </c>
      <c r="H61" s="388">
        <f t="shared" ref="H61:H82" si="47">SUMIF(_12MonLights_RateCategory,TEXT(A61,0),_12MonLights_Base_Fuel_Revenue)</f>
        <v>3683.75</v>
      </c>
      <c r="I61" s="383">
        <f t="shared" ref="I61:I77" si="48">C61*F61</f>
        <v>0</v>
      </c>
      <c r="J61" s="388">
        <f t="shared" ref="J61:J77" si="49">ROUND(C61*G61,2)</f>
        <v>5073.05</v>
      </c>
      <c r="K61" s="383">
        <f t="shared" ref="K61:K77" si="50">SUM(I61:J61)</f>
        <v>5073.05</v>
      </c>
      <c r="L61" s="383">
        <f t="shared" ref="L61:L82" si="51">SUMIF(_12MonLights_RateCategory,TEXT($A61,0),_12MonLights_Revenue_Actual)</f>
        <v>0</v>
      </c>
      <c r="M61" s="383">
        <f t="shared" ref="M61:M77" si="52">L61-K61</f>
        <v>-5073.05</v>
      </c>
      <c r="N61" s="383">
        <f t="shared" ref="N61:N82" si="53">ROUND($L$186/$M$153*M61,2)</f>
        <v>-189.97</v>
      </c>
      <c r="O61" s="390"/>
      <c r="P61" s="388">
        <f t="shared" ref="P61:P82" si="54">ROUND((SUMIF($E$17:$E$150,$E61,$N$17:$N$150)/SUMIF($E$17:$E$150,$E61,$C$17:$C$150)),2)</f>
        <v>-0.09</v>
      </c>
      <c r="Q61" s="383">
        <f t="shared" ref="Q61:Q77" si="55">P61*C61</f>
        <v>-189.45</v>
      </c>
      <c r="R61" s="383">
        <f t="shared" ref="R61:R77" si="56">N61-Q61</f>
        <v>-0.52000000000001023</v>
      </c>
      <c r="S61" s="389">
        <f t="shared" ref="S61:S77" si="57">T61-G61+P61</f>
        <v>52.83</v>
      </c>
      <c r="T61" s="388">
        <f>VLOOKUP($A61,'Rates-Lights'!$C$550:$I$660,3,FALSE)</f>
        <v>55.33</v>
      </c>
      <c r="U61" s="384">
        <f t="shared" ref="U61:U77" si="58">(S61-T61)/T61</f>
        <v>-4.5183444785830473E-2</v>
      </c>
      <c r="W61" s="390"/>
      <c r="X61" s="385"/>
    </row>
    <row r="62" spans="1:24">
      <c r="A62" s="387" t="s">
        <v>328</v>
      </c>
      <c r="B62" s="15" t="s">
        <v>1306</v>
      </c>
      <c r="C62" s="267">
        <f t="shared" si="45"/>
        <v>305</v>
      </c>
      <c r="D62" s="267">
        <f t="shared" si="46"/>
        <v>0</v>
      </c>
      <c r="E62" s="412">
        <v>0.18099999999999999</v>
      </c>
      <c r="F62" s="383"/>
      <c r="G62" s="388">
        <f>VLOOKUP(A62,'Rates-Lights'!$C$550:$I$660,5,FALSE)</f>
        <v>2.41</v>
      </c>
      <c r="H62" s="388">
        <f t="shared" si="47"/>
        <v>533.75</v>
      </c>
      <c r="I62" s="383">
        <f t="shared" si="48"/>
        <v>0</v>
      </c>
      <c r="J62" s="388">
        <f t="shared" si="49"/>
        <v>735.05</v>
      </c>
      <c r="K62" s="383">
        <f t="shared" si="50"/>
        <v>735.05</v>
      </c>
      <c r="L62" s="383">
        <f t="shared" si="51"/>
        <v>0</v>
      </c>
      <c r="M62" s="383">
        <f t="shared" si="52"/>
        <v>-735.05</v>
      </c>
      <c r="N62" s="383">
        <f t="shared" si="53"/>
        <v>-27.53</v>
      </c>
      <c r="P62" s="388">
        <f t="shared" si="54"/>
        <v>-0.09</v>
      </c>
      <c r="Q62" s="383">
        <f t="shared" si="55"/>
        <v>-27.45</v>
      </c>
      <c r="R62" s="383">
        <f t="shared" si="56"/>
        <v>-8.0000000000001847E-2</v>
      </c>
      <c r="S62" s="389">
        <f t="shared" si="57"/>
        <v>80.66</v>
      </c>
      <c r="T62" s="388">
        <f>VLOOKUP($A62,'Rates-Lights'!$C$550:$I$660,3,FALSE)</f>
        <v>83.16</v>
      </c>
      <c r="U62" s="384">
        <f t="shared" si="58"/>
        <v>-3.0062530062530065E-2</v>
      </c>
      <c r="W62" s="390"/>
      <c r="X62" s="385"/>
    </row>
    <row r="63" spans="1:24">
      <c r="A63" s="387" t="s">
        <v>331</v>
      </c>
      <c r="B63" s="15" t="s">
        <v>1307</v>
      </c>
      <c r="C63" s="267">
        <f t="shared" si="45"/>
        <v>517</v>
      </c>
      <c r="D63" s="267">
        <f t="shared" si="46"/>
        <v>0</v>
      </c>
      <c r="E63" s="412">
        <v>0.18099999999999999</v>
      </c>
      <c r="F63" s="383"/>
      <c r="G63" s="388">
        <f>VLOOKUP(A63,'Rates-Lights'!$C$550:$I$660,5,FALSE)</f>
        <v>2.41</v>
      </c>
      <c r="H63" s="388">
        <f t="shared" si="47"/>
        <v>904.75</v>
      </c>
      <c r="I63" s="383">
        <f t="shared" si="48"/>
        <v>0</v>
      </c>
      <c r="J63" s="388">
        <f t="shared" si="49"/>
        <v>1245.97</v>
      </c>
      <c r="K63" s="383">
        <f t="shared" si="50"/>
        <v>1245.97</v>
      </c>
      <c r="L63" s="383">
        <f t="shared" si="51"/>
        <v>0</v>
      </c>
      <c r="M63" s="383">
        <f t="shared" si="52"/>
        <v>-1245.97</v>
      </c>
      <c r="N63" s="383">
        <f t="shared" si="53"/>
        <v>-46.66</v>
      </c>
      <c r="P63" s="388">
        <f t="shared" si="54"/>
        <v>-0.09</v>
      </c>
      <c r="Q63" s="383">
        <f t="shared" si="55"/>
        <v>-46.53</v>
      </c>
      <c r="R63" s="383">
        <f t="shared" si="56"/>
        <v>-0.12999999999999545</v>
      </c>
      <c r="S63" s="389">
        <f t="shared" si="57"/>
        <v>57.28</v>
      </c>
      <c r="T63" s="388">
        <f>VLOOKUP($A63,'Rates-Lights'!$C$550:$I$660,3,FALSE)</f>
        <v>59.78</v>
      </c>
      <c r="U63" s="384">
        <f t="shared" si="58"/>
        <v>-4.1820006691201068E-2</v>
      </c>
      <c r="W63" s="390"/>
      <c r="X63" s="385"/>
    </row>
    <row r="64" spans="1:24">
      <c r="A64" s="387" t="s">
        <v>332</v>
      </c>
      <c r="B64" s="15" t="s">
        <v>1308</v>
      </c>
      <c r="C64" s="267">
        <f t="shared" si="45"/>
        <v>60</v>
      </c>
      <c r="D64" s="267">
        <f t="shared" si="46"/>
        <v>0</v>
      </c>
      <c r="E64" s="412">
        <v>0.18099999999999999</v>
      </c>
      <c r="F64" s="383"/>
      <c r="G64" s="388">
        <f>VLOOKUP(A64,'Rates-Lights'!$C$550:$I$660,5,FALSE)</f>
        <v>2.41</v>
      </c>
      <c r="H64" s="388">
        <f t="shared" si="47"/>
        <v>105</v>
      </c>
      <c r="I64" s="383">
        <f t="shared" si="48"/>
        <v>0</v>
      </c>
      <c r="J64" s="388">
        <f t="shared" si="49"/>
        <v>144.6</v>
      </c>
      <c r="K64" s="383">
        <f t="shared" si="50"/>
        <v>144.6</v>
      </c>
      <c r="L64" s="383">
        <f t="shared" si="51"/>
        <v>0</v>
      </c>
      <c r="M64" s="383">
        <f t="shared" si="52"/>
        <v>-144.6</v>
      </c>
      <c r="N64" s="383">
        <f t="shared" si="53"/>
        <v>-5.41</v>
      </c>
      <c r="P64" s="388">
        <f t="shared" si="54"/>
        <v>-0.09</v>
      </c>
      <c r="Q64" s="383">
        <f t="shared" si="55"/>
        <v>-5.3999999999999995</v>
      </c>
      <c r="R64" s="383">
        <f t="shared" si="56"/>
        <v>-1.0000000000000675E-2</v>
      </c>
      <c r="S64" s="389">
        <f t="shared" si="57"/>
        <v>59.25</v>
      </c>
      <c r="T64" s="388">
        <f>VLOOKUP($A64,'Rates-Lights'!$C$550:$I$660,3,FALSE)</f>
        <v>61.75</v>
      </c>
      <c r="U64" s="384">
        <f t="shared" si="58"/>
        <v>-4.048582995951417E-2</v>
      </c>
      <c r="W64" s="390"/>
      <c r="X64" s="385"/>
    </row>
    <row r="65" spans="1:24">
      <c r="A65" s="387" t="s">
        <v>333</v>
      </c>
      <c r="B65" s="15" t="s">
        <v>1309</v>
      </c>
      <c r="C65" s="267">
        <f t="shared" si="45"/>
        <v>12</v>
      </c>
      <c r="D65" s="267">
        <f t="shared" si="46"/>
        <v>0</v>
      </c>
      <c r="E65" s="412">
        <v>0.18099999999999999</v>
      </c>
      <c r="F65" s="383"/>
      <c r="G65" s="388">
        <f>VLOOKUP(A65,'Rates-Lights'!$C$550:$I$660,5,FALSE)</f>
        <v>2.41</v>
      </c>
      <c r="H65" s="388">
        <f t="shared" si="47"/>
        <v>21</v>
      </c>
      <c r="I65" s="383">
        <f t="shared" si="48"/>
        <v>0</v>
      </c>
      <c r="J65" s="388">
        <f t="shared" si="49"/>
        <v>28.92</v>
      </c>
      <c r="K65" s="383">
        <f t="shared" si="50"/>
        <v>28.92</v>
      </c>
      <c r="L65" s="383">
        <f t="shared" si="51"/>
        <v>0</v>
      </c>
      <c r="M65" s="383">
        <f t="shared" si="52"/>
        <v>-28.92</v>
      </c>
      <c r="N65" s="383">
        <f t="shared" si="53"/>
        <v>-1.08</v>
      </c>
      <c r="P65" s="388">
        <f t="shared" si="54"/>
        <v>-0.09</v>
      </c>
      <c r="Q65" s="383">
        <f t="shared" si="55"/>
        <v>-1.08</v>
      </c>
      <c r="R65" s="383">
        <f t="shared" si="56"/>
        <v>0</v>
      </c>
      <c r="S65" s="389">
        <f t="shared" si="57"/>
        <v>60.61</v>
      </c>
      <c r="T65" s="388">
        <f>VLOOKUP($A65,'Rates-Lights'!$C$550:$I$660,3,FALSE)</f>
        <v>63.11</v>
      </c>
      <c r="U65" s="384">
        <f t="shared" si="58"/>
        <v>-3.9613373474885125E-2</v>
      </c>
      <c r="W65" s="390"/>
      <c r="X65" s="385"/>
    </row>
    <row r="66" spans="1:24">
      <c r="A66" s="387" t="s">
        <v>335</v>
      </c>
      <c r="B66" s="15" t="s">
        <v>1310</v>
      </c>
      <c r="C66" s="267">
        <f t="shared" si="45"/>
        <v>60</v>
      </c>
      <c r="D66" s="267">
        <f t="shared" si="46"/>
        <v>0</v>
      </c>
      <c r="E66" s="412">
        <v>0.18099999999999999</v>
      </c>
      <c r="F66" s="383"/>
      <c r="G66" s="388">
        <f>VLOOKUP(A66,'Rates-Lights'!$C$550:$I$660,5,FALSE)</f>
        <v>2.41</v>
      </c>
      <c r="H66" s="388">
        <f t="shared" si="47"/>
        <v>105</v>
      </c>
      <c r="I66" s="383">
        <f t="shared" si="48"/>
        <v>0</v>
      </c>
      <c r="J66" s="388">
        <f t="shared" si="49"/>
        <v>144.6</v>
      </c>
      <c r="K66" s="383">
        <f t="shared" si="50"/>
        <v>144.6</v>
      </c>
      <c r="L66" s="383">
        <f t="shared" si="51"/>
        <v>0</v>
      </c>
      <c r="M66" s="383">
        <f t="shared" si="52"/>
        <v>-144.6</v>
      </c>
      <c r="N66" s="383">
        <f t="shared" si="53"/>
        <v>-5.41</v>
      </c>
      <c r="P66" s="388">
        <f t="shared" si="54"/>
        <v>-0.09</v>
      </c>
      <c r="Q66" s="383">
        <f t="shared" si="55"/>
        <v>-5.3999999999999995</v>
      </c>
      <c r="R66" s="383">
        <f t="shared" si="56"/>
        <v>-1.0000000000000675E-2</v>
      </c>
      <c r="S66" s="389">
        <f t="shared" si="57"/>
        <v>78.44</v>
      </c>
      <c r="T66" s="388">
        <f>VLOOKUP($A66,'Rates-Lights'!$C$550:$I$660,3,FALSE)</f>
        <v>80.94</v>
      </c>
      <c r="U66" s="384">
        <f t="shared" si="58"/>
        <v>-3.0887076847047196E-2</v>
      </c>
      <c r="W66" s="390"/>
      <c r="X66" s="385"/>
    </row>
    <row r="67" spans="1:24">
      <c r="A67" s="387" t="s">
        <v>336</v>
      </c>
      <c r="B67" s="15" t="s">
        <v>1311</v>
      </c>
      <c r="C67" s="267">
        <f t="shared" si="45"/>
        <v>113</v>
      </c>
      <c r="D67" s="267">
        <f t="shared" si="46"/>
        <v>0</v>
      </c>
      <c r="E67" s="412">
        <v>0.18099999999999999</v>
      </c>
      <c r="F67" s="383"/>
      <c r="G67" s="388">
        <f>VLOOKUP(A67,'Rates-Lights'!$C$550:$I$660,5,FALSE)</f>
        <v>2.41</v>
      </c>
      <c r="H67" s="388">
        <f t="shared" si="47"/>
        <v>197.75</v>
      </c>
      <c r="I67" s="383">
        <f t="shared" si="48"/>
        <v>0</v>
      </c>
      <c r="J67" s="388">
        <f t="shared" si="49"/>
        <v>272.33</v>
      </c>
      <c r="K67" s="383">
        <f t="shared" si="50"/>
        <v>272.33</v>
      </c>
      <c r="L67" s="383">
        <f t="shared" si="51"/>
        <v>0</v>
      </c>
      <c r="M67" s="383">
        <f t="shared" si="52"/>
        <v>-272.33</v>
      </c>
      <c r="N67" s="383">
        <f t="shared" si="53"/>
        <v>-10.199999999999999</v>
      </c>
      <c r="P67" s="388">
        <f t="shared" si="54"/>
        <v>-0.09</v>
      </c>
      <c r="Q67" s="383">
        <f t="shared" si="55"/>
        <v>-10.17</v>
      </c>
      <c r="R67" s="383">
        <f t="shared" si="56"/>
        <v>-2.9999999999999361E-2</v>
      </c>
      <c r="S67" s="389">
        <f t="shared" si="57"/>
        <v>76.47</v>
      </c>
      <c r="T67" s="388">
        <f>VLOOKUP($A67,'Rates-Lights'!$C$550:$I$660,3,FALSE)</f>
        <v>78.97</v>
      </c>
      <c r="U67" s="384">
        <f t="shared" si="58"/>
        <v>-3.165759149043941E-2</v>
      </c>
      <c r="W67" s="390"/>
      <c r="X67" s="385"/>
    </row>
    <row r="68" spans="1:24">
      <c r="A68" s="387" t="s">
        <v>338</v>
      </c>
      <c r="B68" s="15" t="s">
        <v>1312</v>
      </c>
      <c r="C68" s="267">
        <f t="shared" si="45"/>
        <v>295</v>
      </c>
      <c r="D68" s="267">
        <f t="shared" si="46"/>
        <v>0</v>
      </c>
      <c r="E68" s="412">
        <v>0.18099999999999999</v>
      </c>
      <c r="F68" s="383"/>
      <c r="G68" s="388">
        <f>VLOOKUP(A68,'Rates-Lights'!$C$550:$I$660,5,FALSE)</f>
        <v>2.41</v>
      </c>
      <c r="H68" s="388">
        <f t="shared" si="47"/>
        <v>516.25</v>
      </c>
      <c r="I68" s="383">
        <f t="shared" si="48"/>
        <v>0</v>
      </c>
      <c r="J68" s="388">
        <f t="shared" si="49"/>
        <v>710.95</v>
      </c>
      <c r="K68" s="383">
        <f t="shared" si="50"/>
        <v>710.95</v>
      </c>
      <c r="L68" s="383">
        <f t="shared" si="51"/>
        <v>0</v>
      </c>
      <c r="M68" s="383">
        <f t="shared" si="52"/>
        <v>-710.95</v>
      </c>
      <c r="N68" s="383">
        <f t="shared" si="53"/>
        <v>-26.62</v>
      </c>
      <c r="P68" s="388">
        <f t="shared" si="54"/>
        <v>-0.09</v>
      </c>
      <c r="Q68" s="383">
        <f t="shared" si="55"/>
        <v>-26.55</v>
      </c>
      <c r="R68" s="383">
        <f t="shared" si="56"/>
        <v>-7.0000000000000284E-2</v>
      </c>
      <c r="S68" s="389">
        <f t="shared" si="57"/>
        <v>58.730000000000004</v>
      </c>
      <c r="T68" s="388">
        <f>VLOOKUP($A68,'Rates-Lights'!$C$550:$I$660,3,FALSE)</f>
        <v>61.230000000000004</v>
      </c>
      <c r="U68" s="384">
        <f t="shared" si="58"/>
        <v>-4.0829658664053567E-2</v>
      </c>
      <c r="W68" s="390"/>
      <c r="X68" s="385"/>
    </row>
    <row r="69" spans="1:24">
      <c r="A69" s="387" t="s">
        <v>339</v>
      </c>
      <c r="B69" s="15" t="s">
        <v>1313</v>
      </c>
      <c r="C69" s="267">
        <f t="shared" si="45"/>
        <v>12</v>
      </c>
      <c r="D69" s="267">
        <f t="shared" si="46"/>
        <v>0</v>
      </c>
      <c r="E69" s="412">
        <v>0.18099999999999999</v>
      </c>
      <c r="F69" s="383"/>
      <c r="G69" s="388">
        <f>VLOOKUP(A69,'Rates-Lights'!$C$550:$I$660,5,FALSE)</f>
        <v>2.41</v>
      </c>
      <c r="H69" s="388">
        <f t="shared" si="47"/>
        <v>21</v>
      </c>
      <c r="I69" s="383">
        <f t="shared" si="48"/>
        <v>0</v>
      </c>
      <c r="J69" s="388">
        <f t="shared" si="49"/>
        <v>28.92</v>
      </c>
      <c r="K69" s="383">
        <f t="shared" si="50"/>
        <v>28.92</v>
      </c>
      <c r="L69" s="383">
        <f t="shared" si="51"/>
        <v>0</v>
      </c>
      <c r="M69" s="383">
        <f t="shared" si="52"/>
        <v>-28.92</v>
      </c>
      <c r="N69" s="383">
        <f t="shared" si="53"/>
        <v>-1.08</v>
      </c>
      <c r="P69" s="388">
        <f t="shared" si="54"/>
        <v>-0.09</v>
      </c>
      <c r="Q69" s="383">
        <f t="shared" si="55"/>
        <v>-1.08</v>
      </c>
      <c r="R69" s="383">
        <f t="shared" si="56"/>
        <v>0</v>
      </c>
      <c r="S69" s="389">
        <f t="shared" si="57"/>
        <v>54.19</v>
      </c>
      <c r="T69" s="388">
        <f>VLOOKUP($A69,'Rates-Lights'!$C$550:$I$660,3,FALSE)</f>
        <v>56.69</v>
      </c>
      <c r="U69" s="384">
        <f t="shared" si="58"/>
        <v>-4.4099488445934032E-2</v>
      </c>
      <c r="W69" s="390"/>
      <c r="X69" s="385"/>
    </row>
    <row r="70" spans="1:24">
      <c r="A70" s="387" t="s">
        <v>325</v>
      </c>
      <c r="B70" s="15" t="s">
        <v>1314</v>
      </c>
      <c r="C70" s="267">
        <f t="shared" si="45"/>
        <v>185</v>
      </c>
      <c r="D70" s="267">
        <f t="shared" si="46"/>
        <v>0</v>
      </c>
      <c r="E70" s="412">
        <v>0.18099999999999999</v>
      </c>
      <c r="F70" s="383"/>
      <c r="G70" s="388">
        <f>VLOOKUP(A70,'Rates-Lights'!$C$550:$I$660,5,FALSE)</f>
        <v>2.41</v>
      </c>
      <c r="H70" s="388">
        <f t="shared" si="47"/>
        <v>323.75</v>
      </c>
      <c r="I70" s="383">
        <f t="shared" si="48"/>
        <v>0</v>
      </c>
      <c r="J70" s="388">
        <f t="shared" si="49"/>
        <v>445.85</v>
      </c>
      <c r="K70" s="383">
        <f t="shared" si="50"/>
        <v>445.85</v>
      </c>
      <c r="L70" s="383">
        <f t="shared" si="51"/>
        <v>0</v>
      </c>
      <c r="M70" s="383">
        <f t="shared" si="52"/>
        <v>-445.85</v>
      </c>
      <c r="N70" s="383">
        <f t="shared" si="53"/>
        <v>-16.7</v>
      </c>
      <c r="P70" s="388">
        <f t="shared" si="54"/>
        <v>-0.09</v>
      </c>
      <c r="Q70" s="383">
        <f t="shared" si="55"/>
        <v>-16.649999999999999</v>
      </c>
      <c r="R70" s="383">
        <f t="shared" si="56"/>
        <v>-5.0000000000000711E-2</v>
      </c>
      <c r="S70" s="389">
        <f t="shared" si="57"/>
        <v>72.02</v>
      </c>
      <c r="T70" s="388">
        <f>VLOOKUP($A70,'Rates-Lights'!$C$550:$I$660,3,FALSE)</f>
        <v>74.52</v>
      </c>
      <c r="U70" s="384">
        <f t="shared" si="58"/>
        <v>-3.3548040794417609E-2</v>
      </c>
      <c r="W70" s="390"/>
      <c r="X70" s="385"/>
    </row>
    <row r="71" spans="1:24">
      <c r="A71" s="387" t="s">
        <v>334</v>
      </c>
      <c r="B71" s="15" t="s">
        <v>1315</v>
      </c>
      <c r="C71" s="267">
        <f t="shared" si="45"/>
        <v>12</v>
      </c>
      <c r="D71" s="267">
        <f t="shared" si="46"/>
        <v>0</v>
      </c>
      <c r="E71" s="412">
        <v>0.18099999999999999</v>
      </c>
      <c r="F71" s="383"/>
      <c r="G71" s="388">
        <f>VLOOKUP(A71,'Rates-Lights'!$C$550:$I$660,5,FALSE)</f>
        <v>2.41</v>
      </c>
      <c r="H71" s="388">
        <f t="shared" si="47"/>
        <v>21</v>
      </c>
      <c r="I71" s="383">
        <f t="shared" si="48"/>
        <v>0</v>
      </c>
      <c r="J71" s="388">
        <f t="shared" si="49"/>
        <v>28.92</v>
      </c>
      <c r="K71" s="383">
        <f t="shared" si="50"/>
        <v>28.92</v>
      </c>
      <c r="L71" s="383">
        <f t="shared" si="51"/>
        <v>0</v>
      </c>
      <c r="M71" s="383">
        <f t="shared" si="52"/>
        <v>-28.92</v>
      </c>
      <c r="N71" s="383">
        <f t="shared" si="53"/>
        <v>-1.08</v>
      </c>
      <c r="P71" s="388">
        <f t="shared" si="54"/>
        <v>-0.09</v>
      </c>
      <c r="Q71" s="383">
        <f t="shared" si="55"/>
        <v>-1.08</v>
      </c>
      <c r="R71" s="383">
        <f t="shared" si="56"/>
        <v>0</v>
      </c>
      <c r="S71" s="389">
        <f t="shared" si="57"/>
        <v>79.8</v>
      </c>
      <c r="T71" s="388">
        <f>VLOOKUP($A71,'Rates-Lights'!$C$550:$I$660,3,FALSE)</f>
        <v>82.3</v>
      </c>
      <c r="U71" s="384">
        <f t="shared" si="58"/>
        <v>-3.0376670716889431E-2</v>
      </c>
      <c r="W71" s="390"/>
      <c r="X71" s="385"/>
    </row>
    <row r="72" spans="1:24">
      <c r="A72" s="387" t="s">
        <v>326</v>
      </c>
      <c r="B72" s="15" t="s">
        <v>1316</v>
      </c>
      <c r="C72" s="267">
        <f t="shared" si="45"/>
        <v>235</v>
      </c>
      <c r="D72" s="267">
        <f t="shared" si="46"/>
        <v>0</v>
      </c>
      <c r="E72" s="412">
        <v>0.18099999999999999</v>
      </c>
      <c r="F72" s="383"/>
      <c r="G72" s="388">
        <f>VLOOKUP(A72,'Rates-Lights'!$C$550:$I$660,5,FALSE)</f>
        <v>2.41</v>
      </c>
      <c r="H72" s="388">
        <f t="shared" si="47"/>
        <v>411.25</v>
      </c>
      <c r="I72" s="383">
        <f t="shared" si="48"/>
        <v>0</v>
      </c>
      <c r="J72" s="388">
        <f t="shared" si="49"/>
        <v>566.35</v>
      </c>
      <c r="K72" s="383">
        <f t="shared" si="50"/>
        <v>566.35</v>
      </c>
      <c r="L72" s="383">
        <f t="shared" si="51"/>
        <v>0</v>
      </c>
      <c r="M72" s="383">
        <f t="shared" si="52"/>
        <v>-566.35</v>
      </c>
      <c r="N72" s="383">
        <f t="shared" si="53"/>
        <v>-21.21</v>
      </c>
      <c r="P72" s="388">
        <f t="shared" si="54"/>
        <v>-0.09</v>
      </c>
      <c r="Q72" s="383">
        <f t="shared" si="55"/>
        <v>-21.15</v>
      </c>
      <c r="R72" s="383">
        <f t="shared" si="56"/>
        <v>-6.0000000000002274E-2</v>
      </c>
      <c r="S72" s="389">
        <f t="shared" si="57"/>
        <v>72.02</v>
      </c>
      <c r="T72" s="388">
        <f>VLOOKUP($A72,'Rates-Lights'!$C$550:$I$660,3,FALSE)</f>
        <v>74.52</v>
      </c>
      <c r="U72" s="384">
        <f t="shared" si="58"/>
        <v>-3.3548040794417609E-2</v>
      </c>
      <c r="W72" s="390"/>
      <c r="X72" s="385"/>
    </row>
    <row r="73" spans="1:24">
      <c r="A73" s="387" t="s">
        <v>330</v>
      </c>
      <c r="B73" s="15" t="s">
        <v>1317</v>
      </c>
      <c r="C73" s="267">
        <f t="shared" si="45"/>
        <v>48</v>
      </c>
      <c r="D73" s="267">
        <f t="shared" si="46"/>
        <v>0</v>
      </c>
      <c r="E73" s="412">
        <v>0.18099999999999999</v>
      </c>
      <c r="F73" s="383"/>
      <c r="G73" s="388">
        <f>VLOOKUP(A73,'Rates-Lights'!$C$550:$I$660,5,FALSE)</f>
        <v>2.41</v>
      </c>
      <c r="H73" s="388">
        <f t="shared" si="47"/>
        <v>84</v>
      </c>
      <c r="I73" s="383">
        <f t="shared" si="48"/>
        <v>0</v>
      </c>
      <c r="J73" s="388">
        <f t="shared" si="49"/>
        <v>115.68</v>
      </c>
      <c r="K73" s="383">
        <f t="shared" si="50"/>
        <v>115.68</v>
      </c>
      <c r="L73" s="383">
        <f t="shared" si="51"/>
        <v>0</v>
      </c>
      <c r="M73" s="383">
        <f t="shared" si="52"/>
        <v>-115.68</v>
      </c>
      <c r="N73" s="383">
        <f t="shared" si="53"/>
        <v>-4.33</v>
      </c>
      <c r="P73" s="388">
        <f t="shared" si="54"/>
        <v>-0.09</v>
      </c>
      <c r="Q73" s="383">
        <f t="shared" si="55"/>
        <v>-4.32</v>
      </c>
      <c r="R73" s="383">
        <f t="shared" si="56"/>
        <v>-9.9999999999997868E-3</v>
      </c>
      <c r="S73" s="389">
        <f t="shared" si="57"/>
        <v>73.38</v>
      </c>
      <c r="T73" s="388">
        <f>VLOOKUP($A73,'Rates-Lights'!$C$550:$I$660,3,FALSE)</f>
        <v>75.88</v>
      </c>
      <c r="U73" s="384">
        <f t="shared" si="58"/>
        <v>-3.2946758039008962E-2</v>
      </c>
      <c r="W73" s="390"/>
      <c r="X73" s="385"/>
    </row>
    <row r="74" spans="1:24">
      <c r="A74" s="387" t="s">
        <v>337</v>
      </c>
      <c r="B74" s="15" t="s">
        <v>1318</v>
      </c>
      <c r="C74" s="267">
        <f t="shared" si="45"/>
        <v>36</v>
      </c>
      <c r="D74" s="267">
        <f t="shared" si="46"/>
        <v>0</v>
      </c>
      <c r="E74" s="412">
        <v>0.18099999999999999</v>
      </c>
      <c r="F74" s="383"/>
      <c r="G74" s="388">
        <f>VLOOKUP(A74,'Rates-Lights'!$C$550:$I$660,5,FALSE)</f>
        <v>2.41</v>
      </c>
      <c r="H74" s="388">
        <f t="shared" si="47"/>
        <v>63</v>
      </c>
      <c r="I74" s="383">
        <f t="shared" si="48"/>
        <v>0</v>
      </c>
      <c r="J74" s="388">
        <f t="shared" si="49"/>
        <v>86.76</v>
      </c>
      <c r="K74" s="383">
        <f t="shared" si="50"/>
        <v>86.76</v>
      </c>
      <c r="L74" s="383">
        <f t="shared" si="51"/>
        <v>0</v>
      </c>
      <c r="M74" s="383">
        <f t="shared" si="52"/>
        <v>-86.76</v>
      </c>
      <c r="N74" s="383">
        <f t="shared" si="53"/>
        <v>-3.25</v>
      </c>
      <c r="P74" s="388">
        <f t="shared" si="54"/>
        <v>-0.09</v>
      </c>
      <c r="Q74" s="383">
        <f t="shared" si="55"/>
        <v>-3.2399999999999998</v>
      </c>
      <c r="R74" s="383">
        <f t="shared" si="56"/>
        <v>-1.0000000000000231E-2</v>
      </c>
      <c r="S74" s="389">
        <f t="shared" si="57"/>
        <v>76.47</v>
      </c>
      <c r="T74" s="388">
        <f>VLOOKUP($A74,'Rates-Lights'!$C$550:$I$660,3,FALSE)</f>
        <v>78.97</v>
      </c>
      <c r="U74" s="384">
        <f t="shared" si="58"/>
        <v>-3.165759149043941E-2</v>
      </c>
      <c r="W74" s="390"/>
      <c r="X74" s="385"/>
    </row>
    <row r="75" spans="1:24">
      <c r="A75" s="387" t="s">
        <v>329</v>
      </c>
      <c r="B75" s="15" t="s">
        <v>1319</v>
      </c>
      <c r="C75" s="267">
        <f t="shared" si="45"/>
        <v>24</v>
      </c>
      <c r="D75" s="267">
        <f t="shared" si="46"/>
        <v>0</v>
      </c>
      <c r="E75" s="412">
        <v>0.18099999999999999</v>
      </c>
      <c r="F75" s="383"/>
      <c r="G75" s="388">
        <f>VLOOKUP(A75,'Rates-Lights'!$C$550:$I$660,5,FALSE)</f>
        <v>2.41</v>
      </c>
      <c r="H75" s="388">
        <f t="shared" si="47"/>
        <v>42</v>
      </c>
      <c r="I75" s="383">
        <f t="shared" si="48"/>
        <v>0</v>
      </c>
      <c r="J75" s="388">
        <f t="shared" si="49"/>
        <v>57.84</v>
      </c>
      <c r="K75" s="383">
        <f t="shared" si="50"/>
        <v>57.84</v>
      </c>
      <c r="L75" s="383">
        <f t="shared" si="51"/>
        <v>0</v>
      </c>
      <c r="M75" s="383">
        <f t="shared" si="52"/>
        <v>-57.84</v>
      </c>
      <c r="N75" s="383">
        <f t="shared" si="53"/>
        <v>-2.17</v>
      </c>
      <c r="P75" s="388">
        <f t="shared" si="54"/>
        <v>-0.09</v>
      </c>
      <c r="Q75" s="383">
        <f t="shared" si="55"/>
        <v>-2.16</v>
      </c>
      <c r="R75" s="383">
        <f t="shared" si="56"/>
        <v>-9.9999999999997868E-3</v>
      </c>
      <c r="S75" s="389">
        <f t="shared" si="57"/>
        <v>74.759999999999991</v>
      </c>
      <c r="T75" s="388">
        <f>VLOOKUP($A75,'Rates-Lights'!$C$550:$I$660,3,FALSE)</f>
        <v>77.259999999999991</v>
      </c>
      <c r="U75" s="384">
        <f t="shared" si="58"/>
        <v>-3.2358270774009844E-2</v>
      </c>
      <c r="W75" s="390"/>
      <c r="X75" s="385"/>
    </row>
    <row r="76" spans="1:24">
      <c r="A76" s="387" t="s">
        <v>327</v>
      </c>
      <c r="B76" s="15" t="s">
        <v>1320</v>
      </c>
      <c r="C76" s="267">
        <f t="shared" si="45"/>
        <v>605</v>
      </c>
      <c r="D76" s="267">
        <f t="shared" si="46"/>
        <v>0</v>
      </c>
      <c r="E76" s="412">
        <v>0.18099999999999999</v>
      </c>
      <c r="F76" s="383"/>
      <c r="G76" s="388">
        <f>VLOOKUP(A76,'Rates-Lights'!$C$550:$I$660,5,FALSE)</f>
        <v>2.41</v>
      </c>
      <c r="H76" s="388">
        <f t="shared" si="47"/>
        <v>1058.75</v>
      </c>
      <c r="I76" s="383">
        <f t="shared" si="48"/>
        <v>0</v>
      </c>
      <c r="J76" s="388">
        <f t="shared" si="49"/>
        <v>1458.05</v>
      </c>
      <c r="K76" s="383">
        <f t="shared" si="50"/>
        <v>1458.05</v>
      </c>
      <c r="L76" s="383">
        <f t="shared" si="51"/>
        <v>0</v>
      </c>
      <c r="M76" s="383">
        <f t="shared" si="52"/>
        <v>-1458.05</v>
      </c>
      <c r="N76" s="383">
        <f t="shared" si="53"/>
        <v>-54.6</v>
      </c>
      <c r="P76" s="388">
        <f t="shared" si="54"/>
        <v>-0.09</v>
      </c>
      <c r="Q76" s="383">
        <f t="shared" si="55"/>
        <v>-54.449999999999996</v>
      </c>
      <c r="R76" s="383">
        <f t="shared" si="56"/>
        <v>-0.15000000000000568</v>
      </c>
      <c r="S76" s="389">
        <f t="shared" si="57"/>
        <v>61.69</v>
      </c>
      <c r="T76" s="388">
        <f>VLOOKUP($A76,'Rates-Lights'!$C$550:$I$660,3,FALSE)</f>
        <v>64.19</v>
      </c>
      <c r="U76" s="384">
        <f t="shared" si="58"/>
        <v>-3.8946876460507866E-2</v>
      </c>
      <c r="W76" s="390"/>
      <c r="X76" s="385"/>
    </row>
    <row r="77" spans="1:24">
      <c r="A77" s="387" t="s">
        <v>453</v>
      </c>
      <c r="B77" s="15" t="s">
        <v>1321</v>
      </c>
      <c r="C77" s="267">
        <f t="shared" si="45"/>
        <v>24</v>
      </c>
      <c r="D77" s="267">
        <f t="shared" si="46"/>
        <v>0</v>
      </c>
      <c r="E77" s="412">
        <v>0.18099999999999999</v>
      </c>
      <c r="F77" s="383"/>
      <c r="G77" s="388">
        <f>VLOOKUP(A77,'Rates-Lights'!$C$550:$I$660,5,FALSE)</f>
        <v>2.41</v>
      </c>
      <c r="H77" s="388">
        <f t="shared" si="47"/>
        <v>42</v>
      </c>
      <c r="I77" s="383">
        <f t="shared" si="48"/>
        <v>0</v>
      </c>
      <c r="J77" s="388">
        <f t="shared" si="49"/>
        <v>57.84</v>
      </c>
      <c r="K77" s="383">
        <f t="shared" si="50"/>
        <v>57.84</v>
      </c>
      <c r="L77" s="383">
        <f t="shared" si="51"/>
        <v>0</v>
      </c>
      <c r="M77" s="383">
        <f t="shared" si="52"/>
        <v>-57.84</v>
      </c>
      <c r="N77" s="383">
        <f t="shared" si="53"/>
        <v>-2.17</v>
      </c>
      <c r="P77" s="388">
        <f t="shared" si="54"/>
        <v>-0.09</v>
      </c>
      <c r="Q77" s="383">
        <f t="shared" si="55"/>
        <v>-2.16</v>
      </c>
      <c r="R77" s="383">
        <f t="shared" si="56"/>
        <v>-9.9999999999997868E-3</v>
      </c>
      <c r="S77" s="389">
        <f t="shared" si="57"/>
        <v>73.399999999999991</v>
      </c>
      <c r="T77" s="388">
        <f>VLOOKUP($A77,'Rates-Lights'!$C$550:$I$660,3,FALSE)</f>
        <v>75.899999999999991</v>
      </c>
      <c r="U77" s="384">
        <f t="shared" si="58"/>
        <v>-3.2938076416337288E-2</v>
      </c>
      <c r="W77" s="390"/>
      <c r="X77" s="385"/>
    </row>
    <row r="78" spans="1:24">
      <c r="A78" s="387" t="s">
        <v>616</v>
      </c>
      <c r="B78" s="15" t="s">
        <v>1322</v>
      </c>
      <c r="C78" s="267">
        <f t="shared" si="45"/>
        <v>0</v>
      </c>
      <c r="D78" s="267">
        <f t="shared" si="46"/>
        <v>0</v>
      </c>
      <c r="E78" s="412">
        <v>0.18099999999999999</v>
      </c>
      <c r="F78" s="383"/>
      <c r="G78" s="388">
        <f>VLOOKUP(A78,'Rates-Lights'!$C$550:$I$660,5,FALSE)</f>
        <v>2.41</v>
      </c>
      <c r="H78" s="388">
        <f t="shared" si="47"/>
        <v>0</v>
      </c>
      <c r="I78" s="383">
        <f t="shared" ref="I78:I82" si="59">C78*F78</f>
        <v>0</v>
      </c>
      <c r="J78" s="388">
        <f t="shared" ref="J78:J82" si="60">ROUND(C78*G78,2)</f>
        <v>0</v>
      </c>
      <c r="K78" s="383">
        <f t="shared" ref="K78:K82" si="61">SUM(I78:J78)</f>
        <v>0</v>
      </c>
      <c r="L78" s="383">
        <f t="shared" si="51"/>
        <v>0</v>
      </c>
      <c r="M78" s="383">
        <f t="shared" ref="M78:M82" si="62">L78-K78</f>
        <v>0</v>
      </c>
      <c r="N78" s="383">
        <f t="shared" si="53"/>
        <v>0</v>
      </c>
      <c r="P78" s="388">
        <f t="shared" si="54"/>
        <v>-0.09</v>
      </c>
      <c r="Q78" s="383">
        <f t="shared" ref="Q78:Q82" si="63">P78*C78</f>
        <v>0</v>
      </c>
      <c r="R78" s="383">
        <f t="shared" ref="R78:R82" si="64">N78-Q78</f>
        <v>0</v>
      </c>
      <c r="S78" s="389">
        <f t="shared" ref="S78:S82" si="65">T78-G78+P78</f>
        <v>78.339999999999989</v>
      </c>
      <c r="T78" s="388">
        <f>VLOOKUP($A78,'Rates-Lights'!$C$550:$I$660,3,FALSE)</f>
        <v>80.839999999999989</v>
      </c>
      <c r="U78" s="384">
        <f t="shared" ref="U78:U82" si="66">(S78-T78)/T78</f>
        <v>-3.0925284512617519E-2</v>
      </c>
      <c r="W78" s="390"/>
      <c r="X78" s="385"/>
    </row>
    <row r="79" spans="1:24">
      <c r="A79" s="387" t="s">
        <v>617</v>
      </c>
      <c r="B79" s="15" t="s">
        <v>1323</v>
      </c>
      <c r="C79" s="267">
        <f t="shared" si="45"/>
        <v>0</v>
      </c>
      <c r="D79" s="267">
        <f t="shared" si="46"/>
        <v>0</v>
      </c>
      <c r="E79" s="412">
        <v>0.18099999999999999</v>
      </c>
      <c r="F79" s="383"/>
      <c r="G79" s="388">
        <f>VLOOKUP(A79,'Rates-Lights'!$C$550:$I$660,5,FALSE)</f>
        <v>2.41</v>
      </c>
      <c r="H79" s="388">
        <f t="shared" si="47"/>
        <v>0</v>
      </c>
      <c r="I79" s="383">
        <f t="shared" si="59"/>
        <v>0</v>
      </c>
      <c r="J79" s="388">
        <f t="shared" si="60"/>
        <v>0</v>
      </c>
      <c r="K79" s="383">
        <f t="shared" si="61"/>
        <v>0</v>
      </c>
      <c r="L79" s="383">
        <f t="shared" si="51"/>
        <v>0</v>
      </c>
      <c r="M79" s="383">
        <f t="shared" si="62"/>
        <v>0</v>
      </c>
      <c r="N79" s="383">
        <f t="shared" si="53"/>
        <v>0</v>
      </c>
      <c r="P79" s="388">
        <f t="shared" si="54"/>
        <v>-0.09</v>
      </c>
      <c r="Q79" s="383">
        <f t="shared" si="63"/>
        <v>0</v>
      </c>
      <c r="R79" s="383">
        <f t="shared" si="64"/>
        <v>0</v>
      </c>
      <c r="S79" s="389">
        <f t="shared" si="65"/>
        <v>82.259999999999991</v>
      </c>
      <c r="T79" s="388">
        <f>VLOOKUP($A79,'Rates-Lights'!$C$550:$I$660,3,FALSE)</f>
        <v>84.759999999999991</v>
      </c>
      <c r="U79" s="384">
        <f t="shared" si="66"/>
        <v>-2.9495044832468148E-2</v>
      </c>
      <c r="W79" s="390"/>
      <c r="X79" s="385"/>
    </row>
    <row r="80" spans="1:24">
      <c r="A80" s="387" t="s">
        <v>618</v>
      </c>
      <c r="B80" s="15" t="s">
        <v>1324</v>
      </c>
      <c r="C80" s="267">
        <f t="shared" si="45"/>
        <v>0</v>
      </c>
      <c r="D80" s="267">
        <f t="shared" si="46"/>
        <v>0</v>
      </c>
      <c r="E80" s="412">
        <v>0.18099999999999999</v>
      </c>
      <c r="F80" s="383"/>
      <c r="G80" s="388">
        <f>VLOOKUP(A80,'Rates-Lights'!$C$550:$I$660,5,FALSE)</f>
        <v>2.41</v>
      </c>
      <c r="H80" s="388">
        <f t="shared" si="47"/>
        <v>0</v>
      </c>
      <c r="I80" s="383">
        <f t="shared" si="59"/>
        <v>0</v>
      </c>
      <c r="J80" s="388">
        <f t="shared" si="60"/>
        <v>0</v>
      </c>
      <c r="K80" s="383">
        <f t="shared" si="61"/>
        <v>0</v>
      </c>
      <c r="L80" s="383">
        <f t="shared" si="51"/>
        <v>0</v>
      </c>
      <c r="M80" s="383">
        <f t="shared" si="62"/>
        <v>0</v>
      </c>
      <c r="N80" s="383">
        <f t="shared" si="53"/>
        <v>0</v>
      </c>
      <c r="P80" s="388">
        <f t="shared" si="54"/>
        <v>-0.09</v>
      </c>
      <c r="Q80" s="383">
        <f t="shared" si="63"/>
        <v>0</v>
      </c>
      <c r="R80" s="383">
        <f t="shared" si="64"/>
        <v>0</v>
      </c>
      <c r="S80" s="389">
        <f t="shared" si="65"/>
        <v>83.61999999999999</v>
      </c>
      <c r="T80" s="388">
        <f>VLOOKUP($A80,'Rates-Lights'!$C$550:$I$660,3,FALSE)</f>
        <v>86.11999999999999</v>
      </c>
      <c r="U80" s="384">
        <f t="shared" si="66"/>
        <v>-2.9029261495587554E-2</v>
      </c>
      <c r="W80" s="390"/>
      <c r="X80" s="385"/>
    </row>
    <row r="81" spans="1:24">
      <c r="A81" s="387" t="s">
        <v>619</v>
      </c>
      <c r="B81" s="15" t="s">
        <v>1325</v>
      </c>
      <c r="C81" s="267">
        <f t="shared" si="45"/>
        <v>0</v>
      </c>
      <c r="D81" s="267">
        <f t="shared" si="46"/>
        <v>0</v>
      </c>
      <c r="E81" s="412">
        <v>0.18099999999999999</v>
      </c>
      <c r="F81" s="383"/>
      <c r="G81" s="388">
        <f>VLOOKUP(A81,'Rates-Lights'!$C$550:$I$660,5,FALSE)</f>
        <v>2.41</v>
      </c>
      <c r="H81" s="388">
        <f t="shared" si="47"/>
        <v>0</v>
      </c>
      <c r="I81" s="383">
        <f t="shared" si="59"/>
        <v>0</v>
      </c>
      <c r="J81" s="388">
        <f t="shared" si="60"/>
        <v>0</v>
      </c>
      <c r="K81" s="383">
        <f t="shared" si="61"/>
        <v>0</v>
      </c>
      <c r="L81" s="383">
        <f t="shared" si="51"/>
        <v>0</v>
      </c>
      <c r="M81" s="383">
        <f t="shared" si="62"/>
        <v>0</v>
      </c>
      <c r="N81" s="383">
        <f t="shared" si="53"/>
        <v>0</v>
      </c>
      <c r="P81" s="388">
        <f t="shared" si="54"/>
        <v>-0.09</v>
      </c>
      <c r="Q81" s="383">
        <f t="shared" si="63"/>
        <v>0</v>
      </c>
      <c r="R81" s="383">
        <f t="shared" si="64"/>
        <v>0</v>
      </c>
      <c r="S81" s="389">
        <f t="shared" si="65"/>
        <v>80.719999999999985</v>
      </c>
      <c r="T81" s="388">
        <f>VLOOKUP($A81,'Rates-Lights'!$C$550:$I$660,3,FALSE)</f>
        <v>83.219999999999985</v>
      </c>
      <c r="U81" s="384">
        <f t="shared" si="66"/>
        <v>-3.0040855563566456E-2</v>
      </c>
      <c r="W81" s="390"/>
      <c r="X81" s="385"/>
    </row>
    <row r="82" spans="1:24">
      <c r="A82" s="387" t="s">
        <v>324</v>
      </c>
      <c r="B82" s="15" t="s">
        <v>1305</v>
      </c>
      <c r="C82" s="267">
        <f t="shared" si="45"/>
        <v>0</v>
      </c>
      <c r="D82" s="267">
        <f t="shared" si="46"/>
        <v>0</v>
      </c>
      <c r="E82" s="412">
        <v>0.18099999999999999</v>
      </c>
      <c r="F82" s="383"/>
      <c r="G82" s="388">
        <f>VLOOKUP(A82,'Rates-Lights'!$C$550:$I$660,5,FALSE)</f>
        <v>2.41</v>
      </c>
      <c r="H82" s="388">
        <f t="shared" si="47"/>
        <v>0</v>
      </c>
      <c r="I82" s="383">
        <f t="shared" si="59"/>
        <v>0</v>
      </c>
      <c r="J82" s="388">
        <f t="shared" si="60"/>
        <v>0</v>
      </c>
      <c r="K82" s="383">
        <f t="shared" si="61"/>
        <v>0</v>
      </c>
      <c r="L82" s="383">
        <f t="shared" si="51"/>
        <v>0</v>
      </c>
      <c r="M82" s="383">
        <f t="shared" si="62"/>
        <v>0</v>
      </c>
      <c r="N82" s="383">
        <f t="shared" si="53"/>
        <v>0</v>
      </c>
      <c r="P82" s="388">
        <f t="shared" si="54"/>
        <v>-0.09</v>
      </c>
      <c r="Q82" s="383">
        <f t="shared" si="63"/>
        <v>0</v>
      </c>
      <c r="R82" s="383">
        <f t="shared" si="64"/>
        <v>0</v>
      </c>
      <c r="S82" s="389">
        <f t="shared" si="65"/>
        <v>52.83</v>
      </c>
      <c r="T82" s="388">
        <f>VLOOKUP($A82,'Rates-Lights'!$C$550:$I$660,3,FALSE)</f>
        <v>55.33</v>
      </c>
      <c r="U82" s="384">
        <f t="shared" si="66"/>
        <v>-4.5183444785830473E-2</v>
      </c>
      <c r="W82" s="390"/>
      <c r="X82" s="385"/>
    </row>
    <row r="83" spans="1:24">
      <c r="A83" s="387"/>
      <c r="B83"/>
      <c r="F83" s="383"/>
      <c r="G83" s="388"/>
      <c r="H83" s="388"/>
      <c r="I83" s="383"/>
      <c r="J83" s="388"/>
      <c r="K83" s="383"/>
      <c r="L83" s="383"/>
      <c r="M83" s="383"/>
      <c r="N83" s="383"/>
      <c r="P83" s="388"/>
      <c r="Q83" s="383"/>
      <c r="R83" s="383"/>
      <c r="S83" s="389"/>
      <c r="T83" s="388"/>
      <c r="U83" s="384"/>
      <c r="W83" s="390"/>
      <c r="X83" s="385"/>
    </row>
    <row r="84" spans="1:24">
      <c r="A84" s="387" t="s">
        <v>321</v>
      </c>
      <c r="B84" t="s">
        <v>1326</v>
      </c>
      <c r="C84" s="267">
        <f t="shared" ref="C84:C89" si="67">SUMIF(_12MonLights_RateCategory,$A84,_12MonLights_Count)</f>
        <v>694</v>
      </c>
      <c r="D84" s="267">
        <f t="shared" ref="D84:D89" si="68">SUMIF(_12MonLights_RateCategory,$A84,_12MonLights_KWH)</f>
        <v>0</v>
      </c>
      <c r="E84" s="412">
        <v>0.15</v>
      </c>
      <c r="F84" s="383"/>
      <c r="G84" s="388">
        <f>VLOOKUP(A84,'Rates-Lights'!$C$550:$I$660,5,FALSE)</f>
        <v>0.66</v>
      </c>
      <c r="H84" s="388">
        <f t="shared" ref="H84:H89" si="69">SUMIF(_12MonLights_RateCategory,TEXT(A84,0),_12MonLights_Base_Fuel_Revenue)</f>
        <v>1367.1799999999998</v>
      </c>
      <c r="I84" s="383">
        <f t="shared" ref="I84:I89" si="70">C84*F84</f>
        <v>0</v>
      </c>
      <c r="J84" s="388">
        <f t="shared" ref="J84:J89" si="71">ROUND(C84*G84,2)</f>
        <v>458.04</v>
      </c>
      <c r="K84" s="383">
        <f t="shared" ref="K84:K89" si="72">SUM(I84:J84)</f>
        <v>458.04</v>
      </c>
      <c r="L84" s="383">
        <f t="shared" ref="L84:L89" si="73">SUMIF(_12MonLights_RateCategory,TEXT($A84,0),_12MonLights_Revenue_Actual)</f>
        <v>0</v>
      </c>
      <c r="M84" s="383">
        <f t="shared" ref="M84:M89" si="74">L84-K84</f>
        <v>-458.04</v>
      </c>
      <c r="N84" s="383">
        <f t="shared" ref="N84:N89" si="75">ROUND($L$186/$M$153*M84,2)</f>
        <v>-17.149999999999999</v>
      </c>
      <c r="P84" s="388">
        <f t="shared" ref="P84:P89" si="76">ROUND((SUMIF($E$17:$E$150,$E84,$N$17:$N$150)/SUMIF($E$17:$E$150,$E84,$C$17:$C$150)),2)</f>
        <v>-0.02</v>
      </c>
      <c r="Q84" s="383">
        <f>P84*C84</f>
        <v>-13.88</v>
      </c>
      <c r="R84" s="383">
        <f t="shared" ref="R84:R89" si="77">N84-Q84</f>
        <v>-3.2699999999999978</v>
      </c>
      <c r="S84" s="389">
        <f>T84-G84+P84</f>
        <v>14.790000000000001</v>
      </c>
      <c r="T84" s="388">
        <f>VLOOKUP($A84,'Rates-Lights'!$C$550:$I$660,3,FALSE)</f>
        <v>15.47</v>
      </c>
      <c r="U84" s="384">
        <f t="shared" ref="U84:U89" si="78">(S84-T84)/T84</f>
        <v>-4.3956043956043939E-2</v>
      </c>
      <c r="W84" s="390"/>
      <c r="X84" s="385"/>
    </row>
    <row r="85" spans="1:24">
      <c r="A85" s="387" t="s">
        <v>318</v>
      </c>
      <c r="B85" s="15" t="s">
        <v>1327</v>
      </c>
      <c r="C85" s="267">
        <f t="shared" si="67"/>
        <v>2130</v>
      </c>
      <c r="D85" s="267">
        <f t="shared" si="68"/>
        <v>0</v>
      </c>
      <c r="E85" s="412">
        <v>0.15</v>
      </c>
      <c r="F85" s="383"/>
      <c r="G85" s="388">
        <f>VLOOKUP(A85,'Rates-Lights'!$C$550:$I$660,5,FALSE)</f>
        <v>0.66</v>
      </c>
      <c r="H85" s="388">
        <f t="shared" si="69"/>
        <v>4196.1000000000004</v>
      </c>
      <c r="I85" s="383">
        <f t="shared" si="70"/>
        <v>0</v>
      </c>
      <c r="J85" s="388">
        <f t="shared" si="71"/>
        <v>1405.8</v>
      </c>
      <c r="K85" s="383">
        <f t="shared" si="72"/>
        <v>1405.8</v>
      </c>
      <c r="L85" s="383">
        <f t="shared" si="73"/>
        <v>0</v>
      </c>
      <c r="M85" s="383">
        <f t="shared" si="74"/>
        <v>-1405.8</v>
      </c>
      <c r="N85" s="383">
        <f t="shared" si="75"/>
        <v>-52.64</v>
      </c>
      <c r="P85" s="388">
        <f t="shared" si="76"/>
        <v>-0.02</v>
      </c>
      <c r="Q85" s="383">
        <f>P85*C85</f>
        <v>-42.6</v>
      </c>
      <c r="R85" s="383">
        <f t="shared" si="77"/>
        <v>-10.039999999999999</v>
      </c>
      <c r="S85" s="389">
        <f>T85-G85+P85</f>
        <v>27.69</v>
      </c>
      <c r="T85" s="388">
        <f>VLOOKUP($A85,'Rates-Lights'!$C$550:$I$660,3,FALSE)</f>
        <v>28.37</v>
      </c>
      <c r="U85" s="384">
        <f t="shared" si="78"/>
        <v>-2.3968981318293961E-2</v>
      </c>
      <c r="W85" s="390"/>
      <c r="X85" s="385"/>
    </row>
    <row r="86" spans="1:24">
      <c r="A86" s="387" t="s">
        <v>353</v>
      </c>
      <c r="B86" s="15" t="s">
        <v>1328</v>
      </c>
      <c r="C86" s="267">
        <f t="shared" si="67"/>
        <v>3633</v>
      </c>
      <c r="D86" s="267">
        <f t="shared" si="68"/>
        <v>0</v>
      </c>
      <c r="E86" s="412">
        <v>0.35</v>
      </c>
      <c r="F86" s="383"/>
      <c r="G86" s="388">
        <f>VLOOKUP(A86,'Rates-Lights'!$C$550:$I$660,5,FALSE)</f>
        <v>0.84</v>
      </c>
      <c r="H86" s="388">
        <f t="shared" si="69"/>
        <v>15585.57</v>
      </c>
      <c r="I86" s="383">
        <f t="shared" si="70"/>
        <v>0</v>
      </c>
      <c r="J86" s="388">
        <f t="shared" si="71"/>
        <v>3051.72</v>
      </c>
      <c r="K86" s="383">
        <f t="shared" si="72"/>
        <v>3051.72</v>
      </c>
      <c r="L86" s="383">
        <f t="shared" si="73"/>
        <v>0</v>
      </c>
      <c r="M86" s="383">
        <f t="shared" si="74"/>
        <v>-3051.72</v>
      </c>
      <c r="N86" s="383">
        <f t="shared" si="75"/>
        <v>-114.28</v>
      </c>
      <c r="P86" s="388">
        <f t="shared" si="76"/>
        <v>-0.03</v>
      </c>
      <c r="Q86" s="383">
        <f t="shared" ref="Q86:Q89" si="79">P86*C86</f>
        <v>-108.99</v>
      </c>
      <c r="R86" s="383">
        <f t="shared" si="77"/>
        <v>-5.2900000000000063</v>
      </c>
      <c r="S86" s="389">
        <f t="shared" ref="S86:S89" si="80">T86-G86+P86</f>
        <v>21.060000000000002</v>
      </c>
      <c r="T86" s="388">
        <f>VLOOKUP($A86,'Rates-Lights'!$C$550:$I$660,3,FALSE)</f>
        <v>21.930000000000003</v>
      </c>
      <c r="U86" s="384">
        <f t="shared" si="78"/>
        <v>-3.9671682626539029E-2</v>
      </c>
      <c r="W86" s="390"/>
      <c r="X86" s="385"/>
    </row>
    <row r="87" spans="1:24">
      <c r="A87" s="387" t="s">
        <v>350</v>
      </c>
      <c r="B87" s="15" t="s">
        <v>1329</v>
      </c>
      <c r="C87" s="267">
        <f t="shared" si="67"/>
        <v>7461</v>
      </c>
      <c r="D87" s="267">
        <f t="shared" si="68"/>
        <v>0</v>
      </c>
      <c r="E87" s="412">
        <v>0.35</v>
      </c>
      <c r="F87" s="383"/>
      <c r="G87" s="388">
        <f>VLOOKUP(A87,'Rates-Lights'!$C$550:$I$660,5,FALSE)</f>
        <v>0.84</v>
      </c>
      <c r="H87" s="388">
        <f t="shared" si="69"/>
        <v>32007.690000000006</v>
      </c>
      <c r="I87" s="383">
        <f t="shared" si="70"/>
        <v>0</v>
      </c>
      <c r="J87" s="388">
        <f t="shared" si="71"/>
        <v>6267.24</v>
      </c>
      <c r="K87" s="383">
        <f t="shared" si="72"/>
        <v>6267.24</v>
      </c>
      <c r="L87" s="383">
        <f t="shared" si="73"/>
        <v>0</v>
      </c>
      <c r="M87" s="383">
        <f t="shared" si="74"/>
        <v>-6267.24</v>
      </c>
      <c r="N87" s="383">
        <f t="shared" si="75"/>
        <v>-234.69</v>
      </c>
      <c r="P87" s="388">
        <f t="shared" si="76"/>
        <v>-0.03</v>
      </c>
      <c r="Q87" s="383">
        <f>P87*C87</f>
        <v>-223.82999999999998</v>
      </c>
      <c r="R87" s="383">
        <f t="shared" si="77"/>
        <v>-10.860000000000014</v>
      </c>
      <c r="S87" s="389">
        <f>T87-G87+P87</f>
        <v>33.96</v>
      </c>
      <c r="T87" s="388">
        <f>VLOOKUP($A87,'Rates-Lights'!$C$550:$I$660,3,FALSE)</f>
        <v>34.830000000000005</v>
      </c>
      <c r="U87" s="384">
        <f t="shared" si="78"/>
        <v>-2.4978466838932081E-2</v>
      </c>
      <c r="W87" s="390"/>
      <c r="X87" s="385"/>
    </row>
    <row r="88" spans="1:24">
      <c r="A88" s="387" t="s">
        <v>316</v>
      </c>
      <c r="B88" s="15" t="s">
        <v>1330</v>
      </c>
      <c r="C88" s="267">
        <f t="shared" si="67"/>
        <v>529</v>
      </c>
      <c r="D88" s="267">
        <f t="shared" si="68"/>
        <v>0</v>
      </c>
      <c r="E88" s="412">
        <v>1.08</v>
      </c>
      <c r="F88" s="383"/>
      <c r="G88" s="388">
        <f>VLOOKUP(A88,'Rates-Lights'!$C$550:$I$660,5,FALSE)</f>
        <v>1.7</v>
      </c>
      <c r="H88" s="388">
        <f t="shared" si="69"/>
        <v>5506.8899999999994</v>
      </c>
      <c r="I88" s="383">
        <f t="shared" si="70"/>
        <v>0</v>
      </c>
      <c r="J88" s="388">
        <f t="shared" si="71"/>
        <v>899.3</v>
      </c>
      <c r="K88" s="383">
        <f t="shared" si="72"/>
        <v>899.3</v>
      </c>
      <c r="L88" s="383">
        <f t="shared" si="73"/>
        <v>0</v>
      </c>
      <c r="M88" s="383">
        <f t="shared" si="74"/>
        <v>-899.3</v>
      </c>
      <c r="N88" s="383">
        <f t="shared" si="75"/>
        <v>-33.68</v>
      </c>
      <c r="P88" s="388">
        <f t="shared" si="76"/>
        <v>-0.06</v>
      </c>
      <c r="Q88" s="383">
        <f t="shared" si="79"/>
        <v>-31.74</v>
      </c>
      <c r="R88" s="383">
        <f t="shared" si="77"/>
        <v>-1.9400000000000013</v>
      </c>
      <c r="S88" s="389">
        <f t="shared" si="80"/>
        <v>43.94</v>
      </c>
      <c r="T88" s="388">
        <f>VLOOKUP($A88,'Rates-Lights'!$C$550:$I$660,3,FALSE)</f>
        <v>45.7</v>
      </c>
      <c r="U88" s="384">
        <f t="shared" si="78"/>
        <v>-3.8512035010941026E-2</v>
      </c>
      <c r="W88" s="390"/>
      <c r="X88" s="385"/>
    </row>
    <row r="89" spans="1:24">
      <c r="A89" s="387" t="s">
        <v>313</v>
      </c>
      <c r="B89" s="15" t="s">
        <v>1331</v>
      </c>
      <c r="C89" s="267">
        <f t="shared" si="67"/>
        <v>1888</v>
      </c>
      <c r="D89" s="267">
        <f t="shared" si="68"/>
        <v>0</v>
      </c>
      <c r="E89" s="412">
        <v>1.08</v>
      </c>
      <c r="F89" s="383"/>
      <c r="G89" s="388">
        <f>VLOOKUP(A89,'Rates-Lights'!$C$550:$I$660,5,FALSE)</f>
        <v>1.7</v>
      </c>
      <c r="H89" s="388">
        <f t="shared" si="69"/>
        <v>19654.080000000002</v>
      </c>
      <c r="I89" s="383">
        <f t="shared" si="70"/>
        <v>0</v>
      </c>
      <c r="J89" s="388">
        <f t="shared" si="71"/>
        <v>3209.6</v>
      </c>
      <c r="K89" s="383">
        <f t="shared" si="72"/>
        <v>3209.6</v>
      </c>
      <c r="L89" s="383">
        <f t="shared" si="73"/>
        <v>0</v>
      </c>
      <c r="M89" s="383">
        <f t="shared" si="74"/>
        <v>-3209.6</v>
      </c>
      <c r="N89" s="383">
        <f t="shared" si="75"/>
        <v>-120.19</v>
      </c>
      <c r="P89" s="388">
        <f t="shared" si="76"/>
        <v>-0.06</v>
      </c>
      <c r="Q89" s="383">
        <f t="shared" si="79"/>
        <v>-113.28</v>
      </c>
      <c r="R89" s="383">
        <f t="shared" si="77"/>
        <v>-6.9099999999999966</v>
      </c>
      <c r="S89" s="389">
        <f t="shared" si="80"/>
        <v>56.83</v>
      </c>
      <c r="T89" s="388">
        <f>VLOOKUP($A89,'Rates-Lights'!$C$550:$I$660,3,FALSE)</f>
        <v>58.59</v>
      </c>
      <c r="U89" s="384">
        <f t="shared" si="78"/>
        <v>-3.0039255845707543E-2</v>
      </c>
      <c r="W89" s="390"/>
      <c r="X89" s="385"/>
    </row>
    <row r="90" spans="1:24">
      <c r="A90" s="387"/>
      <c r="B90"/>
      <c r="F90" s="383"/>
      <c r="G90" s="388"/>
      <c r="H90" s="388"/>
      <c r="I90" s="383"/>
      <c r="J90" s="388"/>
      <c r="K90" s="383"/>
      <c r="L90" s="383"/>
      <c r="M90" s="383"/>
      <c r="N90" s="383"/>
      <c r="P90" s="388"/>
      <c r="Q90" s="383"/>
      <c r="R90" s="383"/>
      <c r="S90" s="389"/>
      <c r="T90" s="388"/>
      <c r="U90" s="384"/>
      <c r="W90" s="390"/>
      <c r="X90" s="385"/>
    </row>
    <row r="91" spans="1:24">
      <c r="A91" s="387"/>
      <c r="B91" s="52" t="s">
        <v>1332</v>
      </c>
      <c r="F91" s="383"/>
      <c r="G91" s="388"/>
      <c r="H91" s="388"/>
      <c r="I91" s="383"/>
      <c r="J91" s="388"/>
      <c r="K91" s="383"/>
      <c r="L91" s="383"/>
      <c r="M91" s="383"/>
      <c r="N91" s="383"/>
      <c r="P91" s="388"/>
      <c r="Q91" s="383"/>
      <c r="R91" s="383"/>
      <c r="S91" s="389"/>
      <c r="T91" s="388"/>
      <c r="U91" s="384"/>
      <c r="W91" s="390"/>
      <c r="X91" s="385"/>
    </row>
    <row r="92" spans="1:24">
      <c r="A92" s="405" t="s">
        <v>356</v>
      </c>
      <c r="B92" t="s">
        <v>1333</v>
      </c>
      <c r="C92" s="267">
        <f>SUMIF(_12MonLights_RateCategory,$A92,_12MonLights_Count)</f>
        <v>78906</v>
      </c>
      <c r="D92" s="267">
        <f>SUMIF(_12MonLights_RateCategory,$A92,_12MonLights_KWH)</f>
        <v>0</v>
      </c>
      <c r="E92" s="412">
        <v>0.06</v>
      </c>
      <c r="F92" s="383"/>
      <c r="G92" s="388">
        <f>VLOOKUP(A92,'Rates-Lights'!$C$550:$I$660,5,FALSE)</f>
        <v>0.33</v>
      </c>
      <c r="H92" s="388">
        <f>SUMIF(_12MonLights_RateCategory,TEXT(A92,0),_12MonLights_Base_Fuel_Revenue)</f>
        <v>44976.42</v>
      </c>
      <c r="I92" s="383">
        <f t="shared" ref="I92" si="81">C92*F92</f>
        <v>0</v>
      </c>
      <c r="J92" s="388">
        <f t="shared" ref="J92" si="82">ROUND(C92*G92,2)</f>
        <v>26038.98</v>
      </c>
      <c r="K92" s="383">
        <f t="shared" ref="K92" si="83">SUM(I92:J92)</f>
        <v>26038.98</v>
      </c>
      <c r="L92" s="383">
        <f>SUMIF(_12MonLights_RateCategory,TEXT($A92,0),_12MonLights_Revenue_Actual)</f>
        <v>0</v>
      </c>
      <c r="M92" s="383">
        <f t="shared" ref="M92" si="84">L92-K92</f>
        <v>-26038.98</v>
      </c>
      <c r="N92" s="383">
        <f>ROUND($L$186/$M$153*M92,2)</f>
        <v>-975.09</v>
      </c>
      <c r="P92" s="388">
        <f t="shared" ref="P92:P94" si="85">ROUND((SUMIF($E$17:$E$150,$E92,$N$17:$N$150)/SUMIF($E$17:$E$150,$E92,$C$17:$C$150)),2)</f>
        <v>-0.01</v>
      </c>
      <c r="Q92" s="383">
        <f t="shared" ref="Q92" si="86">P92*C92</f>
        <v>-789.06000000000006</v>
      </c>
      <c r="R92" s="383">
        <f t="shared" ref="R92" si="87">N92-Q92</f>
        <v>-186.02999999999997</v>
      </c>
      <c r="S92" s="389">
        <f t="shared" ref="S92" si="88">T92-G92+P92</f>
        <v>7.2</v>
      </c>
      <c r="T92" s="388">
        <f>VLOOKUP($A92,'Rates-Lights'!$C$550:$I$660,3,FALSE)</f>
        <v>7.54</v>
      </c>
      <c r="U92" s="384">
        <f t="shared" ref="U92" si="89">(S92-T92)/T92</f>
        <v>-4.5092838196286456E-2</v>
      </c>
      <c r="W92" s="390"/>
      <c r="X92" s="385"/>
    </row>
    <row r="93" spans="1:24">
      <c r="A93" s="405" t="s">
        <v>355</v>
      </c>
      <c r="B93" s="15" t="s">
        <v>1334</v>
      </c>
      <c r="C93" s="267">
        <f>SUMIF(_12MonLights_RateCategory,$A93,_12MonLights_Count)</f>
        <v>43379</v>
      </c>
      <c r="D93" s="267">
        <f>SUMIF(_12MonLights_RateCategory,$A93,_12MonLights_KWH)</f>
        <v>0</v>
      </c>
      <c r="E93" s="412">
        <v>0.06</v>
      </c>
      <c r="F93" s="383"/>
      <c r="G93" s="388">
        <f>VLOOKUP(A93,'Rates-Lights'!$C$550:$I$660,5,FALSE)</f>
        <v>0.33</v>
      </c>
      <c r="H93" s="388">
        <f>SUMIF(_12MonLights_RateCategory,TEXT(A93,0),_12MonLights_Base_Fuel_Revenue)</f>
        <v>24726.03</v>
      </c>
      <c r="I93" s="383">
        <f t="shared" ref="I93" si="90">C93*F93</f>
        <v>0</v>
      </c>
      <c r="J93" s="388">
        <f t="shared" ref="J93" si="91">ROUND(C93*G93,2)</f>
        <v>14315.07</v>
      </c>
      <c r="K93" s="383">
        <f t="shared" ref="K93" si="92">SUM(I93:J93)</f>
        <v>14315.07</v>
      </c>
      <c r="L93" s="383">
        <f>SUMIF(_12MonLights_RateCategory,TEXT($A93,0),_12MonLights_Revenue_Actual)</f>
        <v>0</v>
      </c>
      <c r="M93" s="383">
        <f t="shared" ref="M93" si="93">L93-K93</f>
        <v>-14315.07</v>
      </c>
      <c r="N93" s="383">
        <f>ROUND($L$186/$M$153*M93,2)</f>
        <v>-536.05999999999995</v>
      </c>
      <c r="P93" s="388">
        <f t="shared" si="85"/>
        <v>-0.01</v>
      </c>
      <c r="Q93" s="383">
        <f t="shared" ref="Q93" si="94">P93*C93</f>
        <v>-433.79</v>
      </c>
      <c r="R93" s="383">
        <f t="shared" ref="R93" si="95">N93-Q93</f>
        <v>-102.26999999999992</v>
      </c>
      <c r="S93" s="389">
        <f t="shared" ref="S93" si="96">T93-G93+P93</f>
        <v>10.15</v>
      </c>
      <c r="T93" s="388">
        <f>VLOOKUP($A93,'Rates-Lights'!$C$550:$I$660,3,FALSE)</f>
        <v>10.49</v>
      </c>
      <c r="U93" s="384">
        <f t="shared" ref="U93" si="97">(S93-T93)/T93</f>
        <v>-3.241182078169684E-2</v>
      </c>
      <c r="W93" s="390"/>
      <c r="X93" s="385"/>
    </row>
    <row r="94" spans="1:24">
      <c r="A94" s="387" t="s">
        <v>382</v>
      </c>
      <c r="B94" t="s">
        <v>1276</v>
      </c>
      <c r="C94" s="267">
        <f>SUMIF(_12MonLights_RateCategory,$A94,_12MonLights_Count)</f>
        <v>1654</v>
      </c>
      <c r="D94" s="267">
        <f>SUMIF(_12MonLights_RateCategory,$A94,_12MonLights_KWH)</f>
        <v>0</v>
      </c>
      <c r="E94" s="412">
        <v>0.47099999999999997</v>
      </c>
      <c r="F94" s="383"/>
      <c r="G94" s="388">
        <f>VLOOKUP(A94,'Rates-Lights'!$C$550:$I$660,5,FALSE)</f>
        <v>0.79</v>
      </c>
      <c r="H94" s="388">
        <f>SUMIF(_12MonLights_RateCategory,TEXT(A94,0),_12MonLights_Base_Fuel_Revenue)</f>
        <v>7492.6200000000008</v>
      </c>
      <c r="I94" s="383">
        <f>C94*F94</f>
        <v>0</v>
      </c>
      <c r="J94" s="388">
        <f>ROUND(C94*G94,2)</f>
        <v>1306.6600000000001</v>
      </c>
      <c r="K94" s="383">
        <f>SUM(I94:J94)</f>
        <v>1306.6600000000001</v>
      </c>
      <c r="L94" s="383">
        <f>SUMIF(_12MonLights_RateCategory,TEXT($A94,0),_12MonLights_Revenue_Actual)</f>
        <v>0</v>
      </c>
      <c r="M94" s="383">
        <f>L94-K94</f>
        <v>-1306.6600000000001</v>
      </c>
      <c r="N94" s="383">
        <f>ROUND($L$186/$M$153*M94,2)</f>
        <v>-48.93</v>
      </c>
      <c r="P94" s="388">
        <f t="shared" si="85"/>
        <v>-0.03</v>
      </c>
      <c r="Q94" s="383">
        <f>P94*C94</f>
        <v>-49.62</v>
      </c>
      <c r="R94" s="383">
        <f>N94-Q94</f>
        <v>0.68999999999999773</v>
      </c>
      <c r="S94" s="389">
        <f>T94-G94+P94</f>
        <v>10.890000000000002</v>
      </c>
      <c r="T94" s="388">
        <f>VLOOKUP($A94,'Rates-Lights'!$C$550:$I$660,3,FALSE)</f>
        <v>11.71</v>
      </c>
      <c r="U94" s="384">
        <f>(S94-T94)/T94</f>
        <v>-7.0025619128949487E-2</v>
      </c>
      <c r="W94" s="390"/>
      <c r="X94" s="385"/>
    </row>
    <row r="95" spans="1:24">
      <c r="A95" s="387"/>
      <c r="B95" s="52"/>
      <c r="F95" s="383"/>
      <c r="G95" s="388"/>
      <c r="H95" s="388"/>
      <c r="I95" s="383"/>
      <c r="J95" s="388"/>
      <c r="K95" s="383"/>
      <c r="L95" s="383"/>
      <c r="M95" s="383"/>
      <c r="N95" s="383"/>
      <c r="P95" s="388"/>
      <c r="Q95" s="383"/>
      <c r="R95" s="383"/>
      <c r="S95" s="389"/>
      <c r="T95" s="388"/>
      <c r="U95" s="384"/>
      <c r="W95" s="390"/>
      <c r="X95" s="385"/>
    </row>
    <row r="96" spans="1:24">
      <c r="A96" s="387" t="s">
        <v>375</v>
      </c>
      <c r="B96" t="s">
        <v>1335</v>
      </c>
      <c r="C96" s="267">
        <f>SUMIF(_12MonLights_RateCategory,$A96,_12MonLights_Count)</f>
        <v>2025</v>
      </c>
      <c r="D96" s="267">
        <f>SUMIF(_12MonLights_RateCategory,$A96,_12MonLights_KWH)</f>
        <v>0</v>
      </c>
      <c r="E96" s="412">
        <v>8.3000000000000004E-2</v>
      </c>
      <c r="F96" s="383"/>
      <c r="G96" s="388">
        <f>VLOOKUP(A96,'Rates-Lights'!$C$550:$I$660,5,FALSE)</f>
        <v>0.43</v>
      </c>
      <c r="H96" s="388">
        <f>SUMIF(_12MonLights_RateCategory,TEXT(A96,0),_12MonLights_Base_Fuel_Revenue)</f>
        <v>1619.9999999999998</v>
      </c>
      <c r="I96" s="383">
        <f>C96*F96</f>
        <v>0</v>
      </c>
      <c r="J96" s="388">
        <f>ROUND(C96*G96,2)</f>
        <v>870.75</v>
      </c>
      <c r="K96" s="383">
        <f>SUM(I96:J96)</f>
        <v>870.75</v>
      </c>
      <c r="L96" s="383">
        <f>SUMIF(_12MonLights_RateCategory,TEXT($A96,0),_12MonLights_Revenue_Actual)</f>
        <v>0</v>
      </c>
      <c r="M96" s="383">
        <f>L96-K96</f>
        <v>-870.75</v>
      </c>
      <c r="N96" s="383">
        <f>ROUND($L$186/$M$153*M96,2)</f>
        <v>-32.61</v>
      </c>
      <c r="P96" s="388">
        <f>ROUND((SUMIF($E$17:$E$150,$E96,$N$17:$N$150)/SUMIF($E$17:$E$150,$E96,$C$17:$C$150)),2)</f>
        <v>-0.02</v>
      </c>
      <c r="Q96" s="383">
        <f>P96*C96</f>
        <v>-40.5</v>
      </c>
      <c r="R96" s="383">
        <f>N96-Q96</f>
        <v>7.8900000000000006</v>
      </c>
      <c r="S96" s="389">
        <f>T96-G96+P96</f>
        <v>6.99</v>
      </c>
      <c r="T96" s="388">
        <f>VLOOKUP($A96,'Rates-Lights'!$C$550:$I$660,3,FALSE)</f>
        <v>7.4399999999999995</v>
      </c>
      <c r="U96" s="384">
        <f>(S96-T96)/T96</f>
        <v>-6.0483870967741847E-2</v>
      </c>
      <c r="W96" s="390"/>
      <c r="X96" s="385"/>
    </row>
    <row r="97" spans="1:24">
      <c r="A97" s="387"/>
      <c r="B97" s="52"/>
      <c r="F97" s="383"/>
      <c r="G97" s="388"/>
      <c r="H97" s="388"/>
      <c r="I97" s="383"/>
      <c r="J97" s="388"/>
      <c r="K97" s="383"/>
      <c r="L97" s="383"/>
      <c r="M97" s="383"/>
      <c r="N97" s="383"/>
      <c r="P97" s="388"/>
      <c r="Q97" s="383"/>
      <c r="R97" s="383"/>
      <c r="S97" s="389"/>
      <c r="T97" s="388"/>
      <c r="U97" s="384"/>
      <c r="W97" s="390"/>
      <c r="X97" s="385"/>
    </row>
    <row r="98" spans="1:24">
      <c r="A98" s="387" t="s">
        <v>320</v>
      </c>
      <c r="B98" t="s">
        <v>1336</v>
      </c>
      <c r="C98" s="267">
        <f>SUMIF(_12MonLights_RateCategory,$A98,_12MonLights_Count)</f>
        <v>1773</v>
      </c>
      <c r="D98" s="267">
        <f>SUMIF(_12MonLights_RateCategory,$A98,_12MonLights_KWH)</f>
        <v>0</v>
      </c>
      <c r="E98" s="412">
        <v>0.15</v>
      </c>
      <c r="F98" s="383"/>
      <c r="G98" s="388">
        <f>VLOOKUP(A98,'Rates-Lights'!$C$550:$I$660,5,FALSE)</f>
        <v>0.66</v>
      </c>
      <c r="H98" s="388">
        <f>SUMIF(_12MonLights_RateCategory,TEXT(A98,0),_12MonLights_Base_Fuel_Revenue)</f>
        <v>3492.81</v>
      </c>
      <c r="I98" s="383">
        <f>C98*F98</f>
        <v>0</v>
      </c>
      <c r="J98" s="388">
        <f>ROUND(C98*G98,2)</f>
        <v>1170.18</v>
      </c>
      <c r="K98" s="383">
        <f>SUM(I98:J98)</f>
        <v>1170.18</v>
      </c>
      <c r="L98" s="383">
        <f>SUMIF(_12MonLights_RateCategory,TEXT($A98,0),_12MonLights_Revenue_Actual)</f>
        <v>0</v>
      </c>
      <c r="M98" s="383">
        <f>L98-K98</f>
        <v>-1170.18</v>
      </c>
      <c r="N98" s="383">
        <f>ROUND($L$186/$M$153*M98,2)</f>
        <v>-43.82</v>
      </c>
      <c r="P98" s="388">
        <f t="shared" ref="P98:P100" si="98">ROUND((SUMIF($E$17:$E$150,$E98,$N$17:$N$150)/SUMIF($E$17:$E$150,$E98,$C$17:$C$150)),2)</f>
        <v>-0.02</v>
      </c>
      <c r="Q98" s="383">
        <f>P98*C98</f>
        <v>-35.46</v>
      </c>
      <c r="R98" s="383">
        <f>N98-Q98</f>
        <v>-8.36</v>
      </c>
      <c r="S98" s="389">
        <f>T98-G98+P98</f>
        <v>17.97</v>
      </c>
      <c r="T98" s="388">
        <f>VLOOKUP($A98,'Rates-Lights'!$C$550:$I$660,3,FALSE)</f>
        <v>18.649999999999999</v>
      </c>
      <c r="U98" s="384">
        <f>(S98-T98)/T98</f>
        <v>-3.6461126005361916E-2</v>
      </c>
      <c r="W98" s="390"/>
      <c r="X98" s="385"/>
    </row>
    <row r="99" spans="1:24">
      <c r="A99" s="387" t="s">
        <v>352</v>
      </c>
      <c r="B99" s="15" t="s">
        <v>1337</v>
      </c>
      <c r="C99" s="267">
        <f>SUMIF(_12MonLights_RateCategory,$A99,_12MonLights_Count)</f>
        <v>12232</v>
      </c>
      <c r="D99" s="267">
        <f>SUMIF(_12MonLights_RateCategory,$A99,_12MonLights_KWH)</f>
        <v>0</v>
      </c>
      <c r="E99" s="412">
        <v>0.35</v>
      </c>
      <c r="F99" s="383"/>
      <c r="G99" s="388">
        <f>VLOOKUP(A99,'Rates-Lights'!$C$550:$I$660,5,FALSE)</f>
        <v>0.84</v>
      </c>
      <c r="H99" s="388">
        <f>SUMIF(_12MonLights_RateCategory,TEXT(A99,0),_12MonLights_Base_Fuel_Revenue)</f>
        <v>52475.28</v>
      </c>
      <c r="I99" s="383">
        <f>C99*F99</f>
        <v>0</v>
      </c>
      <c r="J99" s="388">
        <f>ROUND(C99*G99,2)</f>
        <v>10274.879999999999</v>
      </c>
      <c r="K99" s="383">
        <f>SUM(I99:J99)</f>
        <v>10274.879999999999</v>
      </c>
      <c r="L99" s="383">
        <f>SUMIF(_12MonLights_RateCategory,TEXT($A99,0),_12MonLights_Revenue_Actual)</f>
        <v>0</v>
      </c>
      <c r="M99" s="383">
        <f>L99-K99</f>
        <v>-10274.879999999999</v>
      </c>
      <c r="N99" s="383">
        <f>ROUND($L$186/$M$153*M99,2)</f>
        <v>-384.77</v>
      </c>
      <c r="P99" s="388">
        <f t="shared" si="98"/>
        <v>-0.03</v>
      </c>
      <c r="Q99" s="383">
        <f>P99*C99</f>
        <v>-366.96</v>
      </c>
      <c r="R99" s="383">
        <f>N99-Q99</f>
        <v>-17.810000000000002</v>
      </c>
      <c r="S99" s="389">
        <f>T99-G99+P99</f>
        <v>23.72</v>
      </c>
      <c r="T99" s="388">
        <f>VLOOKUP($A99,'Rates-Lights'!$C$550:$I$660,3,FALSE)</f>
        <v>24.59</v>
      </c>
      <c r="U99" s="384">
        <f>(S99-T99)/T99</f>
        <v>-3.5380235868239164E-2</v>
      </c>
      <c r="W99" s="390"/>
      <c r="X99" s="385"/>
    </row>
    <row r="100" spans="1:24">
      <c r="A100" s="387" t="s">
        <v>315</v>
      </c>
      <c r="B100" s="15" t="s">
        <v>1338</v>
      </c>
      <c r="C100" s="267">
        <f>SUMIF(_12MonLights_RateCategory,$A100,_12MonLights_Count)</f>
        <v>2716</v>
      </c>
      <c r="D100" s="267">
        <f>SUMIF(_12MonLights_RateCategory,$A100,_12MonLights_KWH)</f>
        <v>0</v>
      </c>
      <c r="E100" s="412">
        <v>1.08</v>
      </c>
      <c r="F100" s="383"/>
      <c r="G100" s="388">
        <f>VLOOKUP(A100,'Rates-Lights'!$C$550:$I$660,5,FALSE)</f>
        <v>1.7</v>
      </c>
      <c r="H100" s="388">
        <f>SUMIF(_12MonLights_RateCategory,TEXT(A100,0),_12MonLights_Base_Fuel_Revenue)</f>
        <v>28273.56</v>
      </c>
      <c r="I100" s="383">
        <f>C100*F100</f>
        <v>0</v>
      </c>
      <c r="J100" s="388">
        <f>ROUND(C100*G100,2)</f>
        <v>4617.2</v>
      </c>
      <c r="K100" s="383">
        <f>SUM(I100:J100)</f>
        <v>4617.2</v>
      </c>
      <c r="L100" s="383">
        <f>SUMIF(_12MonLights_RateCategory,TEXT($A100,0),_12MonLights_Revenue_Actual)</f>
        <v>0</v>
      </c>
      <c r="M100" s="383">
        <f>L100-K100</f>
        <v>-4617.2</v>
      </c>
      <c r="N100" s="383">
        <f>ROUND($L$186/$M$153*M100,2)</f>
        <v>-172.9</v>
      </c>
      <c r="P100" s="388">
        <f t="shared" si="98"/>
        <v>-0.06</v>
      </c>
      <c r="Q100" s="383">
        <f>P100*C100</f>
        <v>-162.96</v>
      </c>
      <c r="R100" s="383">
        <f>N100-Q100</f>
        <v>-9.9399999999999977</v>
      </c>
      <c r="S100" s="389">
        <f>T100-G100+P100</f>
        <v>44.980000000000004</v>
      </c>
      <c r="T100" s="388">
        <f>VLOOKUP($A100,'Rates-Lights'!$C$550:$I$660,3,FALSE)</f>
        <v>46.740000000000009</v>
      </c>
      <c r="U100" s="384">
        <f>(S100-T100)/T100</f>
        <v>-3.7655113393239299E-2</v>
      </c>
      <c r="W100" s="390"/>
      <c r="X100" s="385"/>
    </row>
    <row r="101" spans="1:24">
      <c r="A101" s="387"/>
      <c r="B101"/>
      <c r="F101" s="383"/>
      <c r="G101" s="388"/>
      <c r="H101" s="388"/>
      <c r="I101" s="383"/>
      <c r="J101" s="388"/>
      <c r="K101" s="383"/>
      <c r="L101" s="383"/>
      <c r="M101" s="383"/>
      <c r="N101" s="383"/>
      <c r="P101" s="388"/>
      <c r="Q101" s="383"/>
      <c r="R101" s="383"/>
      <c r="S101" s="389"/>
      <c r="T101" s="388"/>
      <c r="U101" s="384"/>
      <c r="W101" s="390"/>
      <c r="X101" s="385"/>
    </row>
    <row r="102" spans="1:24">
      <c r="A102" s="405" t="s">
        <v>385</v>
      </c>
      <c r="B102" t="s">
        <v>1339</v>
      </c>
      <c r="C102" s="267">
        <f t="shared" ref="C102:C107" si="99">SUMIF(_12MonLights_RateCategory,$A102,_12MonLights_Count)</f>
        <v>12839</v>
      </c>
      <c r="D102" s="267">
        <f t="shared" ref="D102:D107" si="100">SUMIF(_12MonLights_RateCategory,$A102,_12MonLights_KWH)</f>
        <v>0</v>
      </c>
      <c r="E102" s="412">
        <v>0.20699999999999999</v>
      </c>
      <c r="F102" s="383"/>
      <c r="G102" s="388">
        <f>VLOOKUP(A102,'Rates-Lights'!$C$550:$I$660,5,FALSE)</f>
        <v>0.39</v>
      </c>
      <c r="H102" s="388">
        <f t="shared" ref="H102:H107" si="101">SUMIF(_12MonLights_RateCategory,TEXT(A102,0),_12MonLights_Base_Fuel_Revenue)</f>
        <v>25549.609999999997</v>
      </c>
      <c r="I102" s="383">
        <f t="shared" ref="I102" si="102">C102*F102</f>
        <v>0</v>
      </c>
      <c r="J102" s="388">
        <f t="shared" ref="J102" si="103">ROUND(C102*G102,2)</f>
        <v>5007.21</v>
      </c>
      <c r="K102" s="383">
        <f t="shared" ref="K102" si="104">SUM(I102:J102)</f>
        <v>5007.21</v>
      </c>
      <c r="L102" s="383">
        <f t="shared" ref="L102:L107" si="105">SUMIF(_12MonLights_RateCategory,TEXT($A102,0),_12MonLights_Revenue_Actual)</f>
        <v>0</v>
      </c>
      <c r="M102" s="383">
        <f t="shared" ref="M102" si="106">L102-K102</f>
        <v>-5007.21</v>
      </c>
      <c r="N102" s="383">
        <f t="shared" ref="N102:N107" si="107">ROUND($L$186/$M$153*M102,2)</f>
        <v>-187.51</v>
      </c>
      <c r="P102" s="388">
        <f t="shared" ref="P102:P107" si="108">ROUND((SUMIF($E$17:$E$150,$E102,$N$17:$N$150)/SUMIF($E$17:$E$150,$E102,$C$17:$C$150)),2)</f>
        <v>-0.01</v>
      </c>
      <c r="Q102" s="383">
        <f t="shared" ref="Q102" si="109">P102*C102</f>
        <v>-128.39000000000001</v>
      </c>
      <c r="R102" s="383">
        <f t="shared" ref="R102" si="110">N102-Q102</f>
        <v>-59.119999999999976</v>
      </c>
      <c r="S102" s="389">
        <f t="shared" ref="S102" si="111">T102-G102+P102</f>
        <v>9.1600000000000019</v>
      </c>
      <c r="T102" s="388">
        <f>VLOOKUP($A102,'Rates-Lights'!$C$550:$I$660,3,FALSE)</f>
        <v>9.5600000000000023</v>
      </c>
      <c r="U102" s="384">
        <f t="shared" ref="U102" si="112">(S102-T102)/T102</f>
        <v>-4.1841004184100444E-2</v>
      </c>
      <c r="W102" s="390"/>
      <c r="X102" s="385"/>
    </row>
    <row r="103" spans="1:24">
      <c r="A103" s="387" t="s">
        <v>384</v>
      </c>
      <c r="B103" s="15" t="s">
        <v>1340</v>
      </c>
      <c r="C103" s="267">
        <f t="shared" si="99"/>
        <v>1656</v>
      </c>
      <c r="D103" s="267">
        <f t="shared" si="100"/>
        <v>0</v>
      </c>
      <c r="E103" s="412">
        <v>0.20699999999999999</v>
      </c>
      <c r="F103" s="383"/>
      <c r="G103" s="388">
        <f>VLOOKUP(A103,'Rates-Lights'!$C$550:$I$660,5,FALSE)</f>
        <v>0.39</v>
      </c>
      <c r="H103" s="388">
        <f t="shared" si="101"/>
        <v>3295.4399999999996</v>
      </c>
      <c r="I103" s="383">
        <f>C103*F103</f>
        <v>0</v>
      </c>
      <c r="J103" s="388">
        <f>ROUND(C103*G103,2)</f>
        <v>645.84</v>
      </c>
      <c r="K103" s="383">
        <f>SUM(I103:J103)</f>
        <v>645.84</v>
      </c>
      <c r="L103" s="383">
        <f t="shared" si="105"/>
        <v>0</v>
      </c>
      <c r="M103" s="383">
        <f>L103-K103</f>
        <v>-645.84</v>
      </c>
      <c r="N103" s="383">
        <f t="shared" si="107"/>
        <v>-24.19</v>
      </c>
      <c r="P103" s="388">
        <f t="shared" si="108"/>
        <v>-0.01</v>
      </c>
      <c r="Q103" s="383">
        <f>P103*C103</f>
        <v>-16.559999999999999</v>
      </c>
      <c r="R103" s="383">
        <f>N103-Q103</f>
        <v>-7.6300000000000026</v>
      </c>
      <c r="S103" s="389">
        <f>T103-G103+P103</f>
        <v>11.47</v>
      </c>
      <c r="T103" s="388">
        <f>VLOOKUP($A103,'Rates-Lights'!$C$550:$I$660,3,FALSE)</f>
        <v>11.870000000000001</v>
      </c>
      <c r="U103" s="384">
        <f>(S103-T103)/T103</f>
        <v>-3.3698399326032039E-2</v>
      </c>
      <c r="W103" s="390"/>
      <c r="X103" s="385"/>
    </row>
    <row r="104" spans="1:24">
      <c r="A104" s="387" t="s">
        <v>312</v>
      </c>
      <c r="B104" s="15" t="s">
        <v>1341</v>
      </c>
      <c r="C104" s="267">
        <f t="shared" si="99"/>
        <v>8759</v>
      </c>
      <c r="D104" s="267">
        <f t="shared" si="100"/>
        <v>0</v>
      </c>
      <c r="E104" s="412">
        <v>0.29399999999999998</v>
      </c>
      <c r="F104" s="383"/>
      <c r="G104" s="388">
        <f>VLOOKUP(A104,'Rates-Lights'!$C$550:$I$660,5,FALSE)</f>
        <v>0.44</v>
      </c>
      <c r="H104" s="388">
        <f t="shared" si="101"/>
        <v>24875.56</v>
      </c>
      <c r="I104" s="383">
        <f>C104*F104</f>
        <v>0</v>
      </c>
      <c r="J104" s="388">
        <f>ROUND(C104*G104,2)</f>
        <v>3853.96</v>
      </c>
      <c r="K104" s="383">
        <f>SUM(I104:J104)</f>
        <v>3853.96</v>
      </c>
      <c r="L104" s="383">
        <f t="shared" si="105"/>
        <v>0</v>
      </c>
      <c r="M104" s="383">
        <f>L104-K104</f>
        <v>-3853.96</v>
      </c>
      <c r="N104" s="383">
        <f t="shared" si="107"/>
        <v>-144.32</v>
      </c>
      <c r="P104" s="388">
        <f t="shared" si="108"/>
        <v>-0.02</v>
      </c>
      <c r="Q104" s="383">
        <f>P104*C104</f>
        <v>-175.18</v>
      </c>
      <c r="R104" s="383">
        <f>N104-Q104</f>
        <v>30.860000000000014</v>
      </c>
      <c r="S104" s="389">
        <f>T104-G104+P104</f>
        <v>10.860000000000001</v>
      </c>
      <c r="T104" s="388">
        <f>VLOOKUP($A104,'Rates-Lights'!$C$550:$I$660,3,FALSE)</f>
        <v>11.32</v>
      </c>
      <c r="U104" s="384">
        <f>(S104-T104)/T104</f>
        <v>-4.0636042402826769E-2</v>
      </c>
      <c r="W104" s="390"/>
      <c r="X104" s="385"/>
    </row>
    <row r="105" spans="1:24">
      <c r="A105" s="387" t="s">
        <v>311</v>
      </c>
      <c r="B105" s="15" t="s">
        <v>1342</v>
      </c>
      <c r="C105" s="267">
        <f t="shared" si="99"/>
        <v>5332</v>
      </c>
      <c r="D105" s="267">
        <f t="shared" si="100"/>
        <v>0</v>
      </c>
      <c r="E105" s="412">
        <v>0.29399999999999998</v>
      </c>
      <c r="F105" s="383"/>
      <c r="G105" s="388">
        <f>VLOOKUP(A105,'Rates-Lights'!$C$550:$I$660,5,FALSE)</f>
        <v>0.44</v>
      </c>
      <c r="H105" s="388">
        <f t="shared" si="101"/>
        <v>15142.880000000001</v>
      </c>
      <c r="I105" s="383">
        <f>C105*F105</f>
        <v>0</v>
      </c>
      <c r="J105" s="388">
        <f>ROUND(C105*G105,2)</f>
        <v>2346.08</v>
      </c>
      <c r="K105" s="383">
        <f>SUM(I105:J105)</f>
        <v>2346.08</v>
      </c>
      <c r="L105" s="383">
        <f t="shared" si="105"/>
        <v>0</v>
      </c>
      <c r="M105" s="383">
        <f>L105-K105</f>
        <v>-2346.08</v>
      </c>
      <c r="N105" s="383">
        <f t="shared" si="107"/>
        <v>-87.85</v>
      </c>
      <c r="P105" s="388">
        <f t="shared" si="108"/>
        <v>-0.02</v>
      </c>
      <c r="Q105" s="383">
        <f>P105*C105</f>
        <v>-106.64</v>
      </c>
      <c r="R105" s="383">
        <f>N105-Q105</f>
        <v>18.790000000000006</v>
      </c>
      <c r="S105" s="389">
        <f>T105-G105+P105</f>
        <v>12.900000000000002</v>
      </c>
      <c r="T105" s="388">
        <f>VLOOKUP($A105,'Rates-Lights'!$C$550:$I$660,3,FALSE)</f>
        <v>13.360000000000001</v>
      </c>
      <c r="U105" s="384">
        <f>(S105-T105)/T105</f>
        <v>-3.4431137724550823E-2</v>
      </c>
      <c r="W105" s="390"/>
      <c r="X105" s="385"/>
    </row>
    <row r="106" spans="1:24">
      <c r="A106" s="387" t="s">
        <v>421</v>
      </c>
      <c r="B106" s="15" t="s">
        <v>1343</v>
      </c>
      <c r="C106" s="267">
        <f t="shared" si="99"/>
        <v>17860</v>
      </c>
      <c r="D106" s="267">
        <f t="shared" si="100"/>
        <v>0</v>
      </c>
      <c r="E106" s="412">
        <v>0.45300000000000001</v>
      </c>
      <c r="F106" s="383"/>
      <c r="G106" s="388">
        <f>VLOOKUP(A106,'Rates-Lights'!$C$550:$I$660,5,FALSE)</f>
        <v>0.51</v>
      </c>
      <c r="H106" s="388">
        <f t="shared" si="101"/>
        <v>78048.2</v>
      </c>
      <c r="I106" s="383">
        <f>C106*F106</f>
        <v>0</v>
      </c>
      <c r="J106" s="388">
        <f>ROUND(C106*G106,2)</f>
        <v>9108.6</v>
      </c>
      <c r="K106" s="383">
        <f>SUM(I106:J106)</f>
        <v>9108.6</v>
      </c>
      <c r="L106" s="383">
        <f t="shared" si="105"/>
        <v>0</v>
      </c>
      <c r="M106" s="383">
        <f>L106-K106</f>
        <v>-9108.6</v>
      </c>
      <c r="N106" s="383">
        <f t="shared" si="107"/>
        <v>-341.09</v>
      </c>
      <c r="O106" s="390"/>
      <c r="P106" s="388">
        <f t="shared" si="108"/>
        <v>-0.02</v>
      </c>
      <c r="Q106" s="383">
        <f>P106*C106</f>
        <v>-357.2</v>
      </c>
      <c r="R106" s="383">
        <f>N106-Q106</f>
        <v>16.110000000000014</v>
      </c>
      <c r="S106" s="389">
        <f>T106-G106+P106</f>
        <v>12.28</v>
      </c>
      <c r="T106" s="388">
        <f>VLOOKUP($A106,'Rates-Lights'!$C$550:$I$660,3,FALSE)</f>
        <v>12.809999999999999</v>
      </c>
      <c r="U106" s="384">
        <f>(S106-T106)/T106</f>
        <v>-4.1373926619828215E-2</v>
      </c>
      <c r="W106" s="390"/>
      <c r="X106" s="385"/>
    </row>
    <row r="107" spans="1:24">
      <c r="A107" s="387" t="s">
        <v>341</v>
      </c>
      <c r="B107" s="15" t="s">
        <v>1344</v>
      </c>
      <c r="C107" s="267">
        <f t="shared" si="99"/>
        <v>17605</v>
      </c>
      <c r="D107" s="267">
        <f t="shared" si="100"/>
        <v>0</v>
      </c>
      <c r="E107" s="412">
        <v>0.45300000000000001</v>
      </c>
      <c r="F107" s="383"/>
      <c r="G107" s="388">
        <f>VLOOKUP(A107,'Rates-Lights'!$C$550:$I$660,5,FALSE)</f>
        <v>0.51</v>
      </c>
      <c r="H107" s="388">
        <f t="shared" si="101"/>
        <v>76933.850000000006</v>
      </c>
      <c r="I107" s="383">
        <f>C107*F107</f>
        <v>0</v>
      </c>
      <c r="J107" s="388">
        <f>ROUND(C107*G107,2)</f>
        <v>8978.5499999999993</v>
      </c>
      <c r="K107" s="383">
        <f>SUM(I107:J107)</f>
        <v>8978.5499999999993</v>
      </c>
      <c r="L107" s="383">
        <f t="shared" si="105"/>
        <v>0</v>
      </c>
      <c r="M107" s="383">
        <f>L107-K107</f>
        <v>-8978.5499999999993</v>
      </c>
      <c r="N107" s="383">
        <f t="shared" si="107"/>
        <v>-336.22</v>
      </c>
      <c r="P107" s="388">
        <f t="shared" si="108"/>
        <v>-0.02</v>
      </c>
      <c r="Q107" s="383">
        <f>P107*C107</f>
        <v>-352.1</v>
      </c>
      <c r="R107" s="383">
        <f>N107-Q107</f>
        <v>15.879999999999995</v>
      </c>
      <c r="S107" s="389">
        <f>T107-G107+P107</f>
        <v>14.549999999999999</v>
      </c>
      <c r="T107" s="388">
        <f>VLOOKUP($A107,'Rates-Lights'!$C$550:$I$660,3,FALSE)</f>
        <v>15.079999999999998</v>
      </c>
      <c r="U107" s="384">
        <f>(S107-T107)/T107</f>
        <v>-3.5145888594164419E-2</v>
      </c>
      <c r="W107" s="390"/>
      <c r="X107" s="385"/>
    </row>
    <row r="108" spans="1:24">
      <c r="A108" s="387"/>
      <c r="B108"/>
      <c r="F108" s="383"/>
      <c r="G108" s="388"/>
      <c r="H108" s="388"/>
      <c r="I108" s="383"/>
      <c r="J108" s="388"/>
      <c r="K108" s="383"/>
      <c r="L108" s="383"/>
      <c r="M108" s="383"/>
      <c r="N108" s="383"/>
      <c r="P108" s="388"/>
      <c r="Q108" s="383"/>
      <c r="R108" s="383"/>
      <c r="S108" s="389"/>
      <c r="T108" s="388"/>
      <c r="U108" s="384"/>
      <c r="W108" s="390"/>
      <c r="X108" s="385"/>
    </row>
    <row r="109" spans="1:24">
      <c r="A109" s="387" t="s">
        <v>386</v>
      </c>
      <c r="B109" t="s">
        <v>1345</v>
      </c>
      <c r="C109" s="267">
        <f>SUMIF(_12MonLights_RateCategory,$A109,_12MonLights_Count)</f>
        <v>85978</v>
      </c>
      <c r="D109" s="267">
        <f>SUMIF(_12MonLights_RateCategory,$A109,_12MonLights_KWH)</f>
        <v>0</v>
      </c>
      <c r="E109" s="412">
        <v>0.20699999999999999</v>
      </c>
      <c r="F109" s="383"/>
      <c r="G109" s="388">
        <f>VLOOKUP(A109,'Rates-Lights'!$C$550:$I$660,5,FALSE)</f>
        <v>0.39</v>
      </c>
      <c r="H109" s="388">
        <f>SUMIF(_12MonLights_RateCategory,TEXT(A109,0),_12MonLights_Base_Fuel_Revenue)</f>
        <v>171096.22</v>
      </c>
      <c r="I109" s="383">
        <f>C109*F109</f>
        <v>0</v>
      </c>
      <c r="J109" s="388">
        <f>ROUND(C109*G109,2)</f>
        <v>33531.42</v>
      </c>
      <c r="K109" s="383">
        <f>SUM(I109:J109)</f>
        <v>33531.42</v>
      </c>
      <c r="L109" s="383">
        <f>SUMIF(_12MonLights_RateCategory,TEXT($A109,0),_12MonLights_Revenue_Actual)</f>
        <v>0</v>
      </c>
      <c r="M109" s="383">
        <f>L109-K109</f>
        <v>-33531.42</v>
      </c>
      <c r="N109" s="383">
        <f>ROUND($L$186/$M$153*M109,2)</f>
        <v>-1255.67</v>
      </c>
      <c r="P109" s="388">
        <f>ROUND((SUMIF($E$17:$E$150,$E109,$N$17:$N$150)/SUMIF($E$17:$E$150,$E109,$C$17:$C$150)),2)</f>
        <v>-0.01</v>
      </c>
      <c r="Q109" s="383">
        <f>P109*C109</f>
        <v>-859.78</v>
      </c>
      <c r="R109" s="383">
        <f>N109-Q109</f>
        <v>-395.8900000000001</v>
      </c>
      <c r="S109" s="389">
        <f>T109-G109+P109</f>
        <v>10.170000000000002</v>
      </c>
      <c r="T109" s="388">
        <f>VLOOKUP($A109,'Rates-Lights'!$C$550:$I$660,3,FALSE)</f>
        <v>10.570000000000002</v>
      </c>
      <c r="U109" s="384">
        <f>(S109-T109)/T109</f>
        <v>-3.7842951750236546E-2</v>
      </c>
      <c r="W109" s="390"/>
      <c r="X109" s="385"/>
    </row>
    <row r="110" spans="1:24">
      <c r="A110" s="387"/>
      <c r="B110"/>
      <c r="F110" s="383"/>
      <c r="G110" s="388"/>
      <c r="H110" s="388"/>
      <c r="I110" s="383"/>
      <c r="J110" s="388"/>
      <c r="K110" s="383"/>
      <c r="L110" s="383"/>
      <c r="M110" s="383"/>
      <c r="N110" s="383"/>
      <c r="P110" s="388"/>
      <c r="Q110" s="383"/>
      <c r="R110" s="383"/>
      <c r="S110" s="389"/>
      <c r="T110" s="388"/>
      <c r="U110" s="384"/>
      <c r="W110" s="390"/>
      <c r="X110" s="385"/>
    </row>
    <row r="111" spans="1:24">
      <c r="A111" s="387" t="s">
        <v>310</v>
      </c>
      <c r="B111" s="391" t="s">
        <v>1346</v>
      </c>
      <c r="C111" s="267">
        <f>SUMIF(_12MonLights_RateCategory,$A111,_12MonLights_Count)</f>
        <v>60</v>
      </c>
      <c r="D111" s="267">
        <f>SUMIF(_12MonLights_RateCategory,$A111,_12MonLights_KWH)</f>
        <v>0</v>
      </c>
      <c r="E111" s="412">
        <v>0.10199999999999999</v>
      </c>
      <c r="F111" s="383"/>
      <c r="G111" s="388">
        <f>VLOOKUP(A111,'Rates-Lights'!$C$550:$I$660,5,FALSE)</f>
        <v>0.12</v>
      </c>
      <c r="H111" s="388">
        <f>SUMIF(_12MonLights_RateCategory,TEXT(A111,0),_12MonLights_Base_Fuel_Revenue)</f>
        <v>59.400000000000013</v>
      </c>
      <c r="I111" s="383">
        <f t="shared" si="10"/>
        <v>0</v>
      </c>
      <c r="J111" s="388">
        <f t="shared" si="19"/>
        <v>7.2</v>
      </c>
      <c r="K111" s="383">
        <f t="shared" si="11"/>
        <v>7.2</v>
      </c>
      <c r="L111" s="383">
        <f>SUMIF(_12MonLights_RateCategory,TEXT($A111,0),_12MonLights_Revenue_Actual)</f>
        <v>0</v>
      </c>
      <c r="M111" s="383">
        <f t="shared" si="13"/>
        <v>-7.2</v>
      </c>
      <c r="N111" s="383">
        <f>ROUND($L$186/$M$153*M111,2)</f>
        <v>-0.27</v>
      </c>
      <c r="P111" s="388">
        <f t="shared" ref="P111:P115" si="113">ROUND((SUMIF($E$17:$E$150,$E111,$N$17:$N$150)/SUMIF($E$17:$E$150,$E111,$C$17:$C$150)),2)</f>
        <v>0</v>
      </c>
      <c r="Q111" s="383">
        <f t="shared" si="15"/>
        <v>0</v>
      </c>
      <c r="R111" s="383">
        <f t="shared" si="16"/>
        <v>-0.27</v>
      </c>
      <c r="S111" s="389">
        <f t="shared" si="17"/>
        <v>3.27</v>
      </c>
      <c r="T111" s="388">
        <f>VLOOKUP($A111,'Rates-Lights'!$C$550:$I$660,3,FALSE)</f>
        <v>3.39</v>
      </c>
      <c r="U111" s="384">
        <f t="shared" si="18"/>
        <v>-3.5398230088495602E-2</v>
      </c>
      <c r="W111" s="390"/>
      <c r="X111" s="385"/>
    </row>
    <row r="112" spans="1:24">
      <c r="A112" s="387" t="s">
        <v>340</v>
      </c>
      <c r="B112" s="392" t="s">
        <v>1347</v>
      </c>
      <c r="C112" s="267">
        <f>SUMIF(_12MonLights_RateCategory,$A112,_12MonLights_Count)</f>
        <v>8111</v>
      </c>
      <c r="D112" s="267">
        <f>SUMIF(_12MonLights_RateCategory,$A112,_12MonLights_KWH)</f>
        <v>0</v>
      </c>
      <c r="E112" s="412">
        <v>0.20100000000000001</v>
      </c>
      <c r="F112" s="383"/>
      <c r="G112" s="388">
        <f>VLOOKUP(A112,'Rates-Lights'!$C$550:$I$660,5,FALSE)</f>
        <v>0.16</v>
      </c>
      <c r="H112" s="388">
        <f>SUMIF(_12MonLights_RateCategory,TEXT(A112,0),_12MonLights_Base_Fuel_Revenue)</f>
        <v>15735.34</v>
      </c>
      <c r="I112" s="383">
        <f>C112*F112</f>
        <v>0</v>
      </c>
      <c r="J112" s="388">
        <f>ROUND(C112*G112,2)</f>
        <v>1297.76</v>
      </c>
      <c r="K112" s="383">
        <f>SUM(I112:J112)</f>
        <v>1297.76</v>
      </c>
      <c r="L112" s="383">
        <f>SUMIF(_12MonLights_RateCategory,TEXT($A112,0),_12MonLights_Revenue_Actual)</f>
        <v>0</v>
      </c>
      <c r="M112" s="383">
        <f>L112-K112</f>
        <v>-1297.76</v>
      </c>
      <c r="N112" s="383">
        <f>ROUND($L$186/$M$153*M112,2)</f>
        <v>-48.6</v>
      </c>
      <c r="P112" s="388">
        <f t="shared" si="113"/>
        <v>-0.01</v>
      </c>
      <c r="Q112" s="383">
        <f>P112*C112</f>
        <v>-81.11</v>
      </c>
      <c r="R112" s="383">
        <f>N112-Q112</f>
        <v>32.51</v>
      </c>
      <c r="S112" s="389">
        <f>T112-G112+P112</f>
        <v>4.370000000000001</v>
      </c>
      <c r="T112" s="388">
        <f>VLOOKUP($A112,'Rates-Lights'!$C$550:$I$660,3,FALSE)</f>
        <v>4.5400000000000009</v>
      </c>
      <c r="U112" s="384">
        <f>(S112-T112)/T112</f>
        <v>-3.7444933920704825E-2</v>
      </c>
      <c r="W112" s="390"/>
      <c r="X112" s="385"/>
    </row>
    <row r="113" spans="1:24">
      <c r="A113" s="387" t="s">
        <v>358</v>
      </c>
      <c r="B113" s="392" t="s">
        <v>1348</v>
      </c>
      <c r="C113" s="267">
        <f>SUMIF(_12MonLights_RateCategory,$A113,_12MonLights_Count)</f>
        <v>986</v>
      </c>
      <c r="D113" s="267">
        <f>SUMIF(_12MonLights_RateCategory,$A113,_12MonLights_KWH)</f>
        <v>0</v>
      </c>
      <c r="E113" s="412">
        <v>0.32700000000000001</v>
      </c>
      <c r="F113" s="383"/>
      <c r="G113" s="388">
        <f>VLOOKUP(A113,'Rates-Lights'!$C$550:$I$660,5,FALSE)</f>
        <v>0.24</v>
      </c>
      <c r="H113" s="388">
        <f>SUMIF(_12MonLights_RateCategory,TEXT(A113,0),_12MonLights_Base_Fuel_Revenue)</f>
        <v>690.2</v>
      </c>
      <c r="I113" s="383">
        <f>C113*F113</f>
        <v>0</v>
      </c>
      <c r="J113" s="388">
        <f>ROUND(C113*G113,2)</f>
        <v>236.64</v>
      </c>
      <c r="K113" s="383">
        <f>SUM(I113:J113)</f>
        <v>236.64</v>
      </c>
      <c r="L113" s="383">
        <f>SUMIF(_12MonLights_RateCategory,TEXT($A113,0),_12MonLights_Revenue_Actual)</f>
        <v>0</v>
      </c>
      <c r="M113" s="383">
        <f>L113-K113</f>
        <v>-236.64</v>
      </c>
      <c r="N113" s="383">
        <f>ROUND($L$186/$M$153*M113,2)</f>
        <v>-8.86</v>
      </c>
      <c r="P113" s="388">
        <f t="shared" si="113"/>
        <v>-0.01</v>
      </c>
      <c r="Q113" s="383">
        <f>P113*C113</f>
        <v>-9.86</v>
      </c>
      <c r="R113" s="383">
        <f>N113-Q113</f>
        <v>1</v>
      </c>
      <c r="S113" s="389">
        <f>T113-G113+P113</f>
        <v>6.53</v>
      </c>
      <c r="T113" s="388">
        <f>VLOOKUP($A113,'Rates-Lights'!$C$550:$I$660,3,FALSE)</f>
        <v>6.78</v>
      </c>
      <c r="U113" s="384">
        <f>(S113-T113)/T113</f>
        <v>-3.687315634218289E-2</v>
      </c>
      <c r="W113" s="390"/>
      <c r="X113" s="385"/>
    </row>
    <row r="114" spans="1:24">
      <c r="A114" s="387" t="s">
        <v>357</v>
      </c>
      <c r="B114" s="392" t="s">
        <v>1349</v>
      </c>
      <c r="C114" s="267">
        <f>SUMIF(_12MonLights_RateCategory,$A114,_12MonLights_Count)</f>
        <v>68</v>
      </c>
      <c r="D114" s="267">
        <f>SUMIF(_12MonLights_RateCategory,$A114,_12MonLights_KWH)</f>
        <v>0</v>
      </c>
      <c r="E114" s="412">
        <v>0.32700000000000001</v>
      </c>
      <c r="F114" s="383"/>
      <c r="G114" s="388">
        <f>VLOOKUP(A114,'Rates-Lights'!$C$550:$I$660,5,FALSE)</f>
        <v>0.24</v>
      </c>
      <c r="H114" s="388">
        <f>SUMIF(_12MonLights_RateCategory,TEXT(A114,0),_12MonLights_Base_Fuel_Revenue)</f>
        <v>47.600000000000009</v>
      </c>
      <c r="I114" s="383">
        <f>C114*F114</f>
        <v>0</v>
      </c>
      <c r="J114" s="388">
        <f>ROUND(C114*G114,2)</f>
        <v>16.32</v>
      </c>
      <c r="K114" s="383">
        <f>SUM(I114:J114)</f>
        <v>16.32</v>
      </c>
      <c r="L114" s="383">
        <f>SUMIF(_12MonLights_RateCategory,TEXT($A114,0),_12MonLights_Revenue_Actual)</f>
        <v>0</v>
      </c>
      <c r="M114" s="383">
        <f>L114-K114</f>
        <v>-16.32</v>
      </c>
      <c r="N114" s="383">
        <f>ROUND($L$186/$M$153*M114,2)</f>
        <v>-0.61</v>
      </c>
      <c r="P114" s="388">
        <f t="shared" si="113"/>
        <v>-0.01</v>
      </c>
      <c r="Q114" s="383">
        <f>P114*C114</f>
        <v>-0.68</v>
      </c>
      <c r="R114" s="383">
        <f>N114-Q114</f>
        <v>7.0000000000000062E-2</v>
      </c>
      <c r="S114" s="389">
        <f>T114-G114+P114</f>
        <v>7.49</v>
      </c>
      <c r="T114" s="388">
        <f>VLOOKUP($A114,'Rates-Lights'!$C$550:$I$660,3,FALSE)</f>
        <v>7.74</v>
      </c>
      <c r="U114" s="384">
        <f>(S114-T114)/T114</f>
        <v>-3.2299741602067181E-2</v>
      </c>
      <c r="W114" s="390"/>
      <c r="X114" s="385"/>
    </row>
    <row r="115" spans="1:24">
      <c r="A115" s="387" t="s">
        <v>383</v>
      </c>
      <c r="B115" s="392" t="s">
        <v>1350</v>
      </c>
      <c r="C115" s="267">
        <f>SUMIF(_12MonLights_RateCategory,$A115,_12MonLights_Count)</f>
        <v>24</v>
      </c>
      <c r="D115" s="267">
        <f>SUMIF(_12MonLights_RateCategory,$A115,_12MonLights_KWH)</f>
        <v>0</v>
      </c>
      <c r="E115" s="412">
        <v>0.44700000000000001</v>
      </c>
      <c r="F115" s="383"/>
      <c r="G115" s="388">
        <f>VLOOKUP(A115,'Rates-Lights'!$C$550:$I$660,5,FALSE)</f>
        <v>0.33</v>
      </c>
      <c r="H115" s="388">
        <f>SUMIF(_12MonLights_RateCategory,TEXT(A115,0),_12MonLights_Base_Fuel_Revenue)</f>
        <v>103.19999999999997</v>
      </c>
      <c r="I115" s="383">
        <f>C115*F115</f>
        <v>0</v>
      </c>
      <c r="J115" s="388">
        <f>ROUND(C115*G115,2)</f>
        <v>7.92</v>
      </c>
      <c r="K115" s="383">
        <f>SUM(I115:J115)</f>
        <v>7.92</v>
      </c>
      <c r="L115" s="383">
        <f>SUMIF(_12MonLights_RateCategory,TEXT($A115,0),_12MonLights_Revenue_Actual)</f>
        <v>0</v>
      </c>
      <c r="M115" s="383">
        <f>L115-K115</f>
        <v>-7.92</v>
      </c>
      <c r="N115" s="383">
        <f>ROUND($L$186/$M$153*M115,2)</f>
        <v>-0.3</v>
      </c>
      <c r="P115" s="388">
        <f t="shared" si="113"/>
        <v>-0.01</v>
      </c>
      <c r="Q115" s="383">
        <f>P115*C115</f>
        <v>-0.24</v>
      </c>
      <c r="R115" s="383">
        <f>N115-Q115</f>
        <v>-0.06</v>
      </c>
      <c r="S115" s="389">
        <f>T115-G115+P115</f>
        <v>8.7200000000000006</v>
      </c>
      <c r="T115" s="388">
        <f>VLOOKUP($A115,'Rates-Lights'!$C$550:$I$660,3,FALSE)</f>
        <v>9.06</v>
      </c>
      <c r="U115" s="384">
        <f>(S115-T115)/T115</f>
        <v>-3.7527593818984531E-2</v>
      </c>
      <c r="V115" s="312"/>
      <c r="W115" s="390"/>
      <c r="X115" s="385"/>
    </row>
    <row r="116" spans="1:24">
      <c r="A116" s="387"/>
      <c r="B116"/>
      <c r="F116" s="383"/>
      <c r="G116" s="388"/>
      <c r="H116" s="388"/>
      <c r="I116" s="383"/>
      <c r="J116" s="388"/>
      <c r="K116" s="383"/>
      <c r="L116" s="383"/>
      <c r="M116" s="383"/>
      <c r="N116" s="383"/>
      <c r="P116" s="388"/>
      <c r="Q116" s="383"/>
      <c r="R116" s="383"/>
      <c r="S116" s="389"/>
      <c r="T116" s="388"/>
      <c r="U116" s="384"/>
      <c r="V116" s="312"/>
      <c r="W116" s="390"/>
      <c r="X116" s="385"/>
    </row>
    <row r="117" spans="1:24">
      <c r="A117" s="387"/>
      <c r="B117" s="406" t="s">
        <v>1351</v>
      </c>
      <c r="F117" s="383"/>
      <c r="G117" s="388"/>
      <c r="H117" s="388"/>
      <c r="I117" s="383"/>
      <c r="J117" s="388"/>
      <c r="K117" s="383"/>
      <c r="L117" s="383"/>
      <c r="M117" s="383"/>
      <c r="N117" s="383"/>
      <c r="P117" s="388"/>
      <c r="Q117" s="383"/>
      <c r="R117" s="383"/>
      <c r="S117" s="389"/>
      <c r="T117" s="388"/>
      <c r="U117" s="384"/>
      <c r="V117" s="312"/>
      <c r="W117" s="390"/>
      <c r="X117" s="385"/>
    </row>
    <row r="118" spans="1:24">
      <c r="A118" s="387" t="s">
        <v>319</v>
      </c>
      <c r="B118" t="s">
        <v>1352</v>
      </c>
      <c r="C118" s="267">
        <f>SUMIF(_12MonLights_RateCategory,$A118,_12MonLights_Count)</f>
        <v>42</v>
      </c>
      <c r="D118" s="267">
        <f>SUMIF(_12MonLights_RateCategory,$A118,_12MonLights_KWH)</f>
        <v>0</v>
      </c>
      <c r="E118" s="412">
        <v>0.15</v>
      </c>
      <c r="F118" s="383"/>
      <c r="G118" s="388">
        <f>VLOOKUP(A118,'Rates-Lights'!$C$550:$I$660,5,FALSE)</f>
        <v>0.66</v>
      </c>
      <c r="H118" s="388">
        <f>SUMIF(_12MonLights_RateCategory,TEXT(A118,0),_12MonLights_Base_Fuel_Revenue)</f>
        <v>82.740000000000123</v>
      </c>
      <c r="I118" s="383">
        <f t="shared" ref="I118:I120" si="114">C118*F118</f>
        <v>0</v>
      </c>
      <c r="J118" s="388">
        <f t="shared" ref="J118:J120" si="115">ROUND(C118*G118,2)</f>
        <v>27.72</v>
      </c>
      <c r="K118" s="383">
        <f t="shared" ref="K118:K120" si="116">SUM(I118:J118)</f>
        <v>27.72</v>
      </c>
      <c r="L118" s="383">
        <f>SUMIF(_12MonLights_RateCategory,TEXT($A118,0),_12MonLights_Revenue_Actual)</f>
        <v>0</v>
      </c>
      <c r="M118" s="383">
        <f t="shared" ref="M118:M120" si="117">L118-K118</f>
        <v>-27.72</v>
      </c>
      <c r="N118" s="383">
        <f>ROUND($L$186/$M$153*M118,2)</f>
        <v>-1.04</v>
      </c>
      <c r="P118" s="388">
        <f t="shared" ref="P118:P120" si="118">ROUND((SUMIF($E$17:$E$150,$E118,$N$17:$N$150)/SUMIF($E$17:$E$150,$E118,$C$17:$C$150)),2)</f>
        <v>-0.02</v>
      </c>
      <c r="Q118" s="383">
        <f t="shared" ref="Q118:Q120" si="119">P118*C118</f>
        <v>-0.84</v>
      </c>
      <c r="R118" s="383">
        <f t="shared" ref="R118:R120" si="120">N118-Q118</f>
        <v>-0.20000000000000007</v>
      </c>
      <c r="S118" s="389">
        <f t="shared" ref="S118:S120" si="121">T118-G118+P118</f>
        <v>26.47</v>
      </c>
      <c r="T118" s="388">
        <f>VLOOKUP($A118,'Rates-Lights'!$C$550:$I$660,3,FALSE)</f>
        <v>27.15</v>
      </c>
      <c r="U118" s="384">
        <f t="shared" ref="U118:U120" si="122">(S118-T118)/T118</f>
        <v>-2.5046040515653765E-2</v>
      </c>
      <c r="W118" s="390"/>
      <c r="X118" s="385"/>
    </row>
    <row r="119" spans="1:24">
      <c r="A119" s="387" t="s">
        <v>351</v>
      </c>
      <c r="B119" s="15" t="s">
        <v>1353</v>
      </c>
      <c r="C119" s="267">
        <f>SUMIF(_12MonLights_RateCategory,$A119,_12MonLights_Count)</f>
        <v>3478</v>
      </c>
      <c r="D119" s="267">
        <f>SUMIF(_12MonLights_RateCategory,$A119,_12MonLights_KWH)</f>
        <v>0</v>
      </c>
      <c r="E119" s="412">
        <v>0.35</v>
      </c>
      <c r="F119" s="383"/>
      <c r="G119" s="388">
        <f>VLOOKUP(A119,'Rates-Lights'!$C$550:$I$660,5,FALSE)</f>
        <v>0.84</v>
      </c>
      <c r="H119" s="388">
        <f>SUMIF(_12MonLights_RateCategory,TEXT(A119,0),_12MonLights_Base_Fuel_Revenue)</f>
        <v>14920.62</v>
      </c>
      <c r="I119" s="383">
        <f t="shared" si="114"/>
        <v>0</v>
      </c>
      <c r="J119" s="388">
        <f t="shared" si="115"/>
        <v>2921.52</v>
      </c>
      <c r="K119" s="383">
        <f t="shared" si="116"/>
        <v>2921.52</v>
      </c>
      <c r="L119" s="383">
        <f>SUMIF(_12MonLights_RateCategory,TEXT($A119,0),_12MonLights_Revenue_Actual)</f>
        <v>0</v>
      </c>
      <c r="M119" s="383">
        <f t="shared" si="117"/>
        <v>-2921.52</v>
      </c>
      <c r="N119" s="383">
        <f>ROUND($L$186/$M$153*M119,2)</f>
        <v>-109.4</v>
      </c>
      <c r="P119" s="388">
        <f t="shared" si="118"/>
        <v>-0.03</v>
      </c>
      <c r="Q119" s="383">
        <f t="shared" si="119"/>
        <v>-104.33999999999999</v>
      </c>
      <c r="R119" s="383">
        <f t="shared" si="120"/>
        <v>-5.0600000000000165</v>
      </c>
      <c r="S119" s="389">
        <f t="shared" si="121"/>
        <v>32.230000000000004</v>
      </c>
      <c r="T119" s="388">
        <f>VLOOKUP($A119,'Rates-Lights'!$C$550:$I$660,3,FALSE)</f>
        <v>33.100000000000009</v>
      </c>
      <c r="U119" s="384">
        <f t="shared" si="122"/>
        <v>-2.6283987915407987E-2</v>
      </c>
      <c r="W119" s="390"/>
      <c r="X119" s="385"/>
    </row>
    <row r="120" spans="1:24">
      <c r="A120" s="387" t="s">
        <v>314</v>
      </c>
      <c r="B120" s="15" t="s">
        <v>1354</v>
      </c>
      <c r="C120" s="267">
        <f>SUMIF(_12MonLights_RateCategory,$A120,_12MonLights_Count)</f>
        <v>637</v>
      </c>
      <c r="D120" s="267">
        <f>SUMIF(_12MonLights_RateCategory,$A120,_12MonLights_KWH)</f>
        <v>0</v>
      </c>
      <c r="E120" s="412">
        <v>1.08</v>
      </c>
      <c r="F120" s="383"/>
      <c r="G120" s="388">
        <f>VLOOKUP(A120,'Rates-Lights'!$C$550:$I$660,5,FALSE)</f>
        <v>1.7</v>
      </c>
      <c r="H120" s="388">
        <f>SUMIF(_12MonLights_RateCategory,TEXT(A120,0),_12MonLights_Base_Fuel_Revenue)</f>
        <v>6631.170000000001</v>
      </c>
      <c r="I120" s="383">
        <f t="shared" si="114"/>
        <v>0</v>
      </c>
      <c r="J120" s="388">
        <f t="shared" si="115"/>
        <v>1082.9000000000001</v>
      </c>
      <c r="K120" s="383">
        <f t="shared" si="116"/>
        <v>1082.9000000000001</v>
      </c>
      <c r="L120" s="383">
        <f>SUMIF(_12MonLights_RateCategory,TEXT($A120,0),_12MonLights_Revenue_Actual)</f>
        <v>0</v>
      </c>
      <c r="M120" s="383">
        <f t="shared" si="117"/>
        <v>-1082.9000000000001</v>
      </c>
      <c r="N120" s="383">
        <f>ROUND($L$186/$M$153*M120,2)</f>
        <v>-40.549999999999997</v>
      </c>
      <c r="O120" s="390"/>
      <c r="P120" s="388">
        <f t="shared" si="118"/>
        <v>-0.06</v>
      </c>
      <c r="Q120" s="383">
        <f t="shared" si="119"/>
        <v>-38.22</v>
      </c>
      <c r="R120" s="383">
        <f t="shared" si="120"/>
        <v>-2.3299999999999983</v>
      </c>
      <c r="S120" s="389">
        <f t="shared" si="121"/>
        <v>53.49</v>
      </c>
      <c r="T120" s="388">
        <f>VLOOKUP($A120,'Rates-Lights'!$C$550:$I$660,3,FALSE)</f>
        <v>55.250000000000007</v>
      </c>
      <c r="U120" s="384">
        <f t="shared" si="122"/>
        <v>-3.1855203619909588E-2</v>
      </c>
      <c r="W120" s="390"/>
      <c r="X120" s="385"/>
    </row>
    <row r="121" spans="1:24">
      <c r="A121" s="387"/>
      <c r="B121" s="406"/>
      <c r="F121" s="383"/>
      <c r="G121" s="388"/>
      <c r="H121" s="388"/>
      <c r="I121" s="383"/>
      <c r="J121" s="388"/>
      <c r="K121" s="383"/>
      <c r="L121" s="383"/>
      <c r="M121" s="383"/>
      <c r="N121" s="383"/>
      <c r="P121" s="388"/>
      <c r="Q121" s="383"/>
      <c r="R121" s="383"/>
      <c r="S121" s="389"/>
      <c r="T121" s="388"/>
      <c r="U121" s="384"/>
      <c r="V121" s="312"/>
      <c r="W121" s="390"/>
      <c r="X121" s="385"/>
    </row>
    <row r="122" spans="1:24">
      <c r="A122" s="387" t="s">
        <v>359</v>
      </c>
      <c r="B122" t="s">
        <v>1355</v>
      </c>
      <c r="C122" s="267">
        <f>SUMIF(_12MonLights_RateCategory,$A122,_12MonLights_Count)</f>
        <v>24</v>
      </c>
      <c r="D122" s="267">
        <f>SUMIF(_12MonLights_RateCategory,$A122,_12MonLights_KWH)</f>
        <v>0</v>
      </c>
      <c r="E122" s="412">
        <v>0.06</v>
      </c>
      <c r="F122" s="383"/>
      <c r="G122" s="388">
        <f>VLOOKUP(A122,'Rates-Lights'!$C$550:$I$660,5,FALSE)</f>
        <v>0.33</v>
      </c>
      <c r="H122" s="388">
        <f>SUMIF(_12MonLights_RateCategory,TEXT(A122,0),_12MonLights_Base_Fuel_Revenue)</f>
        <v>13.680000000000001</v>
      </c>
      <c r="I122" s="383">
        <f>C122*F122</f>
        <v>0</v>
      </c>
      <c r="J122" s="388">
        <f>ROUND(C122*G122,2)</f>
        <v>7.92</v>
      </c>
      <c r="K122" s="383">
        <f>SUM(I122:J122)</f>
        <v>7.92</v>
      </c>
      <c r="L122" s="383">
        <f>SUMIF(_12MonLights_RateCategory,TEXT($A122,0),_12MonLights_Revenue_Actual)</f>
        <v>0</v>
      </c>
      <c r="M122" s="383">
        <f>L122-K122</f>
        <v>-7.92</v>
      </c>
      <c r="N122" s="383">
        <f>ROUND($L$186/$M$153*M122,2)</f>
        <v>-0.3</v>
      </c>
      <c r="P122" s="388">
        <f t="shared" ref="P122:P123" si="123">ROUND((SUMIF($E$17:$E$150,$E122,$N$17:$N$150)/SUMIF($E$17:$E$150,$E122,$C$17:$C$150)),2)</f>
        <v>-0.01</v>
      </c>
      <c r="Q122" s="383">
        <f>P122*C122</f>
        <v>-0.24</v>
      </c>
      <c r="R122" s="383">
        <f>N122-Q122</f>
        <v>-0.06</v>
      </c>
      <c r="S122" s="389">
        <f>T122-G122+P122</f>
        <v>13.270000000000001</v>
      </c>
      <c r="T122" s="388">
        <f>VLOOKUP($A122,'Rates-Lights'!$C$550:$I$660,3,FALSE)</f>
        <v>13.610000000000001</v>
      </c>
      <c r="U122" s="384">
        <f>(S122-T122)/T122</f>
        <v>-2.4981631153563544E-2</v>
      </c>
      <c r="W122" s="390"/>
      <c r="X122" s="385"/>
    </row>
    <row r="123" spans="1:24">
      <c r="A123" s="387" t="s">
        <v>360</v>
      </c>
      <c r="B123" s="15" t="s">
        <v>1356</v>
      </c>
      <c r="C123" s="267">
        <f>SUMIF(_12MonLights_RateCategory,$A123,_12MonLights_Count)</f>
        <v>2863</v>
      </c>
      <c r="D123" s="267">
        <f>SUMIF(_12MonLights_RateCategory,$A123,_12MonLights_KWH)</f>
        <v>0</v>
      </c>
      <c r="E123" s="412">
        <v>0.06</v>
      </c>
      <c r="F123" s="383"/>
      <c r="G123" s="388">
        <f>VLOOKUP(A123,'Rates-Lights'!$C$550:$I$660,5,FALSE)</f>
        <v>0.33</v>
      </c>
      <c r="H123" s="388">
        <f>SUMIF(_12MonLights_RateCategory,TEXT(A123,0),_12MonLights_Base_Fuel_Revenue)</f>
        <v>1631.9099999999999</v>
      </c>
      <c r="I123" s="383">
        <f>C123*F123</f>
        <v>0</v>
      </c>
      <c r="J123" s="388">
        <f>ROUND(C123*G123,2)</f>
        <v>944.79</v>
      </c>
      <c r="K123" s="383">
        <f>SUM(I123:J123)</f>
        <v>944.79</v>
      </c>
      <c r="L123" s="383">
        <f>SUMIF(_12MonLights_RateCategory,TEXT($A123,0),_12MonLights_Revenue_Actual)</f>
        <v>0</v>
      </c>
      <c r="M123" s="383">
        <f>L123-K123</f>
        <v>-944.79</v>
      </c>
      <c r="N123" s="383">
        <f>ROUND($L$186/$M$153*M123,2)</f>
        <v>-35.380000000000003</v>
      </c>
      <c r="P123" s="388">
        <f t="shared" si="123"/>
        <v>-0.01</v>
      </c>
      <c r="Q123" s="383">
        <f>P123*C123</f>
        <v>-28.63</v>
      </c>
      <c r="R123" s="383">
        <f>N123-Q123</f>
        <v>-6.7500000000000036</v>
      </c>
      <c r="S123" s="389">
        <f>T123-G123+P123</f>
        <v>19.919999999999998</v>
      </c>
      <c r="T123" s="388">
        <f>VLOOKUP($A123,'Rates-Lights'!$C$550:$I$660,3,FALSE)</f>
        <v>20.259999999999998</v>
      </c>
      <c r="U123" s="384">
        <f>(S123-T123)/T123</f>
        <v>-1.6781836130306017E-2</v>
      </c>
      <c r="W123" s="390"/>
      <c r="X123" s="385"/>
    </row>
    <row r="124" spans="1:24">
      <c r="A124" s="387"/>
      <c r="B124" s="406"/>
      <c r="F124" s="383"/>
      <c r="G124" s="388"/>
      <c r="H124" s="388"/>
      <c r="I124" s="383"/>
      <c r="J124" s="388"/>
      <c r="K124" s="383"/>
      <c r="L124" s="383"/>
      <c r="M124" s="383"/>
      <c r="N124" s="383"/>
      <c r="P124" s="388"/>
      <c r="Q124" s="383"/>
      <c r="R124" s="383"/>
      <c r="S124" s="389"/>
      <c r="T124" s="388"/>
      <c r="U124" s="384"/>
      <c r="V124" s="312"/>
      <c r="W124" s="390"/>
      <c r="X124" s="385"/>
    </row>
    <row r="125" spans="1:24">
      <c r="A125" s="387" t="s">
        <v>363</v>
      </c>
      <c r="B125" t="s">
        <v>1357</v>
      </c>
      <c r="C125" s="267">
        <f>SUMIF(_12MonLights_RateCategory,$A125,_12MonLights_Count)</f>
        <v>10284</v>
      </c>
      <c r="D125" s="267">
        <f>SUMIF(_12MonLights_RateCategory,$A125,_12MonLights_KWH)</f>
        <v>0</v>
      </c>
      <c r="E125" s="412">
        <v>0.06</v>
      </c>
      <c r="F125" s="383"/>
      <c r="G125" s="388">
        <f>VLOOKUP(A125,'Rates-Lights'!$C$550:$I$660,5,FALSE)</f>
        <v>0.33</v>
      </c>
      <c r="H125" s="388">
        <f>SUMIF(_12MonLights_RateCategory,TEXT(A125,0),_12MonLights_Base_Fuel_Revenue)</f>
        <v>5861.8799999999992</v>
      </c>
      <c r="I125" s="383">
        <f>C125*F125</f>
        <v>0</v>
      </c>
      <c r="J125" s="388">
        <f>ROUND(C125*G125,2)</f>
        <v>3393.72</v>
      </c>
      <c r="K125" s="383">
        <f>SUM(I125:J125)</f>
        <v>3393.72</v>
      </c>
      <c r="L125" s="383">
        <f>SUMIF(_12MonLights_RateCategory,TEXT($A125,0),_12MonLights_Revenue_Actual)</f>
        <v>0</v>
      </c>
      <c r="M125" s="383">
        <f>L125-K125</f>
        <v>-3393.72</v>
      </c>
      <c r="N125" s="383">
        <f>ROUND($L$186/$M$153*M125,2)</f>
        <v>-127.09</v>
      </c>
      <c r="P125" s="388">
        <f>ROUND((SUMIF($E$17:$E$150,$E125,$N$17:$N$150)/SUMIF($E$17:$E$150,$E125,$C$17:$C$150)),2)</f>
        <v>-0.01</v>
      </c>
      <c r="Q125" s="383">
        <f>P125*C125</f>
        <v>-102.84</v>
      </c>
      <c r="R125" s="383">
        <f>N125-Q125</f>
        <v>-24.25</v>
      </c>
      <c r="S125" s="389">
        <f>T125-G125+P125</f>
        <v>9.2800000000000011</v>
      </c>
      <c r="T125" s="388">
        <f>VLOOKUP($A125,'Rates-Lights'!$C$550:$I$660,3,FALSE)</f>
        <v>9.620000000000001</v>
      </c>
      <c r="U125" s="384">
        <f>(S125-T125)/T125</f>
        <v>-3.5343035343035324E-2</v>
      </c>
      <c r="W125" s="390"/>
      <c r="X125" s="385"/>
    </row>
    <row r="126" spans="1:24">
      <c r="A126" s="387"/>
      <c r="B126"/>
      <c r="F126" s="383"/>
      <c r="G126" s="388"/>
      <c r="H126" s="388"/>
      <c r="I126" s="383"/>
      <c r="J126" s="388"/>
      <c r="K126" s="383"/>
      <c r="L126" s="383"/>
      <c r="M126" s="383"/>
      <c r="N126" s="383"/>
      <c r="P126" s="388"/>
      <c r="Q126" s="383"/>
      <c r="R126" s="383"/>
      <c r="S126" s="389"/>
      <c r="T126" s="388"/>
      <c r="U126" s="384"/>
      <c r="W126" s="390"/>
      <c r="X126" s="385"/>
    </row>
    <row r="127" spans="1:24">
      <c r="A127" s="387" t="s">
        <v>370</v>
      </c>
      <c r="B127" t="s">
        <v>1358</v>
      </c>
      <c r="C127" s="267">
        <f>SUMIF(_12MonLights_RateCategory,$A127,_12MonLights_Count)</f>
        <v>336</v>
      </c>
      <c r="D127" s="267">
        <f>SUMIF(_12MonLights_RateCategory,$A127,_12MonLights_KWH)</f>
        <v>0</v>
      </c>
      <c r="E127" s="412">
        <v>8.3000000000000004E-2</v>
      </c>
      <c r="F127" s="383"/>
      <c r="G127" s="388">
        <f>VLOOKUP(A127,'Rates-Lights'!$C$550:$I$660,5,FALSE)</f>
        <v>0.43</v>
      </c>
      <c r="H127" s="388">
        <f>SUMIF(_12MonLights_RateCategory,TEXT(A127,0),_12MonLights_Base_Fuel_Revenue)</f>
        <v>268.8</v>
      </c>
      <c r="I127" s="383">
        <f>C127*F127</f>
        <v>0</v>
      </c>
      <c r="J127" s="388">
        <f>ROUND(C127*G127,2)</f>
        <v>144.47999999999999</v>
      </c>
      <c r="K127" s="383">
        <f>SUM(I127:J127)</f>
        <v>144.47999999999999</v>
      </c>
      <c r="L127" s="383">
        <f>SUMIF(_12MonLights_RateCategory,TEXT($A127,0),_12MonLights_Revenue_Actual)</f>
        <v>0</v>
      </c>
      <c r="M127" s="383">
        <f>L127-K127</f>
        <v>-144.47999999999999</v>
      </c>
      <c r="N127" s="383">
        <f>ROUND($L$186/$M$153*M127,2)</f>
        <v>-5.41</v>
      </c>
      <c r="O127" s="390"/>
      <c r="P127" s="388">
        <f t="shared" ref="P127:P128" si="124">ROUND((SUMIF($E$17:$E$150,$E127,$N$17:$N$150)/SUMIF($E$17:$E$150,$E127,$C$17:$C$150)),2)</f>
        <v>-0.02</v>
      </c>
      <c r="Q127" s="383">
        <f>P127*C127</f>
        <v>-6.72</v>
      </c>
      <c r="R127" s="383">
        <f>N127-Q127</f>
        <v>1.3099999999999996</v>
      </c>
      <c r="S127" s="389">
        <f>T127-G127+P127</f>
        <v>30.39</v>
      </c>
      <c r="T127" s="388">
        <f>VLOOKUP($A127,'Rates-Lights'!$C$550:$I$660,3,FALSE)</f>
        <v>30.84</v>
      </c>
      <c r="U127" s="384">
        <f>(S127-T127)/T127</f>
        <v>-1.4591439688715931E-2</v>
      </c>
      <c r="W127" s="390"/>
      <c r="X127" s="385"/>
    </row>
    <row r="128" spans="1:24">
      <c r="A128" s="387" t="s">
        <v>393</v>
      </c>
      <c r="B128" s="15" t="s">
        <v>1359</v>
      </c>
      <c r="C128" s="267">
        <f>SUMIF(_12MonLights_RateCategory,$A128,_12MonLights_Count)</f>
        <v>1150</v>
      </c>
      <c r="D128" s="267">
        <f>SUMIF(_12MonLights_RateCategory,$A128,_12MonLights_KWH)</f>
        <v>0</v>
      </c>
      <c r="E128" s="412">
        <v>0.11700000000000001</v>
      </c>
      <c r="F128" s="383"/>
      <c r="G128" s="388">
        <f>VLOOKUP(A128,'Rates-Lights'!$C$550:$I$660,5,FALSE)</f>
        <v>0.34</v>
      </c>
      <c r="H128" s="388">
        <f>SUMIF(_12MonLights_RateCategory,TEXT(A128,0),_12MonLights_Base_Fuel_Revenue)</f>
        <v>1299.4999999999998</v>
      </c>
      <c r="I128" s="383">
        <f>C128*F128</f>
        <v>0</v>
      </c>
      <c r="J128" s="388">
        <f>ROUND(C128*G128,2)</f>
        <v>391</v>
      </c>
      <c r="K128" s="383">
        <f>SUM(I128:J128)</f>
        <v>391</v>
      </c>
      <c r="L128" s="383">
        <f>SUMIF(_12MonLights_RateCategory,TEXT($A128,0),_12MonLights_Revenue_Actual)</f>
        <v>0</v>
      </c>
      <c r="M128" s="383">
        <f>L128-K128</f>
        <v>-391</v>
      </c>
      <c r="N128" s="383">
        <f>ROUND($L$186/$M$153*M128,2)</f>
        <v>-14.64</v>
      </c>
      <c r="P128" s="388">
        <f t="shared" si="124"/>
        <v>-0.01</v>
      </c>
      <c r="Q128" s="383">
        <f>P128*C128</f>
        <v>-11.5</v>
      </c>
      <c r="R128" s="383">
        <f>N128-Q128</f>
        <v>-3.1400000000000006</v>
      </c>
      <c r="S128" s="389">
        <f>T128-G128+P128</f>
        <v>30.869999999999997</v>
      </c>
      <c r="T128" s="388">
        <f>VLOOKUP($A128,'Rates-Lights'!$C$550:$I$660,3,FALSE)</f>
        <v>31.22</v>
      </c>
      <c r="U128" s="384">
        <f>(S128-T128)/T128</f>
        <v>-1.1210762331838611E-2</v>
      </c>
      <c r="W128" s="390"/>
      <c r="X128" s="385"/>
    </row>
    <row r="129" spans="1:24">
      <c r="A129" s="411" t="s">
        <v>1360</v>
      </c>
      <c r="B129"/>
      <c r="F129" s="383"/>
      <c r="G129" s="388"/>
      <c r="H129" s="388"/>
      <c r="I129" s="383"/>
      <c r="J129" s="388"/>
      <c r="K129" s="383"/>
      <c r="L129" s="383"/>
      <c r="M129" s="383"/>
      <c r="N129" s="383"/>
      <c r="P129" s="388"/>
      <c r="Q129" s="383"/>
      <c r="R129" s="383"/>
      <c r="S129" s="389"/>
      <c r="T129" s="388"/>
      <c r="U129" s="384"/>
      <c r="W129" s="390"/>
      <c r="X129" s="385"/>
    </row>
    <row r="130" spans="1:24">
      <c r="A130" s="407" t="s">
        <v>402</v>
      </c>
      <c r="B130" s="408" t="s">
        <v>403</v>
      </c>
      <c r="C130" s="267">
        <f t="shared" ref="C130:C150" si="125">SUMIF(_12MonLights_RateCategory,$A130,_12MonLights_Count)</f>
        <v>0</v>
      </c>
      <c r="D130" s="267">
        <f t="shared" ref="D130:D150" si="126">SUMIF(_12MonLights_RateCategory,$A130,_12MonLights_KWH)</f>
        <v>0</v>
      </c>
      <c r="E130" s="412">
        <v>0.10199999999999999</v>
      </c>
      <c r="F130" s="383"/>
      <c r="G130" s="388">
        <f>VLOOKUP(A130,'Rates-Lights'!$C$550:$I$660,5,FALSE)</f>
        <v>0</v>
      </c>
      <c r="H130" s="388">
        <f t="shared" ref="H130:H150" si="127">SUMIF(_12MonLights_RateCategory,TEXT(A130,0),_12MonLights_Base_Fuel_Revenue)</f>
        <v>0</v>
      </c>
      <c r="I130" s="383">
        <f t="shared" si="10"/>
        <v>0</v>
      </c>
      <c r="J130" s="388">
        <f t="shared" si="19"/>
        <v>0</v>
      </c>
      <c r="K130" s="383">
        <f t="shared" si="11"/>
        <v>0</v>
      </c>
      <c r="L130" s="383">
        <f t="shared" ref="L130:L150" si="128">SUMIF(_12MonLights_RateCategory,TEXT($A130,0),_12MonLights_Revenue_Actual)</f>
        <v>0</v>
      </c>
      <c r="M130" s="383">
        <f t="shared" si="13"/>
        <v>0</v>
      </c>
      <c r="N130" s="383">
        <f t="shared" ref="N130:N150" si="129">ROUND($L$186/$M$153*M130,2)</f>
        <v>0</v>
      </c>
      <c r="P130" s="388">
        <f t="shared" ref="P130:P150" si="130">ROUND((SUMIF($E$17:$E$150,$E130,$N$17:$N$150)/SUMIF($E$17:$E$150,$E130,$C$17:$C$150)),2)</f>
        <v>0</v>
      </c>
      <c r="Q130" s="383">
        <f t="shared" si="15"/>
        <v>0</v>
      </c>
      <c r="R130" s="383">
        <f t="shared" si="16"/>
        <v>0</v>
      </c>
      <c r="S130" s="389">
        <f t="shared" si="17"/>
        <v>0</v>
      </c>
      <c r="T130" s="388">
        <f>VLOOKUP($A130,'Rates-Lights'!$C$550:$I$660,3,FALSE)</f>
        <v>0</v>
      </c>
      <c r="U130" s="384" t="e">
        <f t="shared" si="18"/>
        <v>#DIV/0!</v>
      </c>
      <c r="W130" s="390"/>
      <c r="X130" s="385"/>
    </row>
    <row r="131" spans="1:24">
      <c r="A131" s="407" t="s">
        <v>404</v>
      </c>
      <c r="B131" s="409" t="s">
        <v>405</v>
      </c>
      <c r="C131" s="267">
        <f t="shared" si="125"/>
        <v>0</v>
      </c>
      <c r="D131" s="267">
        <f t="shared" si="126"/>
        <v>0</v>
      </c>
      <c r="E131" s="412">
        <v>0.20100000000000001</v>
      </c>
      <c r="F131" s="383"/>
      <c r="G131" s="388">
        <f>VLOOKUP(A131,'Rates-Lights'!$C$550:$I$660,5,FALSE)</f>
        <v>0</v>
      </c>
      <c r="H131" s="388">
        <f t="shared" si="127"/>
        <v>0</v>
      </c>
      <c r="I131" s="383">
        <f t="shared" si="10"/>
        <v>0</v>
      </c>
      <c r="J131" s="388">
        <f t="shared" si="19"/>
        <v>0</v>
      </c>
      <c r="K131" s="383">
        <f t="shared" si="11"/>
        <v>0</v>
      </c>
      <c r="L131" s="383">
        <f t="shared" si="128"/>
        <v>0</v>
      </c>
      <c r="M131" s="383">
        <f t="shared" si="13"/>
        <v>0</v>
      </c>
      <c r="N131" s="383">
        <f t="shared" si="129"/>
        <v>0</v>
      </c>
      <c r="P131" s="388">
        <f t="shared" si="130"/>
        <v>-0.01</v>
      </c>
      <c r="Q131" s="383">
        <f t="shared" si="15"/>
        <v>0</v>
      </c>
      <c r="R131" s="383">
        <f t="shared" si="16"/>
        <v>0</v>
      </c>
      <c r="S131" s="389">
        <f t="shared" si="17"/>
        <v>-0.01</v>
      </c>
      <c r="T131" s="388">
        <f>VLOOKUP($A131,'Rates-Lights'!$C$550:$I$660,3,FALSE)</f>
        <v>0</v>
      </c>
      <c r="U131" s="384" t="e">
        <f t="shared" si="18"/>
        <v>#DIV/0!</v>
      </c>
      <c r="W131" s="390"/>
      <c r="X131" s="385"/>
    </row>
    <row r="132" spans="1:24">
      <c r="A132" s="407" t="s">
        <v>408</v>
      </c>
      <c r="B132" s="409" t="s">
        <v>409</v>
      </c>
      <c r="C132" s="267">
        <f t="shared" si="125"/>
        <v>0</v>
      </c>
      <c r="D132" s="267">
        <f t="shared" si="126"/>
        <v>0</v>
      </c>
      <c r="E132" s="412">
        <v>0.44700000000000001</v>
      </c>
      <c r="F132" s="383"/>
      <c r="G132" s="388">
        <f>VLOOKUP(A132,'Rates-Lights'!$C$550:$I$660,5,FALSE)</f>
        <v>0</v>
      </c>
      <c r="H132" s="388">
        <f t="shared" si="127"/>
        <v>0</v>
      </c>
      <c r="I132" s="383">
        <f t="shared" si="10"/>
        <v>0</v>
      </c>
      <c r="J132" s="388">
        <f t="shared" si="19"/>
        <v>0</v>
      </c>
      <c r="K132" s="383">
        <f t="shared" si="11"/>
        <v>0</v>
      </c>
      <c r="L132" s="383">
        <f t="shared" si="128"/>
        <v>0</v>
      </c>
      <c r="M132" s="383">
        <f t="shared" si="13"/>
        <v>0</v>
      </c>
      <c r="N132" s="383">
        <f t="shared" si="129"/>
        <v>0</v>
      </c>
      <c r="P132" s="388">
        <f t="shared" si="130"/>
        <v>-0.01</v>
      </c>
      <c r="Q132" s="383">
        <f t="shared" si="15"/>
        <v>0</v>
      </c>
      <c r="R132" s="383">
        <f t="shared" si="16"/>
        <v>0</v>
      </c>
      <c r="S132" s="389">
        <f t="shared" si="17"/>
        <v>-0.01</v>
      </c>
      <c r="T132" s="388">
        <f>VLOOKUP($A132,'Rates-Lights'!$C$550:$I$660,3,FALSE)</f>
        <v>0</v>
      </c>
      <c r="U132" s="384" t="e">
        <f t="shared" si="18"/>
        <v>#DIV/0!</v>
      </c>
      <c r="W132" s="390"/>
      <c r="X132" s="385"/>
    </row>
    <row r="133" spans="1:24">
      <c r="A133" s="407" t="s">
        <v>410</v>
      </c>
      <c r="B133" s="409" t="s">
        <v>411</v>
      </c>
      <c r="C133" s="267">
        <f t="shared" si="125"/>
        <v>0</v>
      </c>
      <c r="D133" s="267">
        <f t="shared" si="126"/>
        <v>0</v>
      </c>
      <c r="E133" s="412">
        <v>0.06</v>
      </c>
      <c r="F133" s="383"/>
      <c r="G133" s="388">
        <f>VLOOKUP(A133,'Rates-Lights'!$C$550:$I$660,5,FALSE)</f>
        <v>0</v>
      </c>
      <c r="H133" s="388">
        <f t="shared" si="127"/>
        <v>0</v>
      </c>
      <c r="I133" s="383">
        <f t="shared" ref="I133" si="131">C133*F133</f>
        <v>0</v>
      </c>
      <c r="J133" s="388">
        <f t="shared" ref="J133" si="132">ROUND(C133*G133,2)</f>
        <v>0</v>
      </c>
      <c r="K133" s="383">
        <f t="shared" ref="K133" si="133">SUM(I133:J133)</f>
        <v>0</v>
      </c>
      <c r="L133" s="383">
        <f t="shared" si="128"/>
        <v>0</v>
      </c>
      <c r="M133" s="383">
        <f t="shared" ref="M133" si="134">L133-K133</f>
        <v>0</v>
      </c>
      <c r="N133" s="383">
        <f t="shared" si="129"/>
        <v>0</v>
      </c>
      <c r="P133" s="388">
        <f t="shared" si="130"/>
        <v>-0.01</v>
      </c>
      <c r="Q133" s="383">
        <f t="shared" ref="Q133" si="135">P133*C133</f>
        <v>0</v>
      </c>
      <c r="R133" s="383">
        <f t="shared" ref="R133" si="136">N133-Q133</f>
        <v>0</v>
      </c>
      <c r="S133" s="389">
        <f t="shared" ref="S133" si="137">T133-G133+P133</f>
        <v>-0.01</v>
      </c>
      <c r="T133" s="388">
        <f>VLOOKUP($A133,'Rates-Lights'!$C$550:$I$660,3,FALSE)</f>
        <v>0</v>
      </c>
      <c r="U133" s="384" t="e">
        <f t="shared" ref="U133" si="138">(S133-T133)/T133</f>
        <v>#DIV/0!</v>
      </c>
      <c r="W133" s="390"/>
      <c r="X133" s="385"/>
    </row>
    <row r="134" spans="1:24">
      <c r="A134" s="407" t="s">
        <v>346</v>
      </c>
      <c r="B134" s="410" t="s">
        <v>255</v>
      </c>
      <c r="C134" s="267">
        <f t="shared" si="125"/>
        <v>0</v>
      </c>
      <c r="D134" s="267">
        <f t="shared" si="126"/>
        <v>0</v>
      </c>
      <c r="E134" s="412">
        <v>0.24199999999999999</v>
      </c>
      <c r="F134" s="383"/>
      <c r="G134" s="388">
        <f>VLOOKUP(A134,'Rates-Lights'!$C$550:$I$660,5,FALSE)</f>
        <v>0</v>
      </c>
      <c r="H134" s="388">
        <f t="shared" si="127"/>
        <v>0</v>
      </c>
      <c r="I134" s="383">
        <f t="shared" ref="I134:I136" si="139">C134*F134</f>
        <v>0</v>
      </c>
      <c r="J134" s="388">
        <f t="shared" ref="J134:J136" si="140">ROUND(C134*G134,2)</f>
        <v>0</v>
      </c>
      <c r="K134" s="383">
        <f t="shared" ref="K134:K136" si="141">SUM(I134:J134)</f>
        <v>0</v>
      </c>
      <c r="L134" s="383">
        <f t="shared" si="128"/>
        <v>0</v>
      </c>
      <c r="M134" s="383">
        <f t="shared" ref="M134:M136" si="142">L134-K134</f>
        <v>0</v>
      </c>
      <c r="N134" s="383">
        <f t="shared" si="129"/>
        <v>0</v>
      </c>
      <c r="P134" s="388">
        <f t="shared" si="130"/>
        <v>-0.02</v>
      </c>
      <c r="Q134" s="383">
        <f t="shared" ref="Q134:Q136" si="143">P134*C134</f>
        <v>0</v>
      </c>
      <c r="R134" s="383">
        <f t="shared" ref="R134:R136" si="144">N134-Q134</f>
        <v>0</v>
      </c>
      <c r="S134" s="389">
        <f t="shared" ref="S134:S136" si="145">T134-G134+P134</f>
        <v>-0.02</v>
      </c>
      <c r="T134" s="388">
        <f>VLOOKUP($A134,'Rates-Lights'!$C$550:$I$660,3,FALSE)</f>
        <v>0</v>
      </c>
      <c r="U134" s="384" t="e">
        <f t="shared" ref="U134:U136" si="146">(S134-T134)/T134</f>
        <v>#DIV/0!</v>
      </c>
      <c r="W134" s="390"/>
      <c r="X134" s="385"/>
    </row>
    <row r="135" spans="1:24">
      <c r="A135" s="407" t="s">
        <v>378</v>
      </c>
      <c r="B135" s="410" t="s">
        <v>287</v>
      </c>
      <c r="C135" s="267">
        <f t="shared" si="125"/>
        <v>0</v>
      </c>
      <c r="D135" s="267">
        <f t="shared" si="126"/>
        <v>0</v>
      </c>
      <c r="E135" s="412">
        <v>0.47099999999999997</v>
      </c>
      <c r="F135" s="383"/>
      <c r="G135" s="388">
        <f>VLOOKUP(A135,'Rates-Lights'!$C$550:$I$660,5,FALSE)</f>
        <v>0</v>
      </c>
      <c r="H135" s="388">
        <f t="shared" si="127"/>
        <v>0</v>
      </c>
      <c r="I135" s="383">
        <f t="shared" si="139"/>
        <v>0</v>
      </c>
      <c r="J135" s="388">
        <f t="shared" si="140"/>
        <v>0</v>
      </c>
      <c r="K135" s="383">
        <f t="shared" si="141"/>
        <v>0</v>
      </c>
      <c r="L135" s="383">
        <f t="shared" si="128"/>
        <v>0</v>
      </c>
      <c r="M135" s="383">
        <f t="shared" si="142"/>
        <v>0</v>
      </c>
      <c r="N135" s="383">
        <f t="shared" si="129"/>
        <v>0</v>
      </c>
      <c r="P135" s="388">
        <f t="shared" si="130"/>
        <v>-0.03</v>
      </c>
      <c r="Q135" s="383">
        <f t="shared" si="143"/>
        <v>0</v>
      </c>
      <c r="R135" s="383">
        <f t="shared" si="144"/>
        <v>0</v>
      </c>
      <c r="S135" s="389">
        <f t="shared" si="145"/>
        <v>-0.03</v>
      </c>
      <c r="T135" s="388">
        <f>VLOOKUP($A135,'Rates-Lights'!$C$550:$I$660,3,FALSE)</f>
        <v>0</v>
      </c>
      <c r="U135" s="384" t="e">
        <f t="shared" si="146"/>
        <v>#DIV/0!</v>
      </c>
      <c r="W135" s="390"/>
      <c r="X135" s="385"/>
    </row>
    <row r="136" spans="1:24">
      <c r="A136" s="407" t="s">
        <v>342</v>
      </c>
      <c r="B136" s="410" t="s">
        <v>251</v>
      </c>
      <c r="C136" s="267">
        <f t="shared" si="125"/>
        <v>0</v>
      </c>
      <c r="D136" s="267">
        <f t="shared" si="126"/>
        <v>0</v>
      </c>
      <c r="E136" s="412">
        <v>0.45300000000000001</v>
      </c>
      <c r="F136" s="383"/>
      <c r="G136" s="388">
        <f>VLOOKUP(A136,'Rates-Lights'!$C$550:$I$660,5,FALSE)</f>
        <v>0</v>
      </c>
      <c r="H136" s="388">
        <f t="shared" si="127"/>
        <v>0</v>
      </c>
      <c r="I136" s="383">
        <f t="shared" si="139"/>
        <v>0</v>
      </c>
      <c r="J136" s="388">
        <f t="shared" si="140"/>
        <v>0</v>
      </c>
      <c r="K136" s="383">
        <f t="shared" si="141"/>
        <v>0</v>
      </c>
      <c r="L136" s="383">
        <f t="shared" si="128"/>
        <v>0</v>
      </c>
      <c r="M136" s="383">
        <f t="shared" si="142"/>
        <v>0</v>
      </c>
      <c r="N136" s="383">
        <f t="shared" si="129"/>
        <v>0</v>
      </c>
      <c r="P136" s="388">
        <f t="shared" si="130"/>
        <v>-0.02</v>
      </c>
      <c r="Q136" s="383">
        <f t="shared" si="143"/>
        <v>0</v>
      </c>
      <c r="R136" s="383">
        <f t="shared" si="144"/>
        <v>0</v>
      </c>
      <c r="S136" s="389">
        <f t="shared" si="145"/>
        <v>-0.02</v>
      </c>
      <c r="T136" s="388">
        <f>VLOOKUP($A136,'Rates-Lights'!$C$550:$I$660,3,FALSE)</f>
        <v>0</v>
      </c>
      <c r="U136" s="384" t="e">
        <f t="shared" si="146"/>
        <v>#DIV/0!</v>
      </c>
      <c r="W136" s="390"/>
      <c r="X136" s="385"/>
    </row>
    <row r="137" spans="1:24">
      <c r="A137" s="407" t="s">
        <v>343</v>
      </c>
      <c r="B137" s="410" t="s">
        <v>252</v>
      </c>
      <c r="C137" s="267">
        <f t="shared" si="125"/>
        <v>0</v>
      </c>
      <c r="D137" s="267">
        <f t="shared" si="126"/>
        <v>0</v>
      </c>
      <c r="E137" s="412">
        <v>0.45300000000000001</v>
      </c>
      <c r="F137" s="383"/>
      <c r="G137" s="388">
        <f>VLOOKUP(A137,'Rates-Lights'!$C$550:$I$660,5,FALSE)</f>
        <v>0</v>
      </c>
      <c r="H137" s="388">
        <f t="shared" si="127"/>
        <v>0</v>
      </c>
      <c r="I137" s="383">
        <f t="shared" ref="I137" si="147">C137*F137</f>
        <v>0</v>
      </c>
      <c r="J137" s="388">
        <f t="shared" ref="J137" si="148">ROUND(C137*G137,2)</f>
        <v>0</v>
      </c>
      <c r="K137" s="383">
        <f t="shared" ref="K137" si="149">SUM(I137:J137)</f>
        <v>0</v>
      </c>
      <c r="L137" s="383">
        <f t="shared" si="128"/>
        <v>0</v>
      </c>
      <c r="M137" s="383">
        <f t="shared" ref="M137" si="150">L137-K137</f>
        <v>0</v>
      </c>
      <c r="N137" s="383">
        <f t="shared" si="129"/>
        <v>0</v>
      </c>
      <c r="P137" s="388">
        <f t="shared" si="130"/>
        <v>-0.02</v>
      </c>
      <c r="Q137" s="383">
        <f t="shared" ref="Q137" si="151">P137*C137</f>
        <v>0</v>
      </c>
      <c r="R137" s="383">
        <f t="shared" ref="R137" si="152">N137-Q137</f>
        <v>0</v>
      </c>
      <c r="S137" s="389">
        <f t="shared" ref="S137" si="153">T137-G137+P137</f>
        <v>-0.02</v>
      </c>
      <c r="T137" s="388">
        <f>VLOOKUP($A137,'Rates-Lights'!$C$550:$I$660,3,FALSE)</f>
        <v>0</v>
      </c>
      <c r="U137" s="384" t="e">
        <f t="shared" ref="U137" si="154">(S137-T137)/T137</f>
        <v>#DIV/0!</v>
      </c>
      <c r="W137" s="390"/>
      <c r="X137" s="385"/>
    </row>
    <row r="138" spans="1:24">
      <c r="A138" s="407" t="s">
        <v>361</v>
      </c>
      <c r="B138" s="410" t="s">
        <v>270</v>
      </c>
      <c r="C138" s="267">
        <f t="shared" si="125"/>
        <v>0</v>
      </c>
      <c r="D138" s="267">
        <f t="shared" si="126"/>
        <v>0</v>
      </c>
      <c r="E138" s="412">
        <v>0.06</v>
      </c>
      <c r="F138" s="383"/>
      <c r="G138" s="388">
        <f>VLOOKUP(A138,'Rates-Lights'!$C$550:$I$660,5,FALSE)</f>
        <v>0</v>
      </c>
      <c r="H138" s="388">
        <f t="shared" si="127"/>
        <v>0</v>
      </c>
      <c r="I138" s="383">
        <f t="shared" ref="I138:I145" si="155">C138*F138</f>
        <v>0</v>
      </c>
      <c r="J138" s="388">
        <f t="shared" ref="J138:J145" si="156">ROUND(C138*G138,2)</f>
        <v>0</v>
      </c>
      <c r="K138" s="383">
        <f t="shared" ref="K138:K145" si="157">SUM(I138:J138)</f>
        <v>0</v>
      </c>
      <c r="L138" s="383">
        <f t="shared" si="128"/>
        <v>0</v>
      </c>
      <c r="M138" s="383">
        <f t="shared" ref="M138:M145" si="158">L138-K138</f>
        <v>0</v>
      </c>
      <c r="N138" s="383">
        <f t="shared" si="129"/>
        <v>0</v>
      </c>
      <c r="P138" s="388">
        <f t="shared" si="130"/>
        <v>-0.01</v>
      </c>
      <c r="Q138" s="383">
        <f t="shared" ref="Q138:Q149" si="159">P138*C138</f>
        <v>0</v>
      </c>
      <c r="R138" s="383">
        <f t="shared" ref="R138:R145" si="160">N138-Q138</f>
        <v>0</v>
      </c>
      <c r="S138" s="389">
        <f t="shared" ref="S138:S149" si="161">T138-G138+P138</f>
        <v>-0.01</v>
      </c>
      <c r="T138" s="388">
        <f>VLOOKUP($A138,'Rates-Lights'!$C$550:$I$660,3,FALSE)</f>
        <v>0</v>
      </c>
      <c r="U138" s="384" t="e">
        <f t="shared" ref="U138:U145" si="162">(S138-T138)/T138</f>
        <v>#DIV/0!</v>
      </c>
      <c r="W138" s="390"/>
      <c r="X138" s="385"/>
    </row>
    <row r="139" spans="1:24">
      <c r="A139" s="407" t="s">
        <v>367</v>
      </c>
      <c r="B139" s="410" t="s">
        <v>276</v>
      </c>
      <c r="C139" s="267">
        <f t="shared" si="125"/>
        <v>0</v>
      </c>
      <c r="D139" s="267">
        <f t="shared" si="126"/>
        <v>0</v>
      </c>
      <c r="E139" s="412">
        <v>8.3000000000000004E-2</v>
      </c>
      <c r="F139" s="383"/>
      <c r="G139" s="388">
        <f>VLOOKUP(A139,'Rates-Lights'!$C$550:$I$660,5,FALSE)</f>
        <v>0</v>
      </c>
      <c r="H139" s="388">
        <f t="shared" si="127"/>
        <v>0</v>
      </c>
      <c r="I139" s="383">
        <f t="shared" si="155"/>
        <v>0</v>
      </c>
      <c r="J139" s="388">
        <f t="shared" si="156"/>
        <v>0</v>
      </c>
      <c r="K139" s="383">
        <f t="shared" si="157"/>
        <v>0</v>
      </c>
      <c r="L139" s="383">
        <f t="shared" si="128"/>
        <v>0</v>
      </c>
      <c r="M139" s="383">
        <f t="shared" si="158"/>
        <v>0</v>
      </c>
      <c r="N139" s="383">
        <f t="shared" si="129"/>
        <v>0</v>
      </c>
      <c r="P139" s="388">
        <f t="shared" si="130"/>
        <v>-0.02</v>
      </c>
      <c r="Q139" s="383">
        <f t="shared" si="159"/>
        <v>0</v>
      </c>
      <c r="R139" s="383">
        <f t="shared" si="160"/>
        <v>0</v>
      </c>
      <c r="S139" s="389">
        <f t="shared" si="161"/>
        <v>-0.02</v>
      </c>
      <c r="T139" s="388">
        <f>VLOOKUP($A139,'Rates-Lights'!$C$550:$I$660,3,FALSE)</f>
        <v>0</v>
      </c>
      <c r="U139" s="384" t="e">
        <f t="shared" si="162"/>
        <v>#DIV/0!</v>
      </c>
      <c r="W139" s="390"/>
      <c r="X139" s="385"/>
    </row>
    <row r="140" spans="1:24">
      <c r="A140" s="407" t="s">
        <v>369</v>
      </c>
      <c r="B140" s="410" t="s">
        <v>278</v>
      </c>
      <c r="C140" s="267">
        <f t="shared" si="125"/>
        <v>0</v>
      </c>
      <c r="D140" s="267">
        <f t="shared" si="126"/>
        <v>0</v>
      </c>
      <c r="E140" s="412">
        <v>8.3000000000000004E-2</v>
      </c>
      <c r="F140" s="383"/>
      <c r="G140" s="388">
        <f>VLOOKUP(A140,'Rates-Lights'!$C$550:$I$660,5,FALSE)</f>
        <v>0</v>
      </c>
      <c r="H140" s="388">
        <f t="shared" si="127"/>
        <v>0</v>
      </c>
      <c r="I140" s="383">
        <f t="shared" si="155"/>
        <v>0</v>
      </c>
      <c r="J140" s="388">
        <f t="shared" si="156"/>
        <v>0</v>
      </c>
      <c r="K140" s="383">
        <f t="shared" si="157"/>
        <v>0</v>
      </c>
      <c r="L140" s="383">
        <f t="shared" si="128"/>
        <v>0</v>
      </c>
      <c r="M140" s="383">
        <f t="shared" si="158"/>
        <v>0</v>
      </c>
      <c r="N140" s="383">
        <f t="shared" si="129"/>
        <v>0</v>
      </c>
      <c r="P140" s="388">
        <f t="shared" si="130"/>
        <v>-0.02</v>
      </c>
      <c r="Q140" s="383">
        <f t="shared" si="159"/>
        <v>0</v>
      </c>
      <c r="R140" s="383">
        <f t="shared" si="160"/>
        <v>0</v>
      </c>
      <c r="S140" s="389">
        <f t="shared" si="161"/>
        <v>-0.02</v>
      </c>
      <c r="T140" s="388">
        <f>VLOOKUP($A140,'Rates-Lights'!$C$550:$I$660,3,FALSE)</f>
        <v>0</v>
      </c>
      <c r="U140" s="384" t="e">
        <f t="shared" si="162"/>
        <v>#DIV/0!</v>
      </c>
      <c r="W140" s="390"/>
      <c r="X140" s="385"/>
    </row>
    <row r="141" spans="1:24">
      <c r="A141" s="407" t="s">
        <v>390</v>
      </c>
      <c r="B141" s="410" t="s">
        <v>299</v>
      </c>
      <c r="C141" s="267">
        <f t="shared" si="125"/>
        <v>0</v>
      </c>
      <c r="D141" s="267">
        <f t="shared" si="126"/>
        <v>0</v>
      </c>
      <c r="E141" s="412">
        <v>0.11700000000000001</v>
      </c>
      <c r="F141" s="383"/>
      <c r="G141" s="388">
        <f>VLOOKUP(A141,'Rates-Lights'!$C$550:$I$660,5,FALSE)</f>
        <v>0</v>
      </c>
      <c r="H141" s="388">
        <f t="shared" si="127"/>
        <v>0</v>
      </c>
      <c r="I141" s="383">
        <f t="shared" si="155"/>
        <v>0</v>
      </c>
      <c r="J141" s="388">
        <f t="shared" si="156"/>
        <v>0</v>
      </c>
      <c r="K141" s="383">
        <f t="shared" si="157"/>
        <v>0</v>
      </c>
      <c r="L141" s="383">
        <f t="shared" si="128"/>
        <v>0</v>
      </c>
      <c r="M141" s="383">
        <f t="shared" si="158"/>
        <v>0</v>
      </c>
      <c r="N141" s="383">
        <f t="shared" si="129"/>
        <v>0</v>
      </c>
      <c r="P141" s="388">
        <f t="shared" si="130"/>
        <v>-0.01</v>
      </c>
      <c r="Q141" s="383">
        <f t="shared" si="159"/>
        <v>0</v>
      </c>
      <c r="R141" s="383">
        <f t="shared" si="160"/>
        <v>0</v>
      </c>
      <c r="S141" s="389">
        <f t="shared" si="161"/>
        <v>-0.01</v>
      </c>
      <c r="T141" s="388">
        <f>VLOOKUP($A141,'Rates-Lights'!$C$550:$I$660,3,FALSE)</f>
        <v>0</v>
      </c>
      <c r="U141" s="384" t="e">
        <f t="shared" si="162"/>
        <v>#DIV/0!</v>
      </c>
      <c r="W141" s="390"/>
      <c r="X141" s="385"/>
    </row>
    <row r="142" spans="1:24">
      <c r="A142" s="407" t="s">
        <v>392</v>
      </c>
      <c r="B142" s="410" t="s">
        <v>301</v>
      </c>
      <c r="C142" s="267">
        <f t="shared" si="125"/>
        <v>0</v>
      </c>
      <c r="D142" s="267">
        <f t="shared" si="126"/>
        <v>0</v>
      </c>
      <c r="E142" s="412">
        <v>0.11700000000000001</v>
      </c>
      <c r="F142" s="383"/>
      <c r="G142" s="388">
        <f>VLOOKUP(A142,'Rates-Lights'!$C$550:$I$660,5,FALSE)</f>
        <v>0</v>
      </c>
      <c r="H142" s="388">
        <f t="shared" si="127"/>
        <v>0</v>
      </c>
      <c r="I142" s="383">
        <f t="shared" si="155"/>
        <v>0</v>
      </c>
      <c r="J142" s="388">
        <f t="shared" si="156"/>
        <v>0</v>
      </c>
      <c r="K142" s="383">
        <f t="shared" si="157"/>
        <v>0</v>
      </c>
      <c r="L142" s="383">
        <f t="shared" si="128"/>
        <v>0</v>
      </c>
      <c r="M142" s="383">
        <f t="shared" si="158"/>
        <v>0</v>
      </c>
      <c r="N142" s="383">
        <f t="shared" si="129"/>
        <v>0</v>
      </c>
      <c r="P142" s="388">
        <f t="shared" si="130"/>
        <v>-0.01</v>
      </c>
      <c r="Q142" s="383">
        <f t="shared" si="159"/>
        <v>0</v>
      </c>
      <c r="R142" s="383">
        <f t="shared" si="160"/>
        <v>0</v>
      </c>
      <c r="S142" s="389">
        <f t="shared" si="161"/>
        <v>-0.01</v>
      </c>
      <c r="T142" s="388">
        <f>VLOOKUP($A142,'Rates-Lights'!$C$550:$I$660,3,FALSE)</f>
        <v>0</v>
      </c>
      <c r="U142" s="384" t="e">
        <f t="shared" si="162"/>
        <v>#DIV/0!</v>
      </c>
      <c r="W142" s="390"/>
      <c r="X142" s="385"/>
    </row>
    <row r="143" spans="1:24">
      <c r="A143" s="407" t="s">
        <v>362</v>
      </c>
      <c r="B143" s="410" t="s">
        <v>271</v>
      </c>
      <c r="C143" s="267">
        <f t="shared" si="125"/>
        <v>0</v>
      </c>
      <c r="D143" s="267">
        <f t="shared" si="126"/>
        <v>0</v>
      </c>
      <c r="E143" s="412">
        <v>0.06</v>
      </c>
      <c r="F143" s="383"/>
      <c r="G143" s="388">
        <f>VLOOKUP(A143,'Rates-Lights'!$C$550:$I$660,5,FALSE)</f>
        <v>0</v>
      </c>
      <c r="H143" s="388">
        <f t="shared" si="127"/>
        <v>0</v>
      </c>
      <c r="I143" s="383">
        <f t="shared" si="155"/>
        <v>0</v>
      </c>
      <c r="J143" s="388">
        <f t="shared" si="156"/>
        <v>0</v>
      </c>
      <c r="K143" s="383">
        <f t="shared" si="157"/>
        <v>0</v>
      </c>
      <c r="L143" s="383">
        <f t="shared" si="128"/>
        <v>0</v>
      </c>
      <c r="M143" s="383">
        <f t="shared" si="158"/>
        <v>0</v>
      </c>
      <c r="N143" s="383">
        <f t="shared" si="129"/>
        <v>0</v>
      </c>
      <c r="P143" s="388">
        <f t="shared" si="130"/>
        <v>-0.01</v>
      </c>
      <c r="Q143" s="383">
        <f t="shared" si="159"/>
        <v>0</v>
      </c>
      <c r="R143" s="383">
        <f t="shared" si="160"/>
        <v>0</v>
      </c>
      <c r="S143" s="389">
        <f t="shared" si="161"/>
        <v>-0.01</v>
      </c>
      <c r="T143" s="388">
        <f>VLOOKUP($A143,'Rates-Lights'!$C$550:$I$660,3,FALSE)</f>
        <v>0</v>
      </c>
      <c r="U143" s="384" t="e">
        <f t="shared" si="162"/>
        <v>#DIV/0!</v>
      </c>
      <c r="W143" s="390"/>
      <c r="X143" s="385"/>
    </row>
    <row r="144" spans="1:24">
      <c r="A144" s="407" t="s">
        <v>372</v>
      </c>
      <c r="B144" s="410" t="s">
        <v>281</v>
      </c>
      <c r="C144" s="267">
        <f t="shared" si="125"/>
        <v>0</v>
      </c>
      <c r="D144" s="267">
        <f t="shared" si="126"/>
        <v>0</v>
      </c>
      <c r="E144" s="412">
        <v>8.3000000000000004E-2</v>
      </c>
      <c r="F144" s="383"/>
      <c r="G144" s="388">
        <f>VLOOKUP(A144,'Rates-Lights'!$C$550:$I$660,5,FALSE)</f>
        <v>0</v>
      </c>
      <c r="H144" s="388">
        <f t="shared" si="127"/>
        <v>0</v>
      </c>
      <c r="I144" s="383">
        <f t="shared" si="155"/>
        <v>0</v>
      </c>
      <c r="J144" s="388">
        <f t="shared" si="156"/>
        <v>0</v>
      </c>
      <c r="K144" s="383">
        <f t="shared" si="157"/>
        <v>0</v>
      </c>
      <c r="L144" s="383">
        <f t="shared" si="128"/>
        <v>0</v>
      </c>
      <c r="M144" s="383">
        <f t="shared" si="158"/>
        <v>0</v>
      </c>
      <c r="N144" s="383">
        <f t="shared" si="129"/>
        <v>0</v>
      </c>
      <c r="P144" s="388">
        <f t="shared" si="130"/>
        <v>-0.02</v>
      </c>
      <c r="Q144" s="383">
        <f t="shared" si="159"/>
        <v>0</v>
      </c>
      <c r="R144" s="383">
        <f t="shared" si="160"/>
        <v>0</v>
      </c>
      <c r="S144" s="389">
        <f t="shared" si="161"/>
        <v>-0.02</v>
      </c>
      <c r="T144" s="388">
        <f>VLOOKUP($A144,'Rates-Lights'!$C$550:$I$660,3,FALSE)</f>
        <v>0</v>
      </c>
      <c r="U144" s="384" t="e">
        <f t="shared" si="162"/>
        <v>#DIV/0!</v>
      </c>
      <c r="W144" s="390"/>
      <c r="X144" s="385"/>
    </row>
    <row r="145" spans="1:24">
      <c r="A145" s="407" t="s">
        <v>395</v>
      </c>
      <c r="B145" s="410" t="s">
        <v>304</v>
      </c>
      <c r="C145" s="267">
        <f t="shared" si="125"/>
        <v>0</v>
      </c>
      <c r="D145" s="267">
        <f t="shared" si="126"/>
        <v>0</v>
      </c>
      <c r="E145" s="412">
        <v>0.11700000000000001</v>
      </c>
      <c r="F145" s="383"/>
      <c r="G145" s="388">
        <f>VLOOKUP(A145,'Rates-Lights'!$C$550:$I$660,5,FALSE)</f>
        <v>0</v>
      </c>
      <c r="H145" s="388">
        <f t="shared" si="127"/>
        <v>0</v>
      </c>
      <c r="I145" s="383">
        <f t="shared" si="155"/>
        <v>0</v>
      </c>
      <c r="J145" s="388">
        <f t="shared" si="156"/>
        <v>0</v>
      </c>
      <c r="K145" s="383">
        <f t="shared" si="157"/>
        <v>0</v>
      </c>
      <c r="L145" s="383">
        <f t="shared" si="128"/>
        <v>0</v>
      </c>
      <c r="M145" s="383">
        <f t="shared" si="158"/>
        <v>0</v>
      </c>
      <c r="N145" s="383">
        <f t="shared" si="129"/>
        <v>0</v>
      </c>
      <c r="P145" s="388">
        <f t="shared" si="130"/>
        <v>-0.01</v>
      </c>
      <c r="Q145" s="383">
        <f t="shared" si="159"/>
        <v>0</v>
      </c>
      <c r="R145" s="383">
        <f t="shared" si="160"/>
        <v>0</v>
      </c>
      <c r="S145" s="389">
        <f t="shared" si="161"/>
        <v>-0.01</v>
      </c>
      <c r="T145" s="388">
        <f>VLOOKUP($A145,'Rates-Lights'!$C$550:$I$660,3,FALSE)</f>
        <v>0</v>
      </c>
      <c r="U145" s="384" t="e">
        <f t="shared" si="162"/>
        <v>#DIV/0!</v>
      </c>
      <c r="W145" s="390"/>
      <c r="X145" s="385"/>
    </row>
    <row r="146" spans="1:24">
      <c r="A146" s="407" t="s">
        <v>423</v>
      </c>
      <c r="B146" s="409" t="s">
        <v>401</v>
      </c>
      <c r="C146" s="267">
        <f t="shared" si="125"/>
        <v>0</v>
      </c>
      <c r="D146" s="267">
        <f t="shared" si="126"/>
        <v>0</v>
      </c>
      <c r="E146" s="412">
        <v>8.3000000000000004E-2</v>
      </c>
      <c r="F146" s="383"/>
      <c r="G146" s="388">
        <f>VLOOKUP(A146,'Rates-Lights'!$C$550:$I$660,5,FALSE)</f>
        <v>0</v>
      </c>
      <c r="H146" s="388">
        <f t="shared" si="127"/>
        <v>0</v>
      </c>
      <c r="I146" s="383">
        <f>C146*F146</f>
        <v>0</v>
      </c>
      <c r="J146" s="388">
        <f>ROUND(C146*G146,2)</f>
        <v>0</v>
      </c>
      <c r="K146" s="383">
        <f>SUM(I146:J146)</f>
        <v>0</v>
      </c>
      <c r="L146" s="383">
        <f t="shared" si="128"/>
        <v>0</v>
      </c>
      <c r="M146" s="383">
        <f>L146-K146</f>
        <v>0</v>
      </c>
      <c r="N146" s="383">
        <f t="shared" si="129"/>
        <v>0</v>
      </c>
      <c r="P146" s="388">
        <f t="shared" si="130"/>
        <v>-0.02</v>
      </c>
      <c r="Q146" s="383">
        <f t="shared" si="159"/>
        <v>0</v>
      </c>
      <c r="R146" s="383">
        <f>N146-Q146</f>
        <v>0</v>
      </c>
      <c r="S146" s="389">
        <f t="shared" si="161"/>
        <v>-0.02</v>
      </c>
      <c r="T146" s="388">
        <f>VLOOKUP($A146,'Rates-Lights'!$C$550:$I$660,3,FALSE)</f>
        <v>0</v>
      </c>
      <c r="U146" s="384" t="e">
        <f>(S146-T146)/T146</f>
        <v>#DIV/0!</v>
      </c>
      <c r="W146" s="390"/>
      <c r="X146" s="385"/>
    </row>
    <row r="147" spans="1:24">
      <c r="A147" s="407" t="s">
        <v>397</v>
      </c>
      <c r="B147" s="410" t="s">
        <v>306</v>
      </c>
      <c r="C147" s="267">
        <f t="shared" si="125"/>
        <v>0</v>
      </c>
      <c r="D147" s="267">
        <f t="shared" si="126"/>
        <v>0</v>
      </c>
      <c r="E147" s="412">
        <v>0.11700000000000001</v>
      </c>
      <c r="F147" s="383"/>
      <c r="G147" s="388">
        <f>VLOOKUP(A147,'Rates-Lights'!$C$550:$I$660,5,FALSE)</f>
        <v>0</v>
      </c>
      <c r="H147" s="388">
        <f t="shared" si="127"/>
        <v>0</v>
      </c>
      <c r="I147" s="383">
        <f>C147*F147</f>
        <v>0</v>
      </c>
      <c r="J147" s="388">
        <f>ROUND(C147*G147,2)</f>
        <v>0</v>
      </c>
      <c r="K147" s="383">
        <f>SUM(I147:J147)</f>
        <v>0</v>
      </c>
      <c r="L147" s="383">
        <f t="shared" si="128"/>
        <v>0</v>
      </c>
      <c r="M147" s="383">
        <f>L147-K147</f>
        <v>0</v>
      </c>
      <c r="N147" s="383">
        <f t="shared" si="129"/>
        <v>0</v>
      </c>
      <c r="P147" s="388">
        <f t="shared" si="130"/>
        <v>-0.01</v>
      </c>
      <c r="Q147" s="383">
        <f t="shared" si="159"/>
        <v>0</v>
      </c>
      <c r="R147" s="383">
        <f>N147-Q147</f>
        <v>0</v>
      </c>
      <c r="S147" s="389">
        <f t="shared" si="161"/>
        <v>-0.01</v>
      </c>
      <c r="T147" s="388">
        <f>VLOOKUP($A147,'Rates-Lights'!$C$550:$I$660,3,FALSE)</f>
        <v>0</v>
      </c>
      <c r="U147" s="384" t="e">
        <f>(S147-T147)/T147</f>
        <v>#DIV/0!</v>
      </c>
      <c r="W147" s="390"/>
      <c r="X147" s="385"/>
    </row>
    <row r="148" spans="1:24">
      <c r="A148" s="407" t="s">
        <v>347</v>
      </c>
      <c r="B148" s="410" t="s">
        <v>256</v>
      </c>
      <c r="C148" s="267">
        <f t="shared" si="125"/>
        <v>0</v>
      </c>
      <c r="D148" s="267">
        <f t="shared" si="126"/>
        <v>0</v>
      </c>
      <c r="E148" s="412">
        <v>0.24199999999999999</v>
      </c>
      <c r="F148" s="383"/>
      <c r="G148" s="388">
        <f>VLOOKUP(A148,'Rates-Lights'!$C$550:$I$660,5,FALSE)</f>
        <v>0</v>
      </c>
      <c r="H148" s="388">
        <f t="shared" si="127"/>
        <v>0</v>
      </c>
      <c r="I148" s="383">
        <f>C148*F148</f>
        <v>0</v>
      </c>
      <c r="J148" s="388">
        <f>ROUND(C148*G148,2)</f>
        <v>0</v>
      </c>
      <c r="K148" s="383">
        <f>SUM(I148:J148)</f>
        <v>0</v>
      </c>
      <c r="L148" s="383">
        <f t="shared" si="128"/>
        <v>0</v>
      </c>
      <c r="M148" s="383">
        <f>L148-K148</f>
        <v>0</v>
      </c>
      <c r="N148" s="383">
        <f t="shared" si="129"/>
        <v>0</v>
      </c>
      <c r="P148" s="388">
        <f t="shared" si="130"/>
        <v>-0.02</v>
      </c>
      <c r="Q148" s="383">
        <f t="shared" si="159"/>
        <v>0</v>
      </c>
      <c r="R148" s="383">
        <f>N148-Q148</f>
        <v>0</v>
      </c>
      <c r="S148" s="389">
        <f t="shared" si="161"/>
        <v>-0.02</v>
      </c>
      <c r="T148" s="388">
        <f>VLOOKUP($A148,'Rates-Lights'!$C$550:$I$660,3,FALSE)</f>
        <v>0</v>
      </c>
      <c r="U148" s="384" t="e">
        <f>(S148-T148)/T148</f>
        <v>#DIV/0!</v>
      </c>
      <c r="W148" s="390"/>
      <c r="X148" s="385"/>
    </row>
    <row r="149" spans="1:24">
      <c r="A149" s="407" t="s">
        <v>379</v>
      </c>
      <c r="B149" s="410" t="s">
        <v>288</v>
      </c>
      <c r="C149" s="267">
        <f t="shared" si="125"/>
        <v>0</v>
      </c>
      <c r="D149" s="267">
        <f t="shared" si="126"/>
        <v>0</v>
      </c>
      <c r="E149" s="412">
        <v>0.47099999999999997</v>
      </c>
      <c r="F149" s="383"/>
      <c r="G149" s="388">
        <f>VLOOKUP(A149,'Rates-Lights'!$C$550:$I$660,5,FALSE)</f>
        <v>0</v>
      </c>
      <c r="H149" s="388">
        <f t="shared" si="127"/>
        <v>0</v>
      </c>
      <c r="I149" s="383">
        <f>C149*F149</f>
        <v>0</v>
      </c>
      <c r="J149" s="388">
        <f>ROUND(C149*G149,2)</f>
        <v>0</v>
      </c>
      <c r="K149" s="383">
        <f>SUM(I149:J149)</f>
        <v>0</v>
      </c>
      <c r="L149" s="383">
        <f t="shared" si="128"/>
        <v>0</v>
      </c>
      <c r="M149" s="383">
        <f>L149-K149</f>
        <v>0</v>
      </c>
      <c r="N149" s="383">
        <f t="shared" si="129"/>
        <v>0</v>
      </c>
      <c r="P149" s="388">
        <f t="shared" si="130"/>
        <v>-0.03</v>
      </c>
      <c r="Q149" s="383">
        <f t="shared" si="159"/>
        <v>0</v>
      </c>
      <c r="R149" s="383">
        <f>N149-Q149</f>
        <v>0</v>
      </c>
      <c r="S149" s="389">
        <f t="shared" si="161"/>
        <v>-0.03</v>
      </c>
      <c r="T149" s="388">
        <f>VLOOKUP($A149,'Rates-Lights'!$C$550:$I$660,3,FALSE)</f>
        <v>0</v>
      </c>
      <c r="U149" s="384" t="e">
        <f>(S149-T149)/T149</f>
        <v>#DIV/0!</v>
      </c>
      <c r="W149" s="390"/>
      <c r="X149" s="385"/>
    </row>
    <row r="150" spans="1:24">
      <c r="A150" s="407" t="s">
        <v>406</v>
      </c>
      <c r="B150" s="409" t="s">
        <v>407</v>
      </c>
      <c r="C150" s="267">
        <f t="shared" si="125"/>
        <v>0</v>
      </c>
      <c r="D150" s="267">
        <f t="shared" si="126"/>
        <v>0</v>
      </c>
      <c r="E150" s="412">
        <v>0.18099999999999999</v>
      </c>
      <c r="F150" s="383"/>
      <c r="G150" s="388">
        <f>VLOOKUP(A150,'Rates-Lights'!$C$550:$I$660,5,FALSE)</f>
        <v>0</v>
      </c>
      <c r="H150" s="388">
        <f t="shared" si="127"/>
        <v>0</v>
      </c>
      <c r="I150" s="383">
        <f>C150*F150</f>
        <v>0</v>
      </c>
      <c r="J150" s="388">
        <f>ROUND(C150*G150,2)</f>
        <v>0</v>
      </c>
      <c r="K150" s="383">
        <f>SUM(I150:J150)</f>
        <v>0</v>
      </c>
      <c r="L150" s="383">
        <f t="shared" si="128"/>
        <v>0</v>
      </c>
      <c r="M150" s="383">
        <f>L150-K150</f>
        <v>0</v>
      </c>
      <c r="N150" s="383">
        <f t="shared" si="129"/>
        <v>0</v>
      </c>
      <c r="P150" s="388">
        <f t="shared" si="130"/>
        <v>-0.09</v>
      </c>
      <c r="Q150" s="383">
        <f>P150*C150</f>
        <v>0</v>
      </c>
      <c r="R150" s="383">
        <f>N150-Q150</f>
        <v>0</v>
      </c>
      <c r="S150" s="389">
        <f>T150-G150+P150</f>
        <v>-0.09</v>
      </c>
      <c r="T150" s="388">
        <f>VLOOKUP($A150,'Rates-Lights'!$C$550:$I$660,3,FALSE)</f>
        <v>0</v>
      </c>
      <c r="U150" s="384" t="e">
        <f>(S150-T150)/T150</f>
        <v>#DIV/0!</v>
      </c>
      <c r="W150" s="390"/>
      <c r="X150" s="385"/>
    </row>
    <row r="151" spans="1:24">
      <c r="O151" s="390"/>
    </row>
    <row r="153" spans="1:24">
      <c r="B153" s="314" t="s">
        <v>449</v>
      </c>
      <c r="D153" s="206">
        <f>SUM(D4:D150)</f>
        <v>6206660939</v>
      </c>
      <c r="E153" s="206"/>
      <c r="K153" s="383">
        <f>SUM(K4:K150)</f>
        <v>2794117.5209399993</v>
      </c>
      <c r="L153" s="383">
        <f>SUM(L4:L150)</f>
        <v>536116840</v>
      </c>
      <c r="M153" s="383">
        <f>SUM(M4:M150)</f>
        <v>533322722.47905964</v>
      </c>
      <c r="N153" s="354">
        <f>SUM(N4:N150)</f>
        <v>19971576.999999993</v>
      </c>
      <c r="Q153" s="383">
        <f>SUM(Q4:Q152)</f>
        <v>19953175.780000024</v>
      </c>
      <c r="R153" s="383">
        <f>SUM(R4:R151)</f>
        <v>18401.219999997611</v>
      </c>
    </row>
    <row r="154" spans="1:24">
      <c r="B154" s="314"/>
      <c r="D154" s="206"/>
      <c r="E154" s="206"/>
      <c r="K154" s="383"/>
      <c r="L154" s="383"/>
      <c r="M154" s="383"/>
      <c r="N154" s="354"/>
      <c r="Q154" s="383"/>
      <c r="R154" s="383"/>
    </row>
    <row r="155" spans="1:24">
      <c r="M155" s="401">
        <f>N153/M153</f>
        <v>3.7447451905228274E-2</v>
      </c>
      <c r="Q155" s="393"/>
      <c r="R155" s="393"/>
      <c r="S155" s="393"/>
    </row>
    <row r="156" spans="1:24">
      <c r="Q156" s="388"/>
      <c r="R156" s="388"/>
      <c r="S156" s="388"/>
    </row>
    <row r="157" spans="1:24">
      <c r="O157" s="270"/>
      <c r="Q157" s="388"/>
      <c r="R157" s="388"/>
      <c r="S157" s="388"/>
    </row>
    <row r="158" spans="1:24">
      <c r="O158" s="268"/>
      <c r="Q158" s="388"/>
      <c r="R158" s="388"/>
      <c r="S158" s="388"/>
    </row>
    <row r="159" spans="1:24">
      <c r="O159" s="270"/>
      <c r="Q159" s="388"/>
      <c r="R159" s="388"/>
      <c r="S159" s="388"/>
    </row>
    <row r="160" spans="1:24">
      <c r="L160" s="268"/>
      <c r="O160" s="268"/>
      <c r="Q160" s="388"/>
      <c r="R160" s="388"/>
      <c r="S160" s="388"/>
    </row>
    <row r="161" spans="3:19">
      <c r="O161" s="270"/>
      <c r="Q161" s="388"/>
      <c r="R161" s="388"/>
      <c r="S161" s="388"/>
    </row>
    <row r="162" spans="3:19">
      <c r="L162" s="268"/>
      <c r="O162" s="268"/>
      <c r="Q162" s="388"/>
      <c r="R162" s="388"/>
      <c r="S162" s="388"/>
    </row>
    <row r="163" spans="3:19">
      <c r="O163" s="270"/>
      <c r="Q163" s="388"/>
      <c r="R163" s="388"/>
      <c r="S163" s="388"/>
    </row>
    <row r="165" spans="3:19">
      <c r="Q165" s="393"/>
      <c r="R165" s="393"/>
      <c r="S165" s="393"/>
    </row>
    <row r="166" spans="3:19">
      <c r="Q166" s="388"/>
      <c r="R166" s="388"/>
      <c r="S166" s="388"/>
    </row>
    <row r="167" spans="3:19">
      <c r="O167" s="270"/>
      <c r="Q167" s="388"/>
      <c r="R167" s="388"/>
      <c r="S167" s="388"/>
    </row>
    <row r="168" spans="3:19">
      <c r="O168" s="268"/>
      <c r="Q168" s="388"/>
      <c r="R168" s="388"/>
      <c r="S168" s="388"/>
    </row>
    <row r="169" spans="3:19">
      <c r="O169" s="270"/>
      <c r="Q169" s="388"/>
      <c r="R169" s="388"/>
      <c r="S169" s="388"/>
    </row>
    <row r="170" spans="3:19">
      <c r="O170" s="268"/>
      <c r="Q170" s="388"/>
      <c r="R170" s="388"/>
      <c r="S170" s="388"/>
    </row>
    <row r="171" spans="3:19">
      <c r="O171" s="270"/>
      <c r="Q171" s="388"/>
      <c r="R171" s="388"/>
      <c r="S171" s="388"/>
    </row>
    <row r="172" spans="3:19">
      <c r="O172" s="268"/>
      <c r="Q172" s="388"/>
      <c r="R172" s="388"/>
      <c r="S172" s="388"/>
    </row>
    <row r="173" spans="3:19">
      <c r="L173" s="312">
        <f>L153</f>
        <v>536116840</v>
      </c>
      <c r="O173" s="270"/>
      <c r="Q173" s="388"/>
      <c r="R173" s="388"/>
      <c r="S173" s="388"/>
    </row>
    <row r="174" spans="3:19">
      <c r="K174" s="274"/>
      <c r="L174" s="312"/>
      <c r="N174" s="268"/>
    </row>
    <row r="175" spans="3:19">
      <c r="C175" s="273"/>
      <c r="F175" s="268"/>
      <c r="L175" s="267">
        <f>L173+L174</f>
        <v>536116840</v>
      </c>
      <c r="N175" s="394"/>
    </row>
    <row r="176" spans="3:19">
      <c r="F176" s="268"/>
      <c r="K176" s="274" t="s">
        <v>1222</v>
      </c>
      <c r="L176" s="267">
        <f>Group2!L38</f>
        <v>827703219.99659991</v>
      </c>
      <c r="M176" s="267">
        <f>SUM(M4:M14)</f>
        <v>534255074.71906</v>
      </c>
      <c r="N176" s="395"/>
    </row>
    <row r="177" spans="10:14">
      <c r="K177" s="274" t="s">
        <v>1223</v>
      </c>
      <c r="L177" s="267">
        <v>1279049062</v>
      </c>
      <c r="M177" s="267">
        <f>SUM(M16:M150)</f>
        <v>-932352.24</v>
      </c>
      <c r="N177" s="267">
        <f>L186/M153*M177</f>
        <v>-34914.215666131859</v>
      </c>
    </row>
    <row r="178" spans="10:14">
      <c r="L178" s="267">
        <f>L177-SUM(L175:L176)</f>
        <v>-84770997.996599913</v>
      </c>
    </row>
    <row r="179" spans="10:14" ht="15">
      <c r="K179" s="273" t="s">
        <v>1224</v>
      </c>
      <c r="L179" s="267">
        <f>M153</f>
        <v>533322722.47905964</v>
      </c>
      <c r="M179" s="271"/>
    </row>
    <row r="180" spans="10:14">
      <c r="K180" s="273" t="s">
        <v>1225</v>
      </c>
      <c r="L180" s="267">
        <f>Q153</f>
        <v>19953175.780000024</v>
      </c>
    </row>
    <row r="181" spans="10:14">
      <c r="K181" s="274" t="s">
        <v>1226</v>
      </c>
      <c r="L181" s="267">
        <f>L179+L180</f>
        <v>553275898.25905967</v>
      </c>
    </row>
    <row r="182" spans="10:14">
      <c r="K182" s="274" t="s">
        <v>1227</v>
      </c>
      <c r="L182" s="267">
        <f>L181-L173</f>
        <v>17159058.259059668</v>
      </c>
    </row>
    <row r="185" spans="10:14">
      <c r="K185" s="267" t="s">
        <v>1228</v>
      </c>
      <c r="L185" s="267" t="s">
        <v>857</v>
      </c>
    </row>
    <row r="186" spans="10:14">
      <c r="J186" s="267" t="s">
        <v>1229</v>
      </c>
      <c r="K186" s="267">
        <f>M153</f>
        <v>533322722.47905964</v>
      </c>
      <c r="L186" s="267">
        <f>Summary!$D$22</f>
        <v>19971577</v>
      </c>
    </row>
    <row r="187" spans="10:14">
      <c r="J187" s="267" t="s">
        <v>1230</v>
      </c>
      <c r="K187" s="267">
        <f>L176</f>
        <v>827703219.99659991</v>
      </c>
      <c r="L187" s="267">
        <f>Summary!$D$32</f>
        <v>30995377</v>
      </c>
    </row>
    <row r="188" spans="10:14">
      <c r="J188" s="267" t="s">
        <v>1228</v>
      </c>
      <c r="K188" s="267">
        <f>K186+K187</f>
        <v>1361025942.4756596</v>
      </c>
      <c r="L188" s="354">
        <f>Summary!$B$7</f>
        <v>50966954</v>
      </c>
    </row>
  </sheetData>
  <autoFilter ref="B17:B150"/>
  <pageMargins left="0.5" right="0.5" top="1.25" bottom="0.75" header="0.5" footer="0.5"/>
  <pageSetup scale="64" fitToWidth="2" fitToHeight="0" pageOrder="overThenDown" orientation="landscape" r:id="rId1"/>
  <headerFooter>
    <oddHeader xml:space="preserve">&amp;C&amp;"Times New Roman,Bold"&amp;16KENTUCKY UTILITIES COMPANY&amp;"Times New Roman,Regular"&amp;12
Group 1 ECR Rollin Calculations 
Using Regenerated Revenues for the  Twelve Months Ending September 2011
Case No. 2011-00231
</oddHeader>
    <oddFooter>&amp;R&amp;"Times New Roman,Bold"&amp;11Exhibit 2
Page &amp;P of &amp;N</oddFooter>
  </headerFooter>
  <rowBreaks count="1" manualBreakCount="1">
    <brk id="145" min="2" max="20" man="1"/>
  </rowBreaks>
  <colBreaks count="1" manualBreakCount="1">
    <brk id="11" min="3" max="15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B58"/>
  <sheetViews>
    <sheetView workbookViewId="0"/>
  </sheetViews>
  <sheetFormatPr defaultRowHeight="12.75"/>
  <cols>
    <col min="1" max="1" width="9.33203125" style="313"/>
    <col min="2" max="2" width="60.83203125" style="267" customWidth="1"/>
    <col min="3" max="3" width="16.83203125" style="267" customWidth="1"/>
    <col min="4" max="4" width="15.83203125" style="267" customWidth="1"/>
    <col min="5" max="6" width="11.83203125" style="267" customWidth="1"/>
    <col min="7" max="7" width="15.83203125" style="267" customWidth="1"/>
    <col min="8" max="8" width="19.1640625" style="267" customWidth="1"/>
    <col min="9" max="9" width="20.83203125" style="267" customWidth="1"/>
    <col min="10" max="10" width="19.33203125" style="267" customWidth="1"/>
    <col min="11" max="12" width="17.83203125" style="267" customWidth="1"/>
    <col min="13" max="13" width="20.83203125" style="267" customWidth="1"/>
    <col min="14" max="14" width="17.83203125" style="267" customWidth="1"/>
    <col min="15" max="15" width="16.33203125" style="267" customWidth="1"/>
    <col min="16" max="16" width="13.83203125" style="267" customWidth="1"/>
    <col min="17" max="18" width="19.83203125" style="267" customWidth="1"/>
    <col min="19" max="20" width="15.83203125" style="267" customWidth="1"/>
    <col min="21" max="21" width="9.6640625" style="267" bestFit="1" customWidth="1"/>
    <col min="22" max="23" width="9.33203125" style="267"/>
    <col min="24" max="24" width="11" style="267" bestFit="1" customWidth="1"/>
    <col min="25" max="28" width="9.33203125" style="267"/>
    <col min="29" max="29" width="11.33203125" style="267" bestFit="1" customWidth="1"/>
    <col min="30" max="35" width="10.1640625" style="267" bestFit="1" customWidth="1"/>
    <col min="36" max="42" width="9.33203125" style="267"/>
    <col min="43" max="46" width="10.1640625" style="267" bestFit="1" customWidth="1"/>
    <col min="47" max="49" width="11.33203125" style="267" bestFit="1" customWidth="1"/>
    <col min="50" max="16384" width="9.33203125" style="267"/>
  </cols>
  <sheetData>
    <row r="1" spans="1:54">
      <c r="A1" s="357">
        <v>0</v>
      </c>
      <c r="B1" s="357">
        <f>A1-1</f>
        <v>-1</v>
      </c>
      <c r="C1" s="357">
        <f>B1-1</f>
        <v>-2</v>
      </c>
      <c r="D1" s="357">
        <f t="shared" ref="D1:U1" si="0">C1-1</f>
        <v>-3</v>
      </c>
      <c r="E1" s="357">
        <f t="shared" si="0"/>
        <v>-4</v>
      </c>
      <c r="F1" s="357">
        <f t="shared" si="0"/>
        <v>-5</v>
      </c>
      <c r="G1" s="357">
        <f>F1-1</f>
        <v>-6</v>
      </c>
      <c r="H1" s="357">
        <f t="shared" si="0"/>
        <v>-7</v>
      </c>
      <c r="I1" s="357">
        <f t="shared" si="0"/>
        <v>-8</v>
      </c>
      <c r="J1" s="357">
        <f t="shared" si="0"/>
        <v>-9</v>
      </c>
      <c r="K1" s="357">
        <f t="shared" si="0"/>
        <v>-10</v>
      </c>
      <c r="L1" s="357">
        <f t="shared" si="0"/>
        <v>-11</v>
      </c>
      <c r="M1" s="357">
        <f t="shared" si="0"/>
        <v>-12</v>
      </c>
      <c r="N1" s="357">
        <f t="shared" si="0"/>
        <v>-13</v>
      </c>
      <c r="O1" s="357">
        <f t="shared" si="0"/>
        <v>-14</v>
      </c>
      <c r="P1" s="357">
        <f t="shared" si="0"/>
        <v>-15</v>
      </c>
      <c r="Q1" s="357">
        <f t="shared" si="0"/>
        <v>-16</v>
      </c>
      <c r="R1" s="357">
        <f t="shared" si="0"/>
        <v>-17</v>
      </c>
      <c r="S1" s="357">
        <f t="shared" si="0"/>
        <v>-18</v>
      </c>
      <c r="T1" s="357">
        <f t="shared" si="0"/>
        <v>-19</v>
      </c>
      <c r="U1" s="357">
        <f t="shared" si="0"/>
        <v>-20</v>
      </c>
      <c r="AB1" s="396" t="s">
        <v>1231</v>
      </c>
      <c r="AC1" s="397"/>
      <c r="AD1" s="397"/>
      <c r="AE1" s="397"/>
      <c r="AF1" s="397"/>
      <c r="AG1" s="397"/>
      <c r="AH1" s="397"/>
      <c r="AI1" s="397"/>
      <c r="AJ1" s="397"/>
      <c r="AK1" s="397"/>
      <c r="AL1" s="397"/>
      <c r="AM1" s="397"/>
      <c r="AN1" s="397"/>
      <c r="AP1" s="396" t="s">
        <v>1231</v>
      </c>
      <c r="AQ1" s="397"/>
      <c r="AR1" s="397"/>
      <c r="AS1" s="397"/>
      <c r="AT1" s="397"/>
      <c r="AU1" s="397"/>
      <c r="AV1" s="397"/>
      <c r="AW1" s="397"/>
      <c r="AX1" s="397"/>
      <c r="AY1" s="397"/>
      <c r="AZ1" s="397"/>
      <c r="BA1" s="397"/>
      <c r="BB1" s="397"/>
    </row>
    <row r="2" spans="1:54" s="269" customFormat="1" ht="62.25" customHeight="1">
      <c r="A2" s="281" t="s">
        <v>1193</v>
      </c>
      <c r="B2" s="253" t="s">
        <v>1194</v>
      </c>
      <c r="C2" s="367" t="s">
        <v>1196</v>
      </c>
      <c r="D2" s="368" t="s">
        <v>1232</v>
      </c>
      <c r="E2" s="367" t="s">
        <v>1197</v>
      </c>
      <c r="F2" s="367" t="s">
        <v>1233</v>
      </c>
      <c r="G2" s="367" t="s">
        <v>1199</v>
      </c>
      <c r="H2" s="367" t="s">
        <v>1200</v>
      </c>
      <c r="I2" s="369" t="s">
        <v>1234</v>
      </c>
      <c r="J2" s="368" t="s">
        <v>1202</v>
      </c>
      <c r="K2" s="368" t="s">
        <v>1203</v>
      </c>
      <c r="L2" s="367" t="s">
        <v>1167</v>
      </c>
      <c r="M2" s="368" t="s">
        <v>1235</v>
      </c>
      <c r="N2" s="370" t="s">
        <v>1205</v>
      </c>
      <c r="O2" s="371" t="s">
        <v>1206</v>
      </c>
      <c r="P2" s="371" t="s">
        <v>1236</v>
      </c>
      <c r="Q2" s="398" t="s">
        <v>1237</v>
      </c>
      <c r="R2" s="372" t="s">
        <v>1209</v>
      </c>
      <c r="S2" s="372" t="s">
        <v>1210</v>
      </c>
      <c r="T2" s="372" t="s">
        <v>1211</v>
      </c>
      <c r="U2" s="373" t="s">
        <v>1212</v>
      </c>
      <c r="V2" s="252"/>
      <c r="W2" s="373"/>
      <c r="X2" s="373"/>
      <c r="Y2" s="373"/>
      <c r="Z2" s="373"/>
      <c r="AA2" s="374"/>
      <c r="AB2" s="397" t="s">
        <v>1238</v>
      </c>
      <c r="AC2" s="397"/>
      <c r="AD2" s="397"/>
      <c r="AE2" s="397"/>
      <c r="AF2" s="397"/>
      <c r="AG2" s="397"/>
      <c r="AH2" s="397"/>
      <c r="AI2" s="397"/>
      <c r="AJ2" s="397"/>
      <c r="AK2" s="397"/>
      <c r="AL2" s="397"/>
      <c r="AM2" s="397"/>
      <c r="AN2" s="397"/>
      <c r="AO2" s="267"/>
      <c r="AP2" s="399" t="s">
        <v>1239</v>
      </c>
      <c r="AQ2" s="397"/>
      <c r="AR2" s="397"/>
      <c r="AS2" s="397"/>
      <c r="AT2" s="397"/>
      <c r="AU2" s="397"/>
      <c r="AV2" s="397"/>
      <c r="AW2" s="397"/>
      <c r="AX2" s="397"/>
      <c r="AY2" s="397"/>
      <c r="AZ2" s="397"/>
      <c r="BA2" s="397"/>
      <c r="BB2" s="397"/>
    </row>
    <row r="3" spans="1:54" s="376" customFormat="1" ht="22.5" customHeight="1">
      <c r="A3" s="375"/>
      <c r="C3" s="1309"/>
      <c r="D3" s="1309"/>
      <c r="E3" s="1310"/>
      <c r="F3" s="1310"/>
      <c r="G3" s="379"/>
      <c r="H3" s="379" t="str">
        <f>TEXT($C$1*-1,"(0)")&amp;" x "&amp;TEXT($E$1*-1,"(0)")</f>
        <v>(2) x (4)</v>
      </c>
      <c r="I3" s="379" t="str">
        <f>TEXT($D$1*-1,"(0)")&amp;" x "&amp;TEXT($F$1*-1,"(0)")</f>
        <v>(3) x (5)</v>
      </c>
      <c r="J3" s="379" t="str">
        <f>TEXT($H$1*-1,"(0)")&amp;" + "&amp;TEXT($I$1*-1,"(0)")</f>
        <v>(7) + (8)</v>
      </c>
      <c r="K3" s="380"/>
      <c r="L3" s="379" t="str">
        <f>TEXT($K$1*-1,"(0)")&amp;" - "&amp;TEXT($J$1*-1,"(0)")</f>
        <v>(10) - (9)</v>
      </c>
      <c r="M3" s="379" t="str">
        <f>TEXT($L$1*-1,"(0)")&amp;" - "&amp;TEXT($G$1*-1,"(0)")</f>
        <v>(11) - (6)</v>
      </c>
      <c r="N3" s="379" t="s">
        <v>1213</v>
      </c>
      <c r="O3" s="379" t="str">
        <f>TEXT($N$1*-1,"(0)")&amp;" ÷ "&amp;TEXT($C$1*-1,"(0)")</f>
        <v>(13) ÷ (2)</v>
      </c>
      <c r="P3" s="379" t="str">
        <f>TEXT($N$1*-1,"(0)")&amp;" ÷ "&amp;TEXT($D$1*-1,"(0)")</f>
        <v>(13) ÷ (3)</v>
      </c>
      <c r="Q3" s="379" t="str">
        <f>TEXT($O$1*-1,"(0)")&amp;" x "&amp;TEXT($C$1*-1,"(0)")&amp;" or "&amp;TEXT($P$1*-1,"(0)")&amp;" x "&amp;TEXT($D$1*-1,"(0)")</f>
        <v>(14) x (2) or (15) x (3)</v>
      </c>
      <c r="R3" s="379" t="str">
        <f>TEXT($N$1*-1,"(0)")&amp;" - "&amp;TEXT($Q$1*-1,"(0)")</f>
        <v>(13) - (16)</v>
      </c>
      <c r="S3" s="379"/>
      <c r="T3" s="379"/>
      <c r="U3" s="379"/>
      <c r="AB3" s="61" t="s">
        <v>1240</v>
      </c>
      <c r="AC3" s="24">
        <v>41333</v>
      </c>
      <c r="AD3" s="24">
        <f>EOMONTH(AC3,-1)</f>
        <v>41305</v>
      </c>
      <c r="AE3" s="24">
        <f t="shared" ref="AE3:AN3" si="1">EOMONTH(AD3,-1)</f>
        <v>41274</v>
      </c>
      <c r="AF3" s="24">
        <f t="shared" si="1"/>
        <v>41243</v>
      </c>
      <c r="AG3" s="24">
        <f t="shared" si="1"/>
        <v>41213</v>
      </c>
      <c r="AH3" s="24">
        <f t="shared" si="1"/>
        <v>41182</v>
      </c>
      <c r="AI3" s="24">
        <f t="shared" si="1"/>
        <v>41152</v>
      </c>
      <c r="AJ3" s="24">
        <f t="shared" si="1"/>
        <v>41121</v>
      </c>
      <c r="AK3" s="24">
        <f t="shared" si="1"/>
        <v>41090</v>
      </c>
      <c r="AL3" s="24">
        <f t="shared" si="1"/>
        <v>41060</v>
      </c>
      <c r="AM3" s="24">
        <f t="shared" si="1"/>
        <v>41029</v>
      </c>
      <c r="AN3" s="24">
        <f t="shared" si="1"/>
        <v>40999</v>
      </c>
      <c r="AO3" s="267"/>
      <c r="AP3" s="61" t="s">
        <v>1240</v>
      </c>
      <c r="AQ3" s="24">
        <f>AC3</f>
        <v>41333</v>
      </c>
      <c r="AR3" s="24">
        <f t="shared" ref="AR3:BB3" si="2">EOMONTH(AQ3,-1)</f>
        <v>41305</v>
      </c>
      <c r="AS3" s="24">
        <f t="shared" si="2"/>
        <v>41274</v>
      </c>
      <c r="AT3" s="24">
        <f t="shared" si="2"/>
        <v>41243</v>
      </c>
      <c r="AU3" s="24">
        <f t="shared" si="2"/>
        <v>41213</v>
      </c>
      <c r="AV3" s="24">
        <f t="shared" si="2"/>
        <v>41182</v>
      </c>
      <c r="AW3" s="24">
        <f t="shared" si="2"/>
        <v>41152</v>
      </c>
      <c r="AX3" s="24">
        <f t="shared" si="2"/>
        <v>41121</v>
      </c>
      <c r="AY3" s="24">
        <f t="shared" si="2"/>
        <v>41090</v>
      </c>
      <c r="AZ3" s="24">
        <f t="shared" si="2"/>
        <v>41060</v>
      </c>
      <c r="BA3" s="24">
        <f t="shared" si="2"/>
        <v>41029</v>
      </c>
      <c r="BB3" s="24">
        <f t="shared" si="2"/>
        <v>40999</v>
      </c>
    </row>
    <row r="4" spans="1:54">
      <c r="A4" s="386" t="s">
        <v>208</v>
      </c>
      <c r="B4" s="267" t="s">
        <v>108</v>
      </c>
      <c r="C4" s="251">
        <f>SUMIF(_12MonResults_Rate,$A4,_12MonResults_KWH_Total)</f>
        <v>773603156</v>
      </c>
      <c r="D4" s="267">
        <v>0</v>
      </c>
      <c r="E4" s="382">
        <f>VLOOKUP(A4,Rates!$B$140:$W$173,Rates!$J$3-1,FALSE)</f>
        <v>4.4999999999999999E-4</v>
      </c>
      <c r="G4" s="267">
        <f>SUMIF(_12MonResults_Rate,$A4,_12MonResults_Revenue_BaseFuel)</f>
        <v>22372603.289999999</v>
      </c>
      <c r="H4" s="383">
        <f>C4*E4</f>
        <v>348121.42019999999</v>
      </c>
      <c r="J4" s="383">
        <f t="shared" ref="J4:J33" si="3">SUM(H4:I4)</f>
        <v>348121.42019999999</v>
      </c>
      <c r="K4" s="383">
        <f>SUMIF(_12MonResults_Rate,$A4,_12MonResults_Revenue_Actual)</f>
        <v>86612863</v>
      </c>
      <c r="L4" s="383">
        <f>K4-J4</f>
        <v>86264741.579799995</v>
      </c>
      <c r="M4" s="383">
        <f>K4-J4-G4</f>
        <v>63892138.289799996</v>
      </c>
      <c r="N4" s="383">
        <f>ROUND($K$54/$M$38*M4,2)</f>
        <v>4062343.69</v>
      </c>
      <c r="O4" s="382">
        <f>ROUND(SUM($N$4:$N$5)/SUM($C$4:$C$5),5)</f>
        <v>4.7699999999999999E-3</v>
      </c>
      <c r="Q4" s="383">
        <f>O4*C4</f>
        <v>3690087.05412</v>
      </c>
      <c r="R4" s="383">
        <f>N4-Q4</f>
        <v>372256.63587999996</v>
      </c>
      <c r="S4" s="382">
        <f>T4-E4+O4</f>
        <v>9.2310000000000003E-2</v>
      </c>
      <c r="T4" s="382">
        <f>VLOOKUP(A4,Rates!$B$140:$W$173,Rates!$G$3-1,FALSE)</f>
        <v>8.7990000000000013E-2</v>
      </c>
      <c r="U4" s="384">
        <f>(S4-T4)/T4</f>
        <v>4.9096488237299576E-2</v>
      </c>
      <c r="X4" s="385"/>
      <c r="AB4" s="61" t="s">
        <v>1241</v>
      </c>
      <c r="AC4" s="61">
        <f>MONTH(AC3)</f>
        <v>2</v>
      </c>
      <c r="AD4" s="61">
        <f t="shared" ref="AD4:AN4" si="4">MONTH(AD3)</f>
        <v>1</v>
      </c>
      <c r="AE4" s="61">
        <f t="shared" si="4"/>
        <v>12</v>
      </c>
      <c r="AF4" s="61">
        <f t="shared" si="4"/>
        <v>11</v>
      </c>
      <c r="AG4" s="61">
        <f t="shared" si="4"/>
        <v>10</v>
      </c>
      <c r="AH4" s="61">
        <f t="shared" si="4"/>
        <v>9</v>
      </c>
      <c r="AI4" s="61">
        <f t="shared" si="4"/>
        <v>8</v>
      </c>
      <c r="AJ4" s="61">
        <f t="shared" si="4"/>
        <v>7</v>
      </c>
      <c r="AK4" s="61">
        <f t="shared" si="4"/>
        <v>6</v>
      </c>
      <c r="AL4" s="61">
        <f t="shared" si="4"/>
        <v>5</v>
      </c>
      <c r="AM4" s="61">
        <f t="shared" si="4"/>
        <v>4</v>
      </c>
      <c r="AN4" s="61">
        <f t="shared" si="4"/>
        <v>3</v>
      </c>
      <c r="AP4" s="61" t="s">
        <v>1241</v>
      </c>
      <c r="AQ4" s="61">
        <f>MONTH(AQ3)</f>
        <v>2</v>
      </c>
      <c r="AR4" s="61">
        <f t="shared" ref="AR4:BB4" si="5">MONTH(AR3)</f>
        <v>1</v>
      </c>
      <c r="AS4" s="61">
        <f t="shared" si="5"/>
        <v>12</v>
      </c>
      <c r="AT4" s="61">
        <f t="shared" si="5"/>
        <v>11</v>
      </c>
      <c r="AU4" s="61">
        <f t="shared" si="5"/>
        <v>10</v>
      </c>
      <c r="AV4" s="61">
        <f t="shared" si="5"/>
        <v>9</v>
      </c>
      <c r="AW4" s="61">
        <f t="shared" si="5"/>
        <v>8</v>
      </c>
      <c r="AX4" s="61">
        <f t="shared" si="5"/>
        <v>7</v>
      </c>
      <c r="AY4" s="61">
        <f t="shared" si="5"/>
        <v>6</v>
      </c>
      <c r="AZ4" s="61">
        <f t="shared" si="5"/>
        <v>5</v>
      </c>
      <c r="BA4" s="61">
        <f t="shared" si="5"/>
        <v>4</v>
      </c>
      <c r="BB4" s="61">
        <f t="shared" si="5"/>
        <v>3</v>
      </c>
    </row>
    <row r="5" spans="1:54">
      <c r="A5" s="386" t="s">
        <v>17</v>
      </c>
      <c r="B5" s="267" t="s">
        <v>63</v>
      </c>
      <c r="C5" s="251">
        <f>SUMIF(_12MonResults_Rate,$A5,_12MonResults_KWH_Total)</f>
        <v>1131893696</v>
      </c>
      <c r="D5" s="267">
        <v>0</v>
      </c>
      <c r="E5" s="382">
        <f>VLOOKUP(A5,Rates!$B$140:$W$173,Rates!$J$3-1,FALSE)</f>
        <v>4.4999999999999999E-4</v>
      </c>
      <c r="G5" s="267">
        <f>SUMIF(_12MonResults_Rate,$A5,_12MonResults_Revenue_BaseFuel)</f>
        <v>32734365.68</v>
      </c>
      <c r="H5" s="383">
        <f>C5*E5</f>
        <v>509352.16320000001</v>
      </c>
      <c r="J5" s="383">
        <f>SUM(H5:I5)</f>
        <v>509352.16320000001</v>
      </c>
      <c r="K5" s="383">
        <f>SUMIF(_12MonResults_Rate,$A5,_12MonResults_Revenue_Actual)</f>
        <v>112217336</v>
      </c>
      <c r="L5" s="383">
        <f>K5-J5</f>
        <v>111707983.83679999</v>
      </c>
      <c r="M5" s="383">
        <f>K5-J5-G5</f>
        <v>78973618.156800002</v>
      </c>
      <c r="N5" s="383">
        <f>ROUND($K$54/$M$38*M5,2)</f>
        <v>5021243.43</v>
      </c>
      <c r="O5" s="382">
        <f>ROUND(SUM($N$4:$N$5)/SUM($C$4:$C$5),5)</f>
        <v>4.7699999999999999E-3</v>
      </c>
      <c r="Q5" s="383">
        <f>O5*C5</f>
        <v>5399132.92992</v>
      </c>
      <c r="R5" s="383">
        <f>N5-Q5</f>
        <v>-377889.49992000032</v>
      </c>
      <c r="S5" s="382">
        <f>T5-E5+O5</f>
        <v>9.2310000000000003E-2</v>
      </c>
      <c r="T5" s="382">
        <f>VLOOKUP(A5,Rates!$B$140:$W$173,Rates!$G$3-1,FALSE)</f>
        <v>8.7990000000000013E-2</v>
      </c>
      <c r="U5" s="384">
        <f>(S5-T5)/T5</f>
        <v>4.9096488237299576E-2</v>
      </c>
      <c r="X5" s="385"/>
      <c r="AB5" s="400" t="s">
        <v>1242</v>
      </c>
      <c r="AC5" s="61">
        <v>5</v>
      </c>
      <c r="AD5" s="61">
        <v>6</v>
      </c>
      <c r="AE5" s="61">
        <v>7</v>
      </c>
      <c r="AF5" s="61">
        <v>8</v>
      </c>
      <c r="AG5" s="61">
        <v>9</v>
      </c>
      <c r="AH5" s="61"/>
      <c r="AI5" s="61"/>
      <c r="AJ5" s="61"/>
      <c r="AK5" s="61"/>
      <c r="AL5" s="61"/>
      <c r="AM5" s="61"/>
      <c r="AN5" s="61"/>
      <c r="AP5" s="400" t="s">
        <v>1242</v>
      </c>
      <c r="AQ5" s="61">
        <v>5</v>
      </c>
      <c r="AR5" s="61">
        <v>6</v>
      </c>
      <c r="AS5" s="61">
        <v>7</v>
      </c>
      <c r="AT5" s="61">
        <v>8</v>
      </c>
      <c r="AU5" s="61">
        <v>9</v>
      </c>
      <c r="AV5" s="61"/>
      <c r="AW5" s="61"/>
      <c r="AX5" s="61"/>
      <c r="AY5" s="61"/>
      <c r="AZ5" s="61"/>
      <c r="BA5" s="61"/>
      <c r="BB5" s="61"/>
    </row>
    <row r="6" spans="1:54">
      <c r="A6" s="386"/>
      <c r="B6" s="268"/>
      <c r="E6" s="382"/>
      <c r="H6" s="383"/>
      <c r="J6" s="383"/>
      <c r="K6" s="383"/>
      <c r="L6" s="383"/>
      <c r="M6" s="383"/>
      <c r="N6" s="383"/>
      <c r="O6" s="382"/>
      <c r="Q6" s="383"/>
      <c r="R6" s="383"/>
      <c r="S6" s="382"/>
      <c r="T6" s="382"/>
      <c r="U6" s="384"/>
      <c r="X6" s="385"/>
      <c r="AB6" s="61"/>
      <c r="AC6" s="24">
        <f>SUMIF($AC$4:$AN$4,AC5,$AC$3:$AN$3)</f>
        <v>41060</v>
      </c>
      <c r="AD6" s="24">
        <f t="shared" ref="AD6:AG6" si="6">SUMIF($AC$4:$AN$4,AD5,$AC$3:$AN$3)</f>
        <v>41090</v>
      </c>
      <c r="AE6" s="24">
        <f t="shared" si="6"/>
        <v>41121</v>
      </c>
      <c r="AF6" s="24">
        <f t="shared" si="6"/>
        <v>41152</v>
      </c>
      <c r="AG6" s="24">
        <f t="shared" si="6"/>
        <v>41182</v>
      </c>
      <c r="AH6" s="61"/>
      <c r="AI6" s="61"/>
      <c r="AJ6" s="61"/>
      <c r="AK6" s="61"/>
      <c r="AL6" s="61"/>
      <c r="AM6" s="61"/>
      <c r="AN6" s="61"/>
      <c r="AP6" s="61"/>
      <c r="AQ6" s="24">
        <f>SUMIF($AQ$4:$BB$4,AQ5,$AQ$3:$BB$3)</f>
        <v>41060</v>
      </c>
      <c r="AR6" s="24">
        <f t="shared" ref="AR6:AU6" si="7">SUMIF($AQ$4:$BB$4,AR5,$AQ$3:$BB$3)</f>
        <v>41090</v>
      </c>
      <c r="AS6" s="24">
        <f t="shared" si="7"/>
        <v>41121</v>
      </c>
      <c r="AT6" s="24">
        <f t="shared" si="7"/>
        <v>41152</v>
      </c>
      <c r="AU6" s="24">
        <f t="shared" si="7"/>
        <v>41182</v>
      </c>
      <c r="AV6" s="61"/>
      <c r="AW6" s="61"/>
      <c r="AX6" s="61"/>
      <c r="AY6" s="61"/>
      <c r="AZ6" s="61"/>
      <c r="BA6" s="61"/>
      <c r="BB6" s="61"/>
    </row>
    <row r="7" spans="1:54">
      <c r="A7" s="386"/>
      <c r="B7" s="268"/>
      <c r="E7" s="382"/>
      <c r="H7" s="383"/>
      <c r="J7" s="383"/>
      <c r="K7" s="383"/>
      <c r="L7" s="383"/>
      <c r="M7" s="383"/>
      <c r="N7" s="383"/>
      <c r="O7" s="382"/>
      <c r="Q7" s="383"/>
      <c r="R7" s="383"/>
      <c r="S7" s="382"/>
      <c r="T7" s="382"/>
      <c r="U7" s="384"/>
      <c r="X7" s="385"/>
      <c r="AB7" s="61" t="s">
        <v>1243</v>
      </c>
      <c r="AC7" s="61">
        <v>1</v>
      </c>
      <c r="AD7" s="61">
        <v>2</v>
      </c>
      <c r="AE7" s="61">
        <v>3</v>
      </c>
      <c r="AF7" s="61">
        <v>4</v>
      </c>
      <c r="AG7" s="61">
        <v>10</v>
      </c>
      <c r="AH7" s="61">
        <v>11</v>
      </c>
      <c r="AI7" s="61">
        <v>12</v>
      </c>
      <c r="AJ7" s="61"/>
      <c r="AK7" s="61"/>
      <c r="AL7" s="61"/>
      <c r="AM7" s="61"/>
      <c r="AN7" s="61"/>
      <c r="AP7" s="61" t="s">
        <v>1243</v>
      </c>
      <c r="AQ7" s="61">
        <v>1</v>
      </c>
      <c r="AR7" s="61">
        <v>2</v>
      </c>
      <c r="AS7" s="61">
        <v>3</v>
      </c>
      <c r="AT7" s="61">
        <v>4</v>
      </c>
      <c r="AU7" s="61">
        <v>10</v>
      </c>
      <c r="AV7" s="61">
        <v>11</v>
      </c>
      <c r="AW7" s="61">
        <v>12</v>
      </c>
      <c r="AX7" s="61"/>
      <c r="AY7" s="61"/>
      <c r="AZ7" s="61"/>
      <c r="BA7" s="61"/>
      <c r="BB7" s="61"/>
    </row>
    <row r="8" spans="1:54">
      <c r="A8" s="386"/>
      <c r="B8" s="268"/>
      <c r="E8" s="382"/>
      <c r="H8" s="383"/>
      <c r="J8" s="383"/>
      <c r="K8" s="383"/>
      <c r="L8" s="383"/>
      <c r="M8" s="383"/>
      <c r="N8" s="383"/>
      <c r="O8" s="382"/>
      <c r="Q8" s="383"/>
      <c r="R8" s="383"/>
      <c r="S8" s="382"/>
      <c r="T8" s="382"/>
      <c r="U8" s="384"/>
      <c r="X8" s="385"/>
      <c r="AB8" s="61"/>
      <c r="AC8" s="24">
        <f>SUMIF($AC$4:$AN$4,AC7,$AC$3:$AN$3)</f>
        <v>41305</v>
      </c>
      <c r="AD8" s="24">
        <f t="shared" ref="AD8:AI8" si="8">SUMIF($AC$4:$AN$4,AD7,$AC$3:$AN$3)</f>
        <v>41333</v>
      </c>
      <c r="AE8" s="24">
        <f t="shared" si="8"/>
        <v>40999</v>
      </c>
      <c r="AF8" s="24">
        <f t="shared" si="8"/>
        <v>41029</v>
      </c>
      <c r="AG8" s="24">
        <f t="shared" si="8"/>
        <v>41213</v>
      </c>
      <c r="AH8" s="24">
        <f t="shared" si="8"/>
        <v>41243</v>
      </c>
      <c r="AI8" s="24">
        <f t="shared" si="8"/>
        <v>41274</v>
      </c>
      <c r="AJ8" s="61"/>
      <c r="AK8" s="61"/>
      <c r="AL8" s="61"/>
      <c r="AM8" s="61"/>
      <c r="AN8" s="61"/>
      <c r="AP8" s="61"/>
      <c r="AQ8" s="24">
        <f>SUMIF($AQ$4:$BB$4,AQ7,$AQ$3:$BB$3)</f>
        <v>41305</v>
      </c>
      <c r="AR8" s="24">
        <f t="shared" ref="AR8:AW8" si="9">SUMIF($AQ$4:$BB$4,AR7,$AQ$3:$BB$3)</f>
        <v>41333</v>
      </c>
      <c r="AS8" s="24">
        <f t="shared" si="9"/>
        <v>40999</v>
      </c>
      <c r="AT8" s="24">
        <f t="shared" si="9"/>
        <v>41029</v>
      </c>
      <c r="AU8" s="24">
        <f t="shared" si="9"/>
        <v>41213</v>
      </c>
      <c r="AV8" s="24">
        <f t="shared" si="9"/>
        <v>41243</v>
      </c>
      <c r="AW8" s="24">
        <f t="shared" si="9"/>
        <v>41274</v>
      </c>
      <c r="AX8" s="61"/>
      <c r="AY8" s="61"/>
      <c r="AZ8" s="61"/>
      <c r="BA8" s="61"/>
      <c r="BB8" s="61"/>
    </row>
    <row r="9" spans="1:54">
      <c r="A9" s="386" t="s">
        <v>24</v>
      </c>
      <c r="B9" s="268" t="s">
        <v>1244</v>
      </c>
      <c r="C9" s="251">
        <f>SUM(AC9:AI9)</f>
        <v>0</v>
      </c>
      <c r="D9" s="267">
        <f>SUM(AQ9:AW9)</f>
        <v>0</v>
      </c>
      <c r="F9" s="383">
        <f>VLOOKUP(A9,Rates!$B$140:$W$173,Rates!$T$3-1,FALSE)</f>
        <v>0.11</v>
      </c>
      <c r="G9" s="267">
        <f>SUMIF(_12MonResults_Rate,$A9,_12MonResults_Revenue_BaseFuel)</f>
        <v>61003904.420000009</v>
      </c>
      <c r="I9" s="383">
        <f>D9*F9</f>
        <v>0</v>
      </c>
      <c r="J9" s="383">
        <f>SUM(H9:I9)</f>
        <v>0</v>
      </c>
      <c r="K9" s="383">
        <f>SUMIF(_12MonResults_Rate,$A9,_12MonResults_Revenue_Actual)</f>
        <v>179055593</v>
      </c>
      <c r="L9" s="383">
        <f>K9-J9-J10</f>
        <v>179055593</v>
      </c>
      <c r="M9" s="383">
        <f>K9-J9-J10-G9-G10</f>
        <v>118051688.57999998</v>
      </c>
      <c r="N9" s="383">
        <f>ROUND($K$54/$M$38*M9,2)</f>
        <v>7505877.0199999996</v>
      </c>
      <c r="P9" s="275" t="e">
        <f>ROUND(SUM($N$9:$N$12)/SUM($D$9:$D$12),2)</f>
        <v>#DIV/0!</v>
      </c>
      <c r="Q9" s="383" t="e">
        <f>P9*D9</f>
        <v>#DIV/0!</v>
      </c>
      <c r="R9" s="383" t="e">
        <f>N9-Q9-Q10</f>
        <v>#DIV/0!</v>
      </c>
      <c r="S9" s="389" t="e">
        <f>T9-F9+P9</f>
        <v>#DIV/0!</v>
      </c>
      <c r="T9" s="383">
        <v>12.78</v>
      </c>
      <c r="U9" s="384" t="e">
        <f>(S9-T9)/T9</f>
        <v>#DIV/0!</v>
      </c>
      <c r="X9" s="385"/>
      <c r="AC9">
        <f>SUMIFS(_12MonResults_KWH_Total,_12MonResults_RevMonth,TEXT(AC$6,"mmm yyyy"),_12MonResults_Rate,$A9)</f>
        <v>0</v>
      </c>
      <c r="AD9">
        <f>SUMIFS(_12MonResults_KWH_Total,_12MonResults_RevMonth,TEXT(AD$6,"mmm yyyy"),_12MonResults_Rate,$A9)</f>
        <v>0</v>
      </c>
      <c r="AE9">
        <f>SUMIFS(_12MonResults_KWH_Total,_12MonResults_RevMonth,TEXT(AE$6,"mmm yyyy"),_12MonResults_Rate,$A9)</f>
        <v>0</v>
      </c>
      <c r="AF9">
        <f>SUMIFS(_12MonResults_KWH_Total,_12MonResults_RevMonth,TEXT(AF$6,"mmm yyyy"),_12MonResults_Rate,$A9)</f>
        <v>0</v>
      </c>
      <c r="AG9">
        <f>SUMIFS(_12MonResults_KWH_Total,_12MonResults_RevMonth,TEXT(AG$6,"mmm yyyy"),_12MonResults_Rate,$A9)</f>
        <v>0</v>
      </c>
      <c r="AQ9">
        <f t="shared" ref="AQ9:AW9" si="10">SUMIFS(_12MonResults_Demand_Measured_kW_P,_12MonResults_RevMonth,TEXT(AQ$6,"mmm yyyy"),_12MonResults_Rate,$A9)</f>
        <v>0</v>
      </c>
      <c r="AR9">
        <f t="shared" si="10"/>
        <v>0</v>
      </c>
      <c r="AS9">
        <f t="shared" si="10"/>
        <v>0</v>
      </c>
      <c r="AT9">
        <f t="shared" si="10"/>
        <v>0</v>
      </c>
      <c r="AU9">
        <f t="shared" si="10"/>
        <v>0</v>
      </c>
      <c r="AV9">
        <f t="shared" si="10"/>
        <v>0</v>
      </c>
      <c r="AW9">
        <f t="shared" si="10"/>
        <v>0</v>
      </c>
    </row>
    <row r="10" spans="1:54">
      <c r="A10" s="386" t="s">
        <v>24</v>
      </c>
      <c r="B10" s="268" t="s">
        <v>1245</v>
      </c>
      <c r="C10" s="251">
        <f t="shared" ref="C10:C12" si="11">SUM(AC10:AI10)</f>
        <v>0</v>
      </c>
      <c r="D10" s="267">
        <f>SUM(AQ10:AW10)</f>
        <v>0</v>
      </c>
      <c r="F10" s="383">
        <f>VLOOKUP(A10,Rates!$B$140:$W$173,Rates!$T$3-1,FALSE)</f>
        <v>0.11</v>
      </c>
      <c r="I10" s="383">
        <f>D10*F10</f>
        <v>0</v>
      </c>
      <c r="J10" s="383">
        <f t="shared" si="3"/>
        <v>0</v>
      </c>
      <c r="K10" s="383"/>
      <c r="L10" s="383"/>
      <c r="M10" s="383"/>
      <c r="N10" s="383"/>
      <c r="P10" s="275" t="e">
        <f>ROUND(SUM($N$9:$N$12)/SUM($D$9:$D$12),2)</f>
        <v>#DIV/0!</v>
      </c>
      <c r="Q10" s="383" t="e">
        <f>P10*D10</f>
        <v>#DIV/0!</v>
      </c>
      <c r="R10" s="383"/>
      <c r="S10" s="389" t="e">
        <f>T10-F10+P10</f>
        <v>#DIV/0!</v>
      </c>
      <c r="T10" s="383">
        <v>10.53</v>
      </c>
      <c r="U10" s="384" t="e">
        <f>(S10-T10)/T10</f>
        <v>#DIV/0!</v>
      </c>
      <c r="X10" s="385"/>
      <c r="AC10">
        <f t="shared" ref="AC10:AI10" si="12">SUMIFS(_12MonResults_KWH_Total,_12MonResults_RevMonth,TEXT(AC$8,"mmm yyyy"),_12MonResults_Rate,$A10)</f>
        <v>0</v>
      </c>
      <c r="AD10">
        <f t="shared" si="12"/>
        <v>0</v>
      </c>
      <c r="AE10">
        <f t="shared" si="12"/>
        <v>0</v>
      </c>
      <c r="AF10">
        <f t="shared" si="12"/>
        <v>0</v>
      </c>
      <c r="AG10">
        <f t="shared" si="12"/>
        <v>0</v>
      </c>
      <c r="AH10">
        <f t="shared" si="12"/>
        <v>0</v>
      </c>
      <c r="AI10">
        <f t="shared" si="12"/>
        <v>0</v>
      </c>
      <c r="AQ10">
        <f t="shared" ref="AQ10:AW10" si="13">SUMIFS(_12MonResults_Demand_Measured_kW_I,_12MonResults_RevMonth,TEXT(AQ$8,"mmm yyyy"),_12MonResults_Rate,$A10)</f>
        <v>0</v>
      </c>
      <c r="AR10">
        <f t="shared" si="13"/>
        <v>0</v>
      </c>
      <c r="AS10">
        <f t="shared" si="13"/>
        <v>0</v>
      </c>
      <c r="AT10">
        <f t="shared" si="13"/>
        <v>0</v>
      </c>
      <c r="AU10">
        <f t="shared" si="13"/>
        <v>0</v>
      </c>
      <c r="AV10">
        <f t="shared" si="13"/>
        <v>0</v>
      </c>
      <c r="AW10">
        <f t="shared" si="13"/>
        <v>0</v>
      </c>
    </row>
    <row r="11" spans="1:54">
      <c r="A11" s="386" t="s">
        <v>25</v>
      </c>
      <c r="B11" s="268" t="s">
        <v>1246</v>
      </c>
      <c r="C11" s="251">
        <f t="shared" si="11"/>
        <v>0</v>
      </c>
      <c r="D11" s="267">
        <f>SUM(AQ11:AW11)</f>
        <v>0</v>
      </c>
      <c r="F11" s="383">
        <f>VLOOKUP(A11,Rates!$B$140:$W$173,Rates!$T$3-1,FALSE)</f>
        <v>0.11</v>
      </c>
      <c r="G11" s="267">
        <f>SUMIF(_12MonResults_Rate,$A11,_12MonResults_Revenue_BaseFuel)</f>
        <v>6881562.25</v>
      </c>
      <c r="I11" s="383">
        <f>D11*F11</f>
        <v>0</v>
      </c>
      <c r="J11" s="383">
        <f t="shared" si="3"/>
        <v>0</v>
      </c>
      <c r="K11" s="383">
        <f>SUMIF(_12MonResults_Rate,$A11,_12MonResults_Revenue_Actual)</f>
        <v>18503478</v>
      </c>
      <c r="L11" s="383">
        <f>K11-J11-J12</f>
        <v>18503478</v>
      </c>
      <c r="M11" s="383">
        <f>K11-J11-J12-G11-G12</f>
        <v>11621915.75</v>
      </c>
      <c r="N11" s="383">
        <f>ROUND($K$54/$M$38*M11,2)</f>
        <v>738936.24</v>
      </c>
      <c r="P11" s="275" t="e">
        <f>ROUND(SUM($N$9:$N$12)/SUM($D$9:$D$12),2)</f>
        <v>#DIV/0!</v>
      </c>
      <c r="Q11" s="383" t="e">
        <f>P11*D11</f>
        <v>#DIV/0!</v>
      </c>
      <c r="R11" s="383" t="e">
        <f>N11-Q11-Q12</f>
        <v>#DIV/0!</v>
      </c>
      <c r="S11" s="389" t="e">
        <f>T11-F11+P11</f>
        <v>#DIV/0!</v>
      </c>
      <c r="T11" s="383">
        <v>12.6</v>
      </c>
      <c r="U11" s="384" t="e">
        <f>(S11-T11)/T11</f>
        <v>#DIV/0!</v>
      </c>
      <c r="X11" s="385"/>
      <c r="AC11">
        <f>SUMIFS(_12MonResults_KWH_Total,_12MonResults_RevMonth,TEXT(AC$6,"mmm yyyy"),_12MonResults_Rate,$A11)</f>
        <v>0</v>
      </c>
      <c r="AD11">
        <f>SUMIFS(_12MonResults_KWH_Total,_12MonResults_RevMonth,TEXT(AD$6,"mmm yyyy"),_12MonResults_Rate,$A11)</f>
        <v>0</v>
      </c>
      <c r="AE11">
        <f>SUMIFS(_12MonResults_KWH_Total,_12MonResults_RevMonth,TEXT(AE$6,"mmm yyyy"),_12MonResults_Rate,$A11)</f>
        <v>0</v>
      </c>
      <c r="AF11">
        <f>SUMIFS(_12MonResults_KWH_Total,_12MonResults_RevMonth,TEXT(AF$6,"mmm yyyy"),_12MonResults_Rate,$A11)</f>
        <v>0</v>
      </c>
      <c r="AG11">
        <f>SUMIFS(_12MonResults_KWH_Total,_12MonResults_RevMonth,TEXT(AG$6,"mmm yyyy"),_12MonResults_Rate,$A11)</f>
        <v>0</v>
      </c>
      <c r="AQ11">
        <f t="shared" ref="AQ11:AW11" si="14">SUMIFS(_12MonResults_Demand_Measured_kW_P,_12MonResults_RevMonth,TEXT(AQ$6,"mmm yyyy"),_12MonResults_Rate,$A11)</f>
        <v>0</v>
      </c>
      <c r="AR11">
        <f t="shared" si="14"/>
        <v>0</v>
      </c>
      <c r="AS11">
        <f t="shared" si="14"/>
        <v>0</v>
      </c>
      <c r="AT11">
        <f t="shared" si="14"/>
        <v>0</v>
      </c>
      <c r="AU11">
        <f t="shared" si="14"/>
        <v>0</v>
      </c>
      <c r="AV11">
        <f t="shared" si="14"/>
        <v>0</v>
      </c>
      <c r="AW11">
        <f t="shared" si="14"/>
        <v>0</v>
      </c>
    </row>
    <row r="12" spans="1:54">
      <c r="A12" s="386" t="s">
        <v>25</v>
      </c>
      <c r="B12" s="268" t="s">
        <v>1247</v>
      </c>
      <c r="C12" s="251">
        <f t="shared" si="11"/>
        <v>0</v>
      </c>
      <c r="D12" s="267">
        <f>SUM(AQ12:AW12)</f>
        <v>0</v>
      </c>
      <c r="F12" s="383">
        <f>VLOOKUP(A12,Rates!$B$140:$W$173,Rates!$T$3-1,FALSE)</f>
        <v>0.11</v>
      </c>
      <c r="I12" s="383">
        <f>D12*F12</f>
        <v>0</v>
      </c>
      <c r="J12" s="383">
        <f t="shared" si="3"/>
        <v>0</v>
      </c>
      <c r="K12" s="383"/>
      <c r="L12" s="383"/>
      <c r="M12" s="383"/>
      <c r="N12" s="383"/>
      <c r="P12" s="275" t="e">
        <f>ROUND(SUM($N$9:$N$12)/SUM($D$9:$D$12),2)</f>
        <v>#DIV/0!</v>
      </c>
      <c r="Q12" s="383" t="e">
        <f>P12*D12</f>
        <v>#DIV/0!</v>
      </c>
      <c r="R12" s="383"/>
      <c r="S12" s="389" t="e">
        <f>T12-F12+P12</f>
        <v>#DIV/0!</v>
      </c>
      <c r="T12" s="383">
        <v>10.33</v>
      </c>
      <c r="U12" s="384" t="e">
        <f>(S12-T12)/T12</f>
        <v>#DIV/0!</v>
      </c>
      <c r="X12" s="385"/>
      <c r="AC12">
        <f t="shared" ref="AC12:AI12" si="15">SUMIFS(_12MonResults_KWH_Total,_12MonResults_RevMonth,TEXT(AC$8,"mmm yyyy"),_12MonResults_Rate,$A12)</f>
        <v>0</v>
      </c>
      <c r="AD12">
        <f t="shared" si="15"/>
        <v>0</v>
      </c>
      <c r="AE12">
        <f t="shared" si="15"/>
        <v>0</v>
      </c>
      <c r="AF12">
        <f t="shared" si="15"/>
        <v>0</v>
      </c>
      <c r="AG12">
        <f t="shared" si="15"/>
        <v>0</v>
      </c>
      <c r="AH12">
        <f t="shared" si="15"/>
        <v>0</v>
      </c>
      <c r="AI12">
        <f t="shared" si="15"/>
        <v>0</v>
      </c>
      <c r="AQ12">
        <f t="shared" ref="AQ12:AW12" si="16">SUMIFS(_12MonResults_Demand_Measured_kW_I,_12MonResults_RevMonth,TEXT(AQ$8,"mmm yyyy"),_12MonResults_Rate,$A12)</f>
        <v>0</v>
      </c>
      <c r="AR12">
        <f t="shared" si="16"/>
        <v>0</v>
      </c>
      <c r="AS12">
        <f t="shared" si="16"/>
        <v>0</v>
      </c>
      <c r="AT12">
        <f t="shared" si="16"/>
        <v>0</v>
      </c>
      <c r="AU12">
        <f t="shared" si="16"/>
        <v>0</v>
      </c>
      <c r="AV12">
        <f t="shared" si="16"/>
        <v>0</v>
      </c>
      <c r="AW12">
        <f t="shared" si="16"/>
        <v>0</v>
      </c>
    </row>
    <row r="13" spans="1:54">
      <c r="A13" s="381"/>
      <c r="B13" s="268"/>
      <c r="F13" s="383"/>
      <c r="G13" s="383"/>
      <c r="I13" s="383"/>
      <c r="J13" s="383"/>
      <c r="K13" s="383"/>
      <c r="L13" s="383"/>
      <c r="M13" s="383"/>
      <c r="N13" s="383"/>
      <c r="P13" s="383"/>
      <c r="Q13" s="383"/>
      <c r="R13" s="383"/>
      <c r="S13" s="389"/>
      <c r="T13" s="383"/>
      <c r="U13" s="384"/>
      <c r="X13" s="385"/>
    </row>
    <row r="14" spans="1:54">
      <c r="A14" s="386" t="s">
        <v>204</v>
      </c>
      <c r="B14" s="268" t="s">
        <v>1248</v>
      </c>
      <c r="C14" s="251">
        <f>SUMIF(_12MonResults_Rate,$A14,_12MonResults_KWH_Total)</f>
        <v>1609032248</v>
      </c>
      <c r="D14" s="267">
        <f>SUMIF(_12MonResults_Rate,$A14,_12MonResults_Demand_Measured_kW_P)</f>
        <v>3576526</v>
      </c>
      <c r="F14" s="383">
        <f>VLOOKUP(A14,Rates!$B$140:$W$173,Rates!$T$3-1,FALSE)</f>
        <v>0.03</v>
      </c>
      <c r="G14" s="267">
        <f>SUMIF(_12MonResults_Rate,$A14,_12MonResults_Revenue_BaseFuel)</f>
        <v>46533212.600000001</v>
      </c>
      <c r="I14" s="383">
        <f>D14*F14</f>
        <v>107295.78</v>
      </c>
      <c r="J14" s="383">
        <f>SUM(H14:I14)</f>
        <v>107295.78</v>
      </c>
      <c r="K14" s="383">
        <f>SUMIF(_12MonResults_Rate,$A14,_12MonResults_Revenue_Actual)</f>
        <v>103239994</v>
      </c>
      <c r="L14" s="383">
        <f>K14-J14-J15-J16</f>
        <v>102904082.68000001</v>
      </c>
      <c r="M14" s="383">
        <f>K14-SUM(J14:J16)-SUM(G14:G16)</f>
        <v>56370870.080000006</v>
      </c>
      <c r="N14" s="383">
        <f>ROUND($K$54/$M$38*M14,2)</f>
        <v>3584131.86</v>
      </c>
      <c r="P14" s="275">
        <f>ROUND(SUM($N$14:$N$16)/SUM($D$14:$D$16),2)</f>
        <v>0.32</v>
      </c>
      <c r="Q14" s="383">
        <f>P14*D14</f>
        <v>1144488.32</v>
      </c>
      <c r="R14" s="383">
        <f>N14-Q14-Q15-Q16</f>
        <v>1077.7800000000279</v>
      </c>
      <c r="S14" s="389">
        <f>T14-F14+P14</f>
        <v>4.66</v>
      </c>
      <c r="T14" s="383">
        <v>4.37</v>
      </c>
      <c r="U14" s="384">
        <f>(S14-T14)/T14</f>
        <v>6.6361556064073235E-2</v>
      </c>
      <c r="X14" s="385"/>
    </row>
    <row r="15" spans="1:54">
      <c r="A15" s="386" t="s">
        <v>204</v>
      </c>
      <c r="B15" s="268" t="s">
        <v>1249</v>
      </c>
      <c r="D15" s="267">
        <f>SUMIF(_12MonResults_Rate,$A15,_12MonResults_Demand_Measured_kW_I)</f>
        <v>3653519</v>
      </c>
      <c r="F15" s="383">
        <f>VLOOKUP(A15,Rates!$B$140:$W$173,Rates!$T$3-1,FALSE)</f>
        <v>0.03</v>
      </c>
      <c r="I15" s="383">
        <f>D15*F15</f>
        <v>109605.56999999999</v>
      </c>
      <c r="J15" s="383">
        <f>SUM(H15:I15)</f>
        <v>109605.56999999999</v>
      </c>
      <c r="K15" s="383"/>
      <c r="L15" s="383"/>
      <c r="M15" s="383"/>
      <c r="N15" s="383"/>
      <c r="P15" s="275">
        <f>ROUND(SUM($N$14:$N$16)/SUM($D$14:$D$16),2)</f>
        <v>0.32</v>
      </c>
      <c r="Q15" s="383">
        <f>P15*D15</f>
        <v>1169126.08</v>
      </c>
      <c r="R15" s="383"/>
      <c r="S15" s="389">
        <f>T15-F15+P15</f>
        <v>3.2</v>
      </c>
      <c r="T15" s="383">
        <v>2.91</v>
      </c>
      <c r="U15" s="384">
        <f>(S15-T15)/T15</f>
        <v>9.9656357388316158E-2</v>
      </c>
      <c r="X15" s="385"/>
    </row>
    <row r="16" spans="1:54">
      <c r="A16" s="386" t="s">
        <v>204</v>
      </c>
      <c r="B16" s="268" t="s">
        <v>1250</v>
      </c>
      <c r="D16" s="267">
        <f>SUMIF(_12MonResults_Rate,$A16,_12MonResults_Demand_Measured_kW_B)</f>
        <v>3966999</v>
      </c>
      <c r="F16" s="383">
        <f>VLOOKUP(A16,Rates!$B$140:$W$173,Rates!$T$3-1,FALSE)</f>
        <v>0.03</v>
      </c>
      <c r="I16" s="383">
        <f>D16*F16</f>
        <v>119009.97</v>
      </c>
      <c r="J16" s="383">
        <f>SUM(H16:I16)</f>
        <v>119009.97</v>
      </c>
      <c r="K16" s="383"/>
      <c r="L16" s="383"/>
      <c r="M16" s="383"/>
      <c r="N16" s="383"/>
      <c r="P16" s="275">
        <f>ROUND(SUM($N$14:$N$16)/SUM($D$14:$D$16),2)</f>
        <v>0.32</v>
      </c>
      <c r="Q16" s="383">
        <f>P16*D16</f>
        <v>1269439.68</v>
      </c>
      <c r="R16" s="383"/>
      <c r="S16" s="389">
        <f>T16-F16+P16</f>
        <v>3.82</v>
      </c>
      <c r="T16" s="383">
        <v>3.53</v>
      </c>
      <c r="U16" s="384">
        <f>(S16-T16)/T16</f>
        <v>8.2152974504249313E-2</v>
      </c>
      <c r="X16" s="385"/>
    </row>
    <row r="17" spans="1:24">
      <c r="A17" s="381"/>
      <c r="F17" s="383"/>
      <c r="G17" s="383"/>
      <c r="I17" s="383"/>
      <c r="J17" s="383"/>
      <c r="K17" s="383"/>
      <c r="L17" s="383"/>
      <c r="M17" s="383"/>
      <c r="N17" s="383"/>
      <c r="P17" s="383"/>
      <c r="Q17" s="383"/>
      <c r="R17" s="383"/>
      <c r="S17" s="389"/>
      <c r="T17" s="383"/>
      <c r="U17" s="384"/>
      <c r="X17" s="385"/>
    </row>
    <row r="18" spans="1:24">
      <c r="A18" s="386" t="s">
        <v>205</v>
      </c>
      <c r="B18" s="268" t="s">
        <v>1251</v>
      </c>
      <c r="C18" s="251">
        <f>SUMIF(_12MonResults_Rate,$A18,_12MonResults_KWH_Total)</f>
        <v>4296353118</v>
      </c>
      <c r="D18" s="267">
        <f>SUMIF(_12MonResults_Rate,$A18,_12MonResults_Demand_Measured_kW_P)</f>
        <v>9056459</v>
      </c>
      <c r="F18" s="383">
        <f>VLOOKUP(A18,Rates!$B$140:$W$173,Rates!$T$3-1,FALSE)</f>
        <v>0.03</v>
      </c>
      <c r="G18" s="267">
        <f>SUMIF(_12MonResults_Rate,$A18,_12MonResults_Revenue_BaseFuel)</f>
        <v>124250532.19</v>
      </c>
      <c r="I18" s="383">
        <f>D18*F18</f>
        <v>271693.77</v>
      </c>
      <c r="J18" s="383">
        <f>SUM(H18:I18)</f>
        <v>271693.77</v>
      </c>
      <c r="K18" s="383">
        <f>SUMIF(_12MonResults_Rate,$A18,_12MonResults_Revenue_Actual)</f>
        <v>243112448</v>
      </c>
      <c r="L18" s="383">
        <f>K18-J18-J19-J20</f>
        <v>242276007.97999999</v>
      </c>
      <c r="M18" s="383">
        <f>K18-SUM(J18:J20)-SUM(G18:G20)</f>
        <v>118025475.78999999</v>
      </c>
      <c r="N18" s="383">
        <f>ROUND($K$54/$M$38*M18,2)</f>
        <v>7504210.3700000001</v>
      </c>
      <c r="P18" s="275">
        <f>ROUND(SUM($N$18:$N$20)/SUM($D$18:$D$20),2)</f>
        <v>0.27</v>
      </c>
      <c r="Q18" s="383">
        <f>P18*D18</f>
        <v>2445243.9300000002</v>
      </c>
      <c r="R18" s="383">
        <f>N18-Q18-Q19-Q20</f>
        <v>-23749.810000000987</v>
      </c>
      <c r="S18" s="389">
        <f>T18-F18+P18</f>
        <v>4.33</v>
      </c>
      <c r="T18" s="383">
        <v>4.09</v>
      </c>
      <c r="U18" s="384">
        <f>(S18-T18)/T18</f>
        <v>5.8679706601467048E-2</v>
      </c>
      <c r="X18" s="385"/>
    </row>
    <row r="19" spans="1:24">
      <c r="A19" s="386" t="s">
        <v>205</v>
      </c>
      <c r="B19" s="268" t="s">
        <v>1252</v>
      </c>
      <c r="D19" s="267">
        <f>SUMIF(_12MonResults_Rate,$A19,_12MonResults_Demand_Measured_kW_I)</f>
        <v>9207139</v>
      </c>
      <c r="F19" s="383">
        <f>VLOOKUP(A19,Rates!$B$140:$W$173,Rates!$T$3-1,FALSE)</f>
        <v>0.03</v>
      </c>
      <c r="I19" s="383">
        <f>D19*F19</f>
        <v>276214.17</v>
      </c>
      <c r="J19" s="383">
        <f>SUM(H19:I19)</f>
        <v>276214.17</v>
      </c>
      <c r="K19" s="383"/>
      <c r="L19" s="383"/>
      <c r="M19" s="383"/>
      <c r="N19" s="383"/>
      <c r="P19" s="275">
        <f>ROUND(SUM($N$18:$N$20)/SUM($D$18:$D$20),2)</f>
        <v>0.27</v>
      </c>
      <c r="Q19" s="383">
        <f>P19*D19</f>
        <v>2485927.5300000003</v>
      </c>
      <c r="R19" s="383"/>
      <c r="S19" s="389">
        <f>T19-F19+P19</f>
        <v>2.97</v>
      </c>
      <c r="T19" s="383">
        <v>2.73</v>
      </c>
      <c r="U19" s="384">
        <f>(S19-T19)/T19</f>
        <v>8.7912087912087988E-2</v>
      </c>
      <c r="X19" s="385"/>
    </row>
    <row r="20" spans="1:24">
      <c r="A20" s="386" t="s">
        <v>205</v>
      </c>
      <c r="B20" s="268" t="s">
        <v>1253</v>
      </c>
      <c r="D20" s="267">
        <f>SUMIF(_12MonResults_Rate,$A20,_12MonResults_Demand_Measured_kW_B)</f>
        <v>9617736</v>
      </c>
      <c r="F20" s="383">
        <f>VLOOKUP(A20,Rates!$B$140:$W$173,Rates!$T$3-1,FALSE)</f>
        <v>0.03</v>
      </c>
      <c r="I20" s="383">
        <f>D20*F20</f>
        <v>288532.08</v>
      </c>
      <c r="J20" s="383">
        <f>SUM(H20:I20)</f>
        <v>288532.08</v>
      </c>
      <c r="K20" s="383"/>
      <c r="L20" s="383"/>
      <c r="M20" s="383"/>
      <c r="N20" s="383"/>
      <c r="P20" s="275">
        <f>ROUND(SUM($N$18:$N$20)/SUM($D$18:$D$20),2)</f>
        <v>0.27</v>
      </c>
      <c r="Q20" s="383">
        <f>P20*D20</f>
        <v>2596788.7200000002</v>
      </c>
      <c r="R20" s="383"/>
      <c r="S20" s="389">
        <f>T20-F20+P20</f>
        <v>1.94</v>
      </c>
      <c r="T20" s="383">
        <v>1.7</v>
      </c>
      <c r="U20" s="384">
        <f>(S20-T20)/T20</f>
        <v>0.14117647058823529</v>
      </c>
      <c r="X20" s="385"/>
    </row>
    <row r="21" spans="1:24">
      <c r="A21" s="381"/>
      <c r="B21" s="268"/>
      <c r="F21" s="383"/>
      <c r="G21" s="383"/>
      <c r="I21" s="383"/>
      <c r="J21" s="383"/>
      <c r="K21" s="383"/>
      <c r="L21" s="383"/>
      <c r="M21" s="383"/>
      <c r="N21" s="383"/>
      <c r="P21" s="383"/>
      <c r="Q21" s="383"/>
      <c r="R21" s="383"/>
      <c r="S21" s="389"/>
      <c r="T21" s="383"/>
      <c r="U21" s="384"/>
      <c r="X21" s="385"/>
    </row>
    <row r="22" spans="1:24">
      <c r="A22" s="381"/>
      <c r="B22" s="268"/>
      <c r="F22" s="383"/>
      <c r="G22" s="383"/>
      <c r="I22" s="383"/>
      <c r="J22" s="383"/>
      <c r="K22" s="383"/>
      <c r="L22" s="383"/>
      <c r="M22" s="383"/>
      <c r="N22" s="383"/>
      <c r="P22" s="383"/>
      <c r="Q22" s="383"/>
      <c r="R22" s="383"/>
      <c r="S22" s="389"/>
      <c r="T22" s="383"/>
      <c r="U22" s="384"/>
      <c r="X22" s="385"/>
    </row>
    <row r="23" spans="1:24">
      <c r="A23" s="381" t="s">
        <v>18</v>
      </c>
      <c r="B23" s="268" t="s">
        <v>1254</v>
      </c>
      <c r="C23" s="251">
        <f>SUMIF(_12MonResults_Rate,$A23,_12MonResults_KWH_Total)</f>
        <v>1605630259</v>
      </c>
      <c r="D23" s="267">
        <f>SUMIF(_12MonResults_Rate,$A23,_12MonResults_Demand_Measured_kW_P)</f>
        <v>3427646</v>
      </c>
      <c r="F23" s="383">
        <f>VLOOKUP(A23,Rates!$B$140:$W$173,Rates!$T$3-1,FALSE)</f>
        <v>0.02</v>
      </c>
      <c r="G23" s="267">
        <f>SUMIF(_12MonResults_Rate,$A23,_12MonResults_Revenue_BaseFuel)</f>
        <v>46434827.099999994</v>
      </c>
      <c r="I23" s="383">
        <f>D23*F23</f>
        <v>68552.92</v>
      </c>
      <c r="J23" s="383">
        <f>SUM(H23:I23)</f>
        <v>68552.92</v>
      </c>
      <c r="K23" s="383">
        <f>SUMIF(_12MonResults_Rate,$A23,_12MonResults_Revenue_Actual)</f>
        <v>87203062</v>
      </c>
      <c r="L23" s="383">
        <f>K23-J23-J24-J25</f>
        <v>86991332.920000002</v>
      </c>
      <c r="M23" s="383">
        <f>K23-SUM(J23:J25)-SUM(G23:G25)</f>
        <v>40556505.820000008</v>
      </c>
      <c r="N23" s="383">
        <f>ROUND($K$54/$M$38*M23,2)</f>
        <v>2578634.4</v>
      </c>
      <c r="P23" s="275">
        <f>ROUND(SUM($N$23:$N$25)/SUM($D$23:$D$25),2)</f>
        <v>0.24</v>
      </c>
      <c r="Q23" s="383">
        <f>P23*D23</f>
        <v>822635.03999999992</v>
      </c>
      <c r="R23" s="383">
        <f>N23-Q23-Q24-Q25</f>
        <v>37885.439999999944</v>
      </c>
      <c r="S23" s="389">
        <f>T23-F23+P23</f>
        <v>3.95</v>
      </c>
      <c r="T23" s="383">
        <v>3.73</v>
      </c>
      <c r="U23" s="384">
        <f>(S23-T23)/T23</f>
        <v>5.8981233243967882E-2</v>
      </c>
      <c r="X23" s="385"/>
    </row>
    <row r="24" spans="1:24">
      <c r="A24" s="381" t="s">
        <v>18</v>
      </c>
      <c r="B24" s="268" t="s">
        <v>1255</v>
      </c>
      <c r="D24" s="267">
        <f>SUMIF(_12MonResults_Rate,$A24,_12MonResults_Demand_Measured_kW_I)</f>
        <v>3507121</v>
      </c>
      <c r="F24" s="383">
        <f>VLOOKUP(A24,Rates!$B$140:$W$173,Rates!$T$3-1,FALSE)</f>
        <v>0.02</v>
      </c>
      <c r="I24" s="383">
        <f>D24*F24</f>
        <v>70142.42</v>
      </c>
      <c r="J24" s="383">
        <f t="shared" si="3"/>
        <v>70142.42</v>
      </c>
      <c r="K24" s="383"/>
      <c r="L24" s="383"/>
      <c r="M24" s="383"/>
      <c r="N24" s="383"/>
      <c r="P24" s="275">
        <f>ROUND(SUM($N$23:$N$25)/SUM($D$23:$D$25),2)</f>
        <v>0.24</v>
      </c>
      <c r="Q24" s="383">
        <f>P24*D24</f>
        <v>841709.03999999992</v>
      </c>
      <c r="R24" s="383"/>
      <c r="S24" s="389">
        <f>T24-F24+P24</f>
        <v>2.71</v>
      </c>
      <c r="T24" s="383">
        <v>2.4900000000000002</v>
      </c>
      <c r="U24" s="384">
        <f>(S24-T24)/T24</f>
        <v>8.8353413654618365E-2</v>
      </c>
      <c r="X24" s="385"/>
    </row>
    <row r="25" spans="1:24">
      <c r="A25" s="381" t="s">
        <v>18</v>
      </c>
      <c r="B25" s="268" t="s">
        <v>1256</v>
      </c>
      <c r="D25" s="267">
        <f>SUMIF(_12MonResults_Rate,$A25,_12MonResults_Demand_Measured_kW_B)</f>
        <v>3651687</v>
      </c>
      <c r="F25" s="383">
        <f>VLOOKUP(A25,Rates!$B$140:$W$173,Rates!$T$3-1,FALSE)</f>
        <v>0.02</v>
      </c>
      <c r="I25" s="383">
        <f>D25*F25</f>
        <v>73033.740000000005</v>
      </c>
      <c r="J25" s="383">
        <f t="shared" si="3"/>
        <v>73033.740000000005</v>
      </c>
      <c r="K25" s="383"/>
      <c r="L25" s="383"/>
      <c r="M25" s="383"/>
      <c r="N25" s="383"/>
      <c r="P25" s="275">
        <f>ROUND(SUM($N$23:$N$25)/SUM($D$23:$D$25),2)</f>
        <v>0.24</v>
      </c>
      <c r="Q25" s="383">
        <f>P25*D25</f>
        <v>876404.88</v>
      </c>
      <c r="R25" s="383"/>
      <c r="S25" s="389">
        <f>T25-F25+P25</f>
        <v>1.26</v>
      </c>
      <c r="T25" s="383">
        <v>1.04</v>
      </c>
      <c r="U25" s="384">
        <f>(S25-T25)/T25</f>
        <v>0.21153846153846151</v>
      </c>
      <c r="X25" s="385"/>
    </row>
    <row r="26" spans="1:24">
      <c r="A26" s="381"/>
      <c r="F26" s="383"/>
      <c r="G26" s="383"/>
      <c r="I26" s="383"/>
      <c r="J26" s="383"/>
      <c r="K26" s="383"/>
      <c r="L26" s="383"/>
      <c r="M26" s="383"/>
      <c r="N26" s="383"/>
      <c r="P26" s="383"/>
      <c r="Q26" s="383"/>
      <c r="R26" s="383"/>
      <c r="S26" s="389"/>
      <c r="T26" s="383"/>
      <c r="U26" s="384"/>
      <c r="X26" s="385"/>
    </row>
    <row r="27" spans="1:24">
      <c r="A27" s="381" t="s">
        <v>26</v>
      </c>
      <c r="B27" s="268" t="s">
        <v>1257</v>
      </c>
      <c r="C27" s="251">
        <f>SUMIF(_12MonResults_Rate,$A27,_12MonResults_KWH_Total)</f>
        <v>0</v>
      </c>
      <c r="D27" s="267">
        <f>SUMIF(_12MonResults_Rate,$A27,_12MonResults_Demand_Measured_kW_P)</f>
        <v>0</v>
      </c>
      <c r="E27" s="267">
        <v>0</v>
      </c>
      <c r="F27" s="383">
        <f>VLOOKUP(A27,Rates!$B$140:$W$173,Rates!$T$3-1,FALSE)</f>
        <v>0.01</v>
      </c>
      <c r="G27" s="267">
        <f>SUMIF(_12MonResults_Rate,$A27,_12MonResults_Revenue_BaseFuel)</f>
        <v>0</v>
      </c>
      <c r="I27" s="383">
        <f>D27*F27</f>
        <v>0</v>
      </c>
      <c r="J27" s="383">
        <f t="shared" si="3"/>
        <v>0</v>
      </c>
      <c r="K27" s="383">
        <f>SUMIF(_12MonResults_Rate,$A27,_12MonResults_Revenue_Actual)</f>
        <v>0</v>
      </c>
      <c r="L27" s="383">
        <f>K27-J27-J28-J29</f>
        <v>0</v>
      </c>
      <c r="M27" s="383">
        <f>K27-SUM(J27:J29)-SUM(G27:G29)</f>
        <v>0</v>
      </c>
      <c r="N27" s="383">
        <f>ROUND($K$54/$M$38*M27,2)</f>
        <v>0</v>
      </c>
      <c r="P27" s="275" t="e">
        <f>P31</f>
        <v>#DIV/0!</v>
      </c>
      <c r="Q27" s="383" t="e">
        <f>P27*D27</f>
        <v>#DIV/0!</v>
      </c>
      <c r="R27" s="383" t="e">
        <f>N27-Q27-Q28-Q29</f>
        <v>#DIV/0!</v>
      </c>
      <c r="S27" s="389" t="e">
        <f>T27-F27+P27</f>
        <v>#DIV/0!</v>
      </c>
      <c r="T27" s="383">
        <v>2.48</v>
      </c>
      <c r="U27" s="384" t="e">
        <f t="shared" ref="U27:U29" si="17">(S27-T27)/T27</f>
        <v>#DIV/0!</v>
      </c>
      <c r="X27" s="385"/>
    </row>
    <row r="28" spans="1:24">
      <c r="A28" s="381" t="s">
        <v>26</v>
      </c>
      <c r="B28" s="268" t="s">
        <v>1258</v>
      </c>
      <c r="D28" s="267">
        <f>SUMIF(_12MonResults_Rate,$A28,_12MonResults_Demand_Measured_kW_I)</f>
        <v>0</v>
      </c>
      <c r="E28" s="267">
        <v>0</v>
      </c>
      <c r="F28" s="383">
        <f>VLOOKUP(A28,Rates!$B$140:$W$173,Rates!$T$3-1,FALSE)</f>
        <v>0.01</v>
      </c>
      <c r="I28" s="383">
        <f>D28*F28</f>
        <v>0</v>
      </c>
      <c r="J28" s="383">
        <f t="shared" si="3"/>
        <v>0</v>
      </c>
      <c r="K28" s="383"/>
      <c r="L28" s="383"/>
      <c r="M28" s="383"/>
      <c r="N28" s="383"/>
      <c r="P28" s="275" t="e">
        <f>P27</f>
        <v>#DIV/0!</v>
      </c>
      <c r="Q28" s="383" t="e">
        <f>P28*D28</f>
        <v>#DIV/0!</v>
      </c>
      <c r="R28" s="383"/>
      <c r="S28" s="389" t="e">
        <f>T28-F28+P28</f>
        <v>#DIV/0!</v>
      </c>
      <c r="T28" s="383">
        <v>1.59</v>
      </c>
      <c r="U28" s="384" t="e">
        <f t="shared" si="17"/>
        <v>#DIV/0!</v>
      </c>
      <c r="X28" s="385"/>
    </row>
    <row r="29" spans="1:24">
      <c r="A29" s="381" t="s">
        <v>26</v>
      </c>
      <c r="B29" s="272" t="s">
        <v>1259</v>
      </c>
      <c r="D29" s="267">
        <f>SUMIF(_12MonResults_Rate,$A29,_12MonResults_Demand_Measured_kW_B)</f>
        <v>0</v>
      </c>
      <c r="E29" s="267">
        <v>0</v>
      </c>
      <c r="F29" s="383">
        <f>VLOOKUP(A29,Rates!$B$140:$W$173,Rates!$T$3-1,FALSE)</f>
        <v>0.01</v>
      </c>
      <c r="I29" s="383">
        <f>D29*F29</f>
        <v>0</v>
      </c>
      <c r="J29" s="383">
        <f t="shared" si="3"/>
        <v>0</v>
      </c>
      <c r="K29" s="383"/>
      <c r="L29" s="383"/>
      <c r="M29" s="383"/>
      <c r="N29" s="383"/>
      <c r="P29" s="275" t="e">
        <f>P28</f>
        <v>#DIV/0!</v>
      </c>
      <c r="Q29" s="383" t="e">
        <f>P29*D29</f>
        <v>#DIV/0!</v>
      </c>
      <c r="R29" s="383"/>
      <c r="S29" s="389" t="e">
        <f>T29-F29+P29</f>
        <v>#DIV/0!</v>
      </c>
      <c r="T29" s="383">
        <v>1.75</v>
      </c>
      <c r="U29" s="384" t="e">
        <f t="shared" si="17"/>
        <v>#DIV/0!</v>
      </c>
      <c r="X29" s="385"/>
    </row>
    <row r="30" spans="1:24">
      <c r="A30" s="381"/>
      <c r="J30" s="383"/>
      <c r="K30" s="383"/>
      <c r="L30" s="383"/>
      <c r="M30" s="383"/>
      <c r="N30" s="383"/>
      <c r="P30" s="383"/>
      <c r="Q30" s="383"/>
      <c r="R30" s="383"/>
      <c r="S30" s="382"/>
      <c r="T30" s="382"/>
      <c r="U30" s="384"/>
      <c r="X30" s="385"/>
    </row>
    <row r="31" spans="1:24">
      <c r="A31" s="386" t="s">
        <v>27</v>
      </c>
      <c r="B31" s="268" t="s">
        <v>1260</v>
      </c>
      <c r="C31" s="251">
        <f>SUMIF(_12MonResults_Rate,$A31,_12MonResults_KWH_Total)</f>
        <v>0</v>
      </c>
      <c r="D31" s="267">
        <f>SUMIF(_12MonResults_Rate,$A31,_12MonResults_Demand_Measured_kW_P)</f>
        <v>0</v>
      </c>
      <c r="E31" s="267">
        <v>0</v>
      </c>
      <c r="F31" s="383">
        <f>VLOOKUP(A31,Rates!$B$140:$W$173,Rates!$T$3-1,FALSE)</f>
        <v>0.01</v>
      </c>
      <c r="G31" s="267">
        <f>SUMIF(_12MonResults_Rate,$A31,_12MonResults_Revenue_BaseFuel)</f>
        <v>0</v>
      </c>
      <c r="I31" s="383">
        <f>D31*F31</f>
        <v>0</v>
      </c>
      <c r="J31" s="383">
        <f t="shared" si="3"/>
        <v>0</v>
      </c>
      <c r="K31" s="383">
        <f>SUMIF(_12MonResults_Rate,$A31,_12MonResults_Revenue_Actual)</f>
        <v>0</v>
      </c>
      <c r="L31" s="383">
        <f>K31-J31-J32-J33</f>
        <v>0</v>
      </c>
      <c r="M31" s="383">
        <f>K31-SUM(J31:J33)-SUM(G31:G33)</f>
        <v>0</v>
      </c>
      <c r="N31" s="383">
        <f>ROUND($K$54/$M$38*M31,2)</f>
        <v>0</v>
      </c>
      <c r="P31" s="275" t="e">
        <f>ROUND(SUM($N$31:$N$33)/SUM($D$31:$D$33),2)</f>
        <v>#DIV/0!</v>
      </c>
      <c r="Q31" s="383" t="e">
        <f>P31*D31</f>
        <v>#DIV/0!</v>
      </c>
      <c r="R31" s="383" t="e">
        <f>N31-Q31-Q32-Q33</f>
        <v>#DIV/0!</v>
      </c>
      <c r="S31" s="389" t="e">
        <f>T31-F31+P31</f>
        <v>#DIV/0!</v>
      </c>
      <c r="T31" s="383">
        <v>2.48</v>
      </c>
      <c r="U31" s="384" t="e">
        <f t="shared" ref="U31:U33" si="18">(S31-T31)/T31</f>
        <v>#DIV/0!</v>
      </c>
      <c r="X31" s="385"/>
    </row>
    <row r="32" spans="1:24">
      <c r="A32" s="386" t="s">
        <v>27</v>
      </c>
      <c r="B32" s="268" t="s">
        <v>1261</v>
      </c>
      <c r="D32" s="267">
        <f>SUMIF(_12MonResults_Rate,$A32,_12MonResults_Demand_Measured_kW_I)</f>
        <v>0</v>
      </c>
      <c r="E32" s="267">
        <v>0</v>
      </c>
      <c r="F32" s="383">
        <f>VLOOKUP(A32,Rates!$B$140:$W$173,Rates!$T$3-1,FALSE)</f>
        <v>0.01</v>
      </c>
      <c r="I32" s="383">
        <f>D32*F32</f>
        <v>0</v>
      </c>
      <c r="J32" s="383">
        <f t="shared" si="3"/>
        <v>0</v>
      </c>
      <c r="K32" s="383"/>
      <c r="L32" s="383"/>
      <c r="M32" s="383"/>
      <c r="N32" s="383"/>
      <c r="P32" s="275" t="e">
        <f>ROUND(SUM($N$31:$N$33)/SUM($D$31:$D$33),2)</f>
        <v>#DIV/0!</v>
      </c>
      <c r="Q32" s="383" t="e">
        <f>P32*D32</f>
        <v>#DIV/0!</v>
      </c>
      <c r="R32" s="383"/>
      <c r="S32" s="389" t="e">
        <f>T32-F32+P32</f>
        <v>#DIV/0!</v>
      </c>
      <c r="T32" s="383">
        <v>1.59</v>
      </c>
      <c r="U32" s="384" t="e">
        <f t="shared" si="18"/>
        <v>#DIV/0!</v>
      </c>
      <c r="X32" s="385"/>
    </row>
    <row r="33" spans="1:24">
      <c r="A33" s="386" t="s">
        <v>27</v>
      </c>
      <c r="B33" s="268" t="s">
        <v>1262</v>
      </c>
      <c r="D33" s="267">
        <f>SUMIF(_12MonResults_Rate,$A33,_12MonResults_Demand_Measured_kW_B)</f>
        <v>0</v>
      </c>
      <c r="E33" s="267">
        <v>0</v>
      </c>
      <c r="F33" s="383">
        <f>VLOOKUP(A33,Rates!$B$140:$W$173,Rates!$T$3-1,FALSE)</f>
        <v>0.01</v>
      </c>
      <c r="I33" s="383">
        <f>D33*F33</f>
        <v>0</v>
      </c>
      <c r="J33" s="383">
        <f t="shared" si="3"/>
        <v>0</v>
      </c>
      <c r="K33" s="383"/>
      <c r="L33" s="383"/>
      <c r="M33" s="383"/>
      <c r="N33" s="383"/>
      <c r="P33" s="275" t="e">
        <f>ROUND(SUM($N$31:$N$33)/SUM($D$31:$D$33),2)</f>
        <v>#DIV/0!</v>
      </c>
      <c r="Q33" s="383" t="e">
        <f>P33*D33</f>
        <v>#DIV/0!</v>
      </c>
      <c r="R33" s="383"/>
      <c r="S33" s="389" t="e">
        <f>T33-F33+P33</f>
        <v>#DIV/0!</v>
      </c>
      <c r="T33" s="383">
        <v>1</v>
      </c>
      <c r="U33" s="384" t="e">
        <f t="shared" si="18"/>
        <v>#DIV/0!</v>
      </c>
      <c r="X33" s="385"/>
    </row>
    <row r="34" spans="1:24">
      <c r="A34" s="381"/>
      <c r="J34" s="383"/>
      <c r="K34" s="383"/>
      <c r="L34" s="383"/>
      <c r="M34" s="383"/>
      <c r="N34" s="383"/>
      <c r="P34" s="383"/>
      <c r="Q34" s="383"/>
      <c r="R34" s="383"/>
      <c r="S34" s="382"/>
      <c r="T34" s="382"/>
      <c r="U34" s="384"/>
      <c r="X34" s="385"/>
    </row>
    <row r="35" spans="1:24">
      <c r="A35" s="381"/>
      <c r="F35" s="383"/>
      <c r="G35" s="383"/>
      <c r="I35" s="383"/>
      <c r="J35" s="383"/>
      <c r="K35" s="383"/>
      <c r="L35" s="383"/>
      <c r="M35" s="383"/>
      <c r="N35" s="383"/>
      <c r="P35" s="383"/>
      <c r="Q35" s="383"/>
      <c r="R35" s="383"/>
      <c r="S35" s="389"/>
      <c r="T35" s="383"/>
      <c r="U35" s="384"/>
      <c r="X35" s="385"/>
    </row>
    <row r="38" spans="1:24">
      <c r="B38" s="267" t="s">
        <v>449</v>
      </c>
      <c r="C38" s="206">
        <f>SUM(C4:C35)</f>
        <v>9416512477</v>
      </c>
      <c r="D38" s="206">
        <f>SUM(D4:D35)</f>
        <v>49664832</v>
      </c>
      <c r="G38" s="354">
        <f>SUM(G4:G37)</f>
        <v>340211007.52999997</v>
      </c>
      <c r="H38" s="383"/>
      <c r="I38" s="383"/>
      <c r="J38" s="383">
        <f>SUM(J4:J35)</f>
        <v>2241554.0034000003</v>
      </c>
      <c r="K38" s="383">
        <f>SUM(K4:K35)</f>
        <v>829944774</v>
      </c>
      <c r="L38" s="383">
        <f>SUM(L4:L35)</f>
        <v>827703219.99659991</v>
      </c>
      <c r="M38" s="383">
        <f>SUM(M4:M35)</f>
        <v>487492212.4666</v>
      </c>
      <c r="N38" s="354">
        <f>SUM(N4:N34)</f>
        <v>30995377.009999998</v>
      </c>
      <c r="Q38" s="383" t="e">
        <f>SUM(Q4:Q37)</f>
        <v>#DIV/0!</v>
      </c>
      <c r="R38" s="383" t="e">
        <f>SUM(R4:R36)</f>
        <v>#DIV/0!</v>
      </c>
    </row>
    <row r="39" spans="1:24">
      <c r="K39" s="312"/>
      <c r="L39" s="312"/>
      <c r="M39" s="312"/>
      <c r="R39" s="401" t="e">
        <f>R38/N38</f>
        <v>#DIV/0!</v>
      </c>
    </row>
    <row r="40" spans="1:24">
      <c r="M40" s="390"/>
      <c r="N40" s="348"/>
    </row>
    <row r="41" spans="1:24">
      <c r="K41" s="273" t="s">
        <v>1230</v>
      </c>
      <c r="L41" s="312">
        <f>L38</f>
        <v>827703219.99659991</v>
      </c>
    </row>
    <row r="42" spans="1:24">
      <c r="B42" s="268" t="s">
        <v>1229</v>
      </c>
      <c r="C42" s="267">
        <f>Group1!D153</f>
        <v>6206660939</v>
      </c>
      <c r="D42" s="267">
        <v>0</v>
      </c>
      <c r="K42" s="273" t="s">
        <v>1229</v>
      </c>
      <c r="L42" s="312">
        <f>Group1!M153</f>
        <v>533322722.47905964</v>
      </c>
    </row>
    <row r="43" spans="1:24">
      <c r="B43" s="267" t="s">
        <v>1364</v>
      </c>
      <c r="C43" s="267">
        <f>C38+C42</f>
        <v>15623173416</v>
      </c>
      <c r="D43" s="267">
        <f>D38+D42</f>
        <v>49664832</v>
      </c>
      <c r="E43" s="268"/>
      <c r="K43" s="273" t="s">
        <v>59</v>
      </c>
      <c r="L43" s="390">
        <f>L41+L42</f>
        <v>1361025942.4756596</v>
      </c>
    </row>
    <row r="44" spans="1:24">
      <c r="B44" s="267" t="s">
        <v>1263</v>
      </c>
      <c r="C44" s="267">
        <f>'12MonResults'!J476</f>
        <v>18794011106</v>
      </c>
      <c r="D44" s="267">
        <f>'12MonResults'!M476</f>
        <v>68126311</v>
      </c>
      <c r="J44" s="274" t="s">
        <v>1365</v>
      </c>
      <c r="K44" s="267">
        <v>1279049062</v>
      </c>
    </row>
    <row r="45" spans="1:24">
      <c r="B45" s="268"/>
      <c r="C45" s="267">
        <f>C43-C44</f>
        <v>-3170837690</v>
      </c>
      <c r="D45" s="267">
        <f>D43-D44</f>
        <v>-18461479</v>
      </c>
      <c r="K45" s="269" t="s">
        <v>1366</v>
      </c>
    </row>
    <row r="46" spans="1:24" ht="15">
      <c r="J46" s="274" t="s">
        <v>1264</v>
      </c>
      <c r="K46" s="267">
        <f>K38-J38</f>
        <v>827703219.99660003</v>
      </c>
      <c r="M46" s="271"/>
    </row>
    <row r="47" spans="1:24">
      <c r="J47" s="273" t="s">
        <v>1225</v>
      </c>
      <c r="K47" s="267" t="e">
        <f>Q38</f>
        <v>#DIV/0!</v>
      </c>
    </row>
    <row r="48" spans="1:24">
      <c r="J48" s="274" t="s">
        <v>1226</v>
      </c>
      <c r="K48" s="267" t="e">
        <f>K46+K47</f>
        <v>#DIV/0!</v>
      </c>
    </row>
    <row r="49" spans="9:14">
      <c r="J49" s="274" t="s">
        <v>1265</v>
      </c>
      <c r="K49" s="267" t="e">
        <f>K48-K38</f>
        <v>#DIV/0!</v>
      </c>
    </row>
    <row r="52" spans="9:14">
      <c r="J52" s="267" t="s">
        <v>1228</v>
      </c>
      <c r="K52" s="267" t="s">
        <v>857</v>
      </c>
    </row>
    <row r="53" spans="9:14">
      <c r="I53" s="267" t="s">
        <v>1229</v>
      </c>
      <c r="J53" s="267">
        <f>Group1!M153</f>
        <v>533322722.47905964</v>
      </c>
      <c r="K53" s="267">
        <f>Summary!$D$22</f>
        <v>19971577</v>
      </c>
    </row>
    <row r="54" spans="9:14">
      <c r="I54" s="267" t="s">
        <v>1230</v>
      </c>
      <c r="J54" s="267">
        <f>L38</f>
        <v>827703219.99659991</v>
      </c>
      <c r="K54" s="267">
        <f>Summary!$D$32</f>
        <v>30995377</v>
      </c>
    </row>
    <row r="55" spans="9:14">
      <c r="I55" s="267" t="s">
        <v>1228</v>
      </c>
      <c r="J55" s="267">
        <f>J53+J54</f>
        <v>1361025942.4756596</v>
      </c>
      <c r="K55" s="354">
        <f>Summary!$B$7</f>
        <v>50966954</v>
      </c>
      <c r="L55" s="354"/>
    </row>
    <row r="56" spans="9:14">
      <c r="M56" s="268"/>
    </row>
    <row r="57" spans="9:14">
      <c r="N57" s="402"/>
    </row>
    <row r="58" spans="9:14">
      <c r="N58" s="388"/>
    </row>
  </sheetData>
  <mergeCells count="2">
    <mergeCell ref="C3:D3"/>
    <mergeCell ref="E3:F3"/>
  </mergeCells>
  <pageMargins left="0.5" right="0.5" top="1.25" bottom="0.75" header="0.5" footer="0.5"/>
  <pageSetup scale="69" fitToWidth="2" fitToHeight="0" pageOrder="overThenDown" orientation="landscape" r:id="rId1"/>
  <headerFooter>
    <oddHeader xml:space="preserve">&amp;C&amp;"Times New Roman,Bold"&amp;16KENTUCKY UTILITIES COMPANY&amp;"Times New Roman,Regular"&amp;12
Group 2 ECR Rollin Calculations
 Using Regenerated Revenues for the  Twelve Months Ending September 2011
Case No. 2011-00231
</oddHeader>
    <oddFooter>&amp;R&amp;"Times New Roman,Bold"&amp;11Exhibit 3
Page &amp;P of &amp;N</oddFooter>
  </headerFooter>
  <colBreaks count="1" manualBreakCount="1">
    <brk id="11" min="3" max="3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41"/>
  <sheetViews>
    <sheetView workbookViewId="0"/>
  </sheetViews>
  <sheetFormatPr defaultRowHeight="12"/>
  <cols>
    <col min="1" max="1" width="13.33203125" customWidth="1"/>
    <col min="2" max="2" width="14.1640625" style="45" bestFit="1" customWidth="1"/>
    <col min="3" max="3" width="18.6640625" customWidth="1"/>
    <col min="6" max="6" width="26.6640625" bestFit="1" customWidth="1"/>
    <col min="7" max="7" width="12.5" bestFit="1" customWidth="1"/>
    <col min="13" max="13" width="26.6640625" bestFit="1" customWidth="1"/>
    <col min="14" max="14" width="15.1640625" bestFit="1" customWidth="1"/>
  </cols>
  <sheetData>
    <row r="1" spans="1:13">
      <c r="A1" t="s">
        <v>834</v>
      </c>
    </row>
    <row r="2" spans="1:13">
      <c r="A2" s="4"/>
      <c r="B2" s="279"/>
    </row>
    <row r="3" spans="1:13" ht="48">
      <c r="A3" t="s">
        <v>833</v>
      </c>
      <c r="C3" s="2" t="s">
        <v>832</v>
      </c>
      <c r="F3" s="78" t="s">
        <v>1015</v>
      </c>
    </row>
    <row r="4" spans="1:13">
      <c r="A4" t="s">
        <v>14</v>
      </c>
      <c r="B4" s="45">
        <v>1949992.85</v>
      </c>
      <c r="C4" s="43">
        <f>ROUND((B4/$G$7*-1)*$G$8,0)</f>
        <v>3724062</v>
      </c>
      <c r="G4" s="45"/>
      <c r="M4" s="45">
        <f>SUM(B4:C4)</f>
        <v>5674054.8499999996</v>
      </c>
    </row>
    <row r="5" spans="1:13" ht="14.25">
      <c r="A5" t="s">
        <v>831</v>
      </c>
      <c r="B5" s="45">
        <v>287.69</v>
      </c>
      <c r="C5" s="43">
        <f>ROUND((B5/$G$7*-1)*$G$8,0)</f>
        <v>549</v>
      </c>
      <c r="G5" s="278"/>
      <c r="M5" s="45">
        <f>SUM(B5:C5)</f>
        <v>836.69</v>
      </c>
    </row>
    <row r="6" spans="1:13" ht="12.75">
      <c r="C6" s="45"/>
      <c r="F6" t="s">
        <v>59</v>
      </c>
      <c r="G6" s="45">
        <v>14710734</v>
      </c>
      <c r="H6" s="267" t="s">
        <v>1016</v>
      </c>
    </row>
    <row r="7" spans="1:13" ht="14.25">
      <c r="A7" t="s">
        <v>203</v>
      </c>
      <c r="B7" s="45">
        <v>43467.26</v>
      </c>
      <c r="C7" s="43">
        <f>ROUND((B7/$G$7*-1)*$G$8,0)</f>
        <v>83013</v>
      </c>
      <c r="F7" t="s">
        <v>830</v>
      </c>
      <c r="G7" s="278">
        <f>-$B$140</f>
        <v>-5055612.8099999996</v>
      </c>
      <c r="M7" s="45">
        <f>SUM(B7:C7)</f>
        <v>126480.26000000001</v>
      </c>
    </row>
    <row r="8" spans="1:13" ht="14.25">
      <c r="C8" s="43"/>
      <c r="F8" t="s">
        <v>829</v>
      </c>
      <c r="G8" s="76">
        <f>G6+G7</f>
        <v>9655121.1900000013</v>
      </c>
    </row>
    <row r="9" spans="1:13">
      <c r="A9" t="s">
        <v>828</v>
      </c>
      <c r="B9" s="45">
        <v>0</v>
      </c>
      <c r="C9" s="43">
        <f>ROUND((B9/$G$7*-1)*$G$8,0)</f>
        <v>0</v>
      </c>
    </row>
    <row r="10" spans="1:13">
      <c r="A10" t="s">
        <v>828</v>
      </c>
      <c r="B10" s="45">
        <v>0</v>
      </c>
      <c r="C10" s="43">
        <f>ROUND((B10/$G$7*-1)*$G$8,0)</f>
        <v>0</v>
      </c>
    </row>
    <row r="11" spans="1:13">
      <c r="A11" t="s">
        <v>828</v>
      </c>
      <c r="B11" s="45">
        <v>0</v>
      </c>
      <c r="C11" s="43">
        <f>ROUND((B11/$G$7*-1)*$G$8,0)</f>
        <v>0</v>
      </c>
    </row>
    <row r="12" spans="1:13">
      <c r="C12" s="43"/>
    </row>
    <row r="13" spans="1:13">
      <c r="A13" t="s">
        <v>19</v>
      </c>
      <c r="B13" s="45">
        <v>3.8</v>
      </c>
      <c r="C13" s="43">
        <f>ROUND((B13/$G$7*-1)*$G$8,0)</f>
        <v>7</v>
      </c>
      <c r="M13" s="45">
        <f>SUM(B13:C13)</f>
        <v>10.8</v>
      </c>
    </row>
    <row r="14" spans="1:13">
      <c r="A14" t="s">
        <v>20</v>
      </c>
      <c r="B14" s="45">
        <v>367.21</v>
      </c>
      <c r="C14" s="43">
        <f>ROUND((B14/$G$7*-1)*$G$8,0)</f>
        <v>701</v>
      </c>
      <c r="M14" s="45">
        <f>SUM(B14:C14)</f>
        <v>1068.21</v>
      </c>
    </row>
    <row r="15" spans="1:13">
      <c r="C15" s="43"/>
    </row>
    <row r="16" spans="1:13">
      <c r="C16" s="43"/>
    </row>
    <row r="17" spans="1:13">
      <c r="A17" t="s">
        <v>416</v>
      </c>
      <c r="B17" s="45">
        <v>0</v>
      </c>
      <c r="C17" s="43">
        <f t="shared" ref="C17:C48" si="0">ROUND((B17/$G$7*-1)*$G$8,0)</f>
        <v>0</v>
      </c>
      <c r="E17" t="str">
        <f>VLOOKUP(A17,MiscData!$AC$4:$AE$115,3,FALSE)</f>
        <v>LS</v>
      </c>
      <c r="F17" s="45">
        <f>C17</f>
        <v>0</v>
      </c>
      <c r="M17" s="45">
        <f t="shared" ref="M17:M80" si="1">SUM(B17:C17)</f>
        <v>0</v>
      </c>
    </row>
    <row r="18" spans="1:13">
      <c r="A18" t="s">
        <v>417</v>
      </c>
      <c r="B18" s="45">
        <v>0</v>
      </c>
      <c r="C18" s="43">
        <f t="shared" si="0"/>
        <v>0</v>
      </c>
      <c r="E18" t="str">
        <f>VLOOKUP(A18,MiscData!$AC$4:$AE$115,3,FALSE)</f>
        <v>LS</v>
      </c>
      <c r="F18" s="45">
        <f t="shared" ref="F18:F81" si="2">C18</f>
        <v>0</v>
      </c>
      <c r="M18" s="45">
        <f t="shared" si="1"/>
        <v>0</v>
      </c>
    </row>
    <row r="19" spans="1:13">
      <c r="A19" t="s">
        <v>356</v>
      </c>
      <c r="B19" s="45">
        <v>2225.31</v>
      </c>
      <c r="C19" s="43">
        <f>ROUND((B19/$G$7*-1)*$G$8,0)</f>
        <v>4250</v>
      </c>
      <c r="E19" t="str">
        <f>VLOOKUP(A19,MiscData!$AC$4:$AE$115,3,FALSE)</f>
        <v>RLS</v>
      </c>
      <c r="F19" s="45">
        <f t="shared" si="2"/>
        <v>4250</v>
      </c>
      <c r="M19" s="45">
        <f t="shared" si="1"/>
        <v>6475.3099999999995</v>
      </c>
    </row>
    <row r="20" spans="1:13">
      <c r="A20" t="s">
        <v>355</v>
      </c>
      <c r="B20" s="45">
        <v>1803.17</v>
      </c>
      <c r="C20" s="43">
        <f t="shared" si="0"/>
        <v>3444</v>
      </c>
      <c r="E20" t="str">
        <f>VLOOKUP(A20,MiscData!$AC$4:$AE$115,3,FALSE)</f>
        <v>RLS</v>
      </c>
      <c r="F20" s="45">
        <f t="shared" si="2"/>
        <v>3444</v>
      </c>
      <c r="M20" s="45">
        <f t="shared" si="1"/>
        <v>5247.17</v>
      </c>
    </row>
    <row r="21" spans="1:13">
      <c r="A21" t="s">
        <v>365</v>
      </c>
      <c r="B21" s="45">
        <v>3071.04</v>
      </c>
      <c r="C21" s="43">
        <f t="shared" si="0"/>
        <v>5865</v>
      </c>
      <c r="E21" t="str">
        <f>VLOOKUP(A21,MiscData!$AC$4:$AE$115,3,FALSE)</f>
        <v>LS</v>
      </c>
      <c r="F21" s="45">
        <f t="shared" si="2"/>
        <v>5865</v>
      </c>
      <c r="M21" s="45">
        <f t="shared" si="1"/>
        <v>8936.0400000000009</v>
      </c>
    </row>
    <row r="22" spans="1:13">
      <c r="A22" t="s">
        <v>364</v>
      </c>
      <c r="B22" s="45">
        <v>4338.3100000000004</v>
      </c>
      <c r="C22" s="43">
        <f t="shared" si="0"/>
        <v>8285</v>
      </c>
      <c r="E22" t="str">
        <f>VLOOKUP(A22,MiscData!$AC$4:$AE$115,3,FALSE)</f>
        <v>LS</v>
      </c>
      <c r="F22" s="45">
        <f t="shared" si="2"/>
        <v>8285</v>
      </c>
      <c r="M22" s="45">
        <f t="shared" si="1"/>
        <v>12623.310000000001</v>
      </c>
    </row>
    <row r="23" spans="1:13">
      <c r="A23" t="s">
        <v>388</v>
      </c>
      <c r="B23" s="45">
        <v>7961.11</v>
      </c>
      <c r="C23" s="43">
        <f t="shared" si="0"/>
        <v>15204</v>
      </c>
      <c r="E23" t="str">
        <f>VLOOKUP(A23,MiscData!$AC$4:$AE$115,3,FALSE)</f>
        <v>LS</v>
      </c>
      <c r="F23" s="45">
        <f t="shared" si="2"/>
        <v>15204</v>
      </c>
      <c r="M23" s="45">
        <f t="shared" si="1"/>
        <v>23165.11</v>
      </c>
    </row>
    <row r="24" spans="1:13">
      <c r="A24" t="s">
        <v>387</v>
      </c>
      <c r="B24" s="45">
        <v>1754.23</v>
      </c>
      <c r="C24" s="43">
        <f t="shared" si="0"/>
        <v>3350</v>
      </c>
      <c r="E24" t="str">
        <f>VLOOKUP(A24,MiscData!$AC$4:$AE$115,3,FALSE)</f>
        <v>LS</v>
      </c>
      <c r="F24" s="45">
        <f t="shared" si="2"/>
        <v>3350</v>
      </c>
      <c r="M24" s="45">
        <f t="shared" si="1"/>
        <v>5104.2299999999996</v>
      </c>
    </row>
    <row r="25" spans="1:13">
      <c r="A25" t="s">
        <v>345</v>
      </c>
      <c r="B25" s="45">
        <v>3548.19</v>
      </c>
      <c r="C25" s="43">
        <f t="shared" si="0"/>
        <v>6776</v>
      </c>
      <c r="E25" t="str">
        <f>VLOOKUP(A25,MiscData!$AC$4:$AE$115,3,FALSE)</f>
        <v>LS</v>
      </c>
      <c r="F25" s="45">
        <f t="shared" si="2"/>
        <v>6776</v>
      </c>
      <c r="M25" s="45">
        <f t="shared" si="1"/>
        <v>10324.19</v>
      </c>
    </row>
    <row r="26" spans="1:13">
      <c r="A26" t="s">
        <v>344</v>
      </c>
      <c r="B26" s="45">
        <v>3791.62</v>
      </c>
      <c r="C26" s="43">
        <f t="shared" si="0"/>
        <v>7241</v>
      </c>
      <c r="E26" t="str">
        <f>VLOOKUP(A26,MiscData!$AC$4:$AE$115,3,FALSE)</f>
        <v>LS</v>
      </c>
      <c r="F26" s="45">
        <f t="shared" si="2"/>
        <v>7241</v>
      </c>
      <c r="M26" s="45">
        <f t="shared" si="1"/>
        <v>11032.619999999999</v>
      </c>
    </row>
    <row r="27" spans="1:13">
      <c r="A27" t="s">
        <v>377</v>
      </c>
      <c r="B27" s="45">
        <v>873.8</v>
      </c>
      <c r="C27" s="43">
        <f t="shared" si="0"/>
        <v>1669</v>
      </c>
      <c r="E27" t="str">
        <f>VLOOKUP(A27,MiscData!$AC$4:$AE$115,3,FALSE)</f>
        <v>LS</v>
      </c>
      <c r="F27" s="45">
        <f t="shared" si="2"/>
        <v>1669</v>
      </c>
      <c r="M27" s="45">
        <f t="shared" si="1"/>
        <v>2542.8000000000002</v>
      </c>
    </row>
    <row r="28" spans="1:13">
      <c r="A28" t="s">
        <v>376</v>
      </c>
      <c r="B28" s="45">
        <v>503.5</v>
      </c>
      <c r="C28" s="43">
        <f t="shared" si="0"/>
        <v>962</v>
      </c>
      <c r="E28" t="str">
        <f>VLOOKUP(A28,MiscData!$AC$4:$AE$115,3,FALSE)</f>
        <v>LS</v>
      </c>
      <c r="F28" s="45">
        <f t="shared" si="2"/>
        <v>962</v>
      </c>
      <c r="M28" s="45">
        <f t="shared" si="1"/>
        <v>1465.5</v>
      </c>
    </row>
    <row r="29" spans="1:13">
      <c r="A29" t="s">
        <v>385</v>
      </c>
      <c r="B29" s="45">
        <v>466.6</v>
      </c>
      <c r="C29" s="43">
        <f t="shared" si="0"/>
        <v>891</v>
      </c>
      <c r="E29" t="str">
        <f>VLOOKUP(A29,MiscData!$AC$4:$AE$115,3,FALSE)</f>
        <v>RLS</v>
      </c>
      <c r="F29" s="45">
        <f t="shared" si="2"/>
        <v>891</v>
      </c>
      <c r="M29" s="45">
        <f t="shared" si="1"/>
        <v>1357.6</v>
      </c>
    </row>
    <row r="30" spans="1:13">
      <c r="A30" t="s">
        <v>384</v>
      </c>
      <c r="B30" s="45">
        <v>70.16</v>
      </c>
      <c r="C30" s="43">
        <f t="shared" si="0"/>
        <v>134</v>
      </c>
      <c r="E30" t="str">
        <f>VLOOKUP(A30,MiscData!$AC$4:$AE$115,3,FALSE)</f>
        <v>RLS</v>
      </c>
      <c r="F30" s="45">
        <f t="shared" si="2"/>
        <v>134</v>
      </c>
      <c r="M30" s="45">
        <f t="shared" si="1"/>
        <v>204.16</v>
      </c>
    </row>
    <row r="31" spans="1:13">
      <c r="A31" t="s">
        <v>312</v>
      </c>
      <c r="B31" s="45">
        <v>403.47</v>
      </c>
      <c r="C31" s="43">
        <f t="shared" si="0"/>
        <v>771</v>
      </c>
      <c r="E31" t="str">
        <f>VLOOKUP(A31,MiscData!$AC$4:$AE$115,3,FALSE)</f>
        <v>RLS</v>
      </c>
      <c r="F31" s="45">
        <f t="shared" si="2"/>
        <v>771</v>
      </c>
      <c r="M31" s="45">
        <f t="shared" si="1"/>
        <v>1174.47</v>
      </c>
    </row>
    <row r="32" spans="1:13">
      <c r="A32" t="s">
        <v>311</v>
      </c>
      <c r="B32" s="45">
        <v>301.7</v>
      </c>
      <c r="C32" s="43">
        <f t="shared" si="0"/>
        <v>576</v>
      </c>
      <c r="E32" t="str">
        <f>VLOOKUP(A32,MiscData!$AC$4:$AE$115,3,FALSE)</f>
        <v>RLS</v>
      </c>
      <c r="F32" s="45">
        <f t="shared" si="2"/>
        <v>576</v>
      </c>
      <c r="M32" s="45">
        <f t="shared" si="1"/>
        <v>877.7</v>
      </c>
    </row>
    <row r="33" spans="1:13">
      <c r="A33" t="s">
        <v>421</v>
      </c>
      <c r="B33" s="45">
        <v>865.08</v>
      </c>
      <c r="C33" s="43">
        <f t="shared" si="0"/>
        <v>1652</v>
      </c>
      <c r="E33" t="str">
        <f>VLOOKUP(A33,MiscData!$AC$4:$AE$115,3,FALSE)</f>
        <v>RLS</v>
      </c>
      <c r="F33" s="45">
        <f t="shared" si="2"/>
        <v>1652</v>
      </c>
      <c r="M33" s="45">
        <f t="shared" si="1"/>
        <v>2517.08</v>
      </c>
    </row>
    <row r="34" spans="1:13">
      <c r="A34" t="s">
        <v>341</v>
      </c>
      <c r="B34" s="45">
        <v>904.57</v>
      </c>
      <c r="C34" s="43">
        <f t="shared" si="0"/>
        <v>1728</v>
      </c>
      <c r="E34" t="str">
        <f>VLOOKUP(A34,MiscData!$AC$4:$AE$115,3,FALSE)</f>
        <v>RLS</v>
      </c>
      <c r="F34" s="45">
        <f t="shared" si="2"/>
        <v>1728</v>
      </c>
      <c r="M34" s="45">
        <f t="shared" si="1"/>
        <v>2632.57</v>
      </c>
    </row>
    <row r="35" spans="1:13">
      <c r="A35" t="s">
        <v>310</v>
      </c>
      <c r="B35" s="45">
        <v>2.35</v>
      </c>
      <c r="C35" s="43">
        <f t="shared" si="0"/>
        <v>4</v>
      </c>
      <c r="E35" t="str">
        <f>VLOOKUP(A35,MiscData!$AC$4:$AE$115,3,FALSE)</f>
        <v>RLS</v>
      </c>
      <c r="F35" s="45">
        <f t="shared" si="2"/>
        <v>4</v>
      </c>
      <c r="M35" s="45">
        <f t="shared" si="1"/>
        <v>6.35</v>
      </c>
    </row>
    <row r="36" spans="1:13">
      <c r="A36" t="s">
        <v>402</v>
      </c>
      <c r="B36" s="45">
        <v>0</v>
      </c>
      <c r="C36" s="43">
        <f t="shared" si="0"/>
        <v>0</v>
      </c>
      <c r="E36" t="e">
        <f>VLOOKUP(A36,MiscData!$AC$4:$AE$115,3,FALSE)</f>
        <v>#N/A</v>
      </c>
      <c r="F36" s="45">
        <f t="shared" si="2"/>
        <v>0</v>
      </c>
      <c r="M36" s="45">
        <f t="shared" si="1"/>
        <v>0</v>
      </c>
    </row>
    <row r="37" spans="1:13">
      <c r="A37" t="s">
        <v>340</v>
      </c>
      <c r="B37" s="45">
        <v>176.08</v>
      </c>
      <c r="C37" s="43">
        <f t="shared" si="0"/>
        <v>336</v>
      </c>
      <c r="E37" t="str">
        <f>VLOOKUP(A37,MiscData!$AC$4:$AE$115,3,FALSE)</f>
        <v>RLS</v>
      </c>
      <c r="F37" s="45">
        <f t="shared" si="2"/>
        <v>336</v>
      </c>
      <c r="M37" s="45">
        <f t="shared" si="1"/>
        <v>512.08000000000004</v>
      </c>
    </row>
    <row r="38" spans="1:13">
      <c r="A38" t="s">
        <v>404</v>
      </c>
      <c r="B38" s="45">
        <v>0</v>
      </c>
      <c r="C38" s="43">
        <f t="shared" si="0"/>
        <v>0</v>
      </c>
      <c r="E38" t="e">
        <f>VLOOKUP(A38,MiscData!$AC$4:$AE$115,3,FALSE)</f>
        <v>#N/A</v>
      </c>
      <c r="F38" s="45">
        <f t="shared" si="2"/>
        <v>0</v>
      </c>
      <c r="M38" s="45">
        <f t="shared" si="1"/>
        <v>0</v>
      </c>
    </row>
    <row r="39" spans="1:13">
      <c r="A39" t="s">
        <v>358</v>
      </c>
      <c r="B39" s="45">
        <v>56.5</v>
      </c>
      <c r="C39" s="43">
        <f t="shared" si="0"/>
        <v>108</v>
      </c>
      <c r="E39" t="str">
        <f>VLOOKUP(A39,MiscData!$AC$4:$AE$115,3,FALSE)</f>
        <v>RLS</v>
      </c>
      <c r="F39" s="45">
        <f t="shared" si="2"/>
        <v>108</v>
      </c>
      <c r="M39" s="45">
        <f t="shared" si="1"/>
        <v>164.5</v>
      </c>
    </row>
    <row r="40" spans="1:13">
      <c r="A40" t="s">
        <v>357</v>
      </c>
      <c r="B40" s="45">
        <v>11.04</v>
      </c>
      <c r="C40" s="43">
        <f t="shared" si="0"/>
        <v>21</v>
      </c>
      <c r="E40" t="str">
        <f>VLOOKUP(A40,MiscData!$AC$4:$AE$115,3,FALSE)</f>
        <v>RLS</v>
      </c>
      <c r="F40" s="45">
        <f t="shared" si="2"/>
        <v>21</v>
      </c>
      <c r="M40" s="45">
        <f t="shared" si="1"/>
        <v>32.04</v>
      </c>
    </row>
    <row r="41" spans="1:13">
      <c r="A41" t="s">
        <v>383</v>
      </c>
      <c r="B41" s="45">
        <v>1.1599999999999999</v>
      </c>
      <c r="C41" s="43">
        <f t="shared" si="0"/>
        <v>2</v>
      </c>
      <c r="E41" t="str">
        <f>VLOOKUP(A41,MiscData!$AC$4:$AE$115,3,FALSE)</f>
        <v>RLS</v>
      </c>
      <c r="F41" s="45">
        <f t="shared" si="2"/>
        <v>2</v>
      </c>
      <c r="M41" s="45">
        <f t="shared" si="1"/>
        <v>3.16</v>
      </c>
    </row>
    <row r="42" spans="1:13">
      <c r="A42" t="s">
        <v>408</v>
      </c>
      <c r="B42" s="45">
        <v>0</v>
      </c>
      <c r="C42" s="43">
        <f t="shared" si="0"/>
        <v>0</v>
      </c>
      <c r="E42" t="e">
        <f>VLOOKUP(A42,MiscData!$AC$4:$AE$115,3,FALSE)</f>
        <v>#N/A</v>
      </c>
      <c r="F42" s="45">
        <f t="shared" si="2"/>
        <v>0</v>
      </c>
      <c r="M42" s="45">
        <f t="shared" si="1"/>
        <v>0</v>
      </c>
    </row>
    <row r="43" spans="1:13">
      <c r="A43" t="s">
        <v>410</v>
      </c>
      <c r="B43" s="45">
        <v>0</v>
      </c>
      <c r="C43" s="43">
        <f t="shared" si="0"/>
        <v>0</v>
      </c>
      <c r="E43" t="e">
        <f>VLOOKUP(A43,MiscData!$AC$4:$AE$115,3,FALSE)</f>
        <v>#N/A</v>
      </c>
      <c r="F43" s="45">
        <f t="shared" si="2"/>
        <v>0</v>
      </c>
      <c r="M43" s="45">
        <f t="shared" si="1"/>
        <v>0</v>
      </c>
    </row>
    <row r="44" spans="1:13">
      <c r="A44" t="s">
        <v>360</v>
      </c>
      <c r="B44" s="45">
        <v>149.62</v>
      </c>
      <c r="C44" s="43">
        <f t="shared" si="0"/>
        <v>286</v>
      </c>
      <c r="E44" t="str">
        <f>VLOOKUP(A44,MiscData!$AC$4:$AE$115,3,FALSE)</f>
        <v>RLS</v>
      </c>
      <c r="F44" s="45">
        <f t="shared" si="2"/>
        <v>286</v>
      </c>
      <c r="M44" s="45">
        <f t="shared" si="1"/>
        <v>435.62</v>
      </c>
    </row>
    <row r="45" spans="1:13">
      <c r="A45" t="s">
        <v>366</v>
      </c>
      <c r="B45" s="45">
        <v>23.66</v>
      </c>
      <c r="C45" s="43">
        <f t="shared" si="0"/>
        <v>45</v>
      </c>
      <c r="E45" t="str">
        <f>VLOOKUP(A45,MiscData!$AC$4:$AE$115,3,FALSE)</f>
        <v>LS</v>
      </c>
      <c r="F45" s="45">
        <f t="shared" si="2"/>
        <v>45</v>
      </c>
      <c r="M45" s="45">
        <f t="shared" si="1"/>
        <v>68.66</v>
      </c>
    </row>
    <row r="46" spans="1:13">
      <c r="A46" t="s">
        <v>368</v>
      </c>
      <c r="B46" s="45">
        <v>73.010000000000005</v>
      </c>
      <c r="C46" s="43">
        <f t="shared" si="0"/>
        <v>139</v>
      </c>
      <c r="E46" t="str">
        <f>VLOOKUP(A46,MiscData!$AC$4:$AE$115,3,FALSE)</f>
        <v>LS</v>
      </c>
      <c r="F46" s="45">
        <f t="shared" si="2"/>
        <v>139</v>
      </c>
      <c r="M46" s="45">
        <f t="shared" si="1"/>
        <v>212.01</v>
      </c>
    </row>
    <row r="47" spans="1:13">
      <c r="A47" t="s">
        <v>389</v>
      </c>
      <c r="B47" s="45">
        <v>128.84</v>
      </c>
      <c r="C47" s="43">
        <f t="shared" si="0"/>
        <v>246</v>
      </c>
      <c r="E47" t="str">
        <f>VLOOKUP(A47,MiscData!$AC$4:$AE$115,3,FALSE)</f>
        <v>LS</v>
      </c>
      <c r="F47" s="45">
        <f t="shared" si="2"/>
        <v>246</v>
      </c>
      <c r="M47" s="45">
        <f t="shared" si="1"/>
        <v>374.84000000000003</v>
      </c>
    </row>
    <row r="48" spans="1:13">
      <c r="A48" t="s">
        <v>391</v>
      </c>
      <c r="B48" s="45">
        <v>458.54</v>
      </c>
      <c r="C48" s="43">
        <f t="shared" si="0"/>
        <v>876</v>
      </c>
      <c r="E48" t="str">
        <f>VLOOKUP(A48,MiscData!$AC$4:$AE$115,3,FALSE)</f>
        <v>LS</v>
      </c>
      <c r="F48" s="45">
        <f t="shared" si="2"/>
        <v>876</v>
      </c>
      <c r="M48" s="45">
        <f t="shared" si="1"/>
        <v>1334.54</v>
      </c>
    </row>
    <row r="49" spans="1:13">
      <c r="A49" t="s">
        <v>363</v>
      </c>
      <c r="B49" s="45">
        <v>308.47000000000003</v>
      </c>
      <c r="C49" s="43">
        <f t="shared" ref="C49:C80" si="3">ROUND((B49/$G$7*-1)*$G$8,0)</f>
        <v>589</v>
      </c>
      <c r="E49" t="str">
        <f>VLOOKUP(A49,MiscData!$AC$4:$AE$115,3,FALSE)</f>
        <v>RLS</v>
      </c>
      <c r="F49" s="45">
        <f t="shared" si="2"/>
        <v>589</v>
      </c>
      <c r="M49" s="45">
        <f t="shared" si="1"/>
        <v>897.47</v>
      </c>
    </row>
    <row r="50" spans="1:13">
      <c r="A50" t="s">
        <v>373</v>
      </c>
      <c r="B50" s="45">
        <v>515.77</v>
      </c>
      <c r="C50" s="43">
        <f t="shared" si="3"/>
        <v>985</v>
      </c>
      <c r="E50" t="str">
        <f>VLOOKUP(A50,MiscData!$AC$4:$AE$115,3,FALSE)</f>
        <v>LS</v>
      </c>
      <c r="F50" s="45">
        <f t="shared" si="2"/>
        <v>985</v>
      </c>
      <c r="M50" s="45">
        <f t="shared" si="1"/>
        <v>1500.77</v>
      </c>
    </row>
    <row r="51" spans="1:13">
      <c r="A51" t="s">
        <v>396</v>
      </c>
      <c r="B51" s="45">
        <v>959.74</v>
      </c>
      <c r="C51" s="43">
        <f t="shared" si="3"/>
        <v>1833</v>
      </c>
      <c r="E51" t="str">
        <f>VLOOKUP(A51,MiscData!$AC$4:$AE$115,3,FALSE)</f>
        <v>LS</v>
      </c>
      <c r="F51" s="45">
        <f t="shared" si="2"/>
        <v>1833</v>
      </c>
      <c r="M51" s="45">
        <f t="shared" si="1"/>
        <v>2792.74</v>
      </c>
    </row>
    <row r="52" spans="1:13">
      <c r="A52" t="s">
        <v>370</v>
      </c>
      <c r="B52" s="45">
        <v>42.11</v>
      </c>
      <c r="C52" s="43">
        <f t="shared" si="3"/>
        <v>80</v>
      </c>
      <c r="E52" t="str">
        <f>VLOOKUP(A52,MiscData!$AC$4:$AE$115,3,FALSE)</f>
        <v>RLS</v>
      </c>
      <c r="F52" s="45">
        <f t="shared" si="2"/>
        <v>80</v>
      </c>
      <c r="M52" s="45">
        <f t="shared" si="1"/>
        <v>122.11</v>
      </c>
    </row>
    <row r="53" spans="1:13">
      <c r="A53" t="s">
        <v>393</v>
      </c>
      <c r="B53" s="45">
        <v>157.16999999999999</v>
      </c>
      <c r="C53" s="43">
        <f t="shared" si="3"/>
        <v>300</v>
      </c>
      <c r="E53" t="str">
        <f>VLOOKUP(A53,MiscData!$AC$4:$AE$115,3,FALSE)</f>
        <v>RLS</v>
      </c>
      <c r="F53" s="45">
        <f t="shared" si="2"/>
        <v>300</v>
      </c>
      <c r="M53" s="45">
        <f t="shared" si="1"/>
        <v>457.16999999999996</v>
      </c>
    </row>
    <row r="54" spans="1:13">
      <c r="A54" t="s">
        <v>374</v>
      </c>
      <c r="B54" s="45">
        <v>3472.1</v>
      </c>
      <c r="C54" s="43">
        <f t="shared" si="3"/>
        <v>6631</v>
      </c>
      <c r="E54" t="str">
        <f>VLOOKUP(A54,MiscData!$AC$4:$AE$115,3,FALSE)</f>
        <v>LS</v>
      </c>
      <c r="F54" s="45">
        <f t="shared" si="2"/>
        <v>6631</v>
      </c>
      <c r="M54" s="45">
        <f t="shared" si="1"/>
        <v>10103.1</v>
      </c>
    </row>
    <row r="55" spans="1:13">
      <c r="A55" t="s">
        <v>398</v>
      </c>
      <c r="B55" s="45">
        <v>517.16999999999996</v>
      </c>
      <c r="C55" s="43">
        <f t="shared" si="3"/>
        <v>988</v>
      </c>
      <c r="E55" t="str">
        <f>VLOOKUP(A55,MiscData!$AC$4:$AE$115,3,FALSE)</f>
        <v>LS</v>
      </c>
      <c r="F55" s="45">
        <f t="shared" si="2"/>
        <v>988</v>
      </c>
      <c r="M55" s="45">
        <f t="shared" si="1"/>
        <v>1505.17</v>
      </c>
    </row>
    <row r="56" spans="1:13">
      <c r="A56" t="s">
        <v>348</v>
      </c>
      <c r="B56" s="45">
        <v>619.30999999999995</v>
      </c>
      <c r="C56" s="43">
        <f t="shared" si="3"/>
        <v>1183</v>
      </c>
      <c r="E56" t="str">
        <f>VLOOKUP(A56,MiscData!$AC$4:$AE$115,3,FALSE)</f>
        <v>LS</v>
      </c>
      <c r="F56" s="45">
        <f t="shared" si="2"/>
        <v>1183</v>
      </c>
      <c r="M56" s="45">
        <f t="shared" si="1"/>
        <v>1802.31</v>
      </c>
    </row>
    <row r="57" spans="1:13">
      <c r="A57" t="s">
        <v>380</v>
      </c>
      <c r="B57" s="45">
        <v>104.26</v>
      </c>
      <c r="C57" s="43">
        <f t="shared" si="3"/>
        <v>199</v>
      </c>
      <c r="E57" t="str">
        <f>VLOOKUP(A57,MiscData!$AC$4:$AE$115,3,FALSE)</f>
        <v>LS</v>
      </c>
      <c r="F57" s="45">
        <f t="shared" si="2"/>
        <v>199</v>
      </c>
      <c r="M57" s="45">
        <f t="shared" si="1"/>
        <v>303.26</v>
      </c>
    </row>
    <row r="58" spans="1:13">
      <c r="A58" t="s">
        <v>323</v>
      </c>
      <c r="B58" s="45">
        <v>416.02</v>
      </c>
      <c r="C58" s="43">
        <f t="shared" si="3"/>
        <v>795</v>
      </c>
      <c r="E58" t="str">
        <f>VLOOKUP(A58,MiscData!$AC$4:$AE$115,3,FALSE)</f>
        <v>LS</v>
      </c>
      <c r="F58" s="45">
        <f t="shared" si="2"/>
        <v>795</v>
      </c>
      <c r="M58" s="45">
        <f t="shared" si="1"/>
        <v>1211.02</v>
      </c>
    </row>
    <row r="59" spans="1:13">
      <c r="A59" t="s">
        <v>328</v>
      </c>
      <c r="B59" s="45">
        <v>102.73</v>
      </c>
      <c r="C59" s="43">
        <f t="shared" si="3"/>
        <v>196</v>
      </c>
      <c r="E59" t="str">
        <f>VLOOKUP(A59,MiscData!$AC$4:$AE$115,3,FALSE)</f>
        <v>LS</v>
      </c>
      <c r="F59" s="45">
        <f t="shared" si="2"/>
        <v>196</v>
      </c>
      <c r="M59" s="45">
        <f t="shared" si="1"/>
        <v>298.73</v>
      </c>
    </row>
    <row r="60" spans="1:13">
      <c r="A60" t="s">
        <v>331</v>
      </c>
      <c r="B60" s="45">
        <v>106.33</v>
      </c>
      <c r="C60" s="43">
        <f t="shared" si="3"/>
        <v>203</v>
      </c>
      <c r="E60" t="str">
        <f>VLOOKUP(A60,MiscData!$AC$4:$AE$115,3,FALSE)</f>
        <v>LS</v>
      </c>
      <c r="F60" s="45">
        <f t="shared" si="2"/>
        <v>203</v>
      </c>
      <c r="M60" s="45">
        <f t="shared" si="1"/>
        <v>309.33</v>
      </c>
    </row>
    <row r="61" spans="1:13">
      <c r="A61" t="s">
        <v>332</v>
      </c>
      <c r="B61" s="45">
        <v>13.48</v>
      </c>
      <c r="C61" s="43">
        <f t="shared" si="3"/>
        <v>26</v>
      </c>
      <c r="E61" t="str">
        <f>VLOOKUP(A61,MiscData!$AC$4:$AE$115,3,FALSE)</f>
        <v>LS</v>
      </c>
      <c r="F61" s="45">
        <f t="shared" si="2"/>
        <v>26</v>
      </c>
      <c r="M61" s="45">
        <f t="shared" si="1"/>
        <v>39.480000000000004</v>
      </c>
    </row>
    <row r="62" spans="1:13">
      <c r="A62" t="s">
        <v>333</v>
      </c>
      <c r="B62" s="45">
        <v>2.77</v>
      </c>
      <c r="C62" s="43">
        <f t="shared" si="3"/>
        <v>5</v>
      </c>
      <c r="E62" t="str">
        <f>VLOOKUP(A62,MiscData!$AC$4:$AE$115,3,FALSE)</f>
        <v>LS</v>
      </c>
      <c r="F62" s="45">
        <f t="shared" si="2"/>
        <v>5</v>
      </c>
      <c r="M62" s="45">
        <f t="shared" si="1"/>
        <v>7.77</v>
      </c>
    </row>
    <row r="63" spans="1:13">
      <c r="A63" t="s">
        <v>335</v>
      </c>
      <c r="B63" s="45">
        <v>18.45</v>
      </c>
      <c r="C63" s="43">
        <f t="shared" si="3"/>
        <v>35</v>
      </c>
      <c r="E63" t="str">
        <f>VLOOKUP(A63,MiscData!$AC$4:$AE$115,3,FALSE)</f>
        <v>LS</v>
      </c>
      <c r="F63" s="45">
        <f t="shared" si="2"/>
        <v>35</v>
      </c>
      <c r="M63" s="45">
        <f t="shared" si="1"/>
        <v>53.45</v>
      </c>
    </row>
    <row r="64" spans="1:13">
      <c r="A64" t="s">
        <v>336</v>
      </c>
      <c r="B64" s="45">
        <v>35.869999999999997</v>
      </c>
      <c r="C64" s="43">
        <f t="shared" si="3"/>
        <v>69</v>
      </c>
      <c r="E64" t="str">
        <f>VLOOKUP(A64,MiscData!$AC$4:$AE$115,3,FALSE)</f>
        <v>LS</v>
      </c>
      <c r="F64" s="45">
        <f t="shared" si="2"/>
        <v>69</v>
      </c>
      <c r="M64" s="45">
        <f t="shared" si="1"/>
        <v>104.87</v>
      </c>
    </row>
    <row r="65" spans="1:13">
      <c r="A65" t="s">
        <v>338</v>
      </c>
      <c r="B65" s="45">
        <v>66.72</v>
      </c>
      <c r="C65" s="43">
        <f t="shared" si="3"/>
        <v>127</v>
      </c>
      <c r="E65" t="str">
        <f>VLOOKUP(A65,MiscData!$AC$4:$AE$115,3,FALSE)</f>
        <v>LS</v>
      </c>
      <c r="F65" s="45">
        <f t="shared" si="2"/>
        <v>127</v>
      </c>
      <c r="M65" s="45">
        <f t="shared" si="1"/>
        <v>193.72</v>
      </c>
    </row>
    <row r="66" spans="1:13">
      <c r="A66" t="s">
        <v>339</v>
      </c>
      <c r="B66" s="45">
        <v>2.4300000000000002</v>
      </c>
      <c r="C66" s="43">
        <f t="shared" si="3"/>
        <v>5</v>
      </c>
      <c r="E66" t="str">
        <f>VLOOKUP(A66,MiscData!$AC$4:$AE$115,3,FALSE)</f>
        <v>LS</v>
      </c>
      <c r="F66" s="45">
        <f t="shared" si="2"/>
        <v>5</v>
      </c>
      <c r="M66" s="45">
        <f t="shared" si="1"/>
        <v>7.43</v>
      </c>
    </row>
    <row r="67" spans="1:13">
      <c r="A67" t="s">
        <v>325</v>
      </c>
      <c r="B67" s="45">
        <v>46.99</v>
      </c>
      <c r="C67" s="43">
        <f t="shared" si="3"/>
        <v>90</v>
      </c>
      <c r="E67" t="str">
        <f>VLOOKUP(A67,MiscData!$AC$4:$AE$115,3,FALSE)</f>
        <v>LS</v>
      </c>
      <c r="F67" s="45">
        <f t="shared" si="2"/>
        <v>90</v>
      </c>
      <c r="M67" s="45">
        <f t="shared" si="1"/>
        <v>136.99</v>
      </c>
    </row>
    <row r="68" spans="1:13">
      <c r="A68" t="s">
        <v>334</v>
      </c>
      <c r="B68" s="45">
        <v>3.76</v>
      </c>
      <c r="C68" s="43">
        <f t="shared" si="3"/>
        <v>7</v>
      </c>
      <c r="E68" t="str">
        <f>VLOOKUP(A68,MiscData!$AC$4:$AE$115,3,FALSE)</f>
        <v>LS</v>
      </c>
      <c r="F68" s="45">
        <f t="shared" si="2"/>
        <v>7</v>
      </c>
      <c r="M68" s="45">
        <f t="shared" si="1"/>
        <v>10.76</v>
      </c>
    </row>
    <row r="69" spans="1:13">
      <c r="A69" t="s">
        <v>326</v>
      </c>
      <c r="B69" s="45">
        <v>67.14</v>
      </c>
      <c r="C69" s="43">
        <f t="shared" si="3"/>
        <v>128</v>
      </c>
      <c r="E69" t="str">
        <f>VLOOKUP(A69,MiscData!$AC$4:$AE$115,3,FALSE)</f>
        <v>LS</v>
      </c>
      <c r="F69" s="45">
        <f t="shared" si="2"/>
        <v>128</v>
      </c>
      <c r="M69" s="45">
        <f t="shared" si="1"/>
        <v>195.14</v>
      </c>
    </row>
    <row r="70" spans="1:13">
      <c r="A70" t="s">
        <v>330</v>
      </c>
      <c r="B70" s="45">
        <v>13.71</v>
      </c>
      <c r="C70" s="43">
        <f t="shared" si="3"/>
        <v>26</v>
      </c>
      <c r="E70" t="str">
        <f>VLOOKUP(A70,MiscData!$AC$4:$AE$115,3,FALSE)</f>
        <v>LS</v>
      </c>
      <c r="F70" s="45">
        <f t="shared" si="2"/>
        <v>26</v>
      </c>
      <c r="M70" s="45">
        <f t="shared" si="1"/>
        <v>39.71</v>
      </c>
    </row>
    <row r="71" spans="1:13">
      <c r="A71" t="s">
        <v>337</v>
      </c>
      <c r="B71" s="45">
        <v>10.76</v>
      </c>
      <c r="C71" s="43">
        <f t="shared" si="3"/>
        <v>21</v>
      </c>
      <c r="E71" t="str">
        <f>VLOOKUP(A71,MiscData!$AC$4:$AE$115,3,FALSE)</f>
        <v>LS</v>
      </c>
      <c r="F71" s="45">
        <f t="shared" si="2"/>
        <v>21</v>
      </c>
      <c r="M71" s="45">
        <f t="shared" si="1"/>
        <v>31.759999999999998</v>
      </c>
    </row>
    <row r="72" spans="1:13">
      <c r="A72" t="s">
        <v>329</v>
      </c>
      <c r="B72" s="45">
        <v>7</v>
      </c>
      <c r="C72" s="43">
        <f t="shared" si="3"/>
        <v>13</v>
      </c>
      <c r="E72" t="str">
        <f>VLOOKUP(A72,MiscData!$AC$4:$AE$115,3,FALSE)</f>
        <v>LS</v>
      </c>
      <c r="F72" s="45">
        <f t="shared" si="2"/>
        <v>13</v>
      </c>
      <c r="M72" s="45">
        <f t="shared" si="1"/>
        <v>20</v>
      </c>
    </row>
    <row r="73" spans="1:13">
      <c r="A73" t="s">
        <v>327</v>
      </c>
      <c r="B73" s="45">
        <v>143.9</v>
      </c>
      <c r="C73" s="43">
        <f t="shared" si="3"/>
        <v>275</v>
      </c>
      <c r="E73" t="str">
        <f>VLOOKUP(A73,MiscData!$AC$4:$AE$115,3,FALSE)</f>
        <v>LS</v>
      </c>
      <c r="F73" s="45">
        <f t="shared" si="2"/>
        <v>275</v>
      </c>
      <c r="M73" s="45">
        <f t="shared" si="1"/>
        <v>418.9</v>
      </c>
    </row>
    <row r="74" spans="1:13">
      <c r="A74" t="s">
        <v>453</v>
      </c>
      <c r="B74" s="45">
        <v>4.96</v>
      </c>
      <c r="C74" s="43">
        <f t="shared" si="3"/>
        <v>9</v>
      </c>
      <c r="E74" t="str">
        <f>VLOOKUP(A74,MiscData!$AC$4:$AE$115,3,FALSE)</f>
        <v>LS</v>
      </c>
      <c r="F74" s="45">
        <f t="shared" si="2"/>
        <v>9</v>
      </c>
      <c r="M74" s="45">
        <f t="shared" si="1"/>
        <v>13.96</v>
      </c>
    </row>
    <row r="75" spans="1:13">
      <c r="A75" t="s">
        <v>324</v>
      </c>
      <c r="B75" s="45">
        <v>21.26</v>
      </c>
      <c r="C75" s="43">
        <f t="shared" si="3"/>
        <v>41</v>
      </c>
      <c r="E75" t="e">
        <f>VLOOKUP(A75,MiscData!$AC$4:$AE$115,3,FALSE)</f>
        <v>#N/A</v>
      </c>
      <c r="F75" s="45">
        <f t="shared" si="2"/>
        <v>41</v>
      </c>
      <c r="M75" s="45">
        <f t="shared" si="1"/>
        <v>62.260000000000005</v>
      </c>
    </row>
    <row r="76" spans="1:13">
      <c r="A76" t="s">
        <v>346</v>
      </c>
      <c r="B76" s="45">
        <v>936.28</v>
      </c>
      <c r="C76" s="43">
        <f t="shared" si="3"/>
        <v>1788</v>
      </c>
      <c r="E76" t="str">
        <f>VLOOKUP(A76,MiscData!$AC$4:$AE$115,3,FALSE)</f>
        <v>LS</v>
      </c>
      <c r="F76" s="45">
        <f t="shared" si="2"/>
        <v>1788</v>
      </c>
      <c r="M76" s="45">
        <f t="shared" si="1"/>
        <v>2724.2799999999997</v>
      </c>
    </row>
    <row r="77" spans="1:13">
      <c r="A77" t="s">
        <v>378</v>
      </c>
      <c r="B77" s="45">
        <v>2048.62</v>
      </c>
      <c r="C77" s="43">
        <f t="shared" si="3"/>
        <v>3912</v>
      </c>
      <c r="E77" t="str">
        <f>VLOOKUP(A77,MiscData!$AC$4:$AE$115,3,FALSE)</f>
        <v>LS</v>
      </c>
      <c r="F77" s="45">
        <f t="shared" si="2"/>
        <v>3912</v>
      </c>
      <c r="M77" s="45">
        <f t="shared" si="1"/>
        <v>5960.62</v>
      </c>
    </row>
    <row r="78" spans="1:13">
      <c r="A78" t="s">
        <v>399</v>
      </c>
      <c r="B78" s="45">
        <v>4197.2</v>
      </c>
      <c r="C78" s="43">
        <f t="shared" si="3"/>
        <v>8016</v>
      </c>
      <c r="E78" t="str">
        <f>VLOOKUP(A78,MiscData!$AC$4:$AE$115,3,FALSE)</f>
        <v>LS</v>
      </c>
      <c r="F78" s="45">
        <f t="shared" si="2"/>
        <v>8016</v>
      </c>
      <c r="M78" s="45">
        <f t="shared" si="1"/>
        <v>12213.2</v>
      </c>
    </row>
    <row r="79" spans="1:13">
      <c r="A79" t="s">
        <v>349</v>
      </c>
      <c r="B79" s="45">
        <v>3670.73</v>
      </c>
      <c r="C79" s="43">
        <f t="shared" si="3"/>
        <v>7010</v>
      </c>
      <c r="E79" t="str">
        <f>VLOOKUP(A79,MiscData!$AC$4:$AE$115,3,FALSE)</f>
        <v>LS</v>
      </c>
      <c r="F79" s="45">
        <f t="shared" si="2"/>
        <v>7010</v>
      </c>
      <c r="M79" s="45">
        <f t="shared" si="1"/>
        <v>10680.73</v>
      </c>
    </row>
    <row r="80" spans="1:13">
      <c r="A80" t="s">
        <v>381</v>
      </c>
      <c r="B80" s="45">
        <v>6531.96</v>
      </c>
      <c r="C80" s="43">
        <f t="shared" si="3"/>
        <v>12475</v>
      </c>
      <c r="E80" t="str">
        <f>VLOOKUP(A80,MiscData!$AC$4:$AE$115,3,FALSE)</f>
        <v>LS</v>
      </c>
      <c r="F80" s="45">
        <f t="shared" si="2"/>
        <v>12475</v>
      </c>
      <c r="M80" s="45">
        <f t="shared" si="1"/>
        <v>19006.96</v>
      </c>
    </row>
    <row r="81" spans="1:13">
      <c r="A81" t="s">
        <v>375</v>
      </c>
      <c r="B81" s="45">
        <v>60.54</v>
      </c>
      <c r="C81" s="43">
        <f t="shared" ref="C81:C112" si="4">ROUND((B81/$G$7*-1)*$G$8,0)</f>
        <v>116</v>
      </c>
      <c r="E81" t="str">
        <f>VLOOKUP(A81,MiscData!$AC$4:$AE$115,3,FALSE)</f>
        <v>RLS</v>
      </c>
      <c r="F81" s="45">
        <f t="shared" si="2"/>
        <v>116</v>
      </c>
      <c r="M81" s="45">
        <f t="shared" ref="M81:M120" si="5">SUM(B81:C81)</f>
        <v>176.54</v>
      </c>
    </row>
    <row r="82" spans="1:13">
      <c r="A82" t="s">
        <v>400</v>
      </c>
      <c r="B82" s="45">
        <v>11656.13</v>
      </c>
      <c r="C82" s="43">
        <f t="shared" si="4"/>
        <v>22261</v>
      </c>
      <c r="E82" t="str">
        <f>VLOOKUP(A82,MiscData!$AC$4:$AE$115,3,FALSE)</f>
        <v>LS</v>
      </c>
      <c r="F82" s="45">
        <f t="shared" ref="F82:F120" si="6">C82</f>
        <v>22261</v>
      </c>
      <c r="M82" s="45">
        <f t="shared" si="5"/>
        <v>33917.129999999997</v>
      </c>
    </row>
    <row r="83" spans="1:13">
      <c r="A83" t="s">
        <v>342</v>
      </c>
      <c r="B83" s="45">
        <v>275.14</v>
      </c>
      <c r="C83" s="43">
        <f t="shared" si="4"/>
        <v>525</v>
      </c>
      <c r="E83" t="str">
        <f>VLOOKUP(A83,MiscData!$AC$4:$AE$115,3,FALSE)</f>
        <v>RLS</v>
      </c>
      <c r="F83" s="45">
        <f t="shared" si="6"/>
        <v>525</v>
      </c>
      <c r="M83" s="45">
        <f t="shared" si="5"/>
        <v>800.14</v>
      </c>
    </row>
    <row r="84" spans="1:13">
      <c r="A84" t="s">
        <v>386</v>
      </c>
      <c r="B84" s="45">
        <v>3948.46</v>
      </c>
      <c r="C84" s="43">
        <f t="shared" si="4"/>
        <v>7541</v>
      </c>
      <c r="E84" t="str">
        <f>VLOOKUP(A84,MiscData!$AC$4:$AE$115,3,FALSE)</f>
        <v>RLS</v>
      </c>
      <c r="F84" s="45">
        <f t="shared" si="6"/>
        <v>7541</v>
      </c>
      <c r="M84" s="45">
        <f t="shared" si="5"/>
        <v>11489.46</v>
      </c>
    </row>
    <row r="85" spans="1:13">
      <c r="A85" t="s">
        <v>343</v>
      </c>
      <c r="B85" s="45">
        <v>139.16999999999999</v>
      </c>
      <c r="C85" s="43">
        <f t="shared" si="4"/>
        <v>266</v>
      </c>
      <c r="E85" t="e">
        <f>VLOOKUP(A85,MiscData!$AC$4:$AE$115,3,FALSE)</f>
        <v>#N/A</v>
      </c>
      <c r="F85" s="45">
        <f t="shared" si="6"/>
        <v>266</v>
      </c>
      <c r="M85" s="45">
        <f t="shared" si="5"/>
        <v>405.16999999999996</v>
      </c>
    </row>
    <row r="86" spans="1:13">
      <c r="A86" t="s">
        <v>382</v>
      </c>
      <c r="B86" s="45">
        <v>68.56</v>
      </c>
      <c r="C86" s="43">
        <f t="shared" si="4"/>
        <v>131</v>
      </c>
      <c r="E86" t="str">
        <f>VLOOKUP(A86,MiscData!$AC$4:$AE$115,3,FALSE)</f>
        <v>RLS</v>
      </c>
      <c r="F86" s="45">
        <f t="shared" si="6"/>
        <v>131</v>
      </c>
      <c r="M86" s="45">
        <f t="shared" si="5"/>
        <v>199.56</v>
      </c>
    </row>
    <row r="87" spans="1:13">
      <c r="A87" t="s">
        <v>359</v>
      </c>
      <c r="B87" s="45">
        <v>1.27</v>
      </c>
      <c r="C87" s="43">
        <f t="shared" si="4"/>
        <v>2</v>
      </c>
      <c r="E87" t="str">
        <f>VLOOKUP(A87,MiscData!$AC$4:$AE$115,3,FALSE)</f>
        <v>RLS</v>
      </c>
      <c r="F87" s="45">
        <f t="shared" si="6"/>
        <v>2</v>
      </c>
      <c r="M87" s="45">
        <f t="shared" si="5"/>
        <v>3.27</v>
      </c>
    </row>
    <row r="88" spans="1:13">
      <c r="A88" t="s">
        <v>361</v>
      </c>
      <c r="B88" s="45">
        <v>60.63</v>
      </c>
      <c r="C88" s="43">
        <f t="shared" si="4"/>
        <v>116</v>
      </c>
      <c r="E88" t="e">
        <f>VLOOKUP(A88,MiscData!$AC$4:$AE$115,3,FALSE)</f>
        <v>#N/A</v>
      </c>
      <c r="F88" s="45">
        <f t="shared" si="6"/>
        <v>116</v>
      </c>
      <c r="M88" s="45">
        <f t="shared" si="5"/>
        <v>176.63</v>
      </c>
    </row>
    <row r="89" spans="1:13">
      <c r="A89" t="s">
        <v>367</v>
      </c>
      <c r="B89" s="45">
        <v>17.55</v>
      </c>
      <c r="C89" s="43">
        <f t="shared" si="4"/>
        <v>34</v>
      </c>
      <c r="E89" t="e">
        <f>VLOOKUP(A89,MiscData!$AC$4:$AE$115,3,FALSE)</f>
        <v>#N/A</v>
      </c>
      <c r="F89" s="45">
        <f t="shared" si="6"/>
        <v>34</v>
      </c>
      <c r="M89" s="45">
        <f t="shared" si="5"/>
        <v>51.55</v>
      </c>
    </row>
    <row r="90" spans="1:13">
      <c r="A90" t="s">
        <v>369</v>
      </c>
      <c r="B90" s="45">
        <v>75.040000000000006</v>
      </c>
      <c r="C90" s="43">
        <f t="shared" si="4"/>
        <v>143</v>
      </c>
      <c r="E90" t="e">
        <f>VLOOKUP(A90,MiscData!$AC$4:$AE$115,3,FALSE)</f>
        <v>#N/A</v>
      </c>
      <c r="F90" s="45">
        <f t="shared" si="6"/>
        <v>143</v>
      </c>
      <c r="M90" s="45">
        <f t="shared" si="5"/>
        <v>218.04000000000002</v>
      </c>
    </row>
    <row r="91" spans="1:13">
      <c r="A91" t="s">
        <v>390</v>
      </c>
      <c r="B91" s="45">
        <v>162.71</v>
      </c>
      <c r="C91" s="43">
        <f t="shared" si="4"/>
        <v>311</v>
      </c>
      <c r="E91" t="e">
        <f>VLOOKUP(A91,MiscData!$AC$4:$AE$115,3,FALSE)</f>
        <v>#N/A</v>
      </c>
      <c r="F91" s="45">
        <f t="shared" si="6"/>
        <v>311</v>
      </c>
      <c r="M91" s="45">
        <f t="shared" si="5"/>
        <v>473.71000000000004</v>
      </c>
    </row>
    <row r="92" spans="1:13">
      <c r="A92" t="s">
        <v>392</v>
      </c>
      <c r="B92" s="45">
        <v>667.73</v>
      </c>
      <c r="C92" s="43">
        <f t="shared" si="4"/>
        <v>1275</v>
      </c>
      <c r="E92" t="e">
        <f>VLOOKUP(A92,MiscData!$AC$4:$AE$115,3,FALSE)</f>
        <v>#N/A</v>
      </c>
      <c r="F92" s="45">
        <f t="shared" si="6"/>
        <v>1275</v>
      </c>
      <c r="M92" s="45">
        <f t="shared" si="5"/>
        <v>1942.73</v>
      </c>
    </row>
    <row r="93" spans="1:13">
      <c r="A93" t="s">
        <v>362</v>
      </c>
      <c r="B93" s="45">
        <v>34.18</v>
      </c>
      <c r="C93" s="43">
        <f t="shared" si="4"/>
        <v>65</v>
      </c>
      <c r="E93" t="e">
        <f>VLOOKUP(A93,MiscData!$AC$4:$AE$115,3,FALSE)</f>
        <v>#N/A</v>
      </c>
      <c r="F93" s="45">
        <f t="shared" si="6"/>
        <v>65</v>
      </c>
      <c r="M93" s="45">
        <f t="shared" si="5"/>
        <v>99.18</v>
      </c>
    </row>
    <row r="94" spans="1:13">
      <c r="A94" t="s">
        <v>372</v>
      </c>
      <c r="B94" s="45">
        <v>85.91</v>
      </c>
      <c r="C94" s="43">
        <f t="shared" si="4"/>
        <v>164</v>
      </c>
      <c r="E94" t="e">
        <f>VLOOKUP(A94,MiscData!$AC$4:$AE$115,3,FALSE)</f>
        <v>#N/A</v>
      </c>
      <c r="F94" s="45">
        <f t="shared" si="6"/>
        <v>164</v>
      </c>
      <c r="M94" s="45">
        <f t="shared" si="5"/>
        <v>249.91</v>
      </c>
    </row>
    <row r="95" spans="1:13">
      <c r="A95" t="s">
        <v>395</v>
      </c>
      <c r="B95" s="45">
        <v>865.24</v>
      </c>
      <c r="C95" s="43">
        <f t="shared" si="4"/>
        <v>1652</v>
      </c>
      <c r="E95" t="e">
        <f>VLOOKUP(A95,MiscData!$AC$4:$AE$115,3,FALSE)</f>
        <v>#N/A</v>
      </c>
      <c r="F95" s="45">
        <f t="shared" si="6"/>
        <v>1652</v>
      </c>
      <c r="M95" s="45">
        <f t="shared" si="5"/>
        <v>2517.2399999999998</v>
      </c>
    </row>
    <row r="96" spans="1:13">
      <c r="A96" t="s">
        <v>371</v>
      </c>
      <c r="B96" s="45">
        <v>31.58</v>
      </c>
      <c r="C96" s="43">
        <f t="shared" si="4"/>
        <v>60</v>
      </c>
      <c r="E96" t="str">
        <f>VLOOKUP(A96,MiscData!$AC$4:$AE$115,3,FALSE)</f>
        <v>LS</v>
      </c>
      <c r="F96" s="45">
        <f t="shared" si="6"/>
        <v>60</v>
      </c>
      <c r="M96" s="45">
        <f t="shared" si="5"/>
        <v>91.58</v>
      </c>
    </row>
    <row r="97" spans="1:13">
      <c r="A97" t="s">
        <v>394</v>
      </c>
      <c r="B97" s="45">
        <v>15.42</v>
      </c>
      <c r="C97" s="43">
        <f t="shared" si="4"/>
        <v>29</v>
      </c>
      <c r="E97" t="str">
        <f>VLOOKUP(A97,MiscData!$AC$4:$AE$115,3,FALSE)</f>
        <v>LS</v>
      </c>
      <c r="F97" s="45">
        <f t="shared" si="6"/>
        <v>29</v>
      </c>
      <c r="M97" s="45">
        <f t="shared" si="5"/>
        <v>44.42</v>
      </c>
    </row>
    <row r="98" spans="1:13">
      <c r="A98" t="s">
        <v>423</v>
      </c>
      <c r="B98" s="45">
        <v>48.57</v>
      </c>
      <c r="C98" s="43">
        <f t="shared" si="4"/>
        <v>93</v>
      </c>
      <c r="E98" t="e">
        <f>VLOOKUP(A98,MiscData!$AC$4:$AE$115,3,FALSE)</f>
        <v>#N/A</v>
      </c>
      <c r="F98" s="45">
        <f t="shared" si="6"/>
        <v>93</v>
      </c>
      <c r="M98" s="45">
        <f t="shared" si="5"/>
        <v>141.57</v>
      </c>
    </row>
    <row r="99" spans="1:13">
      <c r="A99" t="s">
        <v>678</v>
      </c>
      <c r="B99" s="45">
        <v>0</v>
      </c>
      <c r="C99" s="43">
        <f t="shared" si="4"/>
        <v>0</v>
      </c>
      <c r="E99" t="str">
        <f>VLOOKUP(A99,MiscData!$AC$4:$AE$115,3,FALSE)</f>
        <v>LS</v>
      </c>
      <c r="F99" s="45">
        <f t="shared" si="6"/>
        <v>0</v>
      </c>
      <c r="M99" s="45">
        <f t="shared" si="5"/>
        <v>0</v>
      </c>
    </row>
    <row r="100" spans="1:13">
      <c r="A100" t="s">
        <v>397</v>
      </c>
      <c r="B100" s="45">
        <v>483.93</v>
      </c>
      <c r="C100" s="43">
        <f t="shared" si="4"/>
        <v>924</v>
      </c>
      <c r="E100" t="e">
        <f>VLOOKUP(A100,MiscData!$AC$4:$AE$115,3,FALSE)</f>
        <v>#N/A</v>
      </c>
      <c r="F100" s="45">
        <f t="shared" si="6"/>
        <v>924</v>
      </c>
      <c r="M100" s="45">
        <f t="shared" si="5"/>
        <v>1407.93</v>
      </c>
    </row>
    <row r="101" spans="1:13">
      <c r="A101" t="s">
        <v>347</v>
      </c>
      <c r="B101" s="45">
        <v>1008.06</v>
      </c>
      <c r="C101" s="43">
        <f t="shared" si="4"/>
        <v>1925</v>
      </c>
      <c r="E101" t="e">
        <f>VLOOKUP(A101,MiscData!$AC$4:$AE$115,3,FALSE)</f>
        <v>#N/A</v>
      </c>
      <c r="F101" s="45">
        <f t="shared" si="6"/>
        <v>1925</v>
      </c>
      <c r="M101" s="45">
        <f t="shared" si="5"/>
        <v>2933.06</v>
      </c>
    </row>
    <row r="102" spans="1:13">
      <c r="A102" t="s">
        <v>447</v>
      </c>
      <c r="B102" s="45">
        <v>7.31</v>
      </c>
      <c r="C102" s="43">
        <f t="shared" si="4"/>
        <v>14</v>
      </c>
      <c r="E102" t="str">
        <f>VLOOKUP(A102,MiscData!$AC$4:$AE$115,3,FALSE)</f>
        <v>LS</v>
      </c>
      <c r="F102" s="45">
        <f t="shared" si="6"/>
        <v>14</v>
      </c>
      <c r="M102" s="45">
        <f t="shared" si="5"/>
        <v>21.31</v>
      </c>
    </row>
    <row r="103" spans="1:13">
      <c r="A103" t="s">
        <v>379</v>
      </c>
      <c r="B103" s="45">
        <v>1318.68</v>
      </c>
      <c r="C103" s="43">
        <f t="shared" si="4"/>
        <v>2518</v>
      </c>
      <c r="E103" t="str">
        <f>VLOOKUP(A103,MiscData!$AC$4:$AE$115,3,FALSE)</f>
        <v>LS</v>
      </c>
      <c r="F103" s="45">
        <f t="shared" si="6"/>
        <v>2518</v>
      </c>
      <c r="M103" s="45">
        <f t="shared" si="5"/>
        <v>3836.6800000000003</v>
      </c>
    </row>
    <row r="104" spans="1:13">
      <c r="A104" t="s">
        <v>624</v>
      </c>
      <c r="B104" s="45">
        <v>0.62</v>
      </c>
      <c r="C104" s="43">
        <f t="shared" si="4"/>
        <v>1</v>
      </c>
      <c r="E104" t="str">
        <f>VLOOKUP(A104,MiscData!$AC$4:$AE$115,3,FALSE)</f>
        <v>LS</v>
      </c>
      <c r="F104" s="45">
        <f t="shared" si="6"/>
        <v>1</v>
      </c>
      <c r="M104" s="45">
        <f t="shared" si="5"/>
        <v>1.62</v>
      </c>
    </row>
    <row r="105" spans="1:13">
      <c r="A105" t="s">
        <v>406</v>
      </c>
      <c r="B105" s="45">
        <v>0</v>
      </c>
      <c r="C105" s="43">
        <f t="shared" si="4"/>
        <v>0</v>
      </c>
      <c r="E105" t="e">
        <f>VLOOKUP(A105,MiscData!$AC$4:$AE$115,3,FALSE)</f>
        <v>#N/A</v>
      </c>
      <c r="F105" s="45">
        <f t="shared" si="6"/>
        <v>0</v>
      </c>
      <c r="M105" s="45">
        <f t="shared" si="5"/>
        <v>0</v>
      </c>
    </row>
    <row r="106" spans="1:13">
      <c r="A106" t="s">
        <v>322</v>
      </c>
      <c r="B106" s="45">
        <v>343.71</v>
      </c>
      <c r="C106" s="43">
        <f t="shared" si="4"/>
        <v>656</v>
      </c>
      <c r="E106" t="str">
        <f>VLOOKUP(A106,MiscData!$AC$4:$AE$115,3,FALSE)</f>
        <v>LS</v>
      </c>
      <c r="F106" s="45">
        <f t="shared" si="6"/>
        <v>656</v>
      </c>
      <c r="M106" s="45">
        <f t="shared" si="5"/>
        <v>999.71</v>
      </c>
    </row>
    <row r="107" spans="1:13">
      <c r="A107" t="s">
        <v>320</v>
      </c>
      <c r="B107" s="45">
        <v>117.38</v>
      </c>
      <c r="C107" s="43">
        <f t="shared" si="4"/>
        <v>224</v>
      </c>
      <c r="E107" t="str">
        <f>VLOOKUP(A107,MiscData!$AC$4:$AE$115,3,FALSE)</f>
        <v>RLS</v>
      </c>
      <c r="F107" s="45">
        <f t="shared" si="6"/>
        <v>224</v>
      </c>
      <c r="M107" s="45">
        <f t="shared" si="5"/>
        <v>341.38</v>
      </c>
    </row>
    <row r="108" spans="1:13">
      <c r="A108" t="s">
        <v>319</v>
      </c>
      <c r="B108" s="45">
        <v>31.5</v>
      </c>
      <c r="C108" s="43">
        <f t="shared" si="4"/>
        <v>60</v>
      </c>
      <c r="E108" t="str">
        <f>VLOOKUP(A108,MiscData!$AC$4:$AE$115,3,FALSE)</f>
        <v>RLS</v>
      </c>
      <c r="F108" s="45">
        <f t="shared" si="6"/>
        <v>60</v>
      </c>
      <c r="M108" s="45">
        <f t="shared" si="5"/>
        <v>91.5</v>
      </c>
    </row>
    <row r="109" spans="1:13">
      <c r="A109" t="s">
        <v>354</v>
      </c>
      <c r="B109" s="45">
        <v>3887.33</v>
      </c>
      <c r="C109" s="43">
        <f t="shared" si="4"/>
        <v>7424</v>
      </c>
      <c r="E109" t="str">
        <f>VLOOKUP(A109,MiscData!$AC$4:$AE$115,3,FALSE)</f>
        <v>LS</v>
      </c>
      <c r="F109" s="45">
        <f t="shared" si="6"/>
        <v>7424</v>
      </c>
      <c r="M109" s="45">
        <f t="shared" si="5"/>
        <v>11311.33</v>
      </c>
    </row>
    <row r="110" spans="1:13">
      <c r="A110" t="s">
        <v>352</v>
      </c>
      <c r="B110" s="45">
        <v>1087.53</v>
      </c>
      <c r="C110" s="43">
        <f t="shared" si="4"/>
        <v>2077</v>
      </c>
      <c r="E110" t="str">
        <f>VLOOKUP(A110,MiscData!$AC$4:$AE$115,3,FALSE)</f>
        <v>RLS</v>
      </c>
      <c r="F110" s="45">
        <f t="shared" si="6"/>
        <v>2077</v>
      </c>
      <c r="M110" s="45">
        <f t="shared" si="5"/>
        <v>3164.5299999999997</v>
      </c>
    </row>
    <row r="111" spans="1:13">
      <c r="A111" t="s">
        <v>351</v>
      </c>
      <c r="B111" s="45">
        <v>404.29</v>
      </c>
      <c r="C111" s="43">
        <f t="shared" si="4"/>
        <v>772</v>
      </c>
      <c r="E111" t="str">
        <f>VLOOKUP(A111,MiscData!$AC$4:$AE$115,3,FALSE)</f>
        <v>RLS</v>
      </c>
      <c r="F111" s="45">
        <f t="shared" si="6"/>
        <v>772</v>
      </c>
      <c r="M111" s="45">
        <f t="shared" si="5"/>
        <v>1176.29</v>
      </c>
    </row>
    <row r="112" spans="1:13">
      <c r="A112" t="s">
        <v>317</v>
      </c>
      <c r="B112" s="45">
        <v>1874.2</v>
      </c>
      <c r="C112" s="43">
        <f t="shared" si="4"/>
        <v>3579</v>
      </c>
      <c r="E112" t="str">
        <f>VLOOKUP(A112,MiscData!$AC$4:$AE$115,3,FALSE)</f>
        <v>LS</v>
      </c>
      <c r="F112" s="45">
        <f t="shared" si="6"/>
        <v>3579</v>
      </c>
      <c r="M112" s="45">
        <f t="shared" si="5"/>
        <v>5453.2</v>
      </c>
    </row>
    <row r="113" spans="1:13">
      <c r="A113" t="s">
        <v>315</v>
      </c>
      <c r="B113" s="45">
        <v>537.35</v>
      </c>
      <c r="C113" s="43">
        <f t="shared" ref="C113:C123" si="7">ROUND((B113/$G$7*-1)*$G$8,0)</f>
        <v>1026</v>
      </c>
      <c r="E113" t="str">
        <f>VLOOKUP(A113,MiscData!$AC$4:$AE$115,3,FALSE)</f>
        <v>RLS</v>
      </c>
      <c r="F113" s="45">
        <f t="shared" si="6"/>
        <v>1026</v>
      </c>
      <c r="M113" s="45">
        <f t="shared" si="5"/>
        <v>1563.35</v>
      </c>
    </row>
    <row r="114" spans="1:13">
      <c r="A114" t="s">
        <v>314</v>
      </c>
      <c r="B114" s="45">
        <v>186.14</v>
      </c>
      <c r="C114" s="43">
        <f t="shared" si="7"/>
        <v>355</v>
      </c>
      <c r="E114" t="str">
        <f>VLOOKUP(A114,MiscData!$AC$4:$AE$115,3,FALSE)</f>
        <v>RLS</v>
      </c>
      <c r="F114" s="45">
        <f t="shared" si="6"/>
        <v>355</v>
      </c>
      <c r="M114" s="45">
        <f t="shared" si="5"/>
        <v>541.14</v>
      </c>
    </row>
    <row r="115" spans="1:13">
      <c r="A115" t="s">
        <v>321</v>
      </c>
      <c r="B115" s="45">
        <v>37.96</v>
      </c>
      <c r="C115" s="43">
        <f t="shared" si="7"/>
        <v>72</v>
      </c>
      <c r="E115" t="str">
        <f>VLOOKUP(A115,MiscData!$AC$4:$AE$115,3,FALSE)</f>
        <v>LS</v>
      </c>
      <c r="F115" s="45">
        <f t="shared" si="6"/>
        <v>72</v>
      </c>
      <c r="M115" s="45">
        <f t="shared" si="5"/>
        <v>109.96000000000001</v>
      </c>
    </row>
    <row r="116" spans="1:13">
      <c r="A116" t="s">
        <v>318</v>
      </c>
      <c r="B116" s="45">
        <v>288.62</v>
      </c>
      <c r="C116" s="43">
        <f t="shared" si="7"/>
        <v>551</v>
      </c>
      <c r="E116" t="str">
        <f>VLOOKUP(A116,MiscData!$AC$4:$AE$115,3,FALSE)</f>
        <v>LS</v>
      </c>
      <c r="F116" s="45">
        <f t="shared" si="6"/>
        <v>551</v>
      </c>
      <c r="M116" s="45">
        <f t="shared" si="5"/>
        <v>839.62</v>
      </c>
    </row>
    <row r="117" spans="1:13">
      <c r="A117" t="s">
        <v>353</v>
      </c>
      <c r="B117" s="45">
        <v>278.56</v>
      </c>
      <c r="C117" s="43">
        <f t="shared" si="7"/>
        <v>532</v>
      </c>
      <c r="E117" t="str">
        <f>VLOOKUP(A117,MiscData!$AC$4:$AE$115,3,FALSE)</f>
        <v>LS</v>
      </c>
      <c r="F117" s="45">
        <f t="shared" si="6"/>
        <v>532</v>
      </c>
      <c r="M117" s="45">
        <f t="shared" si="5"/>
        <v>810.56</v>
      </c>
    </row>
    <row r="118" spans="1:13">
      <c r="A118" t="s">
        <v>350</v>
      </c>
      <c r="B118" s="45">
        <v>954.59</v>
      </c>
      <c r="C118" s="43">
        <f t="shared" si="7"/>
        <v>1823</v>
      </c>
      <c r="E118" t="str">
        <f>VLOOKUP(A118,MiscData!$AC$4:$AE$115,3,FALSE)</f>
        <v>LS</v>
      </c>
      <c r="F118" s="45">
        <f t="shared" si="6"/>
        <v>1823</v>
      </c>
      <c r="M118" s="45">
        <f t="shared" si="5"/>
        <v>2777.59</v>
      </c>
    </row>
    <row r="119" spans="1:13">
      <c r="A119" t="s">
        <v>316</v>
      </c>
      <c r="B119" s="45">
        <v>97.11</v>
      </c>
      <c r="C119" s="43">
        <f t="shared" si="7"/>
        <v>185</v>
      </c>
      <c r="E119" t="str">
        <f>VLOOKUP(A119,MiscData!$AC$4:$AE$115,3,FALSE)</f>
        <v>LS</v>
      </c>
      <c r="F119" s="45">
        <f t="shared" si="6"/>
        <v>185</v>
      </c>
      <c r="M119" s="45">
        <f t="shared" si="5"/>
        <v>282.11</v>
      </c>
    </row>
    <row r="120" spans="1:13">
      <c r="A120" t="s">
        <v>313</v>
      </c>
      <c r="B120" s="45">
        <v>403.66</v>
      </c>
      <c r="C120" s="43">
        <f t="shared" si="7"/>
        <v>771</v>
      </c>
      <c r="E120" t="str">
        <f>VLOOKUP(A120,MiscData!$AC$4:$AE$115,3,FALSE)</f>
        <v>LS</v>
      </c>
      <c r="F120" s="45">
        <f t="shared" si="6"/>
        <v>771</v>
      </c>
      <c r="M120" s="45">
        <f t="shared" si="5"/>
        <v>1174.6600000000001</v>
      </c>
    </row>
    <row r="121" spans="1:13">
      <c r="C121" s="43">
        <f t="shared" si="7"/>
        <v>0</v>
      </c>
    </row>
    <row r="122" spans="1:13">
      <c r="A122" t="s">
        <v>208</v>
      </c>
      <c r="B122" s="45">
        <v>436201.51</v>
      </c>
      <c r="C122" s="43">
        <f t="shared" si="7"/>
        <v>833050</v>
      </c>
      <c r="M122" s="45">
        <f t="shared" ref="M122:M123" si="8">SUM(B122:C122)</f>
        <v>1269251.51</v>
      </c>
    </row>
    <row r="123" spans="1:13">
      <c r="A123" t="s">
        <v>17</v>
      </c>
      <c r="B123" s="45">
        <v>471346.54</v>
      </c>
      <c r="C123" s="43">
        <f t="shared" si="7"/>
        <v>900169</v>
      </c>
      <c r="M123" s="45">
        <f t="shared" si="8"/>
        <v>1371515.54</v>
      </c>
    </row>
    <row r="124" spans="1:13">
      <c r="C124" s="43"/>
    </row>
    <row r="125" spans="1:13">
      <c r="A125" t="s">
        <v>24</v>
      </c>
      <c r="B125" s="45">
        <v>963884.3</v>
      </c>
      <c r="C125" s="43">
        <f>ROUND((B125/$G$7*-1)*$G$8,0)</f>
        <v>1840809</v>
      </c>
      <c r="M125" s="45">
        <f>SUM(B125:C125)</f>
        <v>2804693.3</v>
      </c>
    </row>
    <row r="126" spans="1:13">
      <c r="A126" t="s">
        <v>25</v>
      </c>
      <c r="B126" s="309">
        <v>239821.48</v>
      </c>
      <c r="C126" s="43">
        <f>ROUND((B126/$G$7*-1)*$G$8,0)</f>
        <v>458007</v>
      </c>
      <c r="M126" s="45">
        <f>SUM(B126:C126)</f>
        <v>697828.48</v>
      </c>
    </row>
    <row r="127" spans="1:13">
      <c r="C127" s="43"/>
    </row>
    <row r="128" spans="1:13">
      <c r="A128" t="s">
        <v>204</v>
      </c>
      <c r="B128" s="45">
        <v>76656.88</v>
      </c>
      <c r="C128" s="43">
        <f>ROUND((B128/$G$7*-1)*$G$8,0)</f>
        <v>146398</v>
      </c>
      <c r="M128" s="45">
        <f>SUM(B128:C128)</f>
        <v>223054.88</v>
      </c>
    </row>
    <row r="129" spans="1:13">
      <c r="C129" s="43"/>
    </row>
    <row r="130" spans="1:13">
      <c r="A130" t="s">
        <v>205</v>
      </c>
      <c r="B130" s="309">
        <v>572888.69999999995</v>
      </c>
      <c r="C130" s="43">
        <f>ROUND((B130/$G$7*-1)*$G$8,0)</f>
        <v>1094093</v>
      </c>
      <c r="M130" s="45">
        <f>SUM(B130:C130)</f>
        <v>1666981.7</v>
      </c>
    </row>
    <row r="131" spans="1:13">
      <c r="C131" s="43"/>
    </row>
    <row r="132" spans="1:13">
      <c r="A132" t="s">
        <v>18</v>
      </c>
      <c r="B132" s="45">
        <v>241123.72</v>
      </c>
      <c r="C132" s="43">
        <f>ROUND((B132/$G$7*-1)*$G$8,0)</f>
        <v>460494</v>
      </c>
      <c r="M132" s="45">
        <f>SUM(B132:C132)</f>
        <v>701617.72</v>
      </c>
    </row>
    <row r="133" spans="1:13">
      <c r="C133" s="43"/>
    </row>
    <row r="134" spans="1:13">
      <c r="A134" t="s">
        <v>27</v>
      </c>
      <c r="B134" s="45">
        <v>59570.87</v>
      </c>
      <c r="C134" s="43">
        <f>ROUND((B134/$G$7*-1)*$G$8,0)</f>
        <v>113767</v>
      </c>
      <c r="M134" s="45">
        <f>SUM(B134:C134)</f>
        <v>173337.87</v>
      </c>
    </row>
    <row r="136" spans="1:13">
      <c r="A136" t="s">
        <v>708</v>
      </c>
      <c r="B136" s="43">
        <f>SUMIF($E$17:$E$120,A136,$B$17:$B$120)</f>
        <v>0</v>
      </c>
      <c r="C136" s="43">
        <f>SUMIF($E$17:$E$120,A136,$F$17:$F$120)</f>
        <v>0</v>
      </c>
      <c r="M136" s="45">
        <f t="shared" ref="M136:M138" si="9">SUM(B136:C136)</f>
        <v>0</v>
      </c>
    </row>
    <row r="137" spans="1:13">
      <c r="A137" t="s">
        <v>665</v>
      </c>
      <c r="B137" s="43">
        <f t="shared" ref="B137:B138" si="10">SUMIF($E$17:$E$120,A137,$B$17:$B$120)</f>
        <v>0</v>
      </c>
      <c r="C137" s="43">
        <f>SUMIF($E$17:$E$120,A137,$F$17:$F$120)</f>
        <v>0</v>
      </c>
      <c r="M137" s="45">
        <f t="shared" si="9"/>
        <v>0</v>
      </c>
    </row>
    <row r="138" spans="1:13">
      <c r="A138" t="s">
        <v>666</v>
      </c>
      <c r="B138" s="43">
        <f t="shared" si="10"/>
        <v>0</v>
      </c>
      <c r="C138" s="43">
        <f>SUMIF($E$17:$E$120,A138,$F$17:$F$120)</f>
        <v>0</v>
      </c>
      <c r="M138" s="45">
        <f t="shared" si="9"/>
        <v>0</v>
      </c>
    </row>
    <row r="140" spans="1:13">
      <c r="B140" s="45">
        <f>SUM(B4:B16,B121:B138)</f>
        <v>5055612.8099999996</v>
      </c>
      <c r="C140" s="45">
        <f>SUM(C4:C134)</f>
        <v>9828313</v>
      </c>
      <c r="M140" s="45">
        <f>SUM(M4:M134)</f>
        <v>14974615.999999998</v>
      </c>
    </row>
    <row r="141" spans="1:13">
      <c r="C141" s="45"/>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I160"/>
  <sheetViews>
    <sheetView workbookViewId="0"/>
  </sheetViews>
  <sheetFormatPr defaultRowHeight="12"/>
  <cols>
    <col min="1" max="1" width="52.6640625" style="77" customWidth="1"/>
    <col min="2" max="2" width="9.33203125" style="77"/>
    <col min="3" max="4" width="18.33203125" style="77" bestFit="1" customWidth="1"/>
    <col min="5" max="5" width="17.83203125" style="77" bestFit="1" customWidth="1"/>
    <col min="6" max="6" width="3.33203125" style="77" customWidth="1"/>
    <col min="7" max="7" width="12.5" style="77" bestFit="1" customWidth="1"/>
    <col min="8" max="8" width="18.1640625" style="77" bestFit="1" customWidth="1"/>
    <col min="9" max="9" width="15.1640625" style="77" customWidth="1"/>
    <col min="10" max="10" width="3.5" style="77" customWidth="1"/>
    <col min="11" max="11" width="19.6640625" style="77" bestFit="1" customWidth="1"/>
    <col min="12" max="12" width="16.5" style="77" customWidth="1"/>
    <col min="13" max="13" width="15.1640625" style="77" bestFit="1" customWidth="1"/>
    <col min="14" max="14" width="3.83203125" style="77" customWidth="1"/>
    <col min="15" max="15" width="10" style="79" bestFit="1" customWidth="1"/>
    <col min="16" max="16" width="19.83203125" style="79" customWidth="1"/>
    <col min="17" max="26" width="9.33203125" style="77"/>
    <col min="27" max="27" width="10.6640625" style="77" bestFit="1" customWidth="1"/>
    <col min="28" max="30" width="18.6640625" style="77" bestFit="1" customWidth="1"/>
    <col min="31" max="32" width="19.1640625" style="77" bestFit="1" customWidth="1"/>
    <col min="33" max="33" width="12.33203125" style="77" bestFit="1" customWidth="1"/>
    <col min="34" max="34" width="9.33203125" style="77"/>
    <col min="35" max="35" width="10" style="77" bestFit="1" customWidth="1"/>
    <col min="36" max="16384" width="9.33203125" style="77"/>
  </cols>
  <sheetData>
    <row r="1" spans="1:35">
      <c r="Y1" s="77" t="s">
        <v>149</v>
      </c>
      <c r="AB1" s="60" t="str">
        <f>TEXT(MiscData!$D$1,"mmmyy")&amp;"-"&amp;TEXT(MiscData!$B$23,"mmmyy")</f>
        <v>Jul15-Jul14</v>
      </c>
    </row>
    <row r="2" spans="1:35">
      <c r="Y2" s="77" t="s">
        <v>150</v>
      </c>
      <c r="AB2" s="60" t="str">
        <f>TEXT(MiscData!$A$24,"mmmyy")&amp;"-"&amp;TEXT(MiscData!$B$24,"mmmyy")</f>
        <v>Aug14-Aug14</v>
      </c>
    </row>
    <row r="3" spans="1:35">
      <c r="Y3" s="80" t="s">
        <v>151</v>
      </c>
      <c r="AB3" s="60" t="str">
        <f>TEXT(MiscData!$A$25,"mmmyy")&amp;"-"&amp;TEXT(MiscData!$F$1,"mmmyy")</f>
        <v>Sep14-Jun16</v>
      </c>
    </row>
    <row r="4" spans="1:35" ht="12.75">
      <c r="A4" s="81" t="str">
        <f>"Based on Sales for the 12 months ended "&amp;TEXT(MiscData!F1,"mmmm dd, yyyy")</f>
        <v>Based on Sales for the 12 months ended June 30, 2016</v>
      </c>
      <c r="B4" s="82"/>
      <c r="C4" s="83"/>
      <c r="D4" s="84"/>
      <c r="E4" s="84"/>
      <c r="F4" s="85"/>
      <c r="G4" s="82"/>
      <c r="H4" s="86"/>
      <c r="I4" s="86"/>
      <c r="J4" s="83"/>
      <c r="K4" s="83"/>
      <c r="L4" s="83"/>
      <c r="M4" s="83"/>
      <c r="N4" s="82"/>
      <c r="O4" s="87"/>
      <c r="P4" s="87"/>
      <c r="AB4" s="77" t="s">
        <v>94</v>
      </c>
    </row>
    <row r="5" spans="1:35" ht="12.75">
      <c r="A5" s="88" t="str">
        <f>"Including the "&amp;MiscData!D24&amp;" effective on "&amp;TEXT(MiscData!$A$24,"mmmm dd, yyyy")</f>
        <v>Including the  effective on August 01, 2014</v>
      </c>
      <c r="B5" s="82"/>
      <c r="C5" s="85"/>
      <c r="D5" s="85"/>
      <c r="E5" s="85"/>
      <c r="F5" s="85"/>
      <c r="G5" s="82"/>
      <c r="H5" s="86"/>
      <c r="I5" s="86"/>
      <c r="J5" s="83"/>
      <c r="K5" s="86"/>
      <c r="L5" s="86"/>
      <c r="M5" s="86"/>
      <c r="N5" s="82"/>
      <c r="O5" s="89"/>
      <c r="P5" s="87"/>
      <c r="AB5" s="77" t="s">
        <v>148</v>
      </c>
    </row>
    <row r="6" spans="1:35" ht="12.75">
      <c r="A6" s="88" t="str">
        <f>"Including the "&amp;MiscData!D25&amp;" effective on "&amp;TEXT(MiscData!$A$25-3,"mmmm dd, yyyy")</f>
        <v>Including the base period forecast effective on August 29, 2014</v>
      </c>
      <c r="B6" s="82"/>
      <c r="C6" s="85"/>
      <c r="D6" s="85"/>
      <c r="E6" s="85"/>
      <c r="F6" s="85"/>
      <c r="G6" s="82"/>
      <c r="H6" s="86"/>
      <c r="I6" s="86"/>
      <c r="J6" s="83"/>
      <c r="K6" s="86" t="s">
        <v>136</v>
      </c>
      <c r="L6" s="86" t="s">
        <v>136</v>
      </c>
      <c r="M6" s="86" t="s">
        <v>136</v>
      </c>
      <c r="N6" s="82"/>
      <c r="O6" s="87"/>
      <c r="P6" s="87"/>
      <c r="AB6" s="77" t="s">
        <v>477</v>
      </c>
    </row>
    <row r="7" spans="1:35" ht="12.75">
      <c r="A7" s="88"/>
      <c r="B7" s="82"/>
      <c r="C7" s="86" t="s">
        <v>482</v>
      </c>
      <c r="D7" s="86" t="s">
        <v>482</v>
      </c>
      <c r="E7" s="86" t="s">
        <v>482</v>
      </c>
      <c r="F7" s="90"/>
      <c r="G7" s="86" t="str">
        <f>$AB$1</f>
        <v>Jul15-Jul14</v>
      </c>
      <c r="H7" s="86" t="str">
        <f>$AB$2</f>
        <v>Aug14-Aug14</v>
      </c>
      <c r="I7" s="86" t="s">
        <v>706</v>
      </c>
      <c r="J7" s="86"/>
      <c r="K7" s="86" t="s">
        <v>483</v>
      </c>
      <c r="L7" s="86" t="s">
        <v>484</v>
      </c>
      <c r="M7" s="86" t="s">
        <v>704</v>
      </c>
      <c r="N7" s="86"/>
      <c r="O7" s="87"/>
      <c r="P7" s="87"/>
      <c r="AB7" s="80" t="s">
        <v>478</v>
      </c>
    </row>
    <row r="8" spans="1:35" ht="12.75">
      <c r="A8" s="91"/>
      <c r="B8" s="82"/>
      <c r="C8" s="92" t="str">
        <f>$AB$1&amp;" Rates"</f>
        <v>Jul15-Jul14 Rates</v>
      </c>
      <c r="D8" s="92" t="str">
        <f>$AB$2&amp;" Rates"</f>
        <v>Aug14-Aug14 Rates</v>
      </c>
      <c r="E8" s="92" t="str">
        <f>$AB$3&amp;" Rates"</f>
        <v>Sep14-Jun16 Rates</v>
      </c>
      <c r="F8" s="86"/>
      <c r="G8" s="93" t="s">
        <v>118</v>
      </c>
      <c r="H8" s="93" t="s">
        <v>118</v>
      </c>
      <c r="I8" s="93" t="s">
        <v>118</v>
      </c>
      <c r="J8" s="86"/>
      <c r="K8" s="93" t="str">
        <f>"Ended "&amp;TEXT(MiscData!F1,"mmmm dd, yyyy")</f>
        <v>Ended June 30, 2016</v>
      </c>
      <c r="L8" s="93" t="s">
        <v>485</v>
      </c>
      <c r="M8" s="93" t="s">
        <v>705</v>
      </c>
      <c r="N8" s="86"/>
      <c r="O8" s="87"/>
      <c r="P8" s="87"/>
      <c r="AB8" s="77" t="s">
        <v>480</v>
      </c>
    </row>
    <row r="9" spans="1:35" ht="12.75">
      <c r="A9" s="91"/>
      <c r="B9" s="82"/>
      <c r="C9" s="94"/>
      <c r="D9" s="95"/>
      <c r="E9" s="95"/>
      <c r="F9" s="83"/>
      <c r="G9" s="83"/>
      <c r="H9" s="83"/>
      <c r="I9" s="83"/>
      <c r="J9" s="83"/>
      <c r="K9" s="83"/>
      <c r="L9" s="83"/>
      <c r="M9" s="83"/>
      <c r="N9" s="83"/>
      <c r="O9" s="96"/>
      <c r="P9" s="96"/>
    </row>
    <row r="10" spans="1:35" ht="12.75">
      <c r="A10" s="91"/>
      <c r="B10" s="82"/>
      <c r="C10" s="94"/>
      <c r="D10" s="95"/>
      <c r="E10" s="95"/>
      <c r="F10" s="83"/>
      <c r="G10" s="83"/>
      <c r="H10" s="83"/>
      <c r="I10" s="83"/>
      <c r="J10" s="83"/>
      <c r="K10" s="83"/>
      <c r="L10" s="83"/>
      <c r="M10" s="83"/>
      <c r="N10" s="83"/>
      <c r="O10" s="96"/>
      <c r="P10" s="96"/>
    </row>
    <row r="11" spans="1:35" ht="12.75">
      <c r="A11" s="91"/>
      <c r="B11" s="82"/>
      <c r="C11" s="94"/>
      <c r="D11" s="95"/>
      <c r="E11" s="95"/>
      <c r="F11" s="83"/>
      <c r="G11" s="83"/>
      <c r="H11" s="83"/>
      <c r="I11" s="83"/>
      <c r="J11" s="83"/>
      <c r="K11" s="83"/>
      <c r="L11" s="83"/>
      <c r="M11" s="83"/>
      <c r="N11" s="83"/>
      <c r="O11" s="96"/>
      <c r="P11" s="96"/>
    </row>
    <row r="12" spans="1:35" ht="13.5" thickBot="1">
      <c r="A12" s="91"/>
      <c r="B12" s="82"/>
      <c r="C12" s="94"/>
      <c r="D12" s="95"/>
      <c r="E12" s="95"/>
      <c r="F12" s="83"/>
      <c r="G12" s="83"/>
      <c r="H12" s="83"/>
      <c r="I12" s="83"/>
      <c r="J12" s="83"/>
      <c r="K12" s="83"/>
      <c r="L12" s="83"/>
      <c r="M12" s="83"/>
      <c r="N12" s="83"/>
      <c r="O12" s="96"/>
      <c r="P12" s="96"/>
    </row>
    <row r="13" spans="1:35" ht="12.75">
      <c r="A13" s="97" t="s">
        <v>481</v>
      </c>
      <c r="B13" s="98"/>
      <c r="C13" s="99"/>
      <c r="D13" s="98"/>
      <c r="E13" s="98"/>
      <c r="F13" s="99"/>
      <c r="G13" s="99"/>
      <c r="H13" s="99"/>
      <c r="I13" s="99"/>
      <c r="J13" s="99"/>
      <c r="K13" s="98"/>
      <c r="L13" s="98"/>
      <c r="M13" s="98"/>
      <c r="N13" s="100"/>
      <c r="O13" s="101"/>
      <c r="P13" s="101"/>
    </row>
    <row r="14" spans="1:35" ht="12.75">
      <c r="A14" s="102" t="s">
        <v>511</v>
      </c>
      <c r="B14" s="82"/>
      <c r="C14" s="103"/>
      <c r="D14" s="82"/>
      <c r="E14" s="82"/>
      <c r="F14" s="103"/>
      <c r="G14" s="103"/>
      <c r="H14" s="103"/>
      <c r="I14" s="103"/>
      <c r="J14" s="103"/>
      <c r="K14" s="82"/>
      <c r="L14" s="82"/>
      <c r="M14" s="82"/>
      <c r="N14" s="104"/>
      <c r="O14" s="101"/>
      <c r="P14" s="101"/>
    </row>
    <row r="15" spans="1:35" ht="12.75">
      <c r="A15" s="105" t="s">
        <v>486</v>
      </c>
      <c r="B15" s="82"/>
      <c r="C15" s="85"/>
      <c r="D15" s="85"/>
      <c r="E15" s="85"/>
      <c r="F15" s="82"/>
      <c r="G15" s="82"/>
      <c r="H15" s="106"/>
      <c r="I15" s="107"/>
      <c r="J15" s="108"/>
      <c r="K15" s="106"/>
      <c r="L15" s="107"/>
      <c r="M15" s="107"/>
      <c r="N15" s="109"/>
      <c r="O15" s="106"/>
      <c r="P15" s="110"/>
      <c r="Y15" s="77" t="s">
        <v>174</v>
      </c>
      <c r="AB15" s="85" t="str">
        <f>MiscData!$C$23&amp;$Y$15</f>
        <v>20140101KURSE010</v>
      </c>
      <c r="AC15" s="85" t="str">
        <f>MiscData!$C$23&amp;$Y$16</f>
        <v>20140101KURSE020</v>
      </c>
      <c r="AD15" s="85"/>
      <c r="AE15" s="85"/>
      <c r="AF15" s="85"/>
      <c r="AG15" s="111" t="s">
        <v>174</v>
      </c>
      <c r="AI15" s="111"/>
    </row>
    <row r="16" spans="1:35" ht="12.75">
      <c r="A16" s="112" t="s">
        <v>487</v>
      </c>
      <c r="B16" s="113" t="s">
        <v>356</v>
      </c>
      <c r="C16" s="114">
        <f>SUMIF(_12MonLights_TariffRateCategory,MiscData!$C$23&amp;$B16,_12MonLights_Count)+SUMIF(_12MonLights_TariffRateCategory,MiscData!$C$23&amp;$B16,_12MonLights_Count_Adj)</f>
        <v>78906</v>
      </c>
      <c r="D16" s="114">
        <f>SUMIF(_12MonLights_TariffRateCategory,MiscData!$C$24&amp;$B16,_12MonLights_Count)+SUMIF(_12MonLights_TariffRateCategory,MiscData!$C$23&amp;$B16,_12MonLights_Count_Adj)</f>
        <v>78906</v>
      </c>
      <c r="E16" s="114">
        <f>SUMIF(_12MonLights_TariffRateCategory,MiscData!$C$25&amp;$B16,_12MonLights_Count)+SUMIF(_12MonLights_TariffRateCategory,MiscData!$C$23&amp;$B16,_12MonLights_Count_Adj)</f>
        <v>78906</v>
      </c>
      <c r="F16" s="82"/>
      <c r="G16" s="115">
        <f>SUMIF(_Lights_Tariff_Category,MiscData!$C$23&amp;$B16,_Lights_Rates)</f>
        <v>7.54</v>
      </c>
      <c r="H16" s="115">
        <f>SUMIF(_Lights_Tariff_Category,MiscData!$C$24&amp;$B16,_Lights_Rates)</f>
        <v>7.54</v>
      </c>
      <c r="I16" s="115">
        <f>SUMIF(_Lights_Tariff_Category,MiscData!$C$25&amp;$B16,_Lights_Rates)-SUMIF(_Lights_Tariff_Category,MiscData!$C$25&amp;$B16,_Rates_Lights_ECR)</f>
        <v>7.21</v>
      </c>
      <c r="J16" s="82"/>
      <c r="K16" s="115">
        <f t="shared" ref="K16:K25" si="0">ROUND(SUM($C16*$G16,$D16*$H16,$E16*$I16),2)</f>
        <v>1758814.74</v>
      </c>
      <c r="L16" s="115">
        <f t="shared" ref="L16:L25" si="1">ROUND(SUM($C16*$H16,$D16*$H16,$E16*$I16),2)</f>
        <v>1758814.74</v>
      </c>
      <c r="M16" s="115">
        <f t="shared" ref="M16:M25" si="2">ROUND(SUM($C16*$I16,$D16*$I16,$E16*$I16),2)</f>
        <v>1706736.78</v>
      </c>
      <c r="N16" s="109"/>
      <c r="O16" s="106"/>
      <c r="P16" s="110"/>
      <c r="Y16" s="80" t="s">
        <v>175</v>
      </c>
      <c r="AB16" s="85" t="str">
        <f>MiscData!$C$24&amp;$Y$15</f>
        <v>20140101KURSE010</v>
      </c>
      <c r="AC16" s="85" t="str">
        <f>MiscData!$C$24&amp;$Y$16</f>
        <v>20140101KURSE020</v>
      </c>
      <c r="AD16" s="85"/>
      <c r="AE16" s="85"/>
      <c r="AF16" s="85"/>
      <c r="AG16" s="111" t="s">
        <v>175</v>
      </c>
      <c r="AI16" s="111"/>
    </row>
    <row r="17" spans="1:35" ht="12.75">
      <c r="A17" s="116" t="s">
        <v>488</v>
      </c>
      <c r="B17" s="117" t="s">
        <v>355</v>
      </c>
      <c r="C17" s="114">
        <f>SUMIF(_12MonLights_TariffRateCategory,MiscData!$C$23&amp;$B17,_12MonLights_Count)+SUMIF(_12MonLights_TariffRateCategory,MiscData!$C$23&amp;$B17,_12MonLights_Count_Adj)</f>
        <v>43379</v>
      </c>
      <c r="D17" s="114">
        <f>SUMIF(_12MonLights_TariffRateCategory,MiscData!$C$24&amp;$B17,_12MonLights_Count)+SUMIF(_12MonLights_TariffRateCategory,MiscData!$C$23&amp;$B17,_12MonLights_Count_Adj)</f>
        <v>43379</v>
      </c>
      <c r="E17" s="114">
        <f>SUMIF(_12MonLights_TariffRateCategory,MiscData!$C$25&amp;$B17,_12MonLights_Count)+SUMIF(_12MonLights_TariffRateCategory,MiscData!$C$23&amp;$B17,_12MonLights_Count_Adj)</f>
        <v>43379</v>
      </c>
      <c r="F17" s="82"/>
      <c r="G17" s="115">
        <f>SUMIF(_Lights_Tariff_Category,MiscData!$C$23&amp;$B17,_Lights_Rates)</f>
        <v>10.49</v>
      </c>
      <c r="H17" s="115">
        <f>SUMIF(_Lights_Tariff_Category,MiscData!$C$24&amp;$B17,_Lights_Rates)</f>
        <v>10.49</v>
      </c>
      <c r="I17" s="115">
        <f>SUMIF(_Lights_Tariff_Category,MiscData!$C$25&amp;$B17,_Lights_Rates)-SUMIF(_Lights_Tariff_Category,MiscData!$C$25&amp;$B17,_Rates_Lights_ECR)</f>
        <v>10.16</v>
      </c>
      <c r="J17" s="82"/>
      <c r="K17" s="115">
        <f t="shared" si="0"/>
        <v>1350822.06</v>
      </c>
      <c r="L17" s="115">
        <f t="shared" si="1"/>
        <v>1350822.06</v>
      </c>
      <c r="M17" s="115">
        <f t="shared" si="2"/>
        <v>1322191.92</v>
      </c>
      <c r="N17" s="109"/>
      <c r="O17" s="106"/>
      <c r="P17" s="110"/>
      <c r="AB17" s="85" t="str">
        <f>MiscData!$C$25&amp;$Y$15</f>
        <v>20140101KURSE010</v>
      </c>
      <c r="AC17" s="85" t="str">
        <f>MiscData!$C$25&amp;$Y$16</f>
        <v>20140101KURSE020</v>
      </c>
      <c r="AD17" s="85"/>
      <c r="AE17" s="85"/>
      <c r="AF17" s="85"/>
      <c r="AG17" s="111" t="s">
        <v>176</v>
      </c>
      <c r="AI17" s="111"/>
    </row>
    <row r="18" spans="1:35" ht="12.75">
      <c r="A18" s="116" t="s">
        <v>489</v>
      </c>
      <c r="B18" s="117" t="s">
        <v>365</v>
      </c>
      <c r="C18" s="114">
        <f>SUMIF(_12MonLights_TariffRateCategory,MiscData!$C$23&amp;$B18,_12MonLights_Count)+SUMIF(_12MonLights_TariffRateCategory,MiscData!$C$23&amp;$B18,_12MonLights_Count_Adj)</f>
        <v>102659</v>
      </c>
      <c r="D18" s="114">
        <f>SUMIF(_12MonLights_TariffRateCategory,MiscData!$C$24&amp;$B18,_12MonLights_Count)+SUMIF(_12MonLights_TariffRateCategory,MiscData!$C$23&amp;$B18,_12MonLights_Count_Adj)</f>
        <v>102659</v>
      </c>
      <c r="E18" s="114">
        <f>SUMIF(_12MonLights_TariffRateCategory,MiscData!$C$25&amp;$B18,_12MonLights_Count)+SUMIF(_12MonLights_TariffRateCategory,MiscData!$C$23&amp;$B18,_12MonLights_Count_Adj)</f>
        <v>102659</v>
      </c>
      <c r="F18" s="82"/>
      <c r="G18" s="115">
        <f>SUMIF(_Lights_Tariff_Category,MiscData!$C$23&amp;$B18,_Lights_Rates)</f>
        <v>8.66</v>
      </c>
      <c r="H18" s="115">
        <f>SUMIF(_Lights_Tariff_Category,MiscData!$C$24&amp;$B18,_Lights_Rates)</f>
        <v>8.66</v>
      </c>
      <c r="I18" s="115">
        <f>SUMIF(_Lights_Tariff_Category,MiscData!$C$25&amp;$B18,_Lights_Rates)-SUMIF(_Lights_Tariff_Category,MiscData!$C$25&amp;$B18,_Rates_Lights_ECR)</f>
        <v>8.23</v>
      </c>
      <c r="J18" s="82"/>
      <c r="K18" s="115">
        <f t="shared" si="0"/>
        <v>2622937.4500000002</v>
      </c>
      <c r="L18" s="115">
        <f t="shared" si="1"/>
        <v>2622937.4500000002</v>
      </c>
      <c r="M18" s="115">
        <f t="shared" si="2"/>
        <v>2534650.71</v>
      </c>
      <c r="N18" s="109"/>
      <c r="O18" s="118"/>
      <c r="P18" s="119"/>
      <c r="AG18" s="111" t="s">
        <v>177</v>
      </c>
      <c r="AI18" s="111"/>
    </row>
    <row r="19" spans="1:35" ht="12.75">
      <c r="A19" s="116" t="s">
        <v>490</v>
      </c>
      <c r="B19" s="117" t="s">
        <v>364</v>
      </c>
      <c r="C19" s="114">
        <f>SUMIF(_12MonLights_TariffRateCategory,MiscData!$C$23&amp;$B19,_12MonLights_Count)+SUMIF(_12MonLights_TariffRateCategory,MiscData!$C$23&amp;$B19,_12MonLights_Count_Adj)</f>
        <v>103541</v>
      </c>
      <c r="D19" s="114">
        <f>SUMIF(_12MonLights_TariffRateCategory,MiscData!$C$24&amp;$B19,_12MonLights_Count)+SUMIF(_12MonLights_TariffRateCategory,MiscData!$C$23&amp;$B19,_12MonLights_Count_Adj)</f>
        <v>103541</v>
      </c>
      <c r="E19" s="114">
        <f>SUMIF(_12MonLights_TariffRateCategory,MiscData!$C$25&amp;$B19,_12MonLights_Count)+SUMIF(_12MonLights_TariffRateCategory,MiscData!$C$23&amp;$B19,_12MonLights_Count_Adj)</f>
        <v>103541</v>
      </c>
      <c r="F19" s="82"/>
      <c r="G19" s="115">
        <f>SUMIF(_Lights_Tariff_Category,MiscData!$C$23&amp;$B19,_Lights_Rates)</f>
        <v>11.600000000000001</v>
      </c>
      <c r="H19" s="115">
        <f>SUMIF(_Lights_Tariff_Category,MiscData!$C$24&amp;$B19,_Lights_Rates)</f>
        <v>11.600000000000001</v>
      </c>
      <c r="I19" s="115">
        <f>SUMIF(_Lights_Tariff_Category,MiscData!$C$25&amp;$B19,_Lights_Rates)-SUMIF(_Lights_Tariff_Category,MiscData!$C$25&amp;$B19,_Rates_Lights_ECR)</f>
        <v>11.170000000000002</v>
      </c>
      <c r="J19" s="82"/>
      <c r="K19" s="115">
        <f t="shared" si="0"/>
        <v>3558704.17</v>
      </c>
      <c r="L19" s="115">
        <f t="shared" si="1"/>
        <v>3558704.17</v>
      </c>
      <c r="M19" s="115">
        <f t="shared" si="2"/>
        <v>3469658.91</v>
      </c>
      <c r="N19" s="109"/>
      <c r="O19" s="120"/>
      <c r="P19" s="110"/>
      <c r="AB19" s="85" t="str">
        <f>MiscData!$C$23&amp;$Y$15</f>
        <v>20140101KURSE010</v>
      </c>
      <c r="AC19" s="85" t="str">
        <f>MiscData!$C$23&amp;$Y$16</f>
        <v>20140101KURSE020</v>
      </c>
      <c r="AD19" s="85"/>
      <c r="AE19" s="85"/>
      <c r="AF19" s="85"/>
      <c r="AG19" s="111" t="s">
        <v>178</v>
      </c>
      <c r="AI19" s="111"/>
    </row>
    <row r="20" spans="1:35" ht="12.75">
      <c r="A20" s="116" t="s">
        <v>491</v>
      </c>
      <c r="B20" s="117" t="s">
        <v>388</v>
      </c>
      <c r="C20" s="114">
        <f>SUMIF(_12MonLights_TariffRateCategory,MiscData!$C$23&amp;$B20,_12MonLights_Count)+SUMIF(_12MonLights_TariffRateCategory,MiscData!$C$23&amp;$B20,_12MonLights_Count_Adj)</f>
        <v>242672</v>
      </c>
      <c r="D20" s="114">
        <f>SUMIF(_12MonLights_TariffRateCategory,MiscData!$C$24&amp;$B20,_12MonLights_Count)+SUMIF(_12MonLights_TariffRateCategory,MiscData!$C$23&amp;$B20,_12MonLights_Count_Adj)</f>
        <v>242672</v>
      </c>
      <c r="E20" s="114">
        <f>SUMIF(_12MonLights_TariffRateCategory,MiscData!$C$25&amp;$B20,_12MonLights_Count)+SUMIF(_12MonLights_TariffRateCategory,MiscData!$C$23&amp;$B20,_12MonLights_Count_Adj)</f>
        <v>242672</v>
      </c>
      <c r="F20" s="82"/>
      <c r="G20" s="115">
        <f>SUMIF(_Lights_Tariff_Category,MiscData!$C$23&amp;$B20,_Lights_Rates)</f>
        <v>9.14</v>
      </c>
      <c r="H20" s="115">
        <f>SUMIF(_Lights_Tariff_Category,MiscData!$C$24&amp;$B20,_Lights_Rates)</f>
        <v>9.14</v>
      </c>
      <c r="I20" s="115">
        <f>SUMIF(_Lights_Tariff_Category,MiscData!$C$25&amp;$B20,_Lights_Rates)-SUMIF(_Lights_Tariff_Category,MiscData!$C$25&amp;$B20,_Rates_Lights_ECR)</f>
        <v>8.8000000000000007</v>
      </c>
      <c r="J20" s="82"/>
      <c r="K20" s="115">
        <f t="shared" si="0"/>
        <v>6571557.7599999998</v>
      </c>
      <c r="L20" s="115">
        <f t="shared" si="1"/>
        <v>6571557.7599999998</v>
      </c>
      <c r="M20" s="115">
        <f t="shared" si="2"/>
        <v>6406540.7999999998</v>
      </c>
      <c r="N20" s="109"/>
      <c r="O20" s="120"/>
      <c r="P20" s="110"/>
      <c r="AB20" s="85" t="str">
        <f>MiscData!$C$24&amp;$Y$15</f>
        <v>20140101KURSE010</v>
      </c>
      <c r="AC20" s="85" t="str">
        <f>MiscData!$C$24&amp;$Y$16</f>
        <v>20140101KURSE020</v>
      </c>
      <c r="AD20" s="85"/>
      <c r="AE20" s="85"/>
      <c r="AF20" s="85"/>
      <c r="AG20" s="111" t="s">
        <v>458</v>
      </c>
      <c r="AI20" s="111"/>
    </row>
    <row r="21" spans="1:35" ht="12.75">
      <c r="A21" s="116" t="s">
        <v>492</v>
      </c>
      <c r="B21" s="117" t="s">
        <v>387</v>
      </c>
      <c r="C21" s="114">
        <f>SUMIF(_12MonLights_TariffRateCategory,MiscData!$C$23&amp;$B21,_12MonLights_Count)+SUMIF(_12MonLights_TariffRateCategory,MiscData!$C$23&amp;$B21,_12MonLights_Count_Adj)</f>
        <v>40103</v>
      </c>
      <c r="D21" s="114">
        <f>SUMIF(_12MonLights_TariffRateCategory,MiscData!$C$24&amp;$B21,_12MonLights_Count)+SUMIF(_12MonLights_TariffRateCategory,MiscData!$C$23&amp;$B21,_12MonLights_Count_Adj)</f>
        <v>40103</v>
      </c>
      <c r="E21" s="114">
        <f>SUMIF(_12MonLights_TariffRateCategory,MiscData!$C$25&amp;$B21,_12MonLights_Count)+SUMIF(_12MonLights_TariffRateCategory,MiscData!$C$23&amp;$B21,_12MonLights_Count_Adj)</f>
        <v>40103</v>
      </c>
      <c r="F21" s="82"/>
      <c r="G21" s="115">
        <f>SUMIF(_Lights_Tariff_Category,MiscData!$C$23&amp;$B21,_Lights_Rates)</f>
        <v>12.3</v>
      </c>
      <c r="H21" s="115">
        <f>SUMIF(_Lights_Tariff_Category,MiscData!$C$24&amp;$B21,_Lights_Rates)</f>
        <v>12.3</v>
      </c>
      <c r="I21" s="115">
        <f>SUMIF(_Lights_Tariff_Category,MiscData!$C$25&amp;$B21,_Lights_Rates)-SUMIF(_Lights_Tariff_Category,MiscData!$C$25&amp;$B21,_Rates_Lights_ECR)</f>
        <v>11.96</v>
      </c>
      <c r="J21" s="82"/>
      <c r="K21" s="115">
        <f t="shared" si="0"/>
        <v>1466165.68</v>
      </c>
      <c r="L21" s="115">
        <f t="shared" si="1"/>
        <v>1466165.68</v>
      </c>
      <c r="M21" s="115">
        <f t="shared" si="2"/>
        <v>1438895.64</v>
      </c>
      <c r="N21" s="109"/>
      <c r="O21" s="120"/>
      <c r="P21" s="110"/>
      <c r="AB21" s="85" t="str">
        <f>MiscData!$C$25&amp;$Y$15</f>
        <v>20140101KURSE010</v>
      </c>
      <c r="AC21" s="85" t="str">
        <f>MiscData!$C$25&amp;$Y$16</f>
        <v>20140101KURSE020</v>
      </c>
      <c r="AD21" s="85"/>
      <c r="AE21" s="85"/>
      <c r="AF21" s="85"/>
      <c r="AG21" s="111" t="s">
        <v>161</v>
      </c>
    </row>
    <row r="22" spans="1:35" ht="12.75">
      <c r="A22" s="116" t="s">
        <v>493</v>
      </c>
      <c r="B22" s="117" t="s">
        <v>345</v>
      </c>
      <c r="C22" s="114">
        <f>SUMIF(_12MonLights_TariffRateCategory,MiscData!$C$23&amp;$B22,_12MonLights_Count)+SUMIF(_12MonLights_TariffRateCategory,MiscData!$C$23&amp;$B22,_12MonLights_Count_Adj)</f>
        <v>89781</v>
      </c>
      <c r="D22" s="114">
        <f>SUMIF(_12MonLights_TariffRateCategory,MiscData!$C$24&amp;$B22,_12MonLights_Count)+SUMIF(_12MonLights_TariffRateCategory,MiscData!$C$23&amp;$B22,_12MonLights_Count_Adj)</f>
        <v>89781</v>
      </c>
      <c r="E22" s="114">
        <f>SUMIF(_12MonLights_TariffRateCategory,MiscData!$C$25&amp;$B22,_12MonLights_Count)+SUMIF(_12MonLights_TariffRateCategory,MiscData!$C$23&amp;$B22,_12MonLights_Count_Adj)</f>
        <v>89781</v>
      </c>
      <c r="F22" s="82"/>
      <c r="G22" s="115">
        <f>SUMIF(_Lights_Tariff_Category,MiscData!$C$23&amp;$B22,_Lights_Rates)</f>
        <v>14.25</v>
      </c>
      <c r="H22" s="115">
        <f>SUMIF(_Lights_Tariff_Category,MiscData!$C$24&amp;$B22,_Lights_Rates)</f>
        <v>14.25</v>
      </c>
      <c r="I22" s="115">
        <f>SUMIF(_Lights_Tariff_Category,MiscData!$C$25&amp;$B22,_Lights_Rates)-SUMIF(_Lights_Tariff_Category,MiscData!$C$25&amp;$B22,_Rates_Lights_ECR)</f>
        <v>13.67</v>
      </c>
      <c r="J22" s="82"/>
      <c r="K22" s="115">
        <f t="shared" si="0"/>
        <v>3786064.77</v>
      </c>
      <c r="L22" s="115">
        <f t="shared" si="1"/>
        <v>3786064.77</v>
      </c>
      <c r="M22" s="115">
        <f t="shared" si="2"/>
        <v>3681918.81</v>
      </c>
      <c r="N22" s="109"/>
      <c r="O22" s="108"/>
      <c r="P22" s="107"/>
      <c r="AG22" s="111" t="s">
        <v>162</v>
      </c>
    </row>
    <row r="23" spans="1:35" ht="15">
      <c r="A23" s="116" t="s">
        <v>494</v>
      </c>
      <c r="B23" s="117" t="s">
        <v>344</v>
      </c>
      <c r="C23" s="114">
        <f>SUMIF(_12MonLights_TariffRateCategory,MiscData!$C$23&amp;$B23,_12MonLights_Count)+SUMIF(_12MonLights_TariffRateCategory,MiscData!$C$23&amp;$B23,_12MonLights_Count_Adj)</f>
        <v>61301</v>
      </c>
      <c r="D23" s="114">
        <f>SUMIF(_12MonLights_TariffRateCategory,MiscData!$C$24&amp;$B23,_12MonLights_Count)+SUMIF(_12MonLights_TariffRateCategory,MiscData!$C$23&amp;$B23,_12MonLights_Count_Adj)</f>
        <v>61301</v>
      </c>
      <c r="E23" s="114">
        <f>SUMIF(_12MonLights_TariffRateCategory,MiscData!$C$25&amp;$B23,_12MonLights_Count)+SUMIF(_12MonLights_TariffRateCategory,MiscData!$C$23&amp;$B23,_12MonLights_Count_Adj)</f>
        <v>61301</v>
      </c>
      <c r="F23" s="82"/>
      <c r="G23" s="115">
        <f>SUMIF(_Lights_Tariff_Category,MiscData!$C$23&amp;$B23,_Lights_Rates)</f>
        <v>17.41</v>
      </c>
      <c r="H23" s="115">
        <f>SUMIF(_Lights_Tariff_Category,MiscData!$C$24&amp;$B23,_Lights_Rates)</f>
        <v>17.41</v>
      </c>
      <c r="I23" s="115">
        <f>SUMIF(_Lights_Tariff_Category,MiscData!$C$25&amp;$B23,_Lights_Rates)-SUMIF(_Lights_Tariff_Category,MiscData!$C$25&amp;$B23,_Rates_Lights_ECR)</f>
        <v>16.830000000000002</v>
      </c>
      <c r="J23" s="82"/>
      <c r="K23" s="115">
        <f t="shared" si="0"/>
        <v>3166196.65</v>
      </c>
      <c r="L23" s="115">
        <f t="shared" si="1"/>
        <v>3166196.65</v>
      </c>
      <c r="M23" s="115">
        <f t="shared" si="2"/>
        <v>3095087.49</v>
      </c>
      <c r="N23" s="121"/>
      <c r="O23" s="122"/>
      <c r="P23" s="123"/>
      <c r="AG23" s="111" t="s">
        <v>169</v>
      </c>
    </row>
    <row r="24" spans="1:35" ht="12.75">
      <c r="A24" s="116" t="s">
        <v>495</v>
      </c>
      <c r="B24" s="117" t="s">
        <v>377</v>
      </c>
      <c r="C24" s="114">
        <f>SUMIF(_12MonLights_TariffRateCategory,MiscData!$C$23&amp;$B24,_12MonLights_Count)+SUMIF(_12MonLights_TariffRateCategory,MiscData!$C$23&amp;$B24,_12MonLights_Count_Adj)</f>
        <v>33246</v>
      </c>
      <c r="D24" s="114">
        <f>SUMIF(_12MonLights_TariffRateCategory,MiscData!$C$24&amp;$B24,_12MonLights_Count)+SUMIF(_12MonLights_TariffRateCategory,MiscData!$C$23&amp;$B24,_12MonLights_Count_Adj)</f>
        <v>33246</v>
      </c>
      <c r="E24" s="114">
        <f>SUMIF(_12MonLights_TariffRateCategory,MiscData!$C$25&amp;$B24,_12MonLights_Count)+SUMIF(_12MonLights_TariffRateCategory,MiscData!$C$23&amp;$B24,_12MonLights_Count_Adj)</f>
        <v>33246</v>
      </c>
      <c r="F24" s="82"/>
      <c r="G24" s="115">
        <f>SUMIF(_Lights_Tariff_Category,MiscData!$C$23&amp;$B24,_Lights_Rates)</f>
        <v>22.84</v>
      </c>
      <c r="H24" s="115">
        <f>SUMIF(_Lights_Tariff_Category,MiscData!$C$24&amp;$B24,_Lights_Rates)</f>
        <v>22.84</v>
      </c>
      <c r="I24" s="115">
        <f>SUMIF(_Lights_Tariff_Category,MiscData!$C$25&amp;$B24,_Lights_Rates)-SUMIF(_Lights_Tariff_Category,MiscData!$C$25&amp;$B24,_Rates_Lights_ECR)</f>
        <v>22.05</v>
      </c>
      <c r="J24" s="82"/>
      <c r="K24" s="115">
        <f t="shared" si="0"/>
        <v>2251751.58</v>
      </c>
      <c r="L24" s="115">
        <f t="shared" si="1"/>
        <v>2251751.58</v>
      </c>
      <c r="M24" s="115">
        <f t="shared" si="2"/>
        <v>2199222.9</v>
      </c>
      <c r="N24" s="109"/>
      <c r="O24" s="124"/>
      <c r="P24" s="119"/>
      <c r="AG24" s="111" t="s">
        <v>163</v>
      </c>
    </row>
    <row r="25" spans="1:35" ht="12.75">
      <c r="A25" s="116" t="s">
        <v>496</v>
      </c>
      <c r="B25" s="117" t="s">
        <v>376</v>
      </c>
      <c r="C25" s="114">
        <f>SUMIF(_12MonLights_TariffRateCategory,MiscData!$C$23&amp;$B25,_12MonLights_Count)+SUMIF(_12MonLights_TariffRateCategory,MiscData!$C$23&amp;$B25,_12MonLights_Count_Adj)</f>
        <v>5976</v>
      </c>
      <c r="D25" s="114">
        <f>SUMIF(_12MonLights_TariffRateCategory,MiscData!$C$24&amp;$B25,_12MonLights_Count)+SUMIF(_12MonLights_TariffRateCategory,MiscData!$C$23&amp;$B25,_12MonLights_Count_Adj)</f>
        <v>5976</v>
      </c>
      <c r="E25" s="114">
        <f>SUMIF(_12MonLights_TariffRateCategory,MiscData!$C$25&amp;$B25,_12MonLights_Count)+SUMIF(_12MonLights_TariffRateCategory,MiscData!$C$23&amp;$B25,_12MonLights_Count_Adj)</f>
        <v>5976</v>
      </c>
      <c r="F25" s="82"/>
      <c r="G25" s="115">
        <f>SUMIF(_Lights_Tariff_Category,MiscData!$C$23&amp;$B25,_Lights_Rates)</f>
        <v>24.46</v>
      </c>
      <c r="H25" s="115">
        <f>SUMIF(_Lights_Tariff_Category,MiscData!$C$24&amp;$B25,_Lights_Rates)</f>
        <v>24.46</v>
      </c>
      <c r="I25" s="115">
        <f>SUMIF(_Lights_Tariff_Category,MiscData!$C$25&amp;$B25,_Lights_Rates)-SUMIF(_Lights_Tariff_Category,MiscData!$C$25&amp;$B25,_Rates_Lights_ECR)</f>
        <v>23.67</v>
      </c>
      <c r="J25" s="82"/>
      <c r="K25" s="115">
        <f t="shared" si="0"/>
        <v>433797.84</v>
      </c>
      <c r="L25" s="115">
        <f t="shared" si="1"/>
        <v>433797.84</v>
      </c>
      <c r="M25" s="115">
        <f t="shared" si="2"/>
        <v>424355.76</v>
      </c>
      <c r="N25" s="109"/>
      <c r="O25" s="124"/>
      <c r="P25" s="124"/>
      <c r="AG25" s="111" t="s">
        <v>170</v>
      </c>
    </row>
    <row r="26" spans="1:35" ht="12.75">
      <c r="A26" s="105" t="s">
        <v>503</v>
      </c>
      <c r="B26" s="82"/>
      <c r="C26" s="103"/>
      <c r="D26" s="82"/>
      <c r="E26" s="82"/>
      <c r="F26" s="103"/>
      <c r="G26" s="103"/>
      <c r="H26" s="103"/>
      <c r="I26" s="103"/>
      <c r="J26" s="103"/>
      <c r="K26" s="82"/>
      <c r="L26" s="82"/>
      <c r="M26" s="82"/>
      <c r="N26" s="104"/>
      <c r="O26" s="101"/>
      <c r="P26" s="101"/>
      <c r="AG26" s="111" t="s">
        <v>164</v>
      </c>
    </row>
    <row r="27" spans="1:35" ht="12.75">
      <c r="A27" s="116" t="s">
        <v>497</v>
      </c>
      <c r="B27" s="117" t="s">
        <v>385</v>
      </c>
      <c r="C27" s="114">
        <f>SUMIF(_12MonLights_TariffRateCategory,MiscData!$C$23&amp;$B27,_12MonLights_Count)+SUMIF(_12MonLights_TariffRateCategory,MiscData!$C$23&amp;$B27,_12MonLights_Count_Adj)</f>
        <v>12839</v>
      </c>
      <c r="D27" s="114">
        <f>SUMIF(_12MonLights_TariffRateCategory,MiscData!$C$24&amp;$B27,_12MonLights_Count)+SUMIF(_12MonLights_TariffRateCategory,MiscData!$C$23&amp;$B27,_12MonLights_Count_Adj)</f>
        <v>12839</v>
      </c>
      <c r="E27" s="114">
        <f>SUMIF(_12MonLights_TariffRateCategory,MiscData!$C$25&amp;$B27,_12MonLights_Count)+SUMIF(_12MonLights_TariffRateCategory,MiscData!$C$23&amp;$B27,_12MonLights_Count_Adj)</f>
        <v>12839</v>
      </c>
      <c r="F27" s="82"/>
      <c r="G27" s="115">
        <f>SUMIF(_Lights_Tariff_Category,MiscData!$C$23&amp;$B27,_Lights_Rates)</f>
        <v>9.5600000000000023</v>
      </c>
      <c r="H27" s="115">
        <f>SUMIF(_Lights_Tariff_Category,MiscData!$C$24&amp;$B27,_Lights_Rates)</f>
        <v>9.5600000000000023</v>
      </c>
      <c r="I27" s="115">
        <f>SUMIF(_Lights_Tariff_Category,MiscData!$C$25&amp;$B27,_Lights_Rates)-SUMIF(_Lights_Tariff_Category,MiscData!$C$25&amp;$B27,_Rates_Lights_ECR)</f>
        <v>9.1700000000000017</v>
      </c>
      <c r="J27" s="82"/>
      <c r="K27" s="115">
        <f t="shared" ref="K27:K32" si="3">ROUND(SUM($C27*$G27,$D27*$H27,$E27*$I27),2)</f>
        <v>363215.31</v>
      </c>
      <c r="L27" s="115">
        <f t="shared" ref="L27:L32" si="4">ROUND(SUM($C27*$H27,$D27*$H27,$E27*$I27),2)</f>
        <v>363215.31</v>
      </c>
      <c r="M27" s="115">
        <f t="shared" ref="M27:M32" si="5">ROUND(SUM($C27*$I27,$D27*$I27,$E27*$I27),2)</f>
        <v>353200.89</v>
      </c>
      <c r="N27" s="109"/>
      <c r="O27" s="106"/>
      <c r="P27" s="110"/>
      <c r="Y27" s="80" t="s">
        <v>176</v>
      </c>
      <c r="AB27" s="85" t="str">
        <f>MiscData!$C$23&amp;$Y27</f>
        <v>20140101KURSE025</v>
      </c>
      <c r="AC27" s="85"/>
      <c r="AD27" s="85"/>
      <c r="AE27" s="85"/>
      <c r="AF27" s="85"/>
      <c r="AG27" s="111" t="s">
        <v>165</v>
      </c>
    </row>
    <row r="28" spans="1:35" ht="12.75">
      <c r="A28" s="116" t="s">
        <v>498</v>
      </c>
      <c r="B28" s="117" t="s">
        <v>384</v>
      </c>
      <c r="C28" s="114">
        <f>SUMIF(_12MonLights_TariffRateCategory,MiscData!$C$23&amp;$B28,_12MonLights_Count)+SUMIF(_12MonLights_TariffRateCategory,MiscData!$C$23&amp;$B28,_12MonLights_Count_Adj)</f>
        <v>1656</v>
      </c>
      <c r="D28" s="114">
        <f>SUMIF(_12MonLights_TariffRateCategory,MiscData!$C$24&amp;$B28,_12MonLights_Count)+SUMIF(_12MonLights_TariffRateCategory,MiscData!$C$23&amp;$B28,_12MonLights_Count_Adj)</f>
        <v>1656</v>
      </c>
      <c r="E28" s="114">
        <f>SUMIF(_12MonLights_TariffRateCategory,MiscData!$C$25&amp;$B28,_12MonLights_Count)+SUMIF(_12MonLights_TariffRateCategory,MiscData!$C$23&amp;$B28,_12MonLights_Count_Adj)</f>
        <v>1656</v>
      </c>
      <c r="F28" s="82"/>
      <c r="G28" s="115">
        <f>SUMIF(_Lights_Tariff_Category,MiscData!$C$23&amp;$B28,_Lights_Rates)</f>
        <v>11.870000000000001</v>
      </c>
      <c r="H28" s="115">
        <f>SUMIF(_Lights_Tariff_Category,MiscData!$C$24&amp;$B28,_Lights_Rates)</f>
        <v>11.870000000000001</v>
      </c>
      <c r="I28" s="115">
        <f>SUMIF(_Lights_Tariff_Category,MiscData!$C$25&amp;$B28,_Lights_Rates)-SUMIF(_Lights_Tariff_Category,MiscData!$C$25&amp;$B28,_Rates_Lights_ECR)</f>
        <v>11.48</v>
      </c>
      <c r="J28" s="82"/>
      <c r="K28" s="115">
        <f t="shared" si="3"/>
        <v>58324.32</v>
      </c>
      <c r="L28" s="115">
        <f t="shared" si="4"/>
        <v>58324.32</v>
      </c>
      <c r="M28" s="115">
        <f t="shared" si="5"/>
        <v>57032.639999999999</v>
      </c>
      <c r="N28" s="109"/>
      <c r="O28" s="106"/>
      <c r="P28" s="110"/>
      <c r="AB28" s="85" t="str">
        <f>MiscData!$C$24&amp;$Y27</f>
        <v>20140101KURSE025</v>
      </c>
      <c r="AC28" s="85"/>
      <c r="AD28" s="85"/>
      <c r="AE28" s="85"/>
      <c r="AF28" s="85"/>
      <c r="AG28" s="111" t="s">
        <v>166</v>
      </c>
    </row>
    <row r="29" spans="1:35" ht="12.75">
      <c r="A29" s="116" t="s">
        <v>499</v>
      </c>
      <c r="B29" s="117" t="s">
        <v>312</v>
      </c>
      <c r="C29" s="114">
        <f>SUMIF(_12MonLights_TariffRateCategory,MiscData!$C$23&amp;$B29,_12MonLights_Count)+SUMIF(_12MonLights_TariffRateCategory,MiscData!$C$23&amp;$B29,_12MonLights_Count_Adj)</f>
        <v>8759</v>
      </c>
      <c r="D29" s="114">
        <f>SUMIF(_12MonLights_TariffRateCategory,MiscData!$C$24&amp;$B29,_12MonLights_Count)+SUMIF(_12MonLights_TariffRateCategory,MiscData!$C$23&amp;$B29,_12MonLights_Count_Adj)</f>
        <v>8759</v>
      </c>
      <c r="E29" s="114">
        <f>SUMIF(_12MonLights_TariffRateCategory,MiscData!$C$25&amp;$B29,_12MonLights_Count)+SUMIF(_12MonLights_TariffRateCategory,MiscData!$C$23&amp;$B29,_12MonLights_Count_Adj)</f>
        <v>8759</v>
      </c>
      <c r="F29" s="82"/>
      <c r="G29" s="115">
        <f>SUMIF(_Lights_Tariff_Category,MiscData!$C$23&amp;$B29,_Lights_Rates)</f>
        <v>11.32</v>
      </c>
      <c r="H29" s="115">
        <f>SUMIF(_Lights_Tariff_Category,MiscData!$C$24&amp;$B29,_Lights_Rates)</f>
        <v>11.32</v>
      </c>
      <c r="I29" s="115">
        <f>SUMIF(_Lights_Tariff_Category,MiscData!$C$25&amp;$B29,_Lights_Rates)-SUMIF(_Lights_Tariff_Category,MiscData!$C$25&amp;$B29,_Rates_Lights_ECR)</f>
        <v>10.88</v>
      </c>
      <c r="J29" s="82"/>
      <c r="K29" s="115">
        <f t="shared" si="3"/>
        <v>293601.68</v>
      </c>
      <c r="L29" s="115">
        <f t="shared" si="4"/>
        <v>293601.68</v>
      </c>
      <c r="M29" s="115">
        <f t="shared" si="5"/>
        <v>285893.76000000001</v>
      </c>
      <c r="N29" s="109"/>
      <c r="O29" s="106"/>
      <c r="P29" s="110"/>
      <c r="AB29" s="85" t="str">
        <f>MiscData!$C$25&amp;$Y27</f>
        <v>20140101KURSE025</v>
      </c>
      <c r="AC29" s="85"/>
      <c r="AD29" s="85"/>
      <c r="AE29" s="85"/>
      <c r="AF29" s="85"/>
      <c r="AG29" s="111" t="s">
        <v>167</v>
      </c>
    </row>
    <row r="30" spans="1:35" ht="12.75">
      <c r="A30" s="116" t="s">
        <v>500</v>
      </c>
      <c r="B30" s="117" t="s">
        <v>311</v>
      </c>
      <c r="C30" s="114">
        <f>SUMIF(_12MonLights_TariffRateCategory,MiscData!$C$23&amp;$B30,_12MonLights_Count)+SUMIF(_12MonLights_TariffRateCategory,MiscData!$C$23&amp;$B30,_12MonLights_Count_Adj)</f>
        <v>5332</v>
      </c>
      <c r="D30" s="114">
        <f>SUMIF(_12MonLights_TariffRateCategory,MiscData!$C$24&amp;$B30,_12MonLights_Count)+SUMIF(_12MonLights_TariffRateCategory,MiscData!$C$23&amp;$B30,_12MonLights_Count_Adj)</f>
        <v>5332</v>
      </c>
      <c r="E30" s="114">
        <f>SUMIF(_12MonLights_TariffRateCategory,MiscData!$C$25&amp;$B30,_12MonLights_Count)+SUMIF(_12MonLights_TariffRateCategory,MiscData!$C$23&amp;$B30,_12MonLights_Count_Adj)</f>
        <v>5332</v>
      </c>
      <c r="F30" s="82"/>
      <c r="G30" s="115">
        <f>SUMIF(_Lights_Tariff_Category,MiscData!$C$23&amp;$B30,_Lights_Rates)</f>
        <v>13.360000000000001</v>
      </c>
      <c r="H30" s="115">
        <f>SUMIF(_Lights_Tariff_Category,MiscData!$C$24&amp;$B30,_Lights_Rates)</f>
        <v>13.360000000000001</v>
      </c>
      <c r="I30" s="115">
        <f>SUMIF(_Lights_Tariff_Category,MiscData!$C$25&amp;$B30,_Lights_Rates)-SUMIF(_Lights_Tariff_Category,MiscData!$C$25&amp;$B30,_Rates_Lights_ECR)</f>
        <v>12.920000000000002</v>
      </c>
      <c r="J30" s="82"/>
      <c r="K30" s="115">
        <f t="shared" si="3"/>
        <v>211360.48</v>
      </c>
      <c r="L30" s="115">
        <f t="shared" si="4"/>
        <v>211360.48</v>
      </c>
      <c r="M30" s="115">
        <f t="shared" si="5"/>
        <v>206668.32</v>
      </c>
      <c r="N30" s="109"/>
      <c r="O30" s="118"/>
      <c r="P30" s="119"/>
      <c r="AG30" s="111" t="s">
        <v>153</v>
      </c>
    </row>
    <row r="31" spans="1:35" ht="12.75">
      <c r="A31" s="116" t="s">
        <v>501</v>
      </c>
      <c r="B31" s="117" t="s">
        <v>421</v>
      </c>
      <c r="C31" s="114">
        <f>SUMIF(_12MonLights_TariffRateCategory,MiscData!$C$23&amp;$B31,_12MonLights_Count)+SUMIF(_12MonLights_TariffRateCategory,MiscData!$C$23&amp;$B31,_12MonLights_Count_Adj)</f>
        <v>17860</v>
      </c>
      <c r="D31" s="114">
        <f>SUMIF(_12MonLights_TariffRateCategory,MiscData!$C$24&amp;$B31,_12MonLights_Count)+SUMIF(_12MonLights_TariffRateCategory,MiscData!$C$23&amp;$B31,_12MonLights_Count_Adj)</f>
        <v>17860</v>
      </c>
      <c r="E31" s="114">
        <f>SUMIF(_12MonLights_TariffRateCategory,MiscData!$C$25&amp;$B31,_12MonLights_Count)+SUMIF(_12MonLights_TariffRateCategory,MiscData!$C$23&amp;$B31,_12MonLights_Count_Adj)</f>
        <v>17860</v>
      </c>
      <c r="F31" s="82"/>
      <c r="G31" s="115">
        <f>SUMIF(_Lights_Tariff_Category,MiscData!$C$23&amp;$B31,_Lights_Rates)</f>
        <v>12.809999999999999</v>
      </c>
      <c r="H31" s="115">
        <f>SUMIF(_Lights_Tariff_Category,MiscData!$C$24&amp;$B31,_Lights_Rates)</f>
        <v>12.809999999999999</v>
      </c>
      <c r="I31" s="115">
        <f>SUMIF(_Lights_Tariff_Category,MiscData!$C$25&amp;$B31,_Lights_Rates)-SUMIF(_Lights_Tariff_Category,MiscData!$C$25&amp;$B31,_Rates_Lights_ECR)</f>
        <v>12.299999999999999</v>
      </c>
      <c r="J31" s="82"/>
      <c r="K31" s="115">
        <f t="shared" si="3"/>
        <v>677251.2</v>
      </c>
      <c r="L31" s="115">
        <f t="shared" si="4"/>
        <v>677251.2</v>
      </c>
      <c r="M31" s="115">
        <f t="shared" si="5"/>
        <v>659034</v>
      </c>
      <c r="N31" s="109"/>
      <c r="O31" s="120"/>
      <c r="P31" s="110"/>
      <c r="AB31" s="85" t="str">
        <f>MiscData!$C$23&amp;$Y27</f>
        <v>20140101KURSE025</v>
      </c>
      <c r="AC31" s="85"/>
      <c r="AD31" s="85"/>
      <c r="AE31" s="85"/>
      <c r="AF31" s="85"/>
      <c r="AG31" s="111" t="s">
        <v>156</v>
      </c>
    </row>
    <row r="32" spans="1:35" ht="12.75">
      <c r="A32" s="116" t="s">
        <v>502</v>
      </c>
      <c r="B32" s="117" t="s">
        <v>341</v>
      </c>
      <c r="C32" s="114">
        <f>SUMIF(_12MonLights_TariffRateCategory,MiscData!$C$23&amp;$B32,_12MonLights_Count)+SUMIF(_12MonLights_TariffRateCategory,MiscData!$C$23&amp;$B32,_12MonLights_Count_Adj)</f>
        <v>17605</v>
      </c>
      <c r="D32" s="114">
        <f>SUMIF(_12MonLights_TariffRateCategory,MiscData!$C$24&amp;$B32,_12MonLights_Count)+SUMIF(_12MonLights_TariffRateCategory,MiscData!$C$23&amp;$B32,_12MonLights_Count_Adj)</f>
        <v>17605</v>
      </c>
      <c r="E32" s="114">
        <f>SUMIF(_12MonLights_TariffRateCategory,MiscData!$C$25&amp;$B32,_12MonLights_Count)+SUMIF(_12MonLights_TariffRateCategory,MiscData!$C$23&amp;$B32,_12MonLights_Count_Adj)</f>
        <v>17605</v>
      </c>
      <c r="F32" s="82"/>
      <c r="G32" s="115">
        <f>SUMIF(_Lights_Tariff_Category,MiscData!$C$23&amp;$B32,_Lights_Rates)</f>
        <v>15.079999999999998</v>
      </c>
      <c r="H32" s="115">
        <f>SUMIF(_Lights_Tariff_Category,MiscData!$C$24&amp;$B32,_Lights_Rates)</f>
        <v>15.079999999999998</v>
      </c>
      <c r="I32" s="115">
        <f>SUMIF(_Lights_Tariff_Category,MiscData!$C$25&amp;$B32,_Lights_Rates)-SUMIF(_Lights_Tariff_Category,MiscData!$C$25&amp;$B32,_Rates_Lights_ECR)</f>
        <v>14.569999999999999</v>
      </c>
      <c r="J32" s="82"/>
      <c r="K32" s="115">
        <f t="shared" si="3"/>
        <v>787471.65</v>
      </c>
      <c r="L32" s="115">
        <f t="shared" si="4"/>
        <v>787471.65</v>
      </c>
      <c r="M32" s="115">
        <f t="shared" si="5"/>
        <v>769514.55</v>
      </c>
      <c r="N32" s="109"/>
      <c r="O32" s="120"/>
      <c r="P32" s="110"/>
      <c r="AB32" s="85" t="str">
        <f>MiscData!$C$24&amp;$Y27</f>
        <v>20140101KURSE025</v>
      </c>
      <c r="AC32" s="85"/>
      <c r="AD32" s="85"/>
      <c r="AE32" s="85"/>
      <c r="AF32" s="85"/>
      <c r="AG32" s="111" t="s">
        <v>154</v>
      </c>
    </row>
    <row r="33" spans="1:33" ht="12.75">
      <c r="A33" s="105" t="s">
        <v>504</v>
      </c>
      <c r="B33" s="82"/>
      <c r="C33" s="85"/>
      <c r="D33" s="85"/>
      <c r="E33" s="85"/>
      <c r="F33" s="82"/>
      <c r="G33" s="82"/>
      <c r="H33" s="106"/>
      <c r="I33" s="107"/>
      <c r="J33" s="108"/>
      <c r="K33" s="106"/>
      <c r="L33" s="107"/>
      <c r="M33" s="107"/>
      <c r="N33" s="109"/>
      <c r="O33" s="120"/>
      <c r="P33" s="110"/>
      <c r="AB33" s="85" t="str">
        <f>MiscData!$C$25&amp;$Y27</f>
        <v>20140101KURSE025</v>
      </c>
      <c r="AC33" s="85"/>
      <c r="AD33" s="85"/>
      <c r="AE33" s="85"/>
      <c r="AF33" s="85"/>
      <c r="AG33" s="111" t="s">
        <v>157</v>
      </c>
    </row>
    <row r="34" spans="1:33" ht="12.75">
      <c r="A34" s="116" t="s">
        <v>505</v>
      </c>
      <c r="B34" s="117" t="s">
        <v>310</v>
      </c>
      <c r="C34" s="114">
        <f>SUMIF(_12MonLights_TariffRateCategory,MiscData!$C$23&amp;$B34,_12MonLights_Count)+SUMIF(_12MonLights_TariffRateCategory,MiscData!$C$23&amp;$B34,_12MonLights_Count_Adj)</f>
        <v>60</v>
      </c>
      <c r="D34" s="114">
        <f>SUMIF(_12MonLights_TariffRateCategory,MiscData!$C$24&amp;$B34,_12MonLights_Count)+SUMIF(_12MonLights_TariffRateCategory,MiscData!$C$23&amp;$B34,_12MonLights_Count_Adj)</f>
        <v>60</v>
      </c>
      <c r="E34" s="114">
        <f>SUMIF(_12MonLights_TariffRateCategory,MiscData!$C$25&amp;$B34,_12MonLights_Count)+SUMIF(_12MonLights_TariffRateCategory,MiscData!$C$23&amp;$B34,_12MonLights_Count_Adj)</f>
        <v>60</v>
      </c>
      <c r="F34" s="82"/>
      <c r="G34" s="115">
        <f>SUMIF(_Lights_Tariff_Category,MiscData!$C$23&amp;$B34,_Lights_Rates)</f>
        <v>3.39</v>
      </c>
      <c r="H34" s="115">
        <f>SUMIF(_Lights_Tariff_Category,MiscData!$C$24&amp;$B34,_Lights_Rates)</f>
        <v>3.39</v>
      </c>
      <c r="I34" s="115">
        <f>SUMIF(_Lights_Tariff_Category,MiscData!$C$25&amp;$B34,_Lights_Rates)-SUMIF(_Lights_Tariff_Category,MiscData!$C$25&amp;$B34,_Rates_Lights_ECR)</f>
        <v>3.27</v>
      </c>
      <c r="J34" s="82"/>
      <c r="K34" s="115">
        <f t="shared" ref="K34:K41" si="6">ROUND(SUM($C34*$G34,$D34*$H34,$E34*$I34),2)</f>
        <v>603</v>
      </c>
      <c r="L34" s="115">
        <f t="shared" ref="L34:L41" si="7">ROUND(SUM($C34*$H34,$D34*$H34,$E34*$I34),2)</f>
        <v>603</v>
      </c>
      <c r="M34" s="115">
        <f t="shared" ref="M34:M41" si="8">ROUND(SUM($C34*$I34,$D34*$I34,$E34*$I34),2)</f>
        <v>588.6</v>
      </c>
      <c r="N34" s="109"/>
      <c r="O34" s="108"/>
      <c r="P34" s="107"/>
      <c r="AG34" s="111" t="s">
        <v>160</v>
      </c>
    </row>
    <row r="35" spans="1:33" ht="15">
      <c r="A35" s="116" t="s">
        <v>506</v>
      </c>
      <c r="B35" s="117" t="s">
        <v>402</v>
      </c>
      <c r="C35" s="114">
        <f>SUMIF(_12MonLights_TariffRateCategory,MiscData!$C$23&amp;$B35,_12MonLights_Count)+SUMIF(_12MonLights_TariffRateCategory,MiscData!$C$23&amp;$B35,_12MonLights_Count_Adj)</f>
        <v>0</v>
      </c>
      <c r="D35" s="114">
        <f>SUMIF(_12MonLights_TariffRateCategory,MiscData!$C$24&amp;$B35,_12MonLights_Count)+SUMIF(_12MonLights_TariffRateCategory,MiscData!$C$23&amp;$B35,_12MonLights_Count_Adj)</f>
        <v>0</v>
      </c>
      <c r="E35" s="114">
        <f>SUMIF(_12MonLights_TariffRateCategory,MiscData!$C$25&amp;$B35,_12MonLights_Count)+SUMIF(_12MonLights_TariffRateCategory,MiscData!$C$23&amp;$B35,_12MonLights_Count_Adj)</f>
        <v>0</v>
      </c>
      <c r="F35" s="82"/>
      <c r="G35" s="115">
        <f>SUMIF(_Lights_Tariff_Category,MiscData!$C$23&amp;$B35,_Lights_Rates)</f>
        <v>0</v>
      </c>
      <c r="H35" s="115">
        <f>SUMIF(_Lights_Tariff_Category,MiscData!$C$24&amp;$B35,_Lights_Rates)</f>
        <v>0</v>
      </c>
      <c r="I35" s="115">
        <f>SUMIF(_Lights_Tariff_Category,MiscData!$C$25&amp;$B35,_Lights_Rates)-SUMIF(_Lights_Tariff_Category,MiscData!$C$25&amp;$B35,_Rates_Lights_ECR)</f>
        <v>0</v>
      </c>
      <c r="J35" s="82"/>
      <c r="K35" s="115">
        <f t="shared" si="6"/>
        <v>0</v>
      </c>
      <c r="L35" s="115">
        <f t="shared" si="7"/>
        <v>0</v>
      </c>
      <c r="M35" s="115">
        <f t="shared" si="8"/>
        <v>0</v>
      </c>
      <c r="N35" s="121"/>
      <c r="O35" s="122"/>
      <c r="P35" s="123"/>
      <c r="AG35" s="111" t="s">
        <v>155</v>
      </c>
    </row>
    <row r="36" spans="1:33" ht="12.75">
      <c r="A36" s="116" t="s">
        <v>507</v>
      </c>
      <c r="B36" s="117" t="s">
        <v>340</v>
      </c>
      <c r="C36" s="114">
        <f>SUMIF(_12MonLights_TariffRateCategory,MiscData!$C$23&amp;$B36,_12MonLights_Count)+SUMIF(_12MonLights_TariffRateCategory,MiscData!$C$23&amp;$B36,_12MonLights_Count_Adj)</f>
        <v>8111</v>
      </c>
      <c r="D36" s="114">
        <f>SUMIF(_12MonLights_TariffRateCategory,MiscData!$C$24&amp;$B36,_12MonLights_Count)+SUMIF(_12MonLights_TariffRateCategory,MiscData!$C$23&amp;$B36,_12MonLights_Count_Adj)</f>
        <v>8111</v>
      </c>
      <c r="E36" s="114">
        <f>SUMIF(_12MonLights_TariffRateCategory,MiscData!$C$25&amp;$B36,_12MonLights_Count)+SUMIF(_12MonLights_TariffRateCategory,MiscData!$C$23&amp;$B36,_12MonLights_Count_Adj)</f>
        <v>8111</v>
      </c>
      <c r="F36" s="82"/>
      <c r="G36" s="115">
        <f>SUMIF(_Lights_Tariff_Category,MiscData!$C$23&amp;$B36,_Lights_Rates)</f>
        <v>4.5400000000000009</v>
      </c>
      <c r="H36" s="115">
        <f>SUMIF(_Lights_Tariff_Category,MiscData!$C$24&amp;$B36,_Lights_Rates)</f>
        <v>4.5400000000000009</v>
      </c>
      <c r="I36" s="115">
        <f>SUMIF(_Lights_Tariff_Category,MiscData!$C$25&amp;$B36,_Lights_Rates)-SUMIF(_Lights_Tariff_Category,MiscData!$C$25&amp;$B36,_Rates_Lights_ECR)</f>
        <v>4.3800000000000008</v>
      </c>
      <c r="J36" s="82"/>
      <c r="K36" s="115">
        <f t="shared" si="6"/>
        <v>109174.06</v>
      </c>
      <c r="L36" s="115">
        <f t="shared" si="7"/>
        <v>109174.06</v>
      </c>
      <c r="M36" s="115">
        <f t="shared" si="8"/>
        <v>106578.54</v>
      </c>
      <c r="N36" s="109"/>
      <c r="O36" s="124"/>
      <c r="P36" s="119"/>
      <c r="AG36" s="111" t="s">
        <v>158</v>
      </c>
    </row>
    <row r="37" spans="1:33" ht="12.75">
      <c r="A37" s="116" t="s">
        <v>508</v>
      </c>
      <c r="B37" s="117" t="s">
        <v>404</v>
      </c>
      <c r="C37" s="114">
        <f>SUMIF(_12MonLights_TariffRateCategory,MiscData!$C$23&amp;$B37,_12MonLights_Count)+SUMIF(_12MonLights_TariffRateCategory,MiscData!$C$23&amp;$B37,_12MonLights_Count_Adj)</f>
        <v>0</v>
      </c>
      <c r="D37" s="114">
        <f>SUMIF(_12MonLights_TariffRateCategory,MiscData!$C$24&amp;$B37,_12MonLights_Count)+SUMIF(_12MonLights_TariffRateCategory,MiscData!$C$23&amp;$B37,_12MonLights_Count_Adj)</f>
        <v>0</v>
      </c>
      <c r="E37" s="114">
        <f>SUMIF(_12MonLights_TariffRateCategory,MiscData!$C$25&amp;$B37,_12MonLights_Count)+SUMIF(_12MonLights_TariffRateCategory,MiscData!$C$23&amp;$B37,_12MonLights_Count_Adj)</f>
        <v>0</v>
      </c>
      <c r="F37" s="82"/>
      <c r="G37" s="115">
        <f>SUMIF(_Lights_Tariff_Category,MiscData!$C$23&amp;$B37,_Lights_Rates)</f>
        <v>0</v>
      </c>
      <c r="H37" s="115">
        <f>SUMIF(_Lights_Tariff_Category,MiscData!$C$24&amp;$B37,_Lights_Rates)</f>
        <v>0</v>
      </c>
      <c r="I37" s="115">
        <f>SUMIF(_Lights_Tariff_Category,MiscData!$C$25&amp;$B37,_Lights_Rates)-SUMIF(_Lights_Tariff_Category,MiscData!$C$25&amp;$B37,_Rates_Lights_ECR)</f>
        <v>0</v>
      </c>
      <c r="J37" s="82"/>
      <c r="K37" s="115">
        <f t="shared" si="6"/>
        <v>0</v>
      </c>
      <c r="L37" s="115">
        <f t="shared" si="7"/>
        <v>0</v>
      </c>
      <c r="M37" s="115">
        <f t="shared" si="8"/>
        <v>0</v>
      </c>
      <c r="N37" s="109"/>
      <c r="O37" s="124"/>
      <c r="P37" s="124"/>
      <c r="AG37" s="111" t="s">
        <v>159</v>
      </c>
    </row>
    <row r="38" spans="1:33" ht="12.75">
      <c r="A38" s="112" t="s">
        <v>487</v>
      </c>
      <c r="B38" s="117" t="s">
        <v>358</v>
      </c>
      <c r="C38" s="114">
        <f>SUMIF(_12MonLights_TariffRateCategory,MiscData!$C$23&amp;$B38,_12MonLights_Count)+SUMIF(_12MonLights_TariffRateCategory,MiscData!$C$23&amp;$B38,_12MonLights_Count_Adj)</f>
        <v>986</v>
      </c>
      <c r="D38" s="114">
        <f>SUMIF(_12MonLights_TariffRateCategory,MiscData!$C$24&amp;$B38,_12MonLights_Count)+SUMIF(_12MonLights_TariffRateCategory,MiscData!$C$23&amp;$B38,_12MonLights_Count_Adj)</f>
        <v>986</v>
      </c>
      <c r="E38" s="114">
        <f>SUMIF(_12MonLights_TariffRateCategory,MiscData!$C$25&amp;$B38,_12MonLights_Count)+SUMIF(_12MonLights_TariffRateCategory,MiscData!$C$23&amp;$B38,_12MonLights_Count_Adj)</f>
        <v>986</v>
      </c>
      <c r="F38" s="82"/>
      <c r="G38" s="115">
        <f>SUMIF(_Lights_Tariff_Category,MiscData!$C$23&amp;$B38,_Lights_Rates)</f>
        <v>6.78</v>
      </c>
      <c r="H38" s="115">
        <f>SUMIF(_Lights_Tariff_Category,MiscData!$C$24&amp;$B38,_Lights_Rates)</f>
        <v>6.78</v>
      </c>
      <c r="I38" s="115">
        <f>SUMIF(_Lights_Tariff_Category,MiscData!$C$25&amp;$B38,_Lights_Rates)-SUMIF(_Lights_Tariff_Category,MiscData!$C$25&amp;$B38,_Rates_Lights_ECR)</f>
        <v>6.54</v>
      </c>
      <c r="J38" s="82"/>
      <c r="K38" s="115">
        <f t="shared" si="6"/>
        <v>19818.599999999999</v>
      </c>
      <c r="L38" s="115">
        <f t="shared" si="7"/>
        <v>19818.599999999999</v>
      </c>
      <c r="M38" s="115">
        <f t="shared" si="8"/>
        <v>19345.32</v>
      </c>
      <c r="N38" s="104"/>
      <c r="O38" s="101"/>
      <c r="P38" s="101"/>
      <c r="AG38" s="111" t="s">
        <v>152</v>
      </c>
    </row>
    <row r="39" spans="1:33" ht="12.75">
      <c r="A39" s="116" t="s">
        <v>488</v>
      </c>
      <c r="B39" s="117" t="s">
        <v>357</v>
      </c>
      <c r="C39" s="114">
        <f>SUMIF(_12MonLights_TariffRateCategory,MiscData!$C$23&amp;$B39,_12MonLights_Count)+SUMIF(_12MonLights_TariffRateCategory,MiscData!$C$23&amp;$B39,_12MonLights_Count_Adj)</f>
        <v>68</v>
      </c>
      <c r="D39" s="114">
        <f>SUMIF(_12MonLights_TariffRateCategory,MiscData!$C$24&amp;$B39,_12MonLights_Count)+SUMIF(_12MonLights_TariffRateCategory,MiscData!$C$23&amp;$B39,_12MonLights_Count_Adj)</f>
        <v>68</v>
      </c>
      <c r="E39" s="114">
        <f>SUMIF(_12MonLights_TariffRateCategory,MiscData!$C$25&amp;$B39,_12MonLights_Count)+SUMIF(_12MonLights_TariffRateCategory,MiscData!$C$23&amp;$B39,_12MonLights_Count_Adj)</f>
        <v>68</v>
      </c>
      <c r="F39" s="82"/>
      <c r="G39" s="115">
        <f>SUMIF(_Lights_Tariff_Category,MiscData!$C$23&amp;$B39,_Lights_Rates)</f>
        <v>7.74</v>
      </c>
      <c r="H39" s="115">
        <f>SUMIF(_Lights_Tariff_Category,MiscData!$C$24&amp;$B39,_Lights_Rates)</f>
        <v>7.74</v>
      </c>
      <c r="I39" s="115">
        <f>SUMIF(_Lights_Tariff_Category,MiscData!$C$25&amp;$B39,_Lights_Rates)-SUMIF(_Lights_Tariff_Category,MiscData!$C$25&amp;$B39,_Rates_Lights_ECR)</f>
        <v>7.5</v>
      </c>
      <c r="J39" s="82"/>
      <c r="K39" s="115">
        <f t="shared" si="6"/>
        <v>1562.64</v>
      </c>
      <c r="L39" s="115">
        <f t="shared" si="7"/>
        <v>1562.64</v>
      </c>
      <c r="M39" s="115">
        <f t="shared" si="8"/>
        <v>1530</v>
      </c>
      <c r="N39" s="109"/>
      <c r="O39" s="106"/>
      <c r="P39" s="110"/>
      <c r="Y39" s="80" t="s">
        <v>178</v>
      </c>
      <c r="AB39" s="85" t="str">
        <f>MiscData!$C$23&amp;$Y39</f>
        <v>20140101KURSE715</v>
      </c>
      <c r="AC39" s="85"/>
      <c r="AD39" s="85"/>
      <c r="AE39" s="85"/>
      <c r="AF39" s="85"/>
      <c r="AG39" s="111" t="s">
        <v>215</v>
      </c>
    </row>
    <row r="40" spans="1:33" ht="12.75">
      <c r="A40" s="116" t="s">
        <v>509</v>
      </c>
      <c r="B40" s="117" t="s">
        <v>383</v>
      </c>
      <c r="C40" s="114">
        <f>SUMIF(_12MonLights_TariffRateCategory,MiscData!$C$23&amp;$B40,_12MonLights_Count)+SUMIF(_12MonLights_TariffRateCategory,MiscData!$C$23&amp;$B40,_12MonLights_Count_Adj)</f>
        <v>24</v>
      </c>
      <c r="D40" s="114">
        <f>SUMIF(_12MonLights_TariffRateCategory,MiscData!$C$24&amp;$B40,_12MonLights_Count)+SUMIF(_12MonLights_TariffRateCategory,MiscData!$C$23&amp;$B40,_12MonLights_Count_Adj)</f>
        <v>24</v>
      </c>
      <c r="E40" s="114">
        <f>SUMIF(_12MonLights_TariffRateCategory,MiscData!$C$25&amp;$B40,_12MonLights_Count)+SUMIF(_12MonLights_TariffRateCategory,MiscData!$C$23&amp;$B40,_12MonLights_Count_Adj)</f>
        <v>24</v>
      </c>
      <c r="F40" s="82"/>
      <c r="G40" s="115">
        <f>SUMIF(_Lights_Tariff_Category,MiscData!$C$23&amp;$B40,_Lights_Rates)</f>
        <v>9.06</v>
      </c>
      <c r="H40" s="115">
        <f>SUMIF(_Lights_Tariff_Category,MiscData!$C$24&amp;$B40,_Lights_Rates)</f>
        <v>9.06</v>
      </c>
      <c r="I40" s="115">
        <f>SUMIF(_Lights_Tariff_Category,MiscData!$C$25&amp;$B40,_Lights_Rates)-SUMIF(_Lights_Tariff_Category,MiscData!$C$25&amp;$B40,_Rates_Lights_ECR)</f>
        <v>8.73</v>
      </c>
      <c r="J40" s="82"/>
      <c r="K40" s="115">
        <f t="shared" si="6"/>
        <v>644.4</v>
      </c>
      <c r="L40" s="115">
        <f t="shared" si="7"/>
        <v>644.4</v>
      </c>
      <c r="M40" s="115">
        <f t="shared" si="8"/>
        <v>628.55999999999995</v>
      </c>
      <c r="N40" s="109"/>
      <c r="O40" s="106"/>
      <c r="P40" s="110"/>
      <c r="AB40" s="85" t="str">
        <f>MiscData!$C$24&amp;$Y39</f>
        <v>20140101KURSE715</v>
      </c>
      <c r="AC40" s="85"/>
      <c r="AD40" s="85"/>
      <c r="AE40" s="85"/>
      <c r="AF40" s="85"/>
      <c r="AG40" s="111" t="s">
        <v>173</v>
      </c>
    </row>
    <row r="41" spans="1:33" ht="12.75">
      <c r="A41" s="116" t="s">
        <v>510</v>
      </c>
      <c r="B41" s="117" t="s">
        <v>408</v>
      </c>
      <c r="C41" s="114">
        <f>SUMIF(_12MonLights_TariffRateCategory,MiscData!$C$23&amp;$B41,_12MonLights_Count)+SUMIF(_12MonLights_TariffRateCategory,MiscData!$C$23&amp;$B41,_12MonLights_Count_Adj)</f>
        <v>0</v>
      </c>
      <c r="D41" s="114">
        <f>SUMIF(_12MonLights_TariffRateCategory,MiscData!$C$24&amp;$B41,_12MonLights_Count)+SUMIF(_12MonLights_TariffRateCategory,MiscData!$C$23&amp;$B41,_12MonLights_Count_Adj)</f>
        <v>0</v>
      </c>
      <c r="E41" s="114">
        <f>SUMIF(_12MonLights_TariffRateCategory,MiscData!$C$25&amp;$B41,_12MonLights_Count)+SUMIF(_12MonLights_TariffRateCategory,MiscData!$C$23&amp;$B41,_12MonLights_Count_Adj)</f>
        <v>0</v>
      </c>
      <c r="F41" s="82"/>
      <c r="G41" s="115">
        <f>SUMIF(_Lights_Tariff_Category,MiscData!$C$23&amp;$B41,_Lights_Rates)</f>
        <v>0</v>
      </c>
      <c r="H41" s="115">
        <f>SUMIF(_Lights_Tariff_Category,MiscData!$C$24&amp;$B41,_Lights_Rates)</f>
        <v>0</v>
      </c>
      <c r="I41" s="115">
        <f>SUMIF(_Lights_Tariff_Category,MiscData!$C$25&amp;$B41,_Lights_Rates)-SUMIF(_Lights_Tariff_Category,MiscData!$C$25&amp;$B41,_Rates_Lights_ECR)</f>
        <v>0</v>
      </c>
      <c r="J41" s="82"/>
      <c r="K41" s="115">
        <f t="shared" si="6"/>
        <v>0</v>
      </c>
      <c r="L41" s="115">
        <f t="shared" si="7"/>
        <v>0</v>
      </c>
      <c r="M41" s="115">
        <f t="shared" si="8"/>
        <v>0</v>
      </c>
      <c r="N41" s="109"/>
      <c r="O41" s="106"/>
      <c r="P41" s="110"/>
      <c r="AB41" s="85" t="str">
        <f>MiscData!$C$25&amp;$Y39</f>
        <v>20140101KURSE715</v>
      </c>
      <c r="AC41" s="85"/>
      <c r="AD41" s="85"/>
      <c r="AE41" s="85"/>
      <c r="AF41" s="85"/>
      <c r="AG41" s="111" t="s">
        <v>168</v>
      </c>
    </row>
    <row r="42" spans="1:33" ht="12.75">
      <c r="A42" s="125"/>
      <c r="B42" s="82"/>
      <c r="C42" s="114"/>
      <c r="D42" s="82"/>
      <c r="E42" s="82"/>
      <c r="F42" s="82"/>
      <c r="G42" s="82"/>
      <c r="H42" s="126"/>
      <c r="I42" s="127"/>
      <c r="J42" s="82"/>
      <c r="K42" s="126"/>
      <c r="L42" s="127"/>
      <c r="M42" s="127"/>
      <c r="N42" s="109"/>
      <c r="O42" s="118"/>
      <c r="P42" s="119"/>
      <c r="AG42" s="111" t="s">
        <v>217</v>
      </c>
    </row>
    <row r="43" spans="1:33" ht="12.75">
      <c r="A43" s="128" t="s">
        <v>512</v>
      </c>
      <c r="B43" s="82"/>
      <c r="C43" s="129"/>
      <c r="D43" s="82"/>
      <c r="E43" s="82"/>
      <c r="F43" s="114"/>
      <c r="G43" s="82"/>
      <c r="H43" s="130"/>
      <c r="I43" s="131"/>
      <c r="J43" s="82"/>
      <c r="K43" s="120"/>
      <c r="L43" s="131"/>
      <c r="M43" s="131"/>
      <c r="N43" s="109"/>
      <c r="O43" s="120"/>
      <c r="P43" s="110"/>
      <c r="AB43" s="85" t="str">
        <f>MiscData!$C$23&amp;$Y39</f>
        <v>20140101KURSE715</v>
      </c>
      <c r="AC43" s="85"/>
      <c r="AD43" s="85"/>
      <c r="AE43" s="85"/>
      <c r="AF43" s="85"/>
      <c r="AG43" s="111" t="s">
        <v>216</v>
      </c>
    </row>
    <row r="44" spans="1:33" ht="12.75">
      <c r="A44" s="105" t="s">
        <v>486</v>
      </c>
      <c r="B44" s="82"/>
      <c r="C44" s="85"/>
      <c r="D44" s="85"/>
      <c r="E44" s="85"/>
      <c r="F44" s="82"/>
      <c r="G44" s="82"/>
      <c r="H44" s="106"/>
      <c r="I44" s="107"/>
      <c r="J44" s="108"/>
      <c r="K44" s="106"/>
      <c r="L44" s="107"/>
      <c r="M44" s="107"/>
      <c r="N44" s="109"/>
      <c r="O44" s="120"/>
      <c r="P44" s="110"/>
      <c r="AB44" s="85" t="str">
        <f>MiscData!$C$25&amp;$Y39</f>
        <v>20140101KURSE715</v>
      </c>
      <c r="AC44" s="85"/>
      <c r="AD44" s="85"/>
      <c r="AE44" s="85"/>
      <c r="AF44" s="85"/>
      <c r="AG44" s="111" t="s">
        <v>416</v>
      </c>
    </row>
    <row r="45" spans="1:33" ht="12.75">
      <c r="A45" s="116" t="s">
        <v>513</v>
      </c>
      <c r="B45" s="117" t="s">
        <v>410</v>
      </c>
      <c r="C45" s="114">
        <f>SUMIF(_12MonLights_TariffRateCategory,MiscData!$C$23&amp;$B45,_12MonLights_Count)+SUMIF(_12MonLights_TariffRateCategory,MiscData!$C$23&amp;$B45,_12MonLights_Count_Adj)</f>
        <v>0</v>
      </c>
      <c r="D45" s="114">
        <f>SUMIF(_12MonLights_TariffRateCategory,MiscData!$C$24&amp;$B45,_12MonLights_Count)+SUMIF(_12MonLights_TariffRateCategory,MiscData!$C$23&amp;$B45,_12MonLights_Count_Adj)</f>
        <v>0</v>
      </c>
      <c r="E45" s="114">
        <f>SUMIF(_12MonLights_TariffRateCategory,MiscData!$C$25&amp;$B45,_12MonLights_Count)+SUMIF(_12MonLights_TariffRateCategory,MiscData!$C$23&amp;$B45,_12MonLights_Count_Adj)</f>
        <v>0</v>
      </c>
      <c r="F45" s="82"/>
      <c r="G45" s="115">
        <f>SUMIF(_Lights_Tariff_Category,MiscData!$C$23&amp;$B45,_Lights_Rates)</f>
        <v>0</v>
      </c>
      <c r="H45" s="115">
        <f>SUMIF(_Lights_Tariff_Category,MiscData!$C$24&amp;$B45,_Lights_Rates)</f>
        <v>0</v>
      </c>
      <c r="I45" s="115">
        <f>SUMIF(_Lights_Tariff_Category,MiscData!$C$25&amp;$B45,_Lights_Rates)-SUMIF(_Lights_Tariff_Category,MiscData!$C$25&amp;$B45,_Rates_Lights_ECR)</f>
        <v>0</v>
      </c>
      <c r="J45" s="82"/>
      <c r="K45" s="115">
        <f t="shared" ref="K45:K59" si="9">ROUND(SUM($C45*$G45,$D45*$H45,$E45*$I45),2)</f>
        <v>0</v>
      </c>
      <c r="L45" s="115">
        <f t="shared" ref="L45:L59" si="10">ROUND(SUM($C45*$H45,$D45*$H45,$E45*$I45),2)</f>
        <v>0</v>
      </c>
      <c r="M45" s="115">
        <f t="shared" ref="M45:M59" si="11">ROUND(SUM($C45*$I45,$D45*$I45,$E45*$I45),2)</f>
        <v>0</v>
      </c>
      <c r="N45" s="109"/>
      <c r="O45" s="108"/>
      <c r="P45" s="107"/>
      <c r="AG45" s="111" t="s">
        <v>417</v>
      </c>
    </row>
    <row r="46" spans="1:33" ht="15">
      <c r="A46" s="116" t="s">
        <v>514</v>
      </c>
      <c r="B46" s="117" t="s">
        <v>360</v>
      </c>
      <c r="C46" s="114">
        <f>SUMIF(_12MonLights_TariffRateCategory,MiscData!$C$23&amp;$B46,_12MonLights_Count)+SUMIF(_12MonLights_TariffRateCategory,MiscData!$C$23&amp;$B46,_12MonLights_Count_Adj)</f>
        <v>2863</v>
      </c>
      <c r="D46" s="114">
        <f>SUMIF(_12MonLights_TariffRateCategory,MiscData!$C$24&amp;$B46,_12MonLights_Count)+SUMIF(_12MonLights_TariffRateCategory,MiscData!$C$23&amp;$B46,_12MonLights_Count_Adj)</f>
        <v>2863</v>
      </c>
      <c r="E46" s="114">
        <f>SUMIF(_12MonLights_TariffRateCategory,MiscData!$C$25&amp;$B46,_12MonLights_Count)+SUMIF(_12MonLights_TariffRateCategory,MiscData!$C$23&amp;$B46,_12MonLights_Count_Adj)</f>
        <v>2863</v>
      </c>
      <c r="F46" s="82"/>
      <c r="G46" s="115">
        <f>SUMIF(_Lights_Tariff_Category,MiscData!$C$23&amp;$B46,_Lights_Rates)</f>
        <v>20.259999999999998</v>
      </c>
      <c r="H46" s="115">
        <f>SUMIF(_Lights_Tariff_Category,MiscData!$C$24&amp;$B46,_Lights_Rates)</f>
        <v>20.259999999999998</v>
      </c>
      <c r="I46" s="115">
        <f>SUMIF(_Lights_Tariff_Category,MiscData!$C$25&amp;$B46,_Lights_Rates)-SUMIF(_Lights_Tariff_Category,MiscData!$C$25&amp;$B46,_Rates_Lights_ECR)</f>
        <v>19.93</v>
      </c>
      <c r="J46" s="82"/>
      <c r="K46" s="115">
        <f t="shared" si="9"/>
        <v>173068.35</v>
      </c>
      <c r="L46" s="115">
        <f t="shared" si="10"/>
        <v>173068.35</v>
      </c>
      <c r="M46" s="115">
        <f t="shared" si="11"/>
        <v>171178.77</v>
      </c>
      <c r="N46" s="121"/>
      <c r="O46" s="122"/>
      <c r="P46" s="123"/>
      <c r="AG46" s="111" t="s">
        <v>323</v>
      </c>
    </row>
    <row r="47" spans="1:33" ht="12.75">
      <c r="A47" s="116" t="s">
        <v>515</v>
      </c>
      <c r="B47" s="117" t="s">
        <v>366</v>
      </c>
      <c r="C47" s="114">
        <f>SUMIF(_12MonLights_TariffRateCategory,MiscData!$C$23&amp;$B47,_12MonLights_Count)+SUMIF(_12MonLights_TariffRateCategory,MiscData!$C$23&amp;$B47,_12MonLights_Count_Adj)</f>
        <v>618</v>
      </c>
      <c r="D47" s="114">
        <f>SUMIF(_12MonLights_TariffRateCategory,MiscData!$C$24&amp;$B47,_12MonLights_Count)+SUMIF(_12MonLights_TariffRateCategory,MiscData!$C$23&amp;$B47,_12MonLights_Count_Adj)</f>
        <v>618</v>
      </c>
      <c r="E47" s="114">
        <f>SUMIF(_12MonLights_TariffRateCategory,MiscData!$C$25&amp;$B47,_12MonLights_Count)+SUMIF(_12MonLights_TariffRateCategory,MiscData!$C$23&amp;$B47,_12MonLights_Count_Adj)</f>
        <v>618</v>
      </c>
      <c r="F47" s="82"/>
      <c r="G47" s="115">
        <f>SUMIF(_Lights_Tariff_Category,MiscData!$C$23&amp;$B47,_Lights_Rates)</f>
        <v>14.860000000000001</v>
      </c>
      <c r="H47" s="115">
        <f>SUMIF(_Lights_Tariff_Category,MiscData!$C$24&amp;$B47,_Lights_Rates)</f>
        <v>14.860000000000001</v>
      </c>
      <c r="I47" s="115">
        <f>SUMIF(_Lights_Tariff_Category,MiscData!$C$25&amp;$B47,_Lights_Rates)-SUMIF(_Lights_Tariff_Category,MiscData!$C$25&amp;$B47,_Rates_Lights_ECR)</f>
        <v>14.430000000000001</v>
      </c>
      <c r="J47" s="82"/>
      <c r="K47" s="115">
        <f t="shared" si="9"/>
        <v>27284.7</v>
      </c>
      <c r="L47" s="115">
        <f t="shared" si="10"/>
        <v>27284.7</v>
      </c>
      <c r="M47" s="115">
        <f t="shared" si="11"/>
        <v>26753.22</v>
      </c>
      <c r="N47" s="109"/>
      <c r="O47" s="124"/>
      <c r="P47" s="119"/>
      <c r="AG47" s="111" t="s">
        <v>328</v>
      </c>
    </row>
    <row r="48" spans="1:33" ht="12.75">
      <c r="A48" s="116" t="s">
        <v>516</v>
      </c>
      <c r="B48" s="117" t="s">
        <v>368</v>
      </c>
      <c r="C48" s="114">
        <f>SUMIF(_12MonLights_TariffRateCategory,MiscData!$C$23&amp;$B48,_12MonLights_Count)+SUMIF(_12MonLights_TariffRateCategory,MiscData!$C$23&amp;$B48,_12MonLights_Count_Adj)</f>
        <v>1752</v>
      </c>
      <c r="D48" s="114">
        <f>SUMIF(_12MonLights_TariffRateCategory,MiscData!$C$24&amp;$B48,_12MonLights_Count)+SUMIF(_12MonLights_TariffRateCategory,MiscData!$C$23&amp;$B48,_12MonLights_Count_Adj)</f>
        <v>1752</v>
      </c>
      <c r="E48" s="114">
        <f>SUMIF(_12MonLights_TariffRateCategory,MiscData!$C$25&amp;$B48,_12MonLights_Count)+SUMIF(_12MonLights_TariffRateCategory,MiscData!$C$23&amp;$B48,_12MonLights_Count_Adj)</f>
        <v>1752</v>
      </c>
      <c r="F48" s="82"/>
      <c r="G48" s="115">
        <f>SUMIF(_Lights_Tariff_Category,MiscData!$C$23&amp;$B48,_Lights_Rates)</f>
        <v>21.38</v>
      </c>
      <c r="H48" s="115">
        <f>SUMIF(_Lights_Tariff_Category,MiscData!$C$24&amp;$B48,_Lights_Rates)</f>
        <v>21.38</v>
      </c>
      <c r="I48" s="115">
        <f>SUMIF(_Lights_Tariff_Category,MiscData!$C$25&amp;$B48,_Lights_Rates)-SUMIF(_Lights_Tariff_Category,MiscData!$C$25&amp;$B48,_Rates_Lights_ECR)</f>
        <v>20.95</v>
      </c>
      <c r="J48" s="82"/>
      <c r="K48" s="115">
        <f t="shared" si="9"/>
        <v>111619.92</v>
      </c>
      <c r="L48" s="115">
        <f t="shared" si="10"/>
        <v>111619.92</v>
      </c>
      <c r="M48" s="115">
        <f t="shared" si="11"/>
        <v>110113.2</v>
      </c>
      <c r="N48" s="109"/>
      <c r="O48" s="124"/>
      <c r="P48" s="124"/>
      <c r="AG48" s="111" t="s">
        <v>331</v>
      </c>
    </row>
    <row r="49" spans="1:33" ht="12.75">
      <c r="A49" s="116" t="s">
        <v>517</v>
      </c>
      <c r="B49" s="117" t="s">
        <v>389</v>
      </c>
      <c r="C49" s="114">
        <f>SUMIF(_12MonLights_TariffRateCategory,MiscData!$C$23&amp;$B49,_12MonLights_Count)+SUMIF(_12MonLights_TariffRateCategory,MiscData!$C$23&amp;$B49,_12MonLights_Count_Adj)</f>
        <v>5567</v>
      </c>
      <c r="D49" s="114">
        <f>SUMIF(_12MonLights_TariffRateCategory,MiscData!$C$24&amp;$B49,_12MonLights_Count)+SUMIF(_12MonLights_TariffRateCategory,MiscData!$C$23&amp;$B49,_12MonLights_Count_Adj)</f>
        <v>5567</v>
      </c>
      <c r="E49" s="114">
        <f>SUMIF(_12MonLights_TariffRateCategory,MiscData!$C$25&amp;$B49,_12MonLights_Count)+SUMIF(_12MonLights_TariffRateCategory,MiscData!$C$23&amp;$B49,_12MonLights_Count_Adj)</f>
        <v>5567</v>
      </c>
      <c r="F49" s="82"/>
      <c r="G49" s="115">
        <f>SUMIF(_Lights_Tariff_Category,MiscData!$C$23&amp;$B49,_Lights_Rates)</f>
        <v>15.360000000000001</v>
      </c>
      <c r="H49" s="115">
        <f>SUMIF(_Lights_Tariff_Category,MiscData!$C$24&amp;$B49,_Lights_Rates)</f>
        <v>15.360000000000001</v>
      </c>
      <c r="I49" s="115">
        <f>SUMIF(_Lights_Tariff_Category,MiscData!$C$25&amp;$B49,_Lights_Rates)-SUMIF(_Lights_Tariff_Category,MiscData!$C$25&amp;$B49,_Rates_Lights_ECR)</f>
        <v>15.020000000000001</v>
      </c>
      <c r="J49" s="82"/>
      <c r="K49" s="115">
        <f t="shared" si="9"/>
        <v>254634.58</v>
      </c>
      <c r="L49" s="115">
        <f t="shared" si="10"/>
        <v>254634.58</v>
      </c>
      <c r="M49" s="115">
        <f t="shared" si="11"/>
        <v>250849.02</v>
      </c>
      <c r="N49" s="104"/>
      <c r="O49" s="101"/>
      <c r="P49" s="101"/>
      <c r="AG49" s="111" t="s">
        <v>332</v>
      </c>
    </row>
    <row r="50" spans="1:33" ht="12.75">
      <c r="A50" s="116" t="s">
        <v>518</v>
      </c>
      <c r="B50" s="117" t="s">
        <v>391</v>
      </c>
      <c r="C50" s="114">
        <f>SUMIF(_12MonLights_TariffRateCategory,MiscData!$C$23&amp;$B50,_12MonLights_Count)+SUMIF(_12MonLights_TariffRateCategory,MiscData!$C$23&amp;$B50,_12MonLights_Count_Adj)</f>
        <v>13825</v>
      </c>
      <c r="D50" s="114">
        <f>SUMIF(_12MonLights_TariffRateCategory,MiscData!$C$24&amp;$B50,_12MonLights_Count)+SUMIF(_12MonLights_TariffRateCategory,MiscData!$C$23&amp;$B50,_12MonLights_Count_Adj)</f>
        <v>13825</v>
      </c>
      <c r="E50" s="114">
        <f>SUMIF(_12MonLights_TariffRateCategory,MiscData!$C$25&amp;$B50,_12MonLights_Count)+SUMIF(_12MonLights_TariffRateCategory,MiscData!$C$23&amp;$B50,_12MonLights_Count_Adj)</f>
        <v>13825</v>
      </c>
      <c r="F50" s="82"/>
      <c r="G50" s="115">
        <f>SUMIF(_Lights_Tariff_Category,MiscData!$C$23&amp;$B50,_Lights_Rates)</f>
        <v>22</v>
      </c>
      <c r="H50" s="115">
        <f>SUMIF(_Lights_Tariff_Category,MiscData!$C$24&amp;$B50,_Lights_Rates)</f>
        <v>22</v>
      </c>
      <c r="I50" s="115">
        <f>SUMIF(_Lights_Tariff_Category,MiscData!$C$25&amp;$B50,_Lights_Rates)-SUMIF(_Lights_Tariff_Category,MiscData!$C$25&amp;$B50,_Rates_Lights_ECR)</f>
        <v>21.66</v>
      </c>
      <c r="J50" s="82"/>
      <c r="K50" s="115">
        <f t="shared" si="9"/>
        <v>907749.5</v>
      </c>
      <c r="L50" s="115">
        <f t="shared" si="10"/>
        <v>907749.5</v>
      </c>
      <c r="M50" s="115">
        <f t="shared" si="11"/>
        <v>898348.5</v>
      </c>
      <c r="N50" s="109"/>
      <c r="O50" s="106"/>
      <c r="P50" s="110"/>
      <c r="Y50" s="80" t="s">
        <v>177</v>
      </c>
      <c r="AB50" s="85" t="str">
        <f>MiscData!$C$23&amp;$Y50</f>
        <v>20140101KURSE080</v>
      </c>
      <c r="AG50" s="111" t="s">
        <v>333</v>
      </c>
    </row>
    <row r="51" spans="1:33" ht="12.75">
      <c r="A51" s="116" t="s">
        <v>519</v>
      </c>
      <c r="B51" s="117" t="s">
        <v>363</v>
      </c>
      <c r="C51" s="114">
        <f>SUMIF(_12MonLights_TariffRateCategory,MiscData!$C$23&amp;$B51,_12MonLights_Count)+SUMIF(_12MonLights_TariffRateCategory,MiscData!$C$23&amp;$B51,_12MonLights_Count_Adj)</f>
        <v>10284</v>
      </c>
      <c r="D51" s="114">
        <f>SUMIF(_12MonLights_TariffRateCategory,MiscData!$C$24&amp;$B51,_12MonLights_Count)+SUMIF(_12MonLights_TariffRateCategory,MiscData!$C$23&amp;$B51,_12MonLights_Count_Adj)</f>
        <v>10284</v>
      </c>
      <c r="E51" s="114">
        <f>SUMIF(_12MonLights_TariffRateCategory,MiscData!$C$25&amp;$B51,_12MonLights_Count)+SUMIF(_12MonLights_TariffRateCategory,MiscData!$C$23&amp;$B51,_12MonLights_Count_Adj)</f>
        <v>10284</v>
      </c>
      <c r="F51" s="82"/>
      <c r="G51" s="115">
        <f>SUMIF(_Lights_Tariff_Category,MiscData!$C$23&amp;$B51,_Lights_Rates)</f>
        <v>9.620000000000001</v>
      </c>
      <c r="H51" s="115">
        <f>SUMIF(_Lights_Tariff_Category,MiscData!$C$24&amp;$B51,_Lights_Rates)</f>
        <v>9.620000000000001</v>
      </c>
      <c r="I51" s="115">
        <f>SUMIF(_Lights_Tariff_Category,MiscData!$C$25&amp;$B51,_Lights_Rates)-SUMIF(_Lights_Tariff_Category,MiscData!$C$25&amp;$B51,_Rates_Lights_ECR)</f>
        <v>9.2900000000000009</v>
      </c>
      <c r="J51" s="82"/>
      <c r="K51" s="115">
        <f t="shared" si="9"/>
        <v>293402.52</v>
      </c>
      <c r="L51" s="115">
        <f t="shared" si="10"/>
        <v>293402.52</v>
      </c>
      <c r="M51" s="115">
        <f t="shared" si="11"/>
        <v>286615.08</v>
      </c>
      <c r="N51" s="109"/>
      <c r="O51" s="106"/>
      <c r="P51" s="110"/>
      <c r="AB51" s="85" t="str">
        <f>MiscData!$C$24&amp;$Y50</f>
        <v>20140101KURSE080</v>
      </c>
      <c r="AG51" s="111" t="s">
        <v>335</v>
      </c>
    </row>
    <row r="52" spans="1:33" ht="12.75">
      <c r="A52" s="116" t="s">
        <v>520</v>
      </c>
      <c r="B52" s="117" t="s">
        <v>373</v>
      </c>
      <c r="C52" s="114">
        <f>SUMIF(_12MonLights_TariffRateCategory,MiscData!$C$23&amp;$B52,_12MonLights_Count)+SUMIF(_12MonLights_TariffRateCategory,MiscData!$C$23&amp;$B52,_12MonLights_Count_Adj)</f>
        <v>16025</v>
      </c>
      <c r="D52" s="114">
        <f>SUMIF(_12MonLights_TariffRateCategory,MiscData!$C$24&amp;$B52,_12MonLights_Count)+SUMIF(_12MonLights_TariffRateCategory,MiscData!$C$23&amp;$B52,_12MonLights_Count_Adj)</f>
        <v>16025</v>
      </c>
      <c r="E52" s="114">
        <f>SUMIF(_12MonLights_TariffRateCategory,MiscData!$C$25&amp;$B52,_12MonLights_Count)+SUMIF(_12MonLights_TariffRateCategory,MiscData!$C$23&amp;$B52,_12MonLights_Count_Adj)</f>
        <v>16025</v>
      </c>
      <c r="F52" s="82"/>
      <c r="G52" s="115">
        <f>SUMIF(_Lights_Tariff_Category,MiscData!$C$23&amp;$B52,_Lights_Rates)</f>
        <v>10.770000000000001</v>
      </c>
      <c r="H52" s="115">
        <f>SUMIF(_Lights_Tariff_Category,MiscData!$C$24&amp;$B52,_Lights_Rates)</f>
        <v>10.770000000000001</v>
      </c>
      <c r="I52" s="115">
        <f>SUMIF(_Lights_Tariff_Category,MiscData!$C$25&amp;$B52,_Lights_Rates)-SUMIF(_Lights_Tariff_Category,MiscData!$C$25&amp;$B52,_Rates_Lights_ECR)</f>
        <v>10.340000000000002</v>
      </c>
      <c r="J52" s="82"/>
      <c r="K52" s="115">
        <f t="shared" si="9"/>
        <v>510877</v>
      </c>
      <c r="L52" s="115">
        <f t="shared" si="10"/>
        <v>510877</v>
      </c>
      <c r="M52" s="115">
        <f t="shared" si="11"/>
        <v>497095.5</v>
      </c>
      <c r="N52" s="109"/>
      <c r="O52" s="106"/>
      <c r="P52" s="110"/>
      <c r="AB52" s="85" t="str">
        <f>MiscData!$C$25&amp;$Y50</f>
        <v>20140101KURSE080</v>
      </c>
      <c r="AG52" s="111" t="s">
        <v>336</v>
      </c>
    </row>
    <row r="53" spans="1:33" ht="12.75">
      <c r="A53" s="116" t="s">
        <v>521</v>
      </c>
      <c r="B53" s="117" t="s">
        <v>396</v>
      </c>
      <c r="C53" s="114">
        <f>SUMIF(_12MonLights_TariffRateCategory,MiscData!$C$23&amp;$B53,_12MonLights_Count)+SUMIF(_12MonLights_TariffRateCategory,MiscData!$C$23&amp;$B53,_12MonLights_Count_Adj)</f>
        <v>47680</v>
      </c>
      <c r="D53" s="114">
        <f>SUMIF(_12MonLights_TariffRateCategory,MiscData!$C$24&amp;$B53,_12MonLights_Count)+SUMIF(_12MonLights_TariffRateCategory,MiscData!$C$23&amp;$B53,_12MonLights_Count_Adj)</f>
        <v>47680</v>
      </c>
      <c r="E53" s="114">
        <f>SUMIF(_12MonLights_TariffRateCategory,MiscData!$C$25&amp;$B53,_12MonLights_Count)+SUMIF(_12MonLights_TariffRateCategory,MiscData!$C$23&amp;$B53,_12MonLights_Count_Adj)</f>
        <v>47680</v>
      </c>
      <c r="F53" s="82"/>
      <c r="G53" s="115">
        <f>SUMIF(_Lights_Tariff_Category,MiscData!$C$23&amp;$B53,_Lights_Rates)</f>
        <v>11.16</v>
      </c>
      <c r="H53" s="115">
        <f>SUMIF(_Lights_Tariff_Category,MiscData!$C$24&amp;$B53,_Lights_Rates)</f>
        <v>11.16</v>
      </c>
      <c r="I53" s="115">
        <f>SUMIF(_Lights_Tariff_Category,MiscData!$C$25&amp;$B53,_Lights_Rates)-SUMIF(_Lights_Tariff_Category,MiscData!$C$25&amp;$B53,_Rates_Lights_ECR)</f>
        <v>10.82</v>
      </c>
      <c r="J53" s="82"/>
      <c r="K53" s="115">
        <f t="shared" si="9"/>
        <v>1580115.2</v>
      </c>
      <c r="L53" s="115">
        <f t="shared" si="10"/>
        <v>1580115.2</v>
      </c>
      <c r="M53" s="115">
        <f t="shared" si="11"/>
        <v>1547692.8</v>
      </c>
      <c r="N53" s="109"/>
      <c r="O53" s="118"/>
      <c r="P53" s="119"/>
      <c r="AE53" s="79"/>
      <c r="AG53" s="111" t="s">
        <v>338</v>
      </c>
    </row>
    <row r="54" spans="1:33" ht="12.75">
      <c r="A54" s="116" t="s">
        <v>522</v>
      </c>
      <c r="B54" s="117" t="s">
        <v>370</v>
      </c>
      <c r="C54" s="114">
        <f>SUMIF(_12MonLights_TariffRateCategory,MiscData!$C$23&amp;$B54,_12MonLights_Count)+SUMIF(_12MonLights_TariffRateCategory,MiscData!$C$23&amp;$B54,_12MonLights_Count_Adj)</f>
        <v>336</v>
      </c>
      <c r="D54" s="114">
        <f>SUMIF(_12MonLights_TariffRateCategory,MiscData!$C$24&amp;$B54,_12MonLights_Count)+SUMIF(_12MonLights_TariffRateCategory,MiscData!$C$23&amp;$B54,_12MonLights_Count_Adj)</f>
        <v>336</v>
      </c>
      <c r="E54" s="114">
        <f>SUMIF(_12MonLights_TariffRateCategory,MiscData!$C$25&amp;$B54,_12MonLights_Count)+SUMIF(_12MonLights_TariffRateCategory,MiscData!$C$23&amp;$B54,_12MonLights_Count_Adj)</f>
        <v>336</v>
      </c>
      <c r="F54" s="82"/>
      <c r="G54" s="115">
        <f>SUMIF(_Lights_Tariff_Category,MiscData!$C$23&amp;$B54,_Lights_Rates)</f>
        <v>30.84</v>
      </c>
      <c r="H54" s="115">
        <f>SUMIF(_Lights_Tariff_Category,MiscData!$C$24&amp;$B54,_Lights_Rates)</f>
        <v>30.84</v>
      </c>
      <c r="I54" s="115">
        <f>SUMIF(_Lights_Tariff_Category,MiscData!$C$25&amp;$B54,_Lights_Rates)-SUMIF(_Lights_Tariff_Category,MiscData!$C$25&amp;$B54,_Rates_Lights_ECR)</f>
        <v>30.41</v>
      </c>
      <c r="J54" s="82"/>
      <c r="K54" s="115">
        <f t="shared" si="9"/>
        <v>30942.240000000002</v>
      </c>
      <c r="L54" s="115">
        <f t="shared" si="10"/>
        <v>30942.240000000002</v>
      </c>
      <c r="M54" s="115">
        <f t="shared" si="11"/>
        <v>30653.279999999999</v>
      </c>
      <c r="N54" s="109"/>
      <c r="O54" s="120"/>
      <c r="P54" s="110"/>
      <c r="AB54" s="85" t="str">
        <f>MiscData!$C$23&amp;$Y50</f>
        <v>20140101KURSE080</v>
      </c>
      <c r="AE54" s="79"/>
      <c r="AG54" s="111" t="s">
        <v>339</v>
      </c>
    </row>
    <row r="55" spans="1:33" ht="12.75">
      <c r="A55" s="116" t="s">
        <v>523</v>
      </c>
      <c r="B55" s="117" t="s">
        <v>393</v>
      </c>
      <c r="C55" s="114">
        <f>SUMIF(_12MonLights_TariffRateCategory,MiscData!$C$23&amp;$B55,_12MonLights_Count)+SUMIF(_12MonLights_TariffRateCategory,MiscData!$C$23&amp;$B55,_12MonLights_Count_Adj)</f>
        <v>1150</v>
      </c>
      <c r="D55" s="114">
        <f>SUMIF(_12MonLights_TariffRateCategory,MiscData!$C$24&amp;$B55,_12MonLights_Count)+SUMIF(_12MonLights_TariffRateCategory,MiscData!$C$23&amp;$B55,_12MonLights_Count_Adj)</f>
        <v>1150</v>
      </c>
      <c r="E55" s="114">
        <f>SUMIF(_12MonLights_TariffRateCategory,MiscData!$C$25&amp;$B55,_12MonLights_Count)+SUMIF(_12MonLights_TariffRateCategory,MiscData!$C$23&amp;$B55,_12MonLights_Count_Adj)</f>
        <v>1150</v>
      </c>
      <c r="F55" s="82"/>
      <c r="G55" s="115">
        <f>SUMIF(_Lights_Tariff_Category,MiscData!$C$23&amp;$B55,_Lights_Rates)</f>
        <v>31.22</v>
      </c>
      <c r="H55" s="115">
        <f>SUMIF(_Lights_Tariff_Category,MiscData!$C$24&amp;$B55,_Lights_Rates)</f>
        <v>31.22</v>
      </c>
      <c r="I55" s="115">
        <f>SUMIF(_Lights_Tariff_Category,MiscData!$C$25&amp;$B55,_Lights_Rates)-SUMIF(_Lights_Tariff_Category,MiscData!$C$25&amp;$B55,_Rates_Lights_ECR)</f>
        <v>30.88</v>
      </c>
      <c r="J55" s="82"/>
      <c r="K55" s="115">
        <f t="shared" si="9"/>
        <v>107318</v>
      </c>
      <c r="L55" s="115">
        <f t="shared" si="10"/>
        <v>107318</v>
      </c>
      <c r="M55" s="115">
        <f t="shared" si="11"/>
        <v>106536</v>
      </c>
      <c r="N55" s="109"/>
      <c r="O55" s="120"/>
      <c r="P55" s="110"/>
      <c r="AB55" s="85" t="str">
        <f>MiscData!$C$24&amp;$Y50</f>
        <v>20140101KURSE080</v>
      </c>
      <c r="AE55" s="79"/>
      <c r="AG55" s="111" t="s">
        <v>325</v>
      </c>
    </row>
    <row r="56" spans="1:33" ht="12.75">
      <c r="A56" s="116" t="s">
        <v>524</v>
      </c>
      <c r="B56" s="117" t="s">
        <v>374</v>
      </c>
      <c r="C56" s="114">
        <f>SUMIF(_12MonLights_TariffRateCategory,MiscData!$C$23&amp;$B56,_12MonLights_Count)+SUMIF(_12MonLights_TariffRateCategory,MiscData!$C$23&amp;$B56,_12MonLights_Count_Adj)</f>
        <v>54335</v>
      </c>
      <c r="D56" s="114">
        <f>SUMIF(_12MonLights_TariffRateCategory,MiscData!$C$24&amp;$B56,_12MonLights_Count)+SUMIF(_12MonLights_TariffRateCategory,MiscData!$C$23&amp;$B56,_12MonLights_Count_Adj)</f>
        <v>54335</v>
      </c>
      <c r="E56" s="114">
        <f>SUMIF(_12MonLights_TariffRateCategory,MiscData!$C$25&amp;$B56,_12MonLights_Count)+SUMIF(_12MonLights_TariffRateCategory,MiscData!$C$23&amp;$B56,_12MonLights_Count_Adj)</f>
        <v>54335</v>
      </c>
      <c r="F56" s="82"/>
      <c r="G56" s="115">
        <f>SUMIF(_Lights_Tariff_Category,MiscData!$C$23&amp;$B56,_Lights_Rates)</f>
        <v>16.79</v>
      </c>
      <c r="H56" s="115">
        <f>SUMIF(_Lights_Tariff_Category,MiscData!$C$24&amp;$B56,_Lights_Rates)</f>
        <v>16.79</v>
      </c>
      <c r="I56" s="115">
        <f>SUMIF(_Lights_Tariff_Category,MiscData!$C$25&amp;$B56,_Lights_Rates)-SUMIF(_Lights_Tariff_Category,MiscData!$C$25&amp;$B56,_Rates_Lights_ECR)</f>
        <v>16.36</v>
      </c>
      <c r="J56" s="82"/>
      <c r="K56" s="115">
        <f t="shared" si="9"/>
        <v>2713489.9</v>
      </c>
      <c r="L56" s="115">
        <f t="shared" si="10"/>
        <v>2713489.9</v>
      </c>
      <c r="M56" s="115">
        <f t="shared" si="11"/>
        <v>2666761.7999999998</v>
      </c>
      <c r="N56" s="109"/>
      <c r="O56" s="120"/>
      <c r="P56" s="110"/>
      <c r="AB56" s="85" t="str">
        <f>MiscData!$C$25&amp;$Y50</f>
        <v>20140101KURSE080</v>
      </c>
      <c r="AE56" s="79"/>
      <c r="AG56" s="111" t="s">
        <v>334</v>
      </c>
    </row>
    <row r="57" spans="1:33" ht="12.75">
      <c r="A57" s="116" t="s">
        <v>525</v>
      </c>
      <c r="B57" s="117" t="s">
        <v>398</v>
      </c>
      <c r="C57" s="114">
        <f>SUMIF(_12MonLights_TariffRateCategory,MiscData!$C$23&amp;$B57,_12MonLights_Count)+SUMIF(_12MonLights_TariffRateCategory,MiscData!$C$23&amp;$B57,_12MonLights_Count_Adj)</f>
        <v>12574</v>
      </c>
      <c r="D57" s="114">
        <f>SUMIF(_12MonLights_TariffRateCategory,MiscData!$C$24&amp;$B57,_12MonLights_Count)+SUMIF(_12MonLights_TariffRateCategory,MiscData!$C$23&amp;$B57,_12MonLights_Count_Adj)</f>
        <v>12574</v>
      </c>
      <c r="E57" s="114">
        <f>SUMIF(_12MonLights_TariffRateCategory,MiscData!$C$25&amp;$B57,_12MonLights_Count)+SUMIF(_12MonLights_TariffRateCategory,MiscData!$C$23&amp;$B57,_12MonLights_Count_Adj)</f>
        <v>12574</v>
      </c>
      <c r="F57" s="82"/>
      <c r="G57" s="115">
        <f>SUMIF(_Lights_Tariff_Category,MiscData!$C$23&amp;$B57,_Lights_Rates)</f>
        <v>20.97</v>
      </c>
      <c r="H57" s="115">
        <f>SUMIF(_Lights_Tariff_Category,MiscData!$C$24&amp;$B57,_Lights_Rates)</f>
        <v>20.97</v>
      </c>
      <c r="I57" s="115">
        <f>SUMIF(_Lights_Tariff_Category,MiscData!$C$25&amp;$B57,_Lights_Rates)-SUMIF(_Lights_Tariff_Category,MiscData!$C$25&amp;$B57,_Rates_Lights_ECR)</f>
        <v>20.63</v>
      </c>
      <c r="J57" s="82"/>
      <c r="K57" s="115">
        <f t="shared" si="9"/>
        <v>786755.18</v>
      </c>
      <c r="L57" s="115">
        <f t="shared" si="10"/>
        <v>786755.18</v>
      </c>
      <c r="M57" s="115">
        <f t="shared" si="11"/>
        <v>778204.86</v>
      </c>
      <c r="N57" s="109"/>
      <c r="O57" s="108"/>
      <c r="P57" s="107"/>
      <c r="AE57" s="79"/>
      <c r="AG57" s="111" t="s">
        <v>326</v>
      </c>
    </row>
    <row r="58" spans="1:33" ht="15">
      <c r="A58" s="116" t="s">
        <v>526</v>
      </c>
      <c r="B58" s="117" t="s">
        <v>348</v>
      </c>
      <c r="C58" s="114">
        <f>SUMIF(_12MonLights_TariffRateCategory,MiscData!$C$23&amp;$B58,_12MonLights_Count)+SUMIF(_12MonLights_TariffRateCategory,MiscData!$C$23&amp;$B58,_12MonLights_Count_Adj)</f>
        <v>16764</v>
      </c>
      <c r="D58" s="114">
        <f>SUMIF(_12MonLights_TariffRateCategory,MiscData!$C$24&amp;$B58,_12MonLights_Count)+SUMIF(_12MonLights_TariffRateCategory,MiscData!$C$23&amp;$B58,_12MonLights_Count_Adj)</f>
        <v>16764</v>
      </c>
      <c r="E58" s="114">
        <f>SUMIF(_12MonLights_TariffRateCategory,MiscData!$C$25&amp;$B58,_12MonLights_Count)+SUMIF(_12MonLights_TariffRateCategory,MiscData!$C$23&amp;$B58,_12MonLights_Count_Adj)</f>
        <v>16764</v>
      </c>
      <c r="F58" s="82"/>
      <c r="G58" s="115">
        <f>SUMIF(_Lights_Tariff_Category,MiscData!$C$23&amp;$B58,_Lights_Rates)</f>
        <v>26.86</v>
      </c>
      <c r="H58" s="115">
        <f>SUMIF(_Lights_Tariff_Category,MiscData!$C$24&amp;$B58,_Lights_Rates)</f>
        <v>26.86</v>
      </c>
      <c r="I58" s="115">
        <f>SUMIF(_Lights_Tariff_Category,MiscData!$C$25&amp;$B58,_Lights_Rates)-SUMIF(_Lights_Tariff_Category,MiscData!$C$25&amp;$B58,_Rates_Lights_ECR)</f>
        <v>26.28</v>
      </c>
      <c r="J58" s="82"/>
      <c r="K58" s="115">
        <f t="shared" si="9"/>
        <v>1341120</v>
      </c>
      <c r="L58" s="115">
        <f t="shared" si="10"/>
        <v>1341120</v>
      </c>
      <c r="M58" s="115">
        <f t="shared" si="11"/>
        <v>1321673.76</v>
      </c>
      <c r="N58" s="121"/>
      <c r="O58" s="122"/>
      <c r="P58" s="123"/>
      <c r="AE58" s="79"/>
      <c r="AG58" s="111" t="s">
        <v>330</v>
      </c>
    </row>
    <row r="59" spans="1:33" ht="12.75">
      <c r="A59" s="116" t="s">
        <v>527</v>
      </c>
      <c r="B59" s="117" t="s">
        <v>380</v>
      </c>
      <c r="C59" s="114">
        <f>SUMIF(_12MonLights_TariffRateCategory,MiscData!$C$23&amp;$B59,_12MonLights_Count)+SUMIF(_12MonLights_TariffRateCategory,MiscData!$C$23&amp;$B59,_12MonLights_Count_Adj)</f>
        <v>11340</v>
      </c>
      <c r="D59" s="114">
        <f>SUMIF(_12MonLights_TariffRateCategory,MiscData!$C$24&amp;$B59,_12MonLights_Count)+SUMIF(_12MonLights_TariffRateCategory,MiscData!$C$23&amp;$B59,_12MonLights_Count_Adj)</f>
        <v>11340</v>
      </c>
      <c r="E59" s="114">
        <f>SUMIF(_12MonLights_TariffRateCategory,MiscData!$C$25&amp;$B59,_12MonLights_Count)+SUMIF(_12MonLights_TariffRateCategory,MiscData!$C$23&amp;$B59,_12MonLights_Count_Adj)</f>
        <v>11340</v>
      </c>
      <c r="F59" s="82"/>
      <c r="G59" s="115">
        <f>SUMIF(_Lights_Tariff_Category,MiscData!$C$23&amp;$B59,_Lights_Rates)</f>
        <v>33.119999999999997</v>
      </c>
      <c r="H59" s="115">
        <f>SUMIF(_Lights_Tariff_Category,MiscData!$C$24&amp;$B59,_Lights_Rates)</f>
        <v>33.119999999999997</v>
      </c>
      <c r="I59" s="115">
        <f>SUMIF(_Lights_Tariff_Category,MiscData!$C$25&amp;$B59,_Lights_Rates)-SUMIF(_Lights_Tariff_Category,MiscData!$C$25&amp;$B59,_Rates_Lights_ECR)</f>
        <v>32.33</v>
      </c>
      <c r="J59" s="82"/>
      <c r="K59" s="115">
        <f t="shared" si="9"/>
        <v>1117783.8</v>
      </c>
      <c r="L59" s="115">
        <f t="shared" si="10"/>
        <v>1117783.8</v>
      </c>
      <c r="M59" s="115">
        <f t="shared" si="11"/>
        <v>1099866.6000000001</v>
      </c>
      <c r="N59" s="109"/>
      <c r="O59" s="124"/>
      <c r="P59" s="119"/>
      <c r="AE59" s="79"/>
      <c r="AG59" s="111" t="s">
        <v>337</v>
      </c>
    </row>
    <row r="60" spans="1:33" ht="12.75">
      <c r="A60" s="105" t="s">
        <v>528</v>
      </c>
      <c r="B60" s="82"/>
      <c r="C60" s="82"/>
      <c r="D60" s="82"/>
      <c r="E60" s="82"/>
      <c r="F60" s="127"/>
      <c r="G60" s="82"/>
      <c r="H60" s="82"/>
      <c r="I60" s="127" t="s">
        <v>137</v>
      </c>
      <c r="J60" s="82"/>
      <c r="K60" s="82"/>
      <c r="L60" s="132"/>
      <c r="M60" s="132"/>
      <c r="N60" s="109"/>
      <c r="O60" s="124"/>
      <c r="P60" s="124"/>
      <c r="AE60" s="133"/>
      <c r="AG60" s="111" t="s">
        <v>329</v>
      </c>
    </row>
    <row r="61" spans="1:33" ht="12.75">
      <c r="A61" s="171" t="s">
        <v>602</v>
      </c>
      <c r="B61" s="172">
        <v>0</v>
      </c>
      <c r="C61" s="114">
        <f>SUMIF(GranVille!$B$41:$B$95,$B61,GranVille!W$41:W$95)</f>
        <v>0</v>
      </c>
      <c r="D61" s="114">
        <f>SUMIF(GranVille!$B$41:$B$95,$B61,GranVille!X$41:X$95)</f>
        <v>0</v>
      </c>
      <c r="E61" s="114">
        <f>SUMIF(GranVille!$B$41:$B$95,$B61,GranVille!Y$41:Y$95)</f>
        <v>4624</v>
      </c>
      <c r="F61" s="82"/>
      <c r="G61" s="115">
        <f>SUMIF(GranVille!$B$2:$B$14,$B61,GranVille!$P$2:$P$15)</f>
        <v>49.34</v>
      </c>
      <c r="H61" s="115">
        <f>SUMIF(GranVille!$B$2:$B$14,$B61,GranVille!$P$2:$P$15)</f>
        <v>49.34</v>
      </c>
      <c r="I61" s="115">
        <f>SUMIF(_Lights_Tariff_Category,MiscData!$C$25&amp;$B61,_Lights_Rates)-SUMIF(_Lights_Tariff_Category,MiscData!$C$25&amp;$B61,_Rates_Lights_ECR)</f>
        <v>0</v>
      </c>
      <c r="J61" s="82"/>
      <c r="K61" s="115">
        <f t="shared" ref="K61:K74" si="12">ROUND(SUM($C61*$G61,$D61*$H61,$E61*$I61),2)</f>
        <v>0</v>
      </c>
      <c r="L61" s="115">
        <f t="shared" ref="L61:L74" si="13">ROUND(SUM($C61*$H61,$D61*$H61,$E61*$I61),2)</f>
        <v>0</v>
      </c>
      <c r="M61" s="115">
        <f t="shared" ref="M61:M74" si="14">ROUND(SUM($C61*$I61,$D61*$I61,$E61*$I61),2)</f>
        <v>0</v>
      </c>
      <c r="N61" s="104"/>
      <c r="O61" s="101"/>
      <c r="P61" s="101"/>
      <c r="AE61" s="79"/>
      <c r="AG61" s="111" t="s">
        <v>327</v>
      </c>
    </row>
    <row r="62" spans="1:33" ht="12.75">
      <c r="A62" s="171" t="s">
        <v>604</v>
      </c>
      <c r="B62" s="117"/>
      <c r="C62" s="114"/>
      <c r="D62" s="114"/>
      <c r="E62" s="114"/>
      <c r="F62" s="82"/>
      <c r="G62" s="115"/>
      <c r="H62" s="115"/>
      <c r="I62" s="115"/>
      <c r="J62" s="82"/>
      <c r="K62" s="115"/>
      <c r="L62" s="115"/>
      <c r="M62" s="115"/>
      <c r="N62" s="109"/>
      <c r="O62" s="106"/>
      <c r="P62" s="110"/>
      <c r="S62" s="79"/>
      <c r="T62" s="79"/>
      <c r="U62" s="79"/>
      <c r="V62" s="79"/>
      <c r="W62" s="79"/>
      <c r="Y62" s="77" t="str">
        <f>AG20</f>
        <v>KURSE040</v>
      </c>
      <c r="AB62" s="85" t="str">
        <f>MiscData!$C$23&amp;$Y$62</f>
        <v>20140101KURSE040</v>
      </c>
      <c r="AE62" s="79"/>
      <c r="AG62" s="111"/>
    </row>
    <row r="63" spans="1:33" ht="12.75">
      <c r="A63" s="171" t="s">
        <v>605</v>
      </c>
      <c r="B63" s="172">
        <v>1</v>
      </c>
      <c r="C63" s="114">
        <f>SUMIF(GranVille!$B$41:$B$95,$B63,GranVille!W$41:W$95)</f>
        <v>0</v>
      </c>
      <c r="D63" s="114">
        <f>SUMIF(GranVille!$B$41:$B$95,$B63,GranVille!X$41:X$95)</f>
        <v>0</v>
      </c>
      <c r="E63" s="114">
        <f>SUMIF(GranVille!$B$41:$B$95,$B63,GranVille!Y$41:Y$95)</f>
        <v>0</v>
      </c>
      <c r="F63" s="82"/>
      <c r="G63" s="115">
        <f>SUMIF(GranVille!$B$2:$B$14,$B63,GranVille!$P$2:$P$15)</f>
        <v>17.78</v>
      </c>
      <c r="H63" s="115">
        <f>SUMIF(GranVille!$B$2:$B$14,$B63,GranVille!$P$2:$P$15)</f>
        <v>17.78</v>
      </c>
      <c r="I63" s="115">
        <f>SUMIF(GranVille!$B$2:$B$14,$B63,GranVille!$Q$2:$Q$15)</f>
        <v>17.78</v>
      </c>
      <c r="J63" s="82"/>
      <c r="K63" s="115">
        <f t="shared" si="12"/>
        <v>0</v>
      </c>
      <c r="L63" s="115">
        <f t="shared" si="13"/>
        <v>0</v>
      </c>
      <c r="M63" s="115">
        <f t="shared" si="14"/>
        <v>0</v>
      </c>
      <c r="N63" s="109"/>
      <c r="O63" s="106"/>
      <c r="P63" s="110"/>
      <c r="S63" s="79"/>
      <c r="T63" s="79"/>
      <c r="U63" s="79"/>
      <c r="V63" s="79"/>
      <c r="W63" s="79"/>
      <c r="AB63" s="85" t="str">
        <f>MiscData!$C$24&amp;$Y$62</f>
        <v>20140101KURSE040</v>
      </c>
      <c r="AE63" s="79"/>
      <c r="AG63" s="111" t="s">
        <v>324</v>
      </c>
    </row>
    <row r="64" spans="1:33" ht="12.75">
      <c r="A64" s="171" t="s">
        <v>606</v>
      </c>
      <c r="B64" s="172">
        <v>2</v>
      </c>
      <c r="C64" s="114">
        <f>SUMIF(GranVille!$B$41:$B$95,$B64,GranVille!W$41:W$95)</f>
        <v>0</v>
      </c>
      <c r="D64" s="114">
        <f>SUMIF(GranVille!$B$41:$B$95,$B64,GranVille!X$41:X$95)</f>
        <v>0</v>
      </c>
      <c r="E64" s="114">
        <f>SUMIF(GranVille!$B$41:$B$95,$B64,GranVille!Y$41:Y$95)</f>
        <v>329</v>
      </c>
      <c r="F64" s="82"/>
      <c r="G64" s="115">
        <f>SUMIF(GranVille!$B$2:$B$14,$B64,GranVille!$P$2:$P$15)</f>
        <v>19.79</v>
      </c>
      <c r="H64" s="115">
        <f>SUMIF(GranVille!$B$2:$B$14,$B64,GranVille!$P$2:$P$15)</f>
        <v>19.79</v>
      </c>
      <c r="I64" s="115">
        <f>SUMIF(GranVille!$B$2:$B$14,$B64,GranVille!$Q$2:$Q$15)</f>
        <v>19.79</v>
      </c>
      <c r="J64" s="82"/>
      <c r="K64" s="115">
        <f t="shared" si="12"/>
        <v>6510.91</v>
      </c>
      <c r="L64" s="115">
        <f t="shared" si="13"/>
        <v>6510.91</v>
      </c>
      <c r="M64" s="115">
        <f t="shared" si="14"/>
        <v>6510.91</v>
      </c>
      <c r="N64" s="109"/>
      <c r="O64" s="106"/>
      <c r="P64" s="110"/>
      <c r="S64" s="79"/>
      <c r="T64" s="79"/>
      <c r="U64" s="79"/>
      <c r="V64" s="79"/>
      <c r="W64" s="79"/>
      <c r="AB64" s="85" t="str">
        <f>MiscData!$C$25&amp;$Y$62</f>
        <v>20140101KURSE040</v>
      </c>
      <c r="AE64" s="79"/>
      <c r="AG64" s="111" t="s">
        <v>410</v>
      </c>
    </row>
    <row r="65" spans="1:33" ht="12.75">
      <c r="A65" s="171" t="s">
        <v>607</v>
      </c>
      <c r="B65" s="172">
        <v>3</v>
      </c>
      <c r="C65" s="114">
        <f>SUMIF(GranVille!$B$41:$B$95,$B65,GranVille!W$41:W$95)</f>
        <v>0</v>
      </c>
      <c r="D65" s="114">
        <f>SUMIF(GranVille!$B$41:$B$95,$B65,GranVille!X$41:X$95)</f>
        <v>0</v>
      </c>
      <c r="E65" s="114">
        <f>SUMIF(GranVille!$B$41:$B$95,$B65,GranVille!Y$41:Y$95)</f>
        <v>288</v>
      </c>
      <c r="F65" s="82"/>
      <c r="G65" s="115">
        <f>SUMIF(GranVille!$B$2:$B$14,$B65,GranVille!$P$2:$P$15)</f>
        <v>3.09</v>
      </c>
      <c r="H65" s="115">
        <f>SUMIF(GranVille!$B$2:$B$14,$B65,GranVille!$P$2:$P$15)</f>
        <v>3.09</v>
      </c>
      <c r="I65" s="115">
        <f>SUMIF(GranVille!$B$2:$B$14,$B65,GranVille!$Q$2:$Q$15)</f>
        <v>3.09</v>
      </c>
      <c r="J65" s="82"/>
      <c r="K65" s="115">
        <f t="shared" si="12"/>
        <v>889.92</v>
      </c>
      <c r="L65" s="115">
        <f t="shared" si="13"/>
        <v>889.92</v>
      </c>
      <c r="M65" s="115">
        <f t="shared" si="14"/>
        <v>889.92</v>
      </c>
      <c r="N65" s="109"/>
      <c r="O65" s="106"/>
      <c r="P65" s="119"/>
      <c r="S65" s="79"/>
      <c r="T65" s="79"/>
      <c r="U65" s="79"/>
      <c r="V65" s="79"/>
      <c r="W65" s="79"/>
      <c r="AE65" s="79"/>
      <c r="AG65" s="111" t="s">
        <v>366</v>
      </c>
    </row>
    <row r="66" spans="1:33" ht="12.75">
      <c r="A66" s="171" t="s">
        <v>608</v>
      </c>
      <c r="B66" s="172">
        <v>4</v>
      </c>
      <c r="C66" s="114">
        <f>SUMIF(GranVille!$B$41:$B$95,$B66,GranVille!W$41:W$95)</f>
        <v>0</v>
      </c>
      <c r="D66" s="114">
        <f>SUMIF(GranVille!$B$41:$B$95,$B66,GranVille!X$41:X$95)</f>
        <v>0</v>
      </c>
      <c r="E66" s="114">
        <f>SUMIF(GranVille!$B$41:$B$95,$B66,GranVille!Y$41:Y$95)</f>
        <v>1210</v>
      </c>
      <c r="F66" s="82"/>
      <c r="G66" s="115">
        <f>SUMIF(GranVille!$B$2:$B$14,$B66,GranVille!$P$2:$P$15)</f>
        <v>4.26</v>
      </c>
      <c r="H66" s="115">
        <f>SUMIF(GranVille!$B$2:$B$14,$B66,GranVille!$P$2:$P$15)</f>
        <v>4.26</v>
      </c>
      <c r="I66" s="115">
        <f>SUMIF(GranVille!$B$2:$B$14,$B66,GranVille!$Q$2:$Q$15)</f>
        <v>4.26</v>
      </c>
      <c r="J66" s="82"/>
      <c r="K66" s="115">
        <f t="shared" si="12"/>
        <v>5154.6000000000004</v>
      </c>
      <c r="L66" s="115">
        <f t="shared" si="13"/>
        <v>5154.6000000000004</v>
      </c>
      <c r="M66" s="115">
        <f t="shared" si="14"/>
        <v>5154.6000000000004</v>
      </c>
      <c r="N66" s="109"/>
      <c r="O66" s="120"/>
      <c r="P66" s="110"/>
      <c r="S66" s="79"/>
      <c r="T66" s="79"/>
      <c r="U66" s="79"/>
      <c r="V66" s="79"/>
      <c r="W66" s="79"/>
      <c r="Y66" s="77" t="str">
        <f>Y62</f>
        <v>KURSE040</v>
      </c>
      <c r="AB66" s="85" t="str">
        <f>MiscData!$C$23&amp;$Y$62</f>
        <v>20140101KURSE040</v>
      </c>
      <c r="AE66" s="79"/>
      <c r="AG66" s="111" t="s">
        <v>386</v>
      </c>
    </row>
    <row r="67" spans="1:33" ht="12.75">
      <c r="A67" s="171" t="s">
        <v>609</v>
      </c>
      <c r="B67" s="172">
        <v>5</v>
      </c>
      <c r="C67" s="114">
        <f>SUMIF(GranVille!$B$41:$B$95,$B67,GranVille!W$41:W$95)</f>
        <v>0</v>
      </c>
      <c r="D67" s="114">
        <f>SUMIF(GranVille!$B$41:$B$95,$B67,GranVille!X$41:X$95)</f>
        <v>0</v>
      </c>
      <c r="E67" s="114">
        <f>SUMIF(GranVille!$B$41:$B$95,$B67,GranVille!Y$41:Y$95)</f>
        <v>1200</v>
      </c>
      <c r="F67" s="82"/>
      <c r="G67" s="115">
        <f>SUMIF(GranVille!$B$2:$B$14,$B67,GranVille!$P$2:$P$15)</f>
        <v>2.84</v>
      </c>
      <c r="H67" s="115">
        <f>SUMIF(GranVille!$B$2:$B$14,$B67,GranVille!$P$2:$P$15)</f>
        <v>2.84</v>
      </c>
      <c r="I67" s="115">
        <f>SUMIF(GranVille!$B$2:$B$14,$B67,GranVille!$Q$2:$Q$15)</f>
        <v>2.84</v>
      </c>
      <c r="J67" s="82"/>
      <c r="K67" s="115">
        <f t="shared" si="12"/>
        <v>3408</v>
      </c>
      <c r="L67" s="115">
        <f t="shared" si="13"/>
        <v>3408</v>
      </c>
      <c r="M67" s="115">
        <f t="shared" si="14"/>
        <v>3408</v>
      </c>
      <c r="N67" s="109"/>
      <c r="O67" s="120"/>
      <c r="P67" s="110"/>
      <c r="S67" s="79"/>
      <c r="T67" s="79"/>
      <c r="U67" s="79"/>
      <c r="V67" s="79"/>
      <c r="W67" s="79"/>
      <c r="AB67" s="85" t="str">
        <f>MiscData!$C$24&amp;$Y$62</f>
        <v>20140101KURSE040</v>
      </c>
      <c r="AE67" s="79"/>
      <c r="AG67" s="111" t="s">
        <v>342</v>
      </c>
    </row>
    <row r="68" spans="1:33" ht="12.75">
      <c r="A68" s="171" t="s">
        <v>610</v>
      </c>
      <c r="B68" s="172">
        <v>7</v>
      </c>
      <c r="C68" s="114">
        <f>SUMIF(GranVille!$B$41:$B$95,$B68,GranVille!W$41:W$95)</f>
        <v>0</v>
      </c>
      <c r="D68" s="114">
        <f>SUMIF(GranVille!$B$41:$B$95,$B68,GranVille!X$41:X$95)</f>
        <v>0</v>
      </c>
      <c r="E68" s="114">
        <f>SUMIF(GranVille!$B$41:$B$95,$B68,GranVille!Y$41:Y$95)</f>
        <v>0</v>
      </c>
      <c r="F68" s="82"/>
      <c r="G68" s="115">
        <f>SUMIF(GranVille!$B$2:$B$14,$B68,GranVille!$P$2:$P$15)</f>
        <v>3.52</v>
      </c>
      <c r="H68" s="115">
        <f>SUMIF(GranVille!$B$2:$B$14,$B68,GranVille!$P$2:$P$15)</f>
        <v>3.52</v>
      </c>
      <c r="I68" s="115">
        <f>SUMIF(GranVille!$B$2:$B$14,$B68,GranVille!$Q$2:$Q$15)</f>
        <v>3.52</v>
      </c>
      <c r="J68" s="82"/>
      <c r="K68" s="115">
        <f t="shared" si="12"/>
        <v>0</v>
      </c>
      <c r="L68" s="115">
        <f t="shared" si="13"/>
        <v>0</v>
      </c>
      <c r="M68" s="115">
        <f t="shared" si="14"/>
        <v>0</v>
      </c>
      <c r="N68" s="109"/>
      <c r="O68" s="120"/>
      <c r="P68" s="110"/>
      <c r="S68" s="79"/>
      <c r="T68" s="79"/>
      <c r="U68" s="79"/>
      <c r="V68" s="79"/>
      <c r="W68" s="79"/>
      <c r="AB68" s="85" t="str">
        <f>MiscData!$C$25&amp;$Y$62</f>
        <v>20140101KURSE040</v>
      </c>
      <c r="AE68" s="79"/>
      <c r="AG68" s="111" t="s">
        <v>378</v>
      </c>
    </row>
    <row r="69" spans="1:33" ht="12.75">
      <c r="A69" s="171" t="s">
        <v>575</v>
      </c>
      <c r="B69" s="172">
        <v>6</v>
      </c>
      <c r="C69" s="114">
        <f>SUMIF(GranVille!$B$41:$B$95,$B69,GranVille!W$41:W$95)</f>
        <v>0</v>
      </c>
      <c r="D69" s="114">
        <f>SUMIF(GranVille!$B$41:$B$95,$B69,GranVille!X$41:X$95)</f>
        <v>0</v>
      </c>
      <c r="E69" s="114">
        <f>SUMIF(GranVille!$B$41:$B$95,$B69,GranVille!Y$41:Y$95)</f>
        <v>413</v>
      </c>
      <c r="F69" s="82"/>
      <c r="G69" s="115">
        <f>SUMIF(GranVille!$B$2:$B$14,$B69,GranVille!$P$2:$P$15)</f>
        <v>1.31</v>
      </c>
      <c r="H69" s="115">
        <f>SUMIF(GranVille!$B$2:$B$14,$B69,GranVille!$P$2:$P$15)</f>
        <v>1.31</v>
      </c>
      <c r="I69" s="115">
        <f>SUMIF(GranVille!$B$2:$B$14,$B69,GranVille!$Q$2:$Q$15)</f>
        <v>1.31</v>
      </c>
      <c r="J69" s="82"/>
      <c r="K69" s="115">
        <f t="shared" si="12"/>
        <v>541.03</v>
      </c>
      <c r="L69" s="115">
        <f t="shared" si="13"/>
        <v>541.03</v>
      </c>
      <c r="M69" s="115">
        <f t="shared" si="14"/>
        <v>541.03</v>
      </c>
      <c r="N69" s="109"/>
      <c r="O69" s="120"/>
      <c r="P69" s="110"/>
      <c r="S69" s="79"/>
      <c r="T69" s="79"/>
      <c r="U69" s="79"/>
      <c r="V69" s="79"/>
      <c r="W69" s="79"/>
      <c r="AB69" s="85" t="str">
        <f>MiscData!$C$23&amp;$Y$62</f>
        <v>20140101KURSE040</v>
      </c>
      <c r="AE69" s="79"/>
      <c r="AG69" s="111" t="s">
        <v>343</v>
      </c>
    </row>
    <row r="70" spans="1:33" ht="12.75">
      <c r="A70" s="171" t="s">
        <v>577</v>
      </c>
      <c r="B70" s="172">
        <v>8</v>
      </c>
      <c r="C70" s="114">
        <f>SUMIF(GranVille!$B$41:$B$95,$B70,GranVille!W$41:W$95)</f>
        <v>0</v>
      </c>
      <c r="D70" s="114">
        <f>SUMIF(GranVille!$B$41:$B$95,$B70,GranVille!X$41:X$95)</f>
        <v>0</v>
      </c>
      <c r="E70" s="114">
        <f>SUMIF(GranVille!$B$41:$B$95,$B70,GranVille!Y$41:Y$95)</f>
        <v>689</v>
      </c>
      <c r="F70" s="82"/>
      <c r="G70" s="115">
        <f>SUMIF(GranVille!$B$2:$B$14,$B70,GranVille!$P$2:$P$15)</f>
        <v>18.46</v>
      </c>
      <c r="H70" s="115">
        <f>SUMIF(GranVille!$B$2:$B$14,$B70,GranVille!$P$2:$P$15)</f>
        <v>18.46</v>
      </c>
      <c r="I70" s="115">
        <f>SUMIF(GranVille!$B$2:$B$14,$B70,GranVille!$Q$2:$Q$15)</f>
        <v>18.46</v>
      </c>
      <c r="J70" s="82"/>
      <c r="K70" s="115">
        <f t="shared" si="12"/>
        <v>12718.94</v>
      </c>
      <c r="L70" s="115">
        <f t="shared" si="13"/>
        <v>12718.94</v>
      </c>
      <c r="M70" s="115">
        <f t="shared" si="14"/>
        <v>12718.94</v>
      </c>
      <c r="N70" s="109"/>
      <c r="O70" s="120"/>
      <c r="P70" s="110"/>
      <c r="S70" s="79"/>
      <c r="T70" s="79"/>
      <c r="U70" s="79"/>
      <c r="V70" s="79"/>
      <c r="W70" s="79"/>
      <c r="AB70" s="85" t="str">
        <f>MiscData!$C$24&amp;$Y$62</f>
        <v>20140101KURSE040</v>
      </c>
      <c r="AE70" s="79"/>
      <c r="AG70" s="111" t="s">
        <v>382</v>
      </c>
    </row>
    <row r="71" spans="1:33" ht="12.75">
      <c r="A71" s="171" t="s">
        <v>578</v>
      </c>
      <c r="B71" s="172">
        <v>9</v>
      </c>
      <c r="C71" s="114">
        <f>SUMIF(GranVille!$B$41:$B$95,$B71,GranVille!W$41:W$95)</f>
        <v>0</v>
      </c>
      <c r="D71" s="114">
        <f>SUMIF(GranVille!$B$41:$B$95,$B71,GranVille!X$41:X$95)</f>
        <v>0</v>
      </c>
      <c r="E71" s="114">
        <f>SUMIF(GranVille!$B$41:$B$95,$B71,GranVille!Y$41:Y$95)</f>
        <v>0</v>
      </c>
      <c r="F71" s="82"/>
      <c r="G71" s="115">
        <f>SUMIF(GranVille!$B$2:$B$14,$B71,GranVille!$P$2:$P$15)</f>
        <v>17.809999999999999</v>
      </c>
      <c r="H71" s="115">
        <f>SUMIF(GranVille!$B$2:$B$14,$B71,GranVille!$P$2:$P$15)</f>
        <v>17.809999999999999</v>
      </c>
      <c r="I71" s="115">
        <f>SUMIF(GranVille!$B$2:$B$14,$B71,GranVille!$Q$2:$Q$15)</f>
        <v>17.809999999999999</v>
      </c>
      <c r="J71" s="82"/>
      <c r="K71" s="115">
        <f t="shared" si="12"/>
        <v>0</v>
      </c>
      <c r="L71" s="115">
        <f t="shared" si="13"/>
        <v>0</v>
      </c>
      <c r="M71" s="115">
        <f t="shared" si="14"/>
        <v>0</v>
      </c>
      <c r="N71" s="109"/>
      <c r="O71" s="120"/>
      <c r="P71" s="110"/>
      <c r="S71" s="79"/>
      <c r="T71" s="79"/>
      <c r="U71" s="79"/>
      <c r="V71" s="79"/>
      <c r="W71" s="79"/>
      <c r="AB71" s="85" t="str">
        <f>MiscData!$C$25&amp;$Y$62</f>
        <v>20140101KURSE040</v>
      </c>
      <c r="AE71" s="79"/>
      <c r="AG71" s="111" t="s">
        <v>360</v>
      </c>
    </row>
    <row r="72" spans="1:33" ht="12.75">
      <c r="A72" s="171" t="s">
        <v>611</v>
      </c>
      <c r="B72" s="172">
        <v>10</v>
      </c>
      <c r="C72" s="114">
        <f>SUMIF(GranVille!$B$41:$B$95,$B72,GranVille!W$41:W$95)</f>
        <v>0</v>
      </c>
      <c r="D72" s="114">
        <f>SUMIF(GranVille!$B$41:$B$95,$B72,GranVille!X$41:X$95)</f>
        <v>0</v>
      </c>
      <c r="E72" s="114">
        <f>SUMIF(GranVille!$B$41:$B$95,$B72,GranVille!Y$41:Y$95)</f>
        <v>0</v>
      </c>
      <c r="F72" s="82"/>
      <c r="G72" s="115">
        <f>SUMIF(GranVille!$B$2:$B$14,$B72,GranVille!$P$2:$P$15)</f>
        <v>2.52</v>
      </c>
      <c r="H72" s="115">
        <f>SUMIF(GranVille!$B$2:$B$14,$B72,GranVille!$P$2:$P$15)</f>
        <v>2.52</v>
      </c>
      <c r="I72" s="115">
        <f>SUMIF(GranVille!$B$2:$B$14,$B72,GranVille!$Q$2:$Q$15)</f>
        <v>2.52</v>
      </c>
      <c r="J72" s="82"/>
      <c r="K72" s="115">
        <f t="shared" si="12"/>
        <v>0</v>
      </c>
      <c r="L72" s="115">
        <f t="shared" si="13"/>
        <v>0</v>
      </c>
      <c r="M72" s="115">
        <f t="shared" si="14"/>
        <v>0</v>
      </c>
      <c r="N72" s="109"/>
      <c r="O72" s="120"/>
      <c r="P72" s="110"/>
      <c r="S72" s="79"/>
      <c r="T72" s="79"/>
      <c r="U72" s="79"/>
      <c r="V72" s="79"/>
      <c r="W72" s="79"/>
      <c r="AB72" s="85" t="str">
        <f>MiscData!$C$23&amp;$Y$62</f>
        <v>20140101KURSE040</v>
      </c>
      <c r="AE72" s="79"/>
      <c r="AG72" s="111" t="s">
        <v>368</v>
      </c>
    </row>
    <row r="73" spans="1:33" ht="12.75">
      <c r="A73" s="171" t="s">
        <v>580</v>
      </c>
      <c r="B73" s="172">
        <v>11</v>
      </c>
      <c r="C73" s="114">
        <f>SUMIF(GranVille!$B$41:$B$95,$B73,GranVille!W$41:W$95)</f>
        <v>0</v>
      </c>
      <c r="D73" s="114">
        <f>SUMIF(GranVille!$B$41:$B$95,$B73,GranVille!X$41:X$95)</f>
        <v>0</v>
      </c>
      <c r="E73" s="114">
        <f>SUMIF(GranVille!$B$41:$B$95,$B73,GranVille!Y$41:Y$95)</f>
        <v>666</v>
      </c>
      <c r="F73" s="82"/>
      <c r="G73" s="115">
        <f>SUMIF(GranVille!$B$2:$B$14,$B73,GranVille!$P$2:$P$15)</f>
        <v>4.28</v>
      </c>
      <c r="H73" s="115">
        <f>SUMIF(GranVille!$B$2:$B$14,$B73,GranVille!$P$2:$P$15)</f>
        <v>4.28</v>
      </c>
      <c r="I73" s="115">
        <f>SUMIF(GranVille!$B$2:$B$14,$B73,GranVille!$Q$2:$Q$15)</f>
        <v>4.28</v>
      </c>
      <c r="J73" s="82"/>
      <c r="K73" s="115">
        <f t="shared" si="12"/>
        <v>2850.48</v>
      </c>
      <c r="L73" s="115">
        <f t="shared" si="13"/>
        <v>2850.48</v>
      </c>
      <c r="M73" s="115">
        <f t="shared" si="14"/>
        <v>2850.48</v>
      </c>
      <c r="N73" s="109"/>
      <c r="O73" s="120"/>
      <c r="P73" s="110"/>
      <c r="S73" s="79"/>
      <c r="T73" s="79"/>
      <c r="U73" s="79"/>
      <c r="V73" s="79"/>
      <c r="W73" s="79"/>
      <c r="AB73" s="85" t="str">
        <f>MiscData!$C$24&amp;$Y$62</f>
        <v>20140101KURSE040</v>
      </c>
      <c r="AE73" s="79"/>
      <c r="AG73" s="111" t="s">
        <v>370</v>
      </c>
    </row>
    <row r="74" spans="1:33" ht="12.75">
      <c r="A74" s="171" t="s">
        <v>581</v>
      </c>
      <c r="B74" s="172">
        <v>12</v>
      </c>
      <c r="C74" s="114">
        <f>SUMIF(GranVille!$B$41:$B$95,$B74,GranVille!W$41:W$95)</f>
        <v>0</v>
      </c>
      <c r="D74" s="114">
        <f>SUMIF(GranVille!$B$41:$B$95,$B74,GranVille!X$41:X$95)</f>
        <v>0</v>
      </c>
      <c r="E74" s="114">
        <f>SUMIF(GranVille!$B$41:$B$95,$B74,GranVille!Y$41:Y$95)</f>
        <v>0</v>
      </c>
      <c r="F74" s="82"/>
      <c r="G74" s="115">
        <f>SUMIF(GranVille!$B$2:$B$14,$B74,GranVille!$P$2:$P$15)</f>
        <v>4.75</v>
      </c>
      <c r="H74" s="115">
        <f>SUMIF(GranVille!$B$2:$B$14,$B74,GranVille!$P$2:$P$15)</f>
        <v>4.75</v>
      </c>
      <c r="I74" s="115">
        <f>SUMIF(GranVille!$B$2:$B$14,$B74,GranVille!$Q$2:$Q$15)</f>
        <v>4.75</v>
      </c>
      <c r="J74" s="82"/>
      <c r="K74" s="115">
        <f t="shared" si="12"/>
        <v>0</v>
      </c>
      <c r="L74" s="115">
        <f t="shared" si="13"/>
        <v>0</v>
      </c>
      <c r="M74" s="115">
        <f t="shared" si="14"/>
        <v>0</v>
      </c>
      <c r="N74" s="109"/>
      <c r="O74" s="120"/>
      <c r="P74" s="110"/>
      <c r="S74" s="79"/>
      <c r="T74" s="79"/>
      <c r="U74" s="79"/>
      <c r="V74" s="79"/>
      <c r="W74" s="79"/>
      <c r="AB74" s="85" t="str">
        <f>MiscData!$C$25&amp;$Y$62</f>
        <v>20140101KURSE040</v>
      </c>
      <c r="AE74" s="79"/>
      <c r="AG74" s="111" t="s">
        <v>393</v>
      </c>
    </row>
    <row r="75" spans="1:33" ht="15">
      <c r="A75" s="134" t="s">
        <v>529</v>
      </c>
      <c r="B75" s="82"/>
      <c r="C75" s="135">
        <f>SUM(C16:C74)</f>
        <v>1069977</v>
      </c>
      <c r="D75" s="135">
        <f>SUM(D16:D74)</f>
        <v>1069977</v>
      </c>
      <c r="E75" s="135">
        <f>SUM(E16:E74)</f>
        <v>1079396</v>
      </c>
      <c r="F75" s="135"/>
      <c r="G75" s="136"/>
      <c r="H75" s="137"/>
      <c r="I75" s="136"/>
      <c r="J75" s="136"/>
      <c r="K75" s="136">
        <f>SUM(K16:K74)</f>
        <v>39478074.809999987</v>
      </c>
      <c r="L75" s="136">
        <f>SUM(L16:L74)</f>
        <v>39478074.809999987</v>
      </c>
      <c r="M75" s="136">
        <f>SUM(M16:M74)</f>
        <v>38563691.169999994</v>
      </c>
      <c r="N75" s="138"/>
      <c r="O75" s="123"/>
      <c r="P75" s="123"/>
      <c r="S75" s="79"/>
      <c r="T75" s="79"/>
      <c r="U75" s="79"/>
      <c r="V75" s="79"/>
      <c r="W75" s="79"/>
      <c r="AE75" s="79"/>
      <c r="AG75" s="111" t="s">
        <v>310</v>
      </c>
    </row>
    <row r="76" spans="1:33" ht="13.5" thickBot="1">
      <c r="A76" s="134"/>
      <c r="B76" s="82"/>
      <c r="C76" s="127"/>
      <c r="D76" s="127"/>
      <c r="E76" s="127"/>
      <c r="F76" s="127"/>
      <c r="G76" s="82"/>
      <c r="H76" s="139"/>
      <c r="I76" s="127"/>
      <c r="J76" s="82"/>
      <c r="K76" s="82"/>
      <c r="L76" s="127"/>
      <c r="M76" s="127"/>
      <c r="N76" s="109"/>
      <c r="O76" s="108"/>
      <c r="P76" s="119"/>
      <c r="S76" s="79"/>
      <c r="T76" s="79"/>
      <c r="U76" s="79"/>
      <c r="V76" s="79"/>
      <c r="W76" s="79"/>
      <c r="AE76" s="79"/>
      <c r="AG76" s="111" t="s">
        <v>340</v>
      </c>
    </row>
    <row r="77" spans="1:33" ht="12.75">
      <c r="A77" s="97" t="s">
        <v>530</v>
      </c>
      <c r="B77" s="98"/>
      <c r="C77" s="99"/>
      <c r="D77" s="98"/>
      <c r="E77" s="98"/>
      <c r="F77" s="99"/>
      <c r="G77" s="99"/>
      <c r="H77" s="99"/>
      <c r="I77" s="99"/>
      <c r="J77" s="99"/>
      <c r="K77" s="98"/>
      <c r="L77" s="98"/>
      <c r="M77" s="98"/>
      <c r="N77" s="140"/>
      <c r="O77" s="141"/>
      <c r="P77" s="142"/>
      <c r="AE77" s="79"/>
      <c r="AG77" s="111" t="s">
        <v>358</v>
      </c>
    </row>
    <row r="78" spans="1:33" ht="12.75">
      <c r="A78" s="143" t="s">
        <v>531</v>
      </c>
      <c r="B78" s="82"/>
      <c r="C78" s="103"/>
      <c r="D78" s="82"/>
      <c r="E78" s="82"/>
      <c r="F78" s="103"/>
      <c r="G78" s="103"/>
      <c r="H78" s="103"/>
      <c r="I78" s="103"/>
      <c r="J78" s="103"/>
      <c r="K78" s="82"/>
      <c r="L78" s="82"/>
      <c r="M78" s="82"/>
      <c r="N78" s="109"/>
      <c r="O78" s="124"/>
      <c r="P78" s="144"/>
      <c r="AE78" s="79"/>
      <c r="AG78" s="111" t="s">
        <v>383</v>
      </c>
    </row>
    <row r="79" spans="1:33" ht="15">
      <c r="A79" s="105" t="s">
        <v>486</v>
      </c>
      <c r="B79" s="82"/>
      <c r="C79" s="85"/>
      <c r="D79" s="85"/>
      <c r="E79" s="85"/>
      <c r="F79" s="82"/>
      <c r="G79" s="82"/>
      <c r="H79" s="106"/>
      <c r="I79" s="107"/>
      <c r="J79" s="108"/>
      <c r="K79" s="106"/>
      <c r="L79" s="107"/>
      <c r="M79" s="107"/>
      <c r="N79" s="109"/>
      <c r="O79" s="124"/>
      <c r="P79" s="145"/>
      <c r="AE79" s="79"/>
      <c r="AG79" s="111" t="s">
        <v>375</v>
      </c>
    </row>
    <row r="80" spans="1:33" ht="12.75">
      <c r="A80" s="116" t="s">
        <v>532</v>
      </c>
      <c r="B80" s="117" t="s">
        <v>346</v>
      </c>
      <c r="C80" s="114">
        <f>SUMIF(_12MonLights_TariffRateCategory,MiscData!$C$23&amp;$B80,_12MonLights_Count)+SUMIF(_12MonLights_TariffRateCategory,MiscData!$C$23&amp;$B80,_12MonLights_Count_Adj)</f>
        <v>0</v>
      </c>
      <c r="D80" s="114">
        <f>SUMIF(_12MonLights_TariffRateCategory,MiscData!$C$24&amp;$B80,_12MonLights_Count)+SUMIF(_12MonLights_TariffRateCategory,MiscData!$C$23&amp;$B80,_12MonLights_Count_Adj)</f>
        <v>0</v>
      </c>
      <c r="E80" s="114">
        <f>SUMIF(_12MonLights_TariffRateCategory,MiscData!$C$25&amp;$B80,_12MonLights_Count)+SUMIF(_12MonLights_TariffRateCategory,MiscData!$C$23&amp;$B80,_12MonLights_Count_Adj)</f>
        <v>0</v>
      </c>
      <c r="F80" s="82"/>
      <c r="G80" s="115">
        <f>SUMIF(_Lights_Tariff_Category,MiscData!$C$23&amp;$B80,_Lights_Rates)</f>
        <v>0</v>
      </c>
      <c r="H80" s="115">
        <f>SUMIF(_Lights_Tariff_Category,MiscData!$C$24&amp;$B80,_Lights_Rates)</f>
        <v>0</v>
      </c>
      <c r="I80" s="115">
        <f>SUMIF(_Lights_Tariff_Category,MiscData!$C$25&amp;$B80,_Lights_Rates)-SUMIF(_Lights_Tariff_Category,MiscData!$C$25&amp;$B80,_Rates_Lights_ECR)</f>
        <v>0</v>
      </c>
      <c r="J80" s="82"/>
      <c r="K80" s="115">
        <f t="shared" ref="K80:K86" si="15">ROUND(SUM($C80*$G80,$D80*$H80,$E80*$I80),2)</f>
        <v>0</v>
      </c>
      <c r="L80" s="115">
        <f t="shared" ref="L80:L86" si="16">ROUND(SUM($C80*$H80,$D80*$H80,$E80*$I80),2)</f>
        <v>0</v>
      </c>
      <c r="M80" s="115">
        <f t="shared" ref="M80:M86" si="17">ROUND(SUM($C80*$I80,$D80*$I80,$E80*$I80),2)</f>
        <v>0</v>
      </c>
      <c r="N80" s="109"/>
      <c r="O80" s="124"/>
      <c r="P80" s="107"/>
      <c r="AE80" s="79"/>
      <c r="AG80" s="111" t="s">
        <v>400</v>
      </c>
    </row>
    <row r="81" spans="1:33" ht="15">
      <c r="A81" s="116" t="s">
        <v>547</v>
      </c>
      <c r="B81" s="117" t="s">
        <v>378</v>
      </c>
      <c r="C81" s="114">
        <f>SUMIF(_12MonLights_TariffRateCategory,MiscData!$C$23&amp;$B81,_12MonLights_Count)+SUMIF(_12MonLights_TariffRateCategory,MiscData!$C$23&amp;$B81,_12MonLights_Count_Adj)</f>
        <v>0</v>
      </c>
      <c r="D81" s="114">
        <f>SUMIF(_12MonLights_TariffRateCategory,MiscData!$C$24&amp;$B81,_12MonLights_Count)+SUMIF(_12MonLights_TariffRateCategory,MiscData!$C$23&amp;$B81,_12MonLights_Count_Adj)</f>
        <v>0</v>
      </c>
      <c r="E81" s="114">
        <f>SUMIF(_12MonLights_TariffRateCategory,MiscData!$C$25&amp;$B81,_12MonLights_Count)+SUMIF(_12MonLights_TariffRateCategory,MiscData!$C$23&amp;$B81,_12MonLights_Count_Adj)</f>
        <v>0</v>
      </c>
      <c r="F81" s="82"/>
      <c r="G81" s="115">
        <f>SUMIF(_Lights_Tariff_Category,MiscData!$C$23&amp;$B81,_Lights_Rates)</f>
        <v>0</v>
      </c>
      <c r="H81" s="115">
        <f>SUMIF(_Lights_Tariff_Category,MiscData!$C$24&amp;$B81,_Lights_Rates)</f>
        <v>0</v>
      </c>
      <c r="I81" s="115">
        <f>SUMIF(_Lights_Tariff_Category,MiscData!$C$25&amp;$B81,_Lights_Rates)-SUMIF(_Lights_Tariff_Category,MiscData!$C$25&amp;$B81,_Rates_Lights_ECR)</f>
        <v>0</v>
      </c>
      <c r="J81" s="82"/>
      <c r="K81" s="115">
        <f t="shared" si="15"/>
        <v>0</v>
      </c>
      <c r="L81" s="115">
        <f t="shared" si="16"/>
        <v>0</v>
      </c>
      <c r="M81" s="115">
        <f t="shared" si="17"/>
        <v>0</v>
      </c>
      <c r="N81" s="146"/>
      <c r="O81" s="110"/>
      <c r="P81" s="145"/>
      <c r="AE81" s="79"/>
      <c r="AG81" s="111" t="s">
        <v>346</v>
      </c>
    </row>
    <row r="82" spans="1:33" ht="15">
      <c r="A82" s="116" t="s">
        <v>533</v>
      </c>
      <c r="B82" s="117" t="s">
        <v>399</v>
      </c>
      <c r="C82" s="114">
        <f>SUMIF(_12MonLights_TariffRateCategory,MiscData!$C$23&amp;$B82,_12MonLights_Count)+SUMIF(_12MonLights_TariffRateCategory,MiscData!$C$23&amp;$B82,_12MonLights_Count_Adj)</f>
        <v>131813</v>
      </c>
      <c r="D82" s="114">
        <f>SUMIF(_12MonLights_TariffRateCategory,MiscData!$C$24&amp;$B82,_12MonLights_Count)+SUMIF(_12MonLights_TariffRateCategory,MiscData!$C$23&amp;$B82,_12MonLights_Count_Adj)</f>
        <v>131813</v>
      </c>
      <c r="E82" s="114">
        <f>SUMIF(_12MonLights_TariffRateCategory,MiscData!$C$25&amp;$B82,_12MonLights_Count)+SUMIF(_12MonLights_TariffRateCategory,MiscData!$C$23&amp;$B82,_12MonLights_Count_Adj)</f>
        <v>131813</v>
      </c>
      <c r="F82" s="82"/>
      <c r="G82" s="115">
        <f>SUMIF(_Lights_Tariff_Category,MiscData!$C$23&amp;$B82,_Lights_Rates)</f>
        <v>9</v>
      </c>
      <c r="H82" s="115">
        <f>SUMIF(_Lights_Tariff_Category,MiscData!$C$24&amp;$B82,_Lights_Rates)</f>
        <v>9</v>
      </c>
      <c r="I82" s="115">
        <f>SUMIF(_Lights_Tariff_Category,MiscData!$C$25&amp;$B82,_Lights_Rates)-SUMIF(_Lights_Tariff_Category,MiscData!$C$25&amp;$B82,_Rates_Lights_ECR)</f>
        <v>8.66</v>
      </c>
      <c r="J82" s="82"/>
      <c r="K82" s="115">
        <f t="shared" si="15"/>
        <v>3514134.58</v>
      </c>
      <c r="L82" s="115">
        <f t="shared" si="16"/>
        <v>3514134.58</v>
      </c>
      <c r="M82" s="115">
        <f t="shared" si="17"/>
        <v>3424501.74</v>
      </c>
      <c r="N82" s="109"/>
      <c r="O82" s="124"/>
      <c r="P82" s="147"/>
      <c r="AE82" s="79"/>
      <c r="AG82" s="111" t="s">
        <v>391</v>
      </c>
    </row>
    <row r="83" spans="1:33" ht="15">
      <c r="A83" s="116" t="s">
        <v>534</v>
      </c>
      <c r="B83" s="117" t="s">
        <v>349</v>
      </c>
      <c r="C83" s="114">
        <f>SUMIF(_12MonLights_TariffRateCategory,MiscData!$C$23&amp;$B83,_12MonLights_Count)+SUMIF(_12MonLights_TariffRateCategory,MiscData!$C$23&amp;$B83,_12MonLights_Count_Adj)</f>
        <v>77983</v>
      </c>
      <c r="D83" s="114">
        <f>SUMIF(_12MonLights_TariffRateCategory,MiscData!$C$24&amp;$B83,_12MonLights_Count)+SUMIF(_12MonLights_TariffRateCategory,MiscData!$C$23&amp;$B83,_12MonLights_Count_Adj)</f>
        <v>77983</v>
      </c>
      <c r="E83" s="114">
        <f>SUMIF(_12MonLights_TariffRateCategory,MiscData!$C$25&amp;$B83,_12MonLights_Count)+SUMIF(_12MonLights_TariffRateCategory,MiscData!$C$23&amp;$B83,_12MonLights_Count_Adj)</f>
        <v>77983</v>
      </c>
      <c r="F83" s="82"/>
      <c r="G83" s="115">
        <f>SUMIF(_Lights_Tariff_Category,MiscData!$C$23&amp;$B83,_Lights_Rates)</f>
        <v>13.639999999999999</v>
      </c>
      <c r="H83" s="115">
        <f>SUMIF(_Lights_Tariff_Category,MiscData!$C$24&amp;$B83,_Lights_Rates)</f>
        <v>13.639999999999999</v>
      </c>
      <c r="I83" s="115">
        <f>SUMIF(_Lights_Tariff_Category,MiscData!$C$25&amp;$B83,_Lights_Rates)-SUMIF(_Lights_Tariff_Category,MiscData!$C$25&amp;$B83,_Rates_Lights_ECR)</f>
        <v>13.059999999999999</v>
      </c>
      <c r="J83" s="82"/>
      <c r="K83" s="115">
        <f t="shared" si="15"/>
        <v>3145834.22</v>
      </c>
      <c r="L83" s="115">
        <f t="shared" si="16"/>
        <v>3145834.22</v>
      </c>
      <c r="M83" s="115">
        <f t="shared" si="17"/>
        <v>3055373.94</v>
      </c>
      <c r="N83" s="109"/>
      <c r="O83" s="124"/>
      <c r="P83" s="147"/>
      <c r="AE83" s="79"/>
      <c r="AG83" s="111" t="s">
        <v>359</v>
      </c>
    </row>
    <row r="84" spans="1:33" ht="12.75">
      <c r="A84" s="116" t="s">
        <v>535</v>
      </c>
      <c r="B84" s="117" t="s">
        <v>381</v>
      </c>
      <c r="C84" s="114">
        <f>SUMIF(_12MonLights_TariffRateCategory,MiscData!$C$23&amp;$B84,_12MonLights_Count)+SUMIF(_12MonLights_TariffRateCategory,MiscData!$C$23&amp;$B84,_12MonLights_Count_Adj)</f>
        <v>98498</v>
      </c>
      <c r="D84" s="114">
        <f>SUMIF(_12MonLights_TariffRateCategory,MiscData!$C$24&amp;$B84,_12MonLights_Count)+SUMIF(_12MonLights_TariffRateCategory,MiscData!$C$23&amp;$B84,_12MonLights_Count_Adj)</f>
        <v>98498</v>
      </c>
      <c r="E84" s="114">
        <f>SUMIF(_12MonLights_TariffRateCategory,MiscData!$C$25&amp;$B84,_12MonLights_Count)+SUMIF(_12MonLights_TariffRateCategory,MiscData!$C$23&amp;$B84,_12MonLights_Count_Adj)</f>
        <v>98498</v>
      </c>
      <c r="F84" s="82"/>
      <c r="G84" s="115">
        <f>SUMIF(_Lights_Tariff_Category,MiscData!$C$23&amp;$B84,_Lights_Rates)</f>
        <v>19.46</v>
      </c>
      <c r="H84" s="115">
        <f>SUMIF(_Lights_Tariff_Category,MiscData!$C$24&amp;$B84,_Lights_Rates)</f>
        <v>19.46</v>
      </c>
      <c r="I84" s="115">
        <f>SUMIF(_Lights_Tariff_Category,MiscData!$C$25&amp;$B84,_Lights_Rates)-SUMIF(_Lights_Tariff_Category,MiscData!$C$25&amp;$B84,_Rates_Lights_ECR)</f>
        <v>18.670000000000002</v>
      </c>
      <c r="J84" s="82"/>
      <c r="K84" s="115">
        <f t="shared" si="15"/>
        <v>5672499.8200000003</v>
      </c>
      <c r="L84" s="115">
        <f t="shared" si="16"/>
        <v>5672499.8200000003</v>
      </c>
      <c r="M84" s="115">
        <f t="shared" si="17"/>
        <v>5516872.9800000004</v>
      </c>
      <c r="N84" s="109"/>
      <c r="O84" s="124"/>
      <c r="P84" s="107"/>
      <c r="Y84" s="77" t="str">
        <f>AG15</f>
        <v>KURSE010</v>
      </c>
      <c r="AC84" s="85" t="str">
        <f>MiscData!$C$23&amp;$Y97</f>
        <v>20140101KUCME112</v>
      </c>
      <c r="AD84" s="85"/>
      <c r="AE84" s="79"/>
      <c r="AG84" s="111" t="s">
        <v>367</v>
      </c>
    </row>
    <row r="85" spans="1:33" ht="12.75">
      <c r="A85" s="116" t="s">
        <v>536</v>
      </c>
      <c r="B85" s="117" t="s">
        <v>375</v>
      </c>
      <c r="C85" s="114">
        <f>SUMIF(_12MonLights_TariffRateCategory,MiscData!$C$23&amp;$B85,_12MonLights_Count)+SUMIF(_12MonLights_TariffRateCategory,MiscData!$C$23&amp;$B85,_12MonLights_Count_Adj)</f>
        <v>2025</v>
      </c>
      <c r="D85" s="114">
        <f>SUMIF(_12MonLights_TariffRateCategory,MiscData!$C$24&amp;$B85,_12MonLights_Count)+SUMIF(_12MonLights_TariffRateCategory,MiscData!$C$23&amp;$B85,_12MonLights_Count_Adj)</f>
        <v>2025</v>
      </c>
      <c r="E85" s="114">
        <f>SUMIF(_12MonLights_TariffRateCategory,MiscData!$C$25&amp;$B85,_12MonLights_Count)+SUMIF(_12MonLights_TariffRateCategory,MiscData!$C$23&amp;$B85,_12MonLights_Count_Adj)</f>
        <v>2025</v>
      </c>
      <c r="F85" s="82"/>
      <c r="G85" s="115">
        <f>SUMIF(_Lights_Tariff_Category,MiscData!$C$23&amp;$B85,_Lights_Rates)</f>
        <v>7.4399999999999995</v>
      </c>
      <c r="H85" s="115">
        <f>SUMIF(_Lights_Tariff_Category,MiscData!$C$24&amp;$B85,_Lights_Rates)</f>
        <v>7.4399999999999995</v>
      </c>
      <c r="I85" s="115">
        <f>SUMIF(_Lights_Tariff_Category,MiscData!$C$25&amp;$B85,_Lights_Rates)-SUMIF(_Lights_Tariff_Category,MiscData!$C$25&amp;$B85,_Rates_Lights_ECR)</f>
        <v>7.01</v>
      </c>
      <c r="J85" s="82"/>
      <c r="K85" s="115">
        <f t="shared" si="15"/>
        <v>44327.25</v>
      </c>
      <c r="L85" s="115">
        <f t="shared" si="16"/>
        <v>44327.25</v>
      </c>
      <c r="M85" s="115">
        <f t="shared" si="17"/>
        <v>42585.75</v>
      </c>
      <c r="N85" s="109"/>
      <c r="O85" s="124"/>
      <c r="P85" s="107"/>
      <c r="Y85" s="77" t="str">
        <f>AG16</f>
        <v>KURSE020</v>
      </c>
      <c r="AC85" s="85" t="str">
        <f>MiscData!$C$24&amp;$Y97</f>
        <v>20140101KUCME112</v>
      </c>
      <c r="AD85" s="85"/>
      <c r="AE85" s="79"/>
      <c r="AG85" s="111" t="s">
        <v>390</v>
      </c>
    </row>
    <row r="86" spans="1:33" ht="12.75">
      <c r="A86" s="116" t="s">
        <v>537</v>
      </c>
      <c r="B86" s="117" t="s">
        <v>400</v>
      </c>
      <c r="C86" s="114">
        <f>SUMIF(_12MonLights_TariffRateCategory,MiscData!$C$23&amp;$B86,_12MonLights_Count)+SUMIF(_12MonLights_TariffRateCategory,MiscData!$C$23&amp;$B86,_12MonLights_Count_Adj)</f>
        <v>432418</v>
      </c>
      <c r="D86" s="114">
        <f>SUMIF(_12MonLights_TariffRateCategory,MiscData!$C$24&amp;$B86,_12MonLights_Count)+SUMIF(_12MonLights_TariffRateCategory,MiscData!$C$23&amp;$B86,_12MonLights_Count_Adj)</f>
        <v>432418</v>
      </c>
      <c r="E86" s="114">
        <f>SUMIF(_12MonLights_TariffRateCategory,MiscData!$C$25&amp;$B86,_12MonLights_Count)+SUMIF(_12MonLights_TariffRateCategory,MiscData!$C$23&amp;$B86,_12MonLights_Count_Adj)</f>
        <v>432418</v>
      </c>
      <c r="F86" s="82"/>
      <c r="G86" s="115">
        <f>SUMIF(_Lights_Tariff_Category,MiscData!$C$23&amp;$B86,_Lights_Rates)</f>
        <v>7.84</v>
      </c>
      <c r="H86" s="115">
        <f>SUMIF(_Lights_Tariff_Category,MiscData!$C$24&amp;$B86,_Lights_Rates)</f>
        <v>7.84</v>
      </c>
      <c r="I86" s="115">
        <f>SUMIF(_Lights_Tariff_Category,MiscData!$C$25&amp;$B86,_Lights_Rates)-SUMIF(_Lights_Tariff_Category,MiscData!$C$25&amp;$B86,_Rates_Lights_ECR)</f>
        <v>7.5</v>
      </c>
      <c r="J86" s="82"/>
      <c r="K86" s="115">
        <f t="shared" si="15"/>
        <v>10023449.24</v>
      </c>
      <c r="L86" s="115">
        <f t="shared" si="16"/>
        <v>10023449.24</v>
      </c>
      <c r="M86" s="115">
        <f t="shared" si="17"/>
        <v>9729405</v>
      </c>
      <c r="N86" s="109"/>
      <c r="O86" s="124"/>
      <c r="P86" s="107"/>
      <c r="Y86" s="77" t="str">
        <f>AG17</f>
        <v>KURSE025</v>
      </c>
      <c r="AC86" s="85" t="str">
        <f>MiscData!$C$25&amp;$Y97</f>
        <v>20140101KUCME112</v>
      </c>
      <c r="AD86" s="85"/>
      <c r="AE86" s="79"/>
      <c r="AG86" s="111" t="s">
        <v>361</v>
      </c>
    </row>
    <row r="87" spans="1:33" ht="15">
      <c r="A87" s="105" t="s">
        <v>503</v>
      </c>
      <c r="B87" s="82"/>
      <c r="C87" s="103"/>
      <c r="D87" s="82"/>
      <c r="E87" s="82"/>
      <c r="F87" s="103"/>
      <c r="G87" s="103"/>
      <c r="H87" s="103"/>
      <c r="I87" s="103"/>
      <c r="J87" s="103"/>
      <c r="K87" s="82"/>
      <c r="L87" s="82"/>
      <c r="M87" s="82"/>
      <c r="N87" s="109"/>
      <c r="O87" s="124"/>
      <c r="P87" s="147"/>
      <c r="AC87" s="85" t="str">
        <f>MiscData!$C$25&amp;$Y97</f>
        <v>20140101KUCME112</v>
      </c>
      <c r="AD87" s="85"/>
      <c r="AE87" s="79"/>
      <c r="AG87" s="111" t="s">
        <v>421</v>
      </c>
    </row>
    <row r="88" spans="1:33" ht="15">
      <c r="A88" s="116" t="s">
        <v>538</v>
      </c>
      <c r="B88" s="117" t="s">
        <v>342</v>
      </c>
      <c r="C88" s="114">
        <f>SUMIF(_12MonLights_TariffRateCategory,MiscData!$C$23&amp;$B88,_12MonLights_Count)+SUMIF(_12MonLights_TariffRateCategory,MiscData!$C$23&amp;$B88,_12MonLights_Count_Adj)</f>
        <v>0</v>
      </c>
      <c r="D88" s="114">
        <f>SUMIF(_12MonLights_TariffRateCategory,MiscData!$C$24&amp;$B88,_12MonLights_Count)+SUMIF(_12MonLights_TariffRateCategory,MiscData!$C$23&amp;$B88,_12MonLights_Count_Adj)</f>
        <v>0</v>
      </c>
      <c r="E88" s="114">
        <f>SUMIF(_12MonLights_TariffRateCategory,MiscData!$C$25&amp;$B88,_12MonLights_Count)+SUMIF(_12MonLights_TariffRateCategory,MiscData!$C$23&amp;$B88,_12MonLights_Count_Adj)</f>
        <v>0</v>
      </c>
      <c r="F88" s="82"/>
      <c r="G88" s="115">
        <f>SUMIF(_Lights_Tariff_Category,MiscData!$C$23&amp;$B88,_Lights_Rates)</f>
        <v>0</v>
      </c>
      <c r="H88" s="115">
        <f>SUMIF(_Lights_Tariff_Category,MiscData!$C$24&amp;$B88,_Lights_Rates)</f>
        <v>0</v>
      </c>
      <c r="I88" s="115">
        <f>SUMIF(_Lights_Tariff_Category,MiscData!$C$25&amp;$B88,_Lights_Rates)-SUMIF(_Lights_Tariff_Category,MiscData!$C$25&amp;$B88,_Rates_Lights_ECR)</f>
        <v>0</v>
      </c>
      <c r="J88" s="82"/>
      <c r="K88" s="115">
        <f>ROUND(SUM($C88*$G88,$D88*$H88,$E88*$I88),2)</f>
        <v>0</v>
      </c>
      <c r="L88" s="115">
        <f>ROUND(SUM($C88*$H88,$D88*$H88,$E88*$I88),2)</f>
        <v>0</v>
      </c>
      <c r="M88" s="115">
        <f>ROUND(SUM($C88*$I88,$D88*$I88,$E88*$I88),2)</f>
        <v>0</v>
      </c>
      <c r="N88" s="109"/>
      <c r="O88" s="124"/>
      <c r="P88" s="148"/>
      <c r="AE88" s="79"/>
      <c r="AG88" s="111" t="s">
        <v>392</v>
      </c>
    </row>
    <row r="89" spans="1:33" ht="15">
      <c r="A89" s="116" t="s">
        <v>539</v>
      </c>
      <c r="B89" s="117" t="s">
        <v>386</v>
      </c>
      <c r="C89" s="114">
        <f>SUMIF(_12MonLights_TariffRateCategory,MiscData!$C$23&amp;$B89,_12MonLights_Count)+SUMIF(_12MonLights_TariffRateCategory,MiscData!$C$23&amp;$B89,_12MonLights_Count_Adj)</f>
        <v>85978</v>
      </c>
      <c r="D89" s="114">
        <f>SUMIF(_12MonLights_TariffRateCategory,MiscData!$C$24&amp;$B89,_12MonLights_Count)+SUMIF(_12MonLights_TariffRateCategory,MiscData!$C$23&amp;$B89,_12MonLights_Count_Adj)</f>
        <v>85978</v>
      </c>
      <c r="E89" s="114">
        <f>SUMIF(_12MonLights_TariffRateCategory,MiscData!$C$25&amp;$B89,_12MonLights_Count)+SUMIF(_12MonLights_TariffRateCategory,MiscData!$C$23&amp;$B89,_12MonLights_Count_Adj)</f>
        <v>85978</v>
      </c>
      <c r="F89" s="82"/>
      <c r="G89" s="115">
        <f>SUMIF(_Lights_Tariff_Category,MiscData!$C$23&amp;$B89,_Lights_Rates)</f>
        <v>10.570000000000002</v>
      </c>
      <c r="H89" s="115">
        <f>SUMIF(_Lights_Tariff_Category,MiscData!$C$24&amp;$B89,_Lights_Rates)</f>
        <v>10.570000000000002</v>
      </c>
      <c r="I89" s="115">
        <f>SUMIF(_Lights_Tariff_Category,MiscData!$C$25&amp;$B89,_Lights_Rates)-SUMIF(_Lights_Tariff_Category,MiscData!$C$25&amp;$B89,_Rates_Lights_ECR)</f>
        <v>10.180000000000001</v>
      </c>
      <c r="J89" s="82"/>
      <c r="K89" s="115">
        <f>ROUND(SUM($C89*$G89,$D89*$H89,$E89*$I89),2)</f>
        <v>2692830.96</v>
      </c>
      <c r="L89" s="115">
        <f>ROUND(SUM($C89*$H89,$D89*$H89,$E89*$I89),2)</f>
        <v>2692830.96</v>
      </c>
      <c r="M89" s="115">
        <f>ROUND(SUM($C89*$I89,$D89*$I89,$E89*$I89),2)</f>
        <v>2625768.12</v>
      </c>
      <c r="N89" s="109"/>
      <c r="O89" s="124"/>
      <c r="P89" s="147"/>
      <c r="AE89" s="79"/>
      <c r="AG89" s="111" t="s">
        <v>322</v>
      </c>
    </row>
    <row r="90" spans="1:33" ht="15">
      <c r="A90" s="105" t="s">
        <v>566</v>
      </c>
      <c r="B90" s="82"/>
      <c r="C90" s="103"/>
      <c r="D90" s="82"/>
      <c r="E90" s="82"/>
      <c r="F90" s="103"/>
      <c r="G90" s="103"/>
      <c r="H90" s="103"/>
      <c r="I90" s="103"/>
      <c r="J90" s="103"/>
      <c r="K90" s="82"/>
      <c r="L90" s="82"/>
      <c r="M90" s="82"/>
      <c r="N90" s="109"/>
      <c r="O90" s="124"/>
      <c r="P90" s="147"/>
      <c r="AE90" s="79"/>
      <c r="AG90" s="111"/>
    </row>
    <row r="91" spans="1:33" ht="15">
      <c r="A91" s="116" t="s">
        <v>567</v>
      </c>
      <c r="B91" s="117" t="s">
        <v>343</v>
      </c>
      <c r="C91" s="114">
        <f>SUMIF(_12MonLights_TariffRateCategory,MiscData!$C$23&amp;$B91,_12MonLights_Count)+SUMIF(_12MonLights_TariffRateCategory,MiscData!$C$23&amp;$B91,_12MonLights_Count_Adj)</f>
        <v>0</v>
      </c>
      <c r="D91" s="114">
        <f>SUMIF(_12MonLights_TariffRateCategory,MiscData!$C$24&amp;$B91,_12MonLights_Count)+SUMIF(_12MonLights_TariffRateCategory,MiscData!$C$23&amp;$B91,_12MonLights_Count_Adj)</f>
        <v>0</v>
      </c>
      <c r="E91" s="114">
        <f>SUMIF(_12MonLights_TariffRateCategory,MiscData!$C$25&amp;$B91,_12MonLights_Count)+SUMIF(_12MonLights_TariffRateCategory,MiscData!$C$23&amp;$B91,_12MonLights_Count_Adj)</f>
        <v>0</v>
      </c>
      <c r="F91" s="82"/>
      <c r="G91" s="115">
        <f>SUMIF(_Lights_Tariff_Category,MiscData!$C$23&amp;$B91,_Lights_Rates)</f>
        <v>0</v>
      </c>
      <c r="H91" s="115">
        <f>SUMIF(_Lights_Tariff_Category,MiscData!$C$24&amp;$B91,_Lights_Rates)</f>
        <v>0</v>
      </c>
      <c r="I91" s="115">
        <f>SUMIF(_Lights_Tariff_Category,MiscData!$C$25&amp;$B91,_Lights_Rates)-SUMIF(_Lights_Tariff_Category,MiscData!$C$25&amp;$B91,_Rates_Lights_ECR)</f>
        <v>0</v>
      </c>
      <c r="J91" s="82"/>
      <c r="K91" s="115">
        <f>ROUND(SUM($C91*$G91,$D91*$H91,$E91*$I91),2)</f>
        <v>0</v>
      </c>
      <c r="L91" s="115">
        <f>ROUND(SUM($C91*$H91,$D91*$H91,$E91*$I91),2)</f>
        <v>0</v>
      </c>
      <c r="M91" s="115">
        <f>ROUND(SUM($C91*$I91,$D91*$I91,$E91*$I91),2)</f>
        <v>0</v>
      </c>
      <c r="N91" s="109"/>
      <c r="O91" s="124"/>
      <c r="P91" s="147"/>
      <c r="AE91" s="79"/>
      <c r="AG91" s="111"/>
    </row>
    <row r="92" spans="1:33" ht="15">
      <c r="A92" s="116" t="s">
        <v>568</v>
      </c>
      <c r="B92" s="117" t="s">
        <v>382</v>
      </c>
      <c r="C92" s="114">
        <f>SUMIF(_12MonLights_TariffRateCategory,MiscData!$C$23&amp;$B92,_12MonLights_Count)+SUMIF(_12MonLights_TariffRateCategory,MiscData!$C$23&amp;$B92,_12MonLights_Count_Adj)</f>
        <v>1654</v>
      </c>
      <c r="D92" s="114">
        <f>SUMIF(_12MonLights_TariffRateCategory,MiscData!$C$24&amp;$B92,_12MonLights_Count)+SUMIF(_12MonLights_TariffRateCategory,MiscData!$C$23&amp;$B92,_12MonLights_Count_Adj)</f>
        <v>1654</v>
      </c>
      <c r="E92" s="114">
        <f>SUMIF(_12MonLights_TariffRateCategory,MiscData!$C$25&amp;$B92,_12MonLights_Count)+SUMIF(_12MonLights_TariffRateCategory,MiscData!$C$23&amp;$B92,_12MonLights_Count_Adj)</f>
        <v>1654</v>
      </c>
      <c r="F92" s="82"/>
      <c r="G92" s="115">
        <f>SUMIF(_Lights_Tariff_Category,MiscData!$C$23&amp;$B92,_Lights_Rates)</f>
        <v>11.71</v>
      </c>
      <c r="H92" s="115">
        <f>SUMIF(_Lights_Tariff_Category,MiscData!$C$24&amp;$B92,_Lights_Rates)</f>
        <v>11.71</v>
      </c>
      <c r="I92" s="115">
        <f>SUMIF(_Lights_Tariff_Category,MiscData!$C$25&amp;$B92,_Lights_Rates)-SUMIF(_Lights_Tariff_Category,MiscData!$C$25&amp;$B92,_Rates_Lights_ECR)</f>
        <v>10.920000000000002</v>
      </c>
      <c r="J92" s="82"/>
      <c r="K92" s="115">
        <f>ROUND(SUM($C92*$G92,$D92*$H92,$E92*$I92),2)</f>
        <v>56798.36</v>
      </c>
      <c r="L92" s="115">
        <f>ROUND(SUM($C92*$H92,$D92*$H92,$E92*$I92),2)</f>
        <v>56798.36</v>
      </c>
      <c r="M92" s="115">
        <f>ROUND(SUM($C92*$I92,$D92*$I92,$E92*$I92),2)</f>
        <v>54185.04</v>
      </c>
      <c r="N92" s="109"/>
      <c r="O92" s="124"/>
      <c r="P92" s="147"/>
      <c r="AE92" s="79"/>
      <c r="AG92" s="111"/>
    </row>
    <row r="93" spans="1:33" ht="12.75">
      <c r="A93" s="116"/>
      <c r="B93" s="117"/>
      <c r="C93" s="114"/>
      <c r="D93" s="114"/>
      <c r="E93" s="114"/>
      <c r="F93" s="82"/>
      <c r="G93" s="115"/>
      <c r="H93" s="115"/>
      <c r="I93" s="115"/>
      <c r="J93" s="82"/>
      <c r="K93" s="115"/>
      <c r="L93" s="115"/>
      <c r="M93" s="115"/>
      <c r="N93" s="109"/>
      <c r="AE93" s="79"/>
      <c r="AG93" s="111" t="s">
        <v>354</v>
      </c>
    </row>
    <row r="94" spans="1:33" ht="12.75">
      <c r="A94" s="128" t="s">
        <v>512</v>
      </c>
      <c r="B94" s="82"/>
      <c r="C94" s="129"/>
      <c r="D94" s="82"/>
      <c r="E94" s="82"/>
      <c r="F94" s="114"/>
      <c r="G94" s="82"/>
      <c r="H94" s="130"/>
      <c r="I94" s="131"/>
      <c r="J94" s="82"/>
      <c r="K94" s="120"/>
      <c r="L94" s="131"/>
      <c r="M94" s="131"/>
      <c r="N94" s="109"/>
      <c r="AE94" s="79"/>
      <c r="AG94" s="111" t="s">
        <v>317</v>
      </c>
    </row>
    <row r="95" spans="1:33" ht="12.75">
      <c r="A95" s="105" t="s">
        <v>486</v>
      </c>
      <c r="B95" s="82"/>
      <c r="C95" s="85"/>
      <c r="D95" s="85"/>
      <c r="E95" s="85"/>
      <c r="F95" s="82"/>
      <c r="G95" s="82"/>
      <c r="H95" s="106"/>
      <c r="I95" s="107"/>
      <c r="J95" s="108"/>
      <c r="K95" s="106"/>
      <c r="L95" s="107"/>
      <c r="M95" s="107"/>
      <c r="N95" s="109"/>
      <c r="AE95" s="79"/>
      <c r="AG95" s="111" t="s">
        <v>320</v>
      </c>
    </row>
    <row r="96" spans="1:33" ht="12.75">
      <c r="A96" s="116" t="s">
        <v>513</v>
      </c>
      <c r="B96" s="117" t="s">
        <v>359</v>
      </c>
      <c r="C96" s="114">
        <f>SUMIF(_12MonLights_TariffRateCategory,MiscData!$C$23&amp;$B96,_12MonLights_Count)+SUMIF(_12MonLights_TariffRateCategory,MiscData!$C$23&amp;$B96,_12MonLights_Count_Adj)</f>
        <v>24</v>
      </c>
      <c r="D96" s="114">
        <f>SUMIF(_12MonLights_TariffRateCategory,MiscData!$C$24&amp;$B96,_12MonLights_Count)+SUMIF(_12MonLights_TariffRateCategory,MiscData!$C$23&amp;$B96,_12MonLights_Count_Adj)</f>
        <v>24</v>
      </c>
      <c r="E96" s="114">
        <f>SUMIF(_12MonLights_TariffRateCategory,MiscData!$C$25&amp;$B96,_12MonLights_Count)+SUMIF(_12MonLights_TariffRateCategory,MiscData!$C$23&amp;$B96,_12MonLights_Count_Adj)</f>
        <v>24</v>
      </c>
      <c r="F96" s="82"/>
      <c r="G96" s="115">
        <f>SUMIF(_Lights_Tariff_Category,MiscData!$C$23&amp;$B96,_Lights_Rates)</f>
        <v>13.610000000000001</v>
      </c>
      <c r="H96" s="115">
        <f>SUMIF(_Lights_Tariff_Category,MiscData!$C$24&amp;$B96,_Lights_Rates)</f>
        <v>13.610000000000001</v>
      </c>
      <c r="I96" s="115">
        <f>SUMIF(_Lights_Tariff_Category,MiscData!$C$25&amp;$B96,_Lights_Rates)-SUMIF(_Lights_Tariff_Category,MiscData!$C$25&amp;$B96,_Rates_Lights_ECR)</f>
        <v>13.280000000000001</v>
      </c>
      <c r="J96" s="82"/>
      <c r="K96" s="115">
        <f t="shared" ref="K96:K107" si="18">ROUND(SUM($C96*$G96,$D96*$H96,$E96*$I96),2)</f>
        <v>972</v>
      </c>
      <c r="L96" s="115">
        <f t="shared" ref="L96:L107" si="19">ROUND(SUM($C96*$H96,$D96*$H96,$E96*$I96),2)</f>
        <v>972</v>
      </c>
      <c r="M96" s="115">
        <f t="shared" ref="M96:M107" si="20">ROUND(SUM($C96*$I96,$D96*$I96,$E96*$I96),2)</f>
        <v>956.16</v>
      </c>
      <c r="N96" s="109"/>
      <c r="Y96" s="77" t="s">
        <v>161</v>
      </c>
      <c r="AB96" s="85" t="str">
        <f>MiscData!$C$23&amp;$Y96</f>
        <v>20140101KUCME110</v>
      </c>
      <c r="AC96" s="85"/>
      <c r="AD96" s="85"/>
      <c r="AE96" s="79"/>
      <c r="AG96" s="111" t="s">
        <v>352</v>
      </c>
    </row>
    <row r="97" spans="1:33" ht="12.75">
      <c r="A97" s="116" t="s">
        <v>514</v>
      </c>
      <c r="B97" s="117" t="s">
        <v>361</v>
      </c>
      <c r="C97" s="114">
        <f>SUMIF(_12MonLights_TariffRateCategory,MiscData!$C$23&amp;$B97,_12MonLights_Count)+SUMIF(_12MonLights_TariffRateCategory,MiscData!$C$23&amp;$B97,_12MonLights_Count_Adj)</f>
        <v>0</v>
      </c>
      <c r="D97" s="114">
        <f>SUMIF(_12MonLights_TariffRateCategory,MiscData!$C$24&amp;$B97,_12MonLights_Count)+SUMIF(_12MonLights_TariffRateCategory,MiscData!$C$23&amp;$B97,_12MonLights_Count_Adj)</f>
        <v>0</v>
      </c>
      <c r="E97" s="114">
        <f>SUMIF(_12MonLights_TariffRateCategory,MiscData!$C$25&amp;$B97,_12MonLights_Count)+SUMIF(_12MonLights_TariffRateCategory,MiscData!$C$23&amp;$B97,_12MonLights_Count_Adj)</f>
        <v>0</v>
      </c>
      <c r="F97" s="82"/>
      <c r="G97" s="115">
        <f>SUMIF(_Lights_Tariff_Category,MiscData!$C$23&amp;$B97,_Lights_Rates)</f>
        <v>0</v>
      </c>
      <c r="H97" s="115">
        <f>SUMIF(_Lights_Tariff_Category,MiscData!$C$24&amp;$B97,_Lights_Rates)</f>
        <v>0</v>
      </c>
      <c r="I97" s="115">
        <f>SUMIF(_Lights_Tariff_Category,MiscData!$C$25&amp;$B97,_Lights_Rates)-SUMIF(_Lights_Tariff_Category,MiscData!$C$25&amp;$B97,_Rates_Lights_ECR)</f>
        <v>0</v>
      </c>
      <c r="J97" s="82"/>
      <c r="K97" s="115">
        <f t="shared" si="18"/>
        <v>0</v>
      </c>
      <c r="L97" s="115">
        <f t="shared" si="19"/>
        <v>0</v>
      </c>
      <c r="M97" s="115">
        <f t="shared" si="20"/>
        <v>0</v>
      </c>
      <c r="N97" s="121"/>
      <c r="Y97" s="80" t="s">
        <v>162</v>
      </c>
      <c r="AB97" s="85" t="str">
        <f>MiscData!$C$24&amp;$Y96</f>
        <v>20140101KUCME110</v>
      </c>
      <c r="AC97" s="85"/>
      <c r="AD97" s="85"/>
      <c r="AE97" s="79"/>
      <c r="AG97" s="111" t="s">
        <v>384</v>
      </c>
    </row>
    <row r="98" spans="1:33" ht="12.75">
      <c r="A98" s="116" t="s">
        <v>515</v>
      </c>
      <c r="B98" s="117" t="s">
        <v>367</v>
      </c>
      <c r="C98" s="114">
        <f>SUMIF(_12MonLights_TariffRateCategory,MiscData!$C$23&amp;$B98,_12MonLights_Count)+SUMIF(_12MonLights_TariffRateCategory,MiscData!$C$23&amp;$B98,_12MonLights_Count_Adj)</f>
        <v>0</v>
      </c>
      <c r="D98" s="114">
        <f>SUMIF(_12MonLights_TariffRateCategory,MiscData!$C$24&amp;$B98,_12MonLights_Count)+SUMIF(_12MonLights_TariffRateCategory,MiscData!$C$23&amp;$B98,_12MonLights_Count_Adj)</f>
        <v>0</v>
      </c>
      <c r="E98" s="114">
        <f>SUMIF(_12MonLights_TariffRateCategory,MiscData!$C$25&amp;$B98,_12MonLights_Count)+SUMIF(_12MonLights_TariffRateCategory,MiscData!$C$23&amp;$B98,_12MonLights_Count_Adj)</f>
        <v>0</v>
      </c>
      <c r="F98" s="82"/>
      <c r="G98" s="115">
        <f>SUMIF(_Lights_Tariff_Category,MiscData!$C$23&amp;$B98,_Lights_Rates)</f>
        <v>0</v>
      </c>
      <c r="H98" s="115">
        <f>SUMIF(_Lights_Tariff_Category,MiscData!$C$24&amp;$B98,_Lights_Rates)</f>
        <v>0</v>
      </c>
      <c r="I98" s="115">
        <f>SUMIF(_Lights_Tariff_Category,MiscData!$C$25&amp;$B98,_Lights_Rates)-SUMIF(_Lights_Tariff_Category,MiscData!$C$25&amp;$B98,_Rates_Lights_ECR)</f>
        <v>0</v>
      </c>
      <c r="J98" s="82"/>
      <c r="K98" s="115">
        <f t="shared" si="18"/>
        <v>0</v>
      </c>
      <c r="L98" s="115">
        <f t="shared" si="19"/>
        <v>0</v>
      </c>
      <c r="M98" s="115">
        <f t="shared" si="20"/>
        <v>0</v>
      </c>
      <c r="N98" s="109"/>
      <c r="AB98" s="85" t="str">
        <f>MiscData!$C$25&amp;$Y96</f>
        <v>20140101KUCME110</v>
      </c>
      <c r="AC98" s="85"/>
      <c r="AD98" s="85"/>
      <c r="AE98" s="79"/>
      <c r="AG98" s="111" t="s">
        <v>311</v>
      </c>
    </row>
    <row r="99" spans="1:33" ht="12.75">
      <c r="A99" s="116" t="s">
        <v>516</v>
      </c>
      <c r="B99" s="117" t="s">
        <v>369</v>
      </c>
      <c r="C99" s="114">
        <f>SUMIF(_12MonLights_TariffRateCategory,MiscData!$C$23&amp;$B99,_12MonLights_Count)+SUMIF(_12MonLights_TariffRateCategory,MiscData!$C$23&amp;$B99,_12MonLights_Count_Adj)</f>
        <v>0</v>
      </c>
      <c r="D99" s="114">
        <f>SUMIF(_12MonLights_TariffRateCategory,MiscData!$C$24&amp;$B99,_12MonLights_Count)+SUMIF(_12MonLights_TariffRateCategory,MiscData!$C$23&amp;$B99,_12MonLights_Count_Adj)</f>
        <v>0</v>
      </c>
      <c r="E99" s="114">
        <f>SUMIF(_12MonLights_TariffRateCategory,MiscData!$C$25&amp;$B99,_12MonLights_Count)+SUMIF(_12MonLights_TariffRateCategory,MiscData!$C$23&amp;$B99,_12MonLights_Count_Adj)</f>
        <v>0</v>
      </c>
      <c r="F99" s="82"/>
      <c r="G99" s="115">
        <f>SUMIF(_Lights_Tariff_Category,MiscData!$C$23&amp;$B99,_Lights_Rates)</f>
        <v>0</v>
      </c>
      <c r="H99" s="115">
        <f>SUMIF(_Lights_Tariff_Category,MiscData!$C$24&amp;$B99,_Lights_Rates)</f>
        <v>0</v>
      </c>
      <c r="I99" s="115">
        <f>SUMIF(_Lights_Tariff_Category,MiscData!$C$25&amp;$B99,_Lights_Rates)-SUMIF(_Lights_Tariff_Category,MiscData!$C$25&amp;$B99,_Rates_Lights_ECR)</f>
        <v>0</v>
      </c>
      <c r="J99" s="82"/>
      <c r="K99" s="115">
        <f t="shared" si="18"/>
        <v>0</v>
      </c>
      <c r="L99" s="115">
        <f t="shared" si="19"/>
        <v>0</v>
      </c>
      <c r="M99" s="115">
        <f t="shared" si="20"/>
        <v>0</v>
      </c>
      <c r="N99" s="109"/>
      <c r="AE99" s="79"/>
      <c r="AG99" s="111" t="s">
        <v>341</v>
      </c>
    </row>
    <row r="100" spans="1:33" ht="12.75">
      <c r="A100" s="116" t="s">
        <v>517</v>
      </c>
      <c r="B100" s="117" t="s">
        <v>390</v>
      </c>
      <c r="C100" s="114">
        <f>SUMIF(_12MonLights_TariffRateCategory,MiscData!$C$23&amp;$B100,_12MonLights_Count)+SUMIF(_12MonLights_TariffRateCategory,MiscData!$C$23&amp;$B100,_12MonLights_Count_Adj)</f>
        <v>0</v>
      </c>
      <c r="D100" s="114">
        <f>SUMIF(_12MonLights_TariffRateCategory,MiscData!$C$24&amp;$B100,_12MonLights_Count)+SUMIF(_12MonLights_TariffRateCategory,MiscData!$C$23&amp;$B100,_12MonLights_Count_Adj)</f>
        <v>0</v>
      </c>
      <c r="E100" s="114">
        <f>SUMIF(_12MonLights_TariffRateCategory,MiscData!$C$25&amp;$B100,_12MonLights_Count)+SUMIF(_12MonLights_TariffRateCategory,MiscData!$C$23&amp;$B100,_12MonLights_Count_Adj)</f>
        <v>0</v>
      </c>
      <c r="F100" s="82"/>
      <c r="G100" s="115">
        <f>SUMIF(_Lights_Tariff_Category,MiscData!$C$23&amp;$B100,_Lights_Rates)</f>
        <v>0</v>
      </c>
      <c r="H100" s="115">
        <f>SUMIF(_Lights_Tariff_Category,MiscData!$C$24&amp;$B100,_Lights_Rates)</f>
        <v>0</v>
      </c>
      <c r="I100" s="115">
        <f>SUMIF(_Lights_Tariff_Category,MiscData!$C$25&amp;$B100,_Lights_Rates)-SUMIF(_Lights_Tariff_Category,MiscData!$C$25&amp;$B100,_Rates_Lights_ECR)</f>
        <v>0</v>
      </c>
      <c r="J100" s="82"/>
      <c r="K100" s="115">
        <f t="shared" si="18"/>
        <v>0</v>
      </c>
      <c r="L100" s="115">
        <f t="shared" si="19"/>
        <v>0</v>
      </c>
      <c r="M100" s="115">
        <f t="shared" si="20"/>
        <v>0</v>
      </c>
      <c r="N100" s="104"/>
      <c r="AB100" s="85" t="str">
        <f>MiscData!$C$23&amp;$Y96</f>
        <v>20140101KUCME110</v>
      </c>
      <c r="AC100" s="85"/>
      <c r="AD100" s="85"/>
      <c r="AE100" s="79"/>
      <c r="AG100" s="111" t="s">
        <v>315</v>
      </c>
    </row>
    <row r="101" spans="1:33" ht="12.75">
      <c r="A101" s="116" t="s">
        <v>518</v>
      </c>
      <c r="B101" s="117" t="s">
        <v>392</v>
      </c>
      <c r="C101" s="114">
        <f>SUMIF(_12MonLights_TariffRateCategory,MiscData!$C$23&amp;$B101,_12MonLights_Count)+SUMIF(_12MonLights_TariffRateCategory,MiscData!$C$23&amp;$B101,_12MonLights_Count_Adj)</f>
        <v>0</v>
      </c>
      <c r="D101" s="114">
        <f>SUMIF(_12MonLights_TariffRateCategory,MiscData!$C$24&amp;$B101,_12MonLights_Count)+SUMIF(_12MonLights_TariffRateCategory,MiscData!$C$23&amp;$B101,_12MonLights_Count_Adj)</f>
        <v>0</v>
      </c>
      <c r="E101" s="114">
        <f>SUMIF(_12MonLights_TariffRateCategory,MiscData!$C$25&amp;$B101,_12MonLights_Count)+SUMIF(_12MonLights_TariffRateCategory,MiscData!$C$23&amp;$B101,_12MonLights_Count_Adj)</f>
        <v>0</v>
      </c>
      <c r="F101" s="82"/>
      <c r="G101" s="115">
        <f>SUMIF(_Lights_Tariff_Category,MiscData!$C$23&amp;$B101,_Lights_Rates)</f>
        <v>0</v>
      </c>
      <c r="H101" s="115">
        <f>SUMIF(_Lights_Tariff_Category,MiscData!$C$24&amp;$B101,_Lights_Rates)</f>
        <v>0</v>
      </c>
      <c r="I101" s="115">
        <f>SUMIF(_Lights_Tariff_Category,MiscData!$C$25&amp;$B101,_Lights_Rates)-SUMIF(_Lights_Tariff_Category,MiscData!$C$25&amp;$B101,_Rates_Lights_ECR)</f>
        <v>0</v>
      </c>
      <c r="J101" s="82"/>
      <c r="K101" s="115">
        <f t="shared" si="18"/>
        <v>0</v>
      </c>
      <c r="L101" s="115">
        <f t="shared" si="19"/>
        <v>0</v>
      </c>
      <c r="M101" s="115">
        <f t="shared" si="20"/>
        <v>0</v>
      </c>
      <c r="N101" s="109"/>
      <c r="AB101" s="85" t="str">
        <f>MiscData!$C$24&amp;$Y96</f>
        <v>20140101KUCME110</v>
      </c>
      <c r="AC101" s="85"/>
      <c r="AD101" s="85"/>
      <c r="AE101" s="79"/>
      <c r="AG101" s="111" t="s">
        <v>319</v>
      </c>
    </row>
    <row r="102" spans="1:33" ht="12.75">
      <c r="A102" s="116" t="s">
        <v>519</v>
      </c>
      <c r="B102" s="117" t="s">
        <v>362</v>
      </c>
      <c r="C102" s="114">
        <f>SUMIF(_12MonLights_TariffRateCategory,MiscData!$C$23&amp;$B102,_12MonLights_Count)+SUMIF(_12MonLights_TariffRateCategory,MiscData!$C$23&amp;$B102,_12MonLights_Count_Adj)</f>
        <v>0</v>
      </c>
      <c r="D102" s="114">
        <f>SUMIF(_12MonLights_TariffRateCategory,MiscData!$C$24&amp;$B102,_12MonLights_Count)+SUMIF(_12MonLights_TariffRateCategory,MiscData!$C$23&amp;$B102,_12MonLights_Count_Adj)</f>
        <v>0</v>
      </c>
      <c r="E102" s="114">
        <f>SUMIF(_12MonLights_TariffRateCategory,MiscData!$C$25&amp;$B102,_12MonLights_Count)+SUMIF(_12MonLights_TariffRateCategory,MiscData!$C$23&amp;$B102,_12MonLights_Count_Adj)</f>
        <v>0</v>
      </c>
      <c r="F102" s="82"/>
      <c r="G102" s="115">
        <f>SUMIF(_Lights_Tariff_Category,MiscData!$C$23&amp;$B102,_Lights_Rates)</f>
        <v>0</v>
      </c>
      <c r="H102" s="115">
        <f>SUMIF(_Lights_Tariff_Category,MiscData!$C$24&amp;$B102,_Lights_Rates)</f>
        <v>0</v>
      </c>
      <c r="I102" s="115">
        <f>SUMIF(_Lights_Tariff_Category,MiscData!$C$25&amp;$B102,_Lights_Rates)-SUMIF(_Lights_Tariff_Category,MiscData!$C$25&amp;$B102,_Rates_Lights_ECR)</f>
        <v>0</v>
      </c>
      <c r="J102" s="82"/>
      <c r="K102" s="115">
        <f t="shared" si="18"/>
        <v>0</v>
      </c>
      <c r="L102" s="115">
        <f t="shared" si="19"/>
        <v>0</v>
      </c>
      <c r="M102" s="115">
        <f t="shared" si="20"/>
        <v>0</v>
      </c>
      <c r="N102" s="109"/>
      <c r="AB102" s="85" t="str">
        <f>MiscData!$C$25&amp;$Y96</f>
        <v>20140101KUCME110</v>
      </c>
      <c r="AC102" s="85"/>
      <c r="AD102" s="85"/>
      <c r="AE102" s="79"/>
      <c r="AG102" s="111" t="s">
        <v>356</v>
      </c>
    </row>
    <row r="103" spans="1:33" ht="12.75">
      <c r="A103" s="116" t="s">
        <v>520</v>
      </c>
      <c r="B103" s="117" t="s">
        <v>372</v>
      </c>
      <c r="C103" s="114">
        <f>SUMIF(_12MonLights_TariffRateCategory,MiscData!$C$23&amp;$B103,_12MonLights_Count)+SUMIF(_12MonLights_TariffRateCategory,MiscData!$C$23&amp;$B103,_12MonLights_Count_Adj)</f>
        <v>0</v>
      </c>
      <c r="D103" s="114">
        <f>SUMIF(_12MonLights_TariffRateCategory,MiscData!$C$24&amp;$B103,_12MonLights_Count)+SUMIF(_12MonLights_TariffRateCategory,MiscData!$C$23&amp;$B103,_12MonLights_Count_Adj)</f>
        <v>0</v>
      </c>
      <c r="E103" s="114">
        <f>SUMIF(_12MonLights_TariffRateCategory,MiscData!$C$25&amp;$B103,_12MonLights_Count)+SUMIF(_12MonLights_TariffRateCategory,MiscData!$C$23&amp;$B103,_12MonLights_Count_Adj)</f>
        <v>0</v>
      </c>
      <c r="F103" s="82"/>
      <c r="G103" s="115">
        <f>SUMIF(_Lights_Tariff_Category,MiscData!$C$23&amp;$B103,_Lights_Rates)</f>
        <v>0</v>
      </c>
      <c r="H103" s="115">
        <f>SUMIF(_Lights_Tariff_Category,MiscData!$C$24&amp;$B103,_Lights_Rates)</f>
        <v>0</v>
      </c>
      <c r="I103" s="115">
        <f>SUMIF(_Lights_Tariff_Category,MiscData!$C$25&amp;$B103,_Lights_Rates)-SUMIF(_Lights_Tariff_Category,MiscData!$C$25&amp;$B103,_Rates_Lights_ECR)</f>
        <v>0</v>
      </c>
      <c r="J103" s="82"/>
      <c r="K103" s="115">
        <f t="shared" si="18"/>
        <v>0</v>
      </c>
      <c r="L103" s="115">
        <f t="shared" si="19"/>
        <v>0</v>
      </c>
      <c r="M103" s="115">
        <f t="shared" si="20"/>
        <v>0</v>
      </c>
      <c r="N103" s="109"/>
      <c r="AE103" s="79"/>
      <c r="AG103" s="111" t="s">
        <v>365</v>
      </c>
    </row>
    <row r="104" spans="1:33" ht="12.75">
      <c r="A104" s="116" t="s">
        <v>521</v>
      </c>
      <c r="B104" s="117" t="s">
        <v>395</v>
      </c>
      <c r="C104" s="114">
        <f>SUMIF(_12MonLights_TariffRateCategory,MiscData!$C$23&amp;$B104,_12MonLights_Count)+SUMIF(_12MonLights_TariffRateCategory,MiscData!$C$23&amp;$B104,_12MonLights_Count_Adj)</f>
        <v>0</v>
      </c>
      <c r="D104" s="114">
        <f>SUMIF(_12MonLights_TariffRateCategory,MiscData!$C$24&amp;$B104,_12MonLights_Count)+SUMIF(_12MonLights_TariffRateCategory,MiscData!$C$23&amp;$B104,_12MonLights_Count_Adj)</f>
        <v>0</v>
      </c>
      <c r="E104" s="114">
        <f>SUMIF(_12MonLights_TariffRateCategory,MiscData!$C$25&amp;$B104,_12MonLights_Count)+SUMIF(_12MonLights_TariffRateCategory,MiscData!$C$23&amp;$B104,_12MonLights_Count_Adj)</f>
        <v>0</v>
      </c>
      <c r="F104" s="82"/>
      <c r="G104" s="115">
        <f>SUMIF(_Lights_Tariff_Category,MiscData!$C$23&amp;$B104,_Lights_Rates)</f>
        <v>0</v>
      </c>
      <c r="H104" s="115">
        <f>SUMIF(_Lights_Tariff_Category,MiscData!$C$24&amp;$B104,_Lights_Rates)</f>
        <v>0</v>
      </c>
      <c r="I104" s="115">
        <f>SUMIF(_Lights_Tariff_Category,MiscData!$C$25&amp;$B104,_Lights_Rates)-SUMIF(_Lights_Tariff_Category,MiscData!$C$25&amp;$B104,_Rates_Lights_ECR)</f>
        <v>0</v>
      </c>
      <c r="J104" s="82"/>
      <c r="K104" s="115">
        <f t="shared" si="18"/>
        <v>0</v>
      </c>
      <c r="L104" s="115">
        <f t="shared" si="19"/>
        <v>0</v>
      </c>
      <c r="M104" s="115">
        <f t="shared" si="20"/>
        <v>0</v>
      </c>
      <c r="N104" s="109"/>
      <c r="AE104" s="79"/>
      <c r="AG104" s="111" t="s">
        <v>388</v>
      </c>
    </row>
    <row r="105" spans="1:33" ht="12.75">
      <c r="A105" s="116" t="s">
        <v>522</v>
      </c>
      <c r="B105" s="117" t="s">
        <v>371</v>
      </c>
      <c r="C105" s="114">
        <f>SUMIF(_12MonLights_TariffRateCategory,MiscData!$C$23&amp;$B105,_12MonLights_Count)+SUMIF(_12MonLights_TariffRateCategory,MiscData!$C$23&amp;$B105,_12MonLights_Count_Adj)</f>
        <v>252</v>
      </c>
      <c r="D105" s="114">
        <f>SUMIF(_12MonLights_TariffRateCategory,MiscData!$C$24&amp;$B105,_12MonLights_Count)+SUMIF(_12MonLights_TariffRateCategory,MiscData!$C$23&amp;$B105,_12MonLights_Count_Adj)</f>
        <v>252</v>
      </c>
      <c r="E105" s="114">
        <f>SUMIF(_12MonLights_TariffRateCategory,MiscData!$C$25&amp;$B105,_12MonLights_Count)+SUMIF(_12MonLights_TariffRateCategory,MiscData!$C$23&amp;$B105,_12MonLights_Count_Adj)</f>
        <v>252</v>
      </c>
      <c r="F105" s="82"/>
      <c r="G105" s="115">
        <f>SUMIF(_Lights_Tariff_Category,MiscData!$C$23&amp;$B105,_Lights_Rates)</f>
        <v>30.84</v>
      </c>
      <c r="H105" s="115">
        <f>SUMIF(_Lights_Tariff_Category,MiscData!$C$24&amp;$B105,_Lights_Rates)</f>
        <v>30.84</v>
      </c>
      <c r="I105" s="115">
        <f>SUMIF(_Lights_Tariff_Category,MiscData!$C$25&amp;$B105,_Lights_Rates)-SUMIF(_Lights_Tariff_Category,MiscData!$C$25&amp;$B105,_Rates_Lights_ECR)</f>
        <v>30.41</v>
      </c>
      <c r="J105" s="82"/>
      <c r="K105" s="115">
        <f t="shared" si="18"/>
        <v>23206.68</v>
      </c>
      <c r="L105" s="115">
        <f t="shared" si="19"/>
        <v>23206.68</v>
      </c>
      <c r="M105" s="115">
        <f t="shared" si="20"/>
        <v>22989.96</v>
      </c>
      <c r="N105" s="109"/>
      <c r="AE105" s="79"/>
      <c r="AG105" s="111" t="s">
        <v>345</v>
      </c>
    </row>
    <row r="106" spans="1:33" ht="12.75">
      <c r="A106" s="116" t="s">
        <v>523</v>
      </c>
      <c r="B106" s="117" t="s">
        <v>394</v>
      </c>
      <c r="C106" s="114">
        <f>SUMIF(_12MonLights_TariffRateCategory,MiscData!$C$23&amp;$B106,_12MonLights_Count)+SUMIF(_12MonLights_TariffRateCategory,MiscData!$C$23&amp;$B106,_12MonLights_Count_Adj)</f>
        <v>120</v>
      </c>
      <c r="D106" s="114">
        <f>SUMIF(_12MonLights_TariffRateCategory,MiscData!$C$24&amp;$B106,_12MonLights_Count)+SUMIF(_12MonLights_TariffRateCategory,MiscData!$C$23&amp;$B106,_12MonLights_Count_Adj)</f>
        <v>120</v>
      </c>
      <c r="E106" s="114">
        <f>SUMIF(_12MonLights_TariffRateCategory,MiscData!$C$25&amp;$B106,_12MonLights_Count)+SUMIF(_12MonLights_TariffRateCategory,MiscData!$C$23&amp;$B106,_12MonLights_Count_Adj)</f>
        <v>120</v>
      </c>
      <c r="F106" s="82"/>
      <c r="G106" s="115">
        <f>SUMIF(_Lights_Tariff_Category,MiscData!$C$23&amp;$B106,_Lights_Rates)</f>
        <v>31.22</v>
      </c>
      <c r="H106" s="115">
        <f>SUMIF(_Lights_Tariff_Category,MiscData!$C$24&amp;$B106,_Lights_Rates)</f>
        <v>31.22</v>
      </c>
      <c r="I106" s="115">
        <f>SUMIF(_Lights_Tariff_Category,MiscData!$C$25&amp;$B106,_Lights_Rates)-SUMIF(_Lights_Tariff_Category,MiscData!$C$25&amp;$B106,_Rates_Lights_ECR)</f>
        <v>30.88</v>
      </c>
      <c r="J106" s="82"/>
      <c r="K106" s="115">
        <f t="shared" si="18"/>
        <v>11198.4</v>
      </c>
      <c r="L106" s="115">
        <f t="shared" si="19"/>
        <v>11198.4</v>
      </c>
      <c r="M106" s="115">
        <f t="shared" si="20"/>
        <v>11116.8</v>
      </c>
      <c r="N106" s="109"/>
      <c r="AE106" s="79"/>
      <c r="AG106" s="111" t="s">
        <v>377</v>
      </c>
    </row>
    <row r="107" spans="1:33" ht="12.75">
      <c r="A107" s="116" t="s">
        <v>524</v>
      </c>
      <c r="B107" s="117" t="s">
        <v>423</v>
      </c>
      <c r="C107" s="114">
        <f>SUMIF(_12MonLights_TariffRateCategory,MiscData!$C$23&amp;$B107,_12MonLights_Count)+SUMIF(_12MonLights_TariffRateCategory,MiscData!$C$23&amp;$B107,_12MonLights_Count_Adj)</f>
        <v>0</v>
      </c>
      <c r="D107" s="114">
        <f>SUMIF(_12MonLights_TariffRateCategory,MiscData!$C$24&amp;$B107,_12MonLights_Count)+SUMIF(_12MonLights_TariffRateCategory,MiscData!$C$23&amp;$B107,_12MonLights_Count_Adj)</f>
        <v>0</v>
      </c>
      <c r="E107" s="114">
        <f>SUMIF(_12MonLights_TariffRateCategory,MiscData!$C$25&amp;$B107,_12MonLights_Count)+SUMIF(_12MonLights_TariffRateCategory,MiscData!$C$23&amp;$B107,_12MonLights_Count_Adj)</f>
        <v>0</v>
      </c>
      <c r="F107" s="82"/>
      <c r="G107" s="115">
        <f>SUMIF(_Lights_Tariff_Category,MiscData!$C$23&amp;$B107,_Lights_Rates)</f>
        <v>0</v>
      </c>
      <c r="H107" s="115">
        <f>SUMIF(_Lights_Tariff_Category,MiscData!$C$24&amp;$B107,_Lights_Rates)</f>
        <v>0</v>
      </c>
      <c r="I107" s="115">
        <f>SUMIF(_Lights_Tariff_Category,MiscData!$C$25&amp;$B107,_Lights_Rates)-SUMIF(_Lights_Tariff_Category,MiscData!$C$25&amp;$B107,_Rates_Lights_ECR)</f>
        <v>0</v>
      </c>
      <c r="J107" s="82"/>
      <c r="K107" s="115">
        <f t="shared" si="18"/>
        <v>0</v>
      </c>
      <c r="L107" s="115">
        <f t="shared" si="19"/>
        <v>0</v>
      </c>
      <c r="M107" s="115">
        <f t="shared" si="20"/>
        <v>0</v>
      </c>
      <c r="N107" s="109"/>
      <c r="AE107" s="79"/>
      <c r="AG107" s="111" t="s">
        <v>363</v>
      </c>
    </row>
    <row r="108" spans="1:33" ht="12.75">
      <c r="A108" s="149" t="s">
        <v>540</v>
      </c>
      <c r="B108" s="117" t="s">
        <v>678</v>
      </c>
      <c r="C108" s="114">
        <f>SUMIF(_12MonLights_TariffRateCategory,MiscData!$C$23&amp;$B108,_12MonLights_Count)+SUMIF(_12MonLights_TariffRateCategory,MiscData!$C$23&amp;$B108,_12MonLights_Count_Adj)</f>
        <v>24</v>
      </c>
      <c r="D108" s="114">
        <f>SUMIF(_12MonLights_TariffRateCategory,MiscData!$C$24&amp;$B108,_12MonLights_Count)+SUMIF(_12MonLights_TariffRateCategory,MiscData!$C$23&amp;$B108,_12MonLights_Count_Adj)</f>
        <v>24</v>
      </c>
      <c r="E108" s="114">
        <f>SUMIF(_12MonLights_TariffRateCategory,MiscData!$C$25&amp;$B108,_12MonLights_Count)+SUMIF(_12MonLights_TariffRateCategory,MiscData!$C$23&amp;$B108,_12MonLights_Count_Adj)</f>
        <v>24</v>
      </c>
      <c r="F108" s="82"/>
      <c r="G108" s="115">
        <f>SUMIF(_Lights_Tariff_Category,MiscData!$C$23&amp;$B108,_Lights_Rates)</f>
        <v>15.370000000000001</v>
      </c>
      <c r="H108" s="115">
        <f>SUMIF(_Lights_Tariff_Category,MiscData!$C$24&amp;$B108,_Lights_Rates)</f>
        <v>15.370000000000001</v>
      </c>
      <c r="I108" s="115">
        <f>SUMIF(_Lights_Tariff_Category,MiscData!$C$25&amp;$B108,_Lights_Rates)-SUMIF(_Lights_Tariff_Category,MiscData!$C$25&amp;$B108,_Rates_Lights_ECR)</f>
        <v>14.940000000000001</v>
      </c>
      <c r="J108" s="82"/>
      <c r="K108" s="115"/>
      <c r="L108" s="115"/>
      <c r="M108" s="115"/>
      <c r="N108" s="109"/>
      <c r="AE108" s="79"/>
      <c r="AG108" s="111"/>
    </row>
    <row r="109" spans="1:33" ht="12.75">
      <c r="A109" s="116" t="s">
        <v>525</v>
      </c>
      <c r="B109" s="117" t="s">
        <v>397</v>
      </c>
      <c r="C109" s="114">
        <f>SUMIF(_12MonLights_TariffRateCategory,MiscData!$C$23&amp;$B109,_12MonLights_Count)+SUMIF(_12MonLights_TariffRateCategory,MiscData!$C$23&amp;$B109,_12MonLights_Count_Adj)</f>
        <v>0</v>
      </c>
      <c r="D109" s="114">
        <f>SUMIF(_12MonLights_TariffRateCategory,MiscData!$C$24&amp;$B109,_12MonLights_Count)+SUMIF(_12MonLights_TariffRateCategory,MiscData!$C$23&amp;$B109,_12MonLights_Count_Adj)</f>
        <v>0</v>
      </c>
      <c r="E109" s="114">
        <f>SUMIF(_12MonLights_TariffRateCategory,MiscData!$C$25&amp;$B109,_12MonLights_Count)+SUMIF(_12MonLights_TariffRateCategory,MiscData!$C$23&amp;$B109,_12MonLights_Count_Adj)</f>
        <v>0</v>
      </c>
      <c r="F109" s="82"/>
      <c r="G109" s="115">
        <f>SUMIF(_Lights_Tariff_Category,MiscData!$C$23&amp;$B109,_Lights_Rates)</f>
        <v>0</v>
      </c>
      <c r="H109" s="115">
        <f>SUMIF(_Lights_Tariff_Category,MiscData!$C$24&amp;$B109,_Lights_Rates)</f>
        <v>0</v>
      </c>
      <c r="I109" s="115">
        <f>SUMIF(_Lights_Tariff_Category,MiscData!$C$25&amp;$B109,_Lights_Rates)-SUMIF(_Lights_Tariff_Category,MiscData!$C$25&amp;$B109,_Rates_Lights_ECR)</f>
        <v>0</v>
      </c>
      <c r="J109" s="82"/>
      <c r="K109" s="115">
        <f>ROUND(SUM($C109*$G109,$D109*$H109,$E109*$I109),2)</f>
        <v>0</v>
      </c>
      <c r="L109" s="115">
        <f>ROUND(SUM($C109*$H109,$D109*$H109,$E109*$I109),2)</f>
        <v>0</v>
      </c>
      <c r="M109" s="115">
        <f>ROUND(SUM($C109*$I109,$D109*$I109,$E109*$I109),2)</f>
        <v>0</v>
      </c>
      <c r="N109" s="109"/>
      <c r="Y109" s="77" t="s">
        <v>169</v>
      </c>
      <c r="AB109" s="85" t="str">
        <f>MiscData!$C$23&amp;$Y109</f>
        <v>20140101KUCME710</v>
      </c>
      <c r="AC109" s="85"/>
      <c r="AD109" s="85"/>
      <c r="AE109" s="79"/>
      <c r="AG109" s="111" t="s">
        <v>373</v>
      </c>
    </row>
    <row r="110" spans="1:33" ht="12.75">
      <c r="A110" s="149" t="s">
        <v>540</v>
      </c>
      <c r="B110" s="117" t="s">
        <v>650</v>
      </c>
      <c r="C110" s="114">
        <f>SUMIF(_12MonLights_TariffRateCategory,MiscData!$C$23&amp;$B110,_12MonLights_Count)+SUMIF(_12MonLights_TariffRateCategory,MiscData!$C$23&amp;$B110,_12MonLights_Count_Adj)</f>
        <v>106</v>
      </c>
      <c r="D110" s="114">
        <f>SUMIF(_12MonLights_TariffRateCategory,MiscData!$C$24&amp;$B110,_12MonLights_Count)+SUMIF(_12MonLights_TariffRateCategory,MiscData!$C$23&amp;$B110,_12MonLights_Count_Adj)</f>
        <v>106</v>
      </c>
      <c r="E110" s="114">
        <f>SUMIF(_12MonLights_TariffRateCategory,MiscData!$C$25&amp;$B110,_12MonLights_Count)+SUMIF(_12MonLights_TariffRateCategory,MiscData!$C$23&amp;$B110,_12MonLights_Count_Adj)</f>
        <v>106</v>
      </c>
      <c r="F110" s="82"/>
      <c r="G110" s="115">
        <f>SUMIF(_Lights_Tariff_Category,MiscData!$C$23&amp;$B110,_Lights_Rates)</f>
        <v>15.35</v>
      </c>
      <c r="H110" s="115">
        <f>SUMIF(_Lights_Tariff_Category,MiscData!$C$24&amp;$B110,_Lights_Rates)</f>
        <v>15.35</v>
      </c>
      <c r="I110" s="115">
        <f>SUMIF(_Lights_Tariff_Category,MiscData!$C$25&amp;$B110,_Lights_Rates)-SUMIF(_Lights_Tariff_Category,MiscData!$C$25&amp;$B110,_Rates_Lights_ECR)</f>
        <v>15.01</v>
      </c>
      <c r="J110" s="82"/>
      <c r="K110" s="115"/>
      <c r="L110" s="115"/>
      <c r="M110" s="115"/>
      <c r="N110" s="109"/>
      <c r="AE110" s="79"/>
      <c r="AG110" s="111"/>
    </row>
    <row r="111" spans="1:33" ht="12.75">
      <c r="A111" s="116" t="s">
        <v>526</v>
      </c>
      <c r="B111" s="117" t="s">
        <v>347</v>
      </c>
      <c r="C111" s="114">
        <f>SUMIF(_12MonLights_TariffRateCategory,MiscData!$C$23&amp;$B111,_12MonLights_Count)+SUMIF(_12MonLights_TariffRateCategory,MiscData!$C$23&amp;$B111,_12MonLights_Count_Adj)</f>
        <v>0</v>
      </c>
      <c r="D111" s="114">
        <f>SUMIF(_12MonLights_TariffRateCategory,MiscData!$C$24&amp;$B111,_12MonLights_Count)+SUMIF(_12MonLights_TariffRateCategory,MiscData!$C$23&amp;$B111,_12MonLights_Count_Adj)</f>
        <v>0</v>
      </c>
      <c r="E111" s="114">
        <f>SUMIF(_12MonLights_TariffRateCategory,MiscData!$C$25&amp;$B111,_12MonLights_Count)+SUMIF(_12MonLights_TariffRateCategory,MiscData!$C$23&amp;$B111,_12MonLights_Count_Adj)</f>
        <v>0</v>
      </c>
      <c r="F111" s="82"/>
      <c r="G111" s="115">
        <f>SUMIF(_Lights_Tariff_Category,MiscData!$C$23&amp;$B111,_Lights_Rates)</f>
        <v>0</v>
      </c>
      <c r="H111" s="115">
        <f>SUMIF(_Lights_Tariff_Category,MiscData!$C$24&amp;$B111,_Lights_Rates)</f>
        <v>0</v>
      </c>
      <c r="I111" s="115">
        <f>SUMIF(_Lights_Tariff_Category,MiscData!$C$25&amp;$B111,_Lights_Rates)-SUMIF(_Lights_Tariff_Category,MiscData!$C$25&amp;$B111,_Rates_Lights_ECR)</f>
        <v>0</v>
      </c>
      <c r="J111" s="82"/>
      <c r="K111" s="115">
        <f>ROUND(SUM($C111*$G111,$D111*$H111,$E111*$I111),2)</f>
        <v>0</v>
      </c>
      <c r="L111" s="115">
        <f>ROUND(SUM($C111*$H111,$D111*$H111,$E111*$I111),2)</f>
        <v>0</v>
      </c>
      <c r="M111" s="115">
        <f>ROUND(SUM($C111*$I111,$D111*$I111,$E111*$I111),2)</f>
        <v>0</v>
      </c>
      <c r="N111" s="121"/>
      <c r="AB111" s="85" t="str">
        <f>MiscData!$C$24&amp;$Y109</f>
        <v>20140101KUCME710</v>
      </c>
      <c r="AC111" s="85"/>
      <c r="AD111" s="85"/>
      <c r="AE111" s="79"/>
      <c r="AG111" s="111" t="s">
        <v>396</v>
      </c>
    </row>
    <row r="112" spans="1:33" ht="12.75">
      <c r="A112" s="149" t="s">
        <v>540</v>
      </c>
      <c r="B112" s="117" t="s">
        <v>447</v>
      </c>
      <c r="C112" s="114">
        <f>SUMIF(_12MonLights_TariffRateCategory,MiscData!$C$23&amp;$B112,_12MonLights_Count)+SUMIF(_12MonLights_TariffRateCategory,MiscData!$C$23&amp;$B112,_12MonLights_Count_Adj)</f>
        <v>278</v>
      </c>
      <c r="D112" s="114">
        <f>SUMIF(_12MonLights_TariffRateCategory,MiscData!$C$24&amp;$B112,_12MonLights_Count)+SUMIF(_12MonLights_TariffRateCategory,MiscData!$C$23&amp;$B112,_12MonLights_Count_Adj)</f>
        <v>278</v>
      </c>
      <c r="E112" s="114">
        <f>SUMIF(_12MonLights_TariffRateCategory,MiscData!$C$25&amp;$B112,_12MonLights_Count)+SUMIF(_12MonLights_TariffRateCategory,MiscData!$C$23&amp;$B112,_12MonLights_Count_Adj)</f>
        <v>278</v>
      </c>
      <c r="F112" s="82"/>
      <c r="G112" s="115">
        <f>SUMIF(_Lights_Tariff_Category,MiscData!$C$23&amp;$B112,_Lights_Rates)</f>
        <v>17.72</v>
      </c>
      <c r="H112" s="115">
        <f>SUMIF(_Lights_Tariff_Category,MiscData!$C$24&amp;$B112,_Lights_Rates)</f>
        <v>17.72</v>
      </c>
      <c r="I112" s="115">
        <f>SUMIF(_Lights_Tariff_Category,MiscData!$C$25&amp;$B112,_Lights_Rates)-SUMIF(_Lights_Tariff_Category,MiscData!$C$25&amp;$B112,_Rates_Lights_ECR)</f>
        <v>17.14</v>
      </c>
      <c r="J112" s="82"/>
      <c r="K112" s="115"/>
      <c r="L112" s="115"/>
      <c r="M112" s="115"/>
      <c r="N112" s="109"/>
      <c r="AE112" s="79"/>
      <c r="AG112" s="111"/>
    </row>
    <row r="113" spans="1:33" ht="12.75">
      <c r="A113" s="116" t="s">
        <v>564</v>
      </c>
      <c r="B113" s="117" t="s">
        <v>447</v>
      </c>
      <c r="C113" s="114">
        <f>SUMIF(_12MonLights_TariffRateCategory,MiscData!$C$23&amp;$B113,_12MonLights_Count)+SUMIF(_12MonLights_TariffRateCategory,MiscData!$C$23&amp;$B113,_12MonLights_Count_Adj)</f>
        <v>278</v>
      </c>
      <c r="D113" s="114">
        <f>SUMIF(_12MonLights_TariffRateCategory,MiscData!$C$24&amp;$B113,_12MonLights_Count)+SUMIF(_12MonLights_TariffRateCategory,MiscData!$C$23&amp;$B113,_12MonLights_Count_Adj)</f>
        <v>278</v>
      </c>
      <c r="E113" s="114">
        <f>SUMIF(_12MonLights_TariffRateCategory,MiscData!$C$25&amp;$B113,_12MonLights_Count)+SUMIF(_12MonLights_TariffRateCategory,MiscData!$C$23&amp;$B113,_12MonLights_Count_Adj)</f>
        <v>278</v>
      </c>
      <c r="F113" s="82"/>
      <c r="G113" s="115">
        <f>SUMIF(_Lights_Tariff_Category,MiscData!$C$23&amp;$B113,_Lights_Rates)</f>
        <v>17.72</v>
      </c>
      <c r="H113" s="115">
        <f>SUMIF(_Lights_Tariff_Category,MiscData!$C$24&amp;$B113,_Lights_Rates)</f>
        <v>17.72</v>
      </c>
      <c r="I113" s="115">
        <f>SUMIF(_Lights_Tariff_Category,MiscData!$C$25&amp;$B113,_Lights_Rates)-SUMIF(_Lights_Tariff_Category,MiscData!$C$25&amp;$B113,_Rates_Lights_ECR)</f>
        <v>17.14</v>
      </c>
      <c r="J113" s="82"/>
      <c r="K113" s="115">
        <f>ROUND(SUM($C113*$G113,$D113*$H113,$E113*$I113),2)</f>
        <v>14617.24</v>
      </c>
      <c r="L113" s="115">
        <f>ROUND(SUM($C113*$H113,$D113*$H113,$E113*$I113),2)</f>
        <v>14617.24</v>
      </c>
      <c r="M113" s="115">
        <f>ROUND(SUM($C113*$I113,$D113*$I113,$E113*$I113),2)</f>
        <v>14294.76</v>
      </c>
      <c r="N113" s="121"/>
      <c r="AE113" s="79"/>
      <c r="AG113" s="111"/>
    </row>
    <row r="114" spans="1:33" ht="12.75">
      <c r="A114" s="116" t="s">
        <v>527</v>
      </c>
      <c r="B114" s="117" t="s">
        <v>379</v>
      </c>
      <c r="C114" s="114">
        <f>SUMIF(_12MonLights_TariffRateCategory,MiscData!$C$23&amp;$B114,_12MonLights_Count)+SUMIF(_12MonLights_TariffRateCategory,MiscData!$C$23&amp;$B114,_12MonLights_Count_Adj)</f>
        <v>0</v>
      </c>
      <c r="D114" s="114">
        <f>SUMIF(_12MonLights_TariffRateCategory,MiscData!$C$24&amp;$B114,_12MonLights_Count)+SUMIF(_12MonLights_TariffRateCategory,MiscData!$C$23&amp;$B114,_12MonLights_Count_Adj)</f>
        <v>0</v>
      </c>
      <c r="E114" s="114">
        <f>SUMIF(_12MonLights_TariffRateCategory,MiscData!$C$25&amp;$B114,_12MonLights_Count)+SUMIF(_12MonLights_TariffRateCategory,MiscData!$C$23&amp;$B114,_12MonLights_Count_Adj)</f>
        <v>0</v>
      </c>
      <c r="F114" s="82"/>
      <c r="G114" s="115">
        <f>SUMIF(_Lights_Tariff_Category,MiscData!$C$23&amp;$B114,_Lights_Rates)</f>
        <v>0</v>
      </c>
      <c r="H114" s="115">
        <f>SUMIF(_Lights_Tariff_Category,MiscData!$C$24&amp;$B114,_Lights_Rates)</f>
        <v>0</v>
      </c>
      <c r="I114" s="115">
        <f>SUMIF(_Lights_Tariff_Category,MiscData!$C$25&amp;$B114,_Lights_Rates)-SUMIF(_Lights_Tariff_Category,MiscData!$C$25&amp;$B114,_Rates_Lights_ECR)</f>
        <v>0</v>
      </c>
      <c r="J114" s="82"/>
      <c r="K114" s="115">
        <f>ROUND(SUM($C114*$G114,$D114*$H114,$E114*$I114),2)</f>
        <v>0</v>
      </c>
      <c r="L114" s="115">
        <f>ROUND(SUM($C114*$H114,$D114*$H114,$E114*$I114),2)</f>
        <v>0</v>
      </c>
      <c r="M114" s="115">
        <f>ROUND(SUM($C114*$I114,$D114*$I114,$E114*$I114),2)</f>
        <v>0</v>
      </c>
      <c r="N114" s="109"/>
      <c r="AB114" s="85" t="str">
        <f>MiscData!$C$25&amp;$Y109</f>
        <v>20140101KUCME710</v>
      </c>
      <c r="AC114" s="85"/>
      <c r="AD114" s="85"/>
      <c r="AE114" s="79"/>
      <c r="AG114" s="111" t="s">
        <v>351</v>
      </c>
    </row>
    <row r="115" spans="1:33" ht="12.75">
      <c r="A115" s="149" t="s">
        <v>540</v>
      </c>
      <c r="B115" s="117" t="s">
        <v>624</v>
      </c>
      <c r="C115" s="114">
        <f>SUMIF(_12MonLights_TariffRateCategory,MiscData!$C$23&amp;$B115,_12MonLights_Count)+SUMIF(_12MonLights_TariffRateCategory,MiscData!$C$23&amp;$B115,_12MonLights_Count_Adj)</f>
        <v>287</v>
      </c>
      <c r="D115" s="114">
        <f>SUMIF(_12MonLights_TariffRateCategory,MiscData!$C$24&amp;$B115,_12MonLights_Count)+SUMIF(_12MonLights_TariffRateCategory,MiscData!$C$23&amp;$B115,_12MonLights_Count_Adj)</f>
        <v>287</v>
      </c>
      <c r="E115" s="114">
        <f>SUMIF(_12MonLights_TariffRateCategory,MiscData!$C$25&amp;$B115,_12MonLights_Count)+SUMIF(_12MonLights_TariffRateCategory,MiscData!$C$23&amp;$B115,_12MonLights_Count_Adj)</f>
        <v>287</v>
      </c>
      <c r="F115" s="82"/>
      <c r="G115" s="115">
        <f>SUMIF(_Lights_Tariff_Category,MiscData!$C$23&amp;$B115,_Lights_Rates)</f>
        <v>21.490000000000002</v>
      </c>
      <c r="H115" s="115">
        <f>SUMIF(_Lights_Tariff_Category,MiscData!$C$24&amp;$B115,_Lights_Rates)</f>
        <v>21.490000000000002</v>
      </c>
      <c r="I115" s="115">
        <f>SUMIF(_Lights_Tariff_Category,MiscData!$C$25&amp;$B115,_Lights_Rates)-SUMIF(_Lights_Tariff_Category,MiscData!$C$25&amp;$B115,_Rates_Lights_ECR)</f>
        <v>20.700000000000003</v>
      </c>
      <c r="J115" s="82"/>
      <c r="K115" s="115">
        <f>ROUND(SUM($C115*$G115,$D115*$H115,$E115*$I115),2)</f>
        <v>18276.16</v>
      </c>
      <c r="L115" s="115">
        <f>ROUND(SUM($C115*$H115,$D115*$H115,$E115*$I115),2)</f>
        <v>18276.16</v>
      </c>
      <c r="M115" s="115">
        <f>ROUND(SUM($C115*$I115,$D115*$I115,$E115*$I115),2)</f>
        <v>17822.7</v>
      </c>
      <c r="N115" s="109"/>
      <c r="AE115" s="79"/>
      <c r="AG115" s="111"/>
    </row>
    <row r="116" spans="1:33" ht="12.75">
      <c r="A116" s="105" t="s">
        <v>548</v>
      </c>
      <c r="B116" s="117"/>
      <c r="C116" s="114"/>
      <c r="D116" s="114"/>
      <c r="E116" s="114"/>
      <c r="F116" s="82"/>
      <c r="G116" s="115"/>
      <c r="H116" s="115"/>
      <c r="I116" s="115"/>
      <c r="J116" s="82"/>
      <c r="K116" s="115"/>
      <c r="L116" s="115"/>
      <c r="M116" s="115"/>
      <c r="N116" s="109"/>
      <c r="AE116" s="79"/>
      <c r="AG116" s="111"/>
    </row>
    <row r="117" spans="1:33" ht="12.75">
      <c r="A117" s="112" t="s">
        <v>549</v>
      </c>
      <c r="B117" s="117" t="s">
        <v>322</v>
      </c>
      <c r="C117" s="114">
        <f>SUMIF(_12MonLights_TariffRateCategory,MiscData!$C$23&amp;$B117,_12MonLights_Count)+SUMIF(_12MonLights_TariffRateCategory,MiscData!$C$23&amp;$B117,_12MonLights_Count_Adj)</f>
        <v>7786</v>
      </c>
      <c r="D117" s="114">
        <f>SUMIF(_12MonLights_TariffRateCategory,MiscData!$C$24&amp;$B117,_12MonLights_Count)+SUMIF(_12MonLights_TariffRateCategory,MiscData!$C$23&amp;$B117,_12MonLights_Count_Adj)</f>
        <v>7786</v>
      </c>
      <c r="E117" s="114">
        <f>SUMIF(_12MonLights_TariffRateCategory,MiscData!$C$25&amp;$B117,_12MonLights_Count)+SUMIF(_12MonLights_TariffRateCategory,MiscData!$C$23&amp;$B117,_12MonLights_Count_Adj)</f>
        <v>7786</v>
      </c>
      <c r="F117" s="82"/>
      <c r="G117" s="115">
        <f>SUMIF(_Lights_Tariff_Category,MiscData!$C$23&amp;$B117,_Lights_Rates)</f>
        <v>14.25</v>
      </c>
      <c r="H117" s="115">
        <f>SUMIF(_Lights_Tariff_Category,MiscData!$C$24&amp;$B117,_Lights_Rates)</f>
        <v>14.25</v>
      </c>
      <c r="I117" s="115">
        <f>SUMIF(_Lights_Tariff_Category,MiscData!$C$25&amp;$B117,_Lights_Rates)-SUMIF(_Lights_Tariff_Category,MiscData!$C$25&amp;$B117,_Rates_Lights_ECR)</f>
        <v>13.59</v>
      </c>
      <c r="J117" s="82"/>
      <c r="K117" s="115">
        <f t="shared" ref="K117:K131" si="21">ROUND(SUM($C117*$G117,$D117*$H117,$E117*$I117),2)</f>
        <v>327712.74</v>
      </c>
      <c r="L117" s="115">
        <f t="shared" ref="L117:L131" si="22">ROUND(SUM($C117*$H117,$D117*$H117,$E117*$I117),2)</f>
        <v>327712.74</v>
      </c>
      <c r="M117" s="115">
        <f t="shared" ref="M117:M131" si="23">ROUND(SUM($C117*$I117,$D117*$I117,$E117*$I117),2)</f>
        <v>317435.21999999997</v>
      </c>
      <c r="N117" s="109"/>
      <c r="Y117" s="77" t="s">
        <v>161</v>
      </c>
      <c r="AB117" s="85" t="str">
        <f>MiscData!$C$23&amp;$Y117</f>
        <v>20140101KUCME110</v>
      </c>
      <c r="AC117" s="85"/>
      <c r="AD117" s="85"/>
      <c r="AE117" s="79"/>
      <c r="AG117" s="111" t="s">
        <v>352</v>
      </c>
    </row>
    <row r="118" spans="1:33" ht="12.75">
      <c r="A118" s="112" t="s">
        <v>550</v>
      </c>
      <c r="B118" s="117" t="s">
        <v>320</v>
      </c>
      <c r="C118" s="114">
        <f>SUMIF(_12MonLights_TariffRateCategory,MiscData!$C$23&amp;$B118,_12MonLights_Count)+SUMIF(_12MonLights_TariffRateCategory,MiscData!$C$23&amp;$B118,_12MonLights_Count_Adj)</f>
        <v>1773</v>
      </c>
      <c r="D118" s="114">
        <f>SUMIF(_12MonLights_TariffRateCategory,MiscData!$C$24&amp;$B118,_12MonLights_Count)+SUMIF(_12MonLights_TariffRateCategory,MiscData!$C$23&amp;$B118,_12MonLights_Count_Adj)</f>
        <v>1773</v>
      </c>
      <c r="E118" s="114">
        <f>SUMIF(_12MonLights_TariffRateCategory,MiscData!$C$25&amp;$B118,_12MonLights_Count)+SUMIF(_12MonLights_TariffRateCategory,MiscData!$C$23&amp;$B118,_12MonLights_Count_Adj)</f>
        <v>1773</v>
      </c>
      <c r="F118" s="82"/>
      <c r="G118" s="115">
        <f>SUMIF(_Lights_Tariff_Category,MiscData!$C$23&amp;$B118,_Lights_Rates)</f>
        <v>18.649999999999999</v>
      </c>
      <c r="H118" s="115">
        <f>SUMIF(_Lights_Tariff_Category,MiscData!$C$24&amp;$B118,_Lights_Rates)</f>
        <v>18.649999999999999</v>
      </c>
      <c r="I118" s="115">
        <f>SUMIF(_Lights_Tariff_Category,MiscData!$C$25&amp;$B118,_Lights_Rates)-SUMIF(_Lights_Tariff_Category,MiscData!$C$25&amp;$B118,_Rates_Lights_ECR)</f>
        <v>17.989999999999998</v>
      </c>
      <c r="J118" s="82"/>
      <c r="K118" s="115">
        <f t="shared" si="21"/>
        <v>98029.17</v>
      </c>
      <c r="L118" s="115">
        <f t="shared" si="22"/>
        <v>98029.17</v>
      </c>
      <c r="M118" s="115">
        <f t="shared" si="23"/>
        <v>95688.81</v>
      </c>
      <c r="N118" s="121"/>
      <c r="Y118" s="80" t="s">
        <v>162</v>
      </c>
      <c r="AB118" s="85" t="str">
        <f>MiscData!$C$24&amp;$Y117</f>
        <v>20140101KUCME110</v>
      </c>
      <c r="AC118" s="85"/>
      <c r="AD118" s="85"/>
      <c r="AE118" s="79"/>
      <c r="AG118" s="111" t="s">
        <v>384</v>
      </c>
    </row>
    <row r="119" spans="1:33" ht="12.75">
      <c r="A119" s="116" t="s">
        <v>551</v>
      </c>
      <c r="B119" s="117" t="s">
        <v>319</v>
      </c>
      <c r="C119" s="114">
        <f>SUMIF(_12MonLights_TariffRateCategory,MiscData!$C$23&amp;$B119,_12MonLights_Count)+SUMIF(_12MonLights_TariffRateCategory,MiscData!$C$23&amp;$B119,_12MonLights_Count_Adj)</f>
        <v>42</v>
      </c>
      <c r="D119" s="114">
        <f>SUMIF(_12MonLights_TariffRateCategory,MiscData!$C$24&amp;$B119,_12MonLights_Count)+SUMIF(_12MonLights_TariffRateCategory,MiscData!$C$23&amp;$B119,_12MonLights_Count_Adj)</f>
        <v>42</v>
      </c>
      <c r="E119" s="114">
        <f>SUMIF(_12MonLights_TariffRateCategory,MiscData!$C$25&amp;$B119,_12MonLights_Count)+SUMIF(_12MonLights_TariffRateCategory,MiscData!$C$23&amp;$B119,_12MonLights_Count_Adj)</f>
        <v>42</v>
      </c>
      <c r="F119" s="82"/>
      <c r="G119" s="115">
        <f>SUMIF(_Lights_Tariff_Category,MiscData!$C$23&amp;$B119,_Lights_Rates)</f>
        <v>27.15</v>
      </c>
      <c r="H119" s="115">
        <f>SUMIF(_Lights_Tariff_Category,MiscData!$C$24&amp;$B119,_Lights_Rates)</f>
        <v>27.15</v>
      </c>
      <c r="I119" s="115">
        <f>SUMIF(_Lights_Tariff_Category,MiscData!$C$25&amp;$B119,_Lights_Rates)-SUMIF(_Lights_Tariff_Category,MiscData!$C$25&amp;$B119,_Rates_Lights_ECR)</f>
        <v>26.49</v>
      </c>
      <c r="J119" s="82"/>
      <c r="K119" s="115">
        <f t="shared" si="21"/>
        <v>3393.18</v>
      </c>
      <c r="L119" s="115">
        <f t="shared" si="22"/>
        <v>3393.18</v>
      </c>
      <c r="M119" s="115">
        <f t="shared" si="23"/>
        <v>3337.74</v>
      </c>
      <c r="N119" s="109"/>
      <c r="AB119" s="85" t="str">
        <f>MiscData!$C$25&amp;$Y117</f>
        <v>20140101KUCME110</v>
      </c>
      <c r="AC119" s="85"/>
      <c r="AD119" s="85"/>
      <c r="AE119" s="79"/>
      <c r="AG119" s="111" t="s">
        <v>311</v>
      </c>
    </row>
    <row r="120" spans="1:33" ht="12.75">
      <c r="A120" s="116" t="s">
        <v>552</v>
      </c>
      <c r="B120" s="117" t="s">
        <v>354</v>
      </c>
      <c r="C120" s="114">
        <f>SUMIF(_12MonLights_TariffRateCategory,MiscData!$C$23&amp;$B120,_12MonLights_Count)+SUMIF(_12MonLights_TariffRateCategory,MiscData!$C$23&amp;$B120,_12MonLights_Count_Adj)</f>
        <v>60876</v>
      </c>
      <c r="D120" s="114">
        <f>SUMIF(_12MonLights_TariffRateCategory,MiscData!$C$24&amp;$B120,_12MonLights_Count)+SUMIF(_12MonLights_TariffRateCategory,MiscData!$C$23&amp;$B120,_12MonLights_Count_Adj)</f>
        <v>60876</v>
      </c>
      <c r="E120" s="114">
        <f>SUMIF(_12MonLights_TariffRateCategory,MiscData!$C$25&amp;$B120,_12MonLights_Count)+SUMIF(_12MonLights_TariffRateCategory,MiscData!$C$23&amp;$B120,_12MonLights_Count_Adj)</f>
        <v>60876</v>
      </c>
      <c r="F120" s="82"/>
      <c r="G120" s="115">
        <f>SUMIF(_Lights_Tariff_Category,MiscData!$C$23&amp;$B120,_Lights_Rates)</f>
        <v>20.200000000000003</v>
      </c>
      <c r="H120" s="115">
        <f>SUMIF(_Lights_Tariff_Category,MiscData!$C$24&amp;$B120,_Lights_Rates)</f>
        <v>20.200000000000003</v>
      </c>
      <c r="I120" s="115">
        <f>SUMIF(_Lights_Tariff_Category,MiscData!$C$25&amp;$B120,_Lights_Rates)-SUMIF(_Lights_Tariff_Category,MiscData!$C$25&amp;$B120,_Rates_Lights_ECR)</f>
        <v>19.360000000000003</v>
      </c>
      <c r="J120" s="82"/>
      <c r="K120" s="115">
        <f t="shared" si="21"/>
        <v>3637949.76</v>
      </c>
      <c r="L120" s="115">
        <f t="shared" si="22"/>
        <v>3637949.76</v>
      </c>
      <c r="M120" s="115">
        <f t="shared" si="23"/>
        <v>3535678.08</v>
      </c>
      <c r="N120" s="109"/>
      <c r="AE120" s="79"/>
      <c r="AG120" s="111" t="s">
        <v>341</v>
      </c>
    </row>
    <row r="121" spans="1:33" ht="12.75">
      <c r="A121" s="116" t="s">
        <v>553</v>
      </c>
      <c r="B121" s="117" t="s">
        <v>352</v>
      </c>
      <c r="C121" s="114">
        <f>SUMIF(_12MonLights_TariffRateCategory,MiscData!$C$23&amp;$B121,_12MonLights_Count)+SUMIF(_12MonLights_TariffRateCategory,MiscData!$C$23&amp;$B121,_12MonLights_Count_Adj)</f>
        <v>12232</v>
      </c>
      <c r="D121" s="114">
        <f>SUMIF(_12MonLights_TariffRateCategory,MiscData!$C$24&amp;$B121,_12MonLights_Count)+SUMIF(_12MonLights_TariffRateCategory,MiscData!$C$23&amp;$B121,_12MonLights_Count_Adj)</f>
        <v>12232</v>
      </c>
      <c r="E121" s="114">
        <f>SUMIF(_12MonLights_TariffRateCategory,MiscData!$C$25&amp;$B121,_12MonLights_Count)+SUMIF(_12MonLights_TariffRateCategory,MiscData!$C$23&amp;$B121,_12MonLights_Count_Adj)</f>
        <v>12232</v>
      </c>
      <c r="F121" s="82"/>
      <c r="G121" s="115">
        <f>SUMIF(_Lights_Tariff_Category,MiscData!$C$23&amp;$B121,_Lights_Rates)</f>
        <v>24.59</v>
      </c>
      <c r="H121" s="115">
        <f>SUMIF(_Lights_Tariff_Category,MiscData!$C$24&amp;$B121,_Lights_Rates)</f>
        <v>24.59</v>
      </c>
      <c r="I121" s="115">
        <f>SUMIF(_Lights_Tariff_Category,MiscData!$C$25&amp;$B121,_Lights_Rates)-SUMIF(_Lights_Tariff_Category,MiscData!$C$25&amp;$B121,_Rates_Lights_ECR)</f>
        <v>23.75</v>
      </c>
      <c r="J121" s="82"/>
      <c r="K121" s="115">
        <f t="shared" si="21"/>
        <v>892079.76</v>
      </c>
      <c r="L121" s="115">
        <f t="shared" si="22"/>
        <v>892079.76</v>
      </c>
      <c r="M121" s="115">
        <f t="shared" si="23"/>
        <v>871530</v>
      </c>
      <c r="N121" s="104"/>
      <c r="AB121" s="85" t="str">
        <f>MiscData!$C$23&amp;$Y117</f>
        <v>20140101KUCME110</v>
      </c>
      <c r="AC121" s="85"/>
      <c r="AD121" s="85"/>
      <c r="AE121" s="79"/>
      <c r="AG121" s="111" t="s">
        <v>315</v>
      </c>
    </row>
    <row r="122" spans="1:33" ht="12.75">
      <c r="A122" s="116" t="s">
        <v>554</v>
      </c>
      <c r="B122" s="117" t="s">
        <v>351</v>
      </c>
      <c r="C122" s="114">
        <f>SUMIF(_12MonLights_TariffRateCategory,MiscData!$C$23&amp;$B122,_12MonLights_Count)+SUMIF(_12MonLights_TariffRateCategory,MiscData!$C$23&amp;$B122,_12MonLights_Count_Adj)</f>
        <v>3478</v>
      </c>
      <c r="D122" s="114">
        <f>SUMIF(_12MonLights_TariffRateCategory,MiscData!$C$24&amp;$B122,_12MonLights_Count)+SUMIF(_12MonLights_TariffRateCategory,MiscData!$C$23&amp;$B122,_12MonLights_Count_Adj)</f>
        <v>3478</v>
      </c>
      <c r="E122" s="114">
        <f>SUMIF(_12MonLights_TariffRateCategory,MiscData!$C$25&amp;$B122,_12MonLights_Count)+SUMIF(_12MonLights_TariffRateCategory,MiscData!$C$23&amp;$B122,_12MonLights_Count_Adj)</f>
        <v>3478</v>
      </c>
      <c r="F122" s="82"/>
      <c r="G122" s="115">
        <f>SUMIF(_Lights_Tariff_Category,MiscData!$C$23&amp;$B122,_Lights_Rates)</f>
        <v>33.100000000000009</v>
      </c>
      <c r="H122" s="115">
        <f>SUMIF(_Lights_Tariff_Category,MiscData!$C$24&amp;$B122,_Lights_Rates)</f>
        <v>33.100000000000009</v>
      </c>
      <c r="I122" s="115">
        <f>SUMIF(_Lights_Tariff_Category,MiscData!$C$25&amp;$B122,_Lights_Rates)-SUMIF(_Lights_Tariff_Category,MiscData!$C$25&amp;$B122,_Rates_Lights_ECR)</f>
        <v>32.260000000000005</v>
      </c>
      <c r="J122" s="82"/>
      <c r="K122" s="115">
        <f t="shared" si="21"/>
        <v>342443.88</v>
      </c>
      <c r="L122" s="115">
        <f t="shared" si="22"/>
        <v>342443.88</v>
      </c>
      <c r="M122" s="115">
        <f t="shared" si="23"/>
        <v>336600.84</v>
      </c>
      <c r="N122" s="109"/>
      <c r="AB122" s="85" t="str">
        <f>MiscData!$C$24&amp;$Y117</f>
        <v>20140101KUCME110</v>
      </c>
      <c r="AC122" s="85"/>
      <c r="AD122" s="85"/>
      <c r="AE122" s="79"/>
      <c r="AG122" s="111" t="s">
        <v>319</v>
      </c>
    </row>
    <row r="123" spans="1:33" ht="12.75">
      <c r="A123" s="116" t="s">
        <v>555</v>
      </c>
      <c r="B123" s="117" t="s">
        <v>317</v>
      </c>
      <c r="C123" s="114">
        <f>SUMIF(_12MonLights_TariffRateCategory,MiscData!$C$23&amp;$B123,_12MonLights_Count)+SUMIF(_12MonLights_TariffRateCategory,MiscData!$C$23&amp;$B123,_12MonLights_Count_Adj)</f>
        <v>12421</v>
      </c>
      <c r="D123" s="114">
        <f>SUMIF(_12MonLights_TariffRateCategory,MiscData!$C$24&amp;$B123,_12MonLights_Count)+SUMIF(_12MonLights_TariffRateCategory,MiscData!$C$23&amp;$B123,_12MonLights_Count_Adj)</f>
        <v>12421</v>
      </c>
      <c r="E123" s="114">
        <f>SUMIF(_12MonLights_TariffRateCategory,MiscData!$C$25&amp;$B123,_12MonLights_Count)+SUMIF(_12MonLights_TariffRateCategory,MiscData!$C$23&amp;$B123,_12MonLights_Count_Adj)</f>
        <v>12421</v>
      </c>
      <c r="F123" s="82"/>
      <c r="G123" s="115">
        <f>SUMIF(_Lights_Tariff_Category,MiscData!$C$23&amp;$B123,_Lights_Rates)</f>
        <v>42.350000000000009</v>
      </c>
      <c r="H123" s="115">
        <f>SUMIF(_Lights_Tariff_Category,MiscData!$C$24&amp;$B123,_Lights_Rates)</f>
        <v>42.350000000000009</v>
      </c>
      <c r="I123" s="115">
        <f>SUMIF(_Lights_Tariff_Category,MiscData!$C$25&amp;$B123,_Lights_Rates)-SUMIF(_Lights_Tariff_Category,MiscData!$C$25&amp;$B123,_Rates_Lights_ECR)</f>
        <v>40.650000000000006</v>
      </c>
      <c r="J123" s="82"/>
      <c r="K123" s="115">
        <f t="shared" si="21"/>
        <v>1556972.35</v>
      </c>
      <c r="L123" s="115">
        <f t="shared" si="22"/>
        <v>1556972.35</v>
      </c>
      <c r="M123" s="115">
        <f t="shared" si="23"/>
        <v>1514740.95</v>
      </c>
      <c r="N123" s="109"/>
      <c r="AB123" s="85" t="str">
        <f>MiscData!$C$25&amp;$Y117</f>
        <v>20140101KUCME110</v>
      </c>
      <c r="AC123" s="85"/>
      <c r="AD123" s="85"/>
      <c r="AE123" s="79"/>
      <c r="AG123" s="111" t="s">
        <v>356</v>
      </c>
    </row>
    <row r="124" spans="1:33" ht="12.75">
      <c r="A124" s="116" t="s">
        <v>556</v>
      </c>
      <c r="B124" s="117" t="s">
        <v>315</v>
      </c>
      <c r="C124" s="114">
        <f>SUMIF(_12MonLights_TariffRateCategory,MiscData!$C$23&amp;$B124,_12MonLights_Count)+SUMIF(_12MonLights_TariffRateCategory,MiscData!$C$23&amp;$B124,_12MonLights_Count_Adj)</f>
        <v>2716</v>
      </c>
      <c r="D124" s="114">
        <f>SUMIF(_12MonLights_TariffRateCategory,MiscData!$C$24&amp;$B124,_12MonLights_Count)+SUMIF(_12MonLights_TariffRateCategory,MiscData!$C$23&amp;$B124,_12MonLights_Count_Adj)</f>
        <v>2716</v>
      </c>
      <c r="E124" s="114">
        <f>SUMIF(_12MonLights_TariffRateCategory,MiscData!$C$25&amp;$B124,_12MonLights_Count)+SUMIF(_12MonLights_TariffRateCategory,MiscData!$C$23&amp;$B124,_12MonLights_Count_Adj)</f>
        <v>2716</v>
      </c>
      <c r="F124" s="82"/>
      <c r="G124" s="115">
        <f>SUMIF(_Lights_Tariff_Category,MiscData!$C$23&amp;$B124,_Lights_Rates)</f>
        <v>46.740000000000009</v>
      </c>
      <c r="H124" s="115">
        <f>SUMIF(_Lights_Tariff_Category,MiscData!$C$24&amp;$B124,_Lights_Rates)</f>
        <v>46.740000000000009</v>
      </c>
      <c r="I124" s="115">
        <f>SUMIF(_Lights_Tariff_Category,MiscData!$C$25&amp;$B124,_Lights_Rates)-SUMIF(_Lights_Tariff_Category,MiscData!$C$25&amp;$B124,_Rates_Lights_ECR)</f>
        <v>45.040000000000006</v>
      </c>
      <c r="J124" s="82"/>
      <c r="K124" s="115">
        <f t="shared" si="21"/>
        <v>376220.32</v>
      </c>
      <c r="L124" s="115">
        <f t="shared" si="22"/>
        <v>376220.32</v>
      </c>
      <c r="M124" s="115">
        <f t="shared" si="23"/>
        <v>366985.92</v>
      </c>
      <c r="N124" s="109"/>
      <c r="AE124" s="79"/>
      <c r="AG124" s="111" t="s">
        <v>365</v>
      </c>
    </row>
    <row r="125" spans="1:33" ht="12.75">
      <c r="A125" s="116" t="s">
        <v>557</v>
      </c>
      <c r="B125" s="117" t="s">
        <v>314</v>
      </c>
      <c r="C125" s="114">
        <f>SUMIF(_12MonLights_TariffRateCategory,MiscData!$C$23&amp;$B125,_12MonLights_Count)+SUMIF(_12MonLights_TariffRateCategory,MiscData!$C$23&amp;$B125,_12MonLights_Count_Adj)</f>
        <v>637</v>
      </c>
      <c r="D125" s="114">
        <f>SUMIF(_12MonLights_TariffRateCategory,MiscData!$C$24&amp;$B125,_12MonLights_Count)+SUMIF(_12MonLights_TariffRateCategory,MiscData!$C$23&amp;$B125,_12MonLights_Count_Adj)</f>
        <v>637</v>
      </c>
      <c r="E125" s="114">
        <f>SUMIF(_12MonLights_TariffRateCategory,MiscData!$C$25&amp;$B125,_12MonLights_Count)+SUMIF(_12MonLights_TariffRateCategory,MiscData!$C$23&amp;$B125,_12MonLights_Count_Adj)</f>
        <v>637</v>
      </c>
      <c r="F125" s="82"/>
      <c r="G125" s="115">
        <f>SUMIF(_Lights_Tariff_Category,MiscData!$C$23&amp;$B125,_Lights_Rates)</f>
        <v>55.250000000000007</v>
      </c>
      <c r="H125" s="115">
        <f>SUMIF(_Lights_Tariff_Category,MiscData!$C$24&amp;$B125,_Lights_Rates)</f>
        <v>55.250000000000007</v>
      </c>
      <c r="I125" s="115">
        <f>SUMIF(_Lights_Tariff_Category,MiscData!$C$25&amp;$B125,_Lights_Rates)-SUMIF(_Lights_Tariff_Category,MiscData!$C$25&amp;$B125,_Rates_Lights_ECR)</f>
        <v>53.550000000000004</v>
      </c>
      <c r="J125" s="82"/>
      <c r="K125" s="115">
        <f t="shared" si="21"/>
        <v>104499.85</v>
      </c>
      <c r="L125" s="115">
        <f t="shared" si="22"/>
        <v>104499.85</v>
      </c>
      <c r="M125" s="115">
        <f t="shared" si="23"/>
        <v>102334.05</v>
      </c>
      <c r="N125" s="109"/>
      <c r="AE125" s="79"/>
      <c r="AG125" s="111" t="s">
        <v>388</v>
      </c>
    </row>
    <row r="126" spans="1:33" ht="12.75">
      <c r="A126" s="116" t="s">
        <v>558</v>
      </c>
      <c r="B126" s="117" t="s">
        <v>321</v>
      </c>
      <c r="C126" s="114">
        <f>SUMIF(_12MonLights_TariffRateCategory,MiscData!$C$23&amp;$B126,_12MonLights_Count)+SUMIF(_12MonLights_TariffRateCategory,MiscData!$C$23&amp;$B126,_12MonLights_Count_Adj)</f>
        <v>694</v>
      </c>
      <c r="D126" s="114">
        <f>SUMIF(_12MonLights_TariffRateCategory,MiscData!$C$24&amp;$B126,_12MonLights_Count)+SUMIF(_12MonLights_TariffRateCategory,MiscData!$C$23&amp;$B126,_12MonLights_Count_Adj)</f>
        <v>694</v>
      </c>
      <c r="E126" s="114">
        <f>SUMIF(_12MonLights_TariffRateCategory,MiscData!$C$25&amp;$B126,_12MonLights_Count)+SUMIF(_12MonLights_TariffRateCategory,MiscData!$C$23&amp;$B126,_12MonLights_Count_Adj)</f>
        <v>694</v>
      </c>
      <c r="F126" s="82"/>
      <c r="G126" s="115">
        <f>SUMIF(_Lights_Tariff_Category,MiscData!$C$23&amp;$B126,_Lights_Rates)</f>
        <v>15.47</v>
      </c>
      <c r="H126" s="115">
        <f>SUMIF(_Lights_Tariff_Category,MiscData!$C$24&amp;$B126,_Lights_Rates)</f>
        <v>15.47</v>
      </c>
      <c r="I126" s="115">
        <f>SUMIF(_Lights_Tariff_Category,MiscData!$C$25&amp;$B126,_Lights_Rates)-SUMIF(_Lights_Tariff_Category,MiscData!$C$25&amp;$B126,_Rates_Lights_ECR)</f>
        <v>14.81</v>
      </c>
      <c r="J126" s="82"/>
      <c r="K126" s="115">
        <f t="shared" si="21"/>
        <v>31750.5</v>
      </c>
      <c r="L126" s="115">
        <f t="shared" si="22"/>
        <v>31750.5</v>
      </c>
      <c r="M126" s="115">
        <f t="shared" si="23"/>
        <v>30834.42</v>
      </c>
      <c r="N126" s="109"/>
      <c r="AE126" s="79"/>
      <c r="AG126" s="111" t="s">
        <v>345</v>
      </c>
    </row>
    <row r="127" spans="1:33" ht="12.75">
      <c r="A127" s="116" t="s">
        <v>559</v>
      </c>
      <c r="B127" s="117" t="s">
        <v>318</v>
      </c>
      <c r="C127" s="114">
        <f>SUMIF(_12MonLights_TariffRateCategory,MiscData!$C$23&amp;$B127,_12MonLights_Count)+SUMIF(_12MonLights_TariffRateCategory,MiscData!$C$23&amp;$B127,_12MonLights_Count_Adj)</f>
        <v>2130</v>
      </c>
      <c r="D127" s="114">
        <f>SUMIF(_12MonLights_TariffRateCategory,MiscData!$C$24&amp;$B127,_12MonLights_Count)+SUMIF(_12MonLights_TariffRateCategory,MiscData!$C$23&amp;$B127,_12MonLights_Count_Adj)</f>
        <v>2130</v>
      </c>
      <c r="E127" s="114">
        <f>SUMIF(_12MonLights_TariffRateCategory,MiscData!$C$25&amp;$B127,_12MonLights_Count)+SUMIF(_12MonLights_TariffRateCategory,MiscData!$C$23&amp;$B127,_12MonLights_Count_Adj)</f>
        <v>2130</v>
      </c>
      <c r="F127" s="82"/>
      <c r="G127" s="115">
        <f>SUMIF(_Lights_Tariff_Category,MiscData!$C$23&amp;$B127,_Lights_Rates)</f>
        <v>28.37</v>
      </c>
      <c r="H127" s="115">
        <f>SUMIF(_Lights_Tariff_Category,MiscData!$C$24&amp;$B127,_Lights_Rates)</f>
        <v>28.37</v>
      </c>
      <c r="I127" s="115">
        <f>SUMIF(_Lights_Tariff_Category,MiscData!$C$25&amp;$B127,_Lights_Rates)-SUMIF(_Lights_Tariff_Category,MiscData!$C$25&amp;$B127,_Rates_Lights_ECR)</f>
        <v>27.71</v>
      </c>
      <c r="J127" s="82"/>
      <c r="K127" s="115">
        <f t="shared" si="21"/>
        <v>179878.5</v>
      </c>
      <c r="L127" s="115">
        <f t="shared" si="22"/>
        <v>179878.5</v>
      </c>
      <c r="M127" s="115">
        <f t="shared" si="23"/>
        <v>177066.9</v>
      </c>
      <c r="N127" s="109"/>
      <c r="AE127" s="79"/>
      <c r="AG127" s="111" t="s">
        <v>377</v>
      </c>
    </row>
    <row r="128" spans="1:33" ht="12.75">
      <c r="A128" s="112" t="s">
        <v>560</v>
      </c>
      <c r="B128" s="117" t="s">
        <v>353</v>
      </c>
      <c r="C128" s="114">
        <f>SUMIF(_12MonLights_TariffRateCategory,MiscData!$C$23&amp;$B128,_12MonLights_Count)+SUMIF(_12MonLights_TariffRateCategory,MiscData!$C$23&amp;$B128,_12MonLights_Count_Adj)</f>
        <v>3633</v>
      </c>
      <c r="D128" s="114">
        <f>SUMIF(_12MonLights_TariffRateCategory,MiscData!$C$24&amp;$B128,_12MonLights_Count)+SUMIF(_12MonLights_TariffRateCategory,MiscData!$C$23&amp;$B128,_12MonLights_Count_Adj)</f>
        <v>3633</v>
      </c>
      <c r="E128" s="114">
        <f>SUMIF(_12MonLights_TariffRateCategory,MiscData!$C$25&amp;$B128,_12MonLights_Count)+SUMIF(_12MonLights_TariffRateCategory,MiscData!$C$23&amp;$B128,_12MonLights_Count_Adj)</f>
        <v>3633</v>
      </c>
      <c r="F128" s="82"/>
      <c r="G128" s="115">
        <f>SUMIF(_Lights_Tariff_Category,MiscData!$C$23&amp;$B128,_Lights_Rates)</f>
        <v>21.930000000000003</v>
      </c>
      <c r="H128" s="115">
        <f>SUMIF(_Lights_Tariff_Category,MiscData!$C$24&amp;$B128,_Lights_Rates)</f>
        <v>21.930000000000003</v>
      </c>
      <c r="I128" s="115">
        <f>SUMIF(_Lights_Tariff_Category,MiscData!$C$25&amp;$B128,_Lights_Rates)-SUMIF(_Lights_Tariff_Category,MiscData!$C$25&amp;$B128,_Rates_Lights_ECR)</f>
        <v>21.090000000000003</v>
      </c>
      <c r="J128" s="82"/>
      <c r="K128" s="115">
        <f t="shared" si="21"/>
        <v>235963.35</v>
      </c>
      <c r="L128" s="115">
        <f t="shared" si="22"/>
        <v>235963.35</v>
      </c>
      <c r="M128" s="115">
        <f t="shared" si="23"/>
        <v>229859.91</v>
      </c>
      <c r="N128" s="109"/>
      <c r="AE128" s="79"/>
      <c r="AG128" s="111" t="s">
        <v>363</v>
      </c>
    </row>
    <row r="129" spans="1:33" ht="12.75">
      <c r="A129" s="112" t="s">
        <v>561</v>
      </c>
      <c r="B129" s="117" t="s">
        <v>350</v>
      </c>
      <c r="C129" s="114">
        <f>SUMIF(_12MonLights_TariffRateCategory,MiscData!$C$23&amp;$B129,_12MonLights_Count)+SUMIF(_12MonLights_TariffRateCategory,MiscData!$C$23&amp;$B129,_12MonLights_Count_Adj)</f>
        <v>7461</v>
      </c>
      <c r="D129" s="114">
        <f>SUMIF(_12MonLights_TariffRateCategory,MiscData!$C$24&amp;$B129,_12MonLights_Count)+SUMIF(_12MonLights_TariffRateCategory,MiscData!$C$23&amp;$B129,_12MonLights_Count_Adj)</f>
        <v>7461</v>
      </c>
      <c r="E129" s="114">
        <f>SUMIF(_12MonLights_TariffRateCategory,MiscData!$C$25&amp;$B129,_12MonLights_Count)+SUMIF(_12MonLights_TariffRateCategory,MiscData!$C$23&amp;$B129,_12MonLights_Count_Adj)</f>
        <v>7461</v>
      </c>
      <c r="F129" s="82"/>
      <c r="G129" s="115">
        <f>SUMIF(_Lights_Tariff_Category,MiscData!$C$23&amp;$B129,_Lights_Rates)</f>
        <v>34.830000000000005</v>
      </c>
      <c r="H129" s="115">
        <f>SUMIF(_Lights_Tariff_Category,MiscData!$C$24&amp;$B129,_Lights_Rates)</f>
        <v>34.830000000000005</v>
      </c>
      <c r="I129" s="115">
        <f>SUMIF(_Lights_Tariff_Category,MiscData!$C$25&amp;$B129,_Lights_Rates)-SUMIF(_Lights_Tariff_Category,MiscData!$C$25&amp;$B129,_Rates_Lights_ECR)</f>
        <v>33.99</v>
      </c>
      <c r="J129" s="82"/>
      <c r="K129" s="115">
        <f t="shared" si="21"/>
        <v>773332.65</v>
      </c>
      <c r="L129" s="115">
        <f t="shared" si="22"/>
        <v>773332.65</v>
      </c>
      <c r="M129" s="115">
        <f t="shared" si="23"/>
        <v>760798.17</v>
      </c>
      <c r="N129" s="109"/>
      <c r="AE129" s="79"/>
      <c r="AG129" s="111" t="s">
        <v>345</v>
      </c>
    </row>
    <row r="130" spans="1:33" ht="12.75">
      <c r="A130" s="116" t="s">
        <v>562</v>
      </c>
      <c r="B130" s="117" t="s">
        <v>316</v>
      </c>
      <c r="C130" s="114">
        <f>SUMIF(_12MonLights_TariffRateCategory,MiscData!$C$23&amp;$B130,_12MonLights_Count)+SUMIF(_12MonLights_TariffRateCategory,MiscData!$C$23&amp;$B130,_12MonLights_Count_Adj)</f>
        <v>529</v>
      </c>
      <c r="D130" s="114">
        <f>SUMIF(_12MonLights_TariffRateCategory,MiscData!$C$24&amp;$B130,_12MonLights_Count)+SUMIF(_12MonLights_TariffRateCategory,MiscData!$C$23&amp;$B130,_12MonLights_Count_Adj)</f>
        <v>529</v>
      </c>
      <c r="E130" s="114">
        <f>SUMIF(_12MonLights_TariffRateCategory,MiscData!$C$25&amp;$B130,_12MonLights_Count)+SUMIF(_12MonLights_TariffRateCategory,MiscData!$C$23&amp;$B130,_12MonLights_Count_Adj)</f>
        <v>529</v>
      </c>
      <c r="F130" s="82"/>
      <c r="G130" s="115">
        <f>SUMIF(_Lights_Tariff_Category,MiscData!$C$23&amp;$B130,_Lights_Rates)</f>
        <v>45.7</v>
      </c>
      <c r="H130" s="115">
        <f>SUMIF(_Lights_Tariff_Category,MiscData!$C$24&amp;$B130,_Lights_Rates)</f>
        <v>45.7</v>
      </c>
      <c r="I130" s="115">
        <f>SUMIF(_Lights_Tariff_Category,MiscData!$C$25&amp;$B130,_Lights_Rates)-SUMIF(_Lights_Tariff_Category,MiscData!$C$25&amp;$B130,_Rates_Lights_ECR)</f>
        <v>44</v>
      </c>
      <c r="J130" s="82"/>
      <c r="K130" s="115">
        <f t="shared" si="21"/>
        <v>71626.600000000006</v>
      </c>
      <c r="L130" s="115">
        <f t="shared" si="22"/>
        <v>71626.600000000006</v>
      </c>
      <c r="M130" s="115">
        <f t="shared" si="23"/>
        <v>69828</v>
      </c>
      <c r="N130" s="109"/>
      <c r="AE130" s="79"/>
      <c r="AG130" s="111" t="s">
        <v>377</v>
      </c>
    </row>
    <row r="131" spans="1:33" ht="12.75">
      <c r="A131" s="112" t="s">
        <v>563</v>
      </c>
      <c r="B131" s="117" t="s">
        <v>313</v>
      </c>
      <c r="C131" s="114">
        <f>SUMIF(_12MonLights_TariffRateCategory,MiscData!$C$23&amp;$B131,_12MonLights_Count)+SUMIF(_12MonLights_TariffRateCategory,MiscData!$C$23&amp;$B131,_12MonLights_Count_Adj)</f>
        <v>1888</v>
      </c>
      <c r="D131" s="114">
        <f>SUMIF(_12MonLights_TariffRateCategory,MiscData!$C$24&amp;$B131,_12MonLights_Count)+SUMIF(_12MonLights_TariffRateCategory,MiscData!$C$23&amp;$B131,_12MonLights_Count_Adj)</f>
        <v>1888</v>
      </c>
      <c r="E131" s="114">
        <f>SUMIF(_12MonLights_TariffRateCategory,MiscData!$C$25&amp;$B131,_12MonLights_Count)+SUMIF(_12MonLights_TariffRateCategory,MiscData!$C$23&amp;$B131,_12MonLights_Count_Adj)</f>
        <v>1888</v>
      </c>
      <c r="F131" s="82"/>
      <c r="G131" s="115">
        <f>SUMIF(_Lights_Tariff_Category,MiscData!$C$23&amp;$B131,_Lights_Rates)</f>
        <v>58.59</v>
      </c>
      <c r="H131" s="115">
        <f>SUMIF(_Lights_Tariff_Category,MiscData!$C$24&amp;$B131,_Lights_Rates)</f>
        <v>58.59</v>
      </c>
      <c r="I131" s="115">
        <f>SUMIF(_Lights_Tariff_Category,MiscData!$C$25&amp;$B131,_Lights_Rates)-SUMIF(_Lights_Tariff_Category,MiscData!$C$25&amp;$B131,_Rates_Lights_ECR)</f>
        <v>56.89</v>
      </c>
      <c r="J131" s="82"/>
      <c r="K131" s="115">
        <f t="shared" si="21"/>
        <v>328644.15999999997</v>
      </c>
      <c r="L131" s="115">
        <f t="shared" si="22"/>
        <v>328644.15999999997</v>
      </c>
      <c r="M131" s="115">
        <f t="shared" si="23"/>
        <v>322224.96000000002</v>
      </c>
      <c r="N131" s="109"/>
      <c r="AE131" s="79"/>
      <c r="AG131" s="111" t="s">
        <v>363</v>
      </c>
    </row>
    <row r="132" spans="1:33" ht="12.75">
      <c r="A132" s="149"/>
      <c r="B132" s="117"/>
      <c r="C132" s="114"/>
      <c r="D132" s="114"/>
      <c r="E132" s="114"/>
      <c r="F132" s="82"/>
      <c r="G132" s="115"/>
      <c r="H132" s="115"/>
      <c r="I132" s="115"/>
      <c r="J132" s="82"/>
      <c r="K132" s="115"/>
      <c r="L132" s="115"/>
      <c r="M132" s="115"/>
      <c r="N132" s="109"/>
      <c r="AE132" s="79"/>
      <c r="AG132" s="111"/>
    </row>
    <row r="133" spans="1:33" ht="15">
      <c r="A133" s="150" t="s">
        <v>541</v>
      </c>
      <c r="B133" s="82"/>
      <c r="C133" s="135">
        <f>SUM(C80:C131)</f>
        <v>950034</v>
      </c>
      <c r="D133" s="135">
        <f>SUM(D80:D131)</f>
        <v>950034</v>
      </c>
      <c r="E133" s="135">
        <f>SUM(E80:E131)</f>
        <v>950034</v>
      </c>
      <c r="F133" s="135"/>
      <c r="G133" s="136"/>
      <c r="H133" s="137"/>
      <c r="I133" s="136"/>
      <c r="J133" s="136"/>
      <c r="K133" s="136">
        <f>SUM(K80:K131)</f>
        <v>34178641.68</v>
      </c>
      <c r="L133" s="136">
        <f>SUM(L80:L131)</f>
        <v>34178641.68</v>
      </c>
      <c r="M133" s="136">
        <f>SUM(M80:M131)</f>
        <v>33250816.920000002</v>
      </c>
      <c r="N133" s="138"/>
      <c r="AE133" s="79"/>
    </row>
    <row r="134" spans="1:33" ht="15">
      <c r="A134" s="150"/>
      <c r="B134" s="82"/>
      <c r="C134" s="135"/>
      <c r="D134" s="135"/>
      <c r="E134" s="135"/>
      <c r="F134" s="135"/>
      <c r="G134" s="136"/>
      <c r="H134" s="137"/>
      <c r="I134" s="136"/>
      <c r="J134" s="136"/>
      <c r="K134" s="136"/>
      <c r="L134" s="136"/>
      <c r="M134" s="136"/>
      <c r="N134" s="138"/>
      <c r="AE134" s="79"/>
    </row>
    <row r="135" spans="1:33" ht="15">
      <c r="A135" s="151" t="s">
        <v>543</v>
      </c>
      <c r="B135" s="82"/>
      <c r="C135" s="135"/>
      <c r="D135" s="135"/>
      <c r="E135" s="135"/>
      <c r="F135" s="135"/>
      <c r="G135" s="136"/>
      <c r="H135" s="137"/>
      <c r="I135" s="136"/>
      <c r="J135" s="136"/>
      <c r="K135" s="136"/>
      <c r="L135" s="136"/>
      <c r="M135" s="136"/>
      <c r="N135" s="138"/>
      <c r="AE135" s="79"/>
    </row>
    <row r="136" spans="1:33" ht="12.75">
      <c r="A136" s="143" t="s">
        <v>511</v>
      </c>
      <c r="B136" s="82"/>
      <c r="C136" s="103"/>
      <c r="D136" s="82"/>
      <c r="E136" s="82"/>
      <c r="F136" s="103"/>
      <c r="G136" s="103"/>
      <c r="H136" s="103"/>
      <c r="I136" s="103"/>
      <c r="J136" s="103"/>
      <c r="K136" s="82"/>
      <c r="L136" s="82"/>
      <c r="M136" s="82"/>
      <c r="N136" s="109"/>
      <c r="AE136" s="79"/>
    </row>
    <row r="137" spans="1:33" ht="12.75">
      <c r="A137" s="105" t="s">
        <v>486</v>
      </c>
      <c r="B137" s="82"/>
      <c r="C137" s="85"/>
      <c r="D137" s="85"/>
      <c r="E137" s="85"/>
      <c r="F137" s="82"/>
      <c r="G137" s="82"/>
      <c r="H137" s="106"/>
      <c r="I137" s="107"/>
      <c r="J137" s="108"/>
      <c r="K137" s="106"/>
      <c r="L137" s="107"/>
      <c r="M137" s="107"/>
      <c r="N137" s="109"/>
      <c r="AE137" s="79"/>
    </row>
    <row r="138" spans="1:33" ht="12.75">
      <c r="A138" s="116" t="s">
        <v>544</v>
      </c>
      <c r="B138" s="117" t="s">
        <v>416</v>
      </c>
      <c r="C138" s="114">
        <f>SUMIF(_12MonLights_TariffRateCategory,MiscData!$C$23&amp;$B138,_12MonLights_Count)+SUMIF(_12MonLights_TariffRateCategory,MiscData!$C$23&amp;$B138,_12MonLights_Count_Adj)</f>
        <v>0</v>
      </c>
      <c r="D138" s="114">
        <f>SUMIF(_12MonLights_TariffRateCategory,MiscData!$C$24&amp;$B138,_12MonLights_Count)+SUMIF(_12MonLights_TariffRateCategory,MiscData!$C$23&amp;$B138,_12MonLights_Count_Adj)</f>
        <v>0</v>
      </c>
      <c r="E138" s="114">
        <f>SUMIF(_12MonLights_TariffRateCategory,MiscData!$C$25&amp;$B138,_12MonLights_Count)+SUMIF(_12MonLights_TariffRateCategory,MiscData!$C$23&amp;$B138,_12MonLights_Count_Adj)</f>
        <v>0</v>
      </c>
      <c r="F138" s="82"/>
      <c r="G138" s="115">
        <f>SUMIF(_Lights_Tariff_Category,MiscData!$C$23&amp;$B138,_Lights_Rates)</f>
        <v>22.49</v>
      </c>
      <c r="H138" s="115">
        <f>SUMIF(_Lights_Tariff_Category,MiscData!$C$24&amp;$B138,_Lights_Rates)</f>
        <v>22.49</v>
      </c>
      <c r="I138" s="115">
        <f>SUMIF(_Lights_Tariff_Category,MiscData!$C$25&amp;$B138,_Lights_Rates)-SUMIF(_Lights_Tariff_Category,MiscData!$C$25&amp;$B138,_Rates_Lights_ECR)</f>
        <v>22.16</v>
      </c>
      <c r="J138" s="82"/>
      <c r="K138" s="115">
        <f>ROUND(SUM($C138*$G138,$D138*$H138,$E138*$I138),2)</f>
        <v>0</v>
      </c>
      <c r="L138" s="115">
        <f>ROUND(SUM($C138*$H138,$D138*$H138,$E138*$I138),2)</f>
        <v>0</v>
      </c>
      <c r="M138" s="115">
        <f>ROUND(SUM($C138*$I138,$D138*$I138,$E138*$I138),2)</f>
        <v>0</v>
      </c>
      <c r="N138" s="109"/>
      <c r="AE138" s="79"/>
    </row>
    <row r="139" spans="1:33" ht="12.75">
      <c r="A139" s="116" t="s">
        <v>545</v>
      </c>
      <c r="B139" s="117" t="s">
        <v>417</v>
      </c>
      <c r="C139" s="114">
        <f>SUMIF(_12MonLights_TariffRateCategory,MiscData!$C$23&amp;$B139,_12MonLights_Count)+SUMIF(_12MonLights_TariffRateCategory,MiscData!$C$23&amp;$B139,_12MonLights_Count_Adj)</f>
        <v>0</v>
      </c>
      <c r="D139" s="114">
        <f>SUMIF(_12MonLights_TariffRateCategory,MiscData!$C$24&amp;$B139,_12MonLights_Count)+SUMIF(_12MonLights_TariffRateCategory,MiscData!$C$23&amp;$B139,_12MonLights_Count_Adj)</f>
        <v>0</v>
      </c>
      <c r="E139" s="114">
        <f>SUMIF(_12MonLights_TariffRateCategory,MiscData!$C$25&amp;$B139,_12MonLights_Count)+SUMIF(_12MonLights_TariffRateCategory,MiscData!$C$23&amp;$B139,_12MonLights_Count_Adj)</f>
        <v>0</v>
      </c>
      <c r="F139" s="82"/>
      <c r="G139" s="115">
        <f>SUMIF(_Lights_Tariff_Category,MiscData!$C$23&amp;$B139,_Lights_Rates)</f>
        <v>23.5</v>
      </c>
      <c r="H139" s="115">
        <f>SUMIF(_Lights_Tariff_Category,MiscData!$C$24&amp;$B139,_Lights_Rates)</f>
        <v>23.5</v>
      </c>
      <c r="I139" s="115">
        <f>SUMIF(_Lights_Tariff_Category,MiscData!$C$25&amp;$B139,_Lights_Rates)-SUMIF(_Lights_Tariff_Category,MiscData!$C$25&amp;$B139,_Rates_Lights_ECR)</f>
        <v>23.16</v>
      </c>
      <c r="J139" s="82"/>
      <c r="K139" s="115">
        <f>ROUND(SUM($C139*$G139,$D139*$H139,$E139*$I139),2)</f>
        <v>0</v>
      </c>
      <c r="L139" s="115">
        <f>ROUND(SUM($C139*$H139,$D139*$H139,$E139*$I139),2)</f>
        <v>0</v>
      </c>
      <c r="M139" s="115">
        <f>ROUND(SUM($C139*$I139,$D139*$I139,$E139*$I139),2)</f>
        <v>0</v>
      </c>
      <c r="N139" s="146"/>
      <c r="AE139" s="79"/>
    </row>
    <row r="140" spans="1:33" ht="15">
      <c r="A140" s="150" t="s">
        <v>565</v>
      </c>
      <c r="B140" s="82"/>
      <c r="C140" s="135">
        <f>SUM(C138:C139)</f>
        <v>0</v>
      </c>
      <c r="D140" s="135">
        <f>SUM(D138:D139)</f>
        <v>0</v>
      </c>
      <c r="E140" s="135">
        <f>SUM(E138:E139)</f>
        <v>0</v>
      </c>
      <c r="F140" s="135"/>
      <c r="G140" s="136"/>
      <c r="H140" s="137"/>
      <c r="I140" s="136"/>
      <c r="J140" s="136"/>
      <c r="K140" s="136">
        <f>SUM(K138:K139)</f>
        <v>0</v>
      </c>
      <c r="L140" s="136">
        <f>SUM(L138:L139)</f>
        <v>0</v>
      </c>
      <c r="M140" s="136">
        <f>SUM(M138:M139)</f>
        <v>0</v>
      </c>
      <c r="N140" s="138"/>
      <c r="AE140" s="79"/>
    </row>
    <row r="141" spans="1:33" ht="12.75">
      <c r="A141" s="152" t="s">
        <v>546</v>
      </c>
      <c r="B141" s="82"/>
      <c r="C141" s="127"/>
      <c r="D141" s="127"/>
      <c r="E141" s="127"/>
      <c r="F141" s="127"/>
      <c r="G141" s="82"/>
      <c r="H141" s="139"/>
      <c r="I141" s="127"/>
      <c r="J141" s="82"/>
      <c r="K141" s="127">
        <f>SUMIF('12MonResults'!$D$4:$D$471,"ODL",'12MonResults'!$AB$4:$AB$471)</f>
        <v>0</v>
      </c>
      <c r="L141" s="127">
        <f>K141</f>
        <v>0</v>
      </c>
      <c r="M141" s="127">
        <f>L141</f>
        <v>0</v>
      </c>
      <c r="N141" s="109"/>
      <c r="AE141" s="79"/>
    </row>
    <row r="142" spans="1:33" ht="15">
      <c r="A142" s="134" t="s">
        <v>542</v>
      </c>
      <c r="B142" s="82"/>
      <c r="C142" s="153">
        <f>C140+C133+C75</f>
        <v>2020011</v>
      </c>
      <c r="D142" s="153">
        <f>D140+D133+D75</f>
        <v>2020011</v>
      </c>
      <c r="E142" s="153">
        <f>E140+E133+E75</f>
        <v>2029430</v>
      </c>
      <c r="F142" s="127"/>
      <c r="G142" s="82"/>
      <c r="H142" s="139"/>
      <c r="I142" s="154"/>
      <c r="J142" s="82"/>
      <c r="K142" s="155">
        <f>K141+K140+K133+K75</f>
        <v>73656716.48999998</v>
      </c>
      <c r="L142" s="155">
        <f>L141+L140+L133+L75</f>
        <v>73656716.48999998</v>
      </c>
      <c r="M142" s="155">
        <f>M141+M140+M133+M75</f>
        <v>71814508.090000004</v>
      </c>
      <c r="N142" s="109"/>
      <c r="AE142" s="79"/>
    </row>
    <row r="143" spans="1:33" ht="12.75">
      <c r="A143" s="134"/>
      <c r="B143" s="82"/>
      <c r="C143" s="127"/>
      <c r="D143" s="127"/>
      <c r="E143" s="127"/>
      <c r="F143" s="127"/>
      <c r="G143" s="82"/>
      <c r="H143" s="139"/>
      <c r="I143" s="154"/>
      <c r="J143" s="82"/>
      <c r="K143" s="127">
        <f>IF(K142='Sch M-2.2-pg 1'!$J$41,"",'Sch M-2.2-pg 1'!$J$41)</f>
        <v>1.0199999999999996</v>
      </c>
      <c r="L143" s="127"/>
      <c r="M143" s="127"/>
      <c r="N143" s="109"/>
      <c r="AE143" s="79"/>
    </row>
    <row r="144" spans="1:33" ht="12.75">
      <c r="A144" s="134"/>
      <c r="B144" s="82"/>
      <c r="C144" s="114"/>
      <c r="D144" s="156"/>
      <c r="E144" s="82"/>
      <c r="F144" s="114"/>
      <c r="G144" s="114"/>
      <c r="H144" s="83" t="s">
        <v>138</v>
      </c>
      <c r="J144" s="157"/>
      <c r="K144" s="157" t="e">
        <f>'Sch M-2.2-pg 1'!#REF!</f>
        <v>#REF!</v>
      </c>
      <c r="L144" s="157" t="e">
        <f>K144</f>
        <v>#REF!</v>
      </c>
      <c r="M144" s="157" t="e">
        <f>K144</f>
        <v>#REF!</v>
      </c>
      <c r="N144" s="140"/>
      <c r="AE144" s="79"/>
    </row>
    <row r="145" spans="1:31" ht="12.75">
      <c r="A145" s="134"/>
      <c r="B145" s="82"/>
      <c r="C145" s="114"/>
      <c r="D145" s="82"/>
      <c r="E145" s="82"/>
      <c r="F145" s="114"/>
      <c r="G145" s="114"/>
      <c r="H145" s="83"/>
      <c r="I145" s="158"/>
      <c r="J145" s="82"/>
      <c r="K145" s="83"/>
      <c r="L145" s="158"/>
      <c r="M145" s="158"/>
      <c r="N145" s="109"/>
      <c r="AE145" s="79"/>
    </row>
    <row r="146" spans="1:31" ht="15">
      <c r="A146" s="151" t="s">
        <v>139</v>
      </c>
      <c r="B146" s="82"/>
      <c r="C146" s="114"/>
      <c r="D146" s="114"/>
      <c r="E146" s="82"/>
      <c r="F146" s="82"/>
      <c r="G146" s="82"/>
      <c r="H146" s="139"/>
      <c r="J146" s="82"/>
      <c r="K146" s="155" t="e">
        <f>ROUND(K142/K144,0)</f>
        <v>#REF!</v>
      </c>
      <c r="L146" s="155" t="e">
        <f>L142/L144</f>
        <v>#REF!</v>
      </c>
      <c r="M146" s="155" t="e">
        <f>M142/M144</f>
        <v>#REF!</v>
      </c>
      <c r="N146" s="109"/>
      <c r="AE146" s="79"/>
    </row>
    <row r="147" spans="1:31" ht="12.75">
      <c r="A147" s="151"/>
      <c r="B147" s="82"/>
      <c r="C147" s="114"/>
      <c r="D147" s="82"/>
      <c r="E147" s="82"/>
      <c r="F147" s="82"/>
      <c r="G147" s="82"/>
      <c r="H147" s="139"/>
      <c r="J147" s="82"/>
      <c r="K147" s="127" t="e">
        <f>IF(K146='Sch M-2.2-pg 1'!$I$41,"",'Sch M-2.2-pg 1'!$I$41)</f>
        <v>#REF!</v>
      </c>
      <c r="L147" s="131"/>
      <c r="M147" s="131"/>
      <c r="N147" s="109"/>
      <c r="AC147" s="85"/>
      <c r="AD147" s="85"/>
      <c r="AE147" s="85"/>
    </row>
    <row r="148" spans="1:31" ht="15">
      <c r="A148" s="159" t="s">
        <v>621</v>
      </c>
      <c r="B148" s="82"/>
      <c r="C148" s="114"/>
      <c r="D148" s="82"/>
      <c r="E148" s="82"/>
      <c r="F148" s="114"/>
      <c r="G148" s="82"/>
      <c r="H148" s="82"/>
      <c r="I148" s="82"/>
      <c r="J148" s="82"/>
      <c r="K148" s="83"/>
      <c r="L148" s="155" t="e">
        <f>L146-K146</f>
        <v>#REF!</v>
      </c>
      <c r="M148" s="155" t="e">
        <f>M146-L146</f>
        <v>#REF!</v>
      </c>
      <c r="N148" s="146"/>
      <c r="AC148" s="85"/>
      <c r="AD148" s="85"/>
      <c r="AE148" s="85"/>
    </row>
    <row r="149" spans="1:31" ht="15">
      <c r="A149" s="159"/>
      <c r="B149" s="82"/>
      <c r="C149" s="114"/>
      <c r="D149" s="82"/>
      <c r="E149" s="82"/>
      <c r="F149" s="114"/>
      <c r="G149" s="82"/>
      <c r="H149" s="82"/>
      <c r="I149" s="82"/>
      <c r="J149" s="82"/>
      <c r="K149" s="83"/>
      <c r="L149" s="160"/>
      <c r="M149" s="160"/>
      <c r="N149" s="109"/>
      <c r="AC149" s="85"/>
      <c r="AD149" s="85"/>
      <c r="AE149" s="85"/>
    </row>
    <row r="150" spans="1:31" ht="15">
      <c r="A150" s="151" t="s">
        <v>140</v>
      </c>
      <c r="B150" s="82"/>
      <c r="C150" s="114"/>
      <c r="D150" s="82"/>
      <c r="E150" s="82"/>
      <c r="F150" s="114"/>
      <c r="G150" s="82"/>
      <c r="H150" s="82"/>
      <c r="I150" s="82"/>
      <c r="J150" s="82"/>
      <c r="K150" s="83"/>
      <c r="L150" s="160"/>
      <c r="M150" s="160"/>
      <c r="N150" s="109"/>
    </row>
    <row r="151" spans="1:31" ht="15">
      <c r="A151" s="151" t="s">
        <v>141</v>
      </c>
      <c r="B151" s="82"/>
      <c r="C151" s="114"/>
      <c r="D151" s="82"/>
      <c r="E151" s="82"/>
      <c r="F151" s="114"/>
      <c r="G151" s="82"/>
      <c r="H151" s="82"/>
      <c r="I151" s="82"/>
      <c r="J151" s="82"/>
      <c r="K151" s="83"/>
      <c r="L151" s="160"/>
      <c r="M151" s="56">
        <f>SUMIF(_12MonLights_RateClass,"ODL",_12MonLights_FAC)</f>
        <v>293403</v>
      </c>
      <c r="N151" s="109"/>
      <c r="AC151" s="85"/>
      <c r="AD151" s="85"/>
      <c r="AE151" s="85"/>
    </row>
    <row r="152" spans="1:31" ht="15">
      <c r="A152" s="151" t="s">
        <v>142</v>
      </c>
      <c r="B152" s="82"/>
      <c r="C152" s="114"/>
      <c r="D152" s="82"/>
      <c r="E152" s="82"/>
      <c r="F152" s="114"/>
      <c r="G152" s="82"/>
      <c r="H152" s="82"/>
      <c r="I152" s="82"/>
      <c r="J152" s="82"/>
      <c r="K152" s="83"/>
      <c r="L152" s="160"/>
      <c r="M152" s="56">
        <v>0</v>
      </c>
      <c r="N152" s="109"/>
      <c r="AC152" s="85"/>
      <c r="AD152" s="85"/>
      <c r="AE152" s="85"/>
    </row>
    <row r="153" spans="1:31" ht="15">
      <c r="A153" s="151" t="s">
        <v>143</v>
      </c>
      <c r="B153" s="82"/>
      <c r="C153" s="114"/>
      <c r="D153" s="82"/>
      <c r="E153" s="82"/>
      <c r="F153" s="114"/>
      <c r="G153" s="82"/>
      <c r="H153" s="82"/>
      <c r="I153" s="82"/>
      <c r="J153" s="82"/>
      <c r="K153" s="83"/>
      <c r="L153" s="160"/>
      <c r="M153" s="56">
        <f>SUMIF(_12MonLights_RateClass,"ODL",_12MonLights_ECR)</f>
        <v>664888</v>
      </c>
      <c r="N153" s="109"/>
      <c r="AC153" s="85"/>
      <c r="AD153" s="85"/>
      <c r="AE153" s="85"/>
    </row>
    <row r="154" spans="1:31" ht="15">
      <c r="A154" s="159" t="s">
        <v>144</v>
      </c>
      <c r="B154" s="82"/>
      <c r="C154" s="114"/>
      <c r="D154" s="82"/>
      <c r="E154" s="82"/>
      <c r="F154" s="114"/>
      <c r="G154" s="82"/>
      <c r="H154" s="82"/>
      <c r="I154" s="82"/>
      <c r="J154" s="82"/>
      <c r="K154" s="83"/>
      <c r="L154" s="160"/>
      <c r="M154" s="56">
        <v>0</v>
      </c>
      <c r="N154" s="109"/>
      <c r="AE154" s="79"/>
    </row>
    <row r="155" spans="1:31" ht="15">
      <c r="A155" s="151" t="s">
        <v>145</v>
      </c>
      <c r="B155" s="82"/>
      <c r="C155" s="114"/>
      <c r="D155" s="82"/>
      <c r="E155" s="82"/>
      <c r="F155" s="114"/>
      <c r="G155" s="82"/>
      <c r="H155" s="82"/>
      <c r="I155" s="82"/>
      <c r="J155" s="82"/>
      <c r="K155" s="83"/>
      <c r="L155" s="160"/>
      <c r="M155" s="56">
        <f>'Yr End Cust Adj'!$K$50</f>
        <v>0</v>
      </c>
      <c r="N155" s="109"/>
      <c r="AE155" s="79"/>
    </row>
    <row r="156" spans="1:31" ht="15">
      <c r="A156" s="161" t="s">
        <v>146</v>
      </c>
      <c r="B156" s="82"/>
      <c r="C156" s="114"/>
      <c r="D156" s="82"/>
      <c r="E156" s="82"/>
      <c r="F156" s="114"/>
      <c r="G156" s="82"/>
      <c r="H156" s="82"/>
      <c r="I156" s="82"/>
      <c r="J156" s="82"/>
      <c r="K156" s="83"/>
      <c r="L156" s="160"/>
      <c r="M156" s="57">
        <f>SUM(M151:M155)</f>
        <v>958291</v>
      </c>
      <c r="N156" s="109"/>
      <c r="AE156" s="79"/>
    </row>
    <row r="157" spans="1:31" ht="15">
      <c r="A157" s="161"/>
      <c r="B157" s="82"/>
      <c r="C157" s="114"/>
      <c r="D157" s="82"/>
      <c r="E157" s="82"/>
      <c r="F157" s="114"/>
      <c r="G157" s="82"/>
      <c r="H157" s="82"/>
      <c r="I157" s="82"/>
      <c r="J157" s="82"/>
      <c r="K157" s="83"/>
      <c r="L157" s="160"/>
      <c r="M157" s="58"/>
      <c r="N157" s="109"/>
      <c r="AE157" s="79"/>
    </row>
    <row r="158" spans="1:31" ht="15">
      <c r="A158" s="161" t="s">
        <v>147</v>
      </c>
      <c r="B158" s="82"/>
      <c r="C158" s="114"/>
      <c r="D158" s="82"/>
      <c r="E158" s="82"/>
      <c r="F158" s="114"/>
      <c r="G158" s="82"/>
      <c r="H158" s="82"/>
      <c r="I158" s="82"/>
      <c r="J158" s="82"/>
      <c r="K158" s="83"/>
      <c r="L158" s="160"/>
      <c r="M158" s="59" t="e">
        <f>M156+M146</f>
        <v>#REF!</v>
      </c>
      <c r="N158" s="109"/>
      <c r="AD158" s="85"/>
      <c r="AE158" s="85"/>
    </row>
    <row r="159" spans="1:31" ht="15.75" thickBot="1">
      <c r="A159" s="162"/>
      <c r="B159" s="163"/>
      <c r="C159" s="164"/>
      <c r="D159" s="163"/>
      <c r="E159" s="163"/>
      <c r="F159" s="164"/>
      <c r="G159" s="163"/>
      <c r="H159" s="163"/>
      <c r="I159" s="163"/>
      <c r="J159" s="163"/>
      <c r="K159" s="165"/>
      <c r="L159" s="166"/>
      <c r="M159" s="166"/>
      <c r="N159" s="167"/>
      <c r="Y159" s="77" t="s">
        <v>164</v>
      </c>
      <c r="AB159" s="85" t="str">
        <f>MiscData!$C$23&amp;$Y159</f>
        <v>20140101KUCME220</v>
      </c>
      <c r="AD159" s="85"/>
      <c r="AE159" s="85"/>
    </row>
    <row r="160" spans="1:31" ht="12.75">
      <c r="AB160" s="85" t="str">
        <f>MiscData!$C$24&amp;$Y159</f>
        <v>20140101KUCME220</v>
      </c>
      <c r="AD160" s="85"/>
      <c r="AE160" s="85"/>
    </row>
  </sheetData>
  <conditionalFormatting sqref="K147 I141:I143 I76 K143">
    <cfRule type="notContainsBlanks" dxfId="9" priority="1">
      <formula>LEN(TRIM(I76))&gt;0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heetViews>
  <sheetFormatPr defaultRowHeight="1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pageSetUpPr fitToPage="1"/>
  </sheetPr>
  <dimension ref="A1:O40"/>
  <sheetViews>
    <sheetView view="pageBreakPreview" topLeftCell="A7" zoomScale="110" zoomScaleNormal="100" zoomScaleSheetLayoutView="110" workbookViewId="0">
      <selection activeCell="D21" sqref="D21"/>
    </sheetView>
  </sheetViews>
  <sheetFormatPr defaultRowHeight="12.75"/>
  <cols>
    <col min="1" max="1" width="8.1640625" style="930" customWidth="1"/>
    <col min="2" max="2" width="44.33203125" style="870" customWidth="1"/>
    <col min="3" max="3" width="16.83203125" style="870" customWidth="1"/>
    <col min="4" max="4" width="18.33203125" style="870" customWidth="1"/>
    <col min="5" max="5" width="19.33203125" style="870" customWidth="1"/>
    <col min="6" max="6" width="12.33203125" style="870" customWidth="1"/>
    <col min="7" max="7" width="18.5" style="870" customWidth="1"/>
    <col min="8" max="8" width="15.5" style="870" customWidth="1"/>
    <col min="9" max="9" width="17.33203125" style="870" customWidth="1"/>
    <col min="10" max="10" width="13.33203125" style="870" customWidth="1"/>
    <col min="11" max="16384" width="9.33203125" style="870"/>
  </cols>
  <sheetData>
    <row r="1" spans="1:15">
      <c r="B1" s="1161" t="s">
        <v>1462</v>
      </c>
      <c r="F1" s="1148" t="s">
        <v>1778</v>
      </c>
      <c r="J1" s="1148"/>
    </row>
    <row r="2" spans="1:15">
      <c r="B2" s="869" t="s">
        <v>1465</v>
      </c>
      <c r="F2" s="1148" t="s">
        <v>1733</v>
      </c>
      <c r="J2" s="1148"/>
    </row>
    <row r="3" spans="1:15">
      <c r="B3" s="869" t="s">
        <v>1461</v>
      </c>
      <c r="F3" s="1148" t="s">
        <v>1751</v>
      </c>
      <c r="J3" s="1148"/>
    </row>
    <row r="4" spans="1:15">
      <c r="A4" s="858"/>
    </row>
    <row r="5" spans="1:15">
      <c r="A5" s="1176"/>
      <c r="B5" s="1177"/>
      <c r="C5" s="1177"/>
      <c r="D5" s="1177"/>
      <c r="E5" s="1177"/>
      <c r="F5" s="1177"/>
      <c r="G5" s="1177"/>
      <c r="H5" s="1177"/>
      <c r="I5" s="1177"/>
      <c r="J5" s="1177"/>
    </row>
    <row r="7" spans="1:15" s="1178" customFormat="1" ht="51.75">
      <c r="A7" s="1179"/>
      <c r="B7" s="1186" t="s">
        <v>1194</v>
      </c>
      <c r="C7" s="1186" t="s">
        <v>1747</v>
      </c>
      <c r="D7" s="1186" t="s">
        <v>1748</v>
      </c>
      <c r="E7" s="1187" t="s">
        <v>1749</v>
      </c>
      <c r="F7" s="1188" t="s">
        <v>1750</v>
      </c>
      <c r="G7" s="1187"/>
      <c r="H7" s="1189"/>
      <c r="I7" s="1206" t="s">
        <v>1779</v>
      </c>
      <c r="J7" s="1189"/>
      <c r="K7" s="1189"/>
    </row>
    <row r="8" spans="1:15" s="1178" customFormat="1" ht="15">
      <c r="A8" s="1179"/>
      <c r="B8" s="1180"/>
      <c r="C8" s="1180"/>
      <c r="D8" s="1180"/>
      <c r="E8" s="1180"/>
      <c r="F8" s="1180"/>
      <c r="G8" s="1180"/>
      <c r="H8" s="1189"/>
      <c r="I8" s="1189" t="s">
        <v>1752</v>
      </c>
      <c r="J8" s="1189" t="s">
        <v>1753</v>
      </c>
      <c r="K8" s="1189"/>
    </row>
    <row r="9" spans="1:15" ht="15" customHeight="1">
      <c r="A9" s="1181"/>
      <c r="B9" s="1151" t="s">
        <v>106</v>
      </c>
      <c r="C9" s="768">
        <f>'Sch M-2.2-pg 1'!$E$9</f>
        <v>593989578.92972851</v>
      </c>
      <c r="D9" s="768">
        <f>'Sch M-2.2-pg 1'!$H$9</f>
        <v>641337676.92972851</v>
      </c>
      <c r="E9" s="768">
        <f>D9-C9</f>
        <v>47348098</v>
      </c>
      <c r="F9" s="1196">
        <f>E9/C9</f>
        <v>7.9712001152130452E-2</v>
      </c>
      <c r="G9" s="1121"/>
      <c r="H9" s="1190"/>
      <c r="I9" s="1191">
        <f>'Sch M-2.3 pg 1-2'!$C$13</f>
        <v>593989579.39972854</v>
      </c>
      <c r="J9" s="1192">
        <f t="shared" ref="J9" si="0">C9-I9</f>
        <v>-0.47000002861022949</v>
      </c>
      <c r="K9" s="1192"/>
      <c r="L9" s="1191"/>
      <c r="M9" s="1192"/>
      <c r="N9" s="1192"/>
      <c r="O9" s="1192"/>
    </row>
    <row r="10" spans="1:15" ht="15" customHeight="1">
      <c r="A10" s="1181"/>
      <c r="B10" s="1151" t="s">
        <v>1780</v>
      </c>
      <c r="C10" s="768">
        <f>'Sch M-2.2-pg 1'!$E$10</f>
        <v>8665.0702714500603</v>
      </c>
      <c r="D10" s="768">
        <f>'Sch M-2.2-pg 1'!$H$10</f>
        <v>9825.0702714500603</v>
      </c>
      <c r="E10" s="768">
        <f t="shared" ref="E10:E23" si="1">D10-C10</f>
        <v>1160</v>
      </c>
      <c r="F10" s="1196">
        <f t="shared" ref="F10:F23" si="2">E10/C10</f>
        <v>0.13387081277597987</v>
      </c>
      <c r="G10" s="1121"/>
      <c r="H10" s="1190"/>
      <c r="I10" s="1192">
        <f>'Sch M-2.3 pg 1-2'!$C$14</f>
        <v>8664.600271450061</v>
      </c>
      <c r="J10" s="1192">
        <f>C10-I10</f>
        <v>0.46999999999934516</v>
      </c>
      <c r="K10" s="1192"/>
      <c r="L10" s="1191"/>
      <c r="M10" s="1192"/>
      <c r="N10" s="1192"/>
      <c r="O10" s="1192"/>
    </row>
    <row r="11" spans="1:15" ht="15" customHeight="1">
      <c r="A11" s="1181"/>
      <c r="B11" s="1151" t="s">
        <v>108</v>
      </c>
      <c r="C11" s="768">
        <f>'Sch M-2.2-pg 1'!$E$15</f>
        <v>216871822</v>
      </c>
      <c r="D11" s="768">
        <f>'Sch M-2.2-pg 1'!$H$15</f>
        <v>234164798</v>
      </c>
      <c r="E11" s="768">
        <f t="shared" si="1"/>
        <v>17292976</v>
      </c>
      <c r="F11" s="1196">
        <f t="shared" si="2"/>
        <v>7.9738233582046444E-2</v>
      </c>
      <c r="G11" s="1121"/>
      <c r="H11" s="1190"/>
      <c r="I11" s="1191">
        <f>'Sch M-2.3 pg 1-2'!$C$20</f>
        <v>216871822</v>
      </c>
      <c r="J11" s="1192">
        <f t="shared" ref="J11:J22" si="3">C11-I11</f>
        <v>0</v>
      </c>
      <c r="K11" s="1192"/>
      <c r="L11" s="1191"/>
      <c r="M11" s="1192"/>
      <c r="N11" s="1192"/>
      <c r="O11" s="1192"/>
    </row>
    <row r="12" spans="1:15" ht="15" customHeight="1">
      <c r="A12" s="1181"/>
      <c r="B12" s="1151" t="s">
        <v>1770</v>
      </c>
      <c r="C12" s="768">
        <f>'Sch M-2.2-pg 1'!$E$19</f>
        <v>12936297</v>
      </c>
      <c r="D12" s="768">
        <f>'Sch M-2.2-pg 1'!$H$19</f>
        <v>13966591</v>
      </c>
      <c r="E12" s="768">
        <f t="shared" si="1"/>
        <v>1030294</v>
      </c>
      <c r="F12" s="1196">
        <f t="shared" si="2"/>
        <v>7.9643656913566535E-2</v>
      </c>
      <c r="G12" s="1121"/>
      <c r="H12" s="1190"/>
      <c r="I12" s="1191">
        <f>'Sch M-2.3 pg 1-2'!$C$25</f>
        <v>12936297</v>
      </c>
      <c r="J12" s="1192">
        <f t="shared" si="3"/>
        <v>0</v>
      </c>
      <c r="K12" s="1192"/>
      <c r="L12" s="1204"/>
      <c r="M12" s="1192"/>
      <c r="N12" s="1192"/>
      <c r="O12" s="1192"/>
    </row>
    <row r="13" spans="1:15" ht="15" customHeight="1">
      <c r="A13" s="1181"/>
      <c r="B13" s="1151" t="s">
        <v>1458</v>
      </c>
      <c r="C13" s="768">
        <f>'Sch M-2.2-pg 1'!$E$21</f>
        <v>199011748</v>
      </c>
      <c r="D13" s="768">
        <f>'Sch M-2.2-pg 1'!$H$21</f>
        <v>214878450</v>
      </c>
      <c r="E13" s="768">
        <f t="shared" si="1"/>
        <v>15866702</v>
      </c>
      <c r="F13" s="1196">
        <f t="shared" si="2"/>
        <v>7.9727464129404055E-2</v>
      </c>
      <c r="G13" s="1121"/>
      <c r="H13" s="1190"/>
      <c r="I13" s="1192">
        <f>'Sch M-2.3 pg 1-2'!$C$27</f>
        <v>199007725</v>
      </c>
      <c r="J13" s="1192">
        <f t="shared" si="3"/>
        <v>4023</v>
      </c>
      <c r="K13" s="1192" t="s">
        <v>1773</v>
      </c>
      <c r="L13" s="1192"/>
      <c r="M13" s="1192"/>
      <c r="N13" s="1192"/>
      <c r="O13" s="1192"/>
    </row>
    <row r="14" spans="1:15" ht="15" customHeight="1">
      <c r="A14" s="1181"/>
      <c r="B14" s="1151" t="s">
        <v>1459</v>
      </c>
      <c r="C14" s="768">
        <f>'Sch M-2.2-pg 1'!$E$22</f>
        <v>20774460</v>
      </c>
      <c r="D14" s="768">
        <f>'Sch M-2.2-pg 1'!$H$22</f>
        <v>22432089</v>
      </c>
      <c r="E14" s="768">
        <f t="shared" si="1"/>
        <v>1657629</v>
      </c>
      <c r="F14" s="1196">
        <f t="shared" si="2"/>
        <v>7.9791676895572733E-2</v>
      </c>
      <c r="G14" s="1121"/>
      <c r="H14" s="1190"/>
      <c r="I14" s="1192">
        <f>'Sch M-2.3 pg 1-2'!$C$28</f>
        <v>20764710</v>
      </c>
      <c r="J14" s="1192">
        <f t="shared" si="3"/>
        <v>9750</v>
      </c>
      <c r="K14" s="1192" t="s">
        <v>1773</v>
      </c>
      <c r="L14" s="1192"/>
      <c r="M14" s="1192"/>
      <c r="N14" s="1192"/>
      <c r="O14" s="1192"/>
    </row>
    <row r="15" spans="1:15" ht="15" customHeight="1">
      <c r="A15" s="1181"/>
      <c r="B15" s="1151" t="s">
        <v>186</v>
      </c>
      <c r="C15" s="768">
        <f>'Sch M-2.2-pg 1'!$E$25</f>
        <v>118607258</v>
      </c>
      <c r="D15" s="768">
        <f>'Sch M-2.2-pg 1'!$H$25</f>
        <v>128061851</v>
      </c>
      <c r="E15" s="768">
        <f t="shared" si="1"/>
        <v>9454593</v>
      </c>
      <c r="F15" s="1196">
        <f t="shared" si="2"/>
        <v>7.9713443843377613E-2</v>
      </c>
      <c r="G15" s="1121"/>
      <c r="H15" s="1190"/>
      <c r="I15" s="1192">
        <f>'Sch M-2.3 pg 1-2'!$C$31</f>
        <v>118512051</v>
      </c>
      <c r="J15" s="1192">
        <f t="shared" si="3"/>
        <v>95207</v>
      </c>
      <c r="K15" s="1192" t="s">
        <v>1773</v>
      </c>
      <c r="L15" s="1192"/>
      <c r="M15" s="1192"/>
      <c r="N15" s="1192"/>
      <c r="O15" s="1192"/>
    </row>
    <row r="16" spans="1:15" ht="15" customHeight="1">
      <c r="A16" s="1181"/>
      <c r="B16" s="1151" t="s">
        <v>182</v>
      </c>
      <c r="C16" s="768">
        <f>'Sch M-2.2-pg 1'!$E$26</f>
        <v>284176010</v>
      </c>
      <c r="D16" s="768">
        <f>'Sch M-2.2-pg 1'!$H$26</f>
        <v>306862902.56108701</v>
      </c>
      <c r="E16" s="768">
        <f t="shared" si="1"/>
        <v>22686892.561087012</v>
      </c>
      <c r="F16" s="1196">
        <f t="shared" si="2"/>
        <v>7.9833947141023667E-2</v>
      </c>
      <c r="G16" s="1121"/>
      <c r="H16" s="1190"/>
      <c r="I16" s="1192">
        <f>'Sch M-2.3 pg 1-2'!$C$33</f>
        <v>284023877</v>
      </c>
      <c r="J16" s="1192">
        <f t="shared" si="3"/>
        <v>152133</v>
      </c>
      <c r="K16" s="1193" t="s">
        <v>1774</v>
      </c>
      <c r="L16" s="1192"/>
      <c r="M16" s="1192"/>
      <c r="N16" s="1192"/>
      <c r="O16" s="1192"/>
    </row>
    <row r="17" spans="1:15" ht="15" customHeight="1">
      <c r="A17" s="1181"/>
      <c r="B17" s="1151" t="s">
        <v>57</v>
      </c>
      <c r="C17" s="768">
        <f>'Sch M-2.2-pg 1'!$E$29</f>
        <v>99821566</v>
      </c>
      <c r="D17" s="768">
        <f>'Sch M-2.2-pg 1'!$H$29</f>
        <v>107781730.94320884</v>
      </c>
      <c r="E17" s="768">
        <f t="shared" si="1"/>
        <v>7960164.9432088435</v>
      </c>
      <c r="F17" s="1196">
        <f t="shared" si="2"/>
        <v>7.9743939733512528E-2</v>
      </c>
      <c r="G17" s="1121"/>
      <c r="H17" s="1190"/>
      <c r="I17" s="1192">
        <f>'Sch M-2.3 pg 1-2'!$C$35</f>
        <v>100143376</v>
      </c>
      <c r="J17" s="1192">
        <f t="shared" si="3"/>
        <v>-321810</v>
      </c>
      <c r="K17" s="1193" t="s">
        <v>1775</v>
      </c>
      <c r="L17" s="1192"/>
      <c r="M17" s="1192"/>
      <c r="N17" s="1192"/>
      <c r="O17" s="1192"/>
    </row>
    <row r="18" spans="1:15" ht="15" customHeight="1">
      <c r="A18" s="1181"/>
      <c r="B18" s="1151" t="s">
        <v>112</v>
      </c>
      <c r="C18" s="768">
        <f>'Sch M-2.2-pg 1'!$E$31</f>
        <v>31466313</v>
      </c>
      <c r="D18" s="768">
        <f>'Sch M-2.2-pg 1'!$H$31</f>
        <v>33970937</v>
      </c>
      <c r="E18" s="768">
        <f t="shared" si="1"/>
        <v>2504624</v>
      </c>
      <c r="F18" s="1196">
        <f t="shared" si="2"/>
        <v>7.9596996317935306E-2</v>
      </c>
      <c r="G18" s="1121"/>
      <c r="H18" s="1190"/>
      <c r="I18" s="1192">
        <f>'Sch M-2.3 pg 1-2'!$C$37</f>
        <v>31466313</v>
      </c>
      <c r="J18" s="1192">
        <f t="shared" si="3"/>
        <v>0</v>
      </c>
      <c r="K18" s="1192"/>
      <c r="L18" s="1192"/>
      <c r="M18" s="1192"/>
      <c r="N18" s="1192"/>
      <c r="O18" s="1192"/>
    </row>
    <row r="19" spans="1:15" ht="15" customHeight="1">
      <c r="A19" s="1181"/>
      <c r="B19" s="1151" t="s">
        <v>622</v>
      </c>
      <c r="C19" s="768">
        <f>'Sch M-2.2-pg 1'!$E$38</f>
        <v>29633</v>
      </c>
      <c r="D19" s="768">
        <f>'Sch M-2.2-pg 1'!$H$38</f>
        <v>31993</v>
      </c>
      <c r="E19" s="768">
        <f t="shared" si="1"/>
        <v>2360</v>
      </c>
      <c r="F19" s="1196">
        <f t="shared" si="2"/>
        <v>7.964094084297911E-2</v>
      </c>
      <c r="G19" s="1121"/>
      <c r="H19" s="1190"/>
      <c r="I19" s="1192">
        <f>'Sch M-2.3 pg 1-2'!$C$43</f>
        <v>11822</v>
      </c>
      <c r="J19" s="1192">
        <f t="shared" si="3"/>
        <v>17811</v>
      </c>
      <c r="K19" s="1192" t="s">
        <v>1776</v>
      </c>
      <c r="L19" s="1192"/>
      <c r="M19" s="1192"/>
      <c r="N19" s="1192"/>
      <c r="O19" s="1192"/>
    </row>
    <row r="20" spans="1:15" ht="15" customHeight="1">
      <c r="A20" s="1181"/>
      <c r="B20" s="1151" t="s">
        <v>58</v>
      </c>
      <c r="C20" s="768">
        <f>'Sch M-2.2-pg 1'!$E$39</f>
        <v>138147</v>
      </c>
      <c r="D20" s="768">
        <f>'Sch M-2.2-pg 1'!$H$39</f>
        <v>149165</v>
      </c>
      <c r="E20" s="768">
        <f t="shared" si="1"/>
        <v>11018</v>
      </c>
      <c r="F20" s="1196">
        <f t="shared" si="2"/>
        <v>7.9755622633861031E-2</v>
      </c>
      <c r="G20" s="1121"/>
      <c r="H20" s="1190"/>
      <c r="I20" s="1192">
        <f>'Sch M-2.3 pg 1-2'!$C$44</f>
        <v>138147</v>
      </c>
      <c r="J20" s="1192">
        <f t="shared" si="3"/>
        <v>0</v>
      </c>
      <c r="K20" s="1192"/>
      <c r="L20" s="1192"/>
      <c r="M20" s="1192"/>
      <c r="N20" s="1192"/>
      <c r="O20" s="1192"/>
    </row>
    <row r="21" spans="1:15" ht="15" customHeight="1">
      <c r="A21" s="1181"/>
      <c r="B21" s="1151" t="s">
        <v>1732</v>
      </c>
      <c r="C21" s="768">
        <f>'Sch M-2.2-pg 1'!$E$41</f>
        <v>25800467</v>
      </c>
      <c r="D21" s="768">
        <f>'Sch M-2.2-pg 1'!$H$41</f>
        <v>27860087</v>
      </c>
      <c r="E21" s="768">
        <f t="shared" si="1"/>
        <v>2059620</v>
      </c>
      <c r="F21" s="1196">
        <f t="shared" si="2"/>
        <v>7.9828787595201275E-2</v>
      </c>
      <c r="G21" s="1121"/>
      <c r="I21" s="1192">
        <f>'Sch M-2.3 pg 1-2'!$C$45</f>
        <v>26088630</v>
      </c>
      <c r="J21" s="1192">
        <f t="shared" si="3"/>
        <v>-288163</v>
      </c>
      <c r="K21" s="1192"/>
      <c r="L21" s="1192"/>
      <c r="M21" s="1192"/>
      <c r="N21" s="1192"/>
      <c r="O21" s="1192"/>
    </row>
    <row r="22" spans="1:15" ht="15" customHeight="1">
      <c r="A22" s="1181"/>
      <c r="B22" s="1151" t="s">
        <v>1460</v>
      </c>
      <c r="C22" s="1155">
        <f>'Sch M-2.2-pg 1'!$E$35</f>
        <v>-11877948</v>
      </c>
      <c r="D22" s="1155">
        <f>'Sch M-2.2-pg 1'!$H$35</f>
        <v>-11877948</v>
      </c>
      <c r="E22" s="1155">
        <f t="shared" si="1"/>
        <v>0</v>
      </c>
      <c r="F22" s="1196">
        <f t="shared" si="2"/>
        <v>0</v>
      </c>
      <c r="G22" s="1121"/>
      <c r="I22" s="1192">
        <f>SUM('Sch M-2.3 pg 1-2'!$C$39:$C$41)</f>
        <v>-11877948</v>
      </c>
      <c r="J22" s="1192">
        <f t="shared" si="3"/>
        <v>0</v>
      </c>
      <c r="K22" s="1192"/>
      <c r="L22" s="1192"/>
      <c r="M22" s="1192"/>
      <c r="N22" s="1192"/>
      <c r="O22" s="1192"/>
    </row>
    <row r="23" spans="1:15" ht="15" customHeight="1">
      <c r="A23" s="1181"/>
      <c r="B23" s="1151" t="s">
        <v>1771</v>
      </c>
      <c r="C23" s="768">
        <f>SUM(C9:C22)</f>
        <v>1591754017</v>
      </c>
      <c r="D23" s="768">
        <f>SUM(D9:D22)</f>
        <v>1719630148.5042961</v>
      </c>
      <c r="E23" s="768">
        <f t="shared" si="1"/>
        <v>127876131.50429606</v>
      </c>
      <c r="F23" s="1196">
        <f t="shared" si="2"/>
        <v>8.0336616172205999E-2</v>
      </c>
      <c r="G23" s="1121"/>
      <c r="H23" s="937"/>
      <c r="I23" s="1192"/>
      <c r="J23" s="1192"/>
      <c r="K23" s="1192"/>
      <c r="L23" s="1192"/>
      <c r="M23" s="1192"/>
      <c r="N23" s="1192"/>
      <c r="O23" s="1192"/>
    </row>
    <row r="24" spans="1:15" ht="15" customHeight="1">
      <c r="A24" s="1181"/>
      <c r="B24" s="1151" t="s">
        <v>1781</v>
      </c>
      <c r="C24" s="937"/>
      <c r="D24" s="937"/>
      <c r="E24" s="937"/>
      <c r="F24" s="1120"/>
      <c r="G24" s="1121"/>
      <c r="H24" s="1192" t="s">
        <v>1754</v>
      </c>
      <c r="I24" s="1192">
        <f>SUM(I9:I22)</f>
        <v>1592085066</v>
      </c>
      <c r="J24" s="1192">
        <f>SUM(J9:J22)</f>
        <v>-331049.00000002864</v>
      </c>
      <c r="K24" s="1192" t="s">
        <v>1755</v>
      </c>
      <c r="L24" s="1192"/>
      <c r="M24" s="1192"/>
      <c r="N24" s="1192"/>
      <c r="O24" s="1192"/>
    </row>
    <row r="25" spans="1:15" ht="15" customHeight="1">
      <c r="A25" s="1181"/>
      <c r="B25" s="1182" t="s">
        <v>1653</v>
      </c>
      <c r="C25" s="937">
        <v>3786198</v>
      </c>
      <c r="D25" s="937">
        <v>3786198</v>
      </c>
      <c r="E25" s="937">
        <f>D25-C25</f>
        <v>0</v>
      </c>
      <c r="F25" s="1120">
        <v>0</v>
      </c>
      <c r="G25" s="1121"/>
      <c r="H25" s="1192" t="s">
        <v>1756</v>
      </c>
      <c r="I25" s="1192">
        <f>SUM(C9:C22)</f>
        <v>1591754017</v>
      </c>
      <c r="J25" s="1192">
        <f>I25-I24</f>
        <v>-331049</v>
      </c>
      <c r="K25" s="1192" t="s">
        <v>1757</v>
      </c>
      <c r="L25" s="1192"/>
      <c r="M25" s="1192"/>
      <c r="N25" s="1192"/>
      <c r="O25" s="1192"/>
    </row>
    <row r="26" spans="1:15" ht="15" customHeight="1">
      <c r="A26" s="1181"/>
      <c r="B26" s="1182" t="s">
        <v>1746</v>
      </c>
      <c r="C26" s="937">
        <v>2082947</v>
      </c>
      <c r="D26" s="937">
        <v>2082947</v>
      </c>
      <c r="E26" s="937">
        <f t="shared" ref="E26:E28" si="4">D26-C26</f>
        <v>0</v>
      </c>
      <c r="F26" s="1120">
        <v>0</v>
      </c>
      <c r="G26" s="1121"/>
      <c r="H26" s="937"/>
      <c r="I26" s="1192"/>
      <c r="J26" s="1192"/>
      <c r="K26" s="1192"/>
      <c r="L26" s="1192"/>
      <c r="M26" s="1192"/>
      <c r="N26" s="1192"/>
      <c r="O26" s="1192"/>
    </row>
    <row r="27" spans="1:15" ht="15" customHeight="1">
      <c r="A27" s="1181"/>
      <c r="B27" s="1182" t="s">
        <v>1744</v>
      </c>
      <c r="C27" s="937">
        <v>3491578</v>
      </c>
      <c r="D27" s="937">
        <v>3491578</v>
      </c>
      <c r="E27" s="937">
        <f t="shared" si="4"/>
        <v>0</v>
      </c>
      <c r="F27" s="1120">
        <v>0</v>
      </c>
      <c r="G27" s="1125"/>
      <c r="H27" s="1122"/>
      <c r="I27" s="1193" t="s">
        <v>1777</v>
      </c>
      <c r="J27" s="1205"/>
      <c r="K27" s="1192"/>
      <c r="L27" s="1193"/>
      <c r="M27" s="1192"/>
      <c r="N27" s="1192"/>
      <c r="O27" s="1192"/>
    </row>
    <row r="28" spans="1:15" ht="18" customHeight="1">
      <c r="A28" s="1181"/>
      <c r="B28" s="1182" t="s">
        <v>1745</v>
      </c>
      <c r="C28" s="1122">
        <v>16194505</v>
      </c>
      <c r="D28" s="1122">
        <v>16194505</v>
      </c>
      <c r="E28" s="1122">
        <f t="shared" si="4"/>
        <v>0</v>
      </c>
      <c r="F28" s="1123">
        <v>0</v>
      </c>
      <c r="G28" s="1184"/>
      <c r="H28" s="1183"/>
      <c r="I28" s="1183"/>
      <c r="J28" s="1184"/>
    </row>
    <row r="29" spans="1:15" ht="15">
      <c r="A29" s="1181"/>
      <c r="B29" s="1182"/>
      <c r="C29" s="1183">
        <f>SUM(C23:C28)</f>
        <v>1617309245</v>
      </c>
      <c r="D29" s="1183">
        <f>SUM(D23:D28)</f>
        <v>1745185376.5042961</v>
      </c>
      <c r="E29" s="1183">
        <f>SUM(E23:E28)</f>
        <v>127876131.50429606</v>
      </c>
      <c r="F29" s="1203">
        <f>E29/C29</f>
        <v>7.9067211109830796E-2</v>
      </c>
    </row>
    <row r="30" spans="1:15">
      <c r="A30" s="1181"/>
      <c r="F30" s="1121"/>
    </row>
    <row r="31" spans="1:15">
      <c r="B31" s="928"/>
    </row>
    <row r="32" spans="1:15">
      <c r="C32" s="768"/>
      <c r="D32" s="768"/>
      <c r="E32" s="768"/>
    </row>
    <row r="33" spans="2:5">
      <c r="C33" s="768"/>
      <c r="D33" s="768"/>
      <c r="E33" s="768"/>
    </row>
    <row r="34" spans="2:5">
      <c r="C34" s="768"/>
      <c r="D34" s="768"/>
      <c r="E34" s="768"/>
    </row>
    <row r="35" spans="2:5">
      <c r="B35" s="936"/>
      <c r="C35" s="768"/>
      <c r="D35" s="768"/>
      <c r="E35" s="768"/>
    </row>
    <row r="36" spans="2:5">
      <c r="E36" s="1185"/>
    </row>
    <row r="38" spans="2:5">
      <c r="E38" s="1185"/>
    </row>
    <row r="40" spans="2:5">
      <c r="E40" s="1185"/>
    </row>
  </sheetData>
  <printOptions horizontalCentered="1"/>
  <pageMargins left="0.75" right="0.75" top="1.45" bottom="0.74" header="0.68" footer="0.33"/>
  <pageSetup scale="94" orientation="landscape" r:id="rId1"/>
  <headerFooter scaleWithDoc="0" alignWithMargins="0">
    <oddHeader>&amp;C&amp;"-,Bold"&amp;10KENTUCKY UTILITIES COMPANY
Case No. 2014-00371
Forecast Period Revenues at Current Rates
for the Twelve Months Ending June 30, 2016</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dimension ref="A1:BJ502"/>
  <sheetViews>
    <sheetView topLeftCell="AM3" workbookViewId="0">
      <selection activeCell="BA31" sqref="BA31"/>
    </sheetView>
  </sheetViews>
  <sheetFormatPr defaultRowHeight="12"/>
  <cols>
    <col min="1" max="1" width="5.5" style="448" customWidth="1"/>
    <col min="2" max="3" width="9.33203125" style="448"/>
    <col min="4" max="4" width="8.1640625" style="435" bestFit="1" customWidth="1"/>
    <col min="5" max="5" width="15" style="435" bestFit="1" customWidth="1"/>
    <col min="6" max="6" width="12.1640625" style="461" customWidth="1"/>
    <col min="7" max="9" width="12.1640625" style="435" customWidth="1"/>
    <col min="10" max="10" width="16.5" style="435" customWidth="1"/>
    <col min="11" max="11" width="17.83203125" style="435" customWidth="1"/>
    <col min="12" max="12" width="13.83203125" style="435" customWidth="1"/>
    <col min="13" max="14" width="14.83203125" style="435" customWidth="1"/>
    <col min="15" max="15" width="15.1640625" style="435" customWidth="1"/>
    <col min="16" max="16" width="13.83203125" style="435" customWidth="1"/>
    <col min="17" max="17" width="10.1640625" style="435" bestFit="1" customWidth="1"/>
    <col min="18" max="18" width="12.1640625" style="435" customWidth="1"/>
    <col min="19" max="19" width="12.6640625" style="435" customWidth="1"/>
    <col min="20" max="20" width="14.33203125" style="435" bestFit="1" customWidth="1"/>
    <col min="21" max="21" width="14.6640625" style="461" customWidth="1"/>
    <col min="22" max="22" width="16.6640625" style="435" bestFit="1" customWidth="1"/>
    <col min="23" max="23" width="16" style="435" customWidth="1"/>
    <col min="24" max="24" width="13.6640625" style="439" customWidth="1"/>
    <col min="25" max="25" width="18.5" style="439" customWidth="1"/>
    <col min="26" max="26" width="16" style="439" customWidth="1"/>
    <col min="27" max="27" width="14" style="439" customWidth="1"/>
    <col min="28" max="28" width="16.5" style="439" customWidth="1"/>
    <col min="29" max="29" width="18.83203125" style="439" bestFit="1" customWidth="1"/>
    <col min="30" max="30" width="21.1640625" style="439" customWidth="1"/>
    <col min="31" max="32" width="16.1640625" style="439" bestFit="1" customWidth="1"/>
    <col min="33" max="33" width="22" style="439" customWidth="1"/>
    <col min="34" max="34" width="15" style="439" bestFit="1" customWidth="1"/>
    <col min="35" max="35" width="14.33203125" style="439" bestFit="1" customWidth="1"/>
    <col min="36" max="36" width="17.6640625" style="439" customWidth="1"/>
    <col min="37" max="39" width="17" style="439" customWidth="1"/>
    <col min="40" max="40" width="16" style="435" bestFit="1" customWidth="1"/>
    <col min="41" max="41" width="15.33203125" style="439" bestFit="1" customWidth="1"/>
    <col min="42" max="42" width="15" style="439" customWidth="1"/>
    <col min="43" max="43" width="15.1640625" style="439" bestFit="1" customWidth="1"/>
    <col min="44" max="47" width="9.33203125" style="439"/>
    <col min="48" max="48" width="10.83203125" style="439" bestFit="1" customWidth="1"/>
    <col min="49" max="49" width="23.33203125" style="439" bestFit="1" customWidth="1"/>
    <col min="50" max="50" width="16.1640625" style="439" bestFit="1" customWidth="1"/>
    <col min="51" max="51" width="9.5" style="439" bestFit="1" customWidth="1"/>
    <col min="52" max="52" width="10.83203125" style="439" bestFit="1" customWidth="1"/>
    <col min="53" max="53" width="9.5" style="439" bestFit="1" customWidth="1"/>
    <col min="54" max="54" width="10.1640625" style="439" bestFit="1" customWidth="1"/>
    <col min="55" max="55" width="20.5" style="435" bestFit="1" customWidth="1"/>
    <col min="56" max="16384" width="9.33203125" style="439"/>
  </cols>
  <sheetData>
    <row r="1" spans="1:62" s="440" customFormat="1" ht="41.25" customHeight="1">
      <c r="A1" s="433"/>
      <c r="B1" s="433"/>
      <c r="C1" s="433"/>
      <c r="D1" s="434"/>
      <c r="E1" s="434"/>
      <c r="F1" s="435"/>
      <c r="G1" s="435"/>
      <c r="H1" s="435"/>
      <c r="I1" s="435"/>
      <c r="J1" s="435"/>
      <c r="K1" s="436"/>
      <c r="L1" s="436"/>
      <c r="M1" s="436"/>
      <c r="N1" s="436"/>
      <c r="O1" s="436"/>
      <c r="P1" s="437"/>
      <c r="Q1" s="435"/>
      <c r="R1" s="435"/>
      <c r="S1" s="435"/>
      <c r="T1" s="435"/>
      <c r="U1" s="435"/>
      <c r="V1" s="435"/>
      <c r="W1" s="435"/>
      <c r="X1" s="435"/>
      <c r="Y1" s="435"/>
      <c r="Z1" s="435"/>
      <c r="AA1" s="435"/>
      <c r="AB1" s="435"/>
      <c r="AC1" s="435"/>
      <c r="AD1" s="435"/>
      <c r="AE1" s="435"/>
      <c r="AF1" s="435"/>
      <c r="AG1" s="438"/>
      <c r="AH1" s="435"/>
      <c r="AI1" s="435"/>
      <c r="AJ1" s="435"/>
      <c r="AK1" s="435"/>
      <c r="AL1" s="435"/>
      <c r="AM1" s="435"/>
      <c r="AN1" s="435"/>
      <c r="AO1" s="439"/>
      <c r="AP1" s="439"/>
      <c r="AQ1" s="439"/>
      <c r="AR1" s="439"/>
      <c r="AS1" s="439"/>
      <c r="AT1" s="439"/>
      <c r="AU1" s="439"/>
      <c r="AV1" s="1311" t="s">
        <v>625</v>
      </c>
      <c r="AW1" s="1311"/>
      <c r="AX1" s="1311"/>
      <c r="AY1" s="439"/>
      <c r="AZ1" s="439"/>
      <c r="BA1" s="439"/>
      <c r="BB1" s="439"/>
      <c r="BC1" s="435"/>
      <c r="BD1" s="439"/>
      <c r="BE1" s="439"/>
      <c r="BF1" s="439"/>
      <c r="BG1" s="439"/>
      <c r="BH1" s="439"/>
      <c r="BI1" s="439"/>
      <c r="BJ1" s="439"/>
    </row>
    <row r="2" spans="1:62" s="440" customFormat="1" ht="16.5" customHeight="1">
      <c r="A2" s="433"/>
      <c r="B2" s="433"/>
      <c r="C2" s="433"/>
      <c r="D2" s="434"/>
      <c r="E2" s="434"/>
      <c r="F2" s="435"/>
      <c r="G2" s="435"/>
      <c r="H2" s="435"/>
      <c r="I2" s="435"/>
      <c r="J2" s="435"/>
      <c r="K2" s="436"/>
      <c r="L2" s="436"/>
      <c r="M2" s="436"/>
      <c r="N2" s="436"/>
      <c r="O2" s="436"/>
      <c r="P2" s="436"/>
      <c r="Q2" s="435"/>
      <c r="R2" s="435"/>
      <c r="S2" s="435"/>
      <c r="T2" s="435"/>
      <c r="U2" s="435"/>
      <c r="V2" s="435"/>
      <c r="W2" s="435"/>
      <c r="X2" s="435"/>
      <c r="Y2" s="435"/>
      <c r="Z2" s="435"/>
      <c r="AA2" s="435"/>
      <c r="AB2" s="435"/>
      <c r="AC2" s="435"/>
      <c r="AD2" s="435"/>
      <c r="AE2" s="435"/>
      <c r="AF2" s="435"/>
      <c r="AG2" s="438"/>
      <c r="AH2" s="442"/>
      <c r="AI2" s="442"/>
      <c r="AJ2" s="442"/>
      <c r="AK2" s="443"/>
      <c r="AL2" s="442"/>
      <c r="AM2" s="435"/>
      <c r="AN2" s="435"/>
      <c r="AO2" s="439"/>
      <c r="AP2" s="439"/>
      <c r="AQ2" s="439"/>
      <c r="AR2" s="439"/>
      <c r="AS2" s="439"/>
      <c r="AT2" s="439"/>
      <c r="AU2" s="439"/>
      <c r="AV2" s="1311"/>
      <c r="AW2" s="1311"/>
      <c r="AX2" s="1311"/>
      <c r="AY2" s="439"/>
      <c r="AZ2" s="439"/>
      <c r="BA2" s="439"/>
      <c r="BB2" s="439"/>
      <c r="BC2" s="435"/>
      <c r="BD2" s="439"/>
      <c r="BE2" s="439"/>
      <c r="BF2" s="439"/>
      <c r="BG2" s="439"/>
      <c r="BH2" s="439"/>
      <c r="BI2" s="439"/>
      <c r="BJ2" s="439"/>
    </row>
    <row r="3" spans="1:62" s="440" customFormat="1" ht="36.75">
      <c r="A3" s="433" t="s">
        <v>33</v>
      </c>
      <c r="B3" s="433" t="s">
        <v>71</v>
      </c>
      <c r="C3" s="433" t="s">
        <v>858</v>
      </c>
      <c r="D3" s="434" t="s">
        <v>34</v>
      </c>
      <c r="E3" s="434" t="s">
        <v>50</v>
      </c>
      <c r="F3" s="480" t="s">
        <v>51</v>
      </c>
      <c r="G3" s="444" t="s">
        <v>626</v>
      </c>
      <c r="H3" s="444" t="s">
        <v>627</v>
      </c>
      <c r="I3" s="444" t="s">
        <v>628</v>
      </c>
      <c r="J3" s="444" t="s">
        <v>35</v>
      </c>
      <c r="K3" s="446" t="s">
        <v>1377</v>
      </c>
      <c r="L3" s="446" t="s">
        <v>1374</v>
      </c>
      <c r="M3" s="446" t="s">
        <v>1375</v>
      </c>
      <c r="N3" s="446" t="s">
        <v>1376</v>
      </c>
      <c r="O3" s="446" t="s">
        <v>1378</v>
      </c>
      <c r="P3" s="446" t="s">
        <v>1379</v>
      </c>
      <c r="Q3" s="444" t="s">
        <v>36</v>
      </c>
      <c r="R3" s="445" t="s">
        <v>629</v>
      </c>
      <c r="S3" s="444" t="s">
        <v>630</v>
      </c>
      <c r="T3" s="444" t="s">
        <v>631</v>
      </c>
      <c r="U3" s="444" t="s">
        <v>1266</v>
      </c>
      <c r="V3" s="445" t="s">
        <v>1143</v>
      </c>
      <c r="W3" s="445" t="s">
        <v>1144</v>
      </c>
      <c r="X3" s="445" t="s">
        <v>649</v>
      </c>
      <c r="Y3" s="444" t="s">
        <v>37</v>
      </c>
      <c r="Z3" s="445" t="s">
        <v>448</v>
      </c>
      <c r="AA3" s="444" t="s">
        <v>38</v>
      </c>
      <c r="AB3" s="444" t="s">
        <v>39</v>
      </c>
      <c r="AC3" s="444" t="s">
        <v>40</v>
      </c>
      <c r="AD3" s="444" t="s">
        <v>41</v>
      </c>
      <c r="AE3" s="444" t="s">
        <v>42</v>
      </c>
      <c r="AF3" s="444" t="s">
        <v>43</v>
      </c>
      <c r="AG3" s="483" t="s">
        <v>44</v>
      </c>
      <c r="AH3" s="434" t="s">
        <v>45</v>
      </c>
      <c r="AI3" s="434" t="s">
        <v>46</v>
      </c>
      <c r="AJ3" s="434" t="s">
        <v>47</v>
      </c>
      <c r="AK3" s="434" t="s">
        <v>48</v>
      </c>
      <c r="AL3" s="434" t="s">
        <v>49</v>
      </c>
      <c r="AM3" s="484" t="s">
        <v>632</v>
      </c>
      <c r="AN3" s="444" t="s">
        <v>633</v>
      </c>
      <c r="AO3" s="434" t="s">
        <v>634</v>
      </c>
      <c r="AP3" s="440" t="s">
        <v>1266</v>
      </c>
      <c r="AQ3" s="440" t="s">
        <v>1267</v>
      </c>
      <c r="AV3" s="439" t="s">
        <v>635</v>
      </c>
      <c r="AW3" s="447" t="s">
        <v>636</v>
      </c>
      <c r="AX3" s="439" t="s">
        <v>637</v>
      </c>
      <c r="AY3" s="440" t="s">
        <v>638</v>
      </c>
      <c r="AZ3" s="440" t="s">
        <v>50</v>
      </c>
      <c r="BA3" s="440">
        <v>39</v>
      </c>
      <c r="BC3" s="492"/>
    </row>
    <row r="4" spans="1:62" hidden="1">
      <c r="A4" s="448">
        <v>1</v>
      </c>
      <c r="B4" s="448" t="str">
        <f t="shared" ref="B4:B67" si="0">TEXT(AV4,"mmm yyyy")</f>
        <v>Jan 2016</v>
      </c>
      <c r="C4" s="448" t="s">
        <v>18</v>
      </c>
      <c r="D4" s="449" t="str">
        <f t="shared" ref="D4:D67" si="1">BB4</f>
        <v>RTS</v>
      </c>
      <c r="E4" s="449" t="str">
        <f t="shared" ref="E4:E67" si="2">AZ4</f>
        <v>KUCIE550</v>
      </c>
      <c r="F4" s="450">
        <f t="shared" ref="F4:F67" si="3">SUMIFS(_1022_Count,_1022_RevenueMonth,$B4,_1022_RateCategory,$E4)</f>
        <v>32</v>
      </c>
      <c r="G4" s="450">
        <v>0</v>
      </c>
      <c r="H4" s="450">
        <v>0</v>
      </c>
      <c r="I4" s="450">
        <v>0</v>
      </c>
      <c r="J4" s="450">
        <f t="shared" ref="J4:J67" si="4">SUMIFS(_1022_KWH,_1022_RevenueMonth,$B4,_1022_RateCategory,$E4)</f>
        <v>138414540</v>
      </c>
      <c r="K4" s="482">
        <f t="shared" ref="K4:K67" si="5">SUMIFS(_1022_Measured_KVA_Base,_1022_RevenueMonth,$B4,_1022_RateCategory,$E4)</f>
        <v>307323</v>
      </c>
      <c r="L4" s="482">
        <f t="shared" ref="L4:L67" si="6">SUMIFS(_1022_Measured_KVA_Inter,_1022_RevenueMonth,$B4,_1022_RateCategory,$E4)</f>
        <v>296170</v>
      </c>
      <c r="M4" s="482">
        <f t="shared" ref="M4:M67" si="7">SUMIFS(_1022_Measured_KVA_Peak,_1022_RevenueMonth,$B4,_1022_RateCategory,$E4)</f>
        <v>284455</v>
      </c>
      <c r="N4" s="482">
        <f t="shared" ref="N4:N67" si="8">SUMIFS(_1022_Demand_Base,_1022_RevenueMonth,$B4,_1022_RateCategory,$E4)</f>
        <v>0</v>
      </c>
      <c r="O4" s="482">
        <f t="shared" ref="O4:O67" si="9">SUMIFS(_1022_Demand_Intermediate,_1022_RevenueMonth,$B4,_1022_RateCategory,$E4)</f>
        <v>0</v>
      </c>
      <c r="P4" s="482">
        <f t="shared" ref="P4:P67" si="10">SUMIFS(_1022_Demand_Peak,_1022_RevenueMonth,$B4,_1022_RateCategory,$E4)</f>
        <v>0</v>
      </c>
      <c r="Q4" s="451">
        <f t="shared" ref="Q4:Q67" si="11">SUMIF(_Rates_Tariff_Category,$AW4,_Rates_BasicServiceCharge)</f>
        <v>750</v>
      </c>
      <c r="R4" s="452">
        <f t="shared" ref="R4:R67" si="12">SUMIF(_Rates_Tariff_Category,$AW4,_Rates_Energy)</f>
        <v>3.6339999999999997E-2</v>
      </c>
      <c r="S4" s="452">
        <v>0</v>
      </c>
      <c r="T4" s="452">
        <v>0</v>
      </c>
      <c r="U4" s="452">
        <f t="shared" ref="U4:U67" si="13">SUMIF(_Rates_Tariff_Category,$AW4,_Rates_FAC_Energy)</f>
        <v>2.8920000000000001E-2</v>
      </c>
      <c r="V4" s="451">
        <f t="shared" ref="V4:V67" si="14">SUMIF(_Rates_Tariff_Category,$AW4,_Rates_Demand_Base)</f>
        <v>1.34</v>
      </c>
      <c r="W4" s="451">
        <f t="shared" ref="W4:W67" si="15">SUMIF(_Rates_Tariff_Category,$AW4,_Rates_Demand_Intermediate)</f>
        <v>2.87</v>
      </c>
      <c r="X4" s="451">
        <f t="shared" ref="X4:X67" si="16">SUMIF(_Rates_Tariff_Category,$AW4,_Rates_Demand_Peak)</f>
        <v>3.97</v>
      </c>
      <c r="Y4" s="453">
        <f t="shared" ref="Y4:Y67" si="17">ROUND($F4*$Q4,2)</f>
        <v>24000</v>
      </c>
      <c r="Z4" s="453">
        <f t="shared" ref="Z4:Z67" si="18">ROUND(IF(G4=0,J4*R4,SUMPRODUCT(G4:I4,R4:T4)),2)</f>
        <v>5029984.38</v>
      </c>
      <c r="AA4" s="453">
        <f t="shared" ref="AA4:AA67" si="19">ROUND($K4*$V4,2)</f>
        <v>411812.82</v>
      </c>
      <c r="AB4" s="453">
        <f t="shared" ref="AB4:AB67" si="20">ROUND($L4*$W4,2)</f>
        <v>850007.9</v>
      </c>
      <c r="AC4" s="453">
        <f t="shared" ref="AC4:AC67" si="21">ROUND($M4*$X4,2)</f>
        <v>1129286.3500000001</v>
      </c>
      <c r="AD4" s="453">
        <f t="shared" ref="AD4:AD67" si="22">SUM(AA4:AC4)</f>
        <v>2391107.0700000003</v>
      </c>
      <c r="AE4" s="493">
        <f t="shared" ref="AE4:AE67" si="23">SUM(Y4:AC4)</f>
        <v>7445091.4500000011</v>
      </c>
      <c r="AF4" s="453">
        <f t="shared" ref="AF4:AF67" si="24">AM4-SUM(AH4:AL4)</f>
        <v>7445093</v>
      </c>
      <c r="AG4" s="494">
        <f t="shared" ref="AG4:AG67" si="25">IF(AND(AE4=0,AF4=0),1,IF(AE4=0,0,AF4/AE4))</f>
        <v>1.000000208190861</v>
      </c>
      <c r="AH4" s="454">
        <f t="shared" ref="AH4:AH67" si="26">SUMIFS(_SBR_FAC,_SBR_Revenue_Month,$B4,_SBR_Rate_Category,$E4)</f>
        <v>438340</v>
      </c>
      <c r="AI4" s="454">
        <f t="shared" ref="AI4:AI67" si="27">SUMIFS(_SBR_DSM,_SBR_Revenue_Month,$B4,_SBR_Rate_Category,$E4)</f>
        <v>0</v>
      </c>
      <c r="AJ4" s="454">
        <f t="shared" ref="AJ4:AJ67" si="28">SUMIFS(_SBR_ECR,_SBR_Revenue_Month,$B4,_SBR_Rate_Category,$E4)</f>
        <v>635559</v>
      </c>
      <c r="AK4" s="454">
        <f t="shared" ref="AK4:AK67" si="29">SUMIFS(_SBR_MSR,_SBR_Revenue_Month,$B4,_SBR_Rate_Category,$E4)</f>
        <v>0</v>
      </c>
      <c r="AL4" s="454">
        <f t="shared" ref="AL4:AL67" si="30">SUMIFS(_SBR_CSR,_SBR_Revenue_Month,$B4,_SBR_Rate_Category,$E4)</f>
        <v>0</v>
      </c>
      <c r="AM4" s="454">
        <f t="shared" ref="AM4:AM67" si="31">SUMIFS(_SBR_Revenue_Actual,_SBR_Revenue_Month,$B4,_SBR_Rate_Category,$E4)</f>
        <v>8518992</v>
      </c>
      <c r="AN4" s="491">
        <f t="shared" ref="AN4:AN67" si="32">SUM(AE4,AH4:AL4)</f>
        <v>8518990.4500000011</v>
      </c>
      <c r="AO4" s="487">
        <f t="shared" ref="AO4:AO67" si="33">AM4-AN4</f>
        <v>1.5499999988824129</v>
      </c>
      <c r="AP4" s="495">
        <f t="shared" ref="AP4:AP67" si="34">ROUND($J4*$U4,2)</f>
        <v>4002948.5</v>
      </c>
      <c r="AQ4" s="496">
        <f t="shared" ref="AQ4:AQ67" si="35">Z4-AP4</f>
        <v>1027035.8799999999</v>
      </c>
      <c r="AU4" s="439" t="str">
        <f>TEXT(AV4,"mmm yyyy")</f>
        <v>Jan 2016</v>
      </c>
      <c r="AV4" s="456">
        <f>MiscData!$A$5</f>
        <v>42400</v>
      </c>
      <c r="AW4" s="448" t="str">
        <f t="shared" ref="AW4:AW67" si="36">CONCATENATE(AY4&amp;AZ4)</f>
        <v>20140101KUCIE550</v>
      </c>
      <c r="AX4" s="457" t="str">
        <f t="shared" ref="AX4:AX67" si="37">CONCATENATE(AY4&amp;BB4)</f>
        <v>20140101RTS</v>
      </c>
      <c r="AY4" s="439">
        <f>IF(AV4&lt;=MiscData!$B$23,MiscData!$C$23,IF(AV4&lt;=MiscData!$B$24,MiscData!$C$24,MiscData!$C$25))</f>
        <v>20140101</v>
      </c>
      <c r="AZ4" s="497" t="str">
        <f>MiscData!$W$4</f>
        <v>KUCIE550</v>
      </c>
      <c r="BA4" s="439">
        <f>IF(BA3=MiscData!$V$42,1,BA3+1)</f>
        <v>1</v>
      </c>
      <c r="BB4" s="439" t="str">
        <f>VLOOKUP(AZ4,MiscData!$W$4:$Y$42,3,FALSE)</f>
        <v>RTS</v>
      </c>
    </row>
    <row r="5" spans="1:62" hidden="1">
      <c r="A5" s="448">
        <f t="shared" ref="A5:A30" si="38">A4+1</f>
        <v>2</v>
      </c>
      <c r="B5" s="448" t="str">
        <f t="shared" si="0"/>
        <v>Jan 2016</v>
      </c>
      <c r="C5" s="448" t="s">
        <v>25</v>
      </c>
      <c r="D5" s="449" t="str">
        <f t="shared" si="1"/>
        <v>PSP</v>
      </c>
      <c r="E5" s="449" t="str">
        <f t="shared" si="2"/>
        <v>KUCIE561</v>
      </c>
      <c r="F5" s="450">
        <f t="shared" si="3"/>
        <v>195</v>
      </c>
      <c r="G5" s="450">
        <v>0</v>
      </c>
      <c r="H5" s="450">
        <v>0</v>
      </c>
      <c r="I5" s="450">
        <v>0</v>
      </c>
      <c r="J5" s="450">
        <f t="shared" si="4"/>
        <v>18906207</v>
      </c>
      <c r="K5" s="482">
        <f t="shared" si="5"/>
        <v>0</v>
      </c>
      <c r="L5" s="482">
        <f t="shared" si="6"/>
        <v>54537</v>
      </c>
      <c r="M5" s="482">
        <f t="shared" si="7"/>
        <v>0</v>
      </c>
      <c r="N5" s="482">
        <f t="shared" si="8"/>
        <v>0</v>
      </c>
      <c r="O5" s="482">
        <f t="shared" si="9"/>
        <v>0</v>
      </c>
      <c r="P5" s="482">
        <f t="shared" si="10"/>
        <v>0</v>
      </c>
      <c r="Q5" s="451">
        <f t="shared" si="11"/>
        <v>170</v>
      </c>
      <c r="R5" s="452">
        <f t="shared" si="12"/>
        <v>3.5619999999999999E-2</v>
      </c>
      <c r="S5" s="452">
        <v>0</v>
      </c>
      <c r="T5" s="452">
        <v>0</v>
      </c>
      <c r="U5" s="452">
        <f t="shared" si="13"/>
        <v>2.8920000000000001E-2</v>
      </c>
      <c r="V5" s="451">
        <f t="shared" si="14"/>
        <v>0</v>
      </c>
      <c r="W5" s="451">
        <f t="shared" si="15"/>
        <v>13.18</v>
      </c>
      <c r="X5" s="451">
        <f t="shared" si="16"/>
        <v>15.28</v>
      </c>
      <c r="Y5" s="453">
        <f t="shared" si="17"/>
        <v>33150</v>
      </c>
      <c r="Z5" s="453">
        <f t="shared" si="18"/>
        <v>673439.09</v>
      </c>
      <c r="AA5" s="453">
        <f t="shared" si="19"/>
        <v>0</v>
      </c>
      <c r="AB5" s="453">
        <f t="shared" si="20"/>
        <v>718797.66</v>
      </c>
      <c r="AC5" s="453">
        <f t="shared" si="21"/>
        <v>0</v>
      </c>
      <c r="AD5" s="453">
        <f t="shared" si="22"/>
        <v>718797.66</v>
      </c>
      <c r="AE5" s="493">
        <f t="shared" si="23"/>
        <v>1425386.75</v>
      </c>
      <c r="AF5" s="453">
        <f t="shared" si="24"/>
        <v>1425387</v>
      </c>
      <c r="AG5" s="494">
        <f t="shared" si="25"/>
        <v>1.0000001753909948</v>
      </c>
      <c r="AH5" s="454">
        <f t="shared" si="26"/>
        <v>59873</v>
      </c>
      <c r="AI5" s="454">
        <f t="shared" si="27"/>
        <v>15638</v>
      </c>
      <c r="AJ5" s="454">
        <f t="shared" si="28"/>
        <v>86812</v>
      </c>
      <c r="AK5" s="454">
        <f t="shared" si="29"/>
        <v>0</v>
      </c>
      <c r="AL5" s="454">
        <f t="shared" si="30"/>
        <v>0</v>
      </c>
      <c r="AM5" s="454">
        <f t="shared" si="31"/>
        <v>1587710</v>
      </c>
      <c r="AN5" s="491">
        <f t="shared" si="32"/>
        <v>1587709.75</v>
      </c>
      <c r="AO5" s="487">
        <f t="shared" si="33"/>
        <v>0.25</v>
      </c>
      <c r="AP5" s="495">
        <f t="shared" si="34"/>
        <v>546767.51</v>
      </c>
      <c r="AQ5" s="496">
        <f t="shared" si="35"/>
        <v>126671.57999999996</v>
      </c>
      <c r="AV5" s="459">
        <f>IF(BA5&gt;BA4,AV4,IF(AV4&lt;MiscData!$F$1,EOMONTH(AV4,1),EOMONTH(AV4,-11)))</f>
        <v>42400</v>
      </c>
      <c r="AW5" s="448" t="str">
        <f t="shared" si="36"/>
        <v>20140101KUCIE561</v>
      </c>
      <c r="AX5" s="457" t="str">
        <f t="shared" si="37"/>
        <v>20140101PSP</v>
      </c>
      <c r="AY5" s="439">
        <f>IF(AV5&lt;=MiscData!$B$23,MiscData!$C$23,IF(AV5&lt;=MiscData!$B$24,MiscData!$C$24,MiscData!$C$25))</f>
        <v>20140101</v>
      </c>
      <c r="AZ5" s="439" t="str">
        <f>VLOOKUP(BA5,MiscData!$V$4:$W$42,2,FALSE)</f>
        <v>KUCIE561</v>
      </c>
      <c r="BA5" s="439">
        <f>IF(BA4=MiscData!$V$42,1,BA4+1)</f>
        <v>2</v>
      </c>
      <c r="BB5" s="439" t="str">
        <f>VLOOKUP(AZ5,MiscData!$W$4:$Y$42,3,FALSE)</f>
        <v>PSP</v>
      </c>
    </row>
    <row r="6" spans="1:62" hidden="1">
      <c r="A6" s="448">
        <f t="shared" si="38"/>
        <v>3</v>
      </c>
      <c r="B6" s="448" t="str">
        <f t="shared" si="0"/>
        <v>Jan 2016</v>
      </c>
      <c r="C6" s="448" t="s">
        <v>24</v>
      </c>
      <c r="D6" s="449" t="str">
        <f t="shared" si="1"/>
        <v>PSS</v>
      </c>
      <c r="E6" s="449" t="str">
        <f t="shared" si="2"/>
        <v>KUCIE562</v>
      </c>
      <c r="F6" s="450">
        <f t="shared" si="3"/>
        <v>4650</v>
      </c>
      <c r="G6" s="450">
        <v>0</v>
      </c>
      <c r="H6" s="450">
        <v>0</v>
      </c>
      <c r="I6" s="450">
        <v>0</v>
      </c>
      <c r="J6" s="450">
        <f t="shared" si="4"/>
        <v>174767461</v>
      </c>
      <c r="K6" s="482">
        <f t="shared" si="5"/>
        <v>0</v>
      </c>
      <c r="L6" s="482">
        <f t="shared" si="6"/>
        <v>568331</v>
      </c>
      <c r="M6" s="482">
        <f t="shared" si="7"/>
        <v>0</v>
      </c>
      <c r="N6" s="482">
        <f t="shared" si="8"/>
        <v>0</v>
      </c>
      <c r="O6" s="482">
        <f t="shared" si="9"/>
        <v>0</v>
      </c>
      <c r="P6" s="482">
        <f t="shared" si="10"/>
        <v>0</v>
      </c>
      <c r="Q6" s="451">
        <f t="shared" si="11"/>
        <v>90</v>
      </c>
      <c r="R6" s="452">
        <f t="shared" si="12"/>
        <v>3.5640000000000005E-2</v>
      </c>
      <c r="S6" s="452">
        <v>0</v>
      </c>
      <c r="T6" s="452">
        <v>0</v>
      </c>
      <c r="U6" s="452">
        <f t="shared" si="13"/>
        <v>2.8920000000000001E-2</v>
      </c>
      <c r="V6" s="451">
        <f t="shared" si="14"/>
        <v>0</v>
      </c>
      <c r="W6" s="451">
        <f t="shared" si="15"/>
        <v>13.2</v>
      </c>
      <c r="X6" s="451">
        <f t="shared" si="16"/>
        <v>15.3</v>
      </c>
      <c r="Y6" s="453">
        <f t="shared" si="17"/>
        <v>418500</v>
      </c>
      <c r="Z6" s="453">
        <f t="shared" si="18"/>
        <v>6228712.3099999996</v>
      </c>
      <c r="AA6" s="453">
        <f t="shared" si="19"/>
        <v>0</v>
      </c>
      <c r="AB6" s="453">
        <f t="shared" si="20"/>
        <v>7501969.2000000002</v>
      </c>
      <c r="AC6" s="453">
        <f t="shared" si="21"/>
        <v>0</v>
      </c>
      <c r="AD6" s="453">
        <f t="shared" si="22"/>
        <v>7501969.2000000002</v>
      </c>
      <c r="AE6" s="493">
        <f t="shared" si="23"/>
        <v>14149181.51</v>
      </c>
      <c r="AF6" s="453">
        <f t="shared" si="24"/>
        <v>14149187</v>
      </c>
      <c r="AG6" s="494">
        <f t="shared" si="25"/>
        <v>1.0000003880083097</v>
      </c>
      <c r="AH6" s="454">
        <f t="shared" si="26"/>
        <v>553465</v>
      </c>
      <c r="AI6" s="454">
        <f t="shared" si="27"/>
        <v>144553</v>
      </c>
      <c r="AJ6" s="454">
        <f t="shared" si="28"/>
        <v>802481</v>
      </c>
      <c r="AK6" s="454">
        <f t="shared" si="29"/>
        <v>0</v>
      </c>
      <c r="AL6" s="454">
        <f t="shared" si="30"/>
        <v>0</v>
      </c>
      <c r="AM6" s="454">
        <f t="shared" si="31"/>
        <v>15649686</v>
      </c>
      <c r="AN6" s="491">
        <f t="shared" si="32"/>
        <v>15649680.51</v>
      </c>
      <c r="AO6" s="487">
        <f t="shared" si="33"/>
        <v>5.4900000002235174</v>
      </c>
      <c r="AP6" s="495">
        <f t="shared" si="34"/>
        <v>5054274.97</v>
      </c>
      <c r="AQ6" s="496">
        <f t="shared" si="35"/>
        <v>1174437.3399999999</v>
      </c>
      <c r="AV6" s="459">
        <f>IF(BA6&gt;BA5,AV5,IF(AV5&lt;MiscData!$F$1,EOMONTH(AV5,1),EOMONTH(AV5,-11)))</f>
        <v>42400</v>
      </c>
      <c r="AW6" s="448" t="str">
        <f t="shared" si="36"/>
        <v>20140101KUCIE562</v>
      </c>
      <c r="AX6" s="457" t="str">
        <f t="shared" si="37"/>
        <v>20140101PSS</v>
      </c>
      <c r="AY6" s="439">
        <f>IF(AV6&lt;=MiscData!$B$23,MiscData!$C$23,IF(AV6&lt;=MiscData!$B$24,MiscData!$C$24,MiscData!$C$25))</f>
        <v>20140101</v>
      </c>
      <c r="AZ6" s="439" t="str">
        <f>VLOOKUP(BA6,MiscData!$V$4:$W$42,2,FALSE)</f>
        <v>KUCIE562</v>
      </c>
      <c r="BA6" s="439">
        <f>IF(BA5=MiscData!$V$42,1,BA5+1)</f>
        <v>3</v>
      </c>
      <c r="BB6" s="439" t="str">
        <f>VLOOKUP(AZ6,MiscData!$W$4:$Y$42,3,FALSE)</f>
        <v>PSS</v>
      </c>
    </row>
    <row r="7" spans="1:62" hidden="1">
      <c r="A7" s="448">
        <f t="shared" si="38"/>
        <v>4</v>
      </c>
      <c r="B7" s="448" t="str">
        <f t="shared" si="0"/>
        <v>Jan 2016</v>
      </c>
      <c r="C7" s="448" t="s">
        <v>205</v>
      </c>
      <c r="D7" s="449" t="str">
        <f t="shared" si="1"/>
        <v>TODP</v>
      </c>
      <c r="E7" s="449" t="str">
        <f t="shared" si="2"/>
        <v>KUCIE563</v>
      </c>
      <c r="F7" s="450">
        <f t="shared" si="3"/>
        <v>52</v>
      </c>
      <c r="G7" s="450">
        <v>0</v>
      </c>
      <c r="H7" s="450">
        <v>0</v>
      </c>
      <c r="I7" s="450">
        <v>0</v>
      </c>
      <c r="J7" s="450">
        <f t="shared" si="4"/>
        <v>243518261</v>
      </c>
      <c r="K7" s="482">
        <f t="shared" si="5"/>
        <v>498857</v>
      </c>
      <c r="L7" s="482">
        <f t="shared" si="6"/>
        <v>463847</v>
      </c>
      <c r="M7" s="482">
        <f t="shared" si="7"/>
        <v>457227</v>
      </c>
      <c r="N7" s="482">
        <f t="shared" si="8"/>
        <v>0</v>
      </c>
      <c r="O7" s="482">
        <f t="shared" si="9"/>
        <v>0</v>
      </c>
      <c r="P7" s="482">
        <f t="shared" si="10"/>
        <v>0</v>
      </c>
      <c r="Q7" s="451">
        <f t="shared" si="11"/>
        <v>300</v>
      </c>
      <c r="R7" s="452">
        <f t="shared" si="12"/>
        <v>3.7650000000000003E-2</v>
      </c>
      <c r="S7" s="452">
        <v>0</v>
      </c>
      <c r="T7" s="452">
        <v>0</v>
      </c>
      <c r="U7" s="452">
        <f t="shared" si="13"/>
        <v>2.8920000000000001E-2</v>
      </c>
      <c r="V7" s="451">
        <f t="shared" si="14"/>
        <v>1.71</v>
      </c>
      <c r="W7" s="451">
        <f t="shared" si="15"/>
        <v>2.76</v>
      </c>
      <c r="X7" s="451">
        <f t="shared" si="16"/>
        <v>4.26</v>
      </c>
      <c r="Y7" s="453">
        <f t="shared" si="17"/>
        <v>15600</v>
      </c>
      <c r="Z7" s="453">
        <f t="shared" si="18"/>
        <v>9168462.5299999993</v>
      </c>
      <c r="AA7" s="453">
        <f t="shared" si="19"/>
        <v>853045.47</v>
      </c>
      <c r="AB7" s="453">
        <f t="shared" si="20"/>
        <v>1280217.72</v>
      </c>
      <c r="AC7" s="453">
        <f t="shared" si="21"/>
        <v>1947787.02</v>
      </c>
      <c r="AD7" s="453">
        <f t="shared" si="22"/>
        <v>4081050.21</v>
      </c>
      <c r="AE7" s="493">
        <f t="shared" si="23"/>
        <v>13265112.74</v>
      </c>
      <c r="AF7" s="453">
        <f t="shared" si="24"/>
        <v>13265113</v>
      </c>
      <c r="AG7" s="494">
        <f t="shared" si="25"/>
        <v>1.0000000196002856</v>
      </c>
      <c r="AH7" s="454">
        <f t="shared" si="26"/>
        <v>771189</v>
      </c>
      <c r="AI7" s="454">
        <f t="shared" si="27"/>
        <v>201417</v>
      </c>
      <c r="AJ7" s="454">
        <f t="shared" si="28"/>
        <v>1118165</v>
      </c>
      <c r="AK7" s="454">
        <f t="shared" si="29"/>
        <v>0</v>
      </c>
      <c r="AL7" s="454">
        <f t="shared" si="30"/>
        <v>0</v>
      </c>
      <c r="AM7" s="454">
        <f t="shared" si="31"/>
        <v>15355884</v>
      </c>
      <c r="AN7" s="491">
        <f t="shared" si="32"/>
        <v>15355883.74</v>
      </c>
      <c r="AO7" s="487">
        <f t="shared" si="33"/>
        <v>0.25999999977648258</v>
      </c>
      <c r="AP7" s="495">
        <f t="shared" si="34"/>
        <v>7042548.1100000003</v>
      </c>
      <c r="AQ7" s="496">
        <f t="shared" si="35"/>
        <v>2125914.419999999</v>
      </c>
      <c r="AV7" s="459">
        <f>IF(BA7&gt;BA6,AV6,IF(AV6&lt;MiscData!$F$1,EOMONTH(AV6,1),EOMONTH(AV6,-11)))</f>
        <v>42400</v>
      </c>
      <c r="AW7" s="448" t="str">
        <f t="shared" si="36"/>
        <v>20140101KUCIE563</v>
      </c>
      <c r="AX7" s="457" t="str">
        <f t="shared" si="37"/>
        <v>20140101TODP</v>
      </c>
      <c r="AY7" s="439">
        <f>IF(AV7&lt;=MiscData!$B$23,MiscData!$C$23,IF(AV7&lt;=MiscData!$B$24,MiscData!$C$24,MiscData!$C$25))</f>
        <v>20140101</v>
      </c>
      <c r="AZ7" s="439" t="str">
        <f>VLOOKUP(BA7,MiscData!$V$4:$W$42,2,FALSE)</f>
        <v>KUCIE563</v>
      </c>
      <c r="BA7" s="439">
        <f>IF(BA6=MiscData!$V$42,1,BA6+1)</f>
        <v>4</v>
      </c>
      <c r="BB7" s="439" t="str">
        <f>VLOOKUP(AZ7,MiscData!$W$4:$Y$42,3,FALSE)</f>
        <v>TODP</v>
      </c>
    </row>
    <row r="8" spans="1:62" hidden="1">
      <c r="A8" s="448">
        <f t="shared" si="38"/>
        <v>5</v>
      </c>
      <c r="B8" s="448" t="str">
        <f t="shared" si="0"/>
        <v>Jan 2016</v>
      </c>
      <c r="C8" s="448" t="s">
        <v>25</v>
      </c>
      <c r="D8" s="449" t="str">
        <f t="shared" si="1"/>
        <v>PSP</v>
      </c>
      <c r="E8" s="449" t="str">
        <f t="shared" si="2"/>
        <v>KUCIE566</v>
      </c>
      <c r="F8" s="450">
        <f t="shared" si="3"/>
        <v>0</v>
      </c>
      <c r="G8" s="450">
        <v>0</v>
      </c>
      <c r="H8" s="450">
        <v>0</v>
      </c>
      <c r="I8" s="450">
        <v>0</v>
      </c>
      <c r="J8" s="450">
        <f t="shared" si="4"/>
        <v>0</v>
      </c>
      <c r="K8" s="482">
        <f t="shared" si="5"/>
        <v>0</v>
      </c>
      <c r="L8" s="482">
        <f t="shared" si="6"/>
        <v>0</v>
      </c>
      <c r="M8" s="482">
        <f t="shared" si="7"/>
        <v>0</v>
      </c>
      <c r="N8" s="482">
        <f t="shared" si="8"/>
        <v>0</v>
      </c>
      <c r="O8" s="482">
        <f t="shared" si="9"/>
        <v>0</v>
      </c>
      <c r="P8" s="482">
        <f t="shared" si="10"/>
        <v>0</v>
      </c>
      <c r="Q8" s="451">
        <f t="shared" si="11"/>
        <v>170</v>
      </c>
      <c r="R8" s="452">
        <f t="shared" si="12"/>
        <v>3.5619999999999999E-2</v>
      </c>
      <c r="S8" s="452">
        <v>0</v>
      </c>
      <c r="T8" s="452">
        <v>0</v>
      </c>
      <c r="U8" s="452">
        <f t="shared" si="13"/>
        <v>2.8920000000000001E-2</v>
      </c>
      <c r="V8" s="451">
        <f t="shared" si="14"/>
        <v>0</v>
      </c>
      <c r="W8" s="451">
        <f t="shared" si="15"/>
        <v>13.18</v>
      </c>
      <c r="X8" s="451">
        <f t="shared" si="16"/>
        <v>15.28</v>
      </c>
      <c r="Y8" s="453">
        <f t="shared" si="17"/>
        <v>0</v>
      </c>
      <c r="Z8" s="453">
        <f t="shared" si="18"/>
        <v>0</v>
      </c>
      <c r="AA8" s="453">
        <f t="shared" si="19"/>
        <v>0</v>
      </c>
      <c r="AB8" s="453">
        <f t="shared" si="20"/>
        <v>0</v>
      </c>
      <c r="AC8" s="453">
        <f t="shared" si="21"/>
        <v>0</v>
      </c>
      <c r="AD8" s="453">
        <f t="shared" si="22"/>
        <v>0</v>
      </c>
      <c r="AE8" s="493">
        <f t="shared" si="23"/>
        <v>0</v>
      </c>
      <c r="AF8" s="453">
        <f t="shared" si="24"/>
        <v>0</v>
      </c>
      <c r="AG8" s="494">
        <f t="shared" si="25"/>
        <v>1</v>
      </c>
      <c r="AH8" s="454">
        <f t="shared" si="26"/>
        <v>0</v>
      </c>
      <c r="AI8" s="454">
        <f t="shared" si="27"/>
        <v>0</v>
      </c>
      <c r="AJ8" s="454">
        <f t="shared" si="28"/>
        <v>0</v>
      </c>
      <c r="AK8" s="454">
        <f t="shared" si="29"/>
        <v>0</v>
      </c>
      <c r="AL8" s="454">
        <f t="shared" si="30"/>
        <v>0</v>
      </c>
      <c r="AM8" s="454">
        <f t="shared" si="31"/>
        <v>0</v>
      </c>
      <c r="AN8" s="491">
        <f t="shared" si="32"/>
        <v>0</v>
      </c>
      <c r="AO8" s="487">
        <f t="shared" si="33"/>
        <v>0</v>
      </c>
      <c r="AP8" s="495">
        <f t="shared" si="34"/>
        <v>0</v>
      </c>
      <c r="AQ8" s="496">
        <f t="shared" si="35"/>
        <v>0</v>
      </c>
      <c r="AV8" s="459">
        <f>IF(BA8&gt;BA7,AV7,IF(AV7&lt;MiscData!$F$1,EOMONTH(AV7,1),EOMONTH(AV7,-11)))</f>
        <v>42400</v>
      </c>
      <c r="AW8" s="448" t="str">
        <f t="shared" si="36"/>
        <v>20140101KUCIE566</v>
      </c>
      <c r="AX8" s="457" t="str">
        <f t="shared" si="37"/>
        <v>20140101PSP</v>
      </c>
      <c r="AY8" s="439">
        <f>IF(AV8&lt;=MiscData!$B$23,MiscData!$C$23,IF(AV8&lt;=MiscData!$B$24,MiscData!$C$24,MiscData!$C$25))</f>
        <v>20140101</v>
      </c>
      <c r="AZ8" s="439" t="str">
        <f>VLOOKUP(BA8,MiscData!$V$4:$W$42,2,FALSE)</f>
        <v>KUCIE566</v>
      </c>
      <c r="BA8" s="439">
        <f>IF(BA7=MiscData!$V$42,1,BA7+1)</f>
        <v>5</v>
      </c>
      <c r="BB8" s="439" t="str">
        <f>VLOOKUP(AZ8,MiscData!$W$4:$Y$42,3,FALSE)</f>
        <v>PSP</v>
      </c>
    </row>
    <row r="9" spans="1:62" hidden="1">
      <c r="A9" s="448">
        <f t="shared" si="38"/>
        <v>6</v>
      </c>
      <c r="B9" s="448" t="str">
        <f t="shared" si="0"/>
        <v>Jan 2016</v>
      </c>
      <c r="C9" s="448" t="s">
        <v>24</v>
      </c>
      <c r="D9" s="449" t="str">
        <f t="shared" si="1"/>
        <v>PSS</v>
      </c>
      <c r="E9" s="449" t="str">
        <f t="shared" si="2"/>
        <v>KUCIE568</v>
      </c>
      <c r="F9" s="450">
        <f t="shared" si="3"/>
        <v>0</v>
      </c>
      <c r="G9" s="450">
        <v>0</v>
      </c>
      <c r="H9" s="450">
        <v>0</v>
      </c>
      <c r="I9" s="450">
        <v>0</v>
      </c>
      <c r="J9" s="450">
        <f t="shared" si="4"/>
        <v>0</v>
      </c>
      <c r="K9" s="482">
        <f t="shared" si="5"/>
        <v>0</v>
      </c>
      <c r="L9" s="482">
        <f t="shared" si="6"/>
        <v>0</v>
      </c>
      <c r="M9" s="482">
        <f t="shared" si="7"/>
        <v>0</v>
      </c>
      <c r="N9" s="482">
        <f t="shared" si="8"/>
        <v>0</v>
      </c>
      <c r="O9" s="482">
        <f t="shared" si="9"/>
        <v>0</v>
      </c>
      <c r="P9" s="482">
        <f t="shared" si="10"/>
        <v>0</v>
      </c>
      <c r="Q9" s="451">
        <f t="shared" si="11"/>
        <v>90</v>
      </c>
      <c r="R9" s="452">
        <f t="shared" si="12"/>
        <v>3.5640000000000005E-2</v>
      </c>
      <c r="S9" s="452">
        <v>0</v>
      </c>
      <c r="T9" s="452">
        <v>0</v>
      </c>
      <c r="U9" s="452">
        <f t="shared" si="13"/>
        <v>2.8920000000000001E-2</v>
      </c>
      <c r="V9" s="451">
        <f t="shared" si="14"/>
        <v>0</v>
      </c>
      <c r="W9" s="451">
        <f t="shared" si="15"/>
        <v>13.2</v>
      </c>
      <c r="X9" s="451">
        <f t="shared" si="16"/>
        <v>15.3</v>
      </c>
      <c r="Y9" s="453">
        <f t="shared" si="17"/>
        <v>0</v>
      </c>
      <c r="Z9" s="453">
        <f t="shared" si="18"/>
        <v>0</v>
      </c>
      <c r="AA9" s="453">
        <f t="shared" si="19"/>
        <v>0</v>
      </c>
      <c r="AB9" s="453">
        <f t="shared" si="20"/>
        <v>0</v>
      </c>
      <c r="AC9" s="453">
        <f t="shared" si="21"/>
        <v>0</v>
      </c>
      <c r="AD9" s="453">
        <f t="shared" si="22"/>
        <v>0</v>
      </c>
      <c r="AE9" s="493">
        <f t="shared" si="23"/>
        <v>0</v>
      </c>
      <c r="AF9" s="453">
        <f t="shared" si="24"/>
        <v>0</v>
      </c>
      <c r="AG9" s="494">
        <f t="shared" si="25"/>
        <v>1</v>
      </c>
      <c r="AH9" s="454">
        <f t="shared" si="26"/>
        <v>0</v>
      </c>
      <c r="AI9" s="454">
        <f t="shared" si="27"/>
        <v>0</v>
      </c>
      <c r="AJ9" s="454">
        <f t="shared" si="28"/>
        <v>0</v>
      </c>
      <c r="AK9" s="454">
        <f t="shared" si="29"/>
        <v>0</v>
      </c>
      <c r="AL9" s="454">
        <f t="shared" si="30"/>
        <v>0</v>
      </c>
      <c r="AM9" s="454">
        <f t="shared" si="31"/>
        <v>0</v>
      </c>
      <c r="AN9" s="491">
        <f t="shared" si="32"/>
        <v>0</v>
      </c>
      <c r="AO9" s="487">
        <f t="shared" si="33"/>
        <v>0</v>
      </c>
      <c r="AP9" s="495">
        <f t="shared" si="34"/>
        <v>0</v>
      </c>
      <c r="AQ9" s="496">
        <f t="shared" si="35"/>
        <v>0</v>
      </c>
      <c r="AV9" s="459">
        <f>IF(BA9&gt;BA8,AV8,IF(AV8&lt;MiscData!$F$1,EOMONTH(AV8,1),EOMONTH(AV8,-11)))</f>
        <v>42400</v>
      </c>
      <c r="AW9" s="448" t="str">
        <f t="shared" si="36"/>
        <v>20140101KUCIE568</v>
      </c>
      <c r="AX9" s="457" t="str">
        <f t="shared" si="37"/>
        <v>20140101PSS</v>
      </c>
      <c r="AY9" s="439">
        <f>IF(AV9&lt;=MiscData!$B$23,MiscData!$C$23,IF(AV9&lt;=MiscData!$B$24,MiscData!$C$24,MiscData!$C$25))</f>
        <v>20140101</v>
      </c>
      <c r="AZ9" s="439" t="str">
        <f>VLOOKUP(BA9,MiscData!$V$4:$W$42,2,FALSE)</f>
        <v>KUCIE568</v>
      </c>
      <c r="BA9" s="439">
        <f>IF(BA8=MiscData!$V$42,1,BA8+1)</f>
        <v>6</v>
      </c>
      <c r="BB9" s="439" t="str">
        <f>VLOOKUP(AZ9,MiscData!$W$4:$Y$42,3,FALSE)</f>
        <v>PSS</v>
      </c>
    </row>
    <row r="10" spans="1:62" hidden="1">
      <c r="A10" s="448">
        <f t="shared" si="38"/>
        <v>7</v>
      </c>
      <c r="B10" s="448" t="str">
        <f t="shared" si="0"/>
        <v>Jan 2016</v>
      </c>
      <c r="C10" s="448" t="s">
        <v>205</v>
      </c>
      <c r="D10" s="449" t="str">
        <f t="shared" si="1"/>
        <v>TODP</v>
      </c>
      <c r="E10" s="449" t="str">
        <f t="shared" si="2"/>
        <v>KUCIE571</v>
      </c>
      <c r="F10" s="450">
        <f t="shared" si="3"/>
        <v>203</v>
      </c>
      <c r="G10" s="450">
        <v>0</v>
      </c>
      <c r="H10" s="450">
        <v>0</v>
      </c>
      <c r="I10" s="450">
        <v>0</v>
      </c>
      <c r="J10" s="450">
        <f t="shared" si="4"/>
        <v>102170247</v>
      </c>
      <c r="K10" s="482">
        <f t="shared" si="5"/>
        <v>258078</v>
      </c>
      <c r="L10" s="482">
        <f t="shared" si="6"/>
        <v>245778</v>
      </c>
      <c r="M10" s="482">
        <f t="shared" si="7"/>
        <v>241292</v>
      </c>
      <c r="N10" s="482">
        <f t="shared" si="8"/>
        <v>0</v>
      </c>
      <c r="O10" s="482">
        <f t="shared" si="9"/>
        <v>0</v>
      </c>
      <c r="P10" s="482">
        <f t="shared" si="10"/>
        <v>0</v>
      </c>
      <c r="Q10" s="451">
        <f t="shared" si="11"/>
        <v>300</v>
      </c>
      <c r="R10" s="452">
        <f t="shared" si="12"/>
        <v>3.7650000000000003E-2</v>
      </c>
      <c r="S10" s="452">
        <v>0</v>
      </c>
      <c r="T10" s="452">
        <v>0</v>
      </c>
      <c r="U10" s="452">
        <f t="shared" si="13"/>
        <v>2.8920000000000001E-2</v>
      </c>
      <c r="V10" s="451">
        <f t="shared" si="14"/>
        <v>1.71</v>
      </c>
      <c r="W10" s="451">
        <f t="shared" si="15"/>
        <v>2.76</v>
      </c>
      <c r="X10" s="451">
        <f t="shared" si="16"/>
        <v>4.26</v>
      </c>
      <c r="Y10" s="453">
        <f t="shared" si="17"/>
        <v>60900</v>
      </c>
      <c r="Z10" s="453">
        <f t="shared" si="18"/>
        <v>3846709.8</v>
      </c>
      <c r="AA10" s="453">
        <f t="shared" si="19"/>
        <v>441313.38</v>
      </c>
      <c r="AB10" s="453">
        <f t="shared" si="20"/>
        <v>678347.28</v>
      </c>
      <c r="AC10" s="453">
        <f t="shared" si="21"/>
        <v>1027903.92</v>
      </c>
      <c r="AD10" s="453">
        <f t="shared" si="22"/>
        <v>2147564.58</v>
      </c>
      <c r="AE10" s="493">
        <f t="shared" si="23"/>
        <v>6055174.3799999999</v>
      </c>
      <c r="AF10" s="453">
        <f t="shared" si="24"/>
        <v>6055174</v>
      </c>
      <c r="AG10" s="494">
        <f t="shared" si="25"/>
        <v>0.99999993724375613</v>
      </c>
      <c r="AH10" s="454">
        <f t="shared" si="26"/>
        <v>323559</v>
      </c>
      <c r="AI10" s="454">
        <f t="shared" si="27"/>
        <v>84506</v>
      </c>
      <c r="AJ10" s="454">
        <f t="shared" si="28"/>
        <v>469136</v>
      </c>
      <c r="AK10" s="454">
        <f t="shared" si="29"/>
        <v>0</v>
      </c>
      <c r="AL10" s="454">
        <f t="shared" si="30"/>
        <v>0</v>
      </c>
      <c r="AM10" s="454">
        <f t="shared" si="31"/>
        <v>6932375</v>
      </c>
      <c r="AN10" s="491">
        <f t="shared" si="32"/>
        <v>6932375.3799999999</v>
      </c>
      <c r="AO10" s="487">
        <f t="shared" si="33"/>
        <v>-0.37999999988824129</v>
      </c>
      <c r="AP10" s="495">
        <f t="shared" si="34"/>
        <v>2954763.54</v>
      </c>
      <c r="AQ10" s="496">
        <f t="shared" si="35"/>
        <v>891946.25999999978</v>
      </c>
      <c r="AV10" s="459">
        <f>IF(BA10&gt;BA9,AV9,IF(AV9&lt;MiscData!$F$1,EOMONTH(AV9,1),EOMONTH(AV9,-11)))</f>
        <v>42400</v>
      </c>
      <c r="AW10" s="448" t="str">
        <f t="shared" si="36"/>
        <v>20140101KUCIE571</v>
      </c>
      <c r="AX10" s="457" t="str">
        <f t="shared" si="37"/>
        <v>20140101TODP</v>
      </c>
      <c r="AY10" s="439">
        <f>IF(AV10&lt;=MiscData!$B$23,MiscData!$C$23,IF(AV10&lt;=MiscData!$B$24,MiscData!$C$24,MiscData!$C$25))</f>
        <v>20140101</v>
      </c>
      <c r="AZ10" s="439" t="str">
        <f>VLOOKUP(BA10,MiscData!$V$4:$W$42,2,FALSE)</f>
        <v>KUCIE571</v>
      </c>
      <c r="BA10" s="439">
        <f>IF(BA9=MiscData!$V$42,1,BA9+1)</f>
        <v>7</v>
      </c>
      <c r="BB10" s="439" t="str">
        <f>VLOOKUP(AZ10,MiscData!$W$4:$Y$42,3,FALSE)</f>
        <v>TODP</v>
      </c>
    </row>
    <row r="11" spans="1:62" hidden="1">
      <c r="A11" s="448">
        <f t="shared" si="38"/>
        <v>8</v>
      </c>
      <c r="B11" s="448" t="str">
        <f t="shared" si="0"/>
        <v>Jan 2016</v>
      </c>
      <c r="C11" s="448" t="s">
        <v>204</v>
      </c>
      <c r="D11" s="449" t="str">
        <f t="shared" si="1"/>
        <v>TODS</v>
      </c>
      <c r="E11" s="449" t="str">
        <f t="shared" si="2"/>
        <v>KUCIE572</v>
      </c>
      <c r="F11" s="450">
        <f t="shared" si="3"/>
        <v>467</v>
      </c>
      <c r="G11" s="450">
        <v>0</v>
      </c>
      <c r="H11" s="450">
        <v>0</v>
      </c>
      <c r="I11" s="450">
        <v>0</v>
      </c>
      <c r="J11" s="450">
        <f t="shared" si="4"/>
        <v>133726084</v>
      </c>
      <c r="K11" s="482">
        <f t="shared" si="5"/>
        <v>326881</v>
      </c>
      <c r="L11" s="482">
        <f t="shared" si="6"/>
        <v>297724</v>
      </c>
      <c r="M11" s="482">
        <f t="shared" si="7"/>
        <v>291055</v>
      </c>
      <c r="N11" s="482">
        <f t="shared" si="8"/>
        <v>0</v>
      </c>
      <c r="O11" s="482">
        <f t="shared" si="9"/>
        <v>0</v>
      </c>
      <c r="P11" s="482">
        <f t="shared" si="10"/>
        <v>0</v>
      </c>
      <c r="Q11" s="451">
        <f t="shared" si="11"/>
        <v>200</v>
      </c>
      <c r="R11" s="452">
        <f t="shared" si="12"/>
        <v>3.773E-2</v>
      </c>
      <c r="S11" s="452">
        <v>0</v>
      </c>
      <c r="T11" s="452">
        <v>0</v>
      </c>
      <c r="U11" s="452">
        <f t="shared" si="13"/>
        <v>2.8920000000000001E-2</v>
      </c>
      <c r="V11" s="451">
        <f t="shared" si="14"/>
        <v>3.62</v>
      </c>
      <c r="W11" s="451">
        <f t="shared" si="15"/>
        <v>2.95</v>
      </c>
      <c r="X11" s="451">
        <f t="shared" si="16"/>
        <v>4.55</v>
      </c>
      <c r="Y11" s="453">
        <f t="shared" si="17"/>
        <v>93400</v>
      </c>
      <c r="Z11" s="453">
        <f t="shared" si="18"/>
        <v>5045485.1500000004</v>
      </c>
      <c r="AA11" s="453">
        <f t="shared" si="19"/>
        <v>1183309.22</v>
      </c>
      <c r="AB11" s="453">
        <f t="shared" si="20"/>
        <v>878285.8</v>
      </c>
      <c r="AC11" s="453">
        <f t="shared" si="21"/>
        <v>1324300.25</v>
      </c>
      <c r="AD11" s="453">
        <f t="shared" si="22"/>
        <v>3385895.27</v>
      </c>
      <c r="AE11" s="493">
        <f t="shared" si="23"/>
        <v>8524780.4199999999</v>
      </c>
      <c r="AF11" s="453">
        <f t="shared" si="24"/>
        <v>8524780</v>
      </c>
      <c r="AG11" s="494">
        <f t="shared" si="25"/>
        <v>0.99999995073186887</v>
      </c>
      <c r="AH11" s="454">
        <f t="shared" si="26"/>
        <v>423492</v>
      </c>
      <c r="AI11" s="454">
        <f t="shared" si="27"/>
        <v>110607</v>
      </c>
      <c r="AJ11" s="454">
        <f t="shared" si="28"/>
        <v>614031</v>
      </c>
      <c r="AK11" s="454">
        <f t="shared" si="29"/>
        <v>0</v>
      </c>
      <c r="AL11" s="454">
        <f t="shared" si="30"/>
        <v>0</v>
      </c>
      <c r="AM11" s="454">
        <f t="shared" si="31"/>
        <v>9672910</v>
      </c>
      <c r="AN11" s="491">
        <f t="shared" si="32"/>
        <v>9672910.4199999999</v>
      </c>
      <c r="AO11" s="487">
        <f t="shared" si="33"/>
        <v>-0.41999999992549419</v>
      </c>
      <c r="AP11" s="495">
        <f t="shared" si="34"/>
        <v>3867358.35</v>
      </c>
      <c r="AQ11" s="496">
        <f t="shared" si="35"/>
        <v>1178126.8000000003</v>
      </c>
      <c r="AV11" s="459">
        <f>IF(BA11&gt;BA10,AV10,IF(AV10&lt;MiscData!$F$1,EOMONTH(AV10,1),EOMONTH(AV10,-11)))</f>
        <v>42400</v>
      </c>
      <c r="AW11" s="448" t="str">
        <f t="shared" si="36"/>
        <v>20140101KUCIE572</v>
      </c>
      <c r="AX11" s="457" t="str">
        <f t="shared" si="37"/>
        <v>20140101TODS</v>
      </c>
      <c r="AY11" s="439">
        <f>IF(AV11&lt;=MiscData!$B$23,MiscData!$C$23,IF(AV11&lt;=MiscData!$B$24,MiscData!$C$24,MiscData!$C$25))</f>
        <v>20140101</v>
      </c>
      <c r="AZ11" s="439" t="str">
        <f>VLOOKUP(BA11,MiscData!$V$4:$W$42,2,FALSE)</f>
        <v>KUCIE572</v>
      </c>
      <c r="BA11" s="439">
        <f>IF(BA10=MiscData!$V$42,1,BA10+1)</f>
        <v>8</v>
      </c>
      <c r="BB11" s="439" t="str">
        <f>VLOOKUP(AZ11,MiscData!$W$4:$Y$42,3,FALSE)</f>
        <v>TODS</v>
      </c>
    </row>
    <row r="12" spans="1:62" hidden="1">
      <c r="A12" s="448">
        <f t="shared" si="38"/>
        <v>9</v>
      </c>
      <c r="B12" s="448" t="str">
        <f t="shared" si="0"/>
        <v>Jan 2016</v>
      </c>
      <c r="C12" s="448" t="s">
        <v>24</v>
      </c>
      <c r="D12" s="449" t="str">
        <f t="shared" si="1"/>
        <v>PSS</v>
      </c>
      <c r="E12" s="449" t="str">
        <f t="shared" si="2"/>
        <v>KUCIE717</v>
      </c>
      <c r="F12" s="450">
        <f t="shared" si="3"/>
        <v>0</v>
      </c>
      <c r="G12" s="450">
        <v>0</v>
      </c>
      <c r="H12" s="450">
        <v>0</v>
      </c>
      <c r="I12" s="450">
        <v>0</v>
      </c>
      <c r="J12" s="450">
        <f t="shared" si="4"/>
        <v>0</v>
      </c>
      <c r="K12" s="482">
        <f t="shared" si="5"/>
        <v>0</v>
      </c>
      <c r="L12" s="482">
        <f t="shared" si="6"/>
        <v>0</v>
      </c>
      <c r="M12" s="482">
        <f t="shared" si="7"/>
        <v>0</v>
      </c>
      <c r="N12" s="482">
        <f t="shared" si="8"/>
        <v>0</v>
      </c>
      <c r="O12" s="482">
        <f t="shared" si="9"/>
        <v>0</v>
      </c>
      <c r="P12" s="482">
        <f t="shared" si="10"/>
        <v>0</v>
      </c>
      <c r="Q12" s="451">
        <f t="shared" si="11"/>
        <v>90</v>
      </c>
      <c r="R12" s="452">
        <f t="shared" si="12"/>
        <v>3.5640000000000005E-2</v>
      </c>
      <c r="S12" s="452">
        <v>0</v>
      </c>
      <c r="T12" s="452">
        <v>0</v>
      </c>
      <c r="U12" s="452">
        <f t="shared" si="13"/>
        <v>2.8920000000000001E-2</v>
      </c>
      <c r="V12" s="451">
        <f t="shared" si="14"/>
        <v>0</v>
      </c>
      <c r="W12" s="451">
        <f t="shared" si="15"/>
        <v>13.2</v>
      </c>
      <c r="X12" s="451">
        <f t="shared" si="16"/>
        <v>15.3</v>
      </c>
      <c r="Y12" s="453">
        <f t="shared" si="17"/>
        <v>0</v>
      </c>
      <c r="Z12" s="453">
        <f t="shared" si="18"/>
        <v>0</v>
      </c>
      <c r="AA12" s="453">
        <f t="shared" si="19"/>
        <v>0</v>
      </c>
      <c r="AB12" s="453">
        <f t="shared" si="20"/>
        <v>0</v>
      </c>
      <c r="AC12" s="453">
        <f t="shared" si="21"/>
        <v>0</v>
      </c>
      <c r="AD12" s="453">
        <f t="shared" si="22"/>
        <v>0</v>
      </c>
      <c r="AE12" s="493">
        <f t="shared" si="23"/>
        <v>0</v>
      </c>
      <c r="AF12" s="453">
        <f t="shared" si="24"/>
        <v>0</v>
      </c>
      <c r="AG12" s="494">
        <f t="shared" si="25"/>
        <v>1</v>
      </c>
      <c r="AH12" s="454">
        <f t="shared" si="26"/>
        <v>0</v>
      </c>
      <c r="AI12" s="454">
        <f t="shared" si="27"/>
        <v>0</v>
      </c>
      <c r="AJ12" s="454">
        <f t="shared" si="28"/>
        <v>0</v>
      </c>
      <c r="AK12" s="454">
        <f t="shared" si="29"/>
        <v>0</v>
      </c>
      <c r="AL12" s="454">
        <f t="shared" si="30"/>
        <v>0</v>
      </c>
      <c r="AM12" s="454">
        <f t="shared" si="31"/>
        <v>0</v>
      </c>
      <c r="AN12" s="491">
        <f t="shared" si="32"/>
        <v>0</v>
      </c>
      <c r="AO12" s="487">
        <f t="shared" si="33"/>
        <v>0</v>
      </c>
      <c r="AP12" s="495">
        <f t="shared" si="34"/>
        <v>0</v>
      </c>
      <c r="AQ12" s="496">
        <f t="shared" si="35"/>
        <v>0</v>
      </c>
      <c r="AV12" s="459">
        <f>IF(BA12&gt;BA11,AV11,IF(AV11&lt;MiscData!$F$1,EOMONTH(AV11,1),EOMONTH(AV11,-11)))</f>
        <v>42400</v>
      </c>
      <c r="AW12" s="448" t="str">
        <f t="shared" si="36"/>
        <v>20140101KUCIE717</v>
      </c>
      <c r="AX12" s="457" t="str">
        <f t="shared" si="37"/>
        <v>20140101PSS</v>
      </c>
      <c r="AY12" s="439">
        <f>IF(AV12&lt;=MiscData!$B$23,MiscData!$C$23,IF(AV12&lt;=MiscData!$B$24,MiscData!$C$24,MiscData!$C$25))</f>
        <v>20140101</v>
      </c>
      <c r="AZ12" s="439" t="str">
        <f>VLOOKUP(BA12,MiscData!$V$4:$W$42,2,FALSE)</f>
        <v>KUCIE717</v>
      </c>
      <c r="BA12" s="439">
        <f>IF(BA11=MiscData!$V$42,1,BA11+1)</f>
        <v>9</v>
      </c>
      <c r="BB12" s="439" t="str">
        <f>VLOOKUP(AZ12,MiscData!$W$4:$Y$42,3,FALSE)</f>
        <v>PSS</v>
      </c>
    </row>
    <row r="13" spans="1:62">
      <c r="A13" s="499">
        <f t="shared" si="38"/>
        <v>10</v>
      </c>
      <c r="B13" s="448" t="str">
        <f t="shared" si="0"/>
        <v>Jan 2016</v>
      </c>
      <c r="C13" s="448" t="s">
        <v>208</v>
      </c>
      <c r="D13" s="449" t="str">
        <f t="shared" si="1"/>
        <v>GS</v>
      </c>
      <c r="E13" s="449" t="str">
        <f t="shared" si="2"/>
        <v>KUCME110</v>
      </c>
      <c r="F13" s="450">
        <f t="shared" si="3"/>
        <v>63537</v>
      </c>
      <c r="G13" s="450">
        <v>0</v>
      </c>
      <c r="H13" s="450">
        <v>0</v>
      </c>
      <c r="I13" s="450">
        <v>0</v>
      </c>
      <c r="J13" s="450">
        <f t="shared" si="4"/>
        <v>75764744</v>
      </c>
      <c r="K13" s="482">
        <f t="shared" si="5"/>
        <v>0</v>
      </c>
      <c r="L13" s="482">
        <f t="shared" si="6"/>
        <v>0</v>
      </c>
      <c r="M13" s="482">
        <f t="shared" si="7"/>
        <v>0</v>
      </c>
      <c r="N13" s="482">
        <f t="shared" si="8"/>
        <v>0</v>
      </c>
      <c r="O13" s="482">
        <f t="shared" si="9"/>
        <v>0</v>
      </c>
      <c r="P13" s="482">
        <f t="shared" si="10"/>
        <v>0</v>
      </c>
      <c r="Q13" s="451">
        <f t="shared" si="11"/>
        <v>20</v>
      </c>
      <c r="R13" s="452">
        <f t="shared" si="12"/>
        <v>9.2249999999999999E-2</v>
      </c>
      <c r="S13" s="452">
        <v>0</v>
      </c>
      <c r="T13" s="452">
        <v>0</v>
      </c>
      <c r="U13" s="452">
        <f t="shared" si="13"/>
        <v>2.8920000000000001E-2</v>
      </c>
      <c r="V13" s="451">
        <f t="shared" si="14"/>
        <v>0</v>
      </c>
      <c r="W13" s="451">
        <f t="shared" si="15"/>
        <v>0</v>
      </c>
      <c r="X13" s="451">
        <f t="shared" si="16"/>
        <v>0</v>
      </c>
      <c r="Y13" s="453">
        <f t="shared" si="17"/>
        <v>1270740</v>
      </c>
      <c r="Z13" s="453">
        <f t="shared" si="18"/>
        <v>6989297.6299999999</v>
      </c>
      <c r="AA13" s="453">
        <f t="shared" si="19"/>
        <v>0</v>
      </c>
      <c r="AB13" s="453">
        <f t="shared" si="20"/>
        <v>0</v>
      </c>
      <c r="AC13" s="453">
        <f t="shared" si="21"/>
        <v>0</v>
      </c>
      <c r="AD13" s="453">
        <f t="shared" si="22"/>
        <v>0</v>
      </c>
      <c r="AE13" s="493">
        <f t="shared" si="23"/>
        <v>8260037.6299999999</v>
      </c>
      <c r="AF13" s="453">
        <f t="shared" si="24"/>
        <v>8260039</v>
      </c>
      <c r="AG13" s="494">
        <f t="shared" si="25"/>
        <v>1.0000001658588087</v>
      </c>
      <c r="AH13" s="454">
        <f t="shared" si="26"/>
        <v>239937</v>
      </c>
      <c r="AI13" s="454">
        <f t="shared" si="27"/>
        <v>62666</v>
      </c>
      <c r="AJ13" s="454">
        <f t="shared" si="28"/>
        <v>347890</v>
      </c>
      <c r="AK13" s="454">
        <f t="shared" si="29"/>
        <v>0</v>
      </c>
      <c r="AL13" s="454">
        <f t="shared" si="30"/>
        <v>0</v>
      </c>
      <c r="AM13" s="454">
        <f t="shared" si="31"/>
        <v>8910532</v>
      </c>
      <c r="AN13" s="491">
        <f t="shared" si="32"/>
        <v>8910530.629999999</v>
      </c>
      <c r="AO13" s="487">
        <f t="shared" si="33"/>
        <v>1.3700000010430813</v>
      </c>
      <c r="AP13" s="495">
        <f t="shared" si="34"/>
        <v>2191116.4</v>
      </c>
      <c r="AQ13" s="496">
        <f t="shared" si="35"/>
        <v>4798181.2300000004</v>
      </c>
      <c r="AV13" s="459">
        <f>IF(BA13&gt;BA12,AV12,IF(AV12&lt;MiscData!$F$1,EOMONTH(AV12,1),EOMONTH(AV12,-11)))</f>
        <v>42400</v>
      </c>
      <c r="AW13" s="448" t="str">
        <f t="shared" si="36"/>
        <v>20140101KUCME110</v>
      </c>
      <c r="AX13" s="457" t="str">
        <f t="shared" si="37"/>
        <v>20140101GS</v>
      </c>
      <c r="AY13" s="439">
        <f>IF(AV13&lt;=MiscData!$B$23,MiscData!$C$23,IF(AV13&lt;=MiscData!$B$24,MiscData!$C$24,MiscData!$C$25))</f>
        <v>20140101</v>
      </c>
      <c r="AZ13" s="439" t="str">
        <f>VLOOKUP(BA13,MiscData!$V$4:$W$42,2,FALSE)</f>
        <v>KUCME110</v>
      </c>
      <c r="BA13" s="439">
        <f>IF(BA12=MiscData!$V$42,1,BA12+1)</f>
        <v>10</v>
      </c>
      <c r="BB13" s="511" t="str">
        <f>VLOOKUP(AZ13,MiscData!$W$4:$Y$42,3,FALSE)</f>
        <v>GS</v>
      </c>
    </row>
    <row r="14" spans="1:62">
      <c r="A14" s="499">
        <f t="shared" si="38"/>
        <v>11</v>
      </c>
      <c r="B14" s="448" t="str">
        <f t="shared" si="0"/>
        <v>Jan 2016</v>
      </c>
      <c r="C14" s="448" t="s">
        <v>208</v>
      </c>
      <c r="D14" s="449" t="str">
        <f t="shared" si="1"/>
        <v>GS</v>
      </c>
      <c r="E14" s="449" t="str">
        <f t="shared" si="2"/>
        <v>KUCME112</v>
      </c>
      <c r="F14" s="450">
        <f t="shared" si="3"/>
        <v>0</v>
      </c>
      <c r="G14" s="450">
        <v>0</v>
      </c>
      <c r="H14" s="450">
        <v>0</v>
      </c>
      <c r="I14" s="450">
        <v>0</v>
      </c>
      <c r="J14" s="450">
        <f t="shared" si="4"/>
        <v>0</v>
      </c>
      <c r="K14" s="482">
        <f t="shared" si="5"/>
        <v>0</v>
      </c>
      <c r="L14" s="482">
        <f t="shared" si="6"/>
        <v>0</v>
      </c>
      <c r="M14" s="482">
        <f t="shared" si="7"/>
        <v>0</v>
      </c>
      <c r="N14" s="482">
        <f t="shared" si="8"/>
        <v>0</v>
      </c>
      <c r="O14" s="482">
        <f t="shared" si="9"/>
        <v>0</v>
      </c>
      <c r="P14" s="482">
        <f t="shared" si="10"/>
        <v>0</v>
      </c>
      <c r="Q14" s="451">
        <f t="shared" si="11"/>
        <v>20</v>
      </c>
      <c r="R14" s="452">
        <f t="shared" si="12"/>
        <v>9.2249999999999999E-2</v>
      </c>
      <c r="S14" s="452">
        <v>0</v>
      </c>
      <c r="T14" s="452">
        <v>0</v>
      </c>
      <c r="U14" s="452">
        <f t="shared" si="13"/>
        <v>2.8920000000000001E-2</v>
      </c>
      <c r="V14" s="451">
        <f t="shared" si="14"/>
        <v>0</v>
      </c>
      <c r="W14" s="451">
        <f t="shared" si="15"/>
        <v>0</v>
      </c>
      <c r="X14" s="451">
        <f t="shared" si="16"/>
        <v>0</v>
      </c>
      <c r="Y14" s="453">
        <f t="shared" si="17"/>
        <v>0</v>
      </c>
      <c r="Z14" s="453">
        <f t="shared" si="18"/>
        <v>0</v>
      </c>
      <c r="AA14" s="453">
        <f t="shared" si="19"/>
        <v>0</v>
      </c>
      <c r="AB14" s="453">
        <f t="shared" si="20"/>
        <v>0</v>
      </c>
      <c r="AC14" s="453">
        <f t="shared" si="21"/>
        <v>0</v>
      </c>
      <c r="AD14" s="453">
        <f t="shared" si="22"/>
        <v>0</v>
      </c>
      <c r="AE14" s="493">
        <f t="shared" si="23"/>
        <v>0</v>
      </c>
      <c r="AF14" s="453">
        <f t="shared" si="24"/>
        <v>0</v>
      </c>
      <c r="AG14" s="494">
        <f t="shared" si="25"/>
        <v>1</v>
      </c>
      <c r="AH14" s="454">
        <f t="shared" si="26"/>
        <v>0</v>
      </c>
      <c r="AI14" s="454">
        <f t="shared" si="27"/>
        <v>0</v>
      </c>
      <c r="AJ14" s="454">
        <f t="shared" si="28"/>
        <v>0</v>
      </c>
      <c r="AK14" s="454">
        <f t="shared" si="29"/>
        <v>0</v>
      </c>
      <c r="AL14" s="454">
        <f t="shared" si="30"/>
        <v>0</v>
      </c>
      <c r="AM14" s="454">
        <f t="shared" si="31"/>
        <v>0</v>
      </c>
      <c r="AN14" s="491">
        <f t="shared" si="32"/>
        <v>0</v>
      </c>
      <c r="AO14" s="487">
        <f t="shared" si="33"/>
        <v>0</v>
      </c>
      <c r="AP14" s="495">
        <f t="shared" si="34"/>
        <v>0</v>
      </c>
      <c r="AQ14" s="496">
        <f t="shared" si="35"/>
        <v>0</v>
      </c>
      <c r="AV14" s="459">
        <f>IF(BA14&gt;BA13,AV13,IF(AV13&lt;MiscData!$F$1,EOMONTH(AV13,1),EOMONTH(AV13,-11)))</f>
        <v>42400</v>
      </c>
      <c r="AW14" s="448" t="str">
        <f t="shared" si="36"/>
        <v>20140101KUCME112</v>
      </c>
      <c r="AX14" s="457" t="str">
        <f t="shared" si="37"/>
        <v>20140101GS</v>
      </c>
      <c r="AY14" s="439">
        <f>IF(AV14&lt;=MiscData!$B$23,MiscData!$C$23,IF(AV14&lt;=MiscData!$B$24,MiscData!$C$24,MiscData!$C$25))</f>
        <v>20140101</v>
      </c>
      <c r="AZ14" s="439" t="str">
        <f>VLOOKUP(BA14,MiscData!$V$4:$W$42,2,FALSE)</f>
        <v>KUCME112</v>
      </c>
      <c r="BA14" s="439">
        <f>IF(BA13=MiscData!$V$42,1,BA13+1)</f>
        <v>11</v>
      </c>
      <c r="BB14" s="511" t="str">
        <f>VLOOKUP(AZ14,MiscData!$W$4:$Y$42,3,FALSE)</f>
        <v>GS</v>
      </c>
    </row>
    <row r="15" spans="1:62">
      <c r="A15" s="499">
        <f t="shared" si="38"/>
        <v>12</v>
      </c>
      <c r="B15" s="448" t="str">
        <f t="shared" si="0"/>
        <v>Jan 2016</v>
      </c>
      <c r="C15" s="448" t="s">
        <v>17</v>
      </c>
      <c r="D15" s="449" t="str">
        <f t="shared" si="1"/>
        <v>GS3</v>
      </c>
      <c r="E15" s="449" t="str">
        <f t="shared" si="2"/>
        <v>KUCME113</v>
      </c>
      <c r="F15" s="450">
        <f t="shared" si="3"/>
        <v>18573</v>
      </c>
      <c r="G15" s="450">
        <v>0</v>
      </c>
      <c r="H15" s="450">
        <v>0</v>
      </c>
      <c r="I15" s="450">
        <v>0</v>
      </c>
      <c r="J15" s="450">
        <f t="shared" si="4"/>
        <v>111271196</v>
      </c>
      <c r="K15" s="482">
        <f t="shared" si="5"/>
        <v>421326</v>
      </c>
      <c r="L15" s="482">
        <f t="shared" si="6"/>
        <v>0</v>
      </c>
      <c r="M15" s="482">
        <f t="shared" si="7"/>
        <v>0</v>
      </c>
      <c r="N15" s="482">
        <f t="shared" si="8"/>
        <v>0</v>
      </c>
      <c r="O15" s="482">
        <f t="shared" si="9"/>
        <v>0</v>
      </c>
      <c r="P15" s="482">
        <f t="shared" si="10"/>
        <v>0</v>
      </c>
      <c r="Q15" s="451">
        <f t="shared" si="11"/>
        <v>35</v>
      </c>
      <c r="R15" s="452">
        <f t="shared" si="12"/>
        <v>9.2249999999999999E-2</v>
      </c>
      <c r="S15" s="452">
        <v>0</v>
      </c>
      <c r="T15" s="452">
        <v>0</v>
      </c>
      <c r="U15" s="452">
        <f t="shared" si="13"/>
        <v>2.8920000000000001E-2</v>
      </c>
      <c r="V15" s="451">
        <f t="shared" si="14"/>
        <v>0</v>
      </c>
      <c r="W15" s="451">
        <f t="shared" si="15"/>
        <v>0</v>
      </c>
      <c r="X15" s="451">
        <f t="shared" si="16"/>
        <v>0</v>
      </c>
      <c r="Y15" s="453">
        <f t="shared" si="17"/>
        <v>650055</v>
      </c>
      <c r="Z15" s="453">
        <f t="shared" si="18"/>
        <v>10264767.83</v>
      </c>
      <c r="AA15" s="453">
        <f t="shared" si="19"/>
        <v>0</v>
      </c>
      <c r="AB15" s="453">
        <f t="shared" si="20"/>
        <v>0</v>
      </c>
      <c r="AC15" s="453">
        <f t="shared" si="21"/>
        <v>0</v>
      </c>
      <c r="AD15" s="453">
        <f t="shared" si="22"/>
        <v>0</v>
      </c>
      <c r="AE15" s="493">
        <f t="shared" si="23"/>
        <v>10914822.83</v>
      </c>
      <c r="AF15" s="453">
        <f t="shared" si="24"/>
        <v>10914819</v>
      </c>
      <c r="AG15" s="494">
        <f t="shared" si="25"/>
        <v>0.99999964910103811</v>
      </c>
      <c r="AH15" s="454">
        <f t="shared" si="26"/>
        <v>352381</v>
      </c>
      <c r="AI15" s="454">
        <f t="shared" si="27"/>
        <v>92034</v>
      </c>
      <c r="AJ15" s="454">
        <f t="shared" si="28"/>
        <v>510925</v>
      </c>
      <c r="AK15" s="454">
        <f t="shared" si="29"/>
        <v>0</v>
      </c>
      <c r="AL15" s="454">
        <f t="shared" si="30"/>
        <v>0</v>
      </c>
      <c r="AM15" s="454">
        <f t="shared" si="31"/>
        <v>11870159</v>
      </c>
      <c r="AN15" s="491">
        <f t="shared" si="32"/>
        <v>11870162.83</v>
      </c>
      <c r="AO15" s="487">
        <f t="shared" si="33"/>
        <v>-3.8300000000745058</v>
      </c>
      <c r="AP15" s="495">
        <f t="shared" si="34"/>
        <v>3217962.99</v>
      </c>
      <c r="AQ15" s="496">
        <f t="shared" si="35"/>
        <v>7046804.8399999999</v>
      </c>
      <c r="AV15" s="459">
        <f>IF(BA15&gt;BA14,AV14,IF(AV14&lt;MiscData!$F$1,EOMONTH(AV14,1),EOMONTH(AV14,-11)))</f>
        <v>42400</v>
      </c>
      <c r="AW15" s="448" t="str">
        <f t="shared" si="36"/>
        <v>20140101KUCME113</v>
      </c>
      <c r="AX15" s="457" t="str">
        <f t="shared" si="37"/>
        <v>20140101GS3</v>
      </c>
      <c r="AY15" s="439">
        <f>IF(AV15&lt;=MiscData!$B$23,MiscData!$C$23,IF(AV15&lt;=MiscData!$B$24,MiscData!$C$24,MiscData!$C$25))</f>
        <v>20140101</v>
      </c>
      <c r="AZ15" s="439" t="str">
        <f>VLOOKUP(BA15,MiscData!$V$4:$W$42,2,FALSE)</f>
        <v>KUCME113</v>
      </c>
      <c r="BA15" s="439">
        <f>IF(BA14=MiscData!$V$42,1,BA14+1)</f>
        <v>12</v>
      </c>
      <c r="BB15" s="511" t="str">
        <f>VLOOKUP(AZ15,MiscData!$W$4:$Y$42,3,FALSE)</f>
        <v>GS3</v>
      </c>
    </row>
    <row r="16" spans="1:62" hidden="1">
      <c r="A16" s="448">
        <f t="shared" si="38"/>
        <v>13</v>
      </c>
      <c r="B16" s="448" t="str">
        <f t="shared" si="0"/>
        <v>Jan 2016</v>
      </c>
      <c r="C16" s="448" t="s">
        <v>203</v>
      </c>
      <c r="D16" s="449" t="str">
        <f t="shared" si="1"/>
        <v>AES</v>
      </c>
      <c r="E16" s="449" t="str">
        <f t="shared" si="2"/>
        <v>KUCME220</v>
      </c>
      <c r="F16" s="450">
        <f t="shared" si="3"/>
        <v>374</v>
      </c>
      <c r="G16" s="450">
        <v>0</v>
      </c>
      <c r="H16" s="450">
        <v>0</v>
      </c>
      <c r="I16" s="450">
        <v>0</v>
      </c>
      <c r="J16" s="450">
        <f t="shared" si="4"/>
        <v>784373</v>
      </c>
      <c r="K16" s="482">
        <f t="shared" si="5"/>
        <v>0</v>
      </c>
      <c r="L16" s="482">
        <f t="shared" si="6"/>
        <v>0</v>
      </c>
      <c r="M16" s="482">
        <f t="shared" si="7"/>
        <v>0</v>
      </c>
      <c r="N16" s="482">
        <f t="shared" si="8"/>
        <v>0</v>
      </c>
      <c r="O16" s="482">
        <f t="shared" si="9"/>
        <v>0</v>
      </c>
      <c r="P16" s="482">
        <f t="shared" si="10"/>
        <v>0</v>
      </c>
      <c r="Q16" s="451">
        <f t="shared" si="11"/>
        <v>20</v>
      </c>
      <c r="R16" s="452">
        <f t="shared" si="12"/>
        <v>7.4399999999999994E-2</v>
      </c>
      <c r="S16" s="452">
        <v>0</v>
      </c>
      <c r="T16" s="452">
        <v>0</v>
      </c>
      <c r="U16" s="452">
        <f t="shared" si="13"/>
        <v>2.8920000000000001E-2</v>
      </c>
      <c r="V16" s="451">
        <f t="shared" si="14"/>
        <v>0</v>
      </c>
      <c r="W16" s="451">
        <f t="shared" si="15"/>
        <v>0</v>
      </c>
      <c r="X16" s="451">
        <f t="shared" si="16"/>
        <v>0</v>
      </c>
      <c r="Y16" s="453">
        <f t="shared" si="17"/>
        <v>7480</v>
      </c>
      <c r="Z16" s="453">
        <f t="shared" si="18"/>
        <v>58357.35</v>
      </c>
      <c r="AA16" s="453">
        <f t="shared" si="19"/>
        <v>0</v>
      </c>
      <c r="AB16" s="453">
        <f t="shared" si="20"/>
        <v>0</v>
      </c>
      <c r="AC16" s="453">
        <f t="shared" si="21"/>
        <v>0</v>
      </c>
      <c r="AD16" s="453">
        <f t="shared" si="22"/>
        <v>0</v>
      </c>
      <c r="AE16" s="493">
        <f t="shared" si="23"/>
        <v>65837.350000000006</v>
      </c>
      <c r="AF16" s="453">
        <f t="shared" si="24"/>
        <v>65837</v>
      </c>
      <c r="AG16" s="494">
        <f t="shared" si="25"/>
        <v>0.99999468386865498</v>
      </c>
      <c r="AH16" s="454">
        <f t="shared" si="26"/>
        <v>2484</v>
      </c>
      <c r="AI16" s="454">
        <f t="shared" si="27"/>
        <v>649</v>
      </c>
      <c r="AJ16" s="454">
        <f t="shared" si="28"/>
        <v>3602</v>
      </c>
      <c r="AK16" s="454">
        <f t="shared" si="29"/>
        <v>0</v>
      </c>
      <c r="AL16" s="454">
        <f t="shared" si="30"/>
        <v>0</v>
      </c>
      <c r="AM16" s="454">
        <f t="shared" si="31"/>
        <v>72572</v>
      </c>
      <c r="AN16" s="491">
        <f t="shared" si="32"/>
        <v>72572.350000000006</v>
      </c>
      <c r="AO16" s="487">
        <f t="shared" si="33"/>
        <v>-0.35000000000582077</v>
      </c>
      <c r="AP16" s="495">
        <f t="shared" si="34"/>
        <v>22684.07</v>
      </c>
      <c r="AQ16" s="496">
        <f t="shared" si="35"/>
        <v>35673.279999999999</v>
      </c>
      <c r="AV16" s="459">
        <f>IF(BA16&gt;BA15,AV15,IF(AV15&lt;MiscData!$F$1,EOMONTH(AV15,1),EOMONTH(AV15,-11)))</f>
        <v>42400</v>
      </c>
      <c r="AW16" s="448" t="str">
        <f t="shared" si="36"/>
        <v>20140101KUCME220</v>
      </c>
      <c r="AX16" s="457" t="str">
        <f t="shared" si="37"/>
        <v>20140101AES</v>
      </c>
      <c r="AY16" s="439">
        <f>IF(AV16&lt;=MiscData!$B$23,MiscData!$C$23,IF(AV16&lt;=MiscData!$B$24,MiscData!$C$24,MiscData!$C$25))</f>
        <v>20140101</v>
      </c>
      <c r="AZ16" s="439" t="str">
        <f>VLOOKUP(BA16,MiscData!$V$4:$W$42,2,FALSE)</f>
        <v>KUCME220</v>
      </c>
      <c r="BA16" s="439">
        <f>IF(BA15=MiscData!$V$42,1,BA15+1)</f>
        <v>13</v>
      </c>
      <c r="BB16" s="439" t="str">
        <f>VLOOKUP(AZ16,MiscData!$W$4:$Y$42,3,FALSE)</f>
        <v>AES</v>
      </c>
    </row>
    <row r="17" spans="1:54" hidden="1">
      <c r="A17" s="448">
        <f t="shared" si="38"/>
        <v>14</v>
      </c>
      <c r="B17" s="448" t="str">
        <f t="shared" si="0"/>
        <v>Jan 2016</v>
      </c>
      <c r="C17" s="448" t="s">
        <v>203</v>
      </c>
      <c r="D17" s="449" t="str">
        <f t="shared" si="1"/>
        <v>AES</v>
      </c>
      <c r="E17" s="449" t="str">
        <f t="shared" si="2"/>
        <v>KUCME221</v>
      </c>
      <c r="F17" s="450">
        <f t="shared" si="3"/>
        <v>0</v>
      </c>
      <c r="G17" s="450">
        <v>0</v>
      </c>
      <c r="H17" s="450">
        <v>0</v>
      </c>
      <c r="I17" s="450">
        <v>0</v>
      </c>
      <c r="J17" s="450">
        <f t="shared" si="4"/>
        <v>0</v>
      </c>
      <c r="K17" s="482">
        <f t="shared" si="5"/>
        <v>0</v>
      </c>
      <c r="L17" s="482">
        <f t="shared" si="6"/>
        <v>0</v>
      </c>
      <c r="M17" s="482">
        <f t="shared" si="7"/>
        <v>0</v>
      </c>
      <c r="N17" s="482">
        <f t="shared" si="8"/>
        <v>0</v>
      </c>
      <c r="O17" s="482">
        <f t="shared" si="9"/>
        <v>0</v>
      </c>
      <c r="P17" s="482">
        <f t="shared" si="10"/>
        <v>0</v>
      </c>
      <c r="Q17" s="451">
        <f t="shared" si="11"/>
        <v>20</v>
      </c>
      <c r="R17" s="452">
        <f t="shared" si="12"/>
        <v>7.4399999999999994E-2</v>
      </c>
      <c r="S17" s="452">
        <v>0</v>
      </c>
      <c r="T17" s="452">
        <v>0</v>
      </c>
      <c r="U17" s="452">
        <f t="shared" si="13"/>
        <v>2.8920000000000001E-2</v>
      </c>
      <c r="V17" s="451">
        <f t="shared" si="14"/>
        <v>0</v>
      </c>
      <c r="W17" s="451">
        <f t="shared" si="15"/>
        <v>0</v>
      </c>
      <c r="X17" s="451">
        <f t="shared" si="16"/>
        <v>0</v>
      </c>
      <c r="Y17" s="453">
        <f t="shared" si="17"/>
        <v>0</v>
      </c>
      <c r="Z17" s="453">
        <f t="shared" si="18"/>
        <v>0</v>
      </c>
      <c r="AA17" s="453">
        <f t="shared" si="19"/>
        <v>0</v>
      </c>
      <c r="AB17" s="453">
        <f t="shared" si="20"/>
        <v>0</v>
      </c>
      <c r="AC17" s="453">
        <f t="shared" si="21"/>
        <v>0</v>
      </c>
      <c r="AD17" s="453">
        <f t="shared" si="22"/>
        <v>0</v>
      </c>
      <c r="AE17" s="493">
        <f t="shared" si="23"/>
        <v>0</v>
      </c>
      <c r="AF17" s="453">
        <f t="shared" si="24"/>
        <v>0</v>
      </c>
      <c r="AG17" s="494">
        <f t="shared" si="25"/>
        <v>1</v>
      </c>
      <c r="AH17" s="454">
        <f t="shared" si="26"/>
        <v>0</v>
      </c>
      <c r="AI17" s="454">
        <f t="shared" si="27"/>
        <v>0</v>
      </c>
      <c r="AJ17" s="454">
        <f t="shared" si="28"/>
        <v>0</v>
      </c>
      <c r="AK17" s="454">
        <f t="shared" si="29"/>
        <v>0</v>
      </c>
      <c r="AL17" s="454">
        <f t="shared" si="30"/>
        <v>0</v>
      </c>
      <c r="AM17" s="454">
        <f t="shared" si="31"/>
        <v>0</v>
      </c>
      <c r="AN17" s="491">
        <f t="shared" si="32"/>
        <v>0</v>
      </c>
      <c r="AO17" s="487">
        <f t="shared" si="33"/>
        <v>0</v>
      </c>
      <c r="AP17" s="495">
        <f t="shared" si="34"/>
        <v>0</v>
      </c>
      <c r="AQ17" s="496">
        <f t="shared" si="35"/>
        <v>0</v>
      </c>
      <c r="AV17" s="459">
        <f>IF(BA17&gt;BA16,AV16,IF(AV16&lt;MiscData!$F$1,EOMONTH(AV16,1),EOMONTH(AV16,-11)))</f>
        <v>42400</v>
      </c>
      <c r="AW17" s="448" t="str">
        <f t="shared" si="36"/>
        <v>20140101KUCME221</v>
      </c>
      <c r="AX17" s="457" t="str">
        <f t="shared" si="37"/>
        <v>20140101AES</v>
      </c>
      <c r="AY17" s="439">
        <f>IF(AV17&lt;=MiscData!$B$23,MiscData!$C$23,IF(AV17&lt;=MiscData!$B$24,MiscData!$C$24,MiscData!$C$25))</f>
        <v>20140101</v>
      </c>
      <c r="AZ17" s="439" t="str">
        <f>VLOOKUP(BA17,MiscData!$V$4:$W$42,2,FALSE)</f>
        <v>KUCME221</v>
      </c>
      <c r="BA17" s="439">
        <f>IF(BA16=MiscData!$V$42,1,BA16+1)</f>
        <v>14</v>
      </c>
      <c r="BB17" s="439" t="str">
        <f>VLOOKUP(AZ17,MiscData!$W$4:$Y$42,3,FALSE)</f>
        <v>AES</v>
      </c>
    </row>
    <row r="18" spans="1:54" hidden="1">
      <c r="A18" s="448">
        <f t="shared" si="38"/>
        <v>15</v>
      </c>
      <c r="B18" s="448" t="str">
        <f t="shared" si="0"/>
        <v>Jan 2016</v>
      </c>
      <c r="C18" s="832" t="s">
        <v>212</v>
      </c>
      <c r="D18" s="449" t="str">
        <f t="shared" si="1"/>
        <v>AES3</v>
      </c>
      <c r="E18" s="449" t="str">
        <f t="shared" si="2"/>
        <v>KUCME223</v>
      </c>
      <c r="F18" s="450">
        <f t="shared" si="3"/>
        <v>0</v>
      </c>
      <c r="G18" s="450">
        <v>0</v>
      </c>
      <c r="H18" s="450">
        <v>0</v>
      </c>
      <c r="I18" s="450">
        <v>0</v>
      </c>
      <c r="J18" s="450">
        <f t="shared" si="4"/>
        <v>0</v>
      </c>
      <c r="K18" s="482">
        <f t="shared" si="5"/>
        <v>0</v>
      </c>
      <c r="L18" s="482">
        <f t="shared" si="6"/>
        <v>0</v>
      </c>
      <c r="M18" s="482">
        <f t="shared" si="7"/>
        <v>0</v>
      </c>
      <c r="N18" s="482">
        <f t="shared" si="8"/>
        <v>0</v>
      </c>
      <c r="O18" s="482">
        <f t="shared" si="9"/>
        <v>0</v>
      </c>
      <c r="P18" s="482">
        <f t="shared" si="10"/>
        <v>0</v>
      </c>
      <c r="Q18" s="451">
        <f t="shared" si="11"/>
        <v>35</v>
      </c>
      <c r="R18" s="452">
        <f t="shared" si="12"/>
        <v>7.4399999999999994E-2</v>
      </c>
      <c r="S18" s="452">
        <v>0</v>
      </c>
      <c r="T18" s="452">
        <v>0</v>
      </c>
      <c r="U18" s="452">
        <f t="shared" si="13"/>
        <v>2.8920000000000001E-2</v>
      </c>
      <c r="V18" s="451">
        <f t="shared" si="14"/>
        <v>0</v>
      </c>
      <c r="W18" s="451">
        <f t="shared" si="15"/>
        <v>0</v>
      </c>
      <c r="X18" s="451">
        <f t="shared" si="16"/>
        <v>0</v>
      </c>
      <c r="Y18" s="453">
        <f t="shared" si="17"/>
        <v>0</v>
      </c>
      <c r="Z18" s="453">
        <f t="shared" si="18"/>
        <v>0</v>
      </c>
      <c r="AA18" s="453">
        <f t="shared" si="19"/>
        <v>0</v>
      </c>
      <c r="AB18" s="453">
        <f t="shared" si="20"/>
        <v>0</v>
      </c>
      <c r="AC18" s="453">
        <f t="shared" si="21"/>
        <v>0</v>
      </c>
      <c r="AD18" s="453">
        <f t="shared" si="22"/>
        <v>0</v>
      </c>
      <c r="AE18" s="493">
        <f t="shared" si="23"/>
        <v>0</v>
      </c>
      <c r="AF18" s="453">
        <f t="shared" si="24"/>
        <v>0</v>
      </c>
      <c r="AG18" s="494">
        <f t="shared" si="25"/>
        <v>1</v>
      </c>
      <c r="AH18" s="454">
        <f t="shared" si="26"/>
        <v>0</v>
      </c>
      <c r="AI18" s="454">
        <f t="shared" si="27"/>
        <v>0</v>
      </c>
      <c r="AJ18" s="454">
        <f t="shared" si="28"/>
        <v>0</v>
      </c>
      <c r="AK18" s="454">
        <f t="shared" si="29"/>
        <v>0</v>
      </c>
      <c r="AL18" s="454">
        <f t="shared" si="30"/>
        <v>0</v>
      </c>
      <c r="AM18" s="454">
        <f t="shared" si="31"/>
        <v>0</v>
      </c>
      <c r="AN18" s="491">
        <f t="shared" si="32"/>
        <v>0</v>
      </c>
      <c r="AO18" s="487">
        <f t="shared" si="33"/>
        <v>0</v>
      </c>
      <c r="AP18" s="495">
        <f t="shared" si="34"/>
        <v>0</v>
      </c>
      <c r="AQ18" s="496">
        <f t="shared" si="35"/>
        <v>0</v>
      </c>
      <c r="AV18" s="459">
        <f>IF(BA18&gt;BA17,AV17,IF(AV17&lt;MiscData!$F$1,EOMONTH(AV17,1),EOMONTH(AV17,-11)))</f>
        <v>42400</v>
      </c>
      <c r="AW18" s="448" t="str">
        <f t="shared" si="36"/>
        <v>20140101KUCME223</v>
      </c>
      <c r="AX18" s="457" t="str">
        <f t="shared" si="37"/>
        <v>20140101AES3</v>
      </c>
      <c r="AY18" s="439">
        <f>IF(AV18&lt;=MiscData!$B$23,MiscData!$C$23,IF(AV18&lt;=MiscData!$B$24,MiscData!$C$24,MiscData!$C$25))</f>
        <v>20140101</v>
      </c>
      <c r="AZ18" s="439" t="str">
        <f>VLOOKUP(BA18,MiscData!$V$4:$W$42,2,FALSE)</f>
        <v>KUCME223</v>
      </c>
      <c r="BA18" s="439">
        <f>IF(BA17=MiscData!$V$42,1,BA17+1)</f>
        <v>15</v>
      </c>
      <c r="BB18" s="439" t="str">
        <f>VLOOKUP(AZ18,MiscData!$W$4:$Y$42,3,FALSE)</f>
        <v>AES3</v>
      </c>
    </row>
    <row r="19" spans="1:54" hidden="1">
      <c r="A19" s="448">
        <f t="shared" si="38"/>
        <v>16</v>
      </c>
      <c r="B19" s="448" t="str">
        <f t="shared" si="0"/>
        <v>Jan 2016</v>
      </c>
      <c r="C19" s="832" t="s">
        <v>212</v>
      </c>
      <c r="D19" s="449" t="str">
        <f t="shared" si="1"/>
        <v>AES3</v>
      </c>
      <c r="E19" s="449" t="str">
        <f t="shared" si="2"/>
        <v>KUCME224</v>
      </c>
      <c r="F19" s="450">
        <f t="shared" si="3"/>
        <v>260</v>
      </c>
      <c r="G19" s="450">
        <v>0</v>
      </c>
      <c r="H19" s="450">
        <v>0</v>
      </c>
      <c r="I19" s="450">
        <v>0</v>
      </c>
      <c r="J19" s="450">
        <f t="shared" si="4"/>
        <v>14537966</v>
      </c>
      <c r="K19" s="482">
        <f t="shared" si="5"/>
        <v>55540</v>
      </c>
      <c r="L19" s="482">
        <f t="shared" si="6"/>
        <v>0</v>
      </c>
      <c r="M19" s="482">
        <f t="shared" si="7"/>
        <v>0</v>
      </c>
      <c r="N19" s="482">
        <f t="shared" si="8"/>
        <v>0</v>
      </c>
      <c r="O19" s="482">
        <f t="shared" si="9"/>
        <v>0</v>
      </c>
      <c r="P19" s="482">
        <f t="shared" si="10"/>
        <v>0</v>
      </c>
      <c r="Q19" s="451">
        <f t="shared" si="11"/>
        <v>35</v>
      </c>
      <c r="R19" s="452">
        <f t="shared" si="12"/>
        <v>7.4399999999999994E-2</v>
      </c>
      <c r="S19" s="452">
        <v>0</v>
      </c>
      <c r="T19" s="452">
        <v>0</v>
      </c>
      <c r="U19" s="452">
        <f t="shared" si="13"/>
        <v>2.8920000000000001E-2</v>
      </c>
      <c r="V19" s="451">
        <f t="shared" si="14"/>
        <v>0</v>
      </c>
      <c r="W19" s="451">
        <f t="shared" si="15"/>
        <v>0</v>
      </c>
      <c r="X19" s="451">
        <f t="shared" si="16"/>
        <v>0</v>
      </c>
      <c r="Y19" s="453">
        <f t="shared" si="17"/>
        <v>9100</v>
      </c>
      <c r="Z19" s="453">
        <f t="shared" si="18"/>
        <v>1081624.67</v>
      </c>
      <c r="AA19" s="453">
        <f t="shared" si="19"/>
        <v>0</v>
      </c>
      <c r="AB19" s="453">
        <f t="shared" si="20"/>
        <v>0</v>
      </c>
      <c r="AC19" s="453">
        <f t="shared" si="21"/>
        <v>0</v>
      </c>
      <c r="AD19" s="453">
        <f t="shared" si="22"/>
        <v>0</v>
      </c>
      <c r="AE19" s="493">
        <f t="shared" si="23"/>
        <v>1090724.67</v>
      </c>
      <c r="AF19" s="453">
        <f t="shared" si="24"/>
        <v>1090724</v>
      </c>
      <c r="AG19" s="494">
        <f t="shared" si="25"/>
        <v>0.99999938572948943</v>
      </c>
      <c r="AH19" s="454">
        <f t="shared" si="26"/>
        <v>46040</v>
      </c>
      <c r="AI19" s="454">
        <f t="shared" si="27"/>
        <v>12025</v>
      </c>
      <c r="AJ19" s="454">
        <f t="shared" si="28"/>
        <v>66754</v>
      </c>
      <c r="AK19" s="454">
        <f t="shared" si="29"/>
        <v>0</v>
      </c>
      <c r="AL19" s="454">
        <f t="shared" si="30"/>
        <v>0</v>
      </c>
      <c r="AM19" s="454">
        <f t="shared" si="31"/>
        <v>1215543</v>
      </c>
      <c r="AN19" s="491">
        <f t="shared" si="32"/>
        <v>1215543.67</v>
      </c>
      <c r="AO19" s="487">
        <f t="shared" si="33"/>
        <v>-0.66999999992549419</v>
      </c>
      <c r="AP19" s="495">
        <f t="shared" si="34"/>
        <v>420437.98</v>
      </c>
      <c r="AQ19" s="496">
        <f t="shared" si="35"/>
        <v>661186.68999999994</v>
      </c>
      <c r="AV19" s="459">
        <f>IF(BA19&gt;BA18,AV18,IF(AV18&lt;MiscData!$F$1,EOMONTH(AV18,1),EOMONTH(AV18,-11)))</f>
        <v>42400</v>
      </c>
      <c r="AW19" s="448" t="str">
        <f t="shared" si="36"/>
        <v>20140101KUCME224</v>
      </c>
      <c r="AX19" s="457" t="str">
        <f t="shared" si="37"/>
        <v>20140101AES3</v>
      </c>
      <c r="AY19" s="439">
        <f>IF(AV19&lt;=MiscData!$B$23,MiscData!$C$23,IF(AV19&lt;=MiscData!$B$24,MiscData!$C$24,MiscData!$C$25))</f>
        <v>20140101</v>
      </c>
      <c r="AZ19" s="439" t="str">
        <f>VLOOKUP(BA19,MiscData!$V$4:$W$42,2,FALSE)</f>
        <v>KUCME224</v>
      </c>
      <c r="BA19" s="439">
        <f>IF(BA18=MiscData!$V$42,1,BA18+1)</f>
        <v>16</v>
      </c>
      <c r="BB19" s="439" t="str">
        <f>VLOOKUP(AZ19,MiscData!$W$4:$Y$42,3,FALSE)</f>
        <v>AES3</v>
      </c>
    </row>
    <row r="20" spans="1:54" hidden="1">
      <c r="A20" s="448">
        <f t="shared" si="38"/>
        <v>17</v>
      </c>
      <c r="B20" s="448" t="str">
        <f t="shared" si="0"/>
        <v>Jan 2016</v>
      </c>
      <c r="C20" s="832" t="s">
        <v>212</v>
      </c>
      <c r="D20" s="449" t="str">
        <f t="shared" si="1"/>
        <v>AES3</v>
      </c>
      <c r="E20" s="449" t="str">
        <f t="shared" si="2"/>
        <v>KUCME225</v>
      </c>
      <c r="F20" s="450">
        <f t="shared" si="3"/>
        <v>0</v>
      </c>
      <c r="G20" s="450">
        <v>0</v>
      </c>
      <c r="H20" s="450">
        <v>0</v>
      </c>
      <c r="I20" s="450">
        <v>0</v>
      </c>
      <c r="J20" s="450">
        <f t="shared" si="4"/>
        <v>0</v>
      </c>
      <c r="K20" s="482">
        <f t="shared" si="5"/>
        <v>0</v>
      </c>
      <c r="L20" s="482">
        <f t="shared" si="6"/>
        <v>0</v>
      </c>
      <c r="M20" s="482">
        <f t="shared" si="7"/>
        <v>0</v>
      </c>
      <c r="N20" s="482">
        <f t="shared" si="8"/>
        <v>0</v>
      </c>
      <c r="O20" s="482">
        <f t="shared" si="9"/>
        <v>0</v>
      </c>
      <c r="P20" s="482">
        <f t="shared" si="10"/>
        <v>0</v>
      </c>
      <c r="Q20" s="451">
        <f t="shared" si="11"/>
        <v>35</v>
      </c>
      <c r="R20" s="452">
        <f t="shared" si="12"/>
        <v>7.4399999999999994E-2</v>
      </c>
      <c r="S20" s="452">
        <v>0</v>
      </c>
      <c r="T20" s="452">
        <v>0</v>
      </c>
      <c r="U20" s="452">
        <f t="shared" si="13"/>
        <v>2.8920000000000001E-2</v>
      </c>
      <c r="V20" s="451">
        <f t="shared" si="14"/>
        <v>0</v>
      </c>
      <c r="W20" s="451">
        <f t="shared" si="15"/>
        <v>0</v>
      </c>
      <c r="X20" s="451">
        <f t="shared" si="16"/>
        <v>0</v>
      </c>
      <c r="Y20" s="453">
        <f t="shared" si="17"/>
        <v>0</v>
      </c>
      <c r="Z20" s="453">
        <f t="shared" si="18"/>
        <v>0</v>
      </c>
      <c r="AA20" s="453">
        <f t="shared" si="19"/>
        <v>0</v>
      </c>
      <c r="AB20" s="453">
        <f t="shared" si="20"/>
        <v>0</v>
      </c>
      <c r="AC20" s="453">
        <f t="shared" si="21"/>
        <v>0</v>
      </c>
      <c r="AD20" s="453">
        <f t="shared" si="22"/>
        <v>0</v>
      </c>
      <c r="AE20" s="493">
        <f t="shared" si="23"/>
        <v>0</v>
      </c>
      <c r="AF20" s="453">
        <f t="shared" si="24"/>
        <v>0</v>
      </c>
      <c r="AG20" s="494">
        <f t="shared" si="25"/>
        <v>1</v>
      </c>
      <c r="AH20" s="454">
        <f t="shared" si="26"/>
        <v>0</v>
      </c>
      <c r="AI20" s="454">
        <f t="shared" si="27"/>
        <v>0</v>
      </c>
      <c r="AJ20" s="454">
        <f t="shared" si="28"/>
        <v>0</v>
      </c>
      <c r="AK20" s="454">
        <f t="shared" si="29"/>
        <v>0</v>
      </c>
      <c r="AL20" s="454">
        <f t="shared" si="30"/>
        <v>0</v>
      </c>
      <c r="AM20" s="454">
        <f t="shared" si="31"/>
        <v>0</v>
      </c>
      <c r="AN20" s="491">
        <f t="shared" si="32"/>
        <v>0</v>
      </c>
      <c r="AO20" s="487">
        <f t="shared" si="33"/>
        <v>0</v>
      </c>
      <c r="AP20" s="495">
        <f t="shared" si="34"/>
        <v>0</v>
      </c>
      <c r="AQ20" s="496">
        <f t="shared" si="35"/>
        <v>0</v>
      </c>
      <c r="AV20" s="459">
        <f>IF(BA20&gt;BA19,AV19,IF(AV19&lt;MiscData!$F$1,EOMONTH(AV19,1),EOMONTH(AV19,-11)))</f>
        <v>42400</v>
      </c>
      <c r="AW20" s="448" t="str">
        <f t="shared" si="36"/>
        <v>20140101KUCME225</v>
      </c>
      <c r="AX20" s="457" t="str">
        <f t="shared" si="37"/>
        <v>20140101AES3</v>
      </c>
      <c r="AY20" s="439">
        <f>IF(AV20&lt;=MiscData!$B$23,MiscData!$C$23,IF(AV20&lt;=MiscData!$B$24,MiscData!$C$24,MiscData!$C$25))</f>
        <v>20140101</v>
      </c>
      <c r="AZ20" s="439" t="str">
        <f>VLOOKUP(BA20,MiscData!$V$4:$W$42,2,FALSE)</f>
        <v>KUCME225</v>
      </c>
      <c r="BA20" s="439">
        <f>IF(BA19=MiscData!$V$42,1,BA19+1)</f>
        <v>17</v>
      </c>
      <c r="BB20" s="439" t="str">
        <f>VLOOKUP(AZ20,MiscData!$W$4:$Y$42,3,FALSE)</f>
        <v>AES3</v>
      </c>
    </row>
    <row r="21" spans="1:54" hidden="1">
      <c r="A21" s="448">
        <f t="shared" si="38"/>
        <v>18</v>
      </c>
      <c r="B21" s="448" t="str">
        <f t="shared" si="0"/>
        <v>Jan 2016</v>
      </c>
      <c r="C21" s="448" t="s">
        <v>203</v>
      </c>
      <c r="D21" s="449" t="str">
        <f t="shared" si="1"/>
        <v>AES</v>
      </c>
      <c r="E21" s="449" t="str">
        <f t="shared" si="2"/>
        <v>KUCME226</v>
      </c>
      <c r="F21" s="450">
        <f t="shared" si="3"/>
        <v>0</v>
      </c>
      <c r="G21" s="450">
        <v>0</v>
      </c>
      <c r="H21" s="450">
        <v>0</v>
      </c>
      <c r="I21" s="450">
        <v>0</v>
      </c>
      <c r="J21" s="450">
        <f t="shared" si="4"/>
        <v>0</v>
      </c>
      <c r="K21" s="482">
        <f t="shared" si="5"/>
        <v>0</v>
      </c>
      <c r="L21" s="482">
        <f t="shared" si="6"/>
        <v>0</v>
      </c>
      <c r="M21" s="482">
        <f t="shared" si="7"/>
        <v>0</v>
      </c>
      <c r="N21" s="482">
        <f t="shared" si="8"/>
        <v>0</v>
      </c>
      <c r="O21" s="482">
        <f t="shared" si="9"/>
        <v>0</v>
      </c>
      <c r="P21" s="482">
        <f t="shared" si="10"/>
        <v>0</v>
      </c>
      <c r="Q21" s="451">
        <f t="shared" si="11"/>
        <v>20</v>
      </c>
      <c r="R21" s="452">
        <f t="shared" si="12"/>
        <v>7.4399999999999994E-2</v>
      </c>
      <c r="S21" s="452">
        <v>0</v>
      </c>
      <c r="T21" s="452">
        <v>0</v>
      </c>
      <c r="U21" s="452">
        <f t="shared" si="13"/>
        <v>2.8920000000000001E-2</v>
      </c>
      <c r="V21" s="451">
        <f t="shared" si="14"/>
        <v>0</v>
      </c>
      <c r="W21" s="451">
        <f t="shared" si="15"/>
        <v>0</v>
      </c>
      <c r="X21" s="451">
        <f t="shared" si="16"/>
        <v>0</v>
      </c>
      <c r="Y21" s="453">
        <f t="shared" si="17"/>
        <v>0</v>
      </c>
      <c r="Z21" s="453">
        <f t="shared" si="18"/>
        <v>0</v>
      </c>
      <c r="AA21" s="453">
        <f t="shared" si="19"/>
        <v>0</v>
      </c>
      <c r="AB21" s="453">
        <f t="shared" si="20"/>
        <v>0</v>
      </c>
      <c r="AC21" s="453">
        <f t="shared" si="21"/>
        <v>0</v>
      </c>
      <c r="AD21" s="453">
        <f t="shared" si="22"/>
        <v>0</v>
      </c>
      <c r="AE21" s="493">
        <f t="shared" si="23"/>
        <v>0</v>
      </c>
      <c r="AF21" s="453">
        <f t="shared" si="24"/>
        <v>0</v>
      </c>
      <c r="AG21" s="494">
        <f t="shared" si="25"/>
        <v>1</v>
      </c>
      <c r="AH21" s="454">
        <f t="shared" si="26"/>
        <v>0</v>
      </c>
      <c r="AI21" s="454">
        <f t="shared" si="27"/>
        <v>0</v>
      </c>
      <c r="AJ21" s="454">
        <f t="shared" si="28"/>
        <v>0</v>
      </c>
      <c r="AK21" s="454">
        <f t="shared" si="29"/>
        <v>0</v>
      </c>
      <c r="AL21" s="454">
        <f t="shared" si="30"/>
        <v>0</v>
      </c>
      <c r="AM21" s="454">
        <f t="shared" si="31"/>
        <v>0</v>
      </c>
      <c r="AN21" s="491">
        <f t="shared" si="32"/>
        <v>0</v>
      </c>
      <c r="AO21" s="487">
        <f t="shared" si="33"/>
        <v>0</v>
      </c>
      <c r="AP21" s="495">
        <f t="shared" si="34"/>
        <v>0</v>
      </c>
      <c r="AQ21" s="496">
        <f t="shared" si="35"/>
        <v>0</v>
      </c>
      <c r="AV21" s="459">
        <f>IF(BA21&gt;BA20,AV20,IF(AV20&lt;MiscData!$F$1,EOMONTH(AV20,1),EOMONTH(AV20,-11)))</f>
        <v>42400</v>
      </c>
      <c r="AW21" s="448" t="str">
        <f t="shared" si="36"/>
        <v>20140101KUCME226</v>
      </c>
      <c r="AX21" s="457" t="str">
        <f t="shared" si="37"/>
        <v>20140101AES</v>
      </c>
      <c r="AY21" s="439">
        <f>IF(AV21&lt;=MiscData!$B$23,MiscData!$C$23,IF(AV21&lt;=MiscData!$B$24,MiscData!$C$24,MiscData!$C$25))</f>
        <v>20140101</v>
      </c>
      <c r="AZ21" s="439" t="str">
        <f>VLOOKUP(BA21,MiscData!$V$4:$W$42,2,FALSE)</f>
        <v>KUCME226</v>
      </c>
      <c r="BA21" s="439">
        <f>IF(BA20=MiscData!$V$42,1,BA20+1)</f>
        <v>18</v>
      </c>
      <c r="BB21" s="439" t="str">
        <f>VLOOKUP(AZ21,MiscData!$W$4:$Y$42,3,FALSE)</f>
        <v>AES</v>
      </c>
    </row>
    <row r="22" spans="1:54" hidden="1">
      <c r="A22" s="448">
        <f t="shared" si="38"/>
        <v>19</v>
      </c>
      <c r="B22" s="448" t="str">
        <f t="shared" si="0"/>
        <v>Jan 2016</v>
      </c>
      <c r="C22" s="832" t="s">
        <v>212</v>
      </c>
      <c r="D22" s="449" t="str">
        <f t="shared" si="1"/>
        <v>AES3</v>
      </c>
      <c r="E22" s="449" t="str">
        <f t="shared" si="2"/>
        <v>KUCME227</v>
      </c>
      <c r="F22" s="450">
        <f t="shared" si="3"/>
        <v>0</v>
      </c>
      <c r="G22" s="450">
        <v>0</v>
      </c>
      <c r="H22" s="450">
        <v>0</v>
      </c>
      <c r="I22" s="450">
        <v>0</v>
      </c>
      <c r="J22" s="450">
        <f t="shared" si="4"/>
        <v>0</v>
      </c>
      <c r="K22" s="482">
        <f t="shared" si="5"/>
        <v>0</v>
      </c>
      <c r="L22" s="482">
        <f t="shared" si="6"/>
        <v>0</v>
      </c>
      <c r="M22" s="482">
        <f t="shared" si="7"/>
        <v>0</v>
      </c>
      <c r="N22" s="482">
        <f t="shared" si="8"/>
        <v>0</v>
      </c>
      <c r="O22" s="482">
        <f t="shared" si="9"/>
        <v>0</v>
      </c>
      <c r="P22" s="482">
        <f t="shared" si="10"/>
        <v>0</v>
      </c>
      <c r="Q22" s="451">
        <f t="shared" si="11"/>
        <v>35</v>
      </c>
      <c r="R22" s="452">
        <f t="shared" si="12"/>
        <v>7.4399999999999994E-2</v>
      </c>
      <c r="S22" s="452">
        <v>0</v>
      </c>
      <c r="T22" s="452">
        <v>0</v>
      </c>
      <c r="U22" s="452">
        <f t="shared" si="13"/>
        <v>2.8920000000000001E-2</v>
      </c>
      <c r="V22" s="451">
        <f t="shared" si="14"/>
        <v>0</v>
      </c>
      <c r="W22" s="451">
        <f t="shared" si="15"/>
        <v>0</v>
      </c>
      <c r="X22" s="451">
        <f t="shared" si="16"/>
        <v>0</v>
      </c>
      <c r="Y22" s="453">
        <f t="shared" si="17"/>
        <v>0</v>
      </c>
      <c r="Z22" s="453">
        <f t="shared" si="18"/>
        <v>0</v>
      </c>
      <c r="AA22" s="453">
        <f t="shared" si="19"/>
        <v>0</v>
      </c>
      <c r="AB22" s="453">
        <f t="shared" si="20"/>
        <v>0</v>
      </c>
      <c r="AC22" s="453">
        <f t="shared" si="21"/>
        <v>0</v>
      </c>
      <c r="AD22" s="453">
        <f t="shared" si="22"/>
        <v>0</v>
      </c>
      <c r="AE22" s="493">
        <f t="shared" si="23"/>
        <v>0</v>
      </c>
      <c r="AF22" s="453">
        <f t="shared" si="24"/>
        <v>0</v>
      </c>
      <c r="AG22" s="494">
        <f t="shared" si="25"/>
        <v>1</v>
      </c>
      <c r="AH22" s="454">
        <f t="shared" si="26"/>
        <v>0</v>
      </c>
      <c r="AI22" s="454">
        <f t="shared" si="27"/>
        <v>0</v>
      </c>
      <c r="AJ22" s="454">
        <f t="shared" si="28"/>
        <v>0</v>
      </c>
      <c r="AK22" s="454">
        <f t="shared" si="29"/>
        <v>0</v>
      </c>
      <c r="AL22" s="454">
        <f t="shared" si="30"/>
        <v>0</v>
      </c>
      <c r="AM22" s="454">
        <f t="shared" si="31"/>
        <v>0</v>
      </c>
      <c r="AN22" s="491">
        <f t="shared" si="32"/>
        <v>0</v>
      </c>
      <c r="AO22" s="487">
        <f t="shared" si="33"/>
        <v>0</v>
      </c>
      <c r="AP22" s="495">
        <f t="shared" si="34"/>
        <v>0</v>
      </c>
      <c r="AQ22" s="496">
        <f t="shared" si="35"/>
        <v>0</v>
      </c>
      <c r="AV22" s="459">
        <f>IF(BA22&gt;BA21,AV21,IF(AV21&lt;MiscData!$F$1,EOMONTH(AV21,1),EOMONTH(AV21,-11)))</f>
        <v>42400</v>
      </c>
      <c r="AW22" s="448" t="str">
        <f t="shared" si="36"/>
        <v>20140101KUCME227</v>
      </c>
      <c r="AX22" s="457" t="str">
        <f t="shared" si="37"/>
        <v>20140101AES3</v>
      </c>
      <c r="AY22" s="439">
        <f>IF(AV22&lt;=MiscData!$B$23,MiscData!$C$23,IF(AV22&lt;=MiscData!$B$24,MiscData!$C$24,MiscData!$C$25))</f>
        <v>20140101</v>
      </c>
      <c r="AZ22" s="439" t="str">
        <f>VLOOKUP(BA22,MiscData!$V$4:$W$42,2,FALSE)</f>
        <v>KUCME227</v>
      </c>
      <c r="BA22" s="439">
        <f>IF(BA21=MiscData!$V$42,1,BA21+1)</f>
        <v>19</v>
      </c>
      <c r="BB22" s="439" t="str">
        <f>VLOOKUP(AZ22,MiscData!$W$4:$Y$42,3,FALSE)</f>
        <v>AES3</v>
      </c>
    </row>
    <row r="23" spans="1:54" hidden="1">
      <c r="A23" s="448">
        <f t="shared" si="38"/>
        <v>20</v>
      </c>
      <c r="B23" s="448" t="str">
        <f t="shared" si="0"/>
        <v>Jan 2016</v>
      </c>
      <c r="C23" s="448" t="s">
        <v>19</v>
      </c>
      <c r="D23" s="449" t="str">
        <f t="shared" si="1"/>
        <v>LE</v>
      </c>
      <c r="E23" s="449" t="str">
        <f t="shared" si="2"/>
        <v>KUCME290</v>
      </c>
      <c r="F23" s="450">
        <f t="shared" si="3"/>
        <v>2</v>
      </c>
      <c r="G23" s="450">
        <v>0</v>
      </c>
      <c r="H23" s="450">
        <v>0</v>
      </c>
      <c r="I23" s="450">
        <v>0</v>
      </c>
      <c r="J23" s="450">
        <f t="shared" si="4"/>
        <v>20881</v>
      </c>
      <c r="K23" s="482">
        <f t="shared" si="5"/>
        <v>0</v>
      </c>
      <c r="L23" s="482">
        <f t="shared" si="6"/>
        <v>0</v>
      </c>
      <c r="M23" s="482">
        <f t="shared" si="7"/>
        <v>0</v>
      </c>
      <c r="N23" s="482">
        <f t="shared" si="8"/>
        <v>0</v>
      </c>
      <c r="O23" s="482">
        <f t="shared" si="9"/>
        <v>0</v>
      </c>
      <c r="P23" s="482">
        <f t="shared" si="10"/>
        <v>0</v>
      </c>
      <c r="Q23" s="451">
        <f t="shared" si="11"/>
        <v>0</v>
      </c>
      <c r="R23" s="452">
        <f t="shared" si="12"/>
        <v>6.3799999999999996E-2</v>
      </c>
      <c r="S23" s="452">
        <v>0</v>
      </c>
      <c r="T23" s="452">
        <v>0</v>
      </c>
      <c r="U23" s="452">
        <f t="shared" si="13"/>
        <v>2.8920000000000001E-2</v>
      </c>
      <c r="V23" s="451">
        <f t="shared" si="14"/>
        <v>0</v>
      </c>
      <c r="W23" s="451">
        <f t="shared" si="15"/>
        <v>0</v>
      </c>
      <c r="X23" s="451">
        <f t="shared" si="16"/>
        <v>0</v>
      </c>
      <c r="Y23" s="453">
        <f t="shared" si="17"/>
        <v>0</v>
      </c>
      <c r="Z23" s="453">
        <f t="shared" si="18"/>
        <v>1332.21</v>
      </c>
      <c r="AA23" s="453">
        <f t="shared" si="19"/>
        <v>0</v>
      </c>
      <c r="AB23" s="453">
        <f t="shared" si="20"/>
        <v>0</v>
      </c>
      <c r="AC23" s="453">
        <f t="shared" si="21"/>
        <v>0</v>
      </c>
      <c r="AD23" s="453">
        <f t="shared" si="22"/>
        <v>0</v>
      </c>
      <c r="AE23" s="493">
        <f t="shared" si="23"/>
        <v>1332.21</v>
      </c>
      <c r="AF23" s="453">
        <f t="shared" si="24"/>
        <v>0</v>
      </c>
      <c r="AG23" s="494">
        <f t="shared" si="25"/>
        <v>0</v>
      </c>
      <c r="AH23" s="454">
        <f t="shared" si="26"/>
        <v>0</v>
      </c>
      <c r="AI23" s="454">
        <f t="shared" si="27"/>
        <v>0</v>
      </c>
      <c r="AJ23" s="454">
        <f t="shared" si="28"/>
        <v>0</v>
      </c>
      <c r="AK23" s="454">
        <f t="shared" si="29"/>
        <v>0</v>
      </c>
      <c r="AL23" s="454">
        <f t="shared" si="30"/>
        <v>0</v>
      </c>
      <c r="AM23" s="454">
        <f t="shared" si="31"/>
        <v>0</v>
      </c>
      <c r="AN23" s="491">
        <f t="shared" si="32"/>
        <v>1332.21</v>
      </c>
      <c r="AO23" s="487">
        <f t="shared" si="33"/>
        <v>-1332.21</v>
      </c>
      <c r="AP23" s="495">
        <f t="shared" si="34"/>
        <v>603.88</v>
      </c>
      <c r="AQ23" s="496">
        <f t="shared" si="35"/>
        <v>728.33</v>
      </c>
      <c r="AV23" s="459">
        <f>IF(BA23&gt;BA22,AV22,IF(AV22&lt;MiscData!$F$1,EOMONTH(AV22,1),EOMONTH(AV22,-11)))</f>
        <v>42400</v>
      </c>
      <c r="AW23" s="448" t="str">
        <f t="shared" si="36"/>
        <v>20140101KUCME290</v>
      </c>
      <c r="AX23" s="457" t="str">
        <f t="shared" si="37"/>
        <v>20140101LE</v>
      </c>
      <c r="AY23" s="439">
        <f>IF(AV23&lt;=MiscData!$B$23,MiscData!$C$23,IF(AV23&lt;=MiscData!$B$24,MiscData!$C$24,MiscData!$C$25))</f>
        <v>20140101</v>
      </c>
      <c r="AZ23" s="439" t="str">
        <f>VLOOKUP(BA23,MiscData!$V$4:$W$42,2,FALSE)</f>
        <v>KUCME290</v>
      </c>
      <c r="BA23" s="439">
        <f>IF(BA22=MiscData!$V$42,1,BA22+1)</f>
        <v>20</v>
      </c>
      <c r="BB23" s="439" t="str">
        <f>VLOOKUP(AZ23,MiscData!$W$4:$Y$42,3,FALSE)</f>
        <v>LE</v>
      </c>
    </row>
    <row r="24" spans="1:54" hidden="1">
      <c r="A24" s="448">
        <f t="shared" si="38"/>
        <v>21</v>
      </c>
      <c r="B24" s="448" t="str">
        <f t="shared" si="0"/>
        <v>Jan 2016</v>
      </c>
      <c r="C24" s="448" t="s">
        <v>19</v>
      </c>
      <c r="D24" s="449" t="str">
        <f t="shared" si="1"/>
        <v>LE</v>
      </c>
      <c r="E24" s="449" t="str">
        <f t="shared" si="2"/>
        <v>KUCME291</v>
      </c>
      <c r="F24" s="450">
        <f t="shared" si="3"/>
        <v>0</v>
      </c>
      <c r="G24" s="450">
        <v>0</v>
      </c>
      <c r="H24" s="450">
        <v>0</v>
      </c>
      <c r="I24" s="450">
        <v>0</v>
      </c>
      <c r="J24" s="450">
        <f t="shared" si="4"/>
        <v>0</v>
      </c>
      <c r="K24" s="482">
        <f t="shared" si="5"/>
        <v>0</v>
      </c>
      <c r="L24" s="482">
        <f t="shared" si="6"/>
        <v>0</v>
      </c>
      <c r="M24" s="482">
        <f t="shared" si="7"/>
        <v>0</v>
      </c>
      <c r="N24" s="482">
        <f t="shared" si="8"/>
        <v>0</v>
      </c>
      <c r="O24" s="482">
        <f t="shared" si="9"/>
        <v>0</v>
      </c>
      <c r="P24" s="482">
        <f t="shared" si="10"/>
        <v>0</v>
      </c>
      <c r="Q24" s="451">
        <f t="shared" si="11"/>
        <v>0</v>
      </c>
      <c r="R24" s="452">
        <f t="shared" si="12"/>
        <v>6.3799999999999996E-2</v>
      </c>
      <c r="S24" s="452">
        <v>0</v>
      </c>
      <c r="T24" s="452">
        <v>0</v>
      </c>
      <c r="U24" s="452">
        <f t="shared" si="13"/>
        <v>2.8920000000000001E-2</v>
      </c>
      <c r="V24" s="451">
        <f t="shared" si="14"/>
        <v>0</v>
      </c>
      <c r="W24" s="451">
        <f t="shared" si="15"/>
        <v>0</v>
      </c>
      <c r="X24" s="451">
        <f t="shared" si="16"/>
        <v>0</v>
      </c>
      <c r="Y24" s="453">
        <f t="shared" si="17"/>
        <v>0</v>
      </c>
      <c r="Z24" s="453">
        <f t="shared" si="18"/>
        <v>0</v>
      </c>
      <c r="AA24" s="453">
        <f t="shared" si="19"/>
        <v>0</v>
      </c>
      <c r="AB24" s="453">
        <f t="shared" si="20"/>
        <v>0</v>
      </c>
      <c r="AC24" s="453">
        <f t="shared" si="21"/>
        <v>0</v>
      </c>
      <c r="AD24" s="453">
        <f t="shared" si="22"/>
        <v>0</v>
      </c>
      <c r="AE24" s="493">
        <f t="shared" si="23"/>
        <v>0</v>
      </c>
      <c r="AF24" s="453">
        <f t="shared" si="24"/>
        <v>0</v>
      </c>
      <c r="AG24" s="494">
        <f t="shared" si="25"/>
        <v>1</v>
      </c>
      <c r="AH24" s="454">
        <f t="shared" si="26"/>
        <v>0</v>
      </c>
      <c r="AI24" s="454">
        <f t="shared" si="27"/>
        <v>0</v>
      </c>
      <c r="AJ24" s="454">
        <f t="shared" si="28"/>
        <v>0</v>
      </c>
      <c r="AK24" s="454">
        <f t="shared" si="29"/>
        <v>0</v>
      </c>
      <c r="AL24" s="454">
        <f t="shared" si="30"/>
        <v>0</v>
      </c>
      <c r="AM24" s="454">
        <f t="shared" si="31"/>
        <v>0</v>
      </c>
      <c r="AN24" s="491">
        <f t="shared" si="32"/>
        <v>0</v>
      </c>
      <c r="AO24" s="487">
        <f t="shared" si="33"/>
        <v>0</v>
      </c>
      <c r="AP24" s="495">
        <f t="shared" si="34"/>
        <v>0</v>
      </c>
      <c r="AQ24" s="496">
        <f t="shared" si="35"/>
        <v>0</v>
      </c>
      <c r="AV24" s="459">
        <f>IF(BA24&gt;BA23,AV23,IF(AV23&lt;MiscData!$F$1,EOMONTH(AV23,1),EOMONTH(AV23,-11)))</f>
        <v>42400</v>
      </c>
      <c r="AW24" s="448" t="str">
        <f t="shared" si="36"/>
        <v>20140101KUCME291</v>
      </c>
      <c r="AX24" s="457" t="str">
        <f t="shared" si="37"/>
        <v>20140101LE</v>
      </c>
      <c r="AY24" s="439">
        <f>IF(AV24&lt;=MiscData!$B$23,MiscData!$C$23,IF(AV24&lt;=MiscData!$B$24,MiscData!$C$24,MiscData!$C$25))</f>
        <v>20140101</v>
      </c>
      <c r="AZ24" s="439" t="str">
        <f>VLOOKUP(BA24,MiscData!$V$4:$W$42,2,FALSE)</f>
        <v>KUCME291</v>
      </c>
      <c r="BA24" s="439">
        <f>IF(BA23=MiscData!$V$42,1,BA23+1)</f>
        <v>21</v>
      </c>
      <c r="BB24" s="439" t="str">
        <f>VLOOKUP(AZ24,MiscData!$W$4:$Y$42,3,FALSE)</f>
        <v>LE</v>
      </c>
    </row>
    <row r="25" spans="1:54" hidden="1">
      <c r="A25" s="448">
        <f t="shared" si="38"/>
        <v>22</v>
      </c>
      <c r="B25" s="448" t="str">
        <f t="shared" si="0"/>
        <v>Jan 2016</v>
      </c>
      <c r="C25" s="448" t="s">
        <v>20</v>
      </c>
      <c r="D25" s="449" t="str">
        <f t="shared" si="1"/>
        <v>TE</v>
      </c>
      <c r="E25" s="449" t="str">
        <f t="shared" si="2"/>
        <v>KUCME295</v>
      </c>
      <c r="F25" s="450">
        <f t="shared" si="3"/>
        <v>747</v>
      </c>
      <c r="G25" s="450">
        <v>0</v>
      </c>
      <c r="H25" s="450">
        <v>0</v>
      </c>
      <c r="I25" s="450">
        <v>0</v>
      </c>
      <c r="J25" s="450">
        <f t="shared" si="4"/>
        <v>121966</v>
      </c>
      <c r="K25" s="482">
        <f t="shared" si="5"/>
        <v>0</v>
      </c>
      <c r="L25" s="482">
        <f t="shared" si="6"/>
        <v>0</v>
      </c>
      <c r="M25" s="482">
        <f t="shared" si="7"/>
        <v>0</v>
      </c>
      <c r="N25" s="482">
        <f t="shared" si="8"/>
        <v>0</v>
      </c>
      <c r="O25" s="482">
        <f t="shared" si="9"/>
        <v>0</v>
      </c>
      <c r="P25" s="482">
        <f t="shared" si="10"/>
        <v>0</v>
      </c>
      <c r="Q25" s="451">
        <f t="shared" si="11"/>
        <v>3.25</v>
      </c>
      <c r="R25" s="452">
        <f t="shared" si="12"/>
        <v>7.9780000000000004E-2</v>
      </c>
      <c r="S25" s="452">
        <v>0</v>
      </c>
      <c r="T25" s="452">
        <v>0</v>
      </c>
      <c r="U25" s="452">
        <f t="shared" si="13"/>
        <v>2.8920000000000001E-2</v>
      </c>
      <c r="V25" s="451">
        <f t="shared" si="14"/>
        <v>0</v>
      </c>
      <c r="W25" s="451">
        <f t="shared" si="15"/>
        <v>0</v>
      </c>
      <c r="X25" s="451">
        <f t="shared" si="16"/>
        <v>0</v>
      </c>
      <c r="Y25" s="453">
        <f t="shared" si="17"/>
        <v>2427.75</v>
      </c>
      <c r="Z25" s="453">
        <f t="shared" si="18"/>
        <v>9730.4500000000007</v>
      </c>
      <c r="AA25" s="453">
        <f t="shared" si="19"/>
        <v>0</v>
      </c>
      <c r="AB25" s="453">
        <f t="shared" si="20"/>
        <v>0</v>
      </c>
      <c r="AC25" s="453">
        <f t="shared" si="21"/>
        <v>0</v>
      </c>
      <c r="AD25" s="453">
        <f t="shared" si="22"/>
        <v>0</v>
      </c>
      <c r="AE25" s="493">
        <f t="shared" si="23"/>
        <v>12158.2</v>
      </c>
      <c r="AF25" s="453">
        <f t="shared" si="24"/>
        <v>0</v>
      </c>
      <c r="AG25" s="494">
        <f t="shared" si="25"/>
        <v>0</v>
      </c>
      <c r="AH25" s="454">
        <f t="shared" si="26"/>
        <v>0</v>
      </c>
      <c r="AI25" s="454">
        <f t="shared" si="27"/>
        <v>0</v>
      </c>
      <c r="AJ25" s="454">
        <f t="shared" si="28"/>
        <v>0</v>
      </c>
      <c r="AK25" s="454">
        <f t="shared" si="29"/>
        <v>0</v>
      </c>
      <c r="AL25" s="454">
        <f t="shared" si="30"/>
        <v>0</v>
      </c>
      <c r="AM25" s="454">
        <f t="shared" si="31"/>
        <v>0</v>
      </c>
      <c r="AN25" s="491">
        <f t="shared" si="32"/>
        <v>12158.2</v>
      </c>
      <c r="AO25" s="487">
        <f t="shared" si="33"/>
        <v>-12158.2</v>
      </c>
      <c r="AP25" s="495">
        <f t="shared" si="34"/>
        <v>3527.26</v>
      </c>
      <c r="AQ25" s="496">
        <f t="shared" si="35"/>
        <v>6203.1900000000005</v>
      </c>
      <c r="AV25" s="459">
        <f>IF(BA25&gt;BA24,AV24,IF(AV24&lt;MiscData!$F$1,EOMONTH(AV24,1),EOMONTH(AV24,-11)))</f>
        <v>42400</v>
      </c>
      <c r="AW25" s="448" t="str">
        <f t="shared" si="36"/>
        <v>20140101KUCME295</v>
      </c>
      <c r="AX25" s="457" t="str">
        <f t="shared" si="37"/>
        <v>20140101TE</v>
      </c>
      <c r="AY25" s="439">
        <f>IF(AV25&lt;=MiscData!$B$23,MiscData!$C$23,IF(AV25&lt;=MiscData!$B$24,MiscData!$C$24,MiscData!$C$25))</f>
        <v>20140101</v>
      </c>
      <c r="AZ25" s="439" t="str">
        <f>VLOOKUP(BA25,MiscData!$V$4:$W$42,2,FALSE)</f>
        <v>KUCME295</v>
      </c>
      <c r="BA25" s="439">
        <f>IF(BA24=MiscData!$V$42,1,BA24+1)</f>
        <v>22</v>
      </c>
      <c r="BB25" s="439" t="str">
        <f>VLOOKUP(AZ25,MiscData!$W$4:$Y$42,3,FALSE)</f>
        <v>TE</v>
      </c>
    </row>
    <row r="26" spans="1:54" hidden="1">
      <c r="A26" s="448">
        <f t="shared" si="38"/>
        <v>23</v>
      </c>
      <c r="B26" s="448" t="str">
        <f t="shared" si="0"/>
        <v>Jan 2016</v>
      </c>
      <c r="C26" s="448" t="s">
        <v>20</v>
      </c>
      <c r="D26" s="449" t="str">
        <f t="shared" si="1"/>
        <v>TE</v>
      </c>
      <c r="E26" s="449" t="str">
        <f t="shared" si="2"/>
        <v>KUCME297</v>
      </c>
      <c r="F26" s="450">
        <f t="shared" si="3"/>
        <v>0</v>
      </c>
      <c r="G26" s="450">
        <v>0</v>
      </c>
      <c r="H26" s="450">
        <v>0</v>
      </c>
      <c r="I26" s="450">
        <v>0</v>
      </c>
      <c r="J26" s="450">
        <f t="shared" si="4"/>
        <v>0</v>
      </c>
      <c r="K26" s="482">
        <f t="shared" si="5"/>
        <v>0</v>
      </c>
      <c r="L26" s="482">
        <f t="shared" si="6"/>
        <v>0</v>
      </c>
      <c r="M26" s="482">
        <f t="shared" si="7"/>
        <v>0</v>
      </c>
      <c r="N26" s="482">
        <f t="shared" si="8"/>
        <v>0</v>
      </c>
      <c r="O26" s="482">
        <f t="shared" si="9"/>
        <v>0</v>
      </c>
      <c r="P26" s="482">
        <f t="shared" si="10"/>
        <v>0</v>
      </c>
      <c r="Q26" s="451">
        <f t="shared" si="11"/>
        <v>3.25</v>
      </c>
      <c r="R26" s="452">
        <f t="shared" si="12"/>
        <v>7.9780000000000004E-2</v>
      </c>
      <c r="S26" s="452">
        <v>0</v>
      </c>
      <c r="T26" s="452">
        <v>0</v>
      </c>
      <c r="U26" s="452">
        <f t="shared" si="13"/>
        <v>2.8920000000000001E-2</v>
      </c>
      <c r="V26" s="451">
        <f t="shared" si="14"/>
        <v>0</v>
      </c>
      <c r="W26" s="451">
        <f t="shared" si="15"/>
        <v>0</v>
      </c>
      <c r="X26" s="451">
        <f t="shared" si="16"/>
        <v>0</v>
      </c>
      <c r="Y26" s="453">
        <f t="shared" si="17"/>
        <v>0</v>
      </c>
      <c r="Z26" s="453">
        <f t="shared" si="18"/>
        <v>0</v>
      </c>
      <c r="AA26" s="453">
        <f t="shared" si="19"/>
        <v>0</v>
      </c>
      <c r="AB26" s="453">
        <f t="shared" si="20"/>
        <v>0</v>
      </c>
      <c r="AC26" s="453">
        <f t="shared" si="21"/>
        <v>0</v>
      </c>
      <c r="AD26" s="453">
        <f t="shared" si="22"/>
        <v>0</v>
      </c>
      <c r="AE26" s="493">
        <f t="shared" si="23"/>
        <v>0</v>
      </c>
      <c r="AF26" s="453">
        <f t="shared" si="24"/>
        <v>0</v>
      </c>
      <c r="AG26" s="494">
        <f t="shared" si="25"/>
        <v>1</v>
      </c>
      <c r="AH26" s="454">
        <f t="shared" si="26"/>
        <v>0</v>
      </c>
      <c r="AI26" s="454">
        <f t="shared" si="27"/>
        <v>0</v>
      </c>
      <c r="AJ26" s="454">
        <f t="shared" si="28"/>
        <v>0</v>
      </c>
      <c r="AK26" s="454">
        <f t="shared" si="29"/>
        <v>0</v>
      </c>
      <c r="AL26" s="454">
        <f t="shared" si="30"/>
        <v>0</v>
      </c>
      <c r="AM26" s="454">
        <f t="shared" si="31"/>
        <v>0</v>
      </c>
      <c r="AN26" s="491">
        <f t="shared" si="32"/>
        <v>0</v>
      </c>
      <c r="AO26" s="487">
        <f t="shared" si="33"/>
        <v>0</v>
      </c>
      <c r="AP26" s="495">
        <f t="shared" si="34"/>
        <v>0</v>
      </c>
      <c r="AQ26" s="496">
        <f t="shared" si="35"/>
        <v>0</v>
      </c>
      <c r="AV26" s="459">
        <f>IF(BA26&gt;BA25,AV25,IF(AV25&lt;MiscData!$F$1,EOMONTH(AV25,1),EOMONTH(AV25,-11)))</f>
        <v>42400</v>
      </c>
      <c r="AW26" s="448" t="str">
        <f t="shared" si="36"/>
        <v>20140101KUCME297</v>
      </c>
      <c r="AX26" s="457" t="str">
        <f t="shared" si="37"/>
        <v>20140101TE</v>
      </c>
      <c r="AY26" s="439">
        <f>IF(AV26&lt;=MiscData!$B$23,MiscData!$C$23,IF(AV26&lt;=MiscData!$B$24,MiscData!$C$24,MiscData!$C$25))</f>
        <v>20140101</v>
      </c>
      <c r="AZ26" s="439" t="str">
        <f>VLOOKUP(BA26,MiscData!$V$4:$W$42,2,FALSE)</f>
        <v>KUCME297</v>
      </c>
      <c r="BA26" s="439">
        <f>IF(BA25=MiscData!$V$42,1,BA25+1)</f>
        <v>23</v>
      </c>
      <c r="BB26" s="439" t="str">
        <f>VLOOKUP(AZ26,MiscData!$W$4:$Y$42,3,FALSE)</f>
        <v>TE</v>
      </c>
    </row>
    <row r="27" spans="1:54" hidden="1">
      <c r="A27" s="448">
        <f t="shared" si="38"/>
        <v>24</v>
      </c>
      <c r="B27" s="448" t="str">
        <f t="shared" si="0"/>
        <v>Jan 2016</v>
      </c>
      <c r="C27" s="448" t="s">
        <v>690</v>
      </c>
      <c r="D27" s="449" t="str">
        <f t="shared" si="1"/>
        <v>SQF</v>
      </c>
      <c r="E27" s="449" t="str">
        <f t="shared" si="2"/>
        <v>KUCME705</v>
      </c>
      <c r="F27" s="450">
        <f t="shared" si="3"/>
        <v>0</v>
      </c>
      <c r="G27" s="450">
        <v>0</v>
      </c>
      <c r="H27" s="450">
        <v>0</v>
      </c>
      <c r="I27" s="450">
        <v>0</v>
      </c>
      <c r="J27" s="450">
        <f t="shared" si="4"/>
        <v>0</v>
      </c>
      <c r="K27" s="482">
        <f t="shared" si="5"/>
        <v>0</v>
      </c>
      <c r="L27" s="482">
        <f t="shared" si="6"/>
        <v>0</v>
      </c>
      <c r="M27" s="482">
        <f t="shared" si="7"/>
        <v>0</v>
      </c>
      <c r="N27" s="482">
        <f t="shared" si="8"/>
        <v>0</v>
      </c>
      <c r="O27" s="482">
        <f t="shared" si="9"/>
        <v>0</v>
      </c>
      <c r="P27" s="482">
        <f t="shared" si="10"/>
        <v>0</v>
      </c>
      <c r="Q27" s="451">
        <f t="shared" si="11"/>
        <v>0</v>
      </c>
      <c r="R27" s="452">
        <f t="shared" si="12"/>
        <v>0</v>
      </c>
      <c r="S27" s="452">
        <v>0</v>
      </c>
      <c r="T27" s="452">
        <v>0</v>
      </c>
      <c r="U27" s="452">
        <f t="shared" si="13"/>
        <v>0</v>
      </c>
      <c r="V27" s="451">
        <f t="shared" si="14"/>
        <v>0</v>
      </c>
      <c r="W27" s="451">
        <f t="shared" si="15"/>
        <v>0</v>
      </c>
      <c r="X27" s="451">
        <f t="shared" si="16"/>
        <v>0</v>
      </c>
      <c r="Y27" s="453">
        <f t="shared" si="17"/>
        <v>0</v>
      </c>
      <c r="Z27" s="453">
        <f t="shared" si="18"/>
        <v>0</v>
      </c>
      <c r="AA27" s="453">
        <f t="shared" si="19"/>
        <v>0</v>
      </c>
      <c r="AB27" s="453">
        <f t="shared" si="20"/>
        <v>0</v>
      </c>
      <c r="AC27" s="453">
        <f t="shared" si="21"/>
        <v>0</v>
      </c>
      <c r="AD27" s="453">
        <f t="shared" si="22"/>
        <v>0</v>
      </c>
      <c r="AE27" s="493">
        <f t="shared" si="23"/>
        <v>0</v>
      </c>
      <c r="AF27" s="453">
        <f t="shared" si="24"/>
        <v>0</v>
      </c>
      <c r="AG27" s="494">
        <f t="shared" si="25"/>
        <v>1</v>
      </c>
      <c r="AH27" s="454">
        <f t="shared" si="26"/>
        <v>0</v>
      </c>
      <c r="AI27" s="454">
        <f t="shared" si="27"/>
        <v>0</v>
      </c>
      <c r="AJ27" s="454">
        <f t="shared" si="28"/>
        <v>0</v>
      </c>
      <c r="AK27" s="454">
        <f t="shared" si="29"/>
        <v>0</v>
      </c>
      <c r="AL27" s="454">
        <f t="shared" si="30"/>
        <v>0</v>
      </c>
      <c r="AM27" s="454">
        <f t="shared" si="31"/>
        <v>0</v>
      </c>
      <c r="AN27" s="491">
        <f t="shared" si="32"/>
        <v>0</v>
      </c>
      <c r="AO27" s="487">
        <f t="shared" si="33"/>
        <v>0</v>
      </c>
      <c r="AP27" s="495">
        <f t="shared" si="34"/>
        <v>0</v>
      </c>
      <c r="AQ27" s="496">
        <f t="shared" si="35"/>
        <v>0</v>
      </c>
      <c r="AV27" s="459">
        <f>IF(BA27&gt;BA26,AV26,IF(AV26&lt;MiscData!$F$1,EOMONTH(AV26,1),EOMONTH(AV26,-11)))</f>
        <v>42400</v>
      </c>
      <c r="AW27" s="448" t="str">
        <f t="shared" si="36"/>
        <v>20140101KUCME705</v>
      </c>
      <c r="AX27" s="457" t="str">
        <f t="shared" si="37"/>
        <v>20140101SQF</v>
      </c>
      <c r="AY27" s="439">
        <f>IF(AV27&lt;=MiscData!$B$23,MiscData!$C$23,IF(AV27&lt;=MiscData!$B$24,MiscData!$C$24,MiscData!$C$25))</f>
        <v>20140101</v>
      </c>
      <c r="AZ27" s="439" t="str">
        <f>VLOOKUP(BA27,MiscData!$V$4:$W$42,2,FALSE)</f>
        <v>KUCME705</v>
      </c>
      <c r="BA27" s="439">
        <f>IF(BA26=MiscData!$V$42,1,BA26+1)</f>
        <v>24</v>
      </c>
      <c r="BB27" s="439" t="str">
        <f>VLOOKUP(AZ27,MiscData!$W$4:$Y$42,3,FALSE)</f>
        <v>SQF</v>
      </c>
    </row>
    <row r="28" spans="1:54" hidden="1">
      <c r="A28" s="448">
        <f t="shared" si="38"/>
        <v>25</v>
      </c>
      <c r="B28" s="448" t="str">
        <f t="shared" si="0"/>
        <v>Jan 2016</v>
      </c>
      <c r="C28" s="448" t="s">
        <v>1156</v>
      </c>
      <c r="D28" s="449" t="str">
        <f t="shared" si="1"/>
        <v>LQF</v>
      </c>
      <c r="E28" s="449" t="str">
        <f t="shared" si="2"/>
        <v>KUCME707</v>
      </c>
      <c r="F28" s="450">
        <f t="shared" si="3"/>
        <v>0</v>
      </c>
      <c r="G28" s="450">
        <v>0</v>
      </c>
      <c r="H28" s="450">
        <v>0</v>
      </c>
      <c r="I28" s="450">
        <v>0</v>
      </c>
      <c r="J28" s="450">
        <f t="shared" si="4"/>
        <v>0</v>
      </c>
      <c r="K28" s="482">
        <f t="shared" si="5"/>
        <v>0</v>
      </c>
      <c r="L28" s="482">
        <f t="shared" si="6"/>
        <v>0</v>
      </c>
      <c r="M28" s="482">
        <f t="shared" si="7"/>
        <v>0</v>
      </c>
      <c r="N28" s="482">
        <f t="shared" si="8"/>
        <v>0</v>
      </c>
      <c r="O28" s="482">
        <f t="shared" si="9"/>
        <v>0</v>
      </c>
      <c r="P28" s="482">
        <f t="shared" si="10"/>
        <v>0</v>
      </c>
      <c r="Q28" s="451">
        <f t="shared" si="11"/>
        <v>0</v>
      </c>
      <c r="R28" s="452">
        <f t="shared" si="12"/>
        <v>0</v>
      </c>
      <c r="S28" s="452">
        <v>0</v>
      </c>
      <c r="T28" s="452">
        <v>0</v>
      </c>
      <c r="U28" s="452">
        <f t="shared" si="13"/>
        <v>0</v>
      </c>
      <c r="V28" s="451">
        <f t="shared" si="14"/>
        <v>0</v>
      </c>
      <c r="W28" s="451">
        <f t="shared" si="15"/>
        <v>0</v>
      </c>
      <c r="X28" s="451">
        <f t="shared" si="16"/>
        <v>0</v>
      </c>
      <c r="Y28" s="453">
        <f t="shared" si="17"/>
        <v>0</v>
      </c>
      <c r="Z28" s="453">
        <f t="shared" si="18"/>
        <v>0</v>
      </c>
      <c r="AA28" s="453">
        <f t="shared" si="19"/>
        <v>0</v>
      </c>
      <c r="AB28" s="453">
        <f t="shared" si="20"/>
        <v>0</v>
      </c>
      <c r="AC28" s="453">
        <f t="shared" si="21"/>
        <v>0</v>
      </c>
      <c r="AD28" s="453">
        <f t="shared" si="22"/>
        <v>0</v>
      </c>
      <c r="AE28" s="493">
        <f t="shared" si="23"/>
        <v>0</v>
      </c>
      <c r="AF28" s="453">
        <f t="shared" si="24"/>
        <v>0</v>
      </c>
      <c r="AG28" s="494">
        <f t="shared" si="25"/>
        <v>1</v>
      </c>
      <c r="AH28" s="454">
        <f t="shared" si="26"/>
        <v>0</v>
      </c>
      <c r="AI28" s="454">
        <f t="shared" si="27"/>
        <v>0</v>
      </c>
      <c r="AJ28" s="454">
        <f t="shared" si="28"/>
        <v>0</v>
      </c>
      <c r="AK28" s="454">
        <f t="shared" si="29"/>
        <v>0</v>
      </c>
      <c r="AL28" s="454">
        <f t="shared" si="30"/>
        <v>0</v>
      </c>
      <c r="AM28" s="454">
        <f t="shared" si="31"/>
        <v>0</v>
      </c>
      <c r="AN28" s="491">
        <f t="shared" si="32"/>
        <v>0</v>
      </c>
      <c r="AO28" s="487">
        <f t="shared" si="33"/>
        <v>0</v>
      </c>
      <c r="AP28" s="495">
        <f t="shared" si="34"/>
        <v>0</v>
      </c>
      <c r="AQ28" s="496">
        <f t="shared" si="35"/>
        <v>0</v>
      </c>
      <c r="AV28" s="459">
        <f>IF(BA28&gt;BA27,AV27,IF(AV27&lt;MiscData!$F$1,EOMONTH(AV27,1),EOMONTH(AV27,-11)))</f>
        <v>42400</v>
      </c>
      <c r="AW28" s="448" t="str">
        <f t="shared" si="36"/>
        <v>20140101KUCME707</v>
      </c>
      <c r="AX28" s="457" t="str">
        <f t="shared" si="37"/>
        <v>20140101LQF</v>
      </c>
      <c r="AY28" s="439">
        <f>IF(AV28&lt;=MiscData!$B$23,MiscData!$C$23,IF(AV28&lt;=MiscData!$B$24,MiscData!$C$24,MiscData!$C$25))</f>
        <v>20140101</v>
      </c>
      <c r="AZ28" s="439" t="str">
        <f>VLOOKUP(BA28,MiscData!$V$4:$W$42,2,FALSE)</f>
        <v>KUCME707</v>
      </c>
      <c r="BA28" s="439">
        <f>IF(BA27=MiscData!$V$42,1,BA27+1)</f>
        <v>25</v>
      </c>
      <c r="BB28" s="439" t="str">
        <f>VLOOKUP(AZ28,MiscData!$W$4:$Y$42,3,FALSE)</f>
        <v>LQF</v>
      </c>
    </row>
    <row r="29" spans="1:54">
      <c r="A29" s="499">
        <f t="shared" si="38"/>
        <v>26</v>
      </c>
      <c r="B29" s="448" t="str">
        <f t="shared" si="0"/>
        <v>Jan 2016</v>
      </c>
      <c r="C29" s="448" t="s">
        <v>208</v>
      </c>
      <c r="D29" s="449" t="str">
        <f t="shared" si="1"/>
        <v>GS</v>
      </c>
      <c r="E29" s="449" t="str">
        <f t="shared" si="2"/>
        <v>KUCME710</v>
      </c>
      <c r="F29" s="450">
        <f t="shared" si="3"/>
        <v>0</v>
      </c>
      <c r="G29" s="450">
        <v>0</v>
      </c>
      <c r="H29" s="450">
        <v>0</v>
      </c>
      <c r="I29" s="450">
        <v>0</v>
      </c>
      <c r="J29" s="450">
        <f t="shared" si="4"/>
        <v>0</v>
      </c>
      <c r="K29" s="482">
        <f t="shared" si="5"/>
        <v>0</v>
      </c>
      <c r="L29" s="482">
        <f t="shared" si="6"/>
        <v>0</v>
      </c>
      <c r="M29" s="482">
        <f t="shared" si="7"/>
        <v>0</v>
      </c>
      <c r="N29" s="482">
        <f t="shared" si="8"/>
        <v>0</v>
      </c>
      <c r="O29" s="482">
        <f t="shared" si="9"/>
        <v>0</v>
      </c>
      <c r="P29" s="482">
        <f t="shared" si="10"/>
        <v>0</v>
      </c>
      <c r="Q29" s="451">
        <f t="shared" si="11"/>
        <v>20</v>
      </c>
      <c r="R29" s="452">
        <f t="shared" si="12"/>
        <v>9.2249999999999999E-2</v>
      </c>
      <c r="S29" s="452">
        <v>0</v>
      </c>
      <c r="T29" s="452">
        <v>0</v>
      </c>
      <c r="U29" s="452">
        <f t="shared" si="13"/>
        <v>2.8920000000000001E-2</v>
      </c>
      <c r="V29" s="451">
        <f t="shared" si="14"/>
        <v>0</v>
      </c>
      <c r="W29" s="451">
        <f t="shared" si="15"/>
        <v>0</v>
      </c>
      <c r="X29" s="451">
        <f t="shared" si="16"/>
        <v>0</v>
      </c>
      <c r="Y29" s="453">
        <f t="shared" si="17"/>
        <v>0</v>
      </c>
      <c r="Z29" s="453">
        <f t="shared" si="18"/>
        <v>0</v>
      </c>
      <c r="AA29" s="453">
        <f t="shared" si="19"/>
        <v>0</v>
      </c>
      <c r="AB29" s="453">
        <f t="shared" si="20"/>
        <v>0</v>
      </c>
      <c r="AC29" s="453">
        <f t="shared" si="21"/>
        <v>0</v>
      </c>
      <c r="AD29" s="453">
        <f t="shared" si="22"/>
        <v>0</v>
      </c>
      <c r="AE29" s="493">
        <f t="shared" si="23"/>
        <v>0</v>
      </c>
      <c r="AF29" s="453">
        <f t="shared" si="24"/>
        <v>0</v>
      </c>
      <c r="AG29" s="494">
        <f t="shared" si="25"/>
        <v>1</v>
      </c>
      <c r="AH29" s="454">
        <f t="shared" si="26"/>
        <v>0</v>
      </c>
      <c r="AI29" s="454">
        <f t="shared" si="27"/>
        <v>0</v>
      </c>
      <c r="AJ29" s="454">
        <f t="shared" si="28"/>
        <v>0</v>
      </c>
      <c r="AK29" s="454">
        <f t="shared" si="29"/>
        <v>0</v>
      </c>
      <c r="AL29" s="454">
        <f t="shared" si="30"/>
        <v>0</v>
      </c>
      <c r="AM29" s="454">
        <f t="shared" si="31"/>
        <v>0</v>
      </c>
      <c r="AN29" s="491">
        <f t="shared" si="32"/>
        <v>0</v>
      </c>
      <c r="AO29" s="487">
        <f t="shared" si="33"/>
        <v>0</v>
      </c>
      <c r="AP29" s="495">
        <f t="shared" si="34"/>
        <v>0</v>
      </c>
      <c r="AQ29" s="496">
        <f t="shared" si="35"/>
        <v>0</v>
      </c>
      <c r="AV29" s="459">
        <f>IF(BA29&gt;BA28,AV28,IF(AV28&lt;MiscData!$F$1,EOMONTH(AV28,1),EOMONTH(AV28,-11)))</f>
        <v>42400</v>
      </c>
      <c r="AW29" s="448" t="str">
        <f t="shared" si="36"/>
        <v>20140101KUCME710</v>
      </c>
      <c r="AX29" s="457" t="str">
        <f t="shared" si="37"/>
        <v>20140101GS</v>
      </c>
      <c r="AY29" s="439">
        <f>IF(AV29&lt;=MiscData!$B$23,MiscData!$C$23,IF(AV29&lt;=MiscData!$B$24,MiscData!$C$24,MiscData!$C$25))</f>
        <v>20140101</v>
      </c>
      <c r="AZ29" s="439" t="str">
        <f>VLOOKUP(BA29,MiscData!$V$4:$W$42,2,FALSE)</f>
        <v>KUCME710</v>
      </c>
      <c r="BA29" s="439">
        <f>IF(BA28=MiscData!$V$42,1,BA28+1)</f>
        <v>26</v>
      </c>
      <c r="BB29" s="511" t="str">
        <f>VLOOKUP(AZ29,MiscData!$W$4:$Y$42,3,FALSE)</f>
        <v>GS</v>
      </c>
    </row>
    <row r="30" spans="1:54">
      <c r="A30" s="499">
        <f t="shared" si="38"/>
        <v>27</v>
      </c>
      <c r="B30" s="448" t="str">
        <f t="shared" si="0"/>
        <v>Jan 2016</v>
      </c>
      <c r="C30" s="448" t="s">
        <v>17</v>
      </c>
      <c r="D30" s="449" t="str">
        <f t="shared" si="1"/>
        <v>GS3</v>
      </c>
      <c r="E30" s="449" t="str">
        <f t="shared" si="2"/>
        <v>KUCME713</v>
      </c>
      <c r="F30" s="450">
        <f t="shared" si="3"/>
        <v>0</v>
      </c>
      <c r="G30" s="450">
        <v>0</v>
      </c>
      <c r="H30" s="450">
        <v>0</v>
      </c>
      <c r="I30" s="450">
        <v>0</v>
      </c>
      <c r="J30" s="450">
        <f t="shared" si="4"/>
        <v>0</v>
      </c>
      <c r="K30" s="482">
        <f t="shared" si="5"/>
        <v>0</v>
      </c>
      <c r="L30" s="482">
        <f t="shared" si="6"/>
        <v>0</v>
      </c>
      <c r="M30" s="482">
        <f t="shared" si="7"/>
        <v>0</v>
      </c>
      <c r="N30" s="482">
        <f t="shared" si="8"/>
        <v>0</v>
      </c>
      <c r="O30" s="482">
        <f t="shared" si="9"/>
        <v>0</v>
      </c>
      <c r="P30" s="482">
        <f t="shared" si="10"/>
        <v>0</v>
      </c>
      <c r="Q30" s="451">
        <f t="shared" si="11"/>
        <v>35</v>
      </c>
      <c r="R30" s="452">
        <f t="shared" si="12"/>
        <v>9.2249999999999999E-2</v>
      </c>
      <c r="S30" s="452">
        <v>0</v>
      </c>
      <c r="T30" s="452">
        <v>0</v>
      </c>
      <c r="U30" s="452">
        <f t="shared" si="13"/>
        <v>2.8920000000000001E-2</v>
      </c>
      <c r="V30" s="451">
        <f t="shared" si="14"/>
        <v>0</v>
      </c>
      <c r="W30" s="451">
        <f t="shared" si="15"/>
        <v>0</v>
      </c>
      <c r="X30" s="451">
        <f t="shared" si="16"/>
        <v>0</v>
      </c>
      <c r="Y30" s="453">
        <f t="shared" si="17"/>
        <v>0</v>
      </c>
      <c r="Z30" s="453">
        <f t="shared" si="18"/>
        <v>0</v>
      </c>
      <c r="AA30" s="453">
        <f t="shared" si="19"/>
        <v>0</v>
      </c>
      <c r="AB30" s="453">
        <f t="shared" si="20"/>
        <v>0</v>
      </c>
      <c r="AC30" s="453">
        <f t="shared" si="21"/>
        <v>0</v>
      </c>
      <c r="AD30" s="453">
        <f t="shared" si="22"/>
        <v>0</v>
      </c>
      <c r="AE30" s="493">
        <f t="shared" si="23"/>
        <v>0</v>
      </c>
      <c r="AF30" s="453">
        <f t="shared" si="24"/>
        <v>0</v>
      </c>
      <c r="AG30" s="494">
        <f t="shared" si="25"/>
        <v>1</v>
      </c>
      <c r="AH30" s="454">
        <f t="shared" si="26"/>
        <v>0</v>
      </c>
      <c r="AI30" s="454">
        <f t="shared" si="27"/>
        <v>0</v>
      </c>
      <c r="AJ30" s="454">
        <f t="shared" si="28"/>
        <v>0</v>
      </c>
      <c r="AK30" s="454">
        <f t="shared" si="29"/>
        <v>0</v>
      </c>
      <c r="AL30" s="454">
        <f t="shared" si="30"/>
        <v>0</v>
      </c>
      <c r="AM30" s="454">
        <f t="shared" si="31"/>
        <v>0</v>
      </c>
      <c r="AN30" s="491">
        <f t="shared" si="32"/>
        <v>0</v>
      </c>
      <c r="AO30" s="487">
        <f t="shared" si="33"/>
        <v>0</v>
      </c>
      <c r="AP30" s="495">
        <f t="shared" si="34"/>
        <v>0</v>
      </c>
      <c r="AQ30" s="496">
        <f t="shared" si="35"/>
        <v>0</v>
      </c>
      <c r="AV30" s="459">
        <f>IF(BA30&gt;BA29,AV29,IF(AV29&lt;MiscData!$F$1,EOMONTH(AV29,1),EOMONTH(AV29,-11)))</f>
        <v>42400</v>
      </c>
      <c r="AW30" s="448" t="str">
        <f t="shared" si="36"/>
        <v>20140101KUCME713</v>
      </c>
      <c r="AX30" s="457" t="str">
        <f t="shared" si="37"/>
        <v>20140101GS3</v>
      </c>
      <c r="AY30" s="439">
        <f>IF(AV30&lt;=MiscData!$B$23,MiscData!$C$23,IF(AV30&lt;=MiscData!$B$24,MiscData!$C$24,MiscData!$C$25))</f>
        <v>20140101</v>
      </c>
      <c r="AZ30" s="439" t="str">
        <f>VLOOKUP(BA30,MiscData!$V$4:$W$42,2,FALSE)</f>
        <v>KUCME713</v>
      </c>
      <c r="BA30" s="439">
        <f>IF(BA29=MiscData!$V$42,1,BA29+1)</f>
        <v>27</v>
      </c>
      <c r="BB30" s="511" t="str">
        <f>VLOOKUP(AZ30,MiscData!$W$4:$Y$42,3,FALSE)</f>
        <v>GS3</v>
      </c>
    </row>
    <row r="31" spans="1:54" hidden="1">
      <c r="A31" s="448">
        <f>A27+1</f>
        <v>25</v>
      </c>
      <c r="B31" s="448" t="str">
        <f t="shared" si="0"/>
        <v>Jan 2016</v>
      </c>
      <c r="C31" s="448" t="s">
        <v>1471</v>
      </c>
      <c r="D31" s="449" t="str">
        <f t="shared" si="1"/>
        <v>CSR10</v>
      </c>
      <c r="E31" s="449" t="str">
        <f t="shared" si="2"/>
        <v>KUCSR760</v>
      </c>
      <c r="F31" s="450">
        <f t="shared" si="3"/>
        <v>0</v>
      </c>
      <c r="G31" s="450">
        <v>0</v>
      </c>
      <c r="H31" s="450">
        <v>0</v>
      </c>
      <c r="I31" s="450">
        <v>0</v>
      </c>
      <c r="J31" s="450">
        <f t="shared" si="4"/>
        <v>0</v>
      </c>
      <c r="K31" s="482">
        <f t="shared" si="5"/>
        <v>0</v>
      </c>
      <c r="L31" s="482">
        <f t="shared" si="6"/>
        <v>0</v>
      </c>
      <c r="M31" s="482">
        <f t="shared" si="7"/>
        <v>0</v>
      </c>
      <c r="N31" s="482">
        <f t="shared" si="8"/>
        <v>0</v>
      </c>
      <c r="O31" s="482">
        <f t="shared" si="9"/>
        <v>0</v>
      </c>
      <c r="P31" s="482">
        <f t="shared" si="10"/>
        <v>0</v>
      </c>
      <c r="Q31" s="451">
        <f t="shared" si="11"/>
        <v>0</v>
      </c>
      <c r="R31" s="452">
        <f t="shared" si="12"/>
        <v>0</v>
      </c>
      <c r="S31" s="452">
        <v>0</v>
      </c>
      <c r="T31" s="452">
        <v>0</v>
      </c>
      <c r="U31" s="452">
        <f t="shared" si="13"/>
        <v>0</v>
      </c>
      <c r="V31" s="451">
        <f t="shared" si="14"/>
        <v>-5.4</v>
      </c>
      <c r="W31" s="451">
        <f t="shared" si="15"/>
        <v>0</v>
      </c>
      <c r="X31" s="451">
        <f t="shared" si="16"/>
        <v>0</v>
      </c>
      <c r="Y31" s="453">
        <f t="shared" si="17"/>
        <v>0</v>
      </c>
      <c r="Z31" s="453">
        <f t="shared" si="18"/>
        <v>0</v>
      </c>
      <c r="AA31" s="453">
        <f t="shared" si="19"/>
        <v>0</v>
      </c>
      <c r="AB31" s="453">
        <f t="shared" si="20"/>
        <v>0</v>
      </c>
      <c r="AC31" s="453">
        <f t="shared" si="21"/>
        <v>0</v>
      </c>
      <c r="AD31" s="453">
        <f t="shared" si="22"/>
        <v>0</v>
      </c>
      <c r="AE31" s="493">
        <f t="shared" si="23"/>
        <v>0</v>
      </c>
      <c r="AF31" s="453">
        <f t="shared" si="24"/>
        <v>0</v>
      </c>
      <c r="AG31" s="494">
        <f t="shared" si="25"/>
        <v>1</v>
      </c>
      <c r="AH31" s="454">
        <f t="shared" si="26"/>
        <v>0</v>
      </c>
      <c r="AI31" s="454">
        <f t="shared" si="27"/>
        <v>0</v>
      </c>
      <c r="AJ31" s="454">
        <f t="shared" si="28"/>
        <v>0</v>
      </c>
      <c r="AK31" s="454">
        <f t="shared" si="29"/>
        <v>0</v>
      </c>
      <c r="AL31" s="454">
        <f t="shared" si="30"/>
        <v>-989829</v>
      </c>
      <c r="AM31" s="454">
        <f t="shared" si="31"/>
        <v>-989829</v>
      </c>
      <c r="AN31" s="491">
        <f t="shared" si="32"/>
        <v>-989829</v>
      </c>
      <c r="AO31" s="487">
        <f t="shared" si="33"/>
        <v>0</v>
      </c>
      <c r="AP31" s="495">
        <f t="shared" si="34"/>
        <v>0</v>
      </c>
      <c r="AQ31" s="496">
        <f t="shared" si="35"/>
        <v>0</v>
      </c>
      <c r="AV31" s="459">
        <f>IF(BA31&gt;BA27,AV27,IF(AV27&lt;MiscData!$F$1,EOMONTH(AV27,1),EOMONTH(AV27,-11)))</f>
        <v>42400</v>
      </c>
      <c r="AW31" s="448" t="str">
        <f t="shared" si="36"/>
        <v>20140101KUCSR760</v>
      </c>
      <c r="AX31" s="457" t="str">
        <f t="shared" si="37"/>
        <v>20140101CSR10</v>
      </c>
      <c r="AY31" s="439">
        <f>IF(AV31&lt;=MiscData!$B$23,MiscData!$C$23,IF(AV31&lt;=MiscData!$B$24,MiscData!$C$24,MiscData!$C$25))</f>
        <v>20140101</v>
      </c>
      <c r="AZ31" s="439" t="str">
        <f>VLOOKUP(BA31,MiscData!$V$4:$W$42,2,FALSE)</f>
        <v>KUCSR760</v>
      </c>
      <c r="BA31" s="439">
        <f>IF(BA30=MiscData!$V$42,1,BA30+1)</f>
        <v>28</v>
      </c>
      <c r="BB31" s="439" t="str">
        <f>VLOOKUP(AZ31,MiscData!$W$4:$Y$42,3,FALSE)</f>
        <v>CSR10</v>
      </c>
    </row>
    <row r="32" spans="1:54" hidden="1">
      <c r="A32" s="448">
        <f>A28+1</f>
        <v>26</v>
      </c>
      <c r="B32" s="448" t="str">
        <f t="shared" si="0"/>
        <v>Jan 2016</v>
      </c>
      <c r="C32" s="448" t="s">
        <v>1471</v>
      </c>
      <c r="D32" s="449" t="str">
        <f t="shared" si="1"/>
        <v>CSR10</v>
      </c>
      <c r="E32" s="449" t="str">
        <f t="shared" si="2"/>
        <v>KUCSR761</v>
      </c>
      <c r="F32" s="450">
        <f t="shared" si="3"/>
        <v>0</v>
      </c>
      <c r="G32" s="450">
        <v>0</v>
      </c>
      <c r="H32" s="450">
        <v>0</v>
      </c>
      <c r="I32" s="450">
        <v>0</v>
      </c>
      <c r="J32" s="450">
        <f t="shared" si="4"/>
        <v>0</v>
      </c>
      <c r="K32" s="482">
        <f t="shared" si="5"/>
        <v>0</v>
      </c>
      <c r="L32" s="482">
        <f t="shared" si="6"/>
        <v>0</v>
      </c>
      <c r="M32" s="482">
        <f t="shared" si="7"/>
        <v>0</v>
      </c>
      <c r="N32" s="482">
        <f t="shared" si="8"/>
        <v>0</v>
      </c>
      <c r="O32" s="482">
        <f t="shared" si="9"/>
        <v>0</v>
      </c>
      <c r="P32" s="482">
        <f t="shared" si="10"/>
        <v>0</v>
      </c>
      <c r="Q32" s="451">
        <f t="shared" si="11"/>
        <v>0</v>
      </c>
      <c r="R32" s="452">
        <f t="shared" si="12"/>
        <v>0</v>
      </c>
      <c r="S32" s="452">
        <v>0</v>
      </c>
      <c r="T32" s="452">
        <v>0</v>
      </c>
      <c r="U32" s="452">
        <f t="shared" si="13"/>
        <v>0</v>
      </c>
      <c r="V32" s="451">
        <f t="shared" si="14"/>
        <v>-5.5</v>
      </c>
      <c r="W32" s="451">
        <f t="shared" si="15"/>
        <v>0</v>
      </c>
      <c r="X32" s="451">
        <f t="shared" si="16"/>
        <v>0</v>
      </c>
      <c r="Y32" s="453">
        <f t="shared" si="17"/>
        <v>0</v>
      </c>
      <c r="Z32" s="453">
        <f t="shared" si="18"/>
        <v>0</v>
      </c>
      <c r="AA32" s="453">
        <f t="shared" si="19"/>
        <v>0</v>
      </c>
      <c r="AB32" s="453">
        <f t="shared" si="20"/>
        <v>0</v>
      </c>
      <c r="AC32" s="453">
        <f t="shared" si="21"/>
        <v>0</v>
      </c>
      <c r="AD32" s="453">
        <f t="shared" si="22"/>
        <v>0</v>
      </c>
      <c r="AE32" s="493">
        <f t="shared" si="23"/>
        <v>0</v>
      </c>
      <c r="AF32" s="453">
        <f t="shared" si="24"/>
        <v>0</v>
      </c>
      <c r="AG32" s="494">
        <f t="shared" si="25"/>
        <v>1</v>
      </c>
      <c r="AH32" s="454">
        <f t="shared" si="26"/>
        <v>0</v>
      </c>
      <c r="AI32" s="454">
        <f t="shared" si="27"/>
        <v>0</v>
      </c>
      <c r="AJ32" s="454">
        <f t="shared" si="28"/>
        <v>0</v>
      </c>
      <c r="AK32" s="454">
        <f t="shared" si="29"/>
        <v>0</v>
      </c>
      <c r="AL32" s="454">
        <f t="shared" si="30"/>
        <v>0</v>
      </c>
      <c r="AM32" s="454">
        <f t="shared" si="31"/>
        <v>0</v>
      </c>
      <c r="AN32" s="491">
        <f t="shared" si="32"/>
        <v>0</v>
      </c>
      <c r="AO32" s="487">
        <f t="shared" si="33"/>
        <v>0</v>
      </c>
      <c r="AP32" s="495">
        <f t="shared" si="34"/>
        <v>0</v>
      </c>
      <c r="AQ32" s="496">
        <f t="shared" si="35"/>
        <v>0</v>
      </c>
      <c r="AV32" s="459">
        <f>IF(BA32&gt;BA28,AV28,IF(AV28&lt;MiscData!$F$1,EOMONTH(AV28,1),EOMONTH(AV28,-11)))</f>
        <v>42400</v>
      </c>
      <c r="AW32" s="448" t="str">
        <f t="shared" si="36"/>
        <v>20140101KUCSR761</v>
      </c>
      <c r="AX32" s="457" t="str">
        <f t="shared" si="37"/>
        <v>20140101CSR10</v>
      </c>
      <c r="AY32" s="439">
        <f>IF(AV32&lt;=MiscData!$B$23,MiscData!$C$23,IF(AV32&lt;=MiscData!$B$24,MiscData!$C$24,MiscData!$C$25))</f>
        <v>20140101</v>
      </c>
      <c r="AZ32" s="439" t="str">
        <f>VLOOKUP(BA32,MiscData!$V$4:$W$42,2,FALSE)</f>
        <v>KUCSR761</v>
      </c>
      <c r="BA32" s="439">
        <f>IF(BA31=MiscData!$V$42,1,BA31+1)</f>
        <v>29</v>
      </c>
      <c r="BB32" s="439" t="str">
        <f>VLOOKUP(AZ32,MiscData!$W$4:$Y$42,3,FALSE)</f>
        <v>CSR10</v>
      </c>
    </row>
    <row r="33" spans="1:55" hidden="1">
      <c r="A33" s="448">
        <f>A32+1</f>
        <v>27</v>
      </c>
      <c r="B33" s="448" t="str">
        <f t="shared" si="0"/>
        <v>Jan 2016</v>
      </c>
      <c r="C33" s="448" t="s">
        <v>1472</v>
      </c>
      <c r="D33" s="449" t="str">
        <f t="shared" si="1"/>
        <v>CSR30</v>
      </c>
      <c r="E33" s="449" t="str">
        <f t="shared" si="2"/>
        <v>KUCSR780</v>
      </c>
      <c r="F33" s="450">
        <f t="shared" si="3"/>
        <v>0</v>
      </c>
      <c r="G33" s="450">
        <v>0</v>
      </c>
      <c r="H33" s="450">
        <v>0</v>
      </c>
      <c r="I33" s="450">
        <v>0</v>
      </c>
      <c r="J33" s="450">
        <f t="shared" si="4"/>
        <v>0</v>
      </c>
      <c r="K33" s="482">
        <f t="shared" si="5"/>
        <v>0</v>
      </c>
      <c r="L33" s="482">
        <f t="shared" si="6"/>
        <v>0</v>
      </c>
      <c r="M33" s="482">
        <f t="shared" si="7"/>
        <v>0</v>
      </c>
      <c r="N33" s="482">
        <f t="shared" si="8"/>
        <v>0</v>
      </c>
      <c r="O33" s="482">
        <f t="shared" si="9"/>
        <v>0</v>
      </c>
      <c r="P33" s="482">
        <f t="shared" si="10"/>
        <v>0</v>
      </c>
      <c r="Q33" s="451">
        <f t="shared" si="11"/>
        <v>0</v>
      </c>
      <c r="R33" s="452">
        <f t="shared" si="12"/>
        <v>0</v>
      </c>
      <c r="S33" s="452">
        <v>0</v>
      </c>
      <c r="T33" s="452">
        <v>0</v>
      </c>
      <c r="U33" s="452">
        <f t="shared" si="13"/>
        <v>0</v>
      </c>
      <c r="V33" s="451">
        <f t="shared" si="14"/>
        <v>-4.3</v>
      </c>
      <c r="W33" s="451">
        <f t="shared" si="15"/>
        <v>0</v>
      </c>
      <c r="X33" s="451">
        <f t="shared" si="16"/>
        <v>0</v>
      </c>
      <c r="Y33" s="453">
        <f t="shared" si="17"/>
        <v>0</v>
      </c>
      <c r="Z33" s="453">
        <f t="shared" si="18"/>
        <v>0</v>
      </c>
      <c r="AA33" s="453">
        <f t="shared" si="19"/>
        <v>0</v>
      </c>
      <c r="AB33" s="453">
        <f t="shared" si="20"/>
        <v>0</v>
      </c>
      <c r="AC33" s="453">
        <f t="shared" si="21"/>
        <v>0</v>
      </c>
      <c r="AD33" s="453">
        <f t="shared" si="22"/>
        <v>0</v>
      </c>
      <c r="AE33" s="493">
        <f t="shared" si="23"/>
        <v>0</v>
      </c>
      <c r="AF33" s="453">
        <f t="shared" si="24"/>
        <v>0</v>
      </c>
      <c r="AG33" s="494">
        <f t="shared" si="25"/>
        <v>1</v>
      </c>
      <c r="AH33" s="454">
        <f t="shared" si="26"/>
        <v>0</v>
      </c>
      <c r="AI33" s="454">
        <f t="shared" si="27"/>
        <v>0</v>
      </c>
      <c r="AJ33" s="454">
        <f t="shared" si="28"/>
        <v>0</v>
      </c>
      <c r="AK33" s="454">
        <f t="shared" si="29"/>
        <v>0</v>
      </c>
      <c r="AL33" s="454">
        <f t="shared" si="30"/>
        <v>0</v>
      </c>
      <c r="AM33" s="454">
        <f t="shared" si="31"/>
        <v>0</v>
      </c>
      <c r="AN33" s="491">
        <f t="shared" si="32"/>
        <v>0</v>
      </c>
      <c r="AO33" s="487">
        <f t="shared" si="33"/>
        <v>0</v>
      </c>
      <c r="AP33" s="495">
        <f t="shared" si="34"/>
        <v>0</v>
      </c>
      <c r="AQ33" s="496">
        <f t="shared" si="35"/>
        <v>0</v>
      </c>
      <c r="AV33" s="459">
        <f>IF(BA33&gt;BA32,AV32,IF(AV32&lt;MiscData!$F$1,EOMONTH(AV32,1),EOMONTH(AV32,-11)))</f>
        <v>42400</v>
      </c>
      <c r="AW33" s="448" t="str">
        <f t="shared" si="36"/>
        <v>20140101KUCSR780</v>
      </c>
      <c r="AX33" s="457" t="str">
        <f t="shared" si="37"/>
        <v>20140101CSR30</v>
      </c>
      <c r="AY33" s="439">
        <f>IF(AV33&lt;=MiscData!$B$23,MiscData!$C$23,IF(AV33&lt;=MiscData!$B$24,MiscData!$C$24,MiscData!$C$25))</f>
        <v>20140101</v>
      </c>
      <c r="AZ33" s="439" t="str">
        <f>VLOOKUP(BA33,MiscData!$V$4:$W$42,2,FALSE)</f>
        <v>KUCSR780</v>
      </c>
      <c r="BA33" s="439">
        <f>IF(BA32=MiscData!$V$42,1,BA32+1)</f>
        <v>30</v>
      </c>
      <c r="BB33" s="439" t="str">
        <f>VLOOKUP(AZ33,MiscData!$W$4:$Y$42,3,FALSE)</f>
        <v>CSR30</v>
      </c>
    </row>
    <row r="34" spans="1:55" hidden="1">
      <c r="A34" s="448">
        <f>A30+1</f>
        <v>28</v>
      </c>
      <c r="B34" s="448" t="str">
        <f t="shared" si="0"/>
        <v>Jan 2016</v>
      </c>
      <c r="C34" s="448" t="s">
        <v>1472</v>
      </c>
      <c r="D34" s="449" t="str">
        <f t="shared" si="1"/>
        <v>CSR30</v>
      </c>
      <c r="E34" s="449" t="str">
        <f t="shared" si="2"/>
        <v>KUCSR781</v>
      </c>
      <c r="F34" s="450">
        <f t="shared" si="3"/>
        <v>0</v>
      </c>
      <c r="G34" s="450">
        <v>0</v>
      </c>
      <c r="H34" s="450">
        <v>0</v>
      </c>
      <c r="I34" s="450">
        <v>0</v>
      </c>
      <c r="J34" s="450">
        <f t="shared" si="4"/>
        <v>0</v>
      </c>
      <c r="K34" s="482">
        <f t="shared" si="5"/>
        <v>0</v>
      </c>
      <c r="L34" s="482">
        <f t="shared" si="6"/>
        <v>0</v>
      </c>
      <c r="M34" s="482">
        <f t="shared" si="7"/>
        <v>0</v>
      </c>
      <c r="N34" s="482">
        <f t="shared" si="8"/>
        <v>0</v>
      </c>
      <c r="O34" s="482">
        <f t="shared" si="9"/>
        <v>0</v>
      </c>
      <c r="P34" s="482">
        <f t="shared" si="10"/>
        <v>0</v>
      </c>
      <c r="Q34" s="451">
        <f t="shared" si="11"/>
        <v>0</v>
      </c>
      <c r="R34" s="452">
        <f t="shared" si="12"/>
        <v>0</v>
      </c>
      <c r="S34" s="452">
        <v>0</v>
      </c>
      <c r="T34" s="452">
        <v>0</v>
      </c>
      <c r="U34" s="452">
        <f t="shared" si="13"/>
        <v>0</v>
      </c>
      <c r="V34" s="451">
        <f t="shared" si="14"/>
        <v>-4.4000000000000004</v>
      </c>
      <c r="W34" s="451">
        <f t="shared" si="15"/>
        <v>0</v>
      </c>
      <c r="X34" s="451">
        <f t="shared" si="16"/>
        <v>0</v>
      </c>
      <c r="Y34" s="453">
        <f t="shared" si="17"/>
        <v>0</v>
      </c>
      <c r="Z34" s="453">
        <f t="shared" si="18"/>
        <v>0</v>
      </c>
      <c r="AA34" s="453">
        <f t="shared" si="19"/>
        <v>0</v>
      </c>
      <c r="AB34" s="453">
        <f t="shared" si="20"/>
        <v>0</v>
      </c>
      <c r="AC34" s="453">
        <f t="shared" si="21"/>
        <v>0</v>
      </c>
      <c r="AD34" s="453">
        <f t="shared" si="22"/>
        <v>0</v>
      </c>
      <c r="AE34" s="493">
        <f t="shared" si="23"/>
        <v>0</v>
      </c>
      <c r="AF34" s="453">
        <f t="shared" si="24"/>
        <v>0</v>
      </c>
      <c r="AG34" s="494">
        <f t="shared" si="25"/>
        <v>1</v>
      </c>
      <c r="AH34" s="454">
        <f t="shared" si="26"/>
        <v>0</v>
      </c>
      <c r="AI34" s="454">
        <f t="shared" si="27"/>
        <v>0</v>
      </c>
      <c r="AJ34" s="454">
        <f t="shared" si="28"/>
        <v>0</v>
      </c>
      <c r="AK34" s="454">
        <f t="shared" si="29"/>
        <v>0</v>
      </c>
      <c r="AL34" s="454">
        <f t="shared" si="30"/>
        <v>0</v>
      </c>
      <c r="AM34" s="454">
        <f t="shared" si="31"/>
        <v>0</v>
      </c>
      <c r="AN34" s="491">
        <f t="shared" si="32"/>
        <v>0</v>
      </c>
      <c r="AO34" s="487">
        <f t="shared" si="33"/>
        <v>0</v>
      </c>
      <c r="AP34" s="495">
        <f t="shared" si="34"/>
        <v>0</v>
      </c>
      <c r="AQ34" s="496">
        <f t="shared" si="35"/>
        <v>0</v>
      </c>
      <c r="AV34" s="459">
        <f>IF(BA34&gt;BA30,AV30,IF(AV30&lt;MiscData!$F$1,EOMONTH(AV30,1),EOMONTH(AV30,-11)))</f>
        <v>42400</v>
      </c>
      <c r="AW34" s="448" t="str">
        <f t="shared" si="36"/>
        <v>20140101KUCSR781</v>
      </c>
      <c r="AX34" s="457" t="str">
        <f t="shared" si="37"/>
        <v>20140101CSR30</v>
      </c>
      <c r="AY34" s="439">
        <f>IF(AV34&lt;=MiscData!$B$23,MiscData!$C$23,IF(AV34&lt;=MiscData!$B$24,MiscData!$C$24,MiscData!$C$25))</f>
        <v>20140101</v>
      </c>
      <c r="AZ34" s="439" t="str">
        <f>VLOOKUP(BA34,MiscData!$V$4:$W$42,2,FALSE)</f>
        <v>KUCSR781</v>
      </c>
      <c r="BA34" s="439">
        <f>IF(BA33=MiscData!$V$42,1,BA33+1)</f>
        <v>31</v>
      </c>
      <c r="BB34" s="439" t="str">
        <f>VLOOKUP(AZ34,MiscData!$W$4:$Y$42,3,FALSE)</f>
        <v>CSR30</v>
      </c>
    </row>
    <row r="35" spans="1:55" hidden="1">
      <c r="A35" s="448">
        <f t="shared" ref="A35:A69" si="39">A34+1</f>
        <v>29</v>
      </c>
      <c r="B35" s="448" t="str">
        <f t="shared" si="0"/>
        <v>Jan 2016</v>
      </c>
      <c r="C35" s="448" t="s">
        <v>1472</v>
      </c>
      <c r="D35" s="449" t="str">
        <f t="shared" si="1"/>
        <v>CSR30</v>
      </c>
      <c r="E35" s="449" t="str">
        <f t="shared" si="2"/>
        <v>KUCSR783</v>
      </c>
      <c r="F35" s="450">
        <f t="shared" si="3"/>
        <v>0</v>
      </c>
      <c r="G35" s="450">
        <v>0</v>
      </c>
      <c r="H35" s="450">
        <v>0</v>
      </c>
      <c r="I35" s="450">
        <v>0</v>
      </c>
      <c r="J35" s="450">
        <f t="shared" si="4"/>
        <v>0</v>
      </c>
      <c r="K35" s="482">
        <f t="shared" si="5"/>
        <v>0</v>
      </c>
      <c r="L35" s="482">
        <f t="shared" si="6"/>
        <v>0</v>
      </c>
      <c r="M35" s="482">
        <f t="shared" si="7"/>
        <v>0</v>
      </c>
      <c r="N35" s="482">
        <f t="shared" si="8"/>
        <v>0</v>
      </c>
      <c r="O35" s="482">
        <f t="shared" si="9"/>
        <v>0</v>
      </c>
      <c r="P35" s="482">
        <f t="shared" si="10"/>
        <v>0</v>
      </c>
      <c r="Q35" s="451">
        <f t="shared" si="11"/>
        <v>0</v>
      </c>
      <c r="R35" s="452">
        <f t="shared" si="12"/>
        <v>0</v>
      </c>
      <c r="S35" s="452">
        <v>0</v>
      </c>
      <c r="T35" s="452">
        <v>0</v>
      </c>
      <c r="U35" s="452">
        <f t="shared" si="13"/>
        <v>0</v>
      </c>
      <c r="V35" s="451">
        <f t="shared" si="14"/>
        <v>-4.4000000000000004</v>
      </c>
      <c r="W35" s="451">
        <f t="shared" si="15"/>
        <v>0</v>
      </c>
      <c r="X35" s="451">
        <f t="shared" si="16"/>
        <v>0</v>
      </c>
      <c r="Y35" s="453">
        <f t="shared" si="17"/>
        <v>0</v>
      </c>
      <c r="Z35" s="453">
        <f t="shared" si="18"/>
        <v>0</v>
      </c>
      <c r="AA35" s="453">
        <f t="shared" si="19"/>
        <v>0</v>
      </c>
      <c r="AB35" s="453">
        <f t="shared" si="20"/>
        <v>0</v>
      </c>
      <c r="AC35" s="453">
        <f t="shared" si="21"/>
        <v>0</v>
      </c>
      <c r="AD35" s="453">
        <f t="shared" si="22"/>
        <v>0</v>
      </c>
      <c r="AE35" s="493">
        <f t="shared" si="23"/>
        <v>0</v>
      </c>
      <c r="AF35" s="453">
        <f t="shared" si="24"/>
        <v>0</v>
      </c>
      <c r="AG35" s="494">
        <f t="shared" si="25"/>
        <v>1</v>
      </c>
      <c r="AH35" s="454">
        <f t="shared" si="26"/>
        <v>0</v>
      </c>
      <c r="AI35" s="454">
        <f t="shared" si="27"/>
        <v>0</v>
      </c>
      <c r="AJ35" s="454">
        <f t="shared" si="28"/>
        <v>0</v>
      </c>
      <c r="AK35" s="454">
        <f t="shared" si="29"/>
        <v>0</v>
      </c>
      <c r="AL35" s="454">
        <f t="shared" si="30"/>
        <v>0</v>
      </c>
      <c r="AM35" s="454">
        <f t="shared" si="31"/>
        <v>0</v>
      </c>
      <c r="AN35" s="491">
        <f t="shared" si="32"/>
        <v>0</v>
      </c>
      <c r="AO35" s="487">
        <f t="shared" si="33"/>
        <v>0</v>
      </c>
      <c r="AP35" s="495">
        <f t="shared" si="34"/>
        <v>0</v>
      </c>
      <c r="AQ35" s="496">
        <f t="shared" si="35"/>
        <v>0</v>
      </c>
      <c r="AV35" s="459">
        <f>IF(BA35&gt;BA34,AV34,IF(AV34&lt;MiscData!$F$1,EOMONTH(AV34,1),EOMONTH(AV34,-11)))</f>
        <v>42400</v>
      </c>
      <c r="AW35" s="448" t="str">
        <f t="shared" si="36"/>
        <v>20140101KUCSR783</v>
      </c>
      <c r="AX35" s="457" t="str">
        <f t="shared" si="37"/>
        <v>20140101CSR30</v>
      </c>
      <c r="AY35" s="439">
        <f>IF(AV35&lt;=MiscData!$B$23,MiscData!$C$23,IF(AV35&lt;=MiscData!$B$24,MiscData!$C$24,MiscData!$C$25))</f>
        <v>20140101</v>
      </c>
      <c r="AZ35" s="439" t="str">
        <f>VLOOKUP(BA35,MiscData!$V$4:$W$42,2,FALSE)</f>
        <v>KUCSR783</v>
      </c>
      <c r="BA35" s="439">
        <f>IF(BA34=MiscData!$V$42,1,BA34+1)</f>
        <v>32</v>
      </c>
      <c r="BB35" s="439" t="str">
        <f>VLOOKUP(AZ35,MiscData!$W$4:$Y$42,3,FALSE)</f>
        <v>CSR30</v>
      </c>
    </row>
    <row r="36" spans="1:55" hidden="1">
      <c r="A36" s="499">
        <f t="shared" si="39"/>
        <v>30</v>
      </c>
      <c r="B36" s="448" t="str">
        <f t="shared" si="0"/>
        <v>Jan 2016</v>
      </c>
      <c r="C36" s="832" t="s">
        <v>642</v>
      </c>
      <c r="D36" s="449" t="str">
        <f t="shared" si="1"/>
        <v>FLST</v>
      </c>
      <c r="E36" s="449" t="str">
        <f t="shared" si="2"/>
        <v>KUINE730</v>
      </c>
      <c r="F36" s="450">
        <f t="shared" si="3"/>
        <v>1</v>
      </c>
      <c r="G36" s="450">
        <v>0</v>
      </c>
      <c r="H36" s="450">
        <v>0</v>
      </c>
      <c r="I36" s="450">
        <v>0</v>
      </c>
      <c r="J36" s="450">
        <f t="shared" si="4"/>
        <v>48922696</v>
      </c>
      <c r="K36" s="482">
        <f t="shared" si="5"/>
        <v>185158</v>
      </c>
      <c r="L36" s="482">
        <f t="shared" si="6"/>
        <v>185158</v>
      </c>
      <c r="M36" s="482">
        <f t="shared" si="7"/>
        <v>101388</v>
      </c>
      <c r="N36" s="482">
        <f t="shared" si="8"/>
        <v>0</v>
      </c>
      <c r="O36" s="482">
        <f t="shared" si="9"/>
        <v>0</v>
      </c>
      <c r="P36" s="482">
        <f t="shared" si="10"/>
        <v>0</v>
      </c>
      <c r="Q36" s="451">
        <f t="shared" si="11"/>
        <v>750</v>
      </c>
      <c r="R36" s="452">
        <f t="shared" si="12"/>
        <v>3.261E-2</v>
      </c>
      <c r="S36" s="452">
        <v>0</v>
      </c>
      <c r="T36" s="452">
        <v>0</v>
      </c>
      <c r="U36" s="452">
        <f t="shared" si="13"/>
        <v>2.8920000000000001E-2</v>
      </c>
      <c r="V36" s="451">
        <f t="shared" si="14"/>
        <v>1.05</v>
      </c>
      <c r="W36" s="451">
        <f t="shared" si="15"/>
        <v>1.52</v>
      </c>
      <c r="X36" s="451">
        <f t="shared" si="16"/>
        <v>2.41</v>
      </c>
      <c r="Y36" s="453">
        <f t="shared" si="17"/>
        <v>750</v>
      </c>
      <c r="Z36" s="453">
        <f t="shared" si="18"/>
        <v>1595369.12</v>
      </c>
      <c r="AA36" s="453">
        <f t="shared" si="19"/>
        <v>194415.9</v>
      </c>
      <c r="AB36" s="453">
        <f t="shared" si="20"/>
        <v>281440.15999999997</v>
      </c>
      <c r="AC36" s="453">
        <f t="shared" si="21"/>
        <v>244345.08</v>
      </c>
      <c r="AD36" s="453">
        <f t="shared" si="22"/>
        <v>720201.1399999999</v>
      </c>
      <c r="AE36" s="493">
        <f t="shared" si="23"/>
        <v>2316320.2599999998</v>
      </c>
      <c r="AF36" s="453">
        <f t="shared" si="24"/>
        <v>2316318</v>
      </c>
      <c r="AG36" s="494">
        <f t="shared" si="25"/>
        <v>0.99999902431453935</v>
      </c>
      <c r="AH36" s="454">
        <f t="shared" si="26"/>
        <v>154932</v>
      </c>
      <c r="AI36" s="454">
        <f t="shared" si="27"/>
        <v>0</v>
      </c>
      <c r="AJ36" s="454">
        <f t="shared" si="28"/>
        <v>224639</v>
      </c>
      <c r="AK36" s="454">
        <f t="shared" si="29"/>
        <v>0</v>
      </c>
      <c r="AL36" s="454">
        <f t="shared" si="30"/>
        <v>0</v>
      </c>
      <c r="AM36" s="454">
        <f t="shared" si="31"/>
        <v>2695889</v>
      </c>
      <c r="AN36" s="491">
        <f t="shared" si="32"/>
        <v>2695891.26</v>
      </c>
      <c r="AO36" s="487">
        <f t="shared" si="33"/>
        <v>-2.2599999997764826</v>
      </c>
      <c r="AP36" s="495">
        <f t="shared" si="34"/>
        <v>1414844.37</v>
      </c>
      <c r="AQ36" s="510">
        <f t="shared" si="35"/>
        <v>180524.75</v>
      </c>
      <c r="AV36" s="459">
        <f>IF(BA36&gt;BA35,AV35,IF(AV35&lt;MiscData!$F$1,EOMONTH(AV35,1),EOMONTH(AV35,-11)))</f>
        <v>42400</v>
      </c>
      <c r="AW36" s="448" t="str">
        <f t="shared" si="36"/>
        <v>20140101KUINE730</v>
      </c>
      <c r="AX36" s="457" t="str">
        <f t="shared" si="37"/>
        <v>20140101FLST</v>
      </c>
      <c r="AY36" s="439">
        <f>IF(AV36&lt;=MiscData!$B$23,MiscData!$C$23,IF(AV36&lt;=MiscData!$B$24,MiscData!$C$24,MiscData!$C$25))</f>
        <v>20140101</v>
      </c>
      <c r="AZ36" s="439" t="str">
        <f>VLOOKUP(BA36,MiscData!$V$4:$W$42,2,FALSE)</f>
        <v>KUINE730</v>
      </c>
      <c r="BA36" s="439">
        <f>IF(BA35=MiscData!$V$42,1,BA35+1)</f>
        <v>33</v>
      </c>
      <c r="BB36" s="439" t="str">
        <f>VLOOKUP(AZ36,MiscData!$W$4:$Y$42,3,FALSE)</f>
        <v>FLST</v>
      </c>
    </row>
    <row r="37" spans="1:55" hidden="1">
      <c r="A37" s="448">
        <f t="shared" si="39"/>
        <v>31</v>
      </c>
      <c r="B37" s="448" t="str">
        <f t="shared" si="0"/>
        <v>Jan 2016</v>
      </c>
      <c r="C37" s="448" t="s">
        <v>14</v>
      </c>
      <c r="D37" s="449" t="str">
        <f t="shared" si="1"/>
        <v>RS</v>
      </c>
      <c r="E37" s="449" t="str">
        <f t="shared" si="2"/>
        <v>KURSE010</v>
      </c>
      <c r="F37" s="450">
        <f t="shared" si="3"/>
        <v>430268</v>
      </c>
      <c r="G37" s="450">
        <v>0</v>
      </c>
      <c r="H37" s="450">
        <v>0</v>
      </c>
      <c r="I37" s="450">
        <v>0</v>
      </c>
      <c r="J37" s="450">
        <f t="shared" si="4"/>
        <v>742959056</v>
      </c>
      <c r="K37" s="482">
        <f t="shared" si="5"/>
        <v>0</v>
      </c>
      <c r="L37" s="482">
        <f t="shared" si="6"/>
        <v>0</v>
      </c>
      <c r="M37" s="482">
        <f t="shared" si="7"/>
        <v>0</v>
      </c>
      <c r="N37" s="482">
        <f t="shared" si="8"/>
        <v>0</v>
      </c>
      <c r="O37" s="482">
        <f t="shared" si="9"/>
        <v>0</v>
      </c>
      <c r="P37" s="482">
        <f t="shared" si="10"/>
        <v>0</v>
      </c>
      <c r="Q37" s="451">
        <f t="shared" si="11"/>
        <v>10.75</v>
      </c>
      <c r="R37" s="452">
        <f t="shared" si="12"/>
        <v>7.7439999999999995E-2</v>
      </c>
      <c r="S37" s="452">
        <v>0</v>
      </c>
      <c r="T37" s="452">
        <v>0</v>
      </c>
      <c r="U37" s="452">
        <f t="shared" si="13"/>
        <v>2.8920000000000001E-2</v>
      </c>
      <c r="V37" s="451">
        <f t="shared" si="14"/>
        <v>0</v>
      </c>
      <c r="W37" s="451">
        <f t="shared" si="15"/>
        <v>0</v>
      </c>
      <c r="X37" s="451">
        <f t="shared" si="16"/>
        <v>0</v>
      </c>
      <c r="Y37" s="453">
        <f t="shared" si="17"/>
        <v>4625381</v>
      </c>
      <c r="Z37" s="453">
        <f t="shared" si="18"/>
        <v>57534749.299999997</v>
      </c>
      <c r="AA37" s="453">
        <f t="shared" si="19"/>
        <v>0</v>
      </c>
      <c r="AB37" s="453">
        <f t="shared" si="20"/>
        <v>0</v>
      </c>
      <c r="AC37" s="453">
        <f t="shared" si="21"/>
        <v>0</v>
      </c>
      <c r="AD37" s="453">
        <f t="shared" si="22"/>
        <v>0</v>
      </c>
      <c r="AE37" s="493">
        <f t="shared" si="23"/>
        <v>62160130.299999997</v>
      </c>
      <c r="AF37" s="453">
        <f t="shared" si="24"/>
        <v>62160893</v>
      </c>
      <c r="AG37" s="494">
        <f t="shared" si="25"/>
        <v>1.0000122699227998</v>
      </c>
      <c r="AH37" s="454">
        <f t="shared" si="26"/>
        <v>2352878</v>
      </c>
      <c r="AI37" s="454">
        <f t="shared" si="27"/>
        <v>614519</v>
      </c>
      <c r="AJ37" s="454">
        <f t="shared" si="28"/>
        <v>3411491</v>
      </c>
      <c r="AK37" s="454">
        <f t="shared" si="29"/>
        <v>0</v>
      </c>
      <c r="AL37" s="454">
        <f t="shared" si="30"/>
        <v>0</v>
      </c>
      <c r="AM37" s="454">
        <f t="shared" si="31"/>
        <v>68539781</v>
      </c>
      <c r="AN37" s="491">
        <f t="shared" si="32"/>
        <v>68539018.299999997</v>
      </c>
      <c r="AO37" s="487">
        <f t="shared" si="33"/>
        <v>762.70000000298023</v>
      </c>
      <c r="AP37" s="495">
        <f t="shared" si="34"/>
        <v>21486375.899999999</v>
      </c>
      <c r="AQ37" s="496">
        <f t="shared" si="35"/>
        <v>36048373.399999999</v>
      </c>
      <c r="AV37" s="459">
        <f>IF(BA37&gt;BA36,AV36,IF(AV36&lt;MiscData!$F$1,EOMONTH(AV36,1),EOMONTH(AV36,-11)))</f>
        <v>42400</v>
      </c>
      <c r="AW37" s="448" t="str">
        <f t="shared" si="36"/>
        <v>20140101KURSE010</v>
      </c>
      <c r="AX37" s="457" t="str">
        <f t="shared" si="37"/>
        <v>20140101RS</v>
      </c>
      <c r="AY37" s="439">
        <f>IF(AV37&lt;=MiscData!$B$23,MiscData!$C$23,IF(AV37&lt;=MiscData!$B$24,MiscData!$C$24,MiscData!$C$25))</f>
        <v>20140101</v>
      </c>
      <c r="AZ37" s="439" t="str">
        <f>VLOOKUP(BA37,MiscData!$V$4:$W$42,2,FALSE)</f>
        <v>KURSE010</v>
      </c>
      <c r="BA37" s="439">
        <f>IF(BA36=MiscData!$V$42,1,BA36+1)</f>
        <v>34</v>
      </c>
      <c r="BB37" s="439" t="str">
        <f>VLOOKUP(AZ37,MiscData!$W$4:$Y$42,3,FALSE)</f>
        <v>RS</v>
      </c>
    </row>
    <row r="38" spans="1:55" hidden="1">
      <c r="A38" s="448">
        <f t="shared" si="39"/>
        <v>32</v>
      </c>
      <c r="B38" s="448" t="str">
        <f t="shared" si="0"/>
        <v>Jan 2016</v>
      </c>
      <c r="C38" s="448" t="s">
        <v>14</v>
      </c>
      <c r="D38" s="449" t="str">
        <f t="shared" si="1"/>
        <v>RS</v>
      </c>
      <c r="E38" s="449" t="str">
        <f t="shared" si="2"/>
        <v>KURSE020</v>
      </c>
      <c r="F38" s="450">
        <f t="shared" si="3"/>
        <v>0</v>
      </c>
      <c r="G38" s="450">
        <v>0</v>
      </c>
      <c r="H38" s="450">
        <v>0</v>
      </c>
      <c r="I38" s="450">
        <v>0</v>
      </c>
      <c r="J38" s="450">
        <f t="shared" si="4"/>
        <v>0</v>
      </c>
      <c r="K38" s="482">
        <f t="shared" si="5"/>
        <v>0</v>
      </c>
      <c r="L38" s="482">
        <f t="shared" si="6"/>
        <v>0</v>
      </c>
      <c r="M38" s="482">
        <f t="shared" si="7"/>
        <v>0</v>
      </c>
      <c r="N38" s="482">
        <f t="shared" si="8"/>
        <v>0</v>
      </c>
      <c r="O38" s="482">
        <f t="shared" si="9"/>
        <v>0</v>
      </c>
      <c r="P38" s="482">
        <f t="shared" si="10"/>
        <v>0</v>
      </c>
      <c r="Q38" s="451">
        <f t="shared" si="11"/>
        <v>10.75</v>
      </c>
      <c r="R38" s="452">
        <f t="shared" si="12"/>
        <v>7.7439999999999995E-2</v>
      </c>
      <c r="S38" s="452">
        <v>0</v>
      </c>
      <c r="T38" s="452">
        <v>0</v>
      </c>
      <c r="U38" s="452">
        <f t="shared" si="13"/>
        <v>2.8920000000000001E-2</v>
      </c>
      <c r="V38" s="451">
        <f t="shared" si="14"/>
        <v>0</v>
      </c>
      <c r="W38" s="451">
        <f t="shared" si="15"/>
        <v>0</v>
      </c>
      <c r="X38" s="451">
        <f t="shared" si="16"/>
        <v>0</v>
      </c>
      <c r="Y38" s="453">
        <f t="shared" si="17"/>
        <v>0</v>
      </c>
      <c r="Z38" s="453">
        <f t="shared" si="18"/>
        <v>0</v>
      </c>
      <c r="AA38" s="453">
        <f t="shared" si="19"/>
        <v>0</v>
      </c>
      <c r="AB38" s="453">
        <f t="shared" si="20"/>
        <v>0</v>
      </c>
      <c r="AC38" s="453">
        <f t="shared" si="21"/>
        <v>0</v>
      </c>
      <c r="AD38" s="453">
        <f t="shared" si="22"/>
        <v>0</v>
      </c>
      <c r="AE38" s="493">
        <f t="shared" si="23"/>
        <v>0</v>
      </c>
      <c r="AF38" s="453">
        <f t="shared" si="24"/>
        <v>0</v>
      </c>
      <c r="AG38" s="494">
        <f t="shared" si="25"/>
        <v>1</v>
      </c>
      <c r="AH38" s="454">
        <f t="shared" si="26"/>
        <v>0</v>
      </c>
      <c r="AI38" s="454">
        <f t="shared" si="27"/>
        <v>0</v>
      </c>
      <c r="AJ38" s="454">
        <f t="shared" si="28"/>
        <v>0</v>
      </c>
      <c r="AK38" s="454">
        <f t="shared" si="29"/>
        <v>0</v>
      </c>
      <c r="AL38" s="454">
        <f t="shared" si="30"/>
        <v>0</v>
      </c>
      <c r="AM38" s="454">
        <f t="shared" si="31"/>
        <v>0</v>
      </c>
      <c r="AN38" s="491">
        <f t="shared" si="32"/>
        <v>0</v>
      </c>
      <c r="AO38" s="487">
        <f t="shared" si="33"/>
        <v>0</v>
      </c>
      <c r="AP38" s="495">
        <f t="shared" si="34"/>
        <v>0</v>
      </c>
      <c r="AQ38" s="496">
        <f t="shared" si="35"/>
        <v>0</v>
      </c>
      <c r="AV38" s="459">
        <f>IF(BA38&gt;BA37,AV37,IF(AV37&lt;MiscData!$F$1,EOMONTH(AV37,1),EOMONTH(AV37,-11)))</f>
        <v>42400</v>
      </c>
      <c r="AW38" s="448" t="str">
        <f t="shared" si="36"/>
        <v>20140101KURSE020</v>
      </c>
      <c r="AX38" s="457" t="str">
        <f t="shared" si="37"/>
        <v>20140101RS</v>
      </c>
      <c r="AY38" s="439">
        <f>IF(AV38&lt;=MiscData!$B$23,MiscData!$C$23,IF(AV38&lt;=MiscData!$B$24,MiscData!$C$24,MiscData!$C$25))</f>
        <v>20140101</v>
      </c>
      <c r="AZ38" s="439" t="str">
        <f>VLOOKUP(BA38,MiscData!$V$4:$W$42,2,FALSE)</f>
        <v>KURSE020</v>
      </c>
      <c r="BA38" s="439">
        <f>IF(BA37=MiscData!$V$42,1,BA37+1)</f>
        <v>35</v>
      </c>
      <c r="BB38" s="439" t="str">
        <f>VLOOKUP(AZ38,MiscData!$W$4:$Y$42,3,FALSE)</f>
        <v>RS</v>
      </c>
    </row>
    <row r="39" spans="1:55" hidden="1">
      <c r="A39" s="448">
        <f t="shared" si="39"/>
        <v>33</v>
      </c>
      <c r="B39" s="448" t="str">
        <f t="shared" si="0"/>
        <v>Jan 2016</v>
      </c>
      <c r="C39" s="448" t="s">
        <v>14</v>
      </c>
      <c r="D39" s="449" t="str">
        <f t="shared" si="1"/>
        <v>RS</v>
      </c>
      <c r="E39" s="449" t="str">
        <f t="shared" si="2"/>
        <v>KURSE025</v>
      </c>
      <c r="F39" s="450">
        <f t="shared" si="3"/>
        <v>0</v>
      </c>
      <c r="G39" s="450">
        <v>0</v>
      </c>
      <c r="H39" s="450">
        <v>0</v>
      </c>
      <c r="I39" s="450">
        <v>0</v>
      </c>
      <c r="J39" s="450">
        <f t="shared" si="4"/>
        <v>0</v>
      </c>
      <c r="K39" s="482">
        <f t="shared" si="5"/>
        <v>0</v>
      </c>
      <c r="L39" s="482">
        <f t="shared" si="6"/>
        <v>0</v>
      </c>
      <c r="M39" s="482">
        <f t="shared" si="7"/>
        <v>0</v>
      </c>
      <c r="N39" s="482">
        <f t="shared" si="8"/>
        <v>0</v>
      </c>
      <c r="O39" s="482">
        <f t="shared" si="9"/>
        <v>0</v>
      </c>
      <c r="P39" s="482">
        <f t="shared" si="10"/>
        <v>0</v>
      </c>
      <c r="Q39" s="451">
        <f t="shared" si="11"/>
        <v>10.75</v>
      </c>
      <c r="R39" s="452">
        <f t="shared" si="12"/>
        <v>7.7439999999999995E-2</v>
      </c>
      <c r="S39" s="452">
        <v>0</v>
      </c>
      <c r="T39" s="452">
        <v>0</v>
      </c>
      <c r="U39" s="452">
        <f t="shared" si="13"/>
        <v>2.8920000000000001E-2</v>
      </c>
      <c r="V39" s="451">
        <f t="shared" si="14"/>
        <v>0</v>
      </c>
      <c r="W39" s="451">
        <f t="shared" si="15"/>
        <v>0</v>
      </c>
      <c r="X39" s="451">
        <f t="shared" si="16"/>
        <v>0</v>
      </c>
      <c r="Y39" s="453">
        <f t="shared" si="17"/>
        <v>0</v>
      </c>
      <c r="Z39" s="453">
        <f t="shared" si="18"/>
        <v>0</v>
      </c>
      <c r="AA39" s="453">
        <f t="shared" si="19"/>
        <v>0</v>
      </c>
      <c r="AB39" s="453">
        <f t="shared" si="20"/>
        <v>0</v>
      </c>
      <c r="AC39" s="453">
        <f t="shared" si="21"/>
        <v>0</v>
      </c>
      <c r="AD39" s="453">
        <f t="shared" si="22"/>
        <v>0</v>
      </c>
      <c r="AE39" s="493">
        <f t="shared" si="23"/>
        <v>0</v>
      </c>
      <c r="AF39" s="453">
        <f t="shared" si="24"/>
        <v>0</v>
      </c>
      <c r="AG39" s="494">
        <f t="shared" si="25"/>
        <v>1</v>
      </c>
      <c r="AH39" s="454">
        <f t="shared" si="26"/>
        <v>0</v>
      </c>
      <c r="AI39" s="454">
        <f t="shared" si="27"/>
        <v>0</v>
      </c>
      <c r="AJ39" s="454">
        <f t="shared" si="28"/>
        <v>0</v>
      </c>
      <c r="AK39" s="454">
        <f t="shared" si="29"/>
        <v>0</v>
      </c>
      <c r="AL39" s="454">
        <f t="shared" si="30"/>
        <v>0</v>
      </c>
      <c r="AM39" s="454">
        <f t="shared" si="31"/>
        <v>0</v>
      </c>
      <c r="AN39" s="491">
        <f t="shared" si="32"/>
        <v>0</v>
      </c>
      <c r="AO39" s="487">
        <f t="shared" si="33"/>
        <v>0</v>
      </c>
      <c r="AP39" s="495">
        <f t="shared" si="34"/>
        <v>0</v>
      </c>
      <c r="AQ39" s="496">
        <f t="shared" si="35"/>
        <v>0</v>
      </c>
      <c r="AV39" s="459">
        <f>IF(BA39&gt;BA38,AV38,IF(AV38&lt;MiscData!$F$1,EOMONTH(AV38,1),EOMONTH(AV38,-11)))</f>
        <v>42400</v>
      </c>
      <c r="AW39" s="448" t="str">
        <f t="shared" si="36"/>
        <v>20140101KURSE025</v>
      </c>
      <c r="AX39" s="457" t="str">
        <f t="shared" si="37"/>
        <v>20140101RS</v>
      </c>
      <c r="AY39" s="439">
        <f>IF(AV39&lt;=MiscData!$B$23,MiscData!$C$23,IF(AV39&lt;=MiscData!$B$24,MiscData!$C$24,MiscData!$C$25))</f>
        <v>20140101</v>
      </c>
      <c r="AZ39" s="439" t="str">
        <f>VLOOKUP(BA39,MiscData!$V$4:$W$42,2,FALSE)</f>
        <v>KURSE025</v>
      </c>
      <c r="BA39" s="439">
        <f>IF(BA38=MiscData!$V$42,1,BA38+1)</f>
        <v>36</v>
      </c>
      <c r="BB39" s="439" t="str">
        <f>VLOOKUP(AZ39,MiscData!$W$4:$Y$42,3,FALSE)</f>
        <v>RS</v>
      </c>
    </row>
    <row r="40" spans="1:55" hidden="1">
      <c r="A40" s="448">
        <f t="shared" si="39"/>
        <v>34</v>
      </c>
      <c r="B40" s="448" t="str">
        <f t="shared" si="0"/>
        <v>Jan 2016</v>
      </c>
      <c r="C40" s="448" t="s">
        <v>828</v>
      </c>
      <c r="D40" s="449" t="str">
        <f t="shared" si="1"/>
        <v>RSLEV</v>
      </c>
      <c r="E40" s="449" t="str">
        <f t="shared" si="2"/>
        <v>KURSE040</v>
      </c>
      <c r="F40" s="450">
        <f t="shared" si="3"/>
        <v>7</v>
      </c>
      <c r="G40" s="450">
        <f>SUMIFS(_1022_KWH_P1,_1022_RevenueMonth,$B40,_1022_RateCategory,$E40)</f>
        <v>5322</v>
      </c>
      <c r="H40" s="450">
        <f>SUMIFS(_1022_KWH_P2,_1022_RevenueMonth,$B40,_1022_RateCategory,$E40)</f>
        <v>2200</v>
      </c>
      <c r="I40" s="450">
        <f>SUMIFS(_1022_KWH_P3,_1022_RevenueMonth,$B40,_1022_RateCategory,$E40)</f>
        <v>1323</v>
      </c>
      <c r="J40" s="450">
        <f t="shared" si="4"/>
        <v>8845</v>
      </c>
      <c r="K40" s="482">
        <f t="shared" si="5"/>
        <v>0</v>
      </c>
      <c r="L40" s="482">
        <f t="shared" si="6"/>
        <v>0</v>
      </c>
      <c r="M40" s="482">
        <f t="shared" si="7"/>
        <v>0</v>
      </c>
      <c r="N40" s="482">
        <f t="shared" si="8"/>
        <v>0</v>
      </c>
      <c r="O40" s="482">
        <f t="shared" si="9"/>
        <v>0</v>
      </c>
      <c r="P40" s="482">
        <f t="shared" si="10"/>
        <v>0</v>
      </c>
      <c r="Q40" s="451">
        <f t="shared" si="11"/>
        <v>10.75</v>
      </c>
      <c r="R40" s="452">
        <f t="shared" si="12"/>
        <v>5.5870000000000003E-2</v>
      </c>
      <c r="S40" s="452">
        <f>SUMIF(_Rates_Tariff_Category,$AW40,_Rates_Energy_P2)</f>
        <v>7.7630000000000005E-2</v>
      </c>
      <c r="T40" s="452">
        <f>SUMIF(_Rates_Tariff_Category,$AW40,_Rates_Energy_P3)</f>
        <v>0.14297000000000001</v>
      </c>
      <c r="U40" s="452">
        <f t="shared" si="13"/>
        <v>2.8920000000000001E-2</v>
      </c>
      <c r="V40" s="451">
        <f t="shared" si="14"/>
        <v>0</v>
      </c>
      <c r="W40" s="451">
        <f t="shared" si="15"/>
        <v>0</v>
      </c>
      <c r="X40" s="451">
        <f t="shared" si="16"/>
        <v>0</v>
      </c>
      <c r="Y40" s="453">
        <f t="shared" si="17"/>
        <v>75.25</v>
      </c>
      <c r="Z40" s="453">
        <f t="shared" si="18"/>
        <v>657.28</v>
      </c>
      <c r="AA40" s="453">
        <f t="shared" si="19"/>
        <v>0</v>
      </c>
      <c r="AB40" s="453">
        <f t="shared" si="20"/>
        <v>0</v>
      </c>
      <c r="AC40" s="453">
        <f t="shared" si="21"/>
        <v>0</v>
      </c>
      <c r="AD40" s="453">
        <f t="shared" si="22"/>
        <v>0</v>
      </c>
      <c r="AE40" s="493">
        <f t="shared" si="23"/>
        <v>732.53</v>
      </c>
      <c r="AF40" s="453">
        <f t="shared" si="24"/>
        <v>0</v>
      </c>
      <c r="AG40" s="494">
        <f t="shared" si="25"/>
        <v>0</v>
      </c>
      <c r="AH40" s="454">
        <f t="shared" si="26"/>
        <v>0</v>
      </c>
      <c r="AI40" s="454">
        <f t="shared" si="27"/>
        <v>0</v>
      </c>
      <c r="AJ40" s="454">
        <f t="shared" si="28"/>
        <v>0</v>
      </c>
      <c r="AK40" s="454">
        <f t="shared" si="29"/>
        <v>0</v>
      </c>
      <c r="AL40" s="454">
        <f t="shared" si="30"/>
        <v>0</v>
      </c>
      <c r="AM40" s="454">
        <f t="shared" si="31"/>
        <v>0</v>
      </c>
      <c r="AN40" s="491">
        <f t="shared" si="32"/>
        <v>732.53</v>
      </c>
      <c r="AO40" s="487">
        <f t="shared" si="33"/>
        <v>-732.53</v>
      </c>
      <c r="AP40" s="495">
        <f t="shared" si="34"/>
        <v>255.8</v>
      </c>
      <c r="AQ40" s="496">
        <f t="shared" si="35"/>
        <v>401.47999999999996</v>
      </c>
      <c r="AV40" s="459">
        <f>IF(BA40&gt;BA39,AV39,IF(AV39&lt;MiscData!$F$1,EOMONTH(AV39,1),EOMONTH(AV39,-11)))</f>
        <v>42400</v>
      </c>
      <c r="AW40" s="448" t="str">
        <f t="shared" si="36"/>
        <v>20140101KURSE040</v>
      </c>
      <c r="AX40" s="457" t="str">
        <f t="shared" si="37"/>
        <v>20140101RSLEV</v>
      </c>
      <c r="AY40" s="439">
        <f>IF(AV40&lt;=MiscData!$B$23,MiscData!$C$23,IF(AV40&lt;=MiscData!$B$24,MiscData!$C$24,MiscData!$C$25))</f>
        <v>20140101</v>
      </c>
      <c r="AZ40" s="439" t="str">
        <f>VLOOKUP(BA40,MiscData!$V$4:$W$42,2,FALSE)</f>
        <v>KURSE040</v>
      </c>
      <c r="BA40" s="439">
        <f>IF(BA39=MiscData!$V$42,1,BA39+1)</f>
        <v>37</v>
      </c>
      <c r="BB40" s="439" t="str">
        <f>VLOOKUP(AZ40,MiscData!$W$4:$Y$42,3,FALSE)</f>
        <v>RSLEV</v>
      </c>
    </row>
    <row r="41" spans="1:55" hidden="1">
      <c r="A41" s="448">
        <f t="shared" si="39"/>
        <v>35</v>
      </c>
      <c r="B41" s="448" t="str">
        <f t="shared" si="0"/>
        <v>Jan 2016</v>
      </c>
      <c r="C41" s="448" t="s">
        <v>14</v>
      </c>
      <c r="D41" s="449" t="str">
        <f t="shared" si="1"/>
        <v>RSVFD</v>
      </c>
      <c r="E41" s="449" t="str">
        <f t="shared" si="2"/>
        <v>KURSE080</v>
      </c>
      <c r="F41" s="450">
        <f t="shared" si="3"/>
        <v>0</v>
      </c>
      <c r="G41" s="450">
        <v>0</v>
      </c>
      <c r="H41" s="450">
        <v>0</v>
      </c>
      <c r="I41" s="450">
        <v>0</v>
      </c>
      <c r="J41" s="450">
        <f t="shared" si="4"/>
        <v>0</v>
      </c>
      <c r="K41" s="482">
        <f t="shared" si="5"/>
        <v>0</v>
      </c>
      <c r="L41" s="482">
        <f t="shared" si="6"/>
        <v>0</v>
      </c>
      <c r="M41" s="482">
        <f t="shared" si="7"/>
        <v>0</v>
      </c>
      <c r="N41" s="482">
        <f t="shared" si="8"/>
        <v>0</v>
      </c>
      <c r="O41" s="482">
        <f t="shared" si="9"/>
        <v>0</v>
      </c>
      <c r="P41" s="482">
        <f t="shared" si="10"/>
        <v>0</v>
      </c>
      <c r="Q41" s="451">
        <f t="shared" si="11"/>
        <v>10.75</v>
      </c>
      <c r="R41" s="452">
        <f t="shared" si="12"/>
        <v>7.7439999999999995E-2</v>
      </c>
      <c r="S41" s="452">
        <v>0</v>
      </c>
      <c r="T41" s="452">
        <v>0</v>
      </c>
      <c r="U41" s="452">
        <f t="shared" si="13"/>
        <v>2.8920000000000001E-2</v>
      </c>
      <c r="V41" s="451">
        <f t="shared" si="14"/>
        <v>0</v>
      </c>
      <c r="W41" s="451">
        <f t="shared" si="15"/>
        <v>0</v>
      </c>
      <c r="X41" s="451">
        <f t="shared" si="16"/>
        <v>0</v>
      </c>
      <c r="Y41" s="453">
        <f t="shared" si="17"/>
        <v>0</v>
      </c>
      <c r="Z41" s="453">
        <f t="shared" si="18"/>
        <v>0</v>
      </c>
      <c r="AA41" s="453">
        <f t="shared" si="19"/>
        <v>0</v>
      </c>
      <c r="AB41" s="453">
        <f t="shared" si="20"/>
        <v>0</v>
      </c>
      <c r="AC41" s="453">
        <f t="shared" si="21"/>
        <v>0</v>
      </c>
      <c r="AD41" s="453">
        <f t="shared" si="22"/>
        <v>0</v>
      </c>
      <c r="AE41" s="493">
        <f t="shared" si="23"/>
        <v>0</v>
      </c>
      <c r="AF41" s="453">
        <f t="shared" si="24"/>
        <v>0</v>
      </c>
      <c r="AG41" s="494">
        <f t="shared" si="25"/>
        <v>1</v>
      </c>
      <c r="AH41" s="454">
        <f t="shared" si="26"/>
        <v>0</v>
      </c>
      <c r="AI41" s="454">
        <f t="shared" si="27"/>
        <v>0</v>
      </c>
      <c r="AJ41" s="454">
        <f t="shared" si="28"/>
        <v>0</v>
      </c>
      <c r="AK41" s="454">
        <f t="shared" si="29"/>
        <v>0</v>
      </c>
      <c r="AL41" s="454">
        <f t="shared" si="30"/>
        <v>0</v>
      </c>
      <c r="AM41" s="454">
        <f t="shared" si="31"/>
        <v>0</v>
      </c>
      <c r="AN41" s="491">
        <f t="shared" si="32"/>
        <v>0</v>
      </c>
      <c r="AO41" s="487">
        <f t="shared" si="33"/>
        <v>0</v>
      </c>
      <c r="AP41" s="495">
        <f t="shared" si="34"/>
        <v>0</v>
      </c>
      <c r="AQ41" s="496">
        <f t="shared" si="35"/>
        <v>0</v>
      </c>
      <c r="AV41" s="459">
        <f>IF(BA41&gt;BA40,AV40,IF(AV40&lt;MiscData!$F$1,EOMONTH(AV40,1),EOMONTH(AV40,-11)))</f>
        <v>42400</v>
      </c>
      <c r="AW41" s="448" t="str">
        <f t="shared" si="36"/>
        <v>20140101KURSE080</v>
      </c>
      <c r="AX41" s="457" t="str">
        <f t="shared" si="37"/>
        <v>20140101RSVFD</v>
      </c>
      <c r="AY41" s="439">
        <f>IF(AV41&lt;=MiscData!$B$23,MiscData!$C$23,IF(AV41&lt;=MiscData!$B$24,MiscData!$C$24,MiscData!$C$25))</f>
        <v>20140101</v>
      </c>
      <c r="AZ41" s="439" t="str">
        <f>VLOOKUP(BA41,MiscData!$V$4:$W$42,2,FALSE)</f>
        <v>KURSE080</v>
      </c>
      <c r="BA41" s="439">
        <f>IF(BA40=MiscData!$V$42,1,BA40+1)</f>
        <v>38</v>
      </c>
      <c r="BB41" s="439" t="str">
        <f>VLOOKUP(AZ41,MiscData!$W$4:$Y$42,3,FALSE)</f>
        <v>RSVFD</v>
      </c>
    </row>
    <row r="42" spans="1:55" s="511" customFormat="1" hidden="1">
      <c r="A42" s="499">
        <f t="shared" si="39"/>
        <v>36</v>
      </c>
      <c r="B42" s="499" t="str">
        <f t="shared" si="0"/>
        <v>Jan 2016</v>
      </c>
      <c r="C42" s="499" t="s">
        <v>14</v>
      </c>
      <c r="D42" s="500" t="str">
        <f t="shared" si="1"/>
        <v>RS</v>
      </c>
      <c r="E42" s="500" t="str">
        <f t="shared" si="2"/>
        <v>KURSE715</v>
      </c>
      <c r="F42" s="501">
        <f t="shared" si="3"/>
        <v>0</v>
      </c>
      <c r="G42" s="501">
        <v>0</v>
      </c>
      <c r="H42" s="501">
        <v>0</v>
      </c>
      <c r="I42" s="501">
        <v>0</v>
      </c>
      <c r="J42" s="501">
        <f t="shared" si="4"/>
        <v>0</v>
      </c>
      <c r="K42" s="502">
        <f t="shared" si="5"/>
        <v>0</v>
      </c>
      <c r="L42" s="502">
        <f t="shared" si="6"/>
        <v>0</v>
      </c>
      <c r="M42" s="502">
        <f t="shared" si="7"/>
        <v>0</v>
      </c>
      <c r="N42" s="502">
        <f t="shared" si="8"/>
        <v>0</v>
      </c>
      <c r="O42" s="502">
        <f t="shared" si="9"/>
        <v>0</v>
      </c>
      <c r="P42" s="502">
        <f t="shared" si="10"/>
        <v>0</v>
      </c>
      <c r="Q42" s="503">
        <f t="shared" si="11"/>
        <v>10.75</v>
      </c>
      <c r="R42" s="504">
        <f t="shared" si="12"/>
        <v>7.7439999999999995E-2</v>
      </c>
      <c r="S42" s="504">
        <v>0</v>
      </c>
      <c r="T42" s="504">
        <v>0</v>
      </c>
      <c r="U42" s="504">
        <f t="shared" si="13"/>
        <v>2.8920000000000001E-2</v>
      </c>
      <c r="V42" s="503">
        <f t="shared" si="14"/>
        <v>0</v>
      </c>
      <c r="W42" s="503">
        <f t="shared" si="15"/>
        <v>0</v>
      </c>
      <c r="X42" s="503">
        <f t="shared" si="16"/>
        <v>0</v>
      </c>
      <c r="Y42" s="453">
        <f t="shared" si="17"/>
        <v>0</v>
      </c>
      <c r="Z42" s="453">
        <f t="shared" si="18"/>
        <v>0</v>
      </c>
      <c r="AA42" s="453">
        <f t="shared" si="19"/>
        <v>0</v>
      </c>
      <c r="AB42" s="453">
        <f t="shared" si="20"/>
        <v>0</v>
      </c>
      <c r="AC42" s="453">
        <f t="shared" si="21"/>
        <v>0</v>
      </c>
      <c r="AD42" s="493">
        <f t="shared" si="22"/>
        <v>0</v>
      </c>
      <c r="AE42" s="493">
        <f t="shared" si="23"/>
        <v>0</v>
      </c>
      <c r="AF42" s="493">
        <f t="shared" si="24"/>
        <v>0</v>
      </c>
      <c r="AG42" s="494">
        <f t="shared" si="25"/>
        <v>1</v>
      </c>
      <c r="AH42" s="505">
        <f t="shared" si="26"/>
        <v>0</v>
      </c>
      <c r="AI42" s="505">
        <f t="shared" si="27"/>
        <v>0</v>
      </c>
      <c r="AJ42" s="505">
        <f t="shared" si="28"/>
        <v>0</v>
      </c>
      <c r="AK42" s="505">
        <f t="shared" si="29"/>
        <v>0</v>
      </c>
      <c r="AL42" s="505">
        <f t="shared" si="30"/>
        <v>0</v>
      </c>
      <c r="AM42" s="505">
        <f t="shared" si="31"/>
        <v>0</v>
      </c>
      <c r="AN42" s="506">
        <f t="shared" si="32"/>
        <v>0</v>
      </c>
      <c r="AO42" s="507">
        <f t="shared" si="33"/>
        <v>0</v>
      </c>
      <c r="AP42" s="508">
        <f t="shared" si="34"/>
        <v>0</v>
      </c>
      <c r="AQ42" s="510">
        <f t="shared" si="35"/>
        <v>0</v>
      </c>
      <c r="AV42" s="512">
        <f>IF(BA42&gt;BA41,AV41,IF(AV41&lt;MiscData!$F$1,EOMONTH(AV41,1),EOMONTH(AV41,-11)))</f>
        <v>42400</v>
      </c>
      <c r="AW42" s="499" t="str">
        <f t="shared" si="36"/>
        <v>20140101KURSE715</v>
      </c>
      <c r="AX42" s="513" t="str">
        <f t="shared" si="37"/>
        <v>20140101RS</v>
      </c>
      <c r="AY42" s="511">
        <f>IF(AV42&lt;=MiscData!$B$23,MiscData!$C$23,IF(AV42&lt;=MiscData!$B$24,MiscData!$C$24,MiscData!$C$25))</f>
        <v>20140101</v>
      </c>
      <c r="AZ42" s="511" t="str">
        <f>VLOOKUP(BA42,MiscData!$V$4:$W$42,2,FALSE)</f>
        <v>KURSE715</v>
      </c>
      <c r="BA42" s="439">
        <f>IF(BA41=MiscData!$V$42,1,BA41+1)</f>
        <v>39</v>
      </c>
      <c r="BB42" s="511" t="str">
        <f>VLOOKUP(AZ42,MiscData!$W$4:$Y$42,3,FALSE)</f>
        <v>RS</v>
      </c>
      <c r="BC42" s="777"/>
    </row>
    <row r="43" spans="1:55" hidden="1">
      <c r="A43" s="448">
        <f t="shared" si="39"/>
        <v>37</v>
      </c>
      <c r="B43" s="448" t="str">
        <f t="shared" si="0"/>
        <v>Feb 2016</v>
      </c>
      <c r="C43" s="448" t="s">
        <v>18</v>
      </c>
      <c r="D43" s="449" t="str">
        <f t="shared" si="1"/>
        <v>RTS</v>
      </c>
      <c r="E43" s="449" t="str">
        <f t="shared" si="2"/>
        <v>KUCIE550</v>
      </c>
      <c r="F43" s="450">
        <f t="shared" si="3"/>
        <v>32</v>
      </c>
      <c r="G43" s="450">
        <v>0</v>
      </c>
      <c r="H43" s="450">
        <v>0</v>
      </c>
      <c r="I43" s="450">
        <v>0</v>
      </c>
      <c r="J43" s="450">
        <f t="shared" si="4"/>
        <v>130048832</v>
      </c>
      <c r="K43" s="482">
        <f t="shared" si="5"/>
        <v>313852</v>
      </c>
      <c r="L43" s="482">
        <f t="shared" si="6"/>
        <v>298405</v>
      </c>
      <c r="M43" s="482">
        <f t="shared" si="7"/>
        <v>290558</v>
      </c>
      <c r="N43" s="482">
        <f t="shared" si="8"/>
        <v>0</v>
      </c>
      <c r="O43" s="482">
        <f t="shared" si="9"/>
        <v>0</v>
      </c>
      <c r="P43" s="482">
        <f t="shared" si="10"/>
        <v>0</v>
      </c>
      <c r="Q43" s="451">
        <f t="shared" si="11"/>
        <v>750</v>
      </c>
      <c r="R43" s="452">
        <f t="shared" si="12"/>
        <v>3.6339999999999997E-2</v>
      </c>
      <c r="S43" s="452">
        <v>0</v>
      </c>
      <c r="T43" s="452">
        <v>0</v>
      </c>
      <c r="U43" s="452">
        <f t="shared" si="13"/>
        <v>2.8920000000000001E-2</v>
      </c>
      <c r="V43" s="451">
        <f t="shared" si="14"/>
        <v>1.34</v>
      </c>
      <c r="W43" s="451">
        <f t="shared" si="15"/>
        <v>2.87</v>
      </c>
      <c r="X43" s="451">
        <f t="shared" si="16"/>
        <v>3.97</v>
      </c>
      <c r="Y43" s="453">
        <f t="shared" si="17"/>
        <v>24000</v>
      </c>
      <c r="Z43" s="453">
        <f t="shared" si="18"/>
        <v>4725974.55</v>
      </c>
      <c r="AA43" s="453">
        <f t="shared" si="19"/>
        <v>420561.68</v>
      </c>
      <c r="AB43" s="453">
        <f t="shared" si="20"/>
        <v>856422.35</v>
      </c>
      <c r="AC43" s="453">
        <f t="shared" si="21"/>
        <v>1153515.26</v>
      </c>
      <c r="AD43" s="453">
        <f t="shared" si="22"/>
        <v>2430499.29</v>
      </c>
      <c r="AE43" s="493">
        <f t="shared" si="23"/>
        <v>7180473.8399999989</v>
      </c>
      <c r="AF43" s="453">
        <f t="shared" si="24"/>
        <v>7180474</v>
      </c>
      <c r="AG43" s="494">
        <f t="shared" si="25"/>
        <v>1.0000000222826522</v>
      </c>
      <c r="AH43" s="454">
        <f t="shared" si="26"/>
        <v>559286</v>
      </c>
      <c r="AI43" s="454">
        <f t="shared" si="27"/>
        <v>0</v>
      </c>
      <c r="AJ43" s="454">
        <f t="shared" si="28"/>
        <v>705527</v>
      </c>
      <c r="AK43" s="454">
        <f t="shared" si="29"/>
        <v>0</v>
      </c>
      <c r="AL43" s="454">
        <f t="shared" si="30"/>
        <v>0</v>
      </c>
      <c r="AM43" s="454">
        <f t="shared" si="31"/>
        <v>8445287</v>
      </c>
      <c r="AN43" s="491">
        <f t="shared" si="32"/>
        <v>8445286.8399999999</v>
      </c>
      <c r="AO43" s="487">
        <f t="shared" si="33"/>
        <v>0.16000000014901161</v>
      </c>
      <c r="AP43" s="495">
        <f t="shared" si="34"/>
        <v>3761012.22</v>
      </c>
      <c r="AQ43" s="496">
        <f t="shared" si="35"/>
        <v>964962.32999999961</v>
      </c>
      <c r="AV43" s="459">
        <f>IF(BA43&gt;BA42,AV42,IF(AV42&lt;MiscData!$F$1,EOMONTH(AV42,1),EOMONTH(AV42,-11)))</f>
        <v>42429</v>
      </c>
      <c r="AW43" s="448" t="str">
        <f t="shared" si="36"/>
        <v>20140101KUCIE550</v>
      </c>
      <c r="AX43" s="457" t="str">
        <f t="shared" si="37"/>
        <v>20140101RTS</v>
      </c>
      <c r="AY43" s="439">
        <f>IF(AV43&lt;=MiscData!$B$23,MiscData!$C$23,IF(AV43&lt;=MiscData!$B$24,MiscData!$C$24,MiscData!$C$25))</f>
        <v>20140101</v>
      </c>
      <c r="AZ43" s="439" t="str">
        <f>VLOOKUP(BA43,MiscData!$V$4:$W$42,2,FALSE)</f>
        <v>KUCIE550</v>
      </c>
      <c r="BA43" s="439">
        <f>IF(BA42=MiscData!$V$42,1,BA42+1)</f>
        <v>1</v>
      </c>
      <c r="BB43" s="439" t="str">
        <f>VLOOKUP(AZ43,MiscData!$W$4:$Y$42,3,FALSE)</f>
        <v>RTS</v>
      </c>
    </row>
    <row r="44" spans="1:55" hidden="1">
      <c r="A44" s="448">
        <f t="shared" si="39"/>
        <v>38</v>
      </c>
      <c r="B44" s="448" t="str">
        <f t="shared" si="0"/>
        <v>Feb 2016</v>
      </c>
      <c r="C44" s="448" t="s">
        <v>25</v>
      </c>
      <c r="D44" s="449" t="str">
        <f t="shared" si="1"/>
        <v>PSP</v>
      </c>
      <c r="E44" s="449" t="str">
        <f t="shared" si="2"/>
        <v>KUCIE561</v>
      </c>
      <c r="F44" s="450">
        <f t="shared" si="3"/>
        <v>195</v>
      </c>
      <c r="G44" s="450">
        <v>0</v>
      </c>
      <c r="H44" s="450">
        <v>0</v>
      </c>
      <c r="I44" s="450">
        <v>0</v>
      </c>
      <c r="J44" s="450">
        <f t="shared" si="4"/>
        <v>17683176</v>
      </c>
      <c r="K44" s="482">
        <f t="shared" si="5"/>
        <v>0</v>
      </c>
      <c r="L44" s="482">
        <f t="shared" si="6"/>
        <v>54613</v>
      </c>
      <c r="M44" s="482">
        <f t="shared" si="7"/>
        <v>0</v>
      </c>
      <c r="N44" s="482">
        <f t="shared" si="8"/>
        <v>0</v>
      </c>
      <c r="O44" s="482">
        <f t="shared" si="9"/>
        <v>0</v>
      </c>
      <c r="P44" s="482">
        <f t="shared" si="10"/>
        <v>0</v>
      </c>
      <c r="Q44" s="451">
        <f t="shared" si="11"/>
        <v>170</v>
      </c>
      <c r="R44" s="452">
        <f t="shared" si="12"/>
        <v>3.5619999999999999E-2</v>
      </c>
      <c r="S44" s="452">
        <v>0</v>
      </c>
      <c r="T44" s="452">
        <v>0</v>
      </c>
      <c r="U44" s="452">
        <f t="shared" si="13"/>
        <v>2.8920000000000001E-2</v>
      </c>
      <c r="V44" s="451">
        <f t="shared" si="14"/>
        <v>0</v>
      </c>
      <c r="W44" s="451">
        <f t="shared" si="15"/>
        <v>13.18</v>
      </c>
      <c r="X44" s="451">
        <f t="shared" si="16"/>
        <v>15.28</v>
      </c>
      <c r="Y44" s="453">
        <f t="shared" si="17"/>
        <v>33150</v>
      </c>
      <c r="Z44" s="453">
        <f t="shared" si="18"/>
        <v>629874.73</v>
      </c>
      <c r="AA44" s="453">
        <f t="shared" si="19"/>
        <v>0</v>
      </c>
      <c r="AB44" s="453">
        <f t="shared" si="20"/>
        <v>719799.34</v>
      </c>
      <c r="AC44" s="453">
        <f t="shared" si="21"/>
        <v>0</v>
      </c>
      <c r="AD44" s="453">
        <f t="shared" si="22"/>
        <v>719799.34</v>
      </c>
      <c r="AE44" s="493">
        <f t="shared" si="23"/>
        <v>1382824.0699999998</v>
      </c>
      <c r="AF44" s="453">
        <f t="shared" si="24"/>
        <v>1382826</v>
      </c>
      <c r="AG44" s="494">
        <f t="shared" si="25"/>
        <v>1.0000013956945371</v>
      </c>
      <c r="AH44" s="454">
        <f t="shared" si="26"/>
        <v>76048</v>
      </c>
      <c r="AI44" s="454">
        <f t="shared" si="27"/>
        <v>16967</v>
      </c>
      <c r="AJ44" s="454">
        <f t="shared" si="28"/>
        <v>95933</v>
      </c>
      <c r="AK44" s="454">
        <f t="shared" si="29"/>
        <v>0</v>
      </c>
      <c r="AL44" s="454">
        <f t="shared" si="30"/>
        <v>0</v>
      </c>
      <c r="AM44" s="454">
        <f t="shared" si="31"/>
        <v>1571774</v>
      </c>
      <c r="AN44" s="491">
        <f t="shared" si="32"/>
        <v>1571772.0699999998</v>
      </c>
      <c r="AO44" s="487">
        <f t="shared" si="33"/>
        <v>1.9300000001676381</v>
      </c>
      <c r="AP44" s="495">
        <f t="shared" si="34"/>
        <v>511397.45</v>
      </c>
      <c r="AQ44" s="496">
        <f t="shared" si="35"/>
        <v>118477.27999999997</v>
      </c>
      <c r="AV44" s="459">
        <f>IF(BA44&gt;BA43,AV43,IF(AV43&lt;MiscData!$F$1,EOMONTH(AV43,1),EOMONTH(AV43,-11)))</f>
        <v>42429</v>
      </c>
      <c r="AW44" s="448" t="str">
        <f t="shared" si="36"/>
        <v>20140101KUCIE561</v>
      </c>
      <c r="AX44" s="457" t="str">
        <f t="shared" si="37"/>
        <v>20140101PSP</v>
      </c>
      <c r="AY44" s="439">
        <f>IF(AV44&lt;=MiscData!$B$23,MiscData!$C$23,IF(AV44&lt;=MiscData!$B$24,MiscData!$C$24,MiscData!$C$25))</f>
        <v>20140101</v>
      </c>
      <c r="AZ44" s="439" t="str">
        <f>VLOOKUP(BA44,MiscData!$V$4:$W$42,2,FALSE)</f>
        <v>KUCIE561</v>
      </c>
      <c r="BA44" s="439">
        <f>IF(BA43=MiscData!$V$42,1,BA43+1)</f>
        <v>2</v>
      </c>
      <c r="BB44" s="439" t="str">
        <f>VLOOKUP(AZ44,MiscData!$W$4:$Y$42,3,FALSE)</f>
        <v>PSP</v>
      </c>
    </row>
    <row r="45" spans="1:55" hidden="1">
      <c r="A45" s="448">
        <f t="shared" si="39"/>
        <v>39</v>
      </c>
      <c r="B45" s="448" t="str">
        <f t="shared" si="0"/>
        <v>Feb 2016</v>
      </c>
      <c r="C45" s="448" t="s">
        <v>24</v>
      </c>
      <c r="D45" s="449" t="str">
        <f t="shared" si="1"/>
        <v>PSS</v>
      </c>
      <c r="E45" s="449" t="str">
        <f t="shared" si="2"/>
        <v>KUCIE562</v>
      </c>
      <c r="F45" s="450">
        <f t="shared" si="3"/>
        <v>4640</v>
      </c>
      <c r="G45" s="450">
        <v>0</v>
      </c>
      <c r="H45" s="450">
        <v>0</v>
      </c>
      <c r="I45" s="450">
        <v>0</v>
      </c>
      <c r="J45" s="450">
        <f t="shared" si="4"/>
        <v>153360986</v>
      </c>
      <c r="K45" s="482">
        <f t="shared" si="5"/>
        <v>0</v>
      </c>
      <c r="L45" s="482">
        <f t="shared" si="6"/>
        <v>526967</v>
      </c>
      <c r="M45" s="482">
        <f t="shared" si="7"/>
        <v>0</v>
      </c>
      <c r="N45" s="482">
        <f t="shared" si="8"/>
        <v>0</v>
      </c>
      <c r="O45" s="482">
        <f t="shared" si="9"/>
        <v>0</v>
      </c>
      <c r="P45" s="482">
        <f t="shared" si="10"/>
        <v>0</v>
      </c>
      <c r="Q45" s="451">
        <f t="shared" si="11"/>
        <v>90</v>
      </c>
      <c r="R45" s="452">
        <f t="shared" si="12"/>
        <v>3.5640000000000005E-2</v>
      </c>
      <c r="S45" s="452">
        <v>0</v>
      </c>
      <c r="T45" s="452">
        <v>0</v>
      </c>
      <c r="U45" s="452">
        <f t="shared" si="13"/>
        <v>2.8920000000000001E-2</v>
      </c>
      <c r="V45" s="451">
        <f t="shared" si="14"/>
        <v>0</v>
      </c>
      <c r="W45" s="451">
        <f t="shared" si="15"/>
        <v>13.2</v>
      </c>
      <c r="X45" s="451">
        <f t="shared" si="16"/>
        <v>15.3</v>
      </c>
      <c r="Y45" s="453">
        <f t="shared" si="17"/>
        <v>417600</v>
      </c>
      <c r="Z45" s="453">
        <f t="shared" si="18"/>
        <v>5465785.54</v>
      </c>
      <c r="AA45" s="453">
        <f t="shared" si="19"/>
        <v>0</v>
      </c>
      <c r="AB45" s="453">
        <f t="shared" si="20"/>
        <v>6955964.4000000004</v>
      </c>
      <c r="AC45" s="453">
        <f t="shared" si="21"/>
        <v>0</v>
      </c>
      <c r="AD45" s="453">
        <f t="shared" si="22"/>
        <v>6955964.4000000004</v>
      </c>
      <c r="AE45" s="493">
        <f t="shared" si="23"/>
        <v>12839349.940000001</v>
      </c>
      <c r="AF45" s="453">
        <f t="shared" si="24"/>
        <v>12839352</v>
      </c>
      <c r="AG45" s="494">
        <f t="shared" si="25"/>
        <v>1.0000001604442599</v>
      </c>
      <c r="AH45" s="454">
        <f t="shared" si="26"/>
        <v>659542</v>
      </c>
      <c r="AI45" s="454">
        <f t="shared" si="27"/>
        <v>147146</v>
      </c>
      <c r="AJ45" s="454">
        <f t="shared" si="28"/>
        <v>831998</v>
      </c>
      <c r="AK45" s="454">
        <f t="shared" si="29"/>
        <v>0</v>
      </c>
      <c r="AL45" s="454">
        <f t="shared" si="30"/>
        <v>0</v>
      </c>
      <c r="AM45" s="454">
        <f t="shared" si="31"/>
        <v>14478038</v>
      </c>
      <c r="AN45" s="491">
        <f t="shared" si="32"/>
        <v>14478035.940000001</v>
      </c>
      <c r="AO45" s="487">
        <f t="shared" si="33"/>
        <v>2.0599999986588955</v>
      </c>
      <c r="AP45" s="495">
        <f t="shared" si="34"/>
        <v>4435199.72</v>
      </c>
      <c r="AQ45" s="496">
        <f t="shared" si="35"/>
        <v>1030585.8200000003</v>
      </c>
      <c r="AV45" s="459">
        <f>IF(BA45&gt;BA44,AV44,IF(AV44&lt;MiscData!$F$1,EOMONTH(AV44,1),EOMONTH(AV44,-11)))</f>
        <v>42429</v>
      </c>
      <c r="AW45" s="448" t="str">
        <f t="shared" si="36"/>
        <v>20140101KUCIE562</v>
      </c>
      <c r="AX45" s="457" t="str">
        <f t="shared" si="37"/>
        <v>20140101PSS</v>
      </c>
      <c r="AY45" s="439">
        <f>IF(AV45&lt;=MiscData!$B$23,MiscData!$C$23,IF(AV45&lt;=MiscData!$B$24,MiscData!$C$24,MiscData!$C$25))</f>
        <v>20140101</v>
      </c>
      <c r="AZ45" s="439" t="str">
        <f>VLOOKUP(BA45,MiscData!$V$4:$W$42,2,FALSE)</f>
        <v>KUCIE562</v>
      </c>
      <c r="BA45" s="439">
        <f>IF(BA44=MiscData!$V$42,1,BA44+1)</f>
        <v>3</v>
      </c>
      <c r="BB45" s="439" t="str">
        <f>VLOOKUP(AZ45,MiscData!$W$4:$Y$42,3,FALSE)</f>
        <v>PSS</v>
      </c>
    </row>
    <row r="46" spans="1:55" hidden="1">
      <c r="A46" s="448">
        <f t="shared" si="39"/>
        <v>40</v>
      </c>
      <c r="B46" s="448" t="str">
        <f t="shared" si="0"/>
        <v>Feb 2016</v>
      </c>
      <c r="C46" s="448" t="s">
        <v>205</v>
      </c>
      <c r="D46" s="449" t="str">
        <f t="shared" si="1"/>
        <v>TODP</v>
      </c>
      <c r="E46" s="449" t="str">
        <f t="shared" si="2"/>
        <v>KUCIE563</v>
      </c>
      <c r="F46" s="450">
        <f t="shared" si="3"/>
        <v>52</v>
      </c>
      <c r="G46" s="450">
        <v>0</v>
      </c>
      <c r="H46" s="450">
        <v>0</v>
      </c>
      <c r="I46" s="450">
        <v>0</v>
      </c>
      <c r="J46" s="450">
        <f t="shared" si="4"/>
        <v>231780500</v>
      </c>
      <c r="K46" s="482">
        <f t="shared" si="5"/>
        <v>519785</v>
      </c>
      <c r="L46" s="482">
        <f t="shared" si="6"/>
        <v>486707</v>
      </c>
      <c r="M46" s="482">
        <f t="shared" si="7"/>
        <v>480301</v>
      </c>
      <c r="N46" s="482">
        <f t="shared" si="8"/>
        <v>0</v>
      </c>
      <c r="O46" s="482">
        <f t="shared" si="9"/>
        <v>0</v>
      </c>
      <c r="P46" s="482">
        <f t="shared" si="10"/>
        <v>0</v>
      </c>
      <c r="Q46" s="451">
        <f t="shared" si="11"/>
        <v>300</v>
      </c>
      <c r="R46" s="452">
        <f t="shared" si="12"/>
        <v>3.7650000000000003E-2</v>
      </c>
      <c r="S46" s="452">
        <v>0</v>
      </c>
      <c r="T46" s="452">
        <v>0</v>
      </c>
      <c r="U46" s="452">
        <f t="shared" si="13"/>
        <v>2.8920000000000001E-2</v>
      </c>
      <c r="V46" s="451">
        <f t="shared" si="14"/>
        <v>1.71</v>
      </c>
      <c r="W46" s="451">
        <f t="shared" si="15"/>
        <v>2.76</v>
      </c>
      <c r="X46" s="451">
        <f t="shared" si="16"/>
        <v>4.26</v>
      </c>
      <c r="Y46" s="453">
        <f t="shared" si="17"/>
        <v>15600</v>
      </c>
      <c r="Z46" s="453">
        <f t="shared" si="18"/>
        <v>8726535.8300000001</v>
      </c>
      <c r="AA46" s="453">
        <f t="shared" si="19"/>
        <v>888832.35</v>
      </c>
      <c r="AB46" s="453">
        <f t="shared" si="20"/>
        <v>1343311.32</v>
      </c>
      <c r="AC46" s="453">
        <f t="shared" si="21"/>
        <v>2046082.26</v>
      </c>
      <c r="AD46" s="453">
        <f t="shared" si="22"/>
        <v>4278225.93</v>
      </c>
      <c r="AE46" s="493">
        <f t="shared" si="23"/>
        <v>13020361.76</v>
      </c>
      <c r="AF46" s="453">
        <f t="shared" si="24"/>
        <v>13020365</v>
      </c>
      <c r="AG46" s="494">
        <f t="shared" si="25"/>
        <v>1.0000002488410122</v>
      </c>
      <c r="AH46" s="454">
        <f t="shared" si="26"/>
        <v>996792</v>
      </c>
      <c r="AI46" s="454">
        <f t="shared" si="27"/>
        <v>222388</v>
      </c>
      <c r="AJ46" s="454">
        <f t="shared" si="28"/>
        <v>1257431</v>
      </c>
      <c r="AK46" s="454">
        <f t="shared" si="29"/>
        <v>0</v>
      </c>
      <c r="AL46" s="454">
        <f t="shared" si="30"/>
        <v>0</v>
      </c>
      <c r="AM46" s="454">
        <f t="shared" si="31"/>
        <v>15496976</v>
      </c>
      <c r="AN46" s="491">
        <f t="shared" si="32"/>
        <v>15496972.76</v>
      </c>
      <c r="AO46" s="487">
        <f t="shared" si="33"/>
        <v>3.2400000002235174</v>
      </c>
      <c r="AP46" s="495">
        <f t="shared" si="34"/>
        <v>6703092.0599999996</v>
      </c>
      <c r="AQ46" s="496">
        <f t="shared" si="35"/>
        <v>2023443.7700000005</v>
      </c>
      <c r="AV46" s="459">
        <f>IF(BA46&gt;BA45,AV45,IF(AV45&lt;MiscData!$F$1,EOMONTH(AV45,1),EOMONTH(AV45,-11)))</f>
        <v>42429</v>
      </c>
      <c r="AW46" s="448" t="str">
        <f t="shared" si="36"/>
        <v>20140101KUCIE563</v>
      </c>
      <c r="AX46" s="457" t="str">
        <f t="shared" si="37"/>
        <v>20140101TODP</v>
      </c>
      <c r="AY46" s="439">
        <f>IF(AV46&lt;=MiscData!$B$23,MiscData!$C$23,IF(AV46&lt;=MiscData!$B$24,MiscData!$C$24,MiscData!$C$25))</f>
        <v>20140101</v>
      </c>
      <c r="AZ46" s="439" t="str">
        <f>VLOOKUP(BA46,MiscData!$V$4:$W$42,2,FALSE)</f>
        <v>KUCIE563</v>
      </c>
      <c r="BA46" s="439">
        <f>IF(BA45=MiscData!$V$42,1,BA45+1)</f>
        <v>4</v>
      </c>
      <c r="BB46" s="439" t="str">
        <f>VLOOKUP(AZ46,MiscData!$W$4:$Y$42,3,FALSE)</f>
        <v>TODP</v>
      </c>
    </row>
    <row r="47" spans="1:55" hidden="1">
      <c r="A47" s="448">
        <f t="shared" si="39"/>
        <v>41</v>
      </c>
      <c r="B47" s="448" t="str">
        <f t="shared" si="0"/>
        <v>Feb 2016</v>
      </c>
      <c r="C47" s="448" t="s">
        <v>25</v>
      </c>
      <c r="D47" s="449" t="str">
        <f t="shared" si="1"/>
        <v>PSP</v>
      </c>
      <c r="E47" s="449" t="str">
        <f t="shared" si="2"/>
        <v>KUCIE566</v>
      </c>
      <c r="F47" s="450">
        <f t="shared" si="3"/>
        <v>0</v>
      </c>
      <c r="G47" s="450">
        <v>0</v>
      </c>
      <c r="H47" s="450">
        <v>0</v>
      </c>
      <c r="I47" s="450">
        <v>0</v>
      </c>
      <c r="J47" s="450">
        <f t="shared" si="4"/>
        <v>0</v>
      </c>
      <c r="K47" s="482">
        <f t="shared" si="5"/>
        <v>0</v>
      </c>
      <c r="L47" s="482">
        <f t="shared" si="6"/>
        <v>0</v>
      </c>
      <c r="M47" s="482">
        <f t="shared" si="7"/>
        <v>0</v>
      </c>
      <c r="N47" s="482">
        <f t="shared" si="8"/>
        <v>0</v>
      </c>
      <c r="O47" s="482">
        <f t="shared" si="9"/>
        <v>0</v>
      </c>
      <c r="P47" s="482">
        <f t="shared" si="10"/>
        <v>0</v>
      </c>
      <c r="Q47" s="451">
        <f t="shared" si="11"/>
        <v>170</v>
      </c>
      <c r="R47" s="452">
        <f t="shared" si="12"/>
        <v>3.5619999999999999E-2</v>
      </c>
      <c r="S47" s="452">
        <v>0</v>
      </c>
      <c r="T47" s="452">
        <v>0</v>
      </c>
      <c r="U47" s="452">
        <f t="shared" si="13"/>
        <v>2.8920000000000001E-2</v>
      </c>
      <c r="V47" s="451">
        <f t="shared" si="14"/>
        <v>0</v>
      </c>
      <c r="W47" s="451">
        <f t="shared" si="15"/>
        <v>13.18</v>
      </c>
      <c r="X47" s="451">
        <f t="shared" si="16"/>
        <v>15.28</v>
      </c>
      <c r="Y47" s="453">
        <f t="shared" si="17"/>
        <v>0</v>
      </c>
      <c r="Z47" s="453">
        <f t="shared" si="18"/>
        <v>0</v>
      </c>
      <c r="AA47" s="453">
        <f t="shared" si="19"/>
        <v>0</v>
      </c>
      <c r="AB47" s="453">
        <f t="shared" si="20"/>
        <v>0</v>
      </c>
      <c r="AC47" s="453">
        <f t="shared" si="21"/>
        <v>0</v>
      </c>
      <c r="AD47" s="453">
        <f t="shared" si="22"/>
        <v>0</v>
      </c>
      <c r="AE47" s="493">
        <f t="shared" si="23"/>
        <v>0</v>
      </c>
      <c r="AF47" s="453">
        <f t="shared" si="24"/>
        <v>0</v>
      </c>
      <c r="AG47" s="494">
        <f t="shared" si="25"/>
        <v>1</v>
      </c>
      <c r="AH47" s="454">
        <f t="shared" si="26"/>
        <v>0</v>
      </c>
      <c r="AI47" s="454">
        <f t="shared" si="27"/>
        <v>0</v>
      </c>
      <c r="AJ47" s="454">
        <f t="shared" si="28"/>
        <v>0</v>
      </c>
      <c r="AK47" s="454">
        <f t="shared" si="29"/>
        <v>0</v>
      </c>
      <c r="AL47" s="454">
        <f t="shared" si="30"/>
        <v>0</v>
      </c>
      <c r="AM47" s="454">
        <f t="shared" si="31"/>
        <v>0</v>
      </c>
      <c r="AN47" s="491">
        <f t="shared" si="32"/>
        <v>0</v>
      </c>
      <c r="AO47" s="487">
        <f t="shared" si="33"/>
        <v>0</v>
      </c>
      <c r="AP47" s="495">
        <f t="shared" si="34"/>
        <v>0</v>
      </c>
      <c r="AQ47" s="496">
        <f t="shared" si="35"/>
        <v>0</v>
      </c>
      <c r="AV47" s="459">
        <f>IF(BA47&gt;BA46,AV46,IF(AV46&lt;MiscData!$F$1,EOMONTH(AV46,1),EOMONTH(AV46,-11)))</f>
        <v>42429</v>
      </c>
      <c r="AW47" s="448" t="str">
        <f t="shared" si="36"/>
        <v>20140101KUCIE566</v>
      </c>
      <c r="AX47" s="457" t="str">
        <f t="shared" si="37"/>
        <v>20140101PSP</v>
      </c>
      <c r="AY47" s="439">
        <f>IF(AV47&lt;=MiscData!$B$23,MiscData!$C$23,IF(AV47&lt;=MiscData!$B$24,MiscData!$C$24,MiscData!$C$25))</f>
        <v>20140101</v>
      </c>
      <c r="AZ47" s="439" t="str">
        <f>VLOOKUP(BA47,MiscData!$V$4:$W$42,2,FALSE)</f>
        <v>KUCIE566</v>
      </c>
      <c r="BA47" s="439">
        <f>IF(BA46=MiscData!$V$42,1,BA46+1)</f>
        <v>5</v>
      </c>
      <c r="BB47" s="439" t="str">
        <f>VLOOKUP(AZ47,MiscData!$W$4:$Y$42,3,FALSE)</f>
        <v>PSP</v>
      </c>
    </row>
    <row r="48" spans="1:55" hidden="1">
      <c r="A48" s="448">
        <f t="shared" si="39"/>
        <v>42</v>
      </c>
      <c r="B48" s="448" t="str">
        <f t="shared" si="0"/>
        <v>Feb 2016</v>
      </c>
      <c r="C48" s="448" t="s">
        <v>24</v>
      </c>
      <c r="D48" s="449" t="str">
        <f t="shared" si="1"/>
        <v>PSS</v>
      </c>
      <c r="E48" s="449" t="str">
        <f t="shared" si="2"/>
        <v>KUCIE568</v>
      </c>
      <c r="F48" s="450">
        <f t="shared" si="3"/>
        <v>0</v>
      </c>
      <c r="G48" s="450">
        <v>0</v>
      </c>
      <c r="H48" s="450">
        <v>0</v>
      </c>
      <c r="I48" s="450">
        <v>0</v>
      </c>
      <c r="J48" s="450">
        <f t="shared" si="4"/>
        <v>0</v>
      </c>
      <c r="K48" s="482">
        <f t="shared" si="5"/>
        <v>0</v>
      </c>
      <c r="L48" s="482">
        <f t="shared" si="6"/>
        <v>0</v>
      </c>
      <c r="M48" s="482">
        <f t="shared" si="7"/>
        <v>0</v>
      </c>
      <c r="N48" s="482">
        <f t="shared" si="8"/>
        <v>0</v>
      </c>
      <c r="O48" s="482">
        <f t="shared" si="9"/>
        <v>0</v>
      </c>
      <c r="P48" s="482">
        <f t="shared" si="10"/>
        <v>0</v>
      </c>
      <c r="Q48" s="451">
        <f t="shared" si="11"/>
        <v>90</v>
      </c>
      <c r="R48" s="452">
        <f t="shared" si="12"/>
        <v>3.5640000000000005E-2</v>
      </c>
      <c r="S48" s="452">
        <v>0</v>
      </c>
      <c r="T48" s="452">
        <v>0</v>
      </c>
      <c r="U48" s="452">
        <f t="shared" si="13"/>
        <v>2.8920000000000001E-2</v>
      </c>
      <c r="V48" s="451">
        <f t="shared" si="14"/>
        <v>0</v>
      </c>
      <c r="W48" s="451">
        <f t="shared" si="15"/>
        <v>13.2</v>
      </c>
      <c r="X48" s="451">
        <f t="shared" si="16"/>
        <v>15.3</v>
      </c>
      <c r="Y48" s="453">
        <f t="shared" si="17"/>
        <v>0</v>
      </c>
      <c r="Z48" s="453">
        <f t="shared" si="18"/>
        <v>0</v>
      </c>
      <c r="AA48" s="453">
        <f t="shared" si="19"/>
        <v>0</v>
      </c>
      <c r="AB48" s="453">
        <f t="shared" si="20"/>
        <v>0</v>
      </c>
      <c r="AC48" s="453">
        <f t="shared" si="21"/>
        <v>0</v>
      </c>
      <c r="AD48" s="453">
        <f t="shared" si="22"/>
        <v>0</v>
      </c>
      <c r="AE48" s="493">
        <f t="shared" si="23"/>
        <v>0</v>
      </c>
      <c r="AF48" s="453">
        <f t="shared" si="24"/>
        <v>0</v>
      </c>
      <c r="AG48" s="494">
        <f t="shared" si="25"/>
        <v>1</v>
      </c>
      <c r="AH48" s="454">
        <f t="shared" si="26"/>
        <v>0</v>
      </c>
      <c r="AI48" s="454">
        <f t="shared" si="27"/>
        <v>0</v>
      </c>
      <c r="AJ48" s="454">
        <f t="shared" si="28"/>
        <v>0</v>
      </c>
      <c r="AK48" s="454">
        <f t="shared" si="29"/>
        <v>0</v>
      </c>
      <c r="AL48" s="454">
        <f t="shared" si="30"/>
        <v>0</v>
      </c>
      <c r="AM48" s="454">
        <f t="shared" si="31"/>
        <v>0</v>
      </c>
      <c r="AN48" s="491">
        <f t="shared" si="32"/>
        <v>0</v>
      </c>
      <c r="AO48" s="487">
        <f t="shared" si="33"/>
        <v>0</v>
      </c>
      <c r="AP48" s="495">
        <f t="shared" si="34"/>
        <v>0</v>
      </c>
      <c r="AQ48" s="496">
        <f t="shared" si="35"/>
        <v>0</v>
      </c>
      <c r="AV48" s="459">
        <f>IF(BA48&gt;BA47,AV47,IF(AV47&lt;MiscData!$F$1,EOMONTH(AV47,1),EOMONTH(AV47,-11)))</f>
        <v>42429</v>
      </c>
      <c r="AW48" s="448" t="str">
        <f t="shared" si="36"/>
        <v>20140101KUCIE568</v>
      </c>
      <c r="AX48" s="457" t="str">
        <f t="shared" si="37"/>
        <v>20140101PSS</v>
      </c>
      <c r="AY48" s="439">
        <f>IF(AV48&lt;=MiscData!$B$23,MiscData!$C$23,IF(AV48&lt;=MiscData!$B$24,MiscData!$C$24,MiscData!$C$25))</f>
        <v>20140101</v>
      </c>
      <c r="AZ48" s="439" t="str">
        <f>VLOOKUP(BA48,MiscData!$V$4:$W$42,2,FALSE)</f>
        <v>KUCIE568</v>
      </c>
      <c r="BA48" s="439">
        <f>IF(BA47=MiscData!$V$42,1,BA47+1)</f>
        <v>6</v>
      </c>
      <c r="BB48" s="439" t="str">
        <f>VLOOKUP(AZ48,MiscData!$W$4:$Y$42,3,FALSE)</f>
        <v>PSS</v>
      </c>
    </row>
    <row r="49" spans="1:54" hidden="1">
      <c r="A49" s="448">
        <f t="shared" si="39"/>
        <v>43</v>
      </c>
      <c r="B49" s="448" t="str">
        <f t="shared" si="0"/>
        <v>Feb 2016</v>
      </c>
      <c r="C49" s="448" t="s">
        <v>205</v>
      </c>
      <c r="D49" s="449" t="str">
        <f t="shared" si="1"/>
        <v>TODP</v>
      </c>
      <c r="E49" s="449" t="str">
        <f t="shared" si="2"/>
        <v>KUCIE571</v>
      </c>
      <c r="F49" s="450">
        <f t="shared" si="3"/>
        <v>205</v>
      </c>
      <c r="G49" s="450">
        <v>0</v>
      </c>
      <c r="H49" s="450">
        <v>0</v>
      </c>
      <c r="I49" s="450">
        <v>0</v>
      </c>
      <c r="J49" s="450">
        <f t="shared" si="4"/>
        <v>97557303</v>
      </c>
      <c r="K49" s="482">
        <f t="shared" si="5"/>
        <v>263568</v>
      </c>
      <c r="L49" s="482">
        <f t="shared" si="6"/>
        <v>249792</v>
      </c>
      <c r="M49" s="482">
        <f t="shared" si="7"/>
        <v>246265</v>
      </c>
      <c r="N49" s="482">
        <f t="shared" si="8"/>
        <v>0</v>
      </c>
      <c r="O49" s="482">
        <f t="shared" si="9"/>
        <v>0</v>
      </c>
      <c r="P49" s="482">
        <f t="shared" si="10"/>
        <v>0</v>
      </c>
      <c r="Q49" s="451">
        <f t="shared" si="11"/>
        <v>300</v>
      </c>
      <c r="R49" s="452">
        <f t="shared" si="12"/>
        <v>3.7650000000000003E-2</v>
      </c>
      <c r="S49" s="452">
        <v>0</v>
      </c>
      <c r="T49" s="452">
        <v>0</v>
      </c>
      <c r="U49" s="452">
        <f t="shared" si="13"/>
        <v>2.8920000000000001E-2</v>
      </c>
      <c r="V49" s="451">
        <f t="shared" si="14"/>
        <v>1.71</v>
      </c>
      <c r="W49" s="451">
        <f t="shared" si="15"/>
        <v>2.76</v>
      </c>
      <c r="X49" s="451">
        <f t="shared" si="16"/>
        <v>4.26</v>
      </c>
      <c r="Y49" s="453">
        <f t="shared" si="17"/>
        <v>61500</v>
      </c>
      <c r="Z49" s="453">
        <f t="shared" si="18"/>
        <v>3673032.46</v>
      </c>
      <c r="AA49" s="453">
        <f t="shared" si="19"/>
        <v>450701.28</v>
      </c>
      <c r="AB49" s="453">
        <f t="shared" si="20"/>
        <v>689425.92000000004</v>
      </c>
      <c r="AC49" s="453">
        <f t="shared" si="21"/>
        <v>1049088.8999999999</v>
      </c>
      <c r="AD49" s="453">
        <f t="shared" si="22"/>
        <v>2189216.1</v>
      </c>
      <c r="AE49" s="493">
        <f t="shared" si="23"/>
        <v>5923748.5600000005</v>
      </c>
      <c r="AF49" s="453">
        <f t="shared" si="24"/>
        <v>5923746</v>
      </c>
      <c r="AG49" s="494">
        <f t="shared" si="25"/>
        <v>0.99999956784121158</v>
      </c>
      <c r="AH49" s="454">
        <f t="shared" si="26"/>
        <v>419554</v>
      </c>
      <c r="AI49" s="454">
        <f t="shared" si="27"/>
        <v>93604</v>
      </c>
      <c r="AJ49" s="454">
        <f t="shared" si="28"/>
        <v>529257</v>
      </c>
      <c r="AK49" s="454">
        <f t="shared" si="29"/>
        <v>0</v>
      </c>
      <c r="AL49" s="454">
        <f t="shared" si="30"/>
        <v>0</v>
      </c>
      <c r="AM49" s="454">
        <f t="shared" si="31"/>
        <v>6966161</v>
      </c>
      <c r="AN49" s="491">
        <f t="shared" si="32"/>
        <v>6966163.5600000005</v>
      </c>
      <c r="AO49" s="487">
        <f t="shared" si="33"/>
        <v>-2.5600000005215406</v>
      </c>
      <c r="AP49" s="495">
        <f t="shared" si="34"/>
        <v>2821357.2</v>
      </c>
      <c r="AQ49" s="496">
        <f t="shared" si="35"/>
        <v>851675.25999999978</v>
      </c>
      <c r="AV49" s="459">
        <f>IF(BA49&gt;BA48,AV48,IF(AV48&lt;MiscData!$F$1,EOMONTH(AV48,1),EOMONTH(AV48,-11)))</f>
        <v>42429</v>
      </c>
      <c r="AW49" s="448" t="str">
        <f t="shared" si="36"/>
        <v>20140101KUCIE571</v>
      </c>
      <c r="AX49" s="457" t="str">
        <f t="shared" si="37"/>
        <v>20140101TODP</v>
      </c>
      <c r="AY49" s="439">
        <f>IF(AV49&lt;=MiscData!$B$23,MiscData!$C$23,IF(AV49&lt;=MiscData!$B$24,MiscData!$C$24,MiscData!$C$25))</f>
        <v>20140101</v>
      </c>
      <c r="AZ49" s="439" t="str">
        <f>VLOOKUP(BA49,MiscData!$V$4:$W$42,2,FALSE)</f>
        <v>KUCIE571</v>
      </c>
      <c r="BA49" s="439">
        <f>IF(BA48=MiscData!$V$42,1,BA48+1)</f>
        <v>7</v>
      </c>
      <c r="BB49" s="439" t="str">
        <f>VLOOKUP(AZ49,MiscData!$W$4:$Y$42,3,FALSE)</f>
        <v>TODP</v>
      </c>
    </row>
    <row r="50" spans="1:54" hidden="1">
      <c r="A50" s="448">
        <f t="shared" si="39"/>
        <v>44</v>
      </c>
      <c r="B50" s="448" t="str">
        <f t="shared" si="0"/>
        <v>Feb 2016</v>
      </c>
      <c r="C50" s="448" t="s">
        <v>204</v>
      </c>
      <c r="D50" s="449" t="str">
        <f t="shared" si="1"/>
        <v>TODS</v>
      </c>
      <c r="E50" s="449" t="str">
        <f t="shared" si="2"/>
        <v>KUCIE572</v>
      </c>
      <c r="F50" s="450">
        <f t="shared" si="3"/>
        <v>468</v>
      </c>
      <c r="G50" s="450">
        <v>0</v>
      </c>
      <c r="H50" s="450">
        <v>0</v>
      </c>
      <c r="I50" s="450">
        <v>0</v>
      </c>
      <c r="J50" s="450">
        <f t="shared" si="4"/>
        <v>120135692</v>
      </c>
      <c r="K50" s="482">
        <f t="shared" si="5"/>
        <v>307137</v>
      </c>
      <c r="L50" s="482">
        <f t="shared" si="6"/>
        <v>279740</v>
      </c>
      <c r="M50" s="482">
        <f t="shared" si="7"/>
        <v>273474</v>
      </c>
      <c r="N50" s="482">
        <f t="shared" si="8"/>
        <v>0</v>
      </c>
      <c r="O50" s="482">
        <f t="shared" si="9"/>
        <v>0</v>
      </c>
      <c r="P50" s="482">
        <f t="shared" si="10"/>
        <v>0</v>
      </c>
      <c r="Q50" s="451">
        <f t="shared" si="11"/>
        <v>200</v>
      </c>
      <c r="R50" s="452">
        <f t="shared" si="12"/>
        <v>3.773E-2</v>
      </c>
      <c r="S50" s="452">
        <v>0</v>
      </c>
      <c r="T50" s="452">
        <v>0</v>
      </c>
      <c r="U50" s="452">
        <f t="shared" si="13"/>
        <v>2.8920000000000001E-2</v>
      </c>
      <c r="V50" s="451">
        <f t="shared" si="14"/>
        <v>3.62</v>
      </c>
      <c r="W50" s="451">
        <f t="shared" si="15"/>
        <v>2.95</v>
      </c>
      <c r="X50" s="451">
        <f t="shared" si="16"/>
        <v>4.55</v>
      </c>
      <c r="Y50" s="453">
        <f t="shared" si="17"/>
        <v>93600</v>
      </c>
      <c r="Z50" s="453">
        <f t="shared" si="18"/>
        <v>4532719.66</v>
      </c>
      <c r="AA50" s="453">
        <f t="shared" si="19"/>
        <v>1111835.94</v>
      </c>
      <c r="AB50" s="453">
        <f t="shared" si="20"/>
        <v>825233</v>
      </c>
      <c r="AC50" s="453">
        <f t="shared" si="21"/>
        <v>1244306.7</v>
      </c>
      <c r="AD50" s="453">
        <f t="shared" si="22"/>
        <v>3181375.6399999997</v>
      </c>
      <c r="AE50" s="493">
        <f t="shared" si="23"/>
        <v>7807695.2999999998</v>
      </c>
      <c r="AF50" s="453">
        <f t="shared" si="24"/>
        <v>7807695</v>
      </c>
      <c r="AG50" s="494">
        <f t="shared" si="25"/>
        <v>0.99999996157636939</v>
      </c>
      <c r="AH50" s="454">
        <f t="shared" si="26"/>
        <v>516654</v>
      </c>
      <c r="AI50" s="454">
        <f t="shared" si="27"/>
        <v>115267</v>
      </c>
      <c r="AJ50" s="454">
        <f t="shared" si="28"/>
        <v>651747</v>
      </c>
      <c r="AK50" s="454">
        <f t="shared" si="29"/>
        <v>0</v>
      </c>
      <c r="AL50" s="454">
        <f t="shared" si="30"/>
        <v>0</v>
      </c>
      <c r="AM50" s="454">
        <f t="shared" si="31"/>
        <v>9091363</v>
      </c>
      <c r="AN50" s="491">
        <f t="shared" si="32"/>
        <v>9091363.3000000007</v>
      </c>
      <c r="AO50" s="487">
        <f t="shared" si="33"/>
        <v>-0.30000000074505806</v>
      </c>
      <c r="AP50" s="495">
        <f t="shared" si="34"/>
        <v>3474324.21</v>
      </c>
      <c r="AQ50" s="496">
        <f t="shared" si="35"/>
        <v>1058395.4500000002</v>
      </c>
      <c r="AV50" s="459">
        <f>IF(BA50&gt;BA49,AV49,IF(AV49&lt;MiscData!$F$1,EOMONTH(AV49,1),EOMONTH(AV49,-11)))</f>
        <v>42429</v>
      </c>
      <c r="AW50" s="448" t="str">
        <f t="shared" si="36"/>
        <v>20140101KUCIE572</v>
      </c>
      <c r="AX50" s="457" t="str">
        <f t="shared" si="37"/>
        <v>20140101TODS</v>
      </c>
      <c r="AY50" s="439">
        <f>IF(AV50&lt;=MiscData!$B$23,MiscData!$C$23,IF(AV50&lt;=MiscData!$B$24,MiscData!$C$24,MiscData!$C$25))</f>
        <v>20140101</v>
      </c>
      <c r="AZ50" s="439" t="str">
        <f>VLOOKUP(BA50,MiscData!$V$4:$W$42,2,FALSE)</f>
        <v>KUCIE572</v>
      </c>
      <c r="BA50" s="439">
        <f>IF(BA49=MiscData!$V$42,1,BA49+1)</f>
        <v>8</v>
      </c>
      <c r="BB50" s="439" t="str">
        <f>VLOOKUP(AZ50,MiscData!$W$4:$Y$42,3,FALSE)</f>
        <v>TODS</v>
      </c>
    </row>
    <row r="51" spans="1:54" hidden="1">
      <c r="A51" s="448">
        <f t="shared" si="39"/>
        <v>45</v>
      </c>
      <c r="B51" s="448" t="str">
        <f t="shared" si="0"/>
        <v>Feb 2016</v>
      </c>
      <c r="C51" s="448" t="s">
        <v>24</v>
      </c>
      <c r="D51" s="449" t="str">
        <f t="shared" si="1"/>
        <v>PSS</v>
      </c>
      <c r="E51" s="449" t="str">
        <f t="shared" si="2"/>
        <v>KUCIE717</v>
      </c>
      <c r="F51" s="450">
        <f t="shared" si="3"/>
        <v>0</v>
      </c>
      <c r="G51" s="450">
        <v>0</v>
      </c>
      <c r="H51" s="450">
        <v>0</v>
      </c>
      <c r="I51" s="450">
        <v>0</v>
      </c>
      <c r="J51" s="450">
        <f t="shared" si="4"/>
        <v>0</v>
      </c>
      <c r="K51" s="482">
        <f t="shared" si="5"/>
        <v>0</v>
      </c>
      <c r="L51" s="482">
        <f t="shared" si="6"/>
        <v>0</v>
      </c>
      <c r="M51" s="482">
        <f t="shared" si="7"/>
        <v>0</v>
      </c>
      <c r="N51" s="482">
        <f t="shared" si="8"/>
        <v>0</v>
      </c>
      <c r="O51" s="482">
        <f t="shared" si="9"/>
        <v>0</v>
      </c>
      <c r="P51" s="482">
        <f t="shared" si="10"/>
        <v>0</v>
      </c>
      <c r="Q51" s="451">
        <f t="shared" si="11"/>
        <v>90</v>
      </c>
      <c r="R51" s="452">
        <f t="shared" si="12"/>
        <v>3.5640000000000005E-2</v>
      </c>
      <c r="S51" s="452">
        <v>0</v>
      </c>
      <c r="T51" s="452">
        <v>0</v>
      </c>
      <c r="U51" s="452">
        <f t="shared" si="13"/>
        <v>2.8920000000000001E-2</v>
      </c>
      <c r="V51" s="451">
        <f t="shared" si="14"/>
        <v>0</v>
      </c>
      <c r="W51" s="451">
        <f t="shared" si="15"/>
        <v>13.2</v>
      </c>
      <c r="X51" s="451">
        <f t="shared" si="16"/>
        <v>15.3</v>
      </c>
      <c r="Y51" s="453">
        <f t="shared" si="17"/>
        <v>0</v>
      </c>
      <c r="Z51" s="453">
        <f t="shared" si="18"/>
        <v>0</v>
      </c>
      <c r="AA51" s="453">
        <f t="shared" si="19"/>
        <v>0</v>
      </c>
      <c r="AB51" s="453">
        <f t="shared" si="20"/>
        <v>0</v>
      </c>
      <c r="AC51" s="453">
        <f t="shared" si="21"/>
        <v>0</v>
      </c>
      <c r="AD51" s="453">
        <f t="shared" si="22"/>
        <v>0</v>
      </c>
      <c r="AE51" s="493">
        <f t="shared" si="23"/>
        <v>0</v>
      </c>
      <c r="AF51" s="453">
        <f t="shared" si="24"/>
        <v>0</v>
      </c>
      <c r="AG51" s="494">
        <f t="shared" si="25"/>
        <v>1</v>
      </c>
      <c r="AH51" s="454">
        <f t="shared" si="26"/>
        <v>0</v>
      </c>
      <c r="AI51" s="454">
        <f t="shared" si="27"/>
        <v>0</v>
      </c>
      <c r="AJ51" s="454">
        <f t="shared" si="28"/>
        <v>0</v>
      </c>
      <c r="AK51" s="454">
        <f t="shared" si="29"/>
        <v>0</v>
      </c>
      <c r="AL51" s="454">
        <f t="shared" si="30"/>
        <v>0</v>
      </c>
      <c r="AM51" s="454">
        <f t="shared" si="31"/>
        <v>0</v>
      </c>
      <c r="AN51" s="491">
        <f t="shared" si="32"/>
        <v>0</v>
      </c>
      <c r="AO51" s="487">
        <f t="shared" si="33"/>
        <v>0</v>
      </c>
      <c r="AP51" s="495">
        <f t="shared" si="34"/>
        <v>0</v>
      </c>
      <c r="AQ51" s="496">
        <f t="shared" si="35"/>
        <v>0</v>
      </c>
      <c r="AV51" s="459">
        <f>IF(BA51&gt;BA50,AV50,IF(AV50&lt;MiscData!$F$1,EOMONTH(AV50,1),EOMONTH(AV50,-11)))</f>
        <v>42429</v>
      </c>
      <c r="AW51" s="448" t="str">
        <f t="shared" si="36"/>
        <v>20140101KUCIE717</v>
      </c>
      <c r="AX51" s="457" t="str">
        <f t="shared" si="37"/>
        <v>20140101PSS</v>
      </c>
      <c r="AY51" s="439">
        <f>IF(AV51&lt;=MiscData!$B$23,MiscData!$C$23,IF(AV51&lt;=MiscData!$B$24,MiscData!$C$24,MiscData!$C$25))</f>
        <v>20140101</v>
      </c>
      <c r="AZ51" s="439" t="str">
        <f>VLOOKUP(BA51,MiscData!$V$4:$W$42,2,FALSE)</f>
        <v>KUCIE717</v>
      </c>
      <c r="BA51" s="439">
        <f>IF(BA50=MiscData!$V$42,1,BA50+1)</f>
        <v>9</v>
      </c>
      <c r="BB51" s="439" t="str">
        <f>VLOOKUP(AZ51,MiscData!$W$4:$Y$42,3,FALSE)</f>
        <v>PSS</v>
      </c>
    </row>
    <row r="52" spans="1:54">
      <c r="A52" s="499">
        <f t="shared" si="39"/>
        <v>46</v>
      </c>
      <c r="B52" s="448" t="str">
        <f t="shared" si="0"/>
        <v>Feb 2016</v>
      </c>
      <c r="C52" s="448" t="s">
        <v>208</v>
      </c>
      <c r="D52" s="449" t="str">
        <f t="shared" si="1"/>
        <v>GS</v>
      </c>
      <c r="E52" s="449" t="str">
        <f t="shared" si="2"/>
        <v>KUCME110</v>
      </c>
      <c r="F52" s="450">
        <f t="shared" si="3"/>
        <v>63545</v>
      </c>
      <c r="G52" s="450">
        <v>0</v>
      </c>
      <c r="H52" s="450">
        <v>0</v>
      </c>
      <c r="I52" s="450">
        <v>0</v>
      </c>
      <c r="J52" s="450">
        <f t="shared" si="4"/>
        <v>68222048</v>
      </c>
      <c r="K52" s="482">
        <f t="shared" si="5"/>
        <v>0</v>
      </c>
      <c r="L52" s="482">
        <f t="shared" si="6"/>
        <v>0</v>
      </c>
      <c r="M52" s="482">
        <f t="shared" si="7"/>
        <v>0</v>
      </c>
      <c r="N52" s="482">
        <f t="shared" si="8"/>
        <v>0</v>
      </c>
      <c r="O52" s="482">
        <f t="shared" si="9"/>
        <v>0</v>
      </c>
      <c r="P52" s="482">
        <f t="shared" si="10"/>
        <v>0</v>
      </c>
      <c r="Q52" s="451">
        <f t="shared" si="11"/>
        <v>20</v>
      </c>
      <c r="R52" s="452">
        <f t="shared" si="12"/>
        <v>9.2249999999999999E-2</v>
      </c>
      <c r="S52" s="452">
        <v>0</v>
      </c>
      <c r="T52" s="452">
        <v>0</v>
      </c>
      <c r="U52" s="452">
        <f t="shared" si="13"/>
        <v>2.8920000000000001E-2</v>
      </c>
      <c r="V52" s="451">
        <f t="shared" si="14"/>
        <v>0</v>
      </c>
      <c r="W52" s="451">
        <f t="shared" si="15"/>
        <v>0</v>
      </c>
      <c r="X52" s="451">
        <f t="shared" si="16"/>
        <v>0</v>
      </c>
      <c r="Y52" s="453">
        <f t="shared" si="17"/>
        <v>1270900</v>
      </c>
      <c r="Z52" s="453">
        <f t="shared" si="18"/>
        <v>6293483.9299999997</v>
      </c>
      <c r="AA52" s="453">
        <f t="shared" si="19"/>
        <v>0</v>
      </c>
      <c r="AB52" s="453">
        <f t="shared" si="20"/>
        <v>0</v>
      </c>
      <c r="AC52" s="453">
        <f t="shared" si="21"/>
        <v>0</v>
      </c>
      <c r="AD52" s="453">
        <f t="shared" si="22"/>
        <v>0</v>
      </c>
      <c r="AE52" s="493">
        <f t="shared" si="23"/>
        <v>7564383.9299999997</v>
      </c>
      <c r="AF52" s="453">
        <f t="shared" si="24"/>
        <v>7564381</v>
      </c>
      <c r="AG52" s="494">
        <f t="shared" si="25"/>
        <v>0.99999961265847603</v>
      </c>
      <c r="AH52" s="454">
        <f t="shared" si="26"/>
        <v>293395</v>
      </c>
      <c r="AI52" s="454">
        <f t="shared" si="27"/>
        <v>65457</v>
      </c>
      <c r="AJ52" s="454">
        <f t="shared" si="28"/>
        <v>370111</v>
      </c>
      <c r="AK52" s="454">
        <f t="shared" si="29"/>
        <v>0</v>
      </c>
      <c r="AL52" s="454">
        <f t="shared" si="30"/>
        <v>0</v>
      </c>
      <c r="AM52" s="454">
        <f t="shared" si="31"/>
        <v>8293344</v>
      </c>
      <c r="AN52" s="491">
        <f t="shared" si="32"/>
        <v>8293346.9299999997</v>
      </c>
      <c r="AO52" s="487">
        <f t="shared" si="33"/>
        <v>-2.9299999997019768</v>
      </c>
      <c r="AP52" s="495">
        <f t="shared" si="34"/>
        <v>1972981.63</v>
      </c>
      <c r="AQ52" s="496">
        <f t="shared" si="35"/>
        <v>4320502.3</v>
      </c>
      <c r="AV52" s="459">
        <f>IF(BA52&gt;BA51,AV51,IF(AV51&lt;MiscData!$F$1,EOMONTH(AV51,1),EOMONTH(AV51,-11)))</f>
        <v>42429</v>
      </c>
      <c r="AW52" s="448" t="str">
        <f t="shared" si="36"/>
        <v>20140101KUCME110</v>
      </c>
      <c r="AX52" s="457" t="str">
        <f t="shared" si="37"/>
        <v>20140101GS</v>
      </c>
      <c r="AY52" s="439">
        <f>IF(AV52&lt;=MiscData!$B$23,MiscData!$C$23,IF(AV52&lt;=MiscData!$B$24,MiscData!$C$24,MiscData!$C$25))</f>
        <v>20140101</v>
      </c>
      <c r="AZ52" s="439" t="str">
        <f>VLOOKUP(BA52,MiscData!$V$4:$W$42,2,FALSE)</f>
        <v>KUCME110</v>
      </c>
      <c r="BA52" s="439">
        <f>IF(BA51=MiscData!$V$42,1,BA51+1)</f>
        <v>10</v>
      </c>
      <c r="BB52" s="511" t="str">
        <f>VLOOKUP(AZ52,MiscData!$W$4:$Y$42,3,FALSE)</f>
        <v>GS</v>
      </c>
    </row>
    <row r="53" spans="1:54">
      <c r="A53" s="499">
        <f t="shared" si="39"/>
        <v>47</v>
      </c>
      <c r="B53" s="448" t="str">
        <f t="shared" si="0"/>
        <v>Feb 2016</v>
      </c>
      <c r="C53" s="448" t="s">
        <v>208</v>
      </c>
      <c r="D53" s="449" t="str">
        <f t="shared" si="1"/>
        <v>GS</v>
      </c>
      <c r="E53" s="449" t="str">
        <f t="shared" si="2"/>
        <v>KUCME112</v>
      </c>
      <c r="F53" s="450">
        <f t="shared" si="3"/>
        <v>0</v>
      </c>
      <c r="G53" s="450">
        <v>0</v>
      </c>
      <c r="H53" s="450">
        <v>0</v>
      </c>
      <c r="I53" s="450">
        <v>0</v>
      </c>
      <c r="J53" s="450">
        <f t="shared" si="4"/>
        <v>0</v>
      </c>
      <c r="K53" s="482">
        <f t="shared" si="5"/>
        <v>0</v>
      </c>
      <c r="L53" s="482">
        <f t="shared" si="6"/>
        <v>0</v>
      </c>
      <c r="M53" s="482">
        <f t="shared" si="7"/>
        <v>0</v>
      </c>
      <c r="N53" s="482">
        <f t="shared" si="8"/>
        <v>0</v>
      </c>
      <c r="O53" s="482">
        <f t="shared" si="9"/>
        <v>0</v>
      </c>
      <c r="P53" s="482">
        <f t="shared" si="10"/>
        <v>0</v>
      </c>
      <c r="Q53" s="451">
        <f t="shared" si="11"/>
        <v>20</v>
      </c>
      <c r="R53" s="452">
        <f t="shared" si="12"/>
        <v>9.2249999999999999E-2</v>
      </c>
      <c r="S53" s="452">
        <v>0</v>
      </c>
      <c r="T53" s="452">
        <v>0</v>
      </c>
      <c r="U53" s="452">
        <f t="shared" si="13"/>
        <v>2.8920000000000001E-2</v>
      </c>
      <c r="V53" s="451">
        <f t="shared" si="14"/>
        <v>0</v>
      </c>
      <c r="W53" s="451">
        <f t="shared" si="15"/>
        <v>0</v>
      </c>
      <c r="X53" s="451">
        <f t="shared" si="16"/>
        <v>0</v>
      </c>
      <c r="Y53" s="453">
        <f t="shared" si="17"/>
        <v>0</v>
      </c>
      <c r="Z53" s="453">
        <f t="shared" si="18"/>
        <v>0</v>
      </c>
      <c r="AA53" s="453">
        <f t="shared" si="19"/>
        <v>0</v>
      </c>
      <c r="AB53" s="453">
        <f t="shared" si="20"/>
        <v>0</v>
      </c>
      <c r="AC53" s="453">
        <f t="shared" si="21"/>
        <v>0</v>
      </c>
      <c r="AD53" s="453">
        <f t="shared" si="22"/>
        <v>0</v>
      </c>
      <c r="AE53" s="493">
        <f t="shared" si="23"/>
        <v>0</v>
      </c>
      <c r="AF53" s="453">
        <f t="shared" si="24"/>
        <v>0</v>
      </c>
      <c r="AG53" s="494">
        <f t="shared" si="25"/>
        <v>1</v>
      </c>
      <c r="AH53" s="454">
        <f t="shared" si="26"/>
        <v>0</v>
      </c>
      <c r="AI53" s="454">
        <f t="shared" si="27"/>
        <v>0</v>
      </c>
      <c r="AJ53" s="454">
        <f t="shared" si="28"/>
        <v>0</v>
      </c>
      <c r="AK53" s="454">
        <f t="shared" si="29"/>
        <v>0</v>
      </c>
      <c r="AL53" s="454">
        <f t="shared" si="30"/>
        <v>0</v>
      </c>
      <c r="AM53" s="454">
        <f t="shared" si="31"/>
        <v>0</v>
      </c>
      <c r="AN53" s="491">
        <f t="shared" si="32"/>
        <v>0</v>
      </c>
      <c r="AO53" s="487">
        <f t="shared" si="33"/>
        <v>0</v>
      </c>
      <c r="AP53" s="495">
        <f t="shared" si="34"/>
        <v>0</v>
      </c>
      <c r="AQ53" s="496">
        <f t="shared" si="35"/>
        <v>0</v>
      </c>
      <c r="AV53" s="459">
        <f>IF(BA53&gt;BA52,AV52,IF(AV52&lt;MiscData!$F$1,EOMONTH(AV52,1),EOMONTH(AV52,-11)))</f>
        <v>42429</v>
      </c>
      <c r="AW53" s="448" t="str">
        <f t="shared" si="36"/>
        <v>20140101KUCME112</v>
      </c>
      <c r="AX53" s="457" t="str">
        <f t="shared" si="37"/>
        <v>20140101GS</v>
      </c>
      <c r="AY53" s="439">
        <f>IF(AV53&lt;=MiscData!$B$23,MiscData!$C$23,IF(AV53&lt;=MiscData!$B$24,MiscData!$C$24,MiscData!$C$25))</f>
        <v>20140101</v>
      </c>
      <c r="AZ53" s="439" t="str">
        <f>VLOOKUP(BA53,MiscData!$V$4:$W$42,2,FALSE)</f>
        <v>KUCME112</v>
      </c>
      <c r="BA53" s="439">
        <f>IF(BA52=MiscData!$V$42,1,BA52+1)</f>
        <v>11</v>
      </c>
      <c r="BB53" s="511" t="str">
        <f>VLOOKUP(AZ53,MiscData!$W$4:$Y$42,3,FALSE)</f>
        <v>GS</v>
      </c>
    </row>
    <row r="54" spans="1:54">
      <c r="A54" s="448">
        <f t="shared" si="39"/>
        <v>48</v>
      </c>
      <c r="B54" s="448" t="str">
        <f t="shared" si="0"/>
        <v>Feb 2016</v>
      </c>
      <c r="C54" s="448" t="s">
        <v>17</v>
      </c>
      <c r="D54" s="449" t="str">
        <f t="shared" si="1"/>
        <v>GS3</v>
      </c>
      <c r="E54" s="449" t="str">
        <f t="shared" si="2"/>
        <v>KUCME113</v>
      </c>
      <c r="F54" s="450">
        <f t="shared" si="3"/>
        <v>18575</v>
      </c>
      <c r="G54" s="450">
        <v>0</v>
      </c>
      <c r="H54" s="450">
        <v>0</v>
      </c>
      <c r="I54" s="450">
        <v>0</v>
      </c>
      <c r="J54" s="450">
        <f t="shared" si="4"/>
        <v>99957153</v>
      </c>
      <c r="K54" s="482">
        <f t="shared" si="5"/>
        <v>412611</v>
      </c>
      <c r="L54" s="482">
        <f t="shared" si="6"/>
        <v>0</v>
      </c>
      <c r="M54" s="482">
        <f t="shared" si="7"/>
        <v>0</v>
      </c>
      <c r="N54" s="482">
        <f t="shared" si="8"/>
        <v>0</v>
      </c>
      <c r="O54" s="482">
        <f t="shared" si="9"/>
        <v>0</v>
      </c>
      <c r="P54" s="482">
        <f t="shared" si="10"/>
        <v>0</v>
      </c>
      <c r="Q54" s="451">
        <f t="shared" si="11"/>
        <v>35</v>
      </c>
      <c r="R54" s="452">
        <f t="shared" si="12"/>
        <v>9.2249999999999999E-2</v>
      </c>
      <c r="S54" s="452">
        <v>0</v>
      </c>
      <c r="T54" s="452">
        <v>0</v>
      </c>
      <c r="U54" s="452">
        <f t="shared" si="13"/>
        <v>2.8920000000000001E-2</v>
      </c>
      <c r="V54" s="451">
        <f t="shared" si="14"/>
        <v>0</v>
      </c>
      <c r="W54" s="451">
        <f t="shared" si="15"/>
        <v>0</v>
      </c>
      <c r="X54" s="451">
        <f t="shared" si="16"/>
        <v>0</v>
      </c>
      <c r="Y54" s="453">
        <f t="shared" si="17"/>
        <v>650125</v>
      </c>
      <c r="Z54" s="453">
        <f t="shared" si="18"/>
        <v>9221047.3599999994</v>
      </c>
      <c r="AA54" s="453">
        <f t="shared" si="19"/>
        <v>0</v>
      </c>
      <c r="AB54" s="453">
        <f t="shared" si="20"/>
        <v>0</v>
      </c>
      <c r="AC54" s="453">
        <f t="shared" si="21"/>
        <v>0</v>
      </c>
      <c r="AD54" s="453">
        <f t="shared" si="22"/>
        <v>0</v>
      </c>
      <c r="AE54" s="493">
        <f t="shared" si="23"/>
        <v>9871172.3599999994</v>
      </c>
      <c r="AF54" s="453">
        <f t="shared" si="24"/>
        <v>9871177</v>
      </c>
      <c r="AG54" s="494">
        <f t="shared" si="25"/>
        <v>1.0000004700556155</v>
      </c>
      <c r="AH54" s="454">
        <f t="shared" si="26"/>
        <v>429875</v>
      </c>
      <c r="AI54" s="454">
        <f t="shared" si="27"/>
        <v>95907</v>
      </c>
      <c r="AJ54" s="454">
        <f t="shared" si="28"/>
        <v>542277</v>
      </c>
      <c r="AK54" s="454">
        <f t="shared" si="29"/>
        <v>0</v>
      </c>
      <c r="AL54" s="454">
        <f t="shared" si="30"/>
        <v>0</v>
      </c>
      <c r="AM54" s="454">
        <f t="shared" si="31"/>
        <v>10939236</v>
      </c>
      <c r="AN54" s="491">
        <f t="shared" si="32"/>
        <v>10939231.359999999</v>
      </c>
      <c r="AO54" s="487">
        <f t="shared" si="33"/>
        <v>4.6400000005960464</v>
      </c>
      <c r="AP54" s="495">
        <f t="shared" si="34"/>
        <v>2890760.86</v>
      </c>
      <c r="AQ54" s="496">
        <f t="shared" si="35"/>
        <v>6330286.5</v>
      </c>
      <c r="AV54" s="459">
        <f>IF(BA54&gt;BA53,AV53,IF(AV53&lt;MiscData!$F$1,EOMONTH(AV53,1),EOMONTH(AV53,-11)))</f>
        <v>42429</v>
      </c>
      <c r="AW54" s="448" t="str">
        <f t="shared" si="36"/>
        <v>20140101KUCME113</v>
      </c>
      <c r="AX54" s="457" t="str">
        <f t="shared" si="37"/>
        <v>20140101GS3</v>
      </c>
      <c r="AY54" s="439">
        <f>IF(AV54&lt;=MiscData!$B$23,MiscData!$C$23,IF(AV54&lt;=MiscData!$B$24,MiscData!$C$24,MiscData!$C$25))</f>
        <v>20140101</v>
      </c>
      <c r="AZ54" s="439" t="str">
        <f>VLOOKUP(BA54,MiscData!$V$4:$W$42,2,FALSE)</f>
        <v>KUCME113</v>
      </c>
      <c r="BA54" s="439">
        <f>IF(BA53=MiscData!$V$42,1,BA53+1)</f>
        <v>12</v>
      </c>
      <c r="BB54" s="439" t="str">
        <f>VLOOKUP(AZ54,MiscData!$W$4:$Y$42,3,FALSE)</f>
        <v>GS3</v>
      </c>
    </row>
    <row r="55" spans="1:54" hidden="1">
      <c r="A55" s="448">
        <f t="shared" si="39"/>
        <v>49</v>
      </c>
      <c r="B55" s="448" t="str">
        <f t="shared" si="0"/>
        <v>Feb 2016</v>
      </c>
      <c r="C55" s="448" t="s">
        <v>203</v>
      </c>
      <c r="D55" s="449" t="str">
        <f t="shared" si="1"/>
        <v>AES</v>
      </c>
      <c r="E55" s="449" t="str">
        <f t="shared" si="2"/>
        <v>KUCME220</v>
      </c>
      <c r="F55" s="450">
        <f t="shared" si="3"/>
        <v>373</v>
      </c>
      <c r="G55" s="450">
        <v>0</v>
      </c>
      <c r="H55" s="450">
        <v>0</v>
      </c>
      <c r="I55" s="450">
        <v>0</v>
      </c>
      <c r="J55" s="450">
        <f t="shared" si="4"/>
        <v>719702</v>
      </c>
      <c r="K55" s="482">
        <f t="shared" si="5"/>
        <v>0</v>
      </c>
      <c r="L55" s="482">
        <f t="shared" si="6"/>
        <v>0</v>
      </c>
      <c r="M55" s="482">
        <f t="shared" si="7"/>
        <v>0</v>
      </c>
      <c r="N55" s="482">
        <f t="shared" si="8"/>
        <v>0</v>
      </c>
      <c r="O55" s="482">
        <f t="shared" si="9"/>
        <v>0</v>
      </c>
      <c r="P55" s="482">
        <f t="shared" si="10"/>
        <v>0</v>
      </c>
      <c r="Q55" s="451">
        <f t="shared" si="11"/>
        <v>20</v>
      </c>
      <c r="R55" s="452">
        <f t="shared" si="12"/>
        <v>7.4399999999999994E-2</v>
      </c>
      <c r="S55" s="452">
        <v>0</v>
      </c>
      <c r="T55" s="452">
        <v>0</v>
      </c>
      <c r="U55" s="452">
        <f t="shared" si="13"/>
        <v>2.8920000000000001E-2</v>
      </c>
      <c r="V55" s="451">
        <f t="shared" si="14"/>
        <v>0</v>
      </c>
      <c r="W55" s="451">
        <f t="shared" si="15"/>
        <v>0</v>
      </c>
      <c r="X55" s="451">
        <f t="shared" si="16"/>
        <v>0</v>
      </c>
      <c r="Y55" s="453">
        <f t="shared" si="17"/>
        <v>7460</v>
      </c>
      <c r="Z55" s="453">
        <f t="shared" si="18"/>
        <v>53545.83</v>
      </c>
      <c r="AA55" s="453">
        <f t="shared" si="19"/>
        <v>0</v>
      </c>
      <c r="AB55" s="453">
        <f t="shared" si="20"/>
        <v>0</v>
      </c>
      <c r="AC55" s="453">
        <f t="shared" si="21"/>
        <v>0</v>
      </c>
      <c r="AD55" s="453">
        <f t="shared" si="22"/>
        <v>0</v>
      </c>
      <c r="AE55" s="493">
        <f t="shared" si="23"/>
        <v>61005.83</v>
      </c>
      <c r="AF55" s="453">
        <f t="shared" si="24"/>
        <v>61006</v>
      </c>
      <c r="AG55" s="494">
        <f t="shared" si="25"/>
        <v>1.0000027866189183</v>
      </c>
      <c r="AH55" s="454">
        <f t="shared" si="26"/>
        <v>3095</v>
      </c>
      <c r="AI55" s="454">
        <f t="shared" si="27"/>
        <v>691</v>
      </c>
      <c r="AJ55" s="454">
        <f t="shared" si="28"/>
        <v>3904</v>
      </c>
      <c r="AK55" s="454">
        <f t="shared" si="29"/>
        <v>0</v>
      </c>
      <c r="AL55" s="454">
        <f t="shared" si="30"/>
        <v>0</v>
      </c>
      <c r="AM55" s="454">
        <f t="shared" si="31"/>
        <v>68696</v>
      </c>
      <c r="AN55" s="491">
        <f t="shared" si="32"/>
        <v>68695.83</v>
      </c>
      <c r="AO55" s="487">
        <f t="shared" si="33"/>
        <v>0.16999999999825377</v>
      </c>
      <c r="AP55" s="495">
        <f t="shared" si="34"/>
        <v>20813.78</v>
      </c>
      <c r="AQ55" s="496">
        <f t="shared" si="35"/>
        <v>32732.050000000003</v>
      </c>
      <c r="AV55" s="459">
        <f>IF(BA55&gt;BA54,AV54,IF(AV54&lt;MiscData!$F$1,EOMONTH(AV54,1),EOMONTH(AV54,-11)))</f>
        <v>42429</v>
      </c>
      <c r="AW55" s="448" t="str">
        <f t="shared" si="36"/>
        <v>20140101KUCME220</v>
      </c>
      <c r="AX55" s="457" t="str">
        <f t="shared" si="37"/>
        <v>20140101AES</v>
      </c>
      <c r="AY55" s="439">
        <f>IF(AV55&lt;=MiscData!$B$23,MiscData!$C$23,IF(AV55&lt;=MiscData!$B$24,MiscData!$C$24,MiscData!$C$25))</f>
        <v>20140101</v>
      </c>
      <c r="AZ55" s="439" t="str">
        <f>VLOOKUP(BA55,MiscData!$V$4:$W$42,2,FALSE)</f>
        <v>KUCME220</v>
      </c>
      <c r="BA55" s="439">
        <f>IF(BA54=MiscData!$V$42,1,BA54+1)</f>
        <v>13</v>
      </c>
      <c r="BB55" s="439" t="str">
        <f>VLOOKUP(AZ55,MiscData!$W$4:$Y$42,3,FALSE)</f>
        <v>AES</v>
      </c>
    </row>
    <row r="56" spans="1:54" hidden="1">
      <c r="A56" s="448">
        <f t="shared" si="39"/>
        <v>50</v>
      </c>
      <c r="B56" s="448" t="str">
        <f t="shared" si="0"/>
        <v>Feb 2016</v>
      </c>
      <c r="C56" s="448" t="s">
        <v>203</v>
      </c>
      <c r="D56" s="449" t="str">
        <f t="shared" si="1"/>
        <v>AES</v>
      </c>
      <c r="E56" s="449" t="str">
        <f t="shared" si="2"/>
        <v>KUCME221</v>
      </c>
      <c r="F56" s="450">
        <f t="shared" si="3"/>
        <v>0</v>
      </c>
      <c r="G56" s="450">
        <v>0</v>
      </c>
      <c r="H56" s="450">
        <v>0</v>
      </c>
      <c r="I56" s="450">
        <v>0</v>
      </c>
      <c r="J56" s="450">
        <f t="shared" si="4"/>
        <v>0</v>
      </c>
      <c r="K56" s="482">
        <f t="shared" si="5"/>
        <v>0</v>
      </c>
      <c r="L56" s="482">
        <f t="shared" si="6"/>
        <v>0</v>
      </c>
      <c r="M56" s="482">
        <f t="shared" si="7"/>
        <v>0</v>
      </c>
      <c r="N56" s="482">
        <f t="shared" si="8"/>
        <v>0</v>
      </c>
      <c r="O56" s="482">
        <f t="shared" si="9"/>
        <v>0</v>
      </c>
      <c r="P56" s="482">
        <f t="shared" si="10"/>
        <v>0</v>
      </c>
      <c r="Q56" s="451">
        <f t="shared" si="11"/>
        <v>20</v>
      </c>
      <c r="R56" s="452">
        <f t="shared" si="12"/>
        <v>7.4399999999999994E-2</v>
      </c>
      <c r="S56" s="452">
        <v>0</v>
      </c>
      <c r="T56" s="452">
        <v>0</v>
      </c>
      <c r="U56" s="452">
        <f t="shared" si="13"/>
        <v>2.8920000000000001E-2</v>
      </c>
      <c r="V56" s="451">
        <f t="shared" si="14"/>
        <v>0</v>
      </c>
      <c r="W56" s="451">
        <f t="shared" si="15"/>
        <v>0</v>
      </c>
      <c r="X56" s="451">
        <f t="shared" si="16"/>
        <v>0</v>
      </c>
      <c r="Y56" s="453">
        <f t="shared" si="17"/>
        <v>0</v>
      </c>
      <c r="Z56" s="453">
        <f t="shared" si="18"/>
        <v>0</v>
      </c>
      <c r="AA56" s="453">
        <f t="shared" si="19"/>
        <v>0</v>
      </c>
      <c r="AB56" s="453">
        <f t="shared" si="20"/>
        <v>0</v>
      </c>
      <c r="AC56" s="453">
        <f t="shared" si="21"/>
        <v>0</v>
      </c>
      <c r="AD56" s="453">
        <f t="shared" si="22"/>
        <v>0</v>
      </c>
      <c r="AE56" s="493">
        <f t="shared" si="23"/>
        <v>0</v>
      </c>
      <c r="AF56" s="453">
        <f t="shared" si="24"/>
        <v>0</v>
      </c>
      <c r="AG56" s="494">
        <f t="shared" si="25"/>
        <v>1</v>
      </c>
      <c r="AH56" s="454">
        <f t="shared" si="26"/>
        <v>0</v>
      </c>
      <c r="AI56" s="454">
        <f t="shared" si="27"/>
        <v>0</v>
      </c>
      <c r="AJ56" s="454">
        <f t="shared" si="28"/>
        <v>0</v>
      </c>
      <c r="AK56" s="454">
        <f t="shared" si="29"/>
        <v>0</v>
      </c>
      <c r="AL56" s="454">
        <f t="shared" si="30"/>
        <v>0</v>
      </c>
      <c r="AM56" s="454">
        <f t="shared" si="31"/>
        <v>0</v>
      </c>
      <c r="AN56" s="491">
        <f t="shared" si="32"/>
        <v>0</v>
      </c>
      <c r="AO56" s="487">
        <f t="shared" si="33"/>
        <v>0</v>
      </c>
      <c r="AP56" s="495">
        <f t="shared" si="34"/>
        <v>0</v>
      </c>
      <c r="AQ56" s="496">
        <f t="shared" si="35"/>
        <v>0</v>
      </c>
      <c r="AV56" s="459">
        <f>IF(BA56&gt;BA55,AV55,IF(AV55&lt;MiscData!$F$1,EOMONTH(AV55,1),EOMONTH(AV55,-11)))</f>
        <v>42429</v>
      </c>
      <c r="AW56" s="448" t="str">
        <f t="shared" si="36"/>
        <v>20140101KUCME221</v>
      </c>
      <c r="AX56" s="457" t="str">
        <f t="shared" si="37"/>
        <v>20140101AES</v>
      </c>
      <c r="AY56" s="439">
        <f>IF(AV56&lt;=MiscData!$B$23,MiscData!$C$23,IF(AV56&lt;=MiscData!$B$24,MiscData!$C$24,MiscData!$C$25))</f>
        <v>20140101</v>
      </c>
      <c r="AZ56" s="439" t="str">
        <f>VLOOKUP(BA56,MiscData!$V$4:$W$42,2,FALSE)</f>
        <v>KUCME221</v>
      </c>
      <c r="BA56" s="439">
        <f>IF(BA55=MiscData!$V$42,1,BA55+1)</f>
        <v>14</v>
      </c>
      <c r="BB56" s="439" t="str">
        <f>VLOOKUP(AZ56,MiscData!$W$4:$Y$42,3,FALSE)</f>
        <v>AES</v>
      </c>
    </row>
    <row r="57" spans="1:54" hidden="1">
      <c r="A57" s="448">
        <f t="shared" si="39"/>
        <v>51</v>
      </c>
      <c r="B57" s="448" t="str">
        <f t="shared" si="0"/>
        <v>Feb 2016</v>
      </c>
      <c r="C57" s="832" t="s">
        <v>212</v>
      </c>
      <c r="D57" s="449" t="str">
        <f t="shared" si="1"/>
        <v>AES3</v>
      </c>
      <c r="E57" s="449" t="str">
        <f t="shared" si="2"/>
        <v>KUCME223</v>
      </c>
      <c r="F57" s="450">
        <f t="shared" si="3"/>
        <v>0</v>
      </c>
      <c r="G57" s="450">
        <v>0</v>
      </c>
      <c r="H57" s="450">
        <v>0</v>
      </c>
      <c r="I57" s="450">
        <v>0</v>
      </c>
      <c r="J57" s="450">
        <f t="shared" si="4"/>
        <v>0</v>
      </c>
      <c r="K57" s="482">
        <f t="shared" si="5"/>
        <v>0</v>
      </c>
      <c r="L57" s="482">
        <f t="shared" si="6"/>
        <v>0</v>
      </c>
      <c r="M57" s="482">
        <f t="shared" si="7"/>
        <v>0</v>
      </c>
      <c r="N57" s="482">
        <f t="shared" si="8"/>
        <v>0</v>
      </c>
      <c r="O57" s="482">
        <f t="shared" si="9"/>
        <v>0</v>
      </c>
      <c r="P57" s="482">
        <f t="shared" si="10"/>
        <v>0</v>
      </c>
      <c r="Q57" s="451">
        <f t="shared" si="11"/>
        <v>35</v>
      </c>
      <c r="R57" s="452">
        <f t="shared" si="12"/>
        <v>7.4399999999999994E-2</v>
      </c>
      <c r="S57" s="452">
        <v>0</v>
      </c>
      <c r="T57" s="452">
        <v>0</v>
      </c>
      <c r="U57" s="452">
        <f t="shared" si="13"/>
        <v>2.8920000000000001E-2</v>
      </c>
      <c r="V57" s="451">
        <f t="shared" si="14"/>
        <v>0</v>
      </c>
      <c r="W57" s="451">
        <f t="shared" si="15"/>
        <v>0</v>
      </c>
      <c r="X57" s="451">
        <f t="shared" si="16"/>
        <v>0</v>
      </c>
      <c r="Y57" s="453">
        <f t="shared" si="17"/>
        <v>0</v>
      </c>
      <c r="Z57" s="453">
        <f t="shared" si="18"/>
        <v>0</v>
      </c>
      <c r="AA57" s="453">
        <f t="shared" si="19"/>
        <v>0</v>
      </c>
      <c r="AB57" s="453">
        <f t="shared" si="20"/>
        <v>0</v>
      </c>
      <c r="AC57" s="453">
        <f t="shared" si="21"/>
        <v>0</v>
      </c>
      <c r="AD57" s="453">
        <f t="shared" si="22"/>
        <v>0</v>
      </c>
      <c r="AE57" s="493">
        <f t="shared" si="23"/>
        <v>0</v>
      </c>
      <c r="AF57" s="453">
        <f t="shared" si="24"/>
        <v>0</v>
      </c>
      <c r="AG57" s="494">
        <f t="shared" si="25"/>
        <v>1</v>
      </c>
      <c r="AH57" s="454">
        <f t="shared" si="26"/>
        <v>0</v>
      </c>
      <c r="AI57" s="454">
        <f t="shared" si="27"/>
        <v>0</v>
      </c>
      <c r="AJ57" s="454">
        <f t="shared" si="28"/>
        <v>0</v>
      </c>
      <c r="AK57" s="454">
        <f t="shared" si="29"/>
        <v>0</v>
      </c>
      <c r="AL57" s="454">
        <f t="shared" si="30"/>
        <v>0</v>
      </c>
      <c r="AM57" s="454">
        <f t="shared" si="31"/>
        <v>0</v>
      </c>
      <c r="AN57" s="491">
        <f t="shared" si="32"/>
        <v>0</v>
      </c>
      <c r="AO57" s="487">
        <f t="shared" si="33"/>
        <v>0</v>
      </c>
      <c r="AP57" s="495">
        <f t="shared" si="34"/>
        <v>0</v>
      </c>
      <c r="AQ57" s="496">
        <f t="shared" si="35"/>
        <v>0</v>
      </c>
      <c r="AV57" s="459">
        <f>IF(BA57&gt;BA56,AV56,IF(AV56&lt;MiscData!$F$1,EOMONTH(AV56,1),EOMONTH(AV56,-11)))</f>
        <v>42429</v>
      </c>
      <c r="AW57" s="448" t="str">
        <f t="shared" si="36"/>
        <v>20140101KUCME223</v>
      </c>
      <c r="AX57" s="457" t="str">
        <f t="shared" si="37"/>
        <v>20140101AES3</v>
      </c>
      <c r="AY57" s="439">
        <f>IF(AV57&lt;=MiscData!$B$23,MiscData!$C$23,IF(AV57&lt;=MiscData!$B$24,MiscData!$C$24,MiscData!$C$25))</f>
        <v>20140101</v>
      </c>
      <c r="AZ57" s="439" t="str">
        <f>VLOOKUP(BA57,MiscData!$V$4:$W$42,2,FALSE)</f>
        <v>KUCME223</v>
      </c>
      <c r="BA57" s="439">
        <f>IF(BA56=MiscData!$V$42,1,BA56+1)</f>
        <v>15</v>
      </c>
      <c r="BB57" s="439" t="str">
        <f>VLOOKUP(AZ57,MiscData!$W$4:$Y$42,3,FALSE)</f>
        <v>AES3</v>
      </c>
    </row>
    <row r="58" spans="1:54" hidden="1">
      <c r="A58" s="448">
        <f t="shared" si="39"/>
        <v>52</v>
      </c>
      <c r="B58" s="448" t="str">
        <f t="shared" si="0"/>
        <v>Feb 2016</v>
      </c>
      <c r="C58" s="832" t="s">
        <v>212</v>
      </c>
      <c r="D58" s="449" t="str">
        <f t="shared" si="1"/>
        <v>AES3</v>
      </c>
      <c r="E58" s="449" t="str">
        <f t="shared" si="2"/>
        <v>KUCME224</v>
      </c>
      <c r="F58" s="450">
        <f t="shared" si="3"/>
        <v>260</v>
      </c>
      <c r="G58" s="450">
        <v>0</v>
      </c>
      <c r="H58" s="450">
        <v>0</v>
      </c>
      <c r="I58" s="450">
        <v>0</v>
      </c>
      <c r="J58" s="450">
        <f t="shared" si="4"/>
        <v>13339327</v>
      </c>
      <c r="K58" s="482">
        <f t="shared" si="5"/>
        <v>55251</v>
      </c>
      <c r="L58" s="482">
        <f t="shared" si="6"/>
        <v>0</v>
      </c>
      <c r="M58" s="482">
        <f t="shared" si="7"/>
        <v>0</v>
      </c>
      <c r="N58" s="482">
        <f t="shared" si="8"/>
        <v>0</v>
      </c>
      <c r="O58" s="482">
        <f t="shared" si="9"/>
        <v>0</v>
      </c>
      <c r="P58" s="482">
        <f t="shared" si="10"/>
        <v>0</v>
      </c>
      <c r="Q58" s="451">
        <f t="shared" si="11"/>
        <v>35</v>
      </c>
      <c r="R58" s="452">
        <f t="shared" si="12"/>
        <v>7.4399999999999994E-2</v>
      </c>
      <c r="S58" s="452">
        <v>0</v>
      </c>
      <c r="T58" s="452">
        <v>0</v>
      </c>
      <c r="U58" s="452">
        <f t="shared" si="13"/>
        <v>2.8920000000000001E-2</v>
      </c>
      <c r="V58" s="451">
        <f t="shared" si="14"/>
        <v>0</v>
      </c>
      <c r="W58" s="451">
        <f t="shared" si="15"/>
        <v>0</v>
      </c>
      <c r="X58" s="451">
        <f t="shared" si="16"/>
        <v>0</v>
      </c>
      <c r="Y58" s="453">
        <f t="shared" si="17"/>
        <v>9100</v>
      </c>
      <c r="Z58" s="453">
        <f t="shared" si="18"/>
        <v>992445.93</v>
      </c>
      <c r="AA58" s="453">
        <f t="shared" si="19"/>
        <v>0</v>
      </c>
      <c r="AB58" s="453">
        <f t="shared" si="20"/>
        <v>0</v>
      </c>
      <c r="AC58" s="453">
        <f t="shared" si="21"/>
        <v>0</v>
      </c>
      <c r="AD58" s="453">
        <f t="shared" si="22"/>
        <v>0</v>
      </c>
      <c r="AE58" s="493">
        <f t="shared" si="23"/>
        <v>1001545.93</v>
      </c>
      <c r="AF58" s="453">
        <f t="shared" si="24"/>
        <v>1001546</v>
      </c>
      <c r="AG58" s="494">
        <f t="shared" si="25"/>
        <v>1.0000000698919518</v>
      </c>
      <c r="AH58" s="454">
        <f t="shared" si="26"/>
        <v>57367</v>
      </c>
      <c r="AI58" s="454">
        <f t="shared" si="27"/>
        <v>12799</v>
      </c>
      <c r="AJ58" s="454">
        <f t="shared" si="28"/>
        <v>72367</v>
      </c>
      <c r="AK58" s="454">
        <f t="shared" si="29"/>
        <v>0</v>
      </c>
      <c r="AL58" s="454">
        <f t="shared" si="30"/>
        <v>0</v>
      </c>
      <c r="AM58" s="454">
        <f t="shared" si="31"/>
        <v>1144079</v>
      </c>
      <c r="AN58" s="491">
        <f t="shared" si="32"/>
        <v>1144078.9300000002</v>
      </c>
      <c r="AO58" s="487">
        <f t="shared" si="33"/>
        <v>6.9999999832361937E-2</v>
      </c>
      <c r="AP58" s="495">
        <f t="shared" si="34"/>
        <v>385773.34</v>
      </c>
      <c r="AQ58" s="496">
        <f t="shared" si="35"/>
        <v>606672.59000000008</v>
      </c>
      <c r="AV58" s="459">
        <f>IF(BA58&gt;BA57,AV57,IF(AV57&lt;MiscData!$F$1,EOMONTH(AV57,1),EOMONTH(AV57,-11)))</f>
        <v>42429</v>
      </c>
      <c r="AW58" s="448" t="str">
        <f t="shared" si="36"/>
        <v>20140101KUCME224</v>
      </c>
      <c r="AX58" s="457" t="str">
        <f t="shared" si="37"/>
        <v>20140101AES3</v>
      </c>
      <c r="AY58" s="439">
        <f>IF(AV58&lt;=MiscData!$B$23,MiscData!$C$23,IF(AV58&lt;=MiscData!$B$24,MiscData!$C$24,MiscData!$C$25))</f>
        <v>20140101</v>
      </c>
      <c r="AZ58" s="439" t="str">
        <f>VLOOKUP(BA58,MiscData!$V$4:$W$42,2,FALSE)</f>
        <v>KUCME224</v>
      </c>
      <c r="BA58" s="439">
        <f>IF(BA57=MiscData!$V$42,1,BA57+1)</f>
        <v>16</v>
      </c>
      <c r="BB58" s="439" t="str">
        <f>VLOOKUP(AZ58,MiscData!$W$4:$Y$42,3,FALSE)</f>
        <v>AES3</v>
      </c>
    </row>
    <row r="59" spans="1:54" hidden="1">
      <c r="A59" s="448">
        <f t="shared" si="39"/>
        <v>53</v>
      </c>
      <c r="B59" s="448" t="str">
        <f t="shared" si="0"/>
        <v>Feb 2016</v>
      </c>
      <c r="C59" s="832" t="s">
        <v>212</v>
      </c>
      <c r="D59" s="449" t="str">
        <f t="shared" si="1"/>
        <v>AES3</v>
      </c>
      <c r="E59" s="449" t="str">
        <f t="shared" si="2"/>
        <v>KUCME225</v>
      </c>
      <c r="F59" s="450">
        <f t="shared" si="3"/>
        <v>0</v>
      </c>
      <c r="G59" s="450">
        <v>0</v>
      </c>
      <c r="H59" s="450">
        <v>0</v>
      </c>
      <c r="I59" s="450">
        <v>0</v>
      </c>
      <c r="J59" s="450">
        <f t="shared" si="4"/>
        <v>0</v>
      </c>
      <c r="K59" s="482">
        <f t="shared" si="5"/>
        <v>0</v>
      </c>
      <c r="L59" s="482">
        <f t="shared" si="6"/>
        <v>0</v>
      </c>
      <c r="M59" s="482">
        <f t="shared" si="7"/>
        <v>0</v>
      </c>
      <c r="N59" s="482">
        <f t="shared" si="8"/>
        <v>0</v>
      </c>
      <c r="O59" s="482">
        <f t="shared" si="9"/>
        <v>0</v>
      </c>
      <c r="P59" s="482">
        <f t="shared" si="10"/>
        <v>0</v>
      </c>
      <c r="Q59" s="451">
        <f t="shared" si="11"/>
        <v>35</v>
      </c>
      <c r="R59" s="452">
        <f t="shared" si="12"/>
        <v>7.4399999999999994E-2</v>
      </c>
      <c r="S59" s="452">
        <v>0</v>
      </c>
      <c r="T59" s="452">
        <v>0</v>
      </c>
      <c r="U59" s="452">
        <f t="shared" si="13"/>
        <v>2.8920000000000001E-2</v>
      </c>
      <c r="V59" s="451">
        <f t="shared" si="14"/>
        <v>0</v>
      </c>
      <c r="W59" s="451">
        <f t="shared" si="15"/>
        <v>0</v>
      </c>
      <c r="X59" s="451">
        <f t="shared" si="16"/>
        <v>0</v>
      </c>
      <c r="Y59" s="453">
        <f t="shared" si="17"/>
        <v>0</v>
      </c>
      <c r="Z59" s="453">
        <f t="shared" si="18"/>
        <v>0</v>
      </c>
      <c r="AA59" s="453">
        <f t="shared" si="19"/>
        <v>0</v>
      </c>
      <c r="AB59" s="453">
        <f t="shared" si="20"/>
        <v>0</v>
      </c>
      <c r="AC59" s="453">
        <f t="shared" si="21"/>
        <v>0</v>
      </c>
      <c r="AD59" s="453">
        <f t="shared" si="22"/>
        <v>0</v>
      </c>
      <c r="AE59" s="493">
        <f t="shared" si="23"/>
        <v>0</v>
      </c>
      <c r="AF59" s="453">
        <f t="shared" si="24"/>
        <v>0</v>
      </c>
      <c r="AG59" s="494">
        <f t="shared" si="25"/>
        <v>1</v>
      </c>
      <c r="AH59" s="454">
        <f t="shared" si="26"/>
        <v>0</v>
      </c>
      <c r="AI59" s="454">
        <f t="shared" si="27"/>
        <v>0</v>
      </c>
      <c r="AJ59" s="454">
        <f t="shared" si="28"/>
        <v>0</v>
      </c>
      <c r="AK59" s="454">
        <f t="shared" si="29"/>
        <v>0</v>
      </c>
      <c r="AL59" s="454">
        <f t="shared" si="30"/>
        <v>0</v>
      </c>
      <c r="AM59" s="454">
        <f t="shared" si="31"/>
        <v>0</v>
      </c>
      <c r="AN59" s="491">
        <f t="shared" si="32"/>
        <v>0</v>
      </c>
      <c r="AO59" s="487">
        <f t="shared" si="33"/>
        <v>0</v>
      </c>
      <c r="AP59" s="495">
        <f t="shared" si="34"/>
        <v>0</v>
      </c>
      <c r="AQ59" s="496">
        <f t="shared" si="35"/>
        <v>0</v>
      </c>
      <c r="AV59" s="459">
        <f>IF(BA59&gt;BA58,AV58,IF(AV58&lt;MiscData!$F$1,EOMONTH(AV58,1),EOMONTH(AV58,-11)))</f>
        <v>42429</v>
      </c>
      <c r="AW59" s="448" t="str">
        <f t="shared" si="36"/>
        <v>20140101KUCME225</v>
      </c>
      <c r="AX59" s="457" t="str">
        <f t="shared" si="37"/>
        <v>20140101AES3</v>
      </c>
      <c r="AY59" s="439">
        <f>IF(AV59&lt;=MiscData!$B$23,MiscData!$C$23,IF(AV59&lt;=MiscData!$B$24,MiscData!$C$24,MiscData!$C$25))</f>
        <v>20140101</v>
      </c>
      <c r="AZ59" s="439" t="str">
        <f>VLOOKUP(BA59,MiscData!$V$4:$W$42,2,FALSE)</f>
        <v>KUCME225</v>
      </c>
      <c r="BA59" s="439">
        <f>IF(BA58=MiscData!$V$42,1,BA58+1)</f>
        <v>17</v>
      </c>
      <c r="BB59" s="439" t="str">
        <f>VLOOKUP(AZ59,MiscData!$W$4:$Y$42,3,FALSE)</f>
        <v>AES3</v>
      </c>
    </row>
    <row r="60" spans="1:54" hidden="1">
      <c r="A60" s="448">
        <f t="shared" si="39"/>
        <v>54</v>
      </c>
      <c r="B60" s="448" t="str">
        <f t="shared" si="0"/>
        <v>Feb 2016</v>
      </c>
      <c r="C60" s="448" t="s">
        <v>203</v>
      </c>
      <c r="D60" s="449" t="str">
        <f t="shared" si="1"/>
        <v>AES</v>
      </c>
      <c r="E60" s="449" t="str">
        <f t="shared" si="2"/>
        <v>KUCME226</v>
      </c>
      <c r="F60" s="450">
        <f t="shared" si="3"/>
        <v>0</v>
      </c>
      <c r="G60" s="450">
        <v>0</v>
      </c>
      <c r="H60" s="450">
        <v>0</v>
      </c>
      <c r="I60" s="450">
        <v>0</v>
      </c>
      <c r="J60" s="450">
        <f t="shared" si="4"/>
        <v>0</v>
      </c>
      <c r="K60" s="482">
        <f t="shared" si="5"/>
        <v>0</v>
      </c>
      <c r="L60" s="482">
        <f t="shared" si="6"/>
        <v>0</v>
      </c>
      <c r="M60" s="482">
        <f t="shared" si="7"/>
        <v>0</v>
      </c>
      <c r="N60" s="482">
        <f t="shared" si="8"/>
        <v>0</v>
      </c>
      <c r="O60" s="482">
        <f t="shared" si="9"/>
        <v>0</v>
      </c>
      <c r="P60" s="482">
        <f t="shared" si="10"/>
        <v>0</v>
      </c>
      <c r="Q60" s="451">
        <f t="shared" si="11"/>
        <v>20</v>
      </c>
      <c r="R60" s="452">
        <f t="shared" si="12"/>
        <v>7.4399999999999994E-2</v>
      </c>
      <c r="S60" s="452">
        <v>0</v>
      </c>
      <c r="T60" s="452">
        <v>0</v>
      </c>
      <c r="U60" s="452">
        <f t="shared" si="13"/>
        <v>2.8920000000000001E-2</v>
      </c>
      <c r="V60" s="451">
        <f t="shared" si="14"/>
        <v>0</v>
      </c>
      <c r="W60" s="451">
        <f t="shared" si="15"/>
        <v>0</v>
      </c>
      <c r="X60" s="451">
        <f t="shared" si="16"/>
        <v>0</v>
      </c>
      <c r="Y60" s="453">
        <f t="shared" si="17"/>
        <v>0</v>
      </c>
      <c r="Z60" s="453">
        <f t="shared" si="18"/>
        <v>0</v>
      </c>
      <c r="AA60" s="453">
        <f t="shared" si="19"/>
        <v>0</v>
      </c>
      <c r="AB60" s="453">
        <f t="shared" si="20"/>
        <v>0</v>
      </c>
      <c r="AC60" s="453">
        <f t="shared" si="21"/>
        <v>0</v>
      </c>
      <c r="AD60" s="453">
        <f t="shared" si="22"/>
        <v>0</v>
      </c>
      <c r="AE60" s="493">
        <f t="shared" si="23"/>
        <v>0</v>
      </c>
      <c r="AF60" s="453">
        <f t="shared" si="24"/>
        <v>0</v>
      </c>
      <c r="AG60" s="494">
        <f t="shared" si="25"/>
        <v>1</v>
      </c>
      <c r="AH60" s="454">
        <f t="shared" si="26"/>
        <v>0</v>
      </c>
      <c r="AI60" s="454">
        <f t="shared" si="27"/>
        <v>0</v>
      </c>
      <c r="AJ60" s="454">
        <f t="shared" si="28"/>
        <v>0</v>
      </c>
      <c r="AK60" s="454">
        <f t="shared" si="29"/>
        <v>0</v>
      </c>
      <c r="AL60" s="454">
        <f t="shared" si="30"/>
        <v>0</v>
      </c>
      <c r="AM60" s="454">
        <f t="shared" si="31"/>
        <v>0</v>
      </c>
      <c r="AN60" s="491">
        <f t="shared" si="32"/>
        <v>0</v>
      </c>
      <c r="AO60" s="487">
        <f t="shared" si="33"/>
        <v>0</v>
      </c>
      <c r="AP60" s="495">
        <f t="shared" si="34"/>
        <v>0</v>
      </c>
      <c r="AQ60" s="496">
        <f t="shared" si="35"/>
        <v>0</v>
      </c>
      <c r="AV60" s="459">
        <f>IF(BA60&gt;BA59,AV59,IF(AV59&lt;MiscData!$F$1,EOMONTH(AV59,1),EOMONTH(AV59,-11)))</f>
        <v>42429</v>
      </c>
      <c r="AW60" s="448" t="str">
        <f t="shared" si="36"/>
        <v>20140101KUCME226</v>
      </c>
      <c r="AX60" s="457" t="str">
        <f t="shared" si="37"/>
        <v>20140101AES</v>
      </c>
      <c r="AY60" s="439">
        <f>IF(AV60&lt;=MiscData!$B$23,MiscData!$C$23,IF(AV60&lt;=MiscData!$B$24,MiscData!$C$24,MiscData!$C$25))</f>
        <v>20140101</v>
      </c>
      <c r="AZ60" s="439" t="str">
        <f>VLOOKUP(BA60,MiscData!$V$4:$W$42,2,FALSE)</f>
        <v>KUCME226</v>
      </c>
      <c r="BA60" s="439">
        <f>IF(BA59=MiscData!$V$42,1,BA59+1)</f>
        <v>18</v>
      </c>
      <c r="BB60" s="439" t="str">
        <f>VLOOKUP(AZ60,MiscData!$W$4:$Y$42,3,FALSE)</f>
        <v>AES</v>
      </c>
    </row>
    <row r="61" spans="1:54" hidden="1">
      <c r="A61" s="448">
        <f t="shared" si="39"/>
        <v>55</v>
      </c>
      <c r="B61" s="448" t="str">
        <f t="shared" si="0"/>
        <v>Feb 2016</v>
      </c>
      <c r="C61" s="832" t="s">
        <v>212</v>
      </c>
      <c r="D61" s="449" t="str">
        <f t="shared" si="1"/>
        <v>AES3</v>
      </c>
      <c r="E61" s="449" t="str">
        <f t="shared" si="2"/>
        <v>KUCME227</v>
      </c>
      <c r="F61" s="450">
        <f t="shared" si="3"/>
        <v>0</v>
      </c>
      <c r="G61" s="450">
        <v>0</v>
      </c>
      <c r="H61" s="450">
        <v>0</v>
      </c>
      <c r="I61" s="450">
        <v>0</v>
      </c>
      <c r="J61" s="450">
        <f t="shared" si="4"/>
        <v>0</v>
      </c>
      <c r="K61" s="482">
        <f t="shared" si="5"/>
        <v>0</v>
      </c>
      <c r="L61" s="482">
        <f t="shared" si="6"/>
        <v>0</v>
      </c>
      <c r="M61" s="482">
        <f t="shared" si="7"/>
        <v>0</v>
      </c>
      <c r="N61" s="482">
        <f t="shared" si="8"/>
        <v>0</v>
      </c>
      <c r="O61" s="482">
        <f t="shared" si="9"/>
        <v>0</v>
      </c>
      <c r="P61" s="482">
        <f t="shared" si="10"/>
        <v>0</v>
      </c>
      <c r="Q61" s="451">
        <f t="shared" si="11"/>
        <v>35</v>
      </c>
      <c r="R61" s="452">
        <f t="shared" si="12"/>
        <v>7.4399999999999994E-2</v>
      </c>
      <c r="S61" s="452">
        <v>0</v>
      </c>
      <c r="T61" s="452">
        <v>0</v>
      </c>
      <c r="U61" s="452">
        <f t="shared" si="13"/>
        <v>2.8920000000000001E-2</v>
      </c>
      <c r="V61" s="451">
        <f t="shared" si="14"/>
        <v>0</v>
      </c>
      <c r="W61" s="451">
        <f t="shared" si="15"/>
        <v>0</v>
      </c>
      <c r="X61" s="451">
        <f t="shared" si="16"/>
        <v>0</v>
      </c>
      <c r="Y61" s="453">
        <f t="shared" si="17"/>
        <v>0</v>
      </c>
      <c r="Z61" s="453">
        <f t="shared" si="18"/>
        <v>0</v>
      </c>
      <c r="AA61" s="453">
        <f t="shared" si="19"/>
        <v>0</v>
      </c>
      <c r="AB61" s="453">
        <f t="shared" si="20"/>
        <v>0</v>
      </c>
      <c r="AC61" s="453">
        <f t="shared" si="21"/>
        <v>0</v>
      </c>
      <c r="AD61" s="453">
        <f t="shared" si="22"/>
        <v>0</v>
      </c>
      <c r="AE61" s="493">
        <f t="shared" si="23"/>
        <v>0</v>
      </c>
      <c r="AF61" s="453">
        <f t="shared" si="24"/>
        <v>0</v>
      </c>
      <c r="AG61" s="494">
        <f t="shared" si="25"/>
        <v>1</v>
      </c>
      <c r="AH61" s="454">
        <f t="shared" si="26"/>
        <v>0</v>
      </c>
      <c r="AI61" s="454">
        <f t="shared" si="27"/>
        <v>0</v>
      </c>
      <c r="AJ61" s="454">
        <f t="shared" si="28"/>
        <v>0</v>
      </c>
      <c r="AK61" s="454">
        <f t="shared" si="29"/>
        <v>0</v>
      </c>
      <c r="AL61" s="454">
        <f t="shared" si="30"/>
        <v>0</v>
      </c>
      <c r="AM61" s="454">
        <f t="shared" si="31"/>
        <v>0</v>
      </c>
      <c r="AN61" s="491">
        <f t="shared" si="32"/>
        <v>0</v>
      </c>
      <c r="AO61" s="487">
        <f t="shared" si="33"/>
        <v>0</v>
      </c>
      <c r="AP61" s="495">
        <f t="shared" si="34"/>
        <v>0</v>
      </c>
      <c r="AQ61" s="496">
        <f t="shared" si="35"/>
        <v>0</v>
      </c>
      <c r="AV61" s="459">
        <f>IF(BA61&gt;BA60,AV60,IF(AV60&lt;MiscData!$F$1,EOMONTH(AV60,1),EOMONTH(AV60,-11)))</f>
        <v>42429</v>
      </c>
      <c r="AW61" s="448" t="str">
        <f t="shared" si="36"/>
        <v>20140101KUCME227</v>
      </c>
      <c r="AX61" s="457" t="str">
        <f t="shared" si="37"/>
        <v>20140101AES3</v>
      </c>
      <c r="AY61" s="439">
        <f>IF(AV61&lt;=MiscData!$B$23,MiscData!$C$23,IF(AV61&lt;=MiscData!$B$24,MiscData!$C$24,MiscData!$C$25))</f>
        <v>20140101</v>
      </c>
      <c r="AZ61" s="439" t="str">
        <f>VLOOKUP(BA61,MiscData!$V$4:$W$42,2,FALSE)</f>
        <v>KUCME227</v>
      </c>
      <c r="BA61" s="439">
        <f>IF(BA60=MiscData!$V$42,1,BA60+1)</f>
        <v>19</v>
      </c>
      <c r="BB61" s="439" t="str">
        <f>VLOOKUP(AZ61,MiscData!$W$4:$Y$42,3,FALSE)</f>
        <v>AES3</v>
      </c>
    </row>
    <row r="62" spans="1:54" hidden="1">
      <c r="A62" s="448">
        <f t="shared" si="39"/>
        <v>56</v>
      </c>
      <c r="B62" s="448" t="str">
        <f t="shared" si="0"/>
        <v>Feb 2016</v>
      </c>
      <c r="C62" s="448" t="s">
        <v>19</v>
      </c>
      <c r="D62" s="449" t="str">
        <f t="shared" si="1"/>
        <v>LE</v>
      </c>
      <c r="E62" s="449" t="str">
        <f t="shared" si="2"/>
        <v>KUCME290</v>
      </c>
      <c r="F62" s="450">
        <f t="shared" si="3"/>
        <v>2</v>
      </c>
      <c r="G62" s="450">
        <v>0</v>
      </c>
      <c r="H62" s="450">
        <v>0</v>
      </c>
      <c r="I62" s="450">
        <v>0</v>
      </c>
      <c r="J62" s="450">
        <f t="shared" si="4"/>
        <v>11656</v>
      </c>
      <c r="K62" s="482">
        <f t="shared" si="5"/>
        <v>0</v>
      </c>
      <c r="L62" s="482">
        <f t="shared" si="6"/>
        <v>0</v>
      </c>
      <c r="M62" s="482">
        <f t="shared" si="7"/>
        <v>0</v>
      </c>
      <c r="N62" s="482">
        <f t="shared" si="8"/>
        <v>0</v>
      </c>
      <c r="O62" s="482">
        <f t="shared" si="9"/>
        <v>0</v>
      </c>
      <c r="P62" s="482">
        <f t="shared" si="10"/>
        <v>0</v>
      </c>
      <c r="Q62" s="451">
        <f t="shared" si="11"/>
        <v>0</v>
      </c>
      <c r="R62" s="452">
        <f t="shared" si="12"/>
        <v>6.3799999999999996E-2</v>
      </c>
      <c r="S62" s="452">
        <v>0</v>
      </c>
      <c r="T62" s="452">
        <v>0</v>
      </c>
      <c r="U62" s="452">
        <f t="shared" si="13"/>
        <v>2.8920000000000001E-2</v>
      </c>
      <c r="V62" s="451">
        <f t="shared" si="14"/>
        <v>0</v>
      </c>
      <c r="W62" s="451">
        <f t="shared" si="15"/>
        <v>0</v>
      </c>
      <c r="X62" s="451">
        <f t="shared" si="16"/>
        <v>0</v>
      </c>
      <c r="Y62" s="453">
        <f t="shared" si="17"/>
        <v>0</v>
      </c>
      <c r="Z62" s="453">
        <f t="shared" si="18"/>
        <v>743.65</v>
      </c>
      <c r="AA62" s="453">
        <f t="shared" si="19"/>
        <v>0</v>
      </c>
      <c r="AB62" s="453">
        <f t="shared" si="20"/>
        <v>0</v>
      </c>
      <c r="AC62" s="453">
        <f t="shared" si="21"/>
        <v>0</v>
      </c>
      <c r="AD62" s="453">
        <f t="shared" si="22"/>
        <v>0</v>
      </c>
      <c r="AE62" s="493">
        <f t="shared" si="23"/>
        <v>743.65</v>
      </c>
      <c r="AF62" s="453">
        <f t="shared" si="24"/>
        <v>0</v>
      </c>
      <c r="AG62" s="494">
        <f t="shared" si="25"/>
        <v>0</v>
      </c>
      <c r="AH62" s="454">
        <f t="shared" si="26"/>
        <v>0</v>
      </c>
      <c r="AI62" s="454">
        <f t="shared" si="27"/>
        <v>0</v>
      </c>
      <c r="AJ62" s="454">
        <f t="shared" si="28"/>
        <v>0</v>
      </c>
      <c r="AK62" s="454">
        <f t="shared" si="29"/>
        <v>0</v>
      </c>
      <c r="AL62" s="454">
        <f t="shared" si="30"/>
        <v>0</v>
      </c>
      <c r="AM62" s="454">
        <f t="shared" si="31"/>
        <v>0</v>
      </c>
      <c r="AN62" s="491">
        <f t="shared" si="32"/>
        <v>743.65</v>
      </c>
      <c r="AO62" s="487">
        <f t="shared" si="33"/>
        <v>-743.65</v>
      </c>
      <c r="AP62" s="495">
        <f t="shared" si="34"/>
        <v>337.09</v>
      </c>
      <c r="AQ62" s="496">
        <f t="shared" si="35"/>
        <v>406.56</v>
      </c>
      <c r="AV62" s="459">
        <f>IF(BA62&gt;BA61,AV61,IF(AV61&lt;MiscData!$F$1,EOMONTH(AV61,1),EOMONTH(AV61,-11)))</f>
        <v>42429</v>
      </c>
      <c r="AW62" s="448" t="str">
        <f t="shared" si="36"/>
        <v>20140101KUCME290</v>
      </c>
      <c r="AX62" s="457" t="str">
        <f t="shared" si="37"/>
        <v>20140101LE</v>
      </c>
      <c r="AY62" s="439">
        <f>IF(AV62&lt;=MiscData!$B$23,MiscData!$C$23,IF(AV62&lt;=MiscData!$B$24,MiscData!$C$24,MiscData!$C$25))</f>
        <v>20140101</v>
      </c>
      <c r="AZ62" s="439" t="str">
        <f>VLOOKUP(BA62,MiscData!$V$4:$W$42,2,FALSE)</f>
        <v>KUCME290</v>
      </c>
      <c r="BA62" s="439">
        <f>IF(BA61=MiscData!$V$42,1,BA61+1)</f>
        <v>20</v>
      </c>
      <c r="BB62" s="439" t="str">
        <f>VLOOKUP(AZ62,MiscData!$W$4:$Y$42,3,FALSE)</f>
        <v>LE</v>
      </c>
    </row>
    <row r="63" spans="1:54" hidden="1">
      <c r="A63" s="448">
        <f t="shared" si="39"/>
        <v>57</v>
      </c>
      <c r="B63" s="448" t="str">
        <f t="shared" si="0"/>
        <v>Feb 2016</v>
      </c>
      <c r="C63" s="448" t="s">
        <v>19</v>
      </c>
      <c r="D63" s="449" t="str">
        <f t="shared" si="1"/>
        <v>LE</v>
      </c>
      <c r="E63" s="449" t="str">
        <f t="shared" si="2"/>
        <v>KUCME291</v>
      </c>
      <c r="F63" s="450">
        <f t="shared" si="3"/>
        <v>0</v>
      </c>
      <c r="G63" s="450">
        <v>0</v>
      </c>
      <c r="H63" s="450">
        <v>0</v>
      </c>
      <c r="I63" s="450">
        <v>0</v>
      </c>
      <c r="J63" s="450">
        <f t="shared" si="4"/>
        <v>0</v>
      </c>
      <c r="K63" s="482">
        <f t="shared" si="5"/>
        <v>0</v>
      </c>
      <c r="L63" s="482">
        <f t="shared" si="6"/>
        <v>0</v>
      </c>
      <c r="M63" s="482">
        <f t="shared" si="7"/>
        <v>0</v>
      </c>
      <c r="N63" s="482">
        <f t="shared" si="8"/>
        <v>0</v>
      </c>
      <c r="O63" s="482">
        <f t="shared" si="9"/>
        <v>0</v>
      </c>
      <c r="P63" s="482">
        <f t="shared" si="10"/>
        <v>0</v>
      </c>
      <c r="Q63" s="451">
        <f t="shared" si="11"/>
        <v>0</v>
      </c>
      <c r="R63" s="452">
        <f t="shared" si="12"/>
        <v>6.3799999999999996E-2</v>
      </c>
      <c r="S63" s="452">
        <v>0</v>
      </c>
      <c r="T63" s="452">
        <v>0</v>
      </c>
      <c r="U63" s="452">
        <f t="shared" si="13"/>
        <v>2.8920000000000001E-2</v>
      </c>
      <c r="V63" s="451">
        <f t="shared" si="14"/>
        <v>0</v>
      </c>
      <c r="W63" s="451">
        <f t="shared" si="15"/>
        <v>0</v>
      </c>
      <c r="X63" s="451">
        <f t="shared" si="16"/>
        <v>0</v>
      </c>
      <c r="Y63" s="453">
        <f t="shared" si="17"/>
        <v>0</v>
      </c>
      <c r="Z63" s="453">
        <f t="shared" si="18"/>
        <v>0</v>
      </c>
      <c r="AA63" s="453">
        <f t="shared" si="19"/>
        <v>0</v>
      </c>
      <c r="AB63" s="453">
        <f t="shared" si="20"/>
        <v>0</v>
      </c>
      <c r="AC63" s="453">
        <f t="shared" si="21"/>
        <v>0</v>
      </c>
      <c r="AD63" s="453">
        <f t="shared" si="22"/>
        <v>0</v>
      </c>
      <c r="AE63" s="493">
        <f t="shared" si="23"/>
        <v>0</v>
      </c>
      <c r="AF63" s="453">
        <f t="shared" si="24"/>
        <v>0</v>
      </c>
      <c r="AG63" s="494">
        <f t="shared" si="25"/>
        <v>1</v>
      </c>
      <c r="AH63" s="454">
        <f t="shared" si="26"/>
        <v>0</v>
      </c>
      <c r="AI63" s="454">
        <f t="shared" si="27"/>
        <v>0</v>
      </c>
      <c r="AJ63" s="454">
        <f t="shared" si="28"/>
        <v>0</v>
      </c>
      <c r="AK63" s="454">
        <f t="shared" si="29"/>
        <v>0</v>
      </c>
      <c r="AL63" s="454">
        <f t="shared" si="30"/>
        <v>0</v>
      </c>
      <c r="AM63" s="454">
        <f t="shared" si="31"/>
        <v>0</v>
      </c>
      <c r="AN63" s="491">
        <f t="shared" si="32"/>
        <v>0</v>
      </c>
      <c r="AO63" s="487">
        <f t="shared" si="33"/>
        <v>0</v>
      </c>
      <c r="AP63" s="495">
        <f t="shared" si="34"/>
        <v>0</v>
      </c>
      <c r="AQ63" s="496">
        <f t="shared" si="35"/>
        <v>0</v>
      </c>
      <c r="AV63" s="459">
        <f>IF(BA63&gt;BA62,AV62,IF(AV62&lt;MiscData!$F$1,EOMONTH(AV62,1),EOMONTH(AV62,-11)))</f>
        <v>42429</v>
      </c>
      <c r="AW63" s="448" t="str">
        <f t="shared" si="36"/>
        <v>20140101KUCME291</v>
      </c>
      <c r="AX63" s="457" t="str">
        <f t="shared" si="37"/>
        <v>20140101LE</v>
      </c>
      <c r="AY63" s="439">
        <f>IF(AV63&lt;=MiscData!$B$23,MiscData!$C$23,IF(AV63&lt;=MiscData!$B$24,MiscData!$C$24,MiscData!$C$25))</f>
        <v>20140101</v>
      </c>
      <c r="AZ63" s="439" t="str">
        <f>VLOOKUP(BA63,MiscData!$V$4:$W$42,2,FALSE)</f>
        <v>KUCME291</v>
      </c>
      <c r="BA63" s="439">
        <f>IF(BA62=MiscData!$V$42,1,BA62+1)</f>
        <v>21</v>
      </c>
      <c r="BB63" s="439" t="str">
        <f>VLOOKUP(AZ63,MiscData!$W$4:$Y$42,3,FALSE)</f>
        <v>LE</v>
      </c>
    </row>
    <row r="64" spans="1:54" hidden="1">
      <c r="A64" s="448">
        <f t="shared" si="39"/>
        <v>58</v>
      </c>
      <c r="B64" s="448" t="str">
        <f t="shared" si="0"/>
        <v>Feb 2016</v>
      </c>
      <c r="C64" s="448" t="s">
        <v>20</v>
      </c>
      <c r="D64" s="449" t="str">
        <f t="shared" si="1"/>
        <v>TE</v>
      </c>
      <c r="E64" s="449" t="str">
        <f t="shared" si="2"/>
        <v>KUCME295</v>
      </c>
      <c r="F64" s="450">
        <f t="shared" si="3"/>
        <v>747</v>
      </c>
      <c r="G64" s="450">
        <v>0</v>
      </c>
      <c r="H64" s="450">
        <v>0</v>
      </c>
      <c r="I64" s="450">
        <v>0</v>
      </c>
      <c r="J64" s="450">
        <f t="shared" si="4"/>
        <v>104312</v>
      </c>
      <c r="K64" s="482">
        <f t="shared" si="5"/>
        <v>0</v>
      </c>
      <c r="L64" s="482">
        <f t="shared" si="6"/>
        <v>0</v>
      </c>
      <c r="M64" s="482">
        <f t="shared" si="7"/>
        <v>0</v>
      </c>
      <c r="N64" s="482">
        <f t="shared" si="8"/>
        <v>0</v>
      </c>
      <c r="O64" s="482">
        <f t="shared" si="9"/>
        <v>0</v>
      </c>
      <c r="P64" s="482">
        <f t="shared" si="10"/>
        <v>0</v>
      </c>
      <c r="Q64" s="451">
        <f t="shared" si="11"/>
        <v>3.25</v>
      </c>
      <c r="R64" s="452">
        <f t="shared" si="12"/>
        <v>7.9780000000000004E-2</v>
      </c>
      <c r="S64" s="452">
        <v>0</v>
      </c>
      <c r="T64" s="452">
        <v>0</v>
      </c>
      <c r="U64" s="452">
        <f t="shared" si="13"/>
        <v>2.8920000000000001E-2</v>
      </c>
      <c r="V64" s="451">
        <f t="shared" si="14"/>
        <v>0</v>
      </c>
      <c r="W64" s="451">
        <f t="shared" si="15"/>
        <v>0</v>
      </c>
      <c r="X64" s="451">
        <f t="shared" si="16"/>
        <v>0</v>
      </c>
      <c r="Y64" s="453">
        <f t="shared" si="17"/>
        <v>2427.75</v>
      </c>
      <c r="Z64" s="453">
        <f t="shared" si="18"/>
        <v>8322.01</v>
      </c>
      <c r="AA64" s="453">
        <f t="shared" si="19"/>
        <v>0</v>
      </c>
      <c r="AB64" s="453">
        <f t="shared" si="20"/>
        <v>0</v>
      </c>
      <c r="AC64" s="453">
        <f t="shared" si="21"/>
        <v>0</v>
      </c>
      <c r="AD64" s="453">
        <f t="shared" si="22"/>
        <v>0</v>
      </c>
      <c r="AE64" s="493">
        <f t="shared" si="23"/>
        <v>10749.76</v>
      </c>
      <c r="AF64" s="453">
        <f t="shared" si="24"/>
        <v>0</v>
      </c>
      <c r="AG64" s="494">
        <f t="shared" si="25"/>
        <v>0</v>
      </c>
      <c r="AH64" s="454">
        <f t="shared" si="26"/>
        <v>0</v>
      </c>
      <c r="AI64" s="454">
        <f t="shared" si="27"/>
        <v>0</v>
      </c>
      <c r="AJ64" s="454">
        <f t="shared" si="28"/>
        <v>0</v>
      </c>
      <c r="AK64" s="454">
        <f t="shared" si="29"/>
        <v>0</v>
      </c>
      <c r="AL64" s="454">
        <f t="shared" si="30"/>
        <v>0</v>
      </c>
      <c r="AM64" s="454">
        <f t="shared" si="31"/>
        <v>0</v>
      </c>
      <c r="AN64" s="491">
        <f t="shared" si="32"/>
        <v>10749.76</v>
      </c>
      <c r="AO64" s="487">
        <f t="shared" si="33"/>
        <v>-10749.76</v>
      </c>
      <c r="AP64" s="495">
        <f t="shared" si="34"/>
        <v>3016.7</v>
      </c>
      <c r="AQ64" s="496">
        <f t="shared" si="35"/>
        <v>5305.31</v>
      </c>
      <c r="AV64" s="459">
        <f>IF(BA64&gt;BA63,AV63,IF(AV63&lt;MiscData!$F$1,EOMONTH(AV63,1),EOMONTH(AV63,-11)))</f>
        <v>42429</v>
      </c>
      <c r="AW64" s="448" t="str">
        <f t="shared" si="36"/>
        <v>20140101KUCME295</v>
      </c>
      <c r="AX64" s="457" t="str">
        <f t="shared" si="37"/>
        <v>20140101TE</v>
      </c>
      <c r="AY64" s="439">
        <f>IF(AV64&lt;=MiscData!$B$23,MiscData!$C$23,IF(AV64&lt;=MiscData!$B$24,MiscData!$C$24,MiscData!$C$25))</f>
        <v>20140101</v>
      </c>
      <c r="AZ64" s="439" t="str">
        <f>VLOOKUP(BA64,MiscData!$V$4:$W$42,2,FALSE)</f>
        <v>KUCME295</v>
      </c>
      <c r="BA64" s="439">
        <f>IF(BA63=MiscData!$V$42,1,BA63+1)</f>
        <v>22</v>
      </c>
      <c r="BB64" s="439" t="str">
        <f>VLOOKUP(AZ64,MiscData!$W$4:$Y$42,3,FALSE)</f>
        <v>TE</v>
      </c>
    </row>
    <row r="65" spans="1:54" hidden="1">
      <c r="A65" s="448">
        <f t="shared" si="39"/>
        <v>59</v>
      </c>
      <c r="B65" s="448" t="str">
        <f t="shared" si="0"/>
        <v>Feb 2016</v>
      </c>
      <c r="C65" s="448" t="s">
        <v>20</v>
      </c>
      <c r="D65" s="449" t="str">
        <f t="shared" si="1"/>
        <v>TE</v>
      </c>
      <c r="E65" s="449" t="str">
        <f t="shared" si="2"/>
        <v>KUCME297</v>
      </c>
      <c r="F65" s="450">
        <f t="shared" si="3"/>
        <v>0</v>
      </c>
      <c r="G65" s="450">
        <v>0</v>
      </c>
      <c r="H65" s="450">
        <v>0</v>
      </c>
      <c r="I65" s="450">
        <v>0</v>
      </c>
      <c r="J65" s="450">
        <f t="shared" si="4"/>
        <v>0</v>
      </c>
      <c r="K65" s="482">
        <f t="shared" si="5"/>
        <v>0</v>
      </c>
      <c r="L65" s="482">
        <f t="shared" si="6"/>
        <v>0</v>
      </c>
      <c r="M65" s="482">
        <f t="shared" si="7"/>
        <v>0</v>
      </c>
      <c r="N65" s="482">
        <f t="shared" si="8"/>
        <v>0</v>
      </c>
      <c r="O65" s="482">
        <f t="shared" si="9"/>
        <v>0</v>
      </c>
      <c r="P65" s="482">
        <f t="shared" si="10"/>
        <v>0</v>
      </c>
      <c r="Q65" s="451">
        <f t="shared" si="11"/>
        <v>3.25</v>
      </c>
      <c r="R65" s="452">
        <f t="shared" si="12"/>
        <v>7.9780000000000004E-2</v>
      </c>
      <c r="S65" s="452">
        <v>0</v>
      </c>
      <c r="T65" s="452">
        <v>0</v>
      </c>
      <c r="U65" s="452">
        <f t="shared" si="13"/>
        <v>2.8920000000000001E-2</v>
      </c>
      <c r="V65" s="451">
        <f t="shared" si="14"/>
        <v>0</v>
      </c>
      <c r="W65" s="451">
        <f t="shared" si="15"/>
        <v>0</v>
      </c>
      <c r="X65" s="451">
        <f t="shared" si="16"/>
        <v>0</v>
      </c>
      <c r="Y65" s="453">
        <f t="shared" si="17"/>
        <v>0</v>
      </c>
      <c r="Z65" s="453">
        <f t="shared" si="18"/>
        <v>0</v>
      </c>
      <c r="AA65" s="453">
        <f t="shared" si="19"/>
        <v>0</v>
      </c>
      <c r="AB65" s="453">
        <f t="shared" si="20"/>
        <v>0</v>
      </c>
      <c r="AC65" s="453">
        <f t="shared" si="21"/>
        <v>0</v>
      </c>
      <c r="AD65" s="453">
        <f t="shared" si="22"/>
        <v>0</v>
      </c>
      <c r="AE65" s="493">
        <f t="shared" si="23"/>
        <v>0</v>
      </c>
      <c r="AF65" s="453">
        <f t="shared" si="24"/>
        <v>0</v>
      </c>
      <c r="AG65" s="494">
        <f t="shared" si="25"/>
        <v>1</v>
      </c>
      <c r="AH65" s="454">
        <f t="shared" si="26"/>
        <v>0</v>
      </c>
      <c r="AI65" s="454">
        <f t="shared" si="27"/>
        <v>0</v>
      </c>
      <c r="AJ65" s="454">
        <f t="shared" si="28"/>
        <v>0</v>
      </c>
      <c r="AK65" s="454">
        <f t="shared" si="29"/>
        <v>0</v>
      </c>
      <c r="AL65" s="454">
        <f t="shared" si="30"/>
        <v>0</v>
      </c>
      <c r="AM65" s="454">
        <f t="shared" si="31"/>
        <v>0</v>
      </c>
      <c r="AN65" s="491">
        <f t="shared" si="32"/>
        <v>0</v>
      </c>
      <c r="AO65" s="487">
        <f t="shared" si="33"/>
        <v>0</v>
      </c>
      <c r="AP65" s="495">
        <f t="shared" si="34"/>
        <v>0</v>
      </c>
      <c r="AQ65" s="496">
        <f t="shared" si="35"/>
        <v>0</v>
      </c>
      <c r="AV65" s="459">
        <f>IF(BA65&gt;BA64,AV64,IF(AV64&lt;MiscData!$F$1,EOMONTH(AV64,1),EOMONTH(AV64,-11)))</f>
        <v>42429</v>
      </c>
      <c r="AW65" s="448" t="str">
        <f t="shared" si="36"/>
        <v>20140101KUCME297</v>
      </c>
      <c r="AX65" s="457" t="str">
        <f t="shared" si="37"/>
        <v>20140101TE</v>
      </c>
      <c r="AY65" s="439">
        <f>IF(AV65&lt;=MiscData!$B$23,MiscData!$C$23,IF(AV65&lt;=MiscData!$B$24,MiscData!$C$24,MiscData!$C$25))</f>
        <v>20140101</v>
      </c>
      <c r="AZ65" s="439" t="str">
        <f>VLOOKUP(BA65,MiscData!$V$4:$W$42,2,FALSE)</f>
        <v>KUCME297</v>
      </c>
      <c r="BA65" s="439">
        <f>IF(BA64=MiscData!$V$42,1,BA64+1)</f>
        <v>23</v>
      </c>
      <c r="BB65" s="439" t="str">
        <f>VLOOKUP(AZ65,MiscData!$W$4:$Y$42,3,FALSE)</f>
        <v>TE</v>
      </c>
    </row>
    <row r="66" spans="1:54" hidden="1">
      <c r="A66" s="448">
        <f t="shared" si="39"/>
        <v>60</v>
      </c>
      <c r="B66" s="448" t="str">
        <f t="shared" si="0"/>
        <v>Feb 2016</v>
      </c>
      <c r="C66" s="448" t="s">
        <v>690</v>
      </c>
      <c r="D66" s="449" t="str">
        <f t="shared" si="1"/>
        <v>SQF</v>
      </c>
      <c r="E66" s="449" t="str">
        <f t="shared" si="2"/>
        <v>KUCME705</v>
      </c>
      <c r="F66" s="450">
        <f t="shared" si="3"/>
        <v>0</v>
      </c>
      <c r="G66" s="450">
        <v>0</v>
      </c>
      <c r="H66" s="450">
        <v>0</v>
      </c>
      <c r="I66" s="450">
        <v>0</v>
      </c>
      <c r="J66" s="450">
        <f t="shared" si="4"/>
        <v>0</v>
      </c>
      <c r="K66" s="482">
        <f t="shared" si="5"/>
        <v>0</v>
      </c>
      <c r="L66" s="482">
        <f t="shared" si="6"/>
        <v>0</v>
      </c>
      <c r="M66" s="482">
        <f t="shared" si="7"/>
        <v>0</v>
      </c>
      <c r="N66" s="482">
        <f t="shared" si="8"/>
        <v>0</v>
      </c>
      <c r="O66" s="482">
        <f t="shared" si="9"/>
        <v>0</v>
      </c>
      <c r="P66" s="482">
        <f t="shared" si="10"/>
        <v>0</v>
      </c>
      <c r="Q66" s="451">
        <f t="shared" si="11"/>
        <v>0</v>
      </c>
      <c r="R66" s="452">
        <f t="shared" si="12"/>
        <v>0</v>
      </c>
      <c r="S66" s="452">
        <v>0</v>
      </c>
      <c r="T66" s="452">
        <v>0</v>
      </c>
      <c r="U66" s="452">
        <f t="shared" si="13"/>
        <v>0</v>
      </c>
      <c r="V66" s="451">
        <f t="shared" si="14"/>
        <v>0</v>
      </c>
      <c r="W66" s="451">
        <f t="shared" si="15"/>
        <v>0</v>
      </c>
      <c r="X66" s="451">
        <f t="shared" si="16"/>
        <v>0</v>
      </c>
      <c r="Y66" s="453">
        <f t="shared" si="17"/>
        <v>0</v>
      </c>
      <c r="Z66" s="453">
        <f t="shared" si="18"/>
        <v>0</v>
      </c>
      <c r="AA66" s="453">
        <f t="shared" si="19"/>
        <v>0</v>
      </c>
      <c r="AB66" s="453">
        <f t="shared" si="20"/>
        <v>0</v>
      </c>
      <c r="AC66" s="453">
        <f t="shared" si="21"/>
        <v>0</v>
      </c>
      <c r="AD66" s="453">
        <f t="shared" si="22"/>
        <v>0</v>
      </c>
      <c r="AE66" s="493">
        <f t="shared" si="23"/>
        <v>0</v>
      </c>
      <c r="AF66" s="453">
        <f t="shared" si="24"/>
        <v>0</v>
      </c>
      <c r="AG66" s="494">
        <f t="shared" si="25"/>
        <v>1</v>
      </c>
      <c r="AH66" s="454">
        <f t="shared" si="26"/>
        <v>0</v>
      </c>
      <c r="AI66" s="454">
        <f t="shared" si="27"/>
        <v>0</v>
      </c>
      <c r="AJ66" s="454">
        <f t="shared" si="28"/>
        <v>0</v>
      </c>
      <c r="AK66" s="454">
        <f t="shared" si="29"/>
        <v>0</v>
      </c>
      <c r="AL66" s="454">
        <f t="shared" si="30"/>
        <v>0</v>
      </c>
      <c r="AM66" s="454">
        <f t="shared" si="31"/>
        <v>0</v>
      </c>
      <c r="AN66" s="491">
        <f t="shared" si="32"/>
        <v>0</v>
      </c>
      <c r="AO66" s="487">
        <f t="shared" si="33"/>
        <v>0</v>
      </c>
      <c r="AP66" s="495">
        <f t="shared" si="34"/>
        <v>0</v>
      </c>
      <c r="AQ66" s="496">
        <f t="shared" si="35"/>
        <v>0</v>
      </c>
      <c r="AV66" s="459">
        <f>IF(BA66&gt;BA65,AV65,IF(AV65&lt;MiscData!$F$1,EOMONTH(AV65,1),EOMONTH(AV65,-11)))</f>
        <v>42429</v>
      </c>
      <c r="AW66" s="448" t="str">
        <f t="shared" si="36"/>
        <v>20140101KUCME705</v>
      </c>
      <c r="AX66" s="457" t="str">
        <f t="shared" si="37"/>
        <v>20140101SQF</v>
      </c>
      <c r="AY66" s="439">
        <f>IF(AV66&lt;=MiscData!$B$23,MiscData!$C$23,IF(AV66&lt;=MiscData!$B$24,MiscData!$C$24,MiscData!$C$25))</f>
        <v>20140101</v>
      </c>
      <c r="AZ66" s="439" t="str">
        <f>VLOOKUP(BA66,MiscData!$V$4:$W$42,2,FALSE)</f>
        <v>KUCME705</v>
      </c>
      <c r="BA66" s="439">
        <f>IF(BA65=MiscData!$V$42,1,BA65+1)</f>
        <v>24</v>
      </c>
      <c r="BB66" s="439" t="str">
        <f>VLOOKUP(AZ66,MiscData!$W$4:$Y$42,3,FALSE)</f>
        <v>SQF</v>
      </c>
    </row>
    <row r="67" spans="1:54" hidden="1">
      <c r="A67" s="448">
        <f t="shared" si="39"/>
        <v>61</v>
      </c>
      <c r="B67" s="448" t="str">
        <f t="shared" si="0"/>
        <v>Feb 2016</v>
      </c>
      <c r="C67" s="448" t="s">
        <v>1156</v>
      </c>
      <c r="D67" s="449" t="str">
        <f t="shared" si="1"/>
        <v>LQF</v>
      </c>
      <c r="E67" s="449" t="str">
        <f t="shared" si="2"/>
        <v>KUCME707</v>
      </c>
      <c r="F67" s="450">
        <f t="shared" si="3"/>
        <v>0</v>
      </c>
      <c r="G67" s="450">
        <v>0</v>
      </c>
      <c r="H67" s="450">
        <v>0</v>
      </c>
      <c r="I67" s="450">
        <v>0</v>
      </c>
      <c r="J67" s="450">
        <f t="shared" si="4"/>
        <v>0</v>
      </c>
      <c r="K67" s="482">
        <f t="shared" si="5"/>
        <v>0</v>
      </c>
      <c r="L67" s="482">
        <f t="shared" si="6"/>
        <v>0</v>
      </c>
      <c r="M67" s="482">
        <f t="shared" si="7"/>
        <v>0</v>
      </c>
      <c r="N67" s="482">
        <f t="shared" si="8"/>
        <v>0</v>
      </c>
      <c r="O67" s="482">
        <f t="shared" si="9"/>
        <v>0</v>
      </c>
      <c r="P67" s="482">
        <f t="shared" si="10"/>
        <v>0</v>
      </c>
      <c r="Q67" s="451">
        <f t="shared" si="11"/>
        <v>0</v>
      </c>
      <c r="R67" s="452">
        <f t="shared" si="12"/>
        <v>0</v>
      </c>
      <c r="S67" s="452">
        <v>0</v>
      </c>
      <c r="T67" s="452">
        <v>0</v>
      </c>
      <c r="U67" s="452">
        <f t="shared" si="13"/>
        <v>0</v>
      </c>
      <c r="V67" s="451">
        <f t="shared" si="14"/>
        <v>0</v>
      </c>
      <c r="W67" s="451">
        <f t="shared" si="15"/>
        <v>0</v>
      </c>
      <c r="X67" s="451">
        <f t="shared" si="16"/>
        <v>0</v>
      </c>
      <c r="Y67" s="453">
        <f t="shared" si="17"/>
        <v>0</v>
      </c>
      <c r="Z67" s="453">
        <f t="shared" si="18"/>
        <v>0</v>
      </c>
      <c r="AA67" s="453">
        <f t="shared" si="19"/>
        <v>0</v>
      </c>
      <c r="AB67" s="453">
        <f t="shared" si="20"/>
        <v>0</v>
      </c>
      <c r="AC67" s="453">
        <f t="shared" si="21"/>
        <v>0</v>
      </c>
      <c r="AD67" s="453">
        <f t="shared" si="22"/>
        <v>0</v>
      </c>
      <c r="AE67" s="493">
        <f t="shared" si="23"/>
        <v>0</v>
      </c>
      <c r="AF67" s="453">
        <f t="shared" si="24"/>
        <v>0</v>
      </c>
      <c r="AG67" s="494">
        <f t="shared" si="25"/>
        <v>1</v>
      </c>
      <c r="AH67" s="454">
        <f t="shared" si="26"/>
        <v>0</v>
      </c>
      <c r="AI67" s="454">
        <f t="shared" si="27"/>
        <v>0</v>
      </c>
      <c r="AJ67" s="454">
        <f t="shared" si="28"/>
        <v>0</v>
      </c>
      <c r="AK67" s="454">
        <f t="shared" si="29"/>
        <v>0</v>
      </c>
      <c r="AL67" s="454">
        <f t="shared" si="30"/>
        <v>0</v>
      </c>
      <c r="AM67" s="454">
        <f t="shared" si="31"/>
        <v>0</v>
      </c>
      <c r="AN67" s="491">
        <f t="shared" si="32"/>
        <v>0</v>
      </c>
      <c r="AO67" s="487">
        <f t="shared" si="33"/>
        <v>0</v>
      </c>
      <c r="AP67" s="495">
        <f t="shared" si="34"/>
        <v>0</v>
      </c>
      <c r="AQ67" s="496">
        <f t="shared" si="35"/>
        <v>0</v>
      </c>
      <c r="AV67" s="459">
        <f>IF(BA67&gt;BA66,AV66,IF(AV66&lt;MiscData!$F$1,EOMONTH(AV66,1),EOMONTH(AV66,-11)))</f>
        <v>42429</v>
      </c>
      <c r="AW67" s="448" t="str">
        <f t="shared" si="36"/>
        <v>20140101KUCME707</v>
      </c>
      <c r="AX67" s="457" t="str">
        <f t="shared" si="37"/>
        <v>20140101LQF</v>
      </c>
      <c r="AY67" s="439">
        <f>IF(AV67&lt;=MiscData!$B$23,MiscData!$C$23,IF(AV67&lt;=MiscData!$B$24,MiscData!$C$24,MiscData!$C$25))</f>
        <v>20140101</v>
      </c>
      <c r="AZ67" s="439" t="str">
        <f>VLOOKUP(BA67,MiscData!$V$4:$W$42,2,FALSE)</f>
        <v>KUCME707</v>
      </c>
      <c r="BA67" s="439">
        <f>IF(BA66=MiscData!$V$42,1,BA66+1)</f>
        <v>25</v>
      </c>
      <c r="BB67" s="439" t="str">
        <f>VLOOKUP(AZ67,MiscData!$W$4:$Y$42,3,FALSE)</f>
        <v>LQF</v>
      </c>
    </row>
    <row r="68" spans="1:54">
      <c r="A68" s="499">
        <f t="shared" si="39"/>
        <v>62</v>
      </c>
      <c r="B68" s="448" t="str">
        <f t="shared" ref="B68:B131" si="40">TEXT(AV68,"mmm yyyy")</f>
        <v>Feb 2016</v>
      </c>
      <c r="C68" s="448" t="s">
        <v>208</v>
      </c>
      <c r="D68" s="449" t="str">
        <f t="shared" ref="D68:D131" si="41">BB68</f>
        <v>GS</v>
      </c>
      <c r="E68" s="449" t="str">
        <f t="shared" ref="E68:E131" si="42">AZ68</f>
        <v>KUCME710</v>
      </c>
      <c r="F68" s="450">
        <f t="shared" ref="F68:F131" si="43">SUMIFS(_1022_Count,_1022_RevenueMonth,$B68,_1022_RateCategory,$E68)</f>
        <v>0</v>
      </c>
      <c r="G68" s="450">
        <v>0</v>
      </c>
      <c r="H68" s="450">
        <v>0</v>
      </c>
      <c r="I68" s="450">
        <v>0</v>
      </c>
      <c r="J68" s="450">
        <f t="shared" ref="J68:J131" si="44">SUMIFS(_1022_KWH,_1022_RevenueMonth,$B68,_1022_RateCategory,$E68)</f>
        <v>0</v>
      </c>
      <c r="K68" s="482">
        <f t="shared" ref="K68:K131" si="45">SUMIFS(_1022_Measured_KVA_Base,_1022_RevenueMonth,$B68,_1022_RateCategory,$E68)</f>
        <v>0</v>
      </c>
      <c r="L68" s="482">
        <f t="shared" ref="L68:L131" si="46">SUMIFS(_1022_Measured_KVA_Inter,_1022_RevenueMonth,$B68,_1022_RateCategory,$E68)</f>
        <v>0</v>
      </c>
      <c r="M68" s="482">
        <f t="shared" ref="M68:M131" si="47">SUMIFS(_1022_Measured_KVA_Peak,_1022_RevenueMonth,$B68,_1022_RateCategory,$E68)</f>
        <v>0</v>
      </c>
      <c r="N68" s="482">
        <f t="shared" ref="N68:N131" si="48">SUMIFS(_1022_Demand_Base,_1022_RevenueMonth,$B68,_1022_RateCategory,$E68)</f>
        <v>0</v>
      </c>
      <c r="O68" s="482">
        <f t="shared" ref="O68:O131" si="49">SUMIFS(_1022_Demand_Intermediate,_1022_RevenueMonth,$B68,_1022_RateCategory,$E68)</f>
        <v>0</v>
      </c>
      <c r="P68" s="482">
        <f t="shared" ref="P68:P131" si="50">SUMIFS(_1022_Demand_Peak,_1022_RevenueMonth,$B68,_1022_RateCategory,$E68)</f>
        <v>0</v>
      </c>
      <c r="Q68" s="451">
        <f t="shared" ref="Q68:Q131" si="51">SUMIF(_Rates_Tariff_Category,$AW68,_Rates_BasicServiceCharge)</f>
        <v>20</v>
      </c>
      <c r="R68" s="452">
        <f t="shared" ref="R68:R131" si="52">SUMIF(_Rates_Tariff_Category,$AW68,_Rates_Energy)</f>
        <v>9.2249999999999999E-2</v>
      </c>
      <c r="S68" s="452">
        <v>0</v>
      </c>
      <c r="T68" s="452">
        <v>0</v>
      </c>
      <c r="U68" s="452">
        <f t="shared" ref="U68:U131" si="53">SUMIF(_Rates_Tariff_Category,$AW68,_Rates_FAC_Energy)</f>
        <v>2.8920000000000001E-2</v>
      </c>
      <c r="V68" s="451">
        <f t="shared" ref="V68:V131" si="54">SUMIF(_Rates_Tariff_Category,$AW68,_Rates_Demand_Base)</f>
        <v>0</v>
      </c>
      <c r="W68" s="451">
        <f t="shared" ref="W68:W131" si="55">SUMIF(_Rates_Tariff_Category,$AW68,_Rates_Demand_Intermediate)</f>
        <v>0</v>
      </c>
      <c r="X68" s="451">
        <f t="shared" ref="X68:X131" si="56">SUMIF(_Rates_Tariff_Category,$AW68,_Rates_Demand_Peak)</f>
        <v>0</v>
      </c>
      <c r="Y68" s="453">
        <f t="shared" ref="Y68:Y131" si="57">ROUND($F68*$Q68,2)</f>
        <v>0</v>
      </c>
      <c r="Z68" s="453">
        <f t="shared" ref="Z68:Z131" si="58">ROUND(IF(G68=0,J68*R68,SUMPRODUCT(G68:I68,R68:T68)),2)</f>
        <v>0</v>
      </c>
      <c r="AA68" s="453">
        <f t="shared" ref="AA68:AA131" si="59">ROUND($K68*$V68,2)</f>
        <v>0</v>
      </c>
      <c r="AB68" s="453">
        <f t="shared" ref="AB68:AB131" si="60">ROUND($L68*$W68,2)</f>
        <v>0</v>
      </c>
      <c r="AC68" s="453">
        <f t="shared" ref="AC68:AC131" si="61">ROUND($M68*$X68,2)</f>
        <v>0</v>
      </c>
      <c r="AD68" s="453">
        <f t="shared" ref="AD68:AD131" si="62">SUM(AA68:AC68)</f>
        <v>0</v>
      </c>
      <c r="AE68" s="493">
        <f t="shared" ref="AE68:AE131" si="63">SUM(Y68:AC68)</f>
        <v>0</v>
      </c>
      <c r="AF68" s="453">
        <f t="shared" ref="AF68:AF131" si="64">AM68-SUM(AH68:AL68)</f>
        <v>0</v>
      </c>
      <c r="AG68" s="494">
        <f t="shared" ref="AG68:AG131" si="65">IF(AND(AE68=0,AF68=0),1,IF(AE68=0,0,AF68/AE68))</f>
        <v>1</v>
      </c>
      <c r="AH68" s="454">
        <f t="shared" ref="AH68:AH131" si="66">SUMIFS(_SBR_FAC,_SBR_Revenue_Month,$B68,_SBR_Rate_Category,$E68)</f>
        <v>0</v>
      </c>
      <c r="AI68" s="454">
        <f t="shared" ref="AI68:AI131" si="67">SUMIFS(_SBR_DSM,_SBR_Revenue_Month,$B68,_SBR_Rate_Category,$E68)</f>
        <v>0</v>
      </c>
      <c r="AJ68" s="454">
        <f t="shared" ref="AJ68:AJ131" si="68">SUMIFS(_SBR_ECR,_SBR_Revenue_Month,$B68,_SBR_Rate_Category,$E68)</f>
        <v>0</v>
      </c>
      <c r="AK68" s="454">
        <f t="shared" ref="AK68:AK131" si="69">SUMIFS(_SBR_MSR,_SBR_Revenue_Month,$B68,_SBR_Rate_Category,$E68)</f>
        <v>0</v>
      </c>
      <c r="AL68" s="454">
        <f t="shared" ref="AL68:AL131" si="70">SUMIFS(_SBR_CSR,_SBR_Revenue_Month,$B68,_SBR_Rate_Category,$E68)</f>
        <v>0</v>
      </c>
      <c r="AM68" s="454">
        <f t="shared" ref="AM68:AM131" si="71">SUMIFS(_SBR_Revenue_Actual,_SBR_Revenue_Month,$B68,_SBR_Rate_Category,$E68)</f>
        <v>0</v>
      </c>
      <c r="AN68" s="491">
        <f t="shared" ref="AN68:AN131" si="72">SUM(AE68,AH68:AL68)</f>
        <v>0</v>
      </c>
      <c r="AO68" s="487">
        <f t="shared" ref="AO68:AO131" si="73">AM68-AN68</f>
        <v>0</v>
      </c>
      <c r="AP68" s="495">
        <f t="shared" ref="AP68:AP131" si="74">ROUND($J68*$U68,2)</f>
        <v>0</v>
      </c>
      <c r="AQ68" s="496">
        <f t="shared" ref="AQ68:AQ131" si="75">Z68-AP68</f>
        <v>0</v>
      </c>
      <c r="AV68" s="459">
        <f>IF(BA68&gt;BA67,AV67,IF(AV67&lt;MiscData!$F$1,EOMONTH(AV67,1),EOMONTH(AV67,-11)))</f>
        <v>42429</v>
      </c>
      <c r="AW68" s="448" t="str">
        <f t="shared" ref="AW68:AW131" si="76">CONCATENATE(AY68&amp;AZ68)</f>
        <v>20140101KUCME710</v>
      </c>
      <c r="AX68" s="457" t="str">
        <f t="shared" ref="AX68:AX131" si="77">CONCATENATE(AY68&amp;BB68)</f>
        <v>20140101GS</v>
      </c>
      <c r="AY68" s="439">
        <f>IF(AV68&lt;=MiscData!$B$23,MiscData!$C$23,IF(AV68&lt;=MiscData!$B$24,MiscData!$C$24,MiscData!$C$25))</f>
        <v>20140101</v>
      </c>
      <c r="AZ68" s="439" t="str">
        <f>VLOOKUP(BA68,MiscData!$V$4:$W$42,2,FALSE)</f>
        <v>KUCME710</v>
      </c>
      <c r="BA68" s="439">
        <f>IF(BA67=MiscData!$V$42,1,BA67+1)</f>
        <v>26</v>
      </c>
      <c r="BB68" s="511" t="str">
        <f>VLOOKUP(AZ68,MiscData!$W$4:$Y$42,3,FALSE)</f>
        <v>GS</v>
      </c>
    </row>
    <row r="69" spans="1:54">
      <c r="A69" s="448">
        <f t="shared" si="39"/>
        <v>63</v>
      </c>
      <c r="B69" s="448" t="str">
        <f t="shared" si="40"/>
        <v>Feb 2016</v>
      </c>
      <c r="C69" s="448" t="s">
        <v>17</v>
      </c>
      <c r="D69" s="449" t="str">
        <f t="shared" si="41"/>
        <v>GS3</v>
      </c>
      <c r="E69" s="449" t="str">
        <f t="shared" si="42"/>
        <v>KUCME713</v>
      </c>
      <c r="F69" s="450">
        <f t="shared" si="43"/>
        <v>0</v>
      </c>
      <c r="G69" s="450">
        <v>0</v>
      </c>
      <c r="H69" s="450">
        <v>0</v>
      </c>
      <c r="I69" s="450">
        <v>0</v>
      </c>
      <c r="J69" s="450">
        <f t="shared" si="44"/>
        <v>0</v>
      </c>
      <c r="K69" s="482">
        <f t="shared" si="45"/>
        <v>0</v>
      </c>
      <c r="L69" s="482">
        <f t="shared" si="46"/>
        <v>0</v>
      </c>
      <c r="M69" s="482">
        <f t="shared" si="47"/>
        <v>0</v>
      </c>
      <c r="N69" s="482">
        <f t="shared" si="48"/>
        <v>0</v>
      </c>
      <c r="O69" s="482">
        <f t="shared" si="49"/>
        <v>0</v>
      </c>
      <c r="P69" s="482">
        <f t="shared" si="50"/>
        <v>0</v>
      </c>
      <c r="Q69" s="451">
        <f t="shared" si="51"/>
        <v>35</v>
      </c>
      <c r="R69" s="452">
        <f t="shared" si="52"/>
        <v>9.2249999999999999E-2</v>
      </c>
      <c r="S69" s="452">
        <v>0</v>
      </c>
      <c r="T69" s="452">
        <v>0</v>
      </c>
      <c r="U69" s="452">
        <f t="shared" si="53"/>
        <v>2.8920000000000001E-2</v>
      </c>
      <c r="V69" s="451">
        <f t="shared" si="54"/>
        <v>0</v>
      </c>
      <c r="W69" s="451">
        <f t="shared" si="55"/>
        <v>0</v>
      </c>
      <c r="X69" s="451">
        <f t="shared" si="56"/>
        <v>0</v>
      </c>
      <c r="Y69" s="453">
        <f t="shared" si="57"/>
        <v>0</v>
      </c>
      <c r="Z69" s="453">
        <f t="shared" si="58"/>
        <v>0</v>
      </c>
      <c r="AA69" s="453">
        <f t="shared" si="59"/>
        <v>0</v>
      </c>
      <c r="AB69" s="453">
        <f t="shared" si="60"/>
        <v>0</v>
      </c>
      <c r="AC69" s="453">
        <f t="shared" si="61"/>
        <v>0</v>
      </c>
      <c r="AD69" s="453">
        <f t="shared" si="62"/>
        <v>0</v>
      </c>
      <c r="AE69" s="493">
        <f t="shared" si="63"/>
        <v>0</v>
      </c>
      <c r="AF69" s="453">
        <f t="shared" si="64"/>
        <v>0</v>
      </c>
      <c r="AG69" s="494">
        <f t="shared" si="65"/>
        <v>1</v>
      </c>
      <c r="AH69" s="454">
        <f t="shared" si="66"/>
        <v>0</v>
      </c>
      <c r="AI69" s="454">
        <f t="shared" si="67"/>
        <v>0</v>
      </c>
      <c r="AJ69" s="454">
        <f t="shared" si="68"/>
        <v>0</v>
      </c>
      <c r="AK69" s="454">
        <f t="shared" si="69"/>
        <v>0</v>
      </c>
      <c r="AL69" s="454">
        <f t="shared" si="70"/>
        <v>0</v>
      </c>
      <c r="AM69" s="454">
        <f t="shared" si="71"/>
        <v>0</v>
      </c>
      <c r="AN69" s="491">
        <f t="shared" si="72"/>
        <v>0</v>
      </c>
      <c r="AO69" s="487">
        <f t="shared" si="73"/>
        <v>0</v>
      </c>
      <c r="AP69" s="495">
        <f t="shared" si="74"/>
        <v>0</v>
      </c>
      <c r="AQ69" s="496">
        <f t="shared" si="75"/>
        <v>0</v>
      </c>
      <c r="AV69" s="459">
        <f>IF(BA69&gt;BA68,AV68,IF(AV68&lt;MiscData!$F$1,EOMONTH(AV68,1),EOMONTH(AV68,-11)))</f>
        <v>42429</v>
      </c>
      <c r="AW69" s="448" t="str">
        <f t="shared" si="76"/>
        <v>20140101KUCME713</v>
      </c>
      <c r="AX69" s="457" t="str">
        <f t="shared" si="77"/>
        <v>20140101GS3</v>
      </c>
      <c r="AY69" s="439">
        <f>IF(AV69&lt;=MiscData!$B$23,MiscData!$C$23,IF(AV69&lt;=MiscData!$B$24,MiscData!$C$24,MiscData!$C$25))</f>
        <v>20140101</v>
      </c>
      <c r="AZ69" s="439" t="str">
        <f>VLOOKUP(BA69,MiscData!$V$4:$W$42,2,FALSE)</f>
        <v>KUCME713</v>
      </c>
      <c r="BA69" s="439">
        <f>IF(BA68=MiscData!$V$42,1,BA68+1)</f>
        <v>27</v>
      </c>
      <c r="BB69" s="439" t="str">
        <f>VLOOKUP(AZ69,MiscData!$W$4:$Y$42,3,FALSE)</f>
        <v>GS3</v>
      </c>
    </row>
    <row r="70" spans="1:54" hidden="1">
      <c r="A70" s="448">
        <f>A66+1</f>
        <v>61</v>
      </c>
      <c r="B70" s="448" t="str">
        <f t="shared" si="40"/>
        <v>Feb 2016</v>
      </c>
      <c r="C70" s="448" t="s">
        <v>1471</v>
      </c>
      <c r="D70" s="449" t="str">
        <f t="shared" si="41"/>
        <v>CSR10</v>
      </c>
      <c r="E70" s="449" t="str">
        <f t="shared" si="42"/>
        <v>KUCSR760</v>
      </c>
      <c r="F70" s="450">
        <f t="shared" si="43"/>
        <v>0</v>
      </c>
      <c r="G70" s="450">
        <v>0</v>
      </c>
      <c r="H70" s="450">
        <v>0</v>
      </c>
      <c r="I70" s="450">
        <v>0</v>
      </c>
      <c r="J70" s="450">
        <f t="shared" si="44"/>
        <v>0</v>
      </c>
      <c r="K70" s="482">
        <f t="shared" si="45"/>
        <v>0</v>
      </c>
      <c r="L70" s="482">
        <f t="shared" si="46"/>
        <v>0</v>
      </c>
      <c r="M70" s="482">
        <f t="shared" si="47"/>
        <v>0</v>
      </c>
      <c r="N70" s="482">
        <f t="shared" si="48"/>
        <v>0</v>
      </c>
      <c r="O70" s="482">
        <f t="shared" si="49"/>
        <v>0</v>
      </c>
      <c r="P70" s="482">
        <f t="shared" si="50"/>
        <v>0</v>
      </c>
      <c r="Q70" s="451">
        <f t="shared" si="51"/>
        <v>0</v>
      </c>
      <c r="R70" s="452">
        <f t="shared" si="52"/>
        <v>0</v>
      </c>
      <c r="S70" s="452">
        <v>0</v>
      </c>
      <c r="T70" s="452">
        <v>0</v>
      </c>
      <c r="U70" s="452">
        <f t="shared" si="53"/>
        <v>0</v>
      </c>
      <c r="V70" s="451">
        <f t="shared" si="54"/>
        <v>-5.4</v>
      </c>
      <c r="W70" s="451">
        <f t="shared" si="55"/>
        <v>0</v>
      </c>
      <c r="X70" s="451">
        <f t="shared" si="56"/>
        <v>0</v>
      </c>
      <c r="Y70" s="453">
        <f t="shared" si="57"/>
        <v>0</v>
      </c>
      <c r="Z70" s="453">
        <f t="shared" si="58"/>
        <v>0</v>
      </c>
      <c r="AA70" s="453">
        <f t="shared" si="59"/>
        <v>0</v>
      </c>
      <c r="AB70" s="453">
        <f t="shared" si="60"/>
        <v>0</v>
      </c>
      <c r="AC70" s="453">
        <f t="shared" si="61"/>
        <v>0</v>
      </c>
      <c r="AD70" s="453">
        <f t="shared" si="62"/>
        <v>0</v>
      </c>
      <c r="AE70" s="493">
        <f t="shared" si="63"/>
        <v>0</v>
      </c>
      <c r="AF70" s="453">
        <f t="shared" si="64"/>
        <v>0</v>
      </c>
      <c r="AG70" s="494">
        <f t="shared" si="65"/>
        <v>1</v>
      </c>
      <c r="AH70" s="454">
        <f t="shared" si="66"/>
        <v>0</v>
      </c>
      <c r="AI70" s="454">
        <f t="shared" si="67"/>
        <v>0</v>
      </c>
      <c r="AJ70" s="454">
        <f t="shared" si="68"/>
        <v>0</v>
      </c>
      <c r="AK70" s="454">
        <f t="shared" si="69"/>
        <v>0</v>
      </c>
      <c r="AL70" s="454">
        <f t="shared" si="70"/>
        <v>-989829</v>
      </c>
      <c r="AM70" s="454">
        <f t="shared" si="71"/>
        <v>-989829</v>
      </c>
      <c r="AN70" s="491">
        <f t="shared" si="72"/>
        <v>-989829</v>
      </c>
      <c r="AO70" s="487">
        <f t="shared" si="73"/>
        <v>0</v>
      </c>
      <c r="AP70" s="495">
        <f t="shared" si="74"/>
        <v>0</v>
      </c>
      <c r="AQ70" s="496">
        <f t="shared" si="75"/>
        <v>0</v>
      </c>
      <c r="AV70" s="459">
        <f>IF(BA70&gt;BA66,AV66,IF(AV66&lt;MiscData!$F$1,EOMONTH(AV66,1),EOMONTH(AV66,-11)))</f>
        <v>42429</v>
      </c>
      <c r="AW70" s="448" t="str">
        <f t="shared" si="76"/>
        <v>20140101KUCSR760</v>
      </c>
      <c r="AX70" s="457" t="str">
        <f t="shared" si="77"/>
        <v>20140101CSR10</v>
      </c>
      <c r="AY70" s="439">
        <f>IF(AV70&lt;=MiscData!$B$23,MiscData!$C$23,IF(AV70&lt;=MiscData!$B$24,MiscData!$C$24,MiscData!$C$25))</f>
        <v>20140101</v>
      </c>
      <c r="AZ70" s="439" t="str">
        <f>VLOOKUP(BA70,MiscData!$V$4:$W$42,2,FALSE)</f>
        <v>KUCSR760</v>
      </c>
      <c r="BA70" s="439">
        <f>IF(BA69=MiscData!$V$42,1,BA69+1)</f>
        <v>28</v>
      </c>
      <c r="BB70" s="439" t="str">
        <f>VLOOKUP(AZ70,MiscData!$W$4:$Y$42,3,FALSE)</f>
        <v>CSR10</v>
      </c>
    </row>
    <row r="71" spans="1:54" hidden="1">
      <c r="A71" s="448">
        <f>A67+1</f>
        <v>62</v>
      </c>
      <c r="B71" s="448" t="str">
        <f t="shared" si="40"/>
        <v>Feb 2016</v>
      </c>
      <c r="C71" s="448" t="s">
        <v>1471</v>
      </c>
      <c r="D71" s="449" t="str">
        <f t="shared" si="41"/>
        <v>CSR10</v>
      </c>
      <c r="E71" s="449" t="str">
        <f t="shared" si="42"/>
        <v>KUCSR761</v>
      </c>
      <c r="F71" s="450">
        <f t="shared" si="43"/>
        <v>0</v>
      </c>
      <c r="G71" s="450">
        <v>0</v>
      </c>
      <c r="H71" s="450">
        <v>0</v>
      </c>
      <c r="I71" s="450">
        <v>0</v>
      </c>
      <c r="J71" s="450">
        <f t="shared" si="44"/>
        <v>0</v>
      </c>
      <c r="K71" s="482">
        <f t="shared" si="45"/>
        <v>0</v>
      </c>
      <c r="L71" s="482">
        <f t="shared" si="46"/>
        <v>0</v>
      </c>
      <c r="M71" s="482">
        <f t="shared" si="47"/>
        <v>0</v>
      </c>
      <c r="N71" s="482">
        <f t="shared" si="48"/>
        <v>0</v>
      </c>
      <c r="O71" s="482">
        <f t="shared" si="49"/>
        <v>0</v>
      </c>
      <c r="P71" s="482">
        <f t="shared" si="50"/>
        <v>0</v>
      </c>
      <c r="Q71" s="451">
        <f t="shared" si="51"/>
        <v>0</v>
      </c>
      <c r="R71" s="452">
        <f t="shared" si="52"/>
        <v>0</v>
      </c>
      <c r="S71" s="452">
        <v>0</v>
      </c>
      <c r="T71" s="452">
        <v>0</v>
      </c>
      <c r="U71" s="452">
        <f t="shared" si="53"/>
        <v>0</v>
      </c>
      <c r="V71" s="451">
        <f t="shared" si="54"/>
        <v>-5.5</v>
      </c>
      <c r="W71" s="451">
        <f t="shared" si="55"/>
        <v>0</v>
      </c>
      <c r="X71" s="451">
        <f t="shared" si="56"/>
        <v>0</v>
      </c>
      <c r="Y71" s="453">
        <f t="shared" si="57"/>
        <v>0</v>
      </c>
      <c r="Z71" s="453">
        <f t="shared" si="58"/>
        <v>0</v>
      </c>
      <c r="AA71" s="453">
        <f t="shared" si="59"/>
        <v>0</v>
      </c>
      <c r="AB71" s="453">
        <f t="shared" si="60"/>
        <v>0</v>
      </c>
      <c r="AC71" s="453">
        <f t="shared" si="61"/>
        <v>0</v>
      </c>
      <c r="AD71" s="453">
        <f t="shared" si="62"/>
        <v>0</v>
      </c>
      <c r="AE71" s="493">
        <f t="shared" si="63"/>
        <v>0</v>
      </c>
      <c r="AF71" s="453">
        <f t="shared" si="64"/>
        <v>0</v>
      </c>
      <c r="AG71" s="494">
        <f t="shared" si="65"/>
        <v>1</v>
      </c>
      <c r="AH71" s="454">
        <f t="shared" si="66"/>
        <v>0</v>
      </c>
      <c r="AI71" s="454">
        <f t="shared" si="67"/>
        <v>0</v>
      </c>
      <c r="AJ71" s="454">
        <f t="shared" si="68"/>
        <v>0</v>
      </c>
      <c r="AK71" s="454">
        <f t="shared" si="69"/>
        <v>0</v>
      </c>
      <c r="AL71" s="454">
        <f t="shared" si="70"/>
        <v>0</v>
      </c>
      <c r="AM71" s="454">
        <f t="shared" si="71"/>
        <v>0</v>
      </c>
      <c r="AN71" s="491">
        <f t="shared" si="72"/>
        <v>0</v>
      </c>
      <c r="AO71" s="487">
        <f t="shared" si="73"/>
        <v>0</v>
      </c>
      <c r="AP71" s="495">
        <f t="shared" si="74"/>
        <v>0</v>
      </c>
      <c r="AQ71" s="496">
        <f t="shared" si="75"/>
        <v>0</v>
      </c>
      <c r="AV71" s="459">
        <f>IF(BA71&gt;BA67,AV67,IF(AV67&lt;MiscData!$F$1,EOMONTH(AV67,1),EOMONTH(AV67,-11)))</f>
        <v>42429</v>
      </c>
      <c r="AW71" s="448" t="str">
        <f t="shared" si="76"/>
        <v>20140101KUCSR761</v>
      </c>
      <c r="AX71" s="457" t="str">
        <f t="shared" si="77"/>
        <v>20140101CSR10</v>
      </c>
      <c r="AY71" s="439">
        <f>IF(AV71&lt;=MiscData!$B$23,MiscData!$C$23,IF(AV71&lt;=MiscData!$B$24,MiscData!$C$24,MiscData!$C$25))</f>
        <v>20140101</v>
      </c>
      <c r="AZ71" s="439" t="str">
        <f>VLOOKUP(BA71,MiscData!$V$4:$W$42,2,FALSE)</f>
        <v>KUCSR761</v>
      </c>
      <c r="BA71" s="439">
        <f>IF(BA70=MiscData!$V$42,1,BA70+1)</f>
        <v>29</v>
      </c>
      <c r="BB71" s="439" t="str">
        <f>VLOOKUP(AZ71,MiscData!$W$4:$Y$42,3,FALSE)</f>
        <v>CSR10</v>
      </c>
    </row>
    <row r="72" spans="1:54" hidden="1">
      <c r="A72" s="448">
        <f>A68+1</f>
        <v>63</v>
      </c>
      <c r="B72" s="448" t="str">
        <f t="shared" si="40"/>
        <v>Feb 2016</v>
      </c>
      <c r="C72" s="448" t="s">
        <v>1472</v>
      </c>
      <c r="D72" s="449" t="str">
        <f t="shared" si="41"/>
        <v>CSR30</v>
      </c>
      <c r="E72" s="449" t="str">
        <f t="shared" si="42"/>
        <v>KUCSR780</v>
      </c>
      <c r="F72" s="450">
        <f t="shared" si="43"/>
        <v>0</v>
      </c>
      <c r="G72" s="450">
        <v>0</v>
      </c>
      <c r="H72" s="450">
        <v>0</v>
      </c>
      <c r="I72" s="450">
        <v>0</v>
      </c>
      <c r="J72" s="450">
        <f t="shared" si="44"/>
        <v>0</v>
      </c>
      <c r="K72" s="482">
        <f t="shared" si="45"/>
        <v>0</v>
      </c>
      <c r="L72" s="482">
        <f t="shared" si="46"/>
        <v>0</v>
      </c>
      <c r="M72" s="482">
        <f t="shared" si="47"/>
        <v>0</v>
      </c>
      <c r="N72" s="482">
        <f t="shared" si="48"/>
        <v>0</v>
      </c>
      <c r="O72" s="482">
        <f t="shared" si="49"/>
        <v>0</v>
      </c>
      <c r="P72" s="482">
        <f t="shared" si="50"/>
        <v>0</v>
      </c>
      <c r="Q72" s="451">
        <f t="shared" si="51"/>
        <v>0</v>
      </c>
      <c r="R72" s="452">
        <f t="shared" si="52"/>
        <v>0</v>
      </c>
      <c r="S72" s="452">
        <v>0</v>
      </c>
      <c r="T72" s="452">
        <v>0</v>
      </c>
      <c r="U72" s="452">
        <f t="shared" si="53"/>
        <v>0</v>
      </c>
      <c r="V72" s="451">
        <f t="shared" si="54"/>
        <v>-4.3</v>
      </c>
      <c r="W72" s="451">
        <f t="shared" si="55"/>
        <v>0</v>
      </c>
      <c r="X72" s="451">
        <f t="shared" si="56"/>
        <v>0</v>
      </c>
      <c r="Y72" s="453">
        <f t="shared" si="57"/>
        <v>0</v>
      </c>
      <c r="Z72" s="453">
        <f t="shared" si="58"/>
        <v>0</v>
      </c>
      <c r="AA72" s="453">
        <f t="shared" si="59"/>
        <v>0</v>
      </c>
      <c r="AB72" s="453">
        <f t="shared" si="60"/>
        <v>0</v>
      </c>
      <c r="AC72" s="453">
        <f t="shared" si="61"/>
        <v>0</v>
      </c>
      <c r="AD72" s="453">
        <f t="shared" si="62"/>
        <v>0</v>
      </c>
      <c r="AE72" s="493">
        <f t="shared" si="63"/>
        <v>0</v>
      </c>
      <c r="AF72" s="453">
        <f t="shared" si="64"/>
        <v>0</v>
      </c>
      <c r="AG72" s="494">
        <f t="shared" si="65"/>
        <v>1</v>
      </c>
      <c r="AH72" s="454">
        <f t="shared" si="66"/>
        <v>0</v>
      </c>
      <c r="AI72" s="454">
        <f t="shared" si="67"/>
        <v>0</v>
      </c>
      <c r="AJ72" s="454">
        <f t="shared" si="68"/>
        <v>0</v>
      </c>
      <c r="AK72" s="454">
        <f t="shared" si="69"/>
        <v>0</v>
      </c>
      <c r="AL72" s="454">
        <f t="shared" si="70"/>
        <v>0</v>
      </c>
      <c r="AM72" s="454">
        <f t="shared" si="71"/>
        <v>0</v>
      </c>
      <c r="AN72" s="491">
        <f t="shared" si="72"/>
        <v>0</v>
      </c>
      <c r="AO72" s="487">
        <f t="shared" si="73"/>
        <v>0</v>
      </c>
      <c r="AP72" s="495">
        <f t="shared" si="74"/>
        <v>0</v>
      </c>
      <c r="AQ72" s="496">
        <f t="shared" si="75"/>
        <v>0</v>
      </c>
      <c r="AV72" s="459">
        <f>IF(BA72&gt;BA68,AV68,IF(AV68&lt;MiscData!$F$1,EOMONTH(AV68,1),EOMONTH(AV68,-11)))</f>
        <v>42429</v>
      </c>
      <c r="AW72" s="448" t="str">
        <f t="shared" si="76"/>
        <v>20140101KUCSR780</v>
      </c>
      <c r="AX72" s="457" t="str">
        <f t="shared" si="77"/>
        <v>20140101CSR30</v>
      </c>
      <c r="AY72" s="439">
        <f>IF(AV72&lt;=MiscData!$B$23,MiscData!$C$23,IF(AV72&lt;=MiscData!$B$24,MiscData!$C$24,MiscData!$C$25))</f>
        <v>20140101</v>
      </c>
      <c r="AZ72" s="439" t="str">
        <f>VLOOKUP(BA72,MiscData!$V$4:$W$42,2,FALSE)</f>
        <v>KUCSR780</v>
      </c>
      <c r="BA72" s="439">
        <f>IF(BA71=MiscData!$V$42,1,BA71+1)</f>
        <v>30</v>
      </c>
      <c r="BB72" s="439" t="str">
        <f>VLOOKUP(AZ72,MiscData!$W$4:$Y$42,3,FALSE)</f>
        <v>CSR30</v>
      </c>
    </row>
    <row r="73" spans="1:54" hidden="1">
      <c r="A73" s="448">
        <f>A69+1</f>
        <v>64</v>
      </c>
      <c r="B73" s="448" t="str">
        <f t="shared" si="40"/>
        <v>Feb 2016</v>
      </c>
      <c r="C73" s="448" t="s">
        <v>1472</v>
      </c>
      <c r="D73" s="449" t="str">
        <f t="shared" si="41"/>
        <v>CSR30</v>
      </c>
      <c r="E73" s="449" t="str">
        <f t="shared" si="42"/>
        <v>KUCSR781</v>
      </c>
      <c r="F73" s="450">
        <f t="shared" si="43"/>
        <v>0</v>
      </c>
      <c r="G73" s="450">
        <v>0</v>
      </c>
      <c r="H73" s="450">
        <v>0</v>
      </c>
      <c r="I73" s="450">
        <v>0</v>
      </c>
      <c r="J73" s="450">
        <f t="shared" si="44"/>
        <v>0</v>
      </c>
      <c r="K73" s="482">
        <f t="shared" si="45"/>
        <v>0</v>
      </c>
      <c r="L73" s="482">
        <f t="shared" si="46"/>
        <v>0</v>
      </c>
      <c r="M73" s="482">
        <f t="shared" si="47"/>
        <v>0</v>
      </c>
      <c r="N73" s="482">
        <f t="shared" si="48"/>
        <v>0</v>
      </c>
      <c r="O73" s="482">
        <f t="shared" si="49"/>
        <v>0</v>
      </c>
      <c r="P73" s="482">
        <f t="shared" si="50"/>
        <v>0</v>
      </c>
      <c r="Q73" s="451">
        <f t="shared" si="51"/>
        <v>0</v>
      </c>
      <c r="R73" s="452">
        <f t="shared" si="52"/>
        <v>0</v>
      </c>
      <c r="S73" s="452">
        <v>0</v>
      </c>
      <c r="T73" s="452">
        <v>0</v>
      </c>
      <c r="U73" s="452">
        <f t="shared" si="53"/>
        <v>0</v>
      </c>
      <c r="V73" s="451">
        <f t="shared" si="54"/>
        <v>-4.4000000000000004</v>
      </c>
      <c r="W73" s="451">
        <f t="shared" si="55"/>
        <v>0</v>
      </c>
      <c r="X73" s="451">
        <f t="shared" si="56"/>
        <v>0</v>
      </c>
      <c r="Y73" s="453">
        <f t="shared" si="57"/>
        <v>0</v>
      </c>
      <c r="Z73" s="453">
        <f t="shared" si="58"/>
        <v>0</v>
      </c>
      <c r="AA73" s="453">
        <f t="shared" si="59"/>
        <v>0</v>
      </c>
      <c r="AB73" s="453">
        <f t="shared" si="60"/>
        <v>0</v>
      </c>
      <c r="AC73" s="453">
        <f t="shared" si="61"/>
        <v>0</v>
      </c>
      <c r="AD73" s="453">
        <f t="shared" si="62"/>
        <v>0</v>
      </c>
      <c r="AE73" s="493">
        <f t="shared" si="63"/>
        <v>0</v>
      </c>
      <c r="AF73" s="453">
        <f t="shared" si="64"/>
        <v>0</v>
      </c>
      <c r="AG73" s="494">
        <f t="shared" si="65"/>
        <v>1</v>
      </c>
      <c r="AH73" s="454">
        <f t="shared" si="66"/>
        <v>0</v>
      </c>
      <c r="AI73" s="454">
        <f t="shared" si="67"/>
        <v>0</v>
      </c>
      <c r="AJ73" s="454">
        <f t="shared" si="68"/>
        <v>0</v>
      </c>
      <c r="AK73" s="454">
        <f t="shared" si="69"/>
        <v>0</v>
      </c>
      <c r="AL73" s="454">
        <f t="shared" si="70"/>
        <v>0</v>
      </c>
      <c r="AM73" s="454">
        <f t="shared" si="71"/>
        <v>0</v>
      </c>
      <c r="AN73" s="491">
        <f t="shared" si="72"/>
        <v>0</v>
      </c>
      <c r="AO73" s="487">
        <f t="shared" si="73"/>
        <v>0</v>
      </c>
      <c r="AP73" s="495">
        <f t="shared" si="74"/>
        <v>0</v>
      </c>
      <c r="AQ73" s="496">
        <f t="shared" si="75"/>
        <v>0</v>
      </c>
      <c r="AV73" s="459">
        <f>IF(BA73&gt;BA69,AV69,IF(AV69&lt;MiscData!$F$1,EOMONTH(AV69,1),EOMONTH(AV69,-11)))</f>
        <v>42429</v>
      </c>
      <c r="AW73" s="448" t="str">
        <f t="shared" si="76"/>
        <v>20140101KUCSR781</v>
      </c>
      <c r="AX73" s="457" t="str">
        <f t="shared" si="77"/>
        <v>20140101CSR30</v>
      </c>
      <c r="AY73" s="439">
        <f>IF(AV73&lt;=MiscData!$B$23,MiscData!$C$23,IF(AV73&lt;=MiscData!$B$24,MiscData!$C$24,MiscData!$C$25))</f>
        <v>20140101</v>
      </c>
      <c r="AZ73" s="439" t="str">
        <f>VLOOKUP(BA73,MiscData!$V$4:$W$42,2,FALSE)</f>
        <v>KUCSR781</v>
      </c>
      <c r="BA73" s="439">
        <f>IF(BA72=MiscData!$V$42,1,BA72+1)</f>
        <v>31</v>
      </c>
      <c r="BB73" s="439" t="str">
        <f>VLOOKUP(AZ73,MiscData!$W$4:$Y$42,3,FALSE)</f>
        <v>CSR30</v>
      </c>
    </row>
    <row r="74" spans="1:54" hidden="1">
      <c r="A74" s="448">
        <f t="shared" ref="A74:A108" si="78">A73+1</f>
        <v>65</v>
      </c>
      <c r="B74" s="448" t="str">
        <f t="shared" si="40"/>
        <v>Feb 2016</v>
      </c>
      <c r="C74" s="448" t="s">
        <v>1472</v>
      </c>
      <c r="D74" s="449" t="str">
        <f t="shared" si="41"/>
        <v>CSR30</v>
      </c>
      <c r="E74" s="449" t="str">
        <f t="shared" si="42"/>
        <v>KUCSR783</v>
      </c>
      <c r="F74" s="450">
        <f t="shared" si="43"/>
        <v>0</v>
      </c>
      <c r="G74" s="450">
        <v>0</v>
      </c>
      <c r="H74" s="450">
        <v>0</v>
      </c>
      <c r="I74" s="450">
        <v>0</v>
      </c>
      <c r="J74" s="450">
        <f t="shared" si="44"/>
        <v>0</v>
      </c>
      <c r="K74" s="482">
        <f t="shared" si="45"/>
        <v>0</v>
      </c>
      <c r="L74" s="482">
        <f t="shared" si="46"/>
        <v>0</v>
      </c>
      <c r="M74" s="482">
        <f t="shared" si="47"/>
        <v>0</v>
      </c>
      <c r="N74" s="482">
        <f t="shared" si="48"/>
        <v>0</v>
      </c>
      <c r="O74" s="482">
        <f t="shared" si="49"/>
        <v>0</v>
      </c>
      <c r="P74" s="482">
        <f t="shared" si="50"/>
        <v>0</v>
      </c>
      <c r="Q74" s="451">
        <f t="shared" si="51"/>
        <v>0</v>
      </c>
      <c r="R74" s="452">
        <f t="shared" si="52"/>
        <v>0</v>
      </c>
      <c r="S74" s="452">
        <v>0</v>
      </c>
      <c r="T74" s="452">
        <v>0</v>
      </c>
      <c r="U74" s="452">
        <f t="shared" si="53"/>
        <v>0</v>
      </c>
      <c r="V74" s="451">
        <f t="shared" si="54"/>
        <v>-4.4000000000000004</v>
      </c>
      <c r="W74" s="451">
        <f t="shared" si="55"/>
        <v>0</v>
      </c>
      <c r="X74" s="451">
        <f t="shared" si="56"/>
        <v>0</v>
      </c>
      <c r="Y74" s="453">
        <f t="shared" si="57"/>
        <v>0</v>
      </c>
      <c r="Z74" s="453">
        <f t="shared" si="58"/>
        <v>0</v>
      </c>
      <c r="AA74" s="453">
        <f t="shared" si="59"/>
        <v>0</v>
      </c>
      <c r="AB74" s="453">
        <f t="shared" si="60"/>
        <v>0</v>
      </c>
      <c r="AC74" s="453">
        <f t="shared" si="61"/>
        <v>0</v>
      </c>
      <c r="AD74" s="453">
        <f t="shared" si="62"/>
        <v>0</v>
      </c>
      <c r="AE74" s="493">
        <f t="shared" si="63"/>
        <v>0</v>
      </c>
      <c r="AF74" s="453">
        <f t="shared" si="64"/>
        <v>0</v>
      </c>
      <c r="AG74" s="494">
        <f t="shared" si="65"/>
        <v>1</v>
      </c>
      <c r="AH74" s="454">
        <f t="shared" si="66"/>
        <v>0</v>
      </c>
      <c r="AI74" s="454">
        <f t="shared" si="67"/>
        <v>0</v>
      </c>
      <c r="AJ74" s="454">
        <f t="shared" si="68"/>
        <v>0</v>
      </c>
      <c r="AK74" s="454">
        <f t="shared" si="69"/>
        <v>0</v>
      </c>
      <c r="AL74" s="454">
        <f t="shared" si="70"/>
        <v>0</v>
      </c>
      <c r="AM74" s="454">
        <f t="shared" si="71"/>
        <v>0</v>
      </c>
      <c r="AN74" s="491">
        <f t="shared" si="72"/>
        <v>0</v>
      </c>
      <c r="AO74" s="487">
        <f t="shared" si="73"/>
        <v>0</v>
      </c>
      <c r="AP74" s="495">
        <f t="shared" si="74"/>
        <v>0</v>
      </c>
      <c r="AQ74" s="496">
        <f t="shared" si="75"/>
        <v>0</v>
      </c>
      <c r="AV74" s="459">
        <f>IF(BA74&gt;BA73,AV73,IF(AV73&lt;MiscData!$F$1,EOMONTH(AV73,1),EOMONTH(AV73,-11)))</f>
        <v>42429</v>
      </c>
      <c r="AW74" s="448" t="str">
        <f t="shared" si="76"/>
        <v>20140101KUCSR783</v>
      </c>
      <c r="AX74" s="457" t="str">
        <f t="shared" si="77"/>
        <v>20140101CSR30</v>
      </c>
      <c r="AY74" s="439">
        <f>IF(AV74&lt;=MiscData!$B$23,MiscData!$C$23,IF(AV74&lt;=MiscData!$B$24,MiscData!$C$24,MiscData!$C$25))</f>
        <v>20140101</v>
      </c>
      <c r="AZ74" s="439" t="str">
        <f>VLOOKUP(BA74,MiscData!$V$4:$W$42,2,FALSE)</f>
        <v>KUCSR783</v>
      </c>
      <c r="BA74" s="439">
        <f>IF(BA73=MiscData!$V$42,1,BA73+1)</f>
        <v>32</v>
      </c>
      <c r="BB74" s="439" t="str">
        <f>VLOOKUP(AZ74,MiscData!$W$4:$Y$42,3,FALSE)</f>
        <v>CSR30</v>
      </c>
    </row>
    <row r="75" spans="1:54" hidden="1">
      <c r="A75" s="499">
        <f t="shared" si="78"/>
        <v>66</v>
      </c>
      <c r="B75" s="448" t="str">
        <f t="shared" si="40"/>
        <v>Feb 2016</v>
      </c>
      <c r="C75" s="832" t="s">
        <v>642</v>
      </c>
      <c r="D75" s="449" t="str">
        <f t="shared" si="41"/>
        <v>FLST</v>
      </c>
      <c r="E75" s="449" t="str">
        <f t="shared" si="42"/>
        <v>KUINE730</v>
      </c>
      <c r="F75" s="450">
        <f t="shared" si="43"/>
        <v>1</v>
      </c>
      <c r="G75" s="450">
        <v>0</v>
      </c>
      <c r="H75" s="450">
        <v>0</v>
      </c>
      <c r="I75" s="450">
        <v>0</v>
      </c>
      <c r="J75" s="450">
        <f t="shared" si="44"/>
        <v>46508169</v>
      </c>
      <c r="K75" s="482">
        <f t="shared" si="45"/>
        <v>185158</v>
      </c>
      <c r="L75" s="482">
        <f t="shared" si="46"/>
        <v>185158</v>
      </c>
      <c r="M75" s="482">
        <f t="shared" si="47"/>
        <v>101388</v>
      </c>
      <c r="N75" s="482">
        <f t="shared" si="48"/>
        <v>0</v>
      </c>
      <c r="O75" s="482">
        <f t="shared" si="49"/>
        <v>0</v>
      </c>
      <c r="P75" s="482">
        <f t="shared" si="50"/>
        <v>0</v>
      </c>
      <c r="Q75" s="451">
        <f t="shared" si="51"/>
        <v>750</v>
      </c>
      <c r="R75" s="452">
        <f t="shared" si="52"/>
        <v>3.261E-2</v>
      </c>
      <c r="S75" s="452">
        <v>0</v>
      </c>
      <c r="T75" s="452">
        <v>0</v>
      </c>
      <c r="U75" s="452">
        <f t="shared" si="53"/>
        <v>2.8920000000000001E-2</v>
      </c>
      <c r="V75" s="451">
        <f t="shared" si="54"/>
        <v>1.05</v>
      </c>
      <c r="W75" s="451">
        <f t="shared" si="55"/>
        <v>1.52</v>
      </c>
      <c r="X75" s="451">
        <f t="shared" si="56"/>
        <v>2.41</v>
      </c>
      <c r="Y75" s="453">
        <f t="shared" si="57"/>
        <v>750</v>
      </c>
      <c r="Z75" s="453">
        <f t="shared" si="58"/>
        <v>1516631.39</v>
      </c>
      <c r="AA75" s="453">
        <f t="shared" si="59"/>
        <v>194415.9</v>
      </c>
      <c r="AB75" s="453">
        <f t="shared" si="60"/>
        <v>281440.15999999997</v>
      </c>
      <c r="AC75" s="453">
        <f t="shared" si="61"/>
        <v>244345.08</v>
      </c>
      <c r="AD75" s="453">
        <f t="shared" si="62"/>
        <v>720201.1399999999</v>
      </c>
      <c r="AE75" s="493">
        <f t="shared" si="63"/>
        <v>2237582.5299999998</v>
      </c>
      <c r="AF75" s="453">
        <f t="shared" si="64"/>
        <v>2237581</v>
      </c>
      <c r="AG75" s="494">
        <f t="shared" si="65"/>
        <v>0.99999931622633831</v>
      </c>
      <c r="AH75" s="454">
        <f t="shared" si="66"/>
        <v>200012</v>
      </c>
      <c r="AI75" s="454">
        <f t="shared" si="67"/>
        <v>0</v>
      </c>
      <c r="AJ75" s="454">
        <f t="shared" si="68"/>
        <v>252311</v>
      </c>
      <c r="AK75" s="454">
        <f t="shared" si="69"/>
        <v>0</v>
      </c>
      <c r="AL75" s="454">
        <f t="shared" si="70"/>
        <v>0</v>
      </c>
      <c r="AM75" s="454">
        <f t="shared" si="71"/>
        <v>2689904</v>
      </c>
      <c r="AN75" s="491">
        <f t="shared" si="72"/>
        <v>2689905.53</v>
      </c>
      <c r="AO75" s="487">
        <f t="shared" si="73"/>
        <v>-1.529999999795109</v>
      </c>
      <c r="AP75" s="495">
        <f t="shared" si="74"/>
        <v>1345016.25</v>
      </c>
      <c r="AQ75" s="510">
        <f t="shared" si="75"/>
        <v>171615.1399999999</v>
      </c>
      <c r="AV75" s="459">
        <f>IF(BA75&gt;BA74,AV74,IF(AV74&lt;MiscData!$F$1,EOMONTH(AV74,1),EOMONTH(AV74,-11)))</f>
        <v>42429</v>
      </c>
      <c r="AW75" s="448" t="str">
        <f t="shared" si="76"/>
        <v>20140101KUINE730</v>
      </c>
      <c r="AX75" s="457" t="str">
        <f t="shared" si="77"/>
        <v>20140101FLST</v>
      </c>
      <c r="AY75" s="439">
        <f>IF(AV75&lt;=MiscData!$B$23,MiscData!$C$23,IF(AV75&lt;=MiscData!$B$24,MiscData!$C$24,MiscData!$C$25))</f>
        <v>20140101</v>
      </c>
      <c r="AZ75" s="439" t="str">
        <f>VLOOKUP(BA75,MiscData!$V$4:$W$42,2,FALSE)</f>
        <v>KUINE730</v>
      </c>
      <c r="BA75" s="439">
        <f>IF(BA74=MiscData!$V$42,1,BA74+1)</f>
        <v>33</v>
      </c>
      <c r="BB75" s="439" t="str">
        <f>VLOOKUP(AZ75,MiscData!$W$4:$Y$42,3,FALSE)</f>
        <v>FLST</v>
      </c>
    </row>
    <row r="76" spans="1:54" hidden="1">
      <c r="A76" s="448">
        <f t="shared" si="78"/>
        <v>67</v>
      </c>
      <c r="B76" s="448" t="str">
        <f t="shared" si="40"/>
        <v>Feb 2016</v>
      </c>
      <c r="C76" s="448" t="s">
        <v>14</v>
      </c>
      <c r="D76" s="449" t="str">
        <f t="shared" si="41"/>
        <v>RS</v>
      </c>
      <c r="E76" s="449" t="str">
        <f t="shared" si="42"/>
        <v>KURSE010</v>
      </c>
      <c r="F76" s="450">
        <f t="shared" si="43"/>
        <v>430450</v>
      </c>
      <c r="G76" s="450">
        <v>0</v>
      </c>
      <c r="H76" s="450">
        <v>0</v>
      </c>
      <c r="I76" s="450">
        <v>0</v>
      </c>
      <c r="J76" s="450">
        <f t="shared" si="44"/>
        <v>640535387</v>
      </c>
      <c r="K76" s="482">
        <f t="shared" si="45"/>
        <v>0</v>
      </c>
      <c r="L76" s="482">
        <f t="shared" si="46"/>
        <v>0</v>
      </c>
      <c r="M76" s="482">
        <f t="shared" si="47"/>
        <v>0</v>
      </c>
      <c r="N76" s="482">
        <f t="shared" si="48"/>
        <v>0</v>
      </c>
      <c r="O76" s="482">
        <f t="shared" si="49"/>
        <v>0</v>
      </c>
      <c r="P76" s="482">
        <f t="shared" si="50"/>
        <v>0</v>
      </c>
      <c r="Q76" s="451">
        <f t="shared" si="51"/>
        <v>10.75</v>
      </c>
      <c r="R76" s="452">
        <f t="shared" si="52"/>
        <v>7.7439999999999995E-2</v>
      </c>
      <c r="S76" s="452">
        <v>0</v>
      </c>
      <c r="T76" s="452">
        <v>0</v>
      </c>
      <c r="U76" s="452">
        <f t="shared" si="53"/>
        <v>2.8920000000000001E-2</v>
      </c>
      <c r="V76" s="451">
        <f t="shared" si="54"/>
        <v>0</v>
      </c>
      <c r="W76" s="451">
        <f t="shared" si="55"/>
        <v>0</v>
      </c>
      <c r="X76" s="451">
        <f t="shared" si="56"/>
        <v>0</v>
      </c>
      <c r="Y76" s="453">
        <f t="shared" si="57"/>
        <v>4627337.5</v>
      </c>
      <c r="Z76" s="453">
        <f t="shared" si="58"/>
        <v>49603060.369999997</v>
      </c>
      <c r="AA76" s="453">
        <f t="shared" si="59"/>
        <v>0</v>
      </c>
      <c r="AB76" s="453">
        <f t="shared" si="60"/>
        <v>0</v>
      </c>
      <c r="AC76" s="453">
        <f t="shared" si="61"/>
        <v>0</v>
      </c>
      <c r="AD76" s="453">
        <f t="shared" si="62"/>
        <v>0</v>
      </c>
      <c r="AE76" s="493">
        <f t="shared" si="63"/>
        <v>54230397.869999997</v>
      </c>
      <c r="AF76" s="453">
        <f t="shared" si="64"/>
        <v>54230983</v>
      </c>
      <c r="AG76" s="494">
        <f t="shared" si="65"/>
        <v>1.0000107897050914</v>
      </c>
      <c r="AH76" s="454">
        <f t="shared" si="66"/>
        <v>2754707</v>
      </c>
      <c r="AI76" s="454">
        <f t="shared" si="67"/>
        <v>614585</v>
      </c>
      <c r="AJ76" s="454">
        <f t="shared" si="68"/>
        <v>3475000</v>
      </c>
      <c r="AK76" s="454">
        <f t="shared" si="69"/>
        <v>0</v>
      </c>
      <c r="AL76" s="454">
        <f t="shared" si="70"/>
        <v>0</v>
      </c>
      <c r="AM76" s="454">
        <f t="shared" si="71"/>
        <v>61075275</v>
      </c>
      <c r="AN76" s="491">
        <f t="shared" si="72"/>
        <v>61074689.869999997</v>
      </c>
      <c r="AO76" s="487">
        <f t="shared" si="73"/>
        <v>585.13000000268221</v>
      </c>
      <c r="AP76" s="495">
        <f t="shared" si="74"/>
        <v>18524283.390000001</v>
      </c>
      <c r="AQ76" s="496">
        <f t="shared" si="75"/>
        <v>31078776.979999997</v>
      </c>
      <c r="AV76" s="459">
        <f>IF(BA76&gt;BA75,AV75,IF(AV75&lt;MiscData!$F$1,EOMONTH(AV75,1),EOMONTH(AV75,-11)))</f>
        <v>42429</v>
      </c>
      <c r="AW76" s="448" t="str">
        <f t="shared" si="76"/>
        <v>20140101KURSE010</v>
      </c>
      <c r="AX76" s="457" t="str">
        <f t="shared" si="77"/>
        <v>20140101RS</v>
      </c>
      <c r="AY76" s="439">
        <f>IF(AV76&lt;=MiscData!$B$23,MiscData!$C$23,IF(AV76&lt;=MiscData!$B$24,MiscData!$C$24,MiscData!$C$25))</f>
        <v>20140101</v>
      </c>
      <c r="AZ76" s="439" t="str">
        <f>VLOOKUP(BA76,MiscData!$V$4:$W$42,2,FALSE)</f>
        <v>KURSE010</v>
      </c>
      <c r="BA76" s="439">
        <f>IF(BA75=MiscData!$V$42,1,BA75+1)</f>
        <v>34</v>
      </c>
      <c r="BB76" s="439" t="str">
        <f>VLOOKUP(AZ76,MiscData!$W$4:$Y$42,3,FALSE)</f>
        <v>RS</v>
      </c>
    </row>
    <row r="77" spans="1:54" hidden="1">
      <c r="A77" s="448">
        <f t="shared" si="78"/>
        <v>68</v>
      </c>
      <c r="B77" s="448" t="str">
        <f t="shared" si="40"/>
        <v>Feb 2016</v>
      </c>
      <c r="C77" s="448" t="s">
        <v>14</v>
      </c>
      <c r="D77" s="449" t="str">
        <f t="shared" si="41"/>
        <v>RS</v>
      </c>
      <c r="E77" s="449" t="str">
        <f t="shared" si="42"/>
        <v>KURSE020</v>
      </c>
      <c r="F77" s="450">
        <f t="shared" si="43"/>
        <v>0</v>
      </c>
      <c r="G77" s="450">
        <v>0</v>
      </c>
      <c r="H77" s="450">
        <v>0</v>
      </c>
      <c r="I77" s="450">
        <v>0</v>
      </c>
      <c r="J77" s="450">
        <f t="shared" si="44"/>
        <v>0</v>
      </c>
      <c r="K77" s="482">
        <f t="shared" si="45"/>
        <v>0</v>
      </c>
      <c r="L77" s="482">
        <f t="shared" si="46"/>
        <v>0</v>
      </c>
      <c r="M77" s="482">
        <f t="shared" si="47"/>
        <v>0</v>
      </c>
      <c r="N77" s="482">
        <f t="shared" si="48"/>
        <v>0</v>
      </c>
      <c r="O77" s="482">
        <f t="shared" si="49"/>
        <v>0</v>
      </c>
      <c r="P77" s="482">
        <f t="shared" si="50"/>
        <v>0</v>
      </c>
      <c r="Q77" s="451">
        <f t="shared" si="51"/>
        <v>10.75</v>
      </c>
      <c r="R77" s="452">
        <f t="shared" si="52"/>
        <v>7.7439999999999995E-2</v>
      </c>
      <c r="S77" s="452">
        <v>0</v>
      </c>
      <c r="T77" s="452">
        <v>0</v>
      </c>
      <c r="U77" s="452">
        <f t="shared" si="53"/>
        <v>2.8920000000000001E-2</v>
      </c>
      <c r="V77" s="451">
        <f t="shared" si="54"/>
        <v>0</v>
      </c>
      <c r="W77" s="451">
        <f t="shared" si="55"/>
        <v>0</v>
      </c>
      <c r="X77" s="451">
        <f t="shared" si="56"/>
        <v>0</v>
      </c>
      <c r="Y77" s="453">
        <f t="shared" si="57"/>
        <v>0</v>
      </c>
      <c r="Z77" s="453">
        <f t="shared" si="58"/>
        <v>0</v>
      </c>
      <c r="AA77" s="453">
        <f t="shared" si="59"/>
        <v>0</v>
      </c>
      <c r="AB77" s="453">
        <f t="shared" si="60"/>
        <v>0</v>
      </c>
      <c r="AC77" s="453">
        <f t="shared" si="61"/>
        <v>0</v>
      </c>
      <c r="AD77" s="453">
        <f t="shared" si="62"/>
        <v>0</v>
      </c>
      <c r="AE77" s="493">
        <f t="shared" si="63"/>
        <v>0</v>
      </c>
      <c r="AF77" s="453">
        <f t="shared" si="64"/>
        <v>0</v>
      </c>
      <c r="AG77" s="494">
        <f t="shared" si="65"/>
        <v>1</v>
      </c>
      <c r="AH77" s="454">
        <f t="shared" si="66"/>
        <v>0</v>
      </c>
      <c r="AI77" s="454">
        <f t="shared" si="67"/>
        <v>0</v>
      </c>
      <c r="AJ77" s="454">
        <f t="shared" si="68"/>
        <v>0</v>
      </c>
      <c r="AK77" s="454">
        <f t="shared" si="69"/>
        <v>0</v>
      </c>
      <c r="AL77" s="454">
        <f t="shared" si="70"/>
        <v>0</v>
      </c>
      <c r="AM77" s="454">
        <f t="shared" si="71"/>
        <v>0</v>
      </c>
      <c r="AN77" s="491">
        <f t="shared" si="72"/>
        <v>0</v>
      </c>
      <c r="AO77" s="487">
        <f t="shared" si="73"/>
        <v>0</v>
      </c>
      <c r="AP77" s="495">
        <f t="shared" si="74"/>
        <v>0</v>
      </c>
      <c r="AQ77" s="496">
        <f t="shared" si="75"/>
        <v>0</v>
      </c>
      <c r="AV77" s="459">
        <f>IF(BA77&gt;BA76,AV76,IF(AV76&lt;MiscData!$F$1,EOMONTH(AV76,1),EOMONTH(AV76,-11)))</f>
        <v>42429</v>
      </c>
      <c r="AW77" s="448" t="str">
        <f t="shared" si="76"/>
        <v>20140101KURSE020</v>
      </c>
      <c r="AX77" s="457" t="str">
        <f t="shared" si="77"/>
        <v>20140101RS</v>
      </c>
      <c r="AY77" s="439">
        <f>IF(AV77&lt;=MiscData!$B$23,MiscData!$C$23,IF(AV77&lt;=MiscData!$B$24,MiscData!$C$24,MiscData!$C$25))</f>
        <v>20140101</v>
      </c>
      <c r="AZ77" s="439" t="str">
        <f>VLOOKUP(BA77,MiscData!$V$4:$W$42,2,FALSE)</f>
        <v>KURSE020</v>
      </c>
      <c r="BA77" s="439">
        <f>IF(BA76=MiscData!$V$42,1,BA76+1)</f>
        <v>35</v>
      </c>
      <c r="BB77" s="439" t="str">
        <f>VLOOKUP(AZ77,MiscData!$W$4:$Y$42,3,FALSE)</f>
        <v>RS</v>
      </c>
    </row>
    <row r="78" spans="1:54" hidden="1">
      <c r="A78" s="448">
        <f t="shared" si="78"/>
        <v>69</v>
      </c>
      <c r="B78" s="448" t="str">
        <f t="shared" si="40"/>
        <v>Feb 2016</v>
      </c>
      <c r="C78" s="448" t="s">
        <v>14</v>
      </c>
      <c r="D78" s="449" t="str">
        <f t="shared" si="41"/>
        <v>RS</v>
      </c>
      <c r="E78" s="449" t="str">
        <f t="shared" si="42"/>
        <v>KURSE025</v>
      </c>
      <c r="F78" s="450">
        <f t="shared" si="43"/>
        <v>0</v>
      </c>
      <c r="G78" s="450">
        <v>0</v>
      </c>
      <c r="H78" s="450">
        <v>0</v>
      </c>
      <c r="I78" s="450">
        <v>0</v>
      </c>
      <c r="J78" s="450">
        <f t="shared" si="44"/>
        <v>0</v>
      </c>
      <c r="K78" s="482">
        <f t="shared" si="45"/>
        <v>0</v>
      </c>
      <c r="L78" s="482">
        <f t="shared" si="46"/>
        <v>0</v>
      </c>
      <c r="M78" s="482">
        <f t="shared" si="47"/>
        <v>0</v>
      </c>
      <c r="N78" s="482">
        <f t="shared" si="48"/>
        <v>0</v>
      </c>
      <c r="O78" s="482">
        <f t="shared" si="49"/>
        <v>0</v>
      </c>
      <c r="P78" s="482">
        <f t="shared" si="50"/>
        <v>0</v>
      </c>
      <c r="Q78" s="451">
        <f t="shared" si="51"/>
        <v>10.75</v>
      </c>
      <c r="R78" s="452">
        <f t="shared" si="52"/>
        <v>7.7439999999999995E-2</v>
      </c>
      <c r="S78" s="452">
        <v>0</v>
      </c>
      <c r="T78" s="452">
        <v>0</v>
      </c>
      <c r="U78" s="452">
        <f t="shared" si="53"/>
        <v>2.8920000000000001E-2</v>
      </c>
      <c r="V78" s="451">
        <f t="shared" si="54"/>
        <v>0</v>
      </c>
      <c r="W78" s="451">
        <f t="shared" si="55"/>
        <v>0</v>
      </c>
      <c r="X78" s="451">
        <f t="shared" si="56"/>
        <v>0</v>
      </c>
      <c r="Y78" s="453">
        <f t="shared" si="57"/>
        <v>0</v>
      </c>
      <c r="Z78" s="453">
        <f t="shared" si="58"/>
        <v>0</v>
      </c>
      <c r="AA78" s="453">
        <f t="shared" si="59"/>
        <v>0</v>
      </c>
      <c r="AB78" s="453">
        <f t="shared" si="60"/>
        <v>0</v>
      </c>
      <c r="AC78" s="453">
        <f t="shared" si="61"/>
        <v>0</v>
      </c>
      <c r="AD78" s="453">
        <f t="shared" si="62"/>
        <v>0</v>
      </c>
      <c r="AE78" s="493">
        <f t="shared" si="63"/>
        <v>0</v>
      </c>
      <c r="AF78" s="453">
        <f t="shared" si="64"/>
        <v>0</v>
      </c>
      <c r="AG78" s="494">
        <f t="shared" si="65"/>
        <v>1</v>
      </c>
      <c r="AH78" s="454">
        <f t="shared" si="66"/>
        <v>0</v>
      </c>
      <c r="AI78" s="454">
        <f t="shared" si="67"/>
        <v>0</v>
      </c>
      <c r="AJ78" s="454">
        <f t="shared" si="68"/>
        <v>0</v>
      </c>
      <c r="AK78" s="454">
        <f t="shared" si="69"/>
        <v>0</v>
      </c>
      <c r="AL78" s="454">
        <f t="shared" si="70"/>
        <v>0</v>
      </c>
      <c r="AM78" s="454">
        <f t="shared" si="71"/>
        <v>0</v>
      </c>
      <c r="AN78" s="491">
        <f t="shared" si="72"/>
        <v>0</v>
      </c>
      <c r="AO78" s="487">
        <f t="shared" si="73"/>
        <v>0</v>
      </c>
      <c r="AP78" s="495">
        <f t="shared" si="74"/>
        <v>0</v>
      </c>
      <c r="AQ78" s="496">
        <f t="shared" si="75"/>
        <v>0</v>
      </c>
      <c r="AV78" s="459">
        <f>IF(BA78&gt;BA77,AV77,IF(AV77&lt;MiscData!$F$1,EOMONTH(AV77,1),EOMONTH(AV77,-11)))</f>
        <v>42429</v>
      </c>
      <c r="AW78" s="448" t="str">
        <f t="shared" si="76"/>
        <v>20140101KURSE025</v>
      </c>
      <c r="AX78" s="457" t="str">
        <f t="shared" si="77"/>
        <v>20140101RS</v>
      </c>
      <c r="AY78" s="439">
        <f>IF(AV78&lt;=MiscData!$B$23,MiscData!$C$23,IF(AV78&lt;=MiscData!$B$24,MiscData!$C$24,MiscData!$C$25))</f>
        <v>20140101</v>
      </c>
      <c r="AZ78" s="439" t="str">
        <f>VLOOKUP(BA78,MiscData!$V$4:$W$42,2,FALSE)</f>
        <v>KURSE025</v>
      </c>
      <c r="BA78" s="439">
        <f>IF(BA77=MiscData!$V$42,1,BA77+1)</f>
        <v>36</v>
      </c>
      <c r="BB78" s="439" t="str">
        <f>VLOOKUP(AZ78,MiscData!$W$4:$Y$42,3,FALSE)</f>
        <v>RS</v>
      </c>
    </row>
    <row r="79" spans="1:54" hidden="1">
      <c r="A79" s="448">
        <f t="shared" si="78"/>
        <v>70</v>
      </c>
      <c r="B79" s="448" t="str">
        <f t="shared" si="40"/>
        <v>Feb 2016</v>
      </c>
      <c r="C79" s="448" t="s">
        <v>828</v>
      </c>
      <c r="D79" s="449" t="str">
        <f t="shared" si="41"/>
        <v>RSLEV</v>
      </c>
      <c r="E79" s="449" t="str">
        <f t="shared" si="42"/>
        <v>KURSE040</v>
      </c>
      <c r="F79" s="450">
        <f t="shared" si="43"/>
        <v>7</v>
      </c>
      <c r="G79" s="450">
        <f>SUMIFS(_1022_KWH_P1,_1022_RevenueMonth,$B79,_1022_RateCategory,$E79)</f>
        <v>4008</v>
      </c>
      <c r="H79" s="450">
        <f>SUMIFS(_1022_KWH_P2,_1022_RevenueMonth,$B79,_1022_RateCategory,$E79)</f>
        <v>1620</v>
      </c>
      <c r="I79" s="450">
        <f>SUMIFS(_1022_KWH_P3,_1022_RevenueMonth,$B79,_1022_RateCategory,$E79)</f>
        <v>908</v>
      </c>
      <c r="J79" s="450">
        <f t="shared" si="44"/>
        <v>6536</v>
      </c>
      <c r="K79" s="482">
        <f t="shared" si="45"/>
        <v>0</v>
      </c>
      <c r="L79" s="482">
        <f t="shared" si="46"/>
        <v>0</v>
      </c>
      <c r="M79" s="482">
        <f t="shared" si="47"/>
        <v>0</v>
      </c>
      <c r="N79" s="482">
        <f t="shared" si="48"/>
        <v>0</v>
      </c>
      <c r="O79" s="482">
        <f t="shared" si="49"/>
        <v>0</v>
      </c>
      <c r="P79" s="482">
        <f t="shared" si="50"/>
        <v>0</v>
      </c>
      <c r="Q79" s="451">
        <f t="shared" si="51"/>
        <v>10.75</v>
      </c>
      <c r="R79" s="452">
        <f t="shared" si="52"/>
        <v>5.5870000000000003E-2</v>
      </c>
      <c r="S79" s="452">
        <f>SUMIF(_Rates_Tariff_Category,$AW79,_Rates_Energy_P2)</f>
        <v>7.7630000000000005E-2</v>
      </c>
      <c r="T79" s="452">
        <f>SUMIF(_Rates_Tariff_Category,$AW79,_Rates_Energy_P3)</f>
        <v>0.14297000000000001</v>
      </c>
      <c r="U79" s="452">
        <f t="shared" si="53"/>
        <v>2.8920000000000001E-2</v>
      </c>
      <c r="V79" s="451">
        <f t="shared" si="54"/>
        <v>0</v>
      </c>
      <c r="W79" s="451">
        <f t="shared" si="55"/>
        <v>0</v>
      </c>
      <c r="X79" s="451">
        <f t="shared" si="56"/>
        <v>0</v>
      </c>
      <c r="Y79" s="453">
        <f t="shared" si="57"/>
        <v>75.25</v>
      </c>
      <c r="Z79" s="453">
        <f t="shared" si="58"/>
        <v>479.5</v>
      </c>
      <c r="AA79" s="453">
        <f t="shared" si="59"/>
        <v>0</v>
      </c>
      <c r="AB79" s="453">
        <f t="shared" si="60"/>
        <v>0</v>
      </c>
      <c r="AC79" s="453">
        <f t="shared" si="61"/>
        <v>0</v>
      </c>
      <c r="AD79" s="453">
        <f t="shared" si="62"/>
        <v>0</v>
      </c>
      <c r="AE79" s="493">
        <f t="shared" si="63"/>
        <v>554.75</v>
      </c>
      <c r="AF79" s="453">
        <f t="shared" si="64"/>
        <v>0</v>
      </c>
      <c r="AG79" s="494">
        <f t="shared" si="65"/>
        <v>0</v>
      </c>
      <c r="AH79" s="454">
        <f t="shared" si="66"/>
        <v>0</v>
      </c>
      <c r="AI79" s="454">
        <f t="shared" si="67"/>
        <v>0</v>
      </c>
      <c r="AJ79" s="454">
        <f t="shared" si="68"/>
        <v>0</v>
      </c>
      <c r="AK79" s="454">
        <f t="shared" si="69"/>
        <v>0</v>
      </c>
      <c r="AL79" s="454">
        <f t="shared" si="70"/>
        <v>0</v>
      </c>
      <c r="AM79" s="454">
        <f t="shared" si="71"/>
        <v>0</v>
      </c>
      <c r="AN79" s="491">
        <f t="shared" si="72"/>
        <v>554.75</v>
      </c>
      <c r="AO79" s="487">
        <f t="shared" si="73"/>
        <v>-554.75</v>
      </c>
      <c r="AP79" s="495">
        <f t="shared" si="74"/>
        <v>189.02</v>
      </c>
      <c r="AQ79" s="496">
        <f t="shared" si="75"/>
        <v>290.48</v>
      </c>
      <c r="AV79" s="459">
        <f>IF(BA79&gt;BA78,AV78,IF(AV78&lt;MiscData!$F$1,EOMONTH(AV78,1),EOMONTH(AV78,-11)))</f>
        <v>42429</v>
      </c>
      <c r="AW79" s="448" t="str">
        <f t="shared" si="76"/>
        <v>20140101KURSE040</v>
      </c>
      <c r="AX79" s="457" t="str">
        <f t="shared" si="77"/>
        <v>20140101RSLEV</v>
      </c>
      <c r="AY79" s="439">
        <f>IF(AV79&lt;=MiscData!$B$23,MiscData!$C$23,IF(AV79&lt;=MiscData!$B$24,MiscData!$C$24,MiscData!$C$25))</f>
        <v>20140101</v>
      </c>
      <c r="AZ79" s="439" t="str">
        <f>VLOOKUP(BA79,MiscData!$V$4:$W$42,2,FALSE)</f>
        <v>KURSE040</v>
      </c>
      <c r="BA79" s="439">
        <f>IF(BA78=MiscData!$V$42,1,BA78+1)</f>
        <v>37</v>
      </c>
      <c r="BB79" s="439" t="str">
        <f>VLOOKUP(AZ79,MiscData!$W$4:$Y$42,3,FALSE)</f>
        <v>RSLEV</v>
      </c>
    </row>
    <row r="80" spans="1:54" hidden="1">
      <c r="A80" s="448">
        <f t="shared" si="78"/>
        <v>71</v>
      </c>
      <c r="B80" s="448" t="str">
        <f t="shared" si="40"/>
        <v>Feb 2016</v>
      </c>
      <c r="C80" s="448" t="s">
        <v>14</v>
      </c>
      <c r="D80" s="449" t="str">
        <f t="shared" si="41"/>
        <v>RSVFD</v>
      </c>
      <c r="E80" s="449" t="str">
        <f t="shared" si="42"/>
        <v>KURSE080</v>
      </c>
      <c r="F80" s="450">
        <f t="shared" si="43"/>
        <v>0</v>
      </c>
      <c r="G80" s="450">
        <v>0</v>
      </c>
      <c r="H80" s="450">
        <v>0</v>
      </c>
      <c r="I80" s="450">
        <v>0</v>
      </c>
      <c r="J80" s="450">
        <f t="shared" si="44"/>
        <v>0</v>
      </c>
      <c r="K80" s="482">
        <f t="shared" si="45"/>
        <v>0</v>
      </c>
      <c r="L80" s="482">
        <f t="shared" si="46"/>
        <v>0</v>
      </c>
      <c r="M80" s="482">
        <f t="shared" si="47"/>
        <v>0</v>
      </c>
      <c r="N80" s="482">
        <f t="shared" si="48"/>
        <v>0</v>
      </c>
      <c r="O80" s="482">
        <f t="shared" si="49"/>
        <v>0</v>
      </c>
      <c r="P80" s="482">
        <f t="shared" si="50"/>
        <v>0</v>
      </c>
      <c r="Q80" s="451">
        <f t="shared" si="51"/>
        <v>10.75</v>
      </c>
      <c r="R80" s="452">
        <f t="shared" si="52"/>
        <v>7.7439999999999995E-2</v>
      </c>
      <c r="S80" s="452">
        <v>0</v>
      </c>
      <c r="T80" s="452">
        <v>0</v>
      </c>
      <c r="U80" s="452">
        <f t="shared" si="53"/>
        <v>2.8920000000000001E-2</v>
      </c>
      <c r="V80" s="451">
        <f t="shared" si="54"/>
        <v>0</v>
      </c>
      <c r="W80" s="451">
        <f t="shared" si="55"/>
        <v>0</v>
      </c>
      <c r="X80" s="451">
        <f t="shared" si="56"/>
        <v>0</v>
      </c>
      <c r="Y80" s="453">
        <f t="shared" si="57"/>
        <v>0</v>
      </c>
      <c r="Z80" s="453">
        <f t="shared" si="58"/>
        <v>0</v>
      </c>
      <c r="AA80" s="453">
        <f t="shared" si="59"/>
        <v>0</v>
      </c>
      <c r="AB80" s="453">
        <f t="shared" si="60"/>
        <v>0</v>
      </c>
      <c r="AC80" s="453">
        <f t="shared" si="61"/>
        <v>0</v>
      </c>
      <c r="AD80" s="453">
        <f t="shared" si="62"/>
        <v>0</v>
      </c>
      <c r="AE80" s="493">
        <f t="shared" si="63"/>
        <v>0</v>
      </c>
      <c r="AF80" s="453">
        <f t="shared" si="64"/>
        <v>0</v>
      </c>
      <c r="AG80" s="494">
        <f t="shared" si="65"/>
        <v>1</v>
      </c>
      <c r="AH80" s="454">
        <f t="shared" si="66"/>
        <v>0</v>
      </c>
      <c r="AI80" s="454">
        <f t="shared" si="67"/>
        <v>0</v>
      </c>
      <c r="AJ80" s="454">
        <f t="shared" si="68"/>
        <v>0</v>
      </c>
      <c r="AK80" s="454">
        <f t="shared" si="69"/>
        <v>0</v>
      </c>
      <c r="AL80" s="454">
        <f t="shared" si="70"/>
        <v>0</v>
      </c>
      <c r="AM80" s="454">
        <f t="shared" si="71"/>
        <v>0</v>
      </c>
      <c r="AN80" s="491">
        <f t="shared" si="72"/>
        <v>0</v>
      </c>
      <c r="AO80" s="487">
        <f t="shared" si="73"/>
        <v>0</v>
      </c>
      <c r="AP80" s="495">
        <f t="shared" si="74"/>
        <v>0</v>
      </c>
      <c r="AQ80" s="496">
        <f t="shared" si="75"/>
        <v>0</v>
      </c>
      <c r="AV80" s="459">
        <f>IF(BA80&gt;BA79,AV79,IF(AV79&lt;MiscData!$F$1,EOMONTH(AV79,1),EOMONTH(AV79,-11)))</f>
        <v>42429</v>
      </c>
      <c r="AW80" s="448" t="str">
        <f t="shared" si="76"/>
        <v>20140101KURSE080</v>
      </c>
      <c r="AX80" s="457" t="str">
        <f t="shared" si="77"/>
        <v>20140101RSVFD</v>
      </c>
      <c r="AY80" s="439">
        <f>IF(AV80&lt;=MiscData!$B$23,MiscData!$C$23,IF(AV80&lt;=MiscData!$B$24,MiscData!$C$24,MiscData!$C$25))</f>
        <v>20140101</v>
      </c>
      <c r="AZ80" s="439" t="str">
        <f>VLOOKUP(BA80,MiscData!$V$4:$W$42,2,FALSE)</f>
        <v>KURSE080</v>
      </c>
      <c r="BA80" s="439">
        <f>IF(BA79=MiscData!$V$42,1,BA79+1)</f>
        <v>38</v>
      </c>
      <c r="BB80" s="439" t="str">
        <f>VLOOKUP(AZ80,MiscData!$W$4:$Y$42,3,FALSE)</f>
        <v>RSVFD</v>
      </c>
    </row>
    <row r="81" spans="1:55" s="511" customFormat="1" hidden="1">
      <c r="A81" s="499">
        <f t="shared" si="78"/>
        <v>72</v>
      </c>
      <c r="B81" s="499" t="str">
        <f t="shared" si="40"/>
        <v>Feb 2016</v>
      </c>
      <c r="C81" s="499" t="s">
        <v>14</v>
      </c>
      <c r="D81" s="500" t="str">
        <f t="shared" si="41"/>
        <v>RS</v>
      </c>
      <c r="E81" s="500" t="str">
        <f t="shared" si="42"/>
        <v>KURSE715</v>
      </c>
      <c r="F81" s="501">
        <f t="shared" si="43"/>
        <v>0</v>
      </c>
      <c r="G81" s="501">
        <v>0</v>
      </c>
      <c r="H81" s="501">
        <v>0</v>
      </c>
      <c r="I81" s="501">
        <v>0</v>
      </c>
      <c r="J81" s="501">
        <f t="shared" si="44"/>
        <v>0</v>
      </c>
      <c r="K81" s="502">
        <f t="shared" si="45"/>
        <v>0</v>
      </c>
      <c r="L81" s="502">
        <f t="shared" si="46"/>
        <v>0</v>
      </c>
      <c r="M81" s="502">
        <f t="shared" si="47"/>
        <v>0</v>
      </c>
      <c r="N81" s="502">
        <f t="shared" si="48"/>
        <v>0</v>
      </c>
      <c r="O81" s="502">
        <f t="shared" si="49"/>
        <v>0</v>
      </c>
      <c r="P81" s="502">
        <f t="shared" si="50"/>
        <v>0</v>
      </c>
      <c r="Q81" s="503">
        <f t="shared" si="51"/>
        <v>10.75</v>
      </c>
      <c r="R81" s="504">
        <f t="shared" si="52"/>
        <v>7.7439999999999995E-2</v>
      </c>
      <c r="S81" s="504">
        <v>0</v>
      </c>
      <c r="T81" s="504">
        <v>0</v>
      </c>
      <c r="U81" s="504">
        <f t="shared" si="53"/>
        <v>2.8920000000000001E-2</v>
      </c>
      <c r="V81" s="503">
        <f t="shared" si="54"/>
        <v>0</v>
      </c>
      <c r="W81" s="503">
        <f t="shared" si="55"/>
        <v>0</v>
      </c>
      <c r="X81" s="503">
        <f t="shared" si="56"/>
        <v>0</v>
      </c>
      <c r="Y81" s="453">
        <f t="shared" si="57"/>
        <v>0</v>
      </c>
      <c r="Z81" s="453">
        <f t="shared" si="58"/>
        <v>0</v>
      </c>
      <c r="AA81" s="453">
        <f t="shared" si="59"/>
        <v>0</v>
      </c>
      <c r="AB81" s="453">
        <f t="shared" si="60"/>
        <v>0</v>
      </c>
      <c r="AC81" s="453">
        <f t="shared" si="61"/>
        <v>0</v>
      </c>
      <c r="AD81" s="493">
        <f t="shared" si="62"/>
        <v>0</v>
      </c>
      <c r="AE81" s="493">
        <f t="shared" si="63"/>
        <v>0</v>
      </c>
      <c r="AF81" s="493">
        <f t="shared" si="64"/>
        <v>0</v>
      </c>
      <c r="AG81" s="494">
        <f t="shared" si="65"/>
        <v>1</v>
      </c>
      <c r="AH81" s="505">
        <f t="shared" si="66"/>
        <v>0</v>
      </c>
      <c r="AI81" s="505">
        <f t="shared" si="67"/>
        <v>0</v>
      </c>
      <c r="AJ81" s="505">
        <f t="shared" si="68"/>
        <v>0</v>
      </c>
      <c r="AK81" s="505">
        <f t="shared" si="69"/>
        <v>0</v>
      </c>
      <c r="AL81" s="505">
        <f t="shared" si="70"/>
        <v>0</v>
      </c>
      <c r="AM81" s="505">
        <f t="shared" si="71"/>
        <v>0</v>
      </c>
      <c r="AN81" s="506">
        <f t="shared" si="72"/>
        <v>0</v>
      </c>
      <c r="AO81" s="507">
        <f t="shared" si="73"/>
        <v>0</v>
      </c>
      <c r="AP81" s="508">
        <f t="shared" si="74"/>
        <v>0</v>
      </c>
      <c r="AQ81" s="510">
        <f t="shared" si="75"/>
        <v>0</v>
      </c>
      <c r="AV81" s="512">
        <f>IF(BA81&gt;BA80,AV80,IF(AV80&lt;MiscData!$F$1,EOMONTH(AV80,1),EOMONTH(AV80,-11)))</f>
        <v>42429</v>
      </c>
      <c r="AW81" s="499" t="str">
        <f t="shared" si="76"/>
        <v>20140101KURSE715</v>
      </c>
      <c r="AX81" s="513" t="str">
        <f t="shared" si="77"/>
        <v>20140101RS</v>
      </c>
      <c r="AY81" s="511">
        <f>IF(AV81&lt;=MiscData!$B$23,MiscData!$C$23,IF(AV81&lt;=MiscData!$B$24,MiscData!$C$24,MiscData!$C$25))</f>
        <v>20140101</v>
      </c>
      <c r="AZ81" s="511" t="str">
        <f>VLOOKUP(BA81,MiscData!$V$4:$W$42,2,FALSE)</f>
        <v>KURSE715</v>
      </c>
      <c r="BA81" s="439">
        <f>IF(BA80=MiscData!$V$42,1,BA80+1)</f>
        <v>39</v>
      </c>
      <c r="BB81" s="511" t="str">
        <f>VLOOKUP(AZ81,MiscData!$W$4:$Y$42,3,FALSE)</f>
        <v>RS</v>
      </c>
      <c r="BC81" s="777"/>
    </row>
    <row r="82" spans="1:55" hidden="1">
      <c r="A82" s="448">
        <f t="shared" si="78"/>
        <v>73</v>
      </c>
      <c r="B82" s="448" t="str">
        <f t="shared" si="40"/>
        <v>Mar 2016</v>
      </c>
      <c r="C82" s="448" t="s">
        <v>18</v>
      </c>
      <c r="D82" s="449" t="str">
        <f t="shared" si="41"/>
        <v>RTS</v>
      </c>
      <c r="E82" s="449" t="str">
        <f t="shared" si="42"/>
        <v>KUCIE550</v>
      </c>
      <c r="F82" s="450">
        <f t="shared" si="43"/>
        <v>32</v>
      </c>
      <c r="G82" s="450">
        <v>0</v>
      </c>
      <c r="H82" s="450">
        <v>0</v>
      </c>
      <c r="I82" s="450">
        <v>0</v>
      </c>
      <c r="J82" s="450">
        <f t="shared" si="44"/>
        <v>134527236</v>
      </c>
      <c r="K82" s="482">
        <f t="shared" si="45"/>
        <v>301107</v>
      </c>
      <c r="L82" s="482">
        <f t="shared" si="46"/>
        <v>289470</v>
      </c>
      <c r="M82" s="482">
        <f t="shared" si="47"/>
        <v>284158</v>
      </c>
      <c r="N82" s="482">
        <f t="shared" si="48"/>
        <v>0</v>
      </c>
      <c r="O82" s="482">
        <f t="shared" si="49"/>
        <v>0</v>
      </c>
      <c r="P82" s="482">
        <f t="shared" si="50"/>
        <v>0</v>
      </c>
      <c r="Q82" s="451">
        <f t="shared" si="51"/>
        <v>750</v>
      </c>
      <c r="R82" s="452">
        <f t="shared" si="52"/>
        <v>3.6339999999999997E-2</v>
      </c>
      <c r="S82" s="452">
        <v>0</v>
      </c>
      <c r="T82" s="452">
        <v>0</v>
      </c>
      <c r="U82" s="452">
        <f t="shared" si="53"/>
        <v>2.8920000000000001E-2</v>
      </c>
      <c r="V82" s="451">
        <f t="shared" si="54"/>
        <v>1.34</v>
      </c>
      <c r="W82" s="451">
        <f t="shared" si="55"/>
        <v>2.87</v>
      </c>
      <c r="X82" s="451">
        <f t="shared" si="56"/>
        <v>3.97</v>
      </c>
      <c r="Y82" s="453">
        <f t="shared" si="57"/>
        <v>24000</v>
      </c>
      <c r="Z82" s="453">
        <f t="shared" si="58"/>
        <v>4888719.76</v>
      </c>
      <c r="AA82" s="453">
        <f t="shared" si="59"/>
        <v>403483.38</v>
      </c>
      <c r="AB82" s="453">
        <f t="shared" si="60"/>
        <v>830778.9</v>
      </c>
      <c r="AC82" s="453">
        <f t="shared" si="61"/>
        <v>1128107.26</v>
      </c>
      <c r="AD82" s="453">
        <f t="shared" si="62"/>
        <v>2362369.54</v>
      </c>
      <c r="AE82" s="493">
        <f t="shared" si="63"/>
        <v>7275089.2999999998</v>
      </c>
      <c r="AF82" s="453">
        <f t="shared" si="64"/>
        <v>7275090</v>
      </c>
      <c r="AG82" s="494">
        <f t="shared" si="65"/>
        <v>1.0000000962187503</v>
      </c>
      <c r="AH82" s="454">
        <f t="shared" si="66"/>
        <v>327305</v>
      </c>
      <c r="AI82" s="454">
        <f t="shared" si="67"/>
        <v>0</v>
      </c>
      <c r="AJ82" s="454">
        <f t="shared" si="68"/>
        <v>775280</v>
      </c>
      <c r="AK82" s="454">
        <f t="shared" si="69"/>
        <v>0</v>
      </c>
      <c r="AL82" s="454">
        <f t="shared" si="70"/>
        <v>0</v>
      </c>
      <c r="AM82" s="454">
        <f t="shared" si="71"/>
        <v>8377675</v>
      </c>
      <c r="AN82" s="491">
        <f t="shared" si="72"/>
        <v>8377674.2999999998</v>
      </c>
      <c r="AO82" s="487">
        <f t="shared" si="73"/>
        <v>0.70000000018626451</v>
      </c>
      <c r="AP82" s="495">
        <f t="shared" si="74"/>
        <v>3890527.67</v>
      </c>
      <c r="AQ82" s="496">
        <f t="shared" si="75"/>
        <v>998192.08999999985</v>
      </c>
      <c r="AV82" s="459">
        <f>IF(BA82&gt;BA81,AV81,IF(AV81&lt;MiscData!$F$1,EOMONTH(AV81,1),EOMONTH(AV81,-11)))</f>
        <v>42460</v>
      </c>
      <c r="AW82" s="448" t="str">
        <f t="shared" si="76"/>
        <v>20140101KUCIE550</v>
      </c>
      <c r="AX82" s="457" t="str">
        <f t="shared" si="77"/>
        <v>20140101RTS</v>
      </c>
      <c r="AY82" s="439">
        <f>IF(AV82&lt;=MiscData!$B$23,MiscData!$C$23,IF(AV82&lt;=MiscData!$B$24,MiscData!$C$24,MiscData!$C$25))</f>
        <v>20140101</v>
      </c>
      <c r="AZ82" s="439" t="str">
        <f>VLOOKUP(BA82,MiscData!$V$4:$W$42,2,FALSE)</f>
        <v>KUCIE550</v>
      </c>
      <c r="BA82" s="439">
        <f>IF(BA81=MiscData!$V$42,1,BA81+1)</f>
        <v>1</v>
      </c>
      <c r="BB82" s="439" t="str">
        <f>VLOOKUP(AZ82,MiscData!$W$4:$Y$42,3,FALSE)</f>
        <v>RTS</v>
      </c>
    </row>
    <row r="83" spans="1:55" hidden="1">
      <c r="A83" s="448">
        <f t="shared" si="78"/>
        <v>74</v>
      </c>
      <c r="B83" s="448" t="str">
        <f t="shared" si="40"/>
        <v>Mar 2016</v>
      </c>
      <c r="C83" s="448" t="s">
        <v>25</v>
      </c>
      <c r="D83" s="449" t="str">
        <f t="shared" si="41"/>
        <v>PSP</v>
      </c>
      <c r="E83" s="449" t="str">
        <f t="shared" si="42"/>
        <v>KUCIE561</v>
      </c>
      <c r="F83" s="450">
        <f t="shared" si="43"/>
        <v>195</v>
      </c>
      <c r="G83" s="450">
        <v>0</v>
      </c>
      <c r="H83" s="450">
        <v>0</v>
      </c>
      <c r="I83" s="450">
        <v>0</v>
      </c>
      <c r="J83" s="450">
        <f t="shared" si="44"/>
        <v>18258219</v>
      </c>
      <c r="K83" s="482">
        <f t="shared" si="45"/>
        <v>0</v>
      </c>
      <c r="L83" s="482">
        <f t="shared" si="46"/>
        <v>54711</v>
      </c>
      <c r="M83" s="482">
        <f t="shared" si="47"/>
        <v>0</v>
      </c>
      <c r="N83" s="482">
        <f t="shared" si="48"/>
        <v>0</v>
      </c>
      <c r="O83" s="482">
        <f t="shared" si="49"/>
        <v>0</v>
      </c>
      <c r="P83" s="482">
        <f t="shared" si="50"/>
        <v>0</v>
      </c>
      <c r="Q83" s="451">
        <f t="shared" si="51"/>
        <v>170</v>
      </c>
      <c r="R83" s="452">
        <f t="shared" si="52"/>
        <v>3.5619999999999999E-2</v>
      </c>
      <c r="S83" s="452">
        <v>0</v>
      </c>
      <c r="T83" s="452">
        <v>0</v>
      </c>
      <c r="U83" s="452">
        <f t="shared" si="53"/>
        <v>2.8920000000000001E-2</v>
      </c>
      <c r="V83" s="451">
        <f t="shared" si="54"/>
        <v>0</v>
      </c>
      <c r="W83" s="451">
        <f t="shared" si="55"/>
        <v>13.18</v>
      </c>
      <c r="X83" s="451">
        <f t="shared" si="56"/>
        <v>15.28</v>
      </c>
      <c r="Y83" s="453">
        <f t="shared" si="57"/>
        <v>33150</v>
      </c>
      <c r="Z83" s="453">
        <f t="shared" si="58"/>
        <v>650357.76000000001</v>
      </c>
      <c r="AA83" s="453">
        <f t="shared" si="59"/>
        <v>0</v>
      </c>
      <c r="AB83" s="453">
        <f t="shared" si="60"/>
        <v>721090.98</v>
      </c>
      <c r="AC83" s="453">
        <f t="shared" si="61"/>
        <v>0</v>
      </c>
      <c r="AD83" s="453">
        <f t="shared" si="62"/>
        <v>721090.98</v>
      </c>
      <c r="AE83" s="493">
        <f t="shared" si="63"/>
        <v>1404598.74</v>
      </c>
      <c r="AF83" s="453">
        <f t="shared" si="64"/>
        <v>1404594</v>
      </c>
      <c r="AG83" s="494">
        <f t="shared" si="65"/>
        <v>0.99999662537074463</v>
      </c>
      <c r="AH83" s="454">
        <f t="shared" si="66"/>
        <v>44422</v>
      </c>
      <c r="AI83" s="454">
        <f t="shared" si="67"/>
        <v>22436</v>
      </c>
      <c r="AJ83" s="454">
        <f t="shared" si="68"/>
        <v>105222</v>
      </c>
      <c r="AK83" s="454">
        <f t="shared" si="69"/>
        <v>0</v>
      </c>
      <c r="AL83" s="454">
        <f t="shared" si="70"/>
        <v>0</v>
      </c>
      <c r="AM83" s="454">
        <f t="shared" si="71"/>
        <v>1576674</v>
      </c>
      <c r="AN83" s="491">
        <f t="shared" si="72"/>
        <v>1576678.74</v>
      </c>
      <c r="AO83" s="487">
        <f t="shared" si="73"/>
        <v>-4.7399999999906868</v>
      </c>
      <c r="AP83" s="495">
        <f t="shared" si="74"/>
        <v>528027.68999999994</v>
      </c>
      <c r="AQ83" s="496">
        <f t="shared" si="75"/>
        <v>122330.07000000007</v>
      </c>
      <c r="AV83" s="459">
        <f>IF(BA83&gt;BA82,AV82,IF(AV82&lt;MiscData!$F$1,EOMONTH(AV82,1),EOMONTH(AV82,-11)))</f>
        <v>42460</v>
      </c>
      <c r="AW83" s="448" t="str">
        <f t="shared" si="76"/>
        <v>20140101KUCIE561</v>
      </c>
      <c r="AX83" s="457" t="str">
        <f t="shared" si="77"/>
        <v>20140101PSP</v>
      </c>
      <c r="AY83" s="439">
        <f>IF(AV83&lt;=MiscData!$B$23,MiscData!$C$23,IF(AV83&lt;=MiscData!$B$24,MiscData!$C$24,MiscData!$C$25))</f>
        <v>20140101</v>
      </c>
      <c r="AZ83" s="439" t="str">
        <f>VLOOKUP(BA83,MiscData!$V$4:$W$42,2,FALSE)</f>
        <v>KUCIE561</v>
      </c>
      <c r="BA83" s="439">
        <f>IF(BA82=MiscData!$V$42,1,BA82+1)</f>
        <v>2</v>
      </c>
      <c r="BB83" s="439" t="str">
        <f>VLOOKUP(AZ83,MiscData!$W$4:$Y$42,3,FALSE)</f>
        <v>PSP</v>
      </c>
    </row>
    <row r="84" spans="1:55" hidden="1">
      <c r="A84" s="448">
        <f t="shared" si="78"/>
        <v>75</v>
      </c>
      <c r="B84" s="448" t="str">
        <f t="shared" si="40"/>
        <v>Mar 2016</v>
      </c>
      <c r="C84" s="448" t="s">
        <v>24</v>
      </c>
      <c r="D84" s="449" t="str">
        <f t="shared" si="41"/>
        <v>PSS</v>
      </c>
      <c r="E84" s="449" t="str">
        <f t="shared" si="42"/>
        <v>KUCIE562</v>
      </c>
      <c r="F84" s="450">
        <f t="shared" si="43"/>
        <v>4630</v>
      </c>
      <c r="G84" s="450">
        <v>0</v>
      </c>
      <c r="H84" s="450">
        <v>0</v>
      </c>
      <c r="I84" s="450">
        <v>0</v>
      </c>
      <c r="J84" s="450">
        <f t="shared" si="44"/>
        <v>154898630</v>
      </c>
      <c r="K84" s="482">
        <f t="shared" si="45"/>
        <v>0</v>
      </c>
      <c r="L84" s="482">
        <f t="shared" si="46"/>
        <v>519914</v>
      </c>
      <c r="M84" s="482">
        <f t="shared" si="47"/>
        <v>0</v>
      </c>
      <c r="N84" s="482">
        <f t="shared" si="48"/>
        <v>0</v>
      </c>
      <c r="O84" s="482">
        <f t="shared" si="49"/>
        <v>0</v>
      </c>
      <c r="P84" s="482">
        <f t="shared" si="50"/>
        <v>0</v>
      </c>
      <c r="Q84" s="451">
        <f t="shared" si="51"/>
        <v>90</v>
      </c>
      <c r="R84" s="452">
        <f t="shared" si="52"/>
        <v>3.5640000000000005E-2</v>
      </c>
      <c r="S84" s="452">
        <v>0</v>
      </c>
      <c r="T84" s="452">
        <v>0</v>
      </c>
      <c r="U84" s="452">
        <f t="shared" si="53"/>
        <v>2.8920000000000001E-2</v>
      </c>
      <c r="V84" s="451">
        <f t="shared" si="54"/>
        <v>0</v>
      </c>
      <c r="W84" s="451">
        <f t="shared" si="55"/>
        <v>13.2</v>
      </c>
      <c r="X84" s="451">
        <f t="shared" si="56"/>
        <v>15.3</v>
      </c>
      <c r="Y84" s="453">
        <f t="shared" si="57"/>
        <v>416700</v>
      </c>
      <c r="Z84" s="453">
        <f t="shared" si="58"/>
        <v>5520587.1699999999</v>
      </c>
      <c r="AA84" s="453">
        <f t="shared" si="59"/>
        <v>0</v>
      </c>
      <c r="AB84" s="453">
        <f t="shared" si="60"/>
        <v>6862864.7999999998</v>
      </c>
      <c r="AC84" s="453">
        <f t="shared" si="61"/>
        <v>0</v>
      </c>
      <c r="AD84" s="453">
        <f t="shared" si="62"/>
        <v>6862864.7999999998</v>
      </c>
      <c r="AE84" s="493">
        <f t="shared" si="63"/>
        <v>12800151.969999999</v>
      </c>
      <c r="AF84" s="453">
        <f t="shared" si="64"/>
        <v>12800154</v>
      </c>
      <c r="AG84" s="494">
        <f t="shared" si="65"/>
        <v>1.0000001585918672</v>
      </c>
      <c r="AH84" s="454">
        <f t="shared" si="66"/>
        <v>376869</v>
      </c>
      <c r="AI84" s="454">
        <f t="shared" si="67"/>
        <v>190344</v>
      </c>
      <c r="AJ84" s="454">
        <f t="shared" si="68"/>
        <v>892681</v>
      </c>
      <c r="AK84" s="454">
        <f t="shared" si="69"/>
        <v>0</v>
      </c>
      <c r="AL84" s="454">
        <f t="shared" si="70"/>
        <v>0</v>
      </c>
      <c r="AM84" s="454">
        <f t="shared" si="71"/>
        <v>14260048</v>
      </c>
      <c r="AN84" s="491">
        <f t="shared" si="72"/>
        <v>14260045.969999999</v>
      </c>
      <c r="AO84" s="487">
        <f t="shared" si="73"/>
        <v>2.0300000011920929</v>
      </c>
      <c r="AP84" s="495">
        <f t="shared" si="74"/>
        <v>4479668.38</v>
      </c>
      <c r="AQ84" s="496">
        <f t="shared" si="75"/>
        <v>1040918.79</v>
      </c>
      <c r="AV84" s="459">
        <f>IF(BA84&gt;BA83,AV83,IF(AV83&lt;MiscData!$F$1,EOMONTH(AV83,1),EOMONTH(AV83,-11)))</f>
        <v>42460</v>
      </c>
      <c r="AW84" s="448" t="str">
        <f t="shared" si="76"/>
        <v>20140101KUCIE562</v>
      </c>
      <c r="AX84" s="457" t="str">
        <f t="shared" si="77"/>
        <v>20140101PSS</v>
      </c>
      <c r="AY84" s="439">
        <f>IF(AV84&lt;=MiscData!$B$23,MiscData!$C$23,IF(AV84&lt;=MiscData!$B$24,MiscData!$C$24,MiscData!$C$25))</f>
        <v>20140101</v>
      </c>
      <c r="AZ84" s="439" t="str">
        <f>VLOOKUP(BA84,MiscData!$V$4:$W$42,2,FALSE)</f>
        <v>KUCIE562</v>
      </c>
      <c r="BA84" s="439">
        <f>IF(BA83=MiscData!$V$42,1,BA83+1)</f>
        <v>3</v>
      </c>
      <c r="BB84" s="439" t="str">
        <f>VLOOKUP(AZ84,MiscData!$W$4:$Y$42,3,FALSE)</f>
        <v>PSS</v>
      </c>
    </row>
    <row r="85" spans="1:55" hidden="1">
      <c r="A85" s="448">
        <f t="shared" si="78"/>
        <v>76</v>
      </c>
      <c r="B85" s="448" t="str">
        <f t="shared" si="40"/>
        <v>Mar 2016</v>
      </c>
      <c r="C85" s="448" t="s">
        <v>205</v>
      </c>
      <c r="D85" s="449" t="str">
        <f t="shared" si="41"/>
        <v>TODP</v>
      </c>
      <c r="E85" s="449" t="str">
        <f t="shared" si="42"/>
        <v>KUCIE563</v>
      </c>
      <c r="F85" s="450">
        <f t="shared" si="43"/>
        <v>52</v>
      </c>
      <c r="G85" s="450">
        <v>0</v>
      </c>
      <c r="H85" s="450">
        <v>0</v>
      </c>
      <c r="I85" s="450">
        <v>0</v>
      </c>
      <c r="J85" s="450">
        <f t="shared" si="44"/>
        <v>237299344</v>
      </c>
      <c r="K85" s="482">
        <f t="shared" si="45"/>
        <v>520468</v>
      </c>
      <c r="L85" s="482">
        <f t="shared" si="46"/>
        <v>486706</v>
      </c>
      <c r="M85" s="482">
        <f t="shared" si="47"/>
        <v>481058</v>
      </c>
      <c r="N85" s="482">
        <f t="shared" si="48"/>
        <v>0</v>
      </c>
      <c r="O85" s="482">
        <f t="shared" si="49"/>
        <v>0</v>
      </c>
      <c r="P85" s="482">
        <f t="shared" si="50"/>
        <v>0</v>
      </c>
      <c r="Q85" s="451">
        <f t="shared" si="51"/>
        <v>300</v>
      </c>
      <c r="R85" s="452">
        <f t="shared" si="52"/>
        <v>3.7650000000000003E-2</v>
      </c>
      <c r="S85" s="452">
        <v>0</v>
      </c>
      <c r="T85" s="452">
        <v>0</v>
      </c>
      <c r="U85" s="452">
        <f t="shared" si="53"/>
        <v>2.8920000000000001E-2</v>
      </c>
      <c r="V85" s="451">
        <f t="shared" si="54"/>
        <v>1.71</v>
      </c>
      <c r="W85" s="451">
        <f t="shared" si="55"/>
        <v>2.76</v>
      </c>
      <c r="X85" s="451">
        <f t="shared" si="56"/>
        <v>4.26</v>
      </c>
      <c r="Y85" s="453">
        <f t="shared" si="57"/>
        <v>15600</v>
      </c>
      <c r="Z85" s="453">
        <f t="shared" si="58"/>
        <v>8934320.3000000007</v>
      </c>
      <c r="AA85" s="453">
        <f t="shared" si="59"/>
        <v>890000.28</v>
      </c>
      <c r="AB85" s="453">
        <f t="shared" si="60"/>
        <v>1343308.56</v>
      </c>
      <c r="AC85" s="453">
        <f t="shared" si="61"/>
        <v>2049307.08</v>
      </c>
      <c r="AD85" s="453">
        <f t="shared" si="62"/>
        <v>4282615.92</v>
      </c>
      <c r="AE85" s="493">
        <f t="shared" si="63"/>
        <v>13232536.220000001</v>
      </c>
      <c r="AF85" s="453">
        <f t="shared" si="64"/>
        <v>13232533</v>
      </c>
      <c r="AG85" s="494">
        <f t="shared" si="65"/>
        <v>0.9999997566604053</v>
      </c>
      <c r="AH85" s="454">
        <f t="shared" si="66"/>
        <v>577350</v>
      </c>
      <c r="AI85" s="454">
        <f t="shared" si="67"/>
        <v>291601</v>
      </c>
      <c r="AJ85" s="454">
        <f t="shared" si="68"/>
        <v>1367556</v>
      </c>
      <c r="AK85" s="454">
        <f t="shared" si="69"/>
        <v>0</v>
      </c>
      <c r="AL85" s="454">
        <f t="shared" si="70"/>
        <v>0</v>
      </c>
      <c r="AM85" s="454">
        <f t="shared" si="71"/>
        <v>15469040</v>
      </c>
      <c r="AN85" s="491">
        <f t="shared" si="72"/>
        <v>15469043.220000001</v>
      </c>
      <c r="AO85" s="487">
        <f t="shared" si="73"/>
        <v>-3.2200000006705523</v>
      </c>
      <c r="AP85" s="495">
        <f t="shared" si="74"/>
        <v>6862697.0300000003</v>
      </c>
      <c r="AQ85" s="496">
        <f t="shared" si="75"/>
        <v>2071623.2700000005</v>
      </c>
      <c r="AV85" s="459">
        <f>IF(BA85&gt;BA84,AV84,IF(AV84&lt;MiscData!$F$1,EOMONTH(AV84,1),EOMONTH(AV84,-11)))</f>
        <v>42460</v>
      </c>
      <c r="AW85" s="448" t="str">
        <f t="shared" si="76"/>
        <v>20140101KUCIE563</v>
      </c>
      <c r="AX85" s="457" t="str">
        <f t="shared" si="77"/>
        <v>20140101TODP</v>
      </c>
      <c r="AY85" s="439">
        <f>IF(AV85&lt;=MiscData!$B$23,MiscData!$C$23,IF(AV85&lt;=MiscData!$B$24,MiscData!$C$24,MiscData!$C$25))</f>
        <v>20140101</v>
      </c>
      <c r="AZ85" s="439" t="str">
        <f>VLOOKUP(BA85,MiscData!$V$4:$W$42,2,FALSE)</f>
        <v>KUCIE563</v>
      </c>
      <c r="BA85" s="439">
        <f>IF(BA84=MiscData!$V$42,1,BA84+1)</f>
        <v>4</v>
      </c>
      <c r="BB85" s="439" t="str">
        <f>VLOOKUP(AZ85,MiscData!$W$4:$Y$42,3,FALSE)</f>
        <v>TODP</v>
      </c>
    </row>
    <row r="86" spans="1:55" hidden="1">
      <c r="A86" s="448">
        <f t="shared" si="78"/>
        <v>77</v>
      </c>
      <c r="B86" s="448" t="str">
        <f t="shared" si="40"/>
        <v>Mar 2016</v>
      </c>
      <c r="C86" s="448" t="s">
        <v>25</v>
      </c>
      <c r="D86" s="449" t="str">
        <f t="shared" si="41"/>
        <v>PSP</v>
      </c>
      <c r="E86" s="449" t="str">
        <f t="shared" si="42"/>
        <v>KUCIE566</v>
      </c>
      <c r="F86" s="450">
        <f t="shared" si="43"/>
        <v>0</v>
      </c>
      <c r="G86" s="450">
        <v>0</v>
      </c>
      <c r="H86" s="450">
        <v>0</v>
      </c>
      <c r="I86" s="450">
        <v>0</v>
      </c>
      <c r="J86" s="450">
        <f t="shared" si="44"/>
        <v>0</v>
      </c>
      <c r="K86" s="482">
        <f t="shared" si="45"/>
        <v>0</v>
      </c>
      <c r="L86" s="482">
        <f t="shared" si="46"/>
        <v>0</v>
      </c>
      <c r="M86" s="482">
        <f t="shared" si="47"/>
        <v>0</v>
      </c>
      <c r="N86" s="482">
        <f t="shared" si="48"/>
        <v>0</v>
      </c>
      <c r="O86" s="482">
        <f t="shared" si="49"/>
        <v>0</v>
      </c>
      <c r="P86" s="482">
        <f t="shared" si="50"/>
        <v>0</v>
      </c>
      <c r="Q86" s="451">
        <f t="shared" si="51"/>
        <v>170</v>
      </c>
      <c r="R86" s="452">
        <f t="shared" si="52"/>
        <v>3.5619999999999999E-2</v>
      </c>
      <c r="S86" s="452">
        <v>0</v>
      </c>
      <c r="T86" s="452">
        <v>0</v>
      </c>
      <c r="U86" s="452">
        <f t="shared" si="53"/>
        <v>2.8920000000000001E-2</v>
      </c>
      <c r="V86" s="451">
        <f t="shared" si="54"/>
        <v>0</v>
      </c>
      <c r="W86" s="451">
        <f t="shared" si="55"/>
        <v>13.18</v>
      </c>
      <c r="X86" s="451">
        <f t="shared" si="56"/>
        <v>15.28</v>
      </c>
      <c r="Y86" s="453">
        <f t="shared" si="57"/>
        <v>0</v>
      </c>
      <c r="Z86" s="453">
        <f t="shared" si="58"/>
        <v>0</v>
      </c>
      <c r="AA86" s="453">
        <f t="shared" si="59"/>
        <v>0</v>
      </c>
      <c r="AB86" s="453">
        <f t="shared" si="60"/>
        <v>0</v>
      </c>
      <c r="AC86" s="453">
        <f t="shared" si="61"/>
        <v>0</v>
      </c>
      <c r="AD86" s="453">
        <f t="shared" si="62"/>
        <v>0</v>
      </c>
      <c r="AE86" s="493">
        <f t="shared" si="63"/>
        <v>0</v>
      </c>
      <c r="AF86" s="453">
        <f t="shared" si="64"/>
        <v>0</v>
      </c>
      <c r="AG86" s="494">
        <f t="shared" si="65"/>
        <v>1</v>
      </c>
      <c r="AH86" s="454">
        <f t="shared" si="66"/>
        <v>0</v>
      </c>
      <c r="AI86" s="454">
        <f t="shared" si="67"/>
        <v>0</v>
      </c>
      <c r="AJ86" s="454">
        <f t="shared" si="68"/>
        <v>0</v>
      </c>
      <c r="AK86" s="454">
        <f t="shared" si="69"/>
        <v>0</v>
      </c>
      <c r="AL86" s="454">
        <f t="shared" si="70"/>
        <v>0</v>
      </c>
      <c r="AM86" s="454">
        <f t="shared" si="71"/>
        <v>0</v>
      </c>
      <c r="AN86" s="491">
        <f t="shared" si="72"/>
        <v>0</v>
      </c>
      <c r="AO86" s="487">
        <f t="shared" si="73"/>
        <v>0</v>
      </c>
      <c r="AP86" s="495">
        <f t="shared" si="74"/>
        <v>0</v>
      </c>
      <c r="AQ86" s="496">
        <f t="shared" si="75"/>
        <v>0</v>
      </c>
      <c r="AV86" s="459">
        <f>IF(BA86&gt;BA85,AV85,IF(AV85&lt;MiscData!$F$1,EOMONTH(AV85,1),EOMONTH(AV85,-11)))</f>
        <v>42460</v>
      </c>
      <c r="AW86" s="448" t="str">
        <f t="shared" si="76"/>
        <v>20140101KUCIE566</v>
      </c>
      <c r="AX86" s="457" t="str">
        <f t="shared" si="77"/>
        <v>20140101PSP</v>
      </c>
      <c r="AY86" s="439">
        <f>IF(AV86&lt;=MiscData!$B$23,MiscData!$C$23,IF(AV86&lt;=MiscData!$B$24,MiscData!$C$24,MiscData!$C$25))</f>
        <v>20140101</v>
      </c>
      <c r="AZ86" s="439" t="str">
        <f>VLOOKUP(BA86,MiscData!$V$4:$W$42,2,FALSE)</f>
        <v>KUCIE566</v>
      </c>
      <c r="BA86" s="439">
        <f>IF(BA85=MiscData!$V$42,1,BA85+1)</f>
        <v>5</v>
      </c>
      <c r="BB86" s="439" t="str">
        <f>VLOOKUP(AZ86,MiscData!$W$4:$Y$42,3,FALSE)</f>
        <v>PSP</v>
      </c>
    </row>
    <row r="87" spans="1:55" hidden="1">
      <c r="A87" s="448">
        <f t="shared" si="78"/>
        <v>78</v>
      </c>
      <c r="B87" s="448" t="str">
        <f t="shared" si="40"/>
        <v>Mar 2016</v>
      </c>
      <c r="C87" s="448" t="s">
        <v>24</v>
      </c>
      <c r="D87" s="449" t="str">
        <f t="shared" si="41"/>
        <v>PSS</v>
      </c>
      <c r="E87" s="449" t="str">
        <f t="shared" si="42"/>
        <v>KUCIE568</v>
      </c>
      <c r="F87" s="450">
        <f t="shared" si="43"/>
        <v>0</v>
      </c>
      <c r="G87" s="450">
        <v>0</v>
      </c>
      <c r="H87" s="450">
        <v>0</v>
      </c>
      <c r="I87" s="450">
        <v>0</v>
      </c>
      <c r="J87" s="450">
        <f t="shared" si="44"/>
        <v>0</v>
      </c>
      <c r="K87" s="482">
        <f t="shared" si="45"/>
        <v>0</v>
      </c>
      <c r="L87" s="482">
        <f t="shared" si="46"/>
        <v>0</v>
      </c>
      <c r="M87" s="482">
        <f t="shared" si="47"/>
        <v>0</v>
      </c>
      <c r="N87" s="482">
        <f t="shared" si="48"/>
        <v>0</v>
      </c>
      <c r="O87" s="482">
        <f t="shared" si="49"/>
        <v>0</v>
      </c>
      <c r="P87" s="482">
        <f t="shared" si="50"/>
        <v>0</v>
      </c>
      <c r="Q87" s="451">
        <f t="shared" si="51"/>
        <v>90</v>
      </c>
      <c r="R87" s="452">
        <f t="shared" si="52"/>
        <v>3.5640000000000005E-2</v>
      </c>
      <c r="S87" s="452">
        <v>0</v>
      </c>
      <c r="T87" s="452">
        <v>0</v>
      </c>
      <c r="U87" s="452">
        <f t="shared" si="53"/>
        <v>2.8920000000000001E-2</v>
      </c>
      <c r="V87" s="451">
        <f t="shared" si="54"/>
        <v>0</v>
      </c>
      <c r="W87" s="451">
        <f t="shared" si="55"/>
        <v>13.2</v>
      </c>
      <c r="X87" s="451">
        <f t="shared" si="56"/>
        <v>15.3</v>
      </c>
      <c r="Y87" s="453">
        <f t="shared" si="57"/>
        <v>0</v>
      </c>
      <c r="Z87" s="453">
        <f t="shared" si="58"/>
        <v>0</v>
      </c>
      <c r="AA87" s="453">
        <f t="shared" si="59"/>
        <v>0</v>
      </c>
      <c r="AB87" s="453">
        <f t="shared" si="60"/>
        <v>0</v>
      </c>
      <c r="AC87" s="453">
        <f t="shared" si="61"/>
        <v>0</v>
      </c>
      <c r="AD87" s="453">
        <f t="shared" si="62"/>
        <v>0</v>
      </c>
      <c r="AE87" s="493">
        <f t="shared" si="63"/>
        <v>0</v>
      </c>
      <c r="AF87" s="453">
        <f t="shared" si="64"/>
        <v>0</v>
      </c>
      <c r="AG87" s="494">
        <f t="shared" si="65"/>
        <v>1</v>
      </c>
      <c r="AH87" s="454">
        <f t="shared" si="66"/>
        <v>0</v>
      </c>
      <c r="AI87" s="454">
        <f t="shared" si="67"/>
        <v>0</v>
      </c>
      <c r="AJ87" s="454">
        <f t="shared" si="68"/>
        <v>0</v>
      </c>
      <c r="AK87" s="454">
        <f t="shared" si="69"/>
        <v>0</v>
      </c>
      <c r="AL87" s="454">
        <f t="shared" si="70"/>
        <v>0</v>
      </c>
      <c r="AM87" s="454">
        <f t="shared" si="71"/>
        <v>0</v>
      </c>
      <c r="AN87" s="491">
        <f t="shared" si="72"/>
        <v>0</v>
      </c>
      <c r="AO87" s="487">
        <f t="shared" si="73"/>
        <v>0</v>
      </c>
      <c r="AP87" s="495">
        <f t="shared" si="74"/>
        <v>0</v>
      </c>
      <c r="AQ87" s="496">
        <f t="shared" si="75"/>
        <v>0</v>
      </c>
      <c r="AV87" s="459">
        <f>IF(BA87&gt;BA86,AV86,IF(AV86&lt;MiscData!$F$1,EOMONTH(AV86,1),EOMONTH(AV86,-11)))</f>
        <v>42460</v>
      </c>
      <c r="AW87" s="448" t="str">
        <f t="shared" si="76"/>
        <v>20140101KUCIE568</v>
      </c>
      <c r="AX87" s="457" t="str">
        <f t="shared" si="77"/>
        <v>20140101PSS</v>
      </c>
      <c r="AY87" s="439">
        <f>IF(AV87&lt;=MiscData!$B$23,MiscData!$C$23,IF(AV87&lt;=MiscData!$B$24,MiscData!$C$24,MiscData!$C$25))</f>
        <v>20140101</v>
      </c>
      <c r="AZ87" s="439" t="str">
        <f>VLOOKUP(BA87,MiscData!$V$4:$W$42,2,FALSE)</f>
        <v>KUCIE568</v>
      </c>
      <c r="BA87" s="439">
        <f>IF(BA86=MiscData!$V$42,1,BA86+1)</f>
        <v>6</v>
      </c>
      <c r="BB87" s="439" t="str">
        <f>VLOOKUP(AZ87,MiscData!$W$4:$Y$42,3,FALSE)</f>
        <v>PSS</v>
      </c>
    </row>
    <row r="88" spans="1:55" hidden="1">
      <c r="A88" s="448">
        <f t="shared" si="78"/>
        <v>79</v>
      </c>
      <c r="B88" s="448" t="str">
        <f t="shared" si="40"/>
        <v>Mar 2016</v>
      </c>
      <c r="C88" s="448" t="s">
        <v>205</v>
      </c>
      <c r="D88" s="449" t="str">
        <f t="shared" si="41"/>
        <v>TODP</v>
      </c>
      <c r="E88" s="449" t="str">
        <f t="shared" si="42"/>
        <v>KUCIE571</v>
      </c>
      <c r="F88" s="450">
        <f t="shared" si="43"/>
        <v>206</v>
      </c>
      <c r="G88" s="450">
        <v>0</v>
      </c>
      <c r="H88" s="450">
        <v>0</v>
      </c>
      <c r="I88" s="450">
        <v>0</v>
      </c>
      <c r="J88" s="450">
        <f t="shared" si="44"/>
        <v>99726211</v>
      </c>
      <c r="K88" s="482">
        <f t="shared" si="45"/>
        <v>260749</v>
      </c>
      <c r="L88" s="482">
        <f t="shared" si="46"/>
        <v>247849</v>
      </c>
      <c r="M88" s="482">
        <f t="shared" si="47"/>
        <v>243450</v>
      </c>
      <c r="N88" s="482">
        <f t="shared" si="48"/>
        <v>0</v>
      </c>
      <c r="O88" s="482">
        <f t="shared" si="49"/>
        <v>0</v>
      </c>
      <c r="P88" s="482">
        <f t="shared" si="50"/>
        <v>0</v>
      </c>
      <c r="Q88" s="451">
        <f t="shared" si="51"/>
        <v>300</v>
      </c>
      <c r="R88" s="452">
        <f t="shared" si="52"/>
        <v>3.7650000000000003E-2</v>
      </c>
      <c r="S88" s="452">
        <v>0</v>
      </c>
      <c r="T88" s="452">
        <v>0</v>
      </c>
      <c r="U88" s="452">
        <f t="shared" si="53"/>
        <v>2.8920000000000001E-2</v>
      </c>
      <c r="V88" s="451">
        <f t="shared" si="54"/>
        <v>1.71</v>
      </c>
      <c r="W88" s="451">
        <f t="shared" si="55"/>
        <v>2.76</v>
      </c>
      <c r="X88" s="451">
        <f t="shared" si="56"/>
        <v>4.26</v>
      </c>
      <c r="Y88" s="453">
        <f t="shared" si="57"/>
        <v>61800</v>
      </c>
      <c r="Z88" s="453">
        <f t="shared" si="58"/>
        <v>3754691.84</v>
      </c>
      <c r="AA88" s="453">
        <f t="shared" si="59"/>
        <v>445880.79</v>
      </c>
      <c r="AB88" s="453">
        <f t="shared" si="60"/>
        <v>684063.24</v>
      </c>
      <c r="AC88" s="453">
        <f t="shared" si="61"/>
        <v>1037097</v>
      </c>
      <c r="AD88" s="453">
        <f t="shared" si="62"/>
        <v>2167041.0300000003</v>
      </c>
      <c r="AE88" s="493">
        <f t="shared" si="63"/>
        <v>5983532.8700000001</v>
      </c>
      <c r="AF88" s="453">
        <f t="shared" si="64"/>
        <v>5983534</v>
      </c>
      <c r="AG88" s="494">
        <f t="shared" si="65"/>
        <v>1.0000001888516408</v>
      </c>
      <c r="AH88" s="454">
        <f t="shared" si="66"/>
        <v>242634</v>
      </c>
      <c r="AI88" s="454">
        <f t="shared" si="67"/>
        <v>122547</v>
      </c>
      <c r="AJ88" s="454">
        <f t="shared" si="68"/>
        <v>574722</v>
      </c>
      <c r="AK88" s="454">
        <f t="shared" si="69"/>
        <v>0</v>
      </c>
      <c r="AL88" s="454">
        <f t="shared" si="70"/>
        <v>0</v>
      </c>
      <c r="AM88" s="454">
        <f t="shared" si="71"/>
        <v>6923437</v>
      </c>
      <c r="AN88" s="491">
        <f t="shared" si="72"/>
        <v>6923435.8700000001</v>
      </c>
      <c r="AO88" s="487">
        <f t="shared" si="73"/>
        <v>1.1299999998882413</v>
      </c>
      <c r="AP88" s="495">
        <f t="shared" si="74"/>
        <v>2884082.02</v>
      </c>
      <c r="AQ88" s="496">
        <f t="shared" si="75"/>
        <v>870609.81999999983</v>
      </c>
      <c r="AV88" s="459">
        <f>IF(BA88&gt;BA87,AV87,IF(AV87&lt;MiscData!$F$1,EOMONTH(AV87,1),EOMONTH(AV87,-11)))</f>
        <v>42460</v>
      </c>
      <c r="AW88" s="448" t="str">
        <f t="shared" si="76"/>
        <v>20140101KUCIE571</v>
      </c>
      <c r="AX88" s="457" t="str">
        <f t="shared" si="77"/>
        <v>20140101TODP</v>
      </c>
      <c r="AY88" s="439">
        <f>IF(AV88&lt;=MiscData!$B$23,MiscData!$C$23,IF(AV88&lt;=MiscData!$B$24,MiscData!$C$24,MiscData!$C$25))</f>
        <v>20140101</v>
      </c>
      <c r="AZ88" s="439" t="str">
        <f>VLOOKUP(BA88,MiscData!$V$4:$W$42,2,FALSE)</f>
        <v>KUCIE571</v>
      </c>
      <c r="BA88" s="439">
        <f>IF(BA87=MiscData!$V$42,1,BA87+1)</f>
        <v>7</v>
      </c>
      <c r="BB88" s="439" t="str">
        <f>VLOOKUP(AZ88,MiscData!$W$4:$Y$42,3,FALSE)</f>
        <v>TODP</v>
      </c>
    </row>
    <row r="89" spans="1:55" hidden="1">
      <c r="A89" s="448">
        <f t="shared" si="78"/>
        <v>80</v>
      </c>
      <c r="B89" s="448" t="str">
        <f t="shared" si="40"/>
        <v>Mar 2016</v>
      </c>
      <c r="C89" s="448" t="s">
        <v>204</v>
      </c>
      <c r="D89" s="449" t="str">
        <f t="shared" si="41"/>
        <v>TODS</v>
      </c>
      <c r="E89" s="449" t="str">
        <f t="shared" si="42"/>
        <v>KUCIE572</v>
      </c>
      <c r="F89" s="450">
        <f t="shared" si="43"/>
        <v>469</v>
      </c>
      <c r="G89" s="450">
        <v>0</v>
      </c>
      <c r="H89" s="450">
        <v>0</v>
      </c>
      <c r="I89" s="450">
        <v>0</v>
      </c>
      <c r="J89" s="450">
        <f t="shared" si="44"/>
        <v>121409593</v>
      </c>
      <c r="K89" s="482">
        <f t="shared" si="45"/>
        <v>304335</v>
      </c>
      <c r="L89" s="482">
        <f t="shared" si="46"/>
        <v>277188</v>
      </c>
      <c r="M89" s="482">
        <f t="shared" si="47"/>
        <v>270979</v>
      </c>
      <c r="N89" s="482">
        <f t="shared" si="48"/>
        <v>0</v>
      </c>
      <c r="O89" s="482">
        <f t="shared" si="49"/>
        <v>0</v>
      </c>
      <c r="P89" s="482">
        <f t="shared" si="50"/>
        <v>0</v>
      </c>
      <c r="Q89" s="451">
        <f t="shared" si="51"/>
        <v>200</v>
      </c>
      <c r="R89" s="452">
        <f t="shared" si="52"/>
        <v>3.773E-2</v>
      </c>
      <c r="S89" s="452">
        <v>0</v>
      </c>
      <c r="T89" s="452">
        <v>0</v>
      </c>
      <c r="U89" s="452">
        <f t="shared" si="53"/>
        <v>2.8920000000000001E-2</v>
      </c>
      <c r="V89" s="451">
        <f t="shared" si="54"/>
        <v>3.62</v>
      </c>
      <c r="W89" s="451">
        <f t="shared" si="55"/>
        <v>2.95</v>
      </c>
      <c r="X89" s="451">
        <f t="shared" si="56"/>
        <v>4.55</v>
      </c>
      <c r="Y89" s="453">
        <f t="shared" si="57"/>
        <v>93800</v>
      </c>
      <c r="Z89" s="453">
        <f t="shared" si="58"/>
        <v>4580783.9400000004</v>
      </c>
      <c r="AA89" s="453">
        <f t="shared" si="59"/>
        <v>1101692.7</v>
      </c>
      <c r="AB89" s="453">
        <f t="shared" si="60"/>
        <v>817704.6</v>
      </c>
      <c r="AC89" s="453">
        <f t="shared" si="61"/>
        <v>1232954.45</v>
      </c>
      <c r="AD89" s="453">
        <f t="shared" si="62"/>
        <v>3152351.75</v>
      </c>
      <c r="AE89" s="493">
        <f t="shared" si="63"/>
        <v>7826935.6900000004</v>
      </c>
      <c r="AF89" s="453">
        <f t="shared" si="64"/>
        <v>7826936</v>
      </c>
      <c r="AG89" s="494">
        <f t="shared" si="65"/>
        <v>1.0000000396068158</v>
      </c>
      <c r="AH89" s="454">
        <f t="shared" si="66"/>
        <v>295390</v>
      </c>
      <c r="AI89" s="454">
        <f t="shared" si="67"/>
        <v>149192</v>
      </c>
      <c r="AJ89" s="454">
        <f t="shared" si="68"/>
        <v>699683</v>
      </c>
      <c r="AK89" s="454">
        <f t="shared" si="69"/>
        <v>0</v>
      </c>
      <c r="AL89" s="454">
        <f t="shared" si="70"/>
        <v>0</v>
      </c>
      <c r="AM89" s="454">
        <f t="shared" si="71"/>
        <v>8971201</v>
      </c>
      <c r="AN89" s="491">
        <f t="shared" si="72"/>
        <v>8971200.6900000013</v>
      </c>
      <c r="AO89" s="487">
        <f t="shared" si="73"/>
        <v>0.30999999865889549</v>
      </c>
      <c r="AP89" s="495">
        <f t="shared" si="74"/>
        <v>3511165.43</v>
      </c>
      <c r="AQ89" s="496">
        <f t="shared" si="75"/>
        <v>1069618.5100000002</v>
      </c>
      <c r="AV89" s="459">
        <f>IF(BA89&gt;BA88,AV88,IF(AV88&lt;MiscData!$F$1,EOMONTH(AV88,1),EOMONTH(AV88,-11)))</f>
        <v>42460</v>
      </c>
      <c r="AW89" s="448" t="str">
        <f t="shared" si="76"/>
        <v>20140101KUCIE572</v>
      </c>
      <c r="AX89" s="457" t="str">
        <f t="shared" si="77"/>
        <v>20140101TODS</v>
      </c>
      <c r="AY89" s="439">
        <f>IF(AV89&lt;=MiscData!$B$23,MiscData!$C$23,IF(AV89&lt;=MiscData!$B$24,MiscData!$C$24,MiscData!$C$25))</f>
        <v>20140101</v>
      </c>
      <c r="AZ89" s="439" t="str">
        <f>VLOOKUP(BA89,MiscData!$V$4:$W$42,2,FALSE)</f>
        <v>KUCIE572</v>
      </c>
      <c r="BA89" s="439">
        <f>IF(BA88=MiscData!$V$42,1,BA88+1)</f>
        <v>8</v>
      </c>
      <c r="BB89" s="439" t="str">
        <f>VLOOKUP(AZ89,MiscData!$W$4:$Y$42,3,FALSE)</f>
        <v>TODS</v>
      </c>
    </row>
    <row r="90" spans="1:55" hidden="1">
      <c r="A90" s="448">
        <f t="shared" si="78"/>
        <v>81</v>
      </c>
      <c r="B90" s="448" t="str">
        <f t="shared" si="40"/>
        <v>Mar 2016</v>
      </c>
      <c r="C90" s="448" t="s">
        <v>24</v>
      </c>
      <c r="D90" s="449" t="str">
        <f t="shared" si="41"/>
        <v>PSS</v>
      </c>
      <c r="E90" s="449" t="str">
        <f t="shared" si="42"/>
        <v>KUCIE717</v>
      </c>
      <c r="F90" s="450">
        <f t="shared" si="43"/>
        <v>0</v>
      </c>
      <c r="G90" s="450">
        <v>0</v>
      </c>
      <c r="H90" s="450">
        <v>0</v>
      </c>
      <c r="I90" s="450">
        <v>0</v>
      </c>
      <c r="J90" s="450">
        <f t="shared" si="44"/>
        <v>0</v>
      </c>
      <c r="K90" s="482">
        <f t="shared" si="45"/>
        <v>0</v>
      </c>
      <c r="L90" s="482">
        <f t="shared" si="46"/>
        <v>0</v>
      </c>
      <c r="M90" s="482">
        <f t="shared" si="47"/>
        <v>0</v>
      </c>
      <c r="N90" s="482">
        <f t="shared" si="48"/>
        <v>0</v>
      </c>
      <c r="O90" s="482">
        <f t="shared" si="49"/>
        <v>0</v>
      </c>
      <c r="P90" s="482">
        <f t="shared" si="50"/>
        <v>0</v>
      </c>
      <c r="Q90" s="451">
        <f t="shared" si="51"/>
        <v>90</v>
      </c>
      <c r="R90" s="452">
        <f t="shared" si="52"/>
        <v>3.5640000000000005E-2</v>
      </c>
      <c r="S90" s="452">
        <v>0</v>
      </c>
      <c r="T90" s="452">
        <v>0</v>
      </c>
      <c r="U90" s="452">
        <f t="shared" si="53"/>
        <v>2.8920000000000001E-2</v>
      </c>
      <c r="V90" s="451">
        <f t="shared" si="54"/>
        <v>0</v>
      </c>
      <c r="W90" s="451">
        <f t="shared" si="55"/>
        <v>13.2</v>
      </c>
      <c r="X90" s="451">
        <f t="shared" si="56"/>
        <v>15.3</v>
      </c>
      <c r="Y90" s="453">
        <f t="shared" si="57"/>
        <v>0</v>
      </c>
      <c r="Z90" s="453">
        <f t="shared" si="58"/>
        <v>0</v>
      </c>
      <c r="AA90" s="453">
        <f t="shared" si="59"/>
        <v>0</v>
      </c>
      <c r="AB90" s="453">
        <f t="shared" si="60"/>
        <v>0</v>
      </c>
      <c r="AC90" s="453">
        <f t="shared" si="61"/>
        <v>0</v>
      </c>
      <c r="AD90" s="453">
        <f t="shared" si="62"/>
        <v>0</v>
      </c>
      <c r="AE90" s="493">
        <f t="shared" si="63"/>
        <v>0</v>
      </c>
      <c r="AF90" s="453">
        <f t="shared" si="64"/>
        <v>0</v>
      </c>
      <c r="AG90" s="494">
        <f t="shared" si="65"/>
        <v>1</v>
      </c>
      <c r="AH90" s="454">
        <f t="shared" si="66"/>
        <v>0</v>
      </c>
      <c r="AI90" s="454">
        <f t="shared" si="67"/>
        <v>0</v>
      </c>
      <c r="AJ90" s="454">
        <f t="shared" si="68"/>
        <v>0</v>
      </c>
      <c r="AK90" s="454">
        <f t="shared" si="69"/>
        <v>0</v>
      </c>
      <c r="AL90" s="454">
        <f t="shared" si="70"/>
        <v>0</v>
      </c>
      <c r="AM90" s="454">
        <f t="shared" si="71"/>
        <v>0</v>
      </c>
      <c r="AN90" s="491">
        <f t="shared" si="72"/>
        <v>0</v>
      </c>
      <c r="AO90" s="487">
        <f t="shared" si="73"/>
        <v>0</v>
      </c>
      <c r="AP90" s="495">
        <f t="shared" si="74"/>
        <v>0</v>
      </c>
      <c r="AQ90" s="496">
        <f t="shared" si="75"/>
        <v>0</v>
      </c>
      <c r="AV90" s="459">
        <f>IF(BA90&gt;BA89,AV89,IF(AV89&lt;MiscData!$F$1,EOMONTH(AV89,1),EOMONTH(AV89,-11)))</f>
        <v>42460</v>
      </c>
      <c r="AW90" s="448" t="str">
        <f t="shared" si="76"/>
        <v>20140101KUCIE717</v>
      </c>
      <c r="AX90" s="457" t="str">
        <f t="shared" si="77"/>
        <v>20140101PSS</v>
      </c>
      <c r="AY90" s="439">
        <f>IF(AV90&lt;=MiscData!$B$23,MiscData!$C$23,IF(AV90&lt;=MiscData!$B$24,MiscData!$C$24,MiscData!$C$25))</f>
        <v>20140101</v>
      </c>
      <c r="AZ90" s="439" t="str">
        <f>VLOOKUP(BA90,MiscData!$V$4:$W$42,2,FALSE)</f>
        <v>KUCIE717</v>
      </c>
      <c r="BA90" s="439">
        <f>IF(BA89=MiscData!$V$42,1,BA89+1)</f>
        <v>9</v>
      </c>
      <c r="BB90" s="439" t="str">
        <f>VLOOKUP(AZ90,MiscData!$W$4:$Y$42,3,FALSE)</f>
        <v>PSS</v>
      </c>
    </row>
    <row r="91" spans="1:55">
      <c r="A91" s="499">
        <f t="shared" si="78"/>
        <v>82</v>
      </c>
      <c r="B91" s="448" t="str">
        <f t="shared" si="40"/>
        <v>Mar 2016</v>
      </c>
      <c r="C91" s="448" t="s">
        <v>208</v>
      </c>
      <c r="D91" s="449" t="str">
        <f t="shared" si="41"/>
        <v>GS</v>
      </c>
      <c r="E91" s="449" t="str">
        <f t="shared" si="42"/>
        <v>KUCME110</v>
      </c>
      <c r="F91" s="450">
        <f t="shared" si="43"/>
        <v>63553</v>
      </c>
      <c r="G91" s="450">
        <v>0</v>
      </c>
      <c r="H91" s="450">
        <v>0</v>
      </c>
      <c r="I91" s="450">
        <v>0</v>
      </c>
      <c r="J91" s="450">
        <f t="shared" si="44"/>
        <v>62577001</v>
      </c>
      <c r="K91" s="482">
        <f t="shared" si="45"/>
        <v>0</v>
      </c>
      <c r="L91" s="482">
        <f t="shared" si="46"/>
        <v>0</v>
      </c>
      <c r="M91" s="482">
        <f t="shared" si="47"/>
        <v>0</v>
      </c>
      <c r="N91" s="482">
        <f t="shared" si="48"/>
        <v>0</v>
      </c>
      <c r="O91" s="482">
        <f t="shared" si="49"/>
        <v>0</v>
      </c>
      <c r="P91" s="482">
        <f t="shared" si="50"/>
        <v>0</v>
      </c>
      <c r="Q91" s="451">
        <f t="shared" si="51"/>
        <v>20</v>
      </c>
      <c r="R91" s="452">
        <f t="shared" si="52"/>
        <v>9.2249999999999999E-2</v>
      </c>
      <c r="S91" s="452">
        <v>0</v>
      </c>
      <c r="T91" s="452">
        <v>0</v>
      </c>
      <c r="U91" s="452">
        <f t="shared" si="53"/>
        <v>2.8920000000000001E-2</v>
      </c>
      <c r="V91" s="451">
        <f t="shared" si="54"/>
        <v>0</v>
      </c>
      <c r="W91" s="451">
        <f t="shared" si="55"/>
        <v>0</v>
      </c>
      <c r="X91" s="451">
        <f t="shared" si="56"/>
        <v>0</v>
      </c>
      <c r="Y91" s="453">
        <f t="shared" si="57"/>
        <v>1271060</v>
      </c>
      <c r="Z91" s="453">
        <f t="shared" si="58"/>
        <v>5772728.3399999999</v>
      </c>
      <c r="AA91" s="453">
        <f t="shared" si="59"/>
        <v>0</v>
      </c>
      <c r="AB91" s="453">
        <f t="shared" si="60"/>
        <v>0</v>
      </c>
      <c r="AC91" s="453">
        <f t="shared" si="61"/>
        <v>0</v>
      </c>
      <c r="AD91" s="453">
        <f t="shared" si="62"/>
        <v>0</v>
      </c>
      <c r="AE91" s="493">
        <f t="shared" si="63"/>
        <v>7043788.3399999999</v>
      </c>
      <c r="AF91" s="453">
        <f t="shared" si="64"/>
        <v>7043780</v>
      </c>
      <c r="AG91" s="494">
        <f t="shared" si="65"/>
        <v>0.99999881597805085</v>
      </c>
      <c r="AH91" s="454">
        <f t="shared" si="66"/>
        <v>152250</v>
      </c>
      <c r="AI91" s="454">
        <f t="shared" si="67"/>
        <v>76897</v>
      </c>
      <c r="AJ91" s="454">
        <f t="shared" si="68"/>
        <v>360631</v>
      </c>
      <c r="AK91" s="454">
        <f t="shared" si="69"/>
        <v>0</v>
      </c>
      <c r="AL91" s="454">
        <f t="shared" si="70"/>
        <v>0</v>
      </c>
      <c r="AM91" s="454">
        <f t="shared" si="71"/>
        <v>7633558</v>
      </c>
      <c r="AN91" s="491">
        <f t="shared" si="72"/>
        <v>7633566.3399999999</v>
      </c>
      <c r="AO91" s="487">
        <f t="shared" si="73"/>
        <v>-8.3399999998509884</v>
      </c>
      <c r="AP91" s="495">
        <f t="shared" si="74"/>
        <v>1809726.87</v>
      </c>
      <c r="AQ91" s="496">
        <f t="shared" si="75"/>
        <v>3963001.4699999997</v>
      </c>
      <c r="AV91" s="459">
        <f>IF(BA91&gt;BA90,AV90,IF(AV90&lt;MiscData!$F$1,EOMONTH(AV90,1),EOMONTH(AV90,-11)))</f>
        <v>42460</v>
      </c>
      <c r="AW91" s="448" t="str">
        <f t="shared" si="76"/>
        <v>20140101KUCME110</v>
      </c>
      <c r="AX91" s="457" t="str">
        <f t="shared" si="77"/>
        <v>20140101GS</v>
      </c>
      <c r="AY91" s="439">
        <f>IF(AV91&lt;=MiscData!$B$23,MiscData!$C$23,IF(AV91&lt;=MiscData!$B$24,MiscData!$C$24,MiscData!$C$25))</f>
        <v>20140101</v>
      </c>
      <c r="AZ91" s="439" t="str">
        <f>VLOOKUP(BA91,MiscData!$V$4:$W$42,2,FALSE)</f>
        <v>KUCME110</v>
      </c>
      <c r="BA91" s="439">
        <f>IF(BA90=MiscData!$V$42,1,BA90+1)</f>
        <v>10</v>
      </c>
      <c r="BB91" s="511" t="str">
        <f>VLOOKUP(AZ91,MiscData!$W$4:$Y$42,3,FALSE)</f>
        <v>GS</v>
      </c>
    </row>
    <row r="92" spans="1:55">
      <c r="A92" s="499">
        <f t="shared" si="78"/>
        <v>83</v>
      </c>
      <c r="B92" s="448" t="str">
        <f t="shared" si="40"/>
        <v>Mar 2016</v>
      </c>
      <c r="C92" s="448" t="s">
        <v>208</v>
      </c>
      <c r="D92" s="449" t="str">
        <f t="shared" si="41"/>
        <v>GS</v>
      </c>
      <c r="E92" s="449" t="str">
        <f t="shared" si="42"/>
        <v>KUCME112</v>
      </c>
      <c r="F92" s="450">
        <f t="shared" si="43"/>
        <v>0</v>
      </c>
      <c r="G92" s="450">
        <v>0</v>
      </c>
      <c r="H92" s="450">
        <v>0</v>
      </c>
      <c r="I92" s="450">
        <v>0</v>
      </c>
      <c r="J92" s="450">
        <f t="shared" si="44"/>
        <v>0</v>
      </c>
      <c r="K92" s="482">
        <f t="shared" si="45"/>
        <v>0</v>
      </c>
      <c r="L92" s="482">
        <f t="shared" si="46"/>
        <v>0</v>
      </c>
      <c r="M92" s="482">
        <f t="shared" si="47"/>
        <v>0</v>
      </c>
      <c r="N92" s="482">
        <f t="shared" si="48"/>
        <v>0</v>
      </c>
      <c r="O92" s="482">
        <f t="shared" si="49"/>
        <v>0</v>
      </c>
      <c r="P92" s="482">
        <f t="shared" si="50"/>
        <v>0</v>
      </c>
      <c r="Q92" s="451">
        <f t="shared" si="51"/>
        <v>20</v>
      </c>
      <c r="R92" s="452">
        <f t="shared" si="52"/>
        <v>9.2249999999999999E-2</v>
      </c>
      <c r="S92" s="452">
        <v>0</v>
      </c>
      <c r="T92" s="452">
        <v>0</v>
      </c>
      <c r="U92" s="452">
        <f t="shared" si="53"/>
        <v>2.8920000000000001E-2</v>
      </c>
      <c r="V92" s="451">
        <f t="shared" si="54"/>
        <v>0</v>
      </c>
      <c r="W92" s="451">
        <f t="shared" si="55"/>
        <v>0</v>
      </c>
      <c r="X92" s="451">
        <f t="shared" si="56"/>
        <v>0</v>
      </c>
      <c r="Y92" s="453">
        <f t="shared" si="57"/>
        <v>0</v>
      </c>
      <c r="Z92" s="453">
        <f t="shared" si="58"/>
        <v>0</v>
      </c>
      <c r="AA92" s="453">
        <f t="shared" si="59"/>
        <v>0</v>
      </c>
      <c r="AB92" s="453">
        <f t="shared" si="60"/>
        <v>0</v>
      </c>
      <c r="AC92" s="453">
        <f t="shared" si="61"/>
        <v>0</v>
      </c>
      <c r="AD92" s="453">
        <f t="shared" si="62"/>
        <v>0</v>
      </c>
      <c r="AE92" s="493">
        <f t="shared" si="63"/>
        <v>0</v>
      </c>
      <c r="AF92" s="453">
        <f t="shared" si="64"/>
        <v>0</v>
      </c>
      <c r="AG92" s="494">
        <f t="shared" si="65"/>
        <v>1</v>
      </c>
      <c r="AH92" s="454">
        <f t="shared" si="66"/>
        <v>0</v>
      </c>
      <c r="AI92" s="454">
        <f t="shared" si="67"/>
        <v>0</v>
      </c>
      <c r="AJ92" s="454">
        <f t="shared" si="68"/>
        <v>0</v>
      </c>
      <c r="AK92" s="454">
        <f t="shared" si="69"/>
        <v>0</v>
      </c>
      <c r="AL92" s="454">
        <f t="shared" si="70"/>
        <v>0</v>
      </c>
      <c r="AM92" s="454">
        <f t="shared" si="71"/>
        <v>0</v>
      </c>
      <c r="AN92" s="491">
        <f t="shared" si="72"/>
        <v>0</v>
      </c>
      <c r="AO92" s="487">
        <f t="shared" si="73"/>
        <v>0</v>
      </c>
      <c r="AP92" s="495">
        <f t="shared" si="74"/>
        <v>0</v>
      </c>
      <c r="AQ92" s="496">
        <f t="shared" si="75"/>
        <v>0</v>
      </c>
      <c r="AV92" s="459">
        <f>IF(BA92&gt;BA91,AV91,IF(AV91&lt;MiscData!$F$1,EOMONTH(AV91,1),EOMONTH(AV91,-11)))</f>
        <v>42460</v>
      </c>
      <c r="AW92" s="448" t="str">
        <f t="shared" si="76"/>
        <v>20140101KUCME112</v>
      </c>
      <c r="AX92" s="457" t="str">
        <f t="shared" si="77"/>
        <v>20140101GS</v>
      </c>
      <c r="AY92" s="439">
        <f>IF(AV92&lt;=MiscData!$B$23,MiscData!$C$23,IF(AV92&lt;=MiscData!$B$24,MiscData!$C$24,MiscData!$C$25))</f>
        <v>20140101</v>
      </c>
      <c r="AZ92" s="439" t="str">
        <f>VLOOKUP(BA92,MiscData!$V$4:$W$42,2,FALSE)</f>
        <v>KUCME112</v>
      </c>
      <c r="BA92" s="439">
        <f>IF(BA91=MiscData!$V$42,1,BA91+1)</f>
        <v>11</v>
      </c>
      <c r="BB92" s="511" t="str">
        <f>VLOOKUP(AZ92,MiscData!$W$4:$Y$42,3,FALSE)</f>
        <v>GS</v>
      </c>
    </row>
    <row r="93" spans="1:55">
      <c r="A93" s="448">
        <f t="shared" si="78"/>
        <v>84</v>
      </c>
      <c r="B93" s="448" t="str">
        <f t="shared" si="40"/>
        <v>Mar 2016</v>
      </c>
      <c r="C93" s="448" t="s">
        <v>17</v>
      </c>
      <c r="D93" s="449" t="str">
        <f t="shared" si="41"/>
        <v>GS3</v>
      </c>
      <c r="E93" s="449" t="str">
        <f t="shared" si="42"/>
        <v>KUCME113</v>
      </c>
      <c r="F93" s="450">
        <f t="shared" si="43"/>
        <v>18577</v>
      </c>
      <c r="G93" s="450">
        <v>0</v>
      </c>
      <c r="H93" s="450">
        <v>0</v>
      </c>
      <c r="I93" s="450">
        <v>0</v>
      </c>
      <c r="J93" s="450">
        <f t="shared" si="44"/>
        <v>91489582</v>
      </c>
      <c r="K93" s="482">
        <f t="shared" si="45"/>
        <v>377207</v>
      </c>
      <c r="L93" s="482">
        <f t="shared" si="46"/>
        <v>0</v>
      </c>
      <c r="M93" s="482">
        <f t="shared" si="47"/>
        <v>0</v>
      </c>
      <c r="N93" s="482">
        <f t="shared" si="48"/>
        <v>0</v>
      </c>
      <c r="O93" s="482">
        <f t="shared" si="49"/>
        <v>0</v>
      </c>
      <c r="P93" s="482">
        <f t="shared" si="50"/>
        <v>0</v>
      </c>
      <c r="Q93" s="451">
        <f t="shared" si="51"/>
        <v>35</v>
      </c>
      <c r="R93" s="452">
        <f t="shared" si="52"/>
        <v>9.2249999999999999E-2</v>
      </c>
      <c r="S93" s="452">
        <v>0</v>
      </c>
      <c r="T93" s="452">
        <v>0</v>
      </c>
      <c r="U93" s="452">
        <f t="shared" si="53"/>
        <v>2.8920000000000001E-2</v>
      </c>
      <c r="V93" s="451">
        <f t="shared" si="54"/>
        <v>0</v>
      </c>
      <c r="W93" s="451">
        <f t="shared" si="55"/>
        <v>0</v>
      </c>
      <c r="X93" s="451">
        <f t="shared" si="56"/>
        <v>0</v>
      </c>
      <c r="Y93" s="453">
        <f t="shared" si="57"/>
        <v>650195</v>
      </c>
      <c r="Z93" s="453">
        <f t="shared" si="58"/>
        <v>8439913.9399999995</v>
      </c>
      <c r="AA93" s="453">
        <f t="shared" si="59"/>
        <v>0</v>
      </c>
      <c r="AB93" s="453">
        <f t="shared" si="60"/>
        <v>0</v>
      </c>
      <c r="AC93" s="453">
        <f t="shared" si="61"/>
        <v>0</v>
      </c>
      <c r="AD93" s="453">
        <f t="shared" si="62"/>
        <v>0</v>
      </c>
      <c r="AE93" s="493">
        <f t="shared" si="63"/>
        <v>9090108.9399999995</v>
      </c>
      <c r="AF93" s="453">
        <f t="shared" si="64"/>
        <v>9090123</v>
      </c>
      <c r="AG93" s="494">
        <f t="shared" si="65"/>
        <v>1.0000015467361385</v>
      </c>
      <c r="AH93" s="454">
        <f t="shared" si="66"/>
        <v>222595</v>
      </c>
      <c r="AI93" s="454">
        <f t="shared" si="67"/>
        <v>112425</v>
      </c>
      <c r="AJ93" s="454">
        <f t="shared" si="68"/>
        <v>527254</v>
      </c>
      <c r="AK93" s="454">
        <f t="shared" si="69"/>
        <v>0</v>
      </c>
      <c r="AL93" s="454">
        <f t="shared" si="70"/>
        <v>0</v>
      </c>
      <c r="AM93" s="454">
        <f t="shared" si="71"/>
        <v>9952397</v>
      </c>
      <c r="AN93" s="491">
        <f t="shared" si="72"/>
        <v>9952382.9399999995</v>
      </c>
      <c r="AO93" s="487">
        <f t="shared" si="73"/>
        <v>14.060000000521541</v>
      </c>
      <c r="AP93" s="495">
        <f t="shared" si="74"/>
        <v>2645878.71</v>
      </c>
      <c r="AQ93" s="496">
        <f t="shared" si="75"/>
        <v>5794035.2299999995</v>
      </c>
      <c r="AV93" s="459">
        <f>IF(BA93&gt;BA92,AV92,IF(AV92&lt;MiscData!$F$1,EOMONTH(AV92,1),EOMONTH(AV92,-11)))</f>
        <v>42460</v>
      </c>
      <c r="AW93" s="448" t="str">
        <f t="shared" si="76"/>
        <v>20140101KUCME113</v>
      </c>
      <c r="AX93" s="457" t="str">
        <f t="shared" si="77"/>
        <v>20140101GS3</v>
      </c>
      <c r="AY93" s="439">
        <f>IF(AV93&lt;=MiscData!$B$23,MiscData!$C$23,IF(AV93&lt;=MiscData!$B$24,MiscData!$C$24,MiscData!$C$25))</f>
        <v>20140101</v>
      </c>
      <c r="AZ93" s="439" t="str">
        <f>VLOOKUP(BA93,MiscData!$V$4:$W$42,2,FALSE)</f>
        <v>KUCME113</v>
      </c>
      <c r="BA93" s="439">
        <f>IF(BA92=MiscData!$V$42,1,BA92+1)</f>
        <v>12</v>
      </c>
      <c r="BB93" s="439" t="str">
        <f>VLOOKUP(AZ93,MiscData!$W$4:$Y$42,3,FALSE)</f>
        <v>GS3</v>
      </c>
    </row>
    <row r="94" spans="1:55" hidden="1">
      <c r="A94" s="448">
        <f t="shared" si="78"/>
        <v>85</v>
      </c>
      <c r="B94" s="448" t="str">
        <f t="shared" si="40"/>
        <v>Mar 2016</v>
      </c>
      <c r="C94" s="448" t="s">
        <v>203</v>
      </c>
      <c r="D94" s="449" t="str">
        <f t="shared" si="41"/>
        <v>AES</v>
      </c>
      <c r="E94" s="449" t="str">
        <f t="shared" si="42"/>
        <v>KUCME220</v>
      </c>
      <c r="F94" s="450">
        <f t="shared" si="43"/>
        <v>371</v>
      </c>
      <c r="G94" s="450">
        <v>0</v>
      </c>
      <c r="H94" s="450">
        <v>0</v>
      </c>
      <c r="I94" s="450">
        <v>0</v>
      </c>
      <c r="J94" s="450">
        <f t="shared" si="44"/>
        <v>688333</v>
      </c>
      <c r="K94" s="482">
        <f t="shared" si="45"/>
        <v>0</v>
      </c>
      <c r="L94" s="482">
        <f t="shared" si="46"/>
        <v>0</v>
      </c>
      <c r="M94" s="482">
        <f t="shared" si="47"/>
        <v>0</v>
      </c>
      <c r="N94" s="482">
        <f t="shared" si="48"/>
        <v>0</v>
      </c>
      <c r="O94" s="482">
        <f t="shared" si="49"/>
        <v>0</v>
      </c>
      <c r="P94" s="482">
        <f t="shared" si="50"/>
        <v>0</v>
      </c>
      <c r="Q94" s="451">
        <f t="shared" si="51"/>
        <v>20</v>
      </c>
      <c r="R94" s="452">
        <f t="shared" si="52"/>
        <v>7.4399999999999994E-2</v>
      </c>
      <c r="S94" s="452">
        <v>0</v>
      </c>
      <c r="T94" s="452">
        <v>0</v>
      </c>
      <c r="U94" s="452">
        <f t="shared" si="53"/>
        <v>2.8920000000000001E-2</v>
      </c>
      <c r="V94" s="451">
        <f t="shared" si="54"/>
        <v>0</v>
      </c>
      <c r="W94" s="451">
        <f t="shared" si="55"/>
        <v>0</v>
      </c>
      <c r="X94" s="451">
        <f t="shared" si="56"/>
        <v>0</v>
      </c>
      <c r="Y94" s="453">
        <f t="shared" si="57"/>
        <v>7420</v>
      </c>
      <c r="Z94" s="453">
        <f t="shared" si="58"/>
        <v>51211.98</v>
      </c>
      <c r="AA94" s="453">
        <f t="shared" si="59"/>
        <v>0</v>
      </c>
      <c r="AB94" s="453">
        <f t="shared" si="60"/>
        <v>0</v>
      </c>
      <c r="AC94" s="453">
        <f t="shared" si="61"/>
        <v>0</v>
      </c>
      <c r="AD94" s="453">
        <f t="shared" si="62"/>
        <v>0</v>
      </c>
      <c r="AE94" s="493">
        <f t="shared" si="63"/>
        <v>58631.98</v>
      </c>
      <c r="AF94" s="453">
        <f t="shared" si="64"/>
        <v>58631</v>
      </c>
      <c r="AG94" s="494">
        <f t="shared" si="65"/>
        <v>0.99998328557213989</v>
      </c>
      <c r="AH94" s="454">
        <f t="shared" si="66"/>
        <v>1675</v>
      </c>
      <c r="AI94" s="454">
        <f t="shared" si="67"/>
        <v>846</v>
      </c>
      <c r="AJ94" s="454">
        <f t="shared" si="68"/>
        <v>3967</v>
      </c>
      <c r="AK94" s="454">
        <f t="shared" si="69"/>
        <v>0</v>
      </c>
      <c r="AL94" s="454">
        <f t="shared" si="70"/>
        <v>0</v>
      </c>
      <c r="AM94" s="454">
        <f t="shared" si="71"/>
        <v>65119</v>
      </c>
      <c r="AN94" s="491">
        <f t="shared" si="72"/>
        <v>65119.98</v>
      </c>
      <c r="AO94" s="487">
        <f t="shared" si="73"/>
        <v>-0.98000000000320142</v>
      </c>
      <c r="AP94" s="495">
        <f t="shared" si="74"/>
        <v>19906.59</v>
      </c>
      <c r="AQ94" s="496">
        <f t="shared" si="75"/>
        <v>31305.390000000003</v>
      </c>
      <c r="AV94" s="459">
        <f>IF(BA94&gt;BA93,AV93,IF(AV93&lt;MiscData!$F$1,EOMONTH(AV93,1),EOMONTH(AV93,-11)))</f>
        <v>42460</v>
      </c>
      <c r="AW94" s="448" t="str">
        <f t="shared" si="76"/>
        <v>20140101KUCME220</v>
      </c>
      <c r="AX94" s="457" t="str">
        <f t="shared" si="77"/>
        <v>20140101AES</v>
      </c>
      <c r="AY94" s="439">
        <f>IF(AV94&lt;=MiscData!$B$23,MiscData!$C$23,IF(AV94&lt;=MiscData!$B$24,MiscData!$C$24,MiscData!$C$25))</f>
        <v>20140101</v>
      </c>
      <c r="AZ94" s="439" t="str">
        <f>VLOOKUP(BA94,MiscData!$V$4:$W$42,2,FALSE)</f>
        <v>KUCME220</v>
      </c>
      <c r="BA94" s="439">
        <f>IF(BA93=MiscData!$V$42,1,BA93+1)</f>
        <v>13</v>
      </c>
      <c r="BB94" s="439" t="str">
        <f>VLOOKUP(AZ94,MiscData!$W$4:$Y$42,3,FALSE)</f>
        <v>AES</v>
      </c>
    </row>
    <row r="95" spans="1:55" hidden="1">
      <c r="A95" s="448">
        <f t="shared" si="78"/>
        <v>86</v>
      </c>
      <c r="B95" s="448" t="str">
        <f t="shared" si="40"/>
        <v>Mar 2016</v>
      </c>
      <c r="C95" s="448" t="s">
        <v>203</v>
      </c>
      <c r="D95" s="449" t="str">
        <f t="shared" si="41"/>
        <v>AES</v>
      </c>
      <c r="E95" s="449" t="str">
        <f t="shared" si="42"/>
        <v>KUCME221</v>
      </c>
      <c r="F95" s="450">
        <f t="shared" si="43"/>
        <v>0</v>
      </c>
      <c r="G95" s="450">
        <v>0</v>
      </c>
      <c r="H95" s="450">
        <v>0</v>
      </c>
      <c r="I95" s="450">
        <v>0</v>
      </c>
      <c r="J95" s="450">
        <f t="shared" si="44"/>
        <v>0</v>
      </c>
      <c r="K95" s="482">
        <f t="shared" si="45"/>
        <v>0</v>
      </c>
      <c r="L95" s="482">
        <f t="shared" si="46"/>
        <v>0</v>
      </c>
      <c r="M95" s="482">
        <f t="shared" si="47"/>
        <v>0</v>
      </c>
      <c r="N95" s="482">
        <f t="shared" si="48"/>
        <v>0</v>
      </c>
      <c r="O95" s="482">
        <f t="shared" si="49"/>
        <v>0</v>
      </c>
      <c r="P95" s="482">
        <f t="shared" si="50"/>
        <v>0</v>
      </c>
      <c r="Q95" s="451">
        <f t="shared" si="51"/>
        <v>20</v>
      </c>
      <c r="R95" s="452">
        <f t="shared" si="52"/>
        <v>7.4399999999999994E-2</v>
      </c>
      <c r="S95" s="452">
        <v>0</v>
      </c>
      <c r="T95" s="452">
        <v>0</v>
      </c>
      <c r="U95" s="452">
        <f t="shared" si="53"/>
        <v>2.8920000000000001E-2</v>
      </c>
      <c r="V95" s="451">
        <f t="shared" si="54"/>
        <v>0</v>
      </c>
      <c r="W95" s="451">
        <f t="shared" si="55"/>
        <v>0</v>
      </c>
      <c r="X95" s="451">
        <f t="shared" si="56"/>
        <v>0</v>
      </c>
      <c r="Y95" s="453">
        <f t="shared" si="57"/>
        <v>0</v>
      </c>
      <c r="Z95" s="453">
        <f t="shared" si="58"/>
        <v>0</v>
      </c>
      <c r="AA95" s="453">
        <f t="shared" si="59"/>
        <v>0</v>
      </c>
      <c r="AB95" s="453">
        <f t="shared" si="60"/>
        <v>0</v>
      </c>
      <c r="AC95" s="453">
        <f t="shared" si="61"/>
        <v>0</v>
      </c>
      <c r="AD95" s="453">
        <f t="shared" si="62"/>
        <v>0</v>
      </c>
      <c r="AE95" s="493">
        <f t="shared" si="63"/>
        <v>0</v>
      </c>
      <c r="AF95" s="453">
        <f t="shared" si="64"/>
        <v>0</v>
      </c>
      <c r="AG95" s="494">
        <f t="shared" si="65"/>
        <v>1</v>
      </c>
      <c r="AH95" s="454">
        <f t="shared" si="66"/>
        <v>0</v>
      </c>
      <c r="AI95" s="454">
        <f t="shared" si="67"/>
        <v>0</v>
      </c>
      <c r="AJ95" s="454">
        <f t="shared" si="68"/>
        <v>0</v>
      </c>
      <c r="AK95" s="454">
        <f t="shared" si="69"/>
        <v>0</v>
      </c>
      <c r="AL95" s="454">
        <f t="shared" si="70"/>
        <v>0</v>
      </c>
      <c r="AM95" s="454">
        <f t="shared" si="71"/>
        <v>0</v>
      </c>
      <c r="AN95" s="491">
        <f t="shared" si="72"/>
        <v>0</v>
      </c>
      <c r="AO95" s="487">
        <f t="shared" si="73"/>
        <v>0</v>
      </c>
      <c r="AP95" s="495">
        <f t="shared" si="74"/>
        <v>0</v>
      </c>
      <c r="AQ95" s="496">
        <f t="shared" si="75"/>
        <v>0</v>
      </c>
      <c r="AV95" s="459">
        <f>IF(BA95&gt;BA94,AV94,IF(AV94&lt;MiscData!$F$1,EOMONTH(AV94,1),EOMONTH(AV94,-11)))</f>
        <v>42460</v>
      </c>
      <c r="AW95" s="448" t="str">
        <f t="shared" si="76"/>
        <v>20140101KUCME221</v>
      </c>
      <c r="AX95" s="457" t="str">
        <f t="shared" si="77"/>
        <v>20140101AES</v>
      </c>
      <c r="AY95" s="439">
        <f>IF(AV95&lt;=MiscData!$B$23,MiscData!$C$23,IF(AV95&lt;=MiscData!$B$24,MiscData!$C$24,MiscData!$C$25))</f>
        <v>20140101</v>
      </c>
      <c r="AZ95" s="439" t="str">
        <f>VLOOKUP(BA95,MiscData!$V$4:$W$42,2,FALSE)</f>
        <v>KUCME221</v>
      </c>
      <c r="BA95" s="439">
        <f>IF(BA94=MiscData!$V$42,1,BA94+1)</f>
        <v>14</v>
      </c>
      <c r="BB95" s="439" t="str">
        <f>VLOOKUP(AZ95,MiscData!$W$4:$Y$42,3,FALSE)</f>
        <v>AES</v>
      </c>
    </row>
    <row r="96" spans="1:55" hidden="1">
      <c r="A96" s="448">
        <f t="shared" si="78"/>
        <v>87</v>
      </c>
      <c r="B96" s="448" t="str">
        <f t="shared" si="40"/>
        <v>Mar 2016</v>
      </c>
      <c r="C96" s="832" t="s">
        <v>212</v>
      </c>
      <c r="D96" s="449" t="str">
        <f t="shared" si="41"/>
        <v>AES3</v>
      </c>
      <c r="E96" s="449" t="str">
        <f t="shared" si="42"/>
        <v>KUCME223</v>
      </c>
      <c r="F96" s="450">
        <f t="shared" si="43"/>
        <v>0</v>
      </c>
      <c r="G96" s="450">
        <v>0</v>
      </c>
      <c r="H96" s="450">
        <v>0</v>
      </c>
      <c r="I96" s="450">
        <v>0</v>
      </c>
      <c r="J96" s="450">
        <f t="shared" si="44"/>
        <v>0</v>
      </c>
      <c r="K96" s="482">
        <f t="shared" si="45"/>
        <v>0</v>
      </c>
      <c r="L96" s="482">
        <f t="shared" si="46"/>
        <v>0</v>
      </c>
      <c r="M96" s="482">
        <f t="shared" si="47"/>
        <v>0</v>
      </c>
      <c r="N96" s="482">
        <f t="shared" si="48"/>
        <v>0</v>
      </c>
      <c r="O96" s="482">
        <f t="shared" si="49"/>
        <v>0</v>
      </c>
      <c r="P96" s="482">
        <f t="shared" si="50"/>
        <v>0</v>
      </c>
      <c r="Q96" s="451">
        <f t="shared" si="51"/>
        <v>35</v>
      </c>
      <c r="R96" s="452">
        <f t="shared" si="52"/>
        <v>7.4399999999999994E-2</v>
      </c>
      <c r="S96" s="452">
        <v>0</v>
      </c>
      <c r="T96" s="452">
        <v>0</v>
      </c>
      <c r="U96" s="452">
        <f t="shared" si="53"/>
        <v>2.8920000000000001E-2</v>
      </c>
      <c r="V96" s="451">
        <f t="shared" si="54"/>
        <v>0</v>
      </c>
      <c r="W96" s="451">
        <f t="shared" si="55"/>
        <v>0</v>
      </c>
      <c r="X96" s="451">
        <f t="shared" si="56"/>
        <v>0</v>
      </c>
      <c r="Y96" s="453">
        <f t="shared" si="57"/>
        <v>0</v>
      </c>
      <c r="Z96" s="453">
        <f t="shared" si="58"/>
        <v>0</v>
      </c>
      <c r="AA96" s="453">
        <f t="shared" si="59"/>
        <v>0</v>
      </c>
      <c r="AB96" s="453">
        <f t="shared" si="60"/>
        <v>0</v>
      </c>
      <c r="AC96" s="453">
        <f t="shared" si="61"/>
        <v>0</v>
      </c>
      <c r="AD96" s="453">
        <f t="shared" si="62"/>
        <v>0</v>
      </c>
      <c r="AE96" s="493">
        <f t="shared" si="63"/>
        <v>0</v>
      </c>
      <c r="AF96" s="453">
        <f t="shared" si="64"/>
        <v>0</v>
      </c>
      <c r="AG96" s="494">
        <f t="shared" si="65"/>
        <v>1</v>
      </c>
      <c r="AH96" s="454">
        <f t="shared" si="66"/>
        <v>0</v>
      </c>
      <c r="AI96" s="454">
        <f t="shared" si="67"/>
        <v>0</v>
      </c>
      <c r="AJ96" s="454">
        <f t="shared" si="68"/>
        <v>0</v>
      </c>
      <c r="AK96" s="454">
        <f t="shared" si="69"/>
        <v>0</v>
      </c>
      <c r="AL96" s="454">
        <f t="shared" si="70"/>
        <v>0</v>
      </c>
      <c r="AM96" s="454">
        <f t="shared" si="71"/>
        <v>0</v>
      </c>
      <c r="AN96" s="491">
        <f t="shared" si="72"/>
        <v>0</v>
      </c>
      <c r="AO96" s="487">
        <f t="shared" si="73"/>
        <v>0</v>
      </c>
      <c r="AP96" s="495">
        <f t="shared" si="74"/>
        <v>0</v>
      </c>
      <c r="AQ96" s="496">
        <f t="shared" si="75"/>
        <v>0</v>
      </c>
      <c r="AV96" s="459">
        <f>IF(BA96&gt;BA95,AV95,IF(AV95&lt;MiscData!$F$1,EOMONTH(AV95,1),EOMONTH(AV95,-11)))</f>
        <v>42460</v>
      </c>
      <c r="AW96" s="448" t="str">
        <f t="shared" si="76"/>
        <v>20140101KUCME223</v>
      </c>
      <c r="AX96" s="457" t="str">
        <f t="shared" si="77"/>
        <v>20140101AES3</v>
      </c>
      <c r="AY96" s="439">
        <f>IF(AV96&lt;=MiscData!$B$23,MiscData!$C$23,IF(AV96&lt;=MiscData!$B$24,MiscData!$C$24,MiscData!$C$25))</f>
        <v>20140101</v>
      </c>
      <c r="AZ96" s="439" t="str">
        <f>VLOOKUP(BA96,MiscData!$V$4:$W$42,2,FALSE)</f>
        <v>KUCME223</v>
      </c>
      <c r="BA96" s="439">
        <f>IF(BA95=MiscData!$V$42,1,BA95+1)</f>
        <v>15</v>
      </c>
      <c r="BB96" s="439" t="str">
        <f>VLOOKUP(AZ96,MiscData!$W$4:$Y$42,3,FALSE)</f>
        <v>AES3</v>
      </c>
    </row>
    <row r="97" spans="1:54" hidden="1">
      <c r="A97" s="448">
        <f t="shared" si="78"/>
        <v>88</v>
      </c>
      <c r="B97" s="448" t="str">
        <f t="shared" si="40"/>
        <v>Mar 2016</v>
      </c>
      <c r="C97" s="832" t="s">
        <v>212</v>
      </c>
      <c r="D97" s="449" t="str">
        <f t="shared" si="41"/>
        <v>AES3</v>
      </c>
      <c r="E97" s="449" t="str">
        <f t="shared" si="42"/>
        <v>KUCME224</v>
      </c>
      <c r="F97" s="450">
        <f t="shared" si="43"/>
        <v>257</v>
      </c>
      <c r="G97" s="450">
        <v>0</v>
      </c>
      <c r="H97" s="450">
        <v>0</v>
      </c>
      <c r="I97" s="450">
        <v>0</v>
      </c>
      <c r="J97" s="450">
        <f t="shared" si="44"/>
        <v>12757916</v>
      </c>
      <c r="K97" s="482">
        <f t="shared" si="45"/>
        <v>54529</v>
      </c>
      <c r="L97" s="482">
        <f t="shared" si="46"/>
        <v>0</v>
      </c>
      <c r="M97" s="482">
        <f t="shared" si="47"/>
        <v>0</v>
      </c>
      <c r="N97" s="482">
        <f t="shared" si="48"/>
        <v>0</v>
      </c>
      <c r="O97" s="482">
        <f t="shared" si="49"/>
        <v>0</v>
      </c>
      <c r="P97" s="482">
        <f t="shared" si="50"/>
        <v>0</v>
      </c>
      <c r="Q97" s="451">
        <f t="shared" si="51"/>
        <v>35</v>
      </c>
      <c r="R97" s="452">
        <f t="shared" si="52"/>
        <v>7.4399999999999994E-2</v>
      </c>
      <c r="S97" s="452">
        <v>0</v>
      </c>
      <c r="T97" s="452">
        <v>0</v>
      </c>
      <c r="U97" s="452">
        <f t="shared" si="53"/>
        <v>2.8920000000000001E-2</v>
      </c>
      <c r="V97" s="451">
        <f t="shared" si="54"/>
        <v>0</v>
      </c>
      <c r="W97" s="451">
        <f t="shared" si="55"/>
        <v>0</v>
      </c>
      <c r="X97" s="451">
        <f t="shared" si="56"/>
        <v>0</v>
      </c>
      <c r="Y97" s="453">
        <f t="shared" si="57"/>
        <v>8995</v>
      </c>
      <c r="Z97" s="453">
        <f t="shared" si="58"/>
        <v>949188.95</v>
      </c>
      <c r="AA97" s="453">
        <f t="shared" si="59"/>
        <v>0</v>
      </c>
      <c r="AB97" s="453">
        <f t="shared" si="60"/>
        <v>0</v>
      </c>
      <c r="AC97" s="453">
        <f t="shared" si="61"/>
        <v>0</v>
      </c>
      <c r="AD97" s="453">
        <f t="shared" si="62"/>
        <v>0</v>
      </c>
      <c r="AE97" s="493">
        <f t="shared" si="63"/>
        <v>958183.95</v>
      </c>
      <c r="AF97" s="453">
        <f t="shared" si="64"/>
        <v>958184</v>
      </c>
      <c r="AG97" s="494">
        <f t="shared" si="65"/>
        <v>1.0000000521820471</v>
      </c>
      <c r="AH97" s="454">
        <f t="shared" si="66"/>
        <v>31040</v>
      </c>
      <c r="AI97" s="454">
        <f t="shared" si="67"/>
        <v>15677</v>
      </c>
      <c r="AJ97" s="454">
        <f t="shared" si="68"/>
        <v>73524</v>
      </c>
      <c r="AK97" s="454">
        <f t="shared" si="69"/>
        <v>0</v>
      </c>
      <c r="AL97" s="454">
        <f t="shared" si="70"/>
        <v>0</v>
      </c>
      <c r="AM97" s="454">
        <f t="shared" si="71"/>
        <v>1078425</v>
      </c>
      <c r="AN97" s="491">
        <f t="shared" si="72"/>
        <v>1078424.95</v>
      </c>
      <c r="AO97" s="487">
        <f t="shared" si="73"/>
        <v>5.0000000046566129E-2</v>
      </c>
      <c r="AP97" s="495">
        <f t="shared" si="74"/>
        <v>368958.93</v>
      </c>
      <c r="AQ97" s="496">
        <f t="shared" si="75"/>
        <v>580230.02</v>
      </c>
      <c r="AV97" s="459">
        <f>IF(BA97&gt;BA96,AV96,IF(AV96&lt;MiscData!$F$1,EOMONTH(AV96,1),EOMONTH(AV96,-11)))</f>
        <v>42460</v>
      </c>
      <c r="AW97" s="448" t="str">
        <f t="shared" si="76"/>
        <v>20140101KUCME224</v>
      </c>
      <c r="AX97" s="457" t="str">
        <f t="shared" si="77"/>
        <v>20140101AES3</v>
      </c>
      <c r="AY97" s="439">
        <f>IF(AV97&lt;=MiscData!$B$23,MiscData!$C$23,IF(AV97&lt;=MiscData!$B$24,MiscData!$C$24,MiscData!$C$25))</f>
        <v>20140101</v>
      </c>
      <c r="AZ97" s="439" t="str">
        <f>VLOOKUP(BA97,MiscData!$V$4:$W$42,2,FALSE)</f>
        <v>KUCME224</v>
      </c>
      <c r="BA97" s="439">
        <f>IF(BA96=MiscData!$V$42,1,BA96+1)</f>
        <v>16</v>
      </c>
      <c r="BB97" s="439" t="str">
        <f>VLOOKUP(AZ97,MiscData!$W$4:$Y$42,3,FALSE)</f>
        <v>AES3</v>
      </c>
    </row>
    <row r="98" spans="1:54" hidden="1">
      <c r="A98" s="448">
        <f t="shared" si="78"/>
        <v>89</v>
      </c>
      <c r="B98" s="448" t="str">
        <f t="shared" si="40"/>
        <v>Mar 2016</v>
      </c>
      <c r="C98" s="832" t="s">
        <v>212</v>
      </c>
      <c r="D98" s="449" t="str">
        <f t="shared" si="41"/>
        <v>AES3</v>
      </c>
      <c r="E98" s="449" t="str">
        <f t="shared" si="42"/>
        <v>KUCME225</v>
      </c>
      <c r="F98" s="450">
        <f t="shared" si="43"/>
        <v>0</v>
      </c>
      <c r="G98" s="450">
        <v>0</v>
      </c>
      <c r="H98" s="450">
        <v>0</v>
      </c>
      <c r="I98" s="450">
        <v>0</v>
      </c>
      <c r="J98" s="450">
        <f t="shared" si="44"/>
        <v>0</v>
      </c>
      <c r="K98" s="482">
        <f t="shared" si="45"/>
        <v>0</v>
      </c>
      <c r="L98" s="482">
        <f t="shared" si="46"/>
        <v>0</v>
      </c>
      <c r="M98" s="482">
        <f t="shared" si="47"/>
        <v>0</v>
      </c>
      <c r="N98" s="482">
        <f t="shared" si="48"/>
        <v>0</v>
      </c>
      <c r="O98" s="482">
        <f t="shared" si="49"/>
        <v>0</v>
      </c>
      <c r="P98" s="482">
        <f t="shared" si="50"/>
        <v>0</v>
      </c>
      <c r="Q98" s="451">
        <f t="shared" si="51"/>
        <v>35</v>
      </c>
      <c r="R98" s="452">
        <f t="shared" si="52"/>
        <v>7.4399999999999994E-2</v>
      </c>
      <c r="S98" s="452">
        <v>0</v>
      </c>
      <c r="T98" s="452">
        <v>0</v>
      </c>
      <c r="U98" s="452">
        <f t="shared" si="53"/>
        <v>2.8920000000000001E-2</v>
      </c>
      <c r="V98" s="451">
        <f t="shared" si="54"/>
        <v>0</v>
      </c>
      <c r="W98" s="451">
        <f t="shared" si="55"/>
        <v>0</v>
      </c>
      <c r="X98" s="451">
        <f t="shared" si="56"/>
        <v>0</v>
      </c>
      <c r="Y98" s="453">
        <f t="shared" si="57"/>
        <v>0</v>
      </c>
      <c r="Z98" s="453">
        <f t="shared" si="58"/>
        <v>0</v>
      </c>
      <c r="AA98" s="453">
        <f t="shared" si="59"/>
        <v>0</v>
      </c>
      <c r="AB98" s="453">
        <f t="shared" si="60"/>
        <v>0</v>
      </c>
      <c r="AC98" s="453">
        <f t="shared" si="61"/>
        <v>0</v>
      </c>
      <c r="AD98" s="453">
        <f t="shared" si="62"/>
        <v>0</v>
      </c>
      <c r="AE98" s="493">
        <f t="shared" si="63"/>
        <v>0</v>
      </c>
      <c r="AF98" s="453">
        <f t="shared" si="64"/>
        <v>0</v>
      </c>
      <c r="AG98" s="494">
        <f t="shared" si="65"/>
        <v>1</v>
      </c>
      <c r="AH98" s="454">
        <f t="shared" si="66"/>
        <v>0</v>
      </c>
      <c r="AI98" s="454">
        <f t="shared" si="67"/>
        <v>0</v>
      </c>
      <c r="AJ98" s="454">
        <f t="shared" si="68"/>
        <v>0</v>
      </c>
      <c r="AK98" s="454">
        <f t="shared" si="69"/>
        <v>0</v>
      </c>
      <c r="AL98" s="454">
        <f t="shared" si="70"/>
        <v>0</v>
      </c>
      <c r="AM98" s="454">
        <f t="shared" si="71"/>
        <v>0</v>
      </c>
      <c r="AN98" s="491">
        <f t="shared" si="72"/>
        <v>0</v>
      </c>
      <c r="AO98" s="487">
        <f t="shared" si="73"/>
        <v>0</v>
      </c>
      <c r="AP98" s="495">
        <f t="shared" si="74"/>
        <v>0</v>
      </c>
      <c r="AQ98" s="496">
        <f t="shared" si="75"/>
        <v>0</v>
      </c>
      <c r="AV98" s="459">
        <f>IF(BA98&gt;BA97,AV97,IF(AV97&lt;MiscData!$F$1,EOMONTH(AV97,1),EOMONTH(AV97,-11)))</f>
        <v>42460</v>
      </c>
      <c r="AW98" s="448" t="str">
        <f t="shared" si="76"/>
        <v>20140101KUCME225</v>
      </c>
      <c r="AX98" s="457" t="str">
        <f t="shared" si="77"/>
        <v>20140101AES3</v>
      </c>
      <c r="AY98" s="439">
        <f>IF(AV98&lt;=MiscData!$B$23,MiscData!$C$23,IF(AV98&lt;=MiscData!$B$24,MiscData!$C$24,MiscData!$C$25))</f>
        <v>20140101</v>
      </c>
      <c r="AZ98" s="439" t="str">
        <f>VLOOKUP(BA98,MiscData!$V$4:$W$42,2,FALSE)</f>
        <v>KUCME225</v>
      </c>
      <c r="BA98" s="439">
        <f>IF(BA97=MiscData!$V$42,1,BA97+1)</f>
        <v>17</v>
      </c>
      <c r="BB98" s="439" t="str">
        <f>VLOOKUP(AZ98,MiscData!$W$4:$Y$42,3,FALSE)</f>
        <v>AES3</v>
      </c>
    </row>
    <row r="99" spans="1:54" hidden="1">
      <c r="A99" s="448">
        <f t="shared" si="78"/>
        <v>90</v>
      </c>
      <c r="B99" s="448" t="str">
        <f t="shared" si="40"/>
        <v>Mar 2016</v>
      </c>
      <c r="C99" s="448" t="s">
        <v>203</v>
      </c>
      <c r="D99" s="449" t="str">
        <f t="shared" si="41"/>
        <v>AES</v>
      </c>
      <c r="E99" s="449" t="str">
        <f t="shared" si="42"/>
        <v>KUCME226</v>
      </c>
      <c r="F99" s="450">
        <f t="shared" si="43"/>
        <v>0</v>
      </c>
      <c r="G99" s="450">
        <v>0</v>
      </c>
      <c r="H99" s="450">
        <v>0</v>
      </c>
      <c r="I99" s="450">
        <v>0</v>
      </c>
      <c r="J99" s="450">
        <f t="shared" si="44"/>
        <v>0</v>
      </c>
      <c r="K99" s="482">
        <f t="shared" si="45"/>
        <v>0</v>
      </c>
      <c r="L99" s="482">
        <f t="shared" si="46"/>
        <v>0</v>
      </c>
      <c r="M99" s="482">
        <f t="shared" si="47"/>
        <v>0</v>
      </c>
      <c r="N99" s="482">
        <f t="shared" si="48"/>
        <v>0</v>
      </c>
      <c r="O99" s="482">
        <f t="shared" si="49"/>
        <v>0</v>
      </c>
      <c r="P99" s="482">
        <f t="shared" si="50"/>
        <v>0</v>
      </c>
      <c r="Q99" s="451">
        <f t="shared" si="51"/>
        <v>20</v>
      </c>
      <c r="R99" s="452">
        <f t="shared" si="52"/>
        <v>7.4399999999999994E-2</v>
      </c>
      <c r="S99" s="452">
        <v>0</v>
      </c>
      <c r="T99" s="452">
        <v>0</v>
      </c>
      <c r="U99" s="452">
        <f t="shared" si="53"/>
        <v>2.8920000000000001E-2</v>
      </c>
      <c r="V99" s="451">
        <f t="shared" si="54"/>
        <v>0</v>
      </c>
      <c r="W99" s="451">
        <f t="shared" si="55"/>
        <v>0</v>
      </c>
      <c r="X99" s="451">
        <f t="shared" si="56"/>
        <v>0</v>
      </c>
      <c r="Y99" s="453">
        <f t="shared" si="57"/>
        <v>0</v>
      </c>
      <c r="Z99" s="453">
        <f t="shared" si="58"/>
        <v>0</v>
      </c>
      <c r="AA99" s="453">
        <f t="shared" si="59"/>
        <v>0</v>
      </c>
      <c r="AB99" s="453">
        <f t="shared" si="60"/>
        <v>0</v>
      </c>
      <c r="AC99" s="453">
        <f t="shared" si="61"/>
        <v>0</v>
      </c>
      <c r="AD99" s="453">
        <f t="shared" si="62"/>
        <v>0</v>
      </c>
      <c r="AE99" s="493">
        <f t="shared" si="63"/>
        <v>0</v>
      </c>
      <c r="AF99" s="453">
        <f t="shared" si="64"/>
        <v>0</v>
      </c>
      <c r="AG99" s="494">
        <f t="shared" si="65"/>
        <v>1</v>
      </c>
      <c r="AH99" s="454">
        <f t="shared" si="66"/>
        <v>0</v>
      </c>
      <c r="AI99" s="454">
        <f t="shared" si="67"/>
        <v>0</v>
      </c>
      <c r="AJ99" s="454">
        <f t="shared" si="68"/>
        <v>0</v>
      </c>
      <c r="AK99" s="454">
        <f t="shared" si="69"/>
        <v>0</v>
      </c>
      <c r="AL99" s="454">
        <f t="shared" si="70"/>
        <v>0</v>
      </c>
      <c r="AM99" s="454">
        <f t="shared" si="71"/>
        <v>0</v>
      </c>
      <c r="AN99" s="491">
        <f t="shared" si="72"/>
        <v>0</v>
      </c>
      <c r="AO99" s="487">
        <f t="shared" si="73"/>
        <v>0</v>
      </c>
      <c r="AP99" s="495">
        <f t="shared" si="74"/>
        <v>0</v>
      </c>
      <c r="AQ99" s="496">
        <f t="shared" si="75"/>
        <v>0</v>
      </c>
      <c r="AV99" s="459">
        <f>IF(BA99&gt;BA98,AV98,IF(AV98&lt;MiscData!$F$1,EOMONTH(AV98,1),EOMONTH(AV98,-11)))</f>
        <v>42460</v>
      </c>
      <c r="AW99" s="448" t="str">
        <f t="shared" si="76"/>
        <v>20140101KUCME226</v>
      </c>
      <c r="AX99" s="457" t="str">
        <f t="shared" si="77"/>
        <v>20140101AES</v>
      </c>
      <c r="AY99" s="439">
        <f>IF(AV99&lt;=MiscData!$B$23,MiscData!$C$23,IF(AV99&lt;=MiscData!$B$24,MiscData!$C$24,MiscData!$C$25))</f>
        <v>20140101</v>
      </c>
      <c r="AZ99" s="439" t="str">
        <f>VLOOKUP(BA99,MiscData!$V$4:$W$42,2,FALSE)</f>
        <v>KUCME226</v>
      </c>
      <c r="BA99" s="439">
        <f>IF(BA98=MiscData!$V$42,1,BA98+1)</f>
        <v>18</v>
      </c>
      <c r="BB99" s="439" t="str">
        <f>VLOOKUP(AZ99,MiscData!$W$4:$Y$42,3,FALSE)</f>
        <v>AES</v>
      </c>
    </row>
    <row r="100" spans="1:54" hidden="1">
      <c r="A100" s="448">
        <f t="shared" si="78"/>
        <v>91</v>
      </c>
      <c r="B100" s="448" t="str">
        <f t="shared" si="40"/>
        <v>Mar 2016</v>
      </c>
      <c r="C100" s="832" t="s">
        <v>212</v>
      </c>
      <c r="D100" s="449" t="str">
        <f t="shared" si="41"/>
        <v>AES3</v>
      </c>
      <c r="E100" s="449" t="str">
        <f t="shared" si="42"/>
        <v>KUCME227</v>
      </c>
      <c r="F100" s="450">
        <f t="shared" si="43"/>
        <v>0</v>
      </c>
      <c r="G100" s="450">
        <v>0</v>
      </c>
      <c r="H100" s="450">
        <v>0</v>
      </c>
      <c r="I100" s="450">
        <v>0</v>
      </c>
      <c r="J100" s="450">
        <f t="shared" si="44"/>
        <v>0</v>
      </c>
      <c r="K100" s="482">
        <f t="shared" si="45"/>
        <v>0</v>
      </c>
      <c r="L100" s="482">
        <f t="shared" si="46"/>
        <v>0</v>
      </c>
      <c r="M100" s="482">
        <f t="shared" si="47"/>
        <v>0</v>
      </c>
      <c r="N100" s="482">
        <f t="shared" si="48"/>
        <v>0</v>
      </c>
      <c r="O100" s="482">
        <f t="shared" si="49"/>
        <v>0</v>
      </c>
      <c r="P100" s="482">
        <f t="shared" si="50"/>
        <v>0</v>
      </c>
      <c r="Q100" s="451">
        <f t="shared" si="51"/>
        <v>35</v>
      </c>
      <c r="R100" s="452">
        <f t="shared" si="52"/>
        <v>7.4399999999999994E-2</v>
      </c>
      <c r="S100" s="452">
        <v>0</v>
      </c>
      <c r="T100" s="452">
        <v>0</v>
      </c>
      <c r="U100" s="452">
        <f t="shared" si="53"/>
        <v>2.8920000000000001E-2</v>
      </c>
      <c r="V100" s="451">
        <f t="shared" si="54"/>
        <v>0</v>
      </c>
      <c r="W100" s="451">
        <f t="shared" si="55"/>
        <v>0</v>
      </c>
      <c r="X100" s="451">
        <f t="shared" si="56"/>
        <v>0</v>
      </c>
      <c r="Y100" s="453">
        <f t="shared" si="57"/>
        <v>0</v>
      </c>
      <c r="Z100" s="453">
        <f t="shared" si="58"/>
        <v>0</v>
      </c>
      <c r="AA100" s="453">
        <f t="shared" si="59"/>
        <v>0</v>
      </c>
      <c r="AB100" s="453">
        <f t="shared" si="60"/>
        <v>0</v>
      </c>
      <c r="AC100" s="453">
        <f t="shared" si="61"/>
        <v>0</v>
      </c>
      <c r="AD100" s="453">
        <f t="shared" si="62"/>
        <v>0</v>
      </c>
      <c r="AE100" s="493">
        <f t="shared" si="63"/>
        <v>0</v>
      </c>
      <c r="AF100" s="453">
        <f t="shared" si="64"/>
        <v>0</v>
      </c>
      <c r="AG100" s="494">
        <f t="shared" si="65"/>
        <v>1</v>
      </c>
      <c r="AH100" s="454">
        <f t="shared" si="66"/>
        <v>0</v>
      </c>
      <c r="AI100" s="454">
        <f t="shared" si="67"/>
        <v>0</v>
      </c>
      <c r="AJ100" s="454">
        <f t="shared" si="68"/>
        <v>0</v>
      </c>
      <c r="AK100" s="454">
        <f t="shared" si="69"/>
        <v>0</v>
      </c>
      <c r="AL100" s="454">
        <f t="shared" si="70"/>
        <v>0</v>
      </c>
      <c r="AM100" s="454">
        <f t="shared" si="71"/>
        <v>0</v>
      </c>
      <c r="AN100" s="491">
        <f t="shared" si="72"/>
        <v>0</v>
      </c>
      <c r="AO100" s="487">
        <f t="shared" si="73"/>
        <v>0</v>
      </c>
      <c r="AP100" s="495">
        <f t="shared" si="74"/>
        <v>0</v>
      </c>
      <c r="AQ100" s="496">
        <f t="shared" si="75"/>
        <v>0</v>
      </c>
      <c r="AV100" s="459">
        <f>IF(BA100&gt;BA99,AV99,IF(AV99&lt;MiscData!$F$1,EOMONTH(AV99,1),EOMONTH(AV99,-11)))</f>
        <v>42460</v>
      </c>
      <c r="AW100" s="448" t="str">
        <f t="shared" si="76"/>
        <v>20140101KUCME227</v>
      </c>
      <c r="AX100" s="457" t="str">
        <f t="shared" si="77"/>
        <v>20140101AES3</v>
      </c>
      <c r="AY100" s="439">
        <f>IF(AV100&lt;=MiscData!$B$23,MiscData!$C$23,IF(AV100&lt;=MiscData!$B$24,MiscData!$C$24,MiscData!$C$25))</f>
        <v>20140101</v>
      </c>
      <c r="AZ100" s="439" t="str">
        <f>VLOOKUP(BA100,MiscData!$V$4:$W$42,2,FALSE)</f>
        <v>KUCME227</v>
      </c>
      <c r="BA100" s="439">
        <f>IF(BA99=MiscData!$V$42,1,BA99+1)</f>
        <v>19</v>
      </c>
      <c r="BB100" s="439" t="str">
        <f>VLOOKUP(AZ100,MiscData!$W$4:$Y$42,3,FALSE)</f>
        <v>AES3</v>
      </c>
    </row>
    <row r="101" spans="1:54" hidden="1">
      <c r="A101" s="448">
        <f t="shared" si="78"/>
        <v>92</v>
      </c>
      <c r="B101" s="448" t="str">
        <f t="shared" si="40"/>
        <v>Mar 2016</v>
      </c>
      <c r="C101" s="448" t="s">
        <v>19</v>
      </c>
      <c r="D101" s="449" t="str">
        <f t="shared" si="41"/>
        <v>LE</v>
      </c>
      <c r="E101" s="449" t="str">
        <f t="shared" si="42"/>
        <v>KUCME290</v>
      </c>
      <c r="F101" s="450">
        <f t="shared" si="43"/>
        <v>2</v>
      </c>
      <c r="G101" s="450">
        <v>0</v>
      </c>
      <c r="H101" s="450">
        <v>0</v>
      </c>
      <c r="I101" s="450">
        <v>0</v>
      </c>
      <c r="J101" s="450">
        <f t="shared" si="44"/>
        <v>12796</v>
      </c>
      <c r="K101" s="482">
        <f t="shared" si="45"/>
        <v>0</v>
      </c>
      <c r="L101" s="482">
        <f t="shared" si="46"/>
        <v>0</v>
      </c>
      <c r="M101" s="482">
        <f t="shared" si="47"/>
        <v>0</v>
      </c>
      <c r="N101" s="482">
        <f t="shared" si="48"/>
        <v>0</v>
      </c>
      <c r="O101" s="482">
        <f t="shared" si="49"/>
        <v>0</v>
      </c>
      <c r="P101" s="482">
        <f t="shared" si="50"/>
        <v>0</v>
      </c>
      <c r="Q101" s="451">
        <f t="shared" si="51"/>
        <v>0</v>
      </c>
      <c r="R101" s="452">
        <f t="shared" si="52"/>
        <v>6.3799999999999996E-2</v>
      </c>
      <c r="S101" s="452">
        <v>0</v>
      </c>
      <c r="T101" s="452">
        <v>0</v>
      </c>
      <c r="U101" s="452">
        <f t="shared" si="53"/>
        <v>2.8920000000000001E-2</v>
      </c>
      <c r="V101" s="451">
        <f t="shared" si="54"/>
        <v>0</v>
      </c>
      <c r="W101" s="451">
        <f t="shared" si="55"/>
        <v>0</v>
      </c>
      <c r="X101" s="451">
        <f t="shared" si="56"/>
        <v>0</v>
      </c>
      <c r="Y101" s="453">
        <f t="shared" si="57"/>
        <v>0</v>
      </c>
      <c r="Z101" s="453">
        <f t="shared" si="58"/>
        <v>816.38</v>
      </c>
      <c r="AA101" s="453">
        <f t="shared" si="59"/>
        <v>0</v>
      </c>
      <c r="AB101" s="453">
        <f t="shared" si="60"/>
        <v>0</v>
      </c>
      <c r="AC101" s="453">
        <f t="shared" si="61"/>
        <v>0</v>
      </c>
      <c r="AD101" s="453">
        <f t="shared" si="62"/>
        <v>0</v>
      </c>
      <c r="AE101" s="493">
        <f t="shared" si="63"/>
        <v>816.38</v>
      </c>
      <c r="AF101" s="453">
        <f t="shared" si="64"/>
        <v>0</v>
      </c>
      <c r="AG101" s="494">
        <f t="shared" si="65"/>
        <v>0</v>
      </c>
      <c r="AH101" s="454">
        <f t="shared" si="66"/>
        <v>0</v>
      </c>
      <c r="AI101" s="454">
        <f t="shared" si="67"/>
        <v>0</v>
      </c>
      <c r="AJ101" s="454">
        <f t="shared" si="68"/>
        <v>0</v>
      </c>
      <c r="AK101" s="454">
        <f t="shared" si="69"/>
        <v>0</v>
      </c>
      <c r="AL101" s="454">
        <f t="shared" si="70"/>
        <v>0</v>
      </c>
      <c r="AM101" s="454">
        <f t="shared" si="71"/>
        <v>0</v>
      </c>
      <c r="AN101" s="491">
        <f t="shared" si="72"/>
        <v>816.38</v>
      </c>
      <c r="AO101" s="487">
        <f t="shared" si="73"/>
        <v>-816.38</v>
      </c>
      <c r="AP101" s="495">
        <f t="shared" si="74"/>
        <v>370.06</v>
      </c>
      <c r="AQ101" s="496">
        <f t="shared" si="75"/>
        <v>446.32</v>
      </c>
      <c r="AV101" s="459">
        <f>IF(BA101&gt;BA100,AV100,IF(AV100&lt;MiscData!$F$1,EOMONTH(AV100,1),EOMONTH(AV100,-11)))</f>
        <v>42460</v>
      </c>
      <c r="AW101" s="448" t="str">
        <f t="shared" si="76"/>
        <v>20140101KUCME290</v>
      </c>
      <c r="AX101" s="457" t="str">
        <f t="shared" si="77"/>
        <v>20140101LE</v>
      </c>
      <c r="AY101" s="439">
        <f>IF(AV101&lt;=MiscData!$B$23,MiscData!$C$23,IF(AV101&lt;=MiscData!$B$24,MiscData!$C$24,MiscData!$C$25))</f>
        <v>20140101</v>
      </c>
      <c r="AZ101" s="439" t="str">
        <f>VLOOKUP(BA101,MiscData!$V$4:$W$42,2,FALSE)</f>
        <v>KUCME290</v>
      </c>
      <c r="BA101" s="439">
        <f>IF(BA100=MiscData!$V$42,1,BA100+1)</f>
        <v>20</v>
      </c>
      <c r="BB101" s="439" t="str">
        <f>VLOOKUP(AZ101,MiscData!$W$4:$Y$42,3,FALSE)</f>
        <v>LE</v>
      </c>
    </row>
    <row r="102" spans="1:54" hidden="1">
      <c r="A102" s="448">
        <f t="shared" si="78"/>
        <v>93</v>
      </c>
      <c r="B102" s="448" t="str">
        <f t="shared" si="40"/>
        <v>Mar 2016</v>
      </c>
      <c r="C102" s="448" t="s">
        <v>19</v>
      </c>
      <c r="D102" s="449" t="str">
        <f t="shared" si="41"/>
        <v>LE</v>
      </c>
      <c r="E102" s="449" t="str">
        <f t="shared" si="42"/>
        <v>KUCME291</v>
      </c>
      <c r="F102" s="450">
        <f t="shared" si="43"/>
        <v>0</v>
      </c>
      <c r="G102" s="450">
        <v>0</v>
      </c>
      <c r="H102" s="450">
        <v>0</v>
      </c>
      <c r="I102" s="450">
        <v>0</v>
      </c>
      <c r="J102" s="450">
        <f t="shared" si="44"/>
        <v>0</v>
      </c>
      <c r="K102" s="482">
        <f t="shared" si="45"/>
        <v>0</v>
      </c>
      <c r="L102" s="482">
        <f t="shared" si="46"/>
        <v>0</v>
      </c>
      <c r="M102" s="482">
        <f t="shared" si="47"/>
        <v>0</v>
      </c>
      <c r="N102" s="482">
        <f t="shared" si="48"/>
        <v>0</v>
      </c>
      <c r="O102" s="482">
        <f t="shared" si="49"/>
        <v>0</v>
      </c>
      <c r="P102" s="482">
        <f t="shared" si="50"/>
        <v>0</v>
      </c>
      <c r="Q102" s="451">
        <f t="shared" si="51"/>
        <v>0</v>
      </c>
      <c r="R102" s="452">
        <f t="shared" si="52"/>
        <v>6.3799999999999996E-2</v>
      </c>
      <c r="S102" s="452">
        <v>0</v>
      </c>
      <c r="T102" s="452">
        <v>0</v>
      </c>
      <c r="U102" s="452">
        <f t="shared" si="53"/>
        <v>2.8920000000000001E-2</v>
      </c>
      <c r="V102" s="451">
        <f t="shared" si="54"/>
        <v>0</v>
      </c>
      <c r="W102" s="451">
        <f t="shared" si="55"/>
        <v>0</v>
      </c>
      <c r="X102" s="451">
        <f t="shared" si="56"/>
        <v>0</v>
      </c>
      <c r="Y102" s="453">
        <f t="shared" si="57"/>
        <v>0</v>
      </c>
      <c r="Z102" s="453">
        <f t="shared" si="58"/>
        <v>0</v>
      </c>
      <c r="AA102" s="453">
        <f t="shared" si="59"/>
        <v>0</v>
      </c>
      <c r="AB102" s="453">
        <f t="shared" si="60"/>
        <v>0</v>
      </c>
      <c r="AC102" s="453">
        <f t="shared" si="61"/>
        <v>0</v>
      </c>
      <c r="AD102" s="453">
        <f t="shared" si="62"/>
        <v>0</v>
      </c>
      <c r="AE102" s="493">
        <f t="shared" si="63"/>
        <v>0</v>
      </c>
      <c r="AF102" s="453">
        <f t="shared" si="64"/>
        <v>0</v>
      </c>
      <c r="AG102" s="494">
        <f t="shared" si="65"/>
        <v>1</v>
      </c>
      <c r="AH102" s="454">
        <f t="shared" si="66"/>
        <v>0</v>
      </c>
      <c r="AI102" s="454">
        <f t="shared" si="67"/>
        <v>0</v>
      </c>
      <c r="AJ102" s="454">
        <f t="shared" si="68"/>
        <v>0</v>
      </c>
      <c r="AK102" s="454">
        <f t="shared" si="69"/>
        <v>0</v>
      </c>
      <c r="AL102" s="454">
        <f t="shared" si="70"/>
        <v>0</v>
      </c>
      <c r="AM102" s="454">
        <f t="shared" si="71"/>
        <v>0</v>
      </c>
      <c r="AN102" s="491">
        <f t="shared" si="72"/>
        <v>0</v>
      </c>
      <c r="AO102" s="487">
        <f t="shared" si="73"/>
        <v>0</v>
      </c>
      <c r="AP102" s="495">
        <f t="shared" si="74"/>
        <v>0</v>
      </c>
      <c r="AQ102" s="496">
        <f t="shared" si="75"/>
        <v>0</v>
      </c>
      <c r="AV102" s="459">
        <f>IF(BA102&gt;BA101,AV101,IF(AV101&lt;MiscData!$F$1,EOMONTH(AV101,1),EOMONTH(AV101,-11)))</f>
        <v>42460</v>
      </c>
      <c r="AW102" s="448" t="str">
        <f t="shared" si="76"/>
        <v>20140101KUCME291</v>
      </c>
      <c r="AX102" s="457" t="str">
        <f t="shared" si="77"/>
        <v>20140101LE</v>
      </c>
      <c r="AY102" s="439">
        <f>IF(AV102&lt;=MiscData!$B$23,MiscData!$C$23,IF(AV102&lt;=MiscData!$B$24,MiscData!$C$24,MiscData!$C$25))</f>
        <v>20140101</v>
      </c>
      <c r="AZ102" s="439" t="str">
        <f>VLOOKUP(BA102,MiscData!$V$4:$W$42,2,FALSE)</f>
        <v>KUCME291</v>
      </c>
      <c r="BA102" s="439">
        <f>IF(BA101=MiscData!$V$42,1,BA101+1)</f>
        <v>21</v>
      </c>
      <c r="BB102" s="439" t="str">
        <f>VLOOKUP(AZ102,MiscData!$W$4:$Y$42,3,FALSE)</f>
        <v>LE</v>
      </c>
    </row>
    <row r="103" spans="1:54" hidden="1">
      <c r="A103" s="448">
        <f t="shared" si="78"/>
        <v>94</v>
      </c>
      <c r="B103" s="448" t="str">
        <f t="shared" si="40"/>
        <v>Mar 2016</v>
      </c>
      <c r="C103" s="448" t="s">
        <v>20</v>
      </c>
      <c r="D103" s="449" t="str">
        <f t="shared" si="41"/>
        <v>TE</v>
      </c>
      <c r="E103" s="449" t="str">
        <f t="shared" si="42"/>
        <v>KUCME295</v>
      </c>
      <c r="F103" s="450">
        <f t="shared" si="43"/>
        <v>747</v>
      </c>
      <c r="G103" s="450">
        <v>0</v>
      </c>
      <c r="H103" s="450">
        <v>0</v>
      </c>
      <c r="I103" s="450">
        <v>0</v>
      </c>
      <c r="J103" s="450">
        <f t="shared" si="44"/>
        <v>104309</v>
      </c>
      <c r="K103" s="482">
        <f t="shared" si="45"/>
        <v>0</v>
      </c>
      <c r="L103" s="482">
        <f t="shared" si="46"/>
        <v>0</v>
      </c>
      <c r="M103" s="482">
        <f t="shared" si="47"/>
        <v>0</v>
      </c>
      <c r="N103" s="482">
        <f t="shared" si="48"/>
        <v>0</v>
      </c>
      <c r="O103" s="482">
        <f t="shared" si="49"/>
        <v>0</v>
      </c>
      <c r="P103" s="482">
        <f t="shared" si="50"/>
        <v>0</v>
      </c>
      <c r="Q103" s="451">
        <f t="shared" si="51"/>
        <v>3.25</v>
      </c>
      <c r="R103" s="452">
        <f t="shared" si="52"/>
        <v>7.9780000000000004E-2</v>
      </c>
      <c r="S103" s="452">
        <v>0</v>
      </c>
      <c r="T103" s="452">
        <v>0</v>
      </c>
      <c r="U103" s="452">
        <f t="shared" si="53"/>
        <v>2.8920000000000001E-2</v>
      </c>
      <c r="V103" s="451">
        <f t="shared" si="54"/>
        <v>0</v>
      </c>
      <c r="W103" s="451">
        <f t="shared" si="55"/>
        <v>0</v>
      </c>
      <c r="X103" s="451">
        <f t="shared" si="56"/>
        <v>0</v>
      </c>
      <c r="Y103" s="453">
        <f t="shared" si="57"/>
        <v>2427.75</v>
      </c>
      <c r="Z103" s="453">
        <f t="shared" si="58"/>
        <v>8321.77</v>
      </c>
      <c r="AA103" s="453">
        <f t="shared" si="59"/>
        <v>0</v>
      </c>
      <c r="AB103" s="453">
        <f t="shared" si="60"/>
        <v>0</v>
      </c>
      <c r="AC103" s="453">
        <f t="shared" si="61"/>
        <v>0</v>
      </c>
      <c r="AD103" s="453">
        <f t="shared" si="62"/>
        <v>0</v>
      </c>
      <c r="AE103" s="493">
        <f t="shared" si="63"/>
        <v>10749.52</v>
      </c>
      <c r="AF103" s="453">
        <f t="shared" si="64"/>
        <v>0</v>
      </c>
      <c r="AG103" s="494">
        <f t="shared" si="65"/>
        <v>0</v>
      </c>
      <c r="AH103" s="454">
        <f t="shared" si="66"/>
        <v>0</v>
      </c>
      <c r="AI103" s="454">
        <f t="shared" si="67"/>
        <v>0</v>
      </c>
      <c r="AJ103" s="454">
        <f t="shared" si="68"/>
        <v>0</v>
      </c>
      <c r="AK103" s="454">
        <f t="shared" si="69"/>
        <v>0</v>
      </c>
      <c r="AL103" s="454">
        <f t="shared" si="70"/>
        <v>0</v>
      </c>
      <c r="AM103" s="454">
        <f t="shared" si="71"/>
        <v>0</v>
      </c>
      <c r="AN103" s="491">
        <f t="shared" si="72"/>
        <v>10749.52</v>
      </c>
      <c r="AO103" s="487">
        <f t="shared" si="73"/>
        <v>-10749.52</v>
      </c>
      <c r="AP103" s="495">
        <f t="shared" si="74"/>
        <v>3016.62</v>
      </c>
      <c r="AQ103" s="496">
        <f t="shared" si="75"/>
        <v>5305.1500000000005</v>
      </c>
      <c r="AV103" s="459">
        <f>IF(BA103&gt;BA102,AV102,IF(AV102&lt;MiscData!$F$1,EOMONTH(AV102,1),EOMONTH(AV102,-11)))</f>
        <v>42460</v>
      </c>
      <c r="AW103" s="448" t="str">
        <f t="shared" si="76"/>
        <v>20140101KUCME295</v>
      </c>
      <c r="AX103" s="457" t="str">
        <f t="shared" si="77"/>
        <v>20140101TE</v>
      </c>
      <c r="AY103" s="439">
        <f>IF(AV103&lt;=MiscData!$B$23,MiscData!$C$23,IF(AV103&lt;=MiscData!$B$24,MiscData!$C$24,MiscData!$C$25))</f>
        <v>20140101</v>
      </c>
      <c r="AZ103" s="439" t="str">
        <f>VLOOKUP(BA103,MiscData!$V$4:$W$42,2,FALSE)</f>
        <v>KUCME295</v>
      </c>
      <c r="BA103" s="439">
        <f>IF(BA102=MiscData!$V$42,1,BA102+1)</f>
        <v>22</v>
      </c>
      <c r="BB103" s="439" t="str">
        <f>VLOOKUP(AZ103,MiscData!$W$4:$Y$42,3,FALSE)</f>
        <v>TE</v>
      </c>
    </row>
    <row r="104" spans="1:54" hidden="1">
      <c r="A104" s="448">
        <f t="shared" si="78"/>
        <v>95</v>
      </c>
      <c r="B104" s="448" t="str">
        <f t="shared" si="40"/>
        <v>Mar 2016</v>
      </c>
      <c r="C104" s="448" t="s">
        <v>20</v>
      </c>
      <c r="D104" s="449" t="str">
        <f t="shared" si="41"/>
        <v>TE</v>
      </c>
      <c r="E104" s="449" t="str">
        <f t="shared" si="42"/>
        <v>KUCME297</v>
      </c>
      <c r="F104" s="450">
        <f t="shared" si="43"/>
        <v>0</v>
      </c>
      <c r="G104" s="450">
        <v>0</v>
      </c>
      <c r="H104" s="450">
        <v>0</v>
      </c>
      <c r="I104" s="450">
        <v>0</v>
      </c>
      <c r="J104" s="450">
        <f t="shared" si="44"/>
        <v>0</v>
      </c>
      <c r="K104" s="482">
        <f t="shared" si="45"/>
        <v>0</v>
      </c>
      <c r="L104" s="482">
        <f t="shared" si="46"/>
        <v>0</v>
      </c>
      <c r="M104" s="482">
        <f t="shared" si="47"/>
        <v>0</v>
      </c>
      <c r="N104" s="482">
        <f t="shared" si="48"/>
        <v>0</v>
      </c>
      <c r="O104" s="482">
        <f t="shared" si="49"/>
        <v>0</v>
      </c>
      <c r="P104" s="482">
        <f t="shared" si="50"/>
        <v>0</v>
      </c>
      <c r="Q104" s="451">
        <f t="shared" si="51"/>
        <v>3.25</v>
      </c>
      <c r="R104" s="452">
        <f t="shared" si="52"/>
        <v>7.9780000000000004E-2</v>
      </c>
      <c r="S104" s="452">
        <v>0</v>
      </c>
      <c r="T104" s="452">
        <v>0</v>
      </c>
      <c r="U104" s="452">
        <f t="shared" si="53"/>
        <v>2.8920000000000001E-2</v>
      </c>
      <c r="V104" s="451">
        <f t="shared" si="54"/>
        <v>0</v>
      </c>
      <c r="W104" s="451">
        <f t="shared" si="55"/>
        <v>0</v>
      </c>
      <c r="X104" s="451">
        <f t="shared" si="56"/>
        <v>0</v>
      </c>
      <c r="Y104" s="453">
        <f t="shared" si="57"/>
        <v>0</v>
      </c>
      <c r="Z104" s="453">
        <f t="shared" si="58"/>
        <v>0</v>
      </c>
      <c r="AA104" s="453">
        <f t="shared" si="59"/>
        <v>0</v>
      </c>
      <c r="AB104" s="453">
        <f t="shared" si="60"/>
        <v>0</v>
      </c>
      <c r="AC104" s="453">
        <f t="shared" si="61"/>
        <v>0</v>
      </c>
      <c r="AD104" s="453">
        <f t="shared" si="62"/>
        <v>0</v>
      </c>
      <c r="AE104" s="493">
        <f t="shared" si="63"/>
        <v>0</v>
      </c>
      <c r="AF104" s="453">
        <f t="shared" si="64"/>
        <v>0</v>
      </c>
      <c r="AG104" s="494">
        <f t="shared" si="65"/>
        <v>1</v>
      </c>
      <c r="AH104" s="454">
        <f t="shared" si="66"/>
        <v>0</v>
      </c>
      <c r="AI104" s="454">
        <f t="shared" si="67"/>
        <v>0</v>
      </c>
      <c r="AJ104" s="454">
        <f t="shared" si="68"/>
        <v>0</v>
      </c>
      <c r="AK104" s="454">
        <f t="shared" si="69"/>
        <v>0</v>
      </c>
      <c r="AL104" s="454">
        <f t="shared" si="70"/>
        <v>0</v>
      </c>
      <c r="AM104" s="454">
        <f t="shared" si="71"/>
        <v>0</v>
      </c>
      <c r="AN104" s="491">
        <f t="shared" si="72"/>
        <v>0</v>
      </c>
      <c r="AO104" s="487">
        <f t="shared" si="73"/>
        <v>0</v>
      </c>
      <c r="AP104" s="495">
        <f t="shared" si="74"/>
        <v>0</v>
      </c>
      <c r="AQ104" s="496">
        <f t="shared" si="75"/>
        <v>0</v>
      </c>
      <c r="AV104" s="459">
        <f>IF(BA104&gt;BA103,AV103,IF(AV103&lt;MiscData!$F$1,EOMONTH(AV103,1),EOMONTH(AV103,-11)))</f>
        <v>42460</v>
      </c>
      <c r="AW104" s="448" t="str">
        <f t="shared" si="76"/>
        <v>20140101KUCME297</v>
      </c>
      <c r="AX104" s="457" t="str">
        <f t="shared" si="77"/>
        <v>20140101TE</v>
      </c>
      <c r="AY104" s="439">
        <f>IF(AV104&lt;=MiscData!$B$23,MiscData!$C$23,IF(AV104&lt;=MiscData!$B$24,MiscData!$C$24,MiscData!$C$25))</f>
        <v>20140101</v>
      </c>
      <c r="AZ104" s="439" t="str">
        <f>VLOOKUP(BA104,MiscData!$V$4:$W$42,2,FALSE)</f>
        <v>KUCME297</v>
      </c>
      <c r="BA104" s="439">
        <f>IF(BA103=MiscData!$V$42,1,BA103+1)</f>
        <v>23</v>
      </c>
      <c r="BB104" s="439" t="str">
        <f>VLOOKUP(AZ104,MiscData!$W$4:$Y$42,3,FALSE)</f>
        <v>TE</v>
      </c>
    </row>
    <row r="105" spans="1:54" hidden="1">
      <c r="A105" s="448">
        <f t="shared" si="78"/>
        <v>96</v>
      </c>
      <c r="B105" s="448" t="str">
        <f t="shared" si="40"/>
        <v>Mar 2016</v>
      </c>
      <c r="C105" s="448" t="s">
        <v>690</v>
      </c>
      <c r="D105" s="449" t="str">
        <f t="shared" si="41"/>
        <v>SQF</v>
      </c>
      <c r="E105" s="449" t="str">
        <f t="shared" si="42"/>
        <v>KUCME705</v>
      </c>
      <c r="F105" s="450">
        <f t="shared" si="43"/>
        <v>0</v>
      </c>
      <c r="G105" s="450">
        <v>0</v>
      </c>
      <c r="H105" s="450">
        <v>0</v>
      </c>
      <c r="I105" s="450">
        <v>0</v>
      </c>
      <c r="J105" s="450">
        <f t="shared" si="44"/>
        <v>0</v>
      </c>
      <c r="K105" s="482">
        <f t="shared" si="45"/>
        <v>0</v>
      </c>
      <c r="L105" s="482">
        <f t="shared" si="46"/>
        <v>0</v>
      </c>
      <c r="M105" s="482">
        <f t="shared" si="47"/>
        <v>0</v>
      </c>
      <c r="N105" s="482">
        <f t="shared" si="48"/>
        <v>0</v>
      </c>
      <c r="O105" s="482">
        <f t="shared" si="49"/>
        <v>0</v>
      </c>
      <c r="P105" s="482">
        <f t="shared" si="50"/>
        <v>0</v>
      </c>
      <c r="Q105" s="451">
        <f t="shared" si="51"/>
        <v>0</v>
      </c>
      <c r="R105" s="452">
        <f t="shared" si="52"/>
        <v>0</v>
      </c>
      <c r="S105" s="452">
        <v>0</v>
      </c>
      <c r="T105" s="452">
        <v>0</v>
      </c>
      <c r="U105" s="452">
        <f t="shared" si="53"/>
        <v>0</v>
      </c>
      <c r="V105" s="451">
        <f t="shared" si="54"/>
        <v>0</v>
      </c>
      <c r="W105" s="451">
        <f t="shared" si="55"/>
        <v>0</v>
      </c>
      <c r="X105" s="451">
        <f t="shared" si="56"/>
        <v>0</v>
      </c>
      <c r="Y105" s="453">
        <f t="shared" si="57"/>
        <v>0</v>
      </c>
      <c r="Z105" s="453">
        <f t="shared" si="58"/>
        <v>0</v>
      </c>
      <c r="AA105" s="453">
        <f t="shared" si="59"/>
        <v>0</v>
      </c>
      <c r="AB105" s="453">
        <f t="shared" si="60"/>
        <v>0</v>
      </c>
      <c r="AC105" s="453">
        <f t="shared" si="61"/>
        <v>0</v>
      </c>
      <c r="AD105" s="453">
        <f t="shared" si="62"/>
        <v>0</v>
      </c>
      <c r="AE105" s="493">
        <f t="shared" si="63"/>
        <v>0</v>
      </c>
      <c r="AF105" s="453">
        <f t="shared" si="64"/>
        <v>0</v>
      </c>
      <c r="AG105" s="494">
        <f t="shared" si="65"/>
        <v>1</v>
      </c>
      <c r="AH105" s="454">
        <f t="shared" si="66"/>
        <v>0</v>
      </c>
      <c r="AI105" s="454">
        <f t="shared" si="67"/>
        <v>0</v>
      </c>
      <c r="AJ105" s="454">
        <f t="shared" si="68"/>
        <v>0</v>
      </c>
      <c r="AK105" s="454">
        <f t="shared" si="69"/>
        <v>0</v>
      </c>
      <c r="AL105" s="454">
        <f t="shared" si="70"/>
        <v>0</v>
      </c>
      <c r="AM105" s="454">
        <f t="shared" si="71"/>
        <v>0</v>
      </c>
      <c r="AN105" s="491">
        <f t="shared" si="72"/>
        <v>0</v>
      </c>
      <c r="AO105" s="487">
        <f t="shared" si="73"/>
        <v>0</v>
      </c>
      <c r="AP105" s="495">
        <f t="shared" si="74"/>
        <v>0</v>
      </c>
      <c r="AQ105" s="496">
        <f t="shared" si="75"/>
        <v>0</v>
      </c>
      <c r="AV105" s="459">
        <f>IF(BA105&gt;BA104,AV104,IF(AV104&lt;MiscData!$F$1,EOMONTH(AV104,1),EOMONTH(AV104,-11)))</f>
        <v>42460</v>
      </c>
      <c r="AW105" s="448" t="str">
        <f t="shared" si="76"/>
        <v>20140101KUCME705</v>
      </c>
      <c r="AX105" s="457" t="str">
        <f t="shared" si="77"/>
        <v>20140101SQF</v>
      </c>
      <c r="AY105" s="439">
        <f>IF(AV105&lt;=MiscData!$B$23,MiscData!$C$23,IF(AV105&lt;=MiscData!$B$24,MiscData!$C$24,MiscData!$C$25))</f>
        <v>20140101</v>
      </c>
      <c r="AZ105" s="439" t="str">
        <f>VLOOKUP(BA105,MiscData!$V$4:$W$42,2,FALSE)</f>
        <v>KUCME705</v>
      </c>
      <c r="BA105" s="439">
        <f>IF(BA104=MiscData!$V$42,1,BA104+1)</f>
        <v>24</v>
      </c>
      <c r="BB105" s="439" t="str">
        <f>VLOOKUP(AZ105,MiscData!$W$4:$Y$42,3,FALSE)</f>
        <v>SQF</v>
      </c>
    </row>
    <row r="106" spans="1:54" hidden="1">
      <c r="A106" s="448">
        <f t="shared" si="78"/>
        <v>97</v>
      </c>
      <c r="B106" s="448" t="str">
        <f t="shared" si="40"/>
        <v>Mar 2016</v>
      </c>
      <c r="C106" s="448" t="s">
        <v>1156</v>
      </c>
      <c r="D106" s="449" t="str">
        <f t="shared" si="41"/>
        <v>LQF</v>
      </c>
      <c r="E106" s="449" t="str">
        <f t="shared" si="42"/>
        <v>KUCME707</v>
      </c>
      <c r="F106" s="450">
        <f t="shared" si="43"/>
        <v>0</v>
      </c>
      <c r="G106" s="450">
        <v>0</v>
      </c>
      <c r="H106" s="450">
        <v>0</v>
      </c>
      <c r="I106" s="450">
        <v>0</v>
      </c>
      <c r="J106" s="450">
        <f t="shared" si="44"/>
        <v>0</v>
      </c>
      <c r="K106" s="482">
        <f t="shared" si="45"/>
        <v>0</v>
      </c>
      <c r="L106" s="482">
        <f t="shared" si="46"/>
        <v>0</v>
      </c>
      <c r="M106" s="482">
        <f t="shared" si="47"/>
        <v>0</v>
      </c>
      <c r="N106" s="482">
        <f t="shared" si="48"/>
        <v>0</v>
      </c>
      <c r="O106" s="482">
        <f t="shared" si="49"/>
        <v>0</v>
      </c>
      <c r="P106" s="482">
        <f t="shared" si="50"/>
        <v>0</v>
      </c>
      <c r="Q106" s="451">
        <f t="shared" si="51"/>
        <v>0</v>
      </c>
      <c r="R106" s="452">
        <f t="shared" si="52"/>
        <v>0</v>
      </c>
      <c r="S106" s="452">
        <v>0</v>
      </c>
      <c r="T106" s="452">
        <v>0</v>
      </c>
      <c r="U106" s="452">
        <f t="shared" si="53"/>
        <v>0</v>
      </c>
      <c r="V106" s="451">
        <f t="shared" si="54"/>
        <v>0</v>
      </c>
      <c r="W106" s="451">
        <f t="shared" si="55"/>
        <v>0</v>
      </c>
      <c r="X106" s="451">
        <f t="shared" si="56"/>
        <v>0</v>
      </c>
      <c r="Y106" s="453">
        <f t="shared" si="57"/>
        <v>0</v>
      </c>
      <c r="Z106" s="453">
        <f t="shared" si="58"/>
        <v>0</v>
      </c>
      <c r="AA106" s="453">
        <f t="shared" si="59"/>
        <v>0</v>
      </c>
      <c r="AB106" s="453">
        <f t="shared" si="60"/>
        <v>0</v>
      </c>
      <c r="AC106" s="453">
        <f t="shared" si="61"/>
        <v>0</v>
      </c>
      <c r="AD106" s="453">
        <f t="shared" si="62"/>
        <v>0</v>
      </c>
      <c r="AE106" s="493">
        <f t="shared" si="63"/>
        <v>0</v>
      </c>
      <c r="AF106" s="453">
        <f t="shared" si="64"/>
        <v>0</v>
      </c>
      <c r="AG106" s="494">
        <f t="shared" si="65"/>
        <v>1</v>
      </c>
      <c r="AH106" s="454">
        <f t="shared" si="66"/>
        <v>0</v>
      </c>
      <c r="AI106" s="454">
        <f t="shared" si="67"/>
        <v>0</v>
      </c>
      <c r="AJ106" s="454">
        <f t="shared" si="68"/>
        <v>0</v>
      </c>
      <c r="AK106" s="454">
        <f t="shared" si="69"/>
        <v>0</v>
      </c>
      <c r="AL106" s="454">
        <f t="shared" si="70"/>
        <v>0</v>
      </c>
      <c r="AM106" s="454">
        <f t="shared" si="71"/>
        <v>0</v>
      </c>
      <c r="AN106" s="491">
        <f t="shared" si="72"/>
        <v>0</v>
      </c>
      <c r="AO106" s="487">
        <f t="shared" si="73"/>
        <v>0</v>
      </c>
      <c r="AP106" s="495">
        <f t="shared" si="74"/>
        <v>0</v>
      </c>
      <c r="AQ106" s="496">
        <f t="shared" si="75"/>
        <v>0</v>
      </c>
      <c r="AV106" s="459">
        <f>IF(BA106&gt;BA105,AV105,IF(AV105&lt;MiscData!$F$1,EOMONTH(AV105,1),EOMONTH(AV105,-11)))</f>
        <v>42460</v>
      </c>
      <c r="AW106" s="448" t="str">
        <f t="shared" si="76"/>
        <v>20140101KUCME707</v>
      </c>
      <c r="AX106" s="457" t="str">
        <f t="shared" si="77"/>
        <v>20140101LQF</v>
      </c>
      <c r="AY106" s="439">
        <f>IF(AV106&lt;=MiscData!$B$23,MiscData!$C$23,IF(AV106&lt;=MiscData!$B$24,MiscData!$C$24,MiscData!$C$25))</f>
        <v>20140101</v>
      </c>
      <c r="AZ106" s="439" t="str">
        <f>VLOOKUP(BA106,MiscData!$V$4:$W$42,2,FALSE)</f>
        <v>KUCME707</v>
      </c>
      <c r="BA106" s="439">
        <f>IF(BA105=MiscData!$V$42,1,BA105+1)</f>
        <v>25</v>
      </c>
      <c r="BB106" s="439" t="str">
        <f>VLOOKUP(AZ106,MiscData!$W$4:$Y$42,3,FALSE)</f>
        <v>LQF</v>
      </c>
    </row>
    <row r="107" spans="1:54">
      <c r="A107" s="499">
        <f t="shared" si="78"/>
        <v>98</v>
      </c>
      <c r="B107" s="448" t="str">
        <f t="shared" si="40"/>
        <v>Mar 2016</v>
      </c>
      <c r="C107" s="448" t="s">
        <v>208</v>
      </c>
      <c r="D107" s="449" t="str">
        <f t="shared" si="41"/>
        <v>GS</v>
      </c>
      <c r="E107" s="449" t="str">
        <f t="shared" si="42"/>
        <v>KUCME710</v>
      </c>
      <c r="F107" s="450">
        <f t="shared" si="43"/>
        <v>0</v>
      </c>
      <c r="G107" s="450">
        <v>0</v>
      </c>
      <c r="H107" s="450">
        <v>0</v>
      </c>
      <c r="I107" s="450">
        <v>0</v>
      </c>
      <c r="J107" s="450">
        <f t="shared" si="44"/>
        <v>0</v>
      </c>
      <c r="K107" s="482">
        <f t="shared" si="45"/>
        <v>0</v>
      </c>
      <c r="L107" s="482">
        <f t="shared" si="46"/>
        <v>0</v>
      </c>
      <c r="M107" s="482">
        <f t="shared" si="47"/>
        <v>0</v>
      </c>
      <c r="N107" s="482">
        <f t="shared" si="48"/>
        <v>0</v>
      </c>
      <c r="O107" s="482">
        <f t="shared" si="49"/>
        <v>0</v>
      </c>
      <c r="P107" s="482">
        <f t="shared" si="50"/>
        <v>0</v>
      </c>
      <c r="Q107" s="451">
        <f t="shared" si="51"/>
        <v>20</v>
      </c>
      <c r="R107" s="452">
        <f t="shared" si="52"/>
        <v>9.2249999999999999E-2</v>
      </c>
      <c r="S107" s="452">
        <v>0</v>
      </c>
      <c r="T107" s="452">
        <v>0</v>
      </c>
      <c r="U107" s="452">
        <f t="shared" si="53"/>
        <v>2.8920000000000001E-2</v>
      </c>
      <c r="V107" s="451">
        <f t="shared" si="54"/>
        <v>0</v>
      </c>
      <c r="W107" s="451">
        <f t="shared" si="55"/>
        <v>0</v>
      </c>
      <c r="X107" s="451">
        <f t="shared" si="56"/>
        <v>0</v>
      </c>
      <c r="Y107" s="453">
        <f t="shared" si="57"/>
        <v>0</v>
      </c>
      <c r="Z107" s="453">
        <f t="shared" si="58"/>
        <v>0</v>
      </c>
      <c r="AA107" s="453">
        <f t="shared" si="59"/>
        <v>0</v>
      </c>
      <c r="AB107" s="453">
        <f t="shared" si="60"/>
        <v>0</v>
      </c>
      <c r="AC107" s="453">
        <f t="shared" si="61"/>
        <v>0</v>
      </c>
      <c r="AD107" s="453">
        <f t="shared" si="62"/>
        <v>0</v>
      </c>
      <c r="AE107" s="493">
        <f t="shared" si="63"/>
        <v>0</v>
      </c>
      <c r="AF107" s="453">
        <f t="shared" si="64"/>
        <v>0</v>
      </c>
      <c r="AG107" s="494">
        <f t="shared" si="65"/>
        <v>1</v>
      </c>
      <c r="AH107" s="454">
        <f t="shared" si="66"/>
        <v>0</v>
      </c>
      <c r="AI107" s="454">
        <f t="shared" si="67"/>
        <v>0</v>
      </c>
      <c r="AJ107" s="454">
        <f t="shared" si="68"/>
        <v>0</v>
      </c>
      <c r="AK107" s="454">
        <f t="shared" si="69"/>
        <v>0</v>
      </c>
      <c r="AL107" s="454">
        <f t="shared" si="70"/>
        <v>0</v>
      </c>
      <c r="AM107" s="454">
        <f t="shared" si="71"/>
        <v>0</v>
      </c>
      <c r="AN107" s="491">
        <f t="shared" si="72"/>
        <v>0</v>
      </c>
      <c r="AO107" s="487">
        <f t="shared" si="73"/>
        <v>0</v>
      </c>
      <c r="AP107" s="495">
        <f t="shared" si="74"/>
        <v>0</v>
      </c>
      <c r="AQ107" s="496">
        <f t="shared" si="75"/>
        <v>0</v>
      </c>
      <c r="AV107" s="459">
        <f>IF(BA107&gt;BA106,AV106,IF(AV106&lt;MiscData!$F$1,EOMONTH(AV106,1),EOMONTH(AV106,-11)))</f>
        <v>42460</v>
      </c>
      <c r="AW107" s="448" t="str">
        <f t="shared" si="76"/>
        <v>20140101KUCME710</v>
      </c>
      <c r="AX107" s="457" t="str">
        <f t="shared" si="77"/>
        <v>20140101GS</v>
      </c>
      <c r="AY107" s="439">
        <f>IF(AV107&lt;=MiscData!$B$23,MiscData!$C$23,IF(AV107&lt;=MiscData!$B$24,MiscData!$C$24,MiscData!$C$25))</f>
        <v>20140101</v>
      </c>
      <c r="AZ107" s="439" t="str">
        <f>VLOOKUP(BA107,MiscData!$V$4:$W$42,2,FALSE)</f>
        <v>KUCME710</v>
      </c>
      <c r="BA107" s="439">
        <f>IF(BA106=MiscData!$V$42,1,BA106+1)</f>
        <v>26</v>
      </c>
      <c r="BB107" s="511" t="str">
        <f>VLOOKUP(AZ107,MiscData!$W$4:$Y$42,3,FALSE)</f>
        <v>GS</v>
      </c>
    </row>
    <row r="108" spans="1:54">
      <c r="A108" s="448">
        <f t="shared" si="78"/>
        <v>99</v>
      </c>
      <c r="B108" s="448" t="str">
        <f t="shared" si="40"/>
        <v>Mar 2016</v>
      </c>
      <c r="C108" s="448" t="s">
        <v>17</v>
      </c>
      <c r="D108" s="449" t="str">
        <f t="shared" si="41"/>
        <v>GS3</v>
      </c>
      <c r="E108" s="449" t="str">
        <f t="shared" si="42"/>
        <v>KUCME713</v>
      </c>
      <c r="F108" s="450">
        <f t="shared" si="43"/>
        <v>0</v>
      </c>
      <c r="G108" s="450">
        <v>0</v>
      </c>
      <c r="H108" s="450">
        <v>0</v>
      </c>
      <c r="I108" s="450">
        <v>0</v>
      </c>
      <c r="J108" s="450">
        <f t="shared" si="44"/>
        <v>0</v>
      </c>
      <c r="K108" s="482">
        <f t="shared" si="45"/>
        <v>0</v>
      </c>
      <c r="L108" s="482">
        <f t="shared" si="46"/>
        <v>0</v>
      </c>
      <c r="M108" s="482">
        <f t="shared" si="47"/>
        <v>0</v>
      </c>
      <c r="N108" s="482">
        <f t="shared" si="48"/>
        <v>0</v>
      </c>
      <c r="O108" s="482">
        <f t="shared" si="49"/>
        <v>0</v>
      </c>
      <c r="P108" s="482">
        <f t="shared" si="50"/>
        <v>0</v>
      </c>
      <c r="Q108" s="451">
        <f t="shared" si="51"/>
        <v>35</v>
      </c>
      <c r="R108" s="452">
        <f t="shared" si="52"/>
        <v>9.2249999999999999E-2</v>
      </c>
      <c r="S108" s="452">
        <v>0</v>
      </c>
      <c r="T108" s="452">
        <v>0</v>
      </c>
      <c r="U108" s="452">
        <f t="shared" si="53"/>
        <v>2.8920000000000001E-2</v>
      </c>
      <c r="V108" s="451">
        <f t="shared" si="54"/>
        <v>0</v>
      </c>
      <c r="W108" s="451">
        <f t="shared" si="55"/>
        <v>0</v>
      </c>
      <c r="X108" s="451">
        <f t="shared" si="56"/>
        <v>0</v>
      </c>
      <c r="Y108" s="453">
        <f t="shared" si="57"/>
        <v>0</v>
      </c>
      <c r="Z108" s="453">
        <f t="shared" si="58"/>
        <v>0</v>
      </c>
      <c r="AA108" s="453">
        <f t="shared" si="59"/>
        <v>0</v>
      </c>
      <c r="AB108" s="453">
        <f t="shared" si="60"/>
        <v>0</v>
      </c>
      <c r="AC108" s="453">
        <f t="shared" si="61"/>
        <v>0</v>
      </c>
      <c r="AD108" s="453">
        <f t="shared" si="62"/>
        <v>0</v>
      </c>
      <c r="AE108" s="493">
        <f t="shared" si="63"/>
        <v>0</v>
      </c>
      <c r="AF108" s="453">
        <f t="shared" si="64"/>
        <v>0</v>
      </c>
      <c r="AG108" s="494">
        <f t="shared" si="65"/>
        <v>1</v>
      </c>
      <c r="AH108" s="454">
        <f t="shared" si="66"/>
        <v>0</v>
      </c>
      <c r="AI108" s="454">
        <f t="shared" si="67"/>
        <v>0</v>
      </c>
      <c r="AJ108" s="454">
        <f t="shared" si="68"/>
        <v>0</v>
      </c>
      <c r="AK108" s="454">
        <f t="shared" si="69"/>
        <v>0</v>
      </c>
      <c r="AL108" s="454">
        <f t="shared" si="70"/>
        <v>0</v>
      </c>
      <c r="AM108" s="454">
        <f t="shared" si="71"/>
        <v>0</v>
      </c>
      <c r="AN108" s="491">
        <f t="shared" si="72"/>
        <v>0</v>
      </c>
      <c r="AO108" s="487">
        <f t="shared" si="73"/>
        <v>0</v>
      </c>
      <c r="AP108" s="495">
        <f t="shared" si="74"/>
        <v>0</v>
      </c>
      <c r="AQ108" s="496">
        <f t="shared" si="75"/>
        <v>0</v>
      </c>
      <c r="AV108" s="459">
        <f>IF(BA108&gt;BA107,AV107,IF(AV107&lt;MiscData!$F$1,EOMONTH(AV107,1),EOMONTH(AV107,-11)))</f>
        <v>42460</v>
      </c>
      <c r="AW108" s="448" t="str">
        <f t="shared" si="76"/>
        <v>20140101KUCME713</v>
      </c>
      <c r="AX108" s="457" t="str">
        <f t="shared" si="77"/>
        <v>20140101GS3</v>
      </c>
      <c r="AY108" s="439">
        <f>IF(AV108&lt;=MiscData!$B$23,MiscData!$C$23,IF(AV108&lt;=MiscData!$B$24,MiscData!$C$24,MiscData!$C$25))</f>
        <v>20140101</v>
      </c>
      <c r="AZ108" s="439" t="str">
        <f>VLOOKUP(BA108,MiscData!$V$4:$W$42,2,FALSE)</f>
        <v>KUCME713</v>
      </c>
      <c r="BA108" s="439">
        <f>IF(BA107=MiscData!$V$42,1,BA107+1)</f>
        <v>27</v>
      </c>
      <c r="BB108" s="439" t="str">
        <f>VLOOKUP(AZ108,MiscData!$W$4:$Y$42,3,FALSE)</f>
        <v>GS3</v>
      </c>
    </row>
    <row r="109" spans="1:54" hidden="1">
      <c r="A109" s="448">
        <f>A105+1</f>
        <v>97</v>
      </c>
      <c r="B109" s="448" t="str">
        <f t="shared" si="40"/>
        <v>Mar 2016</v>
      </c>
      <c r="C109" s="448" t="s">
        <v>1471</v>
      </c>
      <c r="D109" s="449" t="str">
        <f t="shared" si="41"/>
        <v>CSR10</v>
      </c>
      <c r="E109" s="449" t="str">
        <f t="shared" si="42"/>
        <v>KUCSR760</v>
      </c>
      <c r="F109" s="450">
        <f t="shared" si="43"/>
        <v>0</v>
      </c>
      <c r="G109" s="450">
        <v>0</v>
      </c>
      <c r="H109" s="450">
        <v>0</v>
      </c>
      <c r="I109" s="450">
        <v>0</v>
      </c>
      <c r="J109" s="450">
        <f t="shared" si="44"/>
        <v>0</v>
      </c>
      <c r="K109" s="482">
        <f t="shared" si="45"/>
        <v>0</v>
      </c>
      <c r="L109" s="482">
        <f t="shared" si="46"/>
        <v>0</v>
      </c>
      <c r="M109" s="482">
        <f t="shared" si="47"/>
        <v>0</v>
      </c>
      <c r="N109" s="482">
        <f t="shared" si="48"/>
        <v>0</v>
      </c>
      <c r="O109" s="482">
        <f t="shared" si="49"/>
        <v>0</v>
      </c>
      <c r="P109" s="482">
        <f t="shared" si="50"/>
        <v>0</v>
      </c>
      <c r="Q109" s="451">
        <f t="shared" si="51"/>
        <v>0</v>
      </c>
      <c r="R109" s="452">
        <f t="shared" si="52"/>
        <v>0</v>
      </c>
      <c r="S109" s="452">
        <v>0</v>
      </c>
      <c r="T109" s="452">
        <v>0</v>
      </c>
      <c r="U109" s="452">
        <f t="shared" si="53"/>
        <v>0</v>
      </c>
      <c r="V109" s="451">
        <f t="shared" si="54"/>
        <v>-5.4</v>
      </c>
      <c r="W109" s="451">
        <f t="shared" si="55"/>
        <v>0</v>
      </c>
      <c r="X109" s="451">
        <f t="shared" si="56"/>
        <v>0</v>
      </c>
      <c r="Y109" s="453">
        <f t="shared" si="57"/>
        <v>0</v>
      </c>
      <c r="Z109" s="453">
        <f t="shared" si="58"/>
        <v>0</v>
      </c>
      <c r="AA109" s="453">
        <f t="shared" si="59"/>
        <v>0</v>
      </c>
      <c r="AB109" s="453">
        <f t="shared" si="60"/>
        <v>0</v>
      </c>
      <c r="AC109" s="453">
        <f t="shared" si="61"/>
        <v>0</v>
      </c>
      <c r="AD109" s="453">
        <f t="shared" si="62"/>
        <v>0</v>
      </c>
      <c r="AE109" s="493">
        <f t="shared" si="63"/>
        <v>0</v>
      </c>
      <c r="AF109" s="453">
        <f t="shared" si="64"/>
        <v>0</v>
      </c>
      <c r="AG109" s="494">
        <f t="shared" si="65"/>
        <v>1</v>
      </c>
      <c r="AH109" s="454">
        <f t="shared" si="66"/>
        <v>0</v>
      </c>
      <c r="AI109" s="454">
        <f t="shared" si="67"/>
        <v>0</v>
      </c>
      <c r="AJ109" s="454">
        <f t="shared" si="68"/>
        <v>0</v>
      </c>
      <c r="AK109" s="454">
        <f t="shared" si="69"/>
        <v>0</v>
      </c>
      <c r="AL109" s="454">
        <f t="shared" si="70"/>
        <v>-989829</v>
      </c>
      <c r="AM109" s="454">
        <f t="shared" si="71"/>
        <v>-989829</v>
      </c>
      <c r="AN109" s="491">
        <f t="shared" si="72"/>
        <v>-989829</v>
      </c>
      <c r="AO109" s="487">
        <f t="shared" si="73"/>
        <v>0</v>
      </c>
      <c r="AP109" s="495">
        <f t="shared" si="74"/>
        <v>0</v>
      </c>
      <c r="AQ109" s="496">
        <f t="shared" si="75"/>
        <v>0</v>
      </c>
      <c r="AV109" s="459">
        <f>IF(BA109&gt;BA105,AV105,IF(AV105&lt;MiscData!$F$1,EOMONTH(AV105,1),EOMONTH(AV105,-11)))</f>
        <v>42460</v>
      </c>
      <c r="AW109" s="448" t="str">
        <f t="shared" si="76"/>
        <v>20140101KUCSR760</v>
      </c>
      <c r="AX109" s="457" t="str">
        <f t="shared" si="77"/>
        <v>20140101CSR10</v>
      </c>
      <c r="AY109" s="439">
        <f>IF(AV109&lt;=MiscData!$B$23,MiscData!$C$23,IF(AV109&lt;=MiscData!$B$24,MiscData!$C$24,MiscData!$C$25))</f>
        <v>20140101</v>
      </c>
      <c r="AZ109" s="439" t="str">
        <f>VLOOKUP(BA109,MiscData!$V$4:$W$42,2,FALSE)</f>
        <v>KUCSR760</v>
      </c>
      <c r="BA109" s="439">
        <f>IF(BA108=MiscData!$V$42,1,BA108+1)</f>
        <v>28</v>
      </c>
      <c r="BB109" s="439" t="str">
        <f>VLOOKUP(AZ109,MiscData!$W$4:$Y$42,3,FALSE)</f>
        <v>CSR10</v>
      </c>
    </row>
    <row r="110" spans="1:54" hidden="1">
      <c r="A110" s="448">
        <f>A106+1</f>
        <v>98</v>
      </c>
      <c r="B110" s="448" t="str">
        <f t="shared" si="40"/>
        <v>Mar 2016</v>
      </c>
      <c r="C110" s="448" t="s">
        <v>1471</v>
      </c>
      <c r="D110" s="449" t="str">
        <f t="shared" si="41"/>
        <v>CSR10</v>
      </c>
      <c r="E110" s="449" t="str">
        <f t="shared" si="42"/>
        <v>KUCSR761</v>
      </c>
      <c r="F110" s="450">
        <f t="shared" si="43"/>
        <v>0</v>
      </c>
      <c r="G110" s="450">
        <v>0</v>
      </c>
      <c r="H110" s="450">
        <v>0</v>
      </c>
      <c r="I110" s="450">
        <v>0</v>
      </c>
      <c r="J110" s="450">
        <f t="shared" si="44"/>
        <v>0</v>
      </c>
      <c r="K110" s="482">
        <f t="shared" si="45"/>
        <v>0</v>
      </c>
      <c r="L110" s="482">
        <f t="shared" si="46"/>
        <v>0</v>
      </c>
      <c r="M110" s="482">
        <f t="shared" si="47"/>
        <v>0</v>
      </c>
      <c r="N110" s="482">
        <f t="shared" si="48"/>
        <v>0</v>
      </c>
      <c r="O110" s="482">
        <f t="shared" si="49"/>
        <v>0</v>
      </c>
      <c r="P110" s="482">
        <f t="shared" si="50"/>
        <v>0</v>
      </c>
      <c r="Q110" s="451">
        <f t="shared" si="51"/>
        <v>0</v>
      </c>
      <c r="R110" s="452">
        <f t="shared" si="52"/>
        <v>0</v>
      </c>
      <c r="S110" s="452">
        <v>0</v>
      </c>
      <c r="T110" s="452">
        <v>0</v>
      </c>
      <c r="U110" s="452">
        <f t="shared" si="53"/>
        <v>0</v>
      </c>
      <c r="V110" s="451">
        <f t="shared" si="54"/>
        <v>-5.5</v>
      </c>
      <c r="W110" s="451">
        <f t="shared" si="55"/>
        <v>0</v>
      </c>
      <c r="X110" s="451">
        <f t="shared" si="56"/>
        <v>0</v>
      </c>
      <c r="Y110" s="453">
        <f t="shared" si="57"/>
        <v>0</v>
      </c>
      <c r="Z110" s="453">
        <f t="shared" si="58"/>
        <v>0</v>
      </c>
      <c r="AA110" s="453">
        <f t="shared" si="59"/>
        <v>0</v>
      </c>
      <c r="AB110" s="453">
        <f t="shared" si="60"/>
        <v>0</v>
      </c>
      <c r="AC110" s="453">
        <f t="shared" si="61"/>
        <v>0</v>
      </c>
      <c r="AD110" s="453">
        <f t="shared" si="62"/>
        <v>0</v>
      </c>
      <c r="AE110" s="493">
        <f t="shared" si="63"/>
        <v>0</v>
      </c>
      <c r="AF110" s="453">
        <f t="shared" si="64"/>
        <v>0</v>
      </c>
      <c r="AG110" s="494">
        <f t="shared" si="65"/>
        <v>1</v>
      </c>
      <c r="AH110" s="454">
        <f t="shared" si="66"/>
        <v>0</v>
      </c>
      <c r="AI110" s="454">
        <f t="shared" si="67"/>
        <v>0</v>
      </c>
      <c r="AJ110" s="454">
        <f t="shared" si="68"/>
        <v>0</v>
      </c>
      <c r="AK110" s="454">
        <f t="shared" si="69"/>
        <v>0</v>
      </c>
      <c r="AL110" s="454">
        <f t="shared" si="70"/>
        <v>0</v>
      </c>
      <c r="AM110" s="454">
        <f t="shared" si="71"/>
        <v>0</v>
      </c>
      <c r="AN110" s="491">
        <f t="shared" si="72"/>
        <v>0</v>
      </c>
      <c r="AO110" s="487">
        <f t="shared" si="73"/>
        <v>0</v>
      </c>
      <c r="AP110" s="495">
        <f t="shared" si="74"/>
        <v>0</v>
      </c>
      <c r="AQ110" s="496">
        <f t="shared" si="75"/>
        <v>0</v>
      </c>
      <c r="AV110" s="459">
        <f>IF(BA110&gt;BA106,AV106,IF(AV106&lt;MiscData!$F$1,EOMONTH(AV106,1),EOMONTH(AV106,-11)))</f>
        <v>42460</v>
      </c>
      <c r="AW110" s="448" t="str">
        <f t="shared" si="76"/>
        <v>20140101KUCSR761</v>
      </c>
      <c r="AX110" s="457" t="str">
        <f t="shared" si="77"/>
        <v>20140101CSR10</v>
      </c>
      <c r="AY110" s="439">
        <f>IF(AV110&lt;=MiscData!$B$23,MiscData!$C$23,IF(AV110&lt;=MiscData!$B$24,MiscData!$C$24,MiscData!$C$25))</f>
        <v>20140101</v>
      </c>
      <c r="AZ110" s="439" t="str">
        <f>VLOOKUP(BA110,MiscData!$V$4:$W$42,2,FALSE)</f>
        <v>KUCSR761</v>
      </c>
      <c r="BA110" s="439">
        <f>IF(BA109=MiscData!$V$42,1,BA109+1)</f>
        <v>29</v>
      </c>
      <c r="BB110" s="439" t="str">
        <f>VLOOKUP(AZ110,MiscData!$W$4:$Y$42,3,FALSE)</f>
        <v>CSR10</v>
      </c>
    </row>
    <row r="111" spans="1:54" hidden="1">
      <c r="A111" s="448">
        <f>A107+1</f>
        <v>99</v>
      </c>
      <c r="B111" s="448" t="str">
        <f t="shared" si="40"/>
        <v>Mar 2016</v>
      </c>
      <c r="C111" s="448" t="s">
        <v>1472</v>
      </c>
      <c r="D111" s="449" t="str">
        <f t="shared" si="41"/>
        <v>CSR30</v>
      </c>
      <c r="E111" s="449" t="str">
        <f t="shared" si="42"/>
        <v>KUCSR780</v>
      </c>
      <c r="F111" s="450">
        <f t="shared" si="43"/>
        <v>0</v>
      </c>
      <c r="G111" s="450">
        <v>0</v>
      </c>
      <c r="H111" s="450">
        <v>0</v>
      </c>
      <c r="I111" s="450">
        <v>0</v>
      </c>
      <c r="J111" s="450">
        <f t="shared" si="44"/>
        <v>0</v>
      </c>
      <c r="K111" s="482">
        <f t="shared" si="45"/>
        <v>0</v>
      </c>
      <c r="L111" s="482">
        <f t="shared" si="46"/>
        <v>0</v>
      </c>
      <c r="M111" s="482">
        <f t="shared" si="47"/>
        <v>0</v>
      </c>
      <c r="N111" s="482">
        <f t="shared" si="48"/>
        <v>0</v>
      </c>
      <c r="O111" s="482">
        <f t="shared" si="49"/>
        <v>0</v>
      </c>
      <c r="P111" s="482">
        <f t="shared" si="50"/>
        <v>0</v>
      </c>
      <c r="Q111" s="451">
        <f t="shared" si="51"/>
        <v>0</v>
      </c>
      <c r="R111" s="452">
        <f t="shared" si="52"/>
        <v>0</v>
      </c>
      <c r="S111" s="452">
        <v>0</v>
      </c>
      <c r="T111" s="452">
        <v>0</v>
      </c>
      <c r="U111" s="452">
        <f t="shared" si="53"/>
        <v>0</v>
      </c>
      <c r="V111" s="451">
        <f t="shared" si="54"/>
        <v>-4.3</v>
      </c>
      <c r="W111" s="451">
        <f t="shared" si="55"/>
        <v>0</v>
      </c>
      <c r="X111" s="451">
        <f t="shared" si="56"/>
        <v>0</v>
      </c>
      <c r="Y111" s="453">
        <f t="shared" si="57"/>
        <v>0</v>
      </c>
      <c r="Z111" s="453">
        <f t="shared" si="58"/>
        <v>0</v>
      </c>
      <c r="AA111" s="453">
        <f t="shared" si="59"/>
        <v>0</v>
      </c>
      <c r="AB111" s="453">
        <f t="shared" si="60"/>
        <v>0</v>
      </c>
      <c r="AC111" s="453">
        <f t="shared" si="61"/>
        <v>0</v>
      </c>
      <c r="AD111" s="453">
        <f t="shared" si="62"/>
        <v>0</v>
      </c>
      <c r="AE111" s="493">
        <f t="shared" si="63"/>
        <v>0</v>
      </c>
      <c r="AF111" s="453">
        <f t="shared" si="64"/>
        <v>0</v>
      </c>
      <c r="AG111" s="494">
        <f t="shared" si="65"/>
        <v>1</v>
      </c>
      <c r="AH111" s="454">
        <f t="shared" si="66"/>
        <v>0</v>
      </c>
      <c r="AI111" s="454">
        <f t="shared" si="67"/>
        <v>0</v>
      </c>
      <c r="AJ111" s="454">
        <f t="shared" si="68"/>
        <v>0</v>
      </c>
      <c r="AK111" s="454">
        <f t="shared" si="69"/>
        <v>0</v>
      </c>
      <c r="AL111" s="454">
        <f t="shared" si="70"/>
        <v>0</v>
      </c>
      <c r="AM111" s="454">
        <f t="shared" si="71"/>
        <v>0</v>
      </c>
      <c r="AN111" s="491">
        <f t="shared" si="72"/>
        <v>0</v>
      </c>
      <c r="AO111" s="487">
        <f t="shared" si="73"/>
        <v>0</v>
      </c>
      <c r="AP111" s="495">
        <f t="shared" si="74"/>
        <v>0</v>
      </c>
      <c r="AQ111" s="496">
        <f t="shared" si="75"/>
        <v>0</v>
      </c>
      <c r="AV111" s="459">
        <f>IF(BA111&gt;BA107,AV107,IF(AV107&lt;MiscData!$F$1,EOMONTH(AV107,1),EOMONTH(AV107,-11)))</f>
        <v>42460</v>
      </c>
      <c r="AW111" s="448" t="str">
        <f t="shared" si="76"/>
        <v>20140101KUCSR780</v>
      </c>
      <c r="AX111" s="457" t="str">
        <f t="shared" si="77"/>
        <v>20140101CSR30</v>
      </c>
      <c r="AY111" s="439">
        <f>IF(AV111&lt;=MiscData!$B$23,MiscData!$C$23,IF(AV111&lt;=MiscData!$B$24,MiscData!$C$24,MiscData!$C$25))</f>
        <v>20140101</v>
      </c>
      <c r="AZ111" s="439" t="str">
        <f>VLOOKUP(BA111,MiscData!$V$4:$W$42,2,FALSE)</f>
        <v>KUCSR780</v>
      </c>
      <c r="BA111" s="439">
        <f>IF(BA110=MiscData!$V$42,1,BA110+1)</f>
        <v>30</v>
      </c>
      <c r="BB111" s="439" t="str">
        <f>VLOOKUP(AZ111,MiscData!$W$4:$Y$42,3,FALSE)</f>
        <v>CSR30</v>
      </c>
    </row>
    <row r="112" spans="1:54" hidden="1">
      <c r="A112" s="448">
        <f>A108+1</f>
        <v>100</v>
      </c>
      <c r="B112" s="448" t="str">
        <f t="shared" si="40"/>
        <v>Mar 2016</v>
      </c>
      <c r="C112" s="448" t="s">
        <v>1472</v>
      </c>
      <c r="D112" s="449" t="str">
        <f t="shared" si="41"/>
        <v>CSR30</v>
      </c>
      <c r="E112" s="449" t="str">
        <f t="shared" si="42"/>
        <v>KUCSR781</v>
      </c>
      <c r="F112" s="450">
        <f t="shared" si="43"/>
        <v>0</v>
      </c>
      <c r="G112" s="450">
        <v>0</v>
      </c>
      <c r="H112" s="450">
        <v>0</v>
      </c>
      <c r="I112" s="450">
        <v>0</v>
      </c>
      <c r="J112" s="450">
        <f t="shared" si="44"/>
        <v>0</v>
      </c>
      <c r="K112" s="482">
        <f t="shared" si="45"/>
        <v>0</v>
      </c>
      <c r="L112" s="482">
        <f t="shared" si="46"/>
        <v>0</v>
      </c>
      <c r="M112" s="482">
        <f t="shared" si="47"/>
        <v>0</v>
      </c>
      <c r="N112" s="482">
        <f t="shared" si="48"/>
        <v>0</v>
      </c>
      <c r="O112" s="482">
        <f t="shared" si="49"/>
        <v>0</v>
      </c>
      <c r="P112" s="482">
        <f t="shared" si="50"/>
        <v>0</v>
      </c>
      <c r="Q112" s="451">
        <f t="shared" si="51"/>
        <v>0</v>
      </c>
      <c r="R112" s="452">
        <f t="shared" si="52"/>
        <v>0</v>
      </c>
      <c r="S112" s="452">
        <v>0</v>
      </c>
      <c r="T112" s="452">
        <v>0</v>
      </c>
      <c r="U112" s="452">
        <f t="shared" si="53"/>
        <v>0</v>
      </c>
      <c r="V112" s="451">
        <f t="shared" si="54"/>
        <v>-4.4000000000000004</v>
      </c>
      <c r="W112" s="451">
        <f t="shared" si="55"/>
        <v>0</v>
      </c>
      <c r="X112" s="451">
        <f t="shared" si="56"/>
        <v>0</v>
      </c>
      <c r="Y112" s="453">
        <f t="shared" si="57"/>
        <v>0</v>
      </c>
      <c r="Z112" s="453">
        <f t="shared" si="58"/>
        <v>0</v>
      </c>
      <c r="AA112" s="453">
        <f t="shared" si="59"/>
        <v>0</v>
      </c>
      <c r="AB112" s="453">
        <f t="shared" si="60"/>
        <v>0</v>
      </c>
      <c r="AC112" s="453">
        <f t="shared" si="61"/>
        <v>0</v>
      </c>
      <c r="AD112" s="453">
        <f t="shared" si="62"/>
        <v>0</v>
      </c>
      <c r="AE112" s="493">
        <f t="shared" si="63"/>
        <v>0</v>
      </c>
      <c r="AF112" s="453">
        <f t="shared" si="64"/>
        <v>0</v>
      </c>
      <c r="AG112" s="494">
        <f t="shared" si="65"/>
        <v>1</v>
      </c>
      <c r="AH112" s="454">
        <f t="shared" si="66"/>
        <v>0</v>
      </c>
      <c r="AI112" s="454">
        <f t="shared" si="67"/>
        <v>0</v>
      </c>
      <c r="AJ112" s="454">
        <f t="shared" si="68"/>
        <v>0</v>
      </c>
      <c r="AK112" s="454">
        <f t="shared" si="69"/>
        <v>0</v>
      </c>
      <c r="AL112" s="454">
        <f t="shared" si="70"/>
        <v>0</v>
      </c>
      <c r="AM112" s="454">
        <f t="shared" si="71"/>
        <v>0</v>
      </c>
      <c r="AN112" s="491">
        <f t="shared" si="72"/>
        <v>0</v>
      </c>
      <c r="AO112" s="487">
        <f t="shared" si="73"/>
        <v>0</v>
      </c>
      <c r="AP112" s="495">
        <f t="shared" si="74"/>
        <v>0</v>
      </c>
      <c r="AQ112" s="496">
        <f t="shared" si="75"/>
        <v>0</v>
      </c>
      <c r="AV112" s="459">
        <f>IF(BA112&gt;BA108,AV108,IF(AV108&lt;MiscData!$F$1,EOMONTH(AV108,1),EOMONTH(AV108,-11)))</f>
        <v>42460</v>
      </c>
      <c r="AW112" s="448" t="str">
        <f t="shared" si="76"/>
        <v>20140101KUCSR781</v>
      </c>
      <c r="AX112" s="457" t="str">
        <f t="shared" si="77"/>
        <v>20140101CSR30</v>
      </c>
      <c r="AY112" s="439">
        <f>IF(AV112&lt;=MiscData!$B$23,MiscData!$C$23,IF(AV112&lt;=MiscData!$B$24,MiscData!$C$24,MiscData!$C$25))</f>
        <v>20140101</v>
      </c>
      <c r="AZ112" s="439" t="str">
        <f>VLOOKUP(BA112,MiscData!$V$4:$W$42,2,FALSE)</f>
        <v>KUCSR781</v>
      </c>
      <c r="BA112" s="439">
        <f>IF(BA111=MiscData!$V$42,1,BA111+1)</f>
        <v>31</v>
      </c>
      <c r="BB112" s="439" t="str">
        <f>VLOOKUP(AZ112,MiscData!$W$4:$Y$42,3,FALSE)</f>
        <v>CSR30</v>
      </c>
    </row>
    <row r="113" spans="1:55" hidden="1">
      <c r="A113" s="448">
        <f t="shared" ref="A113:A147" si="79">A112+1</f>
        <v>101</v>
      </c>
      <c r="B113" s="448" t="str">
        <f t="shared" si="40"/>
        <v>Mar 2016</v>
      </c>
      <c r="C113" s="448" t="s">
        <v>1472</v>
      </c>
      <c r="D113" s="449" t="str">
        <f t="shared" si="41"/>
        <v>CSR30</v>
      </c>
      <c r="E113" s="449" t="str">
        <f t="shared" si="42"/>
        <v>KUCSR783</v>
      </c>
      <c r="F113" s="450">
        <f t="shared" si="43"/>
        <v>0</v>
      </c>
      <c r="G113" s="450">
        <v>0</v>
      </c>
      <c r="H113" s="450">
        <v>0</v>
      </c>
      <c r="I113" s="450">
        <v>0</v>
      </c>
      <c r="J113" s="450">
        <f t="shared" si="44"/>
        <v>0</v>
      </c>
      <c r="K113" s="482">
        <f t="shared" si="45"/>
        <v>0</v>
      </c>
      <c r="L113" s="482">
        <f t="shared" si="46"/>
        <v>0</v>
      </c>
      <c r="M113" s="482">
        <f t="shared" si="47"/>
        <v>0</v>
      </c>
      <c r="N113" s="482">
        <f t="shared" si="48"/>
        <v>0</v>
      </c>
      <c r="O113" s="482">
        <f t="shared" si="49"/>
        <v>0</v>
      </c>
      <c r="P113" s="482">
        <f t="shared" si="50"/>
        <v>0</v>
      </c>
      <c r="Q113" s="451">
        <f t="shared" si="51"/>
        <v>0</v>
      </c>
      <c r="R113" s="452">
        <f t="shared" si="52"/>
        <v>0</v>
      </c>
      <c r="S113" s="452">
        <v>0</v>
      </c>
      <c r="T113" s="452">
        <v>0</v>
      </c>
      <c r="U113" s="452">
        <f t="shared" si="53"/>
        <v>0</v>
      </c>
      <c r="V113" s="451">
        <f t="shared" si="54"/>
        <v>-4.4000000000000004</v>
      </c>
      <c r="W113" s="451">
        <f t="shared" si="55"/>
        <v>0</v>
      </c>
      <c r="X113" s="451">
        <f t="shared" si="56"/>
        <v>0</v>
      </c>
      <c r="Y113" s="453">
        <f t="shared" si="57"/>
        <v>0</v>
      </c>
      <c r="Z113" s="453">
        <f t="shared" si="58"/>
        <v>0</v>
      </c>
      <c r="AA113" s="453">
        <f t="shared" si="59"/>
        <v>0</v>
      </c>
      <c r="AB113" s="453">
        <f t="shared" si="60"/>
        <v>0</v>
      </c>
      <c r="AC113" s="453">
        <f t="shared" si="61"/>
        <v>0</v>
      </c>
      <c r="AD113" s="453">
        <f t="shared" si="62"/>
        <v>0</v>
      </c>
      <c r="AE113" s="493">
        <f t="shared" si="63"/>
        <v>0</v>
      </c>
      <c r="AF113" s="453">
        <f t="shared" si="64"/>
        <v>0</v>
      </c>
      <c r="AG113" s="494">
        <f t="shared" si="65"/>
        <v>1</v>
      </c>
      <c r="AH113" s="454">
        <f t="shared" si="66"/>
        <v>0</v>
      </c>
      <c r="AI113" s="454">
        <f t="shared" si="67"/>
        <v>0</v>
      </c>
      <c r="AJ113" s="454">
        <f t="shared" si="68"/>
        <v>0</v>
      </c>
      <c r="AK113" s="454">
        <f t="shared" si="69"/>
        <v>0</v>
      </c>
      <c r="AL113" s="454">
        <f t="shared" si="70"/>
        <v>0</v>
      </c>
      <c r="AM113" s="454">
        <f t="shared" si="71"/>
        <v>0</v>
      </c>
      <c r="AN113" s="491">
        <f t="shared" si="72"/>
        <v>0</v>
      </c>
      <c r="AO113" s="487">
        <f t="shared" si="73"/>
        <v>0</v>
      </c>
      <c r="AP113" s="495">
        <f t="shared" si="74"/>
        <v>0</v>
      </c>
      <c r="AQ113" s="496">
        <f t="shared" si="75"/>
        <v>0</v>
      </c>
      <c r="AV113" s="459">
        <f>IF(BA113&gt;BA112,AV112,IF(AV112&lt;MiscData!$F$1,EOMONTH(AV112,1),EOMONTH(AV112,-11)))</f>
        <v>42460</v>
      </c>
      <c r="AW113" s="448" t="str">
        <f t="shared" si="76"/>
        <v>20140101KUCSR783</v>
      </c>
      <c r="AX113" s="457" t="str">
        <f t="shared" si="77"/>
        <v>20140101CSR30</v>
      </c>
      <c r="AY113" s="439">
        <f>IF(AV113&lt;=MiscData!$B$23,MiscData!$C$23,IF(AV113&lt;=MiscData!$B$24,MiscData!$C$24,MiscData!$C$25))</f>
        <v>20140101</v>
      </c>
      <c r="AZ113" s="439" t="str">
        <f>VLOOKUP(BA113,MiscData!$V$4:$W$42,2,FALSE)</f>
        <v>KUCSR783</v>
      </c>
      <c r="BA113" s="439">
        <f>IF(BA112=MiscData!$V$42,1,BA112+1)</f>
        <v>32</v>
      </c>
      <c r="BB113" s="439" t="str">
        <f>VLOOKUP(AZ113,MiscData!$W$4:$Y$42,3,FALSE)</f>
        <v>CSR30</v>
      </c>
    </row>
    <row r="114" spans="1:55" hidden="1">
      <c r="A114" s="499">
        <f t="shared" si="79"/>
        <v>102</v>
      </c>
      <c r="B114" s="448" t="str">
        <f t="shared" si="40"/>
        <v>Mar 2016</v>
      </c>
      <c r="C114" s="832" t="s">
        <v>642</v>
      </c>
      <c r="D114" s="449" t="str">
        <f t="shared" si="41"/>
        <v>FLST</v>
      </c>
      <c r="E114" s="449" t="str">
        <f t="shared" si="42"/>
        <v>KUINE730</v>
      </c>
      <c r="F114" s="450">
        <f t="shared" si="43"/>
        <v>1</v>
      </c>
      <c r="G114" s="450">
        <v>0</v>
      </c>
      <c r="H114" s="450">
        <v>0</v>
      </c>
      <c r="I114" s="450">
        <v>0</v>
      </c>
      <c r="J114" s="450">
        <f t="shared" si="44"/>
        <v>48339184</v>
      </c>
      <c r="K114" s="482">
        <f t="shared" si="45"/>
        <v>185158</v>
      </c>
      <c r="L114" s="482">
        <f t="shared" si="46"/>
        <v>185158</v>
      </c>
      <c r="M114" s="482">
        <f t="shared" si="47"/>
        <v>101388</v>
      </c>
      <c r="N114" s="482">
        <f t="shared" si="48"/>
        <v>0</v>
      </c>
      <c r="O114" s="482">
        <f t="shared" si="49"/>
        <v>0</v>
      </c>
      <c r="P114" s="482">
        <f t="shared" si="50"/>
        <v>0</v>
      </c>
      <c r="Q114" s="451">
        <f t="shared" si="51"/>
        <v>750</v>
      </c>
      <c r="R114" s="452">
        <f t="shared" si="52"/>
        <v>3.261E-2</v>
      </c>
      <c r="S114" s="452">
        <v>0</v>
      </c>
      <c r="T114" s="452">
        <v>0</v>
      </c>
      <c r="U114" s="452">
        <f t="shared" si="53"/>
        <v>2.8920000000000001E-2</v>
      </c>
      <c r="V114" s="451">
        <f t="shared" si="54"/>
        <v>1.05</v>
      </c>
      <c r="W114" s="451">
        <f t="shared" si="55"/>
        <v>1.52</v>
      </c>
      <c r="X114" s="451">
        <f t="shared" si="56"/>
        <v>2.41</v>
      </c>
      <c r="Y114" s="453">
        <f t="shared" si="57"/>
        <v>750</v>
      </c>
      <c r="Z114" s="453">
        <f t="shared" si="58"/>
        <v>1576340.79</v>
      </c>
      <c r="AA114" s="453">
        <f t="shared" si="59"/>
        <v>194415.9</v>
      </c>
      <c r="AB114" s="453">
        <f t="shared" si="60"/>
        <v>281440.15999999997</v>
      </c>
      <c r="AC114" s="453">
        <f t="shared" si="61"/>
        <v>244345.08</v>
      </c>
      <c r="AD114" s="453">
        <f t="shared" si="62"/>
        <v>720201.1399999999</v>
      </c>
      <c r="AE114" s="493">
        <f t="shared" si="63"/>
        <v>2297291.9299999997</v>
      </c>
      <c r="AF114" s="453">
        <f t="shared" si="64"/>
        <v>2297290</v>
      </c>
      <c r="AG114" s="494">
        <f t="shared" si="65"/>
        <v>0.99999915988039023</v>
      </c>
      <c r="AH114" s="454">
        <f t="shared" si="66"/>
        <v>117609</v>
      </c>
      <c r="AI114" s="454">
        <f t="shared" si="67"/>
        <v>0</v>
      </c>
      <c r="AJ114" s="454">
        <f t="shared" si="68"/>
        <v>278579</v>
      </c>
      <c r="AK114" s="454">
        <f t="shared" si="69"/>
        <v>0</v>
      </c>
      <c r="AL114" s="454">
        <f t="shared" si="70"/>
        <v>0</v>
      </c>
      <c r="AM114" s="454">
        <f t="shared" si="71"/>
        <v>2693478</v>
      </c>
      <c r="AN114" s="491">
        <f t="shared" si="72"/>
        <v>2693479.9299999997</v>
      </c>
      <c r="AO114" s="487">
        <f t="shared" si="73"/>
        <v>-1.9299999997019768</v>
      </c>
      <c r="AP114" s="495">
        <f t="shared" si="74"/>
        <v>1397969.2</v>
      </c>
      <c r="AQ114" s="510">
        <f t="shared" si="75"/>
        <v>178371.59000000008</v>
      </c>
      <c r="AV114" s="459">
        <f>IF(BA114&gt;BA113,AV113,IF(AV113&lt;MiscData!$F$1,EOMONTH(AV113,1),EOMONTH(AV113,-11)))</f>
        <v>42460</v>
      </c>
      <c r="AW114" s="448" t="str">
        <f t="shared" si="76"/>
        <v>20140101KUINE730</v>
      </c>
      <c r="AX114" s="457" t="str">
        <f t="shared" si="77"/>
        <v>20140101FLST</v>
      </c>
      <c r="AY114" s="439">
        <f>IF(AV114&lt;=MiscData!$B$23,MiscData!$C$23,IF(AV114&lt;=MiscData!$B$24,MiscData!$C$24,MiscData!$C$25))</f>
        <v>20140101</v>
      </c>
      <c r="AZ114" s="439" t="str">
        <f>VLOOKUP(BA114,MiscData!$V$4:$W$42,2,FALSE)</f>
        <v>KUINE730</v>
      </c>
      <c r="BA114" s="439">
        <f>IF(BA113=MiscData!$V$42,1,BA113+1)</f>
        <v>33</v>
      </c>
      <c r="BB114" s="439" t="str">
        <f>VLOOKUP(AZ114,MiscData!$W$4:$Y$42,3,FALSE)</f>
        <v>FLST</v>
      </c>
    </row>
    <row r="115" spans="1:55" hidden="1">
      <c r="A115" s="448">
        <f t="shared" si="79"/>
        <v>103</v>
      </c>
      <c r="B115" s="448" t="str">
        <f t="shared" si="40"/>
        <v>Mar 2016</v>
      </c>
      <c r="C115" s="448" t="s">
        <v>14</v>
      </c>
      <c r="D115" s="449" t="str">
        <f t="shared" si="41"/>
        <v>RS</v>
      </c>
      <c r="E115" s="449" t="str">
        <f t="shared" si="42"/>
        <v>KURSE010</v>
      </c>
      <c r="F115" s="450">
        <f t="shared" si="43"/>
        <v>430997</v>
      </c>
      <c r="G115" s="450">
        <v>0</v>
      </c>
      <c r="H115" s="450">
        <v>0</v>
      </c>
      <c r="I115" s="450">
        <v>0</v>
      </c>
      <c r="J115" s="450">
        <f t="shared" si="44"/>
        <v>556774760</v>
      </c>
      <c r="K115" s="482">
        <f t="shared" si="45"/>
        <v>0</v>
      </c>
      <c r="L115" s="482">
        <f t="shared" si="46"/>
        <v>0</v>
      </c>
      <c r="M115" s="482">
        <f t="shared" si="47"/>
        <v>0</v>
      </c>
      <c r="N115" s="482">
        <f t="shared" si="48"/>
        <v>0</v>
      </c>
      <c r="O115" s="482">
        <f t="shared" si="49"/>
        <v>0</v>
      </c>
      <c r="P115" s="482">
        <f t="shared" si="50"/>
        <v>0</v>
      </c>
      <c r="Q115" s="451">
        <f t="shared" si="51"/>
        <v>10.75</v>
      </c>
      <c r="R115" s="452">
        <f t="shared" si="52"/>
        <v>7.7439999999999995E-2</v>
      </c>
      <c r="S115" s="452">
        <v>0</v>
      </c>
      <c r="T115" s="452">
        <v>0</v>
      </c>
      <c r="U115" s="452">
        <f t="shared" si="53"/>
        <v>2.8920000000000001E-2</v>
      </c>
      <c r="V115" s="451">
        <f t="shared" si="54"/>
        <v>0</v>
      </c>
      <c r="W115" s="451">
        <f t="shared" si="55"/>
        <v>0</v>
      </c>
      <c r="X115" s="451">
        <f t="shared" si="56"/>
        <v>0</v>
      </c>
      <c r="Y115" s="453">
        <f t="shared" si="57"/>
        <v>4633217.75</v>
      </c>
      <c r="Z115" s="453">
        <f t="shared" si="58"/>
        <v>43116637.409999996</v>
      </c>
      <c r="AA115" s="453">
        <f t="shared" si="59"/>
        <v>0</v>
      </c>
      <c r="AB115" s="453">
        <f t="shared" si="60"/>
        <v>0</v>
      </c>
      <c r="AC115" s="453">
        <f t="shared" si="61"/>
        <v>0</v>
      </c>
      <c r="AD115" s="453">
        <f t="shared" si="62"/>
        <v>0</v>
      </c>
      <c r="AE115" s="493">
        <f t="shared" si="63"/>
        <v>47749855.159999996</v>
      </c>
      <c r="AF115" s="453">
        <f t="shared" si="64"/>
        <v>47750381</v>
      </c>
      <c r="AG115" s="494">
        <f t="shared" si="65"/>
        <v>1.0000110123894248</v>
      </c>
      <c r="AH115" s="454">
        <f t="shared" si="66"/>
        <v>1354650</v>
      </c>
      <c r="AI115" s="454">
        <f t="shared" si="67"/>
        <v>684189</v>
      </c>
      <c r="AJ115" s="454">
        <f t="shared" si="68"/>
        <v>3208726</v>
      </c>
      <c r="AK115" s="454">
        <f t="shared" si="69"/>
        <v>0</v>
      </c>
      <c r="AL115" s="454">
        <f t="shared" si="70"/>
        <v>0</v>
      </c>
      <c r="AM115" s="454">
        <f t="shared" si="71"/>
        <v>52997946</v>
      </c>
      <c r="AN115" s="491">
        <f t="shared" si="72"/>
        <v>52997420.159999996</v>
      </c>
      <c r="AO115" s="487">
        <f t="shared" si="73"/>
        <v>525.84000000357628</v>
      </c>
      <c r="AP115" s="495">
        <f t="shared" si="74"/>
        <v>16101926.060000001</v>
      </c>
      <c r="AQ115" s="496">
        <f t="shared" si="75"/>
        <v>27014711.349999994</v>
      </c>
      <c r="AV115" s="459">
        <f>IF(BA115&gt;BA114,AV114,IF(AV114&lt;MiscData!$F$1,EOMONTH(AV114,1),EOMONTH(AV114,-11)))</f>
        <v>42460</v>
      </c>
      <c r="AW115" s="448" t="str">
        <f t="shared" si="76"/>
        <v>20140101KURSE010</v>
      </c>
      <c r="AX115" s="457" t="str">
        <f t="shared" si="77"/>
        <v>20140101RS</v>
      </c>
      <c r="AY115" s="439">
        <f>IF(AV115&lt;=MiscData!$B$23,MiscData!$C$23,IF(AV115&lt;=MiscData!$B$24,MiscData!$C$24,MiscData!$C$25))</f>
        <v>20140101</v>
      </c>
      <c r="AZ115" s="439" t="str">
        <f>VLOOKUP(BA115,MiscData!$V$4:$W$42,2,FALSE)</f>
        <v>KURSE010</v>
      </c>
      <c r="BA115" s="439">
        <f>IF(BA114=MiscData!$V$42,1,BA114+1)</f>
        <v>34</v>
      </c>
      <c r="BB115" s="439" t="str">
        <f>VLOOKUP(AZ115,MiscData!$W$4:$Y$42,3,FALSE)</f>
        <v>RS</v>
      </c>
    </row>
    <row r="116" spans="1:55" hidden="1">
      <c r="A116" s="448">
        <f t="shared" si="79"/>
        <v>104</v>
      </c>
      <c r="B116" s="448" t="str">
        <f t="shared" si="40"/>
        <v>Mar 2016</v>
      </c>
      <c r="C116" s="448" t="s">
        <v>14</v>
      </c>
      <c r="D116" s="449" t="str">
        <f t="shared" si="41"/>
        <v>RS</v>
      </c>
      <c r="E116" s="449" t="str">
        <f t="shared" si="42"/>
        <v>KURSE020</v>
      </c>
      <c r="F116" s="450">
        <f t="shared" si="43"/>
        <v>0</v>
      </c>
      <c r="G116" s="450">
        <v>0</v>
      </c>
      <c r="H116" s="450">
        <v>0</v>
      </c>
      <c r="I116" s="450">
        <v>0</v>
      </c>
      <c r="J116" s="450">
        <f t="shared" si="44"/>
        <v>0</v>
      </c>
      <c r="K116" s="482">
        <f t="shared" si="45"/>
        <v>0</v>
      </c>
      <c r="L116" s="482">
        <f t="shared" si="46"/>
        <v>0</v>
      </c>
      <c r="M116" s="482">
        <f t="shared" si="47"/>
        <v>0</v>
      </c>
      <c r="N116" s="482">
        <f t="shared" si="48"/>
        <v>0</v>
      </c>
      <c r="O116" s="482">
        <f t="shared" si="49"/>
        <v>0</v>
      </c>
      <c r="P116" s="482">
        <f t="shared" si="50"/>
        <v>0</v>
      </c>
      <c r="Q116" s="451">
        <f t="shared" si="51"/>
        <v>10.75</v>
      </c>
      <c r="R116" s="452">
        <f t="shared" si="52"/>
        <v>7.7439999999999995E-2</v>
      </c>
      <c r="S116" s="452">
        <v>0</v>
      </c>
      <c r="T116" s="452">
        <v>0</v>
      </c>
      <c r="U116" s="452">
        <f t="shared" si="53"/>
        <v>2.8920000000000001E-2</v>
      </c>
      <c r="V116" s="451">
        <f t="shared" si="54"/>
        <v>0</v>
      </c>
      <c r="W116" s="451">
        <f t="shared" si="55"/>
        <v>0</v>
      </c>
      <c r="X116" s="451">
        <f t="shared" si="56"/>
        <v>0</v>
      </c>
      <c r="Y116" s="453">
        <f t="shared" si="57"/>
        <v>0</v>
      </c>
      <c r="Z116" s="453">
        <f t="shared" si="58"/>
        <v>0</v>
      </c>
      <c r="AA116" s="453">
        <f t="shared" si="59"/>
        <v>0</v>
      </c>
      <c r="AB116" s="453">
        <f t="shared" si="60"/>
        <v>0</v>
      </c>
      <c r="AC116" s="453">
        <f t="shared" si="61"/>
        <v>0</v>
      </c>
      <c r="AD116" s="453">
        <f t="shared" si="62"/>
        <v>0</v>
      </c>
      <c r="AE116" s="493">
        <f t="shared" si="63"/>
        <v>0</v>
      </c>
      <c r="AF116" s="453">
        <f t="shared" si="64"/>
        <v>0</v>
      </c>
      <c r="AG116" s="494">
        <f t="shared" si="65"/>
        <v>1</v>
      </c>
      <c r="AH116" s="454">
        <f t="shared" si="66"/>
        <v>0</v>
      </c>
      <c r="AI116" s="454">
        <f t="shared" si="67"/>
        <v>0</v>
      </c>
      <c r="AJ116" s="454">
        <f t="shared" si="68"/>
        <v>0</v>
      </c>
      <c r="AK116" s="454">
        <f t="shared" si="69"/>
        <v>0</v>
      </c>
      <c r="AL116" s="454">
        <f t="shared" si="70"/>
        <v>0</v>
      </c>
      <c r="AM116" s="454">
        <f t="shared" si="71"/>
        <v>0</v>
      </c>
      <c r="AN116" s="491">
        <f t="shared" si="72"/>
        <v>0</v>
      </c>
      <c r="AO116" s="487">
        <f t="shared" si="73"/>
        <v>0</v>
      </c>
      <c r="AP116" s="495">
        <f t="shared" si="74"/>
        <v>0</v>
      </c>
      <c r="AQ116" s="496">
        <f t="shared" si="75"/>
        <v>0</v>
      </c>
      <c r="AV116" s="459">
        <f>IF(BA116&gt;BA115,AV115,IF(AV115&lt;MiscData!$F$1,EOMONTH(AV115,1),EOMONTH(AV115,-11)))</f>
        <v>42460</v>
      </c>
      <c r="AW116" s="448" t="str">
        <f t="shared" si="76"/>
        <v>20140101KURSE020</v>
      </c>
      <c r="AX116" s="457" t="str">
        <f t="shared" si="77"/>
        <v>20140101RS</v>
      </c>
      <c r="AY116" s="439">
        <f>IF(AV116&lt;=MiscData!$B$23,MiscData!$C$23,IF(AV116&lt;=MiscData!$B$24,MiscData!$C$24,MiscData!$C$25))</f>
        <v>20140101</v>
      </c>
      <c r="AZ116" s="439" t="str">
        <f>VLOOKUP(BA116,MiscData!$V$4:$W$42,2,FALSE)</f>
        <v>KURSE020</v>
      </c>
      <c r="BA116" s="439">
        <f>IF(BA115=MiscData!$V$42,1,BA115+1)</f>
        <v>35</v>
      </c>
      <c r="BB116" s="439" t="str">
        <f>VLOOKUP(AZ116,MiscData!$W$4:$Y$42,3,FALSE)</f>
        <v>RS</v>
      </c>
    </row>
    <row r="117" spans="1:55" hidden="1">
      <c r="A117" s="448">
        <f t="shared" si="79"/>
        <v>105</v>
      </c>
      <c r="B117" s="448" t="str">
        <f t="shared" si="40"/>
        <v>Mar 2016</v>
      </c>
      <c r="C117" s="448" t="s">
        <v>14</v>
      </c>
      <c r="D117" s="449" t="str">
        <f t="shared" si="41"/>
        <v>RS</v>
      </c>
      <c r="E117" s="449" t="str">
        <f t="shared" si="42"/>
        <v>KURSE025</v>
      </c>
      <c r="F117" s="450">
        <f t="shared" si="43"/>
        <v>0</v>
      </c>
      <c r="G117" s="450">
        <v>0</v>
      </c>
      <c r="H117" s="450">
        <v>0</v>
      </c>
      <c r="I117" s="450">
        <v>0</v>
      </c>
      <c r="J117" s="450">
        <f t="shared" si="44"/>
        <v>0</v>
      </c>
      <c r="K117" s="482">
        <f t="shared" si="45"/>
        <v>0</v>
      </c>
      <c r="L117" s="482">
        <f t="shared" si="46"/>
        <v>0</v>
      </c>
      <c r="M117" s="482">
        <f t="shared" si="47"/>
        <v>0</v>
      </c>
      <c r="N117" s="482">
        <f t="shared" si="48"/>
        <v>0</v>
      </c>
      <c r="O117" s="482">
        <f t="shared" si="49"/>
        <v>0</v>
      </c>
      <c r="P117" s="482">
        <f t="shared" si="50"/>
        <v>0</v>
      </c>
      <c r="Q117" s="451">
        <f t="shared" si="51"/>
        <v>10.75</v>
      </c>
      <c r="R117" s="452">
        <f t="shared" si="52"/>
        <v>7.7439999999999995E-2</v>
      </c>
      <c r="S117" s="452">
        <v>0</v>
      </c>
      <c r="T117" s="452">
        <v>0</v>
      </c>
      <c r="U117" s="452">
        <f t="shared" si="53"/>
        <v>2.8920000000000001E-2</v>
      </c>
      <c r="V117" s="451">
        <f t="shared" si="54"/>
        <v>0</v>
      </c>
      <c r="W117" s="451">
        <f t="shared" si="55"/>
        <v>0</v>
      </c>
      <c r="X117" s="451">
        <f t="shared" si="56"/>
        <v>0</v>
      </c>
      <c r="Y117" s="453">
        <f t="shared" si="57"/>
        <v>0</v>
      </c>
      <c r="Z117" s="453">
        <f t="shared" si="58"/>
        <v>0</v>
      </c>
      <c r="AA117" s="453">
        <f t="shared" si="59"/>
        <v>0</v>
      </c>
      <c r="AB117" s="453">
        <f t="shared" si="60"/>
        <v>0</v>
      </c>
      <c r="AC117" s="453">
        <f t="shared" si="61"/>
        <v>0</v>
      </c>
      <c r="AD117" s="453">
        <f t="shared" si="62"/>
        <v>0</v>
      </c>
      <c r="AE117" s="493">
        <f t="shared" si="63"/>
        <v>0</v>
      </c>
      <c r="AF117" s="453">
        <f t="shared" si="64"/>
        <v>0</v>
      </c>
      <c r="AG117" s="494">
        <f t="shared" si="65"/>
        <v>1</v>
      </c>
      <c r="AH117" s="454">
        <f t="shared" si="66"/>
        <v>0</v>
      </c>
      <c r="AI117" s="454">
        <f t="shared" si="67"/>
        <v>0</v>
      </c>
      <c r="AJ117" s="454">
        <f t="shared" si="68"/>
        <v>0</v>
      </c>
      <c r="AK117" s="454">
        <f t="shared" si="69"/>
        <v>0</v>
      </c>
      <c r="AL117" s="454">
        <f t="shared" si="70"/>
        <v>0</v>
      </c>
      <c r="AM117" s="454">
        <f t="shared" si="71"/>
        <v>0</v>
      </c>
      <c r="AN117" s="491">
        <f t="shared" si="72"/>
        <v>0</v>
      </c>
      <c r="AO117" s="487">
        <f t="shared" si="73"/>
        <v>0</v>
      </c>
      <c r="AP117" s="495">
        <f t="shared" si="74"/>
        <v>0</v>
      </c>
      <c r="AQ117" s="496">
        <f t="shared" si="75"/>
        <v>0</v>
      </c>
      <c r="AV117" s="459">
        <f>IF(BA117&gt;BA116,AV116,IF(AV116&lt;MiscData!$F$1,EOMONTH(AV116,1),EOMONTH(AV116,-11)))</f>
        <v>42460</v>
      </c>
      <c r="AW117" s="448" t="str">
        <f t="shared" si="76"/>
        <v>20140101KURSE025</v>
      </c>
      <c r="AX117" s="457" t="str">
        <f t="shared" si="77"/>
        <v>20140101RS</v>
      </c>
      <c r="AY117" s="439">
        <f>IF(AV117&lt;=MiscData!$B$23,MiscData!$C$23,IF(AV117&lt;=MiscData!$B$24,MiscData!$C$24,MiscData!$C$25))</f>
        <v>20140101</v>
      </c>
      <c r="AZ117" s="439" t="str">
        <f>VLOOKUP(BA117,MiscData!$V$4:$W$42,2,FALSE)</f>
        <v>KURSE025</v>
      </c>
      <c r="BA117" s="439">
        <f>IF(BA116=MiscData!$V$42,1,BA116+1)</f>
        <v>36</v>
      </c>
      <c r="BB117" s="439" t="str">
        <f>VLOOKUP(AZ117,MiscData!$W$4:$Y$42,3,FALSE)</f>
        <v>RS</v>
      </c>
    </row>
    <row r="118" spans="1:55" hidden="1">
      <c r="A118" s="448">
        <f t="shared" si="79"/>
        <v>106</v>
      </c>
      <c r="B118" s="448" t="str">
        <f t="shared" si="40"/>
        <v>Mar 2016</v>
      </c>
      <c r="C118" s="448" t="s">
        <v>828</v>
      </c>
      <c r="D118" s="449" t="str">
        <f t="shared" si="41"/>
        <v>RSLEV</v>
      </c>
      <c r="E118" s="449" t="str">
        <f t="shared" si="42"/>
        <v>KURSE040</v>
      </c>
      <c r="F118" s="450">
        <f t="shared" si="43"/>
        <v>7</v>
      </c>
      <c r="G118" s="450">
        <f>SUMIFS(_1022_KWH_P1,_1022_RevenueMonth,$B118,_1022_RateCategory,$E118)</f>
        <v>3962</v>
      </c>
      <c r="H118" s="450">
        <f>SUMIFS(_1022_KWH_P2,_1022_RevenueMonth,$B118,_1022_RateCategory,$E118)</f>
        <v>1210</v>
      </c>
      <c r="I118" s="450">
        <f>SUMIFS(_1022_KWH_P3,_1022_RevenueMonth,$B118,_1022_RateCategory,$E118)</f>
        <v>703</v>
      </c>
      <c r="J118" s="450">
        <f t="shared" si="44"/>
        <v>5875</v>
      </c>
      <c r="K118" s="482">
        <f t="shared" si="45"/>
        <v>0</v>
      </c>
      <c r="L118" s="482">
        <f t="shared" si="46"/>
        <v>0</v>
      </c>
      <c r="M118" s="482">
        <f t="shared" si="47"/>
        <v>0</v>
      </c>
      <c r="N118" s="482">
        <f t="shared" si="48"/>
        <v>0</v>
      </c>
      <c r="O118" s="482">
        <f t="shared" si="49"/>
        <v>0</v>
      </c>
      <c r="P118" s="482">
        <f t="shared" si="50"/>
        <v>0</v>
      </c>
      <c r="Q118" s="451">
        <f t="shared" si="51"/>
        <v>10.75</v>
      </c>
      <c r="R118" s="452">
        <f t="shared" si="52"/>
        <v>5.5870000000000003E-2</v>
      </c>
      <c r="S118" s="452">
        <f>SUMIF(_Rates_Tariff_Category,$AW118,_Rates_Energy_P2)</f>
        <v>7.7630000000000005E-2</v>
      </c>
      <c r="T118" s="452">
        <f>SUMIF(_Rates_Tariff_Category,$AW118,_Rates_Energy_P3)</f>
        <v>0.14297000000000001</v>
      </c>
      <c r="U118" s="452">
        <f t="shared" si="53"/>
        <v>2.8920000000000001E-2</v>
      </c>
      <c r="V118" s="451">
        <f t="shared" si="54"/>
        <v>0</v>
      </c>
      <c r="W118" s="451">
        <f t="shared" si="55"/>
        <v>0</v>
      </c>
      <c r="X118" s="451">
        <f t="shared" si="56"/>
        <v>0</v>
      </c>
      <c r="Y118" s="453">
        <f t="shared" si="57"/>
        <v>75.25</v>
      </c>
      <c r="Z118" s="453">
        <f t="shared" si="58"/>
        <v>415.8</v>
      </c>
      <c r="AA118" s="453">
        <f t="shared" si="59"/>
        <v>0</v>
      </c>
      <c r="AB118" s="453">
        <f t="shared" si="60"/>
        <v>0</v>
      </c>
      <c r="AC118" s="453">
        <f t="shared" si="61"/>
        <v>0</v>
      </c>
      <c r="AD118" s="453">
        <f t="shared" si="62"/>
        <v>0</v>
      </c>
      <c r="AE118" s="493">
        <f t="shared" si="63"/>
        <v>491.05</v>
      </c>
      <c r="AF118" s="453">
        <f t="shared" si="64"/>
        <v>0</v>
      </c>
      <c r="AG118" s="494">
        <f t="shared" si="65"/>
        <v>0</v>
      </c>
      <c r="AH118" s="454">
        <f t="shared" si="66"/>
        <v>0</v>
      </c>
      <c r="AI118" s="454">
        <f t="shared" si="67"/>
        <v>0</v>
      </c>
      <c r="AJ118" s="454">
        <f t="shared" si="68"/>
        <v>0</v>
      </c>
      <c r="AK118" s="454">
        <f t="shared" si="69"/>
        <v>0</v>
      </c>
      <c r="AL118" s="454">
        <f t="shared" si="70"/>
        <v>0</v>
      </c>
      <c r="AM118" s="454">
        <f t="shared" si="71"/>
        <v>0</v>
      </c>
      <c r="AN118" s="491">
        <f t="shared" si="72"/>
        <v>491.05</v>
      </c>
      <c r="AO118" s="487">
        <f t="shared" si="73"/>
        <v>-491.05</v>
      </c>
      <c r="AP118" s="495">
        <f t="shared" si="74"/>
        <v>169.91</v>
      </c>
      <c r="AQ118" s="496">
        <f t="shared" si="75"/>
        <v>245.89000000000001</v>
      </c>
      <c r="AV118" s="459">
        <f>IF(BA118&gt;BA117,AV117,IF(AV117&lt;MiscData!$F$1,EOMONTH(AV117,1),EOMONTH(AV117,-11)))</f>
        <v>42460</v>
      </c>
      <c r="AW118" s="448" t="str">
        <f t="shared" si="76"/>
        <v>20140101KURSE040</v>
      </c>
      <c r="AX118" s="457" t="str">
        <f t="shared" si="77"/>
        <v>20140101RSLEV</v>
      </c>
      <c r="AY118" s="439">
        <f>IF(AV118&lt;=MiscData!$B$23,MiscData!$C$23,IF(AV118&lt;=MiscData!$B$24,MiscData!$C$24,MiscData!$C$25))</f>
        <v>20140101</v>
      </c>
      <c r="AZ118" s="439" t="str">
        <f>VLOOKUP(BA118,MiscData!$V$4:$W$42,2,FALSE)</f>
        <v>KURSE040</v>
      </c>
      <c r="BA118" s="439">
        <f>IF(BA117=MiscData!$V$42,1,BA117+1)</f>
        <v>37</v>
      </c>
      <c r="BB118" s="439" t="str">
        <f>VLOOKUP(AZ118,MiscData!$W$4:$Y$42,3,FALSE)</f>
        <v>RSLEV</v>
      </c>
    </row>
    <row r="119" spans="1:55" hidden="1">
      <c r="A119" s="448">
        <f t="shared" si="79"/>
        <v>107</v>
      </c>
      <c r="B119" s="448" t="str">
        <f t="shared" si="40"/>
        <v>Mar 2016</v>
      </c>
      <c r="C119" s="448" t="s">
        <v>14</v>
      </c>
      <c r="D119" s="449" t="str">
        <f t="shared" si="41"/>
        <v>RSVFD</v>
      </c>
      <c r="E119" s="449" t="str">
        <f t="shared" si="42"/>
        <v>KURSE080</v>
      </c>
      <c r="F119" s="450">
        <f t="shared" si="43"/>
        <v>0</v>
      </c>
      <c r="G119" s="450">
        <v>0</v>
      </c>
      <c r="H119" s="450">
        <v>0</v>
      </c>
      <c r="I119" s="450">
        <v>0</v>
      </c>
      <c r="J119" s="450">
        <f t="shared" si="44"/>
        <v>0</v>
      </c>
      <c r="K119" s="482">
        <f t="shared" si="45"/>
        <v>0</v>
      </c>
      <c r="L119" s="482">
        <f t="shared" si="46"/>
        <v>0</v>
      </c>
      <c r="M119" s="482">
        <f t="shared" si="47"/>
        <v>0</v>
      </c>
      <c r="N119" s="482">
        <f t="shared" si="48"/>
        <v>0</v>
      </c>
      <c r="O119" s="482">
        <f t="shared" si="49"/>
        <v>0</v>
      </c>
      <c r="P119" s="482">
        <f t="shared" si="50"/>
        <v>0</v>
      </c>
      <c r="Q119" s="451">
        <f t="shared" si="51"/>
        <v>10.75</v>
      </c>
      <c r="R119" s="452">
        <f t="shared" si="52"/>
        <v>7.7439999999999995E-2</v>
      </c>
      <c r="S119" s="452">
        <v>0</v>
      </c>
      <c r="T119" s="452">
        <v>0</v>
      </c>
      <c r="U119" s="452">
        <f t="shared" si="53"/>
        <v>2.8920000000000001E-2</v>
      </c>
      <c r="V119" s="451">
        <f t="shared" si="54"/>
        <v>0</v>
      </c>
      <c r="W119" s="451">
        <f t="shared" si="55"/>
        <v>0</v>
      </c>
      <c r="X119" s="451">
        <f t="shared" si="56"/>
        <v>0</v>
      </c>
      <c r="Y119" s="453">
        <f t="shared" si="57"/>
        <v>0</v>
      </c>
      <c r="Z119" s="453">
        <f t="shared" si="58"/>
        <v>0</v>
      </c>
      <c r="AA119" s="453">
        <f t="shared" si="59"/>
        <v>0</v>
      </c>
      <c r="AB119" s="453">
        <f t="shared" si="60"/>
        <v>0</v>
      </c>
      <c r="AC119" s="453">
        <f t="shared" si="61"/>
        <v>0</v>
      </c>
      <c r="AD119" s="453">
        <f t="shared" si="62"/>
        <v>0</v>
      </c>
      <c r="AE119" s="493">
        <f t="shared" si="63"/>
        <v>0</v>
      </c>
      <c r="AF119" s="453">
        <f t="shared" si="64"/>
        <v>0</v>
      </c>
      <c r="AG119" s="494">
        <f t="shared" si="65"/>
        <v>1</v>
      </c>
      <c r="AH119" s="454">
        <f t="shared" si="66"/>
        <v>0</v>
      </c>
      <c r="AI119" s="454">
        <f t="shared" si="67"/>
        <v>0</v>
      </c>
      <c r="AJ119" s="454">
        <f t="shared" si="68"/>
        <v>0</v>
      </c>
      <c r="AK119" s="454">
        <f t="shared" si="69"/>
        <v>0</v>
      </c>
      <c r="AL119" s="454">
        <f t="shared" si="70"/>
        <v>0</v>
      </c>
      <c r="AM119" s="454">
        <f t="shared" si="71"/>
        <v>0</v>
      </c>
      <c r="AN119" s="491">
        <f t="shared" si="72"/>
        <v>0</v>
      </c>
      <c r="AO119" s="487">
        <f t="shared" si="73"/>
        <v>0</v>
      </c>
      <c r="AP119" s="495">
        <f t="shared" si="74"/>
        <v>0</v>
      </c>
      <c r="AQ119" s="496">
        <f t="shared" si="75"/>
        <v>0</v>
      </c>
      <c r="AV119" s="459">
        <f>IF(BA119&gt;BA118,AV118,IF(AV118&lt;MiscData!$F$1,EOMONTH(AV118,1),EOMONTH(AV118,-11)))</f>
        <v>42460</v>
      </c>
      <c r="AW119" s="448" t="str">
        <f t="shared" si="76"/>
        <v>20140101KURSE080</v>
      </c>
      <c r="AX119" s="457" t="str">
        <f t="shared" si="77"/>
        <v>20140101RSVFD</v>
      </c>
      <c r="AY119" s="439">
        <f>IF(AV119&lt;=MiscData!$B$23,MiscData!$C$23,IF(AV119&lt;=MiscData!$B$24,MiscData!$C$24,MiscData!$C$25))</f>
        <v>20140101</v>
      </c>
      <c r="AZ119" s="439" t="str">
        <f>VLOOKUP(BA119,MiscData!$V$4:$W$42,2,FALSE)</f>
        <v>KURSE080</v>
      </c>
      <c r="BA119" s="439">
        <f>IF(BA118=MiscData!$V$42,1,BA118+1)</f>
        <v>38</v>
      </c>
      <c r="BB119" s="439" t="str">
        <f>VLOOKUP(AZ119,MiscData!$W$4:$Y$42,3,FALSE)</f>
        <v>RSVFD</v>
      </c>
    </row>
    <row r="120" spans="1:55" s="511" customFormat="1" hidden="1">
      <c r="A120" s="499">
        <f t="shared" si="79"/>
        <v>108</v>
      </c>
      <c r="B120" s="499" t="str">
        <f t="shared" si="40"/>
        <v>Mar 2016</v>
      </c>
      <c r="C120" s="499" t="s">
        <v>14</v>
      </c>
      <c r="D120" s="500" t="str">
        <f t="shared" si="41"/>
        <v>RS</v>
      </c>
      <c r="E120" s="500" t="str">
        <f t="shared" si="42"/>
        <v>KURSE715</v>
      </c>
      <c r="F120" s="501">
        <f t="shared" si="43"/>
        <v>0</v>
      </c>
      <c r="G120" s="501">
        <v>0</v>
      </c>
      <c r="H120" s="501">
        <v>0</v>
      </c>
      <c r="I120" s="501">
        <v>0</v>
      </c>
      <c r="J120" s="501">
        <f t="shared" si="44"/>
        <v>0</v>
      </c>
      <c r="K120" s="502">
        <f t="shared" si="45"/>
        <v>0</v>
      </c>
      <c r="L120" s="502">
        <f t="shared" si="46"/>
        <v>0</v>
      </c>
      <c r="M120" s="502">
        <f t="shared" si="47"/>
        <v>0</v>
      </c>
      <c r="N120" s="502">
        <f t="shared" si="48"/>
        <v>0</v>
      </c>
      <c r="O120" s="502">
        <f t="shared" si="49"/>
        <v>0</v>
      </c>
      <c r="P120" s="502">
        <f t="shared" si="50"/>
        <v>0</v>
      </c>
      <c r="Q120" s="503">
        <f t="shared" si="51"/>
        <v>10.75</v>
      </c>
      <c r="R120" s="504">
        <f t="shared" si="52"/>
        <v>7.7439999999999995E-2</v>
      </c>
      <c r="S120" s="504">
        <v>0</v>
      </c>
      <c r="T120" s="504">
        <v>0</v>
      </c>
      <c r="U120" s="504">
        <f t="shared" si="53"/>
        <v>2.8920000000000001E-2</v>
      </c>
      <c r="V120" s="503">
        <f t="shared" si="54"/>
        <v>0</v>
      </c>
      <c r="W120" s="503">
        <f t="shared" si="55"/>
        <v>0</v>
      </c>
      <c r="X120" s="503">
        <f t="shared" si="56"/>
        <v>0</v>
      </c>
      <c r="Y120" s="453">
        <f t="shared" si="57"/>
        <v>0</v>
      </c>
      <c r="Z120" s="453">
        <f t="shared" si="58"/>
        <v>0</v>
      </c>
      <c r="AA120" s="453">
        <f t="shared" si="59"/>
        <v>0</v>
      </c>
      <c r="AB120" s="453">
        <f t="shared" si="60"/>
        <v>0</v>
      </c>
      <c r="AC120" s="453">
        <f t="shared" si="61"/>
        <v>0</v>
      </c>
      <c r="AD120" s="493">
        <f t="shared" si="62"/>
        <v>0</v>
      </c>
      <c r="AE120" s="493">
        <f t="shared" si="63"/>
        <v>0</v>
      </c>
      <c r="AF120" s="493">
        <f t="shared" si="64"/>
        <v>0</v>
      </c>
      <c r="AG120" s="494">
        <f t="shared" si="65"/>
        <v>1</v>
      </c>
      <c r="AH120" s="505">
        <f t="shared" si="66"/>
        <v>0</v>
      </c>
      <c r="AI120" s="505">
        <f t="shared" si="67"/>
        <v>0</v>
      </c>
      <c r="AJ120" s="505">
        <f t="shared" si="68"/>
        <v>0</v>
      </c>
      <c r="AK120" s="505">
        <f t="shared" si="69"/>
        <v>0</v>
      </c>
      <c r="AL120" s="505">
        <f t="shared" si="70"/>
        <v>0</v>
      </c>
      <c r="AM120" s="505">
        <f t="shared" si="71"/>
        <v>0</v>
      </c>
      <c r="AN120" s="506">
        <f t="shared" si="72"/>
        <v>0</v>
      </c>
      <c r="AO120" s="507">
        <f t="shared" si="73"/>
        <v>0</v>
      </c>
      <c r="AP120" s="508">
        <f t="shared" si="74"/>
        <v>0</v>
      </c>
      <c r="AQ120" s="510">
        <f t="shared" si="75"/>
        <v>0</v>
      </c>
      <c r="AV120" s="512">
        <f>IF(BA120&gt;BA119,AV119,IF(AV119&lt;MiscData!$F$1,EOMONTH(AV119,1),EOMONTH(AV119,-11)))</f>
        <v>42460</v>
      </c>
      <c r="AW120" s="499" t="str">
        <f t="shared" si="76"/>
        <v>20140101KURSE715</v>
      </c>
      <c r="AX120" s="513" t="str">
        <f t="shared" si="77"/>
        <v>20140101RS</v>
      </c>
      <c r="AY120" s="511">
        <f>IF(AV120&lt;=MiscData!$B$23,MiscData!$C$23,IF(AV120&lt;=MiscData!$B$24,MiscData!$C$24,MiscData!$C$25))</f>
        <v>20140101</v>
      </c>
      <c r="AZ120" s="511" t="str">
        <f>VLOOKUP(BA120,MiscData!$V$4:$W$42,2,FALSE)</f>
        <v>KURSE715</v>
      </c>
      <c r="BA120" s="439">
        <f>IF(BA119=MiscData!$V$42,1,BA119+1)</f>
        <v>39</v>
      </c>
      <c r="BB120" s="511" t="str">
        <f>VLOOKUP(AZ120,MiscData!$W$4:$Y$42,3,FALSE)</f>
        <v>RS</v>
      </c>
      <c r="BC120" s="777"/>
    </row>
    <row r="121" spans="1:55" hidden="1">
      <c r="A121" s="498">
        <f t="shared" si="79"/>
        <v>109</v>
      </c>
      <c r="B121" s="499" t="str">
        <f t="shared" si="40"/>
        <v>Apr 2016</v>
      </c>
      <c r="C121" s="499" t="s">
        <v>18</v>
      </c>
      <c r="D121" s="500" t="str">
        <f t="shared" si="41"/>
        <v>RTS</v>
      </c>
      <c r="E121" s="500" t="str">
        <f t="shared" si="42"/>
        <v>KUCIE550</v>
      </c>
      <c r="F121" s="501">
        <f t="shared" si="43"/>
        <v>32</v>
      </c>
      <c r="G121" s="501">
        <v>0</v>
      </c>
      <c r="H121" s="501">
        <v>0</v>
      </c>
      <c r="I121" s="501">
        <v>0</v>
      </c>
      <c r="J121" s="501">
        <f t="shared" si="44"/>
        <v>125338353</v>
      </c>
      <c r="K121" s="502">
        <f t="shared" si="45"/>
        <v>306602</v>
      </c>
      <c r="L121" s="502">
        <f t="shared" si="46"/>
        <v>296919</v>
      </c>
      <c r="M121" s="502">
        <f t="shared" si="47"/>
        <v>283381</v>
      </c>
      <c r="N121" s="502">
        <f t="shared" si="48"/>
        <v>0</v>
      </c>
      <c r="O121" s="502">
        <f t="shared" si="49"/>
        <v>0</v>
      </c>
      <c r="P121" s="502">
        <f t="shared" si="50"/>
        <v>0</v>
      </c>
      <c r="Q121" s="503">
        <f t="shared" si="51"/>
        <v>750</v>
      </c>
      <c r="R121" s="504">
        <f t="shared" si="52"/>
        <v>3.6339999999999997E-2</v>
      </c>
      <c r="S121" s="504">
        <v>0</v>
      </c>
      <c r="T121" s="504">
        <v>0</v>
      </c>
      <c r="U121" s="504">
        <f t="shared" si="53"/>
        <v>2.8920000000000001E-2</v>
      </c>
      <c r="V121" s="503">
        <f t="shared" si="54"/>
        <v>1.34</v>
      </c>
      <c r="W121" s="503">
        <f t="shared" si="55"/>
        <v>2.87</v>
      </c>
      <c r="X121" s="503">
        <f t="shared" si="56"/>
        <v>3.97</v>
      </c>
      <c r="Y121" s="453">
        <f t="shared" si="57"/>
        <v>24000</v>
      </c>
      <c r="Z121" s="453">
        <f t="shared" si="58"/>
        <v>4554795.75</v>
      </c>
      <c r="AA121" s="453">
        <f t="shared" si="59"/>
        <v>410846.68</v>
      </c>
      <c r="AB121" s="453">
        <f t="shared" si="60"/>
        <v>852157.53</v>
      </c>
      <c r="AC121" s="453">
        <f t="shared" si="61"/>
        <v>1125022.57</v>
      </c>
      <c r="AD121" s="493">
        <f t="shared" si="62"/>
        <v>2388026.7800000003</v>
      </c>
      <c r="AE121" s="493">
        <f t="shared" si="63"/>
        <v>6966822.5300000003</v>
      </c>
      <c r="AF121" s="493">
        <f t="shared" si="64"/>
        <v>6966823</v>
      </c>
      <c r="AG121" s="494">
        <f t="shared" si="65"/>
        <v>1.0000000674626055</v>
      </c>
      <c r="AH121" s="505">
        <f t="shared" si="66"/>
        <v>485740</v>
      </c>
      <c r="AI121" s="505">
        <f t="shared" si="67"/>
        <v>0</v>
      </c>
      <c r="AJ121" s="505">
        <f t="shared" si="68"/>
        <v>940480</v>
      </c>
      <c r="AK121" s="505">
        <f t="shared" si="69"/>
        <v>0</v>
      </c>
      <c r="AL121" s="505">
        <f t="shared" si="70"/>
        <v>0</v>
      </c>
      <c r="AM121" s="505">
        <f t="shared" si="71"/>
        <v>8393043</v>
      </c>
      <c r="AN121" s="506">
        <f t="shared" si="72"/>
        <v>8393042.5300000012</v>
      </c>
      <c r="AO121" s="507">
        <f t="shared" si="73"/>
        <v>0.4699999988079071</v>
      </c>
      <c r="AP121" s="508">
        <f t="shared" si="74"/>
        <v>3624785.17</v>
      </c>
      <c r="AQ121" s="509">
        <f t="shared" si="75"/>
        <v>930010.58000000007</v>
      </c>
      <c r="AV121" s="459">
        <f>IF(BA121&gt;BA120,AV120,IF(AV120&lt;MiscData!$F$1,EOMONTH(AV120,1),EOMONTH(AV120,-11)))</f>
        <v>42490</v>
      </c>
      <c r="AW121" s="448" t="str">
        <f t="shared" si="76"/>
        <v>20140101KUCIE550</v>
      </c>
      <c r="AX121" s="457" t="str">
        <f t="shared" si="77"/>
        <v>20140101RTS</v>
      </c>
      <c r="AY121" s="439">
        <f>IF(AV121&lt;=MiscData!$B$23,MiscData!$C$23,IF(AV121&lt;=MiscData!$B$24,MiscData!$C$24,MiscData!$C$25))</f>
        <v>20140101</v>
      </c>
      <c r="AZ121" s="439" t="str">
        <f>VLOOKUP(BA121,MiscData!$V$4:$W$42,2,FALSE)</f>
        <v>KUCIE550</v>
      </c>
      <c r="BA121" s="439">
        <f>IF(BA120=MiscData!$V$42,1,BA120+1)</f>
        <v>1</v>
      </c>
      <c r="BB121" s="439" t="str">
        <f>VLOOKUP(AZ121,MiscData!$W$4:$Y$42,3,FALSE)</f>
        <v>RTS</v>
      </c>
    </row>
    <row r="122" spans="1:55" hidden="1">
      <c r="A122" s="498">
        <f t="shared" si="79"/>
        <v>110</v>
      </c>
      <c r="B122" s="499" t="str">
        <f t="shared" si="40"/>
        <v>Apr 2016</v>
      </c>
      <c r="C122" s="499" t="s">
        <v>25</v>
      </c>
      <c r="D122" s="500" t="str">
        <f t="shared" si="41"/>
        <v>PSP</v>
      </c>
      <c r="E122" s="500" t="str">
        <f t="shared" si="42"/>
        <v>KUCIE561</v>
      </c>
      <c r="F122" s="501">
        <f t="shared" si="43"/>
        <v>195</v>
      </c>
      <c r="G122" s="501">
        <v>0</v>
      </c>
      <c r="H122" s="501">
        <v>0</v>
      </c>
      <c r="I122" s="501">
        <v>0</v>
      </c>
      <c r="J122" s="501">
        <f t="shared" si="44"/>
        <v>17125531</v>
      </c>
      <c r="K122" s="482">
        <f t="shared" si="45"/>
        <v>0</v>
      </c>
      <c r="L122" s="502">
        <f t="shared" si="46"/>
        <v>55075</v>
      </c>
      <c r="M122" s="502">
        <f t="shared" si="47"/>
        <v>0</v>
      </c>
      <c r="N122" s="502">
        <f t="shared" si="48"/>
        <v>0</v>
      </c>
      <c r="O122" s="502">
        <f t="shared" si="49"/>
        <v>0</v>
      </c>
      <c r="P122" s="502">
        <f t="shared" si="50"/>
        <v>0</v>
      </c>
      <c r="Q122" s="503">
        <f t="shared" si="51"/>
        <v>170</v>
      </c>
      <c r="R122" s="504">
        <f t="shared" si="52"/>
        <v>3.5619999999999999E-2</v>
      </c>
      <c r="S122" s="504">
        <v>0</v>
      </c>
      <c r="T122" s="504">
        <v>0</v>
      </c>
      <c r="U122" s="504">
        <f t="shared" si="53"/>
        <v>2.8920000000000001E-2</v>
      </c>
      <c r="V122" s="503">
        <f t="shared" si="54"/>
        <v>0</v>
      </c>
      <c r="W122" s="503">
        <f t="shared" si="55"/>
        <v>13.18</v>
      </c>
      <c r="X122" s="503">
        <f t="shared" si="56"/>
        <v>15.28</v>
      </c>
      <c r="Y122" s="453">
        <f t="shared" si="57"/>
        <v>33150</v>
      </c>
      <c r="Z122" s="453">
        <f t="shared" si="58"/>
        <v>610011.41</v>
      </c>
      <c r="AA122" s="453">
        <f t="shared" si="59"/>
        <v>0</v>
      </c>
      <c r="AB122" s="453">
        <f t="shared" si="60"/>
        <v>725888.5</v>
      </c>
      <c r="AC122" s="453">
        <f t="shared" si="61"/>
        <v>0</v>
      </c>
      <c r="AD122" s="493">
        <f t="shared" si="62"/>
        <v>725888.5</v>
      </c>
      <c r="AE122" s="493">
        <f t="shared" si="63"/>
        <v>1369049.9100000001</v>
      </c>
      <c r="AF122" s="493">
        <f t="shared" si="64"/>
        <v>1369049</v>
      </c>
      <c r="AG122" s="494">
        <f t="shared" si="65"/>
        <v>0.99999933530546004</v>
      </c>
      <c r="AH122" s="505">
        <f t="shared" si="66"/>
        <v>66369</v>
      </c>
      <c r="AI122" s="505">
        <f t="shared" si="67"/>
        <v>22447</v>
      </c>
      <c r="AJ122" s="505">
        <f t="shared" si="68"/>
        <v>128502</v>
      </c>
      <c r="AK122" s="505">
        <f t="shared" si="69"/>
        <v>0</v>
      </c>
      <c r="AL122" s="505">
        <f t="shared" si="70"/>
        <v>0</v>
      </c>
      <c r="AM122" s="505">
        <f t="shared" si="71"/>
        <v>1586367</v>
      </c>
      <c r="AN122" s="506">
        <f t="shared" si="72"/>
        <v>1586367.9100000001</v>
      </c>
      <c r="AO122" s="507">
        <f t="shared" si="73"/>
        <v>-0.91000000014901161</v>
      </c>
      <c r="AP122" s="508">
        <f t="shared" si="74"/>
        <v>495270.36</v>
      </c>
      <c r="AQ122" s="509">
        <f t="shared" si="75"/>
        <v>114741.05000000005</v>
      </c>
      <c r="AV122" s="459">
        <f>IF(BA122&gt;BA121,AV121,IF(AV121&lt;MiscData!$F$1,EOMONTH(AV121,1),EOMONTH(AV121,-11)))</f>
        <v>42490</v>
      </c>
      <c r="AW122" s="448" t="str">
        <f t="shared" si="76"/>
        <v>20140101KUCIE561</v>
      </c>
      <c r="AX122" s="457" t="str">
        <f t="shared" si="77"/>
        <v>20140101PSP</v>
      </c>
      <c r="AY122" s="439">
        <f>IF(AV122&lt;=MiscData!$B$23,MiscData!$C$23,IF(AV122&lt;=MiscData!$B$24,MiscData!$C$24,MiscData!$C$25))</f>
        <v>20140101</v>
      </c>
      <c r="AZ122" s="439" t="str">
        <f>VLOOKUP(BA122,MiscData!$V$4:$W$42,2,FALSE)</f>
        <v>KUCIE561</v>
      </c>
      <c r="BA122" s="439">
        <f>IF(BA121=MiscData!$V$42,1,BA121+1)</f>
        <v>2</v>
      </c>
      <c r="BB122" s="439" t="str">
        <f>VLOOKUP(AZ122,MiscData!$W$4:$Y$42,3,FALSE)</f>
        <v>PSP</v>
      </c>
    </row>
    <row r="123" spans="1:55" hidden="1">
      <c r="A123" s="498">
        <f t="shared" si="79"/>
        <v>111</v>
      </c>
      <c r="B123" s="499" t="str">
        <f t="shared" si="40"/>
        <v>Apr 2016</v>
      </c>
      <c r="C123" s="499" t="s">
        <v>24</v>
      </c>
      <c r="D123" s="500" t="str">
        <f t="shared" si="41"/>
        <v>PSS</v>
      </c>
      <c r="E123" s="500" t="str">
        <f t="shared" si="42"/>
        <v>KUCIE562</v>
      </c>
      <c r="F123" s="501">
        <f t="shared" si="43"/>
        <v>4620</v>
      </c>
      <c r="G123" s="501">
        <v>0</v>
      </c>
      <c r="H123" s="501">
        <v>0</v>
      </c>
      <c r="I123" s="501">
        <v>0</v>
      </c>
      <c r="J123" s="501">
        <f t="shared" si="44"/>
        <v>148653381</v>
      </c>
      <c r="K123" s="482">
        <f t="shared" si="45"/>
        <v>0</v>
      </c>
      <c r="L123" s="502">
        <f t="shared" si="46"/>
        <v>527559</v>
      </c>
      <c r="M123" s="502">
        <f t="shared" si="47"/>
        <v>0</v>
      </c>
      <c r="N123" s="502">
        <f t="shared" si="48"/>
        <v>0</v>
      </c>
      <c r="O123" s="502">
        <f t="shared" si="49"/>
        <v>0</v>
      </c>
      <c r="P123" s="502">
        <f t="shared" si="50"/>
        <v>0</v>
      </c>
      <c r="Q123" s="503">
        <f t="shared" si="51"/>
        <v>90</v>
      </c>
      <c r="R123" s="504">
        <f t="shared" si="52"/>
        <v>3.5640000000000005E-2</v>
      </c>
      <c r="S123" s="504">
        <v>0</v>
      </c>
      <c r="T123" s="504">
        <v>0</v>
      </c>
      <c r="U123" s="504">
        <f t="shared" si="53"/>
        <v>2.8920000000000001E-2</v>
      </c>
      <c r="V123" s="503">
        <f t="shared" si="54"/>
        <v>0</v>
      </c>
      <c r="W123" s="503">
        <f t="shared" si="55"/>
        <v>13.2</v>
      </c>
      <c r="X123" s="503">
        <f t="shared" si="56"/>
        <v>15.3</v>
      </c>
      <c r="Y123" s="453">
        <f t="shared" si="57"/>
        <v>415800</v>
      </c>
      <c r="Z123" s="453">
        <f t="shared" si="58"/>
        <v>5298006.5</v>
      </c>
      <c r="AA123" s="453">
        <f t="shared" si="59"/>
        <v>0</v>
      </c>
      <c r="AB123" s="453">
        <f t="shared" si="60"/>
        <v>6963778.7999999998</v>
      </c>
      <c r="AC123" s="453">
        <f t="shared" si="61"/>
        <v>0</v>
      </c>
      <c r="AD123" s="493">
        <f t="shared" si="62"/>
        <v>6963778.7999999998</v>
      </c>
      <c r="AE123" s="493">
        <f t="shared" si="63"/>
        <v>12677585.300000001</v>
      </c>
      <c r="AF123" s="493">
        <f t="shared" si="64"/>
        <v>12677591</v>
      </c>
      <c r="AG123" s="494">
        <f t="shared" si="65"/>
        <v>1.0000004496124353</v>
      </c>
      <c r="AH123" s="505">
        <f t="shared" si="66"/>
        <v>576096</v>
      </c>
      <c r="AI123" s="505">
        <f t="shared" si="67"/>
        <v>194841</v>
      </c>
      <c r="AJ123" s="505">
        <f t="shared" si="68"/>
        <v>1115425</v>
      </c>
      <c r="AK123" s="505">
        <f t="shared" si="69"/>
        <v>0</v>
      </c>
      <c r="AL123" s="505">
        <f t="shared" si="70"/>
        <v>0</v>
      </c>
      <c r="AM123" s="505">
        <f t="shared" si="71"/>
        <v>14563953</v>
      </c>
      <c r="AN123" s="506">
        <f t="shared" si="72"/>
        <v>14563947.300000001</v>
      </c>
      <c r="AO123" s="507">
        <f t="shared" si="73"/>
        <v>5.6999999992549419</v>
      </c>
      <c r="AP123" s="508">
        <f t="shared" si="74"/>
        <v>4299055.78</v>
      </c>
      <c r="AQ123" s="509">
        <f t="shared" si="75"/>
        <v>998950.71999999974</v>
      </c>
      <c r="AV123" s="459">
        <f>IF(BA123&gt;BA122,AV122,IF(AV122&lt;MiscData!$F$1,EOMONTH(AV122,1),EOMONTH(AV122,-11)))</f>
        <v>42490</v>
      </c>
      <c r="AW123" s="448" t="str">
        <f t="shared" si="76"/>
        <v>20140101KUCIE562</v>
      </c>
      <c r="AX123" s="457" t="str">
        <f t="shared" si="77"/>
        <v>20140101PSS</v>
      </c>
      <c r="AY123" s="439">
        <f>IF(AV123&lt;=MiscData!$B$23,MiscData!$C$23,IF(AV123&lt;=MiscData!$B$24,MiscData!$C$24,MiscData!$C$25))</f>
        <v>20140101</v>
      </c>
      <c r="AZ123" s="439" t="str">
        <f>VLOOKUP(BA123,MiscData!$V$4:$W$42,2,FALSE)</f>
        <v>KUCIE562</v>
      </c>
      <c r="BA123" s="439">
        <f>IF(BA122=MiscData!$V$42,1,BA122+1)</f>
        <v>3</v>
      </c>
      <c r="BB123" s="439" t="str">
        <f>VLOOKUP(AZ123,MiscData!$W$4:$Y$42,3,FALSE)</f>
        <v>PSS</v>
      </c>
    </row>
    <row r="124" spans="1:55" hidden="1">
      <c r="A124" s="498">
        <f t="shared" si="79"/>
        <v>112</v>
      </c>
      <c r="B124" s="499" t="str">
        <f t="shared" si="40"/>
        <v>Apr 2016</v>
      </c>
      <c r="C124" s="499" t="s">
        <v>205</v>
      </c>
      <c r="D124" s="500" t="str">
        <f t="shared" si="41"/>
        <v>TODP</v>
      </c>
      <c r="E124" s="500" t="str">
        <f t="shared" si="42"/>
        <v>KUCIE563</v>
      </c>
      <c r="F124" s="501">
        <f t="shared" si="43"/>
        <v>52</v>
      </c>
      <c r="G124" s="501">
        <v>0</v>
      </c>
      <c r="H124" s="501">
        <v>0</v>
      </c>
      <c r="I124" s="501">
        <v>0</v>
      </c>
      <c r="J124" s="501">
        <f t="shared" si="44"/>
        <v>226428621</v>
      </c>
      <c r="K124" s="482">
        <f t="shared" si="45"/>
        <v>512309</v>
      </c>
      <c r="L124" s="502">
        <f t="shared" si="46"/>
        <v>488087</v>
      </c>
      <c r="M124" s="502">
        <f t="shared" si="47"/>
        <v>484789</v>
      </c>
      <c r="N124" s="502">
        <f t="shared" si="48"/>
        <v>0</v>
      </c>
      <c r="O124" s="502">
        <f t="shared" si="49"/>
        <v>0</v>
      </c>
      <c r="P124" s="502">
        <f t="shared" si="50"/>
        <v>0</v>
      </c>
      <c r="Q124" s="503">
        <f t="shared" si="51"/>
        <v>300</v>
      </c>
      <c r="R124" s="504">
        <f t="shared" si="52"/>
        <v>3.7650000000000003E-2</v>
      </c>
      <c r="S124" s="504">
        <v>0</v>
      </c>
      <c r="T124" s="504">
        <v>0</v>
      </c>
      <c r="U124" s="504">
        <f t="shared" si="53"/>
        <v>2.8920000000000001E-2</v>
      </c>
      <c r="V124" s="503">
        <f t="shared" si="54"/>
        <v>1.71</v>
      </c>
      <c r="W124" s="503">
        <f t="shared" si="55"/>
        <v>2.76</v>
      </c>
      <c r="X124" s="503">
        <f t="shared" si="56"/>
        <v>4.26</v>
      </c>
      <c r="Y124" s="453">
        <f t="shared" si="57"/>
        <v>15600</v>
      </c>
      <c r="Z124" s="453">
        <f t="shared" si="58"/>
        <v>8525037.5800000001</v>
      </c>
      <c r="AA124" s="453">
        <f t="shared" si="59"/>
        <v>876048.39</v>
      </c>
      <c r="AB124" s="453">
        <f t="shared" si="60"/>
        <v>1347120.12</v>
      </c>
      <c r="AC124" s="453">
        <f t="shared" si="61"/>
        <v>2065201.14</v>
      </c>
      <c r="AD124" s="493">
        <f t="shared" si="62"/>
        <v>4288369.6500000004</v>
      </c>
      <c r="AE124" s="493">
        <f t="shared" si="63"/>
        <v>12829007.23</v>
      </c>
      <c r="AF124" s="493">
        <f t="shared" si="64"/>
        <v>12829008</v>
      </c>
      <c r="AG124" s="494">
        <f t="shared" si="65"/>
        <v>1.0000000600202328</v>
      </c>
      <c r="AH124" s="505">
        <f t="shared" si="66"/>
        <v>877509</v>
      </c>
      <c r="AI124" s="505">
        <f t="shared" si="67"/>
        <v>296781</v>
      </c>
      <c r="AJ124" s="505">
        <f t="shared" si="68"/>
        <v>1699013</v>
      </c>
      <c r="AK124" s="505">
        <f t="shared" si="69"/>
        <v>0</v>
      </c>
      <c r="AL124" s="505">
        <f t="shared" si="70"/>
        <v>0</v>
      </c>
      <c r="AM124" s="505">
        <f t="shared" si="71"/>
        <v>15702311</v>
      </c>
      <c r="AN124" s="506">
        <f t="shared" si="72"/>
        <v>15702310.23</v>
      </c>
      <c r="AO124" s="507">
        <f t="shared" si="73"/>
        <v>0.76999999955296516</v>
      </c>
      <c r="AP124" s="508">
        <f t="shared" si="74"/>
        <v>6548315.7199999997</v>
      </c>
      <c r="AQ124" s="509">
        <f t="shared" si="75"/>
        <v>1976721.8600000003</v>
      </c>
      <c r="AV124" s="459">
        <f>IF(BA124&gt;BA123,AV123,IF(AV123&lt;MiscData!$F$1,EOMONTH(AV123,1),EOMONTH(AV123,-11)))</f>
        <v>42490</v>
      </c>
      <c r="AW124" s="448" t="str">
        <f t="shared" si="76"/>
        <v>20140101KUCIE563</v>
      </c>
      <c r="AX124" s="457" t="str">
        <f t="shared" si="77"/>
        <v>20140101TODP</v>
      </c>
      <c r="AY124" s="439">
        <f>IF(AV124&lt;=MiscData!$B$23,MiscData!$C$23,IF(AV124&lt;=MiscData!$B$24,MiscData!$C$24,MiscData!$C$25))</f>
        <v>20140101</v>
      </c>
      <c r="AZ124" s="439" t="str">
        <f>VLOOKUP(BA124,MiscData!$V$4:$W$42,2,FALSE)</f>
        <v>KUCIE563</v>
      </c>
      <c r="BA124" s="439">
        <f>IF(BA123=MiscData!$V$42,1,BA123+1)</f>
        <v>4</v>
      </c>
      <c r="BB124" s="439" t="str">
        <f>VLOOKUP(AZ124,MiscData!$W$4:$Y$42,3,FALSE)</f>
        <v>TODP</v>
      </c>
    </row>
    <row r="125" spans="1:55" hidden="1">
      <c r="A125" s="498">
        <f t="shared" si="79"/>
        <v>113</v>
      </c>
      <c r="B125" s="499" t="str">
        <f t="shared" si="40"/>
        <v>Apr 2016</v>
      </c>
      <c r="C125" s="499" t="s">
        <v>25</v>
      </c>
      <c r="D125" s="500" t="str">
        <f t="shared" si="41"/>
        <v>PSP</v>
      </c>
      <c r="E125" s="500" t="str">
        <f t="shared" si="42"/>
        <v>KUCIE566</v>
      </c>
      <c r="F125" s="501">
        <f t="shared" si="43"/>
        <v>0</v>
      </c>
      <c r="G125" s="501">
        <v>0</v>
      </c>
      <c r="H125" s="501">
        <v>0</v>
      </c>
      <c r="I125" s="501">
        <v>0</v>
      </c>
      <c r="J125" s="501">
        <f t="shared" si="44"/>
        <v>0</v>
      </c>
      <c r="K125" s="482">
        <f t="shared" si="45"/>
        <v>0</v>
      </c>
      <c r="L125" s="502">
        <f t="shared" si="46"/>
        <v>0</v>
      </c>
      <c r="M125" s="502">
        <f t="shared" si="47"/>
        <v>0</v>
      </c>
      <c r="N125" s="502">
        <f t="shared" si="48"/>
        <v>0</v>
      </c>
      <c r="O125" s="502">
        <f t="shared" si="49"/>
        <v>0</v>
      </c>
      <c r="P125" s="502">
        <f t="shared" si="50"/>
        <v>0</v>
      </c>
      <c r="Q125" s="503">
        <f t="shared" si="51"/>
        <v>170</v>
      </c>
      <c r="R125" s="504">
        <f t="shared" si="52"/>
        <v>3.5619999999999999E-2</v>
      </c>
      <c r="S125" s="504">
        <v>0</v>
      </c>
      <c r="T125" s="504">
        <v>0</v>
      </c>
      <c r="U125" s="504">
        <f t="shared" si="53"/>
        <v>2.8920000000000001E-2</v>
      </c>
      <c r="V125" s="503">
        <f t="shared" si="54"/>
        <v>0</v>
      </c>
      <c r="W125" s="503">
        <f t="shared" si="55"/>
        <v>13.18</v>
      </c>
      <c r="X125" s="503">
        <f t="shared" si="56"/>
        <v>15.28</v>
      </c>
      <c r="Y125" s="453">
        <f t="shared" si="57"/>
        <v>0</v>
      </c>
      <c r="Z125" s="453">
        <f t="shared" si="58"/>
        <v>0</v>
      </c>
      <c r="AA125" s="453">
        <f t="shared" si="59"/>
        <v>0</v>
      </c>
      <c r="AB125" s="453">
        <f t="shared" si="60"/>
        <v>0</v>
      </c>
      <c r="AC125" s="453">
        <f t="shared" si="61"/>
        <v>0</v>
      </c>
      <c r="AD125" s="493">
        <f t="shared" si="62"/>
        <v>0</v>
      </c>
      <c r="AE125" s="493">
        <f t="shared" si="63"/>
        <v>0</v>
      </c>
      <c r="AF125" s="493">
        <f t="shared" si="64"/>
        <v>0</v>
      </c>
      <c r="AG125" s="494">
        <f t="shared" si="65"/>
        <v>1</v>
      </c>
      <c r="AH125" s="505">
        <f t="shared" si="66"/>
        <v>0</v>
      </c>
      <c r="AI125" s="505">
        <f t="shared" si="67"/>
        <v>0</v>
      </c>
      <c r="AJ125" s="505">
        <f t="shared" si="68"/>
        <v>0</v>
      </c>
      <c r="AK125" s="505">
        <f t="shared" si="69"/>
        <v>0</v>
      </c>
      <c r="AL125" s="505">
        <f t="shared" si="70"/>
        <v>0</v>
      </c>
      <c r="AM125" s="505">
        <f t="shared" si="71"/>
        <v>0</v>
      </c>
      <c r="AN125" s="506">
        <f t="shared" si="72"/>
        <v>0</v>
      </c>
      <c r="AO125" s="507">
        <f t="shared" si="73"/>
        <v>0</v>
      </c>
      <c r="AP125" s="508">
        <f t="shared" si="74"/>
        <v>0</v>
      </c>
      <c r="AQ125" s="509">
        <f t="shared" si="75"/>
        <v>0</v>
      </c>
      <c r="AV125" s="459">
        <f>IF(BA125&gt;BA124,AV124,IF(AV124&lt;MiscData!$F$1,EOMONTH(AV124,1),EOMONTH(AV124,-11)))</f>
        <v>42490</v>
      </c>
      <c r="AW125" s="448" t="str">
        <f t="shared" si="76"/>
        <v>20140101KUCIE566</v>
      </c>
      <c r="AX125" s="457" t="str">
        <f t="shared" si="77"/>
        <v>20140101PSP</v>
      </c>
      <c r="AY125" s="439">
        <f>IF(AV125&lt;=MiscData!$B$23,MiscData!$C$23,IF(AV125&lt;=MiscData!$B$24,MiscData!$C$24,MiscData!$C$25))</f>
        <v>20140101</v>
      </c>
      <c r="AZ125" s="439" t="str">
        <f>VLOOKUP(BA125,MiscData!$V$4:$W$42,2,FALSE)</f>
        <v>KUCIE566</v>
      </c>
      <c r="BA125" s="439">
        <f>IF(BA124=MiscData!$V$42,1,BA124+1)</f>
        <v>5</v>
      </c>
      <c r="BB125" s="439" t="str">
        <f>VLOOKUP(AZ125,MiscData!$W$4:$Y$42,3,FALSE)</f>
        <v>PSP</v>
      </c>
    </row>
    <row r="126" spans="1:55" hidden="1">
      <c r="A126" s="498">
        <f t="shared" si="79"/>
        <v>114</v>
      </c>
      <c r="B126" s="499" t="str">
        <f t="shared" si="40"/>
        <v>Apr 2016</v>
      </c>
      <c r="C126" s="499" t="s">
        <v>24</v>
      </c>
      <c r="D126" s="500" t="str">
        <f t="shared" si="41"/>
        <v>PSS</v>
      </c>
      <c r="E126" s="500" t="str">
        <f t="shared" si="42"/>
        <v>KUCIE568</v>
      </c>
      <c r="F126" s="501">
        <f t="shared" si="43"/>
        <v>0</v>
      </c>
      <c r="G126" s="501">
        <v>0</v>
      </c>
      <c r="H126" s="501">
        <v>0</v>
      </c>
      <c r="I126" s="501">
        <v>0</v>
      </c>
      <c r="J126" s="501">
        <f t="shared" si="44"/>
        <v>0</v>
      </c>
      <c r="K126" s="482">
        <f t="shared" si="45"/>
        <v>0</v>
      </c>
      <c r="L126" s="502">
        <f t="shared" si="46"/>
        <v>0</v>
      </c>
      <c r="M126" s="502">
        <f t="shared" si="47"/>
        <v>0</v>
      </c>
      <c r="N126" s="502">
        <f t="shared" si="48"/>
        <v>0</v>
      </c>
      <c r="O126" s="502">
        <f t="shared" si="49"/>
        <v>0</v>
      </c>
      <c r="P126" s="502">
        <f t="shared" si="50"/>
        <v>0</v>
      </c>
      <c r="Q126" s="503">
        <f t="shared" si="51"/>
        <v>90</v>
      </c>
      <c r="R126" s="504">
        <f t="shared" si="52"/>
        <v>3.5640000000000005E-2</v>
      </c>
      <c r="S126" s="504">
        <v>0</v>
      </c>
      <c r="T126" s="504">
        <v>0</v>
      </c>
      <c r="U126" s="504">
        <f t="shared" si="53"/>
        <v>2.8920000000000001E-2</v>
      </c>
      <c r="V126" s="503">
        <f t="shared" si="54"/>
        <v>0</v>
      </c>
      <c r="W126" s="503">
        <f t="shared" si="55"/>
        <v>13.2</v>
      </c>
      <c r="X126" s="503">
        <f t="shared" si="56"/>
        <v>15.3</v>
      </c>
      <c r="Y126" s="453">
        <f t="shared" si="57"/>
        <v>0</v>
      </c>
      <c r="Z126" s="453">
        <f t="shared" si="58"/>
        <v>0</v>
      </c>
      <c r="AA126" s="453">
        <f t="shared" si="59"/>
        <v>0</v>
      </c>
      <c r="AB126" s="453">
        <f t="shared" si="60"/>
        <v>0</v>
      </c>
      <c r="AC126" s="453">
        <f t="shared" si="61"/>
        <v>0</v>
      </c>
      <c r="AD126" s="493">
        <f t="shared" si="62"/>
        <v>0</v>
      </c>
      <c r="AE126" s="493">
        <f t="shared" si="63"/>
        <v>0</v>
      </c>
      <c r="AF126" s="493">
        <f t="shared" si="64"/>
        <v>0</v>
      </c>
      <c r="AG126" s="494">
        <f t="shared" si="65"/>
        <v>1</v>
      </c>
      <c r="AH126" s="505">
        <f t="shared" si="66"/>
        <v>0</v>
      </c>
      <c r="AI126" s="505">
        <f t="shared" si="67"/>
        <v>0</v>
      </c>
      <c r="AJ126" s="505">
        <f t="shared" si="68"/>
        <v>0</v>
      </c>
      <c r="AK126" s="505">
        <f t="shared" si="69"/>
        <v>0</v>
      </c>
      <c r="AL126" s="505">
        <f t="shared" si="70"/>
        <v>0</v>
      </c>
      <c r="AM126" s="505">
        <f t="shared" si="71"/>
        <v>0</v>
      </c>
      <c r="AN126" s="506">
        <f t="shared" si="72"/>
        <v>0</v>
      </c>
      <c r="AO126" s="507">
        <f t="shared" si="73"/>
        <v>0</v>
      </c>
      <c r="AP126" s="508">
        <f t="shared" si="74"/>
        <v>0</v>
      </c>
      <c r="AQ126" s="509">
        <f t="shared" si="75"/>
        <v>0</v>
      </c>
      <c r="AV126" s="459">
        <f>IF(BA126&gt;BA125,AV125,IF(AV125&lt;MiscData!$F$1,EOMONTH(AV125,1),EOMONTH(AV125,-11)))</f>
        <v>42490</v>
      </c>
      <c r="AW126" s="448" t="str">
        <f t="shared" si="76"/>
        <v>20140101KUCIE568</v>
      </c>
      <c r="AX126" s="457" t="str">
        <f t="shared" si="77"/>
        <v>20140101PSS</v>
      </c>
      <c r="AY126" s="439">
        <f>IF(AV126&lt;=MiscData!$B$23,MiscData!$C$23,IF(AV126&lt;=MiscData!$B$24,MiscData!$C$24,MiscData!$C$25))</f>
        <v>20140101</v>
      </c>
      <c r="AZ126" s="439" t="str">
        <f>VLOOKUP(BA126,MiscData!$V$4:$W$42,2,FALSE)</f>
        <v>KUCIE568</v>
      </c>
      <c r="BA126" s="439">
        <f>IF(BA125=MiscData!$V$42,1,BA125+1)</f>
        <v>6</v>
      </c>
      <c r="BB126" s="439" t="str">
        <f>VLOOKUP(AZ126,MiscData!$W$4:$Y$42,3,FALSE)</f>
        <v>PSS</v>
      </c>
    </row>
    <row r="127" spans="1:55" hidden="1">
      <c r="A127" s="498">
        <f t="shared" si="79"/>
        <v>115</v>
      </c>
      <c r="B127" s="499" t="str">
        <f t="shared" si="40"/>
        <v>Apr 2016</v>
      </c>
      <c r="C127" s="499" t="s">
        <v>205</v>
      </c>
      <c r="D127" s="500" t="str">
        <f t="shared" si="41"/>
        <v>TODP</v>
      </c>
      <c r="E127" s="500" t="str">
        <f t="shared" si="42"/>
        <v>KUCIE571</v>
      </c>
      <c r="F127" s="501">
        <f t="shared" si="43"/>
        <v>208</v>
      </c>
      <c r="G127" s="501">
        <v>0</v>
      </c>
      <c r="H127" s="501">
        <v>0</v>
      </c>
      <c r="I127" s="501">
        <v>0</v>
      </c>
      <c r="J127" s="501">
        <f t="shared" si="44"/>
        <v>95454013</v>
      </c>
      <c r="K127" s="482">
        <f t="shared" si="45"/>
        <v>278232</v>
      </c>
      <c r="L127" s="502">
        <f t="shared" si="46"/>
        <v>266025</v>
      </c>
      <c r="M127" s="502">
        <f t="shared" si="47"/>
        <v>260651</v>
      </c>
      <c r="N127" s="502">
        <f t="shared" si="48"/>
        <v>0</v>
      </c>
      <c r="O127" s="502">
        <f t="shared" si="49"/>
        <v>0</v>
      </c>
      <c r="P127" s="502">
        <f t="shared" si="50"/>
        <v>0</v>
      </c>
      <c r="Q127" s="503">
        <f t="shared" si="51"/>
        <v>300</v>
      </c>
      <c r="R127" s="504">
        <f t="shared" si="52"/>
        <v>3.7650000000000003E-2</v>
      </c>
      <c r="S127" s="504">
        <v>0</v>
      </c>
      <c r="T127" s="504">
        <v>0</v>
      </c>
      <c r="U127" s="504">
        <f t="shared" si="53"/>
        <v>2.8920000000000001E-2</v>
      </c>
      <c r="V127" s="503">
        <f t="shared" si="54"/>
        <v>1.71</v>
      </c>
      <c r="W127" s="503">
        <f t="shared" si="55"/>
        <v>2.76</v>
      </c>
      <c r="X127" s="503">
        <f t="shared" si="56"/>
        <v>4.26</v>
      </c>
      <c r="Y127" s="453">
        <f t="shared" si="57"/>
        <v>62400</v>
      </c>
      <c r="Z127" s="453">
        <f t="shared" si="58"/>
        <v>3593843.59</v>
      </c>
      <c r="AA127" s="453">
        <f t="shared" si="59"/>
        <v>475776.72</v>
      </c>
      <c r="AB127" s="453">
        <f t="shared" si="60"/>
        <v>734229</v>
      </c>
      <c r="AC127" s="453">
        <f t="shared" si="61"/>
        <v>1110373.26</v>
      </c>
      <c r="AD127" s="493">
        <f t="shared" si="62"/>
        <v>2320378.98</v>
      </c>
      <c r="AE127" s="493">
        <f t="shared" si="63"/>
        <v>5976622.5699999994</v>
      </c>
      <c r="AF127" s="493">
        <f t="shared" si="64"/>
        <v>5976621</v>
      </c>
      <c r="AG127" s="494">
        <f t="shared" si="65"/>
        <v>0.99999973730982994</v>
      </c>
      <c r="AH127" s="505">
        <f t="shared" si="66"/>
        <v>369926</v>
      </c>
      <c r="AI127" s="505">
        <f t="shared" si="67"/>
        <v>125112</v>
      </c>
      <c r="AJ127" s="505">
        <f t="shared" si="68"/>
        <v>716242</v>
      </c>
      <c r="AK127" s="505">
        <f t="shared" si="69"/>
        <v>0</v>
      </c>
      <c r="AL127" s="505">
        <f t="shared" si="70"/>
        <v>0</v>
      </c>
      <c r="AM127" s="505">
        <f t="shared" si="71"/>
        <v>7187901</v>
      </c>
      <c r="AN127" s="506">
        <f t="shared" si="72"/>
        <v>7187902.5699999994</v>
      </c>
      <c r="AO127" s="507">
        <f t="shared" si="73"/>
        <v>-1.5699999993667006</v>
      </c>
      <c r="AP127" s="508">
        <f t="shared" si="74"/>
        <v>2760530.06</v>
      </c>
      <c r="AQ127" s="509">
        <f t="shared" si="75"/>
        <v>833313.5299999998</v>
      </c>
      <c r="AV127" s="459">
        <f>IF(BA127&gt;BA126,AV126,IF(AV126&lt;MiscData!$F$1,EOMONTH(AV126,1),EOMONTH(AV126,-11)))</f>
        <v>42490</v>
      </c>
      <c r="AW127" s="448" t="str">
        <f t="shared" si="76"/>
        <v>20140101KUCIE571</v>
      </c>
      <c r="AX127" s="457" t="str">
        <f t="shared" si="77"/>
        <v>20140101TODP</v>
      </c>
      <c r="AY127" s="439">
        <f>IF(AV127&lt;=MiscData!$B$23,MiscData!$C$23,IF(AV127&lt;=MiscData!$B$24,MiscData!$C$24,MiscData!$C$25))</f>
        <v>20140101</v>
      </c>
      <c r="AZ127" s="439" t="str">
        <f>VLOOKUP(BA127,MiscData!$V$4:$W$42,2,FALSE)</f>
        <v>KUCIE571</v>
      </c>
      <c r="BA127" s="439">
        <f>IF(BA126=MiscData!$V$42,1,BA126+1)</f>
        <v>7</v>
      </c>
      <c r="BB127" s="439" t="str">
        <f>VLOOKUP(AZ127,MiscData!$W$4:$Y$42,3,FALSE)</f>
        <v>TODP</v>
      </c>
    </row>
    <row r="128" spans="1:55" hidden="1">
      <c r="A128" s="498">
        <f t="shared" si="79"/>
        <v>116</v>
      </c>
      <c r="B128" s="499" t="str">
        <f t="shared" si="40"/>
        <v>Apr 2016</v>
      </c>
      <c r="C128" s="499" t="s">
        <v>204</v>
      </c>
      <c r="D128" s="500" t="str">
        <f t="shared" si="41"/>
        <v>TODS</v>
      </c>
      <c r="E128" s="500" t="str">
        <f t="shared" si="42"/>
        <v>KUCIE572</v>
      </c>
      <c r="F128" s="501">
        <f t="shared" si="43"/>
        <v>470</v>
      </c>
      <c r="G128" s="501">
        <v>0</v>
      </c>
      <c r="H128" s="501">
        <v>0</v>
      </c>
      <c r="I128" s="501">
        <v>0</v>
      </c>
      <c r="J128" s="501">
        <f t="shared" si="44"/>
        <v>117607497</v>
      </c>
      <c r="K128" s="482">
        <f t="shared" si="45"/>
        <v>308834</v>
      </c>
      <c r="L128" s="502">
        <f t="shared" si="46"/>
        <v>281287</v>
      </c>
      <c r="M128" s="502">
        <f t="shared" si="47"/>
        <v>274986</v>
      </c>
      <c r="N128" s="502">
        <f t="shared" si="48"/>
        <v>0</v>
      </c>
      <c r="O128" s="502">
        <f t="shared" si="49"/>
        <v>0</v>
      </c>
      <c r="P128" s="502">
        <f t="shared" si="50"/>
        <v>0</v>
      </c>
      <c r="Q128" s="503">
        <f t="shared" si="51"/>
        <v>200</v>
      </c>
      <c r="R128" s="504">
        <f t="shared" si="52"/>
        <v>3.773E-2</v>
      </c>
      <c r="S128" s="504">
        <v>0</v>
      </c>
      <c r="T128" s="504">
        <v>0</v>
      </c>
      <c r="U128" s="504">
        <f t="shared" si="53"/>
        <v>2.8920000000000001E-2</v>
      </c>
      <c r="V128" s="503">
        <f t="shared" si="54"/>
        <v>3.62</v>
      </c>
      <c r="W128" s="503">
        <f t="shared" si="55"/>
        <v>2.95</v>
      </c>
      <c r="X128" s="503">
        <f t="shared" si="56"/>
        <v>4.55</v>
      </c>
      <c r="Y128" s="453">
        <f t="shared" si="57"/>
        <v>94000</v>
      </c>
      <c r="Z128" s="453">
        <f t="shared" si="58"/>
        <v>4437330.8600000003</v>
      </c>
      <c r="AA128" s="453">
        <f t="shared" si="59"/>
        <v>1117979.08</v>
      </c>
      <c r="AB128" s="453">
        <f t="shared" si="60"/>
        <v>829796.65</v>
      </c>
      <c r="AC128" s="453">
        <f t="shared" si="61"/>
        <v>1251186.3</v>
      </c>
      <c r="AD128" s="493">
        <f t="shared" si="62"/>
        <v>3198962.0300000003</v>
      </c>
      <c r="AE128" s="493">
        <f t="shared" si="63"/>
        <v>7730292.8900000006</v>
      </c>
      <c r="AF128" s="493">
        <f t="shared" si="64"/>
        <v>7730292</v>
      </c>
      <c r="AG128" s="494">
        <f t="shared" si="65"/>
        <v>0.99999988486852787</v>
      </c>
      <c r="AH128" s="505">
        <f t="shared" si="66"/>
        <v>455780</v>
      </c>
      <c r="AI128" s="505">
        <f t="shared" si="67"/>
        <v>154149</v>
      </c>
      <c r="AJ128" s="505">
        <f t="shared" si="68"/>
        <v>882471</v>
      </c>
      <c r="AK128" s="505">
        <f t="shared" si="69"/>
        <v>0</v>
      </c>
      <c r="AL128" s="505">
        <f t="shared" si="70"/>
        <v>0</v>
      </c>
      <c r="AM128" s="505">
        <f t="shared" si="71"/>
        <v>9222692</v>
      </c>
      <c r="AN128" s="506">
        <f t="shared" si="72"/>
        <v>9222692.8900000006</v>
      </c>
      <c r="AO128" s="507">
        <f t="shared" si="73"/>
        <v>-0.89000000059604645</v>
      </c>
      <c r="AP128" s="508">
        <f t="shared" si="74"/>
        <v>3401208.81</v>
      </c>
      <c r="AQ128" s="509">
        <f t="shared" si="75"/>
        <v>1036122.0500000003</v>
      </c>
      <c r="AV128" s="459">
        <f>IF(BA128&gt;BA127,AV127,IF(AV127&lt;MiscData!$F$1,EOMONTH(AV127,1),EOMONTH(AV127,-11)))</f>
        <v>42490</v>
      </c>
      <c r="AW128" s="448" t="str">
        <f t="shared" si="76"/>
        <v>20140101KUCIE572</v>
      </c>
      <c r="AX128" s="457" t="str">
        <f t="shared" si="77"/>
        <v>20140101TODS</v>
      </c>
      <c r="AY128" s="439">
        <f>IF(AV128&lt;=MiscData!$B$23,MiscData!$C$23,IF(AV128&lt;=MiscData!$B$24,MiscData!$C$24,MiscData!$C$25))</f>
        <v>20140101</v>
      </c>
      <c r="AZ128" s="439" t="str">
        <f>VLOOKUP(BA128,MiscData!$V$4:$W$42,2,FALSE)</f>
        <v>KUCIE572</v>
      </c>
      <c r="BA128" s="439">
        <f>IF(BA127=MiscData!$V$42,1,BA127+1)</f>
        <v>8</v>
      </c>
      <c r="BB128" s="439" t="str">
        <f>VLOOKUP(AZ128,MiscData!$W$4:$Y$42,3,FALSE)</f>
        <v>TODS</v>
      </c>
    </row>
    <row r="129" spans="1:54" hidden="1">
      <c r="A129" s="498">
        <f t="shared" si="79"/>
        <v>117</v>
      </c>
      <c r="B129" s="499" t="str">
        <f t="shared" si="40"/>
        <v>Apr 2016</v>
      </c>
      <c r="C129" s="499" t="s">
        <v>24</v>
      </c>
      <c r="D129" s="500" t="str">
        <f t="shared" si="41"/>
        <v>PSS</v>
      </c>
      <c r="E129" s="500" t="str">
        <f t="shared" si="42"/>
        <v>KUCIE717</v>
      </c>
      <c r="F129" s="501">
        <f t="shared" si="43"/>
        <v>0</v>
      </c>
      <c r="G129" s="501">
        <v>0</v>
      </c>
      <c r="H129" s="501">
        <v>0</v>
      </c>
      <c r="I129" s="501">
        <v>0</v>
      </c>
      <c r="J129" s="501">
        <f t="shared" si="44"/>
        <v>0</v>
      </c>
      <c r="K129" s="482">
        <f t="shared" si="45"/>
        <v>0</v>
      </c>
      <c r="L129" s="502">
        <f t="shared" si="46"/>
        <v>0</v>
      </c>
      <c r="M129" s="502">
        <f t="shared" si="47"/>
        <v>0</v>
      </c>
      <c r="N129" s="502">
        <f t="shared" si="48"/>
        <v>0</v>
      </c>
      <c r="O129" s="502">
        <f t="shared" si="49"/>
        <v>0</v>
      </c>
      <c r="P129" s="502">
        <f t="shared" si="50"/>
        <v>0</v>
      </c>
      <c r="Q129" s="503">
        <f t="shared" si="51"/>
        <v>90</v>
      </c>
      <c r="R129" s="504">
        <f t="shared" si="52"/>
        <v>3.5640000000000005E-2</v>
      </c>
      <c r="S129" s="504">
        <v>0</v>
      </c>
      <c r="T129" s="504">
        <v>0</v>
      </c>
      <c r="U129" s="504">
        <f t="shared" si="53"/>
        <v>2.8920000000000001E-2</v>
      </c>
      <c r="V129" s="503">
        <f t="shared" si="54"/>
        <v>0</v>
      </c>
      <c r="W129" s="503">
        <f t="shared" si="55"/>
        <v>13.2</v>
      </c>
      <c r="X129" s="503">
        <f t="shared" si="56"/>
        <v>15.3</v>
      </c>
      <c r="Y129" s="453">
        <f t="shared" si="57"/>
        <v>0</v>
      </c>
      <c r="Z129" s="453">
        <f t="shared" si="58"/>
        <v>0</v>
      </c>
      <c r="AA129" s="453">
        <f t="shared" si="59"/>
        <v>0</v>
      </c>
      <c r="AB129" s="453">
        <f t="shared" si="60"/>
        <v>0</v>
      </c>
      <c r="AC129" s="453">
        <f t="shared" si="61"/>
        <v>0</v>
      </c>
      <c r="AD129" s="493">
        <f t="shared" si="62"/>
        <v>0</v>
      </c>
      <c r="AE129" s="493">
        <f t="shared" si="63"/>
        <v>0</v>
      </c>
      <c r="AF129" s="493">
        <f t="shared" si="64"/>
        <v>0</v>
      </c>
      <c r="AG129" s="494">
        <f t="shared" si="65"/>
        <v>1</v>
      </c>
      <c r="AH129" s="505">
        <f t="shared" si="66"/>
        <v>0</v>
      </c>
      <c r="AI129" s="505">
        <f t="shared" si="67"/>
        <v>0</v>
      </c>
      <c r="AJ129" s="505">
        <f t="shared" si="68"/>
        <v>0</v>
      </c>
      <c r="AK129" s="505">
        <f t="shared" si="69"/>
        <v>0</v>
      </c>
      <c r="AL129" s="505">
        <f t="shared" si="70"/>
        <v>0</v>
      </c>
      <c r="AM129" s="505">
        <f t="shared" si="71"/>
        <v>0</v>
      </c>
      <c r="AN129" s="506">
        <f t="shared" si="72"/>
        <v>0</v>
      </c>
      <c r="AO129" s="507">
        <f t="shared" si="73"/>
        <v>0</v>
      </c>
      <c r="AP129" s="508">
        <f t="shared" si="74"/>
        <v>0</v>
      </c>
      <c r="AQ129" s="509">
        <f t="shared" si="75"/>
        <v>0</v>
      </c>
      <c r="AV129" s="459">
        <f>IF(BA129&gt;BA128,AV128,IF(AV128&lt;MiscData!$F$1,EOMONTH(AV128,1),EOMONTH(AV128,-11)))</f>
        <v>42490</v>
      </c>
      <c r="AW129" s="448" t="str">
        <f t="shared" si="76"/>
        <v>20140101KUCIE717</v>
      </c>
      <c r="AX129" s="457" t="str">
        <f t="shared" si="77"/>
        <v>20140101PSS</v>
      </c>
      <c r="AY129" s="439">
        <f>IF(AV129&lt;=MiscData!$B$23,MiscData!$C$23,IF(AV129&lt;=MiscData!$B$24,MiscData!$C$24,MiscData!$C$25))</f>
        <v>20140101</v>
      </c>
      <c r="AZ129" s="439" t="str">
        <f>VLOOKUP(BA129,MiscData!$V$4:$W$42,2,FALSE)</f>
        <v>KUCIE717</v>
      </c>
      <c r="BA129" s="439">
        <f>IF(BA128=MiscData!$V$42,1,BA128+1)</f>
        <v>9</v>
      </c>
      <c r="BB129" s="439" t="str">
        <f>VLOOKUP(AZ129,MiscData!$W$4:$Y$42,3,FALSE)</f>
        <v>PSS</v>
      </c>
    </row>
    <row r="130" spans="1:54">
      <c r="A130" s="498">
        <f t="shared" si="79"/>
        <v>118</v>
      </c>
      <c r="B130" s="499" t="str">
        <f t="shared" si="40"/>
        <v>Apr 2016</v>
      </c>
      <c r="C130" s="499" t="s">
        <v>208</v>
      </c>
      <c r="D130" s="500" t="str">
        <f t="shared" si="41"/>
        <v>GS</v>
      </c>
      <c r="E130" s="500" t="str">
        <f t="shared" si="42"/>
        <v>KUCME110</v>
      </c>
      <c r="F130" s="501">
        <f t="shared" si="43"/>
        <v>63560</v>
      </c>
      <c r="G130" s="501">
        <v>0</v>
      </c>
      <c r="H130" s="501">
        <v>0</v>
      </c>
      <c r="I130" s="501">
        <v>0</v>
      </c>
      <c r="J130" s="501">
        <f t="shared" si="44"/>
        <v>53952631</v>
      </c>
      <c r="K130" s="482">
        <f t="shared" si="45"/>
        <v>0</v>
      </c>
      <c r="L130" s="502">
        <f t="shared" si="46"/>
        <v>0</v>
      </c>
      <c r="M130" s="502">
        <f t="shared" si="47"/>
        <v>0</v>
      </c>
      <c r="N130" s="502">
        <f t="shared" si="48"/>
        <v>0</v>
      </c>
      <c r="O130" s="502">
        <f t="shared" si="49"/>
        <v>0</v>
      </c>
      <c r="P130" s="502">
        <f t="shared" si="50"/>
        <v>0</v>
      </c>
      <c r="Q130" s="503">
        <f t="shared" si="51"/>
        <v>20</v>
      </c>
      <c r="R130" s="504">
        <f t="shared" si="52"/>
        <v>9.2249999999999999E-2</v>
      </c>
      <c r="S130" s="504">
        <v>0</v>
      </c>
      <c r="T130" s="504">
        <v>0</v>
      </c>
      <c r="U130" s="504">
        <f t="shared" si="53"/>
        <v>2.8920000000000001E-2</v>
      </c>
      <c r="V130" s="503">
        <f t="shared" si="54"/>
        <v>0</v>
      </c>
      <c r="W130" s="503">
        <f t="shared" si="55"/>
        <v>0</v>
      </c>
      <c r="X130" s="503">
        <f t="shared" si="56"/>
        <v>0</v>
      </c>
      <c r="Y130" s="453">
        <f t="shared" si="57"/>
        <v>1271200</v>
      </c>
      <c r="Z130" s="453">
        <f t="shared" si="58"/>
        <v>4977130.21</v>
      </c>
      <c r="AA130" s="453">
        <f t="shared" si="59"/>
        <v>0</v>
      </c>
      <c r="AB130" s="453">
        <f t="shared" si="60"/>
        <v>0</v>
      </c>
      <c r="AC130" s="453">
        <f t="shared" si="61"/>
        <v>0</v>
      </c>
      <c r="AD130" s="493">
        <f t="shared" si="62"/>
        <v>0</v>
      </c>
      <c r="AE130" s="493">
        <f t="shared" si="63"/>
        <v>6248330.21</v>
      </c>
      <c r="AF130" s="493">
        <f t="shared" si="64"/>
        <v>6248337</v>
      </c>
      <c r="AG130" s="494">
        <f t="shared" si="65"/>
        <v>1.0000010866903271</v>
      </c>
      <c r="AH130" s="505">
        <f t="shared" si="66"/>
        <v>209090</v>
      </c>
      <c r="AI130" s="505">
        <f t="shared" si="67"/>
        <v>70716</v>
      </c>
      <c r="AJ130" s="505">
        <f t="shared" si="68"/>
        <v>404835</v>
      </c>
      <c r="AK130" s="505">
        <f t="shared" si="69"/>
        <v>0</v>
      </c>
      <c r="AL130" s="505">
        <f t="shared" si="70"/>
        <v>0</v>
      </c>
      <c r="AM130" s="505">
        <f t="shared" si="71"/>
        <v>6932978</v>
      </c>
      <c r="AN130" s="506">
        <f t="shared" si="72"/>
        <v>6932971.21</v>
      </c>
      <c r="AO130" s="507">
        <f t="shared" si="73"/>
        <v>6.7900000000372529</v>
      </c>
      <c r="AP130" s="508">
        <f t="shared" si="74"/>
        <v>1560310.09</v>
      </c>
      <c r="AQ130" s="509">
        <f t="shared" si="75"/>
        <v>3416820.12</v>
      </c>
      <c r="AV130" s="459">
        <f>IF(BA130&gt;BA129,AV129,IF(AV129&lt;MiscData!$F$1,EOMONTH(AV129,1),EOMONTH(AV129,-11)))</f>
        <v>42490</v>
      </c>
      <c r="AW130" s="448" t="str">
        <f t="shared" si="76"/>
        <v>20140101KUCME110</v>
      </c>
      <c r="AX130" s="457" t="str">
        <f t="shared" si="77"/>
        <v>20140101GS</v>
      </c>
      <c r="AY130" s="439">
        <f>IF(AV130&lt;=MiscData!$B$23,MiscData!$C$23,IF(AV130&lt;=MiscData!$B$24,MiscData!$C$24,MiscData!$C$25))</f>
        <v>20140101</v>
      </c>
      <c r="AZ130" s="439" t="str">
        <f>VLOOKUP(BA130,MiscData!$V$4:$W$42,2,FALSE)</f>
        <v>KUCME110</v>
      </c>
      <c r="BA130" s="439">
        <f>IF(BA129=MiscData!$V$42,1,BA129+1)</f>
        <v>10</v>
      </c>
      <c r="BB130" s="511" t="str">
        <f>VLOOKUP(AZ130,MiscData!$W$4:$Y$42,3,FALSE)</f>
        <v>GS</v>
      </c>
    </row>
    <row r="131" spans="1:54">
      <c r="A131" s="498">
        <f t="shared" si="79"/>
        <v>119</v>
      </c>
      <c r="B131" s="499" t="str">
        <f t="shared" si="40"/>
        <v>Apr 2016</v>
      </c>
      <c r="C131" s="499" t="s">
        <v>208</v>
      </c>
      <c r="D131" s="500" t="str">
        <f t="shared" si="41"/>
        <v>GS</v>
      </c>
      <c r="E131" s="500" t="str">
        <f t="shared" si="42"/>
        <v>KUCME112</v>
      </c>
      <c r="F131" s="501">
        <f t="shared" si="43"/>
        <v>0</v>
      </c>
      <c r="G131" s="501">
        <v>0</v>
      </c>
      <c r="H131" s="501">
        <v>0</v>
      </c>
      <c r="I131" s="501">
        <v>0</v>
      </c>
      <c r="J131" s="501">
        <f t="shared" si="44"/>
        <v>0</v>
      </c>
      <c r="K131" s="482">
        <f t="shared" si="45"/>
        <v>0</v>
      </c>
      <c r="L131" s="502">
        <f t="shared" si="46"/>
        <v>0</v>
      </c>
      <c r="M131" s="502">
        <f t="shared" si="47"/>
        <v>0</v>
      </c>
      <c r="N131" s="502">
        <f t="shared" si="48"/>
        <v>0</v>
      </c>
      <c r="O131" s="502">
        <f t="shared" si="49"/>
        <v>0</v>
      </c>
      <c r="P131" s="502">
        <f t="shared" si="50"/>
        <v>0</v>
      </c>
      <c r="Q131" s="503">
        <f t="shared" si="51"/>
        <v>20</v>
      </c>
      <c r="R131" s="504">
        <f t="shared" si="52"/>
        <v>9.2249999999999999E-2</v>
      </c>
      <c r="S131" s="504">
        <v>0</v>
      </c>
      <c r="T131" s="504">
        <v>0</v>
      </c>
      <c r="U131" s="504">
        <f t="shared" si="53"/>
        <v>2.8920000000000001E-2</v>
      </c>
      <c r="V131" s="503">
        <f t="shared" si="54"/>
        <v>0</v>
      </c>
      <c r="W131" s="503">
        <f t="shared" si="55"/>
        <v>0</v>
      </c>
      <c r="X131" s="503">
        <f t="shared" si="56"/>
        <v>0</v>
      </c>
      <c r="Y131" s="453">
        <f t="shared" si="57"/>
        <v>0</v>
      </c>
      <c r="Z131" s="453">
        <f t="shared" si="58"/>
        <v>0</v>
      </c>
      <c r="AA131" s="453">
        <f t="shared" si="59"/>
        <v>0</v>
      </c>
      <c r="AB131" s="453">
        <f t="shared" si="60"/>
        <v>0</v>
      </c>
      <c r="AC131" s="453">
        <f t="shared" si="61"/>
        <v>0</v>
      </c>
      <c r="AD131" s="493">
        <f t="shared" si="62"/>
        <v>0</v>
      </c>
      <c r="AE131" s="493">
        <f t="shared" si="63"/>
        <v>0</v>
      </c>
      <c r="AF131" s="493">
        <f t="shared" si="64"/>
        <v>0</v>
      </c>
      <c r="AG131" s="494">
        <f t="shared" si="65"/>
        <v>1</v>
      </c>
      <c r="AH131" s="505">
        <f t="shared" si="66"/>
        <v>0</v>
      </c>
      <c r="AI131" s="505">
        <f t="shared" si="67"/>
        <v>0</v>
      </c>
      <c r="AJ131" s="505">
        <f t="shared" si="68"/>
        <v>0</v>
      </c>
      <c r="AK131" s="505">
        <f t="shared" si="69"/>
        <v>0</v>
      </c>
      <c r="AL131" s="505">
        <f t="shared" si="70"/>
        <v>0</v>
      </c>
      <c r="AM131" s="505">
        <f t="shared" si="71"/>
        <v>0</v>
      </c>
      <c r="AN131" s="506">
        <f t="shared" si="72"/>
        <v>0</v>
      </c>
      <c r="AO131" s="507">
        <f t="shared" si="73"/>
        <v>0</v>
      </c>
      <c r="AP131" s="508">
        <f t="shared" si="74"/>
        <v>0</v>
      </c>
      <c r="AQ131" s="509">
        <f t="shared" si="75"/>
        <v>0</v>
      </c>
      <c r="AV131" s="459">
        <f>IF(BA131&gt;BA130,AV130,IF(AV130&lt;MiscData!$F$1,EOMONTH(AV130,1),EOMONTH(AV130,-11)))</f>
        <v>42490</v>
      </c>
      <c r="AW131" s="448" t="str">
        <f t="shared" si="76"/>
        <v>20140101KUCME112</v>
      </c>
      <c r="AX131" s="457" t="str">
        <f t="shared" si="77"/>
        <v>20140101GS</v>
      </c>
      <c r="AY131" s="439">
        <f>IF(AV131&lt;=MiscData!$B$23,MiscData!$C$23,IF(AV131&lt;=MiscData!$B$24,MiscData!$C$24,MiscData!$C$25))</f>
        <v>20140101</v>
      </c>
      <c r="AZ131" s="439" t="str">
        <f>VLOOKUP(BA131,MiscData!$V$4:$W$42,2,FALSE)</f>
        <v>KUCME112</v>
      </c>
      <c r="BA131" s="439">
        <f>IF(BA130=MiscData!$V$42,1,BA130+1)</f>
        <v>11</v>
      </c>
      <c r="BB131" s="511" t="str">
        <f>VLOOKUP(AZ131,MiscData!$W$4:$Y$42,3,FALSE)</f>
        <v>GS</v>
      </c>
    </row>
    <row r="132" spans="1:54">
      <c r="A132" s="498">
        <f t="shared" si="79"/>
        <v>120</v>
      </c>
      <c r="B132" s="499" t="str">
        <f t="shared" ref="B132:B195" si="80">TEXT(AV132,"mmm yyyy")</f>
        <v>Apr 2016</v>
      </c>
      <c r="C132" s="499" t="s">
        <v>17</v>
      </c>
      <c r="D132" s="500" t="str">
        <f t="shared" ref="D132:D195" si="81">BB132</f>
        <v>GS3</v>
      </c>
      <c r="E132" s="500" t="str">
        <f t="shared" ref="E132:E195" si="82">AZ132</f>
        <v>KUCME113</v>
      </c>
      <c r="F132" s="501">
        <f t="shared" ref="F132:F195" si="83">SUMIFS(_1022_Count,_1022_RevenueMonth,$B132,_1022_RateCategory,$E132)</f>
        <v>18580</v>
      </c>
      <c r="G132" s="501">
        <v>0</v>
      </c>
      <c r="H132" s="501">
        <v>0</v>
      </c>
      <c r="I132" s="501">
        <v>0</v>
      </c>
      <c r="J132" s="501">
        <f t="shared" ref="J132:J195" si="84">SUMIFS(_1022_KWH,_1022_RevenueMonth,$B132,_1022_RateCategory,$E132)</f>
        <v>78553027</v>
      </c>
      <c r="K132" s="482">
        <f t="shared" ref="K132:K195" si="85">SUMIFS(_1022_Measured_KVA_Base,_1022_RevenueMonth,$B132,_1022_RateCategory,$E132)</f>
        <v>371834</v>
      </c>
      <c r="L132" s="502">
        <f t="shared" ref="L132:L195" si="86">SUMIFS(_1022_Measured_KVA_Inter,_1022_RevenueMonth,$B132,_1022_RateCategory,$E132)</f>
        <v>0</v>
      </c>
      <c r="M132" s="502">
        <f t="shared" ref="M132:M195" si="87">SUMIFS(_1022_Measured_KVA_Peak,_1022_RevenueMonth,$B132,_1022_RateCategory,$E132)</f>
        <v>0</v>
      </c>
      <c r="N132" s="502">
        <f t="shared" ref="N132:N195" si="88">SUMIFS(_1022_Demand_Base,_1022_RevenueMonth,$B132,_1022_RateCategory,$E132)</f>
        <v>0</v>
      </c>
      <c r="O132" s="502">
        <f t="shared" ref="O132:O195" si="89">SUMIFS(_1022_Demand_Intermediate,_1022_RevenueMonth,$B132,_1022_RateCategory,$E132)</f>
        <v>0</v>
      </c>
      <c r="P132" s="502">
        <f t="shared" ref="P132:P195" si="90">SUMIFS(_1022_Demand_Peak,_1022_RevenueMonth,$B132,_1022_RateCategory,$E132)</f>
        <v>0</v>
      </c>
      <c r="Q132" s="503">
        <f t="shared" ref="Q132:Q195" si="91">SUMIF(_Rates_Tariff_Category,$AW132,_Rates_BasicServiceCharge)</f>
        <v>35</v>
      </c>
      <c r="R132" s="504">
        <f t="shared" ref="R132:R195" si="92">SUMIF(_Rates_Tariff_Category,$AW132,_Rates_Energy)</f>
        <v>9.2249999999999999E-2</v>
      </c>
      <c r="S132" s="504">
        <v>0</v>
      </c>
      <c r="T132" s="504">
        <v>0</v>
      </c>
      <c r="U132" s="504">
        <f t="shared" ref="U132:U195" si="93">SUMIF(_Rates_Tariff_Category,$AW132,_Rates_FAC_Energy)</f>
        <v>2.8920000000000001E-2</v>
      </c>
      <c r="V132" s="503">
        <f t="shared" ref="V132:V195" si="94">SUMIF(_Rates_Tariff_Category,$AW132,_Rates_Demand_Base)</f>
        <v>0</v>
      </c>
      <c r="W132" s="503">
        <f t="shared" ref="W132:W195" si="95">SUMIF(_Rates_Tariff_Category,$AW132,_Rates_Demand_Intermediate)</f>
        <v>0</v>
      </c>
      <c r="X132" s="503">
        <f t="shared" ref="X132:X195" si="96">SUMIF(_Rates_Tariff_Category,$AW132,_Rates_Demand_Peak)</f>
        <v>0</v>
      </c>
      <c r="Y132" s="453">
        <f t="shared" ref="Y132:Y195" si="97">ROUND($F132*$Q132,2)</f>
        <v>650300</v>
      </c>
      <c r="Z132" s="453">
        <f t="shared" ref="Z132:Z195" si="98">ROUND(IF(G132=0,J132*R132,SUMPRODUCT(G132:I132,R132:T132)),2)</f>
        <v>7246516.7400000002</v>
      </c>
      <c r="AA132" s="453">
        <f t="shared" ref="AA132:AA195" si="99">ROUND($K132*$V132,2)</f>
        <v>0</v>
      </c>
      <c r="AB132" s="453">
        <f t="shared" ref="AB132:AB195" si="100">ROUND($L132*$W132,2)</f>
        <v>0</v>
      </c>
      <c r="AC132" s="453">
        <f t="shared" ref="AC132:AC195" si="101">ROUND($M132*$X132,2)</f>
        <v>0</v>
      </c>
      <c r="AD132" s="493">
        <f t="shared" ref="AD132:AD195" si="102">SUM(AA132:AC132)</f>
        <v>0</v>
      </c>
      <c r="AE132" s="493">
        <f t="shared" ref="AE132:AE195" si="103">SUM(Y132:AC132)</f>
        <v>7896816.7400000002</v>
      </c>
      <c r="AF132" s="493">
        <f t="shared" ref="AF132:AF195" si="104">AM132-SUM(AH132:AL132)</f>
        <v>7896804</v>
      </c>
      <c r="AG132" s="494">
        <f t="shared" ref="AG132:AG195" si="105">IF(AND(AE132=0,AF132=0),1,IF(AE132=0,0,AF132/AE132))</f>
        <v>0.99999838669169872</v>
      </c>
      <c r="AH132" s="505">
        <f t="shared" ref="AH132:AH195" si="106">SUMIFS(_SBR_FAC,_SBR_Revenue_Month,$B132,_SBR_Rate_Category,$E132)</f>
        <v>304427</v>
      </c>
      <c r="AI132" s="505">
        <f t="shared" ref="AI132:AI195" si="107">SUMIFS(_SBR_DSM,_SBR_Revenue_Month,$B132,_SBR_Rate_Category,$E132)</f>
        <v>102960</v>
      </c>
      <c r="AJ132" s="505">
        <f t="shared" ref="AJ132:AJ195" si="108">SUMIFS(_SBR_ECR,_SBR_Revenue_Month,$B132,_SBR_Rate_Category,$E132)</f>
        <v>589425</v>
      </c>
      <c r="AK132" s="505">
        <f t="shared" ref="AK132:AK195" si="109">SUMIFS(_SBR_MSR,_SBR_Revenue_Month,$B132,_SBR_Rate_Category,$E132)</f>
        <v>0</v>
      </c>
      <c r="AL132" s="505">
        <f t="shared" ref="AL132:AL195" si="110">SUMIFS(_SBR_CSR,_SBR_Revenue_Month,$B132,_SBR_Rate_Category,$E132)</f>
        <v>0</v>
      </c>
      <c r="AM132" s="505">
        <f t="shared" ref="AM132:AM195" si="111">SUMIFS(_SBR_Revenue_Actual,_SBR_Revenue_Month,$B132,_SBR_Rate_Category,$E132)</f>
        <v>8893616</v>
      </c>
      <c r="AN132" s="506">
        <f t="shared" ref="AN132:AN195" si="112">SUM(AE132,AH132:AL132)</f>
        <v>8893628.7400000002</v>
      </c>
      <c r="AO132" s="507">
        <f t="shared" ref="AO132:AO195" si="113">AM132-AN132</f>
        <v>-12.740000000223517</v>
      </c>
      <c r="AP132" s="508">
        <f t="shared" ref="AP132:AP195" si="114">ROUND($J132*$U132,2)</f>
        <v>2271753.54</v>
      </c>
      <c r="AQ132" s="509">
        <f t="shared" ref="AQ132:AQ195" si="115">Z132-AP132</f>
        <v>4974763.2</v>
      </c>
      <c r="AV132" s="459">
        <f>IF(BA132&gt;BA131,AV131,IF(AV131&lt;MiscData!$F$1,EOMONTH(AV131,1),EOMONTH(AV131,-11)))</f>
        <v>42490</v>
      </c>
      <c r="AW132" s="448" t="str">
        <f t="shared" ref="AW132:AW195" si="116">CONCATENATE(AY132&amp;AZ132)</f>
        <v>20140101KUCME113</v>
      </c>
      <c r="AX132" s="457" t="str">
        <f t="shared" ref="AX132:AX195" si="117">CONCATENATE(AY132&amp;BB132)</f>
        <v>20140101GS3</v>
      </c>
      <c r="AY132" s="439">
        <f>IF(AV132&lt;=MiscData!$B$23,MiscData!$C$23,IF(AV132&lt;=MiscData!$B$24,MiscData!$C$24,MiscData!$C$25))</f>
        <v>20140101</v>
      </c>
      <c r="AZ132" s="439" t="str">
        <f>VLOOKUP(BA132,MiscData!$V$4:$W$42,2,FALSE)</f>
        <v>KUCME113</v>
      </c>
      <c r="BA132" s="439">
        <f>IF(BA131=MiscData!$V$42,1,BA131+1)</f>
        <v>12</v>
      </c>
      <c r="BB132" s="439" t="str">
        <f>VLOOKUP(AZ132,MiscData!$W$4:$Y$42,3,FALSE)</f>
        <v>GS3</v>
      </c>
    </row>
    <row r="133" spans="1:54" hidden="1">
      <c r="A133" s="498">
        <f t="shared" si="79"/>
        <v>121</v>
      </c>
      <c r="B133" s="499" t="str">
        <f t="shared" si="80"/>
        <v>Apr 2016</v>
      </c>
      <c r="C133" s="499" t="s">
        <v>203</v>
      </c>
      <c r="D133" s="500" t="str">
        <f t="shared" si="81"/>
        <v>AES</v>
      </c>
      <c r="E133" s="500" t="str">
        <f t="shared" si="82"/>
        <v>KUCME220</v>
      </c>
      <c r="F133" s="501">
        <f t="shared" si="83"/>
        <v>359</v>
      </c>
      <c r="G133" s="501">
        <v>0</v>
      </c>
      <c r="H133" s="501">
        <v>0</v>
      </c>
      <c r="I133" s="501">
        <v>0</v>
      </c>
      <c r="J133" s="501">
        <f t="shared" si="84"/>
        <v>567977</v>
      </c>
      <c r="K133" s="482">
        <f t="shared" si="85"/>
        <v>0</v>
      </c>
      <c r="L133" s="502">
        <f t="shared" si="86"/>
        <v>0</v>
      </c>
      <c r="M133" s="502">
        <f t="shared" si="87"/>
        <v>0</v>
      </c>
      <c r="N133" s="502">
        <f t="shared" si="88"/>
        <v>0</v>
      </c>
      <c r="O133" s="502">
        <f t="shared" si="89"/>
        <v>0</v>
      </c>
      <c r="P133" s="502">
        <f t="shared" si="90"/>
        <v>0</v>
      </c>
      <c r="Q133" s="503">
        <f t="shared" si="91"/>
        <v>20</v>
      </c>
      <c r="R133" s="504">
        <f t="shared" si="92"/>
        <v>7.4399999999999994E-2</v>
      </c>
      <c r="S133" s="504">
        <v>0</v>
      </c>
      <c r="T133" s="504">
        <v>0</v>
      </c>
      <c r="U133" s="504">
        <f t="shared" si="93"/>
        <v>2.8920000000000001E-2</v>
      </c>
      <c r="V133" s="503">
        <f t="shared" si="94"/>
        <v>0</v>
      </c>
      <c r="W133" s="503">
        <f t="shared" si="95"/>
        <v>0</v>
      </c>
      <c r="X133" s="503">
        <f t="shared" si="96"/>
        <v>0</v>
      </c>
      <c r="Y133" s="453">
        <f t="shared" si="97"/>
        <v>7180</v>
      </c>
      <c r="Z133" s="453">
        <f t="shared" si="98"/>
        <v>42257.49</v>
      </c>
      <c r="AA133" s="453">
        <f t="shared" si="99"/>
        <v>0</v>
      </c>
      <c r="AB133" s="453">
        <f t="shared" si="100"/>
        <v>0</v>
      </c>
      <c r="AC133" s="453">
        <f t="shared" si="101"/>
        <v>0</v>
      </c>
      <c r="AD133" s="493">
        <f t="shared" si="102"/>
        <v>0</v>
      </c>
      <c r="AE133" s="493">
        <f t="shared" si="103"/>
        <v>49437.49</v>
      </c>
      <c r="AF133" s="493">
        <f t="shared" si="104"/>
        <v>49438</v>
      </c>
      <c r="AG133" s="494">
        <f t="shared" si="105"/>
        <v>1.0000103160577125</v>
      </c>
      <c r="AH133" s="505">
        <f t="shared" si="106"/>
        <v>2201</v>
      </c>
      <c r="AI133" s="505">
        <f t="shared" si="107"/>
        <v>744</v>
      </c>
      <c r="AJ133" s="505">
        <f t="shared" si="108"/>
        <v>4262</v>
      </c>
      <c r="AK133" s="505">
        <f t="shared" si="109"/>
        <v>0</v>
      </c>
      <c r="AL133" s="505">
        <f t="shared" si="110"/>
        <v>0</v>
      </c>
      <c r="AM133" s="505">
        <f t="shared" si="111"/>
        <v>56645</v>
      </c>
      <c r="AN133" s="506">
        <f t="shared" si="112"/>
        <v>56644.49</v>
      </c>
      <c r="AO133" s="507">
        <f t="shared" si="113"/>
        <v>0.51000000000203727</v>
      </c>
      <c r="AP133" s="508">
        <f t="shared" si="114"/>
        <v>16425.89</v>
      </c>
      <c r="AQ133" s="509">
        <f t="shared" si="115"/>
        <v>25831.599999999999</v>
      </c>
      <c r="AV133" s="459">
        <f>IF(BA133&gt;BA132,AV132,IF(AV132&lt;MiscData!$F$1,EOMONTH(AV132,1),EOMONTH(AV132,-11)))</f>
        <v>42490</v>
      </c>
      <c r="AW133" s="448" t="str">
        <f t="shared" si="116"/>
        <v>20140101KUCME220</v>
      </c>
      <c r="AX133" s="457" t="str">
        <f t="shared" si="117"/>
        <v>20140101AES</v>
      </c>
      <c r="AY133" s="439">
        <f>IF(AV133&lt;=MiscData!$B$23,MiscData!$C$23,IF(AV133&lt;=MiscData!$B$24,MiscData!$C$24,MiscData!$C$25))</f>
        <v>20140101</v>
      </c>
      <c r="AZ133" s="439" t="str">
        <f>VLOOKUP(BA133,MiscData!$V$4:$W$42,2,FALSE)</f>
        <v>KUCME220</v>
      </c>
      <c r="BA133" s="439">
        <f>IF(BA132=MiscData!$V$42,1,BA132+1)</f>
        <v>13</v>
      </c>
      <c r="BB133" s="439" t="str">
        <f>VLOOKUP(AZ133,MiscData!$W$4:$Y$42,3,FALSE)</f>
        <v>AES</v>
      </c>
    </row>
    <row r="134" spans="1:54" hidden="1">
      <c r="A134" s="498">
        <f t="shared" si="79"/>
        <v>122</v>
      </c>
      <c r="B134" s="499" t="str">
        <f t="shared" si="80"/>
        <v>Apr 2016</v>
      </c>
      <c r="C134" s="499" t="s">
        <v>203</v>
      </c>
      <c r="D134" s="500" t="str">
        <f t="shared" si="81"/>
        <v>AES</v>
      </c>
      <c r="E134" s="500" t="str">
        <f t="shared" si="82"/>
        <v>KUCME221</v>
      </c>
      <c r="F134" s="501">
        <f t="shared" si="83"/>
        <v>0</v>
      </c>
      <c r="G134" s="501">
        <v>0</v>
      </c>
      <c r="H134" s="501">
        <v>0</v>
      </c>
      <c r="I134" s="501">
        <v>0</v>
      </c>
      <c r="J134" s="501">
        <f t="shared" si="84"/>
        <v>0</v>
      </c>
      <c r="K134" s="482">
        <f t="shared" si="85"/>
        <v>0</v>
      </c>
      <c r="L134" s="502">
        <f t="shared" si="86"/>
        <v>0</v>
      </c>
      <c r="M134" s="502">
        <f t="shared" si="87"/>
        <v>0</v>
      </c>
      <c r="N134" s="502">
        <f t="shared" si="88"/>
        <v>0</v>
      </c>
      <c r="O134" s="502">
        <f t="shared" si="89"/>
        <v>0</v>
      </c>
      <c r="P134" s="502">
        <f t="shared" si="90"/>
        <v>0</v>
      </c>
      <c r="Q134" s="503">
        <f t="shared" si="91"/>
        <v>20</v>
      </c>
      <c r="R134" s="504">
        <f t="shared" si="92"/>
        <v>7.4399999999999994E-2</v>
      </c>
      <c r="S134" s="504">
        <v>0</v>
      </c>
      <c r="T134" s="504">
        <v>0</v>
      </c>
      <c r="U134" s="504">
        <f t="shared" si="93"/>
        <v>2.8920000000000001E-2</v>
      </c>
      <c r="V134" s="503">
        <f t="shared" si="94"/>
        <v>0</v>
      </c>
      <c r="W134" s="503">
        <f t="shared" si="95"/>
        <v>0</v>
      </c>
      <c r="X134" s="503">
        <f t="shared" si="96"/>
        <v>0</v>
      </c>
      <c r="Y134" s="453">
        <f t="shared" si="97"/>
        <v>0</v>
      </c>
      <c r="Z134" s="453">
        <f t="shared" si="98"/>
        <v>0</v>
      </c>
      <c r="AA134" s="453">
        <f t="shared" si="99"/>
        <v>0</v>
      </c>
      <c r="AB134" s="453">
        <f t="shared" si="100"/>
        <v>0</v>
      </c>
      <c r="AC134" s="453">
        <f t="shared" si="101"/>
        <v>0</v>
      </c>
      <c r="AD134" s="493">
        <f t="shared" si="102"/>
        <v>0</v>
      </c>
      <c r="AE134" s="493">
        <f t="shared" si="103"/>
        <v>0</v>
      </c>
      <c r="AF134" s="493">
        <f t="shared" si="104"/>
        <v>0</v>
      </c>
      <c r="AG134" s="494">
        <f t="shared" si="105"/>
        <v>1</v>
      </c>
      <c r="AH134" s="505">
        <f t="shared" si="106"/>
        <v>0</v>
      </c>
      <c r="AI134" s="505">
        <f t="shared" si="107"/>
        <v>0</v>
      </c>
      <c r="AJ134" s="505">
        <f t="shared" si="108"/>
        <v>0</v>
      </c>
      <c r="AK134" s="505">
        <f t="shared" si="109"/>
        <v>0</v>
      </c>
      <c r="AL134" s="505">
        <f t="shared" si="110"/>
        <v>0</v>
      </c>
      <c r="AM134" s="505">
        <f t="shared" si="111"/>
        <v>0</v>
      </c>
      <c r="AN134" s="506">
        <f t="shared" si="112"/>
        <v>0</v>
      </c>
      <c r="AO134" s="507">
        <f t="shared" si="113"/>
        <v>0</v>
      </c>
      <c r="AP134" s="508">
        <f t="shared" si="114"/>
        <v>0</v>
      </c>
      <c r="AQ134" s="509">
        <f t="shared" si="115"/>
        <v>0</v>
      </c>
      <c r="AV134" s="459">
        <f>IF(BA134&gt;BA133,AV133,IF(AV133&lt;MiscData!$F$1,EOMONTH(AV133,1),EOMONTH(AV133,-11)))</f>
        <v>42490</v>
      </c>
      <c r="AW134" s="448" t="str">
        <f t="shared" si="116"/>
        <v>20140101KUCME221</v>
      </c>
      <c r="AX134" s="457" t="str">
        <f t="shared" si="117"/>
        <v>20140101AES</v>
      </c>
      <c r="AY134" s="439">
        <f>IF(AV134&lt;=MiscData!$B$23,MiscData!$C$23,IF(AV134&lt;=MiscData!$B$24,MiscData!$C$24,MiscData!$C$25))</f>
        <v>20140101</v>
      </c>
      <c r="AZ134" s="439" t="str">
        <f>VLOOKUP(BA134,MiscData!$V$4:$W$42,2,FALSE)</f>
        <v>KUCME221</v>
      </c>
      <c r="BA134" s="439">
        <f>IF(BA133=MiscData!$V$42,1,BA133+1)</f>
        <v>14</v>
      </c>
      <c r="BB134" s="439" t="str">
        <f>VLOOKUP(AZ134,MiscData!$W$4:$Y$42,3,FALSE)</f>
        <v>AES</v>
      </c>
    </row>
    <row r="135" spans="1:54" hidden="1">
      <c r="A135" s="498">
        <f t="shared" si="79"/>
        <v>123</v>
      </c>
      <c r="B135" s="499" t="str">
        <f t="shared" si="80"/>
        <v>Apr 2016</v>
      </c>
      <c r="C135" s="832" t="s">
        <v>212</v>
      </c>
      <c r="D135" s="500" t="str">
        <f t="shared" si="81"/>
        <v>AES3</v>
      </c>
      <c r="E135" s="500" t="str">
        <f t="shared" si="82"/>
        <v>KUCME223</v>
      </c>
      <c r="F135" s="501">
        <f t="shared" si="83"/>
        <v>0</v>
      </c>
      <c r="G135" s="501">
        <v>0</v>
      </c>
      <c r="H135" s="501">
        <v>0</v>
      </c>
      <c r="I135" s="501">
        <v>0</v>
      </c>
      <c r="J135" s="501">
        <f t="shared" si="84"/>
        <v>0</v>
      </c>
      <c r="K135" s="482">
        <f t="shared" si="85"/>
        <v>0</v>
      </c>
      <c r="L135" s="502">
        <f t="shared" si="86"/>
        <v>0</v>
      </c>
      <c r="M135" s="502">
        <f t="shared" si="87"/>
        <v>0</v>
      </c>
      <c r="N135" s="502">
        <f t="shared" si="88"/>
        <v>0</v>
      </c>
      <c r="O135" s="502">
        <f t="shared" si="89"/>
        <v>0</v>
      </c>
      <c r="P135" s="502">
        <f t="shared" si="90"/>
        <v>0</v>
      </c>
      <c r="Q135" s="503">
        <f t="shared" si="91"/>
        <v>35</v>
      </c>
      <c r="R135" s="504">
        <f t="shared" si="92"/>
        <v>7.4399999999999994E-2</v>
      </c>
      <c r="S135" s="504">
        <v>0</v>
      </c>
      <c r="T135" s="504">
        <v>0</v>
      </c>
      <c r="U135" s="504">
        <f t="shared" si="93"/>
        <v>2.8920000000000001E-2</v>
      </c>
      <c r="V135" s="503">
        <f t="shared" si="94"/>
        <v>0</v>
      </c>
      <c r="W135" s="503">
        <f t="shared" si="95"/>
        <v>0</v>
      </c>
      <c r="X135" s="503">
        <f t="shared" si="96"/>
        <v>0</v>
      </c>
      <c r="Y135" s="453">
        <f t="shared" si="97"/>
        <v>0</v>
      </c>
      <c r="Z135" s="453">
        <f t="shared" si="98"/>
        <v>0</v>
      </c>
      <c r="AA135" s="453">
        <f t="shared" si="99"/>
        <v>0</v>
      </c>
      <c r="AB135" s="453">
        <f t="shared" si="100"/>
        <v>0</v>
      </c>
      <c r="AC135" s="453">
        <f t="shared" si="101"/>
        <v>0</v>
      </c>
      <c r="AD135" s="493">
        <f t="shared" si="102"/>
        <v>0</v>
      </c>
      <c r="AE135" s="493">
        <f t="shared" si="103"/>
        <v>0</v>
      </c>
      <c r="AF135" s="493">
        <f t="shared" si="104"/>
        <v>0</v>
      </c>
      <c r="AG135" s="494">
        <f t="shared" si="105"/>
        <v>1</v>
      </c>
      <c r="AH135" s="505">
        <f t="shared" si="106"/>
        <v>0</v>
      </c>
      <c r="AI135" s="505">
        <f t="shared" si="107"/>
        <v>0</v>
      </c>
      <c r="AJ135" s="505">
        <f t="shared" si="108"/>
        <v>0</v>
      </c>
      <c r="AK135" s="505">
        <f t="shared" si="109"/>
        <v>0</v>
      </c>
      <c r="AL135" s="505">
        <f t="shared" si="110"/>
        <v>0</v>
      </c>
      <c r="AM135" s="505">
        <f t="shared" si="111"/>
        <v>0</v>
      </c>
      <c r="AN135" s="506">
        <f t="shared" si="112"/>
        <v>0</v>
      </c>
      <c r="AO135" s="507">
        <f t="shared" si="113"/>
        <v>0</v>
      </c>
      <c r="AP135" s="508">
        <f t="shared" si="114"/>
        <v>0</v>
      </c>
      <c r="AQ135" s="509">
        <f t="shared" si="115"/>
        <v>0</v>
      </c>
      <c r="AV135" s="459">
        <f>IF(BA135&gt;BA134,AV134,IF(AV134&lt;MiscData!$F$1,EOMONTH(AV134,1),EOMONTH(AV134,-11)))</f>
        <v>42490</v>
      </c>
      <c r="AW135" s="448" t="str">
        <f t="shared" si="116"/>
        <v>20140101KUCME223</v>
      </c>
      <c r="AX135" s="457" t="str">
        <f t="shared" si="117"/>
        <v>20140101AES3</v>
      </c>
      <c r="AY135" s="439">
        <f>IF(AV135&lt;=MiscData!$B$23,MiscData!$C$23,IF(AV135&lt;=MiscData!$B$24,MiscData!$C$24,MiscData!$C$25))</f>
        <v>20140101</v>
      </c>
      <c r="AZ135" s="439" t="str">
        <f>VLOOKUP(BA135,MiscData!$V$4:$W$42,2,FALSE)</f>
        <v>KUCME223</v>
      </c>
      <c r="BA135" s="439">
        <f>IF(BA134=MiscData!$V$42,1,BA134+1)</f>
        <v>15</v>
      </c>
      <c r="BB135" s="439" t="str">
        <f>VLOOKUP(AZ135,MiscData!$W$4:$Y$42,3,FALSE)</f>
        <v>AES3</v>
      </c>
    </row>
    <row r="136" spans="1:54" hidden="1">
      <c r="A136" s="498">
        <f t="shared" si="79"/>
        <v>124</v>
      </c>
      <c r="B136" s="499" t="str">
        <f t="shared" si="80"/>
        <v>Apr 2016</v>
      </c>
      <c r="C136" s="832" t="s">
        <v>212</v>
      </c>
      <c r="D136" s="500" t="str">
        <f t="shared" si="81"/>
        <v>AES3</v>
      </c>
      <c r="E136" s="500" t="str">
        <f t="shared" si="82"/>
        <v>KUCME224</v>
      </c>
      <c r="F136" s="501">
        <f t="shared" si="83"/>
        <v>249</v>
      </c>
      <c r="G136" s="501">
        <v>0</v>
      </c>
      <c r="H136" s="501">
        <v>0</v>
      </c>
      <c r="I136" s="501">
        <v>0</v>
      </c>
      <c r="J136" s="501">
        <f t="shared" si="84"/>
        <v>10527179</v>
      </c>
      <c r="K136" s="482">
        <f t="shared" si="85"/>
        <v>53729</v>
      </c>
      <c r="L136" s="502">
        <f t="shared" si="86"/>
        <v>0</v>
      </c>
      <c r="M136" s="502">
        <f t="shared" si="87"/>
        <v>0</v>
      </c>
      <c r="N136" s="502">
        <f t="shared" si="88"/>
        <v>0</v>
      </c>
      <c r="O136" s="502">
        <f t="shared" si="89"/>
        <v>0</v>
      </c>
      <c r="P136" s="502">
        <f t="shared" si="90"/>
        <v>0</v>
      </c>
      <c r="Q136" s="503">
        <f t="shared" si="91"/>
        <v>35</v>
      </c>
      <c r="R136" s="504">
        <f t="shared" si="92"/>
        <v>7.4399999999999994E-2</v>
      </c>
      <c r="S136" s="504">
        <v>0</v>
      </c>
      <c r="T136" s="504">
        <v>0</v>
      </c>
      <c r="U136" s="504">
        <f t="shared" si="93"/>
        <v>2.8920000000000001E-2</v>
      </c>
      <c r="V136" s="503">
        <f t="shared" si="94"/>
        <v>0</v>
      </c>
      <c r="W136" s="503">
        <f t="shared" si="95"/>
        <v>0</v>
      </c>
      <c r="X136" s="503">
        <f t="shared" si="96"/>
        <v>0</v>
      </c>
      <c r="Y136" s="453">
        <f t="shared" si="97"/>
        <v>8715</v>
      </c>
      <c r="Z136" s="453">
        <f t="shared" si="98"/>
        <v>783222.12</v>
      </c>
      <c r="AA136" s="453">
        <f t="shared" si="99"/>
        <v>0</v>
      </c>
      <c r="AB136" s="453">
        <f t="shared" si="100"/>
        <v>0</v>
      </c>
      <c r="AC136" s="453">
        <f t="shared" si="101"/>
        <v>0</v>
      </c>
      <c r="AD136" s="493">
        <f t="shared" si="102"/>
        <v>0</v>
      </c>
      <c r="AE136" s="493">
        <f t="shared" si="103"/>
        <v>791937.12</v>
      </c>
      <c r="AF136" s="493">
        <f t="shared" si="104"/>
        <v>791938</v>
      </c>
      <c r="AG136" s="494">
        <f t="shared" si="105"/>
        <v>1.0000011111993337</v>
      </c>
      <c r="AH136" s="505">
        <f t="shared" si="106"/>
        <v>40797</v>
      </c>
      <c r="AI136" s="505">
        <f t="shared" si="107"/>
        <v>13798</v>
      </c>
      <c r="AJ136" s="505">
        <f t="shared" si="108"/>
        <v>78991</v>
      </c>
      <c r="AK136" s="505">
        <f t="shared" si="109"/>
        <v>0</v>
      </c>
      <c r="AL136" s="505">
        <f t="shared" si="110"/>
        <v>0</v>
      </c>
      <c r="AM136" s="505">
        <f t="shared" si="111"/>
        <v>925524</v>
      </c>
      <c r="AN136" s="506">
        <f t="shared" si="112"/>
        <v>925523.12</v>
      </c>
      <c r="AO136" s="507">
        <f t="shared" si="113"/>
        <v>0.88000000000465661</v>
      </c>
      <c r="AP136" s="508">
        <f t="shared" si="114"/>
        <v>304446.02</v>
      </c>
      <c r="AQ136" s="509">
        <f t="shared" si="115"/>
        <v>478776.1</v>
      </c>
      <c r="AV136" s="459">
        <f>IF(BA136&gt;BA135,AV135,IF(AV135&lt;MiscData!$F$1,EOMONTH(AV135,1),EOMONTH(AV135,-11)))</f>
        <v>42490</v>
      </c>
      <c r="AW136" s="448" t="str">
        <f t="shared" si="116"/>
        <v>20140101KUCME224</v>
      </c>
      <c r="AX136" s="457" t="str">
        <f t="shared" si="117"/>
        <v>20140101AES3</v>
      </c>
      <c r="AY136" s="439">
        <f>IF(AV136&lt;=MiscData!$B$23,MiscData!$C$23,IF(AV136&lt;=MiscData!$B$24,MiscData!$C$24,MiscData!$C$25))</f>
        <v>20140101</v>
      </c>
      <c r="AZ136" s="439" t="str">
        <f>VLOOKUP(BA136,MiscData!$V$4:$W$42,2,FALSE)</f>
        <v>KUCME224</v>
      </c>
      <c r="BA136" s="439">
        <f>IF(BA135=MiscData!$V$42,1,BA135+1)</f>
        <v>16</v>
      </c>
      <c r="BB136" s="439" t="str">
        <f>VLOOKUP(AZ136,MiscData!$W$4:$Y$42,3,FALSE)</f>
        <v>AES3</v>
      </c>
    </row>
    <row r="137" spans="1:54" hidden="1">
      <c r="A137" s="498">
        <f t="shared" si="79"/>
        <v>125</v>
      </c>
      <c r="B137" s="499" t="str">
        <f t="shared" si="80"/>
        <v>Apr 2016</v>
      </c>
      <c r="C137" s="832" t="s">
        <v>212</v>
      </c>
      <c r="D137" s="500" t="str">
        <f t="shared" si="81"/>
        <v>AES3</v>
      </c>
      <c r="E137" s="500" t="str">
        <f t="shared" si="82"/>
        <v>KUCME225</v>
      </c>
      <c r="F137" s="501">
        <f t="shared" si="83"/>
        <v>0</v>
      </c>
      <c r="G137" s="501">
        <v>0</v>
      </c>
      <c r="H137" s="501">
        <v>0</v>
      </c>
      <c r="I137" s="501">
        <v>0</v>
      </c>
      <c r="J137" s="501">
        <f t="shared" si="84"/>
        <v>0</v>
      </c>
      <c r="K137" s="482">
        <f t="shared" si="85"/>
        <v>0</v>
      </c>
      <c r="L137" s="502">
        <f t="shared" si="86"/>
        <v>0</v>
      </c>
      <c r="M137" s="502">
        <f t="shared" si="87"/>
        <v>0</v>
      </c>
      <c r="N137" s="502">
        <f t="shared" si="88"/>
        <v>0</v>
      </c>
      <c r="O137" s="502">
        <f t="shared" si="89"/>
        <v>0</v>
      </c>
      <c r="P137" s="502">
        <f t="shared" si="90"/>
        <v>0</v>
      </c>
      <c r="Q137" s="503">
        <f t="shared" si="91"/>
        <v>35</v>
      </c>
      <c r="R137" s="504">
        <f t="shared" si="92"/>
        <v>7.4399999999999994E-2</v>
      </c>
      <c r="S137" s="504">
        <v>0</v>
      </c>
      <c r="T137" s="504">
        <v>0</v>
      </c>
      <c r="U137" s="504">
        <f t="shared" si="93"/>
        <v>2.8920000000000001E-2</v>
      </c>
      <c r="V137" s="503">
        <f t="shared" si="94"/>
        <v>0</v>
      </c>
      <c r="W137" s="503">
        <f t="shared" si="95"/>
        <v>0</v>
      </c>
      <c r="X137" s="503">
        <f t="shared" si="96"/>
        <v>0</v>
      </c>
      <c r="Y137" s="453">
        <f t="shared" si="97"/>
        <v>0</v>
      </c>
      <c r="Z137" s="453">
        <f t="shared" si="98"/>
        <v>0</v>
      </c>
      <c r="AA137" s="453">
        <f t="shared" si="99"/>
        <v>0</v>
      </c>
      <c r="AB137" s="453">
        <f t="shared" si="100"/>
        <v>0</v>
      </c>
      <c r="AC137" s="453">
        <f t="shared" si="101"/>
        <v>0</v>
      </c>
      <c r="AD137" s="493">
        <f t="shared" si="102"/>
        <v>0</v>
      </c>
      <c r="AE137" s="493">
        <f t="shared" si="103"/>
        <v>0</v>
      </c>
      <c r="AF137" s="493">
        <f t="shared" si="104"/>
        <v>0</v>
      </c>
      <c r="AG137" s="494">
        <f t="shared" si="105"/>
        <v>1</v>
      </c>
      <c r="AH137" s="505">
        <f t="shared" si="106"/>
        <v>0</v>
      </c>
      <c r="AI137" s="505">
        <f t="shared" si="107"/>
        <v>0</v>
      </c>
      <c r="AJ137" s="505">
        <f t="shared" si="108"/>
        <v>0</v>
      </c>
      <c r="AK137" s="505">
        <f t="shared" si="109"/>
        <v>0</v>
      </c>
      <c r="AL137" s="505">
        <f t="shared" si="110"/>
        <v>0</v>
      </c>
      <c r="AM137" s="505">
        <f t="shared" si="111"/>
        <v>0</v>
      </c>
      <c r="AN137" s="506">
        <f t="shared" si="112"/>
        <v>0</v>
      </c>
      <c r="AO137" s="507">
        <f t="shared" si="113"/>
        <v>0</v>
      </c>
      <c r="AP137" s="508">
        <f t="shared" si="114"/>
        <v>0</v>
      </c>
      <c r="AQ137" s="509">
        <f t="shared" si="115"/>
        <v>0</v>
      </c>
      <c r="AV137" s="459">
        <f>IF(BA137&gt;BA136,AV136,IF(AV136&lt;MiscData!$F$1,EOMONTH(AV136,1),EOMONTH(AV136,-11)))</f>
        <v>42490</v>
      </c>
      <c r="AW137" s="448" t="str">
        <f t="shared" si="116"/>
        <v>20140101KUCME225</v>
      </c>
      <c r="AX137" s="457" t="str">
        <f t="shared" si="117"/>
        <v>20140101AES3</v>
      </c>
      <c r="AY137" s="439">
        <f>IF(AV137&lt;=MiscData!$B$23,MiscData!$C$23,IF(AV137&lt;=MiscData!$B$24,MiscData!$C$24,MiscData!$C$25))</f>
        <v>20140101</v>
      </c>
      <c r="AZ137" s="439" t="str">
        <f>VLOOKUP(BA137,MiscData!$V$4:$W$42,2,FALSE)</f>
        <v>KUCME225</v>
      </c>
      <c r="BA137" s="439">
        <f>IF(BA136=MiscData!$V$42,1,BA136+1)</f>
        <v>17</v>
      </c>
      <c r="BB137" s="439" t="str">
        <f>VLOOKUP(AZ137,MiscData!$W$4:$Y$42,3,FALSE)</f>
        <v>AES3</v>
      </c>
    </row>
    <row r="138" spans="1:54" hidden="1">
      <c r="A138" s="498">
        <f t="shared" si="79"/>
        <v>126</v>
      </c>
      <c r="B138" s="499" t="str">
        <f t="shared" si="80"/>
        <v>Apr 2016</v>
      </c>
      <c r="C138" s="499" t="s">
        <v>203</v>
      </c>
      <c r="D138" s="500" t="str">
        <f t="shared" si="81"/>
        <v>AES</v>
      </c>
      <c r="E138" s="500" t="str">
        <f t="shared" si="82"/>
        <v>KUCME226</v>
      </c>
      <c r="F138" s="501">
        <f t="shared" si="83"/>
        <v>0</v>
      </c>
      <c r="G138" s="501">
        <v>0</v>
      </c>
      <c r="H138" s="501">
        <v>0</v>
      </c>
      <c r="I138" s="501">
        <v>0</v>
      </c>
      <c r="J138" s="501">
        <f t="shared" si="84"/>
        <v>0</v>
      </c>
      <c r="K138" s="482">
        <f t="shared" si="85"/>
        <v>0</v>
      </c>
      <c r="L138" s="502">
        <f t="shared" si="86"/>
        <v>0</v>
      </c>
      <c r="M138" s="502">
        <f t="shared" si="87"/>
        <v>0</v>
      </c>
      <c r="N138" s="502">
        <f t="shared" si="88"/>
        <v>0</v>
      </c>
      <c r="O138" s="502">
        <f t="shared" si="89"/>
        <v>0</v>
      </c>
      <c r="P138" s="502">
        <f t="shared" si="90"/>
        <v>0</v>
      </c>
      <c r="Q138" s="503">
        <f t="shared" si="91"/>
        <v>20</v>
      </c>
      <c r="R138" s="504">
        <f t="shared" si="92"/>
        <v>7.4399999999999994E-2</v>
      </c>
      <c r="S138" s="504">
        <v>0</v>
      </c>
      <c r="T138" s="504">
        <v>0</v>
      </c>
      <c r="U138" s="504">
        <f t="shared" si="93"/>
        <v>2.8920000000000001E-2</v>
      </c>
      <c r="V138" s="503">
        <f t="shared" si="94"/>
        <v>0</v>
      </c>
      <c r="W138" s="503">
        <f t="shared" si="95"/>
        <v>0</v>
      </c>
      <c r="X138" s="503">
        <f t="shared" si="96"/>
        <v>0</v>
      </c>
      <c r="Y138" s="453">
        <f t="shared" si="97"/>
        <v>0</v>
      </c>
      <c r="Z138" s="453">
        <f t="shared" si="98"/>
        <v>0</v>
      </c>
      <c r="AA138" s="453">
        <f t="shared" si="99"/>
        <v>0</v>
      </c>
      <c r="AB138" s="453">
        <f t="shared" si="100"/>
        <v>0</v>
      </c>
      <c r="AC138" s="453">
        <f t="shared" si="101"/>
        <v>0</v>
      </c>
      <c r="AD138" s="493">
        <f t="shared" si="102"/>
        <v>0</v>
      </c>
      <c r="AE138" s="493">
        <f t="shared" si="103"/>
        <v>0</v>
      </c>
      <c r="AF138" s="493">
        <f t="shared" si="104"/>
        <v>0</v>
      </c>
      <c r="AG138" s="494">
        <f t="shared" si="105"/>
        <v>1</v>
      </c>
      <c r="AH138" s="505">
        <f t="shared" si="106"/>
        <v>0</v>
      </c>
      <c r="AI138" s="505">
        <f t="shared" si="107"/>
        <v>0</v>
      </c>
      <c r="AJ138" s="505">
        <f t="shared" si="108"/>
        <v>0</v>
      </c>
      <c r="AK138" s="505">
        <f t="shared" si="109"/>
        <v>0</v>
      </c>
      <c r="AL138" s="505">
        <f t="shared" si="110"/>
        <v>0</v>
      </c>
      <c r="AM138" s="505">
        <f t="shared" si="111"/>
        <v>0</v>
      </c>
      <c r="AN138" s="506">
        <f t="shared" si="112"/>
        <v>0</v>
      </c>
      <c r="AO138" s="507">
        <f t="shared" si="113"/>
        <v>0</v>
      </c>
      <c r="AP138" s="508">
        <f t="shared" si="114"/>
        <v>0</v>
      </c>
      <c r="AQ138" s="509">
        <f t="shared" si="115"/>
        <v>0</v>
      </c>
      <c r="AV138" s="459">
        <f>IF(BA138&gt;BA137,AV137,IF(AV137&lt;MiscData!$F$1,EOMONTH(AV137,1),EOMONTH(AV137,-11)))</f>
        <v>42490</v>
      </c>
      <c r="AW138" s="448" t="str">
        <f t="shared" si="116"/>
        <v>20140101KUCME226</v>
      </c>
      <c r="AX138" s="457" t="str">
        <f t="shared" si="117"/>
        <v>20140101AES</v>
      </c>
      <c r="AY138" s="439">
        <f>IF(AV138&lt;=MiscData!$B$23,MiscData!$C$23,IF(AV138&lt;=MiscData!$B$24,MiscData!$C$24,MiscData!$C$25))</f>
        <v>20140101</v>
      </c>
      <c r="AZ138" s="439" t="str">
        <f>VLOOKUP(BA138,MiscData!$V$4:$W$42,2,FALSE)</f>
        <v>KUCME226</v>
      </c>
      <c r="BA138" s="439">
        <f>IF(BA137=MiscData!$V$42,1,BA137+1)</f>
        <v>18</v>
      </c>
      <c r="BB138" s="439" t="str">
        <f>VLOOKUP(AZ138,MiscData!$W$4:$Y$42,3,FALSE)</f>
        <v>AES</v>
      </c>
    </row>
    <row r="139" spans="1:54" hidden="1">
      <c r="A139" s="498">
        <f t="shared" si="79"/>
        <v>127</v>
      </c>
      <c r="B139" s="499" t="str">
        <f t="shared" si="80"/>
        <v>Apr 2016</v>
      </c>
      <c r="C139" s="832" t="s">
        <v>212</v>
      </c>
      <c r="D139" s="500" t="str">
        <f t="shared" si="81"/>
        <v>AES3</v>
      </c>
      <c r="E139" s="500" t="str">
        <f t="shared" si="82"/>
        <v>KUCME227</v>
      </c>
      <c r="F139" s="501">
        <f t="shared" si="83"/>
        <v>0</v>
      </c>
      <c r="G139" s="501">
        <v>0</v>
      </c>
      <c r="H139" s="501">
        <v>0</v>
      </c>
      <c r="I139" s="501">
        <v>0</v>
      </c>
      <c r="J139" s="501">
        <f t="shared" si="84"/>
        <v>0</v>
      </c>
      <c r="K139" s="482">
        <f t="shared" si="85"/>
        <v>0</v>
      </c>
      <c r="L139" s="502">
        <f t="shared" si="86"/>
        <v>0</v>
      </c>
      <c r="M139" s="502">
        <f t="shared" si="87"/>
        <v>0</v>
      </c>
      <c r="N139" s="502">
        <f t="shared" si="88"/>
        <v>0</v>
      </c>
      <c r="O139" s="502">
        <f t="shared" si="89"/>
        <v>0</v>
      </c>
      <c r="P139" s="502">
        <f t="shared" si="90"/>
        <v>0</v>
      </c>
      <c r="Q139" s="503">
        <f t="shared" si="91"/>
        <v>35</v>
      </c>
      <c r="R139" s="504">
        <f t="shared" si="92"/>
        <v>7.4399999999999994E-2</v>
      </c>
      <c r="S139" s="504">
        <v>0</v>
      </c>
      <c r="T139" s="504">
        <v>0</v>
      </c>
      <c r="U139" s="504">
        <f t="shared" si="93"/>
        <v>2.8920000000000001E-2</v>
      </c>
      <c r="V139" s="503">
        <f t="shared" si="94"/>
        <v>0</v>
      </c>
      <c r="W139" s="503">
        <f t="shared" si="95"/>
        <v>0</v>
      </c>
      <c r="X139" s="503">
        <f t="shared" si="96"/>
        <v>0</v>
      </c>
      <c r="Y139" s="453">
        <f t="shared" si="97"/>
        <v>0</v>
      </c>
      <c r="Z139" s="453">
        <f t="shared" si="98"/>
        <v>0</v>
      </c>
      <c r="AA139" s="453">
        <f t="shared" si="99"/>
        <v>0</v>
      </c>
      <c r="AB139" s="453">
        <f t="shared" si="100"/>
        <v>0</v>
      </c>
      <c r="AC139" s="453">
        <f t="shared" si="101"/>
        <v>0</v>
      </c>
      <c r="AD139" s="493">
        <f t="shared" si="102"/>
        <v>0</v>
      </c>
      <c r="AE139" s="493">
        <f t="shared" si="103"/>
        <v>0</v>
      </c>
      <c r="AF139" s="493">
        <f t="shared" si="104"/>
        <v>0</v>
      </c>
      <c r="AG139" s="494">
        <f t="shared" si="105"/>
        <v>1</v>
      </c>
      <c r="AH139" s="505">
        <f t="shared" si="106"/>
        <v>0</v>
      </c>
      <c r="AI139" s="505">
        <f t="shared" si="107"/>
        <v>0</v>
      </c>
      <c r="AJ139" s="505">
        <f t="shared" si="108"/>
        <v>0</v>
      </c>
      <c r="AK139" s="505">
        <f t="shared" si="109"/>
        <v>0</v>
      </c>
      <c r="AL139" s="505">
        <f t="shared" si="110"/>
        <v>0</v>
      </c>
      <c r="AM139" s="505">
        <f t="shared" si="111"/>
        <v>0</v>
      </c>
      <c r="AN139" s="506">
        <f t="shared" si="112"/>
        <v>0</v>
      </c>
      <c r="AO139" s="507">
        <f t="shared" si="113"/>
        <v>0</v>
      </c>
      <c r="AP139" s="508">
        <f t="shared" si="114"/>
        <v>0</v>
      </c>
      <c r="AQ139" s="509">
        <f t="shared" si="115"/>
        <v>0</v>
      </c>
      <c r="AV139" s="459">
        <f>IF(BA139&gt;BA138,AV138,IF(AV138&lt;MiscData!$F$1,EOMONTH(AV138,1),EOMONTH(AV138,-11)))</f>
        <v>42490</v>
      </c>
      <c r="AW139" s="448" t="str">
        <f t="shared" si="116"/>
        <v>20140101KUCME227</v>
      </c>
      <c r="AX139" s="457" t="str">
        <f t="shared" si="117"/>
        <v>20140101AES3</v>
      </c>
      <c r="AY139" s="439">
        <f>IF(AV139&lt;=MiscData!$B$23,MiscData!$C$23,IF(AV139&lt;=MiscData!$B$24,MiscData!$C$24,MiscData!$C$25))</f>
        <v>20140101</v>
      </c>
      <c r="AZ139" s="439" t="str">
        <f>VLOOKUP(BA139,MiscData!$V$4:$W$42,2,FALSE)</f>
        <v>KUCME227</v>
      </c>
      <c r="BA139" s="439">
        <f>IF(BA138=MiscData!$V$42,1,BA138+1)</f>
        <v>19</v>
      </c>
      <c r="BB139" s="439" t="str">
        <f>VLOOKUP(AZ139,MiscData!$W$4:$Y$42,3,FALSE)</f>
        <v>AES3</v>
      </c>
    </row>
    <row r="140" spans="1:54" hidden="1">
      <c r="A140" s="498">
        <f t="shared" si="79"/>
        <v>128</v>
      </c>
      <c r="B140" s="499" t="str">
        <f t="shared" si="80"/>
        <v>Apr 2016</v>
      </c>
      <c r="C140" s="499" t="s">
        <v>19</v>
      </c>
      <c r="D140" s="500" t="str">
        <f t="shared" si="81"/>
        <v>LE</v>
      </c>
      <c r="E140" s="500" t="str">
        <f t="shared" si="82"/>
        <v>KUCME290</v>
      </c>
      <c r="F140" s="501">
        <f t="shared" si="83"/>
        <v>2</v>
      </c>
      <c r="G140" s="501">
        <v>0</v>
      </c>
      <c r="H140" s="501">
        <v>0</v>
      </c>
      <c r="I140" s="501">
        <v>0</v>
      </c>
      <c r="J140" s="501">
        <f t="shared" si="84"/>
        <v>11211</v>
      </c>
      <c r="K140" s="482">
        <f t="shared" si="85"/>
        <v>0</v>
      </c>
      <c r="L140" s="502">
        <f t="shared" si="86"/>
        <v>0</v>
      </c>
      <c r="M140" s="502">
        <f t="shared" si="87"/>
        <v>0</v>
      </c>
      <c r="N140" s="502">
        <f t="shared" si="88"/>
        <v>0</v>
      </c>
      <c r="O140" s="502">
        <f t="shared" si="89"/>
        <v>0</v>
      </c>
      <c r="P140" s="502">
        <f t="shared" si="90"/>
        <v>0</v>
      </c>
      <c r="Q140" s="503">
        <f t="shared" si="91"/>
        <v>0</v>
      </c>
      <c r="R140" s="504">
        <f t="shared" si="92"/>
        <v>6.3799999999999996E-2</v>
      </c>
      <c r="S140" s="504">
        <v>0</v>
      </c>
      <c r="T140" s="504">
        <v>0</v>
      </c>
      <c r="U140" s="504">
        <f t="shared" si="93"/>
        <v>2.8920000000000001E-2</v>
      </c>
      <c r="V140" s="503">
        <f t="shared" si="94"/>
        <v>0</v>
      </c>
      <c r="W140" s="503">
        <f t="shared" si="95"/>
        <v>0</v>
      </c>
      <c r="X140" s="503">
        <f t="shared" si="96"/>
        <v>0</v>
      </c>
      <c r="Y140" s="453">
        <f t="shared" si="97"/>
        <v>0</v>
      </c>
      <c r="Z140" s="453">
        <f t="shared" si="98"/>
        <v>715.26</v>
      </c>
      <c r="AA140" s="453">
        <f t="shared" si="99"/>
        <v>0</v>
      </c>
      <c r="AB140" s="453">
        <f t="shared" si="100"/>
        <v>0</v>
      </c>
      <c r="AC140" s="453">
        <f t="shared" si="101"/>
        <v>0</v>
      </c>
      <c r="AD140" s="493">
        <f t="shared" si="102"/>
        <v>0</v>
      </c>
      <c r="AE140" s="493">
        <f t="shared" si="103"/>
        <v>715.26</v>
      </c>
      <c r="AF140" s="493">
        <f t="shared" si="104"/>
        <v>0</v>
      </c>
      <c r="AG140" s="494">
        <f t="shared" si="105"/>
        <v>0</v>
      </c>
      <c r="AH140" s="505">
        <f t="shared" si="106"/>
        <v>0</v>
      </c>
      <c r="AI140" s="505">
        <f t="shared" si="107"/>
        <v>0</v>
      </c>
      <c r="AJ140" s="505">
        <f t="shared" si="108"/>
        <v>0</v>
      </c>
      <c r="AK140" s="505">
        <f t="shared" si="109"/>
        <v>0</v>
      </c>
      <c r="AL140" s="505">
        <f t="shared" si="110"/>
        <v>0</v>
      </c>
      <c r="AM140" s="505">
        <f t="shared" si="111"/>
        <v>0</v>
      </c>
      <c r="AN140" s="506">
        <f t="shared" si="112"/>
        <v>715.26</v>
      </c>
      <c r="AO140" s="507">
        <f t="shared" si="113"/>
        <v>-715.26</v>
      </c>
      <c r="AP140" s="508">
        <f t="shared" si="114"/>
        <v>324.22000000000003</v>
      </c>
      <c r="AQ140" s="509">
        <f t="shared" si="115"/>
        <v>391.03999999999996</v>
      </c>
      <c r="AV140" s="459">
        <f>IF(BA140&gt;BA139,AV139,IF(AV139&lt;MiscData!$F$1,EOMONTH(AV139,1),EOMONTH(AV139,-11)))</f>
        <v>42490</v>
      </c>
      <c r="AW140" s="448" t="str">
        <f t="shared" si="116"/>
        <v>20140101KUCME290</v>
      </c>
      <c r="AX140" s="457" t="str">
        <f t="shared" si="117"/>
        <v>20140101LE</v>
      </c>
      <c r="AY140" s="439">
        <f>IF(AV140&lt;=MiscData!$B$23,MiscData!$C$23,IF(AV140&lt;=MiscData!$B$24,MiscData!$C$24,MiscData!$C$25))</f>
        <v>20140101</v>
      </c>
      <c r="AZ140" s="439" t="str">
        <f>VLOOKUP(BA140,MiscData!$V$4:$W$42,2,FALSE)</f>
        <v>KUCME290</v>
      </c>
      <c r="BA140" s="439">
        <f>IF(BA139=MiscData!$V$42,1,BA139+1)</f>
        <v>20</v>
      </c>
      <c r="BB140" s="439" t="str">
        <f>VLOOKUP(AZ140,MiscData!$W$4:$Y$42,3,FALSE)</f>
        <v>LE</v>
      </c>
    </row>
    <row r="141" spans="1:54" hidden="1">
      <c r="A141" s="498">
        <f t="shared" si="79"/>
        <v>129</v>
      </c>
      <c r="B141" s="499" t="str">
        <f t="shared" si="80"/>
        <v>Apr 2016</v>
      </c>
      <c r="C141" s="499" t="s">
        <v>19</v>
      </c>
      <c r="D141" s="500" t="str">
        <f t="shared" si="81"/>
        <v>LE</v>
      </c>
      <c r="E141" s="500" t="str">
        <f t="shared" si="82"/>
        <v>KUCME291</v>
      </c>
      <c r="F141" s="501">
        <f t="shared" si="83"/>
        <v>0</v>
      </c>
      <c r="G141" s="501">
        <v>0</v>
      </c>
      <c r="H141" s="501">
        <v>0</v>
      </c>
      <c r="I141" s="501">
        <v>0</v>
      </c>
      <c r="J141" s="501">
        <f t="shared" si="84"/>
        <v>0</v>
      </c>
      <c r="K141" s="482">
        <f t="shared" si="85"/>
        <v>0</v>
      </c>
      <c r="L141" s="502">
        <f t="shared" si="86"/>
        <v>0</v>
      </c>
      <c r="M141" s="502">
        <f t="shared" si="87"/>
        <v>0</v>
      </c>
      <c r="N141" s="502">
        <f t="shared" si="88"/>
        <v>0</v>
      </c>
      <c r="O141" s="502">
        <f t="shared" si="89"/>
        <v>0</v>
      </c>
      <c r="P141" s="502">
        <f t="shared" si="90"/>
        <v>0</v>
      </c>
      <c r="Q141" s="503">
        <f t="shared" si="91"/>
        <v>0</v>
      </c>
      <c r="R141" s="504">
        <f t="shared" si="92"/>
        <v>6.3799999999999996E-2</v>
      </c>
      <c r="S141" s="504">
        <v>0</v>
      </c>
      <c r="T141" s="504">
        <v>0</v>
      </c>
      <c r="U141" s="504">
        <f t="shared" si="93"/>
        <v>2.8920000000000001E-2</v>
      </c>
      <c r="V141" s="503">
        <f t="shared" si="94"/>
        <v>0</v>
      </c>
      <c r="W141" s="503">
        <f t="shared" si="95"/>
        <v>0</v>
      </c>
      <c r="X141" s="503">
        <f t="shared" si="96"/>
        <v>0</v>
      </c>
      <c r="Y141" s="453">
        <f t="shared" si="97"/>
        <v>0</v>
      </c>
      <c r="Z141" s="453">
        <f t="shared" si="98"/>
        <v>0</v>
      </c>
      <c r="AA141" s="453">
        <f t="shared" si="99"/>
        <v>0</v>
      </c>
      <c r="AB141" s="453">
        <f t="shared" si="100"/>
        <v>0</v>
      </c>
      <c r="AC141" s="453">
        <f t="shared" si="101"/>
        <v>0</v>
      </c>
      <c r="AD141" s="493">
        <f t="shared" si="102"/>
        <v>0</v>
      </c>
      <c r="AE141" s="493">
        <f t="shared" si="103"/>
        <v>0</v>
      </c>
      <c r="AF141" s="493">
        <f t="shared" si="104"/>
        <v>0</v>
      </c>
      <c r="AG141" s="494">
        <f t="shared" si="105"/>
        <v>1</v>
      </c>
      <c r="AH141" s="505">
        <f t="shared" si="106"/>
        <v>0</v>
      </c>
      <c r="AI141" s="505">
        <f t="shared" si="107"/>
        <v>0</v>
      </c>
      <c r="AJ141" s="505">
        <f t="shared" si="108"/>
        <v>0</v>
      </c>
      <c r="AK141" s="505">
        <f t="shared" si="109"/>
        <v>0</v>
      </c>
      <c r="AL141" s="505">
        <f t="shared" si="110"/>
        <v>0</v>
      </c>
      <c r="AM141" s="505">
        <f t="shared" si="111"/>
        <v>0</v>
      </c>
      <c r="AN141" s="506">
        <f t="shared" si="112"/>
        <v>0</v>
      </c>
      <c r="AO141" s="507">
        <f t="shared" si="113"/>
        <v>0</v>
      </c>
      <c r="AP141" s="508">
        <f t="shared" si="114"/>
        <v>0</v>
      </c>
      <c r="AQ141" s="509">
        <f t="shared" si="115"/>
        <v>0</v>
      </c>
      <c r="AV141" s="459">
        <f>IF(BA141&gt;BA140,AV140,IF(AV140&lt;MiscData!$F$1,EOMONTH(AV140,1),EOMONTH(AV140,-11)))</f>
        <v>42490</v>
      </c>
      <c r="AW141" s="448" t="str">
        <f t="shared" si="116"/>
        <v>20140101KUCME291</v>
      </c>
      <c r="AX141" s="457" t="str">
        <f t="shared" si="117"/>
        <v>20140101LE</v>
      </c>
      <c r="AY141" s="439">
        <f>IF(AV141&lt;=MiscData!$B$23,MiscData!$C$23,IF(AV141&lt;=MiscData!$B$24,MiscData!$C$24,MiscData!$C$25))</f>
        <v>20140101</v>
      </c>
      <c r="AZ141" s="439" t="str">
        <f>VLOOKUP(BA141,MiscData!$V$4:$W$42,2,FALSE)</f>
        <v>KUCME291</v>
      </c>
      <c r="BA141" s="439">
        <f>IF(BA140=MiscData!$V$42,1,BA140+1)</f>
        <v>21</v>
      </c>
      <c r="BB141" s="439" t="str">
        <f>VLOOKUP(AZ141,MiscData!$W$4:$Y$42,3,FALSE)</f>
        <v>LE</v>
      </c>
    </row>
    <row r="142" spans="1:54" hidden="1">
      <c r="A142" s="498">
        <f t="shared" si="79"/>
        <v>130</v>
      </c>
      <c r="B142" s="499" t="str">
        <f t="shared" si="80"/>
        <v>Apr 2016</v>
      </c>
      <c r="C142" s="499" t="s">
        <v>20</v>
      </c>
      <c r="D142" s="500" t="str">
        <f t="shared" si="81"/>
        <v>TE</v>
      </c>
      <c r="E142" s="500" t="str">
        <f t="shared" si="82"/>
        <v>KUCME295</v>
      </c>
      <c r="F142" s="501">
        <f t="shared" si="83"/>
        <v>747</v>
      </c>
      <c r="G142" s="501">
        <v>0</v>
      </c>
      <c r="H142" s="501">
        <v>0</v>
      </c>
      <c r="I142" s="501">
        <v>0</v>
      </c>
      <c r="J142" s="501">
        <f t="shared" si="84"/>
        <v>90687</v>
      </c>
      <c r="K142" s="482">
        <f t="shared" si="85"/>
        <v>0</v>
      </c>
      <c r="L142" s="502">
        <f t="shared" si="86"/>
        <v>0</v>
      </c>
      <c r="M142" s="502">
        <f t="shared" si="87"/>
        <v>0</v>
      </c>
      <c r="N142" s="502">
        <f t="shared" si="88"/>
        <v>0</v>
      </c>
      <c r="O142" s="502">
        <f t="shared" si="89"/>
        <v>0</v>
      </c>
      <c r="P142" s="502">
        <f t="shared" si="90"/>
        <v>0</v>
      </c>
      <c r="Q142" s="503">
        <f t="shared" si="91"/>
        <v>3.25</v>
      </c>
      <c r="R142" s="504">
        <f t="shared" si="92"/>
        <v>7.9780000000000004E-2</v>
      </c>
      <c r="S142" s="504">
        <v>0</v>
      </c>
      <c r="T142" s="504">
        <v>0</v>
      </c>
      <c r="U142" s="504">
        <f t="shared" si="93"/>
        <v>2.8920000000000001E-2</v>
      </c>
      <c r="V142" s="503">
        <f t="shared" si="94"/>
        <v>0</v>
      </c>
      <c r="W142" s="503">
        <f t="shared" si="95"/>
        <v>0</v>
      </c>
      <c r="X142" s="503">
        <f t="shared" si="96"/>
        <v>0</v>
      </c>
      <c r="Y142" s="453">
        <f t="shared" si="97"/>
        <v>2427.75</v>
      </c>
      <c r="Z142" s="453">
        <f t="shared" si="98"/>
        <v>7235.01</v>
      </c>
      <c r="AA142" s="453">
        <f t="shared" si="99"/>
        <v>0</v>
      </c>
      <c r="AB142" s="453">
        <f t="shared" si="100"/>
        <v>0</v>
      </c>
      <c r="AC142" s="453">
        <f t="shared" si="101"/>
        <v>0</v>
      </c>
      <c r="AD142" s="493">
        <f t="shared" si="102"/>
        <v>0</v>
      </c>
      <c r="AE142" s="493">
        <f t="shared" si="103"/>
        <v>9662.76</v>
      </c>
      <c r="AF142" s="493">
        <f t="shared" si="104"/>
        <v>0</v>
      </c>
      <c r="AG142" s="494">
        <f t="shared" si="105"/>
        <v>0</v>
      </c>
      <c r="AH142" s="505">
        <f t="shared" si="106"/>
        <v>0</v>
      </c>
      <c r="AI142" s="505">
        <f t="shared" si="107"/>
        <v>0</v>
      </c>
      <c r="AJ142" s="505">
        <f t="shared" si="108"/>
        <v>0</v>
      </c>
      <c r="AK142" s="505">
        <f t="shared" si="109"/>
        <v>0</v>
      </c>
      <c r="AL142" s="505">
        <f t="shared" si="110"/>
        <v>0</v>
      </c>
      <c r="AM142" s="505">
        <f t="shared" si="111"/>
        <v>0</v>
      </c>
      <c r="AN142" s="506">
        <f t="shared" si="112"/>
        <v>9662.76</v>
      </c>
      <c r="AO142" s="507">
        <f t="shared" si="113"/>
        <v>-9662.76</v>
      </c>
      <c r="AP142" s="508">
        <f t="shared" si="114"/>
        <v>2622.67</v>
      </c>
      <c r="AQ142" s="509">
        <f t="shared" si="115"/>
        <v>4612.34</v>
      </c>
      <c r="AV142" s="459">
        <f>IF(BA142&gt;BA141,AV141,IF(AV141&lt;MiscData!$F$1,EOMONTH(AV141,1),EOMONTH(AV141,-11)))</f>
        <v>42490</v>
      </c>
      <c r="AW142" s="448" t="str">
        <f t="shared" si="116"/>
        <v>20140101KUCME295</v>
      </c>
      <c r="AX142" s="457" t="str">
        <f t="shared" si="117"/>
        <v>20140101TE</v>
      </c>
      <c r="AY142" s="439">
        <f>IF(AV142&lt;=MiscData!$B$23,MiscData!$C$23,IF(AV142&lt;=MiscData!$B$24,MiscData!$C$24,MiscData!$C$25))</f>
        <v>20140101</v>
      </c>
      <c r="AZ142" s="439" t="str">
        <f>VLOOKUP(BA142,MiscData!$V$4:$W$42,2,FALSE)</f>
        <v>KUCME295</v>
      </c>
      <c r="BA142" s="439">
        <f>IF(BA141=MiscData!$V$42,1,BA141+1)</f>
        <v>22</v>
      </c>
      <c r="BB142" s="439" t="str">
        <f>VLOOKUP(AZ142,MiscData!$W$4:$Y$42,3,FALSE)</f>
        <v>TE</v>
      </c>
    </row>
    <row r="143" spans="1:54" hidden="1">
      <c r="A143" s="498">
        <f t="shared" si="79"/>
        <v>131</v>
      </c>
      <c r="B143" s="499" t="str">
        <f t="shared" si="80"/>
        <v>Apr 2016</v>
      </c>
      <c r="C143" s="499" t="s">
        <v>20</v>
      </c>
      <c r="D143" s="500" t="str">
        <f t="shared" si="81"/>
        <v>TE</v>
      </c>
      <c r="E143" s="500" t="str">
        <f t="shared" si="82"/>
        <v>KUCME297</v>
      </c>
      <c r="F143" s="501">
        <f t="shared" si="83"/>
        <v>0</v>
      </c>
      <c r="G143" s="501">
        <v>0</v>
      </c>
      <c r="H143" s="501">
        <v>0</v>
      </c>
      <c r="I143" s="501">
        <v>0</v>
      </c>
      <c r="J143" s="501">
        <f t="shared" si="84"/>
        <v>0</v>
      </c>
      <c r="K143" s="482">
        <f t="shared" si="85"/>
        <v>0</v>
      </c>
      <c r="L143" s="502">
        <f t="shared" si="86"/>
        <v>0</v>
      </c>
      <c r="M143" s="502">
        <f t="shared" si="87"/>
        <v>0</v>
      </c>
      <c r="N143" s="502">
        <f t="shared" si="88"/>
        <v>0</v>
      </c>
      <c r="O143" s="502">
        <f t="shared" si="89"/>
        <v>0</v>
      </c>
      <c r="P143" s="502">
        <f t="shared" si="90"/>
        <v>0</v>
      </c>
      <c r="Q143" s="503">
        <f t="shared" si="91"/>
        <v>3.25</v>
      </c>
      <c r="R143" s="504">
        <f t="shared" si="92"/>
        <v>7.9780000000000004E-2</v>
      </c>
      <c r="S143" s="504">
        <v>0</v>
      </c>
      <c r="T143" s="504">
        <v>0</v>
      </c>
      <c r="U143" s="504">
        <f t="shared" si="93"/>
        <v>2.8920000000000001E-2</v>
      </c>
      <c r="V143" s="503">
        <f t="shared" si="94"/>
        <v>0</v>
      </c>
      <c r="W143" s="503">
        <f t="shared" si="95"/>
        <v>0</v>
      </c>
      <c r="X143" s="503">
        <f t="shared" si="96"/>
        <v>0</v>
      </c>
      <c r="Y143" s="453">
        <f t="shared" si="97"/>
        <v>0</v>
      </c>
      <c r="Z143" s="453">
        <f t="shared" si="98"/>
        <v>0</v>
      </c>
      <c r="AA143" s="453">
        <f t="shared" si="99"/>
        <v>0</v>
      </c>
      <c r="AB143" s="453">
        <f t="shared" si="100"/>
        <v>0</v>
      </c>
      <c r="AC143" s="453">
        <f t="shared" si="101"/>
        <v>0</v>
      </c>
      <c r="AD143" s="493">
        <f t="shared" si="102"/>
        <v>0</v>
      </c>
      <c r="AE143" s="493">
        <f t="shared" si="103"/>
        <v>0</v>
      </c>
      <c r="AF143" s="493">
        <f t="shared" si="104"/>
        <v>0</v>
      </c>
      <c r="AG143" s="494">
        <f t="shared" si="105"/>
        <v>1</v>
      </c>
      <c r="AH143" s="505">
        <f t="shared" si="106"/>
        <v>0</v>
      </c>
      <c r="AI143" s="505">
        <f t="shared" si="107"/>
        <v>0</v>
      </c>
      <c r="AJ143" s="505">
        <f t="shared" si="108"/>
        <v>0</v>
      </c>
      <c r="AK143" s="505">
        <f t="shared" si="109"/>
        <v>0</v>
      </c>
      <c r="AL143" s="505">
        <f t="shared" si="110"/>
        <v>0</v>
      </c>
      <c r="AM143" s="505">
        <f t="shared" si="111"/>
        <v>0</v>
      </c>
      <c r="AN143" s="506">
        <f t="shared" si="112"/>
        <v>0</v>
      </c>
      <c r="AO143" s="507">
        <f t="shared" si="113"/>
        <v>0</v>
      </c>
      <c r="AP143" s="508">
        <f t="shared" si="114"/>
        <v>0</v>
      </c>
      <c r="AQ143" s="509">
        <f t="shared" si="115"/>
        <v>0</v>
      </c>
      <c r="AV143" s="459">
        <f>IF(BA143&gt;BA142,AV142,IF(AV142&lt;MiscData!$F$1,EOMONTH(AV142,1),EOMONTH(AV142,-11)))</f>
        <v>42490</v>
      </c>
      <c r="AW143" s="448" t="str">
        <f t="shared" si="116"/>
        <v>20140101KUCME297</v>
      </c>
      <c r="AX143" s="457" t="str">
        <f t="shared" si="117"/>
        <v>20140101TE</v>
      </c>
      <c r="AY143" s="439">
        <f>IF(AV143&lt;=MiscData!$B$23,MiscData!$C$23,IF(AV143&lt;=MiscData!$B$24,MiscData!$C$24,MiscData!$C$25))</f>
        <v>20140101</v>
      </c>
      <c r="AZ143" s="439" t="str">
        <f>VLOOKUP(BA143,MiscData!$V$4:$W$42,2,FALSE)</f>
        <v>KUCME297</v>
      </c>
      <c r="BA143" s="439">
        <f>IF(BA142=MiscData!$V$42,1,BA142+1)</f>
        <v>23</v>
      </c>
      <c r="BB143" s="439" t="str">
        <f>VLOOKUP(AZ143,MiscData!$W$4:$Y$42,3,FALSE)</f>
        <v>TE</v>
      </c>
    </row>
    <row r="144" spans="1:54" hidden="1">
      <c r="A144" s="498">
        <f t="shared" si="79"/>
        <v>132</v>
      </c>
      <c r="B144" s="499" t="str">
        <f t="shared" si="80"/>
        <v>Apr 2016</v>
      </c>
      <c r="C144" s="499" t="s">
        <v>690</v>
      </c>
      <c r="D144" s="500" t="str">
        <f t="shared" si="81"/>
        <v>SQF</v>
      </c>
      <c r="E144" s="500" t="str">
        <f t="shared" si="82"/>
        <v>KUCME705</v>
      </c>
      <c r="F144" s="501">
        <f t="shared" si="83"/>
        <v>0</v>
      </c>
      <c r="G144" s="501">
        <v>0</v>
      </c>
      <c r="H144" s="501">
        <v>0</v>
      </c>
      <c r="I144" s="501">
        <v>0</v>
      </c>
      <c r="J144" s="501">
        <f t="shared" si="84"/>
        <v>0</v>
      </c>
      <c r="K144" s="482">
        <f t="shared" si="85"/>
        <v>0</v>
      </c>
      <c r="L144" s="502">
        <f t="shared" si="86"/>
        <v>0</v>
      </c>
      <c r="M144" s="502">
        <f t="shared" si="87"/>
        <v>0</v>
      </c>
      <c r="N144" s="502">
        <f t="shared" si="88"/>
        <v>0</v>
      </c>
      <c r="O144" s="502">
        <f t="shared" si="89"/>
        <v>0</v>
      </c>
      <c r="P144" s="502">
        <f t="shared" si="90"/>
        <v>0</v>
      </c>
      <c r="Q144" s="503">
        <f t="shared" si="91"/>
        <v>0</v>
      </c>
      <c r="R144" s="504">
        <f t="shared" si="92"/>
        <v>0</v>
      </c>
      <c r="S144" s="504">
        <v>0</v>
      </c>
      <c r="T144" s="504">
        <v>0</v>
      </c>
      <c r="U144" s="504">
        <f t="shared" si="93"/>
        <v>0</v>
      </c>
      <c r="V144" s="503">
        <f t="shared" si="94"/>
        <v>0</v>
      </c>
      <c r="W144" s="503">
        <f t="shared" si="95"/>
        <v>0</v>
      </c>
      <c r="X144" s="503">
        <f t="shared" si="96"/>
        <v>0</v>
      </c>
      <c r="Y144" s="453">
        <f t="shared" si="97"/>
        <v>0</v>
      </c>
      <c r="Z144" s="453">
        <f t="shared" si="98"/>
        <v>0</v>
      </c>
      <c r="AA144" s="453">
        <f t="shared" si="99"/>
        <v>0</v>
      </c>
      <c r="AB144" s="453">
        <f t="shared" si="100"/>
        <v>0</v>
      </c>
      <c r="AC144" s="453">
        <f t="shared" si="101"/>
        <v>0</v>
      </c>
      <c r="AD144" s="493">
        <f t="shared" si="102"/>
        <v>0</v>
      </c>
      <c r="AE144" s="493">
        <f t="shared" si="103"/>
        <v>0</v>
      </c>
      <c r="AF144" s="493">
        <f t="shared" si="104"/>
        <v>0</v>
      </c>
      <c r="AG144" s="494">
        <f t="shared" si="105"/>
        <v>1</v>
      </c>
      <c r="AH144" s="505">
        <f t="shared" si="106"/>
        <v>0</v>
      </c>
      <c r="AI144" s="505">
        <f t="shared" si="107"/>
        <v>0</v>
      </c>
      <c r="AJ144" s="505">
        <f t="shared" si="108"/>
        <v>0</v>
      </c>
      <c r="AK144" s="505">
        <f t="shared" si="109"/>
        <v>0</v>
      </c>
      <c r="AL144" s="505">
        <f t="shared" si="110"/>
        <v>0</v>
      </c>
      <c r="AM144" s="505">
        <f t="shared" si="111"/>
        <v>0</v>
      </c>
      <c r="AN144" s="506">
        <f t="shared" si="112"/>
        <v>0</v>
      </c>
      <c r="AO144" s="507">
        <f t="shared" si="113"/>
        <v>0</v>
      </c>
      <c r="AP144" s="508">
        <f t="shared" si="114"/>
        <v>0</v>
      </c>
      <c r="AQ144" s="509">
        <f t="shared" si="115"/>
        <v>0</v>
      </c>
      <c r="AV144" s="459">
        <f>IF(BA144&gt;BA143,AV143,IF(AV143&lt;MiscData!$F$1,EOMONTH(AV143,1),EOMONTH(AV143,-11)))</f>
        <v>42490</v>
      </c>
      <c r="AW144" s="448" t="str">
        <f t="shared" si="116"/>
        <v>20140101KUCME705</v>
      </c>
      <c r="AX144" s="457" t="str">
        <f t="shared" si="117"/>
        <v>20140101SQF</v>
      </c>
      <c r="AY144" s="439">
        <f>IF(AV144&lt;=MiscData!$B$23,MiscData!$C$23,IF(AV144&lt;=MiscData!$B$24,MiscData!$C$24,MiscData!$C$25))</f>
        <v>20140101</v>
      </c>
      <c r="AZ144" s="439" t="str">
        <f>VLOOKUP(BA144,MiscData!$V$4:$W$42,2,FALSE)</f>
        <v>KUCME705</v>
      </c>
      <c r="BA144" s="439">
        <f>IF(BA143=MiscData!$V$42,1,BA143+1)</f>
        <v>24</v>
      </c>
      <c r="BB144" s="439" t="str">
        <f>VLOOKUP(AZ144,MiscData!$W$4:$Y$42,3,FALSE)</f>
        <v>SQF</v>
      </c>
    </row>
    <row r="145" spans="1:55" hidden="1">
      <c r="A145" s="498">
        <f t="shared" si="79"/>
        <v>133</v>
      </c>
      <c r="B145" s="499" t="str">
        <f t="shared" si="80"/>
        <v>Apr 2016</v>
      </c>
      <c r="C145" s="499" t="s">
        <v>1156</v>
      </c>
      <c r="D145" s="500" t="str">
        <f t="shared" si="81"/>
        <v>LQF</v>
      </c>
      <c r="E145" s="500" t="str">
        <f t="shared" si="82"/>
        <v>KUCME707</v>
      </c>
      <c r="F145" s="501">
        <f t="shared" si="83"/>
        <v>0</v>
      </c>
      <c r="G145" s="501">
        <v>0</v>
      </c>
      <c r="H145" s="501">
        <v>0</v>
      </c>
      <c r="I145" s="501">
        <v>0</v>
      </c>
      <c r="J145" s="501">
        <f t="shared" si="84"/>
        <v>0</v>
      </c>
      <c r="K145" s="482">
        <f t="shared" si="85"/>
        <v>0</v>
      </c>
      <c r="L145" s="502">
        <f t="shared" si="86"/>
        <v>0</v>
      </c>
      <c r="M145" s="502">
        <f t="shared" si="87"/>
        <v>0</v>
      </c>
      <c r="N145" s="502">
        <f t="shared" si="88"/>
        <v>0</v>
      </c>
      <c r="O145" s="502">
        <f t="shared" si="89"/>
        <v>0</v>
      </c>
      <c r="P145" s="502">
        <f t="shared" si="90"/>
        <v>0</v>
      </c>
      <c r="Q145" s="503">
        <f t="shared" si="91"/>
        <v>0</v>
      </c>
      <c r="R145" s="504">
        <f t="shared" si="92"/>
        <v>0</v>
      </c>
      <c r="S145" s="504">
        <v>0</v>
      </c>
      <c r="T145" s="504">
        <v>0</v>
      </c>
      <c r="U145" s="504">
        <f t="shared" si="93"/>
        <v>0</v>
      </c>
      <c r="V145" s="503">
        <f t="shared" si="94"/>
        <v>0</v>
      </c>
      <c r="W145" s="503">
        <f t="shared" si="95"/>
        <v>0</v>
      </c>
      <c r="X145" s="503">
        <f t="shared" si="96"/>
        <v>0</v>
      </c>
      <c r="Y145" s="453">
        <f t="shared" si="97"/>
        <v>0</v>
      </c>
      <c r="Z145" s="453">
        <f t="shared" si="98"/>
        <v>0</v>
      </c>
      <c r="AA145" s="453">
        <f t="shared" si="99"/>
        <v>0</v>
      </c>
      <c r="AB145" s="453">
        <f t="shared" si="100"/>
        <v>0</v>
      </c>
      <c r="AC145" s="453">
        <f t="shared" si="101"/>
        <v>0</v>
      </c>
      <c r="AD145" s="493">
        <f t="shared" si="102"/>
        <v>0</v>
      </c>
      <c r="AE145" s="493">
        <f t="shared" si="103"/>
        <v>0</v>
      </c>
      <c r="AF145" s="493">
        <f t="shared" si="104"/>
        <v>0</v>
      </c>
      <c r="AG145" s="494">
        <f t="shared" si="105"/>
        <v>1</v>
      </c>
      <c r="AH145" s="505">
        <f t="shared" si="106"/>
        <v>0</v>
      </c>
      <c r="AI145" s="505">
        <f t="shared" si="107"/>
        <v>0</v>
      </c>
      <c r="AJ145" s="505">
        <f t="shared" si="108"/>
        <v>0</v>
      </c>
      <c r="AK145" s="505">
        <f t="shared" si="109"/>
        <v>0</v>
      </c>
      <c r="AL145" s="505">
        <f t="shared" si="110"/>
        <v>0</v>
      </c>
      <c r="AM145" s="505">
        <f t="shared" si="111"/>
        <v>0</v>
      </c>
      <c r="AN145" s="506">
        <f t="shared" si="112"/>
        <v>0</v>
      </c>
      <c r="AO145" s="507">
        <f t="shared" si="113"/>
        <v>0</v>
      </c>
      <c r="AP145" s="508">
        <f t="shared" si="114"/>
        <v>0</v>
      </c>
      <c r="AQ145" s="509">
        <f t="shared" si="115"/>
        <v>0</v>
      </c>
      <c r="AV145" s="459">
        <f>IF(BA145&gt;BA144,AV144,IF(AV144&lt;MiscData!$F$1,EOMONTH(AV144,1),EOMONTH(AV144,-11)))</f>
        <v>42490</v>
      </c>
      <c r="AW145" s="448" t="str">
        <f t="shared" si="116"/>
        <v>20140101KUCME707</v>
      </c>
      <c r="AX145" s="457" t="str">
        <f t="shared" si="117"/>
        <v>20140101LQF</v>
      </c>
      <c r="AY145" s="439">
        <f>IF(AV145&lt;=MiscData!$B$23,MiscData!$C$23,IF(AV145&lt;=MiscData!$B$24,MiscData!$C$24,MiscData!$C$25))</f>
        <v>20140101</v>
      </c>
      <c r="AZ145" s="439" t="str">
        <f>VLOOKUP(BA145,MiscData!$V$4:$W$42,2,FALSE)</f>
        <v>KUCME707</v>
      </c>
      <c r="BA145" s="439">
        <f>IF(BA144=MiscData!$V$42,1,BA144+1)</f>
        <v>25</v>
      </c>
      <c r="BB145" s="439" t="str">
        <f>VLOOKUP(AZ145,MiscData!$W$4:$Y$42,3,FALSE)</f>
        <v>LQF</v>
      </c>
    </row>
    <row r="146" spans="1:55">
      <c r="A146" s="498">
        <f t="shared" si="79"/>
        <v>134</v>
      </c>
      <c r="B146" s="499" t="str">
        <f t="shared" si="80"/>
        <v>Apr 2016</v>
      </c>
      <c r="C146" s="499" t="s">
        <v>208</v>
      </c>
      <c r="D146" s="500" t="str">
        <f t="shared" si="81"/>
        <v>GS</v>
      </c>
      <c r="E146" s="500" t="str">
        <f t="shared" si="82"/>
        <v>KUCME710</v>
      </c>
      <c r="F146" s="501">
        <f t="shared" si="83"/>
        <v>0</v>
      </c>
      <c r="G146" s="501">
        <v>0</v>
      </c>
      <c r="H146" s="501">
        <v>0</v>
      </c>
      <c r="I146" s="501">
        <v>0</v>
      </c>
      <c r="J146" s="501">
        <f t="shared" si="84"/>
        <v>0</v>
      </c>
      <c r="K146" s="482">
        <f t="shared" si="85"/>
        <v>0</v>
      </c>
      <c r="L146" s="502">
        <f t="shared" si="86"/>
        <v>0</v>
      </c>
      <c r="M146" s="502">
        <f t="shared" si="87"/>
        <v>0</v>
      </c>
      <c r="N146" s="502">
        <f t="shared" si="88"/>
        <v>0</v>
      </c>
      <c r="O146" s="502">
        <f t="shared" si="89"/>
        <v>0</v>
      </c>
      <c r="P146" s="502">
        <f t="shared" si="90"/>
        <v>0</v>
      </c>
      <c r="Q146" s="503">
        <f t="shared" si="91"/>
        <v>20</v>
      </c>
      <c r="R146" s="504">
        <f t="shared" si="92"/>
        <v>9.2249999999999999E-2</v>
      </c>
      <c r="S146" s="504">
        <v>0</v>
      </c>
      <c r="T146" s="504">
        <v>0</v>
      </c>
      <c r="U146" s="504">
        <f t="shared" si="93"/>
        <v>2.8920000000000001E-2</v>
      </c>
      <c r="V146" s="503">
        <f t="shared" si="94"/>
        <v>0</v>
      </c>
      <c r="W146" s="503">
        <f t="shared" si="95"/>
        <v>0</v>
      </c>
      <c r="X146" s="503">
        <f t="shared" si="96"/>
        <v>0</v>
      </c>
      <c r="Y146" s="453">
        <f t="shared" si="97"/>
        <v>0</v>
      </c>
      <c r="Z146" s="453">
        <f t="shared" si="98"/>
        <v>0</v>
      </c>
      <c r="AA146" s="453">
        <f t="shared" si="99"/>
        <v>0</v>
      </c>
      <c r="AB146" s="453">
        <f t="shared" si="100"/>
        <v>0</v>
      </c>
      <c r="AC146" s="453">
        <f t="shared" si="101"/>
        <v>0</v>
      </c>
      <c r="AD146" s="493">
        <f t="shared" si="102"/>
        <v>0</v>
      </c>
      <c r="AE146" s="493">
        <f t="shared" si="103"/>
        <v>0</v>
      </c>
      <c r="AF146" s="493">
        <f t="shared" si="104"/>
        <v>0</v>
      </c>
      <c r="AG146" s="494">
        <f t="shared" si="105"/>
        <v>1</v>
      </c>
      <c r="AH146" s="505">
        <f t="shared" si="106"/>
        <v>0</v>
      </c>
      <c r="AI146" s="505">
        <f t="shared" si="107"/>
        <v>0</v>
      </c>
      <c r="AJ146" s="505">
        <f t="shared" si="108"/>
        <v>0</v>
      </c>
      <c r="AK146" s="505">
        <f t="shared" si="109"/>
        <v>0</v>
      </c>
      <c r="AL146" s="505">
        <f t="shared" si="110"/>
        <v>0</v>
      </c>
      <c r="AM146" s="505">
        <f t="shared" si="111"/>
        <v>0</v>
      </c>
      <c r="AN146" s="506">
        <f t="shared" si="112"/>
        <v>0</v>
      </c>
      <c r="AO146" s="507">
        <f t="shared" si="113"/>
        <v>0</v>
      </c>
      <c r="AP146" s="508">
        <f t="shared" si="114"/>
        <v>0</v>
      </c>
      <c r="AQ146" s="509">
        <f t="shared" si="115"/>
        <v>0</v>
      </c>
      <c r="AV146" s="459">
        <f>IF(BA146&gt;BA145,AV145,IF(AV145&lt;MiscData!$F$1,EOMONTH(AV145,1),EOMONTH(AV145,-11)))</f>
        <v>42490</v>
      </c>
      <c r="AW146" s="448" t="str">
        <f t="shared" si="116"/>
        <v>20140101KUCME710</v>
      </c>
      <c r="AX146" s="457" t="str">
        <f t="shared" si="117"/>
        <v>20140101GS</v>
      </c>
      <c r="AY146" s="439">
        <f>IF(AV146&lt;=MiscData!$B$23,MiscData!$C$23,IF(AV146&lt;=MiscData!$B$24,MiscData!$C$24,MiscData!$C$25))</f>
        <v>20140101</v>
      </c>
      <c r="AZ146" s="439" t="str">
        <f>VLOOKUP(BA146,MiscData!$V$4:$W$42,2,FALSE)</f>
        <v>KUCME710</v>
      </c>
      <c r="BA146" s="439">
        <f>IF(BA145=MiscData!$V$42,1,BA145+1)</f>
        <v>26</v>
      </c>
      <c r="BB146" s="511" t="str">
        <f>VLOOKUP(AZ146,MiscData!$W$4:$Y$42,3,FALSE)</f>
        <v>GS</v>
      </c>
    </row>
    <row r="147" spans="1:55">
      <c r="A147" s="498">
        <f t="shared" si="79"/>
        <v>135</v>
      </c>
      <c r="B147" s="499" t="str">
        <f t="shared" si="80"/>
        <v>Apr 2016</v>
      </c>
      <c r="C147" s="499" t="s">
        <v>17</v>
      </c>
      <c r="D147" s="500" t="str">
        <f t="shared" si="81"/>
        <v>GS3</v>
      </c>
      <c r="E147" s="500" t="str">
        <f t="shared" si="82"/>
        <v>KUCME713</v>
      </c>
      <c r="F147" s="501">
        <f t="shared" si="83"/>
        <v>0</v>
      </c>
      <c r="G147" s="501">
        <v>0</v>
      </c>
      <c r="H147" s="501">
        <v>0</v>
      </c>
      <c r="I147" s="501">
        <v>0</v>
      </c>
      <c r="J147" s="501">
        <f t="shared" si="84"/>
        <v>0</v>
      </c>
      <c r="K147" s="482">
        <f t="shared" si="85"/>
        <v>0</v>
      </c>
      <c r="L147" s="502">
        <f t="shared" si="86"/>
        <v>0</v>
      </c>
      <c r="M147" s="502">
        <f t="shared" si="87"/>
        <v>0</v>
      </c>
      <c r="N147" s="502">
        <f t="shared" si="88"/>
        <v>0</v>
      </c>
      <c r="O147" s="502">
        <f t="shared" si="89"/>
        <v>0</v>
      </c>
      <c r="P147" s="502">
        <f t="shared" si="90"/>
        <v>0</v>
      </c>
      <c r="Q147" s="503">
        <f t="shared" si="91"/>
        <v>35</v>
      </c>
      <c r="R147" s="504">
        <f t="shared" si="92"/>
        <v>9.2249999999999999E-2</v>
      </c>
      <c r="S147" s="504">
        <v>0</v>
      </c>
      <c r="T147" s="504">
        <v>0</v>
      </c>
      <c r="U147" s="504">
        <f t="shared" si="93"/>
        <v>2.8920000000000001E-2</v>
      </c>
      <c r="V147" s="503">
        <f t="shared" si="94"/>
        <v>0</v>
      </c>
      <c r="W147" s="503">
        <f t="shared" si="95"/>
        <v>0</v>
      </c>
      <c r="X147" s="503">
        <f t="shared" si="96"/>
        <v>0</v>
      </c>
      <c r="Y147" s="453">
        <f t="shared" si="97"/>
        <v>0</v>
      </c>
      <c r="Z147" s="453">
        <f t="shared" si="98"/>
        <v>0</v>
      </c>
      <c r="AA147" s="453">
        <f t="shared" si="99"/>
        <v>0</v>
      </c>
      <c r="AB147" s="453">
        <f t="shared" si="100"/>
        <v>0</v>
      </c>
      <c r="AC147" s="453">
        <f t="shared" si="101"/>
        <v>0</v>
      </c>
      <c r="AD147" s="493">
        <f t="shared" si="102"/>
        <v>0</v>
      </c>
      <c r="AE147" s="493">
        <f t="shared" si="103"/>
        <v>0</v>
      </c>
      <c r="AF147" s="493">
        <f t="shared" si="104"/>
        <v>0</v>
      </c>
      <c r="AG147" s="494">
        <f t="shared" si="105"/>
        <v>1</v>
      </c>
      <c r="AH147" s="505">
        <f t="shared" si="106"/>
        <v>0</v>
      </c>
      <c r="AI147" s="505">
        <f t="shared" si="107"/>
        <v>0</v>
      </c>
      <c r="AJ147" s="505">
        <f t="shared" si="108"/>
        <v>0</v>
      </c>
      <c r="AK147" s="505">
        <f t="shared" si="109"/>
        <v>0</v>
      </c>
      <c r="AL147" s="505">
        <f t="shared" si="110"/>
        <v>0</v>
      </c>
      <c r="AM147" s="505">
        <f t="shared" si="111"/>
        <v>0</v>
      </c>
      <c r="AN147" s="506">
        <f t="shared" si="112"/>
        <v>0</v>
      </c>
      <c r="AO147" s="507">
        <f t="shared" si="113"/>
        <v>0</v>
      </c>
      <c r="AP147" s="508">
        <f t="shared" si="114"/>
        <v>0</v>
      </c>
      <c r="AQ147" s="509">
        <f t="shared" si="115"/>
        <v>0</v>
      </c>
      <c r="AV147" s="459">
        <f>IF(BA147&gt;BA146,AV146,IF(AV146&lt;MiscData!$F$1,EOMONTH(AV146,1),EOMONTH(AV146,-11)))</f>
        <v>42490</v>
      </c>
      <c r="AW147" s="448" t="str">
        <f t="shared" si="116"/>
        <v>20140101KUCME713</v>
      </c>
      <c r="AX147" s="457" t="str">
        <f t="shared" si="117"/>
        <v>20140101GS3</v>
      </c>
      <c r="AY147" s="439">
        <f>IF(AV147&lt;=MiscData!$B$23,MiscData!$C$23,IF(AV147&lt;=MiscData!$B$24,MiscData!$C$24,MiscData!$C$25))</f>
        <v>20140101</v>
      </c>
      <c r="AZ147" s="439" t="str">
        <f>VLOOKUP(BA147,MiscData!$V$4:$W$42,2,FALSE)</f>
        <v>KUCME713</v>
      </c>
      <c r="BA147" s="439">
        <f>IF(BA146=MiscData!$V$42,1,BA146+1)</f>
        <v>27</v>
      </c>
      <c r="BB147" s="439" t="str">
        <f>VLOOKUP(AZ147,MiscData!$W$4:$Y$42,3,FALSE)</f>
        <v>GS3</v>
      </c>
    </row>
    <row r="148" spans="1:55" hidden="1">
      <c r="A148" s="498">
        <f>A144+1</f>
        <v>133</v>
      </c>
      <c r="B148" s="499" t="str">
        <f t="shared" si="80"/>
        <v>Apr 2016</v>
      </c>
      <c r="C148" s="448" t="s">
        <v>1471</v>
      </c>
      <c r="D148" s="500" t="str">
        <f t="shared" si="81"/>
        <v>CSR10</v>
      </c>
      <c r="E148" s="500" t="str">
        <f t="shared" si="82"/>
        <v>KUCSR760</v>
      </c>
      <c r="F148" s="501">
        <f t="shared" si="83"/>
        <v>0</v>
      </c>
      <c r="G148" s="501">
        <v>0</v>
      </c>
      <c r="H148" s="501">
        <v>0</v>
      </c>
      <c r="I148" s="501">
        <v>0</v>
      </c>
      <c r="J148" s="501">
        <f t="shared" si="84"/>
        <v>0</v>
      </c>
      <c r="K148" s="482">
        <f t="shared" si="85"/>
        <v>0</v>
      </c>
      <c r="L148" s="502">
        <f t="shared" si="86"/>
        <v>0</v>
      </c>
      <c r="M148" s="502">
        <f t="shared" si="87"/>
        <v>0</v>
      </c>
      <c r="N148" s="502">
        <f t="shared" si="88"/>
        <v>0</v>
      </c>
      <c r="O148" s="502">
        <f t="shared" si="89"/>
        <v>0</v>
      </c>
      <c r="P148" s="502">
        <f t="shared" si="90"/>
        <v>0</v>
      </c>
      <c r="Q148" s="503">
        <f t="shared" si="91"/>
        <v>0</v>
      </c>
      <c r="R148" s="504">
        <f t="shared" si="92"/>
        <v>0</v>
      </c>
      <c r="S148" s="504">
        <v>0</v>
      </c>
      <c r="T148" s="504">
        <v>0</v>
      </c>
      <c r="U148" s="504">
        <f t="shared" si="93"/>
        <v>0</v>
      </c>
      <c r="V148" s="503">
        <f t="shared" si="94"/>
        <v>-5.4</v>
      </c>
      <c r="W148" s="503">
        <f t="shared" si="95"/>
        <v>0</v>
      </c>
      <c r="X148" s="503">
        <f t="shared" si="96"/>
        <v>0</v>
      </c>
      <c r="Y148" s="453">
        <f t="shared" si="97"/>
        <v>0</v>
      </c>
      <c r="Z148" s="453">
        <f t="shared" si="98"/>
        <v>0</v>
      </c>
      <c r="AA148" s="453">
        <f t="shared" si="99"/>
        <v>0</v>
      </c>
      <c r="AB148" s="453">
        <f t="shared" si="100"/>
        <v>0</v>
      </c>
      <c r="AC148" s="453">
        <f t="shared" si="101"/>
        <v>0</v>
      </c>
      <c r="AD148" s="493">
        <f t="shared" si="102"/>
        <v>0</v>
      </c>
      <c r="AE148" s="493">
        <f t="shared" si="103"/>
        <v>0</v>
      </c>
      <c r="AF148" s="493">
        <f t="shared" si="104"/>
        <v>0</v>
      </c>
      <c r="AG148" s="494">
        <f t="shared" si="105"/>
        <v>1</v>
      </c>
      <c r="AH148" s="505">
        <f t="shared" si="106"/>
        <v>0</v>
      </c>
      <c r="AI148" s="505">
        <f t="shared" si="107"/>
        <v>0</v>
      </c>
      <c r="AJ148" s="505">
        <f t="shared" si="108"/>
        <v>0</v>
      </c>
      <c r="AK148" s="505">
        <f t="shared" si="109"/>
        <v>0</v>
      </c>
      <c r="AL148" s="505">
        <f t="shared" si="110"/>
        <v>-989829</v>
      </c>
      <c r="AM148" s="505">
        <f t="shared" si="111"/>
        <v>-989829</v>
      </c>
      <c r="AN148" s="506">
        <f t="shared" si="112"/>
        <v>-989829</v>
      </c>
      <c r="AO148" s="507">
        <f t="shared" si="113"/>
        <v>0</v>
      </c>
      <c r="AP148" s="508">
        <f t="shared" si="114"/>
        <v>0</v>
      </c>
      <c r="AQ148" s="509">
        <f t="shared" si="115"/>
        <v>0</v>
      </c>
      <c r="AV148" s="459">
        <f>IF(BA148&gt;BA144,AV144,IF(AV144&lt;MiscData!$F$1,EOMONTH(AV144,1),EOMONTH(AV144,-11)))</f>
        <v>42490</v>
      </c>
      <c r="AW148" s="448" t="str">
        <f t="shared" si="116"/>
        <v>20140101KUCSR760</v>
      </c>
      <c r="AX148" s="457" t="str">
        <f t="shared" si="117"/>
        <v>20140101CSR10</v>
      </c>
      <c r="AY148" s="439">
        <f>IF(AV148&lt;=MiscData!$B$23,MiscData!$C$23,IF(AV148&lt;=MiscData!$B$24,MiscData!$C$24,MiscData!$C$25))</f>
        <v>20140101</v>
      </c>
      <c r="AZ148" s="439" t="str">
        <f>VLOOKUP(BA148,MiscData!$V$4:$W$42,2,FALSE)</f>
        <v>KUCSR760</v>
      </c>
      <c r="BA148" s="439">
        <f>IF(BA147=MiscData!$V$42,1,BA147+1)</f>
        <v>28</v>
      </c>
      <c r="BB148" s="439" t="str">
        <f>VLOOKUP(AZ148,MiscData!$W$4:$Y$42,3,FALSE)</f>
        <v>CSR10</v>
      </c>
    </row>
    <row r="149" spans="1:55" hidden="1">
      <c r="A149" s="498">
        <f>A145+1</f>
        <v>134</v>
      </c>
      <c r="B149" s="499" t="str">
        <f t="shared" si="80"/>
        <v>Apr 2016</v>
      </c>
      <c r="C149" s="448" t="s">
        <v>1471</v>
      </c>
      <c r="D149" s="500" t="str">
        <f t="shared" si="81"/>
        <v>CSR10</v>
      </c>
      <c r="E149" s="500" t="str">
        <f t="shared" si="82"/>
        <v>KUCSR761</v>
      </c>
      <c r="F149" s="501">
        <f t="shared" si="83"/>
        <v>0</v>
      </c>
      <c r="G149" s="501">
        <v>0</v>
      </c>
      <c r="H149" s="501">
        <v>0</v>
      </c>
      <c r="I149" s="501">
        <v>0</v>
      </c>
      <c r="J149" s="501">
        <f t="shared" si="84"/>
        <v>0</v>
      </c>
      <c r="K149" s="482">
        <f t="shared" si="85"/>
        <v>0</v>
      </c>
      <c r="L149" s="502">
        <f t="shared" si="86"/>
        <v>0</v>
      </c>
      <c r="M149" s="502">
        <f t="shared" si="87"/>
        <v>0</v>
      </c>
      <c r="N149" s="502">
        <f t="shared" si="88"/>
        <v>0</v>
      </c>
      <c r="O149" s="502">
        <f t="shared" si="89"/>
        <v>0</v>
      </c>
      <c r="P149" s="502">
        <f t="shared" si="90"/>
        <v>0</v>
      </c>
      <c r="Q149" s="503">
        <f t="shared" si="91"/>
        <v>0</v>
      </c>
      <c r="R149" s="504">
        <f t="shared" si="92"/>
        <v>0</v>
      </c>
      <c r="S149" s="504">
        <v>0</v>
      </c>
      <c r="T149" s="504">
        <v>0</v>
      </c>
      <c r="U149" s="504">
        <f t="shared" si="93"/>
        <v>0</v>
      </c>
      <c r="V149" s="503">
        <f t="shared" si="94"/>
        <v>-5.5</v>
      </c>
      <c r="W149" s="503">
        <f t="shared" si="95"/>
        <v>0</v>
      </c>
      <c r="X149" s="503">
        <f t="shared" si="96"/>
        <v>0</v>
      </c>
      <c r="Y149" s="453">
        <f t="shared" si="97"/>
        <v>0</v>
      </c>
      <c r="Z149" s="453">
        <f t="shared" si="98"/>
        <v>0</v>
      </c>
      <c r="AA149" s="453">
        <f t="shared" si="99"/>
        <v>0</v>
      </c>
      <c r="AB149" s="453">
        <f t="shared" si="100"/>
        <v>0</v>
      </c>
      <c r="AC149" s="453">
        <f t="shared" si="101"/>
        <v>0</v>
      </c>
      <c r="AD149" s="493">
        <f t="shared" si="102"/>
        <v>0</v>
      </c>
      <c r="AE149" s="493">
        <f t="shared" si="103"/>
        <v>0</v>
      </c>
      <c r="AF149" s="493">
        <f t="shared" si="104"/>
        <v>0</v>
      </c>
      <c r="AG149" s="494">
        <f t="shared" si="105"/>
        <v>1</v>
      </c>
      <c r="AH149" s="505">
        <f t="shared" si="106"/>
        <v>0</v>
      </c>
      <c r="AI149" s="505">
        <f t="shared" si="107"/>
        <v>0</v>
      </c>
      <c r="AJ149" s="505">
        <f t="shared" si="108"/>
        <v>0</v>
      </c>
      <c r="AK149" s="505">
        <f t="shared" si="109"/>
        <v>0</v>
      </c>
      <c r="AL149" s="505">
        <f t="shared" si="110"/>
        <v>0</v>
      </c>
      <c r="AM149" s="505">
        <f t="shared" si="111"/>
        <v>0</v>
      </c>
      <c r="AN149" s="506">
        <f t="shared" si="112"/>
        <v>0</v>
      </c>
      <c r="AO149" s="507">
        <f t="shared" si="113"/>
        <v>0</v>
      </c>
      <c r="AP149" s="508">
        <f t="shared" si="114"/>
        <v>0</v>
      </c>
      <c r="AQ149" s="509">
        <f t="shared" si="115"/>
        <v>0</v>
      </c>
      <c r="AV149" s="459">
        <f>IF(BA149&gt;BA145,AV145,IF(AV145&lt;MiscData!$F$1,EOMONTH(AV145,1),EOMONTH(AV145,-11)))</f>
        <v>42490</v>
      </c>
      <c r="AW149" s="448" t="str">
        <f t="shared" si="116"/>
        <v>20140101KUCSR761</v>
      </c>
      <c r="AX149" s="457" t="str">
        <f t="shared" si="117"/>
        <v>20140101CSR10</v>
      </c>
      <c r="AY149" s="439">
        <f>IF(AV149&lt;=MiscData!$B$23,MiscData!$C$23,IF(AV149&lt;=MiscData!$B$24,MiscData!$C$24,MiscData!$C$25))</f>
        <v>20140101</v>
      </c>
      <c r="AZ149" s="439" t="str">
        <f>VLOOKUP(BA149,MiscData!$V$4:$W$42,2,FALSE)</f>
        <v>KUCSR761</v>
      </c>
      <c r="BA149" s="439">
        <f>IF(BA148=MiscData!$V$42,1,BA148+1)</f>
        <v>29</v>
      </c>
      <c r="BB149" s="439" t="str">
        <f>VLOOKUP(AZ149,MiscData!$W$4:$Y$42,3,FALSE)</f>
        <v>CSR10</v>
      </c>
    </row>
    <row r="150" spans="1:55" hidden="1">
      <c r="A150" s="498">
        <f>A146+1</f>
        <v>135</v>
      </c>
      <c r="B150" s="499" t="str">
        <f t="shared" si="80"/>
        <v>Apr 2016</v>
      </c>
      <c r="C150" s="448" t="s">
        <v>1472</v>
      </c>
      <c r="D150" s="500" t="str">
        <f t="shared" si="81"/>
        <v>CSR30</v>
      </c>
      <c r="E150" s="500" t="str">
        <f t="shared" si="82"/>
        <v>KUCSR780</v>
      </c>
      <c r="F150" s="501">
        <f t="shared" si="83"/>
        <v>0</v>
      </c>
      <c r="G150" s="501">
        <v>0</v>
      </c>
      <c r="H150" s="501">
        <v>0</v>
      </c>
      <c r="I150" s="501">
        <v>0</v>
      </c>
      <c r="J150" s="501">
        <f t="shared" si="84"/>
        <v>0</v>
      </c>
      <c r="K150" s="482">
        <f t="shared" si="85"/>
        <v>0</v>
      </c>
      <c r="L150" s="502">
        <f t="shared" si="86"/>
        <v>0</v>
      </c>
      <c r="M150" s="502">
        <f t="shared" si="87"/>
        <v>0</v>
      </c>
      <c r="N150" s="502">
        <f t="shared" si="88"/>
        <v>0</v>
      </c>
      <c r="O150" s="502">
        <f t="shared" si="89"/>
        <v>0</v>
      </c>
      <c r="P150" s="502">
        <f t="shared" si="90"/>
        <v>0</v>
      </c>
      <c r="Q150" s="503">
        <f t="shared" si="91"/>
        <v>0</v>
      </c>
      <c r="R150" s="504">
        <f t="shared" si="92"/>
        <v>0</v>
      </c>
      <c r="S150" s="504">
        <v>0</v>
      </c>
      <c r="T150" s="504">
        <v>0</v>
      </c>
      <c r="U150" s="504">
        <f t="shared" si="93"/>
        <v>0</v>
      </c>
      <c r="V150" s="503">
        <f t="shared" si="94"/>
        <v>-4.3</v>
      </c>
      <c r="W150" s="503">
        <f t="shared" si="95"/>
        <v>0</v>
      </c>
      <c r="X150" s="503">
        <f t="shared" si="96"/>
        <v>0</v>
      </c>
      <c r="Y150" s="453">
        <f t="shared" si="97"/>
        <v>0</v>
      </c>
      <c r="Z150" s="453">
        <f t="shared" si="98"/>
        <v>0</v>
      </c>
      <c r="AA150" s="453">
        <f t="shared" si="99"/>
        <v>0</v>
      </c>
      <c r="AB150" s="453">
        <f t="shared" si="100"/>
        <v>0</v>
      </c>
      <c r="AC150" s="453">
        <f t="shared" si="101"/>
        <v>0</v>
      </c>
      <c r="AD150" s="493">
        <f t="shared" si="102"/>
        <v>0</v>
      </c>
      <c r="AE150" s="493">
        <f t="shared" si="103"/>
        <v>0</v>
      </c>
      <c r="AF150" s="493">
        <f t="shared" si="104"/>
        <v>0</v>
      </c>
      <c r="AG150" s="494">
        <f t="shared" si="105"/>
        <v>1</v>
      </c>
      <c r="AH150" s="505">
        <f t="shared" si="106"/>
        <v>0</v>
      </c>
      <c r="AI150" s="505">
        <f t="shared" si="107"/>
        <v>0</v>
      </c>
      <c r="AJ150" s="505">
        <f t="shared" si="108"/>
        <v>0</v>
      </c>
      <c r="AK150" s="505">
        <f t="shared" si="109"/>
        <v>0</v>
      </c>
      <c r="AL150" s="505">
        <f t="shared" si="110"/>
        <v>0</v>
      </c>
      <c r="AM150" s="505">
        <f t="shared" si="111"/>
        <v>0</v>
      </c>
      <c r="AN150" s="506">
        <f t="shared" si="112"/>
        <v>0</v>
      </c>
      <c r="AO150" s="507">
        <f t="shared" si="113"/>
        <v>0</v>
      </c>
      <c r="AP150" s="508">
        <f t="shared" si="114"/>
        <v>0</v>
      </c>
      <c r="AQ150" s="509">
        <f t="shared" si="115"/>
        <v>0</v>
      </c>
      <c r="AV150" s="459">
        <f>IF(BA150&gt;BA146,AV146,IF(AV146&lt;MiscData!$F$1,EOMONTH(AV146,1),EOMONTH(AV146,-11)))</f>
        <v>42490</v>
      </c>
      <c r="AW150" s="448" t="str">
        <f t="shared" si="116"/>
        <v>20140101KUCSR780</v>
      </c>
      <c r="AX150" s="457" t="str">
        <f t="shared" si="117"/>
        <v>20140101CSR30</v>
      </c>
      <c r="AY150" s="439">
        <f>IF(AV150&lt;=MiscData!$B$23,MiscData!$C$23,IF(AV150&lt;=MiscData!$B$24,MiscData!$C$24,MiscData!$C$25))</f>
        <v>20140101</v>
      </c>
      <c r="AZ150" s="439" t="str">
        <f>VLOOKUP(BA150,MiscData!$V$4:$W$42,2,FALSE)</f>
        <v>KUCSR780</v>
      </c>
      <c r="BA150" s="439">
        <f>IF(BA149=MiscData!$V$42,1,BA149+1)</f>
        <v>30</v>
      </c>
      <c r="BB150" s="439" t="str">
        <f>VLOOKUP(AZ150,MiscData!$W$4:$Y$42,3,FALSE)</f>
        <v>CSR30</v>
      </c>
    </row>
    <row r="151" spans="1:55" hidden="1">
      <c r="A151" s="498">
        <f>A147+1</f>
        <v>136</v>
      </c>
      <c r="B151" s="499" t="str">
        <f t="shared" si="80"/>
        <v>Apr 2016</v>
      </c>
      <c r="C151" s="448" t="s">
        <v>1472</v>
      </c>
      <c r="D151" s="500" t="str">
        <f t="shared" si="81"/>
        <v>CSR30</v>
      </c>
      <c r="E151" s="500" t="str">
        <f t="shared" si="82"/>
        <v>KUCSR781</v>
      </c>
      <c r="F151" s="501">
        <f t="shared" si="83"/>
        <v>0</v>
      </c>
      <c r="G151" s="501">
        <v>0</v>
      </c>
      <c r="H151" s="501">
        <v>0</v>
      </c>
      <c r="I151" s="501">
        <v>0</v>
      </c>
      <c r="J151" s="501">
        <f t="shared" si="84"/>
        <v>0</v>
      </c>
      <c r="K151" s="482">
        <f t="shared" si="85"/>
        <v>0</v>
      </c>
      <c r="L151" s="502">
        <f t="shared" si="86"/>
        <v>0</v>
      </c>
      <c r="M151" s="502">
        <f t="shared" si="87"/>
        <v>0</v>
      </c>
      <c r="N151" s="502">
        <f t="shared" si="88"/>
        <v>0</v>
      </c>
      <c r="O151" s="502">
        <f t="shared" si="89"/>
        <v>0</v>
      </c>
      <c r="P151" s="502">
        <f t="shared" si="90"/>
        <v>0</v>
      </c>
      <c r="Q151" s="503">
        <f t="shared" si="91"/>
        <v>0</v>
      </c>
      <c r="R151" s="504">
        <f t="shared" si="92"/>
        <v>0</v>
      </c>
      <c r="S151" s="504">
        <v>0</v>
      </c>
      <c r="T151" s="504">
        <v>0</v>
      </c>
      <c r="U151" s="504">
        <f t="shared" si="93"/>
        <v>0</v>
      </c>
      <c r="V151" s="503">
        <f t="shared" si="94"/>
        <v>-4.4000000000000004</v>
      </c>
      <c r="W151" s="503">
        <f t="shared" si="95"/>
        <v>0</v>
      </c>
      <c r="X151" s="503">
        <f t="shared" si="96"/>
        <v>0</v>
      </c>
      <c r="Y151" s="453">
        <f t="shared" si="97"/>
        <v>0</v>
      </c>
      <c r="Z151" s="453">
        <f t="shared" si="98"/>
        <v>0</v>
      </c>
      <c r="AA151" s="453">
        <f t="shared" si="99"/>
        <v>0</v>
      </c>
      <c r="AB151" s="453">
        <f t="shared" si="100"/>
        <v>0</v>
      </c>
      <c r="AC151" s="453">
        <f t="shared" si="101"/>
        <v>0</v>
      </c>
      <c r="AD151" s="493">
        <f t="shared" si="102"/>
        <v>0</v>
      </c>
      <c r="AE151" s="493">
        <f t="shared" si="103"/>
        <v>0</v>
      </c>
      <c r="AF151" s="493">
        <f t="shared" si="104"/>
        <v>0</v>
      </c>
      <c r="AG151" s="494">
        <f t="shared" si="105"/>
        <v>1</v>
      </c>
      <c r="AH151" s="505">
        <f t="shared" si="106"/>
        <v>0</v>
      </c>
      <c r="AI151" s="505">
        <f t="shared" si="107"/>
        <v>0</v>
      </c>
      <c r="AJ151" s="505">
        <f t="shared" si="108"/>
        <v>0</v>
      </c>
      <c r="AK151" s="505">
        <f t="shared" si="109"/>
        <v>0</v>
      </c>
      <c r="AL151" s="505">
        <f t="shared" si="110"/>
        <v>0</v>
      </c>
      <c r="AM151" s="505">
        <f t="shared" si="111"/>
        <v>0</v>
      </c>
      <c r="AN151" s="506">
        <f t="shared" si="112"/>
        <v>0</v>
      </c>
      <c r="AO151" s="507">
        <f t="shared" si="113"/>
        <v>0</v>
      </c>
      <c r="AP151" s="508">
        <f t="shared" si="114"/>
        <v>0</v>
      </c>
      <c r="AQ151" s="509">
        <f t="shared" si="115"/>
        <v>0</v>
      </c>
      <c r="AV151" s="459">
        <f>IF(BA151&gt;BA147,AV147,IF(AV147&lt;MiscData!$F$1,EOMONTH(AV147,1),EOMONTH(AV147,-11)))</f>
        <v>42490</v>
      </c>
      <c r="AW151" s="448" t="str">
        <f t="shared" si="116"/>
        <v>20140101KUCSR781</v>
      </c>
      <c r="AX151" s="457" t="str">
        <f t="shared" si="117"/>
        <v>20140101CSR30</v>
      </c>
      <c r="AY151" s="439">
        <f>IF(AV151&lt;=MiscData!$B$23,MiscData!$C$23,IF(AV151&lt;=MiscData!$B$24,MiscData!$C$24,MiscData!$C$25))</f>
        <v>20140101</v>
      </c>
      <c r="AZ151" s="439" t="str">
        <f>VLOOKUP(BA151,MiscData!$V$4:$W$42,2,FALSE)</f>
        <v>KUCSR781</v>
      </c>
      <c r="BA151" s="439">
        <f>IF(BA150=MiscData!$V$42,1,BA150+1)</f>
        <v>31</v>
      </c>
      <c r="BB151" s="439" t="str">
        <f>VLOOKUP(AZ151,MiscData!$W$4:$Y$42,3,FALSE)</f>
        <v>CSR30</v>
      </c>
    </row>
    <row r="152" spans="1:55" hidden="1">
      <c r="A152" s="498">
        <f t="shared" ref="A152:A187" si="118">A151+1</f>
        <v>137</v>
      </c>
      <c r="B152" s="499" t="str">
        <f t="shared" si="80"/>
        <v>Apr 2016</v>
      </c>
      <c r="C152" s="448" t="s">
        <v>1472</v>
      </c>
      <c r="D152" s="500" t="str">
        <f t="shared" si="81"/>
        <v>CSR30</v>
      </c>
      <c r="E152" s="500" t="str">
        <f t="shared" si="82"/>
        <v>KUCSR783</v>
      </c>
      <c r="F152" s="501">
        <f t="shared" si="83"/>
        <v>0</v>
      </c>
      <c r="G152" s="501">
        <v>0</v>
      </c>
      <c r="H152" s="501">
        <v>0</v>
      </c>
      <c r="I152" s="501">
        <v>0</v>
      </c>
      <c r="J152" s="501">
        <f t="shared" si="84"/>
        <v>0</v>
      </c>
      <c r="K152" s="482">
        <f t="shared" si="85"/>
        <v>0</v>
      </c>
      <c r="L152" s="502">
        <f t="shared" si="86"/>
        <v>0</v>
      </c>
      <c r="M152" s="502">
        <f t="shared" si="87"/>
        <v>0</v>
      </c>
      <c r="N152" s="502">
        <f t="shared" si="88"/>
        <v>0</v>
      </c>
      <c r="O152" s="502">
        <f t="shared" si="89"/>
        <v>0</v>
      </c>
      <c r="P152" s="502">
        <f t="shared" si="90"/>
        <v>0</v>
      </c>
      <c r="Q152" s="503">
        <f t="shared" si="91"/>
        <v>0</v>
      </c>
      <c r="R152" s="504">
        <f t="shared" si="92"/>
        <v>0</v>
      </c>
      <c r="S152" s="504">
        <v>0</v>
      </c>
      <c r="T152" s="504">
        <v>0</v>
      </c>
      <c r="U152" s="504">
        <f t="shared" si="93"/>
        <v>0</v>
      </c>
      <c r="V152" s="503">
        <f t="shared" si="94"/>
        <v>-4.4000000000000004</v>
      </c>
      <c r="W152" s="503">
        <f t="shared" si="95"/>
        <v>0</v>
      </c>
      <c r="X152" s="503">
        <f t="shared" si="96"/>
        <v>0</v>
      </c>
      <c r="Y152" s="453">
        <f t="shared" si="97"/>
        <v>0</v>
      </c>
      <c r="Z152" s="453">
        <f t="shared" si="98"/>
        <v>0</v>
      </c>
      <c r="AA152" s="453">
        <f t="shared" si="99"/>
        <v>0</v>
      </c>
      <c r="AB152" s="453">
        <f t="shared" si="100"/>
        <v>0</v>
      </c>
      <c r="AC152" s="453">
        <f t="shared" si="101"/>
        <v>0</v>
      </c>
      <c r="AD152" s="493">
        <f t="shared" si="102"/>
        <v>0</v>
      </c>
      <c r="AE152" s="493">
        <f t="shared" si="103"/>
        <v>0</v>
      </c>
      <c r="AF152" s="493">
        <f t="shared" si="104"/>
        <v>0</v>
      </c>
      <c r="AG152" s="494">
        <f t="shared" si="105"/>
        <v>1</v>
      </c>
      <c r="AH152" s="505">
        <f t="shared" si="106"/>
        <v>0</v>
      </c>
      <c r="AI152" s="505">
        <f t="shared" si="107"/>
        <v>0</v>
      </c>
      <c r="AJ152" s="505">
        <f t="shared" si="108"/>
        <v>0</v>
      </c>
      <c r="AK152" s="505">
        <f t="shared" si="109"/>
        <v>0</v>
      </c>
      <c r="AL152" s="505">
        <f t="shared" si="110"/>
        <v>0</v>
      </c>
      <c r="AM152" s="505">
        <f t="shared" si="111"/>
        <v>0</v>
      </c>
      <c r="AN152" s="506">
        <f t="shared" si="112"/>
        <v>0</v>
      </c>
      <c r="AO152" s="507">
        <f t="shared" si="113"/>
        <v>0</v>
      </c>
      <c r="AP152" s="508">
        <f t="shared" si="114"/>
        <v>0</v>
      </c>
      <c r="AQ152" s="509">
        <f t="shared" si="115"/>
        <v>0</v>
      </c>
      <c r="AV152" s="459">
        <f>IF(BA152&gt;BA151,AV151,IF(AV151&lt;MiscData!$F$1,EOMONTH(AV151,1),EOMONTH(AV151,-11)))</f>
        <v>42490</v>
      </c>
      <c r="AW152" s="448" t="str">
        <f t="shared" si="116"/>
        <v>20140101KUCSR783</v>
      </c>
      <c r="AX152" s="457" t="str">
        <f t="shared" si="117"/>
        <v>20140101CSR30</v>
      </c>
      <c r="AY152" s="439">
        <f>IF(AV152&lt;=MiscData!$B$23,MiscData!$C$23,IF(AV152&lt;=MiscData!$B$24,MiscData!$C$24,MiscData!$C$25))</f>
        <v>20140101</v>
      </c>
      <c r="AZ152" s="439" t="str">
        <f>VLOOKUP(BA152,MiscData!$V$4:$W$42,2,FALSE)</f>
        <v>KUCSR783</v>
      </c>
      <c r="BA152" s="439">
        <f>IF(BA151=MiscData!$V$42,1,BA151+1)</f>
        <v>32</v>
      </c>
      <c r="BB152" s="439" t="str">
        <f>VLOOKUP(AZ152,MiscData!$W$4:$Y$42,3,FALSE)</f>
        <v>CSR30</v>
      </c>
    </row>
    <row r="153" spans="1:55" hidden="1">
      <c r="A153" s="498">
        <f t="shared" si="118"/>
        <v>138</v>
      </c>
      <c r="B153" s="499" t="str">
        <f t="shared" si="80"/>
        <v>Apr 2016</v>
      </c>
      <c r="C153" s="832" t="s">
        <v>642</v>
      </c>
      <c r="D153" s="500" t="str">
        <f t="shared" si="81"/>
        <v>FLST</v>
      </c>
      <c r="E153" s="500" t="str">
        <f t="shared" si="82"/>
        <v>KUINE730</v>
      </c>
      <c r="F153" s="501">
        <f t="shared" si="83"/>
        <v>1</v>
      </c>
      <c r="G153" s="501">
        <v>0</v>
      </c>
      <c r="H153" s="501">
        <v>0</v>
      </c>
      <c r="I153" s="501">
        <v>0</v>
      </c>
      <c r="J153" s="501">
        <f t="shared" si="84"/>
        <v>47968041</v>
      </c>
      <c r="K153" s="482">
        <f t="shared" si="85"/>
        <v>185158</v>
      </c>
      <c r="L153" s="502">
        <f t="shared" si="86"/>
        <v>185158</v>
      </c>
      <c r="M153" s="502">
        <f t="shared" si="87"/>
        <v>101388</v>
      </c>
      <c r="N153" s="502">
        <f t="shared" si="88"/>
        <v>0</v>
      </c>
      <c r="O153" s="502">
        <f t="shared" si="89"/>
        <v>0</v>
      </c>
      <c r="P153" s="502">
        <f t="shared" si="90"/>
        <v>0</v>
      </c>
      <c r="Q153" s="503">
        <f t="shared" si="91"/>
        <v>750</v>
      </c>
      <c r="R153" s="504">
        <f t="shared" si="92"/>
        <v>3.261E-2</v>
      </c>
      <c r="S153" s="504">
        <v>0</v>
      </c>
      <c r="T153" s="504">
        <v>0</v>
      </c>
      <c r="U153" s="504">
        <f t="shared" si="93"/>
        <v>2.8920000000000001E-2</v>
      </c>
      <c r="V153" s="503">
        <f t="shared" si="94"/>
        <v>1.05</v>
      </c>
      <c r="W153" s="503">
        <f t="shared" si="95"/>
        <v>1.52</v>
      </c>
      <c r="X153" s="503">
        <f t="shared" si="96"/>
        <v>2.41</v>
      </c>
      <c r="Y153" s="453">
        <f t="shared" si="97"/>
        <v>750</v>
      </c>
      <c r="Z153" s="453">
        <f t="shared" si="98"/>
        <v>1564237.82</v>
      </c>
      <c r="AA153" s="453">
        <f t="shared" si="99"/>
        <v>194415.9</v>
      </c>
      <c r="AB153" s="453">
        <f t="shared" si="100"/>
        <v>281440.15999999997</v>
      </c>
      <c r="AC153" s="453">
        <f t="shared" si="101"/>
        <v>244345.08</v>
      </c>
      <c r="AD153" s="493">
        <f t="shared" si="102"/>
        <v>720201.1399999999</v>
      </c>
      <c r="AE153" s="493">
        <f t="shared" si="103"/>
        <v>2285188.96</v>
      </c>
      <c r="AF153" s="493">
        <f t="shared" si="104"/>
        <v>2285186</v>
      </c>
      <c r="AG153" s="494">
        <f t="shared" si="105"/>
        <v>0.99999870470230179</v>
      </c>
      <c r="AH153" s="505">
        <f t="shared" si="106"/>
        <v>185897</v>
      </c>
      <c r="AI153" s="505">
        <f t="shared" si="107"/>
        <v>0</v>
      </c>
      <c r="AJ153" s="505">
        <f t="shared" si="108"/>
        <v>359930</v>
      </c>
      <c r="AK153" s="505">
        <f t="shared" si="109"/>
        <v>0</v>
      </c>
      <c r="AL153" s="505">
        <f t="shared" si="110"/>
        <v>0</v>
      </c>
      <c r="AM153" s="505">
        <f t="shared" si="111"/>
        <v>2831013</v>
      </c>
      <c r="AN153" s="506">
        <f t="shared" si="112"/>
        <v>2831015.96</v>
      </c>
      <c r="AO153" s="507">
        <f t="shared" si="113"/>
        <v>-2.9599999999627471</v>
      </c>
      <c r="AP153" s="508">
        <f t="shared" si="114"/>
        <v>1387235.75</v>
      </c>
      <c r="AQ153" s="509">
        <f t="shared" si="115"/>
        <v>177002.07000000007</v>
      </c>
      <c r="AV153" s="459">
        <f>IF(BA153&gt;BA152,AV152,IF(AV152&lt;MiscData!$F$1,EOMONTH(AV152,1),EOMONTH(AV152,-11)))</f>
        <v>42490</v>
      </c>
      <c r="AW153" s="448" t="str">
        <f t="shared" si="116"/>
        <v>20140101KUINE730</v>
      </c>
      <c r="AX153" s="457" t="str">
        <f t="shared" si="117"/>
        <v>20140101FLST</v>
      </c>
      <c r="AY153" s="439">
        <f>IF(AV153&lt;=MiscData!$B$23,MiscData!$C$23,IF(AV153&lt;=MiscData!$B$24,MiscData!$C$24,MiscData!$C$25))</f>
        <v>20140101</v>
      </c>
      <c r="AZ153" s="439" t="str">
        <f>VLOOKUP(BA153,MiscData!$V$4:$W$42,2,FALSE)</f>
        <v>KUINE730</v>
      </c>
      <c r="BA153" s="439">
        <f>IF(BA152=MiscData!$V$42,1,BA152+1)</f>
        <v>33</v>
      </c>
      <c r="BB153" s="439" t="str">
        <f>VLOOKUP(AZ153,MiscData!$W$4:$Y$42,3,FALSE)</f>
        <v>FLST</v>
      </c>
    </row>
    <row r="154" spans="1:55" hidden="1">
      <c r="A154" s="498">
        <f t="shared" si="118"/>
        <v>139</v>
      </c>
      <c r="B154" s="499" t="str">
        <f t="shared" si="80"/>
        <v>Apr 2016</v>
      </c>
      <c r="C154" s="499" t="s">
        <v>14</v>
      </c>
      <c r="D154" s="500" t="str">
        <f t="shared" si="81"/>
        <v>RS</v>
      </c>
      <c r="E154" s="500" t="str">
        <f t="shared" si="82"/>
        <v>KURSE010</v>
      </c>
      <c r="F154" s="501">
        <f t="shared" si="83"/>
        <v>431179</v>
      </c>
      <c r="G154" s="501">
        <v>0</v>
      </c>
      <c r="H154" s="501">
        <v>0</v>
      </c>
      <c r="I154" s="501">
        <v>0</v>
      </c>
      <c r="J154" s="501">
        <f t="shared" si="84"/>
        <v>411408947</v>
      </c>
      <c r="K154" s="482">
        <f t="shared" si="85"/>
        <v>0</v>
      </c>
      <c r="L154" s="502">
        <f t="shared" si="86"/>
        <v>0</v>
      </c>
      <c r="M154" s="502">
        <f t="shared" si="87"/>
        <v>0</v>
      </c>
      <c r="N154" s="502">
        <f t="shared" si="88"/>
        <v>0</v>
      </c>
      <c r="O154" s="502">
        <f t="shared" si="89"/>
        <v>0</v>
      </c>
      <c r="P154" s="502">
        <f t="shared" si="90"/>
        <v>0</v>
      </c>
      <c r="Q154" s="503">
        <f t="shared" si="91"/>
        <v>10.75</v>
      </c>
      <c r="R154" s="504">
        <f t="shared" si="92"/>
        <v>7.7439999999999995E-2</v>
      </c>
      <c r="S154" s="504">
        <v>0</v>
      </c>
      <c r="T154" s="504">
        <v>0</v>
      </c>
      <c r="U154" s="504">
        <f t="shared" si="93"/>
        <v>2.8920000000000001E-2</v>
      </c>
      <c r="V154" s="503">
        <f t="shared" si="94"/>
        <v>0</v>
      </c>
      <c r="W154" s="503">
        <f t="shared" si="95"/>
        <v>0</v>
      </c>
      <c r="X154" s="503">
        <f t="shared" si="96"/>
        <v>0</v>
      </c>
      <c r="Y154" s="453">
        <f t="shared" si="97"/>
        <v>4635174.25</v>
      </c>
      <c r="Z154" s="453">
        <f t="shared" si="98"/>
        <v>31859508.859999999</v>
      </c>
      <c r="AA154" s="453">
        <f t="shared" si="99"/>
        <v>0</v>
      </c>
      <c r="AB154" s="453">
        <f t="shared" si="100"/>
        <v>0</v>
      </c>
      <c r="AC154" s="453">
        <f t="shared" si="101"/>
        <v>0</v>
      </c>
      <c r="AD154" s="493">
        <f t="shared" si="102"/>
        <v>0</v>
      </c>
      <c r="AE154" s="493">
        <f t="shared" si="103"/>
        <v>36494683.109999999</v>
      </c>
      <c r="AF154" s="493">
        <f t="shared" si="104"/>
        <v>36495331</v>
      </c>
      <c r="AG154" s="494">
        <f t="shared" si="105"/>
        <v>1.0000177529970065</v>
      </c>
      <c r="AH154" s="505">
        <f t="shared" si="106"/>
        <v>1594417</v>
      </c>
      <c r="AI154" s="505">
        <f t="shared" si="107"/>
        <v>539245</v>
      </c>
      <c r="AJ154" s="505">
        <f t="shared" si="108"/>
        <v>3087074</v>
      </c>
      <c r="AK154" s="505">
        <f t="shared" si="109"/>
        <v>0</v>
      </c>
      <c r="AL154" s="505">
        <f t="shared" si="110"/>
        <v>0</v>
      </c>
      <c r="AM154" s="505">
        <f t="shared" si="111"/>
        <v>41716067</v>
      </c>
      <c r="AN154" s="506">
        <f t="shared" si="112"/>
        <v>41715419.109999999</v>
      </c>
      <c r="AO154" s="507">
        <f t="shared" si="113"/>
        <v>647.89000000059605</v>
      </c>
      <c r="AP154" s="508">
        <f t="shared" si="114"/>
        <v>11897946.75</v>
      </c>
      <c r="AQ154" s="509">
        <f t="shared" si="115"/>
        <v>19961562.109999999</v>
      </c>
      <c r="AV154" s="459">
        <f>IF(BA154&gt;BA153,AV153,IF(AV153&lt;MiscData!$F$1,EOMONTH(AV153,1),EOMONTH(AV153,-11)))</f>
        <v>42490</v>
      </c>
      <c r="AW154" s="448" t="str">
        <f t="shared" si="116"/>
        <v>20140101KURSE010</v>
      </c>
      <c r="AX154" s="457" t="str">
        <f t="shared" si="117"/>
        <v>20140101RS</v>
      </c>
      <c r="AY154" s="439">
        <f>IF(AV154&lt;=MiscData!$B$23,MiscData!$C$23,IF(AV154&lt;=MiscData!$B$24,MiscData!$C$24,MiscData!$C$25))</f>
        <v>20140101</v>
      </c>
      <c r="AZ154" s="439" t="str">
        <f>VLOOKUP(BA154,MiscData!$V$4:$W$42,2,FALSE)</f>
        <v>KURSE010</v>
      </c>
      <c r="BA154" s="439">
        <f>IF(BA153=MiscData!$V$42,1,BA153+1)</f>
        <v>34</v>
      </c>
      <c r="BB154" s="439" t="str">
        <f>VLOOKUP(AZ154,MiscData!$W$4:$Y$42,3,FALSE)</f>
        <v>RS</v>
      </c>
    </row>
    <row r="155" spans="1:55" hidden="1">
      <c r="A155" s="498">
        <f t="shared" si="118"/>
        <v>140</v>
      </c>
      <c r="B155" s="499" t="str">
        <f t="shared" si="80"/>
        <v>Apr 2016</v>
      </c>
      <c r="C155" s="499" t="s">
        <v>14</v>
      </c>
      <c r="D155" s="500" t="str">
        <f t="shared" si="81"/>
        <v>RS</v>
      </c>
      <c r="E155" s="500" t="str">
        <f t="shared" si="82"/>
        <v>KURSE020</v>
      </c>
      <c r="F155" s="501">
        <f t="shared" si="83"/>
        <v>0</v>
      </c>
      <c r="G155" s="501">
        <v>0</v>
      </c>
      <c r="H155" s="501">
        <v>0</v>
      </c>
      <c r="I155" s="501">
        <v>0</v>
      </c>
      <c r="J155" s="501">
        <f t="shared" si="84"/>
        <v>0</v>
      </c>
      <c r="K155" s="482">
        <f t="shared" si="85"/>
        <v>0</v>
      </c>
      <c r="L155" s="502">
        <f t="shared" si="86"/>
        <v>0</v>
      </c>
      <c r="M155" s="502">
        <f t="shared" si="87"/>
        <v>0</v>
      </c>
      <c r="N155" s="502">
        <f t="shared" si="88"/>
        <v>0</v>
      </c>
      <c r="O155" s="502">
        <f t="shared" si="89"/>
        <v>0</v>
      </c>
      <c r="P155" s="502">
        <f t="shared" si="90"/>
        <v>0</v>
      </c>
      <c r="Q155" s="503">
        <f t="shared" si="91"/>
        <v>10.75</v>
      </c>
      <c r="R155" s="504">
        <f t="shared" si="92"/>
        <v>7.7439999999999995E-2</v>
      </c>
      <c r="S155" s="504">
        <v>0</v>
      </c>
      <c r="T155" s="504">
        <v>0</v>
      </c>
      <c r="U155" s="504">
        <f t="shared" si="93"/>
        <v>2.8920000000000001E-2</v>
      </c>
      <c r="V155" s="503">
        <f t="shared" si="94"/>
        <v>0</v>
      </c>
      <c r="W155" s="503">
        <f t="shared" si="95"/>
        <v>0</v>
      </c>
      <c r="X155" s="503">
        <f t="shared" si="96"/>
        <v>0</v>
      </c>
      <c r="Y155" s="453">
        <f t="shared" si="97"/>
        <v>0</v>
      </c>
      <c r="Z155" s="453">
        <f t="shared" si="98"/>
        <v>0</v>
      </c>
      <c r="AA155" s="453">
        <f t="shared" si="99"/>
        <v>0</v>
      </c>
      <c r="AB155" s="453">
        <f t="shared" si="100"/>
        <v>0</v>
      </c>
      <c r="AC155" s="453">
        <f t="shared" si="101"/>
        <v>0</v>
      </c>
      <c r="AD155" s="493">
        <f t="shared" si="102"/>
        <v>0</v>
      </c>
      <c r="AE155" s="493">
        <f t="shared" si="103"/>
        <v>0</v>
      </c>
      <c r="AF155" s="493">
        <f t="shared" si="104"/>
        <v>0</v>
      </c>
      <c r="AG155" s="494">
        <f t="shared" si="105"/>
        <v>1</v>
      </c>
      <c r="AH155" s="505">
        <f t="shared" si="106"/>
        <v>0</v>
      </c>
      <c r="AI155" s="505">
        <f t="shared" si="107"/>
        <v>0</v>
      </c>
      <c r="AJ155" s="505">
        <f t="shared" si="108"/>
        <v>0</v>
      </c>
      <c r="AK155" s="505">
        <f t="shared" si="109"/>
        <v>0</v>
      </c>
      <c r="AL155" s="505">
        <f t="shared" si="110"/>
        <v>0</v>
      </c>
      <c r="AM155" s="505">
        <f t="shared" si="111"/>
        <v>0</v>
      </c>
      <c r="AN155" s="506">
        <f t="shared" si="112"/>
        <v>0</v>
      </c>
      <c r="AO155" s="507">
        <f t="shared" si="113"/>
        <v>0</v>
      </c>
      <c r="AP155" s="508">
        <f t="shared" si="114"/>
        <v>0</v>
      </c>
      <c r="AQ155" s="509">
        <f t="shared" si="115"/>
        <v>0</v>
      </c>
      <c r="AV155" s="459">
        <f>IF(BA155&gt;BA154,AV154,IF(AV154&lt;MiscData!$F$1,EOMONTH(AV154,1),EOMONTH(AV154,-11)))</f>
        <v>42490</v>
      </c>
      <c r="AW155" s="448" t="str">
        <f t="shared" si="116"/>
        <v>20140101KURSE020</v>
      </c>
      <c r="AX155" s="457" t="str">
        <f t="shared" si="117"/>
        <v>20140101RS</v>
      </c>
      <c r="AY155" s="439">
        <f>IF(AV155&lt;=MiscData!$B$23,MiscData!$C$23,IF(AV155&lt;=MiscData!$B$24,MiscData!$C$24,MiscData!$C$25))</f>
        <v>20140101</v>
      </c>
      <c r="AZ155" s="439" t="str">
        <f>VLOOKUP(BA155,MiscData!$V$4:$W$42,2,FALSE)</f>
        <v>KURSE020</v>
      </c>
      <c r="BA155" s="439">
        <f>IF(BA154=MiscData!$V$42,1,BA154+1)</f>
        <v>35</v>
      </c>
      <c r="BB155" s="439" t="str">
        <f>VLOOKUP(AZ155,MiscData!$W$4:$Y$42,3,FALSE)</f>
        <v>RS</v>
      </c>
    </row>
    <row r="156" spans="1:55" hidden="1">
      <c r="A156" s="498">
        <f t="shared" si="118"/>
        <v>141</v>
      </c>
      <c r="B156" s="499" t="str">
        <f t="shared" si="80"/>
        <v>Apr 2016</v>
      </c>
      <c r="C156" s="499" t="s">
        <v>14</v>
      </c>
      <c r="D156" s="500" t="str">
        <f t="shared" si="81"/>
        <v>RS</v>
      </c>
      <c r="E156" s="500" t="str">
        <f t="shared" si="82"/>
        <v>KURSE025</v>
      </c>
      <c r="F156" s="501">
        <f t="shared" si="83"/>
        <v>0</v>
      </c>
      <c r="G156" s="501">
        <v>0</v>
      </c>
      <c r="H156" s="501">
        <v>0</v>
      </c>
      <c r="I156" s="501">
        <v>0</v>
      </c>
      <c r="J156" s="501">
        <f t="shared" si="84"/>
        <v>0</v>
      </c>
      <c r="K156" s="482">
        <f t="shared" si="85"/>
        <v>0</v>
      </c>
      <c r="L156" s="502">
        <f t="shared" si="86"/>
        <v>0</v>
      </c>
      <c r="M156" s="502">
        <f t="shared" si="87"/>
        <v>0</v>
      </c>
      <c r="N156" s="502">
        <f t="shared" si="88"/>
        <v>0</v>
      </c>
      <c r="O156" s="502">
        <f t="shared" si="89"/>
        <v>0</v>
      </c>
      <c r="P156" s="502">
        <f t="shared" si="90"/>
        <v>0</v>
      </c>
      <c r="Q156" s="503">
        <f t="shared" si="91"/>
        <v>10.75</v>
      </c>
      <c r="R156" s="504">
        <f t="shared" si="92"/>
        <v>7.7439999999999995E-2</v>
      </c>
      <c r="S156" s="504">
        <v>0</v>
      </c>
      <c r="T156" s="504">
        <v>0</v>
      </c>
      <c r="U156" s="504">
        <f t="shared" si="93"/>
        <v>2.8920000000000001E-2</v>
      </c>
      <c r="V156" s="503">
        <f t="shared" si="94"/>
        <v>0</v>
      </c>
      <c r="W156" s="503">
        <f t="shared" si="95"/>
        <v>0</v>
      </c>
      <c r="X156" s="503">
        <f t="shared" si="96"/>
        <v>0</v>
      </c>
      <c r="Y156" s="453">
        <f t="shared" si="97"/>
        <v>0</v>
      </c>
      <c r="Z156" s="453">
        <f t="shared" si="98"/>
        <v>0</v>
      </c>
      <c r="AA156" s="453">
        <f t="shared" si="99"/>
        <v>0</v>
      </c>
      <c r="AB156" s="453">
        <f t="shared" si="100"/>
        <v>0</v>
      </c>
      <c r="AC156" s="453">
        <f t="shared" si="101"/>
        <v>0</v>
      </c>
      <c r="AD156" s="493">
        <f t="shared" si="102"/>
        <v>0</v>
      </c>
      <c r="AE156" s="493">
        <f t="shared" si="103"/>
        <v>0</v>
      </c>
      <c r="AF156" s="493">
        <f t="shared" si="104"/>
        <v>0</v>
      </c>
      <c r="AG156" s="494">
        <f t="shared" si="105"/>
        <v>1</v>
      </c>
      <c r="AH156" s="505">
        <f t="shared" si="106"/>
        <v>0</v>
      </c>
      <c r="AI156" s="505">
        <f t="shared" si="107"/>
        <v>0</v>
      </c>
      <c r="AJ156" s="505">
        <f t="shared" si="108"/>
        <v>0</v>
      </c>
      <c r="AK156" s="505">
        <f t="shared" si="109"/>
        <v>0</v>
      </c>
      <c r="AL156" s="505">
        <f t="shared" si="110"/>
        <v>0</v>
      </c>
      <c r="AM156" s="505">
        <f t="shared" si="111"/>
        <v>0</v>
      </c>
      <c r="AN156" s="506">
        <f t="shared" si="112"/>
        <v>0</v>
      </c>
      <c r="AO156" s="507">
        <f t="shared" si="113"/>
        <v>0</v>
      </c>
      <c r="AP156" s="508">
        <f t="shared" si="114"/>
        <v>0</v>
      </c>
      <c r="AQ156" s="509">
        <f t="shared" si="115"/>
        <v>0</v>
      </c>
      <c r="AV156" s="459">
        <f>IF(BA156&gt;BA155,AV155,IF(AV155&lt;MiscData!$F$1,EOMONTH(AV155,1),EOMONTH(AV155,-11)))</f>
        <v>42490</v>
      </c>
      <c r="AW156" s="448" t="str">
        <f t="shared" si="116"/>
        <v>20140101KURSE025</v>
      </c>
      <c r="AX156" s="457" t="str">
        <f t="shared" si="117"/>
        <v>20140101RS</v>
      </c>
      <c r="AY156" s="439">
        <f>IF(AV156&lt;=MiscData!$B$23,MiscData!$C$23,IF(AV156&lt;=MiscData!$B$24,MiscData!$C$24,MiscData!$C$25))</f>
        <v>20140101</v>
      </c>
      <c r="AZ156" s="439" t="str">
        <f>VLOOKUP(BA156,MiscData!$V$4:$W$42,2,FALSE)</f>
        <v>KURSE025</v>
      </c>
      <c r="BA156" s="439">
        <f>IF(BA155=MiscData!$V$42,1,BA155+1)</f>
        <v>36</v>
      </c>
      <c r="BB156" s="439" t="str">
        <f>VLOOKUP(AZ156,MiscData!$W$4:$Y$42,3,FALSE)</f>
        <v>RS</v>
      </c>
    </row>
    <row r="157" spans="1:55" hidden="1">
      <c r="A157" s="498">
        <f t="shared" si="118"/>
        <v>142</v>
      </c>
      <c r="B157" s="499" t="str">
        <f t="shared" si="80"/>
        <v>Apr 2016</v>
      </c>
      <c r="C157" s="499" t="s">
        <v>828</v>
      </c>
      <c r="D157" s="500" t="str">
        <f t="shared" si="81"/>
        <v>RSLEV</v>
      </c>
      <c r="E157" s="500" t="str">
        <f t="shared" si="82"/>
        <v>KURSE040</v>
      </c>
      <c r="F157" s="501">
        <f t="shared" si="83"/>
        <v>7</v>
      </c>
      <c r="G157" s="501">
        <f>SUMIFS(_1022_KWH_P1,_1022_RevenueMonth,$B157,_1022_RateCategory,$E157)</f>
        <v>5242</v>
      </c>
      <c r="H157" s="501">
        <f>SUMIFS(_1022_KWH_P2,_1022_RevenueMonth,$B157,_1022_RateCategory,$E157)</f>
        <v>1243</v>
      </c>
      <c r="I157" s="501">
        <f>SUMIFS(_1022_KWH_P3,_1022_RevenueMonth,$B157,_1022_RateCategory,$E157)</f>
        <v>922</v>
      </c>
      <c r="J157" s="501">
        <f t="shared" si="84"/>
        <v>7407</v>
      </c>
      <c r="K157" s="482">
        <f t="shared" si="85"/>
        <v>0</v>
      </c>
      <c r="L157" s="502">
        <f t="shared" si="86"/>
        <v>0</v>
      </c>
      <c r="M157" s="502">
        <f t="shared" si="87"/>
        <v>0</v>
      </c>
      <c r="N157" s="502">
        <f t="shared" si="88"/>
        <v>0</v>
      </c>
      <c r="O157" s="502">
        <f t="shared" si="89"/>
        <v>0</v>
      </c>
      <c r="P157" s="502">
        <f t="shared" si="90"/>
        <v>0</v>
      </c>
      <c r="Q157" s="503">
        <f t="shared" si="91"/>
        <v>10.75</v>
      </c>
      <c r="R157" s="504">
        <f t="shared" si="92"/>
        <v>5.5870000000000003E-2</v>
      </c>
      <c r="S157" s="504">
        <f>SUMIF(_Rates_Tariff_Category,$AW157,_Rates_Energy_P2)</f>
        <v>7.7630000000000005E-2</v>
      </c>
      <c r="T157" s="504">
        <f>SUMIF(_Rates_Tariff_Category,$AW157,_Rates_Energy_P3)</f>
        <v>0.14297000000000001</v>
      </c>
      <c r="U157" s="504">
        <f t="shared" si="93"/>
        <v>2.8920000000000001E-2</v>
      </c>
      <c r="V157" s="503">
        <f t="shared" si="94"/>
        <v>0</v>
      </c>
      <c r="W157" s="503">
        <f t="shared" si="95"/>
        <v>0</v>
      </c>
      <c r="X157" s="503">
        <f t="shared" si="96"/>
        <v>0</v>
      </c>
      <c r="Y157" s="453">
        <f t="shared" si="97"/>
        <v>75.25</v>
      </c>
      <c r="Z157" s="453">
        <f t="shared" si="98"/>
        <v>521.17999999999995</v>
      </c>
      <c r="AA157" s="453">
        <f t="shared" si="99"/>
        <v>0</v>
      </c>
      <c r="AB157" s="453">
        <f t="shared" si="100"/>
        <v>0</v>
      </c>
      <c r="AC157" s="453">
        <f t="shared" si="101"/>
        <v>0</v>
      </c>
      <c r="AD157" s="493">
        <f t="shared" si="102"/>
        <v>0</v>
      </c>
      <c r="AE157" s="493">
        <f t="shared" si="103"/>
        <v>596.42999999999995</v>
      </c>
      <c r="AF157" s="493">
        <f t="shared" si="104"/>
        <v>0</v>
      </c>
      <c r="AG157" s="494">
        <f t="shared" si="105"/>
        <v>0</v>
      </c>
      <c r="AH157" s="505">
        <f t="shared" si="106"/>
        <v>0</v>
      </c>
      <c r="AI157" s="505">
        <f t="shared" si="107"/>
        <v>0</v>
      </c>
      <c r="AJ157" s="505">
        <f t="shared" si="108"/>
        <v>0</v>
      </c>
      <c r="AK157" s="505">
        <f t="shared" si="109"/>
        <v>0</v>
      </c>
      <c r="AL157" s="505">
        <f t="shared" si="110"/>
        <v>0</v>
      </c>
      <c r="AM157" s="505">
        <f t="shared" si="111"/>
        <v>0</v>
      </c>
      <c r="AN157" s="506">
        <f t="shared" si="112"/>
        <v>596.42999999999995</v>
      </c>
      <c r="AO157" s="507">
        <f t="shared" si="113"/>
        <v>-596.42999999999995</v>
      </c>
      <c r="AP157" s="508">
        <f t="shared" si="114"/>
        <v>214.21</v>
      </c>
      <c r="AQ157" s="509">
        <f t="shared" si="115"/>
        <v>306.96999999999991</v>
      </c>
      <c r="AV157" s="459">
        <f>IF(BA157&gt;BA156,AV156,IF(AV156&lt;MiscData!$F$1,EOMONTH(AV156,1),EOMONTH(AV156,-11)))</f>
        <v>42490</v>
      </c>
      <c r="AW157" s="448" t="str">
        <f t="shared" si="116"/>
        <v>20140101KURSE040</v>
      </c>
      <c r="AX157" s="457" t="str">
        <f t="shared" si="117"/>
        <v>20140101RSLEV</v>
      </c>
      <c r="AY157" s="439">
        <f>IF(AV157&lt;=MiscData!$B$23,MiscData!$C$23,IF(AV157&lt;=MiscData!$B$24,MiscData!$C$24,MiscData!$C$25))</f>
        <v>20140101</v>
      </c>
      <c r="AZ157" s="439" t="str">
        <f>VLOOKUP(BA157,MiscData!$V$4:$W$42,2,FALSE)</f>
        <v>KURSE040</v>
      </c>
      <c r="BA157" s="439">
        <f>IF(BA156=MiscData!$V$42,1,BA156+1)</f>
        <v>37</v>
      </c>
      <c r="BB157" s="439" t="str">
        <f>VLOOKUP(AZ157,MiscData!$W$4:$Y$42,3,FALSE)</f>
        <v>RSLEV</v>
      </c>
    </row>
    <row r="158" spans="1:55" hidden="1">
      <c r="A158" s="498">
        <f t="shared" si="118"/>
        <v>143</v>
      </c>
      <c r="B158" s="499" t="str">
        <f t="shared" si="80"/>
        <v>Apr 2016</v>
      </c>
      <c r="C158" s="448" t="s">
        <v>14</v>
      </c>
      <c r="D158" s="500" t="str">
        <f t="shared" si="81"/>
        <v>RSVFD</v>
      </c>
      <c r="E158" s="500" t="str">
        <f t="shared" si="82"/>
        <v>KURSE080</v>
      </c>
      <c r="F158" s="501">
        <f t="shared" si="83"/>
        <v>0</v>
      </c>
      <c r="G158" s="501">
        <v>0</v>
      </c>
      <c r="H158" s="501">
        <v>0</v>
      </c>
      <c r="I158" s="501">
        <v>0</v>
      </c>
      <c r="J158" s="501">
        <f t="shared" si="84"/>
        <v>0</v>
      </c>
      <c r="K158" s="482">
        <f t="shared" si="85"/>
        <v>0</v>
      </c>
      <c r="L158" s="502">
        <f t="shared" si="86"/>
        <v>0</v>
      </c>
      <c r="M158" s="502">
        <f t="shared" si="87"/>
        <v>0</v>
      </c>
      <c r="N158" s="502">
        <f t="shared" si="88"/>
        <v>0</v>
      </c>
      <c r="O158" s="502">
        <f t="shared" si="89"/>
        <v>0</v>
      </c>
      <c r="P158" s="502">
        <f t="shared" si="90"/>
        <v>0</v>
      </c>
      <c r="Q158" s="503">
        <f t="shared" si="91"/>
        <v>10.75</v>
      </c>
      <c r="R158" s="504">
        <f t="shared" si="92"/>
        <v>7.7439999999999995E-2</v>
      </c>
      <c r="S158" s="504">
        <v>0</v>
      </c>
      <c r="T158" s="504">
        <v>0</v>
      </c>
      <c r="U158" s="504">
        <f t="shared" si="93"/>
        <v>2.8920000000000001E-2</v>
      </c>
      <c r="V158" s="503">
        <f t="shared" si="94"/>
        <v>0</v>
      </c>
      <c r="W158" s="503">
        <f t="shared" si="95"/>
        <v>0</v>
      </c>
      <c r="X158" s="503">
        <f t="shared" si="96"/>
        <v>0</v>
      </c>
      <c r="Y158" s="453">
        <f t="shared" si="97"/>
        <v>0</v>
      </c>
      <c r="Z158" s="453">
        <f t="shared" si="98"/>
        <v>0</v>
      </c>
      <c r="AA158" s="453">
        <f t="shared" si="99"/>
        <v>0</v>
      </c>
      <c r="AB158" s="453">
        <f t="shared" si="100"/>
        <v>0</v>
      </c>
      <c r="AC158" s="453">
        <f t="shared" si="101"/>
        <v>0</v>
      </c>
      <c r="AD158" s="493">
        <f t="shared" si="102"/>
        <v>0</v>
      </c>
      <c r="AE158" s="493">
        <f t="shared" si="103"/>
        <v>0</v>
      </c>
      <c r="AF158" s="493">
        <f t="shared" si="104"/>
        <v>0</v>
      </c>
      <c r="AG158" s="494">
        <f t="shared" si="105"/>
        <v>1</v>
      </c>
      <c r="AH158" s="505">
        <f t="shared" si="106"/>
        <v>0</v>
      </c>
      <c r="AI158" s="505">
        <f t="shared" si="107"/>
        <v>0</v>
      </c>
      <c r="AJ158" s="505">
        <f t="shared" si="108"/>
        <v>0</v>
      </c>
      <c r="AK158" s="505">
        <f t="shared" si="109"/>
        <v>0</v>
      </c>
      <c r="AL158" s="505">
        <f t="shared" si="110"/>
        <v>0</v>
      </c>
      <c r="AM158" s="505">
        <f t="shared" si="111"/>
        <v>0</v>
      </c>
      <c r="AN158" s="506">
        <f t="shared" si="112"/>
        <v>0</v>
      </c>
      <c r="AO158" s="507">
        <f t="shared" si="113"/>
        <v>0</v>
      </c>
      <c r="AP158" s="508">
        <f t="shared" si="114"/>
        <v>0</v>
      </c>
      <c r="AQ158" s="509">
        <f t="shared" si="115"/>
        <v>0</v>
      </c>
      <c r="AV158" s="459">
        <f>IF(BA158&gt;BA157,AV157,IF(AV157&lt;MiscData!$F$1,EOMONTH(AV157,1),EOMONTH(AV157,-11)))</f>
        <v>42490</v>
      </c>
      <c r="AW158" s="448" t="str">
        <f t="shared" si="116"/>
        <v>20140101KURSE080</v>
      </c>
      <c r="AX158" s="457" t="str">
        <f t="shared" si="117"/>
        <v>20140101RSVFD</v>
      </c>
      <c r="AY158" s="439">
        <f>IF(AV158&lt;=MiscData!$B$23,MiscData!$C$23,IF(AV158&lt;=MiscData!$B$24,MiscData!$C$24,MiscData!$C$25))</f>
        <v>20140101</v>
      </c>
      <c r="AZ158" s="439" t="str">
        <f>VLOOKUP(BA158,MiscData!$V$4:$W$42,2,FALSE)</f>
        <v>KURSE080</v>
      </c>
      <c r="BA158" s="439">
        <f>IF(BA157=MiscData!$V$42,1,BA157+1)</f>
        <v>38</v>
      </c>
      <c r="BB158" s="439" t="str">
        <f>VLOOKUP(AZ158,MiscData!$W$4:$Y$42,3,FALSE)</f>
        <v>RSVFD</v>
      </c>
    </row>
    <row r="159" spans="1:55" s="511" customFormat="1" hidden="1">
      <c r="A159" s="499">
        <f t="shared" si="118"/>
        <v>144</v>
      </c>
      <c r="B159" s="499" t="str">
        <f t="shared" si="80"/>
        <v>Apr 2016</v>
      </c>
      <c r="C159" s="499" t="s">
        <v>14</v>
      </c>
      <c r="D159" s="500" t="str">
        <f t="shared" si="81"/>
        <v>RS</v>
      </c>
      <c r="E159" s="500" t="str">
        <f t="shared" si="82"/>
        <v>KURSE715</v>
      </c>
      <c r="F159" s="501">
        <f t="shared" si="83"/>
        <v>0</v>
      </c>
      <c r="G159" s="501">
        <v>0</v>
      </c>
      <c r="H159" s="501">
        <v>0</v>
      </c>
      <c r="I159" s="501">
        <v>0</v>
      </c>
      <c r="J159" s="501">
        <f t="shared" si="84"/>
        <v>0</v>
      </c>
      <c r="K159" s="502">
        <f t="shared" si="85"/>
        <v>0</v>
      </c>
      <c r="L159" s="502">
        <f t="shared" si="86"/>
        <v>0</v>
      </c>
      <c r="M159" s="502">
        <f t="shared" si="87"/>
        <v>0</v>
      </c>
      <c r="N159" s="502">
        <f t="shared" si="88"/>
        <v>0</v>
      </c>
      <c r="O159" s="502">
        <f t="shared" si="89"/>
        <v>0</v>
      </c>
      <c r="P159" s="502">
        <f t="shared" si="90"/>
        <v>0</v>
      </c>
      <c r="Q159" s="503">
        <f t="shared" si="91"/>
        <v>10.75</v>
      </c>
      <c r="R159" s="504">
        <f t="shared" si="92"/>
        <v>7.7439999999999995E-2</v>
      </c>
      <c r="S159" s="504">
        <v>0</v>
      </c>
      <c r="T159" s="504">
        <v>0</v>
      </c>
      <c r="U159" s="504">
        <f t="shared" si="93"/>
        <v>2.8920000000000001E-2</v>
      </c>
      <c r="V159" s="503">
        <f t="shared" si="94"/>
        <v>0</v>
      </c>
      <c r="W159" s="503">
        <f t="shared" si="95"/>
        <v>0</v>
      </c>
      <c r="X159" s="503">
        <f t="shared" si="96"/>
        <v>0</v>
      </c>
      <c r="Y159" s="453">
        <f t="shared" si="97"/>
        <v>0</v>
      </c>
      <c r="Z159" s="453">
        <f t="shared" si="98"/>
        <v>0</v>
      </c>
      <c r="AA159" s="453">
        <f t="shared" si="99"/>
        <v>0</v>
      </c>
      <c r="AB159" s="453">
        <f t="shared" si="100"/>
        <v>0</v>
      </c>
      <c r="AC159" s="453">
        <f t="shared" si="101"/>
        <v>0</v>
      </c>
      <c r="AD159" s="493">
        <f t="shared" si="102"/>
        <v>0</v>
      </c>
      <c r="AE159" s="493">
        <f t="shared" si="103"/>
        <v>0</v>
      </c>
      <c r="AF159" s="493">
        <f t="shared" si="104"/>
        <v>0</v>
      </c>
      <c r="AG159" s="494">
        <f t="shared" si="105"/>
        <v>1</v>
      </c>
      <c r="AH159" s="505">
        <f t="shared" si="106"/>
        <v>0</v>
      </c>
      <c r="AI159" s="505">
        <f t="shared" si="107"/>
        <v>0</v>
      </c>
      <c r="AJ159" s="505">
        <f t="shared" si="108"/>
        <v>0</v>
      </c>
      <c r="AK159" s="505">
        <f t="shared" si="109"/>
        <v>0</v>
      </c>
      <c r="AL159" s="505">
        <f t="shared" si="110"/>
        <v>0</v>
      </c>
      <c r="AM159" s="505">
        <f t="shared" si="111"/>
        <v>0</v>
      </c>
      <c r="AN159" s="506">
        <f t="shared" si="112"/>
        <v>0</v>
      </c>
      <c r="AO159" s="507">
        <f t="shared" si="113"/>
        <v>0</v>
      </c>
      <c r="AP159" s="508">
        <f t="shared" si="114"/>
        <v>0</v>
      </c>
      <c r="AQ159" s="510">
        <f t="shared" si="115"/>
        <v>0</v>
      </c>
      <c r="AV159" s="512">
        <f>IF(BA159&gt;BA158,AV158,IF(AV158&lt;MiscData!$F$1,EOMONTH(AV158,1),EOMONTH(AV158,-11)))</f>
        <v>42490</v>
      </c>
      <c r="AW159" s="499" t="str">
        <f t="shared" si="116"/>
        <v>20140101KURSE715</v>
      </c>
      <c r="AX159" s="513" t="str">
        <f t="shared" si="117"/>
        <v>20140101RS</v>
      </c>
      <c r="AY159" s="511">
        <f>IF(AV159&lt;=MiscData!$B$23,MiscData!$C$23,IF(AV159&lt;=MiscData!$B$24,MiscData!$C$24,MiscData!$C$25))</f>
        <v>20140101</v>
      </c>
      <c r="AZ159" s="511" t="str">
        <f>VLOOKUP(BA159,MiscData!$V$4:$W$42,2,FALSE)</f>
        <v>KURSE715</v>
      </c>
      <c r="BA159" s="439">
        <f>IF(BA158=MiscData!$V$42,1,BA158+1)</f>
        <v>39</v>
      </c>
      <c r="BB159" s="511" t="str">
        <f>VLOOKUP(AZ159,MiscData!$W$4:$Y$42,3,FALSE)</f>
        <v>RS</v>
      </c>
      <c r="BC159" s="777"/>
    </row>
    <row r="160" spans="1:55" hidden="1">
      <c r="A160" s="498">
        <f t="shared" si="118"/>
        <v>145</v>
      </c>
      <c r="B160" s="499" t="str">
        <f t="shared" si="80"/>
        <v>May 2016</v>
      </c>
      <c r="C160" s="499" t="s">
        <v>18</v>
      </c>
      <c r="D160" s="500" t="str">
        <f t="shared" si="81"/>
        <v>RTS</v>
      </c>
      <c r="E160" s="500" t="str">
        <f t="shared" si="82"/>
        <v>KUCIE550</v>
      </c>
      <c r="F160" s="501">
        <f t="shared" si="83"/>
        <v>32</v>
      </c>
      <c r="G160" s="501">
        <v>0</v>
      </c>
      <c r="H160" s="501">
        <v>0</v>
      </c>
      <c r="I160" s="501">
        <v>0</v>
      </c>
      <c r="J160" s="501">
        <f t="shared" si="84"/>
        <v>145721919</v>
      </c>
      <c r="K160" s="502">
        <f t="shared" si="85"/>
        <v>305164</v>
      </c>
      <c r="L160" s="502">
        <f t="shared" si="86"/>
        <v>297246</v>
      </c>
      <c r="M160" s="502">
        <f t="shared" si="87"/>
        <v>289386</v>
      </c>
      <c r="N160" s="502">
        <f t="shared" si="88"/>
        <v>0</v>
      </c>
      <c r="O160" s="502">
        <f t="shared" si="89"/>
        <v>0</v>
      </c>
      <c r="P160" s="502">
        <f t="shared" si="90"/>
        <v>0</v>
      </c>
      <c r="Q160" s="503">
        <f t="shared" si="91"/>
        <v>750</v>
      </c>
      <c r="R160" s="504">
        <f t="shared" si="92"/>
        <v>3.6339999999999997E-2</v>
      </c>
      <c r="S160" s="504">
        <v>0</v>
      </c>
      <c r="T160" s="504">
        <v>0</v>
      </c>
      <c r="U160" s="504">
        <f t="shared" si="93"/>
        <v>2.8920000000000001E-2</v>
      </c>
      <c r="V160" s="503">
        <f t="shared" si="94"/>
        <v>1.34</v>
      </c>
      <c r="W160" s="503">
        <f t="shared" si="95"/>
        <v>2.87</v>
      </c>
      <c r="X160" s="503">
        <f t="shared" si="96"/>
        <v>3.97</v>
      </c>
      <c r="Y160" s="453">
        <f t="shared" si="97"/>
        <v>24000</v>
      </c>
      <c r="Z160" s="453">
        <f t="shared" si="98"/>
        <v>5295534.54</v>
      </c>
      <c r="AA160" s="453">
        <f t="shared" si="99"/>
        <v>408919.76</v>
      </c>
      <c r="AB160" s="453">
        <f t="shared" si="100"/>
        <v>853096.02</v>
      </c>
      <c r="AC160" s="453">
        <f t="shared" si="101"/>
        <v>1148862.42</v>
      </c>
      <c r="AD160" s="493">
        <f t="shared" si="102"/>
        <v>2410878.2000000002</v>
      </c>
      <c r="AE160" s="493">
        <f t="shared" si="103"/>
        <v>7730412.7400000002</v>
      </c>
      <c r="AF160" s="493">
        <f t="shared" si="104"/>
        <v>7730411</v>
      </c>
      <c r="AG160" s="494">
        <f t="shared" si="105"/>
        <v>0.9999997749149937</v>
      </c>
      <c r="AH160" s="505">
        <f t="shared" si="106"/>
        <v>131506</v>
      </c>
      <c r="AI160" s="505">
        <f t="shared" si="107"/>
        <v>0</v>
      </c>
      <c r="AJ160" s="505">
        <f t="shared" si="108"/>
        <v>988317</v>
      </c>
      <c r="AK160" s="505">
        <f t="shared" si="109"/>
        <v>0</v>
      </c>
      <c r="AL160" s="505">
        <f t="shared" si="110"/>
        <v>0</v>
      </c>
      <c r="AM160" s="505">
        <f t="shared" si="111"/>
        <v>8850234</v>
      </c>
      <c r="AN160" s="506">
        <f t="shared" si="112"/>
        <v>8850235.7400000002</v>
      </c>
      <c r="AO160" s="507">
        <f t="shared" si="113"/>
        <v>-1.7400000002235174</v>
      </c>
      <c r="AP160" s="508">
        <f t="shared" si="114"/>
        <v>4214277.9000000004</v>
      </c>
      <c r="AQ160" s="510">
        <f t="shared" si="115"/>
        <v>1081256.6399999997</v>
      </c>
      <c r="AR160" s="511"/>
      <c r="AS160" s="511"/>
      <c r="AT160" s="511"/>
      <c r="AU160" s="511"/>
      <c r="AV160" s="512">
        <f>IF(BA160&gt;BA159,AV159,IF(AV159&lt;MiscData!$F$1,EOMONTH(AV159,1),EOMONTH(AV159,-11)))</f>
        <v>42521</v>
      </c>
      <c r="AW160" s="499" t="str">
        <f t="shared" si="116"/>
        <v>20140101KUCIE550</v>
      </c>
      <c r="AX160" s="513" t="str">
        <f t="shared" si="117"/>
        <v>20140101RTS</v>
      </c>
      <c r="AY160" s="511">
        <f>IF(AV160&lt;=MiscData!$B$23,MiscData!$C$23,IF(AV160&lt;=MiscData!$B$24,MiscData!$C$24,MiscData!$C$25))</f>
        <v>20140101</v>
      </c>
      <c r="AZ160" s="511" t="str">
        <f>VLOOKUP(BA160,MiscData!$V$4:$W$42,2,FALSE)</f>
        <v>KUCIE550</v>
      </c>
      <c r="BA160" s="439">
        <f>IF(BA159=MiscData!$V$42,1,BA159+1)</f>
        <v>1</v>
      </c>
      <c r="BB160" s="514" t="str">
        <f>VLOOKUP(AZ160,MiscData!$W$4:$Y$42,3,FALSE)</f>
        <v>RTS</v>
      </c>
    </row>
    <row r="161" spans="1:54" hidden="1">
      <c r="A161" s="498">
        <f t="shared" si="118"/>
        <v>146</v>
      </c>
      <c r="B161" s="499" t="str">
        <f t="shared" si="80"/>
        <v>May 2016</v>
      </c>
      <c r="C161" s="499" t="s">
        <v>25</v>
      </c>
      <c r="D161" s="500" t="str">
        <f t="shared" si="81"/>
        <v>PSP</v>
      </c>
      <c r="E161" s="500" t="str">
        <f t="shared" si="82"/>
        <v>KUCIE561</v>
      </c>
      <c r="F161" s="501">
        <f t="shared" si="83"/>
        <v>195</v>
      </c>
      <c r="G161" s="501">
        <v>0</v>
      </c>
      <c r="H161" s="501">
        <v>0</v>
      </c>
      <c r="I161" s="501">
        <v>0</v>
      </c>
      <c r="J161" s="501">
        <f t="shared" si="84"/>
        <v>21507849</v>
      </c>
      <c r="K161" s="502">
        <f t="shared" si="85"/>
        <v>0</v>
      </c>
      <c r="L161" s="502">
        <f t="shared" si="86"/>
        <v>0</v>
      </c>
      <c r="M161" s="502">
        <f t="shared" si="87"/>
        <v>55893</v>
      </c>
      <c r="N161" s="502">
        <f t="shared" si="88"/>
        <v>0</v>
      </c>
      <c r="O161" s="502">
        <f t="shared" si="89"/>
        <v>0</v>
      </c>
      <c r="P161" s="502">
        <f t="shared" si="90"/>
        <v>0</v>
      </c>
      <c r="Q161" s="503">
        <f t="shared" si="91"/>
        <v>170</v>
      </c>
      <c r="R161" s="504">
        <f t="shared" si="92"/>
        <v>3.5619999999999999E-2</v>
      </c>
      <c r="S161" s="504">
        <v>0</v>
      </c>
      <c r="T161" s="504">
        <v>0</v>
      </c>
      <c r="U161" s="504">
        <f t="shared" si="93"/>
        <v>2.8920000000000001E-2</v>
      </c>
      <c r="V161" s="503">
        <f t="shared" si="94"/>
        <v>0</v>
      </c>
      <c r="W161" s="503">
        <f t="shared" si="95"/>
        <v>13.18</v>
      </c>
      <c r="X161" s="503">
        <f t="shared" si="96"/>
        <v>15.28</v>
      </c>
      <c r="Y161" s="453">
        <f t="shared" si="97"/>
        <v>33150</v>
      </c>
      <c r="Z161" s="453">
        <f t="shared" si="98"/>
        <v>766109.58</v>
      </c>
      <c r="AA161" s="453">
        <f t="shared" si="99"/>
        <v>0</v>
      </c>
      <c r="AB161" s="453">
        <f t="shared" si="100"/>
        <v>0</v>
      </c>
      <c r="AC161" s="453">
        <f t="shared" si="101"/>
        <v>854045.04</v>
      </c>
      <c r="AD161" s="493">
        <f t="shared" si="102"/>
        <v>854045.04</v>
      </c>
      <c r="AE161" s="493">
        <f t="shared" si="103"/>
        <v>1653304.62</v>
      </c>
      <c r="AF161" s="493">
        <f t="shared" si="104"/>
        <v>1653305</v>
      </c>
      <c r="AG161" s="494">
        <f t="shared" si="105"/>
        <v>1.0000002298427013</v>
      </c>
      <c r="AH161" s="505">
        <f t="shared" si="106"/>
        <v>19410</v>
      </c>
      <c r="AI161" s="505">
        <f t="shared" si="107"/>
        <v>39331</v>
      </c>
      <c r="AJ161" s="505">
        <f t="shared" si="108"/>
        <v>145871</v>
      </c>
      <c r="AK161" s="505">
        <f t="shared" si="109"/>
        <v>0</v>
      </c>
      <c r="AL161" s="505">
        <f t="shared" si="110"/>
        <v>0</v>
      </c>
      <c r="AM161" s="505">
        <f t="shared" si="111"/>
        <v>1857917</v>
      </c>
      <c r="AN161" s="506">
        <f t="shared" si="112"/>
        <v>1857916.62</v>
      </c>
      <c r="AO161" s="507">
        <f t="shared" si="113"/>
        <v>0.37999999988824129</v>
      </c>
      <c r="AP161" s="508">
        <f t="shared" si="114"/>
        <v>622006.99</v>
      </c>
      <c r="AQ161" s="510">
        <f t="shared" si="115"/>
        <v>144102.58999999997</v>
      </c>
      <c r="AR161" s="511"/>
      <c r="AS161" s="511"/>
      <c r="AT161" s="511"/>
      <c r="AU161" s="511"/>
      <c r="AV161" s="512">
        <f>IF(BA161&gt;BA160,AV160,IF(AV160&lt;MiscData!$F$1,EOMONTH(AV160,1),EOMONTH(AV160,-11)))</f>
        <v>42521</v>
      </c>
      <c r="AW161" s="499" t="str">
        <f t="shared" si="116"/>
        <v>20140101KUCIE561</v>
      </c>
      <c r="AX161" s="513" t="str">
        <f t="shared" si="117"/>
        <v>20140101PSP</v>
      </c>
      <c r="AY161" s="511">
        <f>IF(AV161&lt;=MiscData!$B$23,MiscData!$C$23,IF(AV161&lt;=MiscData!$B$24,MiscData!$C$24,MiscData!$C$25))</f>
        <v>20140101</v>
      </c>
      <c r="AZ161" s="511" t="str">
        <f>VLOOKUP(BA161,MiscData!$V$4:$W$42,2,FALSE)</f>
        <v>KUCIE561</v>
      </c>
      <c r="BA161" s="439">
        <f>IF(BA160=MiscData!$V$42,1,BA160+1)</f>
        <v>2</v>
      </c>
      <c r="BB161" s="514" t="str">
        <f>VLOOKUP(AZ161,MiscData!$W$4:$Y$42,3,FALSE)</f>
        <v>PSP</v>
      </c>
    </row>
    <row r="162" spans="1:54" hidden="1">
      <c r="A162" s="498">
        <f t="shared" si="118"/>
        <v>147</v>
      </c>
      <c r="B162" s="499" t="str">
        <f t="shared" si="80"/>
        <v>May 2016</v>
      </c>
      <c r="C162" s="499" t="s">
        <v>24</v>
      </c>
      <c r="D162" s="500" t="str">
        <f t="shared" si="81"/>
        <v>PSS</v>
      </c>
      <c r="E162" s="500" t="str">
        <f t="shared" si="82"/>
        <v>KUCIE562</v>
      </c>
      <c r="F162" s="501">
        <f t="shared" si="83"/>
        <v>4615</v>
      </c>
      <c r="G162" s="501">
        <v>0</v>
      </c>
      <c r="H162" s="501">
        <v>0</v>
      </c>
      <c r="I162" s="501">
        <v>0</v>
      </c>
      <c r="J162" s="501">
        <f t="shared" si="84"/>
        <v>175977353</v>
      </c>
      <c r="K162" s="502">
        <f t="shared" si="85"/>
        <v>0</v>
      </c>
      <c r="L162" s="502">
        <f t="shared" si="86"/>
        <v>0</v>
      </c>
      <c r="M162" s="502">
        <f t="shared" si="87"/>
        <v>549352</v>
      </c>
      <c r="N162" s="502">
        <f t="shared" si="88"/>
        <v>0</v>
      </c>
      <c r="O162" s="502">
        <f t="shared" si="89"/>
        <v>0</v>
      </c>
      <c r="P162" s="502">
        <f t="shared" si="90"/>
        <v>0</v>
      </c>
      <c r="Q162" s="503">
        <f t="shared" si="91"/>
        <v>90</v>
      </c>
      <c r="R162" s="504">
        <f t="shared" si="92"/>
        <v>3.5640000000000005E-2</v>
      </c>
      <c r="S162" s="504">
        <v>0</v>
      </c>
      <c r="T162" s="504">
        <v>0</v>
      </c>
      <c r="U162" s="504">
        <f t="shared" si="93"/>
        <v>2.8920000000000001E-2</v>
      </c>
      <c r="V162" s="503">
        <f t="shared" si="94"/>
        <v>0</v>
      </c>
      <c r="W162" s="503">
        <f t="shared" si="95"/>
        <v>13.2</v>
      </c>
      <c r="X162" s="503">
        <f t="shared" si="96"/>
        <v>15.3</v>
      </c>
      <c r="Y162" s="453">
        <f t="shared" si="97"/>
        <v>415350</v>
      </c>
      <c r="Z162" s="453">
        <f t="shared" si="98"/>
        <v>6271832.8600000003</v>
      </c>
      <c r="AA162" s="453">
        <f t="shared" si="99"/>
        <v>0</v>
      </c>
      <c r="AB162" s="453">
        <f t="shared" si="100"/>
        <v>0</v>
      </c>
      <c r="AC162" s="453">
        <f t="shared" si="101"/>
        <v>8405085.5999999996</v>
      </c>
      <c r="AD162" s="493">
        <f t="shared" si="102"/>
        <v>8405085.5999999996</v>
      </c>
      <c r="AE162" s="493">
        <f t="shared" si="103"/>
        <v>15092268.460000001</v>
      </c>
      <c r="AF162" s="493">
        <f t="shared" si="104"/>
        <v>15092264</v>
      </c>
      <c r="AG162" s="494">
        <f t="shared" si="105"/>
        <v>0.99999970448445097</v>
      </c>
      <c r="AH162" s="505">
        <f t="shared" si="106"/>
        <v>158810</v>
      </c>
      <c r="AI162" s="505">
        <f t="shared" si="107"/>
        <v>321804</v>
      </c>
      <c r="AJ162" s="505">
        <f t="shared" si="108"/>
        <v>1193515</v>
      </c>
      <c r="AK162" s="505">
        <f t="shared" si="109"/>
        <v>0</v>
      </c>
      <c r="AL162" s="505">
        <f t="shared" si="110"/>
        <v>0</v>
      </c>
      <c r="AM162" s="505">
        <f t="shared" si="111"/>
        <v>16766393</v>
      </c>
      <c r="AN162" s="506">
        <f t="shared" si="112"/>
        <v>16766397.460000001</v>
      </c>
      <c r="AO162" s="507">
        <f t="shared" si="113"/>
        <v>-4.4600000008940697</v>
      </c>
      <c r="AP162" s="508">
        <f t="shared" si="114"/>
        <v>5089265.05</v>
      </c>
      <c r="AQ162" s="510">
        <f t="shared" si="115"/>
        <v>1182567.8100000005</v>
      </c>
      <c r="AR162" s="511"/>
      <c r="AS162" s="511"/>
      <c r="AT162" s="511"/>
      <c r="AU162" s="511"/>
      <c r="AV162" s="512">
        <f>IF(BA162&gt;BA161,AV161,IF(AV161&lt;MiscData!$F$1,EOMONTH(AV161,1),EOMONTH(AV161,-11)))</f>
        <v>42521</v>
      </c>
      <c r="AW162" s="499" t="str">
        <f t="shared" si="116"/>
        <v>20140101KUCIE562</v>
      </c>
      <c r="AX162" s="513" t="str">
        <f t="shared" si="117"/>
        <v>20140101PSS</v>
      </c>
      <c r="AY162" s="511">
        <f>IF(AV162&lt;=MiscData!$B$23,MiscData!$C$23,IF(AV162&lt;=MiscData!$B$24,MiscData!$C$24,MiscData!$C$25))</f>
        <v>20140101</v>
      </c>
      <c r="AZ162" s="511" t="str">
        <f>VLOOKUP(BA162,MiscData!$V$4:$W$42,2,FALSE)</f>
        <v>KUCIE562</v>
      </c>
      <c r="BA162" s="439">
        <f>IF(BA161=MiscData!$V$42,1,BA161+1)</f>
        <v>3</v>
      </c>
      <c r="BB162" s="514" t="str">
        <f>VLOOKUP(AZ162,MiscData!$W$4:$Y$42,3,FALSE)</f>
        <v>PSS</v>
      </c>
    </row>
    <row r="163" spans="1:54" hidden="1">
      <c r="A163" s="498">
        <f t="shared" si="118"/>
        <v>148</v>
      </c>
      <c r="B163" s="499" t="str">
        <f t="shared" si="80"/>
        <v>May 2016</v>
      </c>
      <c r="C163" s="499" t="s">
        <v>205</v>
      </c>
      <c r="D163" s="500" t="str">
        <f t="shared" si="81"/>
        <v>TODP</v>
      </c>
      <c r="E163" s="500" t="str">
        <f t="shared" si="82"/>
        <v>KUCIE563</v>
      </c>
      <c r="F163" s="501">
        <f t="shared" si="83"/>
        <v>52</v>
      </c>
      <c r="G163" s="501">
        <v>0</v>
      </c>
      <c r="H163" s="501">
        <v>0</v>
      </c>
      <c r="I163" s="501">
        <v>0</v>
      </c>
      <c r="J163" s="501">
        <f t="shared" si="84"/>
        <v>268486937</v>
      </c>
      <c r="K163" s="502">
        <f t="shared" si="85"/>
        <v>511206</v>
      </c>
      <c r="L163" s="502">
        <f t="shared" si="86"/>
        <v>494010</v>
      </c>
      <c r="M163" s="502">
        <f t="shared" si="87"/>
        <v>487847</v>
      </c>
      <c r="N163" s="502">
        <f t="shared" si="88"/>
        <v>0</v>
      </c>
      <c r="O163" s="502">
        <f t="shared" si="89"/>
        <v>0</v>
      </c>
      <c r="P163" s="502">
        <f t="shared" si="90"/>
        <v>0</v>
      </c>
      <c r="Q163" s="503">
        <f t="shared" si="91"/>
        <v>300</v>
      </c>
      <c r="R163" s="504">
        <f t="shared" si="92"/>
        <v>3.7650000000000003E-2</v>
      </c>
      <c r="S163" s="504">
        <v>0</v>
      </c>
      <c r="T163" s="504">
        <v>0</v>
      </c>
      <c r="U163" s="504">
        <f t="shared" si="93"/>
        <v>2.8920000000000001E-2</v>
      </c>
      <c r="V163" s="503">
        <f t="shared" si="94"/>
        <v>1.71</v>
      </c>
      <c r="W163" s="503">
        <f t="shared" si="95"/>
        <v>2.76</v>
      </c>
      <c r="X163" s="503">
        <f t="shared" si="96"/>
        <v>4.26</v>
      </c>
      <c r="Y163" s="453">
        <f t="shared" si="97"/>
        <v>15600</v>
      </c>
      <c r="Z163" s="453">
        <f t="shared" si="98"/>
        <v>10108533.18</v>
      </c>
      <c r="AA163" s="453">
        <f t="shared" si="99"/>
        <v>874162.26</v>
      </c>
      <c r="AB163" s="453">
        <f t="shared" si="100"/>
        <v>1363467.6</v>
      </c>
      <c r="AC163" s="453">
        <f t="shared" si="101"/>
        <v>2078228.22</v>
      </c>
      <c r="AD163" s="493">
        <f t="shared" si="102"/>
        <v>4315858.08</v>
      </c>
      <c r="AE163" s="493">
        <f t="shared" si="103"/>
        <v>14439991.26</v>
      </c>
      <c r="AF163" s="493">
        <f t="shared" si="104"/>
        <v>14439989</v>
      </c>
      <c r="AG163" s="494">
        <f t="shared" si="105"/>
        <v>0.99999984349020998</v>
      </c>
      <c r="AH163" s="505">
        <f t="shared" si="106"/>
        <v>242295</v>
      </c>
      <c r="AI163" s="505">
        <f t="shared" si="107"/>
        <v>490973</v>
      </c>
      <c r="AJ163" s="505">
        <f t="shared" si="108"/>
        <v>1820935</v>
      </c>
      <c r="AK163" s="505">
        <f t="shared" si="109"/>
        <v>0</v>
      </c>
      <c r="AL163" s="505">
        <f t="shared" si="110"/>
        <v>0</v>
      </c>
      <c r="AM163" s="505">
        <f t="shared" si="111"/>
        <v>16994192</v>
      </c>
      <c r="AN163" s="506">
        <f t="shared" si="112"/>
        <v>16994194.259999998</v>
      </c>
      <c r="AO163" s="507">
        <f t="shared" si="113"/>
        <v>-2.2599999979138374</v>
      </c>
      <c r="AP163" s="508">
        <f t="shared" si="114"/>
        <v>7764642.2199999997</v>
      </c>
      <c r="AQ163" s="510">
        <f t="shared" si="115"/>
        <v>2343890.96</v>
      </c>
      <c r="AR163" s="511"/>
      <c r="AS163" s="511"/>
      <c r="AT163" s="511"/>
      <c r="AU163" s="511"/>
      <c r="AV163" s="512">
        <f>IF(BA163&gt;BA162,AV162,IF(AV162&lt;MiscData!$F$1,EOMONTH(AV162,1),EOMONTH(AV162,-11)))</f>
        <v>42521</v>
      </c>
      <c r="AW163" s="499" t="str">
        <f t="shared" si="116"/>
        <v>20140101KUCIE563</v>
      </c>
      <c r="AX163" s="513" t="str">
        <f t="shared" si="117"/>
        <v>20140101TODP</v>
      </c>
      <c r="AY163" s="511">
        <f>IF(AV163&lt;=MiscData!$B$23,MiscData!$C$23,IF(AV163&lt;=MiscData!$B$24,MiscData!$C$24,MiscData!$C$25))</f>
        <v>20140101</v>
      </c>
      <c r="AZ163" s="511" t="str">
        <f>VLOOKUP(BA163,MiscData!$V$4:$W$42,2,FALSE)</f>
        <v>KUCIE563</v>
      </c>
      <c r="BA163" s="439">
        <f>IF(BA162=MiscData!$V$42,1,BA162+1)</f>
        <v>4</v>
      </c>
      <c r="BB163" s="514" t="str">
        <f>VLOOKUP(AZ163,MiscData!$W$4:$Y$42,3,FALSE)</f>
        <v>TODP</v>
      </c>
    </row>
    <row r="164" spans="1:54" hidden="1">
      <c r="A164" s="498">
        <f t="shared" si="118"/>
        <v>149</v>
      </c>
      <c r="B164" s="499" t="str">
        <f t="shared" si="80"/>
        <v>May 2016</v>
      </c>
      <c r="C164" s="499" t="s">
        <v>25</v>
      </c>
      <c r="D164" s="500" t="str">
        <f t="shared" si="81"/>
        <v>PSP</v>
      </c>
      <c r="E164" s="500" t="str">
        <f t="shared" si="82"/>
        <v>KUCIE566</v>
      </c>
      <c r="F164" s="501">
        <f t="shared" si="83"/>
        <v>0</v>
      </c>
      <c r="G164" s="501">
        <v>0</v>
      </c>
      <c r="H164" s="501">
        <v>0</v>
      </c>
      <c r="I164" s="501">
        <v>0</v>
      </c>
      <c r="J164" s="501">
        <f t="shared" si="84"/>
        <v>0</v>
      </c>
      <c r="K164" s="502">
        <f t="shared" si="85"/>
        <v>0</v>
      </c>
      <c r="L164" s="502">
        <f t="shared" si="86"/>
        <v>0</v>
      </c>
      <c r="M164" s="502">
        <f t="shared" si="87"/>
        <v>0</v>
      </c>
      <c r="N164" s="502">
        <f t="shared" si="88"/>
        <v>0</v>
      </c>
      <c r="O164" s="502">
        <f t="shared" si="89"/>
        <v>0</v>
      </c>
      <c r="P164" s="502">
        <f t="shared" si="90"/>
        <v>0</v>
      </c>
      <c r="Q164" s="503">
        <f t="shared" si="91"/>
        <v>170</v>
      </c>
      <c r="R164" s="504">
        <f t="shared" si="92"/>
        <v>3.5619999999999999E-2</v>
      </c>
      <c r="S164" s="504">
        <v>0</v>
      </c>
      <c r="T164" s="504">
        <v>0</v>
      </c>
      <c r="U164" s="504">
        <f t="shared" si="93"/>
        <v>2.8920000000000001E-2</v>
      </c>
      <c r="V164" s="503">
        <f t="shared" si="94"/>
        <v>0</v>
      </c>
      <c r="W164" s="503">
        <f t="shared" si="95"/>
        <v>13.18</v>
      </c>
      <c r="X164" s="503">
        <f t="shared" si="96"/>
        <v>15.28</v>
      </c>
      <c r="Y164" s="453">
        <f t="shared" si="97"/>
        <v>0</v>
      </c>
      <c r="Z164" s="453">
        <f t="shared" si="98"/>
        <v>0</v>
      </c>
      <c r="AA164" s="453">
        <f t="shared" si="99"/>
        <v>0</v>
      </c>
      <c r="AB164" s="453">
        <f t="shared" si="100"/>
        <v>0</v>
      </c>
      <c r="AC164" s="453">
        <f t="shared" si="101"/>
        <v>0</v>
      </c>
      <c r="AD164" s="493">
        <f t="shared" si="102"/>
        <v>0</v>
      </c>
      <c r="AE164" s="493">
        <f t="shared" si="103"/>
        <v>0</v>
      </c>
      <c r="AF164" s="493">
        <f t="shared" si="104"/>
        <v>0</v>
      </c>
      <c r="AG164" s="494">
        <f t="shared" si="105"/>
        <v>1</v>
      </c>
      <c r="AH164" s="505">
        <f t="shared" si="106"/>
        <v>0</v>
      </c>
      <c r="AI164" s="505">
        <f t="shared" si="107"/>
        <v>0</v>
      </c>
      <c r="AJ164" s="505">
        <f t="shared" si="108"/>
        <v>0</v>
      </c>
      <c r="AK164" s="505">
        <f t="shared" si="109"/>
        <v>0</v>
      </c>
      <c r="AL164" s="505">
        <f t="shared" si="110"/>
        <v>0</v>
      </c>
      <c r="AM164" s="505">
        <f t="shared" si="111"/>
        <v>0</v>
      </c>
      <c r="AN164" s="506">
        <f t="shared" si="112"/>
        <v>0</v>
      </c>
      <c r="AO164" s="507">
        <f t="shared" si="113"/>
        <v>0</v>
      </c>
      <c r="AP164" s="508">
        <f t="shared" si="114"/>
        <v>0</v>
      </c>
      <c r="AQ164" s="510">
        <f t="shared" si="115"/>
        <v>0</v>
      </c>
      <c r="AR164" s="511"/>
      <c r="AS164" s="511"/>
      <c r="AT164" s="511"/>
      <c r="AU164" s="511"/>
      <c r="AV164" s="512">
        <f>IF(BA164&gt;BA163,AV163,IF(AV163&lt;MiscData!$F$1,EOMONTH(AV163,1),EOMONTH(AV163,-11)))</f>
        <v>42521</v>
      </c>
      <c r="AW164" s="499" t="str">
        <f t="shared" si="116"/>
        <v>20140101KUCIE566</v>
      </c>
      <c r="AX164" s="513" t="str">
        <f t="shared" si="117"/>
        <v>20140101PSP</v>
      </c>
      <c r="AY164" s="511">
        <f>IF(AV164&lt;=MiscData!$B$23,MiscData!$C$23,IF(AV164&lt;=MiscData!$B$24,MiscData!$C$24,MiscData!$C$25))</f>
        <v>20140101</v>
      </c>
      <c r="AZ164" s="511" t="str">
        <f>VLOOKUP(BA164,MiscData!$V$4:$W$42,2,FALSE)</f>
        <v>KUCIE566</v>
      </c>
      <c r="BA164" s="439">
        <f>IF(BA163=MiscData!$V$42,1,BA163+1)</f>
        <v>5</v>
      </c>
      <c r="BB164" s="514" t="str">
        <f>VLOOKUP(AZ164,MiscData!$W$4:$Y$42,3,FALSE)</f>
        <v>PSP</v>
      </c>
    </row>
    <row r="165" spans="1:54" hidden="1">
      <c r="A165" s="498">
        <f t="shared" si="118"/>
        <v>150</v>
      </c>
      <c r="B165" s="499" t="str">
        <f t="shared" si="80"/>
        <v>May 2016</v>
      </c>
      <c r="C165" s="499" t="s">
        <v>24</v>
      </c>
      <c r="D165" s="500" t="str">
        <f t="shared" si="81"/>
        <v>PSS</v>
      </c>
      <c r="E165" s="500" t="str">
        <f t="shared" si="82"/>
        <v>KUCIE568</v>
      </c>
      <c r="F165" s="501">
        <f t="shared" si="83"/>
        <v>0</v>
      </c>
      <c r="G165" s="501">
        <v>0</v>
      </c>
      <c r="H165" s="501">
        <v>0</v>
      </c>
      <c r="I165" s="501">
        <v>0</v>
      </c>
      <c r="J165" s="501">
        <f t="shared" si="84"/>
        <v>0</v>
      </c>
      <c r="K165" s="502">
        <f t="shared" si="85"/>
        <v>0</v>
      </c>
      <c r="L165" s="502">
        <f t="shared" si="86"/>
        <v>0</v>
      </c>
      <c r="M165" s="502">
        <f t="shared" si="87"/>
        <v>0</v>
      </c>
      <c r="N165" s="502">
        <f t="shared" si="88"/>
        <v>0</v>
      </c>
      <c r="O165" s="502">
        <f t="shared" si="89"/>
        <v>0</v>
      </c>
      <c r="P165" s="502">
        <f t="shared" si="90"/>
        <v>0</v>
      </c>
      <c r="Q165" s="503">
        <f t="shared" si="91"/>
        <v>90</v>
      </c>
      <c r="R165" s="504">
        <f t="shared" si="92"/>
        <v>3.5640000000000005E-2</v>
      </c>
      <c r="S165" s="504">
        <v>0</v>
      </c>
      <c r="T165" s="504">
        <v>0</v>
      </c>
      <c r="U165" s="504">
        <f t="shared" si="93"/>
        <v>2.8920000000000001E-2</v>
      </c>
      <c r="V165" s="503">
        <f t="shared" si="94"/>
        <v>0</v>
      </c>
      <c r="W165" s="503">
        <f t="shared" si="95"/>
        <v>13.2</v>
      </c>
      <c r="X165" s="503">
        <f t="shared" si="96"/>
        <v>15.3</v>
      </c>
      <c r="Y165" s="453">
        <f t="shared" si="97"/>
        <v>0</v>
      </c>
      <c r="Z165" s="453">
        <f t="shared" si="98"/>
        <v>0</v>
      </c>
      <c r="AA165" s="453">
        <f t="shared" si="99"/>
        <v>0</v>
      </c>
      <c r="AB165" s="453">
        <f t="shared" si="100"/>
        <v>0</v>
      </c>
      <c r="AC165" s="453">
        <f t="shared" si="101"/>
        <v>0</v>
      </c>
      <c r="AD165" s="493">
        <f t="shared" si="102"/>
        <v>0</v>
      </c>
      <c r="AE165" s="493">
        <f t="shared" si="103"/>
        <v>0</v>
      </c>
      <c r="AF165" s="493">
        <f t="shared" si="104"/>
        <v>0</v>
      </c>
      <c r="AG165" s="494">
        <f t="shared" si="105"/>
        <v>1</v>
      </c>
      <c r="AH165" s="505">
        <f t="shared" si="106"/>
        <v>0</v>
      </c>
      <c r="AI165" s="505">
        <f t="shared" si="107"/>
        <v>0</v>
      </c>
      <c r="AJ165" s="505">
        <f t="shared" si="108"/>
        <v>0</v>
      </c>
      <c r="AK165" s="505">
        <f t="shared" si="109"/>
        <v>0</v>
      </c>
      <c r="AL165" s="505">
        <f t="shared" si="110"/>
        <v>0</v>
      </c>
      <c r="AM165" s="505">
        <f t="shared" si="111"/>
        <v>0</v>
      </c>
      <c r="AN165" s="506">
        <f t="shared" si="112"/>
        <v>0</v>
      </c>
      <c r="AO165" s="507">
        <f t="shared" si="113"/>
        <v>0</v>
      </c>
      <c r="AP165" s="508">
        <f t="shared" si="114"/>
        <v>0</v>
      </c>
      <c r="AQ165" s="510">
        <f t="shared" si="115"/>
        <v>0</v>
      </c>
      <c r="AR165" s="511"/>
      <c r="AS165" s="511"/>
      <c r="AT165" s="511"/>
      <c r="AU165" s="511"/>
      <c r="AV165" s="512">
        <f>IF(BA165&gt;BA164,AV164,IF(AV164&lt;MiscData!$F$1,EOMONTH(AV164,1),EOMONTH(AV164,-11)))</f>
        <v>42521</v>
      </c>
      <c r="AW165" s="499" t="str">
        <f t="shared" si="116"/>
        <v>20140101KUCIE568</v>
      </c>
      <c r="AX165" s="513" t="str">
        <f t="shared" si="117"/>
        <v>20140101PSS</v>
      </c>
      <c r="AY165" s="511">
        <f>IF(AV165&lt;=MiscData!$B$23,MiscData!$C$23,IF(AV165&lt;=MiscData!$B$24,MiscData!$C$24,MiscData!$C$25))</f>
        <v>20140101</v>
      </c>
      <c r="AZ165" s="511" t="str">
        <f>VLOOKUP(BA165,MiscData!$V$4:$W$42,2,FALSE)</f>
        <v>KUCIE568</v>
      </c>
      <c r="BA165" s="439">
        <f>IF(BA164=MiscData!$V$42,1,BA164+1)</f>
        <v>6</v>
      </c>
      <c r="BB165" s="514" t="str">
        <f>VLOOKUP(AZ165,MiscData!$W$4:$Y$42,3,FALSE)</f>
        <v>PSS</v>
      </c>
    </row>
    <row r="166" spans="1:54" hidden="1">
      <c r="A166" s="498">
        <f t="shared" si="118"/>
        <v>151</v>
      </c>
      <c r="B166" s="499" t="str">
        <f t="shared" si="80"/>
        <v>May 2016</v>
      </c>
      <c r="C166" s="499" t="s">
        <v>205</v>
      </c>
      <c r="D166" s="500" t="str">
        <f t="shared" si="81"/>
        <v>TODP</v>
      </c>
      <c r="E166" s="500" t="str">
        <f t="shared" si="82"/>
        <v>KUCIE571</v>
      </c>
      <c r="F166" s="501">
        <f t="shared" si="83"/>
        <v>209</v>
      </c>
      <c r="G166" s="501">
        <v>0</v>
      </c>
      <c r="H166" s="501">
        <v>0</v>
      </c>
      <c r="I166" s="501">
        <v>0</v>
      </c>
      <c r="J166" s="501">
        <f t="shared" si="84"/>
        <v>111982947</v>
      </c>
      <c r="K166" s="502">
        <f t="shared" si="85"/>
        <v>271446</v>
      </c>
      <c r="L166" s="502">
        <f t="shared" si="86"/>
        <v>261290</v>
      </c>
      <c r="M166" s="502">
        <f t="shared" si="87"/>
        <v>256590</v>
      </c>
      <c r="N166" s="502">
        <f t="shared" si="88"/>
        <v>0</v>
      </c>
      <c r="O166" s="502">
        <f t="shared" si="89"/>
        <v>0</v>
      </c>
      <c r="P166" s="502">
        <f t="shared" si="90"/>
        <v>0</v>
      </c>
      <c r="Q166" s="503">
        <f t="shared" si="91"/>
        <v>300</v>
      </c>
      <c r="R166" s="504">
        <f t="shared" si="92"/>
        <v>3.7650000000000003E-2</v>
      </c>
      <c r="S166" s="504">
        <v>0</v>
      </c>
      <c r="T166" s="504">
        <v>0</v>
      </c>
      <c r="U166" s="504">
        <f t="shared" si="93"/>
        <v>2.8920000000000001E-2</v>
      </c>
      <c r="V166" s="503">
        <f t="shared" si="94"/>
        <v>1.71</v>
      </c>
      <c r="W166" s="503">
        <f t="shared" si="95"/>
        <v>2.76</v>
      </c>
      <c r="X166" s="503">
        <f t="shared" si="96"/>
        <v>4.26</v>
      </c>
      <c r="Y166" s="453">
        <f t="shared" si="97"/>
        <v>62700</v>
      </c>
      <c r="Z166" s="453">
        <f t="shared" si="98"/>
        <v>4216157.95</v>
      </c>
      <c r="AA166" s="453">
        <f t="shared" si="99"/>
        <v>464172.66</v>
      </c>
      <c r="AB166" s="453">
        <f t="shared" si="100"/>
        <v>721160.4</v>
      </c>
      <c r="AC166" s="453">
        <f t="shared" si="101"/>
        <v>1093073.3999999999</v>
      </c>
      <c r="AD166" s="493">
        <f t="shared" si="102"/>
        <v>2278406.46</v>
      </c>
      <c r="AE166" s="493">
        <f t="shared" si="103"/>
        <v>6557264.4100000001</v>
      </c>
      <c r="AF166" s="493">
        <f t="shared" si="104"/>
        <v>6557264</v>
      </c>
      <c r="AG166" s="494">
        <f t="shared" si="105"/>
        <v>0.9999999374739259</v>
      </c>
      <c r="AH166" s="505">
        <f t="shared" si="106"/>
        <v>101059</v>
      </c>
      <c r="AI166" s="505">
        <f t="shared" si="107"/>
        <v>204779</v>
      </c>
      <c r="AJ166" s="505">
        <f t="shared" si="108"/>
        <v>759492</v>
      </c>
      <c r="AK166" s="505">
        <f t="shared" si="109"/>
        <v>0</v>
      </c>
      <c r="AL166" s="505">
        <f t="shared" si="110"/>
        <v>0</v>
      </c>
      <c r="AM166" s="505">
        <f t="shared" si="111"/>
        <v>7622594</v>
      </c>
      <c r="AN166" s="506">
        <f t="shared" si="112"/>
        <v>7622594.4100000001</v>
      </c>
      <c r="AO166" s="507">
        <f t="shared" si="113"/>
        <v>-0.41000000014901161</v>
      </c>
      <c r="AP166" s="508">
        <f t="shared" si="114"/>
        <v>3238546.83</v>
      </c>
      <c r="AQ166" s="510">
        <f t="shared" si="115"/>
        <v>977611.12000000011</v>
      </c>
      <c r="AR166" s="511"/>
      <c r="AS166" s="511"/>
      <c r="AT166" s="511"/>
      <c r="AU166" s="511"/>
      <c r="AV166" s="512">
        <f>IF(BA166&gt;BA165,AV165,IF(AV165&lt;MiscData!$F$1,EOMONTH(AV165,1),EOMONTH(AV165,-11)))</f>
        <v>42521</v>
      </c>
      <c r="AW166" s="499" t="str">
        <f t="shared" si="116"/>
        <v>20140101KUCIE571</v>
      </c>
      <c r="AX166" s="513" t="str">
        <f t="shared" si="117"/>
        <v>20140101TODP</v>
      </c>
      <c r="AY166" s="511">
        <f>IF(AV166&lt;=MiscData!$B$23,MiscData!$C$23,IF(AV166&lt;=MiscData!$B$24,MiscData!$C$24,MiscData!$C$25))</f>
        <v>20140101</v>
      </c>
      <c r="AZ166" s="511" t="str">
        <f>VLOOKUP(BA166,MiscData!$V$4:$W$42,2,FALSE)</f>
        <v>KUCIE571</v>
      </c>
      <c r="BA166" s="439">
        <f>IF(BA165=MiscData!$V$42,1,BA165+1)</f>
        <v>7</v>
      </c>
      <c r="BB166" s="514" t="str">
        <f>VLOOKUP(AZ166,MiscData!$W$4:$Y$42,3,FALSE)</f>
        <v>TODP</v>
      </c>
    </row>
    <row r="167" spans="1:54" hidden="1">
      <c r="A167" s="498">
        <f t="shared" si="118"/>
        <v>152</v>
      </c>
      <c r="B167" s="499" t="str">
        <f t="shared" si="80"/>
        <v>May 2016</v>
      </c>
      <c r="C167" s="499" t="s">
        <v>204</v>
      </c>
      <c r="D167" s="500" t="str">
        <f t="shared" si="81"/>
        <v>TODS</v>
      </c>
      <c r="E167" s="500" t="str">
        <f t="shared" si="82"/>
        <v>KUCIE572</v>
      </c>
      <c r="F167" s="501">
        <f t="shared" si="83"/>
        <v>471</v>
      </c>
      <c r="G167" s="501">
        <v>0</v>
      </c>
      <c r="H167" s="501">
        <v>0</v>
      </c>
      <c r="I167" s="501">
        <v>0</v>
      </c>
      <c r="J167" s="501">
        <f t="shared" si="84"/>
        <v>135748326</v>
      </c>
      <c r="K167" s="502">
        <f t="shared" si="85"/>
        <v>316205</v>
      </c>
      <c r="L167" s="502">
        <f t="shared" si="86"/>
        <v>295218</v>
      </c>
      <c r="M167" s="502">
        <f t="shared" si="87"/>
        <v>289471</v>
      </c>
      <c r="N167" s="502">
        <f t="shared" si="88"/>
        <v>0</v>
      </c>
      <c r="O167" s="502">
        <f t="shared" si="89"/>
        <v>0</v>
      </c>
      <c r="P167" s="502">
        <f t="shared" si="90"/>
        <v>0</v>
      </c>
      <c r="Q167" s="503">
        <f t="shared" si="91"/>
        <v>200</v>
      </c>
      <c r="R167" s="504">
        <f t="shared" si="92"/>
        <v>3.773E-2</v>
      </c>
      <c r="S167" s="504">
        <v>0</v>
      </c>
      <c r="T167" s="504">
        <v>0</v>
      </c>
      <c r="U167" s="504">
        <f t="shared" si="93"/>
        <v>2.8920000000000001E-2</v>
      </c>
      <c r="V167" s="503">
        <f t="shared" si="94"/>
        <v>3.62</v>
      </c>
      <c r="W167" s="503">
        <f t="shared" si="95"/>
        <v>2.95</v>
      </c>
      <c r="X167" s="503">
        <f t="shared" si="96"/>
        <v>4.55</v>
      </c>
      <c r="Y167" s="453">
        <f t="shared" si="97"/>
        <v>94200</v>
      </c>
      <c r="Z167" s="453">
        <f t="shared" si="98"/>
        <v>5121784.34</v>
      </c>
      <c r="AA167" s="453">
        <f t="shared" si="99"/>
        <v>1144662.1000000001</v>
      </c>
      <c r="AB167" s="453">
        <f t="shared" si="100"/>
        <v>870893.1</v>
      </c>
      <c r="AC167" s="453">
        <f t="shared" si="101"/>
        <v>1317093.05</v>
      </c>
      <c r="AD167" s="493">
        <f t="shared" si="102"/>
        <v>3332648.25</v>
      </c>
      <c r="AE167" s="493">
        <f t="shared" si="103"/>
        <v>8548632.5899999999</v>
      </c>
      <c r="AF167" s="493">
        <f t="shared" si="104"/>
        <v>8548631</v>
      </c>
      <c r="AG167" s="494">
        <f t="shared" si="105"/>
        <v>0.99999981400534144</v>
      </c>
      <c r="AH167" s="505">
        <f t="shared" si="106"/>
        <v>122506</v>
      </c>
      <c r="AI167" s="505">
        <f t="shared" si="107"/>
        <v>248238</v>
      </c>
      <c r="AJ167" s="505">
        <f t="shared" si="108"/>
        <v>920674</v>
      </c>
      <c r="AK167" s="505">
        <f t="shared" si="109"/>
        <v>0</v>
      </c>
      <c r="AL167" s="505">
        <f t="shared" si="110"/>
        <v>0</v>
      </c>
      <c r="AM167" s="505">
        <f t="shared" si="111"/>
        <v>9840049</v>
      </c>
      <c r="AN167" s="506">
        <f t="shared" si="112"/>
        <v>9840050.5899999999</v>
      </c>
      <c r="AO167" s="507">
        <f t="shared" si="113"/>
        <v>-1.5899999998509884</v>
      </c>
      <c r="AP167" s="508">
        <f t="shared" si="114"/>
        <v>3925841.59</v>
      </c>
      <c r="AQ167" s="510">
        <f t="shared" si="115"/>
        <v>1195942.75</v>
      </c>
      <c r="AR167" s="511"/>
      <c r="AS167" s="511"/>
      <c r="AT167" s="511"/>
      <c r="AU167" s="511"/>
      <c r="AV167" s="512">
        <f>IF(BA167&gt;BA166,AV166,IF(AV166&lt;MiscData!$F$1,EOMONTH(AV166,1),EOMONTH(AV166,-11)))</f>
        <v>42521</v>
      </c>
      <c r="AW167" s="499" t="str">
        <f t="shared" si="116"/>
        <v>20140101KUCIE572</v>
      </c>
      <c r="AX167" s="513" t="str">
        <f t="shared" si="117"/>
        <v>20140101TODS</v>
      </c>
      <c r="AY167" s="511">
        <f>IF(AV167&lt;=MiscData!$B$23,MiscData!$C$23,IF(AV167&lt;=MiscData!$B$24,MiscData!$C$24,MiscData!$C$25))</f>
        <v>20140101</v>
      </c>
      <c r="AZ167" s="511" t="str">
        <f>VLOOKUP(BA167,MiscData!$V$4:$W$42,2,FALSE)</f>
        <v>KUCIE572</v>
      </c>
      <c r="BA167" s="439">
        <f>IF(BA166=MiscData!$V$42,1,BA166+1)</f>
        <v>8</v>
      </c>
      <c r="BB167" s="514" t="str">
        <f>VLOOKUP(AZ167,MiscData!$W$4:$Y$42,3,FALSE)</f>
        <v>TODS</v>
      </c>
    </row>
    <row r="168" spans="1:54" hidden="1">
      <c r="A168" s="498">
        <f t="shared" si="118"/>
        <v>153</v>
      </c>
      <c r="B168" s="499" t="str">
        <f t="shared" si="80"/>
        <v>May 2016</v>
      </c>
      <c r="C168" s="499" t="s">
        <v>24</v>
      </c>
      <c r="D168" s="500" t="str">
        <f t="shared" si="81"/>
        <v>PSS</v>
      </c>
      <c r="E168" s="500" t="str">
        <f t="shared" si="82"/>
        <v>KUCIE717</v>
      </c>
      <c r="F168" s="501">
        <f t="shared" si="83"/>
        <v>0</v>
      </c>
      <c r="G168" s="501">
        <v>0</v>
      </c>
      <c r="H168" s="501">
        <v>0</v>
      </c>
      <c r="I168" s="501">
        <v>0</v>
      </c>
      <c r="J168" s="501">
        <f t="shared" si="84"/>
        <v>0</v>
      </c>
      <c r="K168" s="502">
        <f t="shared" si="85"/>
        <v>0</v>
      </c>
      <c r="L168" s="502">
        <f t="shared" si="86"/>
        <v>0</v>
      </c>
      <c r="M168" s="502">
        <f t="shared" si="87"/>
        <v>0</v>
      </c>
      <c r="N168" s="502">
        <f t="shared" si="88"/>
        <v>0</v>
      </c>
      <c r="O168" s="502">
        <f t="shared" si="89"/>
        <v>0</v>
      </c>
      <c r="P168" s="502">
        <f t="shared" si="90"/>
        <v>0</v>
      </c>
      <c r="Q168" s="503">
        <f t="shared" si="91"/>
        <v>90</v>
      </c>
      <c r="R168" s="504">
        <f t="shared" si="92"/>
        <v>3.5640000000000005E-2</v>
      </c>
      <c r="S168" s="504">
        <v>0</v>
      </c>
      <c r="T168" s="504">
        <v>0</v>
      </c>
      <c r="U168" s="504">
        <f t="shared" si="93"/>
        <v>2.8920000000000001E-2</v>
      </c>
      <c r="V168" s="503">
        <f t="shared" si="94"/>
        <v>0</v>
      </c>
      <c r="W168" s="503">
        <f t="shared" si="95"/>
        <v>13.2</v>
      </c>
      <c r="X168" s="503">
        <f t="shared" si="96"/>
        <v>15.3</v>
      </c>
      <c r="Y168" s="453">
        <f t="shared" si="97"/>
        <v>0</v>
      </c>
      <c r="Z168" s="453">
        <f t="shared" si="98"/>
        <v>0</v>
      </c>
      <c r="AA168" s="453">
        <f t="shared" si="99"/>
        <v>0</v>
      </c>
      <c r="AB168" s="453">
        <f t="shared" si="100"/>
        <v>0</v>
      </c>
      <c r="AC168" s="453">
        <f t="shared" si="101"/>
        <v>0</v>
      </c>
      <c r="AD168" s="493">
        <f t="shared" si="102"/>
        <v>0</v>
      </c>
      <c r="AE168" s="493">
        <f t="shared" si="103"/>
        <v>0</v>
      </c>
      <c r="AF168" s="493">
        <f t="shared" si="104"/>
        <v>0</v>
      </c>
      <c r="AG168" s="494">
        <f t="shared" si="105"/>
        <v>1</v>
      </c>
      <c r="AH168" s="505">
        <f t="shared" si="106"/>
        <v>0</v>
      </c>
      <c r="AI168" s="505">
        <f t="shared" si="107"/>
        <v>0</v>
      </c>
      <c r="AJ168" s="505">
        <f t="shared" si="108"/>
        <v>0</v>
      </c>
      <c r="AK168" s="505">
        <f t="shared" si="109"/>
        <v>0</v>
      </c>
      <c r="AL168" s="505">
        <f t="shared" si="110"/>
        <v>0</v>
      </c>
      <c r="AM168" s="505">
        <f t="shared" si="111"/>
        <v>0</v>
      </c>
      <c r="AN168" s="506">
        <f t="shared" si="112"/>
        <v>0</v>
      </c>
      <c r="AO168" s="507">
        <f t="shared" si="113"/>
        <v>0</v>
      </c>
      <c r="AP168" s="508">
        <f t="shared" si="114"/>
        <v>0</v>
      </c>
      <c r="AQ168" s="510">
        <f t="shared" si="115"/>
        <v>0</v>
      </c>
      <c r="AR168" s="511"/>
      <c r="AS168" s="511"/>
      <c r="AT168" s="511"/>
      <c r="AU168" s="511"/>
      <c r="AV168" s="512">
        <f>IF(BA168&gt;BA167,AV167,IF(AV167&lt;MiscData!$F$1,EOMONTH(AV167,1),EOMONTH(AV167,-11)))</f>
        <v>42521</v>
      </c>
      <c r="AW168" s="499" t="str">
        <f t="shared" si="116"/>
        <v>20140101KUCIE717</v>
      </c>
      <c r="AX168" s="513" t="str">
        <f t="shared" si="117"/>
        <v>20140101PSS</v>
      </c>
      <c r="AY168" s="511">
        <f>IF(AV168&lt;=MiscData!$B$23,MiscData!$C$23,IF(AV168&lt;=MiscData!$B$24,MiscData!$C$24,MiscData!$C$25))</f>
        <v>20140101</v>
      </c>
      <c r="AZ168" s="511" t="str">
        <f>VLOOKUP(BA168,MiscData!$V$4:$W$42,2,FALSE)</f>
        <v>KUCIE717</v>
      </c>
      <c r="BA168" s="439">
        <f>IF(BA167=MiscData!$V$42,1,BA167+1)</f>
        <v>9</v>
      </c>
      <c r="BB168" s="514" t="str">
        <f>VLOOKUP(AZ168,MiscData!$W$4:$Y$42,3,FALSE)</f>
        <v>PSS</v>
      </c>
    </row>
    <row r="169" spans="1:54">
      <c r="A169" s="498">
        <f t="shared" si="118"/>
        <v>154</v>
      </c>
      <c r="B169" s="499" t="str">
        <f t="shared" si="80"/>
        <v>May 2016</v>
      </c>
      <c r="C169" s="499" t="s">
        <v>208</v>
      </c>
      <c r="D169" s="500" t="str">
        <f t="shared" si="81"/>
        <v>GS</v>
      </c>
      <c r="E169" s="500" t="str">
        <f t="shared" si="82"/>
        <v>KUCME110</v>
      </c>
      <c r="F169" s="501">
        <f t="shared" si="83"/>
        <v>63568</v>
      </c>
      <c r="G169" s="501">
        <v>0</v>
      </c>
      <c r="H169" s="501">
        <v>0</v>
      </c>
      <c r="I169" s="501">
        <v>0</v>
      </c>
      <c r="J169" s="501">
        <f t="shared" si="84"/>
        <v>59224022</v>
      </c>
      <c r="K169" s="502">
        <f t="shared" si="85"/>
        <v>0</v>
      </c>
      <c r="L169" s="502">
        <f t="shared" si="86"/>
        <v>0</v>
      </c>
      <c r="M169" s="502">
        <f t="shared" si="87"/>
        <v>0</v>
      </c>
      <c r="N169" s="502">
        <f t="shared" si="88"/>
        <v>0</v>
      </c>
      <c r="O169" s="502">
        <f t="shared" si="89"/>
        <v>0</v>
      </c>
      <c r="P169" s="502">
        <f t="shared" si="90"/>
        <v>0</v>
      </c>
      <c r="Q169" s="503">
        <f t="shared" si="91"/>
        <v>20</v>
      </c>
      <c r="R169" s="504">
        <f t="shared" si="92"/>
        <v>9.2249999999999999E-2</v>
      </c>
      <c r="S169" s="504">
        <v>0</v>
      </c>
      <c r="T169" s="504">
        <v>0</v>
      </c>
      <c r="U169" s="504">
        <f t="shared" si="93"/>
        <v>2.8920000000000001E-2</v>
      </c>
      <c r="V169" s="503">
        <f t="shared" si="94"/>
        <v>0</v>
      </c>
      <c r="W169" s="503">
        <f t="shared" si="95"/>
        <v>0</v>
      </c>
      <c r="X169" s="503">
        <f t="shared" si="96"/>
        <v>0</v>
      </c>
      <c r="Y169" s="453">
        <f t="shared" si="97"/>
        <v>1271360</v>
      </c>
      <c r="Z169" s="453">
        <f t="shared" si="98"/>
        <v>5463416.0300000003</v>
      </c>
      <c r="AA169" s="453">
        <f t="shared" si="99"/>
        <v>0</v>
      </c>
      <c r="AB169" s="453">
        <f t="shared" si="100"/>
        <v>0</v>
      </c>
      <c r="AC169" s="453">
        <f t="shared" si="101"/>
        <v>0</v>
      </c>
      <c r="AD169" s="493">
        <f t="shared" si="102"/>
        <v>0</v>
      </c>
      <c r="AE169" s="493">
        <f t="shared" si="103"/>
        <v>6734776.0300000003</v>
      </c>
      <c r="AF169" s="493">
        <f t="shared" si="104"/>
        <v>6734777</v>
      </c>
      <c r="AG169" s="494">
        <f t="shared" si="105"/>
        <v>1.000000144028546</v>
      </c>
      <c r="AH169" s="505">
        <f t="shared" si="106"/>
        <v>53447</v>
      </c>
      <c r="AI169" s="505">
        <f t="shared" si="107"/>
        <v>108301</v>
      </c>
      <c r="AJ169" s="505">
        <f t="shared" si="108"/>
        <v>401670</v>
      </c>
      <c r="AK169" s="505">
        <f t="shared" si="109"/>
        <v>0</v>
      </c>
      <c r="AL169" s="505">
        <f t="shared" si="110"/>
        <v>0</v>
      </c>
      <c r="AM169" s="505">
        <f t="shared" si="111"/>
        <v>7298195</v>
      </c>
      <c r="AN169" s="506">
        <f t="shared" si="112"/>
        <v>7298194.0300000003</v>
      </c>
      <c r="AO169" s="507">
        <f t="shared" si="113"/>
        <v>0.96999999973922968</v>
      </c>
      <c r="AP169" s="508">
        <f t="shared" si="114"/>
        <v>1712758.72</v>
      </c>
      <c r="AQ169" s="510">
        <f t="shared" si="115"/>
        <v>3750657.3100000005</v>
      </c>
      <c r="AR169" s="511"/>
      <c r="AS169" s="511"/>
      <c r="AT169" s="511"/>
      <c r="AU169" s="511"/>
      <c r="AV169" s="512">
        <f>IF(BA169&gt;BA168,AV168,IF(AV168&lt;MiscData!$F$1,EOMONTH(AV168,1),EOMONTH(AV168,-11)))</f>
        <v>42521</v>
      </c>
      <c r="AW169" s="499" t="str">
        <f t="shared" si="116"/>
        <v>20140101KUCME110</v>
      </c>
      <c r="AX169" s="513" t="str">
        <f t="shared" si="117"/>
        <v>20140101GS</v>
      </c>
      <c r="AY169" s="511">
        <f>IF(AV169&lt;=MiscData!$B$23,MiscData!$C$23,IF(AV169&lt;=MiscData!$B$24,MiscData!$C$24,MiscData!$C$25))</f>
        <v>20140101</v>
      </c>
      <c r="AZ169" s="511" t="str">
        <f>VLOOKUP(BA169,MiscData!$V$4:$W$42,2,FALSE)</f>
        <v>KUCME110</v>
      </c>
      <c r="BA169" s="439">
        <f>IF(BA168=MiscData!$V$42,1,BA168+1)</f>
        <v>10</v>
      </c>
      <c r="BB169" s="514" t="str">
        <f>VLOOKUP(AZ169,MiscData!$W$4:$Y$42,3,FALSE)</f>
        <v>GS</v>
      </c>
    </row>
    <row r="170" spans="1:54">
      <c r="A170" s="498">
        <f t="shared" si="118"/>
        <v>155</v>
      </c>
      <c r="B170" s="499" t="str">
        <f t="shared" si="80"/>
        <v>May 2016</v>
      </c>
      <c r="C170" s="499" t="s">
        <v>208</v>
      </c>
      <c r="D170" s="500" t="str">
        <f t="shared" si="81"/>
        <v>GS</v>
      </c>
      <c r="E170" s="500" t="str">
        <f t="shared" si="82"/>
        <v>KUCME112</v>
      </c>
      <c r="F170" s="501">
        <f t="shared" si="83"/>
        <v>0</v>
      </c>
      <c r="G170" s="501">
        <v>0</v>
      </c>
      <c r="H170" s="501">
        <v>0</v>
      </c>
      <c r="I170" s="501">
        <v>0</v>
      </c>
      <c r="J170" s="501">
        <f t="shared" si="84"/>
        <v>0</v>
      </c>
      <c r="K170" s="502">
        <f t="shared" si="85"/>
        <v>0</v>
      </c>
      <c r="L170" s="502">
        <f t="shared" si="86"/>
        <v>0</v>
      </c>
      <c r="M170" s="502">
        <f t="shared" si="87"/>
        <v>0</v>
      </c>
      <c r="N170" s="502">
        <f t="shared" si="88"/>
        <v>0</v>
      </c>
      <c r="O170" s="502">
        <f t="shared" si="89"/>
        <v>0</v>
      </c>
      <c r="P170" s="502">
        <f t="shared" si="90"/>
        <v>0</v>
      </c>
      <c r="Q170" s="503">
        <f t="shared" si="91"/>
        <v>20</v>
      </c>
      <c r="R170" s="504">
        <f t="shared" si="92"/>
        <v>9.2249999999999999E-2</v>
      </c>
      <c r="S170" s="504">
        <v>0</v>
      </c>
      <c r="T170" s="504">
        <v>0</v>
      </c>
      <c r="U170" s="504">
        <f t="shared" si="93"/>
        <v>2.8920000000000001E-2</v>
      </c>
      <c r="V170" s="503">
        <f t="shared" si="94"/>
        <v>0</v>
      </c>
      <c r="W170" s="503">
        <f t="shared" si="95"/>
        <v>0</v>
      </c>
      <c r="X170" s="503">
        <f t="shared" si="96"/>
        <v>0</v>
      </c>
      <c r="Y170" s="453">
        <f t="shared" si="97"/>
        <v>0</v>
      </c>
      <c r="Z170" s="453">
        <f t="shared" si="98"/>
        <v>0</v>
      </c>
      <c r="AA170" s="453">
        <f t="shared" si="99"/>
        <v>0</v>
      </c>
      <c r="AB170" s="453">
        <f t="shared" si="100"/>
        <v>0</v>
      </c>
      <c r="AC170" s="453">
        <f t="shared" si="101"/>
        <v>0</v>
      </c>
      <c r="AD170" s="493">
        <f t="shared" si="102"/>
        <v>0</v>
      </c>
      <c r="AE170" s="493">
        <f t="shared" si="103"/>
        <v>0</v>
      </c>
      <c r="AF170" s="493">
        <f t="shared" si="104"/>
        <v>0</v>
      </c>
      <c r="AG170" s="494">
        <f t="shared" si="105"/>
        <v>1</v>
      </c>
      <c r="AH170" s="505">
        <f t="shared" si="106"/>
        <v>0</v>
      </c>
      <c r="AI170" s="505">
        <f t="shared" si="107"/>
        <v>0</v>
      </c>
      <c r="AJ170" s="505">
        <f t="shared" si="108"/>
        <v>0</v>
      </c>
      <c r="AK170" s="505">
        <f t="shared" si="109"/>
        <v>0</v>
      </c>
      <c r="AL170" s="505">
        <f t="shared" si="110"/>
        <v>0</v>
      </c>
      <c r="AM170" s="505">
        <f t="shared" si="111"/>
        <v>0</v>
      </c>
      <c r="AN170" s="506">
        <f t="shared" si="112"/>
        <v>0</v>
      </c>
      <c r="AO170" s="507">
        <f t="shared" si="113"/>
        <v>0</v>
      </c>
      <c r="AP170" s="508">
        <f t="shared" si="114"/>
        <v>0</v>
      </c>
      <c r="AQ170" s="510">
        <f t="shared" si="115"/>
        <v>0</v>
      </c>
      <c r="AR170" s="511"/>
      <c r="AS170" s="511"/>
      <c r="AT170" s="511"/>
      <c r="AU170" s="511"/>
      <c r="AV170" s="512">
        <f>IF(BA170&gt;BA169,AV169,IF(AV169&lt;MiscData!$F$1,EOMONTH(AV169,1),EOMONTH(AV169,-11)))</f>
        <v>42521</v>
      </c>
      <c r="AW170" s="499" t="str">
        <f t="shared" si="116"/>
        <v>20140101KUCME112</v>
      </c>
      <c r="AX170" s="513" t="str">
        <f t="shared" si="117"/>
        <v>20140101GS</v>
      </c>
      <c r="AY170" s="511">
        <f>IF(AV170&lt;=MiscData!$B$23,MiscData!$C$23,IF(AV170&lt;=MiscData!$B$24,MiscData!$C$24,MiscData!$C$25))</f>
        <v>20140101</v>
      </c>
      <c r="AZ170" s="511" t="str">
        <f>VLOOKUP(BA170,MiscData!$V$4:$W$42,2,FALSE)</f>
        <v>KUCME112</v>
      </c>
      <c r="BA170" s="439">
        <f>IF(BA169=MiscData!$V$42,1,BA169+1)</f>
        <v>11</v>
      </c>
      <c r="BB170" s="514" t="str">
        <f>VLOOKUP(AZ170,MiscData!$W$4:$Y$42,3,FALSE)</f>
        <v>GS</v>
      </c>
    </row>
    <row r="171" spans="1:54">
      <c r="A171" s="498">
        <f t="shared" si="118"/>
        <v>156</v>
      </c>
      <c r="B171" s="499" t="str">
        <f t="shared" si="80"/>
        <v>May 2016</v>
      </c>
      <c r="C171" s="499" t="s">
        <v>17</v>
      </c>
      <c r="D171" s="500" t="str">
        <f t="shared" si="81"/>
        <v>GS3</v>
      </c>
      <c r="E171" s="500" t="str">
        <f t="shared" si="82"/>
        <v>KUCME113</v>
      </c>
      <c r="F171" s="501">
        <f t="shared" si="83"/>
        <v>18582</v>
      </c>
      <c r="G171" s="501">
        <v>0</v>
      </c>
      <c r="H171" s="501">
        <v>0</v>
      </c>
      <c r="I171" s="501">
        <v>0</v>
      </c>
      <c r="J171" s="501">
        <f t="shared" si="84"/>
        <v>86460113</v>
      </c>
      <c r="K171" s="502">
        <f t="shared" si="85"/>
        <v>363644</v>
      </c>
      <c r="L171" s="502">
        <f t="shared" si="86"/>
        <v>0</v>
      </c>
      <c r="M171" s="502">
        <f t="shared" si="87"/>
        <v>0</v>
      </c>
      <c r="N171" s="502">
        <f t="shared" si="88"/>
        <v>0</v>
      </c>
      <c r="O171" s="502">
        <f t="shared" si="89"/>
        <v>0</v>
      </c>
      <c r="P171" s="502">
        <f t="shared" si="90"/>
        <v>0</v>
      </c>
      <c r="Q171" s="503">
        <f t="shared" si="91"/>
        <v>35</v>
      </c>
      <c r="R171" s="504">
        <f t="shared" si="92"/>
        <v>9.2249999999999999E-2</v>
      </c>
      <c r="S171" s="504">
        <v>0</v>
      </c>
      <c r="T171" s="504">
        <v>0</v>
      </c>
      <c r="U171" s="504">
        <f t="shared" si="93"/>
        <v>2.8920000000000001E-2</v>
      </c>
      <c r="V171" s="503">
        <f t="shared" si="94"/>
        <v>0</v>
      </c>
      <c r="W171" s="503">
        <f t="shared" si="95"/>
        <v>0</v>
      </c>
      <c r="X171" s="503">
        <f t="shared" si="96"/>
        <v>0</v>
      </c>
      <c r="Y171" s="453">
        <f t="shared" si="97"/>
        <v>650370</v>
      </c>
      <c r="Z171" s="453">
        <f t="shared" si="98"/>
        <v>7975945.4199999999</v>
      </c>
      <c r="AA171" s="453">
        <f t="shared" si="99"/>
        <v>0</v>
      </c>
      <c r="AB171" s="453">
        <f t="shared" si="100"/>
        <v>0</v>
      </c>
      <c r="AC171" s="453">
        <f t="shared" si="101"/>
        <v>0</v>
      </c>
      <c r="AD171" s="493">
        <f t="shared" si="102"/>
        <v>0</v>
      </c>
      <c r="AE171" s="493">
        <f t="shared" si="103"/>
        <v>8626315.4199999999</v>
      </c>
      <c r="AF171" s="493">
        <f t="shared" si="104"/>
        <v>8626311</v>
      </c>
      <c r="AG171" s="494">
        <f t="shared" si="105"/>
        <v>0.99999948761437707</v>
      </c>
      <c r="AH171" s="505">
        <f t="shared" si="106"/>
        <v>78026</v>
      </c>
      <c r="AI171" s="505">
        <f t="shared" si="107"/>
        <v>158107</v>
      </c>
      <c r="AJ171" s="505">
        <f t="shared" si="108"/>
        <v>586391</v>
      </c>
      <c r="AK171" s="505">
        <f t="shared" si="109"/>
        <v>0</v>
      </c>
      <c r="AL171" s="505">
        <f t="shared" si="110"/>
        <v>0</v>
      </c>
      <c r="AM171" s="505">
        <f t="shared" si="111"/>
        <v>9448835</v>
      </c>
      <c r="AN171" s="506">
        <f t="shared" si="112"/>
        <v>9448839.4199999999</v>
      </c>
      <c r="AO171" s="507">
        <f t="shared" si="113"/>
        <v>-4.4199999999254942</v>
      </c>
      <c r="AP171" s="508">
        <f t="shared" si="114"/>
        <v>2500426.4700000002</v>
      </c>
      <c r="AQ171" s="510">
        <f t="shared" si="115"/>
        <v>5475518.9499999993</v>
      </c>
      <c r="AR171" s="511"/>
      <c r="AS171" s="511"/>
      <c r="AT171" s="511"/>
      <c r="AU171" s="511"/>
      <c r="AV171" s="512">
        <f>IF(BA171&gt;BA170,AV170,IF(AV170&lt;MiscData!$F$1,EOMONTH(AV170,1),EOMONTH(AV170,-11)))</f>
        <v>42521</v>
      </c>
      <c r="AW171" s="499" t="str">
        <f t="shared" si="116"/>
        <v>20140101KUCME113</v>
      </c>
      <c r="AX171" s="513" t="str">
        <f t="shared" si="117"/>
        <v>20140101GS3</v>
      </c>
      <c r="AY171" s="511">
        <f>IF(AV171&lt;=MiscData!$B$23,MiscData!$C$23,IF(AV171&lt;=MiscData!$B$24,MiscData!$C$24,MiscData!$C$25))</f>
        <v>20140101</v>
      </c>
      <c r="AZ171" s="511" t="str">
        <f>VLOOKUP(BA171,MiscData!$V$4:$W$42,2,FALSE)</f>
        <v>KUCME113</v>
      </c>
      <c r="BA171" s="439">
        <f>IF(BA170=MiscData!$V$42,1,BA170+1)</f>
        <v>12</v>
      </c>
      <c r="BB171" s="514" t="str">
        <f>VLOOKUP(AZ171,MiscData!$W$4:$Y$42,3,FALSE)</f>
        <v>GS3</v>
      </c>
    </row>
    <row r="172" spans="1:54" hidden="1">
      <c r="A172" s="498">
        <f t="shared" si="118"/>
        <v>157</v>
      </c>
      <c r="B172" s="499" t="str">
        <f t="shared" si="80"/>
        <v>May 2016</v>
      </c>
      <c r="C172" s="499" t="s">
        <v>203</v>
      </c>
      <c r="D172" s="500" t="str">
        <f t="shared" si="81"/>
        <v>AES</v>
      </c>
      <c r="E172" s="500" t="str">
        <f t="shared" si="82"/>
        <v>KUCME220</v>
      </c>
      <c r="F172" s="501">
        <f t="shared" si="83"/>
        <v>382</v>
      </c>
      <c r="G172" s="501">
        <v>0</v>
      </c>
      <c r="H172" s="501">
        <v>0</v>
      </c>
      <c r="I172" s="501">
        <v>0</v>
      </c>
      <c r="J172" s="501">
        <f t="shared" si="84"/>
        <v>643622</v>
      </c>
      <c r="K172" s="502">
        <f t="shared" si="85"/>
        <v>0</v>
      </c>
      <c r="L172" s="502">
        <f t="shared" si="86"/>
        <v>0</v>
      </c>
      <c r="M172" s="502">
        <f t="shared" si="87"/>
        <v>0</v>
      </c>
      <c r="N172" s="502">
        <f t="shared" si="88"/>
        <v>0</v>
      </c>
      <c r="O172" s="502">
        <f t="shared" si="89"/>
        <v>0</v>
      </c>
      <c r="P172" s="502">
        <f t="shared" si="90"/>
        <v>0</v>
      </c>
      <c r="Q172" s="503">
        <f t="shared" si="91"/>
        <v>20</v>
      </c>
      <c r="R172" s="504">
        <f t="shared" si="92"/>
        <v>7.4399999999999994E-2</v>
      </c>
      <c r="S172" s="504">
        <v>0</v>
      </c>
      <c r="T172" s="504">
        <v>0</v>
      </c>
      <c r="U172" s="504">
        <f t="shared" si="93"/>
        <v>2.8920000000000001E-2</v>
      </c>
      <c r="V172" s="503">
        <f t="shared" si="94"/>
        <v>0</v>
      </c>
      <c r="W172" s="503">
        <f t="shared" si="95"/>
        <v>0</v>
      </c>
      <c r="X172" s="503">
        <f t="shared" si="96"/>
        <v>0</v>
      </c>
      <c r="Y172" s="453">
        <f t="shared" si="97"/>
        <v>7640</v>
      </c>
      <c r="Z172" s="453">
        <f t="shared" si="98"/>
        <v>47885.48</v>
      </c>
      <c r="AA172" s="453">
        <f t="shared" si="99"/>
        <v>0</v>
      </c>
      <c r="AB172" s="453">
        <f t="shared" si="100"/>
        <v>0</v>
      </c>
      <c r="AC172" s="453">
        <f t="shared" si="101"/>
        <v>0</v>
      </c>
      <c r="AD172" s="493">
        <f t="shared" si="102"/>
        <v>0</v>
      </c>
      <c r="AE172" s="493">
        <f t="shared" si="103"/>
        <v>55525.48</v>
      </c>
      <c r="AF172" s="493">
        <f t="shared" si="104"/>
        <v>55525</v>
      </c>
      <c r="AG172" s="494">
        <f t="shared" si="105"/>
        <v>0.99999135532011607</v>
      </c>
      <c r="AH172" s="505">
        <f t="shared" si="106"/>
        <v>581</v>
      </c>
      <c r="AI172" s="505">
        <f t="shared" si="107"/>
        <v>1177</v>
      </c>
      <c r="AJ172" s="505">
        <f t="shared" si="108"/>
        <v>4365</v>
      </c>
      <c r="AK172" s="505">
        <f t="shared" si="109"/>
        <v>0</v>
      </c>
      <c r="AL172" s="505">
        <f t="shared" si="110"/>
        <v>0</v>
      </c>
      <c r="AM172" s="505">
        <f t="shared" si="111"/>
        <v>61648</v>
      </c>
      <c r="AN172" s="506">
        <f t="shared" si="112"/>
        <v>61648.480000000003</v>
      </c>
      <c r="AO172" s="507">
        <f t="shared" si="113"/>
        <v>-0.48000000000320142</v>
      </c>
      <c r="AP172" s="508">
        <f t="shared" si="114"/>
        <v>18613.55</v>
      </c>
      <c r="AQ172" s="510">
        <f t="shared" si="115"/>
        <v>29271.930000000004</v>
      </c>
      <c r="AR172" s="511"/>
      <c r="AS172" s="511"/>
      <c r="AT172" s="511"/>
      <c r="AU172" s="511"/>
      <c r="AV172" s="512">
        <f>IF(BA172&gt;BA171,AV171,IF(AV171&lt;MiscData!$F$1,EOMONTH(AV171,1),EOMONTH(AV171,-11)))</f>
        <v>42521</v>
      </c>
      <c r="AW172" s="499" t="str">
        <f t="shared" si="116"/>
        <v>20140101KUCME220</v>
      </c>
      <c r="AX172" s="513" t="str">
        <f t="shared" si="117"/>
        <v>20140101AES</v>
      </c>
      <c r="AY172" s="511">
        <f>IF(AV172&lt;=MiscData!$B$23,MiscData!$C$23,IF(AV172&lt;=MiscData!$B$24,MiscData!$C$24,MiscData!$C$25))</f>
        <v>20140101</v>
      </c>
      <c r="AZ172" s="511" t="str">
        <f>VLOOKUP(BA172,MiscData!$V$4:$W$42,2,FALSE)</f>
        <v>KUCME220</v>
      </c>
      <c r="BA172" s="439">
        <f>IF(BA171=MiscData!$V$42,1,BA171+1)</f>
        <v>13</v>
      </c>
      <c r="BB172" s="514" t="str">
        <f>VLOOKUP(AZ172,MiscData!$W$4:$Y$42,3,FALSE)</f>
        <v>AES</v>
      </c>
    </row>
    <row r="173" spans="1:54" hidden="1">
      <c r="A173" s="498">
        <f t="shared" si="118"/>
        <v>158</v>
      </c>
      <c r="B173" s="499" t="str">
        <f t="shared" si="80"/>
        <v>May 2016</v>
      </c>
      <c r="C173" s="499" t="s">
        <v>203</v>
      </c>
      <c r="D173" s="500" t="str">
        <f t="shared" si="81"/>
        <v>AES</v>
      </c>
      <c r="E173" s="500" t="str">
        <f t="shared" si="82"/>
        <v>KUCME221</v>
      </c>
      <c r="F173" s="501">
        <f t="shared" si="83"/>
        <v>0</v>
      </c>
      <c r="G173" s="501">
        <v>0</v>
      </c>
      <c r="H173" s="501">
        <v>0</v>
      </c>
      <c r="I173" s="501">
        <v>0</v>
      </c>
      <c r="J173" s="501">
        <f t="shared" si="84"/>
        <v>0</v>
      </c>
      <c r="K173" s="502">
        <f t="shared" si="85"/>
        <v>0</v>
      </c>
      <c r="L173" s="502">
        <f t="shared" si="86"/>
        <v>0</v>
      </c>
      <c r="M173" s="502">
        <f t="shared" si="87"/>
        <v>0</v>
      </c>
      <c r="N173" s="502">
        <f t="shared" si="88"/>
        <v>0</v>
      </c>
      <c r="O173" s="502">
        <f t="shared" si="89"/>
        <v>0</v>
      </c>
      <c r="P173" s="502">
        <f t="shared" si="90"/>
        <v>0</v>
      </c>
      <c r="Q173" s="503">
        <f t="shared" si="91"/>
        <v>20</v>
      </c>
      <c r="R173" s="504">
        <f t="shared" si="92"/>
        <v>7.4399999999999994E-2</v>
      </c>
      <c r="S173" s="504">
        <v>0</v>
      </c>
      <c r="T173" s="504">
        <v>0</v>
      </c>
      <c r="U173" s="504">
        <f t="shared" si="93"/>
        <v>2.8920000000000001E-2</v>
      </c>
      <c r="V173" s="503">
        <f t="shared" si="94"/>
        <v>0</v>
      </c>
      <c r="W173" s="503">
        <f t="shared" si="95"/>
        <v>0</v>
      </c>
      <c r="X173" s="503">
        <f t="shared" si="96"/>
        <v>0</v>
      </c>
      <c r="Y173" s="453">
        <f t="shared" si="97"/>
        <v>0</v>
      </c>
      <c r="Z173" s="453">
        <f t="shared" si="98"/>
        <v>0</v>
      </c>
      <c r="AA173" s="453">
        <f t="shared" si="99"/>
        <v>0</v>
      </c>
      <c r="AB173" s="453">
        <f t="shared" si="100"/>
        <v>0</v>
      </c>
      <c r="AC173" s="453">
        <f t="shared" si="101"/>
        <v>0</v>
      </c>
      <c r="AD173" s="493">
        <f t="shared" si="102"/>
        <v>0</v>
      </c>
      <c r="AE173" s="493">
        <f t="shared" si="103"/>
        <v>0</v>
      </c>
      <c r="AF173" s="493">
        <f t="shared" si="104"/>
        <v>0</v>
      </c>
      <c r="AG173" s="494">
        <f t="shared" si="105"/>
        <v>1</v>
      </c>
      <c r="AH173" s="505">
        <f t="shared" si="106"/>
        <v>0</v>
      </c>
      <c r="AI173" s="505">
        <f t="shared" si="107"/>
        <v>0</v>
      </c>
      <c r="AJ173" s="505">
        <f t="shared" si="108"/>
        <v>0</v>
      </c>
      <c r="AK173" s="505">
        <f t="shared" si="109"/>
        <v>0</v>
      </c>
      <c r="AL173" s="505">
        <f t="shared" si="110"/>
        <v>0</v>
      </c>
      <c r="AM173" s="505">
        <f t="shared" si="111"/>
        <v>0</v>
      </c>
      <c r="AN173" s="506">
        <f t="shared" si="112"/>
        <v>0</v>
      </c>
      <c r="AO173" s="507">
        <f t="shared" si="113"/>
        <v>0</v>
      </c>
      <c r="AP173" s="508">
        <f t="shared" si="114"/>
        <v>0</v>
      </c>
      <c r="AQ173" s="510">
        <f t="shared" si="115"/>
        <v>0</v>
      </c>
      <c r="AR173" s="511"/>
      <c r="AS173" s="511"/>
      <c r="AT173" s="511"/>
      <c r="AU173" s="511"/>
      <c r="AV173" s="512">
        <f>IF(BA173&gt;BA172,AV172,IF(AV172&lt;MiscData!$F$1,EOMONTH(AV172,1),EOMONTH(AV172,-11)))</f>
        <v>42521</v>
      </c>
      <c r="AW173" s="499" t="str">
        <f t="shared" si="116"/>
        <v>20140101KUCME221</v>
      </c>
      <c r="AX173" s="513" t="str">
        <f t="shared" si="117"/>
        <v>20140101AES</v>
      </c>
      <c r="AY173" s="511">
        <f>IF(AV173&lt;=MiscData!$B$23,MiscData!$C$23,IF(AV173&lt;=MiscData!$B$24,MiscData!$C$24,MiscData!$C$25))</f>
        <v>20140101</v>
      </c>
      <c r="AZ173" s="511" t="str">
        <f>VLOOKUP(BA173,MiscData!$V$4:$W$42,2,FALSE)</f>
        <v>KUCME221</v>
      </c>
      <c r="BA173" s="439">
        <f>IF(BA172=MiscData!$V$42,1,BA172+1)</f>
        <v>14</v>
      </c>
      <c r="BB173" s="514" t="str">
        <f>VLOOKUP(AZ173,MiscData!$W$4:$Y$42,3,FALSE)</f>
        <v>AES</v>
      </c>
    </row>
    <row r="174" spans="1:54" hidden="1">
      <c r="A174" s="498">
        <f t="shared" si="118"/>
        <v>159</v>
      </c>
      <c r="B174" s="499" t="str">
        <f t="shared" si="80"/>
        <v>May 2016</v>
      </c>
      <c r="C174" s="832" t="s">
        <v>212</v>
      </c>
      <c r="D174" s="500" t="str">
        <f t="shared" si="81"/>
        <v>AES3</v>
      </c>
      <c r="E174" s="500" t="str">
        <f t="shared" si="82"/>
        <v>KUCME223</v>
      </c>
      <c r="F174" s="501">
        <f t="shared" si="83"/>
        <v>0</v>
      </c>
      <c r="G174" s="501">
        <v>0</v>
      </c>
      <c r="H174" s="501">
        <v>0</v>
      </c>
      <c r="I174" s="501">
        <v>0</v>
      </c>
      <c r="J174" s="501">
        <f t="shared" si="84"/>
        <v>0</v>
      </c>
      <c r="K174" s="502">
        <f t="shared" si="85"/>
        <v>0</v>
      </c>
      <c r="L174" s="502">
        <f t="shared" si="86"/>
        <v>0</v>
      </c>
      <c r="M174" s="502">
        <f t="shared" si="87"/>
        <v>0</v>
      </c>
      <c r="N174" s="502">
        <f t="shared" si="88"/>
        <v>0</v>
      </c>
      <c r="O174" s="502">
        <f t="shared" si="89"/>
        <v>0</v>
      </c>
      <c r="P174" s="502">
        <f t="shared" si="90"/>
        <v>0</v>
      </c>
      <c r="Q174" s="503">
        <f t="shared" si="91"/>
        <v>35</v>
      </c>
      <c r="R174" s="504">
        <f t="shared" si="92"/>
        <v>7.4399999999999994E-2</v>
      </c>
      <c r="S174" s="504">
        <v>0</v>
      </c>
      <c r="T174" s="504">
        <v>0</v>
      </c>
      <c r="U174" s="504">
        <f t="shared" si="93"/>
        <v>2.8920000000000001E-2</v>
      </c>
      <c r="V174" s="503">
        <f t="shared" si="94"/>
        <v>0</v>
      </c>
      <c r="W174" s="503">
        <f t="shared" si="95"/>
        <v>0</v>
      </c>
      <c r="X174" s="503">
        <f t="shared" si="96"/>
        <v>0</v>
      </c>
      <c r="Y174" s="453">
        <f t="shared" si="97"/>
        <v>0</v>
      </c>
      <c r="Z174" s="453">
        <f t="shared" si="98"/>
        <v>0</v>
      </c>
      <c r="AA174" s="453">
        <f t="shared" si="99"/>
        <v>0</v>
      </c>
      <c r="AB174" s="453">
        <f t="shared" si="100"/>
        <v>0</v>
      </c>
      <c r="AC174" s="453">
        <f t="shared" si="101"/>
        <v>0</v>
      </c>
      <c r="AD174" s="493">
        <f t="shared" si="102"/>
        <v>0</v>
      </c>
      <c r="AE174" s="493">
        <f t="shared" si="103"/>
        <v>0</v>
      </c>
      <c r="AF174" s="493">
        <f t="shared" si="104"/>
        <v>0</v>
      </c>
      <c r="AG174" s="494">
        <f t="shared" si="105"/>
        <v>1</v>
      </c>
      <c r="AH174" s="505">
        <f t="shared" si="106"/>
        <v>0</v>
      </c>
      <c r="AI174" s="505">
        <f t="shared" si="107"/>
        <v>0</v>
      </c>
      <c r="AJ174" s="505">
        <f t="shared" si="108"/>
        <v>0</v>
      </c>
      <c r="AK174" s="505">
        <f t="shared" si="109"/>
        <v>0</v>
      </c>
      <c r="AL174" s="505">
        <f t="shared" si="110"/>
        <v>0</v>
      </c>
      <c r="AM174" s="505">
        <f t="shared" si="111"/>
        <v>0</v>
      </c>
      <c r="AN174" s="506">
        <f t="shared" si="112"/>
        <v>0</v>
      </c>
      <c r="AO174" s="507">
        <f t="shared" si="113"/>
        <v>0</v>
      </c>
      <c r="AP174" s="508">
        <f t="shared" si="114"/>
        <v>0</v>
      </c>
      <c r="AQ174" s="510">
        <f t="shared" si="115"/>
        <v>0</v>
      </c>
      <c r="AR174" s="511"/>
      <c r="AS174" s="511"/>
      <c r="AT174" s="511"/>
      <c r="AU174" s="511"/>
      <c r="AV174" s="512">
        <f>IF(BA174&gt;BA173,AV173,IF(AV173&lt;MiscData!$F$1,EOMONTH(AV173,1),EOMONTH(AV173,-11)))</f>
        <v>42521</v>
      </c>
      <c r="AW174" s="499" t="str">
        <f t="shared" si="116"/>
        <v>20140101KUCME223</v>
      </c>
      <c r="AX174" s="513" t="str">
        <f t="shared" si="117"/>
        <v>20140101AES3</v>
      </c>
      <c r="AY174" s="511">
        <f>IF(AV174&lt;=MiscData!$B$23,MiscData!$C$23,IF(AV174&lt;=MiscData!$B$24,MiscData!$C$24,MiscData!$C$25))</f>
        <v>20140101</v>
      </c>
      <c r="AZ174" s="511" t="str">
        <f>VLOOKUP(BA174,MiscData!$V$4:$W$42,2,FALSE)</f>
        <v>KUCME223</v>
      </c>
      <c r="BA174" s="439">
        <f>IF(BA173=MiscData!$V$42,1,BA173+1)</f>
        <v>15</v>
      </c>
      <c r="BB174" s="514" t="str">
        <f>VLOOKUP(AZ174,MiscData!$W$4:$Y$42,3,FALSE)</f>
        <v>AES3</v>
      </c>
    </row>
    <row r="175" spans="1:54" hidden="1">
      <c r="A175" s="498">
        <f t="shared" si="118"/>
        <v>160</v>
      </c>
      <c r="B175" s="499" t="str">
        <f t="shared" si="80"/>
        <v>May 2016</v>
      </c>
      <c r="C175" s="832" t="s">
        <v>212</v>
      </c>
      <c r="D175" s="500" t="str">
        <f t="shared" si="81"/>
        <v>AES3</v>
      </c>
      <c r="E175" s="500" t="str">
        <f t="shared" si="82"/>
        <v>KUCME224</v>
      </c>
      <c r="F175" s="501">
        <f t="shared" si="83"/>
        <v>266</v>
      </c>
      <c r="G175" s="501">
        <v>0</v>
      </c>
      <c r="H175" s="501">
        <v>0</v>
      </c>
      <c r="I175" s="501">
        <v>0</v>
      </c>
      <c r="J175" s="501">
        <f t="shared" si="84"/>
        <v>11929227</v>
      </c>
      <c r="K175" s="502">
        <f t="shared" si="85"/>
        <v>49537</v>
      </c>
      <c r="L175" s="502">
        <f t="shared" si="86"/>
        <v>0</v>
      </c>
      <c r="M175" s="502">
        <f t="shared" si="87"/>
        <v>0</v>
      </c>
      <c r="N175" s="502">
        <f t="shared" si="88"/>
        <v>0</v>
      </c>
      <c r="O175" s="502">
        <f t="shared" si="89"/>
        <v>0</v>
      </c>
      <c r="P175" s="502">
        <f t="shared" si="90"/>
        <v>0</v>
      </c>
      <c r="Q175" s="503">
        <f t="shared" si="91"/>
        <v>35</v>
      </c>
      <c r="R175" s="504">
        <f t="shared" si="92"/>
        <v>7.4399999999999994E-2</v>
      </c>
      <c r="S175" s="504">
        <v>0</v>
      </c>
      <c r="T175" s="504">
        <v>0</v>
      </c>
      <c r="U175" s="504">
        <f t="shared" si="93"/>
        <v>2.8920000000000001E-2</v>
      </c>
      <c r="V175" s="503">
        <f t="shared" si="94"/>
        <v>0</v>
      </c>
      <c r="W175" s="503">
        <f t="shared" si="95"/>
        <v>0</v>
      </c>
      <c r="X175" s="503">
        <f t="shared" si="96"/>
        <v>0</v>
      </c>
      <c r="Y175" s="453">
        <f t="shared" si="97"/>
        <v>9310</v>
      </c>
      <c r="Z175" s="453">
        <f t="shared" si="98"/>
        <v>887534.49</v>
      </c>
      <c r="AA175" s="453">
        <f t="shared" si="99"/>
        <v>0</v>
      </c>
      <c r="AB175" s="453">
        <f t="shared" si="100"/>
        <v>0</v>
      </c>
      <c r="AC175" s="453">
        <f t="shared" si="101"/>
        <v>0</v>
      </c>
      <c r="AD175" s="493">
        <f t="shared" si="102"/>
        <v>0</v>
      </c>
      <c r="AE175" s="493">
        <f t="shared" si="103"/>
        <v>896844.49</v>
      </c>
      <c r="AF175" s="493">
        <f t="shared" si="104"/>
        <v>896843</v>
      </c>
      <c r="AG175" s="494">
        <f t="shared" si="105"/>
        <v>0.99999833861944121</v>
      </c>
      <c r="AH175" s="505">
        <f t="shared" si="106"/>
        <v>10766</v>
      </c>
      <c r="AI175" s="505">
        <f t="shared" si="107"/>
        <v>21815</v>
      </c>
      <c r="AJ175" s="505">
        <f t="shared" si="108"/>
        <v>80907</v>
      </c>
      <c r="AK175" s="505">
        <f t="shared" si="109"/>
        <v>0</v>
      </c>
      <c r="AL175" s="505">
        <f t="shared" si="110"/>
        <v>0</v>
      </c>
      <c r="AM175" s="505">
        <f t="shared" si="111"/>
        <v>1010331</v>
      </c>
      <c r="AN175" s="506">
        <f t="shared" si="112"/>
        <v>1010332.49</v>
      </c>
      <c r="AO175" s="507">
        <f t="shared" si="113"/>
        <v>-1.4899999999906868</v>
      </c>
      <c r="AP175" s="508">
        <f t="shared" si="114"/>
        <v>344993.24</v>
      </c>
      <c r="AQ175" s="510">
        <f t="shared" si="115"/>
        <v>542541.25</v>
      </c>
      <c r="AR175" s="511"/>
      <c r="AS175" s="511"/>
      <c r="AT175" s="511"/>
      <c r="AU175" s="511"/>
      <c r="AV175" s="512">
        <f>IF(BA175&gt;BA174,AV174,IF(AV174&lt;MiscData!$F$1,EOMONTH(AV174,1),EOMONTH(AV174,-11)))</f>
        <v>42521</v>
      </c>
      <c r="AW175" s="499" t="str">
        <f t="shared" si="116"/>
        <v>20140101KUCME224</v>
      </c>
      <c r="AX175" s="513" t="str">
        <f t="shared" si="117"/>
        <v>20140101AES3</v>
      </c>
      <c r="AY175" s="511">
        <f>IF(AV175&lt;=MiscData!$B$23,MiscData!$C$23,IF(AV175&lt;=MiscData!$B$24,MiscData!$C$24,MiscData!$C$25))</f>
        <v>20140101</v>
      </c>
      <c r="AZ175" s="511" t="str">
        <f>VLOOKUP(BA175,MiscData!$V$4:$W$42,2,FALSE)</f>
        <v>KUCME224</v>
      </c>
      <c r="BA175" s="439">
        <f>IF(BA174=MiscData!$V$42,1,BA174+1)</f>
        <v>16</v>
      </c>
      <c r="BB175" s="514" t="str">
        <f>VLOOKUP(AZ175,MiscData!$W$4:$Y$42,3,FALSE)</f>
        <v>AES3</v>
      </c>
    </row>
    <row r="176" spans="1:54" hidden="1">
      <c r="A176" s="498">
        <f t="shared" si="118"/>
        <v>161</v>
      </c>
      <c r="B176" s="499" t="str">
        <f t="shared" si="80"/>
        <v>May 2016</v>
      </c>
      <c r="C176" s="832" t="s">
        <v>212</v>
      </c>
      <c r="D176" s="500" t="str">
        <f t="shared" si="81"/>
        <v>AES3</v>
      </c>
      <c r="E176" s="500" t="str">
        <f t="shared" si="82"/>
        <v>KUCME225</v>
      </c>
      <c r="F176" s="501">
        <f t="shared" si="83"/>
        <v>0</v>
      </c>
      <c r="G176" s="501">
        <v>0</v>
      </c>
      <c r="H176" s="501">
        <v>0</v>
      </c>
      <c r="I176" s="501">
        <v>0</v>
      </c>
      <c r="J176" s="501">
        <f t="shared" si="84"/>
        <v>0</v>
      </c>
      <c r="K176" s="502">
        <f t="shared" si="85"/>
        <v>0</v>
      </c>
      <c r="L176" s="502">
        <f t="shared" si="86"/>
        <v>0</v>
      </c>
      <c r="M176" s="502">
        <f t="shared" si="87"/>
        <v>0</v>
      </c>
      <c r="N176" s="502">
        <f t="shared" si="88"/>
        <v>0</v>
      </c>
      <c r="O176" s="502">
        <f t="shared" si="89"/>
        <v>0</v>
      </c>
      <c r="P176" s="502">
        <f t="shared" si="90"/>
        <v>0</v>
      </c>
      <c r="Q176" s="503">
        <f t="shared" si="91"/>
        <v>35</v>
      </c>
      <c r="R176" s="504">
        <f t="shared" si="92"/>
        <v>7.4399999999999994E-2</v>
      </c>
      <c r="S176" s="504">
        <v>0</v>
      </c>
      <c r="T176" s="504">
        <v>0</v>
      </c>
      <c r="U176" s="504">
        <f t="shared" si="93"/>
        <v>2.8920000000000001E-2</v>
      </c>
      <c r="V176" s="503">
        <f t="shared" si="94"/>
        <v>0</v>
      </c>
      <c r="W176" s="503">
        <f t="shared" si="95"/>
        <v>0</v>
      </c>
      <c r="X176" s="503">
        <f t="shared" si="96"/>
        <v>0</v>
      </c>
      <c r="Y176" s="453">
        <f t="shared" si="97"/>
        <v>0</v>
      </c>
      <c r="Z176" s="453">
        <f t="shared" si="98"/>
        <v>0</v>
      </c>
      <c r="AA176" s="453">
        <f t="shared" si="99"/>
        <v>0</v>
      </c>
      <c r="AB176" s="453">
        <f t="shared" si="100"/>
        <v>0</v>
      </c>
      <c r="AC176" s="453">
        <f t="shared" si="101"/>
        <v>0</v>
      </c>
      <c r="AD176" s="493">
        <f t="shared" si="102"/>
        <v>0</v>
      </c>
      <c r="AE176" s="493">
        <f t="shared" si="103"/>
        <v>0</v>
      </c>
      <c r="AF176" s="493">
        <f t="shared" si="104"/>
        <v>0</v>
      </c>
      <c r="AG176" s="494">
        <f t="shared" si="105"/>
        <v>1</v>
      </c>
      <c r="AH176" s="505">
        <f t="shared" si="106"/>
        <v>0</v>
      </c>
      <c r="AI176" s="505">
        <f t="shared" si="107"/>
        <v>0</v>
      </c>
      <c r="AJ176" s="505">
        <f t="shared" si="108"/>
        <v>0</v>
      </c>
      <c r="AK176" s="505">
        <f t="shared" si="109"/>
        <v>0</v>
      </c>
      <c r="AL176" s="505">
        <f t="shared" si="110"/>
        <v>0</v>
      </c>
      <c r="AM176" s="505">
        <f t="shared" si="111"/>
        <v>0</v>
      </c>
      <c r="AN176" s="506">
        <f t="shared" si="112"/>
        <v>0</v>
      </c>
      <c r="AO176" s="507">
        <f t="shared" si="113"/>
        <v>0</v>
      </c>
      <c r="AP176" s="508">
        <f t="shared" si="114"/>
        <v>0</v>
      </c>
      <c r="AQ176" s="510">
        <f t="shared" si="115"/>
        <v>0</v>
      </c>
      <c r="AR176" s="511"/>
      <c r="AS176" s="511"/>
      <c r="AT176" s="511"/>
      <c r="AU176" s="511"/>
      <c r="AV176" s="512">
        <f>IF(BA176&gt;BA175,AV175,IF(AV175&lt;MiscData!$F$1,EOMONTH(AV175,1),EOMONTH(AV175,-11)))</f>
        <v>42521</v>
      </c>
      <c r="AW176" s="499" t="str">
        <f t="shared" si="116"/>
        <v>20140101KUCME225</v>
      </c>
      <c r="AX176" s="513" t="str">
        <f t="shared" si="117"/>
        <v>20140101AES3</v>
      </c>
      <c r="AY176" s="511">
        <f>IF(AV176&lt;=MiscData!$B$23,MiscData!$C$23,IF(AV176&lt;=MiscData!$B$24,MiscData!$C$24,MiscData!$C$25))</f>
        <v>20140101</v>
      </c>
      <c r="AZ176" s="511" t="str">
        <f>VLOOKUP(BA176,MiscData!$V$4:$W$42,2,FALSE)</f>
        <v>KUCME225</v>
      </c>
      <c r="BA176" s="439">
        <f>IF(BA175=MiscData!$V$42,1,BA175+1)</f>
        <v>17</v>
      </c>
      <c r="BB176" s="514" t="str">
        <f>VLOOKUP(AZ176,MiscData!$W$4:$Y$42,3,FALSE)</f>
        <v>AES3</v>
      </c>
    </row>
    <row r="177" spans="1:54" hidden="1">
      <c r="A177" s="498">
        <f t="shared" si="118"/>
        <v>162</v>
      </c>
      <c r="B177" s="499" t="str">
        <f t="shared" si="80"/>
        <v>May 2016</v>
      </c>
      <c r="C177" s="499" t="s">
        <v>203</v>
      </c>
      <c r="D177" s="500" t="str">
        <f t="shared" si="81"/>
        <v>AES</v>
      </c>
      <c r="E177" s="500" t="str">
        <f t="shared" si="82"/>
        <v>KUCME226</v>
      </c>
      <c r="F177" s="501">
        <f t="shared" si="83"/>
        <v>0</v>
      </c>
      <c r="G177" s="501">
        <v>0</v>
      </c>
      <c r="H177" s="501">
        <v>0</v>
      </c>
      <c r="I177" s="501">
        <v>0</v>
      </c>
      <c r="J177" s="501">
        <f t="shared" si="84"/>
        <v>0</v>
      </c>
      <c r="K177" s="502">
        <f t="shared" si="85"/>
        <v>0</v>
      </c>
      <c r="L177" s="502">
        <f t="shared" si="86"/>
        <v>0</v>
      </c>
      <c r="M177" s="502">
        <f t="shared" si="87"/>
        <v>0</v>
      </c>
      <c r="N177" s="502">
        <f t="shared" si="88"/>
        <v>0</v>
      </c>
      <c r="O177" s="502">
        <f t="shared" si="89"/>
        <v>0</v>
      </c>
      <c r="P177" s="502">
        <f t="shared" si="90"/>
        <v>0</v>
      </c>
      <c r="Q177" s="503">
        <f t="shared" si="91"/>
        <v>20</v>
      </c>
      <c r="R177" s="504">
        <f t="shared" si="92"/>
        <v>7.4399999999999994E-2</v>
      </c>
      <c r="S177" s="504">
        <v>0</v>
      </c>
      <c r="T177" s="504">
        <v>0</v>
      </c>
      <c r="U177" s="504">
        <f t="shared" si="93"/>
        <v>2.8920000000000001E-2</v>
      </c>
      <c r="V177" s="503">
        <f t="shared" si="94"/>
        <v>0</v>
      </c>
      <c r="W177" s="503">
        <f t="shared" si="95"/>
        <v>0</v>
      </c>
      <c r="X177" s="503">
        <f t="shared" si="96"/>
        <v>0</v>
      </c>
      <c r="Y177" s="453">
        <f t="shared" si="97"/>
        <v>0</v>
      </c>
      <c r="Z177" s="453">
        <f t="shared" si="98"/>
        <v>0</v>
      </c>
      <c r="AA177" s="453">
        <f t="shared" si="99"/>
        <v>0</v>
      </c>
      <c r="AB177" s="453">
        <f t="shared" si="100"/>
        <v>0</v>
      </c>
      <c r="AC177" s="453">
        <f t="shared" si="101"/>
        <v>0</v>
      </c>
      <c r="AD177" s="493">
        <f t="shared" si="102"/>
        <v>0</v>
      </c>
      <c r="AE177" s="493">
        <f t="shared" si="103"/>
        <v>0</v>
      </c>
      <c r="AF177" s="493">
        <f t="shared" si="104"/>
        <v>0</v>
      </c>
      <c r="AG177" s="494">
        <f t="shared" si="105"/>
        <v>1</v>
      </c>
      <c r="AH177" s="505">
        <f t="shared" si="106"/>
        <v>0</v>
      </c>
      <c r="AI177" s="505">
        <f t="shared" si="107"/>
        <v>0</v>
      </c>
      <c r="AJ177" s="505">
        <f t="shared" si="108"/>
        <v>0</v>
      </c>
      <c r="AK177" s="505">
        <f t="shared" si="109"/>
        <v>0</v>
      </c>
      <c r="AL177" s="505">
        <f t="shared" si="110"/>
        <v>0</v>
      </c>
      <c r="AM177" s="505">
        <f t="shared" si="111"/>
        <v>0</v>
      </c>
      <c r="AN177" s="506">
        <f t="shared" si="112"/>
        <v>0</v>
      </c>
      <c r="AO177" s="507">
        <f t="shared" si="113"/>
        <v>0</v>
      </c>
      <c r="AP177" s="508">
        <f t="shared" si="114"/>
        <v>0</v>
      </c>
      <c r="AQ177" s="510">
        <f t="shared" si="115"/>
        <v>0</v>
      </c>
      <c r="AR177" s="511"/>
      <c r="AS177" s="511"/>
      <c r="AT177" s="511"/>
      <c r="AU177" s="511"/>
      <c r="AV177" s="512">
        <f>IF(BA177&gt;BA176,AV176,IF(AV176&lt;MiscData!$F$1,EOMONTH(AV176,1),EOMONTH(AV176,-11)))</f>
        <v>42521</v>
      </c>
      <c r="AW177" s="499" t="str">
        <f t="shared" si="116"/>
        <v>20140101KUCME226</v>
      </c>
      <c r="AX177" s="513" t="str">
        <f t="shared" si="117"/>
        <v>20140101AES</v>
      </c>
      <c r="AY177" s="511">
        <f>IF(AV177&lt;=MiscData!$B$23,MiscData!$C$23,IF(AV177&lt;=MiscData!$B$24,MiscData!$C$24,MiscData!$C$25))</f>
        <v>20140101</v>
      </c>
      <c r="AZ177" s="511" t="str">
        <f>VLOOKUP(BA177,MiscData!$V$4:$W$42,2,FALSE)</f>
        <v>KUCME226</v>
      </c>
      <c r="BA177" s="439">
        <f>IF(BA176=MiscData!$V$42,1,BA176+1)</f>
        <v>18</v>
      </c>
      <c r="BB177" s="514" t="str">
        <f>VLOOKUP(AZ177,MiscData!$W$4:$Y$42,3,FALSE)</f>
        <v>AES</v>
      </c>
    </row>
    <row r="178" spans="1:54" hidden="1">
      <c r="A178" s="498">
        <f t="shared" si="118"/>
        <v>163</v>
      </c>
      <c r="B178" s="499" t="str">
        <f t="shared" si="80"/>
        <v>May 2016</v>
      </c>
      <c r="C178" s="832" t="s">
        <v>212</v>
      </c>
      <c r="D178" s="500" t="str">
        <f t="shared" si="81"/>
        <v>AES3</v>
      </c>
      <c r="E178" s="500" t="str">
        <f t="shared" si="82"/>
        <v>KUCME227</v>
      </c>
      <c r="F178" s="501">
        <f t="shared" si="83"/>
        <v>0</v>
      </c>
      <c r="G178" s="501">
        <v>0</v>
      </c>
      <c r="H178" s="501">
        <v>0</v>
      </c>
      <c r="I178" s="501">
        <v>0</v>
      </c>
      <c r="J178" s="501">
        <f t="shared" si="84"/>
        <v>0</v>
      </c>
      <c r="K178" s="502">
        <f t="shared" si="85"/>
        <v>0</v>
      </c>
      <c r="L178" s="502">
        <f t="shared" si="86"/>
        <v>0</v>
      </c>
      <c r="M178" s="502">
        <f t="shared" si="87"/>
        <v>0</v>
      </c>
      <c r="N178" s="502">
        <f t="shared" si="88"/>
        <v>0</v>
      </c>
      <c r="O178" s="502">
        <f t="shared" si="89"/>
        <v>0</v>
      </c>
      <c r="P178" s="502">
        <f t="shared" si="90"/>
        <v>0</v>
      </c>
      <c r="Q178" s="503">
        <f t="shared" si="91"/>
        <v>35</v>
      </c>
      <c r="R178" s="504">
        <f t="shared" si="92"/>
        <v>7.4399999999999994E-2</v>
      </c>
      <c r="S178" s="504">
        <v>0</v>
      </c>
      <c r="T178" s="504">
        <v>0</v>
      </c>
      <c r="U178" s="504">
        <f t="shared" si="93"/>
        <v>2.8920000000000001E-2</v>
      </c>
      <c r="V178" s="503">
        <f t="shared" si="94"/>
        <v>0</v>
      </c>
      <c r="W178" s="503">
        <f t="shared" si="95"/>
        <v>0</v>
      </c>
      <c r="X178" s="503">
        <f t="shared" si="96"/>
        <v>0</v>
      </c>
      <c r="Y178" s="453">
        <f t="shared" si="97"/>
        <v>0</v>
      </c>
      <c r="Z178" s="453">
        <f t="shared" si="98"/>
        <v>0</v>
      </c>
      <c r="AA178" s="453">
        <f t="shared" si="99"/>
        <v>0</v>
      </c>
      <c r="AB178" s="453">
        <f t="shared" si="100"/>
        <v>0</v>
      </c>
      <c r="AC178" s="453">
        <f t="shared" si="101"/>
        <v>0</v>
      </c>
      <c r="AD178" s="493">
        <f t="shared" si="102"/>
        <v>0</v>
      </c>
      <c r="AE178" s="493">
        <f t="shared" si="103"/>
        <v>0</v>
      </c>
      <c r="AF178" s="493">
        <f t="shared" si="104"/>
        <v>0</v>
      </c>
      <c r="AG178" s="494">
        <f t="shared" si="105"/>
        <v>1</v>
      </c>
      <c r="AH178" s="505">
        <f t="shared" si="106"/>
        <v>0</v>
      </c>
      <c r="AI178" s="505">
        <f t="shared" si="107"/>
        <v>0</v>
      </c>
      <c r="AJ178" s="505">
        <f t="shared" si="108"/>
        <v>0</v>
      </c>
      <c r="AK178" s="505">
        <f t="shared" si="109"/>
        <v>0</v>
      </c>
      <c r="AL178" s="505">
        <f t="shared" si="110"/>
        <v>0</v>
      </c>
      <c r="AM178" s="505">
        <f t="shared" si="111"/>
        <v>0</v>
      </c>
      <c r="AN178" s="506">
        <f t="shared" si="112"/>
        <v>0</v>
      </c>
      <c r="AO178" s="507">
        <f t="shared" si="113"/>
        <v>0</v>
      </c>
      <c r="AP178" s="508">
        <f t="shared" si="114"/>
        <v>0</v>
      </c>
      <c r="AQ178" s="510">
        <f t="shared" si="115"/>
        <v>0</v>
      </c>
      <c r="AR178" s="511"/>
      <c r="AS178" s="511"/>
      <c r="AT178" s="511"/>
      <c r="AU178" s="511"/>
      <c r="AV178" s="512">
        <f>IF(BA178&gt;BA177,AV177,IF(AV177&lt;MiscData!$F$1,EOMONTH(AV177,1),EOMONTH(AV177,-11)))</f>
        <v>42521</v>
      </c>
      <c r="AW178" s="499" t="str">
        <f t="shared" si="116"/>
        <v>20140101KUCME227</v>
      </c>
      <c r="AX178" s="513" t="str">
        <f t="shared" si="117"/>
        <v>20140101AES3</v>
      </c>
      <c r="AY178" s="511">
        <f>IF(AV178&lt;=MiscData!$B$23,MiscData!$C$23,IF(AV178&lt;=MiscData!$B$24,MiscData!$C$24,MiscData!$C$25))</f>
        <v>20140101</v>
      </c>
      <c r="AZ178" s="511" t="str">
        <f>VLOOKUP(BA178,MiscData!$V$4:$W$42,2,FALSE)</f>
        <v>KUCME227</v>
      </c>
      <c r="BA178" s="439">
        <f>IF(BA177=MiscData!$V$42,1,BA177+1)</f>
        <v>19</v>
      </c>
      <c r="BB178" s="514" t="str">
        <f>VLOOKUP(AZ178,MiscData!$W$4:$Y$42,3,FALSE)</f>
        <v>AES3</v>
      </c>
    </row>
    <row r="179" spans="1:54" hidden="1">
      <c r="A179" s="498">
        <f t="shared" si="118"/>
        <v>164</v>
      </c>
      <c r="B179" s="499" t="str">
        <f t="shared" si="80"/>
        <v>May 2016</v>
      </c>
      <c r="C179" s="499" t="s">
        <v>19</v>
      </c>
      <c r="D179" s="500" t="str">
        <f t="shared" si="81"/>
        <v>LE</v>
      </c>
      <c r="E179" s="500" t="str">
        <f t="shared" si="82"/>
        <v>KUCME290</v>
      </c>
      <c r="F179" s="501">
        <f t="shared" si="83"/>
        <v>2</v>
      </c>
      <c r="G179" s="501">
        <v>0</v>
      </c>
      <c r="H179" s="501">
        <v>0</v>
      </c>
      <c r="I179" s="501">
        <v>0</v>
      </c>
      <c r="J179" s="501">
        <f t="shared" si="84"/>
        <v>12932</v>
      </c>
      <c r="K179" s="502">
        <f t="shared" si="85"/>
        <v>0</v>
      </c>
      <c r="L179" s="502">
        <f t="shared" si="86"/>
        <v>0</v>
      </c>
      <c r="M179" s="502">
        <f t="shared" si="87"/>
        <v>0</v>
      </c>
      <c r="N179" s="502">
        <f t="shared" si="88"/>
        <v>0</v>
      </c>
      <c r="O179" s="502">
        <f t="shared" si="89"/>
        <v>0</v>
      </c>
      <c r="P179" s="502">
        <f t="shared" si="90"/>
        <v>0</v>
      </c>
      <c r="Q179" s="503">
        <f t="shared" si="91"/>
        <v>0</v>
      </c>
      <c r="R179" s="504">
        <f t="shared" si="92"/>
        <v>6.3799999999999996E-2</v>
      </c>
      <c r="S179" s="504">
        <v>0</v>
      </c>
      <c r="T179" s="504">
        <v>0</v>
      </c>
      <c r="U179" s="504">
        <f t="shared" si="93"/>
        <v>2.8920000000000001E-2</v>
      </c>
      <c r="V179" s="503">
        <f t="shared" si="94"/>
        <v>0</v>
      </c>
      <c r="W179" s="503">
        <f t="shared" si="95"/>
        <v>0</v>
      </c>
      <c r="X179" s="503">
        <f t="shared" si="96"/>
        <v>0</v>
      </c>
      <c r="Y179" s="453">
        <f t="shared" si="97"/>
        <v>0</v>
      </c>
      <c r="Z179" s="453">
        <f t="shared" si="98"/>
        <v>825.06</v>
      </c>
      <c r="AA179" s="453">
        <f t="shared" si="99"/>
        <v>0</v>
      </c>
      <c r="AB179" s="453">
        <f t="shared" si="100"/>
        <v>0</v>
      </c>
      <c r="AC179" s="453">
        <f t="shared" si="101"/>
        <v>0</v>
      </c>
      <c r="AD179" s="493">
        <f t="shared" si="102"/>
        <v>0</v>
      </c>
      <c r="AE179" s="493">
        <f t="shared" si="103"/>
        <v>825.06</v>
      </c>
      <c r="AF179" s="493">
        <f t="shared" si="104"/>
        <v>0</v>
      </c>
      <c r="AG179" s="494">
        <f t="shared" si="105"/>
        <v>0</v>
      </c>
      <c r="AH179" s="505">
        <f t="shared" si="106"/>
        <v>0</v>
      </c>
      <c r="AI179" s="505">
        <f t="shared" si="107"/>
        <v>0</v>
      </c>
      <c r="AJ179" s="505">
        <f t="shared" si="108"/>
        <v>0</v>
      </c>
      <c r="AK179" s="505">
        <f t="shared" si="109"/>
        <v>0</v>
      </c>
      <c r="AL179" s="505">
        <f t="shared" si="110"/>
        <v>0</v>
      </c>
      <c r="AM179" s="505">
        <f t="shared" si="111"/>
        <v>0</v>
      </c>
      <c r="AN179" s="506">
        <f t="shared" si="112"/>
        <v>825.06</v>
      </c>
      <c r="AO179" s="507">
        <f t="shared" si="113"/>
        <v>-825.06</v>
      </c>
      <c r="AP179" s="508">
        <f t="shared" si="114"/>
        <v>373.99</v>
      </c>
      <c r="AQ179" s="510">
        <f t="shared" si="115"/>
        <v>451.06999999999994</v>
      </c>
      <c r="AR179" s="511"/>
      <c r="AS179" s="511"/>
      <c r="AT179" s="511"/>
      <c r="AU179" s="511"/>
      <c r="AV179" s="512">
        <f>IF(BA179&gt;BA178,AV178,IF(AV178&lt;MiscData!$F$1,EOMONTH(AV178,1),EOMONTH(AV178,-11)))</f>
        <v>42521</v>
      </c>
      <c r="AW179" s="499" t="str">
        <f t="shared" si="116"/>
        <v>20140101KUCME290</v>
      </c>
      <c r="AX179" s="513" t="str">
        <f t="shared" si="117"/>
        <v>20140101LE</v>
      </c>
      <c r="AY179" s="511">
        <f>IF(AV179&lt;=MiscData!$B$23,MiscData!$C$23,IF(AV179&lt;=MiscData!$B$24,MiscData!$C$24,MiscData!$C$25))</f>
        <v>20140101</v>
      </c>
      <c r="AZ179" s="511" t="str">
        <f>VLOOKUP(BA179,MiscData!$V$4:$W$42,2,FALSE)</f>
        <v>KUCME290</v>
      </c>
      <c r="BA179" s="439">
        <f>IF(BA178=MiscData!$V$42,1,BA178+1)</f>
        <v>20</v>
      </c>
      <c r="BB179" s="514" t="str">
        <f>VLOOKUP(AZ179,MiscData!$W$4:$Y$42,3,FALSE)</f>
        <v>LE</v>
      </c>
    </row>
    <row r="180" spans="1:54" hidden="1">
      <c r="A180" s="498">
        <f t="shared" si="118"/>
        <v>165</v>
      </c>
      <c r="B180" s="499" t="str">
        <f t="shared" si="80"/>
        <v>May 2016</v>
      </c>
      <c r="C180" s="499" t="s">
        <v>19</v>
      </c>
      <c r="D180" s="500" t="str">
        <f t="shared" si="81"/>
        <v>LE</v>
      </c>
      <c r="E180" s="500" t="str">
        <f t="shared" si="82"/>
        <v>KUCME291</v>
      </c>
      <c r="F180" s="501">
        <f t="shared" si="83"/>
        <v>0</v>
      </c>
      <c r="G180" s="501">
        <v>0</v>
      </c>
      <c r="H180" s="501">
        <v>0</v>
      </c>
      <c r="I180" s="501">
        <v>0</v>
      </c>
      <c r="J180" s="501">
        <f t="shared" si="84"/>
        <v>0</v>
      </c>
      <c r="K180" s="502">
        <f t="shared" si="85"/>
        <v>0</v>
      </c>
      <c r="L180" s="502">
        <f t="shared" si="86"/>
        <v>0</v>
      </c>
      <c r="M180" s="502">
        <f t="shared" si="87"/>
        <v>0</v>
      </c>
      <c r="N180" s="502">
        <f t="shared" si="88"/>
        <v>0</v>
      </c>
      <c r="O180" s="502">
        <f t="shared" si="89"/>
        <v>0</v>
      </c>
      <c r="P180" s="502">
        <f t="shared" si="90"/>
        <v>0</v>
      </c>
      <c r="Q180" s="503">
        <f t="shared" si="91"/>
        <v>0</v>
      </c>
      <c r="R180" s="504">
        <f t="shared" si="92"/>
        <v>6.3799999999999996E-2</v>
      </c>
      <c r="S180" s="504">
        <v>0</v>
      </c>
      <c r="T180" s="504">
        <v>0</v>
      </c>
      <c r="U180" s="504">
        <f t="shared" si="93"/>
        <v>2.8920000000000001E-2</v>
      </c>
      <c r="V180" s="503">
        <f t="shared" si="94"/>
        <v>0</v>
      </c>
      <c r="W180" s="503">
        <f t="shared" si="95"/>
        <v>0</v>
      </c>
      <c r="X180" s="503">
        <f t="shared" si="96"/>
        <v>0</v>
      </c>
      <c r="Y180" s="453">
        <f t="shared" si="97"/>
        <v>0</v>
      </c>
      <c r="Z180" s="453">
        <f t="shared" si="98"/>
        <v>0</v>
      </c>
      <c r="AA180" s="453">
        <f t="shared" si="99"/>
        <v>0</v>
      </c>
      <c r="AB180" s="453">
        <f t="shared" si="100"/>
        <v>0</v>
      </c>
      <c r="AC180" s="453">
        <f t="shared" si="101"/>
        <v>0</v>
      </c>
      <c r="AD180" s="493">
        <f t="shared" si="102"/>
        <v>0</v>
      </c>
      <c r="AE180" s="493">
        <f t="shared" si="103"/>
        <v>0</v>
      </c>
      <c r="AF180" s="493">
        <f t="shared" si="104"/>
        <v>0</v>
      </c>
      <c r="AG180" s="494">
        <f t="shared" si="105"/>
        <v>1</v>
      </c>
      <c r="AH180" s="505">
        <f t="shared" si="106"/>
        <v>0</v>
      </c>
      <c r="AI180" s="505">
        <f t="shared" si="107"/>
        <v>0</v>
      </c>
      <c r="AJ180" s="505">
        <f t="shared" si="108"/>
        <v>0</v>
      </c>
      <c r="AK180" s="505">
        <f t="shared" si="109"/>
        <v>0</v>
      </c>
      <c r="AL180" s="505">
        <f t="shared" si="110"/>
        <v>0</v>
      </c>
      <c r="AM180" s="505">
        <f t="shared" si="111"/>
        <v>0</v>
      </c>
      <c r="AN180" s="506">
        <f t="shared" si="112"/>
        <v>0</v>
      </c>
      <c r="AO180" s="507">
        <f t="shared" si="113"/>
        <v>0</v>
      </c>
      <c r="AP180" s="508">
        <f t="shared" si="114"/>
        <v>0</v>
      </c>
      <c r="AQ180" s="510">
        <f t="shared" si="115"/>
        <v>0</v>
      </c>
      <c r="AR180" s="511"/>
      <c r="AS180" s="511"/>
      <c r="AT180" s="511"/>
      <c r="AU180" s="511"/>
      <c r="AV180" s="512">
        <f>IF(BA180&gt;BA179,AV179,IF(AV179&lt;MiscData!$F$1,EOMONTH(AV179,1),EOMONTH(AV179,-11)))</f>
        <v>42521</v>
      </c>
      <c r="AW180" s="499" t="str">
        <f t="shared" si="116"/>
        <v>20140101KUCME291</v>
      </c>
      <c r="AX180" s="513" t="str">
        <f t="shared" si="117"/>
        <v>20140101LE</v>
      </c>
      <c r="AY180" s="511">
        <f>IF(AV180&lt;=MiscData!$B$23,MiscData!$C$23,IF(AV180&lt;=MiscData!$B$24,MiscData!$C$24,MiscData!$C$25))</f>
        <v>20140101</v>
      </c>
      <c r="AZ180" s="511" t="str">
        <f>VLOOKUP(BA180,MiscData!$V$4:$W$42,2,FALSE)</f>
        <v>KUCME291</v>
      </c>
      <c r="BA180" s="439">
        <f>IF(BA179=MiscData!$V$42,1,BA179+1)</f>
        <v>21</v>
      </c>
      <c r="BB180" s="514" t="str">
        <f>VLOOKUP(AZ180,MiscData!$W$4:$Y$42,3,FALSE)</f>
        <v>LE</v>
      </c>
    </row>
    <row r="181" spans="1:54" hidden="1">
      <c r="A181" s="498">
        <f t="shared" si="118"/>
        <v>166</v>
      </c>
      <c r="B181" s="499" t="str">
        <f t="shared" si="80"/>
        <v>May 2016</v>
      </c>
      <c r="C181" s="499" t="s">
        <v>20</v>
      </c>
      <c r="D181" s="500" t="str">
        <f t="shared" si="81"/>
        <v>TE</v>
      </c>
      <c r="E181" s="500" t="str">
        <f t="shared" si="82"/>
        <v>KUCME295</v>
      </c>
      <c r="F181" s="501">
        <f t="shared" si="83"/>
        <v>747</v>
      </c>
      <c r="G181" s="501">
        <v>0</v>
      </c>
      <c r="H181" s="501">
        <v>0</v>
      </c>
      <c r="I181" s="501">
        <v>0</v>
      </c>
      <c r="J181" s="501">
        <f t="shared" si="84"/>
        <v>105151</v>
      </c>
      <c r="K181" s="502">
        <f t="shared" si="85"/>
        <v>0</v>
      </c>
      <c r="L181" s="502">
        <f t="shared" si="86"/>
        <v>0</v>
      </c>
      <c r="M181" s="502">
        <f t="shared" si="87"/>
        <v>0</v>
      </c>
      <c r="N181" s="502">
        <f t="shared" si="88"/>
        <v>0</v>
      </c>
      <c r="O181" s="502">
        <f t="shared" si="89"/>
        <v>0</v>
      </c>
      <c r="P181" s="502">
        <f t="shared" si="90"/>
        <v>0</v>
      </c>
      <c r="Q181" s="503">
        <f t="shared" si="91"/>
        <v>3.25</v>
      </c>
      <c r="R181" s="504">
        <f t="shared" si="92"/>
        <v>7.9780000000000004E-2</v>
      </c>
      <c r="S181" s="504">
        <v>0</v>
      </c>
      <c r="T181" s="504">
        <v>0</v>
      </c>
      <c r="U181" s="504">
        <f t="shared" si="93"/>
        <v>2.8920000000000001E-2</v>
      </c>
      <c r="V181" s="503">
        <f t="shared" si="94"/>
        <v>0</v>
      </c>
      <c r="W181" s="503">
        <f t="shared" si="95"/>
        <v>0</v>
      </c>
      <c r="X181" s="503">
        <f t="shared" si="96"/>
        <v>0</v>
      </c>
      <c r="Y181" s="453">
        <f t="shared" si="97"/>
        <v>2427.75</v>
      </c>
      <c r="Z181" s="453">
        <f t="shared" si="98"/>
        <v>8388.9500000000007</v>
      </c>
      <c r="AA181" s="453">
        <f t="shared" si="99"/>
        <v>0</v>
      </c>
      <c r="AB181" s="453">
        <f t="shared" si="100"/>
        <v>0</v>
      </c>
      <c r="AC181" s="453">
        <f t="shared" si="101"/>
        <v>0</v>
      </c>
      <c r="AD181" s="493">
        <f t="shared" si="102"/>
        <v>0</v>
      </c>
      <c r="AE181" s="493">
        <f t="shared" si="103"/>
        <v>10816.7</v>
      </c>
      <c r="AF181" s="493">
        <f t="shared" si="104"/>
        <v>0</v>
      </c>
      <c r="AG181" s="494">
        <f t="shared" si="105"/>
        <v>0</v>
      </c>
      <c r="AH181" s="505">
        <f t="shared" si="106"/>
        <v>0</v>
      </c>
      <c r="AI181" s="505">
        <f t="shared" si="107"/>
        <v>0</v>
      </c>
      <c r="AJ181" s="505">
        <f t="shared" si="108"/>
        <v>0</v>
      </c>
      <c r="AK181" s="505">
        <f t="shared" si="109"/>
        <v>0</v>
      </c>
      <c r="AL181" s="505">
        <f t="shared" si="110"/>
        <v>0</v>
      </c>
      <c r="AM181" s="505">
        <f t="shared" si="111"/>
        <v>0</v>
      </c>
      <c r="AN181" s="506">
        <f t="shared" si="112"/>
        <v>10816.7</v>
      </c>
      <c r="AO181" s="507">
        <f t="shared" si="113"/>
        <v>-10816.7</v>
      </c>
      <c r="AP181" s="508">
        <f t="shared" si="114"/>
        <v>3040.97</v>
      </c>
      <c r="AQ181" s="510">
        <f t="shared" si="115"/>
        <v>5347.9800000000014</v>
      </c>
      <c r="AR181" s="511"/>
      <c r="AS181" s="511"/>
      <c r="AT181" s="511"/>
      <c r="AU181" s="511"/>
      <c r="AV181" s="512">
        <f>IF(BA181&gt;BA180,AV180,IF(AV180&lt;MiscData!$F$1,EOMONTH(AV180,1),EOMONTH(AV180,-11)))</f>
        <v>42521</v>
      </c>
      <c r="AW181" s="499" t="str">
        <f t="shared" si="116"/>
        <v>20140101KUCME295</v>
      </c>
      <c r="AX181" s="513" t="str">
        <f t="shared" si="117"/>
        <v>20140101TE</v>
      </c>
      <c r="AY181" s="511">
        <f>IF(AV181&lt;=MiscData!$B$23,MiscData!$C$23,IF(AV181&lt;=MiscData!$B$24,MiscData!$C$24,MiscData!$C$25))</f>
        <v>20140101</v>
      </c>
      <c r="AZ181" s="511" t="str">
        <f>VLOOKUP(BA181,MiscData!$V$4:$W$42,2,FALSE)</f>
        <v>KUCME295</v>
      </c>
      <c r="BA181" s="439">
        <f>IF(BA180=MiscData!$V$42,1,BA180+1)</f>
        <v>22</v>
      </c>
      <c r="BB181" s="514" t="str">
        <f>VLOOKUP(AZ181,MiscData!$W$4:$Y$42,3,FALSE)</f>
        <v>TE</v>
      </c>
    </row>
    <row r="182" spans="1:54" hidden="1">
      <c r="A182" s="498">
        <f t="shared" si="118"/>
        <v>167</v>
      </c>
      <c r="B182" s="499" t="str">
        <f t="shared" si="80"/>
        <v>May 2016</v>
      </c>
      <c r="C182" s="499" t="s">
        <v>20</v>
      </c>
      <c r="D182" s="500" t="str">
        <f t="shared" si="81"/>
        <v>TE</v>
      </c>
      <c r="E182" s="500" t="str">
        <f t="shared" si="82"/>
        <v>KUCME297</v>
      </c>
      <c r="F182" s="501">
        <f t="shared" si="83"/>
        <v>0</v>
      </c>
      <c r="G182" s="501">
        <v>0</v>
      </c>
      <c r="H182" s="501">
        <v>0</v>
      </c>
      <c r="I182" s="501">
        <v>0</v>
      </c>
      <c r="J182" s="501">
        <f t="shared" si="84"/>
        <v>0</v>
      </c>
      <c r="K182" s="502">
        <f t="shared" si="85"/>
        <v>0</v>
      </c>
      <c r="L182" s="502">
        <f t="shared" si="86"/>
        <v>0</v>
      </c>
      <c r="M182" s="502">
        <f t="shared" si="87"/>
        <v>0</v>
      </c>
      <c r="N182" s="502">
        <f t="shared" si="88"/>
        <v>0</v>
      </c>
      <c r="O182" s="502">
        <f t="shared" si="89"/>
        <v>0</v>
      </c>
      <c r="P182" s="502">
        <f t="shared" si="90"/>
        <v>0</v>
      </c>
      <c r="Q182" s="503">
        <f t="shared" si="91"/>
        <v>3.25</v>
      </c>
      <c r="R182" s="504">
        <f t="shared" si="92"/>
        <v>7.9780000000000004E-2</v>
      </c>
      <c r="S182" s="504">
        <v>0</v>
      </c>
      <c r="T182" s="504">
        <v>0</v>
      </c>
      <c r="U182" s="504">
        <f t="shared" si="93"/>
        <v>2.8920000000000001E-2</v>
      </c>
      <c r="V182" s="503">
        <f t="shared" si="94"/>
        <v>0</v>
      </c>
      <c r="W182" s="503">
        <f t="shared" si="95"/>
        <v>0</v>
      </c>
      <c r="X182" s="503">
        <f t="shared" si="96"/>
        <v>0</v>
      </c>
      <c r="Y182" s="453">
        <f t="shared" si="97"/>
        <v>0</v>
      </c>
      <c r="Z182" s="453">
        <f t="shared" si="98"/>
        <v>0</v>
      </c>
      <c r="AA182" s="453">
        <f t="shared" si="99"/>
        <v>0</v>
      </c>
      <c r="AB182" s="453">
        <f t="shared" si="100"/>
        <v>0</v>
      </c>
      <c r="AC182" s="453">
        <f t="shared" si="101"/>
        <v>0</v>
      </c>
      <c r="AD182" s="493">
        <f t="shared" si="102"/>
        <v>0</v>
      </c>
      <c r="AE182" s="493">
        <f t="shared" si="103"/>
        <v>0</v>
      </c>
      <c r="AF182" s="493">
        <f t="shared" si="104"/>
        <v>0</v>
      </c>
      <c r="AG182" s="494">
        <f t="shared" si="105"/>
        <v>1</v>
      </c>
      <c r="AH182" s="505">
        <f t="shared" si="106"/>
        <v>0</v>
      </c>
      <c r="AI182" s="505">
        <f t="shared" si="107"/>
        <v>0</v>
      </c>
      <c r="AJ182" s="505">
        <f t="shared" si="108"/>
        <v>0</v>
      </c>
      <c r="AK182" s="505">
        <f t="shared" si="109"/>
        <v>0</v>
      </c>
      <c r="AL182" s="505">
        <f t="shared" si="110"/>
        <v>0</v>
      </c>
      <c r="AM182" s="505">
        <f t="shared" si="111"/>
        <v>0</v>
      </c>
      <c r="AN182" s="506">
        <f t="shared" si="112"/>
        <v>0</v>
      </c>
      <c r="AO182" s="507">
        <f t="shared" si="113"/>
        <v>0</v>
      </c>
      <c r="AP182" s="508">
        <f t="shared" si="114"/>
        <v>0</v>
      </c>
      <c r="AQ182" s="510">
        <f t="shared" si="115"/>
        <v>0</v>
      </c>
      <c r="AR182" s="511"/>
      <c r="AS182" s="511"/>
      <c r="AT182" s="511"/>
      <c r="AU182" s="511"/>
      <c r="AV182" s="512">
        <f>IF(BA182&gt;BA181,AV181,IF(AV181&lt;MiscData!$F$1,EOMONTH(AV181,1),EOMONTH(AV181,-11)))</f>
        <v>42521</v>
      </c>
      <c r="AW182" s="499" t="str">
        <f t="shared" si="116"/>
        <v>20140101KUCME297</v>
      </c>
      <c r="AX182" s="513" t="str">
        <f t="shared" si="117"/>
        <v>20140101TE</v>
      </c>
      <c r="AY182" s="511">
        <f>IF(AV182&lt;=MiscData!$B$23,MiscData!$C$23,IF(AV182&lt;=MiscData!$B$24,MiscData!$C$24,MiscData!$C$25))</f>
        <v>20140101</v>
      </c>
      <c r="AZ182" s="511" t="str">
        <f>VLOOKUP(BA182,MiscData!$V$4:$W$42,2,FALSE)</f>
        <v>KUCME297</v>
      </c>
      <c r="BA182" s="439">
        <f>IF(BA181=MiscData!$V$42,1,BA181+1)</f>
        <v>23</v>
      </c>
      <c r="BB182" s="514" t="str">
        <f>VLOOKUP(AZ182,MiscData!$W$4:$Y$42,3,FALSE)</f>
        <v>TE</v>
      </c>
    </row>
    <row r="183" spans="1:54" hidden="1">
      <c r="A183" s="498">
        <f t="shared" si="118"/>
        <v>168</v>
      </c>
      <c r="B183" s="499" t="str">
        <f t="shared" si="80"/>
        <v>May 2016</v>
      </c>
      <c r="C183" s="499" t="s">
        <v>690</v>
      </c>
      <c r="D183" s="500" t="str">
        <f t="shared" si="81"/>
        <v>SQF</v>
      </c>
      <c r="E183" s="500" t="str">
        <f t="shared" si="82"/>
        <v>KUCME705</v>
      </c>
      <c r="F183" s="501">
        <f t="shared" si="83"/>
        <v>0</v>
      </c>
      <c r="G183" s="501">
        <v>0</v>
      </c>
      <c r="H183" s="501">
        <v>0</v>
      </c>
      <c r="I183" s="501">
        <v>0</v>
      </c>
      <c r="J183" s="501">
        <f t="shared" si="84"/>
        <v>0</v>
      </c>
      <c r="K183" s="502">
        <f t="shared" si="85"/>
        <v>0</v>
      </c>
      <c r="L183" s="502">
        <f t="shared" si="86"/>
        <v>0</v>
      </c>
      <c r="M183" s="502">
        <f t="shared" si="87"/>
        <v>0</v>
      </c>
      <c r="N183" s="502">
        <f t="shared" si="88"/>
        <v>0</v>
      </c>
      <c r="O183" s="502">
        <f t="shared" si="89"/>
        <v>0</v>
      </c>
      <c r="P183" s="502">
        <f t="shared" si="90"/>
        <v>0</v>
      </c>
      <c r="Q183" s="503">
        <f t="shared" si="91"/>
        <v>0</v>
      </c>
      <c r="R183" s="504">
        <f t="shared" si="92"/>
        <v>0</v>
      </c>
      <c r="S183" s="504">
        <v>0</v>
      </c>
      <c r="T183" s="504">
        <v>0</v>
      </c>
      <c r="U183" s="504">
        <f t="shared" si="93"/>
        <v>0</v>
      </c>
      <c r="V183" s="503">
        <f t="shared" si="94"/>
        <v>0</v>
      </c>
      <c r="W183" s="503">
        <f t="shared" si="95"/>
        <v>0</v>
      </c>
      <c r="X183" s="503">
        <f t="shared" si="96"/>
        <v>0</v>
      </c>
      <c r="Y183" s="453">
        <f t="shared" si="97"/>
        <v>0</v>
      </c>
      <c r="Z183" s="453">
        <f t="shared" si="98"/>
        <v>0</v>
      </c>
      <c r="AA183" s="453">
        <f t="shared" si="99"/>
        <v>0</v>
      </c>
      <c r="AB183" s="453">
        <f t="shared" si="100"/>
        <v>0</v>
      </c>
      <c r="AC183" s="453">
        <f t="shared" si="101"/>
        <v>0</v>
      </c>
      <c r="AD183" s="493">
        <f t="shared" si="102"/>
        <v>0</v>
      </c>
      <c r="AE183" s="493">
        <f t="shared" si="103"/>
        <v>0</v>
      </c>
      <c r="AF183" s="493">
        <f t="shared" si="104"/>
        <v>0</v>
      </c>
      <c r="AG183" s="494">
        <f t="shared" si="105"/>
        <v>1</v>
      </c>
      <c r="AH183" s="505">
        <f t="shared" si="106"/>
        <v>0</v>
      </c>
      <c r="AI183" s="505">
        <f t="shared" si="107"/>
        <v>0</v>
      </c>
      <c r="AJ183" s="505">
        <f t="shared" si="108"/>
        <v>0</v>
      </c>
      <c r="AK183" s="505">
        <f t="shared" si="109"/>
        <v>0</v>
      </c>
      <c r="AL183" s="505">
        <f t="shared" si="110"/>
        <v>0</v>
      </c>
      <c r="AM183" s="505">
        <f t="shared" si="111"/>
        <v>0</v>
      </c>
      <c r="AN183" s="506">
        <f t="shared" si="112"/>
        <v>0</v>
      </c>
      <c r="AO183" s="507">
        <f t="shared" si="113"/>
        <v>0</v>
      </c>
      <c r="AP183" s="508">
        <f t="shared" si="114"/>
        <v>0</v>
      </c>
      <c r="AQ183" s="510">
        <f t="shared" si="115"/>
        <v>0</v>
      </c>
      <c r="AR183" s="511"/>
      <c r="AS183" s="511"/>
      <c r="AT183" s="511"/>
      <c r="AU183" s="511"/>
      <c r="AV183" s="512">
        <f>IF(BA183&gt;BA182,AV182,IF(AV182&lt;MiscData!$F$1,EOMONTH(AV182,1),EOMONTH(AV182,-11)))</f>
        <v>42521</v>
      </c>
      <c r="AW183" s="499" t="str">
        <f t="shared" si="116"/>
        <v>20140101KUCME705</v>
      </c>
      <c r="AX183" s="513" t="str">
        <f t="shared" si="117"/>
        <v>20140101SQF</v>
      </c>
      <c r="AY183" s="511">
        <f>IF(AV183&lt;=MiscData!$B$23,MiscData!$C$23,IF(AV183&lt;=MiscData!$B$24,MiscData!$C$24,MiscData!$C$25))</f>
        <v>20140101</v>
      </c>
      <c r="AZ183" s="511" t="str">
        <f>VLOOKUP(BA183,MiscData!$V$4:$W$42,2,FALSE)</f>
        <v>KUCME705</v>
      </c>
      <c r="BA183" s="439">
        <f>IF(BA182=MiscData!$V$42,1,BA182+1)</f>
        <v>24</v>
      </c>
      <c r="BB183" s="514" t="str">
        <f>VLOOKUP(AZ183,MiscData!$W$4:$Y$42,3,FALSE)</f>
        <v>SQF</v>
      </c>
    </row>
    <row r="184" spans="1:54" hidden="1">
      <c r="A184" s="498">
        <f t="shared" si="118"/>
        <v>169</v>
      </c>
      <c r="B184" s="499" t="str">
        <f t="shared" si="80"/>
        <v>May 2016</v>
      </c>
      <c r="C184" s="499" t="s">
        <v>1156</v>
      </c>
      <c r="D184" s="500" t="str">
        <f t="shared" si="81"/>
        <v>LQF</v>
      </c>
      <c r="E184" s="500" t="str">
        <f t="shared" si="82"/>
        <v>KUCME707</v>
      </c>
      <c r="F184" s="501">
        <f t="shared" si="83"/>
        <v>0</v>
      </c>
      <c r="G184" s="501">
        <v>0</v>
      </c>
      <c r="H184" s="501">
        <v>0</v>
      </c>
      <c r="I184" s="501">
        <v>0</v>
      </c>
      <c r="J184" s="501">
        <f t="shared" si="84"/>
        <v>0</v>
      </c>
      <c r="K184" s="502">
        <f t="shared" si="85"/>
        <v>0</v>
      </c>
      <c r="L184" s="502">
        <f t="shared" si="86"/>
        <v>0</v>
      </c>
      <c r="M184" s="502">
        <f t="shared" si="87"/>
        <v>0</v>
      </c>
      <c r="N184" s="502">
        <f t="shared" si="88"/>
        <v>0</v>
      </c>
      <c r="O184" s="502">
        <f t="shared" si="89"/>
        <v>0</v>
      </c>
      <c r="P184" s="502">
        <f t="shared" si="90"/>
        <v>0</v>
      </c>
      <c r="Q184" s="503">
        <f t="shared" si="91"/>
        <v>0</v>
      </c>
      <c r="R184" s="504">
        <f t="shared" si="92"/>
        <v>0</v>
      </c>
      <c r="S184" s="504">
        <v>0</v>
      </c>
      <c r="T184" s="504">
        <v>0</v>
      </c>
      <c r="U184" s="504">
        <f t="shared" si="93"/>
        <v>0</v>
      </c>
      <c r="V184" s="503">
        <f t="shared" si="94"/>
        <v>0</v>
      </c>
      <c r="W184" s="503">
        <f t="shared" si="95"/>
        <v>0</v>
      </c>
      <c r="X184" s="503">
        <f t="shared" si="96"/>
        <v>0</v>
      </c>
      <c r="Y184" s="453">
        <f t="shared" si="97"/>
        <v>0</v>
      </c>
      <c r="Z184" s="453">
        <f t="shared" si="98"/>
        <v>0</v>
      </c>
      <c r="AA184" s="453">
        <f t="shared" si="99"/>
        <v>0</v>
      </c>
      <c r="AB184" s="453">
        <f t="shared" si="100"/>
        <v>0</v>
      </c>
      <c r="AC184" s="453">
        <f t="shared" si="101"/>
        <v>0</v>
      </c>
      <c r="AD184" s="493">
        <f t="shared" si="102"/>
        <v>0</v>
      </c>
      <c r="AE184" s="493">
        <f t="shared" si="103"/>
        <v>0</v>
      </c>
      <c r="AF184" s="493">
        <f t="shared" si="104"/>
        <v>0</v>
      </c>
      <c r="AG184" s="494">
        <f t="shared" si="105"/>
        <v>1</v>
      </c>
      <c r="AH184" s="505">
        <f t="shared" si="106"/>
        <v>0</v>
      </c>
      <c r="AI184" s="505">
        <f t="shared" si="107"/>
        <v>0</v>
      </c>
      <c r="AJ184" s="505">
        <f t="shared" si="108"/>
        <v>0</v>
      </c>
      <c r="AK184" s="505">
        <f t="shared" si="109"/>
        <v>0</v>
      </c>
      <c r="AL184" s="505">
        <f t="shared" si="110"/>
        <v>0</v>
      </c>
      <c r="AM184" s="505">
        <f t="shared" si="111"/>
        <v>0</v>
      </c>
      <c r="AN184" s="506">
        <f t="shared" si="112"/>
        <v>0</v>
      </c>
      <c r="AO184" s="507">
        <f t="shared" si="113"/>
        <v>0</v>
      </c>
      <c r="AP184" s="508">
        <f t="shared" si="114"/>
        <v>0</v>
      </c>
      <c r="AQ184" s="510">
        <f t="shared" si="115"/>
        <v>0</v>
      </c>
      <c r="AR184" s="511"/>
      <c r="AS184" s="511"/>
      <c r="AT184" s="511"/>
      <c r="AU184" s="511"/>
      <c r="AV184" s="512">
        <f>IF(BA184&gt;BA183,AV183,IF(AV183&lt;MiscData!$F$1,EOMONTH(AV183,1),EOMONTH(AV183,-11)))</f>
        <v>42521</v>
      </c>
      <c r="AW184" s="499" t="str">
        <f t="shared" si="116"/>
        <v>20140101KUCME707</v>
      </c>
      <c r="AX184" s="513" t="str">
        <f t="shared" si="117"/>
        <v>20140101LQF</v>
      </c>
      <c r="AY184" s="511">
        <f>IF(AV184&lt;=MiscData!$B$23,MiscData!$C$23,IF(AV184&lt;=MiscData!$B$24,MiscData!$C$24,MiscData!$C$25))</f>
        <v>20140101</v>
      </c>
      <c r="AZ184" s="511" t="str">
        <f>VLOOKUP(BA184,MiscData!$V$4:$W$42,2,FALSE)</f>
        <v>KUCME707</v>
      </c>
      <c r="BA184" s="439">
        <f>IF(BA183=MiscData!$V$42,1,BA183+1)</f>
        <v>25</v>
      </c>
      <c r="BB184" s="514" t="str">
        <f>VLOOKUP(AZ184,MiscData!$W$4:$Y$42,3,FALSE)</f>
        <v>LQF</v>
      </c>
    </row>
    <row r="185" spans="1:54">
      <c r="A185" s="498">
        <f t="shared" si="118"/>
        <v>170</v>
      </c>
      <c r="B185" s="499" t="str">
        <f t="shared" si="80"/>
        <v>May 2016</v>
      </c>
      <c r="C185" s="499" t="s">
        <v>208</v>
      </c>
      <c r="D185" s="500" t="str">
        <f t="shared" si="81"/>
        <v>GS</v>
      </c>
      <c r="E185" s="500" t="str">
        <f t="shared" si="82"/>
        <v>KUCME710</v>
      </c>
      <c r="F185" s="501">
        <f t="shared" si="83"/>
        <v>0</v>
      </c>
      <c r="G185" s="501">
        <v>0</v>
      </c>
      <c r="H185" s="501">
        <v>0</v>
      </c>
      <c r="I185" s="501">
        <v>0</v>
      </c>
      <c r="J185" s="501">
        <f t="shared" si="84"/>
        <v>0</v>
      </c>
      <c r="K185" s="502">
        <f t="shared" si="85"/>
        <v>0</v>
      </c>
      <c r="L185" s="502">
        <f t="shared" si="86"/>
        <v>0</v>
      </c>
      <c r="M185" s="502">
        <f t="shared" si="87"/>
        <v>0</v>
      </c>
      <c r="N185" s="502">
        <f t="shared" si="88"/>
        <v>0</v>
      </c>
      <c r="O185" s="502">
        <f t="shared" si="89"/>
        <v>0</v>
      </c>
      <c r="P185" s="502">
        <f t="shared" si="90"/>
        <v>0</v>
      </c>
      <c r="Q185" s="503">
        <f t="shared" si="91"/>
        <v>20</v>
      </c>
      <c r="R185" s="504">
        <f t="shared" si="92"/>
        <v>9.2249999999999999E-2</v>
      </c>
      <c r="S185" s="504">
        <v>0</v>
      </c>
      <c r="T185" s="504">
        <v>0</v>
      </c>
      <c r="U185" s="504">
        <f t="shared" si="93"/>
        <v>2.8920000000000001E-2</v>
      </c>
      <c r="V185" s="503">
        <f t="shared" si="94"/>
        <v>0</v>
      </c>
      <c r="W185" s="503">
        <f t="shared" si="95"/>
        <v>0</v>
      </c>
      <c r="X185" s="503">
        <f t="shared" si="96"/>
        <v>0</v>
      </c>
      <c r="Y185" s="453">
        <f t="shared" si="97"/>
        <v>0</v>
      </c>
      <c r="Z185" s="453">
        <f t="shared" si="98"/>
        <v>0</v>
      </c>
      <c r="AA185" s="453">
        <f t="shared" si="99"/>
        <v>0</v>
      </c>
      <c r="AB185" s="453">
        <f t="shared" si="100"/>
        <v>0</v>
      </c>
      <c r="AC185" s="453">
        <f t="shared" si="101"/>
        <v>0</v>
      </c>
      <c r="AD185" s="493">
        <f t="shared" si="102"/>
        <v>0</v>
      </c>
      <c r="AE185" s="493">
        <f t="shared" si="103"/>
        <v>0</v>
      </c>
      <c r="AF185" s="493">
        <f t="shared" si="104"/>
        <v>0</v>
      </c>
      <c r="AG185" s="494">
        <f t="shared" si="105"/>
        <v>1</v>
      </c>
      <c r="AH185" s="505">
        <f t="shared" si="106"/>
        <v>0</v>
      </c>
      <c r="AI185" s="505">
        <f t="shared" si="107"/>
        <v>0</v>
      </c>
      <c r="AJ185" s="505">
        <f t="shared" si="108"/>
        <v>0</v>
      </c>
      <c r="AK185" s="505">
        <f t="shared" si="109"/>
        <v>0</v>
      </c>
      <c r="AL185" s="505">
        <f t="shared" si="110"/>
        <v>0</v>
      </c>
      <c r="AM185" s="505">
        <f t="shared" si="111"/>
        <v>0</v>
      </c>
      <c r="AN185" s="506">
        <f t="shared" si="112"/>
        <v>0</v>
      </c>
      <c r="AO185" s="507">
        <f t="shared" si="113"/>
        <v>0</v>
      </c>
      <c r="AP185" s="508">
        <f t="shared" si="114"/>
        <v>0</v>
      </c>
      <c r="AQ185" s="510">
        <f t="shared" si="115"/>
        <v>0</v>
      </c>
      <c r="AR185" s="511"/>
      <c r="AS185" s="511"/>
      <c r="AT185" s="511"/>
      <c r="AU185" s="511"/>
      <c r="AV185" s="512">
        <f>IF(BA185&gt;BA184,AV184,IF(AV184&lt;MiscData!$F$1,EOMONTH(AV184,1),EOMONTH(AV184,-11)))</f>
        <v>42521</v>
      </c>
      <c r="AW185" s="499" t="str">
        <f t="shared" si="116"/>
        <v>20140101KUCME710</v>
      </c>
      <c r="AX185" s="513" t="str">
        <f t="shared" si="117"/>
        <v>20140101GS</v>
      </c>
      <c r="AY185" s="511">
        <f>IF(AV185&lt;=MiscData!$B$23,MiscData!$C$23,IF(AV185&lt;=MiscData!$B$24,MiscData!$C$24,MiscData!$C$25))</f>
        <v>20140101</v>
      </c>
      <c r="AZ185" s="511" t="str">
        <f>VLOOKUP(BA185,MiscData!$V$4:$W$42,2,FALSE)</f>
        <v>KUCME710</v>
      </c>
      <c r="BA185" s="439">
        <f>IF(BA184=MiscData!$V$42,1,BA184+1)</f>
        <v>26</v>
      </c>
      <c r="BB185" s="514" t="str">
        <f>VLOOKUP(AZ185,MiscData!$W$4:$Y$42,3,FALSE)</f>
        <v>GS</v>
      </c>
    </row>
    <row r="186" spans="1:54">
      <c r="A186" s="498">
        <f t="shared" si="118"/>
        <v>171</v>
      </c>
      <c r="B186" s="499" t="str">
        <f t="shared" si="80"/>
        <v>May 2016</v>
      </c>
      <c r="C186" s="499" t="s">
        <v>17</v>
      </c>
      <c r="D186" s="500" t="str">
        <f t="shared" si="81"/>
        <v>GS3</v>
      </c>
      <c r="E186" s="500" t="str">
        <f t="shared" si="82"/>
        <v>KUCME713</v>
      </c>
      <c r="F186" s="501">
        <f t="shared" si="83"/>
        <v>0</v>
      </c>
      <c r="G186" s="501">
        <v>0</v>
      </c>
      <c r="H186" s="501">
        <v>0</v>
      </c>
      <c r="I186" s="501">
        <v>0</v>
      </c>
      <c r="J186" s="501">
        <f t="shared" si="84"/>
        <v>0</v>
      </c>
      <c r="K186" s="502">
        <f t="shared" si="85"/>
        <v>0</v>
      </c>
      <c r="L186" s="502">
        <f t="shared" si="86"/>
        <v>0</v>
      </c>
      <c r="M186" s="502">
        <f t="shared" si="87"/>
        <v>0</v>
      </c>
      <c r="N186" s="502">
        <f t="shared" si="88"/>
        <v>0</v>
      </c>
      <c r="O186" s="502">
        <f t="shared" si="89"/>
        <v>0</v>
      </c>
      <c r="P186" s="502">
        <f t="shared" si="90"/>
        <v>0</v>
      </c>
      <c r="Q186" s="503">
        <f t="shared" si="91"/>
        <v>35</v>
      </c>
      <c r="R186" s="504">
        <f t="shared" si="92"/>
        <v>9.2249999999999999E-2</v>
      </c>
      <c r="S186" s="504">
        <v>0</v>
      </c>
      <c r="T186" s="504">
        <v>0</v>
      </c>
      <c r="U186" s="504">
        <f t="shared" si="93"/>
        <v>2.8920000000000001E-2</v>
      </c>
      <c r="V186" s="503">
        <f t="shared" si="94"/>
        <v>0</v>
      </c>
      <c r="W186" s="503">
        <f t="shared" si="95"/>
        <v>0</v>
      </c>
      <c r="X186" s="503">
        <f t="shared" si="96"/>
        <v>0</v>
      </c>
      <c r="Y186" s="453">
        <f t="shared" si="97"/>
        <v>0</v>
      </c>
      <c r="Z186" s="453">
        <f t="shared" si="98"/>
        <v>0</v>
      </c>
      <c r="AA186" s="453">
        <f t="shared" si="99"/>
        <v>0</v>
      </c>
      <c r="AB186" s="453">
        <f t="shared" si="100"/>
        <v>0</v>
      </c>
      <c r="AC186" s="453">
        <f t="shared" si="101"/>
        <v>0</v>
      </c>
      <c r="AD186" s="493">
        <f t="shared" si="102"/>
        <v>0</v>
      </c>
      <c r="AE186" s="493">
        <f t="shared" si="103"/>
        <v>0</v>
      </c>
      <c r="AF186" s="493">
        <f t="shared" si="104"/>
        <v>0</v>
      </c>
      <c r="AG186" s="494">
        <f t="shared" si="105"/>
        <v>1</v>
      </c>
      <c r="AH186" s="505">
        <f t="shared" si="106"/>
        <v>0</v>
      </c>
      <c r="AI186" s="505">
        <f t="shared" si="107"/>
        <v>0</v>
      </c>
      <c r="AJ186" s="505">
        <f t="shared" si="108"/>
        <v>0</v>
      </c>
      <c r="AK186" s="505">
        <f t="shared" si="109"/>
        <v>0</v>
      </c>
      <c r="AL186" s="505">
        <f t="shared" si="110"/>
        <v>0</v>
      </c>
      <c r="AM186" s="505">
        <f t="shared" si="111"/>
        <v>0</v>
      </c>
      <c r="AN186" s="506">
        <f t="shared" si="112"/>
        <v>0</v>
      </c>
      <c r="AO186" s="507">
        <f t="shared" si="113"/>
        <v>0</v>
      </c>
      <c r="AP186" s="508">
        <f t="shared" si="114"/>
        <v>0</v>
      </c>
      <c r="AQ186" s="510">
        <f t="shared" si="115"/>
        <v>0</v>
      </c>
      <c r="AR186" s="511"/>
      <c r="AS186" s="511"/>
      <c r="AT186" s="511"/>
      <c r="AU186" s="511"/>
      <c r="AV186" s="512">
        <f>IF(BA186&gt;BA185,AV185,IF(AV185&lt;MiscData!$F$1,EOMONTH(AV185,1),EOMONTH(AV185,-11)))</f>
        <v>42521</v>
      </c>
      <c r="AW186" s="499" t="str">
        <f t="shared" si="116"/>
        <v>20140101KUCME713</v>
      </c>
      <c r="AX186" s="513" t="str">
        <f t="shared" si="117"/>
        <v>20140101GS3</v>
      </c>
      <c r="AY186" s="511">
        <f>IF(AV186&lt;=MiscData!$B$23,MiscData!$C$23,IF(AV186&lt;=MiscData!$B$24,MiscData!$C$24,MiscData!$C$25))</f>
        <v>20140101</v>
      </c>
      <c r="AZ186" s="511" t="str">
        <f>VLOOKUP(BA186,MiscData!$V$4:$W$42,2,FALSE)</f>
        <v>KUCME713</v>
      </c>
      <c r="BA186" s="439">
        <f>IF(BA185=MiscData!$V$42,1,BA185+1)</f>
        <v>27</v>
      </c>
      <c r="BB186" s="514" t="str">
        <f>VLOOKUP(AZ186,MiscData!$W$4:$Y$42,3,FALSE)</f>
        <v>GS3</v>
      </c>
    </row>
    <row r="187" spans="1:54" hidden="1">
      <c r="A187" s="498">
        <f t="shared" si="118"/>
        <v>172</v>
      </c>
      <c r="B187" s="499" t="str">
        <f t="shared" si="80"/>
        <v>May 2016</v>
      </c>
      <c r="C187" s="448" t="s">
        <v>1471</v>
      </c>
      <c r="D187" s="500" t="str">
        <f t="shared" si="81"/>
        <v>CSR10</v>
      </c>
      <c r="E187" s="500" t="str">
        <f t="shared" si="82"/>
        <v>KUCSR760</v>
      </c>
      <c r="F187" s="501">
        <f t="shared" si="83"/>
        <v>0</v>
      </c>
      <c r="G187" s="501">
        <v>0</v>
      </c>
      <c r="H187" s="501">
        <v>0</v>
      </c>
      <c r="I187" s="501">
        <v>0</v>
      </c>
      <c r="J187" s="501">
        <f t="shared" si="84"/>
        <v>0</v>
      </c>
      <c r="K187" s="502">
        <f t="shared" si="85"/>
        <v>0</v>
      </c>
      <c r="L187" s="502">
        <f t="shared" si="86"/>
        <v>0</v>
      </c>
      <c r="M187" s="502">
        <f t="shared" si="87"/>
        <v>0</v>
      </c>
      <c r="N187" s="502">
        <f t="shared" si="88"/>
        <v>0</v>
      </c>
      <c r="O187" s="502">
        <f t="shared" si="89"/>
        <v>0</v>
      </c>
      <c r="P187" s="502">
        <f t="shared" si="90"/>
        <v>0</v>
      </c>
      <c r="Q187" s="503">
        <f t="shared" si="91"/>
        <v>0</v>
      </c>
      <c r="R187" s="504">
        <f t="shared" si="92"/>
        <v>0</v>
      </c>
      <c r="S187" s="504">
        <v>0</v>
      </c>
      <c r="T187" s="504">
        <v>0</v>
      </c>
      <c r="U187" s="504">
        <f t="shared" si="93"/>
        <v>0</v>
      </c>
      <c r="V187" s="503">
        <f t="shared" si="94"/>
        <v>-5.4</v>
      </c>
      <c r="W187" s="503">
        <f t="shared" si="95"/>
        <v>0</v>
      </c>
      <c r="X187" s="503">
        <f t="shared" si="96"/>
        <v>0</v>
      </c>
      <c r="Y187" s="453">
        <f t="shared" si="97"/>
        <v>0</v>
      </c>
      <c r="Z187" s="453">
        <f t="shared" si="98"/>
        <v>0</v>
      </c>
      <c r="AA187" s="453">
        <f t="shared" si="99"/>
        <v>0</v>
      </c>
      <c r="AB187" s="453">
        <f t="shared" si="100"/>
        <v>0</v>
      </c>
      <c r="AC187" s="453">
        <f t="shared" si="101"/>
        <v>0</v>
      </c>
      <c r="AD187" s="493">
        <f t="shared" si="102"/>
        <v>0</v>
      </c>
      <c r="AE187" s="493">
        <f t="shared" si="103"/>
        <v>0</v>
      </c>
      <c r="AF187" s="493">
        <f t="shared" si="104"/>
        <v>0</v>
      </c>
      <c r="AG187" s="494">
        <f t="shared" si="105"/>
        <v>1</v>
      </c>
      <c r="AH187" s="505">
        <f t="shared" si="106"/>
        <v>0</v>
      </c>
      <c r="AI187" s="505">
        <f t="shared" si="107"/>
        <v>0</v>
      </c>
      <c r="AJ187" s="505">
        <f t="shared" si="108"/>
        <v>0</v>
      </c>
      <c r="AK187" s="505">
        <f t="shared" si="109"/>
        <v>0</v>
      </c>
      <c r="AL187" s="505">
        <f t="shared" si="110"/>
        <v>-989829</v>
      </c>
      <c r="AM187" s="505">
        <f t="shared" si="111"/>
        <v>-989829</v>
      </c>
      <c r="AN187" s="506">
        <f t="shared" si="112"/>
        <v>-989829</v>
      </c>
      <c r="AO187" s="507">
        <f t="shared" si="113"/>
        <v>0</v>
      </c>
      <c r="AP187" s="508">
        <f t="shared" si="114"/>
        <v>0</v>
      </c>
      <c r="AQ187" s="510">
        <f t="shared" si="115"/>
        <v>0</v>
      </c>
      <c r="AR187" s="511"/>
      <c r="AS187" s="511"/>
      <c r="AT187" s="511"/>
      <c r="AU187" s="511"/>
      <c r="AV187" s="512">
        <f>IF(BA187&gt;BA186,AV186,IF(AV186&lt;MiscData!$F$1,EOMONTH(AV186,1),EOMONTH(AV186,-11)))</f>
        <v>42521</v>
      </c>
      <c r="AW187" s="499" t="str">
        <f t="shared" si="116"/>
        <v>20140101KUCSR760</v>
      </c>
      <c r="AX187" s="513" t="str">
        <f t="shared" si="117"/>
        <v>20140101CSR10</v>
      </c>
      <c r="AY187" s="511">
        <f>IF(AV187&lt;=MiscData!$B$23,MiscData!$C$23,IF(AV187&lt;=MiscData!$B$24,MiscData!$C$24,MiscData!$C$25))</f>
        <v>20140101</v>
      </c>
      <c r="AZ187" s="511" t="str">
        <f>VLOOKUP(BA187,MiscData!$V$4:$W$42,2,FALSE)</f>
        <v>KUCSR760</v>
      </c>
      <c r="BA187" s="439">
        <f>IF(BA186=MiscData!$V$42,1,BA186+1)</f>
        <v>28</v>
      </c>
      <c r="BB187" s="514" t="str">
        <f>VLOOKUP(AZ187,MiscData!$W$4:$Y$42,3,FALSE)</f>
        <v>CSR10</v>
      </c>
    </row>
    <row r="188" spans="1:54" hidden="1">
      <c r="A188" s="498">
        <f>A184+1</f>
        <v>170</v>
      </c>
      <c r="B188" s="499" t="str">
        <f t="shared" si="80"/>
        <v>May 2016</v>
      </c>
      <c r="C188" s="448" t="s">
        <v>1471</v>
      </c>
      <c r="D188" s="500" t="str">
        <f t="shared" si="81"/>
        <v>CSR10</v>
      </c>
      <c r="E188" s="500" t="str">
        <f t="shared" si="82"/>
        <v>KUCSR761</v>
      </c>
      <c r="F188" s="501">
        <f t="shared" si="83"/>
        <v>0</v>
      </c>
      <c r="G188" s="501">
        <v>0</v>
      </c>
      <c r="H188" s="501">
        <v>0</v>
      </c>
      <c r="I188" s="501">
        <v>0</v>
      </c>
      <c r="J188" s="501">
        <f t="shared" si="84"/>
        <v>0</v>
      </c>
      <c r="K188" s="502">
        <f t="shared" si="85"/>
        <v>0</v>
      </c>
      <c r="L188" s="502">
        <f t="shared" si="86"/>
        <v>0</v>
      </c>
      <c r="M188" s="502">
        <f t="shared" si="87"/>
        <v>0</v>
      </c>
      <c r="N188" s="502">
        <f t="shared" si="88"/>
        <v>0</v>
      </c>
      <c r="O188" s="502">
        <f t="shared" si="89"/>
        <v>0</v>
      </c>
      <c r="P188" s="502">
        <f t="shared" si="90"/>
        <v>0</v>
      </c>
      <c r="Q188" s="503">
        <f t="shared" si="91"/>
        <v>0</v>
      </c>
      <c r="R188" s="504">
        <f t="shared" si="92"/>
        <v>0</v>
      </c>
      <c r="S188" s="504">
        <v>0</v>
      </c>
      <c r="T188" s="504">
        <v>0</v>
      </c>
      <c r="U188" s="504">
        <f t="shared" si="93"/>
        <v>0</v>
      </c>
      <c r="V188" s="503">
        <f t="shared" si="94"/>
        <v>-5.5</v>
      </c>
      <c r="W188" s="503">
        <f t="shared" si="95"/>
        <v>0</v>
      </c>
      <c r="X188" s="503">
        <f t="shared" si="96"/>
        <v>0</v>
      </c>
      <c r="Y188" s="453">
        <f t="shared" si="97"/>
        <v>0</v>
      </c>
      <c r="Z188" s="453">
        <f t="shared" si="98"/>
        <v>0</v>
      </c>
      <c r="AA188" s="453">
        <f t="shared" si="99"/>
        <v>0</v>
      </c>
      <c r="AB188" s="453">
        <f t="shared" si="100"/>
        <v>0</v>
      </c>
      <c r="AC188" s="453">
        <f t="shared" si="101"/>
        <v>0</v>
      </c>
      <c r="AD188" s="493">
        <f t="shared" si="102"/>
        <v>0</v>
      </c>
      <c r="AE188" s="493">
        <f t="shared" si="103"/>
        <v>0</v>
      </c>
      <c r="AF188" s="493">
        <f t="shared" si="104"/>
        <v>0</v>
      </c>
      <c r="AG188" s="494">
        <f t="shared" si="105"/>
        <v>1</v>
      </c>
      <c r="AH188" s="505">
        <f t="shared" si="106"/>
        <v>0</v>
      </c>
      <c r="AI188" s="505">
        <f t="shared" si="107"/>
        <v>0</v>
      </c>
      <c r="AJ188" s="505">
        <f t="shared" si="108"/>
        <v>0</v>
      </c>
      <c r="AK188" s="505">
        <f t="shared" si="109"/>
        <v>0</v>
      </c>
      <c r="AL188" s="505">
        <f t="shared" si="110"/>
        <v>0</v>
      </c>
      <c r="AM188" s="505">
        <f t="shared" si="111"/>
        <v>0</v>
      </c>
      <c r="AN188" s="506">
        <f t="shared" si="112"/>
        <v>0</v>
      </c>
      <c r="AO188" s="507">
        <f t="shared" si="113"/>
        <v>0</v>
      </c>
      <c r="AP188" s="508">
        <f t="shared" si="114"/>
        <v>0</v>
      </c>
      <c r="AQ188" s="510">
        <f t="shared" si="115"/>
        <v>0</v>
      </c>
      <c r="AR188" s="511"/>
      <c r="AS188" s="511"/>
      <c r="AT188" s="511"/>
      <c r="AU188" s="511"/>
      <c r="AV188" s="512">
        <f>IF(BA188&gt;BA184,AV184,IF(AV184&lt;MiscData!$F$1,EOMONTH(AV184,1),EOMONTH(AV184,-11)))</f>
        <v>42521</v>
      </c>
      <c r="AW188" s="499" t="str">
        <f t="shared" si="116"/>
        <v>20140101KUCSR761</v>
      </c>
      <c r="AX188" s="513" t="str">
        <f t="shared" si="117"/>
        <v>20140101CSR10</v>
      </c>
      <c r="AY188" s="511">
        <f>IF(AV188&lt;=MiscData!$B$23,MiscData!$C$23,IF(AV188&lt;=MiscData!$B$24,MiscData!$C$24,MiscData!$C$25))</f>
        <v>20140101</v>
      </c>
      <c r="AZ188" s="511" t="str">
        <f>VLOOKUP(BA188,MiscData!$V$4:$W$42,2,FALSE)</f>
        <v>KUCSR761</v>
      </c>
      <c r="BA188" s="439">
        <f>IF(BA187=MiscData!$V$42,1,BA187+1)</f>
        <v>29</v>
      </c>
      <c r="BB188" s="514" t="str">
        <f>VLOOKUP(AZ188,MiscData!$W$4:$Y$42,3,FALSE)</f>
        <v>CSR10</v>
      </c>
    </row>
    <row r="189" spans="1:54" hidden="1">
      <c r="A189" s="498">
        <f>A185+1</f>
        <v>171</v>
      </c>
      <c r="B189" s="499" t="str">
        <f t="shared" si="80"/>
        <v>May 2016</v>
      </c>
      <c r="C189" s="448" t="s">
        <v>1472</v>
      </c>
      <c r="D189" s="500" t="str">
        <f t="shared" si="81"/>
        <v>CSR30</v>
      </c>
      <c r="E189" s="500" t="str">
        <f t="shared" si="82"/>
        <v>KUCSR780</v>
      </c>
      <c r="F189" s="501">
        <f t="shared" si="83"/>
        <v>0</v>
      </c>
      <c r="G189" s="501">
        <v>0</v>
      </c>
      <c r="H189" s="501">
        <v>0</v>
      </c>
      <c r="I189" s="501">
        <v>0</v>
      </c>
      <c r="J189" s="501">
        <f t="shared" si="84"/>
        <v>0</v>
      </c>
      <c r="K189" s="502">
        <f t="shared" si="85"/>
        <v>0</v>
      </c>
      <c r="L189" s="502">
        <f t="shared" si="86"/>
        <v>0</v>
      </c>
      <c r="M189" s="502">
        <f t="shared" si="87"/>
        <v>0</v>
      </c>
      <c r="N189" s="502">
        <f t="shared" si="88"/>
        <v>0</v>
      </c>
      <c r="O189" s="502">
        <f t="shared" si="89"/>
        <v>0</v>
      </c>
      <c r="P189" s="502">
        <f t="shared" si="90"/>
        <v>0</v>
      </c>
      <c r="Q189" s="503">
        <f t="shared" si="91"/>
        <v>0</v>
      </c>
      <c r="R189" s="504">
        <f t="shared" si="92"/>
        <v>0</v>
      </c>
      <c r="S189" s="504">
        <v>0</v>
      </c>
      <c r="T189" s="504">
        <v>0</v>
      </c>
      <c r="U189" s="504">
        <f t="shared" si="93"/>
        <v>0</v>
      </c>
      <c r="V189" s="503">
        <f t="shared" si="94"/>
        <v>-4.3</v>
      </c>
      <c r="W189" s="503">
        <f t="shared" si="95"/>
        <v>0</v>
      </c>
      <c r="X189" s="503">
        <f t="shared" si="96"/>
        <v>0</v>
      </c>
      <c r="Y189" s="453">
        <f t="shared" si="97"/>
        <v>0</v>
      </c>
      <c r="Z189" s="453">
        <f t="shared" si="98"/>
        <v>0</v>
      </c>
      <c r="AA189" s="453">
        <f t="shared" si="99"/>
        <v>0</v>
      </c>
      <c r="AB189" s="453">
        <f t="shared" si="100"/>
        <v>0</v>
      </c>
      <c r="AC189" s="453">
        <f t="shared" si="101"/>
        <v>0</v>
      </c>
      <c r="AD189" s="493">
        <f t="shared" si="102"/>
        <v>0</v>
      </c>
      <c r="AE189" s="493">
        <f t="shared" si="103"/>
        <v>0</v>
      </c>
      <c r="AF189" s="493">
        <f t="shared" si="104"/>
        <v>0</v>
      </c>
      <c r="AG189" s="494">
        <f t="shared" si="105"/>
        <v>1</v>
      </c>
      <c r="AH189" s="505">
        <f t="shared" si="106"/>
        <v>0</v>
      </c>
      <c r="AI189" s="505">
        <f t="shared" si="107"/>
        <v>0</v>
      </c>
      <c r="AJ189" s="505">
        <f t="shared" si="108"/>
        <v>0</v>
      </c>
      <c r="AK189" s="505">
        <f t="shared" si="109"/>
        <v>0</v>
      </c>
      <c r="AL189" s="505">
        <f t="shared" si="110"/>
        <v>0</v>
      </c>
      <c r="AM189" s="505">
        <f t="shared" si="111"/>
        <v>0</v>
      </c>
      <c r="AN189" s="506">
        <f t="shared" si="112"/>
        <v>0</v>
      </c>
      <c r="AO189" s="507">
        <f t="shared" si="113"/>
        <v>0</v>
      </c>
      <c r="AP189" s="508">
        <f t="shared" si="114"/>
        <v>0</v>
      </c>
      <c r="AQ189" s="510">
        <f t="shared" si="115"/>
        <v>0</v>
      </c>
      <c r="AR189" s="511"/>
      <c r="AS189" s="511"/>
      <c r="AT189" s="511"/>
      <c r="AU189" s="511"/>
      <c r="AV189" s="512">
        <f>IF(BA189&gt;BA185,AV185,IF(AV185&lt;MiscData!$F$1,EOMONTH(AV185,1),EOMONTH(AV185,-11)))</f>
        <v>42521</v>
      </c>
      <c r="AW189" s="499" t="str">
        <f t="shared" si="116"/>
        <v>20140101KUCSR780</v>
      </c>
      <c r="AX189" s="513" t="str">
        <f t="shared" si="117"/>
        <v>20140101CSR30</v>
      </c>
      <c r="AY189" s="511">
        <f>IF(AV189&lt;=MiscData!$B$23,MiscData!$C$23,IF(AV189&lt;=MiscData!$B$24,MiscData!$C$24,MiscData!$C$25))</f>
        <v>20140101</v>
      </c>
      <c r="AZ189" s="511" t="str">
        <f>VLOOKUP(BA189,MiscData!$V$4:$W$42,2,FALSE)</f>
        <v>KUCSR780</v>
      </c>
      <c r="BA189" s="439">
        <f>IF(BA188=MiscData!$V$42,1,BA188+1)</f>
        <v>30</v>
      </c>
      <c r="BB189" s="514" t="str">
        <f>VLOOKUP(AZ189,MiscData!$W$4:$Y$42,3,FALSE)</f>
        <v>CSR30</v>
      </c>
    </row>
    <row r="190" spans="1:54" hidden="1">
      <c r="A190" s="498">
        <f>A186+1</f>
        <v>172</v>
      </c>
      <c r="B190" s="499" t="str">
        <f t="shared" si="80"/>
        <v>May 2016</v>
      </c>
      <c r="C190" s="448" t="s">
        <v>1472</v>
      </c>
      <c r="D190" s="500" t="str">
        <f t="shared" si="81"/>
        <v>CSR30</v>
      </c>
      <c r="E190" s="500" t="str">
        <f t="shared" si="82"/>
        <v>KUCSR781</v>
      </c>
      <c r="F190" s="501">
        <f t="shared" si="83"/>
        <v>0</v>
      </c>
      <c r="G190" s="501">
        <v>0</v>
      </c>
      <c r="H190" s="501">
        <v>0</v>
      </c>
      <c r="I190" s="501">
        <v>0</v>
      </c>
      <c r="J190" s="501">
        <f t="shared" si="84"/>
        <v>0</v>
      </c>
      <c r="K190" s="502">
        <f t="shared" si="85"/>
        <v>0</v>
      </c>
      <c r="L190" s="502">
        <f t="shared" si="86"/>
        <v>0</v>
      </c>
      <c r="M190" s="502">
        <f t="shared" si="87"/>
        <v>0</v>
      </c>
      <c r="N190" s="502">
        <f t="shared" si="88"/>
        <v>0</v>
      </c>
      <c r="O190" s="502">
        <f t="shared" si="89"/>
        <v>0</v>
      </c>
      <c r="P190" s="502">
        <f t="shared" si="90"/>
        <v>0</v>
      </c>
      <c r="Q190" s="503">
        <f t="shared" si="91"/>
        <v>0</v>
      </c>
      <c r="R190" s="504">
        <f t="shared" si="92"/>
        <v>0</v>
      </c>
      <c r="S190" s="504">
        <v>0</v>
      </c>
      <c r="T190" s="504">
        <v>0</v>
      </c>
      <c r="U190" s="504">
        <f t="shared" si="93"/>
        <v>0</v>
      </c>
      <c r="V190" s="503">
        <f t="shared" si="94"/>
        <v>-4.4000000000000004</v>
      </c>
      <c r="W190" s="503">
        <f t="shared" si="95"/>
        <v>0</v>
      </c>
      <c r="X190" s="503">
        <f t="shared" si="96"/>
        <v>0</v>
      </c>
      <c r="Y190" s="453">
        <f t="shared" si="97"/>
        <v>0</v>
      </c>
      <c r="Z190" s="453">
        <f t="shared" si="98"/>
        <v>0</v>
      </c>
      <c r="AA190" s="453">
        <f t="shared" si="99"/>
        <v>0</v>
      </c>
      <c r="AB190" s="453">
        <f t="shared" si="100"/>
        <v>0</v>
      </c>
      <c r="AC190" s="453">
        <f t="shared" si="101"/>
        <v>0</v>
      </c>
      <c r="AD190" s="493">
        <f t="shared" si="102"/>
        <v>0</v>
      </c>
      <c r="AE190" s="493">
        <f t="shared" si="103"/>
        <v>0</v>
      </c>
      <c r="AF190" s="493">
        <f t="shared" si="104"/>
        <v>0</v>
      </c>
      <c r="AG190" s="494">
        <f t="shared" si="105"/>
        <v>1</v>
      </c>
      <c r="AH190" s="505">
        <f t="shared" si="106"/>
        <v>0</v>
      </c>
      <c r="AI190" s="505">
        <f t="shared" si="107"/>
        <v>0</v>
      </c>
      <c r="AJ190" s="505">
        <f t="shared" si="108"/>
        <v>0</v>
      </c>
      <c r="AK190" s="505">
        <f t="shared" si="109"/>
        <v>0</v>
      </c>
      <c r="AL190" s="505">
        <f t="shared" si="110"/>
        <v>0</v>
      </c>
      <c r="AM190" s="505">
        <f t="shared" si="111"/>
        <v>0</v>
      </c>
      <c r="AN190" s="506">
        <f t="shared" si="112"/>
        <v>0</v>
      </c>
      <c r="AO190" s="507">
        <f t="shared" si="113"/>
        <v>0</v>
      </c>
      <c r="AP190" s="508">
        <f t="shared" si="114"/>
        <v>0</v>
      </c>
      <c r="AQ190" s="510">
        <f t="shared" si="115"/>
        <v>0</v>
      </c>
      <c r="AR190" s="511"/>
      <c r="AS190" s="511"/>
      <c r="AT190" s="511"/>
      <c r="AU190" s="511"/>
      <c r="AV190" s="512">
        <f>IF(BA190&gt;BA186,AV186,IF(AV186&lt;MiscData!$F$1,EOMONTH(AV186,1),EOMONTH(AV186,-11)))</f>
        <v>42521</v>
      </c>
      <c r="AW190" s="499" t="str">
        <f t="shared" si="116"/>
        <v>20140101KUCSR781</v>
      </c>
      <c r="AX190" s="513" t="str">
        <f t="shared" si="117"/>
        <v>20140101CSR30</v>
      </c>
      <c r="AY190" s="511">
        <f>IF(AV190&lt;=MiscData!$B$23,MiscData!$C$23,IF(AV190&lt;=MiscData!$B$24,MiscData!$C$24,MiscData!$C$25))</f>
        <v>20140101</v>
      </c>
      <c r="AZ190" s="511" t="str">
        <f>VLOOKUP(BA190,MiscData!$V$4:$W$42,2,FALSE)</f>
        <v>KUCSR781</v>
      </c>
      <c r="BA190" s="439">
        <f>IF(BA189=MiscData!$V$42,1,BA189+1)</f>
        <v>31</v>
      </c>
      <c r="BB190" s="514" t="str">
        <f>VLOOKUP(AZ190,MiscData!$W$4:$Y$42,3,FALSE)</f>
        <v>CSR30</v>
      </c>
    </row>
    <row r="191" spans="1:54" hidden="1">
      <c r="A191" s="498">
        <f>A187+1</f>
        <v>173</v>
      </c>
      <c r="B191" s="499" t="str">
        <f t="shared" si="80"/>
        <v>May 2016</v>
      </c>
      <c r="C191" s="448" t="s">
        <v>1472</v>
      </c>
      <c r="D191" s="500" t="str">
        <f t="shared" si="81"/>
        <v>CSR30</v>
      </c>
      <c r="E191" s="500" t="str">
        <f t="shared" si="82"/>
        <v>KUCSR783</v>
      </c>
      <c r="F191" s="501">
        <f t="shared" si="83"/>
        <v>0</v>
      </c>
      <c r="G191" s="501">
        <v>0</v>
      </c>
      <c r="H191" s="501">
        <v>0</v>
      </c>
      <c r="I191" s="501">
        <v>0</v>
      </c>
      <c r="J191" s="501">
        <f t="shared" si="84"/>
        <v>0</v>
      </c>
      <c r="K191" s="502">
        <f t="shared" si="85"/>
        <v>0</v>
      </c>
      <c r="L191" s="502">
        <f t="shared" si="86"/>
        <v>0</v>
      </c>
      <c r="M191" s="502">
        <f t="shared" si="87"/>
        <v>0</v>
      </c>
      <c r="N191" s="502">
        <f t="shared" si="88"/>
        <v>0</v>
      </c>
      <c r="O191" s="502">
        <f t="shared" si="89"/>
        <v>0</v>
      </c>
      <c r="P191" s="502">
        <f t="shared" si="90"/>
        <v>0</v>
      </c>
      <c r="Q191" s="503">
        <f t="shared" si="91"/>
        <v>0</v>
      </c>
      <c r="R191" s="504">
        <f t="shared" si="92"/>
        <v>0</v>
      </c>
      <c r="S191" s="504">
        <v>0</v>
      </c>
      <c r="T191" s="504">
        <v>0</v>
      </c>
      <c r="U191" s="504">
        <f t="shared" si="93"/>
        <v>0</v>
      </c>
      <c r="V191" s="503">
        <f t="shared" si="94"/>
        <v>-4.4000000000000004</v>
      </c>
      <c r="W191" s="503">
        <f t="shared" si="95"/>
        <v>0</v>
      </c>
      <c r="X191" s="503">
        <f t="shared" si="96"/>
        <v>0</v>
      </c>
      <c r="Y191" s="453">
        <f t="shared" si="97"/>
        <v>0</v>
      </c>
      <c r="Z191" s="453">
        <f t="shared" si="98"/>
        <v>0</v>
      </c>
      <c r="AA191" s="453">
        <f t="shared" si="99"/>
        <v>0</v>
      </c>
      <c r="AB191" s="453">
        <f t="shared" si="100"/>
        <v>0</v>
      </c>
      <c r="AC191" s="453">
        <f t="shared" si="101"/>
        <v>0</v>
      </c>
      <c r="AD191" s="493">
        <f t="shared" si="102"/>
        <v>0</v>
      </c>
      <c r="AE191" s="493">
        <f t="shared" si="103"/>
        <v>0</v>
      </c>
      <c r="AF191" s="493">
        <f t="shared" si="104"/>
        <v>0</v>
      </c>
      <c r="AG191" s="494">
        <f t="shared" si="105"/>
        <v>1</v>
      </c>
      <c r="AH191" s="505">
        <f t="shared" si="106"/>
        <v>0</v>
      </c>
      <c r="AI191" s="505">
        <f t="shared" si="107"/>
        <v>0</v>
      </c>
      <c r="AJ191" s="505">
        <f t="shared" si="108"/>
        <v>0</v>
      </c>
      <c r="AK191" s="505">
        <f t="shared" si="109"/>
        <v>0</v>
      </c>
      <c r="AL191" s="505">
        <f t="shared" si="110"/>
        <v>0</v>
      </c>
      <c r="AM191" s="505">
        <f t="shared" si="111"/>
        <v>0</v>
      </c>
      <c r="AN191" s="506">
        <f t="shared" si="112"/>
        <v>0</v>
      </c>
      <c r="AO191" s="507">
        <f t="shared" si="113"/>
        <v>0</v>
      </c>
      <c r="AP191" s="508">
        <f t="shared" si="114"/>
        <v>0</v>
      </c>
      <c r="AQ191" s="510">
        <f t="shared" si="115"/>
        <v>0</v>
      </c>
      <c r="AR191" s="511"/>
      <c r="AS191" s="511"/>
      <c r="AT191" s="511"/>
      <c r="AU191" s="511"/>
      <c r="AV191" s="512">
        <f>IF(BA191&gt;BA187,AV187,IF(AV187&lt;MiscData!$F$1,EOMONTH(AV187,1),EOMONTH(AV187,-11)))</f>
        <v>42521</v>
      </c>
      <c r="AW191" s="499" t="str">
        <f t="shared" si="116"/>
        <v>20140101KUCSR783</v>
      </c>
      <c r="AX191" s="513" t="str">
        <f t="shared" si="117"/>
        <v>20140101CSR30</v>
      </c>
      <c r="AY191" s="511">
        <f>IF(AV191&lt;=MiscData!$B$23,MiscData!$C$23,IF(AV191&lt;=MiscData!$B$24,MiscData!$C$24,MiscData!$C$25))</f>
        <v>20140101</v>
      </c>
      <c r="AZ191" s="511" t="str">
        <f>VLOOKUP(BA191,MiscData!$V$4:$W$42,2,FALSE)</f>
        <v>KUCSR783</v>
      </c>
      <c r="BA191" s="439">
        <f>IF(BA190=MiscData!$V$42,1,BA190+1)</f>
        <v>32</v>
      </c>
      <c r="BB191" s="514" t="str">
        <f>VLOOKUP(AZ191,MiscData!$W$4:$Y$42,3,FALSE)</f>
        <v>CSR30</v>
      </c>
    </row>
    <row r="192" spans="1:54" hidden="1">
      <c r="A192" s="498">
        <f t="shared" ref="A192:A225" si="119">A191+1</f>
        <v>174</v>
      </c>
      <c r="B192" s="499" t="str">
        <f t="shared" si="80"/>
        <v>May 2016</v>
      </c>
      <c r="C192" s="832" t="s">
        <v>642</v>
      </c>
      <c r="D192" s="500" t="str">
        <f t="shared" si="81"/>
        <v>FLST</v>
      </c>
      <c r="E192" s="500" t="str">
        <f t="shared" si="82"/>
        <v>KUINE730</v>
      </c>
      <c r="F192" s="501">
        <f t="shared" si="83"/>
        <v>1</v>
      </c>
      <c r="G192" s="501">
        <v>0</v>
      </c>
      <c r="H192" s="501">
        <v>0</v>
      </c>
      <c r="I192" s="501">
        <v>0</v>
      </c>
      <c r="J192" s="501">
        <f t="shared" si="84"/>
        <v>48437687</v>
      </c>
      <c r="K192" s="502">
        <f t="shared" si="85"/>
        <v>185158</v>
      </c>
      <c r="L192" s="502">
        <f t="shared" si="86"/>
        <v>185158</v>
      </c>
      <c r="M192" s="502">
        <f t="shared" si="87"/>
        <v>101388</v>
      </c>
      <c r="N192" s="502">
        <f t="shared" si="88"/>
        <v>0</v>
      </c>
      <c r="O192" s="502">
        <f t="shared" si="89"/>
        <v>0</v>
      </c>
      <c r="P192" s="502">
        <f t="shared" si="90"/>
        <v>0</v>
      </c>
      <c r="Q192" s="503">
        <f t="shared" si="91"/>
        <v>750</v>
      </c>
      <c r="R192" s="504">
        <f t="shared" si="92"/>
        <v>3.261E-2</v>
      </c>
      <c r="S192" s="504">
        <v>0</v>
      </c>
      <c r="T192" s="504">
        <v>0</v>
      </c>
      <c r="U192" s="504">
        <f t="shared" si="93"/>
        <v>2.8920000000000001E-2</v>
      </c>
      <c r="V192" s="503">
        <f t="shared" si="94"/>
        <v>1.05</v>
      </c>
      <c r="W192" s="503">
        <f t="shared" si="95"/>
        <v>1.52</v>
      </c>
      <c r="X192" s="503">
        <f t="shared" si="96"/>
        <v>2.41</v>
      </c>
      <c r="Y192" s="453">
        <f t="shared" si="97"/>
        <v>750</v>
      </c>
      <c r="Z192" s="453">
        <f t="shared" si="98"/>
        <v>1579552.97</v>
      </c>
      <c r="AA192" s="453">
        <f t="shared" si="99"/>
        <v>194415.9</v>
      </c>
      <c r="AB192" s="453">
        <f t="shared" si="100"/>
        <v>281440.15999999997</v>
      </c>
      <c r="AC192" s="453">
        <f t="shared" si="101"/>
        <v>244345.08</v>
      </c>
      <c r="AD192" s="493">
        <f t="shared" si="102"/>
        <v>720201.1399999999</v>
      </c>
      <c r="AE192" s="493">
        <f t="shared" si="103"/>
        <v>2300504.11</v>
      </c>
      <c r="AF192" s="493">
        <f t="shared" si="104"/>
        <v>2300502</v>
      </c>
      <c r="AG192" s="494">
        <f t="shared" si="105"/>
        <v>0.99999908280972383</v>
      </c>
      <c r="AH192" s="505">
        <f t="shared" si="106"/>
        <v>43712</v>
      </c>
      <c r="AI192" s="505">
        <f t="shared" si="107"/>
        <v>0</v>
      </c>
      <c r="AJ192" s="505">
        <f t="shared" si="108"/>
        <v>328515</v>
      </c>
      <c r="AK192" s="505">
        <f t="shared" si="109"/>
        <v>0</v>
      </c>
      <c r="AL192" s="505">
        <f t="shared" si="110"/>
        <v>0</v>
      </c>
      <c r="AM192" s="505">
        <f t="shared" si="111"/>
        <v>2672729</v>
      </c>
      <c r="AN192" s="506">
        <f t="shared" si="112"/>
        <v>2672731.11</v>
      </c>
      <c r="AO192" s="507">
        <f t="shared" si="113"/>
        <v>-2.1099999998696148</v>
      </c>
      <c r="AP192" s="508">
        <f t="shared" si="114"/>
        <v>1400817.91</v>
      </c>
      <c r="AQ192" s="510">
        <f t="shared" si="115"/>
        <v>178735.06000000006</v>
      </c>
      <c r="AR192" s="511"/>
      <c r="AS192" s="511"/>
      <c r="AT192" s="511"/>
      <c r="AU192" s="511"/>
      <c r="AV192" s="512">
        <f>IF(BA192&gt;BA191,AV191,IF(AV191&lt;MiscData!$F$1,EOMONTH(AV191,1),EOMONTH(AV191,-11)))</f>
        <v>42521</v>
      </c>
      <c r="AW192" s="499" t="str">
        <f t="shared" si="116"/>
        <v>20140101KUINE730</v>
      </c>
      <c r="AX192" s="513" t="str">
        <f t="shared" si="117"/>
        <v>20140101FLST</v>
      </c>
      <c r="AY192" s="511">
        <f>IF(AV192&lt;=MiscData!$B$23,MiscData!$C$23,IF(AV192&lt;=MiscData!$B$24,MiscData!$C$24,MiscData!$C$25))</f>
        <v>20140101</v>
      </c>
      <c r="AZ192" s="511" t="str">
        <f>VLOOKUP(BA192,MiscData!$V$4:$W$42,2,FALSE)</f>
        <v>KUINE730</v>
      </c>
      <c r="BA192" s="439">
        <f>IF(BA191=MiscData!$V$42,1,BA191+1)</f>
        <v>33</v>
      </c>
      <c r="BB192" s="514" t="str">
        <f>VLOOKUP(AZ192,MiscData!$W$4:$Y$42,3,FALSE)</f>
        <v>FLST</v>
      </c>
    </row>
    <row r="193" spans="1:55" hidden="1">
      <c r="A193" s="498">
        <f t="shared" si="119"/>
        <v>175</v>
      </c>
      <c r="B193" s="499" t="str">
        <f t="shared" si="80"/>
        <v>May 2016</v>
      </c>
      <c r="C193" s="499" t="s">
        <v>14</v>
      </c>
      <c r="D193" s="500" t="str">
        <f t="shared" si="81"/>
        <v>RS</v>
      </c>
      <c r="E193" s="500" t="str">
        <f t="shared" si="82"/>
        <v>KURSE010</v>
      </c>
      <c r="F193" s="501">
        <f t="shared" si="83"/>
        <v>431179</v>
      </c>
      <c r="G193" s="501">
        <v>0</v>
      </c>
      <c r="H193" s="501">
        <v>0</v>
      </c>
      <c r="I193" s="501">
        <v>0</v>
      </c>
      <c r="J193" s="501">
        <f t="shared" si="84"/>
        <v>369792176</v>
      </c>
      <c r="K193" s="502">
        <f t="shared" si="85"/>
        <v>0</v>
      </c>
      <c r="L193" s="502">
        <f t="shared" si="86"/>
        <v>0</v>
      </c>
      <c r="M193" s="502">
        <f t="shared" si="87"/>
        <v>0</v>
      </c>
      <c r="N193" s="502">
        <f t="shared" si="88"/>
        <v>0</v>
      </c>
      <c r="O193" s="502">
        <f t="shared" si="89"/>
        <v>0</v>
      </c>
      <c r="P193" s="502">
        <f t="shared" si="90"/>
        <v>0</v>
      </c>
      <c r="Q193" s="503">
        <f t="shared" si="91"/>
        <v>10.75</v>
      </c>
      <c r="R193" s="504">
        <f t="shared" si="92"/>
        <v>7.7439999999999995E-2</v>
      </c>
      <c r="S193" s="504">
        <v>0</v>
      </c>
      <c r="T193" s="504">
        <v>0</v>
      </c>
      <c r="U193" s="504">
        <f t="shared" si="93"/>
        <v>2.8920000000000001E-2</v>
      </c>
      <c r="V193" s="503">
        <f t="shared" si="94"/>
        <v>0</v>
      </c>
      <c r="W193" s="503">
        <f t="shared" si="95"/>
        <v>0</v>
      </c>
      <c r="X193" s="503">
        <f t="shared" si="96"/>
        <v>0</v>
      </c>
      <c r="Y193" s="453">
        <f t="shared" si="97"/>
        <v>4635174.25</v>
      </c>
      <c r="Z193" s="453">
        <f t="shared" si="98"/>
        <v>28636706.109999999</v>
      </c>
      <c r="AA193" s="453">
        <f t="shared" si="99"/>
        <v>0</v>
      </c>
      <c r="AB193" s="453">
        <f t="shared" si="100"/>
        <v>0</v>
      </c>
      <c r="AC193" s="453">
        <f t="shared" si="101"/>
        <v>0</v>
      </c>
      <c r="AD193" s="493">
        <f t="shared" si="102"/>
        <v>0</v>
      </c>
      <c r="AE193" s="493">
        <f t="shared" si="103"/>
        <v>33271880.359999999</v>
      </c>
      <c r="AF193" s="493">
        <f t="shared" si="104"/>
        <v>33272651</v>
      </c>
      <c r="AG193" s="494">
        <f t="shared" si="105"/>
        <v>1.0000231619010307</v>
      </c>
      <c r="AH193" s="505">
        <f t="shared" si="106"/>
        <v>333726</v>
      </c>
      <c r="AI193" s="505">
        <f t="shared" si="107"/>
        <v>676243</v>
      </c>
      <c r="AJ193" s="505">
        <f t="shared" si="108"/>
        <v>2508069</v>
      </c>
      <c r="AK193" s="505">
        <f t="shared" si="109"/>
        <v>0</v>
      </c>
      <c r="AL193" s="505">
        <f t="shared" si="110"/>
        <v>0</v>
      </c>
      <c r="AM193" s="505">
        <f t="shared" si="111"/>
        <v>36790689</v>
      </c>
      <c r="AN193" s="506">
        <f t="shared" si="112"/>
        <v>36789918.359999999</v>
      </c>
      <c r="AO193" s="507">
        <f t="shared" si="113"/>
        <v>770.64000000059605</v>
      </c>
      <c r="AP193" s="508">
        <f t="shared" si="114"/>
        <v>10694389.73</v>
      </c>
      <c r="AQ193" s="510">
        <f t="shared" si="115"/>
        <v>17942316.379999999</v>
      </c>
      <c r="AR193" s="511"/>
      <c r="AS193" s="511"/>
      <c r="AT193" s="511"/>
      <c r="AU193" s="511"/>
      <c r="AV193" s="512">
        <f>IF(BA193&gt;BA192,AV192,IF(AV192&lt;MiscData!$F$1,EOMONTH(AV192,1),EOMONTH(AV192,-11)))</f>
        <v>42521</v>
      </c>
      <c r="AW193" s="499" t="str">
        <f t="shared" si="116"/>
        <v>20140101KURSE010</v>
      </c>
      <c r="AX193" s="513" t="str">
        <f t="shared" si="117"/>
        <v>20140101RS</v>
      </c>
      <c r="AY193" s="511">
        <f>IF(AV193&lt;=MiscData!$B$23,MiscData!$C$23,IF(AV193&lt;=MiscData!$B$24,MiscData!$C$24,MiscData!$C$25))</f>
        <v>20140101</v>
      </c>
      <c r="AZ193" s="511" t="str">
        <f>VLOOKUP(BA193,MiscData!$V$4:$W$42,2,FALSE)</f>
        <v>KURSE010</v>
      </c>
      <c r="BA193" s="439">
        <f>IF(BA192=MiscData!$V$42,1,BA192+1)</f>
        <v>34</v>
      </c>
      <c r="BB193" s="514" t="str">
        <f>VLOOKUP(AZ193,MiscData!$W$4:$Y$42,3,FALSE)</f>
        <v>RS</v>
      </c>
    </row>
    <row r="194" spans="1:55" hidden="1">
      <c r="A194" s="498">
        <f t="shared" si="119"/>
        <v>176</v>
      </c>
      <c r="B194" s="499" t="str">
        <f t="shared" si="80"/>
        <v>May 2016</v>
      </c>
      <c r="C194" s="499" t="s">
        <v>14</v>
      </c>
      <c r="D194" s="500" t="str">
        <f t="shared" si="81"/>
        <v>RS</v>
      </c>
      <c r="E194" s="500" t="str">
        <f t="shared" si="82"/>
        <v>KURSE020</v>
      </c>
      <c r="F194" s="501">
        <f t="shared" si="83"/>
        <v>0</v>
      </c>
      <c r="G194" s="501">
        <v>0</v>
      </c>
      <c r="H194" s="501">
        <v>0</v>
      </c>
      <c r="I194" s="501">
        <v>0</v>
      </c>
      <c r="J194" s="501">
        <f t="shared" si="84"/>
        <v>0</v>
      </c>
      <c r="K194" s="502">
        <f t="shared" si="85"/>
        <v>0</v>
      </c>
      <c r="L194" s="502">
        <f t="shared" si="86"/>
        <v>0</v>
      </c>
      <c r="M194" s="502">
        <f t="shared" si="87"/>
        <v>0</v>
      </c>
      <c r="N194" s="502">
        <f t="shared" si="88"/>
        <v>0</v>
      </c>
      <c r="O194" s="502">
        <f t="shared" si="89"/>
        <v>0</v>
      </c>
      <c r="P194" s="502">
        <f t="shared" si="90"/>
        <v>0</v>
      </c>
      <c r="Q194" s="503">
        <f t="shared" si="91"/>
        <v>10.75</v>
      </c>
      <c r="R194" s="504">
        <f t="shared" si="92"/>
        <v>7.7439999999999995E-2</v>
      </c>
      <c r="S194" s="504">
        <v>0</v>
      </c>
      <c r="T194" s="504">
        <v>0</v>
      </c>
      <c r="U194" s="504">
        <f t="shared" si="93"/>
        <v>2.8920000000000001E-2</v>
      </c>
      <c r="V194" s="503">
        <f t="shared" si="94"/>
        <v>0</v>
      </c>
      <c r="W194" s="503">
        <f t="shared" si="95"/>
        <v>0</v>
      </c>
      <c r="X194" s="503">
        <f t="shared" si="96"/>
        <v>0</v>
      </c>
      <c r="Y194" s="453">
        <f t="shared" si="97"/>
        <v>0</v>
      </c>
      <c r="Z194" s="453">
        <f t="shared" si="98"/>
        <v>0</v>
      </c>
      <c r="AA194" s="453">
        <f t="shared" si="99"/>
        <v>0</v>
      </c>
      <c r="AB194" s="453">
        <f t="shared" si="100"/>
        <v>0</v>
      </c>
      <c r="AC194" s="453">
        <f t="shared" si="101"/>
        <v>0</v>
      </c>
      <c r="AD194" s="493">
        <f t="shared" si="102"/>
        <v>0</v>
      </c>
      <c r="AE194" s="493">
        <f t="shared" si="103"/>
        <v>0</v>
      </c>
      <c r="AF194" s="493">
        <f t="shared" si="104"/>
        <v>0</v>
      </c>
      <c r="AG194" s="494">
        <f t="shared" si="105"/>
        <v>1</v>
      </c>
      <c r="AH194" s="505">
        <f t="shared" si="106"/>
        <v>0</v>
      </c>
      <c r="AI194" s="505">
        <f t="shared" si="107"/>
        <v>0</v>
      </c>
      <c r="AJ194" s="505">
        <f t="shared" si="108"/>
        <v>0</v>
      </c>
      <c r="AK194" s="505">
        <f t="shared" si="109"/>
        <v>0</v>
      </c>
      <c r="AL194" s="505">
        <f t="shared" si="110"/>
        <v>0</v>
      </c>
      <c r="AM194" s="505">
        <f t="shared" si="111"/>
        <v>0</v>
      </c>
      <c r="AN194" s="506">
        <f t="shared" si="112"/>
        <v>0</v>
      </c>
      <c r="AO194" s="507">
        <f t="shared" si="113"/>
        <v>0</v>
      </c>
      <c r="AP194" s="508">
        <f t="shared" si="114"/>
        <v>0</v>
      </c>
      <c r="AQ194" s="510">
        <f t="shared" si="115"/>
        <v>0</v>
      </c>
      <c r="AR194" s="511"/>
      <c r="AS194" s="511"/>
      <c r="AT194" s="511"/>
      <c r="AU194" s="511"/>
      <c r="AV194" s="512">
        <f>IF(BA194&gt;BA193,AV193,IF(AV193&lt;MiscData!$F$1,EOMONTH(AV193,1),EOMONTH(AV193,-11)))</f>
        <v>42521</v>
      </c>
      <c r="AW194" s="499" t="str">
        <f t="shared" si="116"/>
        <v>20140101KURSE020</v>
      </c>
      <c r="AX194" s="513" t="str">
        <f t="shared" si="117"/>
        <v>20140101RS</v>
      </c>
      <c r="AY194" s="511">
        <f>IF(AV194&lt;=MiscData!$B$23,MiscData!$C$23,IF(AV194&lt;=MiscData!$B$24,MiscData!$C$24,MiscData!$C$25))</f>
        <v>20140101</v>
      </c>
      <c r="AZ194" s="511" t="str">
        <f>VLOOKUP(BA194,MiscData!$V$4:$W$42,2,FALSE)</f>
        <v>KURSE020</v>
      </c>
      <c r="BA194" s="439">
        <f>IF(BA193=MiscData!$V$42,1,BA193+1)</f>
        <v>35</v>
      </c>
      <c r="BB194" s="514" t="str">
        <f>VLOOKUP(AZ194,MiscData!$W$4:$Y$42,3,FALSE)</f>
        <v>RS</v>
      </c>
    </row>
    <row r="195" spans="1:55" hidden="1">
      <c r="A195" s="498">
        <f t="shared" si="119"/>
        <v>177</v>
      </c>
      <c r="B195" s="499" t="str">
        <f t="shared" si="80"/>
        <v>May 2016</v>
      </c>
      <c r="C195" s="499" t="s">
        <v>14</v>
      </c>
      <c r="D195" s="500" t="str">
        <f t="shared" si="81"/>
        <v>RS</v>
      </c>
      <c r="E195" s="500" t="str">
        <f t="shared" si="82"/>
        <v>KURSE025</v>
      </c>
      <c r="F195" s="501">
        <f t="shared" si="83"/>
        <v>0</v>
      </c>
      <c r="G195" s="501">
        <v>0</v>
      </c>
      <c r="H195" s="501">
        <v>0</v>
      </c>
      <c r="I195" s="501">
        <v>0</v>
      </c>
      <c r="J195" s="501">
        <f t="shared" si="84"/>
        <v>0</v>
      </c>
      <c r="K195" s="502">
        <f t="shared" si="85"/>
        <v>0</v>
      </c>
      <c r="L195" s="502">
        <f t="shared" si="86"/>
        <v>0</v>
      </c>
      <c r="M195" s="502">
        <f t="shared" si="87"/>
        <v>0</v>
      </c>
      <c r="N195" s="502">
        <f t="shared" si="88"/>
        <v>0</v>
      </c>
      <c r="O195" s="502">
        <f t="shared" si="89"/>
        <v>0</v>
      </c>
      <c r="P195" s="502">
        <f t="shared" si="90"/>
        <v>0</v>
      </c>
      <c r="Q195" s="503">
        <f t="shared" si="91"/>
        <v>10.75</v>
      </c>
      <c r="R195" s="504">
        <f t="shared" si="92"/>
        <v>7.7439999999999995E-2</v>
      </c>
      <c r="S195" s="504">
        <v>0</v>
      </c>
      <c r="T195" s="504">
        <v>0</v>
      </c>
      <c r="U195" s="504">
        <f t="shared" si="93"/>
        <v>2.8920000000000001E-2</v>
      </c>
      <c r="V195" s="503">
        <f t="shared" si="94"/>
        <v>0</v>
      </c>
      <c r="W195" s="503">
        <f t="shared" si="95"/>
        <v>0</v>
      </c>
      <c r="X195" s="503">
        <f t="shared" si="96"/>
        <v>0</v>
      </c>
      <c r="Y195" s="453">
        <f t="shared" si="97"/>
        <v>0</v>
      </c>
      <c r="Z195" s="453">
        <f t="shared" si="98"/>
        <v>0</v>
      </c>
      <c r="AA195" s="453">
        <f t="shared" si="99"/>
        <v>0</v>
      </c>
      <c r="AB195" s="453">
        <f t="shared" si="100"/>
        <v>0</v>
      </c>
      <c r="AC195" s="453">
        <f t="shared" si="101"/>
        <v>0</v>
      </c>
      <c r="AD195" s="493">
        <f t="shared" si="102"/>
        <v>0</v>
      </c>
      <c r="AE195" s="493">
        <f t="shared" si="103"/>
        <v>0</v>
      </c>
      <c r="AF195" s="493">
        <f t="shared" si="104"/>
        <v>0</v>
      </c>
      <c r="AG195" s="494">
        <f t="shared" si="105"/>
        <v>1</v>
      </c>
      <c r="AH195" s="505">
        <f t="shared" si="106"/>
        <v>0</v>
      </c>
      <c r="AI195" s="505">
        <f t="shared" si="107"/>
        <v>0</v>
      </c>
      <c r="AJ195" s="505">
        <f t="shared" si="108"/>
        <v>0</v>
      </c>
      <c r="AK195" s="505">
        <f t="shared" si="109"/>
        <v>0</v>
      </c>
      <c r="AL195" s="505">
        <f t="shared" si="110"/>
        <v>0</v>
      </c>
      <c r="AM195" s="505">
        <f t="shared" si="111"/>
        <v>0</v>
      </c>
      <c r="AN195" s="506">
        <f t="shared" si="112"/>
        <v>0</v>
      </c>
      <c r="AO195" s="507">
        <f t="shared" si="113"/>
        <v>0</v>
      </c>
      <c r="AP195" s="508">
        <f t="shared" si="114"/>
        <v>0</v>
      </c>
      <c r="AQ195" s="510">
        <f t="shared" si="115"/>
        <v>0</v>
      </c>
      <c r="AR195" s="511"/>
      <c r="AS195" s="511"/>
      <c r="AT195" s="511"/>
      <c r="AU195" s="511"/>
      <c r="AV195" s="512">
        <f>IF(BA195&gt;BA194,AV194,IF(AV194&lt;MiscData!$F$1,EOMONTH(AV194,1),EOMONTH(AV194,-11)))</f>
        <v>42521</v>
      </c>
      <c r="AW195" s="499" t="str">
        <f t="shared" si="116"/>
        <v>20140101KURSE025</v>
      </c>
      <c r="AX195" s="513" t="str">
        <f t="shared" si="117"/>
        <v>20140101RS</v>
      </c>
      <c r="AY195" s="511">
        <f>IF(AV195&lt;=MiscData!$B$23,MiscData!$C$23,IF(AV195&lt;=MiscData!$B$24,MiscData!$C$24,MiscData!$C$25))</f>
        <v>20140101</v>
      </c>
      <c r="AZ195" s="511" t="str">
        <f>VLOOKUP(BA195,MiscData!$V$4:$W$42,2,FALSE)</f>
        <v>KURSE025</v>
      </c>
      <c r="BA195" s="439">
        <f>IF(BA194=MiscData!$V$42,1,BA194+1)</f>
        <v>36</v>
      </c>
      <c r="BB195" s="514" t="str">
        <f>VLOOKUP(AZ195,MiscData!$W$4:$Y$42,3,FALSE)</f>
        <v>RS</v>
      </c>
    </row>
    <row r="196" spans="1:55" hidden="1">
      <c r="A196" s="498">
        <f t="shared" si="119"/>
        <v>178</v>
      </c>
      <c r="B196" s="499" t="str">
        <f t="shared" ref="B196:B259" si="120">TEXT(AV196,"mmm yyyy")</f>
        <v>May 2016</v>
      </c>
      <c r="C196" s="499" t="s">
        <v>828</v>
      </c>
      <c r="D196" s="500" t="str">
        <f t="shared" ref="D196:D259" si="121">BB196</f>
        <v>RSLEV</v>
      </c>
      <c r="E196" s="500" t="str">
        <f t="shared" ref="E196:E259" si="122">AZ196</f>
        <v>KURSE040</v>
      </c>
      <c r="F196" s="501">
        <f t="shared" ref="F196:F259" si="123">SUMIFS(_1022_Count,_1022_RevenueMonth,$B196,_1022_RateCategory,$E196)</f>
        <v>7</v>
      </c>
      <c r="G196" s="501">
        <f>SUMIFS(_1022_KWH_P1,_1022_RevenueMonth,$B196,_1022_RateCategory,$E196)</f>
        <v>5924</v>
      </c>
      <c r="H196" s="501">
        <f>SUMIFS(_1022_KWH_P2,_1022_RevenueMonth,$B196,_1022_RateCategory,$E196)</f>
        <v>1775</v>
      </c>
      <c r="I196" s="501">
        <f>SUMIFS(_1022_KWH_P3,_1022_RevenueMonth,$B196,_1022_RateCategory,$E196)</f>
        <v>1266</v>
      </c>
      <c r="J196" s="501">
        <f t="shared" ref="J196:J259" si="124">SUMIFS(_1022_KWH,_1022_RevenueMonth,$B196,_1022_RateCategory,$E196)</f>
        <v>8965</v>
      </c>
      <c r="K196" s="502">
        <f t="shared" ref="K196:K259" si="125">SUMIFS(_1022_Measured_KVA_Base,_1022_RevenueMonth,$B196,_1022_RateCategory,$E196)</f>
        <v>0</v>
      </c>
      <c r="L196" s="502">
        <f t="shared" ref="L196:L259" si="126">SUMIFS(_1022_Measured_KVA_Inter,_1022_RevenueMonth,$B196,_1022_RateCategory,$E196)</f>
        <v>0</v>
      </c>
      <c r="M196" s="502">
        <f t="shared" ref="M196:M259" si="127">SUMIFS(_1022_Measured_KVA_Peak,_1022_RevenueMonth,$B196,_1022_RateCategory,$E196)</f>
        <v>0</v>
      </c>
      <c r="N196" s="502">
        <f t="shared" ref="N196:N259" si="128">SUMIFS(_1022_Demand_Base,_1022_RevenueMonth,$B196,_1022_RateCategory,$E196)</f>
        <v>0</v>
      </c>
      <c r="O196" s="502">
        <f t="shared" ref="O196:O259" si="129">SUMIFS(_1022_Demand_Intermediate,_1022_RevenueMonth,$B196,_1022_RateCategory,$E196)</f>
        <v>0</v>
      </c>
      <c r="P196" s="502">
        <f t="shared" ref="P196:P259" si="130">SUMIFS(_1022_Demand_Peak,_1022_RevenueMonth,$B196,_1022_RateCategory,$E196)</f>
        <v>0</v>
      </c>
      <c r="Q196" s="503">
        <f t="shared" ref="Q196:Q259" si="131">SUMIF(_Rates_Tariff_Category,$AW196,_Rates_BasicServiceCharge)</f>
        <v>10.75</v>
      </c>
      <c r="R196" s="504">
        <f t="shared" ref="R196:R259" si="132">SUMIF(_Rates_Tariff_Category,$AW196,_Rates_Energy)</f>
        <v>5.5870000000000003E-2</v>
      </c>
      <c r="S196" s="504">
        <f>SUMIF(_Rates_Tariff_Category,$AW196,_Rates_Energy_P2)</f>
        <v>7.7630000000000005E-2</v>
      </c>
      <c r="T196" s="504">
        <f>SUMIF(_Rates_Tariff_Category,$AW196,_Rates_Energy_P3)</f>
        <v>0.14297000000000001</v>
      </c>
      <c r="U196" s="504">
        <f t="shared" ref="U196:U259" si="133">SUMIF(_Rates_Tariff_Category,$AW196,_Rates_FAC_Energy)</f>
        <v>2.8920000000000001E-2</v>
      </c>
      <c r="V196" s="503">
        <f t="shared" ref="V196:V259" si="134">SUMIF(_Rates_Tariff_Category,$AW196,_Rates_Demand_Base)</f>
        <v>0</v>
      </c>
      <c r="W196" s="503">
        <f t="shared" ref="W196:W259" si="135">SUMIF(_Rates_Tariff_Category,$AW196,_Rates_Demand_Intermediate)</f>
        <v>0</v>
      </c>
      <c r="X196" s="503">
        <f t="shared" ref="X196:X259" si="136">SUMIF(_Rates_Tariff_Category,$AW196,_Rates_Demand_Peak)</f>
        <v>0</v>
      </c>
      <c r="Y196" s="453">
        <f t="shared" ref="Y196:Y259" si="137">ROUND($F196*$Q196,2)</f>
        <v>75.25</v>
      </c>
      <c r="Z196" s="453">
        <f t="shared" ref="Z196:Z259" si="138">ROUND(IF(G196=0,J196*R196,SUMPRODUCT(G196:I196,R196:T196)),2)</f>
        <v>649.77</v>
      </c>
      <c r="AA196" s="453">
        <f t="shared" ref="AA196:AA259" si="139">ROUND($K196*$V196,2)</f>
        <v>0</v>
      </c>
      <c r="AB196" s="453">
        <f t="shared" ref="AB196:AB259" si="140">ROUND($L196*$W196,2)</f>
        <v>0</v>
      </c>
      <c r="AC196" s="453">
        <f t="shared" ref="AC196:AC259" si="141">ROUND($M196*$X196,2)</f>
        <v>0</v>
      </c>
      <c r="AD196" s="493">
        <f t="shared" ref="AD196:AD259" si="142">SUM(AA196:AC196)</f>
        <v>0</v>
      </c>
      <c r="AE196" s="493">
        <f t="shared" ref="AE196:AE259" si="143">SUM(Y196:AC196)</f>
        <v>725.02</v>
      </c>
      <c r="AF196" s="493">
        <f t="shared" ref="AF196:AF259" si="144">AM196-SUM(AH196:AL196)</f>
        <v>0</v>
      </c>
      <c r="AG196" s="494">
        <f t="shared" ref="AG196:AG259" si="145">IF(AND(AE196=0,AF196=0),1,IF(AE196=0,0,AF196/AE196))</f>
        <v>0</v>
      </c>
      <c r="AH196" s="505">
        <f t="shared" ref="AH196:AH259" si="146">SUMIFS(_SBR_FAC,_SBR_Revenue_Month,$B196,_SBR_Rate_Category,$E196)</f>
        <v>0</v>
      </c>
      <c r="AI196" s="505">
        <f t="shared" ref="AI196:AI259" si="147">SUMIFS(_SBR_DSM,_SBR_Revenue_Month,$B196,_SBR_Rate_Category,$E196)</f>
        <v>0</v>
      </c>
      <c r="AJ196" s="505">
        <f t="shared" ref="AJ196:AJ259" si="148">SUMIFS(_SBR_ECR,_SBR_Revenue_Month,$B196,_SBR_Rate_Category,$E196)</f>
        <v>0</v>
      </c>
      <c r="AK196" s="505">
        <f t="shared" ref="AK196:AK259" si="149">SUMIFS(_SBR_MSR,_SBR_Revenue_Month,$B196,_SBR_Rate_Category,$E196)</f>
        <v>0</v>
      </c>
      <c r="AL196" s="505">
        <f t="shared" ref="AL196:AL259" si="150">SUMIFS(_SBR_CSR,_SBR_Revenue_Month,$B196,_SBR_Rate_Category,$E196)</f>
        <v>0</v>
      </c>
      <c r="AM196" s="505">
        <f t="shared" ref="AM196:AM259" si="151">SUMIFS(_SBR_Revenue_Actual,_SBR_Revenue_Month,$B196,_SBR_Rate_Category,$E196)</f>
        <v>0</v>
      </c>
      <c r="AN196" s="506">
        <f t="shared" ref="AN196:AN259" si="152">SUM(AE196,AH196:AL196)</f>
        <v>725.02</v>
      </c>
      <c r="AO196" s="507">
        <f t="shared" ref="AO196:AO259" si="153">AM196-AN196</f>
        <v>-725.02</v>
      </c>
      <c r="AP196" s="508">
        <f t="shared" ref="AP196:AP259" si="154">ROUND($J196*$U196,2)</f>
        <v>259.27</v>
      </c>
      <c r="AQ196" s="510">
        <f t="shared" ref="AQ196:AQ259" si="155">Z196-AP196</f>
        <v>390.5</v>
      </c>
      <c r="AR196" s="511"/>
      <c r="AS196" s="511"/>
      <c r="AT196" s="511"/>
      <c r="AU196" s="511"/>
      <c r="AV196" s="512">
        <f>IF(BA196&gt;BA195,AV195,IF(AV195&lt;MiscData!$F$1,EOMONTH(AV195,1),EOMONTH(AV195,-11)))</f>
        <v>42521</v>
      </c>
      <c r="AW196" s="499" t="str">
        <f t="shared" ref="AW196:AW259" si="156">CONCATENATE(AY196&amp;AZ196)</f>
        <v>20140101KURSE040</v>
      </c>
      <c r="AX196" s="513" t="str">
        <f t="shared" ref="AX196:AX259" si="157">CONCATENATE(AY196&amp;BB196)</f>
        <v>20140101RSLEV</v>
      </c>
      <c r="AY196" s="511">
        <f>IF(AV196&lt;=MiscData!$B$23,MiscData!$C$23,IF(AV196&lt;=MiscData!$B$24,MiscData!$C$24,MiscData!$C$25))</f>
        <v>20140101</v>
      </c>
      <c r="AZ196" s="511" t="str">
        <f>VLOOKUP(BA196,MiscData!$V$4:$W$42,2,FALSE)</f>
        <v>KURSE040</v>
      </c>
      <c r="BA196" s="439">
        <f>IF(BA195=MiscData!$V$42,1,BA195+1)</f>
        <v>37</v>
      </c>
      <c r="BB196" s="514" t="str">
        <f>VLOOKUP(AZ196,MiscData!$W$4:$Y$42,3,FALSE)</f>
        <v>RSLEV</v>
      </c>
    </row>
    <row r="197" spans="1:55" hidden="1">
      <c r="A197" s="498">
        <f t="shared" si="119"/>
        <v>179</v>
      </c>
      <c r="B197" s="499" t="str">
        <f t="shared" si="120"/>
        <v>May 2016</v>
      </c>
      <c r="C197" s="448" t="s">
        <v>14</v>
      </c>
      <c r="D197" s="500" t="str">
        <f t="shared" si="121"/>
        <v>RSVFD</v>
      </c>
      <c r="E197" s="500" t="str">
        <f t="shared" si="122"/>
        <v>KURSE080</v>
      </c>
      <c r="F197" s="501">
        <f t="shared" si="123"/>
        <v>0</v>
      </c>
      <c r="G197" s="501">
        <v>0</v>
      </c>
      <c r="H197" s="501">
        <v>0</v>
      </c>
      <c r="I197" s="501">
        <v>0</v>
      </c>
      <c r="J197" s="501">
        <f t="shared" si="124"/>
        <v>0</v>
      </c>
      <c r="K197" s="502">
        <f t="shared" si="125"/>
        <v>0</v>
      </c>
      <c r="L197" s="502">
        <f t="shared" si="126"/>
        <v>0</v>
      </c>
      <c r="M197" s="502">
        <f t="shared" si="127"/>
        <v>0</v>
      </c>
      <c r="N197" s="502">
        <f t="shared" si="128"/>
        <v>0</v>
      </c>
      <c r="O197" s="502">
        <f t="shared" si="129"/>
        <v>0</v>
      </c>
      <c r="P197" s="502">
        <f t="shared" si="130"/>
        <v>0</v>
      </c>
      <c r="Q197" s="503">
        <f t="shared" si="131"/>
        <v>10.75</v>
      </c>
      <c r="R197" s="504">
        <f t="shared" si="132"/>
        <v>7.7439999999999995E-2</v>
      </c>
      <c r="S197" s="504">
        <v>0</v>
      </c>
      <c r="T197" s="504">
        <v>0</v>
      </c>
      <c r="U197" s="504">
        <f t="shared" si="133"/>
        <v>2.8920000000000001E-2</v>
      </c>
      <c r="V197" s="503">
        <f t="shared" si="134"/>
        <v>0</v>
      </c>
      <c r="W197" s="503">
        <f t="shared" si="135"/>
        <v>0</v>
      </c>
      <c r="X197" s="503">
        <f t="shared" si="136"/>
        <v>0</v>
      </c>
      <c r="Y197" s="453">
        <f t="shared" si="137"/>
        <v>0</v>
      </c>
      <c r="Z197" s="453">
        <f t="shared" si="138"/>
        <v>0</v>
      </c>
      <c r="AA197" s="453">
        <f t="shared" si="139"/>
        <v>0</v>
      </c>
      <c r="AB197" s="453">
        <f t="shared" si="140"/>
        <v>0</v>
      </c>
      <c r="AC197" s="453">
        <f t="shared" si="141"/>
        <v>0</v>
      </c>
      <c r="AD197" s="493">
        <f t="shared" si="142"/>
        <v>0</v>
      </c>
      <c r="AE197" s="493">
        <f t="shared" si="143"/>
        <v>0</v>
      </c>
      <c r="AF197" s="493">
        <f t="shared" si="144"/>
        <v>0</v>
      </c>
      <c r="AG197" s="494">
        <f t="shared" si="145"/>
        <v>1</v>
      </c>
      <c r="AH197" s="505">
        <f t="shared" si="146"/>
        <v>0</v>
      </c>
      <c r="AI197" s="505">
        <f t="shared" si="147"/>
        <v>0</v>
      </c>
      <c r="AJ197" s="505">
        <f t="shared" si="148"/>
        <v>0</v>
      </c>
      <c r="AK197" s="505">
        <f t="shared" si="149"/>
        <v>0</v>
      </c>
      <c r="AL197" s="505">
        <f t="shared" si="150"/>
        <v>0</v>
      </c>
      <c r="AM197" s="505">
        <f t="shared" si="151"/>
        <v>0</v>
      </c>
      <c r="AN197" s="506">
        <f t="shared" si="152"/>
        <v>0</v>
      </c>
      <c r="AO197" s="507">
        <f t="shared" si="153"/>
        <v>0</v>
      </c>
      <c r="AP197" s="508">
        <f t="shared" si="154"/>
        <v>0</v>
      </c>
      <c r="AQ197" s="510">
        <f t="shared" si="155"/>
        <v>0</v>
      </c>
      <c r="AR197" s="511"/>
      <c r="AS197" s="511"/>
      <c r="AT197" s="511"/>
      <c r="AU197" s="511"/>
      <c r="AV197" s="512">
        <f>IF(BA197&gt;BA196,AV196,IF(AV196&lt;MiscData!$F$1,EOMONTH(AV196,1),EOMONTH(AV196,-11)))</f>
        <v>42521</v>
      </c>
      <c r="AW197" s="499" t="str">
        <f t="shared" si="156"/>
        <v>20140101KURSE080</v>
      </c>
      <c r="AX197" s="513" t="str">
        <f t="shared" si="157"/>
        <v>20140101RSVFD</v>
      </c>
      <c r="AY197" s="511">
        <f>IF(AV197&lt;=MiscData!$B$23,MiscData!$C$23,IF(AV197&lt;=MiscData!$B$24,MiscData!$C$24,MiscData!$C$25))</f>
        <v>20140101</v>
      </c>
      <c r="AZ197" s="511" t="str">
        <f>VLOOKUP(BA197,MiscData!$V$4:$W$42,2,FALSE)</f>
        <v>KURSE080</v>
      </c>
      <c r="BA197" s="439">
        <f>IF(BA196=MiscData!$V$42,1,BA196+1)</f>
        <v>38</v>
      </c>
      <c r="BB197" s="514" t="str">
        <f>VLOOKUP(AZ197,MiscData!$W$4:$Y$42,3,FALSE)</f>
        <v>RSVFD</v>
      </c>
    </row>
    <row r="198" spans="1:55" s="511" customFormat="1" hidden="1">
      <c r="A198" s="499">
        <f t="shared" si="119"/>
        <v>180</v>
      </c>
      <c r="B198" s="499" t="str">
        <f t="shared" si="120"/>
        <v>May 2016</v>
      </c>
      <c r="C198" s="499" t="s">
        <v>14</v>
      </c>
      <c r="D198" s="500" t="str">
        <f t="shared" si="121"/>
        <v>RS</v>
      </c>
      <c r="E198" s="500" t="str">
        <f t="shared" si="122"/>
        <v>KURSE715</v>
      </c>
      <c r="F198" s="501">
        <f t="shared" si="123"/>
        <v>0</v>
      </c>
      <c r="G198" s="501">
        <v>0</v>
      </c>
      <c r="H198" s="501">
        <v>0</v>
      </c>
      <c r="I198" s="501">
        <v>0</v>
      </c>
      <c r="J198" s="501">
        <f t="shared" si="124"/>
        <v>0</v>
      </c>
      <c r="K198" s="502">
        <f t="shared" si="125"/>
        <v>0</v>
      </c>
      <c r="L198" s="502">
        <f t="shared" si="126"/>
        <v>0</v>
      </c>
      <c r="M198" s="502">
        <f t="shared" si="127"/>
        <v>0</v>
      </c>
      <c r="N198" s="502">
        <f t="shared" si="128"/>
        <v>0</v>
      </c>
      <c r="O198" s="502">
        <f t="shared" si="129"/>
        <v>0</v>
      </c>
      <c r="P198" s="502">
        <f t="shared" si="130"/>
        <v>0</v>
      </c>
      <c r="Q198" s="503">
        <f t="shared" si="131"/>
        <v>10.75</v>
      </c>
      <c r="R198" s="504">
        <f t="shared" si="132"/>
        <v>7.7439999999999995E-2</v>
      </c>
      <c r="S198" s="504">
        <v>0</v>
      </c>
      <c r="T198" s="504">
        <v>0</v>
      </c>
      <c r="U198" s="504">
        <f t="shared" si="133"/>
        <v>2.8920000000000001E-2</v>
      </c>
      <c r="V198" s="503">
        <f t="shared" si="134"/>
        <v>0</v>
      </c>
      <c r="W198" s="503">
        <f t="shared" si="135"/>
        <v>0</v>
      </c>
      <c r="X198" s="503">
        <f t="shared" si="136"/>
        <v>0</v>
      </c>
      <c r="Y198" s="453">
        <f t="shared" si="137"/>
        <v>0</v>
      </c>
      <c r="Z198" s="453">
        <f t="shared" si="138"/>
        <v>0</v>
      </c>
      <c r="AA198" s="453">
        <f t="shared" si="139"/>
        <v>0</v>
      </c>
      <c r="AB198" s="453">
        <f t="shared" si="140"/>
        <v>0</v>
      </c>
      <c r="AC198" s="453">
        <f t="shared" si="141"/>
        <v>0</v>
      </c>
      <c r="AD198" s="493">
        <f t="shared" si="142"/>
        <v>0</v>
      </c>
      <c r="AE198" s="493">
        <f t="shared" si="143"/>
        <v>0</v>
      </c>
      <c r="AF198" s="493">
        <f t="shared" si="144"/>
        <v>0</v>
      </c>
      <c r="AG198" s="494">
        <f t="shared" si="145"/>
        <v>1</v>
      </c>
      <c r="AH198" s="505">
        <f t="shared" si="146"/>
        <v>0</v>
      </c>
      <c r="AI198" s="505">
        <f t="shared" si="147"/>
        <v>0</v>
      </c>
      <c r="AJ198" s="505">
        <f t="shared" si="148"/>
        <v>0</v>
      </c>
      <c r="AK198" s="505">
        <f t="shared" si="149"/>
        <v>0</v>
      </c>
      <c r="AL198" s="505">
        <f t="shared" si="150"/>
        <v>0</v>
      </c>
      <c r="AM198" s="505">
        <f t="shared" si="151"/>
        <v>0</v>
      </c>
      <c r="AN198" s="506">
        <f t="shared" si="152"/>
        <v>0</v>
      </c>
      <c r="AO198" s="507">
        <f t="shared" si="153"/>
        <v>0</v>
      </c>
      <c r="AP198" s="508">
        <f t="shared" si="154"/>
        <v>0</v>
      </c>
      <c r="AQ198" s="510">
        <f t="shared" si="155"/>
        <v>0</v>
      </c>
      <c r="AV198" s="512">
        <f>IF(BA198&gt;BA197,AV197,IF(AV197&lt;MiscData!$F$1,EOMONTH(AV197,1),EOMONTH(AV197,-11)))</f>
        <v>42521</v>
      </c>
      <c r="AW198" s="499" t="str">
        <f t="shared" si="156"/>
        <v>20140101KURSE715</v>
      </c>
      <c r="AX198" s="513" t="str">
        <f t="shared" si="157"/>
        <v>20140101RS</v>
      </c>
      <c r="AY198" s="511">
        <f>IF(AV198&lt;=MiscData!$B$23,MiscData!$C$23,IF(AV198&lt;=MiscData!$B$24,MiscData!$C$24,MiscData!$C$25))</f>
        <v>20140101</v>
      </c>
      <c r="AZ198" s="511" t="str">
        <f>VLOOKUP(BA198,MiscData!$V$4:$W$42,2,FALSE)</f>
        <v>KURSE715</v>
      </c>
      <c r="BA198" s="439">
        <f>IF(BA197=MiscData!$V$42,1,BA197+1)</f>
        <v>39</v>
      </c>
      <c r="BB198" s="511" t="str">
        <f>VLOOKUP(AZ198,MiscData!$W$4:$Y$42,3,FALSE)</f>
        <v>RS</v>
      </c>
      <c r="BC198" s="777"/>
    </row>
    <row r="199" spans="1:55" hidden="1">
      <c r="A199" s="448">
        <f t="shared" si="119"/>
        <v>181</v>
      </c>
      <c r="B199" s="448" t="str">
        <f t="shared" si="120"/>
        <v>Jun 2016</v>
      </c>
      <c r="C199" s="448" t="s">
        <v>18</v>
      </c>
      <c r="D199" s="449" t="str">
        <f t="shared" si="121"/>
        <v>RTS</v>
      </c>
      <c r="E199" s="449" t="str">
        <f t="shared" si="122"/>
        <v>KUCIE550</v>
      </c>
      <c r="F199" s="450">
        <f t="shared" si="123"/>
        <v>32</v>
      </c>
      <c r="G199" s="450">
        <v>0</v>
      </c>
      <c r="H199" s="450">
        <v>0</v>
      </c>
      <c r="I199" s="450">
        <v>0</v>
      </c>
      <c r="J199" s="450">
        <f t="shared" si="124"/>
        <v>142956521</v>
      </c>
      <c r="K199" s="482">
        <f t="shared" si="125"/>
        <v>317092</v>
      </c>
      <c r="L199" s="482">
        <f t="shared" si="126"/>
        <v>300623</v>
      </c>
      <c r="M199" s="482">
        <f t="shared" si="127"/>
        <v>296312</v>
      </c>
      <c r="N199" s="482">
        <f t="shared" si="128"/>
        <v>0</v>
      </c>
      <c r="O199" s="482">
        <f t="shared" si="129"/>
        <v>0</v>
      </c>
      <c r="P199" s="482">
        <f t="shared" si="130"/>
        <v>0</v>
      </c>
      <c r="Q199" s="451">
        <f t="shared" si="131"/>
        <v>750</v>
      </c>
      <c r="R199" s="452">
        <f t="shared" si="132"/>
        <v>3.6339999999999997E-2</v>
      </c>
      <c r="S199" s="452">
        <v>0</v>
      </c>
      <c r="T199" s="452">
        <v>0</v>
      </c>
      <c r="U199" s="452">
        <f t="shared" si="133"/>
        <v>2.8920000000000001E-2</v>
      </c>
      <c r="V199" s="451">
        <f t="shared" si="134"/>
        <v>1.34</v>
      </c>
      <c r="W199" s="451">
        <f t="shared" si="135"/>
        <v>2.87</v>
      </c>
      <c r="X199" s="451">
        <f t="shared" si="136"/>
        <v>3.97</v>
      </c>
      <c r="Y199" s="453">
        <f t="shared" si="137"/>
        <v>24000</v>
      </c>
      <c r="Z199" s="453">
        <f t="shared" si="138"/>
        <v>5195039.97</v>
      </c>
      <c r="AA199" s="453">
        <f t="shared" si="139"/>
        <v>424903.28</v>
      </c>
      <c r="AB199" s="453">
        <f t="shared" si="140"/>
        <v>862788.01</v>
      </c>
      <c r="AC199" s="453">
        <f t="shared" si="141"/>
        <v>1176358.6399999999</v>
      </c>
      <c r="AD199" s="453">
        <f t="shared" si="142"/>
        <v>2464049.9299999997</v>
      </c>
      <c r="AE199" s="493">
        <f t="shared" si="143"/>
        <v>7683089.8999999994</v>
      </c>
      <c r="AF199" s="453">
        <f t="shared" si="144"/>
        <v>7683091</v>
      </c>
      <c r="AG199" s="494">
        <f t="shared" si="145"/>
        <v>1.0000001431715644</v>
      </c>
      <c r="AH199" s="454">
        <f t="shared" si="146"/>
        <v>295052</v>
      </c>
      <c r="AI199" s="454">
        <f t="shared" si="147"/>
        <v>0</v>
      </c>
      <c r="AJ199" s="454">
        <f t="shared" si="148"/>
        <v>844279</v>
      </c>
      <c r="AK199" s="454">
        <f t="shared" si="149"/>
        <v>0</v>
      </c>
      <c r="AL199" s="454">
        <f t="shared" si="150"/>
        <v>0</v>
      </c>
      <c r="AM199" s="454">
        <f t="shared" si="151"/>
        <v>8822422</v>
      </c>
      <c r="AN199" s="491">
        <f t="shared" si="152"/>
        <v>8822420.8999999985</v>
      </c>
      <c r="AO199" s="487">
        <f t="shared" si="153"/>
        <v>1.1000000014901161</v>
      </c>
      <c r="AP199" s="495">
        <f t="shared" si="154"/>
        <v>4134302.59</v>
      </c>
      <c r="AQ199" s="496">
        <f t="shared" si="155"/>
        <v>1060737.3799999999</v>
      </c>
      <c r="AV199" s="459">
        <f>IF(BA199&gt;BA198,AV198,IF(AV198&lt;MiscData!$F$1,EOMONTH(AV198,1),EOMONTH(AV198,-11)))</f>
        <v>42551</v>
      </c>
      <c r="AW199" s="448" t="str">
        <f t="shared" si="156"/>
        <v>20140101KUCIE550</v>
      </c>
      <c r="AX199" s="457" t="str">
        <f t="shared" si="157"/>
        <v>20140101RTS</v>
      </c>
      <c r="AY199" s="439">
        <f>IF(AV199&lt;=MiscData!$B$23,MiscData!$C$23,IF(AV199&lt;=MiscData!$B$24,MiscData!$C$24,MiscData!$C$25))</f>
        <v>20140101</v>
      </c>
      <c r="AZ199" s="439" t="str">
        <f>VLOOKUP(BA199,MiscData!$V$4:$W$42,2,FALSE)</f>
        <v>KUCIE550</v>
      </c>
      <c r="BA199" s="439">
        <f>IF(BA198=MiscData!$V$42,1,BA198+1)</f>
        <v>1</v>
      </c>
      <c r="BB199" s="439" t="str">
        <f>VLOOKUP(AZ199,MiscData!$W$4:$Y$42,3,FALSE)</f>
        <v>RTS</v>
      </c>
    </row>
    <row r="200" spans="1:55" hidden="1">
      <c r="A200" s="448">
        <f t="shared" si="119"/>
        <v>182</v>
      </c>
      <c r="B200" s="448" t="str">
        <f t="shared" si="120"/>
        <v>Jun 2016</v>
      </c>
      <c r="C200" s="448" t="s">
        <v>25</v>
      </c>
      <c r="D200" s="449" t="str">
        <f t="shared" si="121"/>
        <v>PSP</v>
      </c>
      <c r="E200" s="449" t="str">
        <f t="shared" si="122"/>
        <v>KUCIE561</v>
      </c>
      <c r="F200" s="450">
        <f t="shared" si="123"/>
        <v>195</v>
      </c>
      <c r="G200" s="450">
        <v>0</v>
      </c>
      <c r="H200" s="450">
        <v>0</v>
      </c>
      <c r="I200" s="450">
        <v>0</v>
      </c>
      <c r="J200" s="450">
        <f t="shared" si="124"/>
        <v>22620251</v>
      </c>
      <c r="K200" s="482">
        <f t="shared" si="125"/>
        <v>0</v>
      </c>
      <c r="L200" s="482">
        <f t="shared" si="126"/>
        <v>0</v>
      </c>
      <c r="M200" s="482">
        <f t="shared" si="127"/>
        <v>58830</v>
      </c>
      <c r="N200" s="482">
        <f t="shared" si="128"/>
        <v>0</v>
      </c>
      <c r="O200" s="482">
        <f t="shared" si="129"/>
        <v>0</v>
      </c>
      <c r="P200" s="482">
        <f t="shared" si="130"/>
        <v>0</v>
      </c>
      <c r="Q200" s="451">
        <f t="shared" si="131"/>
        <v>170</v>
      </c>
      <c r="R200" s="452">
        <f t="shared" si="132"/>
        <v>3.5619999999999999E-2</v>
      </c>
      <c r="S200" s="452">
        <v>0</v>
      </c>
      <c r="T200" s="452">
        <v>0</v>
      </c>
      <c r="U200" s="452">
        <f t="shared" si="133"/>
        <v>2.8920000000000001E-2</v>
      </c>
      <c r="V200" s="451">
        <f t="shared" si="134"/>
        <v>0</v>
      </c>
      <c r="W200" s="451">
        <f t="shared" si="135"/>
        <v>13.18</v>
      </c>
      <c r="X200" s="451">
        <f t="shared" si="136"/>
        <v>15.28</v>
      </c>
      <c r="Y200" s="453">
        <f t="shared" si="137"/>
        <v>33150</v>
      </c>
      <c r="Z200" s="453">
        <f t="shared" si="138"/>
        <v>805733.34</v>
      </c>
      <c r="AA200" s="453">
        <f t="shared" si="139"/>
        <v>0</v>
      </c>
      <c r="AB200" s="453">
        <f t="shared" si="140"/>
        <v>0</v>
      </c>
      <c r="AC200" s="453">
        <f t="shared" si="141"/>
        <v>898922.4</v>
      </c>
      <c r="AD200" s="453">
        <f t="shared" si="142"/>
        <v>898922.4</v>
      </c>
      <c r="AE200" s="493">
        <f t="shared" si="143"/>
        <v>1737805.74</v>
      </c>
      <c r="AF200" s="453">
        <f t="shared" si="144"/>
        <v>1737810</v>
      </c>
      <c r="AG200" s="494">
        <f t="shared" si="145"/>
        <v>1.0000024513672052</v>
      </c>
      <c r="AH200" s="454">
        <f t="shared" si="146"/>
        <v>46687</v>
      </c>
      <c r="AI200" s="454">
        <f t="shared" si="147"/>
        <v>32493</v>
      </c>
      <c r="AJ200" s="454">
        <f t="shared" si="148"/>
        <v>133592</v>
      </c>
      <c r="AK200" s="454">
        <f t="shared" si="149"/>
        <v>0</v>
      </c>
      <c r="AL200" s="454">
        <f t="shared" si="150"/>
        <v>0</v>
      </c>
      <c r="AM200" s="454">
        <f t="shared" si="151"/>
        <v>1950582</v>
      </c>
      <c r="AN200" s="491">
        <f t="shared" si="152"/>
        <v>1950577.74</v>
      </c>
      <c r="AO200" s="487">
        <f t="shared" si="153"/>
        <v>4.2600000000093132</v>
      </c>
      <c r="AP200" s="495">
        <f t="shared" si="154"/>
        <v>654177.66</v>
      </c>
      <c r="AQ200" s="496">
        <f t="shared" si="155"/>
        <v>151555.67999999993</v>
      </c>
      <c r="AV200" s="459">
        <f>IF(BA200&gt;BA199,AV199,IF(AV199&lt;MiscData!$F$1,EOMONTH(AV199,1),EOMONTH(AV199,-11)))</f>
        <v>42551</v>
      </c>
      <c r="AW200" s="448" t="str">
        <f t="shared" si="156"/>
        <v>20140101KUCIE561</v>
      </c>
      <c r="AX200" s="457" t="str">
        <f t="shared" si="157"/>
        <v>20140101PSP</v>
      </c>
      <c r="AY200" s="439">
        <f>IF(AV200&lt;=MiscData!$B$23,MiscData!$C$23,IF(AV200&lt;=MiscData!$B$24,MiscData!$C$24,MiscData!$C$25))</f>
        <v>20140101</v>
      </c>
      <c r="AZ200" s="439" t="str">
        <f>VLOOKUP(BA200,MiscData!$V$4:$W$42,2,FALSE)</f>
        <v>KUCIE561</v>
      </c>
      <c r="BA200" s="439">
        <f>IF(BA199=MiscData!$V$42,1,BA199+1)</f>
        <v>2</v>
      </c>
      <c r="BB200" s="439" t="str">
        <f>VLOOKUP(AZ200,MiscData!$W$4:$Y$42,3,FALSE)</f>
        <v>PSP</v>
      </c>
    </row>
    <row r="201" spans="1:55" hidden="1">
      <c r="A201" s="448">
        <f t="shared" si="119"/>
        <v>183</v>
      </c>
      <c r="B201" s="448" t="str">
        <f t="shared" si="120"/>
        <v>Jun 2016</v>
      </c>
      <c r="C201" s="448" t="s">
        <v>24</v>
      </c>
      <c r="D201" s="449" t="str">
        <f t="shared" si="121"/>
        <v>PSS</v>
      </c>
      <c r="E201" s="449" t="str">
        <f t="shared" si="122"/>
        <v>KUCIE562</v>
      </c>
      <c r="F201" s="450">
        <f t="shared" si="123"/>
        <v>4610</v>
      </c>
      <c r="G201" s="450">
        <v>0</v>
      </c>
      <c r="H201" s="450">
        <v>0</v>
      </c>
      <c r="I201" s="450">
        <v>0</v>
      </c>
      <c r="J201" s="450">
        <f t="shared" si="124"/>
        <v>197280182</v>
      </c>
      <c r="K201" s="482">
        <f t="shared" si="125"/>
        <v>0</v>
      </c>
      <c r="L201" s="482">
        <f t="shared" si="126"/>
        <v>0</v>
      </c>
      <c r="M201" s="482">
        <f t="shared" si="127"/>
        <v>616720</v>
      </c>
      <c r="N201" s="482">
        <f t="shared" si="128"/>
        <v>0</v>
      </c>
      <c r="O201" s="482">
        <f t="shared" si="129"/>
        <v>0</v>
      </c>
      <c r="P201" s="482">
        <f t="shared" si="130"/>
        <v>0</v>
      </c>
      <c r="Q201" s="451">
        <f t="shared" si="131"/>
        <v>90</v>
      </c>
      <c r="R201" s="452">
        <f t="shared" si="132"/>
        <v>3.5640000000000005E-2</v>
      </c>
      <c r="S201" s="452">
        <v>0</v>
      </c>
      <c r="T201" s="452">
        <v>0</v>
      </c>
      <c r="U201" s="452">
        <f t="shared" si="133"/>
        <v>2.8920000000000001E-2</v>
      </c>
      <c r="V201" s="451">
        <f t="shared" si="134"/>
        <v>0</v>
      </c>
      <c r="W201" s="451">
        <f t="shared" si="135"/>
        <v>13.2</v>
      </c>
      <c r="X201" s="451">
        <f t="shared" si="136"/>
        <v>15.3</v>
      </c>
      <c r="Y201" s="453">
        <f t="shared" si="137"/>
        <v>414900</v>
      </c>
      <c r="Z201" s="453">
        <f t="shared" si="138"/>
        <v>7031065.6900000004</v>
      </c>
      <c r="AA201" s="453">
        <f t="shared" si="139"/>
        <v>0</v>
      </c>
      <c r="AB201" s="453">
        <f t="shared" si="140"/>
        <v>0</v>
      </c>
      <c r="AC201" s="453">
        <f t="shared" si="141"/>
        <v>9435816</v>
      </c>
      <c r="AD201" s="453">
        <f t="shared" si="142"/>
        <v>9435816</v>
      </c>
      <c r="AE201" s="493">
        <f t="shared" si="143"/>
        <v>16881781.690000001</v>
      </c>
      <c r="AF201" s="453">
        <f t="shared" si="144"/>
        <v>16881781</v>
      </c>
      <c r="AG201" s="494">
        <f t="shared" si="145"/>
        <v>0.99999995912753681</v>
      </c>
      <c r="AH201" s="454">
        <f t="shared" si="146"/>
        <v>407172</v>
      </c>
      <c r="AI201" s="454">
        <f t="shared" si="147"/>
        <v>283388</v>
      </c>
      <c r="AJ201" s="454">
        <f t="shared" si="148"/>
        <v>1165106</v>
      </c>
      <c r="AK201" s="454">
        <f t="shared" si="149"/>
        <v>0</v>
      </c>
      <c r="AL201" s="454">
        <f t="shared" si="150"/>
        <v>0</v>
      </c>
      <c r="AM201" s="454">
        <f t="shared" si="151"/>
        <v>18737447</v>
      </c>
      <c r="AN201" s="491">
        <f t="shared" si="152"/>
        <v>18737447.690000001</v>
      </c>
      <c r="AO201" s="487">
        <f t="shared" si="153"/>
        <v>-0.69000000134110451</v>
      </c>
      <c r="AP201" s="495">
        <f t="shared" si="154"/>
        <v>5705342.8600000003</v>
      </c>
      <c r="AQ201" s="496">
        <f t="shared" si="155"/>
        <v>1325722.83</v>
      </c>
      <c r="AV201" s="459">
        <f>IF(BA201&gt;BA200,AV200,IF(AV200&lt;MiscData!$F$1,EOMONTH(AV200,1),EOMONTH(AV200,-11)))</f>
        <v>42551</v>
      </c>
      <c r="AW201" s="448" t="str">
        <f t="shared" si="156"/>
        <v>20140101KUCIE562</v>
      </c>
      <c r="AX201" s="457" t="str">
        <f t="shared" si="157"/>
        <v>20140101PSS</v>
      </c>
      <c r="AY201" s="439">
        <f>IF(AV201&lt;=MiscData!$B$23,MiscData!$C$23,IF(AV201&lt;=MiscData!$B$24,MiscData!$C$24,MiscData!$C$25))</f>
        <v>20140101</v>
      </c>
      <c r="AZ201" s="439" t="str">
        <f>VLOOKUP(BA201,MiscData!$V$4:$W$42,2,FALSE)</f>
        <v>KUCIE562</v>
      </c>
      <c r="BA201" s="439">
        <f>IF(BA200=MiscData!$V$42,1,BA200+1)</f>
        <v>3</v>
      </c>
      <c r="BB201" s="439" t="str">
        <f>VLOOKUP(AZ201,MiscData!$W$4:$Y$42,3,FALSE)</f>
        <v>PSS</v>
      </c>
    </row>
    <row r="202" spans="1:55" hidden="1">
      <c r="A202" s="448">
        <f t="shared" si="119"/>
        <v>184</v>
      </c>
      <c r="B202" s="448" t="str">
        <f t="shared" si="120"/>
        <v>Jun 2016</v>
      </c>
      <c r="C202" s="448" t="s">
        <v>205</v>
      </c>
      <c r="D202" s="449" t="str">
        <f t="shared" si="121"/>
        <v>TODP</v>
      </c>
      <c r="E202" s="449" t="str">
        <f t="shared" si="122"/>
        <v>KUCIE563</v>
      </c>
      <c r="F202" s="450">
        <f t="shared" si="123"/>
        <v>52</v>
      </c>
      <c r="G202" s="450">
        <v>0</v>
      </c>
      <c r="H202" s="450">
        <v>0</v>
      </c>
      <c r="I202" s="450">
        <v>0</v>
      </c>
      <c r="J202" s="450">
        <f t="shared" si="124"/>
        <v>279162975</v>
      </c>
      <c r="K202" s="482">
        <f t="shared" si="125"/>
        <v>555461</v>
      </c>
      <c r="L202" s="482">
        <f t="shared" si="126"/>
        <v>531147</v>
      </c>
      <c r="M202" s="482">
        <f t="shared" si="127"/>
        <v>525545</v>
      </c>
      <c r="N202" s="482">
        <f t="shared" si="128"/>
        <v>0</v>
      </c>
      <c r="O202" s="482">
        <f t="shared" si="129"/>
        <v>0</v>
      </c>
      <c r="P202" s="482">
        <f t="shared" si="130"/>
        <v>0</v>
      </c>
      <c r="Q202" s="451">
        <f t="shared" si="131"/>
        <v>300</v>
      </c>
      <c r="R202" s="452">
        <f t="shared" si="132"/>
        <v>3.7650000000000003E-2</v>
      </c>
      <c r="S202" s="452">
        <v>0</v>
      </c>
      <c r="T202" s="452">
        <v>0</v>
      </c>
      <c r="U202" s="452">
        <f t="shared" si="133"/>
        <v>2.8920000000000001E-2</v>
      </c>
      <c r="V202" s="451">
        <f t="shared" si="134"/>
        <v>1.71</v>
      </c>
      <c r="W202" s="451">
        <f t="shared" si="135"/>
        <v>2.76</v>
      </c>
      <c r="X202" s="451">
        <f t="shared" si="136"/>
        <v>4.26</v>
      </c>
      <c r="Y202" s="453">
        <f t="shared" si="137"/>
        <v>15600</v>
      </c>
      <c r="Z202" s="453">
        <f t="shared" si="138"/>
        <v>10510486.01</v>
      </c>
      <c r="AA202" s="453">
        <f t="shared" si="139"/>
        <v>949838.31</v>
      </c>
      <c r="AB202" s="453">
        <f t="shared" si="140"/>
        <v>1465965.72</v>
      </c>
      <c r="AC202" s="453">
        <f t="shared" si="141"/>
        <v>2238821.7000000002</v>
      </c>
      <c r="AD202" s="453">
        <f t="shared" si="142"/>
        <v>4654625.7300000004</v>
      </c>
      <c r="AE202" s="493">
        <f t="shared" si="143"/>
        <v>15180711.740000002</v>
      </c>
      <c r="AF202" s="453">
        <f t="shared" si="144"/>
        <v>15180710</v>
      </c>
      <c r="AG202" s="494">
        <f t="shared" si="145"/>
        <v>0.99999988538086804</v>
      </c>
      <c r="AH202" s="454">
        <f t="shared" si="146"/>
        <v>576172</v>
      </c>
      <c r="AI202" s="454">
        <f t="shared" si="147"/>
        <v>401010</v>
      </c>
      <c r="AJ202" s="454">
        <f t="shared" si="148"/>
        <v>1648694</v>
      </c>
      <c r="AK202" s="454">
        <f t="shared" si="149"/>
        <v>0</v>
      </c>
      <c r="AL202" s="454">
        <f t="shared" si="150"/>
        <v>0</v>
      </c>
      <c r="AM202" s="454">
        <f t="shared" si="151"/>
        <v>17806586</v>
      </c>
      <c r="AN202" s="491">
        <f t="shared" si="152"/>
        <v>17806587.740000002</v>
      </c>
      <c r="AO202" s="487">
        <f t="shared" si="153"/>
        <v>-1.7400000020861626</v>
      </c>
      <c r="AP202" s="495">
        <f t="shared" si="154"/>
        <v>8073393.2400000002</v>
      </c>
      <c r="AQ202" s="496">
        <f t="shared" si="155"/>
        <v>2437092.7699999996</v>
      </c>
      <c r="AV202" s="459">
        <f>IF(BA202&gt;BA201,AV201,IF(AV201&lt;MiscData!$F$1,EOMONTH(AV201,1),EOMONTH(AV201,-11)))</f>
        <v>42551</v>
      </c>
      <c r="AW202" s="448" t="str">
        <f t="shared" si="156"/>
        <v>20140101KUCIE563</v>
      </c>
      <c r="AX202" s="457" t="str">
        <f t="shared" si="157"/>
        <v>20140101TODP</v>
      </c>
      <c r="AY202" s="439">
        <f>IF(AV202&lt;=MiscData!$B$23,MiscData!$C$23,IF(AV202&lt;=MiscData!$B$24,MiscData!$C$24,MiscData!$C$25))</f>
        <v>20140101</v>
      </c>
      <c r="AZ202" s="439" t="str">
        <f>VLOOKUP(BA202,MiscData!$V$4:$W$42,2,FALSE)</f>
        <v>KUCIE563</v>
      </c>
      <c r="BA202" s="439">
        <f>IF(BA201=MiscData!$V$42,1,BA201+1)</f>
        <v>4</v>
      </c>
      <c r="BB202" s="439" t="str">
        <f>VLOOKUP(AZ202,MiscData!$W$4:$Y$42,3,FALSE)</f>
        <v>TODP</v>
      </c>
    </row>
    <row r="203" spans="1:55" hidden="1">
      <c r="A203" s="448">
        <f t="shared" si="119"/>
        <v>185</v>
      </c>
      <c r="B203" s="448" t="str">
        <f t="shared" si="120"/>
        <v>Jun 2016</v>
      </c>
      <c r="C203" s="448" t="s">
        <v>25</v>
      </c>
      <c r="D203" s="449" t="str">
        <f t="shared" si="121"/>
        <v>PSP</v>
      </c>
      <c r="E203" s="449" t="str">
        <f t="shared" si="122"/>
        <v>KUCIE566</v>
      </c>
      <c r="F203" s="450">
        <f t="shared" si="123"/>
        <v>0</v>
      </c>
      <c r="G203" s="450">
        <v>0</v>
      </c>
      <c r="H203" s="450">
        <v>0</v>
      </c>
      <c r="I203" s="450">
        <v>0</v>
      </c>
      <c r="J203" s="450">
        <f t="shared" si="124"/>
        <v>0</v>
      </c>
      <c r="K203" s="482">
        <f t="shared" si="125"/>
        <v>0</v>
      </c>
      <c r="L203" s="482">
        <f t="shared" si="126"/>
        <v>0</v>
      </c>
      <c r="M203" s="482">
        <f t="shared" si="127"/>
        <v>0</v>
      </c>
      <c r="N203" s="482">
        <f t="shared" si="128"/>
        <v>0</v>
      </c>
      <c r="O203" s="482">
        <f t="shared" si="129"/>
        <v>0</v>
      </c>
      <c r="P203" s="482">
        <f t="shared" si="130"/>
        <v>0</v>
      </c>
      <c r="Q203" s="451">
        <f t="shared" si="131"/>
        <v>170</v>
      </c>
      <c r="R203" s="452">
        <f t="shared" si="132"/>
        <v>3.5619999999999999E-2</v>
      </c>
      <c r="S203" s="452">
        <v>0</v>
      </c>
      <c r="T203" s="452">
        <v>0</v>
      </c>
      <c r="U203" s="452">
        <f t="shared" si="133"/>
        <v>2.8920000000000001E-2</v>
      </c>
      <c r="V203" s="451">
        <f t="shared" si="134"/>
        <v>0</v>
      </c>
      <c r="W203" s="451">
        <f t="shared" si="135"/>
        <v>13.18</v>
      </c>
      <c r="X203" s="451">
        <f t="shared" si="136"/>
        <v>15.28</v>
      </c>
      <c r="Y203" s="453">
        <f t="shared" si="137"/>
        <v>0</v>
      </c>
      <c r="Z203" s="453">
        <f t="shared" si="138"/>
        <v>0</v>
      </c>
      <c r="AA203" s="453">
        <f t="shared" si="139"/>
        <v>0</v>
      </c>
      <c r="AB203" s="453">
        <f t="shared" si="140"/>
        <v>0</v>
      </c>
      <c r="AC203" s="453">
        <f t="shared" si="141"/>
        <v>0</v>
      </c>
      <c r="AD203" s="453">
        <f t="shared" si="142"/>
        <v>0</v>
      </c>
      <c r="AE203" s="493">
        <f t="shared" si="143"/>
        <v>0</v>
      </c>
      <c r="AF203" s="453">
        <f t="shared" si="144"/>
        <v>0</v>
      </c>
      <c r="AG203" s="494">
        <f t="shared" si="145"/>
        <v>1</v>
      </c>
      <c r="AH203" s="454">
        <f t="shared" si="146"/>
        <v>0</v>
      </c>
      <c r="AI203" s="454">
        <f t="shared" si="147"/>
        <v>0</v>
      </c>
      <c r="AJ203" s="454">
        <f t="shared" si="148"/>
        <v>0</v>
      </c>
      <c r="AK203" s="454">
        <f t="shared" si="149"/>
        <v>0</v>
      </c>
      <c r="AL203" s="454">
        <f t="shared" si="150"/>
        <v>0</v>
      </c>
      <c r="AM203" s="454">
        <f t="shared" si="151"/>
        <v>0</v>
      </c>
      <c r="AN203" s="491">
        <f t="shared" si="152"/>
        <v>0</v>
      </c>
      <c r="AO203" s="487">
        <f t="shared" si="153"/>
        <v>0</v>
      </c>
      <c r="AP203" s="495">
        <f t="shared" si="154"/>
        <v>0</v>
      </c>
      <c r="AQ203" s="496">
        <f t="shared" si="155"/>
        <v>0</v>
      </c>
      <c r="AV203" s="459">
        <f>IF(BA203&gt;BA202,AV202,IF(AV202&lt;MiscData!$F$1,EOMONTH(AV202,1),EOMONTH(AV202,-11)))</f>
        <v>42551</v>
      </c>
      <c r="AW203" s="448" t="str">
        <f t="shared" si="156"/>
        <v>20140101KUCIE566</v>
      </c>
      <c r="AX203" s="457" t="str">
        <f t="shared" si="157"/>
        <v>20140101PSP</v>
      </c>
      <c r="AY203" s="439">
        <f>IF(AV203&lt;=MiscData!$B$23,MiscData!$C$23,IF(AV203&lt;=MiscData!$B$24,MiscData!$C$24,MiscData!$C$25))</f>
        <v>20140101</v>
      </c>
      <c r="AZ203" s="439" t="str">
        <f>VLOOKUP(BA203,MiscData!$V$4:$W$42,2,FALSE)</f>
        <v>KUCIE566</v>
      </c>
      <c r="BA203" s="439">
        <f>IF(BA202=MiscData!$V$42,1,BA202+1)</f>
        <v>5</v>
      </c>
      <c r="BB203" s="439" t="str">
        <f>VLOOKUP(AZ203,MiscData!$W$4:$Y$42,3,FALSE)</f>
        <v>PSP</v>
      </c>
    </row>
    <row r="204" spans="1:55" hidden="1">
      <c r="A204" s="448">
        <f t="shared" si="119"/>
        <v>186</v>
      </c>
      <c r="B204" s="448" t="str">
        <f t="shared" si="120"/>
        <v>Jun 2016</v>
      </c>
      <c r="C204" s="448" t="s">
        <v>24</v>
      </c>
      <c r="D204" s="449" t="str">
        <f t="shared" si="121"/>
        <v>PSS</v>
      </c>
      <c r="E204" s="449" t="str">
        <f t="shared" si="122"/>
        <v>KUCIE568</v>
      </c>
      <c r="F204" s="450">
        <f t="shared" si="123"/>
        <v>0</v>
      </c>
      <c r="G204" s="450">
        <v>0</v>
      </c>
      <c r="H204" s="450">
        <v>0</v>
      </c>
      <c r="I204" s="450">
        <v>0</v>
      </c>
      <c r="J204" s="450">
        <f t="shared" si="124"/>
        <v>0</v>
      </c>
      <c r="K204" s="482">
        <f t="shared" si="125"/>
        <v>0</v>
      </c>
      <c r="L204" s="482">
        <f t="shared" si="126"/>
        <v>0</v>
      </c>
      <c r="M204" s="482">
        <f t="shared" si="127"/>
        <v>0</v>
      </c>
      <c r="N204" s="482">
        <f t="shared" si="128"/>
        <v>0</v>
      </c>
      <c r="O204" s="482">
        <f t="shared" si="129"/>
        <v>0</v>
      </c>
      <c r="P204" s="482">
        <f t="shared" si="130"/>
        <v>0</v>
      </c>
      <c r="Q204" s="451">
        <f t="shared" si="131"/>
        <v>90</v>
      </c>
      <c r="R204" s="452">
        <f t="shared" si="132"/>
        <v>3.5640000000000005E-2</v>
      </c>
      <c r="S204" s="452">
        <v>0</v>
      </c>
      <c r="T204" s="452">
        <v>0</v>
      </c>
      <c r="U204" s="452">
        <f t="shared" si="133"/>
        <v>2.8920000000000001E-2</v>
      </c>
      <c r="V204" s="451">
        <f t="shared" si="134"/>
        <v>0</v>
      </c>
      <c r="W204" s="451">
        <f t="shared" si="135"/>
        <v>13.2</v>
      </c>
      <c r="X204" s="451">
        <f t="shared" si="136"/>
        <v>15.3</v>
      </c>
      <c r="Y204" s="453">
        <f t="shared" si="137"/>
        <v>0</v>
      </c>
      <c r="Z204" s="453">
        <f t="shared" si="138"/>
        <v>0</v>
      </c>
      <c r="AA204" s="453">
        <f t="shared" si="139"/>
        <v>0</v>
      </c>
      <c r="AB204" s="453">
        <f t="shared" si="140"/>
        <v>0</v>
      </c>
      <c r="AC204" s="453">
        <f t="shared" si="141"/>
        <v>0</v>
      </c>
      <c r="AD204" s="453">
        <f t="shared" si="142"/>
        <v>0</v>
      </c>
      <c r="AE204" s="493">
        <f t="shared" si="143"/>
        <v>0</v>
      </c>
      <c r="AF204" s="453">
        <f t="shared" si="144"/>
        <v>0</v>
      </c>
      <c r="AG204" s="494">
        <f t="shared" si="145"/>
        <v>1</v>
      </c>
      <c r="AH204" s="454">
        <f t="shared" si="146"/>
        <v>0</v>
      </c>
      <c r="AI204" s="454">
        <f t="shared" si="147"/>
        <v>0</v>
      </c>
      <c r="AJ204" s="454">
        <f t="shared" si="148"/>
        <v>0</v>
      </c>
      <c r="AK204" s="454">
        <f t="shared" si="149"/>
        <v>0</v>
      </c>
      <c r="AL204" s="454">
        <f t="shared" si="150"/>
        <v>0</v>
      </c>
      <c r="AM204" s="454">
        <f t="shared" si="151"/>
        <v>0</v>
      </c>
      <c r="AN204" s="491">
        <f t="shared" si="152"/>
        <v>0</v>
      </c>
      <c r="AO204" s="487">
        <f t="shared" si="153"/>
        <v>0</v>
      </c>
      <c r="AP204" s="495">
        <f t="shared" si="154"/>
        <v>0</v>
      </c>
      <c r="AQ204" s="496">
        <f t="shared" si="155"/>
        <v>0</v>
      </c>
      <c r="AV204" s="459">
        <f>IF(BA204&gt;BA203,AV203,IF(AV203&lt;MiscData!$F$1,EOMONTH(AV203,1),EOMONTH(AV203,-11)))</f>
        <v>42551</v>
      </c>
      <c r="AW204" s="448" t="str">
        <f t="shared" si="156"/>
        <v>20140101KUCIE568</v>
      </c>
      <c r="AX204" s="457" t="str">
        <f t="shared" si="157"/>
        <v>20140101PSS</v>
      </c>
      <c r="AY204" s="439">
        <f>IF(AV204&lt;=MiscData!$B$23,MiscData!$C$23,IF(AV204&lt;=MiscData!$B$24,MiscData!$C$24,MiscData!$C$25))</f>
        <v>20140101</v>
      </c>
      <c r="AZ204" s="439" t="str">
        <f>VLOOKUP(BA204,MiscData!$V$4:$W$42,2,FALSE)</f>
        <v>KUCIE568</v>
      </c>
      <c r="BA204" s="439">
        <f>IF(BA203=MiscData!$V$42,1,BA203+1)</f>
        <v>6</v>
      </c>
      <c r="BB204" s="439" t="str">
        <f>VLOOKUP(AZ204,MiscData!$W$4:$Y$42,3,FALSE)</f>
        <v>PSS</v>
      </c>
    </row>
    <row r="205" spans="1:55" hidden="1">
      <c r="A205" s="448">
        <f t="shared" si="119"/>
        <v>187</v>
      </c>
      <c r="B205" s="448" t="str">
        <f t="shared" si="120"/>
        <v>Jun 2016</v>
      </c>
      <c r="C205" s="448" t="s">
        <v>205</v>
      </c>
      <c r="D205" s="449" t="str">
        <f t="shared" si="121"/>
        <v>TODP</v>
      </c>
      <c r="E205" s="449" t="str">
        <f t="shared" si="122"/>
        <v>KUCIE571</v>
      </c>
      <c r="F205" s="450">
        <f t="shared" si="123"/>
        <v>211</v>
      </c>
      <c r="G205" s="450">
        <v>0</v>
      </c>
      <c r="H205" s="450">
        <v>0</v>
      </c>
      <c r="I205" s="450">
        <v>0</v>
      </c>
      <c r="J205" s="450">
        <f t="shared" si="124"/>
        <v>116178634</v>
      </c>
      <c r="K205" s="482">
        <f t="shared" si="125"/>
        <v>279639</v>
      </c>
      <c r="L205" s="482">
        <f t="shared" si="126"/>
        <v>268078</v>
      </c>
      <c r="M205" s="482">
        <f t="shared" si="127"/>
        <v>262859</v>
      </c>
      <c r="N205" s="482">
        <f t="shared" si="128"/>
        <v>0</v>
      </c>
      <c r="O205" s="482">
        <f t="shared" si="129"/>
        <v>0</v>
      </c>
      <c r="P205" s="482">
        <f t="shared" si="130"/>
        <v>0</v>
      </c>
      <c r="Q205" s="451">
        <f t="shared" si="131"/>
        <v>300</v>
      </c>
      <c r="R205" s="452">
        <f t="shared" si="132"/>
        <v>3.7650000000000003E-2</v>
      </c>
      <c r="S205" s="452">
        <v>0</v>
      </c>
      <c r="T205" s="452">
        <v>0</v>
      </c>
      <c r="U205" s="452">
        <f t="shared" si="133"/>
        <v>2.8920000000000001E-2</v>
      </c>
      <c r="V205" s="451">
        <f t="shared" si="134"/>
        <v>1.71</v>
      </c>
      <c r="W205" s="451">
        <f t="shared" si="135"/>
        <v>2.76</v>
      </c>
      <c r="X205" s="451">
        <f t="shared" si="136"/>
        <v>4.26</v>
      </c>
      <c r="Y205" s="453">
        <f t="shared" si="137"/>
        <v>63300</v>
      </c>
      <c r="Z205" s="453">
        <f t="shared" si="138"/>
        <v>4374125.57</v>
      </c>
      <c r="AA205" s="453">
        <f t="shared" si="139"/>
        <v>478182.69</v>
      </c>
      <c r="AB205" s="453">
        <f t="shared" si="140"/>
        <v>739895.28</v>
      </c>
      <c r="AC205" s="453">
        <f t="shared" si="141"/>
        <v>1119779.3400000001</v>
      </c>
      <c r="AD205" s="453">
        <f t="shared" si="142"/>
        <v>2337857.31</v>
      </c>
      <c r="AE205" s="493">
        <f t="shared" si="143"/>
        <v>6775282.8800000008</v>
      </c>
      <c r="AF205" s="453">
        <f t="shared" si="144"/>
        <v>6775284</v>
      </c>
      <c r="AG205" s="494">
        <f t="shared" si="145"/>
        <v>1.000000165306751</v>
      </c>
      <c r="AH205" s="454">
        <f t="shared" si="146"/>
        <v>239784</v>
      </c>
      <c r="AI205" s="454">
        <f t="shared" si="147"/>
        <v>166888</v>
      </c>
      <c r="AJ205" s="454">
        <f t="shared" si="148"/>
        <v>686133</v>
      </c>
      <c r="AK205" s="454">
        <f t="shared" si="149"/>
        <v>0</v>
      </c>
      <c r="AL205" s="454">
        <f t="shared" si="150"/>
        <v>0</v>
      </c>
      <c r="AM205" s="454">
        <f t="shared" si="151"/>
        <v>7868089</v>
      </c>
      <c r="AN205" s="491">
        <f t="shared" si="152"/>
        <v>7868087.8800000008</v>
      </c>
      <c r="AO205" s="487">
        <f t="shared" si="153"/>
        <v>1.1199999991804361</v>
      </c>
      <c r="AP205" s="495">
        <f t="shared" si="154"/>
        <v>3359886.1</v>
      </c>
      <c r="AQ205" s="496">
        <f t="shared" si="155"/>
        <v>1014239.4700000002</v>
      </c>
      <c r="AV205" s="459">
        <f>IF(BA205&gt;BA204,AV204,IF(AV204&lt;MiscData!$F$1,EOMONTH(AV204,1),EOMONTH(AV204,-11)))</f>
        <v>42551</v>
      </c>
      <c r="AW205" s="448" t="str">
        <f t="shared" si="156"/>
        <v>20140101KUCIE571</v>
      </c>
      <c r="AX205" s="457" t="str">
        <f t="shared" si="157"/>
        <v>20140101TODP</v>
      </c>
      <c r="AY205" s="439">
        <f>IF(AV205&lt;=MiscData!$B$23,MiscData!$C$23,IF(AV205&lt;=MiscData!$B$24,MiscData!$C$24,MiscData!$C$25))</f>
        <v>20140101</v>
      </c>
      <c r="AZ205" s="439" t="str">
        <f>VLOOKUP(BA205,MiscData!$V$4:$W$42,2,FALSE)</f>
        <v>KUCIE571</v>
      </c>
      <c r="BA205" s="439">
        <f>IF(BA204=MiscData!$V$42,1,BA204+1)</f>
        <v>7</v>
      </c>
      <c r="BB205" s="439" t="str">
        <f>VLOOKUP(AZ205,MiscData!$W$4:$Y$42,3,FALSE)</f>
        <v>TODP</v>
      </c>
    </row>
    <row r="206" spans="1:55" hidden="1">
      <c r="A206" s="448">
        <f t="shared" si="119"/>
        <v>188</v>
      </c>
      <c r="B206" s="448" t="str">
        <f t="shared" si="120"/>
        <v>Jun 2016</v>
      </c>
      <c r="C206" s="448" t="s">
        <v>204</v>
      </c>
      <c r="D206" s="449" t="str">
        <f t="shared" si="121"/>
        <v>TODS</v>
      </c>
      <c r="E206" s="449" t="str">
        <f t="shared" si="122"/>
        <v>KUCIE572</v>
      </c>
      <c r="F206" s="450">
        <f t="shared" si="123"/>
        <v>472</v>
      </c>
      <c r="G206" s="450">
        <v>0</v>
      </c>
      <c r="H206" s="450">
        <v>0</v>
      </c>
      <c r="I206" s="450">
        <v>0</v>
      </c>
      <c r="J206" s="450">
        <f t="shared" si="124"/>
        <v>150027765</v>
      </c>
      <c r="K206" s="482">
        <f t="shared" si="125"/>
        <v>350157</v>
      </c>
      <c r="L206" s="482">
        <f t="shared" si="126"/>
        <v>326915</v>
      </c>
      <c r="M206" s="482">
        <f t="shared" si="127"/>
        <v>320552</v>
      </c>
      <c r="N206" s="482">
        <f t="shared" si="128"/>
        <v>0</v>
      </c>
      <c r="O206" s="482">
        <f t="shared" si="129"/>
        <v>0</v>
      </c>
      <c r="P206" s="482">
        <f t="shared" si="130"/>
        <v>0</v>
      </c>
      <c r="Q206" s="451">
        <f t="shared" si="131"/>
        <v>200</v>
      </c>
      <c r="R206" s="452">
        <f t="shared" si="132"/>
        <v>3.773E-2</v>
      </c>
      <c r="S206" s="452">
        <v>0</v>
      </c>
      <c r="T206" s="452">
        <v>0</v>
      </c>
      <c r="U206" s="452">
        <f t="shared" si="133"/>
        <v>2.8920000000000001E-2</v>
      </c>
      <c r="V206" s="451">
        <f t="shared" si="134"/>
        <v>3.62</v>
      </c>
      <c r="W206" s="451">
        <f t="shared" si="135"/>
        <v>2.95</v>
      </c>
      <c r="X206" s="451">
        <f t="shared" si="136"/>
        <v>4.55</v>
      </c>
      <c r="Y206" s="453">
        <f t="shared" si="137"/>
        <v>94400</v>
      </c>
      <c r="Z206" s="453">
        <f t="shared" si="138"/>
        <v>5660547.5700000003</v>
      </c>
      <c r="AA206" s="453">
        <f t="shared" si="139"/>
        <v>1267568.3400000001</v>
      </c>
      <c r="AB206" s="453">
        <f t="shared" si="140"/>
        <v>964399.25</v>
      </c>
      <c r="AC206" s="453">
        <f t="shared" si="141"/>
        <v>1458511.6</v>
      </c>
      <c r="AD206" s="453">
        <f t="shared" si="142"/>
        <v>3690479.19</v>
      </c>
      <c r="AE206" s="493">
        <f t="shared" si="143"/>
        <v>9445426.7599999998</v>
      </c>
      <c r="AF206" s="453">
        <f t="shared" si="144"/>
        <v>9445426</v>
      </c>
      <c r="AG206" s="494">
        <f t="shared" si="145"/>
        <v>0.99999991953778067</v>
      </c>
      <c r="AH206" s="454">
        <f t="shared" si="146"/>
        <v>309646</v>
      </c>
      <c r="AI206" s="454">
        <f t="shared" si="147"/>
        <v>215511</v>
      </c>
      <c r="AJ206" s="454">
        <f t="shared" si="148"/>
        <v>886041</v>
      </c>
      <c r="AK206" s="454">
        <f t="shared" si="149"/>
        <v>0</v>
      </c>
      <c r="AL206" s="454">
        <f t="shared" si="150"/>
        <v>0</v>
      </c>
      <c r="AM206" s="454">
        <f t="shared" si="151"/>
        <v>10856624</v>
      </c>
      <c r="AN206" s="491">
        <f t="shared" si="152"/>
        <v>10856624.76</v>
      </c>
      <c r="AO206" s="487">
        <f t="shared" si="153"/>
        <v>-0.75999999977648258</v>
      </c>
      <c r="AP206" s="495">
        <f t="shared" si="154"/>
        <v>4338802.96</v>
      </c>
      <c r="AQ206" s="496">
        <f t="shared" si="155"/>
        <v>1321744.6100000003</v>
      </c>
      <c r="AV206" s="459">
        <f>IF(BA206&gt;BA205,AV205,IF(AV205&lt;MiscData!$F$1,EOMONTH(AV205,1),EOMONTH(AV205,-11)))</f>
        <v>42551</v>
      </c>
      <c r="AW206" s="448" t="str">
        <f t="shared" si="156"/>
        <v>20140101KUCIE572</v>
      </c>
      <c r="AX206" s="457" t="str">
        <f t="shared" si="157"/>
        <v>20140101TODS</v>
      </c>
      <c r="AY206" s="439">
        <f>IF(AV206&lt;=MiscData!$B$23,MiscData!$C$23,IF(AV206&lt;=MiscData!$B$24,MiscData!$C$24,MiscData!$C$25))</f>
        <v>20140101</v>
      </c>
      <c r="AZ206" s="439" t="str">
        <f>VLOOKUP(BA206,MiscData!$V$4:$W$42,2,FALSE)</f>
        <v>KUCIE572</v>
      </c>
      <c r="BA206" s="439">
        <f>IF(BA205=MiscData!$V$42,1,BA205+1)</f>
        <v>8</v>
      </c>
      <c r="BB206" s="439" t="str">
        <f>VLOOKUP(AZ206,MiscData!$W$4:$Y$42,3,FALSE)</f>
        <v>TODS</v>
      </c>
    </row>
    <row r="207" spans="1:55" hidden="1">
      <c r="A207" s="448">
        <f t="shared" si="119"/>
        <v>189</v>
      </c>
      <c r="B207" s="448" t="str">
        <f t="shared" si="120"/>
        <v>Jun 2016</v>
      </c>
      <c r="C207" s="448" t="s">
        <v>24</v>
      </c>
      <c r="D207" s="449" t="str">
        <f t="shared" si="121"/>
        <v>PSS</v>
      </c>
      <c r="E207" s="449" t="str">
        <f t="shared" si="122"/>
        <v>KUCIE717</v>
      </c>
      <c r="F207" s="450">
        <f t="shared" si="123"/>
        <v>0</v>
      </c>
      <c r="G207" s="450">
        <v>0</v>
      </c>
      <c r="H207" s="450">
        <v>0</v>
      </c>
      <c r="I207" s="450">
        <v>0</v>
      </c>
      <c r="J207" s="450">
        <f t="shared" si="124"/>
        <v>0</v>
      </c>
      <c r="K207" s="482">
        <f t="shared" si="125"/>
        <v>0</v>
      </c>
      <c r="L207" s="482">
        <f t="shared" si="126"/>
        <v>0</v>
      </c>
      <c r="M207" s="482">
        <f t="shared" si="127"/>
        <v>0</v>
      </c>
      <c r="N207" s="482">
        <f t="shared" si="128"/>
        <v>0</v>
      </c>
      <c r="O207" s="482">
        <f t="shared" si="129"/>
        <v>0</v>
      </c>
      <c r="P207" s="482">
        <f t="shared" si="130"/>
        <v>0</v>
      </c>
      <c r="Q207" s="451">
        <f t="shared" si="131"/>
        <v>90</v>
      </c>
      <c r="R207" s="452">
        <f t="shared" si="132"/>
        <v>3.5640000000000005E-2</v>
      </c>
      <c r="S207" s="452">
        <v>0</v>
      </c>
      <c r="T207" s="452">
        <v>0</v>
      </c>
      <c r="U207" s="452">
        <f t="shared" si="133"/>
        <v>2.8920000000000001E-2</v>
      </c>
      <c r="V207" s="451">
        <f t="shared" si="134"/>
        <v>0</v>
      </c>
      <c r="W207" s="451">
        <f t="shared" si="135"/>
        <v>13.2</v>
      </c>
      <c r="X207" s="451">
        <f t="shared" si="136"/>
        <v>15.3</v>
      </c>
      <c r="Y207" s="453">
        <f t="shared" si="137"/>
        <v>0</v>
      </c>
      <c r="Z207" s="453">
        <f t="shared" si="138"/>
        <v>0</v>
      </c>
      <c r="AA207" s="453">
        <f t="shared" si="139"/>
        <v>0</v>
      </c>
      <c r="AB207" s="453">
        <f t="shared" si="140"/>
        <v>0</v>
      </c>
      <c r="AC207" s="453">
        <f t="shared" si="141"/>
        <v>0</v>
      </c>
      <c r="AD207" s="453">
        <f t="shared" si="142"/>
        <v>0</v>
      </c>
      <c r="AE207" s="493">
        <f t="shared" si="143"/>
        <v>0</v>
      </c>
      <c r="AF207" s="453">
        <f t="shared" si="144"/>
        <v>0</v>
      </c>
      <c r="AG207" s="494">
        <f t="shared" si="145"/>
        <v>1</v>
      </c>
      <c r="AH207" s="454">
        <f t="shared" si="146"/>
        <v>0</v>
      </c>
      <c r="AI207" s="454">
        <f t="shared" si="147"/>
        <v>0</v>
      </c>
      <c r="AJ207" s="454">
        <f t="shared" si="148"/>
        <v>0</v>
      </c>
      <c r="AK207" s="454">
        <f t="shared" si="149"/>
        <v>0</v>
      </c>
      <c r="AL207" s="454">
        <f t="shared" si="150"/>
        <v>0</v>
      </c>
      <c r="AM207" s="454">
        <f t="shared" si="151"/>
        <v>0</v>
      </c>
      <c r="AN207" s="491">
        <f t="shared" si="152"/>
        <v>0</v>
      </c>
      <c r="AO207" s="487">
        <f t="shared" si="153"/>
        <v>0</v>
      </c>
      <c r="AP207" s="495">
        <f t="shared" si="154"/>
        <v>0</v>
      </c>
      <c r="AQ207" s="496">
        <f t="shared" si="155"/>
        <v>0</v>
      </c>
      <c r="AV207" s="459">
        <f>IF(BA207&gt;BA206,AV206,IF(AV206&lt;MiscData!$F$1,EOMONTH(AV206,1),EOMONTH(AV206,-11)))</f>
        <v>42551</v>
      </c>
      <c r="AW207" s="448" t="str">
        <f t="shared" si="156"/>
        <v>20140101KUCIE717</v>
      </c>
      <c r="AX207" s="457" t="str">
        <f t="shared" si="157"/>
        <v>20140101PSS</v>
      </c>
      <c r="AY207" s="439">
        <f>IF(AV207&lt;=MiscData!$B$23,MiscData!$C$23,IF(AV207&lt;=MiscData!$B$24,MiscData!$C$24,MiscData!$C$25))</f>
        <v>20140101</v>
      </c>
      <c r="AZ207" s="439" t="str">
        <f>VLOOKUP(BA207,MiscData!$V$4:$W$42,2,FALSE)</f>
        <v>KUCIE717</v>
      </c>
      <c r="BA207" s="439">
        <f>IF(BA206=MiscData!$V$42,1,BA206+1)</f>
        <v>9</v>
      </c>
      <c r="BB207" s="439" t="str">
        <f>VLOOKUP(AZ207,MiscData!$W$4:$Y$42,3,FALSE)</f>
        <v>PSS</v>
      </c>
    </row>
    <row r="208" spans="1:55">
      <c r="A208" s="499">
        <f t="shared" si="119"/>
        <v>190</v>
      </c>
      <c r="B208" s="448" t="str">
        <f t="shared" si="120"/>
        <v>Jun 2016</v>
      </c>
      <c r="C208" s="448" t="s">
        <v>208</v>
      </c>
      <c r="D208" s="449" t="str">
        <f t="shared" si="121"/>
        <v>GS</v>
      </c>
      <c r="E208" s="449" t="str">
        <f t="shared" si="122"/>
        <v>KUCME110</v>
      </c>
      <c r="F208" s="450">
        <f t="shared" si="123"/>
        <v>63576</v>
      </c>
      <c r="G208" s="450">
        <v>0</v>
      </c>
      <c r="H208" s="450">
        <v>0</v>
      </c>
      <c r="I208" s="450">
        <v>0</v>
      </c>
      <c r="J208" s="450">
        <f t="shared" si="124"/>
        <v>67544147</v>
      </c>
      <c r="K208" s="482">
        <f t="shared" si="125"/>
        <v>0</v>
      </c>
      <c r="L208" s="482">
        <f t="shared" si="126"/>
        <v>0</v>
      </c>
      <c r="M208" s="482">
        <f t="shared" si="127"/>
        <v>0</v>
      </c>
      <c r="N208" s="482">
        <f t="shared" si="128"/>
        <v>0</v>
      </c>
      <c r="O208" s="482">
        <f t="shared" si="129"/>
        <v>0</v>
      </c>
      <c r="P208" s="482">
        <f t="shared" si="130"/>
        <v>0</v>
      </c>
      <c r="Q208" s="451">
        <f t="shared" si="131"/>
        <v>20</v>
      </c>
      <c r="R208" s="452">
        <f t="shared" si="132"/>
        <v>9.2249999999999999E-2</v>
      </c>
      <c r="S208" s="452">
        <v>0</v>
      </c>
      <c r="T208" s="452">
        <v>0</v>
      </c>
      <c r="U208" s="452">
        <f t="shared" si="133"/>
        <v>2.8920000000000001E-2</v>
      </c>
      <c r="V208" s="451">
        <f t="shared" si="134"/>
        <v>0</v>
      </c>
      <c r="W208" s="451">
        <f t="shared" si="135"/>
        <v>0</v>
      </c>
      <c r="X208" s="451">
        <f t="shared" si="136"/>
        <v>0</v>
      </c>
      <c r="Y208" s="453">
        <f t="shared" si="137"/>
        <v>1271520</v>
      </c>
      <c r="Z208" s="453">
        <f t="shared" si="138"/>
        <v>6230947.5599999996</v>
      </c>
      <c r="AA208" s="453">
        <f t="shared" si="139"/>
        <v>0</v>
      </c>
      <c r="AB208" s="453">
        <f t="shared" si="140"/>
        <v>0</v>
      </c>
      <c r="AC208" s="453">
        <f t="shared" si="141"/>
        <v>0</v>
      </c>
      <c r="AD208" s="453">
        <f t="shared" si="142"/>
        <v>0</v>
      </c>
      <c r="AE208" s="493">
        <f t="shared" si="143"/>
        <v>7502467.5599999996</v>
      </c>
      <c r="AF208" s="453">
        <f t="shared" si="144"/>
        <v>7502465</v>
      </c>
      <c r="AG208" s="494">
        <f t="shared" si="145"/>
        <v>0.99999965877893116</v>
      </c>
      <c r="AH208" s="454">
        <f t="shared" si="146"/>
        <v>139406</v>
      </c>
      <c r="AI208" s="454">
        <f t="shared" si="147"/>
        <v>97025</v>
      </c>
      <c r="AJ208" s="454">
        <f t="shared" si="148"/>
        <v>398905</v>
      </c>
      <c r="AK208" s="454">
        <f t="shared" si="149"/>
        <v>0</v>
      </c>
      <c r="AL208" s="454">
        <f t="shared" si="150"/>
        <v>0</v>
      </c>
      <c r="AM208" s="454">
        <f t="shared" si="151"/>
        <v>8137801</v>
      </c>
      <c r="AN208" s="491">
        <f t="shared" si="152"/>
        <v>8137803.5599999996</v>
      </c>
      <c r="AO208" s="487">
        <f t="shared" si="153"/>
        <v>-2.5599999995902181</v>
      </c>
      <c r="AP208" s="495">
        <f t="shared" si="154"/>
        <v>1953376.73</v>
      </c>
      <c r="AQ208" s="496">
        <f t="shared" si="155"/>
        <v>4277570.83</v>
      </c>
      <c r="AV208" s="459">
        <f>IF(BA208&gt;BA207,AV207,IF(AV207&lt;MiscData!$F$1,EOMONTH(AV207,1),EOMONTH(AV207,-11)))</f>
        <v>42551</v>
      </c>
      <c r="AW208" s="448" t="str">
        <f t="shared" si="156"/>
        <v>20140101KUCME110</v>
      </c>
      <c r="AX208" s="457" t="str">
        <f t="shared" si="157"/>
        <v>20140101GS</v>
      </c>
      <c r="AY208" s="439">
        <f>IF(AV208&lt;=MiscData!$B$23,MiscData!$C$23,IF(AV208&lt;=MiscData!$B$24,MiscData!$C$24,MiscData!$C$25))</f>
        <v>20140101</v>
      </c>
      <c r="AZ208" s="439" t="str">
        <f>VLOOKUP(BA208,MiscData!$V$4:$W$42,2,FALSE)</f>
        <v>KUCME110</v>
      </c>
      <c r="BA208" s="439">
        <f>IF(BA207=MiscData!$V$42,1,BA207+1)</f>
        <v>10</v>
      </c>
      <c r="BB208" s="511" t="str">
        <f>VLOOKUP(AZ208,MiscData!$W$4:$Y$42,3,FALSE)</f>
        <v>GS</v>
      </c>
    </row>
    <row r="209" spans="1:54">
      <c r="A209" s="499">
        <f t="shared" si="119"/>
        <v>191</v>
      </c>
      <c r="B209" s="448" t="str">
        <f t="shared" si="120"/>
        <v>Jun 2016</v>
      </c>
      <c r="C209" s="448" t="s">
        <v>208</v>
      </c>
      <c r="D209" s="449" t="str">
        <f t="shared" si="121"/>
        <v>GS</v>
      </c>
      <c r="E209" s="449" t="str">
        <f t="shared" si="122"/>
        <v>KUCME112</v>
      </c>
      <c r="F209" s="450">
        <f t="shared" si="123"/>
        <v>0</v>
      </c>
      <c r="G209" s="450">
        <v>0</v>
      </c>
      <c r="H209" s="450">
        <v>0</v>
      </c>
      <c r="I209" s="450">
        <v>0</v>
      </c>
      <c r="J209" s="450">
        <f t="shared" si="124"/>
        <v>0</v>
      </c>
      <c r="K209" s="482">
        <f t="shared" si="125"/>
        <v>0</v>
      </c>
      <c r="L209" s="482">
        <f t="shared" si="126"/>
        <v>0</v>
      </c>
      <c r="M209" s="482">
        <f t="shared" si="127"/>
        <v>0</v>
      </c>
      <c r="N209" s="482">
        <f t="shared" si="128"/>
        <v>0</v>
      </c>
      <c r="O209" s="482">
        <f t="shared" si="129"/>
        <v>0</v>
      </c>
      <c r="P209" s="482">
        <f t="shared" si="130"/>
        <v>0</v>
      </c>
      <c r="Q209" s="451">
        <f t="shared" si="131"/>
        <v>20</v>
      </c>
      <c r="R209" s="452">
        <f t="shared" si="132"/>
        <v>9.2249999999999999E-2</v>
      </c>
      <c r="S209" s="452">
        <v>0</v>
      </c>
      <c r="T209" s="452">
        <v>0</v>
      </c>
      <c r="U209" s="452">
        <f t="shared" si="133"/>
        <v>2.8920000000000001E-2</v>
      </c>
      <c r="V209" s="451">
        <f t="shared" si="134"/>
        <v>0</v>
      </c>
      <c r="W209" s="451">
        <f t="shared" si="135"/>
        <v>0</v>
      </c>
      <c r="X209" s="451">
        <f t="shared" si="136"/>
        <v>0</v>
      </c>
      <c r="Y209" s="453">
        <f t="shared" si="137"/>
        <v>0</v>
      </c>
      <c r="Z209" s="453">
        <f t="shared" si="138"/>
        <v>0</v>
      </c>
      <c r="AA209" s="453">
        <f t="shared" si="139"/>
        <v>0</v>
      </c>
      <c r="AB209" s="453">
        <f t="shared" si="140"/>
        <v>0</v>
      </c>
      <c r="AC209" s="453">
        <f t="shared" si="141"/>
        <v>0</v>
      </c>
      <c r="AD209" s="453">
        <f t="shared" si="142"/>
        <v>0</v>
      </c>
      <c r="AE209" s="493">
        <f t="shared" si="143"/>
        <v>0</v>
      </c>
      <c r="AF209" s="453">
        <f t="shared" si="144"/>
        <v>0</v>
      </c>
      <c r="AG209" s="494">
        <f t="shared" si="145"/>
        <v>1</v>
      </c>
      <c r="AH209" s="454">
        <f t="shared" si="146"/>
        <v>0</v>
      </c>
      <c r="AI209" s="454">
        <f t="shared" si="147"/>
        <v>0</v>
      </c>
      <c r="AJ209" s="454">
        <f t="shared" si="148"/>
        <v>0</v>
      </c>
      <c r="AK209" s="454">
        <f t="shared" si="149"/>
        <v>0</v>
      </c>
      <c r="AL209" s="454">
        <f t="shared" si="150"/>
        <v>0</v>
      </c>
      <c r="AM209" s="454">
        <f t="shared" si="151"/>
        <v>0</v>
      </c>
      <c r="AN209" s="491">
        <f t="shared" si="152"/>
        <v>0</v>
      </c>
      <c r="AO209" s="487">
        <f t="shared" si="153"/>
        <v>0</v>
      </c>
      <c r="AP209" s="495">
        <f t="shared" si="154"/>
        <v>0</v>
      </c>
      <c r="AQ209" s="496">
        <f t="shared" si="155"/>
        <v>0</v>
      </c>
      <c r="AV209" s="459">
        <f>IF(BA209&gt;BA208,AV208,IF(AV208&lt;MiscData!$F$1,EOMONTH(AV208,1),EOMONTH(AV208,-11)))</f>
        <v>42551</v>
      </c>
      <c r="AW209" s="448" t="str">
        <f t="shared" si="156"/>
        <v>20140101KUCME112</v>
      </c>
      <c r="AX209" s="457" t="str">
        <f t="shared" si="157"/>
        <v>20140101GS</v>
      </c>
      <c r="AY209" s="439">
        <f>IF(AV209&lt;=MiscData!$B$23,MiscData!$C$23,IF(AV209&lt;=MiscData!$B$24,MiscData!$C$24,MiscData!$C$25))</f>
        <v>20140101</v>
      </c>
      <c r="AZ209" s="439" t="str">
        <f>VLOOKUP(BA209,MiscData!$V$4:$W$42,2,FALSE)</f>
        <v>KUCME112</v>
      </c>
      <c r="BA209" s="439">
        <f>IF(BA208=MiscData!$V$42,1,BA208+1)</f>
        <v>11</v>
      </c>
      <c r="BB209" s="511" t="str">
        <f>VLOOKUP(AZ209,MiscData!$W$4:$Y$42,3,FALSE)</f>
        <v>GS</v>
      </c>
    </row>
    <row r="210" spans="1:54">
      <c r="A210" s="448">
        <f t="shared" si="119"/>
        <v>192</v>
      </c>
      <c r="B210" s="448" t="str">
        <f t="shared" si="120"/>
        <v>Jun 2016</v>
      </c>
      <c r="C210" s="448" t="s">
        <v>17</v>
      </c>
      <c r="D210" s="449" t="str">
        <f t="shared" si="121"/>
        <v>GS3</v>
      </c>
      <c r="E210" s="449" t="str">
        <f t="shared" si="122"/>
        <v>KUCME113</v>
      </c>
      <c r="F210" s="450">
        <f t="shared" si="123"/>
        <v>18584</v>
      </c>
      <c r="G210" s="450">
        <v>0</v>
      </c>
      <c r="H210" s="450">
        <v>0</v>
      </c>
      <c r="I210" s="450">
        <v>0</v>
      </c>
      <c r="J210" s="450">
        <f t="shared" si="124"/>
        <v>98940301</v>
      </c>
      <c r="K210" s="482">
        <f t="shared" si="125"/>
        <v>370806</v>
      </c>
      <c r="L210" s="482">
        <f t="shared" si="126"/>
        <v>0</v>
      </c>
      <c r="M210" s="482">
        <f t="shared" si="127"/>
        <v>0</v>
      </c>
      <c r="N210" s="482">
        <f t="shared" si="128"/>
        <v>0</v>
      </c>
      <c r="O210" s="482">
        <f t="shared" si="129"/>
        <v>0</v>
      </c>
      <c r="P210" s="482">
        <f t="shared" si="130"/>
        <v>0</v>
      </c>
      <c r="Q210" s="451">
        <f t="shared" si="131"/>
        <v>35</v>
      </c>
      <c r="R210" s="452">
        <f t="shared" si="132"/>
        <v>9.2249999999999999E-2</v>
      </c>
      <c r="S210" s="452">
        <v>0</v>
      </c>
      <c r="T210" s="452">
        <v>0</v>
      </c>
      <c r="U210" s="452">
        <f t="shared" si="133"/>
        <v>2.8920000000000001E-2</v>
      </c>
      <c r="V210" s="451">
        <f t="shared" si="134"/>
        <v>0</v>
      </c>
      <c r="W210" s="451">
        <f t="shared" si="135"/>
        <v>0</v>
      </c>
      <c r="X210" s="451">
        <f t="shared" si="136"/>
        <v>0</v>
      </c>
      <c r="Y210" s="453">
        <f t="shared" si="137"/>
        <v>650440</v>
      </c>
      <c r="Z210" s="453">
        <f t="shared" si="138"/>
        <v>9127242.7699999996</v>
      </c>
      <c r="AA210" s="453">
        <f t="shared" si="139"/>
        <v>0</v>
      </c>
      <c r="AB210" s="453">
        <f t="shared" si="140"/>
        <v>0</v>
      </c>
      <c r="AC210" s="453">
        <f t="shared" si="141"/>
        <v>0</v>
      </c>
      <c r="AD210" s="453">
        <f t="shared" si="142"/>
        <v>0</v>
      </c>
      <c r="AE210" s="493">
        <f t="shared" si="143"/>
        <v>9777682.7699999996</v>
      </c>
      <c r="AF210" s="453">
        <f t="shared" si="144"/>
        <v>9777688</v>
      </c>
      <c r="AG210" s="494">
        <f t="shared" si="145"/>
        <v>1.000000534891561</v>
      </c>
      <c r="AH210" s="454">
        <f t="shared" si="146"/>
        <v>204206</v>
      </c>
      <c r="AI210" s="454">
        <f t="shared" si="147"/>
        <v>142125</v>
      </c>
      <c r="AJ210" s="454">
        <f t="shared" si="148"/>
        <v>584326</v>
      </c>
      <c r="AK210" s="454">
        <f t="shared" si="149"/>
        <v>0</v>
      </c>
      <c r="AL210" s="454">
        <f t="shared" si="150"/>
        <v>0</v>
      </c>
      <c r="AM210" s="454">
        <f t="shared" si="151"/>
        <v>10708345</v>
      </c>
      <c r="AN210" s="491">
        <f t="shared" si="152"/>
        <v>10708339.77</v>
      </c>
      <c r="AO210" s="487">
        <f t="shared" si="153"/>
        <v>5.2300000004470348</v>
      </c>
      <c r="AP210" s="495">
        <f t="shared" si="154"/>
        <v>2861353.5</v>
      </c>
      <c r="AQ210" s="496">
        <f t="shared" si="155"/>
        <v>6265889.2699999996</v>
      </c>
      <c r="AV210" s="459">
        <f>IF(BA210&gt;BA209,AV209,IF(AV209&lt;MiscData!$F$1,EOMONTH(AV209,1),EOMONTH(AV209,-11)))</f>
        <v>42551</v>
      </c>
      <c r="AW210" s="448" t="str">
        <f t="shared" si="156"/>
        <v>20140101KUCME113</v>
      </c>
      <c r="AX210" s="457" t="str">
        <f t="shared" si="157"/>
        <v>20140101GS3</v>
      </c>
      <c r="AY210" s="439">
        <f>IF(AV210&lt;=MiscData!$B$23,MiscData!$C$23,IF(AV210&lt;=MiscData!$B$24,MiscData!$C$24,MiscData!$C$25))</f>
        <v>20140101</v>
      </c>
      <c r="AZ210" s="439" t="str">
        <f>VLOOKUP(BA210,MiscData!$V$4:$W$42,2,FALSE)</f>
        <v>KUCME113</v>
      </c>
      <c r="BA210" s="439">
        <f>IF(BA209=MiscData!$V$42,1,BA209+1)</f>
        <v>12</v>
      </c>
      <c r="BB210" s="439" t="str">
        <f>VLOOKUP(AZ210,MiscData!$W$4:$Y$42,3,FALSE)</f>
        <v>GS3</v>
      </c>
    </row>
    <row r="211" spans="1:54" hidden="1">
      <c r="A211" s="448">
        <f t="shared" si="119"/>
        <v>193</v>
      </c>
      <c r="B211" s="448" t="str">
        <f t="shared" si="120"/>
        <v>Jun 2016</v>
      </c>
      <c r="C211" s="448" t="s">
        <v>203</v>
      </c>
      <c r="D211" s="449" t="str">
        <f t="shared" si="121"/>
        <v>AES</v>
      </c>
      <c r="E211" s="449" t="str">
        <f t="shared" si="122"/>
        <v>KUCME220</v>
      </c>
      <c r="F211" s="450">
        <f t="shared" si="123"/>
        <v>382</v>
      </c>
      <c r="G211" s="450">
        <v>0</v>
      </c>
      <c r="H211" s="450">
        <v>0</v>
      </c>
      <c r="I211" s="450">
        <v>0</v>
      </c>
      <c r="J211" s="450">
        <f t="shared" si="124"/>
        <v>632032</v>
      </c>
      <c r="K211" s="482">
        <f t="shared" si="125"/>
        <v>0</v>
      </c>
      <c r="L211" s="482">
        <f t="shared" si="126"/>
        <v>0</v>
      </c>
      <c r="M211" s="482">
        <f t="shared" si="127"/>
        <v>0</v>
      </c>
      <c r="N211" s="482">
        <f t="shared" si="128"/>
        <v>0</v>
      </c>
      <c r="O211" s="482">
        <f t="shared" si="129"/>
        <v>0</v>
      </c>
      <c r="P211" s="482">
        <f t="shared" si="130"/>
        <v>0</v>
      </c>
      <c r="Q211" s="451">
        <f t="shared" si="131"/>
        <v>20</v>
      </c>
      <c r="R211" s="452">
        <f t="shared" si="132"/>
        <v>7.4399999999999994E-2</v>
      </c>
      <c r="S211" s="452">
        <v>0</v>
      </c>
      <c r="T211" s="452">
        <v>0</v>
      </c>
      <c r="U211" s="452">
        <f t="shared" si="133"/>
        <v>2.8920000000000001E-2</v>
      </c>
      <c r="V211" s="451">
        <f t="shared" si="134"/>
        <v>0</v>
      </c>
      <c r="W211" s="451">
        <f t="shared" si="135"/>
        <v>0</v>
      </c>
      <c r="X211" s="451">
        <f t="shared" si="136"/>
        <v>0</v>
      </c>
      <c r="Y211" s="453">
        <f t="shared" si="137"/>
        <v>7640</v>
      </c>
      <c r="Z211" s="453">
        <f t="shared" si="138"/>
        <v>47023.18</v>
      </c>
      <c r="AA211" s="453">
        <f t="shared" si="139"/>
        <v>0</v>
      </c>
      <c r="AB211" s="453">
        <f t="shared" si="140"/>
        <v>0</v>
      </c>
      <c r="AC211" s="453">
        <f t="shared" si="141"/>
        <v>0</v>
      </c>
      <c r="AD211" s="453">
        <f t="shared" si="142"/>
        <v>0</v>
      </c>
      <c r="AE211" s="493">
        <f t="shared" si="143"/>
        <v>54663.18</v>
      </c>
      <c r="AF211" s="453">
        <f t="shared" si="144"/>
        <v>54663</v>
      </c>
      <c r="AG211" s="494">
        <f t="shared" si="145"/>
        <v>0.9999967071070508</v>
      </c>
      <c r="AH211" s="454">
        <f t="shared" si="146"/>
        <v>1304</v>
      </c>
      <c r="AI211" s="454">
        <f t="shared" si="147"/>
        <v>908</v>
      </c>
      <c r="AJ211" s="454">
        <f t="shared" si="148"/>
        <v>3733</v>
      </c>
      <c r="AK211" s="454">
        <f t="shared" si="149"/>
        <v>0</v>
      </c>
      <c r="AL211" s="454">
        <f t="shared" si="150"/>
        <v>0</v>
      </c>
      <c r="AM211" s="454">
        <f t="shared" si="151"/>
        <v>60608</v>
      </c>
      <c r="AN211" s="491">
        <f t="shared" si="152"/>
        <v>60608.18</v>
      </c>
      <c r="AO211" s="487">
        <f t="shared" si="153"/>
        <v>-0.18000000000029104</v>
      </c>
      <c r="AP211" s="495">
        <f t="shared" si="154"/>
        <v>18278.37</v>
      </c>
      <c r="AQ211" s="496">
        <f t="shared" si="155"/>
        <v>28744.81</v>
      </c>
      <c r="AV211" s="459">
        <f>IF(BA211&gt;BA210,AV210,IF(AV210&lt;MiscData!$F$1,EOMONTH(AV210,1),EOMONTH(AV210,-11)))</f>
        <v>42551</v>
      </c>
      <c r="AW211" s="448" t="str">
        <f t="shared" si="156"/>
        <v>20140101KUCME220</v>
      </c>
      <c r="AX211" s="457" t="str">
        <f t="shared" si="157"/>
        <v>20140101AES</v>
      </c>
      <c r="AY211" s="439">
        <f>IF(AV211&lt;=MiscData!$B$23,MiscData!$C$23,IF(AV211&lt;=MiscData!$B$24,MiscData!$C$24,MiscData!$C$25))</f>
        <v>20140101</v>
      </c>
      <c r="AZ211" s="439" t="str">
        <f>VLOOKUP(BA211,MiscData!$V$4:$W$42,2,FALSE)</f>
        <v>KUCME220</v>
      </c>
      <c r="BA211" s="439">
        <f>IF(BA210=MiscData!$V$42,1,BA210+1)</f>
        <v>13</v>
      </c>
      <c r="BB211" s="439" t="str">
        <f>VLOOKUP(AZ211,MiscData!$W$4:$Y$42,3,FALSE)</f>
        <v>AES</v>
      </c>
    </row>
    <row r="212" spans="1:54" hidden="1">
      <c r="A212" s="448">
        <f t="shared" si="119"/>
        <v>194</v>
      </c>
      <c r="B212" s="448" t="str">
        <f t="shared" si="120"/>
        <v>Jun 2016</v>
      </c>
      <c r="C212" s="448" t="s">
        <v>203</v>
      </c>
      <c r="D212" s="449" t="str">
        <f t="shared" si="121"/>
        <v>AES</v>
      </c>
      <c r="E212" s="449" t="str">
        <f t="shared" si="122"/>
        <v>KUCME221</v>
      </c>
      <c r="F212" s="450">
        <f t="shared" si="123"/>
        <v>0</v>
      </c>
      <c r="G212" s="450">
        <v>0</v>
      </c>
      <c r="H212" s="450">
        <v>0</v>
      </c>
      <c r="I212" s="450">
        <v>0</v>
      </c>
      <c r="J212" s="450">
        <f t="shared" si="124"/>
        <v>0</v>
      </c>
      <c r="K212" s="482">
        <f t="shared" si="125"/>
        <v>0</v>
      </c>
      <c r="L212" s="482">
        <f t="shared" si="126"/>
        <v>0</v>
      </c>
      <c r="M212" s="482">
        <f t="shared" si="127"/>
        <v>0</v>
      </c>
      <c r="N212" s="482">
        <f t="shared" si="128"/>
        <v>0</v>
      </c>
      <c r="O212" s="482">
        <f t="shared" si="129"/>
        <v>0</v>
      </c>
      <c r="P212" s="482">
        <f t="shared" si="130"/>
        <v>0</v>
      </c>
      <c r="Q212" s="451">
        <f t="shared" si="131"/>
        <v>20</v>
      </c>
      <c r="R212" s="452">
        <f t="shared" si="132"/>
        <v>7.4399999999999994E-2</v>
      </c>
      <c r="S212" s="452">
        <v>0</v>
      </c>
      <c r="T212" s="452">
        <v>0</v>
      </c>
      <c r="U212" s="452">
        <f t="shared" si="133"/>
        <v>2.8920000000000001E-2</v>
      </c>
      <c r="V212" s="451">
        <f t="shared" si="134"/>
        <v>0</v>
      </c>
      <c r="W212" s="451">
        <f t="shared" si="135"/>
        <v>0</v>
      </c>
      <c r="X212" s="451">
        <f t="shared" si="136"/>
        <v>0</v>
      </c>
      <c r="Y212" s="453">
        <f t="shared" si="137"/>
        <v>0</v>
      </c>
      <c r="Z212" s="453">
        <f t="shared" si="138"/>
        <v>0</v>
      </c>
      <c r="AA212" s="453">
        <f t="shared" si="139"/>
        <v>0</v>
      </c>
      <c r="AB212" s="453">
        <f t="shared" si="140"/>
        <v>0</v>
      </c>
      <c r="AC212" s="453">
        <f t="shared" si="141"/>
        <v>0</v>
      </c>
      <c r="AD212" s="453">
        <f t="shared" si="142"/>
        <v>0</v>
      </c>
      <c r="AE212" s="493">
        <f t="shared" si="143"/>
        <v>0</v>
      </c>
      <c r="AF212" s="453">
        <f t="shared" si="144"/>
        <v>0</v>
      </c>
      <c r="AG212" s="494">
        <f t="shared" si="145"/>
        <v>1</v>
      </c>
      <c r="AH212" s="454">
        <f t="shared" si="146"/>
        <v>0</v>
      </c>
      <c r="AI212" s="454">
        <f t="shared" si="147"/>
        <v>0</v>
      </c>
      <c r="AJ212" s="454">
        <f t="shared" si="148"/>
        <v>0</v>
      </c>
      <c r="AK212" s="454">
        <f t="shared" si="149"/>
        <v>0</v>
      </c>
      <c r="AL212" s="454">
        <f t="shared" si="150"/>
        <v>0</v>
      </c>
      <c r="AM212" s="454">
        <f t="shared" si="151"/>
        <v>0</v>
      </c>
      <c r="AN212" s="491">
        <f t="shared" si="152"/>
        <v>0</v>
      </c>
      <c r="AO212" s="487">
        <f t="shared" si="153"/>
        <v>0</v>
      </c>
      <c r="AP212" s="495">
        <f t="shared" si="154"/>
        <v>0</v>
      </c>
      <c r="AQ212" s="496">
        <f t="shared" si="155"/>
        <v>0</v>
      </c>
      <c r="AV212" s="459">
        <f>IF(BA212&gt;BA211,AV211,IF(AV211&lt;MiscData!$F$1,EOMONTH(AV211,1),EOMONTH(AV211,-11)))</f>
        <v>42551</v>
      </c>
      <c r="AW212" s="448" t="str">
        <f t="shared" si="156"/>
        <v>20140101KUCME221</v>
      </c>
      <c r="AX212" s="457" t="str">
        <f t="shared" si="157"/>
        <v>20140101AES</v>
      </c>
      <c r="AY212" s="439">
        <f>IF(AV212&lt;=MiscData!$B$23,MiscData!$C$23,IF(AV212&lt;=MiscData!$B$24,MiscData!$C$24,MiscData!$C$25))</f>
        <v>20140101</v>
      </c>
      <c r="AZ212" s="439" t="str">
        <f>VLOOKUP(BA212,MiscData!$V$4:$W$42,2,FALSE)</f>
        <v>KUCME221</v>
      </c>
      <c r="BA212" s="439">
        <f>IF(BA211=MiscData!$V$42,1,BA211+1)</f>
        <v>14</v>
      </c>
      <c r="BB212" s="439" t="str">
        <f>VLOOKUP(AZ212,MiscData!$W$4:$Y$42,3,FALSE)</f>
        <v>AES</v>
      </c>
    </row>
    <row r="213" spans="1:54" hidden="1">
      <c r="A213" s="448">
        <f t="shared" si="119"/>
        <v>195</v>
      </c>
      <c r="B213" s="448" t="str">
        <f t="shared" si="120"/>
        <v>Jun 2016</v>
      </c>
      <c r="C213" s="832" t="s">
        <v>212</v>
      </c>
      <c r="D213" s="449" t="str">
        <f t="shared" si="121"/>
        <v>AES3</v>
      </c>
      <c r="E213" s="449" t="str">
        <f t="shared" si="122"/>
        <v>KUCME223</v>
      </c>
      <c r="F213" s="450">
        <f t="shared" si="123"/>
        <v>0</v>
      </c>
      <c r="G213" s="450">
        <v>0</v>
      </c>
      <c r="H213" s="450">
        <v>0</v>
      </c>
      <c r="I213" s="450">
        <v>0</v>
      </c>
      <c r="J213" s="450">
        <f t="shared" si="124"/>
        <v>0</v>
      </c>
      <c r="K213" s="482">
        <f t="shared" si="125"/>
        <v>0</v>
      </c>
      <c r="L213" s="482">
        <f t="shared" si="126"/>
        <v>0</v>
      </c>
      <c r="M213" s="482">
        <f t="shared" si="127"/>
        <v>0</v>
      </c>
      <c r="N213" s="482">
        <f t="shared" si="128"/>
        <v>0</v>
      </c>
      <c r="O213" s="482">
        <f t="shared" si="129"/>
        <v>0</v>
      </c>
      <c r="P213" s="482">
        <f t="shared" si="130"/>
        <v>0</v>
      </c>
      <c r="Q213" s="451">
        <f t="shared" si="131"/>
        <v>35</v>
      </c>
      <c r="R213" s="452">
        <f t="shared" si="132"/>
        <v>7.4399999999999994E-2</v>
      </c>
      <c r="S213" s="452">
        <v>0</v>
      </c>
      <c r="T213" s="452">
        <v>0</v>
      </c>
      <c r="U213" s="452">
        <f t="shared" si="133"/>
        <v>2.8920000000000001E-2</v>
      </c>
      <c r="V213" s="451">
        <f t="shared" si="134"/>
        <v>0</v>
      </c>
      <c r="W213" s="451">
        <f t="shared" si="135"/>
        <v>0</v>
      </c>
      <c r="X213" s="451">
        <f t="shared" si="136"/>
        <v>0</v>
      </c>
      <c r="Y213" s="453">
        <f t="shared" si="137"/>
        <v>0</v>
      </c>
      <c r="Z213" s="453">
        <f t="shared" si="138"/>
        <v>0</v>
      </c>
      <c r="AA213" s="453">
        <f t="shared" si="139"/>
        <v>0</v>
      </c>
      <c r="AB213" s="453">
        <f t="shared" si="140"/>
        <v>0</v>
      </c>
      <c r="AC213" s="453">
        <f t="shared" si="141"/>
        <v>0</v>
      </c>
      <c r="AD213" s="453">
        <f t="shared" si="142"/>
        <v>0</v>
      </c>
      <c r="AE213" s="493">
        <f t="shared" si="143"/>
        <v>0</v>
      </c>
      <c r="AF213" s="453">
        <f t="shared" si="144"/>
        <v>0</v>
      </c>
      <c r="AG213" s="494">
        <f t="shared" si="145"/>
        <v>1</v>
      </c>
      <c r="AH213" s="454">
        <f t="shared" si="146"/>
        <v>0</v>
      </c>
      <c r="AI213" s="454">
        <f t="shared" si="147"/>
        <v>0</v>
      </c>
      <c r="AJ213" s="454">
        <f t="shared" si="148"/>
        <v>0</v>
      </c>
      <c r="AK213" s="454">
        <f t="shared" si="149"/>
        <v>0</v>
      </c>
      <c r="AL213" s="454">
        <f t="shared" si="150"/>
        <v>0</v>
      </c>
      <c r="AM213" s="454">
        <f t="shared" si="151"/>
        <v>0</v>
      </c>
      <c r="AN213" s="491">
        <f t="shared" si="152"/>
        <v>0</v>
      </c>
      <c r="AO213" s="487">
        <f t="shared" si="153"/>
        <v>0</v>
      </c>
      <c r="AP213" s="495">
        <f t="shared" si="154"/>
        <v>0</v>
      </c>
      <c r="AQ213" s="496">
        <f t="shared" si="155"/>
        <v>0</v>
      </c>
      <c r="AV213" s="459">
        <f>IF(BA213&gt;BA212,AV212,IF(AV212&lt;MiscData!$F$1,EOMONTH(AV212,1),EOMONTH(AV212,-11)))</f>
        <v>42551</v>
      </c>
      <c r="AW213" s="448" t="str">
        <f t="shared" si="156"/>
        <v>20140101KUCME223</v>
      </c>
      <c r="AX213" s="457" t="str">
        <f t="shared" si="157"/>
        <v>20140101AES3</v>
      </c>
      <c r="AY213" s="439">
        <f>IF(AV213&lt;=MiscData!$B$23,MiscData!$C$23,IF(AV213&lt;=MiscData!$B$24,MiscData!$C$24,MiscData!$C$25))</f>
        <v>20140101</v>
      </c>
      <c r="AZ213" s="439" t="str">
        <f>VLOOKUP(BA213,MiscData!$V$4:$W$42,2,FALSE)</f>
        <v>KUCME223</v>
      </c>
      <c r="BA213" s="439">
        <f>IF(BA212=MiscData!$V$42,1,BA212+1)</f>
        <v>15</v>
      </c>
      <c r="BB213" s="439" t="str">
        <f>VLOOKUP(AZ213,MiscData!$W$4:$Y$42,3,FALSE)</f>
        <v>AES3</v>
      </c>
    </row>
    <row r="214" spans="1:54" hidden="1">
      <c r="A214" s="448">
        <f t="shared" si="119"/>
        <v>196</v>
      </c>
      <c r="B214" s="448" t="str">
        <f t="shared" si="120"/>
        <v>Jun 2016</v>
      </c>
      <c r="C214" s="832" t="s">
        <v>212</v>
      </c>
      <c r="D214" s="449" t="str">
        <f t="shared" si="121"/>
        <v>AES3</v>
      </c>
      <c r="E214" s="449" t="str">
        <f t="shared" si="122"/>
        <v>KUCME224</v>
      </c>
      <c r="F214" s="450">
        <f t="shared" si="123"/>
        <v>265</v>
      </c>
      <c r="G214" s="450">
        <v>0</v>
      </c>
      <c r="H214" s="450">
        <v>0</v>
      </c>
      <c r="I214" s="450">
        <v>0</v>
      </c>
      <c r="J214" s="450">
        <f t="shared" si="124"/>
        <v>11714400</v>
      </c>
      <c r="K214" s="482">
        <f t="shared" si="125"/>
        <v>47329</v>
      </c>
      <c r="L214" s="482">
        <f t="shared" si="126"/>
        <v>0</v>
      </c>
      <c r="M214" s="482">
        <f t="shared" si="127"/>
        <v>0</v>
      </c>
      <c r="N214" s="482">
        <f t="shared" si="128"/>
        <v>0</v>
      </c>
      <c r="O214" s="482">
        <f t="shared" si="129"/>
        <v>0</v>
      </c>
      <c r="P214" s="482">
        <f t="shared" si="130"/>
        <v>0</v>
      </c>
      <c r="Q214" s="451">
        <f t="shared" si="131"/>
        <v>35</v>
      </c>
      <c r="R214" s="452">
        <f t="shared" si="132"/>
        <v>7.4399999999999994E-2</v>
      </c>
      <c r="S214" s="452">
        <v>0</v>
      </c>
      <c r="T214" s="452">
        <v>0</v>
      </c>
      <c r="U214" s="452">
        <f t="shared" si="133"/>
        <v>2.8920000000000001E-2</v>
      </c>
      <c r="V214" s="451">
        <f t="shared" si="134"/>
        <v>0</v>
      </c>
      <c r="W214" s="451">
        <f t="shared" si="135"/>
        <v>0</v>
      </c>
      <c r="X214" s="451">
        <f t="shared" si="136"/>
        <v>0</v>
      </c>
      <c r="Y214" s="453">
        <f t="shared" si="137"/>
        <v>9275</v>
      </c>
      <c r="Z214" s="453">
        <f t="shared" si="138"/>
        <v>871551.36</v>
      </c>
      <c r="AA214" s="453">
        <f t="shared" si="139"/>
        <v>0</v>
      </c>
      <c r="AB214" s="453">
        <f t="shared" si="140"/>
        <v>0</v>
      </c>
      <c r="AC214" s="453">
        <f t="shared" si="141"/>
        <v>0</v>
      </c>
      <c r="AD214" s="453">
        <f t="shared" si="142"/>
        <v>0</v>
      </c>
      <c r="AE214" s="493">
        <f t="shared" si="143"/>
        <v>880826.36</v>
      </c>
      <c r="AF214" s="453">
        <f t="shared" si="144"/>
        <v>880827</v>
      </c>
      <c r="AG214" s="494">
        <f t="shared" si="145"/>
        <v>1.0000007265904258</v>
      </c>
      <c r="AH214" s="454">
        <f t="shared" si="146"/>
        <v>24178</v>
      </c>
      <c r="AI214" s="454">
        <f t="shared" si="147"/>
        <v>16827</v>
      </c>
      <c r="AJ214" s="454">
        <f t="shared" si="148"/>
        <v>69183</v>
      </c>
      <c r="AK214" s="454">
        <f t="shared" si="149"/>
        <v>0</v>
      </c>
      <c r="AL214" s="454">
        <f t="shared" si="150"/>
        <v>0</v>
      </c>
      <c r="AM214" s="454">
        <f t="shared" si="151"/>
        <v>991015</v>
      </c>
      <c r="AN214" s="491">
        <f t="shared" si="152"/>
        <v>991014.36</v>
      </c>
      <c r="AO214" s="487">
        <f t="shared" si="153"/>
        <v>0.64000000001396984</v>
      </c>
      <c r="AP214" s="495">
        <f t="shared" si="154"/>
        <v>338780.45</v>
      </c>
      <c r="AQ214" s="496">
        <f t="shared" si="155"/>
        <v>532770.90999999992</v>
      </c>
      <c r="AV214" s="459">
        <f>IF(BA214&gt;BA213,AV213,IF(AV213&lt;MiscData!$F$1,EOMONTH(AV213,1),EOMONTH(AV213,-11)))</f>
        <v>42551</v>
      </c>
      <c r="AW214" s="448" t="str">
        <f t="shared" si="156"/>
        <v>20140101KUCME224</v>
      </c>
      <c r="AX214" s="457" t="str">
        <f t="shared" si="157"/>
        <v>20140101AES3</v>
      </c>
      <c r="AY214" s="439">
        <f>IF(AV214&lt;=MiscData!$B$23,MiscData!$C$23,IF(AV214&lt;=MiscData!$B$24,MiscData!$C$24,MiscData!$C$25))</f>
        <v>20140101</v>
      </c>
      <c r="AZ214" s="439" t="str">
        <f>VLOOKUP(BA214,MiscData!$V$4:$W$42,2,FALSE)</f>
        <v>KUCME224</v>
      </c>
      <c r="BA214" s="439">
        <f>IF(BA213=MiscData!$V$42,1,BA213+1)</f>
        <v>16</v>
      </c>
      <c r="BB214" s="439" t="str">
        <f>VLOOKUP(AZ214,MiscData!$W$4:$Y$42,3,FALSE)</f>
        <v>AES3</v>
      </c>
    </row>
    <row r="215" spans="1:54" hidden="1">
      <c r="A215" s="448">
        <f t="shared" si="119"/>
        <v>197</v>
      </c>
      <c r="B215" s="448" t="str">
        <f t="shared" si="120"/>
        <v>Jun 2016</v>
      </c>
      <c r="C215" s="832" t="s">
        <v>212</v>
      </c>
      <c r="D215" s="449" t="str">
        <f t="shared" si="121"/>
        <v>AES3</v>
      </c>
      <c r="E215" s="449" t="str">
        <f t="shared" si="122"/>
        <v>KUCME225</v>
      </c>
      <c r="F215" s="450">
        <f t="shared" si="123"/>
        <v>0</v>
      </c>
      <c r="G215" s="450">
        <v>0</v>
      </c>
      <c r="H215" s="450">
        <v>0</v>
      </c>
      <c r="I215" s="450">
        <v>0</v>
      </c>
      <c r="J215" s="450">
        <f t="shared" si="124"/>
        <v>0</v>
      </c>
      <c r="K215" s="482">
        <f t="shared" si="125"/>
        <v>0</v>
      </c>
      <c r="L215" s="482">
        <f t="shared" si="126"/>
        <v>0</v>
      </c>
      <c r="M215" s="482">
        <f t="shared" si="127"/>
        <v>0</v>
      </c>
      <c r="N215" s="482">
        <f t="shared" si="128"/>
        <v>0</v>
      </c>
      <c r="O215" s="482">
        <f t="shared" si="129"/>
        <v>0</v>
      </c>
      <c r="P215" s="482">
        <f t="shared" si="130"/>
        <v>0</v>
      </c>
      <c r="Q215" s="451">
        <f t="shared" si="131"/>
        <v>35</v>
      </c>
      <c r="R215" s="452">
        <f t="shared" si="132"/>
        <v>7.4399999999999994E-2</v>
      </c>
      <c r="S215" s="452">
        <v>0</v>
      </c>
      <c r="T215" s="452">
        <v>0</v>
      </c>
      <c r="U215" s="452">
        <f t="shared" si="133"/>
        <v>2.8920000000000001E-2</v>
      </c>
      <c r="V215" s="451">
        <f t="shared" si="134"/>
        <v>0</v>
      </c>
      <c r="W215" s="451">
        <f t="shared" si="135"/>
        <v>0</v>
      </c>
      <c r="X215" s="451">
        <f t="shared" si="136"/>
        <v>0</v>
      </c>
      <c r="Y215" s="453">
        <f t="shared" si="137"/>
        <v>0</v>
      </c>
      <c r="Z215" s="453">
        <f t="shared" si="138"/>
        <v>0</v>
      </c>
      <c r="AA215" s="453">
        <f t="shared" si="139"/>
        <v>0</v>
      </c>
      <c r="AB215" s="453">
        <f t="shared" si="140"/>
        <v>0</v>
      </c>
      <c r="AC215" s="453">
        <f t="shared" si="141"/>
        <v>0</v>
      </c>
      <c r="AD215" s="453">
        <f t="shared" si="142"/>
        <v>0</v>
      </c>
      <c r="AE215" s="493">
        <f t="shared" si="143"/>
        <v>0</v>
      </c>
      <c r="AF215" s="453">
        <f t="shared" si="144"/>
        <v>0</v>
      </c>
      <c r="AG215" s="494">
        <f t="shared" si="145"/>
        <v>1</v>
      </c>
      <c r="AH215" s="454">
        <f t="shared" si="146"/>
        <v>0</v>
      </c>
      <c r="AI215" s="454">
        <f t="shared" si="147"/>
        <v>0</v>
      </c>
      <c r="AJ215" s="454">
        <f t="shared" si="148"/>
        <v>0</v>
      </c>
      <c r="AK215" s="454">
        <f t="shared" si="149"/>
        <v>0</v>
      </c>
      <c r="AL215" s="454">
        <f t="shared" si="150"/>
        <v>0</v>
      </c>
      <c r="AM215" s="454">
        <f t="shared" si="151"/>
        <v>0</v>
      </c>
      <c r="AN215" s="491">
        <f t="shared" si="152"/>
        <v>0</v>
      </c>
      <c r="AO215" s="487">
        <f t="shared" si="153"/>
        <v>0</v>
      </c>
      <c r="AP215" s="495">
        <f t="shared" si="154"/>
        <v>0</v>
      </c>
      <c r="AQ215" s="496">
        <f t="shared" si="155"/>
        <v>0</v>
      </c>
      <c r="AV215" s="459">
        <f>IF(BA215&gt;BA214,AV214,IF(AV214&lt;MiscData!$F$1,EOMONTH(AV214,1),EOMONTH(AV214,-11)))</f>
        <v>42551</v>
      </c>
      <c r="AW215" s="448" t="str">
        <f t="shared" si="156"/>
        <v>20140101KUCME225</v>
      </c>
      <c r="AX215" s="457" t="str">
        <f t="shared" si="157"/>
        <v>20140101AES3</v>
      </c>
      <c r="AY215" s="439">
        <f>IF(AV215&lt;=MiscData!$B$23,MiscData!$C$23,IF(AV215&lt;=MiscData!$B$24,MiscData!$C$24,MiscData!$C$25))</f>
        <v>20140101</v>
      </c>
      <c r="AZ215" s="439" t="str">
        <f>VLOOKUP(BA215,MiscData!$V$4:$W$42,2,FALSE)</f>
        <v>KUCME225</v>
      </c>
      <c r="BA215" s="439">
        <f>IF(BA214=MiscData!$V$42,1,BA214+1)</f>
        <v>17</v>
      </c>
      <c r="BB215" s="439" t="str">
        <f>VLOOKUP(AZ215,MiscData!$W$4:$Y$42,3,FALSE)</f>
        <v>AES3</v>
      </c>
    </row>
    <row r="216" spans="1:54" hidden="1">
      <c r="A216" s="448">
        <f t="shared" si="119"/>
        <v>198</v>
      </c>
      <c r="B216" s="448" t="str">
        <f t="shared" si="120"/>
        <v>Jun 2016</v>
      </c>
      <c r="C216" s="448" t="s">
        <v>203</v>
      </c>
      <c r="D216" s="449" t="str">
        <f t="shared" si="121"/>
        <v>AES</v>
      </c>
      <c r="E216" s="449" t="str">
        <f t="shared" si="122"/>
        <v>KUCME226</v>
      </c>
      <c r="F216" s="450">
        <f t="shared" si="123"/>
        <v>0</v>
      </c>
      <c r="G216" s="450">
        <v>0</v>
      </c>
      <c r="H216" s="450">
        <v>0</v>
      </c>
      <c r="I216" s="450">
        <v>0</v>
      </c>
      <c r="J216" s="450">
        <f t="shared" si="124"/>
        <v>0</v>
      </c>
      <c r="K216" s="482">
        <f t="shared" si="125"/>
        <v>0</v>
      </c>
      <c r="L216" s="482">
        <f t="shared" si="126"/>
        <v>0</v>
      </c>
      <c r="M216" s="482">
        <f t="shared" si="127"/>
        <v>0</v>
      </c>
      <c r="N216" s="482">
        <f t="shared" si="128"/>
        <v>0</v>
      </c>
      <c r="O216" s="482">
        <f t="shared" si="129"/>
        <v>0</v>
      </c>
      <c r="P216" s="482">
        <f t="shared" si="130"/>
        <v>0</v>
      </c>
      <c r="Q216" s="451">
        <f t="shared" si="131"/>
        <v>20</v>
      </c>
      <c r="R216" s="452">
        <f t="shared" si="132"/>
        <v>7.4399999999999994E-2</v>
      </c>
      <c r="S216" s="452">
        <v>0</v>
      </c>
      <c r="T216" s="452">
        <v>0</v>
      </c>
      <c r="U216" s="452">
        <f t="shared" si="133"/>
        <v>2.8920000000000001E-2</v>
      </c>
      <c r="V216" s="451">
        <f t="shared" si="134"/>
        <v>0</v>
      </c>
      <c r="W216" s="451">
        <f t="shared" si="135"/>
        <v>0</v>
      </c>
      <c r="X216" s="451">
        <f t="shared" si="136"/>
        <v>0</v>
      </c>
      <c r="Y216" s="453">
        <f t="shared" si="137"/>
        <v>0</v>
      </c>
      <c r="Z216" s="453">
        <f t="shared" si="138"/>
        <v>0</v>
      </c>
      <c r="AA216" s="453">
        <f t="shared" si="139"/>
        <v>0</v>
      </c>
      <c r="AB216" s="453">
        <f t="shared" si="140"/>
        <v>0</v>
      </c>
      <c r="AC216" s="453">
        <f t="shared" si="141"/>
        <v>0</v>
      </c>
      <c r="AD216" s="453">
        <f t="shared" si="142"/>
        <v>0</v>
      </c>
      <c r="AE216" s="493">
        <f t="shared" si="143"/>
        <v>0</v>
      </c>
      <c r="AF216" s="453">
        <f t="shared" si="144"/>
        <v>0</v>
      </c>
      <c r="AG216" s="494">
        <f t="shared" si="145"/>
        <v>1</v>
      </c>
      <c r="AH216" s="454">
        <f t="shared" si="146"/>
        <v>0</v>
      </c>
      <c r="AI216" s="454">
        <f t="shared" si="147"/>
        <v>0</v>
      </c>
      <c r="AJ216" s="454">
        <f t="shared" si="148"/>
        <v>0</v>
      </c>
      <c r="AK216" s="454">
        <f t="shared" si="149"/>
        <v>0</v>
      </c>
      <c r="AL216" s="454">
        <f t="shared" si="150"/>
        <v>0</v>
      </c>
      <c r="AM216" s="454">
        <f t="shared" si="151"/>
        <v>0</v>
      </c>
      <c r="AN216" s="491">
        <f t="shared" si="152"/>
        <v>0</v>
      </c>
      <c r="AO216" s="487">
        <f t="shared" si="153"/>
        <v>0</v>
      </c>
      <c r="AP216" s="495">
        <f t="shared" si="154"/>
        <v>0</v>
      </c>
      <c r="AQ216" s="496">
        <f t="shared" si="155"/>
        <v>0</v>
      </c>
      <c r="AV216" s="459">
        <f>IF(BA216&gt;BA215,AV215,IF(AV215&lt;MiscData!$F$1,EOMONTH(AV215,1),EOMONTH(AV215,-11)))</f>
        <v>42551</v>
      </c>
      <c r="AW216" s="448" t="str">
        <f t="shared" si="156"/>
        <v>20140101KUCME226</v>
      </c>
      <c r="AX216" s="457" t="str">
        <f t="shared" si="157"/>
        <v>20140101AES</v>
      </c>
      <c r="AY216" s="439">
        <f>IF(AV216&lt;=MiscData!$B$23,MiscData!$C$23,IF(AV216&lt;=MiscData!$B$24,MiscData!$C$24,MiscData!$C$25))</f>
        <v>20140101</v>
      </c>
      <c r="AZ216" s="439" t="str">
        <f>VLOOKUP(BA216,MiscData!$V$4:$W$42,2,FALSE)</f>
        <v>KUCME226</v>
      </c>
      <c r="BA216" s="439">
        <f>IF(BA215=MiscData!$V$42,1,BA215+1)</f>
        <v>18</v>
      </c>
      <c r="BB216" s="439" t="str">
        <f>VLOOKUP(AZ216,MiscData!$W$4:$Y$42,3,FALSE)</f>
        <v>AES</v>
      </c>
    </row>
    <row r="217" spans="1:54" hidden="1">
      <c r="A217" s="448">
        <f t="shared" si="119"/>
        <v>199</v>
      </c>
      <c r="B217" s="448" t="str">
        <f t="shared" si="120"/>
        <v>Jun 2016</v>
      </c>
      <c r="C217" s="832" t="s">
        <v>212</v>
      </c>
      <c r="D217" s="449" t="str">
        <f t="shared" si="121"/>
        <v>AES3</v>
      </c>
      <c r="E217" s="449" t="str">
        <f t="shared" si="122"/>
        <v>KUCME227</v>
      </c>
      <c r="F217" s="450">
        <f t="shared" si="123"/>
        <v>0</v>
      </c>
      <c r="G217" s="450">
        <v>0</v>
      </c>
      <c r="H217" s="450">
        <v>0</v>
      </c>
      <c r="I217" s="450">
        <v>0</v>
      </c>
      <c r="J217" s="450">
        <f t="shared" si="124"/>
        <v>0</v>
      </c>
      <c r="K217" s="482">
        <f t="shared" si="125"/>
        <v>0</v>
      </c>
      <c r="L217" s="482">
        <f t="shared" si="126"/>
        <v>0</v>
      </c>
      <c r="M217" s="482">
        <f t="shared" si="127"/>
        <v>0</v>
      </c>
      <c r="N217" s="482">
        <f t="shared" si="128"/>
        <v>0</v>
      </c>
      <c r="O217" s="482">
        <f t="shared" si="129"/>
        <v>0</v>
      </c>
      <c r="P217" s="482">
        <f t="shared" si="130"/>
        <v>0</v>
      </c>
      <c r="Q217" s="451">
        <f t="shared" si="131"/>
        <v>35</v>
      </c>
      <c r="R217" s="452">
        <f t="shared" si="132"/>
        <v>7.4399999999999994E-2</v>
      </c>
      <c r="S217" s="452">
        <v>0</v>
      </c>
      <c r="T217" s="452">
        <v>0</v>
      </c>
      <c r="U217" s="452">
        <f t="shared" si="133"/>
        <v>2.8920000000000001E-2</v>
      </c>
      <c r="V217" s="451">
        <f t="shared" si="134"/>
        <v>0</v>
      </c>
      <c r="W217" s="451">
        <f t="shared" si="135"/>
        <v>0</v>
      </c>
      <c r="X217" s="451">
        <f t="shared" si="136"/>
        <v>0</v>
      </c>
      <c r="Y217" s="453">
        <f t="shared" si="137"/>
        <v>0</v>
      </c>
      <c r="Z217" s="453">
        <f t="shared" si="138"/>
        <v>0</v>
      </c>
      <c r="AA217" s="453">
        <f t="shared" si="139"/>
        <v>0</v>
      </c>
      <c r="AB217" s="453">
        <f t="shared" si="140"/>
        <v>0</v>
      </c>
      <c r="AC217" s="453">
        <f t="shared" si="141"/>
        <v>0</v>
      </c>
      <c r="AD217" s="453">
        <f t="shared" si="142"/>
        <v>0</v>
      </c>
      <c r="AE217" s="493">
        <f t="shared" si="143"/>
        <v>0</v>
      </c>
      <c r="AF217" s="453">
        <f t="shared" si="144"/>
        <v>0</v>
      </c>
      <c r="AG217" s="494">
        <f t="shared" si="145"/>
        <v>1</v>
      </c>
      <c r="AH217" s="454">
        <f t="shared" si="146"/>
        <v>0</v>
      </c>
      <c r="AI217" s="454">
        <f t="shared" si="147"/>
        <v>0</v>
      </c>
      <c r="AJ217" s="454">
        <f t="shared" si="148"/>
        <v>0</v>
      </c>
      <c r="AK217" s="454">
        <f t="shared" si="149"/>
        <v>0</v>
      </c>
      <c r="AL217" s="454">
        <f t="shared" si="150"/>
        <v>0</v>
      </c>
      <c r="AM217" s="454">
        <f t="shared" si="151"/>
        <v>0</v>
      </c>
      <c r="AN217" s="491">
        <f t="shared" si="152"/>
        <v>0</v>
      </c>
      <c r="AO217" s="487">
        <f t="shared" si="153"/>
        <v>0</v>
      </c>
      <c r="AP217" s="495">
        <f t="shared" si="154"/>
        <v>0</v>
      </c>
      <c r="AQ217" s="496">
        <f t="shared" si="155"/>
        <v>0</v>
      </c>
      <c r="AV217" s="459">
        <f>IF(BA217&gt;BA216,AV216,IF(AV216&lt;MiscData!$F$1,EOMONTH(AV216,1),EOMONTH(AV216,-11)))</f>
        <v>42551</v>
      </c>
      <c r="AW217" s="448" t="str">
        <f t="shared" si="156"/>
        <v>20140101KUCME227</v>
      </c>
      <c r="AX217" s="457" t="str">
        <f t="shared" si="157"/>
        <v>20140101AES3</v>
      </c>
      <c r="AY217" s="439">
        <f>IF(AV217&lt;=MiscData!$B$23,MiscData!$C$23,IF(AV217&lt;=MiscData!$B$24,MiscData!$C$24,MiscData!$C$25))</f>
        <v>20140101</v>
      </c>
      <c r="AZ217" s="439" t="str">
        <f>VLOOKUP(BA217,MiscData!$V$4:$W$42,2,FALSE)</f>
        <v>KUCME227</v>
      </c>
      <c r="BA217" s="439">
        <f>IF(BA216=MiscData!$V$42,1,BA216+1)</f>
        <v>19</v>
      </c>
      <c r="BB217" s="439" t="str">
        <f>VLOOKUP(AZ217,MiscData!$W$4:$Y$42,3,FALSE)</f>
        <v>AES3</v>
      </c>
    </row>
    <row r="218" spans="1:54" hidden="1">
      <c r="A218" s="448">
        <f t="shared" si="119"/>
        <v>200</v>
      </c>
      <c r="B218" s="448" t="str">
        <f t="shared" si="120"/>
        <v>Jun 2016</v>
      </c>
      <c r="C218" s="448" t="s">
        <v>19</v>
      </c>
      <c r="D218" s="449" t="str">
        <f t="shared" si="121"/>
        <v>LE</v>
      </c>
      <c r="E218" s="449" t="str">
        <f t="shared" si="122"/>
        <v>KUCME290</v>
      </c>
      <c r="F218" s="450">
        <f t="shared" si="123"/>
        <v>2</v>
      </c>
      <c r="G218" s="450">
        <v>0</v>
      </c>
      <c r="H218" s="450">
        <v>0</v>
      </c>
      <c r="I218" s="450">
        <v>0</v>
      </c>
      <c r="J218" s="450">
        <f t="shared" si="124"/>
        <v>10965</v>
      </c>
      <c r="K218" s="482">
        <f t="shared" si="125"/>
        <v>0</v>
      </c>
      <c r="L218" s="482">
        <f t="shared" si="126"/>
        <v>0</v>
      </c>
      <c r="M218" s="482">
        <f t="shared" si="127"/>
        <v>0</v>
      </c>
      <c r="N218" s="482">
        <f t="shared" si="128"/>
        <v>0</v>
      </c>
      <c r="O218" s="482">
        <f t="shared" si="129"/>
        <v>0</v>
      </c>
      <c r="P218" s="482">
        <f t="shared" si="130"/>
        <v>0</v>
      </c>
      <c r="Q218" s="451">
        <f t="shared" si="131"/>
        <v>0</v>
      </c>
      <c r="R218" s="452">
        <f t="shared" si="132"/>
        <v>6.3799999999999996E-2</v>
      </c>
      <c r="S218" s="452">
        <v>0</v>
      </c>
      <c r="T218" s="452">
        <v>0</v>
      </c>
      <c r="U218" s="452">
        <f t="shared" si="133"/>
        <v>2.8920000000000001E-2</v>
      </c>
      <c r="V218" s="451">
        <f t="shared" si="134"/>
        <v>0</v>
      </c>
      <c r="W218" s="451">
        <f t="shared" si="135"/>
        <v>0</v>
      </c>
      <c r="X218" s="451">
        <f t="shared" si="136"/>
        <v>0</v>
      </c>
      <c r="Y218" s="453">
        <f t="shared" si="137"/>
        <v>0</v>
      </c>
      <c r="Z218" s="453">
        <f t="shared" si="138"/>
        <v>699.57</v>
      </c>
      <c r="AA218" s="453">
        <f t="shared" si="139"/>
        <v>0</v>
      </c>
      <c r="AB218" s="453">
        <f t="shared" si="140"/>
        <v>0</v>
      </c>
      <c r="AC218" s="453">
        <f t="shared" si="141"/>
        <v>0</v>
      </c>
      <c r="AD218" s="453">
        <f t="shared" si="142"/>
        <v>0</v>
      </c>
      <c r="AE218" s="493">
        <f t="shared" si="143"/>
        <v>699.57</v>
      </c>
      <c r="AF218" s="453">
        <f t="shared" si="144"/>
        <v>0</v>
      </c>
      <c r="AG218" s="494">
        <f t="shared" si="145"/>
        <v>0</v>
      </c>
      <c r="AH218" s="454">
        <f t="shared" si="146"/>
        <v>0</v>
      </c>
      <c r="AI218" s="454">
        <f t="shared" si="147"/>
        <v>0</v>
      </c>
      <c r="AJ218" s="454">
        <f t="shared" si="148"/>
        <v>0</v>
      </c>
      <c r="AK218" s="454">
        <f t="shared" si="149"/>
        <v>0</v>
      </c>
      <c r="AL218" s="454">
        <f t="shared" si="150"/>
        <v>0</v>
      </c>
      <c r="AM218" s="454">
        <f t="shared" si="151"/>
        <v>0</v>
      </c>
      <c r="AN218" s="491">
        <f t="shared" si="152"/>
        <v>699.57</v>
      </c>
      <c r="AO218" s="487">
        <f t="shared" si="153"/>
        <v>-699.57</v>
      </c>
      <c r="AP218" s="495">
        <f t="shared" si="154"/>
        <v>317.11</v>
      </c>
      <c r="AQ218" s="496">
        <f t="shared" si="155"/>
        <v>382.46000000000004</v>
      </c>
      <c r="AV218" s="459">
        <f>IF(BA218&gt;BA217,AV217,IF(AV217&lt;MiscData!$F$1,EOMONTH(AV217,1),EOMONTH(AV217,-11)))</f>
        <v>42551</v>
      </c>
      <c r="AW218" s="448" t="str">
        <f t="shared" si="156"/>
        <v>20140101KUCME290</v>
      </c>
      <c r="AX218" s="457" t="str">
        <f t="shared" si="157"/>
        <v>20140101LE</v>
      </c>
      <c r="AY218" s="439">
        <f>IF(AV218&lt;=MiscData!$B$23,MiscData!$C$23,IF(AV218&lt;=MiscData!$B$24,MiscData!$C$24,MiscData!$C$25))</f>
        <v>20140101</v>
      </c>
      <c r="AZ218" s="439" t="str">
        <f>VLOOKUP(BA218,MiscData!$V$4:$W$42,2,FALSE)</f>
        <v>KUCME290</v>
      </c>
      <c r="BA218" s="439">
        <f>IF(BA217=MiscData!$V$42,1,BA217+1)</f>
        <v>20</v>
      </c>
      <c r="BB218" s="439" t="str">
        <f>VLOOKUP(AZ218,MiscData!$W$4:$Y$42,3,FALSE)</f>
        <v>LE</v>
      </c>
    </row>
    <row r="219" spans="1:54" hidden="1">
      <c r="A219" s="448">
        <f t="shared" si="119"/>
        <v>201</v>
      </c>
      <c r="B219" s="448" t="str">
        <f t="shared" si="120"/>
        <v>Jun 2016</v>
      </c>
      <c r="C219" s="448" t="s">
        <v>19</v>
      </c>
      <c r="D219" s="449" t="str">
        <f t="shared" si="121"/>
        <v>LE</v>
      </c>
      <c r="E219" s="449" t="str">
        <f t="shared" si="122"/>
        <v>KUCME291</v>
      </c>
      <c r="F219" s="450">
        <f t="shared" si="123"/>
        <v>0</v>
      </c>
      <c r="G219" s="450">
        <v>0</v>
      </c>
      <c r="H219" s="450">
        <v>0</v>
      </c>
      <c r="I219" s="450">
        <v>0</v>
      </c>
      <c r="J219" s="450">
        <f t="shared" si="124"/>
        <v>0</v>
      </c>
      <c r="K219" s="482">
        <f t="shared" si="125"/>
        <v>0</v>
      </c>
      <c r="L219" s="482">
        <f t="shared" si="126"/>
        <v>0</v>
      </c>
      <c r="M219" s="482">
        <f t="shared" si="127"/>
        <v>0</v>
      </c>
      <c r="N219" s="482">
        <f t="shared" si="128"/>
        <v>0</v>
      </c>
      <c r="O219" s="482">
        <f t="shared" si="129"/>
        <v>0</v>
      </c>
      <c r="P219" s="482">
        <f t="shared" si="130"/>
        <v>0</v>
      </c>
      <c r="Q219" s="451">
        <f t="shared" si="131"/>
        <v>0</v>
      </c>
      <c r="R219" s="452">
        <f t="shared" si="132"/>
        <v>6.3799999999999996E-2</v>
      </c>
      <c r="S219" s="452">
        <v>0</v>
      </c>
      <c r="T219" s="452">
        <v>0</v>
      </c>
      <c r="U219" s="452">
        <f t="shared" si="133"/>
        <v>2.8920000000000001E-2</v>
      </c>
      <c r="V219" s="451">
        <f t="shared" si="134"/>
        <v>0</v>
      </c>
      <c r="W219" s="451">
        <f t="shared" si="135"/>
        <v>0</v>
      </c>
      <c r="X219" s="451">
        <f t="shared" si="136"/>
        <v>0</v>
      </c>
      <c r="Y219" s="453">
        <f t="shared" si="137"/>
        <v>0</v>
      </c>
      <c r="Z219" s="453">
        <f t="shared" si="138"/>
        <v>0</v>
      </c>
      <c r="AA219" s="453">
        <f t="shared" si="139"/>
        <v>0</v>
      </c>
      <c r="AB219" s="453">
        <f t="shared" si="140"/>
        <v>0</v>
      </c>
      <c r="AC219" s="453">
        <f t="shared" si="141"/>
        <v>0</v>
      </c>
      <c r="AD219" s="453">
        <f t="shared" si="142"/>
        <v>0</v>
      </c>
      <c r="AE219" s="493">
        <f t="shared" si="143"/>
        <v>0</v>
      </c>
      <c r="AF219" s="453">
        <f t="shared" si="144"/>
        <v>0</v>
      </c>
      <c r="AG219" s="494">
        <f t="shared" si="145"/>
        <v>1</v>
      </c>
      <c r="AH219" s="454">
        <f t="shared" si="146"/>
        <v>0</v>
      </c>
      <c r="AI219" s="454">
        <f t="shared" si="147"/>
        <v>0</v>
      </c>
      <c r="AJ219" s="454">
        <f t="shared" si="148"/>
        <v>0</v>
      </c>
      <c r="AK219" s="454">
        <f t="shared" si="149"/>
        <v>0</v>
      </c>
      <c r="AL219" s="454">
        <f t="shared" si="150"/>
        <v>0</v>
      </c>
      <c r="AM219" s="454">
        <f t="shared" si="151"/>
        <v>0</v>
      </c>
      <c r="AN219" s="491">
        <f t="shared" si="152"/>
        <v>0</v>
      </c>
      <c r="AO219" s="487">
        <f t="shared" si="153"/>
        <v>0</v>
      </c>
      <c r="AP219" s="495">
        <f t="shared" si="154"/>
        <v>0</v>
      </c>
      <c r="AQ219" s="496">
        <f t="shared" si="155"/>
        <v>0</v>
      </c>
      <c r="AV219" s="459">
        <f>IF(BA219&gt;BA218,AV218,IF(AV218&lt;MiscData!$F$1,EOMONTH(AV218,1),EOMONTH(AV218,-11)))</f>
        <v>42551</v>
      </c>
      <c r="AW219" s="448" t="str">
        <f t="shared" si="156"/>
        <v>20140101KUCME291</v>
      </c>
      <c r="AX219" s="457" t="str">
        <f t="shared" si="157"/>
        <v>20140101LE</v>
      </c>
      <c r="AY219" s="439">
        <f>IF(AV219&lt;=MiscData!$B$23,MiscData!$C$23,IF(AV219&lt;=MiscData!$B$24,MiscData!$C$24,MiscData!$C$25))</f>
        <v>20140101</v>
      </c>
      <c r="AZ219" s="439" t="str">
        <f>VLOOKUP(BA219,MiscData!$V$4:$W$42,2,FALSE)</f>
        <v>KUCME291</v>
      </c>
      <c r="BA219" s="439">
        <f>IF(BA218=MiscData!$V$42,1,BA218+1)</f>
        <v>21</v>
      </c>
      <c r="BB219" s="439" t="str">
        <f>VLOOKUP(AZ219,MiscData!$W$4:$Y$42,3,FALSE)</f>
        <v>LE</v>
      </c>
    </row>
    <row r="220" spans="1:54" hidden="1">
      <c r="A220" s="448">
        <f t="shared" si="119"/>
        <v>202</v>
      </c>
      <c r="B220" s="448" t="str">
        <f t="shared" si="120"/>
        <v>Jun 2016</v>
      </c>
      <c r="C220" s="448" t="s">
        <v>20</v>
      </c>
      <c r="D220" s="449" t="str">
        <f t="shared" si="121"/>
        <v>TE</v>
      </c>
      <c r="E220" s="449" t="str">
        <f t="shared" si="122"/>
        <v>KUCME295</v>
      </c>
      <c r="F220" s="450">
        <f t="shared" si="123"/>
        <v>747</v>
      </c>
      <c r="G220" s="450">
        <v>0</v>
      </c>
      <c r="H220" s="450">
        <v>0</v>
      </c>
      <c r="I220" s="450">
        <v>0</v>
      </c>
      <c r="J220" s="450">
        <f t="shared" si="124"/>
        <v>106303</v>
      </c>
      <c r="K220" s="482">
        <f t="shared" si="125"/>
        <v>0</v>
      </c>
      <c r="L220" s="482">
        <f t="shared" si="126"/>
        <v>0</v>
      </c>
      <c r="M220" s="482">
        <f t="shared" si="127"/>
        <v>0</v>
      </c>
      <c r="N220" s="482">
        <f t="shared" si="128"/>
        <v>0</v>
      </c>
      <c r="O220" s="482">
        <f t="shared" si="129"/>
        <v>0</v>
      </c>
      <c r="P220" s="482">
        <f t="shared" si="130"/>
        <v>0</v>
      </c>
      <c r="Q220" s="451">
        <f t="shared" si="131"/>
        <v>3.25</v>
      </c>
      <c r="R220" s="452">
        <f t="shared" si="132"/>
        <v>7.9780000000000004E-2</v>
      </c>
      <c r="S220" s="452">
        <v>0</v>
      </c>
      <c r="T220" s="452">
        <v>0</v>
      </c>
      <c r="U220" s="452">
        <f t="shared" si="133"/>
        <v>2.8920000000000001E-2</v>
      </c>
      <c r="V220" s="451">
        <f t="shared" si="134"/>
        <v>0</v>
      </c>
      <c r="W220" s="451">
        <f t="shared" si="135"/>
        <v>0</v>
      </c>
      <c r="X220" s="451">
        <f t="shared" si="136"/>
        <v>0</v>
      </c>
      <c r="Y220" s="453">
        <f t="shared" si="137"/>
        <v>2427.75</v>
      </c>
      <c r="Z220" s="453">
        <f t="shared" si="138"/>
        <v>8480.85</v>
      </c>
      <c r="AA220" s="453">
        <f t="shared" si="139"/>
        <v>0</v>
      </c>
      <c r="AB220" s="453">
        <f t="shared" si="140"/>
        <v>0</v>
      </c>
      <c r="AC220" s="453">
        <f t="shared" si="141"/>
        <v>0</v>
      </c>
      <c r="AD220" s="453">
        <f t="shared" si="142"/>
        <v>0</v>
      </c>
      <c r="AE220" s="493">
        <f t="shared" si="143"/>
        <v>10908.6</v>
      </c>
      <c r="AF220" s="453">
        <f t="shared" si="144"/>
        <v>0</v>
      </c>
      <c r="AG220" s="494">
        <f t="shared" si="145"/>
        <v>0</v>
      </c>
      <c r="AH220" s="454">
        <f t="shared" si="146"/>
        <v>0</v>
      </c>
      <c r="AI220" s="454">
        <f t="shared" si="147"/>
        <v>0</v>
      </c>
      <c r="AJ220" s="454">
        <f t="shared" si="148"/>
        <v>0</v>
      </c>
      <c r="AK220" s="454">
        <f t="shared" si="149"/>
        <v>0</v>
      </c>
      <c r="AL220" s="454">
        <f t="shared" si="150"/>
        <v>0</v>
      </c>
      <c r="AM220" s="454">
        <f t="shared" si="151"/>
        <v>0</v>
      </c>
      <c r="AN220" s="491">
        <f t="shared" si="152"/>
        <v>10908.6</v>
      </c>
      <c r="AO220" s="487">
        <f t="shared" si="153"/>
        <v>-10908.6</v>
      </c>
      <c r="AP220" s="495">
        <f t="shared" si="154"/>
        <v>3074.28</v>
      </c>
      <c r="AQ220" s="496">
        <f t="shared" si="155"/>
        <v>5406.57</v>
      </c>
      <c r="AV220" s="459">
        <f>IF(BA220&gt;BA219,AV219,IF(AV219&lt;MiscData!$F$1,EOMONTH(AV219,1),EOMONTH(AV219,-11)))</f>
        <v>42551</v>
      </c>
      <c r="AW220" s="448" t="str">
        <f t="shared" si="156"/>
        <v>20140101KUCME295</v>
      </c>
      <c r="AX220" s="457" t="str">
        <f t="shared" si="157"/>
        <v>20140101TE</v>
      </c>
      <c r="AY220" s="439">
        <f>IF(AV220&lt;=MiscData!$B$23,MiscData!$C$23,IF(AV220&lt;=MiscData!$B$24,MiscData!$C$24,MiscData!$C$25))</f>
        <v>20140101</v>
      </c>
      <c r="AZ220" s="439" t="str">
        <f>VLOOKUP(BA220,MiscData!$V$4:$W$42,2,FALSE)</f>
        <v>KUCME295</v>
      </c>
      <c r="BA220" s="439">
        <f>IF(BA219=MiscData!$V$42,1,BA219+1)</f>
        <v>22</v>
      </c>
      <c r="BB220" s="439" t="str">
        <f>VLOOKUP(AZ220,MiscData!$W$4:$Y$42,3,FALSE)</f>
        <v>TE</v>
      </c>
    </row>
    <row r="221" spans="1:54" hidden="1">
      <c r="A221" s="448">
        <f t="shared" si="119"/>
        <v>203</v>
      </c>
      <c r="B221" s="448" t="str">
        <f t="shared" si="120"/>
        <v>Jun 2016</v>
      </c>
      <c r="C221" s="448" t="s">
        <v>20</v>
      </c>
      <c r="D221" s="449" t="str">
        <f t="shared" si="121"/>
        <v>TE</v>
      </c>
      <c r="E221" s="449" t="str">
        <f t="shared" si="122"/>
        <v>KUCME297</v>
      </c>
      <c r="F221" s="450">
        <f t="shared" si="123"/>
        <v>0</v>
      </c>
      <c r="G221" s="450">
        <v>0</v>
      </c>
      <c r="H221" s="450">
        <v>0</v>
      </c>
      <c r="I221" s="450">
        <v>0</v>
      </c>
      <c r="J221" s="450">
        <f t="shared" si="124"/>
        <v>0</v>
      </c>
      <c r="K221" s="482">
        <f t="shared" si="125"/>
        <v>0</v>
      </c>
      <c r="L221" s="482">
        <f t="shared" si="126"/>
        <v>0</v>
      </c>
      <c r="M221" s="482">
        <f t="shared" si="127"/>
        <v>0</v>
      </c>
      <c r="N221" s="482">
        <f t="shared" si="128"/>
        <v>0</v>
      </c>
      <c r="O221" s="482">
        <f t="shared" si="129"/>
        <v>0</v>
      </c>
      <c r="P221" s="482">
        <f t="shared" si="130"/>
        <v>0</v>
      </c>
      <c r="Q221" s="451">
        <f t="shared" si="131"/>
        <v>3.25</v>
      </c>
      <c r="R221" s="452">
        <f t="shared" si="132"/>
        <v>7.9780000000000004E-2</v>
      </c>
      <c r="S221" s="452">
        <v>0</v>
      </c>
      <c r="T221" s="452">
        <v>0</v>
      </c>
      <c r="U221" s="452">
        <f t="shared" si="133"/>
        <v>2.8920000000000001E-2</v>
      </c>
      <c r="V221" s="451">
        <f t="shared" si="134"/>
        <v>0</v>
      </c>
      <c r="W221" s="451">
        <f t="shared" si="135"/>
        <v>0</v>
      </c>
      <c r="X221" s="451">
        <f t="shared" si="136"/>
        <v>0</v>
      </c>
      <c r="Y221" s="453">
        <f t="shared" si="137"/>
        <v>0</v>
      </c>
      <c r="Z221" s="453">
        <f t="shared" si="138"/>
        <v>0</v>
      </c>
      <c r="AA221" s="453">
        <f t="shared" si="139"/>
        <v>0</v>
      </c>
      <c r="AB221" s="453">
        <f t="shared" si="140"/>
        <v>0</v>
      </c>
      <c r="AC221" s="453">
        <f t="shared" si="141"/>
        <v>0</v>
      </c>
      <c r="AD221" s="453">
        <f t="shared" si="142"/>
        <v>0</v>
      </c>
      <c r="AE221" s="493">
        <f t="shared" si="143"/>
        <v>0</v>
      </c>
      <c r="AF221" s="453">
        <f t="shared" si="144"/>
        <v>0</v>
      </c>
      <c r="AG221" s="494">
        <f t="shared" si="145"/>
        <v>1</v>
      </c>
      <c r="AH221" s="454">
        <f t="shared" si="146"/>
        <v>0</v>
      </c>
      <c r="AI221" s="454">
        <f t="shared" si="147"/>
        <v>0</v>
      </c>
      <c r="AJ221" s="454">
        <f t="shared" si="148"/>
        <v>0</v>
      </c>
      <c r="AK221" s="454">
        <f t="shared" si="149"/>
        <v>0</v>
      </c>
      <c r="AL221" s="454">
        <f t="shared" si="150"/>
        <v>0</v>
      </c>
      <c r="AM221" s="454">
        <f t="shared" si="151"/>
        <v>0</v>
      </c>
      <c r="AN221" s="491">
        <f t="shared" si="152"/>
        <v>0</v>
      </c>
      <c r="AO221" s="487">
        <f t="shared" si="153"/>
        <v>0</v>
      </c>
      <c r="AP221" s="495">
        <f t="shared" si="154"/>
        <v>0</v>
      </c>
      <c r="AQ221" s="496">
        <f t="shared" si="155"/>
        <v>0</v>
      </c>
      <c r="AV221" s="459">
        <f>IF(BA221&gt;BA220,AV220,IF(AV220&lt;MiscData!$F$1,EOMONTH(AV220,1),EOMONTH(AV220,-11)))</f>
        <v>42551</v>
      </c>
      <c r="AW221" s="448" t="str">
        <f t="shared" si="156"/>
        <v>20140101KUCME297</v>
      </c>
      <c r="AX221" s="457" t="str">
        <f t="shared" si="157"/>
        <v>20140101TE</v>
      </c>
      <c r="AY221" s="439">
        <f>IF(AV221&lt;=MiscData!$B$23,MiscData!$C$23,IF(AV221&lt;=MiscData!$B$24,MiscData!$C$24,MiscData!$C$25))</f>
        <v>20140101</v>
      </c>
      <c r="AZ221" s="439" t="str">
        <f>VLOOKUP(BA221,MiscData!$V$4:$W$42,2,FALSE)</f>
        <v>KUCME297</v>
      </c>
      <c r="BA221" s="439">
        <f>IF(BA220=MiscData!$V$42,1,BA220+1)</f>
        <v>23</v>
      </c>
      <c r="BB221" s="439" t="str">
        <f>VLOOKUP(AZ221,MiscData!$W$4:$Y$42,3,FALSE)</f>
        <v>TE</v>
      </c>
    </row>
    <row r="222" spans="1:54" hidden="1">
      <c r="A222" s="448">
        <f t="shared" si="119"/>
        <v>204</v>
      </c>
      <c r="B222" s="448" t="str">
        <f t="shared" si="120"/>
        <v>Jun 2016</v>
      </c>
      <c r="C222" s="448" t="s">
        <v>690</v>
      </c>
      <c r="D222" s="449" t="str">
        <f t="shared" si="121"/>
        <v>SQF</v>
      </c>
      <c r="E222" s="449" t="str">
        <f t="shared" si="122"/>
        <v>KUCME705</v>
      </c>
      <c r="F222" s="450">
        <f t="shared" si="123"/>
        <v>0</v>
      </c>
      <c r="G222" s="450">
        <v>0</v>
      </c>
      <c r="H222" s="450">
        <v>0</v>
      </c>
      <c r="I222" s="450">
        <v>0</v>
      </c>
      <c r="J222" s="450">
        <f t="shared" si="124"/>
        <v>0</v>
      </c>
      <c r="K222" s="482">
        <f t="shared" si="125"/>
        <v>0</v>
      </c>
      <c r="L222" s="482">
        <f t="shared" si="126"/>
        <v>0</v>
      </c>
      <c r="M222" s="482">
        <f t="shared" si="127"/>
        <v>0</v>
      </c>
      <c r="N222" s="482">
        <f t="shared" si="128"/>
        <v>0</v>
      </c>
      <c r="O222" s="482">
        <f t="shared" si="129"/>
        <v>0</v>
      </c>
      <c r="P222" s="482">
        <f t="shared" si="130"/>
        <v>0</v>
      </c>
      <c r="Q222" s="451">
        <f t="shared" si="131"/>
        <v>0</v>
      </c>
      <c r="R222" s="452">
        <f t="shared" si="132"/>
        <v>0</v>
      </c>
      <c r="S222" s="452">
        <v>0</v>
      </c>
      <c r="T222" s="452">
        <v>0</v>
      </c>
      <c r="U222" s="452">
        <f t="shared" si="133"/>
        <v>0</v>
      </c>
      <c r="V222" s="451">
        <f t="shared" si="134"/>
        <v>0</v>
      </c>
      <c r="W222" s="451">
        <f t="shared" si="135"/>
        <v>0</v>
      </c>
      <c r="X222" s="451">
        <f t="shared" si="136"/>
        <v>0</v>
      </c>
      <c r="Y222" s="453">
        <f t="shared" si="137"/>
        <v>0</v>
      </c>
      <c r="Z222" s="453">
        <f t="shared" si="138"/>
        <v>0</v>
      </c>
      <c r="AA222" s="453">
        <f t="shared" si="139"/>
        <v>0</v>
      </c>
      <c r="AB222" s="453">
        <f t="shared" si="140"/>
        <v>0</v>
      </c>
      <c r="AC222" s="453">
        <f t="shared" si="141"/>
        <v>0</v>
      </c>
      <c r="AD222" s="453">
        <f t="shared" si="142"/>
        <v>0</v>
      </c>
      <c r="AE222" s="493">
        <f t="shared" si="143"/>
        <v>0</v>
      </c>
      <c r="AF222" s="453">
        <f t="shared" si="144"/>
        <v>0</v>
      </c>
      <c r="AG222" s="494">
        <f t="shared" si="145"/>
        <v>1</v>
      </c>
      <c r="AH222" s="454">
        <f t="shared" si="146"/>
        <v>0</v>
      </c>
      <c r="AI222" s="454">
        <f t="shared" si="147"/>
        <v>0</v>
      </c>
      <c r="AJ222" s="454">
        <f t="shared" si="148"/>
        <v>0</v>
      </c>
      <c r="AK222" s="454">
        <f t="shared" si="149"/>
        <v>0</v>
      </c>
      <c r="AL222" s="454">
        <f t="shared" si="150"/>
        <v>0</v>
      </c>
      <c r="AM222" s="454">
        <f t="shared" si="151"/>
        <v>0</v>
      </c>
      <c r="AN222" s="491">
        <f t="shared" si="152"/>
        <v>0</v>
      </c>
      <c r="AO222" s="487">
        <f t="shared" si="153"/>
        <v>0</v>
      </c>
      <c r="AP222" s="495">
        <f t="shared" si="154"/>
        <v>0</v>
      </c>
      <c r="AQ222" s="496">
        <f t="shared" si="155"/>
        <v>0</v>
      </c>
      <c r="AV222" s="459">
        <f>IF(BA222&gt;BA221,AV221,IF(AV221&lt;MiscData!$F$1,EOMONTH(AV221,1),EOMONTH(AV221,-11)))</f>
        <v>42551</v>
      </c>
      <c r="AW222" s="448" t="str">
        <f t="shared" si="156"/>
        <v>20140101KUCME705</v>
      </c>
      <c r="AX222" s="457" t="str">
        <f t="shared" si="157"/>
        <v>20140101SQF</v>
      </c>
      <c r="AY222" s="439">
        <f>IF(AV222&lt;=MiscData!$B$23,MiscData!$C$23,IF(AV222&lt;=MiscData!$B$24,MiscData!$C$24,MiscData!$C$25))</f>
        <v>20140101</v>
      </c>
      <c r="AZ222" s="439" t="str">
        <f>VLOOKUP(BA222,MiscData!$V$4:$W$42,2,FALSE)</f>
        <v>KUCME705</v>
      </c>
      <c r="BA222" s="439">
        <f>IF(BA221=MiscData!$V$42,1,BA221+1)</f>
        <v>24</v>
      </c>
      <c r="BB222" s="439" t="str">
        <f>VLOOKUP(AZ222,MiscData!$W$4:$Y$42,3,FALSE)</f>
        <v>SQF</v>
      </c>
    </row>
    <row r="223" spans="1:54" hidden="1">
      <c r="A223" s="448">
        <f t="shared" si="119"/>
        <v>205</v>
      </c>
      <c r="B223" s="448" t="str">
        <f t="shared" si="120"/>
        <v>Jun 2016</v>
      </c>
      <c r="C223" s="448" t="s">
        <v>1156</v>
      </c>
      <c r="D223" s="449" t="str">
        <f t="shared" si="121"/>
        <v>LQF</v>
      </c>
      <c r="E223" s="449" t="str">
        <f t="shared" si="122"/>
        <v>KUCME707</v>
      </c>
      <c r="F223" s="450">
        <f t="shared" si="123"/>
        <v>0</v>
      </c>
      <c r="G223" s="450">
        <v>0</v>
      </c>
      <c r="H223" s="450">
        <v>0</v>
      </c>
      <c r="I223" s="450">
        <v>0</v>
      </c>
      <c r="J223" s="450">
        <f t="shared" si="124"/>
        <v>0</v>
      </c>
      <c r="K223" s="482">
        <f t="shared" si="125"/>
        <v>0</v>
      </c>
      <c r="L223" s="482">
        <f t="shared" si="126"/>
        <v>0</v>
      </c>
      <c r="M223" s="482">
        <f t="shared" si="127"/>
        <v>0</v>
      </c>
      <c r="N223" s="482">
        <f t="shared" si="128"/>
        <v>0</v>
      </c>
      <c r="O223" s="482">
        <f t="shared" si="129"/>
        <v>0</v>
      </c>
      <c r="P223" s="482">
        <f t="shared" si="130"/>
        <v>0</v>
      </c>
      <c r="Q223" s="451">
        <f t="shared" si="131"/>
        <v>0</v>
      </c>
      <c r="R223" s="452">
        <f t="shared" si="132"/>
        <v>0</v>
      </c>
      <c r="S223" s="452">
        <v>0</v>
      </c>
      <c r="T223" s="452">
        <v>0</v>
      </c>
      <c r="U223" s="452">
        <f t="shared" si="133"/>
        <v>0</v>
      </c>
      <c r="V223" s="451">
        <f t="shared" si="134"/>
        <v>0</v>
      </c>
      <c r="W223" s="451">
        <f t="shared" si="135"/>
        <v>0</v>
      </c>
      <c r="X223" s="451">
        <f t="shared" si="136"/>
        <v>0</v>
      </c>
      <c r="Y223" s="453">
        <f t="shared" si="137"/>
        <v>0</v>
      </c>
      <c r="Z223" s="453">
        <f t="shared" si="138"/>
        <v>0</v>
      </c>
      <c r="AA223" s="453">
        <f t="shared" si="139"/>
        <v>0</v>
      </c>
      <c r="AB223" s="453">
        <f t="shared" si="140"/>
        <v>0</v>
      </c>
      <c r="AC223" s="453">
        <f t="shared" si="141"/>
        <v>0</v>
      </c>
      <c r="AD223" s="453">
        <f t="shared" si="142"/>
        <v>0</v>
      </c>
      <c r="AE223" s="493">
        <f t="shared" si="143"/>
        <v>0</v>
      </c>
      <c r="AF223" s="453">
        <f t="shared" si="144"/>
        <v>0</v>
      </c>
      <c r="AG223" s="494">
        <f t="shared" si="145"/>
        <v>1</v>
      </c>
      <c r="AH223" s="454">
        <f t="shared" si="146"/>
        <v>0</v>
      </c>
      <c r="AI223" s="454">
        <f t="shared" si="147"/>
        <v>0</v>
      </c>
      <c r="AJ223" s="454">
        <f t="shared" si="148"/>
        <v>0</v>
      </c>
      <c r="AK223" s="454">
        <f t="shared" si="149"/>
        <v>0</v>
      </c>
      <c r="AL223" s="454">
        <f t="shared" si="150"/>
        <v>0</v>
      </c>
      <c r="AM223" s="454">
        <f t="shared" si="151"/>
        <v>0</v>
      </c>
      <c r="AN223" s="491">
        <f t="shared" si="152"/>
        <v>0</v>
      </c>
      <c r="AO223" s="487">
        <f t="shared" si="153"/>
        <v>0</v>
      </c>
      <c r="AP223" s="495">
        <f t="shared" si="154"/>
        <v>0</v>
      </c>
      <c r="AQ223" s="496">
        <f t="shared" si="155"/>
        <v>0</v>
      </c>
      <c r="AV223" s="459">
        <f>IF(BA223&gt;BA222,AV222,IF(AV222&lt;MiscData!$F$1,EOMONTH(AV222,1),EOMONTH(AV222,-11)))</f>
        <v>42551</v>
      </c>
      <c r="AW223" s="448" t="str">
        <f t="shared" si="156"/>
        <v>20140101KUCME707</v>
      </c>
      <c r="AX223" s="457" t="str">
        <f t="shared" si="157"/>
        <v>20140101LQF</v>
      </c>
      <c r="AY223" s="439">
        <f>IF(AV223&lt;=MiscData!$B$23,MiscData!$C$23,IF(AV223&lt;=MiscData!$B$24,MiscData!$C$24,MiscData!$C$25))</f>
        <v>20140101</v>
      </c>
      <c r="AZ223" s="439" t="str">
        <f>VLOOKUP(BA223,MiscData!$V$4:$W$42,2,FALSE)</f>
        <v>KUCME707</v>
      </c>
      <c r="BA223" s="439">
        <f>IF(BA222=MiscData!$V$42,1,BA222+1)</f>
        <v>25</v>
      </c>
      <c r="BB223" s="439" t="str">
        <f>VLOOKUP(AZ223,MiscData!$W$4:$Y$42,3,FALSE)</f>
        <v>LQF</v>
      </c>
    </row>
    <row r="224" spans="1:54">
      <c r="A224" s="499">
        <f t="shared" si="119"/>
        <v>206</v>
      </c>
      <c r="B224" s="448" t="str">
        <f t="shared" si="120"/>
        <v>Jun 2016</v>
      </c>
      <c r="C224" s="448" t="s">
        <v>208</v>
      </c>
      <c r="D224" s="449" t="str">
        <f t="shared" si="121"/>
        <v>GS</v>
      </c>
      <c r="E224" s="449" t="str">
        <f t="shared" si="122"/>
        <v>KUCME710</v>
      </c>
      <c r="F224" s="450">
        <f t="shared" si="123"/>
        <v>0</v>
      </c>
      <c r="G224" s="450">
        <v>0</v>
      </c>
      <c r="H224" s="450">
        <v>0</v>
      </c>
      <c r="I224" s="450">
        <v>0</v>
      </c>
      <c r="J224" s="450">
        <f t="shared" si="124"/>
        <v>0</v>
      </c>
      <c r="K224" s="482">
        <f t="shared" si="125"/>
        <v>0</v>
      </c>
      <c r="L224" s="482">
        <f t="shared" si="126"/>
        <v>0</v>
      </c>
      <c r="M224" s="482">
        <f t="shared" si="127"/>
        <v>0</v>
      </c>
      <c r="N224" s="482">
        <f t="shared" si="128"/>
        <v>0</v>
      </c>
      <c r="O224" s="482">
        <f t="shared" si="129"/>
        <v>0</v>
      </c>
      <c r="P224" s="482">
        <f t="shared" si="130"/>
        <v>0</v>
      </c>
      <c r="Q224" s="451">
        <f t="shared" si="131"/>
        <v>20</v>
      </c>
      <c r="R224" s="452">
        <f t="shared" si="132"/>
        <v>9.2249999999999999E-2</v>
      </c>
      <c r="S224" s="452">
        <v>0</v>
      </c>
      <c r="T224" s="452">
        <v>0</v>
      </c>
      <c r="U224" s="452">
        <f t="shared" si="133"/>
        <v>2.8920000000000001E-2</v>
      </c>
      <c r="V224" s="451">
        <f t="shared" si="134"/>
        <v>0</v>
      </c>
      <c r="W224" s="451">
        <f t="shared" si="135"/>
        <v>0</v>
      </c>
      <c r="X224" s="451">
        <f t="shared" si="136"/>
        <v>0</v>
      </c>
      <c r="Y224" s="453">
        <f t="shared" si="137"/>
        <v>0</v>
      </c>
      <c r="Z224" s="453">
        <f t="shared" si="138"/>
        <v>0</v>
      </c>
      <c r="AA224" s="453">
        <f t="shared" si="139"/>
        <v>0</v>
      </c>
      <c r="AB224" s="453">
        <f t="shared" si="140"/>
        <v>0</v>
      </c>
      <c r="AC224" s="453">
        <f t="shared" si="141"/>
        <v>0</v>
      </c>
      <c r="AD224" s="453">
        <f t="shared" si="142"/>
        <v>0</v>
      </c>
      <c r="AE224" s="493">
        <f t="shared" si="143"/>
        <v>0</v>
      </c>
      <c r="AF224" s="453">
        <f t="shared" si="144"/>
        <v>0</v>
      </c>
      <c r="AG224" s="494">
        <f t="shared" si="145"/>
        <v>1</v>
      </c>
      <c r="AH224" s="454">
        <f t="shared" si="146"/>
        <v>0</v>
      </c>
      <c r="AI224" s="454">
        <f t="shared" si="147"/>
        <v>0</v>
      </c>
      <c r="AJ224" s="454">
        <f t="shared" si="148"/>
        <v>0</v>
      </c>
      <c r="AK224" s="454">
        <f t="shared" si="149"/>
        <v>0</v>
      </c>
      <c r="AL224" s="454">
        <f t="shared" si="150"/>
        <v>0</v>
      </c>
      <c r="AM224" s="454">
        <f t="shared" si="151"/>
        <v>0</v>
      </c>
      <c r="AN224" s="491">
        <f t="shared" si="152"/>
        <v>0</v>
      </c>
      <c r="AO224" s="487">
        <f t="shared" si="153"/>
        <v>0</v>
      </c>
      <c r="AP224" s="495">
        <f t="shared" si="154"/>
        <v>0</v>
      </c>
      <c r="AQ224" s="496">
        <f t="shared" si="155"/>
        <v>0</v>
      </c>
      <c r="AV224" s="459">
        <f>IF(BA224&gt;BA223,AV223,IF(AV223&lt;MiscData!$F$1,EOMONTH(AV223,1),EOMONTH(AV223,-11)))</f>
        <v>42551</v>
      </c>
      <c r="AW224" s="448" t="str">
        <f t="shared" si="156"/>
        <v>20140101KUCME710</v>
      </c>
      <c r="AX224" s="457" t="str">
        <f t="shared" si="157"/>
        <v>20140101GS</v>
      </c>
      <c r="AY224" s="439">
        <f>IF(AV224&lt;=MiscData!$B$23,MiscData!$C$23,IF(AV224&lt;=MiscData!$B$24,MiscData!$C$24,MiscData!$C$25))</f>
        <v>20140101</v>
      </c>
      <c r="AZ224" s="439" t="str">
        <f>VLOOKUP(BA224,MiscData!$V$4:$W$42,2,FALSE)</f>
        <v>KUCME710</v>
      </c>
      <c r="BA224" s="439">
        <f>IF(BA223=MiscData!$V$42,1,BA223+1)</f>
        <v>26</v>
      </c>
      <c r="BB224" s="511" t="str">
        <f>VLOOKUP(AZ224,MiscData!$W$4:$Y$42,3,FALSE)</f>
        <v>GS</v>
      </c>
    </row>
    <row r="225" spans="1:55">
      <c r="A225" s="448">
        <f t="shared" si="119"/>
        <v>207</v>
      </c>
      <c r="B225" s="448" t="str">
        <f t="shared" si="120"/>
        <v>Jun 2016</v>
      </c>
      <c r="C225" s="448" t="s">
        <v>17</v>
      </c>
      <c r="D225" s="449" t="str">
        <f t="shared" si="121"/>
        <v>GS3</v>
      </c>
      <c r="E225" s="449" t="str">
        <f t="shared" si="122"/>
        <v>KUCME713</v>
      </c>
      <c r="F225" s="450">
        <f t="shared" si="123"/>
        <v>0</v>
      </c>
      <c r="G225" s="450">
        <v>0</v>
      </c>
      <c r="H225" s="450">
        <v>0</v>
      </c>
      <c r="I225" s="450">
        <v>0</v>
      </c>
      <c r="J225" s="450">
        <f t="shared" si="124"/>
        <v>0</v>
      </c>
      <c r="K225" s="482">
        <f t="shared" si="125"/>
        <v>0</v>
      </c>
      <c r="L225" s="482">
        <f t="shared" si="126"/>
        <v>0</v>
      </c>
      <c r="M225" s="482">
        <f t="shared" si="127"/>
        <v>0</v>
      </c>
      <c r="N225" s="482">
        <f t="shared" si="128"/>
        <v>0</v>
      </c>
      <c r="O225" s="482">
        <f t="shared" si="129"/>
        <v>0</v>
      </c>
      <c r="P225" s="482">
        <f t="shared" si="130"/>
        <v>0</v>
      </c>
      <c r="Q225" s="451">
        <f t="shared" si="131"/>
        <v>35</v>
      </c>
      <c r="R225" s="452">
        <f t="shared" si="132"/>
        <v>9.2249999999999999E-2</v>
      </c>
      <c r="S225" s="452">
        <v>0</v>
      </c>
      <c r="T225" s="452">
        <v>0</v>
      </c>
      <c r="U225" s="452">
        <f t="shared" si="133"/>
        <v>2.8920000000000001E-2</v>
      </c>
      <c r="V225" s="451">
        <f t="shared" si="134"/>
        <v>0</v>
      </c>
      <c r="W225" s="451">
        <f t="shared" si="135"/>
        <v>0</v>
      </c>
      <c r="X225" s="451">
        <f t="shared" si="136"/>
        <v>0</v>
      </c>
      <c r="Y225" s="453">
        <f t="shared" si="137"/>
        <v>0</v>
      </c>
      <c r="Z225" s="453">
        <f t="shared" si="138"/>
        <v>0</v>
      </c>
      <c r="AA225" s="453">
        <f t="shared" si="139"/>
        <v>0</v>
      </c>
      <c r="AB225" s="453">
        <f t="shared" si="140"/>
        <v>0</v>
      </c>
      <c r="AC225" s="453">
        <f t="shared" si="141"/>
        <v>0</v>
      </c>
      <c r="AD225" s="453">
        <f t="shared" si="142"/>
        <v>0</v>
      </c>
      <c r="AE225" s="493">
        <f t="shared" si="143"/>
        <v>0</v>
      </c>
      <c r="AF225" s="453">
        <f t="shared" si="144"/>
        <v>0</v>
      </c>
      <c r="AG225" s="494">
        <f t="shared" si="145"/>
        <v>1</v>
      </c>
      <c r="AH225" s="454">
        <f t="shared" si="146"/>
        <v>0</v>
      </c>
      <c r="AI225" s="454">
        <f t="shared" si="147"/>
        <v>0</v>
      </c>
      <c r="AJ225" s="454">
        <f t="shared" si="148"/>
        <v>0</v>
      </c>
      <c r="AK225" s="454">
        <f t="shared" si="149"/>
        <v>0</v>
      </c>
      <c r="AL225" s="454">
        <f t="shared" si="150"/>
        <v>0</v>
      </c>
      <c r="AM225" s="454">
        <f t="shared" si="151"/>
        <v>0</v>
      </c>
      <c r="AN225" s="491">
        <f t="shared" si="152"/>
        <v>0</v>
      </c>
      <c r="AO225" s="487">
        <f t="shared" si="153"/>
        <v>0</v>
      </c>
      <c r="AP225" s="495">
        <f t="shared" si="154"/>
        <v>0</v>
      </c>
      <c r="AQ225" s="496">
        <f t="shared" si="155"/>
        <v>0</v>
      </c>
      <c r="AV225" s="459">
        <f>IF(BA225&gt;BA224,AV224,IF(AV224&lt;MiscData!$F$1,EOMONTH(AV224,1),EOMONTH(AV224,-11)))</f>
        <v>42551</v>
      </c>
      <c r="AW225" s="448" t="str">
        <f t="shared" si="156"/>
        <v>20140101KUCME713</v>
      </c>
      <c r="AX225" s="457" t="str">
        <f t="shared" si="157"/>
        <v>20140101GS3</v>
      </c>
      <c r="AY225" s="439">
        <f>IF(AV225&lt;=MiscData!$B$23,MiscData!$C$23,IF(AV225&lt;=MiscData!$B$24,MiscData!$C$24,MiscData!$C$25))</f>
        <v>20140101</v>
      </c>
      <c r="AZ225" s="439" t="str">
        <f>VLOOKUP(BA225,MiscData!$V$4:$W$42,2,FALSE)</f>
        <v>KUCME713</v>
      </c>
      <c r="BA225" s="439">
        <f>IF(BA224=MiscData!$V$42,1,BA224+1)</f>
        <v>27</v>
      </c>
      <c r="BB225" s="439" t="str">
        <f>VLOOKUP(AZ225,MiscData!$W$4:$Y$42,3,FALSE)</f>
        <v>GS3</v>
      </c>
    </row>
    <row r="226" spans="1:55" hidden="1">
      <c r="A226" s="448">
        <f>A222+1</f>
        <v>205</v>
      </c>
      <c r="B226" s="448" t="str">
        <f t="shared" si="120"/>
        <v>Jun 2016</v>
      </c>
      <c r="C226" s="448" t="s">
        <v>1471</v>
      </c>
      <c r="D226" s="449" t="str">
        <f t="shared" si="121"/>
        <v>CSR10</v>
      </c>
      <c r="E226" s="449" t="str">
        <f t="shared" si="122"/>
        <v>KUCSR760</v>
      </c>
      <c r="F226" s="450">
        <f t="shared" si="123"/>
        <v>0</v>
      </c>
      <c r="G226" s="450">
        <v>0</v>
      </c>
      <c r="H226" s="450">
        <v>0</v>
      </c>
      <c r="I226" s="450">
        <v>0</v>
      </c>
      <c r="J226" s="450">
        <f t="shared" si="124"/>
        <v>0</v>
      </c>
      <c r="K226" s="482">
        <f t="shared" si="125"/>
        <v>0</v>
      </c>
      <c r="L226" s="482">
        <f t="shared" si="126"/>
        <v>0</v>
      </c>
      <c r="M226" s="482">
        <f t="shared" si="127"/>
        <v>0</v>
      </c>
      <c r="N226" s="482">
        <f t="shared" si="128"/>
        <v>0</v>
      </c>
      <c r="O226" s="482">
        <f t="shared" si="129"/>
        <v>0</v>
      </c>
      <c r="P226" s="482">
        <f t="shared" si="130"/>
        <v>0</v>
      </c>
      <c r="Q226" s="451">
        <f t="shared" si="131"/>
        <v>0</v>
      </c>
      <c r="R226" s="452">
        <f t="shared" si="132"/>
        <v>0</v>
      </c>
      <c r="S226" s="452">
        <v>0</v>
      </c>
      <c r="T226" s="452">
        <v>0</v>
      </c>
      <c r="U226" s="452">
        <f t="shared" si="133"/>
        <v>0</v>
      </c>
      <c r="V226" s="451">
        <f t="shared" si="134"/>
        <v>-5.4</v>
      </c>
      <c r="W226" s="451">
        <f t="shared" si="135"/>
        <v>0</v>
      </c>
      <c r="X226" s="451">
        <f t="shared" si="136"/>
        <v>0</v>
      </c>
      <c r="Y226" s="453">
        <f t="shared" si="137"/>
        <v>0</v>
      </c>
      <c r="Z226" s="453">
        <f t="shared" si="138"/>
        <v>0</v>
      </c>
      <c r="AA226" s="453">
        <f t="shared" si="139"/>
        <v>0</v>
      </c>
      <c r="AB226" s="453">
        <f t="shared" si="140"/>
        <v>0</v>
      </c>
      <c r="AC226" s="453">
        <f t="shared" si="141"/>
        <v>0</v>
      </c>
      <c r="AD226" s="453">
        <f t="shared" si="142"/>
        <v>0</v>
      </c>
      <c r="AE226" s="493">
        <f t="shared" si="143"/>
        <v>0</v>
      </c>
      <c r="AF226" s="453">
        <f t="shared" si="144"/>
        <v>0</v>
      </c>
      <c r="AG226" s="494">
        <f t="shared" si="145"/>
        <v>1</v>
      </c>
      <c r="AH226" s="454">
        <f t="shared" si="146"/>
        <v>0</v>
      </c>
      <c r="AI226" s="454">
        <f t="shared" si="147"/>
        <v>0</v>
      </c>
      <c r="AJ226" s="454">
        <f t="shared" si="148"/>
        <v>0</v>
      </c>
      <c r="AK226" s="454">
        <f t="shared" si="149"/>
        <v>0</v>
      </c>
      <c r="AL226" s="454">
        <f t="shared" si="150"/>
        <v>-989829</v>
      </c>
      <c r="AM226" s="454">
        <f t="shared" si="151"/>
        <v>-989829</v>
      </c>
      <c r="AN226" s="491">
        <f t="shared" si="152"/>
        <v>-989829</v>
      </c>
      <c r="AO226" s="487">
        <f t="shared" si="153"/>
        <v>0</v>
      </c>
      <c r="AP226" s="495">
        <f t="shared" si="154"/>
        <v>0</v>
      </c>
      <c r="AQ226" s="496">
        <f t="shared" si="155"/>
        <v>0</v>
      </c>
      <c r="AV226" s="459">
        <f>IF(BA226&gt;BA222,AV222,IF(AV222&lt;MiscData!$F$1,EOMONTH(AV222,1),EOMONTH(AV222,-11)))</f>
        <v>42551</v>
      </c>
      <c r="AW226" s="448" t="str">
        <f t="shared" si="156"/>
        <v>20140101KUCSR760</v>
      </c>
      <c r="AX226" s="457" t="str">
        <f t="shared" si="157"/>
        <v>20140101CSR10</v>
      </c>
      <c r="AY226" s="439">
        <f>IF(AV226&lt;=MiscData!$B$23,MiscData!$C$23,IF(AV226&lt;=MiscData!$B$24,MiscData!$C$24,MiscData!$C$25))</f>
        <v>20140101</v>
      </c>
      <c r="AZ226" s="439" t="str">
        <f>VLOOKUP(BA226,MiscData!$V$4:$W$42,2,FALSE)</f>
        <v>KUCSR760</v>
      </c>
      <c r="BA226" s="439">
        <f>IF(BA225=MiscData!$V$42,1,BA225+1)</f>
        <v>28</v>
      </c>
      <c r="BB226" s="439" t="str">
        <f>VLOOKUP(AZ226,MiscData!$W$4:$Y$42,3,FALSE)</f>
        <v>CSR10</v>
      </c>
    </row>
    <row r="227" spans="1:55" hidden="1">
      <c r="A227" s="448">
        <f>A223+1</f>
        <v>206</v>
      </c>
      <c r="B227" s="448" t="str">
        <f t="shared" si="120"/>
        <v>Jun 2016</v>
      </c>
      <c r="C227" s="448" t="s">
        <v>1471</v>
      </c>
      <c r="D227" s="449" t="str">
        <f t="shared" si="121"/>
        <v>CSR10</v>
      </c>
      <c r="E227" s="449" t="str">
        <f t="shared" si="122"/>
        <v>KUCSR761</v>
      </c>
      <c r="F227" s="450">
        <f t="shared" si="123"/>
        <v>0</v>
      </c>
      <c r="G227" s="450">
        <v>0</v>
      </c>
      <c r="H227" s="450">
        <v>0</v>
      </c>
      <c r="I227" s="450">
        <v>0</v>
      </c>
      <c r="J227" s="450">
        <f t="shared" si="124"/>
        <v>0</v>
      </c>
      <c r="K227" s="482">
        <f t="shared" si="125"/>
        <v>0</v>
      </c>
      <c r="L227" s="482">
        <f t="shared" si="126"/>
        <v>0</v>
      </c>
      <c r="M227" s="482">
        <f t="shared" si="127"/>
        <v>0</v>
      </c>
      <c r="N227" s="482">
        <f t="shared" si="128"/>
        <v>0</v>
      </c>
      <c r="O227" s="482">
        <f t="shared" si="129"/>
        <v>0</v>
      </c>
      <c r="P227" s="482">
        <f t="shared" si="130"/>
        <v>0</v>
      </c>
      <c r="Q227" s="451">
        <f t="shared" si="131"/>
        <v>0</v>
      </c>
      <c r="R227" s="452">
        <f t="shared" si="132"/>
        <v>0</v>
      </c>
      <c r="S227" s="452">
        <v>0</v>
      </c>
      <c r="T227" s="452">
        <v>0</v>
      </c>
      <c r="U227" s="452">
        <f t="shared" si="133"/>
        <v>0</v>
      </c>
      <c r="V227" s="451">
        <f t="shared" si="134"/>
        <v>-5.5</v>
      </c>
      <c r="W227" s="451">
        <f t="shared" si="135"/>
        <v>0</v>
      </c>
      <c r="X227" s="451">
        <f t="shared" si="136"/>
        <v>0</v>
      </c>
      <c r="Y227" s="453">
        <f t="shared" si="137"/>
        <v>0</v>
      </c>
      <c r="Z227" s="453">
        <f t="shared" si="138"/>
        <v>0</v>
      </c>
      <c r="AA227" s="453">
        <f t="shared" si="139"/>
        <v>0</v>
      </c>
      <c r="AB227" s="453">
        <f t="shared" si="140"/>
        <v>0</v>
      </c>
      <c r="AC227" s="453">
        <f t="shared" si="141"/>
        <v>0</v>
      </c>
      <c r="AD227" s="453">
        <f t="shared" si="142"/>
        <v>0</v>
      </c>
      <c r="AE227" s="493">
        <f t="shared" si="143"/>
        <v>0</v>
      </c>
      <c r="AF227" s="453">
        <f t="shared" si="144"/>
        <v>0</v>
      </c>
      <c r="AG227" s="494">
        <f t="shared" si="145"/>
        <v>1</v>
      </c>
      <c r="AH227" s="454">
        <f t="shared" si="146"/>
        <v>0</v>
      </c>
      <c r="AI227" s="454">
        <f t="shared" si="147"/>
        <v>0</v>
      </c>
      <c r="AJ227" s="454">
        <f t="shared" si="148"/>
        <v>0</v>
      </c>
      <c r="AK227" s="454">
        <f t="shared" si="149"/>
        <v>0</v>
      </c>
      <c r="AL227" s="454">
        <f t="shared" si="150"/>
        <v>0</v>
      </c>
      <c r="AM227" s="454">
        <f t="shared" si="151"/>
        <v>0</v>
      </c>
      <c r="AN227" s="491">
        <f t="shared" si="152"/>
        <v>0</v>
      </c>
      <c r="AO227" s="487">
        <f t="shared" si="153"/>
        <v>0</v>
      </c>
      <c r="AP227" s="495">
        <f t="shared" si="154"/>
        <v>0</v>
      </c>
      <c r="AQ227" s="496">
        <f t="shared" si="155"/>
        <v>0</v>
      </c>
      <c r="AV227" s="459">
        <f>IF(BA227&gt;BA223,AV223,IF(AV223&lt;MiscData!$F$1,EOMONTH(AV223,1),EOMONTH(AV223,-11)))</f>
        <v>42551</v>
      </c>
      <c r="AW227" s="448" t="str">
        <f t="shared" si="156"/>
        <v>20140101KUCSR761</v>
      </c>
      <c r="AX227" s="457" t="str">
        <f t="shared" si="157"/>
        <v>20140101CSR10</v>
      </c>
      <c r="AY227" s="439">
        <f>IF(AV227&lt;=MiscData!$B$23,MiscData!$C$23,IF(AV227&lt;=MiscData!$B$24,MiscData!$C$24,MiscData!$C$25))</f>
        <v>20140101</v>
      </c>
      <c r="AZ227" s="439" t="str">
        <f>VLOOKUP(BA227,MiscData!$V$4:$W$42,2,FALSE)</f>
        <v>KUCSR761</v>
      </c>
      <c r="BA227" s="439">
        <f>IF(BA226=MiscData!$V$42,1,BA226+1)</f>
        <v>29</v>
      </c>
      <c r="BB227" s="439" t="str">
        <f>VLOOKUP(AZ227,MiscData!$W$4:$Y$42,3,FALSE)</f>
        <v>CSR10</v>
      </c>
    </row>
    <row r="228" spans="1:55" hidden="1">
      <c r="A228" s="499">
        <f>A224+1</f>
        <v>207</v>
      </c>
      <c r="B228" s="448" t="str">
        <f t="shared" si="120"/>
        <v>Jun 2016</v>
      </c>
      <c r="C228" s="448" t="s">
        <v>1472</v>
      </c>
      <c r="D228" s="449" t="str">
        <f t="shared" si="121"/>
        <v>CSR30</v>
      </c>
      <c r="E228" s="449" t="str">
        <f t="shared" si="122"/>
        <v>KUCSR780</v>
      </c>
      <c r="F228" s="450">
        <f t="shared" si="123"/>
        <v>0</v>
      </c>
      <c r="G228" s="450">
        <v>0</v>
      </c>
      <c r="H228" s="450">
        <v>0</v>
      </c>
      <c r="I228" s="450">
        <v>0</v>
      </c>
      <c r="J228" s="450">
        <f t="shared" si="124"/>
        <v>0</v>
      </c>
      <c r="K228" s="482">
        <f t="shared" si="125"/>
        <v>0</v>
      </c>
      <c r="L228" s="482">
        <f t="shared" si="126"/>
        <v>0</v>
      </c>
      <c r="M228" s="482">
        <f t="shared" si="127"/>
        <v>0</v>
      </c>
      <c r="N228" s="482">
        <f t="shared" si="128"/>
        <v>0</v>
      </c>
      <c r="O228" s="482">
        <f t="shared" si="129"/>
        <v>0</v>
      </c>
      <c r="P228" s="482">
        <f t="shared" si="130"/>
        <v>0</v>
      </c>
      <c r="Q228" s="451">
        <f t="shared" si="131"/>
        <v>0</v>
      </c>
      <c r="R228" s="452">
        <f t="shared" si="132"/>
        <v>0</v>
      </c>
      <c r="S228" s="452">
        <v>0</v>
      </c>
      <c r="T228" s="452">
        <v>0</v>
      </c>
      <c r="U228" s="452">
        <f t="shared" si="133"/>
        <v>0</v>
      </c>
      <c r="V228" s="451">
        <f t="shared" si="134"/>
        <v>-4.3</v>
      </c>
      <c r="W228" s="451">
        <f t="shared" si="135"/>
        <v>0</v>
      </c>
      <c r="X228" s="451">
        <f t="shared" si="136"/>
        <v>0</v>
      </c>
      <c r="Y228" s="453">
        <f t="shared" si="137"/>
        <v>0</v>
      </c>
      <c r="Z228" s="453">
        <f t="shared" si="138"/>
        <v>0</v>
      </c>
      <c r="AA228" s="453">
        <f t="shared" si="139"/>
        <v>0</v>
      </c>
      <c r="AB228" s="453">
        <f t="shared" si="140"/>
        <v>0</v>
      </c>
      <c r="AC228" s="453">
        <f t="shared" si="141"/>
        <v>0</v>
      </c>
      <c r="AD228" s="453">
        <f t="shared" si="142"/>
        <v>0</v>
      </c>
      <c r="AE228" s="493">
        <f t="shared" si="143"/>
        <v>0</v>
      </c>
      <c r="AF228" s="453">
        <f t="shared" si="144"/>
        <v>0</v>
      </c>
      <c r="AG228" s="494">
        <f t="shared" si="145"/>
        <v>1</v>
      </c>
      <c r="AH228" s="454">
        <f t="shared" si="146"/>
        <v>0</v>
      </c>
      <c r="AI228" s="454">
        <f t="shared" si="147"/>
        <v>0</v>
      </c>
      <c r="AJ228" s="454">
        <f t="shared" si="148"/>
        <v>0</v>
      </c>
      <c r="AK228" s="454">
        <f t="shared" si="149"/>
        <v>0</v>
      </c>
      <c r="AL228" s="454">
        <f t="shared" si="150"/>
        <v>0</v>
      </c>
      <c r="AM228" s="454">
        <f t="shared" si="151"/>
        <v>0</v>
      </c>
      <c r="AN228" s="491">
        <f t="shared" si="152"/>
        <v>0</v>
      </c>
      <c r="AO228" s="487">
        <f t="shared" si="153"/>
        <v>0</v>
      </c>
      <c r="AP228" s="495">
        <f t="shared" si="154"/>
        <v>0</v>
      </c>
      <c r="AQ228" s="510">
        <f t="shared" si="155"/>
        <v>0</v>
      </c>
      <c r="AV228" s="459">
        <f>IF(BA228&gt;BA224,AV224,IF(AV224&lt;MiscData!$F$1,EOMONTH(AV224,1),EOMONTH(AV224,-11)))</f>
        <v>42551</v>
      </c>
      <c r="AW228" s="448" t="str">
        <f t="shared" si="156"/>
        <v>20140101KUCSR780</v>
      </c>
      <c r="AX228" s="457" t="str">
        <f t="shared" si="157"/>
        <v>20140101CSR30</v>
      </c>
      <c r="AY228" s="439">
        <f>IF(AV228&lt;=MiscData!$B$23,MiscData!$C$23,IF(AV228&lt;=MiscData!$B$24,MiscData!$C$24,MiscData!$C$25))</f>
        <v>20140101</v>
      </c>
      <c r="AZ228" s="439" t="str">
        <f>VLOOKUP(BA228,MiscData!$V$4:$W$42,2,FALSE)</f>
        <v>KUCSR780</v>
      </c>
      <c r="BA228" s="439">
        <f>IF(BA227=MiscData!$V$42,1,BA227+1)</f>
        <v>30</v>
      </c>
      <c r="BB228" s="439" t="str">
        <f>VLOOKUP(AZ228,MiscData!$W$4:$Y$42,3,FALSE)</f>
        <v>CSR30</v>
      </c>
    </row>
    <row r="229" spans="1:55" hidden="1">
      <c r="A229" s="499">
        <f>A225+1</f>
        <v>208</v>
      </c>
      <c r="B229" s="448" t="str">
        <f t="shared" si="120"/>
        <v>Jun 2016</v>
      </c>
      <c r="C229" s="448" t="s">
        <v>1472</v>
      </c>
      <c r="D229" s="449" t="str">
        <f t="shared" si="121"/>
        <v>CSR30</v>
      </c>
      <c r="E229" s="449" t="str">
        <f t="shared" si="122"/>
        <v>KUCSR781</v>
      </c>
      <c r="F229" s="450">
        <f t="shared" si="123"/>
        <v>0</v>
      </c>
      <c r="G229" s="450">
        <v>0</v>
      </c>
      <c r="H229" s="450">
        <v>0</v>
      </c>
      <c r="I229" s="450">
        <v>0</v>
      </c>
      <c r="J229" s="450">
        <f t="shared" si="124"/>
        <v>0</v>
      </c>
      <c r="K229" s="482">
        <f t="shared" si="125"/>
        <v>0</v>
      </c>
      <c r="L229" s="482">
        <f t="shared" si="126"/>
        <v>0</v>
      </c>
      <c r="M229" s="482">
        <f t="shared" si="127"/>
        <v>0</v>
      </c>
      <c r="N229" s="482">
        <f t="shared" si="128"/>
        <v>0</v>
      </c>
      <c r="O229" s="482">
        <f t="shared" si="129"/>
        <v>0</v>
      </c>
      <c r="P229" s="482">
        <f t="shared" si="130"/>
        <v>0</v>
      </c>
      <c r="Q229" s="451">
        <f t="shared" si="131"/>
        <v>0</v>
      </c>
      <c r="R229" s="452">
        <f t="shared" si="132"/>
        <v>0</v>
      </c>
      <c r="S229" s="452">
        <v>0</v>
      </c>
      <c r="T229" s="452">
        <v>0</v>
      </c>
      <c r="U229" s="452">
        <f t="shared" si="133"/>
        <v>0</v>
      </c>
      <c r="V229" s="451">
        <f t="shared" si="134"/>
        <v>-4.4000000000000004</v>
      </c>
      <c r="W229" s="451">
        <f t="shared" si="135"/>
        <v>0</v>
      </c>
      <c r="X229" s="451">
        <f t="shared" si="136"/>
        <v>0</v>
      </c>
      <c r="Y229" s="453">
        <f t="shared" si="137"/>
        <v>0</v>
      </c>
      <c r="Z229" s="453">
        <f t="shared" si="138"/>
        <v>0</v>
      </c>
      <c r="AA229" s="453">
        <f t="shared" si="139"/>
        <v>0</v>
      </c>
      <c r="AB229" s="453">
        <f t="shared" si="140"/>
        <v>0</v>
      </c>
      <c r="AC229" s="453">
        <f t="shared" si="141"/>
        <v>0</v>
      </c>
      <c r="AD229" s="453">
        <f t="shared" si="142"/>
        <v>0</v>
      </c>
      <c r="AE229" s="493">
        <f t="shared" si="143"/>
        <v>0</v>
      </c>
      <c r="AF229" s="453">
        <f t="shared" si="144"/>
        <v>0</v>
      </c>
      <c r="AG229" s="494">
        <f t="shared" si="145"/>
        <v>1</v>
      </c>
      <c r="AH229" s="454">
        <f t="shared" si="146"/>
        <v>0</v>
      </c>
      <c r="AI229" s="454">
        <f t="shared" si="147"/>
        <v>0</v>
      </c>
      <c r="AJ229" s="454">
        <f t="shared" si="148"/>
        <v>0</v>
      </c>
      <c r="AK229" s="454">
        <f t="shared" si="149"/>
        <v>0</v>
      </c>
      <c r="AL229" s="454">
        <f t="shared" si="150"/>
        <v>0</v>
      </c>
      <c r="AM229" s="454">
        <f t="shared" si="151"/>
        <v>0</v>
      </c>
      <c r="AN229" s="491">
        <f t="shared" si="152"/>
        <v>0</v>
      </c>
      <c r="AO229" s="487">
        <f t="shared" si="153"/>
        <v>0</v>
      </c>
      <c r="AP229" s="495">
        <f t="shared" si="154"/>
        <v>0</v>
      </c>
      <c r="AQ229" s="510">
        <f t="shared" si="155"/>
        <v>0</v>
      </c>
      <c r="AV229" s="459">
        <f>IF(BA229&gt;BA225,AV225,IF(AV225&lt;MiscData!$F$1,EOMONTH(AV225,1),EOMONTH(AV225,-11)))</f>
        <v>42551</v>
      </c>
      <c r="AW229" s="448" t="str">
        <f t="shared" si="156"/>
        <v>20140101KUCSR781</v>
      </c>
      <c r="AX229" s="457" t="str">
        <f t="shared" si="157"/>
        <v>20140101CSR30</v>
      </c>
      <c r="AY229" s="439">
        <f>IF(AV229&lt;=MiscData!$B$23,MiscData!$C$23,IF(AV229&lt;=MiscData!$B$24,MiscData!$C$24,MiscData!$C$25))</f>
        <v>20140101</v>
      </c>
      <c r="AZ229" s="439" t="str">
        <f>VLOOKUP(BA229,MiscData!$V$4:$W$42,2,FALSE)</f>
        <v>KUCSR781</v>
      </c>
      <c r="BA229" s="439">
        <f>IF(BA228=MiscData!$V$42,1,BA228+1)</f>
        <v>31</v>
      </c>
      <c r="BB229" s="439" t="str">
        <f>VLOOKUP(AZ229,MiscData!$W$4:$Y$42,3,FALSE)</f>
        <v>CSR30</v>
      </c>
    </row>
    <row r="230" spans="1:55" hidden="1">
      <c r="A230" s="499">
        <f t="shared" ref="A230:A265" si="158">A229+1</f>
        <v>209</v>
      </c>
      <c r="B230" s="448" t="str">
        <f t="shared" si="120"/>
        <v>Jun 2016</v>
      </c>
      <c r="C230" s="448" t="s">
        <v>1472</v>
      </c>
      <c r="D230" s="449" t="str">
        <f t="shared" si="121"/>
        <v>CSR30</v>
      </c>
      <c r="E230" s="449" t="str">
        <f t="shared" si="122"/>
        <v>KUCSR783</v>
      </c>
      <c r="F230" s="450">
        <f t="shared" si="123"/>
        <v>0</v>
      </c>
      <c r="G230" s="450">
        <v>0</v>
      </c>
      <c r="H230" s="450">
        <v>0</v>
      </c>
      <c r="I230" s="450">
        <v>0</v>
      </c>
      <c r="J230" s="450">
        <f t="shared" si="124"/>
        <v>0</v>
      </c>
      <c r="K230" s="482">
        <f t="shared" si="125"/>
        <v>0</v>
      </c>
      <c r="L230" s="482">
        <f t="shared" si="126"/>
        <v>0</v>
      </c>
      <c r="M230" s="482">
        <f t="shared" si="127"/>
        <v>0</v>
      </c>
      <c r="N230" s="482">
        <f t="shared" si="128"/>
        <v>0</v>
      </c>
      <c r="O230" s="482">
        <f t="shared" si="129"/>
        <v>0</v>
      </c>
      <c r="P230" s="482">
        <f t="shared" si="130"/>
        <v>0</v>
      </c>
      <c r="Q230" s="451">
        <f t="shared" si="131"/>
        <v>0</v>
      </c>
      <c r="R230" s="452">
        <f t="shared" si="132"/>
        <v>0</v>
      </c>
      <c r="S230" s="452">
        <v>0</v>
      </c>
      <c r="T230" s="452">
        <v>0</v>
      </c>
      <c r="U230" s="452">
        <f t="shared" si="133"/>
        <v>0</v>
      </c>
      <c r="V230" s="451">
        <f t="shared" si="134"/>
        <v>-4.4000000000000004</v>
      </c>
      <c r="W230" s="451">
        <f t="shared" si="135"/>
        <v>0</v>
      </c>
      <c r="X230" s="451">
        <f t="shared" si="136"/>
        <v>0</v>
      </c>
      <c r="Y230" s="453">
        <f t="shared" si="137"/>
        <v>0</v>
      </c>
      <c r="Z230" s="453">
        <f t="shared" si="138"/>
        <v>0</v>
      </c>
      <c r="AA230" s="453">
        <f t="shared" si="139"/>
        <v>0</v>
      </c>
      <c r="AB230" s="453">
        <f t="shared" si="140"/>
        <v>0</v>
      </c>
      <c r="AC230" s="453">
        <f t="shared" si="141"/>
        <v>0</v>
      </c>
      <c r="AD230" s="453">
        <f t="shared" si="142"/>
        <v>0</v>
      </c>
      <c r="AE230" s="493">
        <f t="shared" si="143"/>
        <v>0</v>
      </c>
      <c r="AF230" s="453">
        <f t="shared" si="144"/>
        <v>0</v>
      </c>
      <c r="AG230" s="494">
        <f t="shared" si="145"/>
        <v>1</v>
      </c>
      <c r="AH230" s="454">
        <f t="shared" si="146"/>
        <v>0</v>
      </c>
      <c r="AI230" s="454">
        <f t="shared" si="147"/>
        <v>0</v>
      </c>
      <c r="AJ230" s="454">
        <f t="shared" si="148"/>
        <v>0</v>
      </c>
      <c r="AK230" s="454">
        <f t="shared" si="149"/>
        <v>0</v>
      </c>
      <c r="AL230" s="454">
        <f t="shared" si="150"/>
        <v>0</v>
      </c>
      <c r="AM230" s="454">
        <f t="shared" si="151"/>
        <v>0</v>
      </c>
      <c r="AN230" s="491">
        <f t="shared" si="152"/>
        <v>0</v>
      </c>
      <c r="AO230" s="487">
        <f t="shared" si="153"/>
        <v>0</v>
      </c>
      <c r="AP230" s="495">
        <f t="shared" si="154"/>
        <v>0</v>
      </c>
      <c r="AQ230" s="510">
        <f t="shared" si="155"/>
        <v>0</v>
      </c>
      <c r="AV230" s="459">
        <f>IF(BA230&gt;BA229,AV229,IF(AV229&lt;MiscData!$F$1,EOMONTH(AV229,1),EOMONTH(AV229,-11)))</f>
        <v>42551</v>
      </c>
      <c r="AW230" s="448" t="str">
        <f t="shared" si="156"/>
        <v>20140101KUCSR783</v>
      </c>
      <c r="AX230" s="457" t="str">
        <f t="shared" si="157"/>
        <v>20140101CSR30</v>
      </c>
      <c r="AY230" s="439">
        <f>IF(AV230&lt;=MiscData!$B$23,MiscData!$C$23,IF(AV230&lt;=MiscData!$B$24,MiscData!$C$24,MiscData!$C$25))</f>
        <v>20140101</v>
      </c>
      <c r="AZ230" s="439" t="str">
        <f>VLOOKUP(BA230,MiscData!$V$4:$W$42,2,FALSE)</f>
        <v>KUCSR783</v>
      </c>
      <c r="BA230" s="439">
        <f>IF(BA229=MiscData!$V$42,1,BA229+1)</f>
        <v>32</v>
      </c>
      <c r="BB230" s="439" t="str">
        <f>VLOOKUP(AZ230,MiscData!$W$4:$Y$42,3,FALSE)</f>
        <v>CSR30</v>
      </c>
    </row>
    <row r="231" spans="1:55" hidden="1">
      <c r="A231" s="499">
        <f t="shared" si="158"/>
        <v>210</v>
      </c>
      <c r="B231" s="448" t="str">
        <f t="shared" si="120"/>
        <v>Jun 2016</v>
      </c>
      <c r="C231" s="832" t="s">
        <v>642</v>
      </c>
      <c r="D231" s="449" t="str">
        <f t="shared" si="121"/>
        <v>FLST</v>
      </c>
      <c r="E231" s="449" t="str">
        <f t="shared" si="122"/>
        <v>KUINE730</v>
      </c>
      <c r="F231" s="450">
        <f t="shared" si="123"/>
        <v>1</v>
      </c>
      <c r="G231" s="450">
        <v>0</v>
      </c>
      <c r="H231" s="450">
        <v>0</v>
      </c>
      <c r="I231" s="450">
        <v>0</v>
      </c>
      <c r="J231" s="450">
        <f t="shared" si="124"/>
        <v>45688667</v>
      </c>
      <c r="K231" s="482">
        <f t="shared" si="125"/>
        <v>185158</v>
      </c>
      <c r="L231" s="482">
        <f t="shared" si="126"/>
        <v>185158</v>
      </c>
      <c r="M231" s="482">
        <f t="shared" si="127"/>
        <v>101388</v>
      </c>
      <c r="N231" s="482">
        <f t="shared" si="128"/>
        <v>0</v>
      </c>
      <c r="O231" s="482">
        <f t="shared" si="129"/>
        <v>0</v>
      </c>
      <c r="P231" s="482">
        <f t="shared" si="130"/>
        <v>0</v>
      </c>
      <c r="Q231" s="451">
        <f t="shared" si="131"/>
        <v>750</v>
      </c>
      <c r="R231" s="452">
        <f t="shared" si="132"/>
        <v>3.261E-2</v>
      </c>
      <c r="S231" s="452">
        <v>0</v>
      </c>
      <c r="T231" s="452">
        <v>0</v>
      </c>
      <c r="U231" s="452">
        <f t="shared" si="133"/>
        <v>2.8920000000000001E-2</v>
      </c>
      <c r="V231" s="451">
        <f t="shared" si="134"/>
        <v>1.05</v>
      </c>
      <c r="W231" s="451">
        <f t="shared" si="135"/>
        <v>1.52</v>
      </c>
      <c r="X231" s="451">
        <f t="shared" si="136"/>
        <v>2.41</v>
      </c>
      <c r="Y231" s="453">
        <f t="shared" si="137"/>
        <v>750</v>
      </c>
      <c r="Z231" s="453">
        <f t="shared" si="138"/>
        <v>1489907.43</v>
      </c>
      <c r="AA231" s="453">
        <f t="shared" si="139"/>
        <v>194415.9</v>
      </c>
      <c r="AB231" s="453">
        <f t="shared" si="140"/>
        <v>281440.15999999997</v>
      </c>
      <c r="AC231" s="453">
        <f t="shared" si="141"/>
        <v>244345.08</v>
      </c>
      <c r="AD231" s="453">
        <f t="shared" si="142"/>
        <v>720201.1399999999</v>
      </c>
      <c r="AE231" s="493">
        <f t="shared" si="143"/>
        <v>2210858.5699999998</v>
      </c>
      <c r="AF231" s="453">
        <f t="shared" si="144"/>
        <v>2210857</v>
      </c>
      <c r="AG231" s="494">
        <f t="shared" si="145"/>
        <v>0.99999928986864151</v>
      </c>
      <c r="AH231" s="454">
        <f t="shared" si="146"/>
        <v>94298</v>
      </c>
      <c r="AI231" s="454">
        <f t="shared" si="147"/>
        <v>0</v>
      </c>
      <c r="AJ231" s="454">
        <f t="shared" si="148"/>
        <v>269830</v>
      </c>
      <c r="AK231" s="454">
        <f t="shared" si="149"/>
        <v>0</v>
      </c>
      <c r="AL231" s="454">
        <f t="shared" si="150"/>
        <v>0</v>
      </c>
      <c r="AM231" s="454">
        <f t="shared" si="151"/>
        <v>2574985</v>
      </c>
      <c r="AN231" s="491">
        <f t="shared" si="152"/>
        <v>2574986.5699999998</v>
      </c>
      <c r="AO231" s="487">
        <f t="shared" si="153"/>
        <v>-1.5699999998323619</v>
      </c>
      <c r="AP231" s="495">
        <f t="shared" si="154"/>
        <v>1321316.25</v>
      </c>
      <c r="AQ231" s="510">
        <f t="shared" si="155"/>
        <v>168591.17999999993</v>
      </c>
      <c r="AV231" s="459">
        <f>IF(BA231&gt;BA230,AV230,IF(AV230&lt;MiscData!$F$1,EOMONTH(AV230,1),EOMONTH(AV230,-11)))</f>
        <v>42551</v>
      </c>
      <c r="AW231" s="448" t="str">
        <f t="shared" si="156"/>
        <v>20140101KUINE730</v>
      </c>
      <c r="AX231" s="457" t="str">
        <f t="shared" si="157"/>
        <v>20140101FLST</v>
      </c>
      <c r="AY231" s="439">
        <f>IF(AV231&lt;=MiscData!$B$23,MiscData!$C$23,IF(AV231&lt;=MiscData!$B$24,MiscData!$C$24,MiscData!$C$25))</f>
        <v>20140101</v>
      </c>
      <c r="AZ231" s="439" t="str">
        <f>VLOOKUP(BA231,MiscData!$V$4:$W$42,2,FALSE)</f>
        <v>KUINE730</v>
      </c>
      <c r="BA231" s="439">
        <f>IF(BA230=MiscData!$V$42,1,BA230+1)</f>
        <v>33</v>
      </c>
      <c r="BB231" s="439" t="str">
        <f>VLOOKUP(AZ231,MiscData!$W$4:$Y$42,3,FALSE)</f>
        <v>FLST</v>
      </c>
    </row>
    <row r="232" spans="1:55" hidden="1">
      <c r="A232" s="448">
        <f t="shared" si="158"/>
        <v>211</v>
      </c>
      <c r="B232" s="448" t="str">
        <f t="shared" si="120"/>
        <v>Jun 2016</v>
      </c>
      <c r="C232" s="448" t="s">
        <v>14</v>
      </c>
      <c r="D232" s="449" t="str">
        <f t="shared" si="121"/>
        <v>RS</v>
      </c>
      <c r="E232" s="449" t="str">
        <f t="shared" si="122"/>
        <v>KURSE010</v>
      </c>
      <c r="F232" s="450">
        <f t="shared" si="123"/>
        <v>431360</v>
      </c>
      <c r="G232" s="450">
        <v>0</v>
      </c>
      <c r="H232" s="450">
        <v>0</v>
      </c>
      <c r="I232" s="450">
        <v>0</v>
      </c>
      <c r="J232" s="450">
        <f t="shared" si="124"/>
        <v>466265095</v>
      </c>
      <c r="K232" s="482">
        <f t="shared" si="125"/>
        <v>0</v>
      </c>
      <c r="L232" s="482">
        <f t="shared" si="126"/>
        <v>0</v>
      </c>
      <c r="M232" s="482">
        <f t="shared" si="127"/>
        <v>0</v>
      </c>
      <c r="N232" s="482">
        <f t="shared" si="128"/>
        <v>0</v>
      </c>
      <c r="O232" s="482">
        <f t="shared" si="129"/>
        <v>0</v>
      </c>
      <c r="P232" s="482">
        <f t="shared" si="130"/>
        <v>0</v>
      </c>
      <c r="Q232" s="451">
        <f t="shared" si="131"/>
        <v>10.75</v>
      </c>
      <c r="R232" s="452">
        <f t="shared" si="132"/>
        <v>7.7439999999999995E-2</v>
      </c>
      <c r="S232" s="452">
        <v>0</v>
      </c>
      <c r="T232" s="452">
        <v>0</v>
      </c>
      <c r="U232" s="452">
        <f t="shared" si="133"/>
        <v>2.8920000000000001E-2</v>
      </c>
      <c r="V232" s="451">
        <f t="shared" si="134"/>
        <v>0</v>
      </c>
      <c r="W232" s="451">
        <f t="shared" si="135"/>
        <v>0</v>
      </c>
      <c r="X232" s="451">
        <f t="shared" si="136"/>
        <v>0</v>
      </c>
      <c r="Y232" s="453">
        <f t="shared" si="137"/>
        <v>4637120</v>
      </c>
      <c r="Z232" s="453">
        <f t="shared" si="138"/>
        <v>36107568.960000001</v>
      </c>
      <c r="AA232" s="453">
        <f t="shared" si="139"/>
        <v>0</v>
      </c>
      <c r="AB232" s="453">
        <f t="shared" si="140"/>
        <v>0</v>
      </c>
      <c r="AC232" s="453">
        <f t="shared" si="141"/>
        <v>0</v>
      </c>
      <c r="AD232" s="453">
        <f t="shared" si="142"/>
        <v>0</v>
      </c>
      <c r="AE232" s="493">
        <f t="shared" si="143"/>
        <v>40744688.960000001</v>
      </c>
      <c r="AF232" s="453">
        <f t="shared" si="144"/>
        <v>40745489</v>
      </c>
      <c r="AG232" s="494">
        <f t="shared" si="145"/>
        <v>1.0000196354425674</v>
      </c>
      <c r="AH232" s="454">
        <f t="shared" si="146"/>
        <v>962356</v>
      </c>
      <c r="AI232" s="454">
        <f t="shared" si="147"/>
        <v>669791</v>
      </c>
      <c r="AJ232" s="454">
        <f t="shared" si="148"/>
        <v>2753744</v>
      </c>
      <c r="AK232" s="454">
        <f t="shared" si="149"/>
        <v>0</v>
      </c>
      <c r="AL232" s="454">
        <f t="shared" si="150"/>
        <v>0</v>
      </c>
      <c r="AM232" s="454">
        <f t="shared" si="151"/>
        <v>45131380</v>
      </c>
      <c r="AN232" s="491">
        <f t="shared" si="152"/>
        <v>45130579.960000001</v>
      </c>
      <c r="AO232" s="487">
        <f t="shared" si="153"/>
        <v>800.03999999910593</v>
      </c>
      <c r="AP232" s="495">
        <f t="shared" si="154"/>
        <v>13484386.550000001</v>
      </c>
      <c r="AQ232" s="496">
        <f t="shared" si="155"/>
        <v>22623182.41</v>
      </c>
      <c r="AV232" s="459">
        <f>IF(BA232&gt;BA231,AV231,IF(AV231&lt;MiscData!$F$1,EOMONTH(AV231,1),EOMONTH(AV231,-11)))</f>
        <v>42551</v>
      </c>
      <c r="AW232" s="448" t="str">
        <f t="shared" si="156"/>
        <v>20140101KURSE010</v>
      </c>
      <c r="AX232" s="457" t="str">
        <f t="shared" si="157"/>
        <v>20140101RS</v>
      </c>
      <c r="AY232" s="439">
        <f>IF(AV232&lt;=MiscData!$B$23,MiscData!$C$23,IF(AV232&lt;=MiscData!$B$24,MiscData!$C$24,MiscData!$C$25))</f>
        <v>20140101</v>
      </c>
      <c r="AZ232" s="439" t="str">
        <f>VLOOKUP(BA232,MiscData!$V$4:$W$42,2,FALSE)</f>
        <v>KURSE010</v>
      </c>
      <c r="BA232" s="439">
        <f>IF(BA231=MiscData!$V$42,1,BA231+1)</f>
        <v>34</v>
      </c>
      <c r="BB232" s="439" t="str">
        <f>VLOOKUP(AZ232,MiscData!$W$4:$Y$42,3,FALSE)</f>
        <v>RS</v>
      </c>
    </row>
    <row r="233" spans="1:55" hidden="1">
      <c r="A233" s="448">
        <f t="shared" si="158"/>
        <v>212</v>
      </c>
      <c r="B233" s="448" t="str">
        <f t="shared" si="120"/>
        <v>Jun 2016</v>
      </c>
      <c r="C233" s="448" t="s">
        <v>14</v>
      </c>
      <c r="D233" s="449" t="str">
        <f t="shared" si="121"/>
        <v>RS</v>
      </c>
      <c r="E233" s="449" t="str">
        <f t="shared" si="122"/>
        <v>KURSE020</v>
      </c>
      <c r="F233" s="450">
        <f t="shared" si="123"/>
        <v>0</v>
      </c>
      <c r="G233" s="450">
        <v>0</v>
      </c>
      <c r="H233" s="450">
        <v>0</v>
      </c>
      <c r="I233" s="450">
        <v>0</v>
      </c>
      <c r="J233" s="450">
        <f t="shared" si="124"/>
        <v>0</v>
      </c>
      <c r="K233" s="482">
        <f t="shared" si="125"/>
        <v>0</v>
      </c>
      <c r="L233" s="482">
        <f t="shared" si="126"/>
        <v>0</v>
      </c>
      <c r="M233" s="482">
        <f t="shared" si="127"/>
        <v>0</v>
      </c>
      <c r="N233" s="482">
        <f t="shared" si="128"/>
        <v>0</v>
      </c>
      <c r="O233" s="482">
        <f t="shared" si="129"/>
        <v>0</v>
      </c>
      <c r="P233" s="482">
        <f t="shared" si="130"/>
        <v>0</v>
      </c>
      <c r="Q233" s="451">
        <f t="shared" si="131"/>
        <v>10.75</v>
      </c>
      <c r="R233" s="452">
        <f t="shared" si="132"/>
        <v>7.7439999999999995E-2</v>
      </c>
      <c r="S233" s="452">
        <v>0</v>
      </c>
      <c r="T233" s="452">
        <v>0</v>
      </c>
      <c r="U233" s="452">
        <f t="shared" si="133"/>
        <v>2.8920000000000001E-2</v>
      </c>
      <c r="V233" s="451">
        <f t="shared" si="134"/>
        <v>0</v>
      </c>
      <c r="W233" s="451">
        <f t="shared" si="135"/>
        <v>0</v>
      </c>
      <c r="X233" s="451">
        <f t="shared" si="136"/>
        <v>0</v>
      </c>
      <c r="Y233" s="453">
        <f t="shared" si="137"/>
        <v>0</v>
      </c>
      <c r="Z233" s="453">
        <f t="shared" si="138"/>
        <v>0</v>
      </c>
      <c r="AA233" s="453">
        <f t="shared" si="139"/>
        <v>0</v>
      </c>
      <c r="AB233" s="453">
        <f t="shared" si="140"/>
        <v>0</v>
      </c>
      <c r="AC233" s="453">
        <f t="shared" si="141"/>
        <v>0</v>
      </c>
      <c r="AD233" s="453">
        <f t="shared" si="142"/>
        <v>0</v>
      </c>
      <c r="AE233" s="493">
        <f t="shared" si="143"/>
        <v>0</v>
      </c>
      <c r="AF233" s="453">
        <f t="shared" si="144"/>
        <v>0</v>
      </c>
      <c r="AG233" s="494">
        <f t="shared" si="145"/>
        <v>1</v>
      </c>
      <c r="AH233" s="454">
        <f t="shared" si="146"/>
        <v>0</v>
      </c>
      <c r="AI233" s="454">
        <f t="shared" si="147"/>
        <v>0</v>
      </c>
      <c r="AJ233" s="454">
        <f t="shared" si="148"/>
        <v>0</v>
      </c>
      <c r="AK233" s="454">
        <f t="shared" si="149"/>
        <v>0</v>
      </c>
      <c r="AL233" s="454">
        <f t="shared" si="150"/>
        <v>0</v>
      </c>
      <c r="AM233" s="454">
        <f t="shared" si="151"/>
        <v>0</v>
      </c>
      <c r="AN233" s="491">
        <f t="shared" si="152"/>
        <v>0</v>
      </c>
      <c r="AO233" s="487">
        <f t="shared" si="153"/>
        <v>0</v>
      </c>
      <c r="AP233" s="495">
        <f t="shared" si="154"/>
        <v>0</v>
      </c>
      <c r="AQ233" s="496">
        <f t="shared" si="155"/>
        <v>0</v>
      </c>
      <c r="AV233" s="459">
        <f>IF(BA233&gt;BA232,AV232,IF(AV232&lt;MiscData!$F$1,EOMONTH(AV232,1),EOMONTH(AV232,-11)))</f>
        <v>42551</v>
      </c>
      <c r="AW233" s="448" t="str">
        <f t="shared" si="156"/>
        <v>20140101KURSE020</v>
      </c>
      <c r="AX233" s="457" t="str">
        <f t="shared" si="157"/>
        <v>20140101RS</v>
      </c>
      <c r="AY233" s="439">
        <f>IF(AV233&lt;=MiscData!$B$23,MiscData!$C$23,IF(AV233&lt;=MiscData!$B$24,MiscData!$C$24,MiscData!$C$25))</f>
        <v>20140101</v>
      </c>
      <c r="AZ233" s="439" t="str">
        <f>VLOOKUP(BA233,MiscData!$V$4:$W$42,2,FALSE)</f>
        <v>KURSE020</v>
      </c>
      <c r="BA233" s="439">
        <f>IF(BA232=MiscData!$V$42,1,BA232+1)</f>
        <v>35</v>
      </c>
      <c r="BB233" s="439" t="str">
        <f>VLOOKUP(AZ233,MiscData!$W$4:$Y$42,3,FALSE)</f>
        <v>RS</v>
      </c>
    </row>
    <row r="234" spans="1:55" hidden="1">
      <c r="A234" s="448">
        <f t="shared" si="158"/>
        <v>213</v>
      </c>
      <c r="B234" s="448" t="str">
        <f t="shared" si="120"/>
        <v>Jun 2016</v>
      </c>
      <c r="C234" s="448" t="s">
        <v>14</v>
      </c>
      <c r="D234" s="449" t="str">
        <f t="shared" si="121"/>
        <v>RS</v>
      </c>
      <c r="E234" s="449" t="str">
        <f t="shared" si="122"/>
        <v>KURSE025</v>
      </c>
      <c r="F234" s="450">
        <f t="shared" si="123"/>
        <v>0</v>
      </c>
      <c r="G234" s="450">
        <v>0</v>
      </c>
      <c r="H234" s="450">
        <v>0</v>
      </c>
      <c r="I234" s="450">
        <v>0</v>
      </c>
      <c r="J234" s="450">
        <f t="shared" si="124"/>
        <v>0</v>
      </c>
      <c r="K234" s="482">
        <f t="shared" si="125"/>
        <v>0</v>
      </c>
      <c r="L234" s="482">
        <f t="shared" si="126"/>
        <v>0</v>
      </c>
      <c r="M234" s="482">
        <f t="shared" si="127"/>
        <v>0</v>
      </c>
      <c r="N234" s="482">
        <f t="shared" si="128"/>
        <v>0</v>
      </c>
      <c r="O234" s="482">
        <f t="shared" si="129"/>
        <v>0</v>
      </c>
      <c r="P234" s="482">
        <f t="shared" si="130"/>
        <v>0</v>
      </c>
      <c r="Q234" s="451">
        <f t="shared" si="131"/>
        <v>10.75</v>
      </c>
      <c r="R234" s="452">
        <f t="shared" si="132"/>
        <v>7.7439999999999995E-2</v>
      </c>
      <c r="S234" s="452">
        <v>0</v>
      </c>
      <c r="T234" s="452">
        <v>0</v>
      </c>
      <c r="U234" s="452">
        <f t="shared" si="133"/>
        <v>2.8920000000000001E-2</v>
      </c>
      <c r="V234" s="451">
        <f t="shared" si="134"/>
        <v>0</v>
      </c>
      <c r="W234" s="451">
        <f t="shared" si="135"/>
        <v>0</v>
      </c>
      <c r="X234" s="451">
        <f t="shared" si="136"/>
        <v>0</v>
      </c>
      <c r="Y234" s="453">
        <f t="shared" si="137"/>
        <v>0</v>
      </c>
      <c r="Z234" s="453">
        <f t="shared" si="138"/>
        <v>0</v>
      </c>
      <c r="AA234" s="453">
        <f t="shared" si="139"/>
        <v>0</v>
      </c>
      <c r="AB234" s="453">
        <f t="shared" si="140"/>
        <v>0</v>
      </c>
      <c r="AC234" s="453">
        <f t="shared" si="141"/>
        <v>0</v>
      </c>
      <c r="AD234" s="453">
        <f t="shared" si="142"/>
        <v>0</v>
      </c>
      <c r="AE234" s="493">
        <f t="shared" si="143"/>
        <v>0</v>
      </c>
      <c r="AF234" s="453">
        <f t="shared" si="144"/>
        <v>0</v>
      </c>
      <c r="AG234" s="494">
        <f t="shared" si="145"/>
        <v>1</v>
      </c>
      <c r="AH234" s="454">
        <f t="shared" si="146"/>
        <v>0</v>
      </c>
      <c r="AI234" s="454">
        <f t="shared" si="147"/>
        <v>0</v>
      </c>
      <c r="AJ234" s="454">
        <f t="shared" si="148"/>
        <v>0</v>
      </c>
      <c r="AK234" s="454">
        <f t="shared" si="149"/>
        <v>0</v>
      </c>
      <c r="AL234" s="454">
        <f t="shared" si="150"/>
        <v>0</v>
      </c>
      <c r="AM234" s="454">
        <f t="shared" si="151"/>
        <v>0</v>
      </c>
      <c r="AN234" s="491">
        <f t="shared" si="152"/>
        <v>0</v>
      </c>
      <c r="AO234" s="487">
        <f t="shared" si="153"/>
        <v>0</v>
      </c>
      <c r="AP234" s="495">
        <f t="shared" si="154"/>
        <v>0</v>
      </c>
      <c r="AQ234" s="496">
        <f t="shared" si="155"/>
        <v>0</v>
      </c>
      <c r="AV234" s="459">
        <f>IF(BA234&gt;BA233,AV233,IF(AV233&lt;MiscData!$F$1,EOMONTH(AV233,1),EOMONTH(AV233,-11)))</f>
        <v>42551</v>
      </c>
      <c r="AW234" s="448" t="str">
        <f t="shared" si="156"/>
        <v>20140101KURSE025</v>
      </c>
      <c r="AX234" s="457" t="str">
        <f t="shared" si="157"/>
        <v>20140101RS</v>
      </c>
      <c r="AY234" s="439">
        <f>IF(AV234&lt;=MiscData!$B$23,MiscData!$C$23,IF(AV234&lt;=MiscData!$B$24,MiscData!$C$24,MiscData!$C$25))</f>
        <v>20140101</v>
      </c>
      <c r="AZ234" s="439" t="str">
        <f>VLOOKUP(BA234,MiscData!$V$4:$W$42,2,FALSE)</f>
        <v>KURSE025</v>
      </c>
      <c r="BA234" s="439">
        <f>IF(BA233=MiscData!$V$42,1,BA233+1)</f>
        <v>36</v>
      </c>
      <c r="BB234" s="439" t="str">
        <f>VLOOKUP(AZ234,MiscData!$W$4:$Y$42,3,FALSE)</f>
        <v>RS</v>
      </c>
    </row>
    <row r="235" spans="1:55" hidden="1">
      <c r="A235" s="448">
        <f t="shared" si="158"/>
        <v>214</v>
      </c>
      <c r="B235" s="448" t="str">
        <f t="shared" si="120"/>
        <v>Jun 2016</v>
      </c>
      <c r="C235" s="448" t="s">
        <v>828</v>
      </c>
      <c r="D235" s="449" t="str">
        <f t="shared" si="121"/>
        <v>RSLEV</v>
      </c>
      <c r="E235" s="449" t="str">
        <f t="shared" si="122"/>
        <v>KURSE040</v>
      </c>
      <c r="F235" s="450">
        <f t="shared" si="123"/>
        <v>8</v>
      </c>
      <c r="G235" s="450">
        <f>SUMIFS(_1022_KWH_P1,_1022_RevenueMonth,$B235,_1022_RateCategory,$E235)</f>
        <v>5929</v>
      </c>
      <c r="H235" s="450">
        <f>SUMIFS(_1022_KWH_P2,_1022_RevenueMonth,$B235,_1022_RateCategory,$E235)</f>
        <v>1787</v>
      </c>
      <c r="I235" s="450">
        <f>SUMIFS(_1022_KWH_P3,_1022_RevenueMonth,$B235,_1022_RateCategory,$E235)</f>
        <v>1446</v>
      </c>
      <c r="J235" s="450">
        <f t="shared" si="124"/>
        <v>9162</v>
      </c>
      <c r="K235" s="482">
        <f t="shared" si="125"/>
        <v>0</v>
      </c>
      <c r="L235" s="482">
        <f t="shared" si="126"/>
        <v>0</v>
      </c>
      <c r="M235" s="482">
        <f t="shared" si="127"/>
        <v>0</v>
      </c>
      <c r="N235" s="482">
        <f t="shared" si="128"/>
        <v>0</v>
      </c>
      <c r="O235" s="482">
        <f t="shared" si="129"/>
        <v>0</v>
      </c>
      <c r="P235" s="482">
        <f t="shared" si="130"/>
        <v>0</v>
      </c>
      <c r="Q235" s="451">
        <f t="shared" si="131"/>
        <v>10.75</v>
      </c>
      <c r="R235" s="452">
        <f t="shared" si="132"/>
        <v>5.5870000000000003E-2</v>
      </c>
      <c r="S235" s="452">
        <f>SUMIF(_Rates_Tariff_Category,$AW235,_Rates_Energy_P2)</f>
        <v>7.7630000000000005E-2</v>
      </c>
      <c r="T235" s="452">
        <f>SUMIF(_Rates_Tariff_Category,$AW235,_Rates_Energy_P3)</f>
        <v>0.14297000000000001</v>
      </c>
      <c r="U235" s="452">
        <f t="shared" si="133"/>
        <v>2.8920000000000001E-2</v>
      </c>
      <c r="V235" s="451">
        <f t="shared" si="134"/>
        <v>0</v>
      </c>
      <c r="W235" s="451">
        <f t="shared" si="135"/>
        <v>0</v>
      </c>
      <c r="X235" s="451">
        <f t="shared" si="136"/>
        <v>0</v>
      </c>
      <c r="Y235" s="453">
        <f t="shared" si="137"/>
        <v>86</v>
      </c>
      <c r="Z235" s="453">
        <f t="shared" si="138"/>
        <v>676.71</v>
      </c>
      <c r="AA235" s="453">
        <f t="shared" si="139"/>
        <v>0</v>
      </c>
      <c r="AB235" s="453">
        <f t="shared" si="140"/>
        <v>0</v>
      </c>
      <c r="AC235" s="453">
        <f t="shared" si="141"/>
        <v>0</v>
      </c>
      <c r="AD235" s="453">
        <f t="shared" si="142"/>
        <v>0</v>
      </c>
      <c r="AE235" s="493">
        <f t="shared" si="143"/>
        <v>762.71</v>
      </c>
      <c r="AF235" s="453">
        <f t="shared" si="144"/>
        <v>0</v>
      </c>
      <c r="AG235" s="494">
        <f t="shared" si="145"/>
        <v>0</v>
      </c>
      <c r="AH235" s="454">
        <f t="shared" si="146"/>
        <v>0</v>
      </c>
      <c r="AI235" s="454">
        <f t="shared" si="147"/>
        <v>0</v>
      </c>
      <c r="AJ235" s="454">
        <f t="shared" si="148"/>
        <v>0</v>
      </c>
      <c r="AK235" s="454">
        <f t="shared" si="149"/>
        <v>0</v>
      </c>
      <c r="AL235" s="454">
        <f t="shared" si="150"/>
        <v>0</v>
      </c>
      <c r="AM235" s="454">
        <f t="shared" si="151"/>
        <v>0</v>
      </c>
      <c r="AN235" s="491">
        <f t="shared" si="152"/>
        <v>762.71</v>
      </c>
      <c r="AO235" s="487">
        <f t="shared" si="153"/>
        <v>-762.71</v>
      </c>
      <c r="AP235" s="495">
        <f t="shared" si="154"/>
        <v>264.97000000000003</v>
      </c>
      <c r="AQ235" s="496">
        <f t="shared" si="155"/>
        <v>411.74</v>
      </c>
      <c r="AV235" s="459">
        <f>IF(BA235&gt;BA234,AV234,IF(AV234&lt;MiscData!$F$1,EOMONTH(AV234,1),EOMONTH(AV234,-11)))</f>
        <v>42551</v>
      </c>
      <c r="AW235" s="448" t="str">
        <f t="shared" si="156"/>
        <v>20140101KURSE040</v>
      </c>
      <c r="AX235" s="457" t="str">
        <f t="shared" si="157"/>
        <v>20140101RSLEV</v>
      </c>
      <c r="AY235" s="439">
        <f>IF(AV235&lt;=MiscData!$B$23,MiscData!$C$23,IF(AV235&lt;=MiscData!$B$24,MiscData!$C$24,MiscData!$C$25))</f>
        <v>20140101</v>
      </c>
      <c r="AZ235" s="439" t="str">
        <f>VLOOKUP(BA235,MiscData!$V$4:$W$42,2,FALSE)</f>
        <v>KURSE040</v>
      </c>
      <c r="BA235" s="439">
        <f>IF(BA234=MiscData!$V$42,1,BA234+1)</f>
        <v>37</v>
      </c>
      <c r="BB235" s="439" t="str">
        <f>VLOOKUP(AZ235,MiscData!$W$4:$Y$42,3,FALSE)</f>
        <v>RSLEV</v>
      </c>
    </row>
    <row r="236" spans="1:55" hidden="1">
      <c r="A236" s="448">
        <f t="shared" si="158"/>
        <v>215</v>
      </c>
      <c r="B236" s="448" t="str">
        <f t="shared" si="120"/>
        <v>Jun 2016</v>
      </c>
      <c r="C236" s="448" t="s">
        <v>14</v>
      </c>
      <c r="D236" s="449" t="str">
        <f t="shared" si="121"/>
        <v>RSVFD</v>
      </c>
      <c r="E236" s="449" t="str">
        <f t="shared" si="122"/>
        <v>KURSE080</v>
      </c>
      <c r="F236" s="450">
        <f t="shared" si="123"/>
        <v>0</v>
      </c>
      <c r="G236" s="450">
        <v>0</v>
      </c>
      <c r="H236" s="450">
        <v>0</v>
      </c>
      <c r="I236" s="450">
        <v>0</v>
      </c>
      <c r="J236" s="450">
        <f t="shared" si="124"/>
        <v>0</v>
      </c>
      <c r="K236" s="482">
        <f t="shared" si="125"/>
        <v>0</v>
      </c>
      <c r="L236" s="482">
        <f t="shared" si="126"/>
        <v>0</v>
      </c>
      <c r="M236" s="482">
        <f t="shared" si="127"/>
        <v>0</v>
      </c>
      <c r="N236" s="482">
        <f t="shared" si="128"/>
        <v>0</v>
      </c>
      <c r="O236" s="482">
        <f t="shared" si="129"/>
        <v>0</v>
      </c>
      <c r="P236" s="482">
        <f t="shared" si="130"/>
        <v>0</v>
      </c>
      <c r="Q236" s="451">
        <f t="shared" si="131"/>
        <v>10.75</v>
      </c>
      <c r="R236" s="452">
        <f t="shared" si="132"/>
        <v>7.7439999999999995E-2</v>
      </c>
      <c r="S236" s="452">
        <v>0</v>
      </c>
      <c r="T236" s="452">
        <v>0</v>
      </c>
      <c r="U236" s="452">
        <f t="shared" si="133"/>
        <v>2.8920000000000001E-2</v>
      </c>
      <c r="V236" s="451">
        <f t="shared" si="134"/>
        <v>0</v>
      </c>
      <c r="W236" s="451">
        <f t="shared" si="135"/>
        <v>0</v>
      </c>
      <c r="X236" s="451">
        <f t="shared" si="136"/>
        <v>0</v>
      </c>
      <c r="Y236" s="453">
        <f t="shared" si="137"/>
        <v>0</v>
      </c>
      <c r="Z236" s="453">
        <f t="shared" si="138"/>
        <v>0</v>
      </c>
      <c r="AA236" s="453">
        <f t="shared" si="139"/>
        <v>0</v>
      </c>
      <c r="AB236" s="453">
        <f t="shared" si="140"/>
        <v>0</v>
      </c>
      <c r="AC236" s="453">
        <f t="shared" si="141"/>
        <v>0</v>
      </c>
      <c r="AD236" s="453">
        <f t="shared" si="142"/>
        <v>0</v>
      </c>
      <c r="AE236" s="493">
        <f t="shared" si="143"/>
        <v>0</v>
      </c>
      <c r="AF236" s="453">
        <f t="shared" si="144"/>
        <v>0</v>
      </c>
      <c r="AG236" s="494">
        <f t="shared" si="145"/>
        <v>1</v>
      </c>
      <c r="AH236" s="454">
        <f t="shared" si="146"/>
        <v>0</v>
      </c>
      <c r="AI236" s="454">
        <f t="shared" si="147"/>
        <v>0</v>
      </c>
      <c r="AJ236" s="454">
        <f t="shared" si="148"/>
        <v>0</v>
      </c>
      <c r="AK236" s="454">
        <f t="shared" si="149"/>
        <v>0</v>
      </c>
      <c r="AL236" s="454">
        <f t="shared" si="150"/>
        <v>0</v>
      </c>
      <c r="AM236" s="454">
        <f t="shared" si="151"/>
        <v>0</v>
      </c>
      <c r="AN236" s="491">
        <f t="shared" si="152"/>
        <v>0</v>
      </c>
      <c r="AO236" s="487">
        <f t="shared" si="153"/>
        <v>0</v>
      </c>
      <c r="AP236" s="495">
        <f t="shared" si="154"/>
        <v>0</v>
      </c>
      <c r="AQ236" s="496">
        <f t="shared" si="155"/>
        <v>0</v>
      </c>
      <c r="AV236" s="459">
        <f>IF(BA236&gt;BA235,AV235,IF(AV235&lt;MiscData!$F$1,EOMONTH(AV235,1),EOMONTH(AV235,-11)))</f>
        <v>42551</v>
      </c>
      <c r="AW236" s="448" t="str">
        <f t="shared" si="156"/>
        <v>20140101KURSE080</v>
      </c>
      <c r="AX236" s="457" t="str">
        <f t="shared" si="157"/>
        <v>20140101RSVFD</v>
      </c>
      <c r="AY236" s="439">
        <f>IF(AV236&lt;=MiscData!$B$23,MiscData!$C$23,IF(AV236&lt;=MiscData!$B$24,MiscData!$C$24,MiscData!$C$25))</f>
        <v>20140101</v>
      </c>
      <c r="AZ236" s="439" t="str">
        <f>VLOOKUP(BA236,MiscData!$V$4:$W$42,2,FALSE)</f>
        <v>KURSE080</v>
      </c>
      <c r="BA236" s="439">
        <f>IF(BA235=MiscData!$V$42,1,BA235+1)</f>
        <v>38</v>
      </c>
      <c r="BB236" s="439" t="str">
        <f>VLOOKUP(AZ236,MiscData!$W$4:$Y$42,3,FALSE)</f>
        <v>RSVFD</v>
      </c>
    </row>
    <row r="237" spans="1:55" s="511" customFormat="1" hidden="1">
      <c r="A237" s="499">
        <f t="shared" si="158"/>
        <v>216</v>
      </c>
      <c r="B237" s="499" t="str">
        <f t="shared" si="120"/>
        <v>Jun 2016</v>
      </c>
      <c r="C237" s="499" t="s">
        <v>14</v>
      </c>
      <c r="D237" s="500" t="str">
        <f t="shared" si="121"/>
        <v>RS</v>
      </c>
      <c r="E237" s="500" t="str">
        <f t="shared" si="122"/>
        <v>KURSE715</v>
      </c>
      <c r="F237" s="501">
        <f t="shared" si="123"/>
        <v>0</v>
      </c>
      <c r="G237" s="501">
        <v>0</v>
      </c>
      <c r="H237" s="501">
        <v>0</v>
      </c>
      <c r="I237" s="501">
        <v>0</v>
      </c>
      <c r="J237" s="501">
        <f t="shared" si="124"/>
        <v>0</v>
      </c>
      <c r="K237" s="502">
        <f t="shared" si="125"/>
        <v>0</v>
      </c>
      <c r="L237" s="502">
        <f t="shared" si="126"/>
        <v>0</v>
      </c>
      <c r="M237" s="502">
        <f t="shared" si="127"/>
        <v>0</v>
      </c>
      <c r="N237" s="502">
        <f t="shared" si="128"/>
        <v>0</v>
      </c>
      <c r="O237" s="502">
        <f t="shared" si="129"/>
        <v>0</v>
      </c>
      <c r="P237" s="502">
        <f t="shared" si="130"/>
        <v>0</v>
      </c>
      <c r="Q237" s="503">
        <f t="shared" si="131"/>
        <v>10.75</v>
      </c>
      <c r="R237" s="504">
        <f t="shared" si="132"/>
        <v>7.7439999999999995E-2</v>
      </c>
      <c r="S237" s="504">
        <v>0</v>
      </c>
      <c r="T237" s="504">
        <v>0</v>
      </c>
      <c r="U237" s="504">
        <f t="shared" si="133"/>
        <v>2.8920000000000001E-2</v>
      </c>
      <c r="V237" s="503">
        <f t="shared" si="134"/>
        <v>0</v>
      </c>
      <c r="W237" s="503">
        <f t="shared" si="135"/>
        <v>0</v>
      </c>
      <c r="X237" s="503">
        <f t="shared" si="136"/>
        <v>0</v>
      </c>
      <c r="Y237" s="453">
        <f t="shared" si="137"/>
        <v>0</v>
      </c>
      <c r="Z237" s="453">
        <f t="shared" si="138"/>
        <v>0</v>
      </c>
      <c r="AA237" s="453">
        <f t="shared" si="139"/>
        <v>0</v>
      </c>
      <c r="AB237" s="453">
        <f t="shared" si="140"/>
        <v>0</v>
      </c>
      <c r="AC237" s="453">
        <f t="shared" si="141"/>
        <v>0</v>
      </c>
      <c r="AD237" s="493">
        <f t="shared" si="142"/>
        <v>0</v>
      </c>
      <c r="AE237" s="493">
        <f t="shared" si="143"/>
        <v>0</v>
      </c>
      <c r="AF237" s="493">
        <f t="shared" si="144"/>
        <v>0</v>
      </c>
      <c r="AG237" s="494">
        <f t="shared" si="145"/>
        <v>1</v>
      </c>
      <c r="AH237" s="505">
        <f t="shared" si="146"/>
        <v>0</v>
      </c>
      <c r="AI237" s="505">
        <f t="shared" si="147"/>
        <v>0</v>
      </c>
      <c r="AJ237" s="505">
        <f t="shared" si="148"/>
        <v>0</v>
      </c>
      <c r="AK237" s="505">
        <f t="shared" si="149"/>
        <v>0</v>
      </c>
      <c r="AL237" s="505">
        <f t="shared" si="150"/>
        <v>0</v>
      </c>
      <c r="AM237" s="505">
        <f t="shared" si="151"/>
        <v>0</v>
      </c>
      <c r="AN237" s="506">
        <f t="shared" si="152"/>
        <v>0</v>
      </c>
      <c r="AO237" s="507">
        <f t="shared" si="153"/>
        <v>0</v>
      </c>
      <c r="AP237" s="508">
        <f t="shared" si="154"/>
        <v>0</v>
      </c>
      <c r="AQ237" s="510">
        <f t="shared" si="155"/>
        <v>0</v>
      </c>
      <c r="AV237" s="512">
        <f>IF(BA237&gt;BA236,AV236,IF(AV236&lt;MiscData!$F$1,EOMONTH(AV236,1),EOMONTH(AV236,-11)))</f>
        <v>42551</v>
      </c>
      <c r="AW237" s="499" t="str">
        <f t="shared" si="156"/>
        <v>20140101KURSE715</v>
      </c>
      <c r="AX237" s="513" t="str">
        <f t="shared" si="157"/>
        <v>20140101RS</v>
      </c>
      <c r="AY237" s="511">
        <f>IF(AV237&lt;=MiscData!$B$23,MiscData!$C$23,IF(AV237&lt;=MiscData!$B$24,MiscData!$C$24,MiscData!$C$25))</f>
        <v>20140101</v>
      </c>
      <c r="AZ237" s="511" t="str">
        <f>VLOOKUP(BA237,MiscData!$V$4:$W$42,2,FALSE)</f>
        <v>KURSE715</v>
      </c>
      <c r="BA237" s="439">
        <f>IF(BA236=MiscData!$V$42,1,BA236+1)</f>
        <v>39</v>
      </c>
      <c r="BB237" s="511" t="str">
        <f>VLOOKUP(AZ237,MiscData!$W$4:$Y$42,3,FALSE)</f>
        <v>RS</v>
      </c>
      <c r="BC237" s="777"/>
    </row>
    <row r="238" spans="1:55" hidden="1">
      <c r="A238" s="448">
        <f t="shared" si="158"/>
        <v>217</v>
      </c>
      <c r="B238" s="448" t="str">
        <f t="shared" si="120"/>
        <v>Jul 2015</v>
      </c>
      <c r="C238" s="448" t="s">
        <v>18</v>
      </c>
      <c r="D238" s="449" t="str">
        <f t="shared" si="121"/>
        <v>RTS</v>
      </c>
      <c r="E238" s="449" t="str">
        <f t="shared" si="122"/>
        <v>KUCIE550</v>
      </c>
      <c r="F238" s="450">
        <f t="shared" si="123"/>
        <v>32</v>
      </c>
      <c r="G238" s="450">
        <v>0</v>
      </c>
      <c r="H238" s="450">
        <v>0</v>
      </c>
      <c r="I238" s="450">
        <v>0</v>
      </c>
      <c r="J238" s="450">
        <f t="shared" si="124"/>
        <v>124179788</v>
      </c>
      <c r="K238" s="482">
        <f t="shared" si="125"/>
        <v>303016</v>
      </c>
      <c r="L238" s="482">
        <f t="shared" si="126"/>
        <v>286022</v>
      </c>
      <c r="M238" s="482">
        <f t="shared" si="127"/>
        <v>282760</v>
      </c>
      <c r="N238" s="482">
        <f t="shared" si="128"/>
        <v>0</v>
      </c>
      <c r="O238" s="482">
        <f t="shared" si="129"/>
        <v>0</v>
      </c>
      <c r="P238" s="482">
        <f t="shared" si="130"/>
        <v>0</v>
      </c>
      <c r="Q238" s="451">
        <f t="shared" si="131"/>
        <v>750</v>
      </c>
      <c r="R238" s="452">
        <f t="shared" si="132"/>
        <v>3.6339999999999997E-2</v>
      </c>
      <c r="S238" s="452">
        <v>0</v>
      </c>
      <c r="T238" s="452">
        <v>0</v>
      </c>
      <c r="U238" s="452">
        <f t="shared" si="133"/>
        <v>2.8920000000000001E-2</v>
      </c>
      <c r="V238" s="451">
        <f t="shared" si="134"/>
        <v>1.34</v>
      </c>
      <c r="W238" s="451">
        <f t="shared" si="135"/>
        <v>2.87</v>
      </c>
      <c r="X238" s="451">
        <f t="shared" si="136"/>
        <v>3.97</v>
      </c>
      <c r="Y238" s="453">
        <f t="shared" si="137"/>
        <v>24000</v>
      </c>
      <c r="Z238" s="453">
        <f t="shared" si="138"/>
        <v>4512693.5</v>
      </c>
      <c r="AA238" s="453">
        <f t="shared" si="139"/>
        <v>406041.44</v>
      </c>
      <c r="AB238" s="453">
        <f t="shared" si="140"/>
        <v>820883.14</v>
      </c>
      <c r="AC238" s="453">
        <f t="shared" si="141"/>
        <v>1122557.2</v>
      </c>
      <c r="AD238" s="453">
        <f t="shared" si="142"/>
        <v>2349481.7800000003</v>
      </c>
      <c r="AE238" s="493">
        <f t="shared" si="143"/>
        <v>6886175.2800000003</v>
      </c>
      <c r="AF238" s="453">
        <f t="shared" si="144"/>
        <v>6886175</v>
      </c>
      <c r="AG238" s="494">
        <f t="shared" si="145"/>
        <v>0.9999999593388218</v>
      </c>
      <c r="AH238" s="454">
        <f t="shared" si="146"/>
        <v>243645</v>
      </c>
      <c r="AI238" s="454">
        <f t="shared" si="147"/>
        <v>0</v>
      </c>
      <c r="AJ238" s="454">
        <f t="shared" si="148"/>
        <v>532752</v>
      </c>
      <c r="AK238" s="454">
        <f t="shared" si="149"/>
        <v>0</v>
      </c>
      <c r="AL238" s="454">
        <f t="shared" si="150"/>
        <v>0</v>
      </c>
      <c r="AM238" s="454">
        <f t="shared" si="151"/>
        <v>7662572</v>
      </c>
      <c r="AN238" s="491">
        <f t="shared" si="152"/>
        <v>7662572.2800000003</v>
      </c>
      <c r="AO238" s="487">
        <f t="shared" si="153"/>
        <v>-0.28000000026077032</v>
      </c>
      <c r="AP238" s="495">
        <f t="shared" si="154"/>
        <v>3591279.47</v>
      </c>
      <c r="AQ238" s="496">
        <f t="shared" si="155"/>
        <v>921414.0299999998</v>
      </c>
      <c r="AV238" s="459">
        <f>IF(BA238&gt;BA237,AV237,IF(AV237&lt;MiscData!$F$1,EOMONTH(AV237,1),EOMONTH(AV237,-11)))</f>
        <v>42216</v>
      </c>
      <c r="AW238" s="448" t="str">
        <f t="shared" si="156"/>
        <v>20140101KUCIE550</v>
      </c>
      <c r="AX238" s="457" t="str">
        <f t="shared" si="157"/>
        <v>20140101RTS</v>
      </c>
      <c r="AY238" s="439">
        <f>IF(AV238&lt;=MiscData!$B$23,MiscData!$C$23,IF(AV238&lt;=MiscData!$B$24,MiscData!$C$24,MiscData!$C$25))</f>
        <v>20140101</v>
      </c>
      <c r="AZ238" s="439" t="str">
        <f>VLOOKUP(BA238,MiscData!$V$4:$W$42,2,FALSE)</f>
        <v>KUCIE550</v>
      </c>
      <c r="BA238" s="439">
        <f>IF(BA237=MiscData!$V$42,1,BA237+1)</f>
        <v>1</v>
      </c>
      <c r="BB238" s="439" t="str">
        <f>VLOOKUP(AZ238,MiscData!$W$4:$Y$42,3,FALSE)</f>
        <v>RTS</v>
      </c>
    </row>
    <row r="239" spans="1:55" hidden="1">
      <c r="A239" s="448">
        <f t="shared" si="158"/>
        <v>218</v>
      </c>
      <c r="B239" s="448" t="str">
        <f t="shared" si="120"/>
        <v>Jul 2015</v>
      </c>
      <c r="C239" s="448" t="s">
        <v>25</v>
      </c>
      <c r="D239" s="449" t="str">
        <f t="shared" si="121"/>
        <v>PSP</v>
      </c>
      <c r="E239" s="449" t="str">
        <f t="shared" si="122"/>
        <v>KUCIE561</v>
      </c>
      <c r="F239" s="450">
        <f t="shared" si="123"/>
        <v>204</v>
      </c>
      <c r="G239" s="450">
        <v>0</v>
      </c>
      <c r="H239" s="450">
        <v>0</v>
      </c>
      <c r="I239" s="450">
        <v>0</v>
      </c>
      <c r="J239" s="450">
        <f t="shared" si="124"/>
        <v>22656623</v>
      </c>
      <c r="K239" s="482">
        <f t="shared" si="125"/>
        <v>0</v>
      </c>
      <c r="L239" s="482">
        <f t="shared" si="126"/>
        <v>0</v>
      </c>
      <c r="M239" s="482">
        <f t="shared" si="127"/>
        <v>61569</v>
      </c>
      <c r="N239" s="482">
        <f t="shared" si="128"/>
        <v>0</v>
      </c>
      <c r="O239" s="482">
        <f t="shared" si="129"/>
        <v>0</v>
      </c>
      <c r="P239" s="482">
        <f t="shared" si="130"/>
        <v>0</v>
      </c>
      <c r="Q239" s="451">
        <f t="shared" si="131"/>
        <v>170</v>
      </c>
      <c r="R239" s="452">
        <f t="shared" si="132"/>
        <v>3.5619999999999999E-2</v>
      </c>
      <c r="S239" s="452">
        <v>0</v>
      </c>
      <c r="T239" s="452">
        <v>0</v>
      </c>
      <c r="U239" s="452">
        <f t="shared" si="133"/>
        <v>2.8920000000000001E-2</v>
      </c>
      <c r="V239" s="451">
        <f t="shared" si="134"/>
        <v>0</v>
      </c>
      <c r="W239" s="451">
        <f t="shared" si="135"/>
        <v>13.18</v>
      </c>
      <c r="X239" s="451">
        <f t="shared" si="136"/>
        <v>15.28</v>
      </c>
      <c r="Y239" s="453">
        <f t="shared" si="137"/>
        <v>34680</v>
      </c>
      <c r="Z239" s="453">
        <f t="shared" si="138"/>
        <v>807028.91</v>
      </c>
      <c r="AA239" s="453">
        <f t="shared" si="139"/>
        <v>0</v>
      </c>
      <c r="AB239" s="453">
        <f t="shared" si="140"/>
        <v>0</v>
      </c>
      <c r="AC239" s="453">
        <f t="shared" si="141"/>
        <v>940774.32</v>
      </c>
      <c r="AD239" s="453">
        <f t="shared" si="142"/>
        <v>940774.32</v>
      </c>
      <c r="AE239" s="493">
        <f t="shared" si="143"/>
        <v>1782483.23</v>
      </c>
      <c r="AF239" s="453">
        <f t="shared" si="144"/>
        <v>1782485</v>
      </c>
      <c r="AG239" s="494">
        <f t="shared" si="145"/>
        <v>1.0000009929967195</v>
      </c>
      <c r="AH239" s="454">
        <f t="shared" si="146"/>
        <v>44453</v>
      </c>
      <c r="AI239" s="454">
        <f t="shared" si="147"/>
        <v>33357</v>
      </c>
      <c r="AJ239" s="454">
        <f t="shared" si="148"/>
        <v>97201</v>
      </c>
      <c r="AK239" s="454">
        <f t="shared" si="149"/>
        <v>0</v>
      </c>
      <c r="AL239" s="454">
        <f t="shared" si="150"/>
        <v>0</v>
      </c>
      <c r="AM239" s="454">
        <f t="shared" si="151"/>
        <v>1957496</v>
      </c>
      <c r="AN239" s="491">
        <f t="shared" si="152"/>
        <v>1957494.23</v>
      </c>
      <c r="AO239" s="487">
        <f t="shared" si="153"/>
        <v>1.7700000000186265</v>
      </c>
      <c r="AP239" s="495">
        <f t="shared" si="154"/>
        <v>655229.54</v>
      </c>
      <c r="AQ239" s="496">
        <f t="shared" si="155"/>
        <v>151799.37</v>
      </c>
      <c r="AV239" s="459">
        <f>IF(BA239&gt;BA238,AV238,IF(AV238&lt;MiscData!$F$1,EOMONTH(AV238,1),EOMONTH(AV238,-11)))</f>
        <v>42216</v>
      </c>
      <c r="AW239" s="448" t="str">
        <f t="shared" si="156"/>
        <v>20140101KUCIE561</v>
      </c>
      <c r="AX239" s="457" t="str">
        <f t="shared" si="157"/>
        <v>20140101PSP</v>
      </c>
      <c r="AY239" s="439">
        <f>IF(AV239&lt;=MiscData!$B$23,MiscData!$C$23,IF(AV239&lt;=MiscData!$B$24,MiscData!$C$24,MiscData!$C$25))</f>
        <v>20140101</v>
      </c>
      <c r="AZ239" s="439" t="str">
        <f>VLOOKUP(BA239,MiscData!$V$4:$W$42,2,FALSE)</f>
        <v>KUCIE561</v>
      </c>
      <c r="BA239" s="439">
        <f>IF(BA238=MiscData!$V$42,1,BA238+1)</f>
        <v>2</v>
      </c>
      <c r="BB239" s="439" t="str">
        <f>VLOOKUP(AZ239,MiscData!$W$4:$Y$42,3,FALSE)</f>
        <v>PSP</v>
      </c>
    </row>
    <row r="240" spans="1:55" hidden="1">
      <c r="A240" s="448">
        <f t="shared" si="158"/>
        <v>219</v>
      </c>
      <c r="B240" s="448" t="str">
        <f t="shared" si="120"/>
        <v>Jul 2015</v>
      </c>
      <c r="C240" s="448" t="s">
        <v>24</v>
      </c>
      <c r="D240" s="449" t="str">
        <f t="shared" si="121"/>
        <v>PSS</v>
      </c>
      <c r="E240" s="449" t="str">
        <f t="shared" si="122"/>
        <v>KUCIE562</v>
      </c>
      <c r="F240" s="450">
        <f t="shared" si="123"/>
        <v>4710</v>
      </c>
      <c r="G240" s="450">
        <v>0</v>
      </c>
      <c r="H240" s="450">
        <v>0</v>
      </c>
      <c r="I240" s="450">
        <v>0</v>
      </c>
      <c r="J240" s="450">
        <f t="shared" si="124"/>
        <v>209548842</v>
      </c>
      <c r="K240" s="482">
        <f t="shared" si="125"/>
        <v>0</v>
      </c>
      <c r="L240" s="482">
        <f t="shared" si="126"/>
        <v>0</v>
      </c>
      <c r="M240" s="482">
        <f t="shared" si="127"/>
        <v>679556</v>
      </c>
      <c r="N240" s="482">
        <f t="shared" si="128"/>
        <v>0</v>
      </c>
      <c r="O240" s="482">
        <f t="shared" si="129"/>
        <v>0</v>
      </c>
      <c r="P240" s="482">
        <f t="shared" si="130"/>
        <v>0</v>
      </c>
      <c r="Q240" s="451">
        <f t="shared" si="131"/>
        <v>90</v>
      </c>
      <c r="R240" s="452">
        <f t="shared" si="132"/>
        <v>3.5640000000000005E-2</v>
      </c>
      <c r="S240" s="452">
        <v>0</v>
      </c>
      <c r="T240" s="452">
        <v>0</v>
      </c>
      <c r="U240" s="452">
        <f t="shared" si="133"/>
        <v>2.8920000000000001E-2</v>
      </c>
      <c r="V240" s="451">
        <f t="shared" si="134"/>
        <v>0</v>
      </c>
      <c r="W240" s="451">
        <f t="shared" si="135"/>
        <v>13.2</v>
      </c>
      <c r="X240" s="451">
        <f t="shared" si="136"/>
        <v>15.3</v>
      </c>
      <c r="Y240" s="453">
        <f t="shared" si="137"/>
        <v>423900</v>
      </c>
      <c r="Z240" s="453">
        <f t="shared" si="138"/>
        <v>7468320.7300000004</v>
      </c>
      <c r="AA240" s="453">
        <f t="shared" si="139"/>
        <v>0</v>
      </c>
      <c r="AB240" s="453">
        <f t="shared" si="140"/>
        <v>0</v>
      </c>
      <c r="AC240" s="453">
        <f t="shared" si="141"/>
        <v>10397206.800000001</v>
      </c>
      <c r="AD240" s="453">
        <f t="shared" si="142"/>
        <v>10397206.800000001</v>
      </c>
      <c r="AE240" s="493">
        <f t="shared" si="143"/>
        <v>18289427.530000001</v>
      </c>
      <c r="AF240" s="453">
        <f t="shared" si="144"/>
        <v>18289435</v>
      </c>
      <c r="AG240" s="494">
        <f t="shared" si="145"/>
        <v>1.0000004084326852</v>
      </c>
      <c r="AH240" s="454">
        <f t="shared" si="146"/>
        <v>411141</v>
      </c>
      <c r="AI240" s="454">
        <f t="shared" si="147"/>
        <v>308515</v>
      </c>
      <c r="AJ240" s="454">
        <f t="shared" si="148"/>
        <v>899000</v>
      </c>
      <c r="AK240" s="454">
        <f t="shared" si="149"/>
        <v>0</v>
      </c>
      <c r="AL240" s="454">
        <f t="shared" si="150"/>
        <v>0</v>
      </c>
      <c r="AM240" s="454">
        <f t="shared" si="151"/>
        <v>19908091</v>
      </c>
      <c r="AN240" s="491">
        <f t="shared" si="152"/>
        <v>19908083.530000001</v>
      </c>
      <c r="AO240" s="487">
        <f t="shared" si="153"/>
        <v>7.4699999988079071</v>
      </c>
      <c r="AP240" s="495">
        <f t="shared" si="154"/>
        <v>6060152.5099999998</v>
      </c>
      <c r="AQ240" s="496">
        <f t="shared" si="155"/>
        <v>1408168.2200000007</v>
      </c>
      <c r="AV240" s="459">
        <f>IF(BA240&gt;BA239,AV239,IF(AV239&lt;MiscData!$F$1,EOMONTH(AV239,1),EOMONTH(AV239,-11)))</f>
        <v>42216</v>
      </c>
      <c r="AW240" s="448" t="str">
        <f t="shared" si="156"/>
        <v>20140101KUCIE562</v>
      </c>
      <c r="AX240" s="457" t="str">
        <f t="shared" si="157"/>
        <v>20140101PSS</v>
      </c>
      <c r="AY240" s="439">
        <f>IF(AV240&lt;=MiscData!$B$23,MiscData!$C$23,IF(AV240&lt;=MiscData!$B$24,MiscData!$C$24,MiscData!$C$25))</f>
        <v>20140101</v>
      </c>
      <c r="AZ240" s="439" t="str">
        <f>VLOOKUP(BA240,MiscData!$V$4:$W$42,2,FALSE)</f>
        <v>KUCIE562</v>
      </c>
      <c r="BA240" s="439">
        <f>IF(BA239=MiscData!$V$42,1,BA239+1)</f>
        <v>3</v>
      </c>
      <c r="BB240" s="439" t="str">
        <f>VLOOKUP(AZ240,MiscData!$W$4:$Y$42,3,FALSE)</f>
        <v>PSS</v>
      </c>
    </row>
    <row r="241" spans="1:54" hidden="1">
      <c r="A241" s="448">
        <f t="shared" si="158"/>
        <v>220</v>
      </c>
      <c r="B241" s="448" t="str">
        <f t="shared" si="120"/>
        <v>Jul 2015</v>
      </c>
      <c r="C241" s="448" t="s">
        <v>205</v>
      </c>
      <c r="D241" s="449" t="str">
        <f t="shared" si="121"/>
        <v>TODP</v>
      </c>
      <c r="E241" s="449" t="str">
        <f t="shared" si="122"/>
        <v>KUCIE563</v>
      </c>
      <c r="F241" s="450">
        <f t="shared" si="123"/>
        <v>52</v>
      </c>
      <c r="G241" s="450">
        <v>0</v>
      </c>
      <c r="H241" s="450">
        <v>0</v>
      </c>
      <c r="I241" s="450">
        <v>0</v>
      </c>
      <c r="J241" s="450">
        <f t="shared" si="124"/>
        <v>279512046</v>
      </c>
      <c r="K241" s="482">
        <f t="shared" si="125"/>
        <v>560341</v>
      </c>
      <c r="L241" s="482">
        <f t="shared" si="126"/>
        <v>548515</v>
      </c>
      <c r="M241" s="482">
        <f t="shared" si="127"/>
        <v>538936</v>
      </c>
      <c r="N241" s="482">
        <f t="shared" si="128"/>
        <v>0</v>
      </c>
      <c r="O241" s="482">
        <f t="shared" si="129"/>
        <v>0</v>
      </c>
      <c r="P241" s="482">
        <f t="shared" si="130"/>
        <v>0</v>
      </c>
      <c r="Q241" s="451">
        <f t="shared" si="131"/>
        <v>300</v>
      </c>
      <c r="R241" s="452">
        <f t="shared" si="132"/>
        <v>3.7650000000000003E-2</v>
      </c>
      <c r="S241" s="452">
        <v>0</v>
      </c>
      <c r="T241" s="452">
        <v>0</v>
      </c>
      <c r="U241" s="452">
        <f t="shared" si="133"/>
        <v>2.8920000000000001E-2</v>
      </c>
      <c r="V241" s="451">
        <f t="shared" si="134"/>
        <v>1.71</v>
      </c>
      <c r="W241" s="451">
        <f t="shared" si="135"/>
        <v>2.76</v>
      </c>
      <c r="X241" s="451">
        <f t="shared" si="136"/>
        <v>4.26</v>
      </c>
      <c r="Y241" s="453">
        <f t="shared" si="137"/>
        <v>15600</v>
      </c>
      <c r="Z241" s="453">
        <f t="shared" si="138"/>
        <v>10523628.529999999</v>
      </c>
      <c r="AA241" s="453">
        <f t="shared" si="139"/>
        <v>958183.11</v>
      </c>
      <c r="AB241" s="453">
        <f t="shared" si="140"/>
        <v>1513901.4</v>
      </c>
      <c r="AC241" s="453">
        <f t="shared" si="141"/>
        <v>2295867.36</v>
      </c>
      <c r="AD241" s="453">
        <f t="shared" si="142"/>
        <v>4767951.8699999992</v>
      </c>
      <c r="AE241" s="493">
        <f t="shared" si="143"/>
        <v>15307180.399999999</v>
      </c>
      <c r="AF241" s="453">
        <f t="shared" si="144"/>
        <v>15307180</v>
      </c>
      <c r="AG241" s="494">
        <f t="shared" si="145"/>
        <v>0.99999997386847295</v>
      </c>
      <c r="AH241" s="454">
        <f t="shared" si="146"/>
        <v>548411</v>
      </c>
      <c r="AI241" s="454">
        <f t="shared" si="147"/>
        <v>411521</v>
      </c>
      <c r="AJ241" s="454">
        <f t="shared" si="148"/>
        <v>1199154</v>
      </c>
      <c r="AK241" s="454">
        <f t="shared" si="149"/>
        <v>0</v>
      </c>
      <c r="AL241" s="454">
        <f t="shared" si="150"/>
        <v>0</v>
      </c>
      <c r="AM241" s="454">
        <f t="shared" si="151"/>
        <v>17466266</v>
      </c>
      <c r="AN241" s="491">
        <f t="shared" si="152"/>
        <v>17466266.399999999</v>
      </c>
      <c r="AO241" s="487">
        <f t="shared" si="153"/>
        <v>-0.39999999850988388</v>
      </c>
      <c r="AP241" s="495">
        <f t="shared" si="154"/>
        <v>8083488.3700000001</v>
      </c>
      <c r="AQ241" s="496">
        <f t="shared" si="155"/>
        <v>2440140.1599999992</v>
      </c>
      <c r="AV241" s="459">
        <f>IF(BA241&gt;BA240,AV240,IF(AV240&lt;MiscData!$F$1,EOMONTH(AV240,1),EOMONTH(AV240,-11)))</f>
        <v>42216</v>
      </c>
      <c r="AW241" s="448" t="str">
        <f t="shared" si="156"/>
        <v>20140101KUCIE563</v>
      </c>
      <c r="AX241" s="457" t="str">
        <f t="shared" si="157"/>
        <v>20140101TODP</v>
      </c>
      <c r="AY241" s="439">
        <f>IF(AV241&lt;=MiscData!$B$23,MiscData!$C$23,IF(AV241&lt;=MiscData!$B$24,MiscData!$C$24,MiscData!$C$25))</f>
        <v>20140101</v>
      </c>
      <c r="AZ241" s="439" t="str">
        <f>VLOOKUP(BA241,MiscData!$V$4:$W$42,2,FALSE)</f>
        <v>KUCIE563</v>
      </c>
      <c r="BA241" s="439">
        <f>IF(BA240=MiscData!$V$42,1,BA240+1)</f>
        <v>4</v>
      </c>
      <c r="BB241" s="439" t="str">
        <f>VLOOKUP(AZ241,MiscData!$W$4:$Y$42,3,FALSE)</f>
        <v>TODP</v>
      </c>
    </row>
    <row r="242" spans="1:54" hidden="1">
      <c r="A242" s="448">
        <f t="shared" si="158"/>
        <v>221</v>
      </c>
      <c r="B242" s="448" t="str">
        <f t="shared" si="120"/>
        <v>Jul 2015</v>
      </c>
      <c r="C242" s="448" t="s">
        <v>25</v>
      </c>
      <c r="D242" s="449" t="str">
        <f t="shared" si="121"/>
        <v>PSP</v>
      </c>
      <c r="E242" s="449" t="str">
        <f t="shared" si="122"/>
        <v>KUCIE566</v>
      </c>
      <c r="F242" s="450">
        <f t="shared" si="123"/>
        <v>0</v>
      </c>
      <c r="G242" s="450">
        <v>0</v>
      </c>
      <c r="H242" s="450">
        <v>0</v>
      </c>
      <c r="I242" s="450">
        <v>0</v>
      </c>
      <c r="J242" s="450">
        <f t="shared" si="124"/>
        <v>0</v>
      </c>
      <c r="K242" s="482">
        <f t="shared" si="125"/>
        <v>0</v>
      </c>
      <c r="L242" s="482">
        <f t="shared" si="126"/>
        <v>0</v>
      </c>
      <c r="M242" s="482">
        <f t="shared" si="127"/>
        <v>0</v>
      </c>
      <c r="N242" s="482">
        <f t="shared" si="128"/>
        <v>0</v>
      </c>
      <c r="O242" s="482">
        <f t="shared" si="129"/>
        <v>0</v>
      </c>
      <c r="P242" s="482">
        <f t="shared" si="130"/>
        <v>0</v>
      </c>
      <c r="Q242" s="451">
        <f t="shared" si="131"/>
        <v>170</v>
      </c>
      <c r="R242" s="452">
        <f t="shared" si="132"/>
        <v>3.5619999999999999E-2</v>
      </c>
      <c r="S242" s="452">
        <v>0</v>
      </c>
      <c r="T242" s="452">
        <v>0</v>
      </c>
      <c r="U242" s="452">
        <f t="shared" si="133"/>
        <v>2.8920000000000001E-2</v>
      </c>
      <c r="V242" s="451">
        <f t="shared" si="134"/>
        <v>0</v>
      </c>
      <c r="W242" s="451">
        <f t="shared" si="135"/>
        <v>13.18</v>
      </c>
      <c r="X242" s="451">
        <f t="shared" si="136"/>
        <v>15.28</v>
      </c>
      <c r="Y242" s="453">
        <f t="shared" si="137"/>
        <v>0</v>
      </c>
      <c r="Z242" s="453">
        <f t="shared" si="138"/>
        <v>0</v>
      </c>
      <c r="AA242" s="453">
        <f t="shared" si="139"/>
        <v>0</v>
      </c>
      <c r="AB242" s="453">
        <f t="shared" si="140"/>
        <v>0</v>
      </c>
      <c r="AC242" s="453">
        <f t="shared" si="141"/>
        <v>0</v>
      </c>
      <c r="AD242" s="453">
        <f t="shared" si="142"/>
        <v>0</v>
      </c>
      <c r="AE242" s="493">
        <f t="shared" si="143"/>
        <v>0</v>
      </c>
      <c r="AF242" s="453">
        <f t="shared" si="144"/>
        <v>0</v>
      </c>
      <c r="AG242" s="494">
        <f t="shared" si="145"/>
        <v>1</v>
      </c>
      <c r="AH242" s="454">
        <f t="shared" si="146"/>
        <v>0</v>
      </c>
      <c r="AI242" s="454">
        <f t="shared" si="147"/>
        <v>0</v>
      </c>
      <c r="AJ242" s="454">
        <f t="shared" si="148"/>
        <v>0</v>
      </c>
      <c r="AK242" s="454">
        <f t="shared" si="149"/>
        <v>0</v>
      </c>
      <c r="AL242" s="454">
        <f t="shared" si="150"/>
        <v>0</v>
      </c>
      <c r="AM242" s="454">
        <f t="shared" si="151"/>
        <v>0</v>
      </c>
      <c r="AN242" s="491">
        <f t="shared" si="152"/>
        <v>0</v>
      </c>
      <c r="AO242" s="487">
        <f t="shared" si="153"/>
        <v>0</v>
      </c>
      <c r="AP242" s="495">
        <f t="shared" si="154"/>
        <v>0</v>
      </c>
      <c r="AQ242" s="496">
        <f t="shared" si="155"/>
        <v>0</v>
      </c>
      <c r="AV242" s="459">
        <f>IF(BA242&gt;BA241,AV241,IF(AV241&lt;MiscData!$F$1,EOMONTH(AV241,1),EOMONTH(AV241,-11)))</f>
        <v>42216</v>
      </c>
      <c r="AW242" s="448" t="str">
        <f t="shared" si="156"/>
        <v>20140101KUCIE566</v>
      </c>
      <c r="AX242" s="457" t="str">
        <f t="shared" si="157"/>
        <v>20140101PSP</v>
      </c>
      <c r="AY242" s="439">
        <f>IF(AV242&lt;=MiscData!$B$23,MiscData!$C$23,IF(AV242&lt;=MiscData!$B$24,MiscData!$C$24,MiscData!$C$25))</f>
        <v>20140101</v>
      </c>
      <c r="AZ242" s="439" t="str">
        <f>VLOOKUP(BA242,MiscData!$V$4:$W$42,2,FALSE)</f>
        <v>KUCIE566</v>
      </c>
      <c r="BA242" s="439">
        <f>IF(BA241=MiscData!$V$42,1,BA241+1)</f>
        <v>5</v>
      </c>
      <c r="BB242" s="439" t="str">
        <f>VLOOKUP(AZ242,MiscData!$W$4:$Y$42,3,FALSE)</f>
        <v>PSP</v>
      </c>
    </row>
    <row r="243" spans="1:54" hidden="1">
      <c r="A243" s="448">
        <f t="shared" si="158"/>
        <v>222</v>
      </c>
      <c r="B243" s="448" t="str">
        <f t="shared" si="120"/>
        <v>Jul 2015</v>
      </c>
      <c r="C243" s="448" t="s">
        <v>24</v>
      </c>
      <c r="D243" s="449" t="str">
        <f t="shared" si="121"/>
        <v>PSS</v>
      </c>
      <c r="E243" s="449" t="str">
        <f t="shared" si="122"/>
        <v>KUCIE568</v>
      </c>
      <c r="F243" s="450">
        <f t="shared" si="123"/>
        <v>0</v>
      </c>
      <c r="G243" s="450">
        <v>0</v>
      </c>
      <c r="H243" s="450">
        <v>0</v>
      </c>
      <c r="I243" s="450">
        <v>0</v>
      </c>
      <c r="J243" s="450">
        <f t="shared" si="124"/>
        <v>0</v>
      </c>
      <c r="K243" s="482">
        <f t="shared" si="125"/>
        <v>0</v>
      </c>
      <c r="L243" s="482">
        <f t="shared" si="126"/>
        <v>0</v>
      </c>
      <c r="M243" s="482">
        <f t="shared" si="127"/>
        <v>0</v>
      </c>
      <c r="N243" s="482">
        <f t="shared" si="128"/>
        <v>0</v>
      </c>
      <c r="O243" s="482">
        <f t="shared" si="129"/>
        <v>0</v>
      </c>
      <c r="P243" s="482">
        <f t="shared" si="130"/>
        <v>0</v>
      </c>
      <c r="Q243" s="451">
        <f t="shared" si="131"/>
        <v>90</v>
      </c>
      <c r="R243" s="452">
        <f t="shared" si="132"/>
        <v>3.5640000000000005E-2</v>
      </c>
      <c r="S243" s="452">
        <v>0</v>
      </c>
      <c r="T243" s="452">
        <v>0</v>
      </c>
      <c r="U243" s="452">
        <f t="shared" si="133"/>
        <v>2.8920000000000001E-2</v>
      </c>
      <c r="V243" s="451">
        <f t="shared" si="134"/>
        <v>0</v>
      </c>
      <c r="W243" s="451">
        <f t="shared" si="135"/>
        <v>13.2</v>
      </c>
      <c r="X243" s="451">
        <f t="shared" si="136"/>
        <v>15.3</v>
      </c>
      <c r="Y243" s="453">
        <f t="shared" si="137"/>
        <v>0</v>
      </c>
      <c r="Z243" s="453">
        <f t="shared" si="138"/>
        <v>0</v>
      </c>
      <c r="AA243" s="453">
        <f t="shared" si="139"/>
        <v>0</v>
      </c>
      <c r="AB243" s="453">
        <f t="shared" si="140"/>
        <v>0</v>
      </c>
      <c r="AC243" s="453">
        <f t="shared" si="141"/>
        <v>0</v>
      </c>
      <c r="AD243" s="453">
        <f t="shared" si="142"/>
        <v>0</v>
      </c>
      <c r="AE243" s="493">
        <f t="shared" si="143"/>
        <v>0</v>
      </c>
      <c r="AF243" s="453">
        <f t="shared" si="144"/>
        <v>0</v>
      </c>
      <c r="AG243" s="494">
        <f t="shared" si="145"/>
        <v>1</v>
      </c>
      <c r="AH243" s="454">
        <f t="shared" si="146"/>
        <v>0</v>
      </c>
      <c r="AI243" s="454">
        <f t="shared" si="147"/>
        <v>0</v>
      </c>
      <c r="AJ243" s="454">
        <f t="shared" si="148"/>
        <v>0</v>
      </c>
      <c r="AK243" s="454">
        <f t="shared" si="149"/>
        <v>0</v>
      </c>
      <c r="AL243" s="454">
        <f t="shared" si="150"/>
        <v>0</v>
      </c>
      <c r="AM243" s="454">
        <f t="shared" si="151"/>
        <v>0</v>
      </c>
      <c r="AN243" s="491">
        <f t="shared" si="152"/>
        <v>0</v>
      </c>
      <c r="AO243" s="487">
        <f t="shared" si="153"/>
        <v>0</v>
      </c>
      <c r="AP243" s="495">
        <f t="shared" si="154"/>
        <v>0</v>
      </c>
      <c r="AQ243" s="496">
        <f t="shared" si="155"/>
        <v>0</v>
      </c>
      <c r="AV243" s="459">
        <f>IF(BA243&gt;BA242,AV242,IF(AV242&lt;MiscData!$F$1,EOMONTH(AV242,1),EOMONTH(AV242,-11)))</f>
        <v>42216</v>
      </c>
      <c r="AW243" s="448" t="str">
        <f t="shared" si="156"/>
        <v>20140101KUCIE568</v>
      </c>
      <c r="AX243" s="457" t="str">
        <f t="shared" si="157"/>
        <v>20140101PSS</v>
      </c>
      <c r="AY243" s="439">
        <f>IF(AV243&lt;=MiscData!$B$23,MiscData!$C$23,IF(AV243&lt;=MiscData!$B$24,MiscData!$C$24,MiscData!$C$25))</f>
        <v>20140101</v>
      </c>
      <c r="AZ243" s="439" t="str">
        <f>VLOOKUP(BA243,MiscData!$V$4:$W$42,2,FALSE)</f>
        <v>KUCIE568</v>
      </c>
      <c r="BA243" s="439">
        <f>IF(BA242=MiscData!$V$42,1,BA242+1)</f>
        <v>6</v>
      </c>
      <c r="BB243" s="439" t="str">
        <f>VLOOKUP(AZ243,MiscData!$W$4:$Y$42,3,FALSE)</f>
        <v>PSS</v>
      </c>
    </row>
    <row r="244" spans="1:54" hidden="1">
      <c r="A244" s="448">
        <f t="shared" si="158"/>
        <v>223</v>
      </c>
      <c r="B244" s="448" t="str">
        <f t="shared" si="120"/>
        <v>Jul 2015</v>
      </c>
      <c r="C244" s="448" t="s">
        <v>205</v>
      </c>
      <c r="D244" s="449" t="str">
        <f t="shared" si="121"/>
        <v>TODP</v>
      </c>
      <c r="E244" s="449" t="str">
        <f t="shared" si="122"/>
        <v>KUCIE571</v>
      </c>
      <c r="F244" s="450">
        <f t="shared" si="123"/>
        <v>194</v>
      </c>
      <c r="G244" s="450">
        <v>0</v>
      </c>
      <c r="H244" s="450">
        <v>0</v>
      </c>
      <c r="I244" s="450">
        <v>0</v>
      </c>
      <c r="J244" s="450">
        <f t="shared" si="124"/>
        <v>116315819</v>
      </c>
      <c r="K244" s="482">
        <f t="shared" si="125"/>
        <v>298883</v>
      </c>
      <c r="L244" s="482">
        <f t="shared" si="126"/>
        <v>286626</v>
      </c>
      <c r="M244" s="482">
        <f t="shared" si="127"/>
        <v>280422</v>
      </c>
      <c r="N244" s="482">
        <f t="shared" si="128"/>
        <v>0</v>
      </c>
      <c r="O244" s="482">
        <f t="shared" si="129"/>
        <v>0</v>
      </c>
      <c r="P244" s="482">
        <f t="shared" si="130"/>
        <v>0</v>
      </c>
      <c r="Q244" s="451">
        <f t="shared" si="131"/>
        <v>300</v>
      </c>
      <c r="R244" s="452">
        <f t="shared" si="132"/>
        <v>3.7650000000000003E-2</v>
      </c>
      <c r="S244" s="452">
        <v>0</v>
      </c>
      <c r="T244" s="452">
        <v>0</v>
      </c>
      <c r="U244" s="452">
        <f t="shared" si="133"/>
        <v>2.8920000000000001E-2</v>
      </c>
      <c r="V244" s="451">
        <f t="shared" si="134"/>
        <v>1.71</v>
      </c>
      <c r="W244" s="451">
        <f t="shared" si="135"/>
        <v>2.76</v>
      </c>
      <c r="X244" s="451">
        <f t="shared" si="136"/>
        <v>4.26</v>
      </c>
      <c r="Y244" s="453">
        <f t="shared" si="137"/>
        <v>58200</v>
      </c>
      <c r="Z244" s="453">
        <f t="shared" si="138"/>
        <v>4379290.59</v>
      </c>
      <c r="AA244" s="453">
        <f t="shared" si="139"/>
        <v>511089.93</v>
      </c>
      <c r="AB244" s="453">
        <f t="shared" si="140"/>
        <v>791087.76</v>
      </c>
      <c r="AC244" s="453">
        <f t="shared" si="141"/>
        <v>1194597.72</v>
      </c>
      <c r="AD244" s="453">
        <f t="shared" si="142"/>
        <v>2496775.41</v>
      </c>
      <c r="AE244" s="493">
        <f t="shared" si="143"/>
        <v>6934265.9999999991</v>
      </c>
      <c r="AF244" s="453">
        <f t="shared" si="144"/>
        <v>6934266</v>
      </c>
      <c r="AG244" s="494">
        <f t="shared" si="145"/>
        <v>1.0000000000000002</v>
      </c>
      <c r="AH244" s="454">
        <f t="shared" si="146"/>
        <v>228215</v>
      </c>
      <c r="AI244" s="454">
        <f t="shared" si="147"/>
        <v>171250</v>
      </c>
      <c r="AJ244" s="454">
        <f t="shared" si="148"/>
        <v>499015</v>
      </c>
      <c r="AK244" s="454">
        <f t="shared" si="149"/>
        <v>0</v>
      </c>
      <c r="AL244" s="454">
        <f t="shared" si="150"/>
        <v>0</v>
      </c>
      <c r="AM244" s="454">
        <f t="shared" si="151"/>
        <v>7832746</v>
      </c>
      <c r="AN244" s="491">
        <f t="shared" si="152"/>
        <v>7832745.9999999991</v>
      </c>
      <c r="AO244" s="487">
        <f t="shared" si="153"/>
        <v>0</v>
      </c>
      <c r="AP244" s="495">
        <f t="shared" si="154"/>
        <v>3363853.49</v>
      </c>
      <c r="AQ244" s="496">
        <f t="shared" si="155"/>
        <v>1015437.0999999996</v>
      </c>
      <c r="AV244" s="459">
        <f>IF(BA244&gt;BA243,AV243,IF(AV243&lt;MiscData!$F$1,EOMONTH(AV243,1),EOMONTH(AV243,-11)))</f>
        <v>42216</v>
      </c>
      <c r="AW244" s="448" t="str">
        <f t="shared" si="156"/>
        <v>20140101KUCIE571</v>
      </c>
      <c r="AX244" s="457" t="str">
        <f t="shared" si="157"/>
        <v>20140101TODP</v>
      </c>
      <c r="AY244" s="439">
        <f>IF(AV244&lt;=MiscData!$B$23,MiscData!$C$23,IF(AV244&lt;=MiscData!$B$24,MiscData!$C$24,MiscData!$C$25))</f>
        <v>20140101</v>
      </c>
      <c r="AZ244" s="439" t="str">
        <f>VLOOKUP(BA244,MiscData!$V$4:$W$42,2,FALSE)</f>
        <v>KUCIE571</v>
      </c>
      <c r="BA244" s="439">
        <f>IF(BA243=MiscData!$V$42,1,BA243+1)</f>
        <v>7</v>
      </c>
      <c r="BB244" s="439" t="str">
        <f>VLOOKUP(AZ244,MiscData!$W$4:$Y$42,3,FALSE)</f>
        <v>TODP</v>
      </c>
    </row>
    <row r="245" spans="1:54" hidden="1">
      <c r="A245" s="448">
        <f t="shared" si="158"/>
        <v>224</v>
      </c>
      <c r="B245" s="448" t="str">
        <f t="shared" si="120"/>
        <v>Jul 2015</v>
      </c>
      <c r="C245" s="448" t="s">
        <v>204</v>
      </c>
      <c r="D245" s="449" t="str">
        <f t="shared" si="121"/>
        <v>TODS</v>
      </c>
      <c r="E245" s="449" t="str">
        <f t="shared" si="122"/>
        <v>KUCIE572</v>
      </c>
      <c r="F245" s="450">
        <f t="shared" si="123"/>
        <v>461</v>
      </c>
      <c r="G245" s="450">
        <v>0</v>
      </c>
      <c r="H245" s="450">
        <v>0</v>
      </c>
      <c r="I245" s="450">
        <v>0</v>
      </c>
      <c r="J245" s="450">
        <f t="shared" si="124"/>
        <v>149714839</v>
      </c>
      <c r="K245" s="482">
        <f t="shared" si="125"/>
        <v>361109</v>
      </c>
      <c r="L245" s="482">
        <f t="shared" si="126"/>
        <v>337141</v>
      </c>
      <c r="M245" s="482">
        <f t="shared" si="127"/>
        <v>330579</v>
      </c>
      <c r="N245" s="482">
        <f t="shared" si="128"/>
        <v>0</v>
      </c>
      <c r="O245" s="482">
        <f t="shared" si="129"/>
        <v>0</v>
      </c>
      <c r="P245" s="482">
        <f t="shared" si="130"/>
        <v>0</v>
      </c>
      <c r="Q245" s="451">
        <f t="shared" si="131"/>
        <v>200</v>
      </c>
      <c r="R245" s="452">
        <f t="shared" si="132"/>
        <v>3.773E-2</v>
      </c>
      <c r="S245" s="452">
        <v>0</v>
      </c>
      <c r="T245" s="452">
        <v>0</v>
      </c>
      <c r="U245" s="452">
        <f t="shared" si="133"/>
        <v>2.8920000000000001E-2</v>
      </c>
      <c r="V245" s="451">
        <f t="shared" si="134"/>
        <v>3.62</v>
      </c>
      <c r="W245" s="451">
        <f t="shared" si="135"/>
        <v>2.95</v>
      </c>
      <c r="X245" s="451">
        <f t="shared" si="136"/>
        <v>4.55</v>
      </c>
      <c r="Y245" s="453">
        <f t="shared" si="137"/>
        <v>92200</v>
      </c>
      <c r="Z245" s="453">
        <f t="shared" si="138"/>
        <v>5648740.8799999999</v>
      </c>
      <c r="AA245" s="453">
        <f t="shared" si="139"/>
        <v>1307214.58</v>
      </c>
      <c r="AB245" s="453">
        <f t="shared" si="140"/>
        <v>994565.95</v>
      </c>
      <c r="AC245" s="453">
        <f t="shared" si="141"/>
        <v>1504134.45</v>
      </c>
      <c r="AD245" s="453">
        <f t="shared" si="142"/>
        <v>3805914.9800000004</v>
      </c>
      <c r="AE245" s="493">
        <f t="shared" si="143"/>
        <v>9546855.8599999994</v>
      </c>
      <c r="AF245" s="453">
        <f t="shared" si="144"/>
        <v>9546857</v>
      </c>
      <c r="AG245" s="494">
        <f t="shared" si="145"/>
        <v>1.0000001194110415</v>
      </c>
      <c r="AH245" s="454">
        <f t="shared" si="146"/>
        <v>293745</v>
      </c>
      <c r="AI245" s="454">
        <f t="shared" si="147"/>
        <v>220423</v>
      </c>
      <c r="AJ245" s="454">
        <f t="shared" si="148"/>
        <v>642302</v>
      </c>
      <c r="AK245" s="454">
        <f t="shared" si="149"/>
        <v>0</v>
      </c>
      <c r="AL245" s="454">
        <f t="shared" si="150"/>
        <v>0</v>
      </c>
      <c r="AM245" s="454">
        <f t="shared" si="151"/>
        <v>10703327</v>
      </c>
      <c r="AN245" s="491">
        <f t="shared" si="152"/>
        <v>10703325.859999999</v>
      </c>
      <c r="AO245" s="487">
        <f t="shared" si="153"/>
        <v>1.1400000005960464</v>
      </c>
      <c r="AP245" s="495">
        <f t="shared" si="154"/>
        <v>4329753.1399999997</v>
      </c>
      <c r="AQ245" s="496">
        <f t="shared" si="155"/>
        <v>1318987.7400000002</v>
      </c>
      <c r="AV245" s="459">
        <f>IF(BA245&gt;BA244,AV244,IF(AV244&lt;MiscData!$F$1,EOMONTH(AV244,1),EOMONTH(AV244,-11)))</f>
        <v>42216</v>
      </c>
      <c r="AW245" s="448" t="str">
        <f t="shared" si="156"/>
        <v>20140101KUCIE572</v>
      </c>
      <c r="AX245" s="457" t="str">
        <f t="shared" si="157"/>
        <v>20140101TODS</v>
      </c>
      <c r="AY245" s="439">
        <f>IF(AV245&lt;=MiscData!$B$23,MiscData!$C$23,IF(AV245&lt;=MiscData!$B$24,MiscData!$C$24,MiscData!$C$25))</f>
        <v>20140101</v>
      </c>
      <c r="AZ245" s="439" t="str">
        <f>VLOOKUP(BA245,MiscData!$V$4:$W$42,2,FALSE)</f>
        <v>KUCIE572</v>
      </c>
      <c r="BA245" s="439">
        <f>IF(BA244=MiscData!$V$42,1,BA244+1)</f>
        <v>8</v>
      </c>
      <c r="BB245" s="439" t="str">
        <f>VLOOKUP(AZ245,MiscData!$W$4:$Y$42,3,FALSE)</f>
        <v>TODS</v>
      </c>
    </row>
    <row r="246" spans="1:54" hidden="1">
      <c r="A246" s="448">
        <f t="shared" si="158"/>
        <v>225</v>
      </c>
      <c r="B246" s="448" t="str">
        <f t="shared" si="120"/>
        <v>Jul 2015</v>
      </c>
      <c r="C246" s="448" t="s">
        <v>24</v>
      </c>
      <c r="D246" s="449" t="str">
        <f t="shared" si="121"/>
        <v>PSS</v>
      </c>
      <c r="E246" s="449" t="str">
        <f t="shared" si="122"/>
        <v>KUCIE717</v>
      </c>
      <c r="F246" s="450">
        <f t="shared" si="123"/>
        <v>0</v>
      </c>
      <c r="G246" s="450">
        <v>0</v>
      </c>
      <c r="H246" s="450">
        <v>0</v>
      </c>
      <c r="I246" s="450">
        <v>0</v>
      </c>
      <c r="J246" s="450">
        <f t="shared" si="124"/>
        <v>0</v>
      </c>
      <c r="K246" s="482">
        <f t="shared" si="125"/>
        <v>0</v>
      </c>
      <c r="L246" s="482">
        <f t="shared" si="126"/>
        <v>0</v>
      </c>
      <c r="M246" s="482">
        <f t="shared" si="127"/>
        <v>0</v>
      </c>
      <c r="N246" s="482">
        <f t="shared" si="128"/>
        <v>0</v>
      </c>
      <c r="O246" s="482">
        <f t="shared" si="129"/>
        <v>0</v>
      </c>
      <c r="P246" s="482">
        <f t="shared" si="130"/>
        <v>0</v>
      </c>
      <c r="Q246" s="451">
        <f t="shared" si="131"/>
        <v>90</v>
      </c>
      <c r="R246" s="452">
        <f t="shared" si="132"/>
        <v>3.5640000000000005E-2</v>
      </c>
      <c r="S246" s="452">
        <v>0</v>
      </c>
      <c r="T246" s="452">
        <v>0</v>
      </c>
      <c r="U246" s="452">
        <f t="shared" si="133"/>
        <v>2.8920000000000001E-2</v>
      </c>
      <c r="V246" s="451">
        <f t="shared" si="134"/>
        <v>0</v>
      </c>
      <c r="W246" s="451">
        <f t="shared" si="135"/>
        <v>13.2</v>
      </c>
      <c r="X246" s="451">
        <f t="shared" si="136"/>
        <v>15.3</v>
      </c>
      <c r="Y246" s="453">
        <f t="shared" si="137"/>
        <v>0</v>
      </c>
      <c r="Z246" s="453">
        <f t="shared" si="138"/>
        <v>0</v>
      </c>
      <c r="AA246" s="453">
        <f t="shared" si="139"/>
        <v>0</v>
      </c>
      <c r="AB246" s="453">
        <f t="shared" si="140"/>
        <v>0</v>
      </c>
      <c r="AC246" s="453">
        <f t="shared" si="141"/>
        <v>0</v>
      </c>
      <c r="AD246" s="453">
        <f t="shared" si="142"/>
        <v>0</v>
      </c>
      <c r="AE246" s="493">
        <f t="shared" si="143"/>
        <v>0</v>
      </c>
      <c r="AF246" s="453">
        <f t="shared" si="144"/>
        <v>0</v>
      </c>
      <c r="AG246" s="494">
        <f t="shared" si="145"/>
        <v>1</v>
      </c>
      <c r="AH246" s="454">
        <f t="shared" si="146"/>
        <v>0</v>
      </c>
      <c r="AI246" s="454">
        <f t="shared" si="147"/>
        <v>0</v>
      </c>
      <c r="AJ246" s="454">
        <f t="shared" si="148"/>
        <v>0</v>
      </c>
      <c r="AK246" s="454">
        <f t="shared" si="149"/>
        <v>0</v>
      </c>
      <c r="AL246" s="454">
        <f t="shared" si="150"/>
        <v>0</v>
      </c>
      <c r="AM246" s="454">
        <f t="shared" si="151"/>
        <v>0</v>
      </c>
      <c r="AN246" s="491">
        <f t="shared" si="152"/>
        <v>0</v>
      </c>
      <c r="AO246" s="487">
        <f t="shared" si="153"/>
        <v>0</v>
      </c>
      <c r="AP246" s="495">
        <f t="shared" si="154"/>
        <v>0</v>
      </c>
      <c r="AQ246" s="496">
        <f t="shared" si="155"/>
        <v>0</v>
      </c>
      <c r="AV246" s="459">
        <f>IF(BA246&gt;BA245,AV245,IF(AV245&lt;MiscData!$F$1,EOMONTH(AV245,1),EOMONTH(AV245,-11)))</f>
        <v>42216</v>
      </c>
      <c r="AW246" s="448" t="str">
        <f t="shared" si="156"/>
        <v>20140101KUCIE717</v>
      </c>
      <c r="AX246" s="457" t="str">
        <f t="shared" si="157"/>
        <v>20140101PSS</v>
      </c>
      <c r="AY246" s="439">
        <f>IF(AV246&lt;=MiscData!$B$23,MiscData!$C$23,IF(AV246&lt;=MiscData!$B$24,MiscData!$C$24,MiscData!$C$25))</f>
        <v>20140101</v>
      </c>
      <c r="AZ246" s="439" t="str">
        <f>VLOOKUP(BA246,MiscData!$V$4:$W$42,2,FALSE)</f>
        <v>KUCIE717</v>
      </c>
      <c r="BA246" s="439">
        <f>IF(BA245=MiscData!$V$42,1,BA245+1)</f>
        <v>9</v>
      </c>
      <c r="BB246" s="439" t="str">
        <f>VLOOKUP(AZ246,MiscData!$W$4:$Y$42,3,FALSE)</f>
        <v>PSS</v>
      </c>
    </row>
    <row r="247" spans="1:54">
      <c r="A247" s="499">
        <f t="shared" si="158"/>
        <v>226</v>
      </c>
      <c r="B247" s="448" t="str">
        <f t="shared" si="120"/>
        <v>Jul 2015</v>
      </c>
      <c r="C247" s="448" t="s">
        <v>208</v>
      </c>
      <c r="D247" s="449" t="str">
        <f t="shared" si="121"/>
        <v>GS</v>
      </c>
      <c r="E247" s="449" t="str">
        <f t="shared" si="122"/>
        <v>KUCME110</v>
      </c>
      <c r="F247" s="450">
        <f t="shared" si="123"/>
        <v>63491</v>
      </c>
      <c r="G247" s="450">
        <v>0</v>
      </c>
      <c r="H247" s="450">
        <v>0</v>
      </c>
      <c r="I247" s="450">
        <v>0</v>
      </c>
      <c r="J247" s="450">
        <f t="shared" si="124"/>
        <v>71183680</v>
      </c>
      <c r="K247" s="482">
        <f t="shared" si="125"/>
        <v>0</v>
      </c>
      <c r="L247" s="482">
        <f t="shared" si="126"/>
        <v>0</v>
      </c>
      <c r="M247" s="482">
        <f t="shared" si="127"/>
        <v>0</v>
      </c>
      <c r="N247" s="482">
        <f t="shared" si="128"/>
        <v>0</v>
      </c>
      <c r="O247" s="482">
        <f t="shared" si="129"/>
        <v>0</v>
      </c>
      <c r="P247" s="482">
        <f t="shared" si="130"/>
        <v>0</v>
      </c>
      <c r="Q247" s="451">
        <f t="shared" si="131"/>
        <v>20</v>
      </c>
      <c r="R247" s="452">
        <f t="shared" si="132"/>
        <v>9.2249999999999999E-2</v>
      </c>
      <c r="S247" s="452">
        <v>0</v>
      </c>
      <c r="T247" s="452">
        <v>0</v>
      </c>
      <c r="U247" s="452">
        <f t="shared" si="133"/>
        <v>2.8920000000000001E-2</v>
      </c>
      <c r="V247" s="451">
        <f t="shared" si="134"/>
        <v>0</v>
      </c>
      <c r="W247" s="451">
        <f t="shared" si="135"/>
        <v>0</v>
      </c>
      <c r="X247" s="451">
        <f t="shared" si="136"/>
        <v>0</v>
      </c>
      <c r="Y247" s="453">
        <f t="shared" si="137"/>
        <v>1269820</v>
      </c>
      <c r="Z247" s="453">
        <f t="shared" si="138"/>
        <v>6566694.4800000004</v>
      </c>
      <c r="AA247" s="453">
        <f t="shared" si="139"/>
        <v>0</v>
      </c>
      <c r="AB247" s="453">
        <f t="shared" si="140"/>
        <v>0</v>
      </c>
      <c r="AC247" s="453">
        <f t="shared" si="141"/>
        <v>0</v>
      </c>
      <c r="AD247" s="453">
        <f t="shared" si="142"/>
        <v>0</v>
      </c>
      <c r="AE247" s="493">
        <f t="shared" si="143"/>
        <v>7836514.4800000004</v>
      </c>
      <c r="AF247" s="453">
        <f t="shared" si="144"/>
        <v>7836506</v>
      </c>
      <c r="AG247" s="494">
        <f t="shared" si="145"/>
        <v>0.99999891788625894</v>
      </c>
      <c r="AH247" s="454">
        <f t="shared" si="146"/>
        <v>139665</v>
      </c>
      <c r="AI247" s="454">
        <f t="shared" si="147"/>
        <v>104803</v>
      </c>
      <c r="AJ247" s="454">
        <f t="shared" si="148"/>
        <v>305390</v>
      </c>
      <c r="AK247" s="454">
        <f t="shared" si="149"/>
        <v>0</v>
      </c>
      <c r="AL247" s="454">
        <f t="shared" si="150"/>
        <v>0</v>
      </c>
      <c r="AM247" s="454">
        <f t="shared" si="151"/>
        <v>8386364</v>
      </c>
      <c r="AN247" s="491">
        <f t="shared" si="152"/>
        <v>8386372.4800000004</v>
      </c>
      <c r="AO247" s="487">
        <f t="shared" si="153"/>
        <v>-8.4800000004470348</v>
      </c>
      <c r="AP247" s="495">
        <f t="shared" si="154"/>
        <v>2058632.03</v>
      </c>
      <c r="AQ247" s="496">
        <f t="shared" si="155"/>
        <v>4508062.45</v>
      </c>
      <c r="AV247" s="459">
        <f>IF(BA247&gt;BA246,AV246,IF(AV246&lt;MiscData!$F$1,EOMONTH(AV246,1),EOMONTH(AV246,-11)))</f>
        <v>42216</v>
      </c>
      <c r="AW247" s="448" t="str">
        <f t="shared" si="156"/>
        <v>20140101KUCME110</v>
      </c>
      <c r="AX247" s="457" t="str">
        <f t="shared" si="157"/>
        <v>20140101GS</v>
      </c>
      <c r="AY247" s="439">
        <f>IF(AV247&lt;=MiscData!$B$23,MiscData!$C$23,IF(AV247&lt;=MiscData!$B$24,MiscData!$C$24,MiscData!$C$25))</f>
        <v>20140101</v>
      </c>
      <c r="AZ247" s="439" t="str">
        <f>VLOOKUP(BA247,MiscData!$V$4:$W$42,2,FALSE)</f>
        <v>KUCME110</v>
      </c>
      <c r="BA247" s="439">
        <f>IF(BA246=MiscData!$V$42,1,BA246+1)</f>
        <v>10</v>
      </c>
      <c r="BB247" s="511" t="str">
        <f>VLOOKUP(AZ247,MiscData!$W$4:$Y$42,3,FALSE)</f>
        <v>GS</v>
      </c>
    </row>
    <row r="248" spans="1:54">
      <c r="A248" s="499">
        <f t="shared" si="158"/>
        <v>227</v>
      </c>
      <c r="B248" s="448" t="str">
        <f t="shared" si="120"/>
        <v>Jul 2015</v>
      </c>
      <c r="C248" s="448" t="s">
        <v>208</v>
      </c>
      <c r="D248" s="449" t="str">
        <f t="shared" si="121"/>
        <v>GS</v>
      </c>
      <c r="E248" s="449" t="str">
        <f t="shared" si="122"/>
        <v>KUCME112</v>
      </c>
      <c r="F248" s="450">
        <f t="shared" si="123"/>
        <v>0</v>
      </c>
      <c r="G248" s="450">
        <v>0</v>
      </c>
      <c r="H248" s="450">
        <v>0</v>
      </c>
      <c r="I248" s="450">
        <v>0</v>
      </c>
      <c r="J248" s="450">
        <f t="shared" si="124"/>
        <v>0</v>
      </c>
      <c r="K248" s="482">
        <f t="shared" si="125"/>
        <v>0</v>
      </c>
      <c r="L248" s="482">
        <f t="shared" si="126"/>
        <v>0</v>
      </c>
      <c r="M248" s="482">
        <f t="shared" si="127"/>
        <v>0</v>
      </c>
      <c r="N248" s="482">
        <f t="shared" si="128"/>
        <v>0</v>
      </c>
      <c r="O248" s="482">
        <f t="shared" si="129"/>
        <v>0</v>
      </c>
      <c r="P248" s="482">
        <f t="shared" si="130"/>
        <v>0</v>
      </c>
      <c r="Q248" s="451">
        <f t="shared" si="131"/>
        <v>20</v>
      </c>
      <c r="R248" s="452">
        <f t="shared" si="132"/>
        <v>9.2249999999999999E-2</v>
      </c>
      <c r="S248" s="452">
        <v>0</v>
      </c>
      <c r="T248" s="452">
        <v>0</v>
      </c>
      <c r="U248" s="452">
        <f t="shared" si="133"/>
        <v>2.8920000000000001E-2</v>
      </c>
      <c r="V248" s="451">
        <f t="shared" si="134"/>
        <v>0</v>
      </c>
      <c r="W248" s="451">
        <f t="shared" si="135"/>
        <v>0</v>
      </c>
      <c r="X248" s="451">
        <f t="shared" si="136"/>
        <v>0</v>
      </c>
      <c r="Y248" s="453">
        <f t="shared" si="137"/>
        <v>0</v>
      </c>
      <c r="Z248" s="453">
        <f t="shared" si="138"/>
        <v>0</v>
      </c>
      <c r="AA248" s="453">
        <f t="shared" si="139"/>
        <v>0</v>
      </c>
      <c r="AB248" s="453">
        <f t="shared" si="140"/>
        <v>0</v>
      </c>
      <c r="AC248" s="453">
        <f t="shared" si="141"/>
        <v>0</v>
      </c>
      <c r="AD248" s="453">
        <f t="shared" si="142"/>
        <v>0</v>
      </c>
      <c r="AE248" s="493">
        <f t="shared" si="143"/>
        <v>0</v>
      </c>
      <c r="AF248" s="453">
        <f t="shared" si="144"/>
        <v>0</v>
      </c>
      <c r="AG248" s="494">
        <f t="shared" si="145"/>
        <v>1</v>
      </c>
      <c r="AH248" s="454">
        <f t="shared" si="146"/>
        <v>0</v>
      </c>
      <c r="AI248" s="454">
        <f t="shared" si="147"/>
        <v>0</v>
      </c>
      <c r="AJ248" s="454">
        <f t="shared" si="148"/>
        <v>0</v>
      </c>
      <c r="AK248" s="454">
        <f t="shared" si="149"/>
        <v>0</v>
      </c>
      <c r="AL248" s="454">
        <f t="shared" si="150"/>
        <v>0</v>
      </c>
      <c r="AM248" s="454">
        <f t="shared" si="151"/>
        <v>0</v>
      </c>
      <c r="AN248" s="491">
        <f t="shared" si="152"/>
        <v>0</v>
      </c>
      <c r="AO248" s="487">
        <f t="shared" si="153"/>
        <v>0</v>
      </c>
      <c r="AP248" s="495">
        <f t="shared" si="154"/>
        <v>0</v>
      </c>
      <c r="AQ248" s="496">
        <f t="shared" si="155"/>
        <v>0</v>
      </c>
      <c r="AV248" s="459">
        <f>IF(BA248&gt;BA247,AV247,IF(AV247&lt;MiscData!$F$1,EOMONTH(AV247,1),EOMONTH(AV247,-11)))</f>
        <v>42216</v>
      </c>
      <c r="AW248" s="448" t="str">
        <f t="shared" si="156"/>
        <v>20140101KUCME112</v>
      </c>
      <c r="AX248" s="457" t="str">
        <f t="shared" si="157"/>
        <v>20140101GS</v>
      </c>
      <c r="AY248" s="439">
        <f>IF(AV248&lt;=MiscData!$B$23,MiscData!$C$23,IF(AV248&lt;=MiscData!$B$24,MiscData!$C$24,MiscData!$C$25))</f>
        <v>20140101</v>
      </c>
      <c r="AZ248" s="439" t="str">
        <f>VLOOKUP(BA248,MiscData!$V$4:$W$42,2,FALSE)</f>
        <v>KUCME112</v>
      </c>
      <c r="BA248" s="439">
        <f>IF(BA247=MiscData!$V$42,1,BA247+1)</f>
        <v>11</v>
      </c>
      <c r="BB248" s="511" t="str">
        <f>VLOOKUP(AZ248,MiscData!$W$4:$Y$42,3,FALSE)</f>
        <v>GS</v>
      </c>
    </row>
    <row r="249" spans="1:54">
      <c r="A249" s="448">
        <f t="shared" si="158"/>
        <v>228</v>
      </c>
      <c r="B249" s="448" t="str">
        <f t="shared" si="120"/>
        <v>Jul 2015</v>
      </c>
      <c r="C249" s="448" t="s">
        <v>17</v>
      </c>
      <c r="D249" s="449" t="str">
        <f t="shared" si="121"/>
        <v>GS3</v>
      </c>
      <c r="E249" s="449" t="str">
        <f t="shared" si="122"/>
        <v>KUCME113</v>
      </c>
      <c r="F249" s="450">
        <f t="shared" si="123"/>
        <v>18559</v>
      </c>
      <c r="G249" s="450">
        <v>0</v>
      </c>
      <c r="H249" s="450">
        <v>0</v>
      </c>
      <c r="I249" s="450">
        <v>0</v>
      </c>
      <c r="J249" s="450">
        <f t="shared" si="124"/>
        <v>104399599</v>
      </c>
      <c r="K249" s="482">
        <f t="shared" si="125"/>
        <v>378299</v>
      </c>
      <c r="L249" s="482">
        <f t="shared" si="126"/>
        <v>0</v>
      </c>
      <c r="M249" s="482">
        <f t="shared" si="127"/>
        <v>0</v>
      </c>
      <c r="N249" s="482">
        <f t="shared" si="128"/>
        <v>0</v>
      </c>
      <c r="O249" s="482">
        <f t="shared" si="129"/>
        <v>0</v>
      </c>
      <c r="P249" s="482">
        <f t="shared" si="130"/>
        <v>0</v>
      </c>
      <c r="Q249" s="451">
        <f t="shared" si="131"/>
        <v>35</v>
      </c>
      <c r="R249" s="452">
        <f t="shared" si="132"/>
        <v>9.2249999999999999E-2</v>
      </c>
      <c r="S249" s="452">
        <v>0</v>
      </c>
      <c r="T249" s="452">
        <v>0</v>
      </c>
      <c r="U249" s="452">
        <f t="shared" si="133"/>
        <v>2.8920000000000001E-2</v>
      </c>
      <c r="V249" s="451">
        <f t="shared" si="134"/>
        <v>0</v>
      </c>
      <c r="W249" s="451">
        <f t="shared" si="135"/>
        <v>0</v>
      </c>
      <c r="X249" s="451">
        <f t="shared" si="136"/>
        <v>0</v>
      </c>
      <c r="Y249" s="453">
        <f t="shared" si="137"/>
        <v>649565</v>
      </c>
      <c r="Z249" s="453">
        <f t="shared" si="138"/>
        <v>9630863.0099999998</v>
      </c>
      <c r="AA249" s="453">
        <f t="shared" si="139"/>
        <v>0</v>
      </c>
      <c r="AB249" s="453">
        <f t="shared" si="140"/>
        <v>0</v>
      </c>
      <c r="AC249" s="453">
        <f t="shared" si="141"/>
        <v>0</v>
      </c>
      <c r="AD249" s="453">
        <f t="shared" si="142"/>
        <v>0</v>
      </c>
      <c r="AE249" s="493">
        <f t="shared" si="143"/>
        <v>10280428.01</v>
      </c>
      <c r="AF249" s="453">
        <f t="shared" si="144"/>
        <v>10280442</v>
      </c>
      <c r="AG249" s="494">
        <f t="shared" si="145"/>
        <v>1.0000013608382829</v>
      </c>
      <c r="AH249" s="454">
        <f t="shared" si="146"/>
        <v>204835</v>
      </c>
      <c r="AI249" s="454">
        <f t="shared" si="147"/>
        <v>153706</v>
      </c>
      <c r="AJ249" s="454">
        <f t="shared" si="148"/>
        <v>447892</v>
      </c>
      <c r="AK249" s="454">
        <f t="shared" si="149"/>
        <v>0</v>
      </c>
      <c r="AL249" s="454">
        <f t="shared" si="150"/>
        <v>0</v>
      </c>
      <c r="AM249" s="454">
        <f t="shared" si="151"/>
        <v>11086875</v>
      </c>
      <c r="AN249" s="491">
        <f t="shared" si="152"/>
        <v>11086861.01</v>
      </c>
      <c r="AO249" s="487">
        <f t="shared" si="153"/>
        <v>13.990000000223517</v>
      </c>
      <c r="AP249" s="495">
        <f t="shared" si="154"/>
        <v>3019236.4</v>
      </c>
      <c r="AQ249" s="496">
        <f t="shared" si="155"/>
        <v>6611626.6099999994</v>
      </c>
      <c r="AV249" s="459">
        <f>IF(BA249&gt;BA248,AV248,IF(AV248&lt;MiscData!$F$1,EOMONTH(AV248,1),EOMONTH(AV248,-11)))</f>
        <v>42216</v>
      </c>
      <c r="AW249" s="448" t="str">
        <f t="shared" si="156"/>
        <v>20140101KUCME113</v>
      </c>
      <c r="AX249" s="457" t="str">
        <f t="shared" si="157"/>
        <v>20140101GS3</v>
      </c>
      <c r="AY249" s="439">
        <f>IF(AV249&lt;=MiscData!$B$23,MiscData!$C$23,IF(AV249&lt;=MiscData!$B$24,MiscData!$C$24,MiscData!$C$25))</f>
        <v>20140101</v>
      </c>
      <c r="AZ249" s="439" t="str">
        <f>VLOOKUP(BA249,MiscData!$V$4:$W$42,2,FALSE)</f>
        <v>KUCME113</v>
      </c>
      <c r="BA249" s="439">
        <f>IF(BA248=MiscData!$V$42,1,BA248+1)</f>
        <v>12</v>
      </c>
      <c r="BB249" s="439" t="str">
        <f>VLOOKUP(AZ249,MiscData!$W$4:$Y$42,3,FALSE)</f>
        <v>GS3</v>
      </c>
    </row>
    <row r="250" spans="1:54" hidden="1">
      <c r="A250" s="448">
        <f t="shared" si="158"/>
        <v>229</v>
      </c>
      <c r="B250" s="448" t="str">
        <f t="shared" si="120"/>
        <v>Jul 2015</v>
      </c>
      <c r="C250" s="448" t="s">
        <v>203</v>
      </c>
      <c r="D250" s="449" t="str">
        <f t="shared" si="121"/>
        <v>AES</v>
      </c>
      <c r="E250" s="449" t="str">
        <f t="shared" si="122"/>
        <v>KUCME220</v>
      </c>
      <c r="F250" s="450">
        <f t="shared" si="123"/>
        <v>377</v>
      </c>
      <c r="G250" s="450">
        <v>0</v>
      </c>
      <c r="H250" s="450">
        <v>0</v>
      </c>
      <c r="I250" s="450">
        <v>0</v>
      </c>
      <c r="J250" s="450">
        <f t="shared" si="124"/>
        <v>629052</v>
      </c>
      <c r="K250" s="482">
        <f t="shared" si="125"/>
        <v>0</v>
      </c>
      <c r="L250" s="482">
        <f t="shared" si="126"/>
        <v>0</v>
      </c>
      <c r="M250" s="482">
        <f t="shared" si="127"/>
        <v>0</v>
      </c>
      <c r="N250" s="482">
        <f t="shared" si="128"/>
        <v>0</v>
      </c>
      <c r="O250" s="482">
        <f t="shared" si="129"/>
        <v>0</v>
      </c>
      <c r="P250" s="482">
        <f t="shared" si="130"/>
        <v>0</v>
      </c>
      <c r="Q250" s="451">
        <f t="shared" si="131"/>
        <v>20</v>
      </c>
      <c r="R250" s="452">
        <f t="shared" si="132"/>
        <v>7.4399999999999994E-2</v>
      </c>
      <c r="S250" s="452">
        <v>0</v>
      </c>
      <c r="T250" s="452">
        <v>0</v>
      </c>
      <c r="U250" s="452">
        <f t="shared" si="133"/>
        <v>2.8920000000000001E-2</v>
      </c>
      <c r="V250" s="451">
        <f t="shared" si="134"/>
        <v>0</v>
      </c>
      <c r="W250" s="451">
        <f t="shared" si="135"/>
        <v>0</v>
      </c>
      <c r="X250" s="451">
        <f t="shared" si="136"/>
        <v>0</v>
      </c>
      <c r="Y250" s="453">
        <f t="shared" si="137"/>
        <v>7540</v>
      </c>
      <c r="Z250" s="453">
        <f t="shared" si="138"/>
        <v>46801.47</v>
      </c>
      <c r="AA250" s="453">
        <f t="shared" si="139"/>
        <v>0</v>
      </c>
      <c r="AB250" s="453">
        <f t="shared" si="140"/>
        <v>0</v>
      </c>
      <c r="AC250" s="453">
        <f t="shared" si="141"/>
        <v>0</v>
      </c>
      <c r="AD250" s="453">
        <f t="shared" si="142"/>
        <v>0</v>
      </c>
      <c r="AE250" s="493">
        <f t="shared" si="143"/>
        <v>54341.47</v>
      </c>
      <c r="AF250" s="453">
        <f t="shared" si="144"/>
        <v>54342</v>
      </c>
      <c r="AG250" s="494">
        <f t="shared" si="145"/>
        <v>1.0000097531406493</v>
      </c>
      <c r="AH250" s="454">
        <f t="shared" si="146"/>
        <v>1234</v>
      </c>
      <c r="AI250" s="454">
        <f t="shared" si="147"/>
        <v>926</v>
      </c>
      <c r="AJ250" s="454">
        <f t="shared" si="148"/>
        <v>2699</v>
      </c>
      <c r="AK250" s="454">
        <f t="shared" si="149"/>
        <v>0</v>
      </c>
      <c r="AL250" s="454">
        <f t="shared" si="150"/>
        <v>0</v>
      </c>
      <c r="AM250" s="454">
        <f t="shared" si="151"/>
        <v>59201</v>
      </c>
      <c r="AN250" s="491">
        <f t="shared" si="152"/>
        <v>59200.47</v>
      </c>
      <c r="AO250" s="487">
        <f t="shared" si="153"/>
        <v>0.52999999999883585</v>
      </c>
      <c r="AP250" s="495">
        <f t="shared" si="154"/>
        <v>18192.18</v>
      </c>
      <c r="AQ250" s="496">
        <f t="shared" si="155"/>
        <v>28609.29</v>
      </c>
      <c r="AV250" s="459">
        <f>IF(BA250&gt;BA249,AV249,IF(AV249&lt;MiscData!$F$1,EOMONTH(AV249,1),EOMONTH(AV249,-11)))</f>
        <v>42216</v>
      </c>
      <c r="AW250" s="448" t="str">
        <f t="shared" si="156"/>
        <v>20140101KUCME220</v>
      </c>
      <c r="AX250" s="457" t="str">
        <f t="shared" si="157"/>
        <v>20140101AES</v>
      </c>
      <c r="AY250" s="439">
        <f>IF(AV250&lt;=MiscData!$B$23,MiscData!$C$23,IF(AV250&lt;=MiscData!$B$24,MiscData!$C$24,MiscData!$C$25))</f>
        <v>20140101</v>
      </c>
      <c r="AZ250" s="439" t="str">
        <f>VLOOKUP(BA250,MiscData!$V$4:$W$42,2,FALSE)</f>
        <v>KUCME220</v>
      </c>
      <c r="BA250" s="439">
        <f>IF(BA249=MiscData!$V$42,1,BA249+1)</f>
        <v>13</v>
      </c>
      <c r="BB250" s="439" t="str">
        <f>VLOOKUP(AZ250,MiscData!$W$4:$Y$42,3,FALSE)</f>
        <v>AES</v>
      </c>
    </row>
    <row r="251" spans="1:54" hidden="1">
      <c r="A251" s="448">
        <f t="shared" si="158"/>
        <v>230</v>
      </c>
      <c r="B251" s="448" t="str">
        <f t="shared" si="120"/>
        <v>Jul 2015</v>
      </c>
      <c r="C251" s="448" t="s">
        <v>203</v>
      </c>
      <c r="D251" s="449" t="str">
        <f t="shared" si="121"/>
        <v>AES</v>
      </c>
      <c r="E251" s="449" t="str">
        <f t="shared" si="122"/>
        <v>KUCME221</v>
      </c>
      <c r="F251" s="450">
        <f t="shared" si="123"/>
        <v>0</v>
      </c>
      <c r="G251" s="450">
        <v>0</v>
      </c>
      <c r="H251" s="450">
        <v>0</v>
      </c>
      <c r="I251" s="450">
        <v>0</v>
      </c>
      <c r="J251" s="450">
        <f t="shared" si="124"/>
        <v>0</v>
      </c>
      <c r="K251" s="482">
        <f t="shared" si="125"/>
        <v>0</v>
      </c>
      <c r="L251" s="482">
        <f t="shared" si="126"/>
        <v>0</v>
      </c>
      <c r="M251" s="482">
        <f t="shared" si="127"/>
        <v>0</v>
      </c>
      <c r="N251" s="482">
        <f t="shared" si="128"/>
        <v>0</v>
      </c>
      <c r="O251" s="482">
        <f t="shared" si="129"/>
        <v>0</v>
      </c>
      <c r="P251" s="482">
        <f t="shared" si="130"/>
        <v>0</v>
      </c>
      <c r="Q251" s="451">
        <f t="shared" si="131"/>
        <v>20</v>
      </c>
      <c r="R251" s="452">
        <f t="shared" si="132"/>
        <v>7.4399999999999994E-2</v>
      </c>
      <c r="S251" s="452">
        <v>0</v>
      </c>
      <c r="T251" s="452">
        <v>0</v>
      </c>
      <c r="U251" s="452">
        <f t="shared" si="133"/>
        <v>2.8920000000000001E-2</v>
      </c>
      <c r="V251" s="451">
        <f t="shared" si="134"/>
        <v>0</v>
      </c>
      <c r="W251" s="451">
        <f t="shared" si="135"/>
        <v>0</v>
      </c>
      <c r="X251" s="451">
        <f t="shared" si="136"/>
        <v>0</v>
      </c>
      <c r="Y251" s="453">
        <f t="shared" si="137"/>
        <v>0</v>
      </c>
      <c r="Z251" s="453">
        <f t="shared" si="138"/>
        <v>0</v>
      </c>
      <c r="AA251" s="453">
        <f t="shared" si="139"/>
        <v>0</v>
      </c>
      <c r="AB251" s="453">
        <f t="shared" si="140"/>
        <v>0</v>
      </c>
      <c r="AC251" s="453">
        <f t="shared" si="141"/>
        <v>0</v>
      </c>
      <c r="AD251" s="453">
        <f t="shared" si="142"/>
        <v>0</v>
      </c>
      <c r="AE251" s="493">
        <f t="shared" si="143"/>
        <v>0</v>
      </c>
      <c r="AF251" s="453">
        <f t="shared" si="144"/>
        <v>0</v>
      </c>
      <c r="AG251" s="494">
        <f t="shared" si="145"/>
        <v>1</v>
      </c>
      <c r="AH251" s="454">
        <f t="shared" si="146"/>
        <v>0</v>
      </c>
      <c r="AI251" s="454">
        <f t="shared" si="147"/>
        <v>0</v>
      </c>
      <c r="AJ251" s="454">
        <f t="shared" si="148"/>
        <v>0</v>
      </c>
      <c r="AK251" s="454">
        <f t="shared" si="149"/>
        <v>0</v>
      </c>
      <c r="AL251" s="454">
        <f t="shared" si="150"/>
        <v>0</v>
      </c>
      <c r="AM251" s="454">
        <f t="shared" si="151"/>
        <v>0</v>
      </c>
      <c r="AN251" s="491">
        <f t="shared" si="152"/>
        <v>0</v>
      </c>
      <c r="AO251" s="487">
        <f t="shared" si="153"/>
        <v>0</v>
      </c>
      <c r="AP251" s="495">
        <f t="shared" si="154"/>
        <v>0</v>
      </c>
      <c r="AQ251" s="496">
        <f t="shared" si="155"/>
        <v>0</v>
      </c>
      <c r="AV251" s="459">
        <f>IF(BA251&gt;BA250,AV250,IF(AV250&lt;MiscData!$F$1,EOMONTH(AV250,1),EOMONTH(AV250,-11)))</f>
        <v>42216</v>
      </c>
      <c r="AW251" s="448" t="str">
        <f t="shared" si="156"/>
        <v>20140101KUCME221</v>
      </c>
      <c r="AX251" s="457" t="str">
        <f t="shared" si="157"/>
        <v>20140101AES</v>
      </c>
      <c r="AY251" s="439">
        <f>IF(AV251&lt;=MiscData!$B$23,MiscData!$C$23,IF(AV251&lt;=MiscData!$B$24,MiscData!$C$24,MiscData!$C$25))</f>
        <v>20140101</v>
      </c>
      <c r="AZ251" s="439" t="str">
        <f>VLOOKUP(BA251,MiscData!$V$4:$W$42,2,FALSE)</f>
        <v>KUCME221</v>
      </c>
      <c r="BA251" s="439">
        <f>IF(BA250=MiscData!$V$42,1,BA250+1)</f>
        <v>14</v>
      </c>
      <c r="BB251" s="439" t="str">
        <f>VLOOKUP(AZ251,MiscData!$W$4:$Y$42,3,FALSE)</f>
        <v>AES</v>
      </c>
    </row>
    <row r="252" spans="1:54" hidden="1">
      <c r="A252" s="448">
        <f t="shared" si="158"/>
        <v>231</v>
      </c>
      <c r="B252" s="448" t="str">
        <f t="shared" si="120"/>
        <v>Jul 2015</v>
      </c>
      <c r="C252" s="832" t="s">
        <v>212</v>
      </c>
      <c r="D252" s="449" t="str">
        <f t="shared" si="121"/>
        <v>AES3</v>
      </c>
      <c r="E252" s="449" t="str">
        <f t="shared" si="122"/>
        <v>KUCME223</v>
      </c>
      <c r="F252" s="450">
        <f t="shared" si="123"/>
        <v>0</v>
      </c>
      <c r="G252" s="450">
        <v>0</v>
      </c>
      <c r="H252" s="450">
        <v>0</v>
      </c>
      <c r="I252" s="450">
        <v>0</v>
      </c>
      <c r="J252" s="450">
        <f t="shared" si="124"/>
        <v>0</v>
      </c>
      <c r="K252" s="482">
        <f t="shared" si="125"/>
        <v>0</v>
      </c>
      <c r="L252" s="482">
        <f t="shared" si="126"/>
        <v>0</v>
      </c>
      <c r="M252" s="482">
        <f t="shared" si="127"/>
        <v>0</v>
      </c>
      <c r="N252" s="482">
        <f t="shared" si="128"/>
        <v>0</v>
      </c>
      <c r="O252" s="482">
        <f t="shared" si="129"/>
        <v>0</v>
      </c>
      <c r="P252" s="482">
        <f t="shared" si="130"/>
        <v>0</v>
      </c>
      <c r="Q252" s="451">
        <f t="shared" si="131"/>
        <v>35</v>
      </c>
      <c r="R252" s="452">
        <f t="shared" si="132"/>
        <v>7.4399999999999994E-2</v>
      </c>
      <c r="S252" s="452">
        <v>0</v>
      </c>
      <c r="T252" s="452">
        <v>0</v>
      </c>
      <c r="U252" s="452">
        <f t="shared" si="133"/>
        <v>2.8920000000000001E-2</v>
      </c>
      <c r="V252" s="451">
        <f t="shared" si="134"/>
        <v>0</v>
      </c>
      <c r="W252" s="451">
        <f t="shared" si="135"/>
        <v>0</v>
      </c>
      <c r="X252" s="451">
        <f t="shared" si="136"/>
        <v>0</v>
      </c>
      <c r="Y252" s="453">
        <f t="shared" si="137"/>
        <v>0</v>
      </c>
      <c r="Z252" s="453">
        <f t="shared" si="138"/>
        <v>0</v>
      </c>
      <c r="AA252" s="453">
        <f t="shared" si="139"/>
        <v>0</v>
      </c>
      <c r="AB252" s="453">
        <f t="shared" si="140"/>
        <v>0</v>
      </c>
      <c r="AC252" s="453">
        <f t="shared" si="141"/>
        <v>0</v>
      </c>
      <c r="AD252" s="453">
        <f t="shared" si="142"/>
        <v>0</v>
      </c>
      <c r="AE252" s="493">
        <f t="shared" si="143"/>
        <v>0</v>
      </c>
      <c r="AF252" s="453">
        <f t="shared" si="144"/>
        <v>0</v>
      </c>
      <c r="AG252" s="494">
        <f t="shared" si="145"/>
        <v>1</v>
      </c>
      <c r="AH252" s="454">
        <f t="shared" si="146"/>
        <v>0</v>
      </c>
      <c r="AI252" s="454">
        <f t="shared" si="147"/>
        <v>0</v>
      </c>
      <c r="AJ252" s="454">
        <f t="shared" si="148"/>
        <v>0</v>
      </c>
      <c r="AK252" s="454">
        <f t="shared" si="149"/>
        <v>0</v>
      </c>
      <c r="AL252" s="454">
        <f t="shared" si="150"/>
        <v>0</v>
      </c>
      <c r="AM252" s="454">
        <f t="shared" si="151"/>
        <v>0</v>
      </c>
      <c r="AN252" s="491">
        <f t="shared" si="152"/>
        <v>0</v>
      </c>
      <c r="AO252" s="487">
        <f t="shared" si="153"/>
        <v>0</v>
      </c>
      <c r="AP252" s="495">
        <f t="shared" si="154"/>
        <v>0</v>
      </c>
      <c r="AQ252" s="496">
        <f t="shared" si="155"/>
        <v>0</v>
      </c>
      <c r="AV252" s="459">
        <f>IF(BA252&gt;BA251,AV251,IF(AV251&lt;MiscData!$F$1,EOMONTH(AV251,1),EOMONTH(AV251,-11)))</f>
        <v>42216</v>
      </c>
      <c r="AW252" s="448" t="str">
        <f t="shared" si="156"/>
        <v>20140101KUCME223</v>
      </c>
      <c r="AX252" s="457" t="str">
        <f t="shared" si="157"/>
        <v>20140101AES3</v>
      </c>
      <c r="AY252" s="439">
        <f>IF(AV252&lt;=MiscData!$B$23,MiscData!$C$23,IF(AV252&lt;=MiscData!$B$24,MiscData!$C$24,MiscData!$C$25))</f>
        <v>20140101</v>
      </c>
      <c r="AZ252" s="439" t="str">
        <f>VLOOKUP(BA252,MiscData!$V$4:$W$42,2,FALSE)</f>
        <v>KUCME223</v>
      </c>
      <c r="BA252" s="439">
        <f>IF(BA251=MiscData!$V$42,1,BA251+1)</f>
        <v>15</v>
      </c>
      <c r="BB252" s="439" t="str">
        <f>VLOOKUP(AZ252,MiscData!$W$4:$Y$42,3,FALSE)</f>
        <v>AES3</v>
      </c>
    </row>
    <row r="253" spans="1:54" hidden="1">
      <c r="A253" s="448">
        <f t="shared" si="158"/>
        <v>232</v>
      </c>
      <c r="B253" s="448" t="str">
        <f t="shared" si="120"/>
        <v>Jul 2015</v>
      </c>
      <c r="C253" s="832" t="s">
        <v>212</v>
      </c>
      <c r="D253" s="449" t="str">
        <f t="shared" si="121"/>
        <v>AES3</v>
      </c>
      <c r="E253" s="449" t="str">
        <f t="shared" si="122"/>
        <v>KUCME224</v>
      </c>
      <c r="F253" s="450">
        <f t="shared" si="123"/>
        <v>262</v>
      </c>
      <c r="G253" s="450">
        <v>0</v>
      </c>
      <c r="H253" s="450">
        <v>0</v>
      </c>
      <c r="I253" s="450">
        <v>0</v>
      </c>
      <c r="J253" s="450">
        <f t="shared" si="124"/>
        <v>11659181</v>
      </c>
      <c r="K253" s="482">
        <f t="shared" si="125"/>
        <v>38479</v>
      </c>
      <c r="L253" s="482">
        <f t="shared" si="126"/>
        <v>0</v>
      </c>
      <c r="M253" s="482">
        <f t="shared" si="127"/>
        <v>0</v>
      </c>
      <c r="N253" s="482">
        <f t="shared" si="128"/>
        <v>0</v>
      </c>
      <c r="O253" s="482">
        <f t="shared" si="129"/>
        <v>0</v>
      </c>
      <c r="P253" s="482">
        <f t="shared" si="130"/>
        <v>0</v>
      </c>
      <c r="Q253" s="451">
        <f t="shared" si="131"/>
        <v>35</v>
      </c>
      <c r="R253" s="452">
        <f t="shared" si="132"/>
        <v>7.4399999999999994E-2</v>
      </c>
      <c r="S253" s="452">
        <v>0</v>
      </c>
      <c r="T253" s="452">
        <v>0</v>
      </c>
      <c r="U253" s="452">
        <f t="shared" si="133"/>
        <v>2.8920000000000001E-2</v>
      </c>
      <c r="V253" s="451">
        <f t="shared" si="134"/>
        <v>0</v>
      </c>
      <c r="W253" s="451">
        <f t="shared" si="135"/>
        <v>0</v>
      </c>
      <c r="X253" s="451">
        <f t="shared" si="136"/>
        <v>0</v>
      </c>
      <c r="Y253" s="453">
        <f t="shared" si="137"/>
        <v>9170</v>
      </c>
      <c r="Z253" s="453">
        <f t="shared" si="138"/>
        <v>867443.07</v>
      </c>
      <c r="AA253" s="453">
        <f t="shared" si="139"/>
        <v>0</v>
      </c>
      <c r="AB253" s="453">
        <f t="shared" si="140"/>
        <v>0</v>
      </c>
      <c r="AC253" s="453">
        <f t="shared" si="141"/>
        <v>0</v>
      </c>
      <c r="AD253" s="453">
        <f t="shared" si="142"/>
        <v>0</v>
      </c>
      <c r="AE253" s="493">
        <f t="shared" si="143"/>
        <v>876613.07</v>
      </c>
      <c r="AF253" s="453">
        <f t="shared" si="144"/>
        <v>876612</v>
      </c>
      <c r="AG253" s="494">
        <f t="shared" si="145"/>
        <v>0.99999877939305659</v>
      </c>
      <c r="AH253" s="454">
        <f t="shared" si="146"/>
        <v>22876</v>
      </c>
      <c r="AI253" s="454">
        <f t="shared" si="147"/>
        <v>17166</v>
      </c>
      <c r="AJ253" s="454">
        <f t="shared" si="148"/>
        <v>50020</v>
      </c>
      <c r="AK253" s="454">
        <f t="shared" si="149"/>
        <v>0</v>
      </c>
      <c r="AL253" s="454">
        <f t="shared" si="150"/>
        <v>0</v>
      </c>
      <c r="AM253" s="454">
        <f t="shared" si="151"/>
        <v>966674</v>
      </c>
      <c r="AN253" s="491">
        <f t="shared" si="152"/>
        <v>966675.07</v>
      </c>
      <c r="AO253" s="487">
        <f t="shared" si="153"/>
        <v>-1.0699999999487773</v>
      </c>
      <c r="AP253" s="495">
        <f t="shared" si="154"/>
        <v>337183.51</v>
      </c>
      <c r="AQ253" s="496">
        <f t="shared" si="155"/>
        <v>530259.55999999994</v>
      </c>
      <c r="AV253" s="459">
        <f>IF(BA253&gt;BA252,AV252,IF(AV252&lt;MiscData!$F$1,EOMONTH(AV252,1),EOMONTH(AV252,-11)))</f>
        <v>42216</v>
      </c>
      <c r="AW253" s="448" t="str">
        <f t="shared" si="156"/>
        <v>20140101KUCME224</v>
      </c>
      <c r="AX253" s="457" t="str">
        <f t="shared" si="157"/>
        <v>20140101AES3</v>
      </c>
      <c r="AY253" s="439">
        <f>IF(AV253&lt;=MiscData!$B$23,MiscData!$C$23,IF(AV253&lt;=MiscData!$B$24,MiscData!$C$24,MiscData!$C$25))</f>
        <v>20140101</v>
      </c>
      <c r="AZ253" s="439" t="str">
        <f>VLOOKUP(BA253,MiscData!$V$4:$W$42,2,FALSE)</f>
        <v>KUCME224</v>
      </c>
      <c r="BA253" s="439">
        <f>IF(BA252=MiscData!$V$42,1,BA252+1)</f>
        <v>16</v>
      </c>
      <c r="BB253" s="439" t="str">
        <f>VLOOKUP(AZ253,MiscData!$W$4:$Y$42,3,FALSE)</f>
        <v>AES3</v>
      </c>
    </row>
    <row r="254" spans="1:54" hidden="1">
      <c r="A254" s="448">
        <f t="shared" si="158"/>
        <v>233</v>
      </c>
      <c r="B254" s="448" t="str">
        <f t="shared" si="120"/>
        <v>Jul 2015</v>
      </c>
      <c r="C254" s="832" t="s">
        <v>212</v>
      </c>
      <c r="D254" s="449" t="str">
        <f t="shared" si="121"/>
        <v>AES3</v>
      </c>
      <c r="E254" s="449" t="str">
        <f t="shared" si="122"/>
        <v>KUCME225</v>
      </c>
      <c r="F254" s="450">
        <f t="shared" si="123"/>
        <v>0</v>
      </c>
      <c r="G254" s="450">
        <v>0</v>
      </c>
      <c r="H254" s="450">
        <v>0</v>
      </c>
      <c r="I254" s="450">
        <v>0</v>
      </c>
      <c r="J254" s="450">
        <f t="shared" si="124"/>
        <v>0</v>
      </c>
      <c r="K254" s="482">
        <f t="shared" si="125"/>
        <v>0</v>
      </c>
      <c r="L254" s="482">
        <f t="shared" si="126"/>
        <v>0</v>
      </c>
      <c r="M254" s="482">
        <f t="shared" si="127"/>
        <v>0</v>
      </c>
      <c r="N254" s="482">
        <f t="shared" si="128"/>
        <v>0</v>
      </c>
      <c r="O254" s="482">
        <f t="shared" si="129"/>
        <v>0</v>
      </c>
      <c r="P254" s="482">
        <f t="shared" si="130"/>
        <v>0</v>
      </c>
      <c r="Q254" s="451">
        <f t="shared" si="131"/>
        <v>35</v>
      </c>
      <c r="R254" s="452">
        <f t="shared" si="132"/>
        <v>7.4399999999999994E-2</v>
      </c>
      <c r="S254" s="452">
        <v>0</v>
      </c>
      <c r="T254" s="452">
        <v>0</v>
      </c>
      <c r="U254" s="452">
        <f t="shared" si="133"/>
        <v>2.8920000000000001E-2</v>
      </c>
      <c r="V254" s="451">
        <f t="shared" si="134"/>
        <v>0</v>
      </c>
      <c r="W254" s="451">
        <f t="shared" si="135"/>
        <v>0</v>
      </c>
      <c r="X254" s="451">
        <f t="shared" si="136"/>
        <v>0</v>
      </c>
      <c r="Y254" s="453">
        <f t="shared" si="137"/>
        <v>0</v>
      </c>
      <c r="Z254" s="453">
        <f t="shared" si="138"/>
        <v>0</v>
      </c>
      <c r="AA254" s="453">
        <f t="shared" si="139"/>
        <v>0</v>
      </c>
      <c r="AB254" s="453">
        <f t="shared" si="140"/>
        <v>0</v>
      </c>
      <c r="AC254" s="453">
        <f t="shared" si="141"/>
        <v>0</v>
      </c>
      <c r="AD254" s="453">
        <f t="shared" si="142"/>
        <v>0</v>
      </c>
      <c r="AE254" s="493">
        <f t="shared" si="143"/>
        <v>0</v>
      </c>
      <c r="AF254" s="453">
        <f t="shared" si="144"/>
        <v>0</v>
      </c>
      <c r="AG254" s="494">
        <f t="shared" si="145"/>
        <v>1</v>
      </c>
      <c r="AH254" s="454">
        <f t="shared" si="146"/>
        <v>0</v>
      </c>
      <c r="AI254" s="454">
        <f t="shared" si="147"/>
        <v>0</v>
      </c>
      <c r="AJ254" s="454">
        <f t="shared" si="148"/>
        <v>0</v>
      </c>
      <c r="AK254" s="454">
        <f t="shared" si="149"/>
        <v>0</v>
      </c>
      <c r="AL254" s="454">
        <f t="shared" si="150"/>
        <v>0</v>
      </c>
      <c r="AM254" s="454">
        <f t="shared" si="151"/>
        <v>0</v>
      </c>
      <c r="AN254" s="491">
        <f t="shared" si="152"/>
        <v>0</v>
      </c>
      <c r="AO254" s="487">
        <f t="shared" si="153"/>
        <v>0</v>
      </c>
      <c r="AP254" s="495">
        <f t="shared" si="154"/>
        <v>0</v>
      </c>
      <c r="AQ254" s="496">
        <f t="shared" si="155"/>
        <v>0</v>
      </c>
      <c r="AV254" s="459">
        <f>IF(BA254&gt;BA253,AV253,IF(AV253&lt;MiscData!$F$1,EOMONTH(AV253,1),EOMONTH(AV253,-11)))</f>
        <v>42216</v>
      </c>
      <c r="AW254" s="448" t="str">
        <f t="shared" si="156"/>
        <v>20140101KUCME225</v>
      </c>
      <c r="AX254" s="457" t="str">
        <f t="shared" si="157"/>
        <v>20140101AES3</v>
      </c>
      <c r="AY254" s="439">
        <f>IF(AV254&lt;=MiscData!$B$23,MiscData!$C$23,IF(AV254&lt;=MiscData!$B$24,MiscData!$C$24,MiscData!$C$25))</f>
        <v>20140101</v>
      </c>
      <c r="AZ254" s="439" t="str">
        <f>VLOOKUP(BA254,MiscData!$V$4:$W$42,2,FALSE)</f>
        <v>KUCME225</v>
      </c>
      <c r="BA254" s="439">
        <f>IF(BA253=MiscData!$V$42,1,BA253+1)</f>
        <v>17</v>
      </c>
      <c r="BB254" s="439" t="str">
        <f>VLOOKUP(AZ254,MiscData!$W$4:$Y$42,3,FALSE)</f>
        <v>AES3</v>
      </c>
    </row>
    <row r="255" spans="1:54" hidden="1">
      <c r="A255" s="448">
        <f t="shared" si="158"/>
        <v>234</v>
      </c>
      <c r="B255" s="448" t="str">
        <f t="shared" si="120"/>
        <v>Jul 2015</v>
      </c>
      <c r="C255" s="448" t="s">
        <v>203</v>
      </c>
      <c r="D255" s="449" t="str">
        <f t="shared" si="121"/>
        <v>AES</v>
      </c>
      <c r="E255" s="449" t="str">
        <f t="shared" si="122"/>
        <v>KUCME226</v>
      </c>
      <c r="F255" s="450">
        <f t="shared" si="123"/>
        <v>0</v>
      </c>
      <c r="G255" s="450">
        <v>0</v>
      </c>
      <c r="H255" s="450">
        <v>0</v>
      </c>
      <c r="I255" s="450">
        <v>0</v>
      </c>
      <c r="J255" s="450">
        <f t="shared" si="124"/>
        <v>0</v>
      </c>
      <c r="K255" s="482">
        <f t="shared" si="125"/>
        <v>0</v>
      </c>
      <c r="L255" s="482">
        <f t="shared" si="126"/>
        <v>0</v>
      </c>
      <c r="M255" s="482">
        <f t="shared" si="127"/>
        <v>0</v>
      </c>
      <c r="N255" s="482">
        <f t="shared" si="128"/>
        <v>0</v>
      </c>
      <c r="O255" s="482">
        <f t="shared" si="129"/>
        <v>0</v>
      </c>
      <c r="P255" s="482">
        <f t="shared" si="130"/>
        <v>0</v>
      </c>
      <c r="Q255" s="451">
        <f t="shared" si="131"/>
        <v>20</v>
      </c>
      <c r="R255" s="452">
        <f t="shared" si="132"/>
        <v>7.4399999999999994E-2</v>
      </c>
      <c r="S255" s="452">
        <v>0</v>
      </c>
      <c r="T255" s="452">
        <v>0</v>
      </c>
      <c r="U255" s="452">
        <f t="shared" si="133"/>
        <v>2.8920000000000001E-2</v>
      </c>
      <c r="V255" s="451">
        <f t="shared" si="134"/>
        <v>0</v>
      </c>
      <c r="W255" s="451">
        <f t="shared" si="135"/>
        <v>0</v>
      </c>
      <c r="X255" s="451">
        <f t="shared" si="136"/>
        <v>0</v>
      </c>
      <c r="Y255" s="453">
        <f t="shared" si="137"/>
        <v>0</v>
      </c>
      <c r="Z255" s="453">
        <f t="shared" si="138"/>
        <v>0</v>
      </c>
      <c r="AA255" s="453">
        <f t="shared" si="139"/>
        <v>0</v>
      </c>
      <c r="AB255" s="453">
        <f t="shared" si="140"/>
        <v>0</v>
      </c>
      <c r="AC255" s="453">
        <f t="shared" si="141"/>
        <v>0</v>
      </c>
      <c r="AD255" s="453">
        <f t="shared" si="142"/>
        <v>0</v>
      </c>
      <c r="AE255" s="493">
        <f t="shared" si="143"/>
        <v>0</v>
      </c>
      <c r="AF255" s="453">
        <f t="shared" si="144"/>
        <v>0</v>
      </c>
      <c r="AG255" s="494">
        <f t="shared" si="145"/>
        <v>1</v>
      </c>
      <c r="AH255" s="454">
        <f t="shared" si="146"/>
        <v>0</v>
      </c>
      <c r="AI255" s="454">
        <f t="shared" si="147"/>
        <v>0</v>
      </c>
      <c r="AJ255" s="454">
        <f t="shared" si="148"/>
        <v>0</v>
      </c>
      <c r="AK255" s="454">
        <f t="shared" si="149"/>
        <v>0</v>
      </c>
      <c r="AL255" s="454">
        <f t="shared" si="150"/>
        <v>0</v>
      </c>
      <c r="AM255" s="454">
        <f t="shared" si="151"/>
        <v>0</v>
      </c>
      <c r="AN255" s="491">
        <f t="shared" si="152"/>
        <v>0</v>
      </c>
      <c r="AO255" s="487">
        <f t="shared" si="153"/>
        <v>0</v>
      </c>
      <c r="AP255" s="495">
        <f t="shared" si="154"/>
        <v>0</v>
      </c>
      <c r="AQ255" s="496">
        <f t="shared" si="155"/>
        <v>0</v>
      </c>
      <c r="AV255" s="459">
        <f>IF(BA255&gt;BA254,AV254,IF(AV254&lt;MiscData!$F$1,EOMONTH(AV254,1),EOMONTH(AV254,-11)))</f>
        <v>42216</v>
      </c>
      <c r="AW255" s="448" t="str">
        <f t="shared" si="156"/>
        <v>20140101KUCME226</v>
      </c>
      <c r="AX255" s="457" t="str">
        <f t="shared" si="157"/>
        <v>20140101AES</v>
      </c>
      <c r="AY255" s="439">
        <f>IF(AV255&lt;=MiscData!$B$23,MiscData!$C$23,IF(AV255&lt;=MiscData!$B$24,MiscData!$C$24,MiscData!$C$25))</f>
        <v>20140101</v>
      </c>
      <c r="AZ255" s="439" t="str">
        <f>VLOOKUP(BA255,MiscData!$V$4:$W$42,2,FALSE)</f>
        <v>KUCME226</v>
      </c>
      <c r="BA255" s="439">
        <f>IF(BA254=MiscData!$V$42,1,BA254+1)</f>
        <v>18</v>
      </c>
      <c r="BB255" s="439" t="str">
        <f>VLOOKUP(AZ255,MiscData!$W$4:$Y$42,3,FALSE)</f>
        <v>AES</v>
      </c>
    </row>
    <row r="256" spans="1:54" hidden="1">
      <c r="A256" s="448">
        <f t="shared" si="158"/>
        <v>235</v>
      </c>
      <c r="B256" s="448" t="str">
        <f t="shared" si="120"/>
        <v>Jul 2015</v>
      </c>
      <c r="C256" s="832" t="s">
        <v>212</v>
      </c>
      <c r="D256" s="449" t="str">
        <f t="shared" si="121"/>
        <v>AES3</v>
      </c>
      <c r="E256" s="449" t="str">
        <f t="shared" si="122"/>
        <v>KUCME227</v>
      </c>
      <c r="F256" s="450">
        <f t="shared" si="123"/>
        <v>0</v>
      </c>
      <c r="G256" s="450">
        <v>0</v>
      </c>
      <c r="H256" s="450">
        <v>0</v>
      </c>
      <c r="I256" s="450">
        <v>0</v>
      </c>
      <c r="J256" s="450">
        <f t="shared" si="124"/>
        <v>0</v>
      </c>
      <c r="K256" s="482">
        <f t="shared" si="125"/>
        <v>0</v>
      </c>
      <c r="L256" s="482">
        <f t="shared" si="126"/>
        <v>0</v>
      </c>
      <c r="M256" s="482">
        <f t="shared" si="127"/>
        <v>0</v>
      </c>
      <c r="N256" s="482">
        <f t="shared" si="128"/>
        <v>0</v>
      </c>
      <c r="O256" s="482">
        <f t="shared" si="129"/>
        <v>0</v>
      </c>
      <c r="P256" s="482">
        <f t="shared" si="130"/>
        <v>0</v>
      </c>
      <c r="Q256" s="451">
        <f t="shared" si="131"/>
        <v>35</v>
      </c>
      <c r="R256" s="452">
        <f t="shared" si="132"/>
        <v>7.4399999999999994E-2</v>
      </c>
      <c r="S256" s="452">
        <v>0</v>
      </c>
      <c r="T256" s="452">
        <v>0</v>
      </c>
      <c r="U256" s="452">
        <f t="shared" si="133"/>
        <v>2.8920000000000001E-2</v>
      </c>
      <c r="V256" s="451">
        <f t="shared" si="134"/>
        <v>0</v>
      </c>
      <c r="W256" s="451">
        <f t="shared" si="135"/>
        <v>0</v>
      </c>
      <c r="X256" s="451">
        <f t="shared" si="136"/>
        <v>0</v>
      </c>
      <c r="Y256" s="453">
        <f t="shared" si="137"/>
        <v>0</v>
      </c>
      <c r="Z256" s="453">
        <f t="shared" si="138"/>
        <v>0</v>
      </c>
      <c r="AA256" s="453">
        <f t="shared" si="139"/>
        <v>0</v>
      </c>
      <c r="AB256" s="453">
        <f t="shared" si="140"/>
        <v>0</v>
      </c>
      <c r="AC256" s="453">
        <f t="shared" si="141"/>
        <v>0</v>
      </c>
      <c r="AD256" s="453">
        <f t="shared" si="142"/>
        <v>0</v>
      </c>
      <c r="AE256" s="493">
        <f t="shared" si="143"/>
        <v>0</v>
      </c>
      <c r="AF256" s="453">
        <f t="shared" si="144"/>
        <v>0</v>
      </c>
      <c r="AG256" s="494">
        <f t="shared" si="145"/>
        <v>1</v>
      </c>
      <c r="AH256" s="454">
        <f t="shared" si="146"/>
        <v>0</v>
      </c>
      <c r="AI256" s="454">
        <f t="shared" si="147"/>
        <v>0</v>
      </c>
      <c r="AJ256" s="454">
        <f t="shared" si="148"/>
        <v>0</v>
      </c>
      <c r="AK256" s="454">
        <f t="shared" si="149"/>
        <v>0</v>
      </c>
      <c r="AL256" s="454">
        <f t="shared" si="150"/>
        <v>0</v>
      </c>
      <c r="AM256" s="454">
        <f t="shared" si="151"/>
        <v>0</v>
      </c>
      <c r="AN256" s="491">
        <f t="shared" si="152"/>
        <v>0</v>
      </c>
      <c r="AO256" s="487">
        <f t="shared" si="153"/>
        <v>0</v>
      </c>
      <c r="AP256" s="495">
        <f t="shared" si="154"/>
        <v>0</v>
      </c>
      <c r="AQ256" s="496">
        <f t="shared" si="155"/>
        <v>0</v>
      </c>
      <c r="AV256" s="459">
        <f>IF(BA256&gt;BA255,AV255,IF(AV255&lt;MiscData!$F$1,EOMONTH(AV255,1),EOMONTH(AV255,-11)))</f>
        <v>42216</v>
      </c>
      <c r="AW256" s="448" t="str">
        <f t="shared" si="156"/>
        <v>20140101KUCME227</v>
      </c>
      <c r="AX256" s="457" t="str">
        <f t="shared" si="157"/>
        <v>20140101AES3</v>
      </c>
      <c r="AY256" s="439">
        <f>IF(AV256&lt;=MiscData!$B$23,MiscData!$C$23,IF(AV256&lt;=MiscData!$B$24,MiscData!$C$24,MiscData!$C$25))</f>
        <v>20140101</v>
      </c>
      <c r="AZ256" s="439" t="str">
        <f>VLOOKUP(BA256,MiscData!$V$4:$W$42,2,FALSE)</f>
        <v>KUCME227</v>
      </c>
      <c r="BA256" s="439">
        <f>IF(BA255=MiscData!$V$42,1,BA255+1)</f>
        <v>19</v>
      </c>
      <c r="BB256" s="439" t="str">
        <f>VLOOKUP(AZ256,MiscData!$W$4:$Y$42,3,FALSE)</f>
        <v>AES3</v>
      </c>
    </row>
    <row r="257" spans="1:54" hidden="1">
      <c r="A257" s="448">
        <f t="shared" si="158"/>
        <v>236</v>
      </c>
      <c r="B257" s="448" t="str">
        <f t="shared" si="120"/>
        <v>Jul 2015</v>
      </c>
      <c r="C257" s="448" t="s">
        <v>19</v>
      </c>
      <c r="D257" s="449" t="str">
        <f t="shared" si="121"/>
        <v>LE</v>
      </c>
      <c r="E257" s="449" t="str">
        <f t="shared" si="122"/>
        <v>KUCME290</v>
      </c>
      <c r="F257" s="450">
        <f t="shared" si="123"/>
        <v>2</v>
      </c>
      <c r="G257" s="450">
        <v>0</v>
      </c>
      <c r="H257" s="450">
        <v>0</v>
      </c>
      <c r="I257" s="450">
        <v>0</v>
      </c>
      <c r="J257" s="450">
        <f t="shared" si="124"/>
        <v>8713</v>
      </c>
      <c r="K257" s="482">
        <f t="shared" si="125"/>
        <v>0</v>
      </c>
      <c r="L257" s="482">
        <f t="shared" si="126"/>
        <v>0</v>
      </c>
      <c r="M257" s="482">
        <f t="shared" si="127"/>
        <v>0</v>
      </c>
      <c r="N257" s="482">
        <f t="shared" si="128"/>
        <v>0</v>
      </c>
      <c r="O257" s="482">
        <f t="shared" si="129"/>
        <v>0</v>
      </c>
      <c r="P257" s="482">
        <f t="shared" si="130"/>
        <v>0</v>
      </c>
      <c r="Q257" s="451">
        <f t="shared" si="131"/>
        <v>0</v>
      </c>
      <c r="R257" s="452">
        <f t="shared" si="132"/>
        <v>6.3799999999999996E-2</v>
      </c>
      <c r="S257" s="452">
        <v>0</v>
      </c>
      <c r="T257" s="452">
        <v>0</v>
      </c>
      <c r="U257" s="452">
        <f t="shared" si="133"/>
        <v>2.8920000000000001E-2</v>
      </c>
      <c r="V257" s="451">
        <f t="shared" si="134"/>
        <v>0</v>
      </c>
      <c r="W257" s="451">
        <f t="shared" si="135"/>
        <v>0</v>
      </c>
      <c r="X257" s="451">
        <f t="shared" si="136"/>
        <v>0</v>
      </c>
      <c r="Y257" s="453">
        <f t="shared" si="137"/>
        <v>0</v>
      </c>
      <c r="Z257" s="453">
        <f t="shared" si="138"/>
        <v>555.89</v>
      </c>
      <c r="AA257" s="453">
        <f t="shared" si="139"/>
        <v>0</v>
      </c>
      <c r="AB257" s="453">
        <f t="shared" si="140"/>
        <v>0</v>
      </c>
      <c r="AC257" s="453">
        <f t="shared" si="141"/>
        <v>0</v>
      </c>
      <c r="AD257" s="453">
        <f t="shared" si="142"/>
        <v>0</v>
      </c>
      <c r="AE257" s="493">
        <f t="shared" si="143"/>
        <v>555.89</v>
      </c>
      <c r="AF257" s="453">
        <f t="shared" si="144"/>
        <v>0</v>
      </c>
      <c r="AG257" s="494">
        <f t="shared" si="145"/>
        <v>0</v>
      </c>
      <c r="AH257" s="454">
        <f t="shared" si="146"/>
        <v>0</v>
      </c>
      <c r="AI257" s="454">
        <f t="shared" si="147"/>
        <v>0</v>
      </c>
      <c r="AJ257" s="454">
        <f t="shared" si="148"/>
        <v>0</v>
      </c>
      <c r="AK257" s="454">
        <f t="shared" si="149"/>
        <v>0</v>
      </c>
      <c r="AL257" s="454">
        <f t="shared" si="150"/>
        <v>0</v>
      </c>
      <c r="AM257" s="454">
        <f t="shared" si="151"/>
        <v>0</v>
      </c>
      <c r="AN257" s="491">
        <f t="shared" si="152"/>
        <v>555.89</v>
      </c>
      <c r="AO257" s="487">
        <f t="shared" si="153"/>
        <v>-555.89</v>
      </c>
      <c r="AP257" s="495">
        <f t="shared" si="154"/>
        <v>251.98</v>
      </c>
      <c r="AQ257" s="496">
        <f t="shared" si="155"/>
        <v>303.90999999999997</v>
      </c>
      <c r="AV257" s="459">
        <f>IF(BA257&gt;BA256,AV256,IF(AV256&lt;MiscData!$F$1,EOMONTH(AV256,1),EOMONTH(AV256,-11)))</f>
        <v>42216</v>
      </c>
      <c r="AW257" s="448" t="str">
        <f t="shared" si="156"/>
        <v>20140101KUCME290</v>
      </c>
      <c r="AX257" s="457" t="str">
        <f t="shared" si="157"/>
        <v>20140101LE</v>
      </c>
      <c r="AY257" s="439">
        <f>IF(AV257&lt;=MiscData!$B$23,MiscData!$C$23,IF(AV257&lt;=MiscData!$B$24,MiscData!$C$24,MiscData!$C$25))</f>
        <v>20140101</v>
      </c>
      <c r="AZ257" s="439" t="str">
        <f>VLOOKUP(BA257,MiscData!$V$4:$W$42,2,FALSE)</f>
        <v>KUCME290</v>
      </c>
      <c r="BA257" s="439">
        <f>IF(BA256=MiscData!$V$42,1,BA256+1)</f>
        <v>20</v>
      </c>
      <c r="BB257" s="439" t="str">
        <f>VLOOKUP(AZ257,MiscData!$W$4:$Y$42,3,FALSE)</f>
        <v>LE</v>
      </c>
    </row>
    <row r="258" spans="1:54" hidden="1">
      <c r="A258" s="448">
        <f t="shared" si="158"/>
        <v>237</v>
      </c>
      <c r="B258" s="448" t="str">
        <f t="shared" si="120"/>
        <v>Jul 2015</v>
      </c>
      <c r="C258" s="448" t="s">
        <v>19</v>
      </c>
      <c r="D258" s="449" t="str">
        <f t="shared" si="121"/>
        <v>LE</v>
      </c>
      <c r="E258" s="449" t="str">
        <f t="shared" si="122"/>
        <v>KUCME291</v>
      </c>
      <c r="F258" s="450">
        <f t="shared" si="123"/>
        <v>0</v>
      </c>
      <c r="G258" s="450">
        <v>0</v>
      </c>
      <c r="H258" s="450">
        <v>0</v>
      </c>
      <c r="I258" s="450">
        <v>0</v>
      </c>
      <c r="J258" s="450">
        <f t="shared" si="124"/>
        <v>0</v>
      </c>
      <c r="K258" s="482">
        <f t="shared" si="125"/>
        <v>0</v>
      </c>
      <c r="L258" s="482">
        <f t="shared" si="126"/>
        <v>0</v>
      </c>
      <c r="M258" s="482">
        <f t="shared" si="127"/>
        <v>0</v>
      </c>
      <c r="N258" s="482">
        <f t="shared" si="128"/>
        <v>0</v>
      </c>
      <c r="O258" s="482">
        <f t="shared" si="129"/>
        <v>0</v>
      </c>
      <c r="P258" s="482">
        <f t="shared" si="130"/>
        <v>0</v>
      </c>
      <c r="Q258" s="451">
        <f t="shared" si="131"/>
        <v>0</v>
      </c>
      <c r="R258" s="452">
        <f t="shared" si="132"/>
        <v>6.3799999999999996E-2</v>
      </c>
      <c r="S258" s="452">
        <v>0</v>
      </c>
      <c r="T258" s="452">
        <v>0</v>
      </c>
      <c r="U258" s="452">
        <f t="shared" si="133"/>
        <v>2.8920000000000001E-2</v>
      </c>
      <c r="V258" s="451">
        <f t="shared" si="134"/>
        <v>0</v>
      </c>
      <c r="W258" s="451">
        <f t="shared" si="135"/>
        <v>0</v>
      </c>
      <c r="X258" s="451">
        <f t="shared" si="136"/>
        <v>0</v>
      </c>
      <c r="Y258" s="453">
        <f t="shared" si="137"/>
        <v>0</v>
      </c>
      <c r="Z258" s="453">
        <f t="shared" si="138"/>
        <v>0</v>
      </c>
      <c r="AA258" s="453">
        <f t="shared" si="139"/>
        <v>0</v>
      </c>
      <c r="AB258" s="453">
        <f t="shared" si="140"/>
        <v>0</v>
      </c>
      <c r="AC258" s="453">
        <f t="shared" si="141"/>
        <v>0</v>
      </c>
      <c r="AD258" s="453">
        <f t="shared" si="142"/>
        <v>0</v>
      </c>
      <c r="AE258" s="493">
        <f t="shared" si="143"/>
        <v>0</v>
      </c>
      <c r="AF258" s="453">
        <f t="shared" si="144"/>
        <v>0</v>
      </c>
      <c r="AG258" s="494">
        <f t="shared" si="145"/>
        <v>1</v>
      </c>
      <c r="AH258" s="454">
        <f t="shared" si="146"/>
        <v>0</v>
      </c>
      <c r="AI258" s="454">
        <f t="shared" si="147"/>
        <v>0</v>
      </c>
      <c r="AJ258" s="454">
        <f t="shared" si="148"/>
        <v>0</v>
      </c>
      <c r="AK258" s="454">
        <f t="shared" si="149"/>
        <v>0</v>
      </c>
      <c r="AL258" s="454">
        <f t="shared" si="150"/>
        <v>0</v>
      </c>
      <c r="AM258" s="454">
        <f t="shared" si="151"/>
        <v>0</v>
      </c>
      <c r="AN258" s="491">
        <f t="shared" si="152"/>
        <v>0</v>
      </c>
      <c r="AO258" s="487">
        <f t="shared" si="153"/>
        <v>0</v>
      </c>
      <c r="AP258" s="495">
        <f t="shared" si="154"/>
        <v>0</v>
      </c>
      <c r="AQ258" s="496">
        <f t="shared" si="155"/>
        <v>0</v>
      </c>
      <c r="AV258" s="459">
        <f>IF(BA258&gt;BA257,AV257,IF(AV257&lt;MiscData!$F$1,EOMONTH(AV257,1),EOMONTH(AV257,-11)))</f>
        <v>42216</v>
      </c>
      <c r="AW258" s="448" t="str">
        <f t="shared" si="156"/>
        <v>20140101KUCME291</v>
      </c>
      <c r="AX258" s="457" t="str">
        <f t="shared" si="157"/>
        <v>20140101LE</v>
      </c>
      <c r="AY258" s="439">
        <f>IF(AV258&lt;=MiscData!$B$23,MiscData!$C$23,IF(AV258&lt;=MiscData!$B$24,MiscData!$C$24,MiscData!$C$25))</f>
        <v>20140101</v>
      </c>
      <c r="AZ258" s="439" t="str">
        <f>VLOOKUP(BA258,MiscData!$V$4:$W$42,2,FALSE)</f>
        <v>KUCME291</v>
      </c>
      <c r="BA258" s="439">
        <f>IF(BA257=MiscData!$V$42,1,BA257+1)</f>
        <v>21</v>
      </c>
      <c r="BB258" s="439" t="str">
        <f>VLOOKUP(AZ258,MiscData!$W$4:$Y$42,3,FALSE)</f>
        <v>LE</v>
      </c>
    </row>
    <row r="259" spans="1:54" hidden="1">
      <c r="A259" s="448">
        <f t="shared" si="158"/>
        <v>238</v>
      </c>
      <c r="B259" s="448" t="str">
        <f t="shared" si="120"/>
        <v>Jul 2015</v>
      </c>
      <c r="C259" s="448" t="s">
        <v>20</v>
      </c>
      <c r="D259" s="449" t="str">
        <f t="shared" si="121"/>
        <v>TE</v>
      </c>
      <c r="E259" s="449" t="str">
        <f t="shared" si="122"/>
        <v>KUCME295</v>
      </c>
      <c r="F259" s="450">
        <f t="shared" si="123"/>
        <v>747</v>
      </c>
      <c r="G259" s="450">
        <v>0</v>
      </c>
      <c r="H259" s="450">
        <v>0</v>
      </c>
      <c r="I259" s="450">
        <v>0</v>
      </c>
      <c r="J259" s="450">
        <f t="shared" si="124"/>
        <v>101733</v>
      </c>
      <c r="K259" s="482">
        <f t="shared" si="125"/>
        <v>0</v>
      </c>
      <c r="L259" s="482">
        <f t="shared" si="126"/>
        <v>0</v>
      </c>
      <c r="M259" s="482">
        <f t="shared" si="127"/>
        <v>0</v>
      </c>
      <c r="N259" s="482">
        <f t="shared" si="128"/>
        <v>0</v>
      </c>
      <c r="O259" s="482">
        <f t="shared" si="129"/>
        <v>0</v>
      </c>
      <c r="P259" s="482">
        <f t="shared" si="130"/>
        <v>0</v>
      </c>
      <c r="Q259" s="451">
        <f t="shared" si="131"/>
        <v>3.25</v>
      </c>
      <c r="R259" s="452">
        <f t="shared" si="132"/>
        <v>7.9780000000000004E-2</v>
      </c>
      <c r="S259" s="452">
        <v>0</v>
      </c>
      <c r="T259" s="452">
        <v>0</v>
      </c>
      <c r="U259" s="452">
        <f t="shared" si="133"/>
        <v>2.8920000000000001E-2</v>
      </c>
      <c r="V259" s="451">
        <f t="shared" si="134"/>
        <v>0</v>
      </c>
      <c r="W259" s="451">
        <f t="shared" si="135"/>
        <v>0</v>
      </c>
      <c r="X259" s="451">
        <f t="shared" si="136"/>
        <v>0</v>
      </c>
      <c r="Y259" s="453">
        <f t="shared" si="137"/>
        <v>2427.75</v>
      </c>
      <c r="Z259" s="453">
        <f t="shared" si="138"/>
        <v>8116.26</v>
      </c>
      <c r="AA259" s="453">
        <f t="shared" si="139"/>
        <v>0</v>
      </c>
      <c r="AB259" s="453">
        <f t="shared" si="140"/>
        <v>0</v>
      </c>
      <c r="AC259" s="453">
        <f t="shared" si="141"/>
        <v>0</v>
      </c>
      <c r="AD259" s="453">
        <f t="shared" si="142"/>
        <v>0</v>
      </c>
      <c r="AE259" s="493">
        <f t="shared" si="143"/>
        <v>10544.01</v>
      </c>
      <c r="AF259" s="453">
        <f t="shared" si="144"/>
        <v>0</v>
      </c>
      <c r="AG259" s="494">
        <f t="shared" si="145"/>
        <v>0</v>
      </c>
      <c r="AH259" s="454">
        <f t="shared" si="146"/>
        <v>0</v>
      </c>
      <c r="AI259" s="454">
        <f t="shared" si="147"/>
        <v>0</v>
      </c>
      <c r="AJ259" s="454">
        <f t="shared" si="148"/>
        <v>0</v>
      </c>
      <c r="AK259" s="454">
        <f t="shared" si="149"/>
        <v>0</v>
      </c>
      <c r="AL259" s="454">
        <f t="shared" si="150"/>
        <v>0</v>
      </c>
      <c r="AM259" s="454">
        <f t="shared" si="151"/>
        <v>0</v>
      </c>
      <c r="AN259" s="491">
        <f t="shared" si="152"/>
        <v>10544.01</v>
      </c>
      <c r="AO259" s="487">
        <f t="shared" si="153"/>
        <v>-10544.01</v>
      </c>
      <c r="AP259" s="495">
        <f t="shared" si="154"/>
        <v>2942.12</v>
      </c>
      <c r="AQ259" s="496">
        <f t="shared" si="155"/>
        <v>5174.1400000000003</v>
      </c>
      <c r="AV259" s="459">
        <f>IF(BA259&gt;BA258,AV258,IF(AV258&lt;MiscData!$F$1,EOMONTH(AV258,1),EOMONTH(AV258,-11)))</f>
        <v>42216</v>
      </c>
      <c r="AW259" s="448" t="str">
        <f t="shared" si="156"/>
        <v>20140101KUCME295</v>
      </c>
      <c r="AX259" s="457" t="str">
        <f t="shared" si="157"/>
        <v>20140101TE</v>
      </c>
      <c r="AY259" s="439">
        <f>IF(AV259&lt;=MiscData!$B$23,MiscData!$C$23,IF(AV259&lt;=MiscData!$B$24,MiscData!$C$24,MiscData!$C$25))</f>
        <v>20140101</v>
      </c>
      <c r="AZ259" s="439" t="str">
        <f>VLOOKUP(BA259,MiscData!$V$4:$W$42,2,FALSE)</f>
        <v>KUCME295</v>
      </c>
      <c r="BA259" s="439">
        <f>IF(BA258=MiscData!$V$42,1,BA258+1)</f>
        <v>22</v>
      </c>
      <c r="BB259" s="439" t="str">
        <f>VLOOKUP(AZ259,MiscData!$W$4:$Y$42,3,FALSE)</f>
        <v>TE</v>
      </c>
    </row>
    <row r="260" spans="1:54" hidden="1">
      <c r="A260" s="448">
        <f t="shared" si="158"/>
        <v>239</v>
      </c>
      <c r="B260" s="448" t="str">
        <f t="shared" ref="B260:B323" si="159">TEXT(AV260,"mmm yyyy")</f>
        <v>Jul 2015</v>
      </c>
      <c r="C260" s="448" t="s">
        <v>20</v>
      </c>
      <c r="D260" s="449" t="str">
        <f t="shared" ref="D260:D323" si="160">BB260</f>
        <v>TE</v>
      </c>
      <c r="E260" s="449" t="str">
        <f t="shared" ref="E260:E323" si="161">AZ260</f>
        <v>KUCME297</v>
      </c>
      <c r="F260" s="450">
        <f t="shared" ref="F260:F323" si="162">SUMIFS(_1022_Count,_1022_RevenueMonth,$B260,_1022_RateCategory,$E260)</f>
        <v>0</v>
      </c>
      <c r="G260" s="450">
        <v>0</v>
      </c>
      <c r="H260" s="450">
        <v>0</v>
      </c>
      <c r="I260" s="450">
        <v>0</v>
      </c>
      <c r="J260" s="450">
        <f t="shared" ref="J260:J323" si="163">SUMIFS(_1022_KWH,_1022_RevenueMonth,$B260,_1022_RateCategory,$E260)</f>
        <v>0</v>
      </c>
      <c r="K260" s="482">
        <f t="shared" ref="K260:K323" si="164">SUMIFS(_1022_Measured_KVA_Base,_1022_RevenueMonth,$B260,_1022_RateCategory,$E260)</f>
        <v>0</v>
      </c>
      <c r="L260" s="482">
        <f t="shared" ref="L260:L323" si="165">SUMIFS(_1022_Measured_KVA_Inter,_1022_RevenueMonth,$B260,_1022_RateCategory,$E260)</f>
        <v>0</v>
      </c>
      <c r="M260" s="482">
        <f t="shared" ref="M260:M323" si="166">SUMIFS(_1022_Measured_KVA_Peak,_1022_RevenueMonth,$B260,_1022_RateCategory,$E260)</f>
        <v>0</v>
      </c>
      <c r="N260" s="482">
        <f t="shared" ref="N260:N323" si="167">SUMIFS(_1022_Demand_Base,_1022_RevenueMonth,$B260,_1022_RateCategory,$E260)</f>
        <v>0</v>
      </c>
      <c r="O260" s="482">
        <f t="shared" ref="O260:O323" si="168">SUMIFS(_1022_Demand_Intermediate,_1022_RevenueMonth,$B260,_1022_RateCategory,$E260)</f>
        <v>0</v>
      </c>
      <c r="P260" s="482">
        <f t="shared" ref="P260:P323" si="169">SUMIFS(_1022_Demand_Peak,_1022_RevenueMonth,$B260,_1022_RateCategory,$E260)</f>
        <v>0</v>
      </c>
      <c r="Q260" s="451">
        <f t="shared" ref="Q260:Q323" si="170">SUMIF(_Rates_Tariff_Category,$AW260,_Rates_BasicServiceCharge)</f>
        <v>3.25</v>
      </c>
      <c r="R260" s="452">
        <f t="shared" ref="R260:R323" si="171">SUMIF(_Rates_Tariff_Category,$AW260,_Rates_Energy)</f>
        <v>7.9780000000000004E-2</v>
      </c>
      <c r="S260" s="452">
        <v>0</v>
      </c>
      <c r="T260" s="452">
        <v>0</v>
      </c>
      <c r="U260" s="452">
        <f t="shared" ref="U260:U323" si="172">SUMIF(_Rates_Tariff_Category,$AW260,_Rates_FAC_Energy)</f>
        <v>2.8920000000000001E-2</v>
      </c>
      <c r="V260" s="451">
        <f t="shared" ref="V260:V323" si="173">SUMIF(_Rates_Tariff_Category,$AW260,_Rates_Demand_Base)</f>
        <v>0</v>
      </c>
      <c r="W260" s="451">
        <f t="shared" ref="W260:W323" si="174">SUMIF(_Rates_Tariff_Category,$AW260,_Rates_Demand_Intermediate)</f>
        <v>0</v>
      </c>
      <c r="X260" s="451">
        <f t="shared" ref="X260:X323" si="175">SUMIF(_Rates_Tariff_Category,$AW260,_Rates_Demand_Peak)</f>
        <v>0</v>
      </c>
      <c r="Y260" s="453">
        <f t="shared" ref="Y260:Y323" si="176">ROUND($F260*$Q260,2)</f>
        <v>0</v>
      </c>
      <c r="Z260" s="453">
        <f t="shared" ref="Z260:Z323" si="177">ROUND(IF(G260=0,J260*R260,SUMPRODUCT(G260:I260,R260:T260)),2)</f>
        <v>0</v>
      </c>
      <c r="AA260" s="453">
        <f t="shared" ref="AA260:AA323" si="178">ROUND($K260*$V260,2)</f>
        <v>0</v>
      </c>
      <c r="AB260" s="453">
        <f t="shared" ref="AB260:AB323" si="179">ROUND($L260*$W260,2)</f>
        <v>0</v>
      </c>
      <c r="AC260" s="453">
        <f t="shared" ref="AC260:AC323" si="180">ROUND($M260*$X260,2)</f>
        <v>0</v>
      </c>
      <c r="AD260" s="453">
        <f t="shared" ref="AD260:AD323" si="181">SUM(AA260:AC260)</f>
        <v>0</v>
      </c>
      <c r="AE260" s="493">
        <f t="shared" ref="AE260:AE323" si="182">SUM(Y260:AC260)</f>
        <v>0</v>
      </c>
      <c r="AF260" s="453">
        <f t="shared" ref="AF260:AF323" si="183">AM260-SUM(AH260:AL260)</f>
        <v>0</v>
      </c>
      <c r="AG260" s="494">
        <f t="shared" ref="AG260:AG323" si="184">IF(AND(AE260=0,AF260=0),1,IF(AE260=0,0,AF260/AE260))</f>
        <v>1</v>
      </c>
      <c r="AH260" s="454">
        <f t="shared" ref="AH260:AH323" si="185">SUMIFS(_SBR_FAC,_SBR_Revenue_Month,$B260,_SBR_Rate_Category,$E260)</f>
        <v>0</v>
      </c>
      <c r="AI260" s="454">
        <f t="shared" ref="AI260:AI323" si="186">SUMIFS(_SBR_DSM,_SBR_Revenue_Month,$B260,_SBR_Rate_Category,$E260)</f>
        <v>0</v>
      </c>
      <c r="AJ260" s="454">
        <f t="shared" ref="AJ260:AJ323" si="187">SUMIFS(_SBR_ECR,_SBR_Revenue_Month,$B260,_SBR_Rate_Category,$E260)</f>
        <v>0</v>
      </c>
      <c r="AK260" s="454">
        <f t="shared" ref="AK260:AK323" si="188">SUMIFS(_SBR_MSR,_SBR_Revenue_Month,$B260,_SBR_Rate_Category,$E260)</f>
        <v>0</v>
      </c>
      <c r="AL260" s="454">
        <f t="shared" ref="AL260:AL323" si="189">SUMIFS(_SBR_CSR,_SBR_Revenue_Month,$B260,_SBR_Rate_Category,$E260)</f>
        <v>0</v>
      </c>
      <c r="AM260" s="454">
        <f t="shared" ref="AM260:AM323" si="190">SUMIFS(_SBR_Revenue_Actual,_SBR_Revenue_Month,$B260,_SBR_Rate_Category,$E260)</f>
        <v>0</v>
      </c>
      <c r="AN260" s="491">
        <f t="shared" ref="AN260:AN323" si="191">SUM(AE260,AH260:AL260)</f>
        <v>0</v>
      </c>
      <c r="AO260" s="487">
        <f t="shared" ref="AO260:AO323" si="192">AM260-AN260</f>
        <v>0</v>
      </c>
      <c r="AP260" s="495">
        <f t="shared" ref="AP260:AP323" si="193">ROUND($J260*$U260,2)</f>
        <v>0</v>
      </c>
      <c r="AQ260" s="496">
        <f t="shared" ref="AQ260:AQ323" si="194">Z260-AP260</f>
        <v>0</v>
      </c>
      <c r="AV260" s="459">
        <f>IF(BA260&gt;BA259,AV259,IF(AV259&lt;MiscData!$F$1,EOMONTH(AV259,1),EOMONTH(AV259,-11)))</f>
        <v>42216</v>
      </c>
      <c r="AW260" s="448" t="str">
        <f t="shared" ref="AW260:AW323" si="195">CONCATENATE(AY260&amp;AZ260)</f>
        <v>20140101KUCME297</v>
      </c>
      <c r="AX260" s="457" t="str">
        <f t="shared" ref="AX260:AX323" si="196">CONCATENATE(AY260&amp;BB260)</f>
        <v>20140101TE</v>
      </c>
      <c r="AY260" s="439">
        <f>IF(AV260&lt;=MiscData!$B$23,MiscData!$C$23,IF(AV260&lt;=MiscData!$B$24,MiscData!$C$24,MiscData!$C$25))</f>
        <v>20140101</v>
      </c>
      <c r="AZ260" s="439" t="str">
        <f>VLOOKUP(BA260,MiscData!$V$4:$W$42,2,FALSE)</f>
        <v>KUCME297</v>
      </c>
      <c r="BA260" s="439">
        <f>IF(BA259=MiscData!$V$42,1,BA259+1)</f>
        <v>23</v>
      </c>
      <c r="BB260" s="439" t="str">
        <f>VLOOKUP(AZ260,MiscData!$W$4:$Y$42,3,FALSE)</f>
        <v>TE</v>
      </c>
    </row>
    <row r="261" spans="1:54" hidden="1">
      <c r="A261" s="448">
        <f t="shared" si="158"/>
        <v>240</v>
      </c>
      <c r="B261" s="448" t="str">
        <f t="shared" si="159"/>
        <v>Jul 2015</v>
      </c>
      <c r="C261" s="448" t="s">
        <v>690</v>
      </c>
      <c r="D261" s="449" t="str">
        <f t="shared" si="160"/>
        <v>SQF</v>
      </c>
      <c r="E261" s="449" t="str">
        <f t="shared" si="161"/>
        <v>KUCME705</v>
      </c>
      <c r="F261" s="450">
        <f t="shared" si="162"/>
        <v>0</v>
      </c>
      <c r="G261" s="450">
        <v>0</v>
      </c>
      <c r="H261" s="450">
        <v>0</v>
      </c>
      <c r="I261" s="450">
        <v>0</v>
      </c>
      <c r="J261" s="450">
        <f t="shared" si="163"/>
        <v>0</v>
      </c>
      <c r="K261" s="482">
        <f t="shared" si="164"/>
        <v>0</v>
      </c>
      <c r="L261" s="482">
        <f t="shared" si="165"/>
        <v>0</v>
      </c>
      <c r="M261" s="482">
        <f t="shared" si="166"/>
        <v>0</v>
      </c>
      <c r="N261" s="482">
        <f t="shared" si="167"/>
        <v>0</v>
      </c>
      <c r="O261" s="482">
        <f t="shared" si="168"/>
        <v>0</v>
      </c>
      <c r="P261" s="482">
        <f t="shared" si="169"/>
        <v>0</v>
      </c>
      <c r="Q261" s="451">
        <f t="shared" si="170"/>
        <v>0</v>
      </c>
      <c r="R261" s="452">
        <f t="shared" si="171"/>
        <v>0</v>
      </c>
      <c r="S261" s="452">
        <v>0</v>
      </c>
      <c r="T261" s="452">
        <v>0</v>
      </c>
      <c r="U261" s="452">
        <f t="shared" si="172"/>
        <v>0</v>
      </c>
      <c r="V261" s="451">
        <f t="shared" si="173"/>
        <v>0</v>
      </c>
      <c r="W261" s="451">
        <f t="shared" si="174"/>
        <v>0</v>
      </c>
      <c r="X261" s="451">
        <f t="shared" si="175"/>
        <v>0</v>
      </c>
      <c r="Y261" s="453">
        <f t="shared" si="176"/>
        <v>0</v>
      </c>
      <c r="Z261" s="453">
        <f t="shared" si="177"/>
        <v>0</v>
      </c>
      <c r="AA261" s="453">
        <f t="shared" si="178"/>
        <v>0</v>
      </c>
      <c r="AB261" s="453">
        <f t="shared" si="179"/>
        <v>0</v>
      </c>
      <c r="AC261" s="453">
        <f t="shared" si="180"/>
        <v>0</v>
      </c>
      <c r="AD261" s="453">
        <f t="shared" si="181"/>
        <v>0</v>
      </c>
      <c r="AE261" s="493">
        <f t="shared" si="182"/>
        <v>0</v>
      </c>
      <c r="AF261" s="453">
        <f t="shared" si="183"/>
        <v>0</v>
      </c>
      <c r="AG261" s="494">
        <f t="shared" si="184"/>
        <v>1</v>
      </c>
      <c r="AH261" s="454">
        <f t="shared" si="185"/>
        <v>0</v>
      </c>
      <c r="AI261" s="454">
        <f t="shared" si="186"/>
        <v>0</v>
      </c>
      <c r="AJ261" s="454">
        <f t="shared" si="187"/>
        <v>0</v>
      </c>
      <c r="AK261" s="454">
        <f t="shared" si="188"/>
        <v>0</v>
      </c>
      <c r="AL261" s="454">
        <f t="shared" si="189"/>
        <v>0</v>
      </c>
      <c r="AM261" s="454">
        <f t="shared" si="190"/>
        <v>0</v>
      </c>
      <c r="AN261" s="491">
        <f t="shared" si="191"/>
        <v>0</v>
      </c>
      <c r="AO261" s="487">
        <f t="shared" si="192"/>
        <v>0</v>
      </c>
      <c r="AP261" s="495">
        <f t="shared" si="193"/>
        <v>0</v>
      </c>
      <c r="AQ261" s="496">
        <f t="shared" si="194"/>
        <v>0</v>
      </c>
      <c r="AV261" s="459">
        <f>IF(BA261&gt;BA260,AV260,IF(AV260&lt;MiscData!$F$1,EOMONTH(AV260,1),EOMONTH(AV260,-11)))</f>
        <v>42216</v>
      </c>
      <c r="AW261" s="448" t="str">
        <f t="shared" si="195"/>
        <v>20140101KUCME705</v>
      </c>
      <c r="AX261" s="457" t="str">
        <f t="shared" si="196"/>
        <v>20140101SQF</v>
      </c>
      <c r="AY261" s="439">
        <f>IF(AV261&lt;=MiscData!$B$23,MiscData!$C$23,IF(AV261&lt;=MiscData!$B$24,MiscData!$C$24,MiscData!$C$25))</f>
        <v>20140101</v>
      </c>
      <c r="AZ261" s="439" t="str">
        <f>VLOOKUP(BA261,MiscData!$V$4:$W$42,2,FALSE)</f>
        <v>KUCME705</v>
      </c>
      <c r="BA261" s="439">
        <f>IF(BA260=MiscData!$V$42,1,BA260+1)</f>
        <v>24</v>
      </c>
      <c r="BB261" s="439" t="str">
        <f>VLOOKUP(AZ261,MiscData!$W$4:$Y$42,3,FALSE)</f>
        <v>SQF</v>
      </c>
    </row>
    <row r="262" spans="1:54" hidden="1">
      <c r="A262" s="448">
        <f t="shared" si="158"/>
        <v>241</v>
      </c>
      <c r="B262" s="448" t="str">
        <f t="shared" si="159"/>
        <v>Jul 2015</v>
      </c>
      <c r="C262" s="448" t="s">
        <v>1156</v>
      </c>
      <c r="D262" s="449" t="str">
        <f t="shared" si="160"/>
        <v>LQF</v>
      </c>
      <c r="E262" s="449" t="str">
        <f t="shared" si="161"/>
        <v>KUCME707</v>
      </c>
      <c r="F262" s="450">
        <f t="shared" si="162"/>
        <v>0</v>
      </c>
      <c r="G262" s="450">
        <v>0</v>
      </c>
      <c r="H262" s="450">
        <v>0</v>
      </c>
      <c r="I262" s="450">
        <v>0</v>
      </c>
      <c r="J262" s="450">
        <f t="shared" si="163"/>
        <v>0</v>
      </c>
      <c r="K262" s="482">
        <f t="shared" si="164"/>
        <v>0</v>
      </c>
      <c r="L262" s="482">
        <f t="shared" si="165"/>
        <v>0</v>
      </c>
      <c r="M262" s="482">
        <f t="shared" si="166"/>
        <v>0</v>
      </c>
      <c r="N262" s="482">
        <f t="shared" si="167"/>
        <v>0</v>
      </c>
      <c r="O262" s="482">
        <f t="shared" si="168"/>
        <v>0</v>
      </c>
      <c r="P262" s="482">
        <f t="shared" si="169"/>
        <v>0</v>
      </c>
      <c r="Q262" s="451">
        <f t="shared" si="170"/>
        <v>0</v>
      </c>
      <c r="R262" s="452">
        <f t="shared" si="171"/>
        <v>0</v>
      </c>
      <c r="S262" s="452">
        <v>0</v>
      </c>
      <c r="T262" s="452">
        <v>0</v>
      </c>
      <c r="U262" s="452">
        <f t="shared" si="172"/>
        <v>0</v>
      </c>
      <c r="V262" s="451">
        <f t="shared" si="173"/>
        <v>0</v>
      </c>
      <c r="W262" s="451">
        <f t="shared" si="174"/>
        <v>0</v>
      </c>
      <c r="X262" s="451">
        <f t="shared" si="175"/>
        <v>0</v>
      </c>
      <c r="Y262" s="453">
        <f t="shared" si="176"/>
        <v>0</v>
      </c>
      <c r="Z262" s="453">
        <f t="shared" si="177"/>
        <v>0</v>
      </c>
      <c r="AA262" s="453">
        <f t="shared" si="178"/>
        <v>0</v>
      </c>
      <c r="AB262" s="453">
        <f t="shared" si="179"/>
        <v>0</v>
      </c>
      <c r="AC262" s="453">
        <f t="shared" si="180"/>
        <v>0</v>
      </c>
      <c r="AD262" s="453">
        <f t="shared" si="181"/>
        <v>0</v>
      </c>
      <c r="AE262" s="493">
        <f t="shared" si="182"/>
        <v>0</v>
      </c>
      <c r="AF262" s="453">
        <f t="shared" si="183"/>
        <v>0</v>
      </c>
      <c r="AG262" s="494">
        <f t="shared" si="184"/>
        <v>1</v>
      </c>
      <c r="AH262" s="454">
        <f t="shared" si="185"/>
        <v>0</v>
      </c>
      <c r="AI262" s="454">
        <f t="shared" si="186"/>
        <v>0</v>
      </c>
      <c r="AJ262" s="454">
        <f t="shared" si="187"/>
        <v>0</v>
      </c>
      <c r="AK262" s="454">
        <f t="shared" si="188"/>
        <v>0</v>
      </c>
      <c r="AL262" s="454">
        <f t="shared" si="189"/>
        <v>0</v>
      </c>
      <c r="AM262" s="454">
        <f t="shared" si="190"/>
        <v>0</v>
      </c>
      <c r="AN262" s="491">
        <f t="shared" si="191"/>
        <v>0</v>
      </c>
      <c r="AO262" s="487">
        <f t="shared" si="192"/>
        <v>0</v>
      </c>
      <c r="AP262" s="495">
        <f t="shared" si="193"/>
        <v>0</v>
      </c>
      <c r="AQ262" s="496">
        <f t="shared" si="194"/>
        <v>0</v>
      </c>
      <c r="AV262" s="459">
        <f>IF(BA262&gt;BA261,AV261,IF(AV261&lt;MiscData!$F$1,EOMONTH(AV261,1),EOMONTH(AV261,-11)))</f>
        <v>42216</v>
      </c>
      <c r="AW262" s="448" t="str">
        <f t="shared" si="195"/>
        <v>20140101KUCME707</v>
      </c>
      <c r="AX262" s="457" t="str">
        <f t="shared" si="196"/>
        <v>20140101LQF</v>
      </c>
      <c r="AY262" s="439">
        <f>IF(AV262&lt;=MiscData!$B$23,MiscData!$C$23,IF(AV262&lt;=MiscData!$B$24,MiscData!$C$24,MiscData!$C$25))</f>
        <v>20140101</v>
      </c>
      <c r="AZ262" s="439" t="str">
        <f>VLOOKUP(BA262,MiscData!$V$4:$W$42,2,FALSE)</f>
        <v>KUCME707</v>
      </c>
      <c r="BA262" s="439">
        <f>IF(BA261=MiscData!$V$42,1,BA261+1)</f>
        <v>25</v>
      </c>
      <c r="BB262" s="439" t="str">
        <f>VLOOKUP(AZ262,MiscData!$W$4:$Y$42,3,FALSE)</f>
        <v>LQF</v>
      </c>
    </row>
    <row r="263" spans="1:54">
      <c r="A263" s="499">
        <f t="shared" si="158"/>
        <v>242</v>
      </c>
      <c r="B263" s="448" t="str">
        <f t="shared" si="159"/>
        <v>Jul 2015</v>
      </c>
      <c r="C263" s="448" t="s">
        <v>208</v>
      </c>
      <c r="D263" s="449" t="str">
        <f t="shared" si="160"/>
        <v>GS</v>
      </c>
      <c r="E263" s="449" t="str">
        <f t="shared" si="161"/>
        <v>KUCME710</v>
      </c>
      <c r="F263" s="450">
        <f t="shared" si="162"/>
        <v>0</v>
      </c>
      <c r="G263" s="450">
        <v>0</v>
      </c>
      <c r="H263" s="450">
        <v>0</v>
      </c>
      <c r="I263" s="450">
        <v>0</v>
      </c>
      <c r="J263" s="450">
        <f t="shared" si="163"/>
        <v>0</v>
      </c>
      <c r="K263" s="482">
        <f t="shared" si="164"/>
        <v>0</v>
      </c>
      <c r="L263" s="482">
        <f t="shared" si="165"/>
        <v>0</v>
      </c>
      <c r="M263" s="482">
        <f t="shared" si="166"/>
        <v>0</v>
      </c>
      <c r="N263" s="482">
        <f t="shared" si="167"/>
        <v>0</v>
      </c>
      <c r="O263" s="482">
        <f t="shared" si="168"/>
        <v>0</v>
      </c>
      <c r="P263" s="482">
        <f t="shared" si="169"/>
        <v>0</v>
      </c>
      <c r="Q263" s="451">
        <f t="shared" si="170"/>
        <v>20</v>
      </c>
      <c r="R263" s="452">
        <f t="shared" si="171"/>
        <v>9.2249999999999999E-2</v>
      </c>
      <c r="S263" s="452">
        <v>0</v>
      </c>
      <c r="T263" s="452">
        <v>0</v>
      </c>
      <c r="U263" s="452">
        <f t="shared" si="172"/>
        <v>2.8920000000000001E-2</v>
      </c>
      <c r="V263" s="451">
        <f t="shared" si="173"/>
        <v>0</v>
      </c>
      <c r="W263" s="451">
        <f t="shared" si="174"/>
        <v>0</v>
      </c>
      <c r="X263" s="451">
        <f t="shared" si="175"/>
        <v>0</v>
      </c>
      <c r="Y263" s="453">
        <f t="shared" si="176"/>
        <v>0</v>
      </c>
      <c r="Z263" s="453">
        <f t="shared" si="177"/>
        <v>0</v>
      </c>
      <c r="AA263" s="453">
        <f t="shared" si="178"/>
        <v>0</v>
      </c>
      <c r="AB263" s="453">
        <f t="shared" si="179"/>
        <v>0</v>
      </c>
      <c r="AC263" s="453">
        <f t="shared" si="180"/>
        <v>0</v>
      </c>
      <c r="AD263" s="453">
        <f t="shared" si="181"/>
        <v>0</v>
      </c>
      <c r="AE263" s="493">
        <f t="shared" si="182"/>
        <v>0</v>
      </c>
      <c r="AF263" s="453">
        <f t="shared" si="183"/>
        <v>0</v>
      </c>
      <c r="AG263" s="494">
        <f t="shared" si="184"/>
        <v>1</v>
      </c>
      <c r="AH263" s="454">
        <f t="shared" si="185"/>
        <v>0</v>
      </c>
      <c r="AI263" s="454">
        <f t="shared" si="186"/>
        <v>0</v>
      </c>
      <c r="AJ263" s="454">
        <f t="shared" si="187"/>
        <v>0</v>
      </c>
      <c r="AK263" s="454">
        <f t="shared" si="188"/>
        <v>0</v>
      </c>
      <c r="AL263" s="454">
        <f t="shared" si="189"/>
        <v>0</v>
      </c>
      <c r="AM263" s="454">
        <f t="shared" si="190"/>
        <v>0</v>
      </c>
      <c r="AN263" s="491">
        <f t="shared" si="191"/>
        <v>0</v>
      </c>
      <c r="AO263" s="487">
        <f t="shared" si="192"/>
        <v>0</v>
      </c>
      <c r="AP263" s="495">
        <f t="shared" si="193"/>
        <v>0</v>
      </c>
      <c r="AQ263" s="496">
        <f t="shared" si="194"/>
        <v>0</v>
      </c>
      <c r="AV263" s="459">
        <f>IF(BA263&gt;BA262,AV262,IF(AV262&lt;MiscData!$F$1,EOMONTH(AV262,1),EOMONTH(AV262,-11)))</f>
        <v>42216</v>
      </c>
      <c r="AW263" s="448" t="str">
        <f t="shared" si="195"/>
        <v>20140101KUCME710</v>
      </c>
      <c r="AX263" s="457" t="str">
        <f t="shared" si="196"/>
        <v>20140101GS</v>
      </c>
      <c r="AY263" s="439">
        <f>IF(AV263&lt;=MiscData!$B$23,MiscData!$C$23,IF(AV263&lt;=MiscData!$B$24,MiscData!$C$24,MiscData!$C$25))</f>
        <v>20140101</v>
      </c>
      <c r="AZ263" s="439" t="str">
        <f>VLOOKUP(BA263,MiscData!$V$4:$W$42,2,FALSE)</f>
        <v>KUCME710</v>
      </c>
      <c r="BA263" s="439">
        <f>IF(BA262=MiscData!$V$42,1,BA262+1)</f>
        <v>26</v>
      </c>
      <c r="BB263" s="511" t="str">
        <f>VLOOKUP(AZ263,MiscData!$W$4:$Y$42,3,FALSE)</f>
        <v>GS</v>
      </c>
    </row>
    <row r="264" spans="1:54">
      <c r="A264" s="448">
        <f t="shared" si="158"/>
        <v>243</v>
      </c>
      <c r="B264" s="448" t="str">
        <f t="shared" si="159"/>
        <v>Jul 2015</v>
      </c>
      <c r="C264" s="448" t="s">
        <v>17</v>
      </c>
      <c r="D264" s="449" t="str">
        <f t="shared" si="160"/>
        <v>GS3</v>
      </c>
      <c r="E264" s="449" t="str">
        <f t="shared" si="161"/>
        <v>KUCME713</v>
      </c>
      <c r="F264" s="450">
        <f t="shared" si="162"/>
        <v>0</v>
      </c>
      <c r="G264" s="450">
        <v>0</v>
      </c>
      <c r="H264" s="450">
        <v>0</v>
      </c>
      <c r="I264" s="450">
        <v>0</v>
      </c>
      <c r="J264" s="450">
        <f t="shared" si="163"/>
        <v>0</v>
      </c>
      <c r="K264" s="482">
        <f t="shared" si="164"/>
        <v>0</v>
      </c>
      <c r="L264" s="482">
        <f t="shared" si="165"/>
        <v>0</v>
      </c>
      <c r="M264" s="482">
        <f t="shared" si="166"/>
        <v>0</v>
      </c>
      <c r="N264" s="482">
        <f t="shared" si="167"/>
        <v>0</v>
      </c>
      <c r="O264" s="482">
        <f t="shared" si="168"/>
        <v>0</v>
      </c>
      <c r="P264" s="482">
        <f t="shared" si="169"/>
        <v>0</v>
      </c>
      <c r="Q264" s="451">
        <f t="shared" si="170"/>
        <v>35</v>
      </c>
      <c r="R264" s="452">
        <f t="shared" si="171"/>
        <v>9.2249999999999999E-2</v>
      </c>
      <c r="S264" s="452">
        <v>0</v>
      </c>
      <c r="T264" s="452">
        <v>0</v>
      </c>
      <c r="U264" s="452">
        <f t="shared" si="172"/>
        <v>2.8920000000000001E-2</v>
      </c>
      <c r="V264" s="451">
        <f t="shared" si="173"/>
        <v>0</v>
      </c>
      <c r="W264" s="451">
        <f t="shared" si="174"/>
        <v>0</v>
      </c>
      <c r="X264" s="451">
        <f t="shared" si="175"/>
        <v>0</v>
      </c>
      <c r="Y264" s="453">
        <f t="shared" si="176"/>
        <v>0</v>
      </c>
      <c r="Z264" s="453">
        <f t="shared" si="177"/>
        <v>0</v>
      </c>
      <c r="AA264" s="453">
        <f t="shared" si="178"/>
        <v>0</v>
      </c>
      <c r="AB264" s="453">
        <f t="shared" si="179"/>
        <v>0</v>
      </c>
      <c r="AC264" s="453">
        <f t="shared" si="180"/>
        <v>0</v>
      </c>
      <c r="AD264" s="453">
        <f t="shared" si="181"/>
        <v>0</v>
      </c>
      <c r="AE264" s="493">
        <f t="shared" si="182"/>
        <v>0</v>
      </c>
      <c r="AF264" s="453">
        <f t="shared" si="183"/>
        <v>0</v>
      </c>
      <c r="AG264" s="494">
        <f t="shared" si="184"/>
        <v>1</v>
      </c>
      <c r="AH264" s="454">
        <f t="shared" si="185"/>
        <v>0</v>
      </c>
      <c r="AI264" s="454">
        <f t="shared" si="186"/>
        <v>0</v>
      </c>
      <c r="AJ264" s="454">
        <f t="shared" si="187"/>
        <v>0</v>
      </c>
      <c r="AK264" s="454">
        <f t="shared" si="188"/>
        <v>0</v>
      </c>
      <c r="AL264" s="454">
        <f t="shared" si="189"/>
        <v>0</v>
      </c>
      <c r="AM264" s="454">
        <f t="shared" si="190"/>
        <v>0</v>
      </c>
      <c r="AN264" s="491">
        <f t="shared" si="191"/>
        <v>0</v>
      </c>
      <c r="AO264" s="487">
        <f t="shared" si="192"/>
        <v>0</v>
      </c>
      <c r="AP264" s="495">
        <f t="shared" si="193"/>
        <v>0</v>
      </c>
      <c r="AQ264" s="496">
        <f t="shared" si="194"/>
        <v>0</v>
      </c>
      <c r="AV264" s="459">
        <f>IF(BA264&gt;BA263,AV263,IF(AV263&lt;MiscData!$F$1,EOMONTH(AV263,1),EOMONTH(AV263,-11)))</f>
        <v>42216</v>
      </c>
      <c r="AW264" s="448" t="str">
        <f t="shared" si="195"/>
        <v>20140101KUCME713</v>
      </c>
      <c r="AX264" s="457" t="str">
        <f t="shared" si="196"/>
        <v>20140101GS3</v>
      </c>
      <c r="AY264" s="439">
        <f>IF(AV264&lt;=MiscData!$B$23,MiscData!$C$23,IF(AV264&lt;=MiscData!$B$24,MiscData!$C$24,MiscData!$C$25))</f>
        <v>20140101</v>
      </c>
      <c r="AZ264" s="439" t="str">
        <f>VLOOKUP(BA264,MiscData!$V$4:$W$42,2,FALSE)</f>
        <v>KUCME713</v>
      </c>
      <c r="BA264" s="439">
        <f>IF(BA263=MiscData!$V$42,1,BA263+1)</f>
        <v>27</v>
      </c>
      <c r="BB264" s="439" t="str">
        <f>VLOOKUP(AZ264,MiscData!$W$4:$Y$42,3,FALSE)</f>
        <v>GS3</v>
      </c>
    </row>
    <row r="265" spans="1:54" hidden="1">
      <c r="A265" s="448">
        <f t="shared" si="158"/>
        <v>244</v>
      </c>
      <c r="B265" s="448" t="str">
        <f t="shared" si="159"/>
        <v>Jul 2015</v>
      </c>
      <c r="C265" s="448" t="s">
        <v>1471</v>
      </c>
      <c r="D265" s="449" t="str">
        <f t="shared" si="160"/>
        <v>CSR10</v>
      </c>
      <c r="E265" s="449" t="str">
        <f t="shared" si="161"/>
        <v>KUCSR760</v>
      </c>
      <c r="F265" s="450">
        <f t="shared" si="162"/>
        <v>0</v>
      </c>
      <c r="G265" s="450">
        <v>0</v>
      </c>
      <c r="H265" s="450">
        <v>0</v>
      </c>
      <c r="I265" s="450">
        <v>0</v>
      </c>
      <c r="J265" s="450">
        <f t="shared" si="163"/>
        <v>0</v>
      </c>
      <c r="K265" s="482">
        <f t="shared" si="164"/>
        <v>0</v>
      </c>
      <c r="L265" s="482">
        <f t="shared" si="165"/>
        <v>0</v>
      </c>
      <c r="M265" s="482">
        <f t="shared" si="166"/>
        <v>0</v>
      </c>
      <c r="N265" s="482">
        <f t="shared" si="167"/>
        <v>0</v>
      </c>
      <c r="O265" s="482">
        <f t="shared" si="168"/>
        <v>0</v>
      </c>
      <c r="P265" s="482">
        <f t="shared" si="169"/>
        <v>0</v>
      </c>
      <c r="Q265" s="451">
        <f t="shared" si="170"/>
        <v>0</v>
      </c>
      <c r="R265" s="452">
        <f t="shared" si="171"/>
        <v>0</v>
      </c>
      <c r="S265" s="452">
        <v>0</v>
      </c>
      <c r="T265" s="452">
        <v>0</v>
      </c>
      <c r="U265" s="452">
        <f t="shared" si="172"/>
        <v>0</v>
      </c>
      <c r="V265" s="451">
        <f t="shared" si="173"/>
        <v>-5.4</v>
      </c>
      <c r="W265" s="451">
        <f t="shared" si="174"/>
        <v>0</v>
      </c>
      <c r="X265" s="451">
        <f t="shared" si="175"/>
        <v>0</v>
      </c>
      <c r="Y265" s="453">
        <f t="shared" si="176"/>
        <v>0</v>
      </c>
      <c r="Z265" s="453">
        <f t="shared" si="177"/>
        <v>0</v>
      </c>
      <c r="AA265" s="453">
        <f t="shared" si="178"/>
        <v>0</v>
      </c>
      <c r="AB265" s="453">
        <f t="shared" si="179"/>
        <v>0</v>
      </c>
      <c r="AC265" s="453">
        <f t="shared" si="180"/>
        <v>0</v>
      </c>
      <c r="AD265" s="453">
        <f t="shared" si="181"/>
        <v>0</v>
      </c>
      <c r="AE265" s="493">
        <f t="shared" si="182"/>
        <v>0</v>
      </c>
      <c r="AF265" s="453">
        <f t="shared" si="183"/>
        <v>0</v>
      </c>
      <c r="AG265" s="494">
        <f t="shared" si="184"/>
        <v>1</v>
      </c>
      <c r="AH265" s="454">
        <f t="shared" si="185"/>
        <v>0</v>
      </c>
      <c r="AI265" s="454">
        <f t="shared" si="186"/>
        <v>0</v>
      </c>
      <c r="AJ265" s="454">
        <f t="shared" si="187"/>
        <v>0</v>
      </c>
      <c r="AK265" s="454">
        <f t="shared" si="188"/>
        <v>0</v>
      </c>
      <c r="AL265" s="454">
        <f t="shared" si="189"/>
        <v>-989829</v>
      </c>
      <c r="AM265" s="454">
        <f t="shared" si="190"/>
        <v>-989829</v>
      </c>
      <c r="AN265" s="491">
        <f t="shared" si="191"/>
        <v>-989829</v>
      </c>
      <c r="AO265" s="487">
        <f t="shared" si="192"/>
        <v>0</v>
      </c>
      <c r="AP265" s="495">
        <f t="shared" si="193"/>
        <v>0</v>
      </c>
      <c r="AQ265" s="496">
        <f t="shared" si="194"/>
        <v>0</v>
      </c>
      <c r="AV265" s="459">
        <f>IF(BA265&gt;BA264,AV264,IF(AV264&lt;MiscData!$F$1,EOMONTH(AV264,1),EOMONTH(AV264,-11)))</f>
        <v>42216</v>
      </c>
      <c r="AW265" s="448" t="str">
        <f t="shared" si="195"/>
        <v>20140101KUCSR760</v>
      </c>
      <c r="AX265" s="457" t="str">
        <f t="shared" si="196"/>
        <v>20140101CSR10</v>
      </c>
      <c r="AY265" s="439">
        <f>IF(AV265&lt;=MiscData!$B$23,MiscData!$C$23,IF(AV265&lt;=MiscData!$B$24,MiscData!$C$24,MiscData!$C$25))</f>
        <v>20140101</v>
      </c>
      <c r="AZ265" s="439" t="str">
        <f>VLOOKUP(BA265,MiscData!$V$4:$W$42,2,FALSE)</f>
        <v>KUCSR760</v>
      </c>
      <c r="BA265" s="439">
        <f>IF(BA264=MiscData!$V$42,1,BA264+1)</f>
        <v>28</v>
      </c>
      <c r="BB265" s="439" t="str">
        <f>VLOOKUP(AZ265,MiscData!$W$4:$Y$42,3,FALSE)</f>
        <v>CSR10</v>
      </c>
    </row>
    <row r="266" spans="1:54" hidden="1">
      <c r="A266" s="448">
        <f>A262+1</f>
        <v>242</v>
      </c>
      <c r="B266" s="448" t="str">
        <f t="shared" si="159"/>
        <v>Jul 2015</v>
      </c>
      <c r="C266" s="448" t="s">
        <v>1471</v>
      </c>
      <c r="D266" s="449" t="str">
        <f t="shared" si="160"/>
        <v>CSR10</v>
      </c>
      <c r="E266" s="449" t="str">
        <f t="shared" si="161"/>
        <v>KUCSR761</v>
      </c>
      <c r="F266" s="450">
        <f t="shared" si="162"/>
        <v>0</v>
      </c>
      <c r="G266" s="450">
        <v>0</v>
      </c>
      <c r="H266" s="450">
        <v>0</v>
      </c>
      <c r="I266" s="450">
        <v>0</v>
      </c>
      <c r="J266" s="450">
        <f t="shared" si="163"/>
        <v>0</v>
      </c>
      <c r="K266" s="482">
        <f t="shared" si="164"/>
        <v>0</v>
      </c>
      <c r="L266" s="482">
        <f t="shared" si="165"/>
        <v>0</v>
      </c>
      <c r="M266" s="482">
        <f t="shared" si="166"/>
        <v>0</v>
      </c>
      <c r="N266" s="482">
        <f t="shared" si="167"/>
        <v>0</v>
      </c>
      <c r="O266" s="482">
        <f t="shared" si="168"/>
        <v>0</v>
      </c>
      <c r="P266" s="482">
        <f t="shared" si="169"/>
        <v>0</v>
      </c>
      <c r="Q266" s="451">
        <f t="shared" si="170"/>
        <v>0</v>
      </c>
      <c r="R266" s="452">
        <f t="shared" si="171"/>
        <v>0</v>
      </c>
      <c r="S266" s="452">
        <v>0</v>
      </c>
      <c r="T266" s="452">
        <v>0</v>
      </c>
      <c r="U266" s="452">
        <f t="shared" si="172"/>
        <v>0</v>
      </c>
      <c r="V266" s="451">
        <f t="shared" si="173"/>
        <v>-5.5</v>
      </c>
      <c r="W266" s="451">
        <f t="shared" si="174"/>
        <v>0</v>
      </c>
      <c r="X266" s="451">
        <f t="shared" si="175"/>
        <v>0</v>
      </c>
      <c r="Y266" s="453">
        <f t="shared" si="176"/>
        <v>0</v>
      </c>
      <c r="Z266" s="453">
        <f t="shared" si="177"/>
        <v>0</v>
      </c>
      <c r="AA266" s="453">
        <f t="shared" si="178"/>
        <v>0</v>
      </c>
      <c r="AB266" s="453">
        <f t="shared" si="179"/>
        <v>0</v>
      </c>
      <c r="AC266" s="453">
        <f t="shared" si="180"/>
        <v>0</v>
      </c>
      <c r="AD266" s="453">
        <f t="shared" si="181"/>
        <v>0</v>
      </c>
      <c r="AE266" s="493">
        <f t="shared" si="182"/>
        <v>0</v>
      </c>
      <c r="AF266" s="453">
        <f t="shared" si="183"/>
        <v>0</v>
      </c>
      <c r="AG266" s="494">
        <f t="shared" si="184"/>
        <v>1</v>
      </c>
      <c r="AH266" s="454">
        <f t="shared" si="185"/>
        <v>0</v>
      </c>
      <c r="AI266" s="454">
        <f t="shared" si="186"/>
        <v>0</v>
      </c>
      <c r="AJ266" s="454">
        <f t="shared" si="187"/>
        <v>0</v>
      </c>
      <c r="AK266" s="454">
        <f t="shared" si="188"/>
        <v>0</v>
      </c>
      <c r="AL266" s="454">
        <f t="shared" si="189"/>
        <v>0</v>
      </c>
      <c r="AM266" s="454">
        <f t="shared" si="190"/>
        <v>0</v>
      </c>
      <c r="AN266" s="491">
        <f t="shared" si="191"/>
        <v>0</v>
      </c>
      <c r="AO266" s="487">
        <f t="shared" si="192"/>
        <v>0</v>
      </c>
      <c r="AP266" s="495">
        <f t="shared" si="193"/>
        <v>0</v>
      </c>
      <c r="AQ266" s="496">
        <f t="shared" si="194"/>
        <v>0</v>
      </c>
      <c r="AV266" s="459">
        <f>IF(BA266&gt;BA262,AV262,IF(AV262&lt;MiscData!$F$1,EOMONTH(AV262,1),EOMONTH(AV262,-11)))</f>
        <v>42216</v>
      </c>
      <c r="AW266" s="448" t="str">
        <f t="shared" si="195"/>
        <v>20140101KUCSR761</v>
      </c>
      <c r="AX266" s="457" t="str">
        <f t="shared" si="196"/>
        <v>20140101CSR10</v>
      </c>
      <c r="AY266" s="439">
        <f>IF(AV266&lt;=MiscData!$B$23,MiscData!$C$23,IF(AV266&lt;=MiscData!$B$24,MiscData!$C$24,MiscData!$C$25))</f>
        <v>20140101</v>
      </c>
      <c r="AZ266" s="439" t="str">
        <f>VLOOKUP(BA266,MiscData!$V$4:$W$42,2,FALSE)</f>
        <v>KUCSR761</v>
      </c>
      <c r="BA266" s="439">
        <f>IF(BA265=MiscData!$V$42,1,BA265+1)</f>
        <v>29</v>
      </c>
      <c r="BB266" s="439" t="str">
        <f>VLOOKUP(AZ266,MiscData!$W$4:$Y$42,3,FALSE)</f>
        <v>CSR10</v>
      </c>
    </row>
    <row r="267" spans="1:54" hidden="1">
      <c r="A267" s="499">
        <f>A263+1</f>
        <v>243</v>
      </c>
      <c r="B267" s="448" t="str">
        <f t="shared" si="159"/>
        <v>Jul 2015</v>
      </c>
      <c r="C267" s="448" t="s">
        <v>1472</v>
      </c>
      <c r="D267" s="449" t="str">
        <f t="shared" si="160"/>
        <v>CSR30</v>
      </c>
      <c r="E267" s="449" t="str">
        <f t="shared" si="161"/>
        <v>KUCSR780</v>
      </c>
      <c r="F267" s="450">
        <f t="shared" si="162"/>
        <v>0</v>
      </c>
      <c r="G267" s="450">
        <v>0</v>
      </c>
      <c r="H267" s="450">
        <v>0</v>
      </c>
      <c r="I267" s="450">
        <v>0</v>
      </c>
      <c r="J267" s="450">
        <f t="shared" si="163"/>
        <v>0</v>
      </c>
      <c r="K267" s="482">
        <f t="shared" si="164"/>
        <v>0</v>
      </c>
      <c r="L267" s="482">
        <f t="shared" si="165"/>
        <v>0</v>
      </c>
      <c r="M267" s="482">
        <f t="shared" si="166"/>
        <v>0</v>
      </c>
      <c r="N267" s="482">
        <f t="shared" si="167"/>
        <v>0</v>
      </c>
      <c r="O267" s="482">
        <f t="shared" si="168"/>
        <v>0</v>
      </c>
      <c r="P267" s="482">
        <f t="shared" si="169"/>
        <v>0</v>
      </c>
      <c r="Q267" s="451">
        <f t="shared" si="170"/>
        <v>0</v>
      </c>
      <c r="R267" s="452">
        <f t="shared" si="171"/>
        <v>0</v>
      </c>
      <c r="S267" s="452">
        <v>0</v>
      </c>
      <c r="T267" s="452">
        <v>0</v>
      </c>
      <c r="U267" s="452">
        <f t="shared" si="172"/>
        <v>0</v>
      </c>
      <c r="V267" s="451">
        <f t="shared" si="173"/>
        <v>-4.3</v>
      </c>
      <c r="W267" s="451">
        <f t="shared" si="174"/>
        <v>0</v>
      </c>
      <c r="X267" s="451">
        <f t="shared" si="175"/>
        <v>0</v>
      </c>
      <c r="Y267" s="453">
        <f t="shared" si="176"/>
        <v>0</v>
      </c>
      <c r="Z267" s="453">
        <f t="shared" si="177"/>
        <v>0</v>
      </c>
      <c r="AA267" s="453">
        <f t="shared" si="178"/>
        <v>0</v>
      </c>
      <c r="AB267" s="453">
        <f t="shared" si="179"/>
        <v>0</v>
      </c>
      <c r="AC267" s="453">
        <f t="shared" si="180"/>
        <v>0</v>
      </c>
      <c r="AD267" s="453">
        <f t="shared" si="181"/>
        <v>0</v>
      </c>
      <c r="AE267" s="493">
        <f t="shared" si="182"/>
        <v>0</v>
      </c>
      <c r="AF267" s="453">
        <f t="shared" si="183"/>
        <v>0</v>
      </c>
      <c r="AG267" s="494">
        <f t="shared" si="184"/>
        <v>1</v>
      </c>
      <c r="AH267" s="454">
        <f t="shared" si="185"/>
        <v>0</v>
      </c>
      <c r="AI267" s="454">
        <f t="shared" si="186"/>
        <v>0</v>
      </c>
      <c r="AJ267" s="454">
        <f t="shared" si="187"/>
        <v>0</v>
      </c>
      <c r="AK267" s="454">
        <f t="shared" si="188"/>
        <v>0</v>
      </c>
      <c r="AL267" s="454">
        <f t="shared" si="189"/>
        <v>0</v>
      </c>
      <c r="AM267" s="454">
        <f t="shared" si="190"/>
        <v>0</v>
      </c>
      <c r="AN267" s="491">
        <f t="shared" si="191"/>
        <v>0</v>
      </c>
      <c r="AO267" s="487">
        <f t="shared" si="192"/>
        <v>0</v>
      </c>
      <c r="AP267" s="495">
        <f t="shared" si="193"/>
        <v>0</v>
      </c>
      <c r="AQ267" s="510">
        <f t="shared" si="194"/>
        <v>0</v>
      </c>
      <c r="AV267" s="459">
        <f>IF(BA267&gt;BA263,AV263,IF(AV263&lt;MiscData!$F$1,EOMONTH(AV263,1),EOMONTH(AV263,-11)))</f>
        <v>42216</v>
      </c>
      <c r="AW267" s="448" t="str">
        <f t="shared" si="195"/>
        <v>20140101KUCSR780</v>
      </c>
      <c r="AX267" s="457" t="str">
        <f t="shared" si="196"/>
        <v>20140101CSR30</v>
      </c>
      <c r="AY267" s="439">
        <f>IF(AV267&lt;=MiscData!$B$23,MiscData!$C$23,IF(AV267&lt;=MiscData!$B$24,MiscData!$C$24,MiscData!$C$25))</f>
        <v>20140101</v>
      </c>
      <c r="AZ267" s="439" t="str">
        <f>VLOOKUP(BA267,MiscData!$V$4:$W$42,2,FALSE)</f>
        <v>KUCSR780</v>
      </c>
      <c r="BA267" s="439">
        <f>IF(BA266=MiscData!$V$42,1,BA266+1)</f>
        <v>30</v>
      </c>
      <c r="BB267" s="439" t="str">
        <f>VLOOKUP(AZ267,MiscData!$W$4:$Y$42,3,FALSE)</f>
        <v>CSR30</v>
      </c>
    </row>
    <row r="268" spans="1:54" hidden="1">
      <c r="A268" s="499">
        <f>A264+1</f>
        <v>244</v>
      </c>
      <c r="B268" s="448" t="str">
        <f t="shared" si="159"/>
        <v>Jul 2015</v>
      </c>
      <c r="C268" s="448" t="s">
        <v>1472</v>
      </c>
      <c r="D268" s="449" t="str">
        <f t="shared" si="160"/>
        <v>CSR30</v>
      </c>
      <c r="E268" s="449" t="str">
        <f t="shared" si="161"/>
        <v>KUCSR781</v>
      </c>
      <c r="F268" s="450">
        <f t="shared" si="162"/>
        <v>0</v>
      </c>
      <c r="G268" s="450">
        <v>0</v>
      </c>
      <c r="H268" s="450">
        <v>0</v>
      </c>
      <c r="I268" s="450">
        <v>0</v>
      </c>
      <c r="J268" s="450">
        <f t="shared" si="163"/>
        <v>0</v>
      </c>
      <c r="K268" s="482">
        <f t="shared" si="164"/>
        <v>0</v>
      </c>
      <c r="L268" s="482">
        <f t="shared" si="165"/>
        <v>0</v>
      </c>
      <c r="M268" s="482">
        <f t="shared" si="166"/>
        <v>0</v>
      </c>
      <c r="N268" s="482">
        <f t="shared" si="167"/>
        <v>0</v>
      </c>
      <c r="O268" s="482">
        <f t="shared" si="168"/>
        <v>0</v>
      </c>
      <c r="P268" s="482">
        <f t="shared" si="169"/>
        <v>0</v>
      </c>
      <c r="Q268" s="451">
        <f t="shared" si="170"/>
        <v>0</v>
      </c>
      <c r="R268" s="452">
        <f t="shared" si="171"/>
        <v>0</v>
      </c>
      <c r="S268" s="452">
        <v>0</v>
      </c>
      <c r="T268" s="452">
        <v>0</v>
      </c>
      <c r="U268" s="452">
        <f t="shared" si="172"/>
        <v>0</v>
      </c>
      <c r="V268" s="451">
        <f t="shared" si="173"/>
        <v>-4.4000000000000004</v>
      </c>
      <c r="W268" s="451">
        <f t="shared" si="174"/>
        <v>0</v>
      </c>
      <c r="X268" s="451">
        <f t="shared" si="175"/>
        <v>0</v>
      </c>
      <c r="Y268" s="453">
        <f t="shared" si="176"/>
        <v>0</v>
      </c>
      <c r="Z268" s="453">
        <f t="shared" si="177"/>
        <v>0</v>
      </c>
      <c r="AA268" s="453">
        <f t="shared" si="178"/>
        <v>0</v>
      </c>
      <c r="AB268" s="453">
        <f t="shared" si="179"/>
        <v>0</v>
      </c>
      <c r="AC268" s="453">
        <f t="shared" si="180"/>
        <v>0</v>
      </c>
      <c r="AD268" s="453">
        <f t="shared" si="181"/>
        <v>0</v>
      </c>
      <c r="AE268" s="493">
        <f t="shared" si="182"/>
        <v>0</v>
      </c>
      <c r="AF268" s="453">
        <f t="shared" si="183"/>
        <v>0</v>
      </c>
      <c r="AG268" s="494">
        <f t="shared" si="184"/>
        <v>1</v>
      </c>
      <c r="AH268" s="454">
        <f t="shared" si="185"/>
        <v>0</v>
      </c>
      <c r="AI268" s="454">
        <f t="shared" si="186"/>
        <v>0</v>
      </c>
      <c r="AJ268" s="454">
        <f t="shared" si="187"/>
        <v>0</v>
      </c>
      <c r="AK268" s="454">
        <f t="shared" si="188"/>
        <v>0</v>
      </c>
      <c r="AL268" s="454">
        <f t="shared" si="189"/>
        <v>0</v>
      </c>
      <c r="AM268" s="454">
        <f t="shared" si="190"/>
        <v>0</v>
      </c>
      <c r="AN268" s="491">
        <f t="shared" si="191"/>
        <v>0</v>
      </c>
      <c r="AO268" s="487">
        <f t="shared" si="192"/>
        <v>0</v>
      </c>
      <c r="AP268" s="495">
        <f t="shared" si="193"/>
        <v>0</v>
      </c>
      <c r="AQ268" s="510">
        <f t="shared" si="194"/>
        <v>0</v>
      </c>
      <c r="AV268" s="459">
        <f>IF(BA268&gt;BA264,AV264,IF(AV264&lt;MiscData!$F$1,EOMONTH(AV264,1),EOMONTH(AV264,-11)))</f>
        <v>42216</v>
      </c>
      <c r="AW268" s="448" t="str">
        <f t="shared" si="195"/>
        <v>20140101KUCSR781</v>
      </c>
      <c r="AX268" s="457" t="str">
        <f t="shared" si="196"/>
        <v>20140101CSR30</v>
      </c>
      <c r="AY268" s="439">
        <f>IF(AV268&lt;=MiscData!$B$23,MiscData!$C$23,IF(AV268&lt;=MiscData!$B$24,MiscData!$C$24,MiscData!$C$25))</f>
        <v>20140101</v>
      </c>
      <c r="AZ268" s="439" t="str">
        <f>VLOOKUP(BA268,MiscData!$V$4:$W$42,2,FALSE)</f>
        <v>KUCSR781</v>
      </c>
      <c r="BA268" s="439">
        <f>IF(BA267=MiscData!$V$42,1,BA267+1)</f>
        <v>31</v>
      </c>
      <c r="BB268" s="439" t="str">
        <f>VLOOKUP(AZ268,MiscData!$W$4:$Y$42,3,FALSE)</f>
        <v>CSR30</v>
      </c>
    </row>
    <row r="269" spans="1:54" hidden="1">
      <c r="A269" s="499">
        <f>A265+1</f>
        <v>245</v>
      </c>
      <c r="B269" s="448" t="str">
        <f t="shared" si="159"/>
        <v>Jul 2015</v>
      </c>
      <c r="C269" s="448" t="s">
        <v>1472</v>
      </c>
      <c r="D269" s="449" t="str">
        <f t="shared" si="160"/>
        <v>CSR30</v>
      </c>
      <c r="E269" s="449" t="str">
        <f t="shared" si="161"/>
        <v>KUCSR783</v>
      </c>
      <c r="F269" s="450">
        <f t="shared" si="162"/>
        <v>0</v>
      </c>
      <c r="G269" s="450">
        <v>0</v>
      </c>
      <c r="H269" s="450">
        <v>0</v>
      </c>
      <c r="I269" s="450">
        <v>0</v>
      </c>
      <c r="J269" s="450">
        <f t="shared" si="163"/>
        <v>0</v>
      </c>
      <c r="K269" s="482">
        <f t="shared" si="164"/>
        <v>0</v>
      </c>
      <c r="L269" s="482">
        <f t="shared" si="165"/>
        <v>0</v>
      </c>
      <c r="M269" s="482">
        <f t="shared" si="166"/>
        <v>0</v>
      </c>
      <c r="N269" s="482">
        <f t="shared" si="167"/>
        <v>0</v>
      </c>
      <c r="O269" s="482">
        <f t="shared" si="168"/>
        <v>0</v>
      </c>
      <c r="P269" s="482">
        <f t="shared" si="169"/>
        <v>0</v>
      </c>
      <c r="Q269" s="451">
        <f t="shared" si="170"/>
        <v>0</v>
      </c>
      <c r="R269" s="452">
        <f t="shared" si="171"/>
        <v>0</v>
      </c>
      <c r="S269" s="452">
        <v>0</v>
      </c>
      <c r="T269" s="452">
        <v>0</v>
      </c>
      <c r="U269" s="452">
        <f t="shared" si="172"/>
        <v>0</v>
      </c>
      <c r="V269" s="451">
        <f t="shared" si="173"/>
        <v>-4.4000000000000004</v>
      </c>
      <c r="W269" s="451">
        <f t="shared" si="174"/>
        <v>0</v>
      </c>
      <c r="X269" s="451">
        <f t="shared" si="175"/>
        <v>0</v>
      </c>
      <c r="Y269" s="453">
        <f t="shared" si="176"/>
        <v>0</v>
      </c>
      <c r="Z269" s="453">
        <f t="shared" si="177"/>
        <v>0</v>
      </c>
      <c r="AA269" s="453">
        <f t="shared" si="178"/>
        <v>0</v>
      </c>
      <c r="AB269" s="453">
        <f t="shared" si="179"/>
        <v>0</v>
      </c>
      <c r="AC269" s="453">
        <f t="shared" si="180"/>
        <v>0</v>
      </c>
      <c r="AD269" s="453">
        <f t="shared" si="181"/>
        <v>0</v>
      </c>
      <c r="AE269" s="493">
        <f t="shared" si="182"/>
        <v>0</v>
      </c>
      <c r="AF269" s="453">
        <f t="shared" si="183"/>
        <v>0</v>
      </c>
      <c r="AG269" s="494">
        <f t="shared" si="184"/>
        <v>1</v>
      </c>
      <c r="AH269" s="454">
        <f t="shared" si="185"/>
        <v>0</v>
      </c>
      <c r="AI269" s="454">
        <f t="shared" si="186"/>
        <v>0</v>
      </c>
      <c r="AJ269" s="454">
        <f t="shared" si="187"/>
        <v>0</v>
      </c>
      <c r="AK269" s="454">
        <f t="shared" si="188"/>
        <v>0</v>
      </c>
      <c r="AL269" s="454">
        <f t="shared" si="189"/>
        <v>0</v>
      </c>
      <c r="AM269" s="454">
        <f t="shared" si="190"/>
        <v>0</v>
      </c>
      <c r="AN269" s="491">
        <f t="shared" si="191"/>
        <v>0</v>
      </c>
      <c r="AO269" s="487">
        <f t="shared" si="192"/>
        <v>0</v>
      </c>
      <c r="AP269" s="495">
        <f t="shared" si="193"/>
        <v>0</v>
      </c>
      <c r="AQ269" s="510">
        <f t="shared" si="194"/>
        <v>0</v>
      </c>
      <c r="AV269" s="459">
        <f>IF(BA269&gt;BA265,AV265,IF(AV265&lt;MiscData!$F$1,EOMONTH(AV265,1),EOMONTH(AV265,-11)))</f>
        <v>42216</v>
      </c>
      <c r="AW269" s="448" t="str">
        <f t="shared" si="195"/>
        <v>20140101KUCSR783</v>
      </c>
      <c r="AX269" s="457" t="str">
        <f t="shared" si="196"/>
        <v>20140101CSR30</v>
      </c>
      <c r="AY269" s="439">
        <f>IF(AV269&lt;=MiscData!$B$23,MiscData!$C$23,IF(AV269&lt;=MiscData!$B$24,MiscData!$C$24,MiscData!$C$25))</f>
        <v>20140101</v>
      </c>
      <c r="AZ269" s="439" t="str">
        <f>VLOOKUP(BA269,MiscData!$V$4:$W$42,2,FALSE)</f>
        <v>KUCSR783</v>
      </c>
      <c r="BA269" s="439">
        <f>IF(BA268=MiscData!$V$42,1,BA268+1)</f>
        <v>32</v>
      </c>
      <c r="BB269" s="439" t="str">
        <f>VLOOKUP(AZ269,MiscData!$W$4:$Y$42,3,FALSE)</f>
        <v>CSR30</v>
      </c>
    </row>
    <row r="270" spans="1:54" hidden="1">
      <c r="A270" s="499">
        <f t="shared" ref="A270:A304" si="197">A269+1</f>
        <v>246</v>
      </c>
      <c r="B270" s="448" t="str">
        <f t="shared" si="159"/>
        <v>Jul 2015</v>
      </c>
      <c r="C270" s="832" t="s">
        <v>642</v>
      </c>
      <c r="D270" s="449" t="str">
        <f t="shared" si="160"/>
        <v>FLST</v>
      </c>
      <c r="E270" s="449" t="str">
        <f t="shared" si="161"/>
        <v>KUINE730</v>
      </c>
      <c r="F270" s="450">
        <f t="shared" si="162"/>
        <v>1</v>
      </c>
      <c r="G270" s="450">
        <v>0</v>
      </c>
      <c r="H270" s="450">
        <v>0</v>
      </c>
      <c r="I270" s="450">
        <v>0</v>
      </c>
      <c r="J270" s="450">
        <f t="shared" si="163"/>
        <v>44549469</v>
      </c>
      <c r="K270" s="482">
        <f t="shared" si="164"/>
        <v>185158</v>
      </c>
      <c r="L270" s="482">
        <f t="shared" si="165"/>
        <v>185158</v>
      </c>
      <c r="M270" s="482">
        <f t="shared" si="166"/>
        <v>101388</v>
      </c>
      <c r="N270" s="482">
        <f t="shared" si="167"/>
        <v>0</v>
      </c>
      <c r="O270" s="482">
        <f t="shared" si="168"/>
        <v>0</v>
      </c>
      <c r="P270" s="482">
        <f t="shared" si="169"/>
        <v>0</v>
      </c>
      <c r="Q270" s="451">
        <f t="shared" si="170"/>
        <v>750</v>
      </c>
      <c r="R270" s="452">
        <f t="shared" si="171"/>
        <v>3.261E-2</v>
      </c>
      <c r="S270" s="452">
        <v>0</v>
      </c>
      <c r="T270" s="452">
        <v>0</v>
      </c>
      <c r="U270" s="452">
        <f t="shared" si="172"/>
        <v>2.8920000000000001E-2</v>
      </c>
      <c r="V270" s="451">
        <f t="shared" si="173"/>
        <v>1.05</v>
      </c>
      <c r="W270" s="451">
        <f t="shared" si="174"/>
        <v>1.52</v>
      </c>
      <c r="X270" s="451">
        <f t="shared" si="175"/>
        <v>2.41</v>
      </c>
      <c r="Y270" s="453">
        <f t="shared" si="176"/>
        <v>750</v>
      </c>
      <c r="Z270" s="453">
        <f t="shared" si="177"/>
        <v>1452758.18</v>
      </c>
      <c r="AA270" s="453">
        <f t="shared" si="178"/>
        <v>194415.9</v>
      </c>
      <c r="AB270" s="453">
        <f t="shared" si="179"/>
        <v>281440.15999999997</v>
      </c>
      <c r="AC270" s="453">
        <f t="shared" si="180"/>
        <v>244345.08</v>
      </c>
      <c r="AD270" s="453">
        <f t="shared" si="181"/>
        <v>720201.1399999999</v>
      </c>
      <c r="AE270" s="493">
        <f t="shared" si="182"/>
        <v>2173709.3199999998</v>
      </c>
      <c r="AF270" s="453">
        <f t="shared" si="183"/>
        <v>2173708</v>
      </c>
      <c r="AG270" s="494">
        <f t="shared" si="184"/>
        <v>0.99999939274309235</v>
      </c>
      <c r="AH270" s="454">
        <f t="shared" si="185"/>
        <v>87407</v>
      </c>
      <c r="AI270" s="454">
        <f t="shared" si="186"/>
        <v>0</v>
      </c>
      <c r="AJ270" s="454">
        <f t="shared" si="187"/>
        <v>191125</v>
      </c>
      <c r="AK270" s="454">
        <f t="shared" si="188"/>
        <v>0</v>
      </c>
      <c r="AL270" s="454">
        <f t="shared" si="189"/>
        <v>0</v>
      </c>
      <c r="AM270" s="454">
        <f t="shared" si="190"/>
        <v>2452240</v>
      </c>
      <c r="AN270" s="491">
        <f t="shared" si="191"/>
        <v>2452241.3199999998</v>
      </c>
      <c r="AO270" s="487">
        <f t="shared" si="192"/>
        <v>-1.3199999998323619</v>
      </c>
      <c r="AP270" s="495">
        <f t="shared" si="193"/>
        <v>1288370.6399999999</v>
      </c>
      <c r="AQ270" s="510">
        <f t="shared" si="194"/>
        <v>164387.54000000004</v>
      </c>
      <c r="AV270" s="459">
        <f>IF(BA270&gt;BA269,AV269,IF(AV269&lt;MiscData!$F$1,EOMONTH(AV269,1),EOMONTH(AV269,-11)))</f>
        <v>42216</v>
      </c>
      <c r="AW270" s="448" t="str">
        <f t="shared" si="195"/>
        <v>20140101KUINE730</v>
      </c>
      <c r="AX270" s="457" t="str">
        <f t="shared" si="196"/>
        <v>20140101FLST</v>
      </c>
      <c r="AY270" s="439">
        <f>IF(AV270&lt;=MiscData!$B$23,MiscData!$C$23,IF(AV270&lt;=MiscData!$B$24,MiscData!$C$24,MiscData!$C$25))</f>
        <v>20140101</v>
      </c>
      <c r="AZ270" s="439" t="str">
        <f>VLOOKUP(BA270,MiscData!$V$4:$W$42,2,FALSE)</f>
        <v>KUINE730</v>
      </c>
      <c r="BA270" s="439">
        <f>IF(BA269=MiscData!$V$42,1,BA269+1)</f>
        <v>33</v>
      </c>
      <c r="BB270" s="439" t="str">
        <f>VLOOKUP(AZ270,MiscData!$W$4:$Y$42,3,FALSE)</f>
        <v>FLST</v>
      </c>
    </row>
    <row r="271" spans="1:54" hidden="1">
      <c r="A271" s="448">
        <f t="shared" si="197"/>
        <v>247</v>
      </c>
      <c r="B271" s="448" t="str">
        <f t="shared" si="159"/>
        <v>Jul 2015</v>
      </c>
      <c r="C271" s="448" t="s">
        <v>14</v>
      </c>
      <c r="D271" s="449" t="str">
        <f t="shared" si="160"/>
        <v>RS</v>
      </c>
      <c r="E271" s="449" t="str">
        <f t="shared" si="161"/>
        <v>KURSE010</v>
      </c>
      <c r="F271" s="450">
        <f t="shared" si="162"/>
        <v>429309</v>
      </c>
      <c r="G271" s="450">
        <v>0</v>
      </c>
      <c r="H271" s="450">
        <v>0</v>
      </c>
      <c r="I271" s="450">
        <v>0</v>
      </c>
      <c r="J271" s="450">
        <f t="shared" si="163"/>
        <v>564329531</v>
      </c>
      <c r="K271" s="482">
        <f t="shared" si="164"/>
        <v>0</v>
      </c>
      <c r="L271" s="482">
        <f t="shared" si="165"/>
        <v>0</v>
      </c>
      <c r="M271" s="482">
        <f t="shared" si="166"/>
        <v>0</v>
      </c>
      <c r="N271" s="482">
        <f t="shared" si="167"/>
        <v>0</v>
      </c>
      <c r="O271" s="482">
        <f t="shared" si="168"/>
        <v>0</v>
      </c>
      <c r="P271" s="482">
        <f t="shared" si="169"/>
        <v>0</v>
      </c>
      <c r="Q271" s="451">
        <f t="shared" si="170"/>
        <v>10.75</v>
      </c>
      <c r="R271" s="452">
        <f t="shared" si="171"/>
        <v>7.7439999999999995E-2</v>
      </c>
      <c r="S271" s="452">
        <v>0</v>
      </c>
      <c r="T271" s="452">
        <v>0</v>
      </c>
      <c r="U271" s="452">
        <f t="shared" si="172"/>
        <v>2.8920000000000001E-2</v>
      </c>
      <c r="V271" s="451">
        <f t="shared" si="173"/>
        <v>0</v>
      </c>
      <c r="W271" s="451">
        <f t="shared" si="174"/>
        <v>0</v>
      </c>
      <c r="X271" s="451">
        <f t="shared" si="175"/>
        <v>0</v>
      </c>
      <c r="Y271" s="453">
        <f t="shared" si="176"/>
        <v>4615071.75</v>
      </c>
      <c r="Z271" s="453">
        <f t="shared" si="177"/>
        <v>43701678.880000003</v>
      </c>
      <c r="AA271" s="453">
        <f t="shared" si="178"/>
        <v>0</v>
      </c>
      <c r="AB271" s="453">
        <f t="shared" si="179"/>
        <v>0</v>
      </c>
      <c r="AC271" s="453">
        <f t="shared" si="180"/>
        <v>0</v>
      </c>
      <c r="AD271" s="453">
        <f t="shared" si="181"/>
        <v>0</v>
      </c>
      <c r="AE271" s="493">
        <f t="shared" si="182"/>
        <v>48316750.630000003</v>
      </c>
      <c r="AF271" s="453">
        <f t="shared" si="183"/>
        <v>48317381</v>
      </c>
      <c r="AG271" s="494">
        <f t="shared" si="184"/>
        <v>1.0000130466140993</v>
      </c>
      <c r="AH271" s="454">
        <f t="shared" si="185"/>
        <v>1107246</v>
      </c>
      <c r="AI271" s="454">
        <f t="shared" si="186"/>
        <v>830864</v>
      </c>
      <c r="AJ271" s="454">
        <f t="shared" si="187"/>
        <v>2421100</v>
      </c>
      <c r="AK271" s="454">
        <f t="shared" si="188"/>
        <v>0</v>
      </c>
      <c r="AL271" s="454">
        <f t="shared" si="189"/>
        <v>0</v>
      </c>
      <c r="AM271" s="454">
        <f t="shared" si="190"/>
        <v>52676591</v>
      </c>
      <c r="AN271" s="491">
        <f t="shared" si="191"/>
        <v>52675960.630000003</v>
      </c>
      <c r="AO271" s="487">
        <f t="shared" si="192"/>
        <v>630.36999999731779</v>
      </c>
      <c r="AP271" s="495">
        <f t="shared" si="193"/>
        <v>16320410.039999999</v>
      </c>
      <c r="AQ271" s="496">
        <f t="shared" si="194"/>
        <v>27381268.840000004</v>
      </c>
      <c r="AV271" s="459">
        <f>IF(BA271&gt;BA270,AV270,IF(AV270&lt;MiscData!$F$1,EOMONTH(AV270,1),EOMONTH(AV270,-11)))</f>
        <v>42216</v>
      </c>
      <c r="AW271" s="448" t="str">
        <f t="shared" si="195"/>
        <v>20140101KURSE010</v>
      </c>
      <c r="AX271" s="457" t="str">
        <f t="shared" si="196"/>
        <v>20140101RS</v>
      </c>
      <c r="AY271" s="439">
        <f>IF(AV271&lt;=MiscData!$B$23,MiscData!$C$23,IF(AV271&lt;=MiscData!$B$24,MiscData!$C$24,MiscData!$C$25))</f>
        <v>20140101</v>
      </c>
      <c r="AZ271" s="439" t="str">
        <f>VLOOKUP(BA271,MiscData!$V$4:$W$42,2,FALSE)</f>
        <v>KURSE010</v>
      </c>
      <c r="BA271" s="439">
        <f>IF(BA270=MiscData!$V$42,1,BA270+1)</f>
        <v>34</v>
      </c>
      <c r="BB271" s="439" t="str">
        <f>VLOOKUP(AZ271,MiscData!$W$4:$Y$42,3,FALSE)</f>
        <v>RS</v>
      </c>
    </row>
    <row r="272" spans="1:54" hidden="1">
      <c r="A272" s="448">
        <f t="shared" si="197"/>
        <v>248</v>
      </c>
      <c r="B272" s="448" t="str">
        <f t="shared" si="159"/>
        <v>Jul 2015</v>
      </c>
      <c r="C272" s="448" t="s">
        <v>14</v>
      </c>
      <c r="D272" s="449" t="str">
        <f t="shared" si="160"/>
        <v>RS</v>
      </c>
      <c r="E272" s="449" t="str">
        <f t="shared" si="161"/>
        <v>KURSE020</v>
      </c>
      <c r="F272" s="450">
        <f t="shared" si="162"/>
        <v>0</v>
      </c>
      <c r="G272" s="450">
        <v>0</v>
      </c>
      <c r="H272" s="450">
        <v>0</v>
      </c>
      <c r="I272" s="450">
        <v>0</v>
      </c>
      <c r="J272" s="450">
        <f t="shared" si="163"/>
        <v>0</v>
      </c>
      <c r="K272" s="482">
        <f t="shared" si="164"/>
        <v>0</v>
      </c>
      <c r="L272" s="482">
        <f t="shared" si="165"/>
        <v>0</v>
      </c>
      <c r="M272" s="482">
        <f t="shared" si="166"/>
        <v>0</v>
      </c>
      <c r="N272" s="482">
        <f t="shared" si="167"/>
        <v>0</v>
      </c>
      <c r="O272" s="482">
        <f t="shared" si="168"/>
        <v>0</v>
      </c>
      <c r="P272" s="482">
        <f t="shared" si="169"/>
        <v>0</v>
      </c>
      <c r="Q272" s="451">
        <f t="shared" si="170"/>
        <v>10.75</v>
      </c>
      <c r="R272" s="452">
        <f t="shared" si="171"/>
        <v>7.7439999999999995E-2</v>
      </c>
      <c r="S272" s="452">
        <v>0</v>
      </c>
      <c r="T272" s="452">
        <v>0</v>
      </c>
      <c r="U272" s="452">
        <f t="shared" si="172"/>
        <v>2.8920000000000001E-2</v>
      </c>
      <c r="V272" s="451">
        <f t="shared" si="173"/>
        <v>0</v>
      </c>
      <c r="W272" s="451">
        <f t="shared" si="174"/>
        <v>0</v>
      </c>
      <c r="X272" s="451">
        <f t="shared" si="175"/>
        <v>0</v>
      </c>
      <c r="Y272" s="453">
        <f t="shared" si="176"/>
        <v>0</v>
      </c>
      <c r="Z272" s="453">
        <f t="shared" si="177"/>
        <v>0</v>
      </c>
      <c r="AA272" s="453">
        <f t="shared" si="178"/>
        <v>0</v>
      </c>
      <c r="AB272" s="453">
        <f t="shared" si="179"/>
        <v>0</v>
      </c>
      <c r="AC272" s="453">
        <f t="shared" si="180"/>
        <v>0</v>
      </c>
      <c r="AD272" s="453">
        <f t="shared" si="181"/>
        <v>0</v>
      </c>
      <c r="AE272" s="493">
        <f t="shared" si="182"/>
        <v>0</v>
      </c>
      <c r="AF272" s="453">
        <f t="shared" si="183"/>
        <v>0</v>
      </c>
      <c r="AG272" s="494">
        <f t="shared" si="184"/>
        <v>1</v>
      </c>
      <c r="AH272" s="454">
        <f t="shared" si="185"/>
        <v>0</v>
      </c>
      <c r="AI272" s="454">
        <f t="shared" si="186"/>
        <v>0</v>
      </c>
      <c r="AJ272" s="454">
        <f t="shared" si="187"/>
        <v>0</v>
      </c>
      <c r="AK272" s="454">
        <f t="shared" si="188"/>
        <v>0</v>
      </c>
      <c r="AL272" s="454">
        <f t="shared" si="189"/>
        <v>0</v>
      </c>
      <c r="AM272" s="454">
        <f t="shared" si="190"/>
        <v>0</v>
      </c>
      <c r="AN272" s="491">
        <f t="shared" si="191"/>
        <v>0</v>
      </c>
      <c r="AO272" s="487">
        <f t="shared" si="192"/>
        <v>0</v>
      </c>
      <c r="AP272" s="495">
        <f t="shared" si="193"/>
        <v>0</v>
      </c>
      <c r="AQ272" s="496">
        <f t="shared" si="194"/>
        <v>0</v>
      </c>
      <c r="AV272" s="459">
        <f>IF(BA272&gt;BA271,AV271,IF(AV271&lt;MiscData!$F$1,EOMONTH(AV271,1),EOMONTH(AV271,-11)))</f>
        <v>42216</v>
      </c>
      <c r="AW272" s="448" t="str">
        <f t="shared" si="195"/>
        <v>20140101KURSE020</v>
      </c>
      <c r="AX272" s="457" t="str">
        <f t="shared" si="196"/>
        <v>20140101RS</v>
      </c>
      <c r="AY272" s="439">
        <f>IF(AV272&lt;=MiscData!$B$23,MiscData!$C$23,IF(AV272&lt;=MiscData!$B$24,MiscData!$C$24,MiscData!$C$25))</f>
        <v>20140101</v>
      </c>
      <c r="AZ272" s="439" t="str">
        <f>VLOOKUP(BA272,MiscData!$V$4:$W$42,2,FALSE)</f>
        <v>KURSE020</v>
      </c>
      <c r="BA272" s="439">
        <f>IF(BA271=MiscData!$V$42,1,BA271+1)</f>
        <v>35</v>
      </c>
      <c r="BB272" s="439" t="str">
        <f>VLOOKUP(AZ272,MiscData!$W$4:$Y$42,3,FALSE)</f>
        <v>RS</v>
      </c>
    </row>
    <row r="273" spans="1:55" hidden="1">
      <c r="A273" s="448">
        <f t="shared" si="197"/>
        <v>249</v>
      </c>
      <c r="B273" s="448" t="str">
        <f t="shared" si="159"/>
        <v>Jul 2015</v>
      </c>
      <c r="C273" s="448" t="s">
        <v>14</v>
      </c>
      <c r="D273" s="449" t="str">
        <f t="shared" si="160"/>
        <v>RS</v>
      </c>
      <c r="E273" s="449" t="str">
        <f t="shared" si="161"/>
        <v>KURSE025</v>
      </c>
      <c r="F273" s="450">
        <f t="shared" si="162"/>
        <v>0</v>
      </c>
      <c r="G273" s="450">
        <v>0</v>
      </c>
      <c r="H273" s="450">
        <v>0</v>
      </c>
      <c r="I273" s="450">
        <v>0</v>
      </c>
      <c r="J273" s="450">
        <f t="shared" si="163"/>
        <v>0</v>
      </c>
      <c r="K273" s="482">
        <f t="shared" si="164"/>
        <v>0</v>
      </c>
      <c r="L273" s="482">
        <f t="shared" si="165"/>
        <v>0</v>
      </c>
      <c r="M273" s="482">
        <f t="shared" si="166"/>
        <v>0</v>
      </c>
      <c r="N273" s="482">
        <f t="shared" si="167"/>
        <v>0</v>
      </c>
      <c r="O273" s="482">
        <f t="shared" si="168"/>
        <v>0</v>
      </c>
      <c r="P273" s="482">
        <f t="shared" si="169"/>
        <v>0</v>
      </c>
      <c r="Q273" s="451">
        <f t="shared" si="170"/>
        <v>10.75</v>
      </c>
      <c r="R273" s="452">
        <f t="shared" si="171"/>
        <v>7.7439999999999995E-2</v>
      </c>
      <c r="S273" s="452">
        <v>0</v>
      </c>
      <c r="T273" s="452">
        <v>0</v>
      </c>
      <c r="U273" s="452">
        <f t="shared" si="172"/>
        <v>2.8920000000000001E-2</v>
      </c>
      <c r="V273" s="451">
        <f t="shared" si="173"/>
        <v>0</v>
      </c>
      <c r="W273" s="451">
        <f t="shared" si="174"/>
        <v>0</v>
      </c>
      <c r="X273" s="451">
        <f t="shared" si="175"/>
        <v>0</v>
      </c>
      <c r="Y273" s="453">
        <f t="shared" si="176"/>
        <v>0</v>
      </c>
      <c r="Z273" s="453">
        <f t="shared" si="177"/>
        <v>0</v>
      </c>
      <c r="AA273" s="453">
        <f t="shared" si="178"/>
        <v>0</v>
      </c>
      <c r="AB273" s="453">
        <f t="shared" si="179"/>
        <v>0</v>
      </c>
      <c r="AC273" s="453">
        <f t="shared" si="180"/>
        <v>0</v>
      </c>
      <c r="AD273" s="453">
        <f t="shared" si="181"/>
        <v>0</v>
      </c>
      <c r="AE273" s="493">
        <f t="shared" si="182"/>
        <v>0</v>
      </c>
      <c r="AF273" s="453">
        <f t="shared" si="183"/>
        <v>0</v>
      </c>
      <c r="AG273" s="494">
        <f t="shared" si="184"/>
        <v>1</v>
      </c>
      <c r="AH273" s="454">
        <f t="shared" si="185"/>
        <v>0</v>
      </c>
      <c r="AI273" s="454">
        <f t="shared" si="186"/>
        <v>0</v>
      </c>
      <c r="AJ273" s="454">
        <f t="shared" si="187"/>
        <v>0</v>
      </c>
      <c r="AK273" s="454">
        <f t="shared" si="188"/>
        <v>0</v>
      </c>
      <c r="AL273" s="454">
        <f t="shared" si="189"/>
        <v>0</v>
      </c>
      <c r="AM273" s="454">
        <f t="shared" si="190"/>
        <v>0</v>
      </c>
      <c r="AN273" s="491">
        <f t="shared" si="191"/>
        <v>0</v>
      </c>
      <c r="AO273" s="487">
        <f t="shared" si="192"/>
        <v>0</v>
      </c>
      <c r="AP273" s="495">
        <f t="shared" si="193"/>
        <v>0</v>
      </c>
      <c r="AQ273" s="496">
        <f t="shared" si="194"/>
        <v>0</v>
      </c>
      <c r="AV273" s="459">
        <f>IF(BA273&gt;BA272,AV272,IF(AV272&lt;MiscData!$F$1,EOMONTH(AV272,1),EOMONTH(AV272,-11)))</f>
        <v>42216</v>
      </c>
      <c r="AW273" s="448" t="str">
        <f t="shared" si="195"/>
        <v>20140101KURSE025</v>
      </c>
      <c r="AX273" s="457" t="str">
        <f t="shared" si="196"/>
        <v>20140101RS</v>
      </c>
      <c r="AY273" s="439">
        <f>IF(AV273&lt;=MiscData!$B$23,MiscData!$C$23,IF(AV273&lt;=MiscData!$B$24,MiscData!$C$24,MiscData!$C$25))</f>
        <v>20140101</v>
      </c>
      <c r="AZ273" s="439" t="str">
        <f>VLOOKUP(BA273,MiscData!$V$4:$W$42,2,FALSE)</f>
        <v>KURSE025</v>
      </c>
      <c r="BA273" s="439">
        <f>IF(BA272=MiscData!$V$42,1,BA272+1)</f>
        <v>36</v>
      </c>
      <c r="BB273" s="439" t="str">
        <f>VLOOKUP(AZ273,MiscData!$W$4:$Y$42,3,FALSE)</f>
        <v>RS</v>
      </c>
    </row>
    <row r="274" spans="1:55" hidden="1">
      <c r="A274" s="448">
        <f t="shared" si="197"/>
        <v>250</v>
      </c>
      <c r="B274" s="448" t="str">
        <f t="shared" si="159"/>
        <v>Jul 2015</v>
      </c>
      <c r="C274" s="448" t="s">
        <v>828</v>
      </c>
      <c r="D274" s="449" t="str">
        <f t="shared" si="160"/>
        <v>RSLEV</v>
      </c>
      <c r="E274" s="449" t="str">
        <f t="shared" si="161"/>
        <v>KURSE040</v>
      </c>
      <c r="F274" s="450">
        <f t="shared" si="162"/>
        <v>7</v>
      </c>
      <c r="G274" s="450">
        <f>SUMIFS(_1022_KWH_P1,_1022_RevenueMonth,$B274,_1022_RateCategory,$E274)</f>
        <v>5297</v>
      </c>
      <c r="H274" s="450">
        <f>SUMIFS(_1022_KWH_P2,_1022_RevenueMonth,$B274,_1022_RateCategory,$E274)</f>
        <v>1092</v>
      </c>
      <c r="I274" s="450">
        <f>SUMIFS(_1022_KWH_P3,_1022_RevenueMonth,$B274,_1022_RateCategory,$E274)</f>
        <v>767</v>
      </c>
      <c r="J274" s="450">
        <f t="shared" si="163"/>
        <v>7156</v>
      </c>
      <c r="K274" s="482">
        <f t="shared" si="164"/>
        <v>0</v>
      </c>
      <c r="L274" s="482">
        <f t="shared" si="165"/>
        <v>0</v>
      </c>
      <c r="M274" s="482">
        <f t="shared" si="166"/>
        <v>0</v>
      </c>
      <c r="N274" s="482">
        <f t="shared" si="167"/>
        <v>0</v>
      </c>
      <c r="O274" s="482">
        <f t="shared" si="168"/>
        <v>0</v>
      </c>
      <c r="P274" s="482">
        <f t="shared" si="169"/>
        <v>0</v>
      </c>
      <c r="Q274" s="451">
        <f t="shared" si="170"/>
        <v>10.75</v>
      </c>
      <c r="R274" s="452">
        <f t="shared" si="171"/>
        <v>5.5870000000000003E-2</v>
      </c>
      <c r="S274" s="452">
        <f>SUMIF(_Rates_Tariff_Category,$AW274,_Rates_Energy_P2)</f>
        <v>7.7630000000000005E-2</v>
      </c>
      <c r="T274" s="452">
        <f>SUMIF(_Rates_Tariff_Category,$AW274,_Rates_Energy_P3)</f>
        <v>0.14297000000000001</v>
      </c>
      <c r="U274" s="452">
        <f t="shared" si="172"/>
        <v>2.8920000000000001E-2</v>
      </c>
      <c r="V274" s="451">
        <f t="shared" si="173"/>
        <v>0</v>
      </c>
      <c r="W274" s="451">
        <f t="shared" si="174"/>
        <v>0</v>
      </c>
      <c r="X274" s="451">
        <f t="shared" si="175"/>
        <v>0</v>
      </c>
      <c r="Y274" s="453">
        <f t="shared" si="176"/>
        <v>75.25</v>
      </c>
      <c r="Z274" s="453">
        <f t="shared" si="177"/>
        <v>490.37</v>
      </c>
      <c r="AA274" s="453">
        <f t="shared" si="178"/>
        <v>0</v>
      </c>
      <c r="AB274" s="453">
        <f t="shared" si="179"/>
        <v>0</v>
      </c>
      <c r="AC274" s="453">
        <f t="shared" si="180"/>
        <v>0</v>
      </c>
      <c r="AD274" s="453">
        <f t="shared" si="181"/>
        <v>0</v>
      </c>
      <c r="AE274" s="493">
        <f t="shared" si="182"/>
        <v>565.62</v>
      </c>
      <c r="AF274" s="453">
        <f t="shared" si="183"/>
        <v>0</v>
      </c>
      <c r="AG274" s="494">
        <f t="shared" si="184"/>
        <v>0</v>
      </c>
      <c r="AH274" s="454">
        <f t="shared" si="185"/>
        <v>0</v>
      </c>
      <c r="AI274" s="454">
        <f t="shared" si="186"/>
        <v>0</v>
      </c>
      <c r="AJ274" s="454">
        <f t="shared" si="187"/>
        <v>0</v>
      </c>
      <c r="AK274" s="454">
        <f t="shared" si="188"/>
        <v>0</v>
      </c>
      <c r="AL274" s="454">
        <f t="shared" si="189"/>
        <v>0</v>
      </c>
      <c r="AM274" s="454">
        <f t="shared" si="190"/>
        <v>0</v>
      </c>
      <c r="AN274" s="491">
        <f t="shared" si="191"/>
        <v>565.62</v>
      </c>
      <c r="AO274" s="487">
        <f t="shared" si="192"/>
        <v>-565.62</v>
      </c>
      <c r="AP274" s="495">
        <f t="shared" si="193"/>
        <v>206.95</v>
      </c>
      <c r="AQ274" s="496">
        <f t="shared" si="194"/>
        <v>283.42</v>
      </c>
      <c r="AV274" s="459">
        <f>IF(BA274&gt;BA273,AV273,IF(AV273&lt;MiscData!$F$1,EOMONTH(AV273,1),EOMONTH(AV273,-11)))</f>
        <v>42216</v>
      </c>
      <c r="AW274" s="448" t="str">
        <f t="shared" si="195"/>
        <v>20140101KURSE040</v>
      </c>
      <c r="AX274" s="457" t="str">
        <f t="shared" si="196"/>
        <v>20140101RSLEV</v>
      </c>
      <c r="AY274" s="439">
        <f>IF(AV274&lt;=MiscData!$B$23,MiscData!$C$23,IF(AV274&lt;=MiscData!$B$24,MiscData!$C$24,MiscData!$C$25))</f>
        <v>20140101</v>
      </c>
      <c r="AZ274" s="439" t="str">
        <f>VLOOKUP(BA274,MiscData!$V$4:$W$42,2,FALSE)</f>
        <v>KURSE040</v>
      </c>
      <c r="BA274" s="439">
        <f>IF(BA273=MiscData!$V$42,1,BA273+1)</f>
        <v>37</v>
      </c>
      <c r="BB274" s="439" t="str">
        <f>VLOOKUP(AZ274,MiscData!$W$4:$Y$42,3,FALSE)</f>
        <v>RSLEV</v>
      </c>
    </row>
    <row r="275" spans="1:55" hidden="1">
      <c r="A275" s="448">
        <f t="shared" si="197"/>
        <v>251</v>
      </c>
      <c r="B275" s="448" t="str">
        <f t="shared" si="159"/>
        <v>Jul 2015</v>
      </c>
      <c r="C275" s="448" t="s">
        <v>14</v>
      </c>
      <c r="D275" s="449" t="str">
        <f t="shared" si="160"/>
        <v>RSVFD</v>
      </c>
      <c r="E275" s="449" t="str">
        <f t="shared" si="161"/>
        <v>KURSE080</v>
      </c>
      <c r="F275" s="450">
        <f t="shared" si="162"/>
        <v>0</v>
      </c>
      <c r="G275" s="450">
        <v>0</v>
      </c>
      <c r="H275" s="450">
        <v>0</v>
      </c>
      <c r="I275" s="450">
        <v>0</v>
      </c>
      <c r="J275" s="450">
        <f t="shared" si="163"/>
        <v>0</v>
      </c>
      <c r="K275" s="482">
        <f t="shared" si="164"/>
        <v>0</v>
      </c>
      <c r="L275" s="482">
        <f t="shared" si="165"/>
        <v>0</v>
      </c>
      <c r="M275" s="482">
        <f t="shared" si="166"/>
        <v>0</v>
      </c>
      <c r="N275" s="482">
        <f t="shared" si="167"/>
        <v>0</v>
      </c>
      <c r="O275" s="482">
        <f t="shared" si="168"/>
        <v>0</v>
      </c>
      <c r="P275" s="482">
        <f t="shared" si="169"/>
        <v>0</v>
      </c>
      <c r="Q275" s="451">
        <f t="shared" si="170"/>
        <v>10.75</v>
      </c>
      <c r="R275" s="452">
        <f t="shared" si="171"/>
        <v>7.7439999999999995E-2</v>
      </c>
      <c r="S275" s="452">
        <v>0</v>
      </c>
      <c r="T275" s="452">
        <v>0</v>
      </c>
      <c r="U275" s="452">
        <f t="shared" si="172"/>
        <v>2.8920000000000001E-2</v>
      </c>
      <c r="V275" s="451">
        <f t="shared" si="173"/>
        <v>0</v>
      </c>
      <c r="W275" s="451">
        <f t="shared" si="174"/>
        <v>0</v>
      </c>
      <c r="X275" s="451">
        <f t="shared" si="175"/>
        <v>0</v>
      </c>
      <c r="Y275" s="453">
        <f t="shared" si="176"/>
        <v>0</v>
      </c>
      <c r="Z275" s="453">
        <f t="shared" si="177"/>
        <v>0</v>
      </c>
      <c r="AA275" s="453">
        <f t="shared" si="178"/>
        <v>0</v>
      </c>
      <c r="AB275" s="453">
        <f t="shared" si="179"/>
        <v>0</v>
      </c>
      <c r="AC275" s="453">
        <f t="shared" si="180"/>
        <v>0</v>
      </c>
      <c r="AD275" s="453">
        <f t="shared" si="181"/>
        <v>0</v>
      </c>
      <c r="AE275" s="493">
        <f t="shared" si="182"/>
        <v>0</v>
      </c>
      <c r="AF275" s="453">
        <f t="shared" si="183"/>
        <v>0</v>
      </c>
      <c r="AG275" s="494">
        <f t="shared" si="184"/>
        <v>1</v>
      </c>
      <c r="AH275" s="454">
        <f t="shared" si="185"/>
        <v>0</v>
      </c>
      <c r="AI275" s="454">
        <f t="shared" si="186"/>
        <v>0</v>
      </c>
      <c r="AJ275" s="454">
        <f t="shared" si="187"/>
        <v>0</v>
      </c>
      <c r="AK275" s="454">
        <f t="shared" si="188"/>
        <v>0</v>
      </c>
      <c r="AL275" s="454">
        <f t="shared" si="189"/>
        <v>0</v>
      </c>
      <c r="AM275" s="454">
        <f t="shared" si="190"/>
        <v>0</v>
      </c>
      <c r="AN275" s="491">
        <f t="shared" si="191"/>
        <v>0</v>
      </c>
      <c r="AO275" s="487">
        <f t="shared" si="192"/>
        <v>0</v>
      </c>
      <c r="AP275" s="495">
        <f t="shared" si="193"/>
        <v>0</v>
      </c>
      <c r="AQ275" s="496">
        <f t="shared" si="194"/>
        <v>0</v>
      </c>
      <c r="AV275" s="459">
        <f>IF(BA275&gt;BA274,AV274,IF(AV274&lt;MiscData!$F$1,EOMONTH(AV274,1),EOMONTH(AV274,-11)))</f>
        <v>42216</v>
      </c>
      <c r="AW275" s="448" t="str">
        <f t="shared" si="195"/>
        <v>20140101KURSE080</v>
      </c>
      <c r="AX275" s="457" t="str">
        <f t="shared" si="196"/>
        <v>20140101RSVFD</v>
      </c>
      <c r="AY275" s="439">
        <f>IF(AV275&lt;=MiscData!$B$23,MiscData!$C$23,IF(AV275&lt;=MiscData!$B$24,MiscData!$C$24,MiscData!$C$25))</f>
        <v>20140101</v>
      </c>
      <c r="AZ275" s="439" t="str">
        <f>VLOOKUP(BA275,MiscData!$V$4:$W$42,2,FALSE)</f>
        <v>KURSE080</v>
      </c>
      <c r="BA275" s="439">
        <f>IF(BA274=MiscData!$V$42,1,BA274+1)</f>
        <v>38</v>
      </c>
      <c r="BB275" s="439" t="str">
        <f>VLOOKUP(AZ275,MiscData!$W$4:$Y$42,3,FALSE)</f>
        <v>RSVFD</v>
      </c>
    </row>
    <row r="276" spans="1:55" s="511" customFormat="1" hidden="1">
      <c r="A276" s="499">
        <f t="shared" si="197"/>
        <v>252</v>
      </c>
      <c r="B276" s="499" t="str">
        <f t="shared" si="159"/>
        <v>Jul 2015</v>
      </c>
      <c r="C276" s="499" t="s">
        <v>14</v>
      </c>
      <c r="D276" s="500" t="str">
        <f t="shared" si="160"/>
        <v>RS</v>
      </c>
      <c r="E276" s="500" t="str">
        <f t="shared" si="161"/>
        <v>KURSE715</v>
      </c>
      <c r="F276" s="501">
        <f t="shared" si="162"/>
        <v>0</v>
      </c>
      <c r="G276" s="501">
        <v>0</v>
      </c>
      <c r="H276" s="501">
        <v>0</v>
      </c>
      <c r="I276" s="501">
        <v>0</v>
      </c>
      <c r="J276" s="501">
        <f t="shared" si="163"/>
        <v>0</v>
      </c>
      <c r="K276" s="502">
        <f t="shared" si="164"/>
        <v>0</v>
      </c>
      <c r="L276" s="502">
        <f t="shared" si="165"/>
        <v>0</v>
      </c>
      <c r="M276" s="502">
        <f t="shared" si="166"/>
        <v>0</v>
      </c>
      <c r="N276" s="502">
        <f t="shared" si="167"/>
        <v>0</v>
      </c>
      <c r="O276" s="502">
        <f t="shared" si="168"/>
        <v>0</v>
      </c>
      <c r="P276" s="502">
        <f t="shared" si="169"/>
        <v>0</v>
      </c>
      <c r="Q276" s="503">
        <f t="shared" si="170"/>
        <v>10.75</v>
      </c>
      <c r="R276" s="504">
        <f t="shared" si="171"/>
        <v>7.7439999999999995E-2</v>
      </c>
      <c r="S276" s="504">
        <v>0</v>
      </c>
      <c r="T276" s="504">
        <v>0</v>
      </c>
      <c r="U276" s="504">
        <f t="shared" si="172"/>
        <v>2.8920000000000001E-2</v>
      </c>
      <c r="V276" s="503">
        <f t="shared" si="173"/>
        <v>0</v>
      </c>
      <c r="W276" s="503">
        <f t="shared" si="174"/>
        <v>0</v>
      </c>
      <c r="X276" s="503">
        <f t="shared" si="175"/>
        <v>0</v>
      </c>
      <c r="Y276" s="453">
        <f t="shared" si="176"/>
        <v>0</v>
      </c>
      <c r="Z276" s="453">
        <f t="shared" si="177"/>
        <v>0</v>
      </c>
      <c r="AA276" s="453">
        <f t="shared" si="178"/>
        <v>0</v>
      </c>
      <c r="AB276" s="453">
        <f t="shared" si="179"/>
        <v>0</v>
      </c>
      <c r="AC276" s="453">
        <f t="shared" si="180"/>
        <v>0</v>
      </c>
      <c r="AD276" s="493">
        <f t="shared" si="181"/>
        <v>0</v>
      </c>
      <c r="AE276" s="493">
        <f t="shared" si="182"/>
        <v>0</v>
      </c>
      <c r="AF276" s="493">
        <f t="shared" si="183"/>
        <v>0</v>
      </c>
      <c r="AG276" s="494">
        <f t="shared" si="184"/>
        <v>1</v>
      </c>
      <c r="AH276" s="505">
        <f t="shared" si="185"/>
        <v>0</v>
      </c>
      <c r="AI276" s="505">
        <f t="shared" si="186"/>
        <v>0</v>
      </c>
      <c r="AJ276" s="505">
        <f t="shared" si="187"/>
        <v>0</v>
      </c>
      <c r="AK276" s="505">
        <f t="shared" si="188"/>
        <v>0</v>
      </c>
      <c r="AL276" s="505">
        <f t="shared" si="189"/>
        <v>0</v>
      </c>
      <c r="AM276" s="505">
        <f t="shared" si="190"/>
        <v>0</v>
      </c>
      <c r="AN276" s="506">
        <f t="shared" si="191"/>
        <v>0</v>
      </c>
      <c r="AO276" s="507">
        <f t="shared" si="192"/>
        <v>0</v>
      </c>
      <c r="AP276" s="508">
        <f t="shared" si="193"/>
        <v>0</v>
      </c>
      <c r="AQ276" s="510">
        <f t="shared" si="194"/>
        <v>0</v>
      </c>
      <c r="AV276" s="512">
        <f>IF(BA276&gt;BA275,AV275,IF(AV275&lt;MiscData!$F$1,EOMONTH(AV275,1),EOMONTH(AV275,-11)))</f>
        <v>42216</v>
      </c>
      <c r="AW276" s="499" t="str">
        <f t="shared" si="195"/>
        <v>20140101KURSE715</v>
      </c>
      <c r="AX276" s="513" t="str">
        <f t="shared" si="196"/>
        <v>20140101RS</v>
      </c>
      <c r="AY276" s="511">
        <f>IF(AV276&lt;=MiscData!$B$23,MiscData!$C$23,IF(AV276&lt;=MiscData!$B$24,MiscData!$C$24,MiscData!$C$25))</f>
        <v>20140101</v>
      </c>
      <c r="AZ276" s="511" t="str">
        <f>VLOOKUP(BA276,MiscData!$V$4:$W$42,2,FALSE)</f>
        <v>KURSE715</v>
      </c>
      <c r="BA276" s="439">
        <f>IF(BA275=MiscData!$V$42,1,BA275+1)</f>
        <v>39</v>
      </c>
      <c r="BB276" s="511" t="str">
        <f>VLOOKUP(AZ276,MiscData!$W$4:$Y$42,3,FALSE)</f>
        <v>RS</v>
      </c>
      <c r="BC276" s="777"/>
    </row>
    <row r="277" spans="1:55" hidden="1">
      <c r="A277" s="448">
        <f t="shared" si="197"/>
        <v>253</v>
      </c>
      <c r="B277" s="448" t="str">
        <f t="shared" si="159"/>
        <v>Aug 2015</v>
      </c>
      <c r="C277" s="448" t="s">
        <v>18</v>
      </c>
      <c r="D277" s="449" t="str">
        <f t="shared" si="160"/>
        <v>RTS</v>
      </c>
      <c r="E277" s="449" t="str">
        <f t="shared" si="161"/>
        <v>KUCIE550</v>
      </c>
      <c r="F277" s="450">
        <f t="shared" si="162"/>
        <v>32</v>
      </c>
      <c r="G277" s="450">
        <v>0</v>
      </c>
      <c r="H277" s="450">
        <v>0</v>
      </c>
      <c r="I277" s="450">
        <v>0</v>
      </c>
      <c r="J277" s="450">
        <f t="shared" si="163"/>
        <v>138340919</v>
      </c>
      <c r="K277" s="482">
        <f t="shared" si="164"/>
        <v>292761</v>
      </c>
      <c r="L277" s="482">
        <f t="shared" si="165"/>
        <v>277929</v>
      </c>
      <c r="M277" s="482">
        <f t="shared" si="166"/>
        <v>277013</v>
      </c>
      <c r="N277" s="482">
        <f t="shared" si="167"/>
        <v>0</v>
      </c>
      <c r="O277" s="482">
        <f t="shared" si="168"/>
        <v>0</v>
      </c>
      <c r="P277" s="482">
        <f t="shared" si="169"/>
        <v>0</v>
      </c>
      <c r="Q277" s="451">
        <f t="shared" si="170"/>
        <v>750</v>
      </c>
      <c r="R277" s="452">
        <f t="shared" si="171"/>
        <v>3.6339999999999997E-2</v>
      </c>
      <c r="S277" s="452">
        <f>SUMIF(_Rates_Tariff_Category,$AW277,_Rates_Energy_P2)</f>
        <v>0</v>
      </c>
      <c r="T277" s="452">
        <f>SUMIF(_Rates_Tariff_Category,$AW277,_Rates_Energy_P3)</f>
        <v>0</v>
      </c>
      <c r="U277" s="452">
        <f t="shared" si="172"/>
        <v>2.8920000000000001E-2</v>
      </c>
      <c r="V277" s="451">
        <f t="shared" si="173"/>
        <v>1.34</v>
      </c>
      <c r="W277" s="451">
        <f t="shared" si="174"/>
        <v>2.87</v>
      </c>
      <c r="X277" s="451">
        <f t="shared" si="175"/>
        <v>3.97</v>
      </c>
      <c r="Y277" s="453">
        <f t="shared" si="176"/>
        <v>24000</v>
      </c>
      <c r="Z277" s="453">
        <f t="shared" si="177"/>
        <v>5027309</v>
      </c>
      <c r="AA277" s="453">
        <f t="shared" si="178"/>
        <v>392299.74</v>
      </c>
      <c r="AB277" s="453">
        <f t="shared" si="179"/>
        <v>797656.23</v>
      </c>
      <c r="AC277" s="453">
        <f t="shared" si="180"/>
        <v>1099741.6100000001</v>
      </c>
      <c r="AD277" s="453">
        <f t="shared" si="181"/>
        <v>2289697.58</v>
      </c>
      <c r="AE277" s="493">
        <f t="shared" si="182"/>
        <v>7341006.580000001</v>
      </c>
      <c r="AF277" s="453">
        <f t="shared" si="183"/>
        <v>7341007</v>
      </c>
      <c r="AG277" s="494">
        <f t="shared" si="184"/>
        <v>1.0000000572128624</v>
      </c>
      <c r="AH277" s="454">
        <f t="shared" si="185"/>
        <v>296729</v>
      </c>
      <c r="AI277" s="454">
        <f t="shared" si="186"/>
        <v>0</v>
      </c>
      <c r="AJ277" s="454">
        <f t="shared" si="187"/>
        <v>585927</v>
      </c>
      <c r="AK277" s="454">
        <f t="shared" si="188"/>
        <v>0</v>
      </c>
      <c r="AL277" s="454">
        <f t="shared" si="189"/>
        <v>0</v>
      </c>
      <c r="AM277" s="454">
        <f t="shared" si="190"/>
        <v>8223663</v>
      </c>
      <c r="AN277" s="491">
        <f t="shared" si="191"/>
        <v>8223662.580000001</v>
      </c>
      <c r="AO277" s="487">
        <f t="shared" si="192"/>
        <v>0.41999999899417162</v>
      </c>
      <c r="AP277" s="495">
        <f t="shared" si="193"/>
        <v>4000819.38</v>
      </c>
      <c r="AQ277" s="496">
        <f t="shared" si="194"/>
        <v>1026489.6200000001</v>
      </c>
      <c r="AV277" s="459">
        <f>IF(BA277&gt;BA276,AV276,IF(AV276&lt;MiscData!$F$1,EOMONTH(AV276,1),EOMONTH(AV276,-11)))</f>
        <v>42247</v>
      </c>
      <c r="AW277" s="448" t="str">
        <f t="shared" si="195"/>
        <v>20140101KUCIE550</v>
      </c>
      <c r="AX277" s="457" t="str">
        <f t="shared" si="196"/>
        <v>20140101RTS</v>
      </c>
      <c r="AY277" s="439">
        <f>IF(AV277&lt;=MiscData!$B$23,MiscData!$C$23,IF(AV277&lt;=MiscData!$B$24,MiscData!$C$24,MiscData!$C$25))</f>
        <v>20140101</v>
      </c>
      <c r="AZ277" s="439" t="str">
        <f>VLOOKUP(BA277,MiscData!$V$4:$W$42,2,FALSE)</f>
        <v>KUCIE550</v>
      </c>
      <c r="BA277" s="439">
        <f>IF(BA276=MiscData!$V$42,1,BA276+1)</f>
        <v>1</v>
      </c>
      <c r="BB277" s="439" t="str">
        <f>VLOOKUP(AZ277,MiscData!$W$4:$Y$42,3,FALSE)</f>
        <v>RTS</v>
      </c>
    </row>
    <row r="278" spans="1:55" hidden="1">
      <c r="A278" s="448">
        <f t="shared" si="197"/>
        <v>254</v>
      </c>
      <c r="B278" s="448" t="str">
        <f t="shared" si="159"/>
        <v>Aug 2015</v>
      </c>
      <c r="C278" s="448" t="s">
        <v>25</v>
      </c>
      <c r="D278" s="449" t="str">
        <f t="shared" si="160"/>
        <v>PSP</v>
      </c>
      <c r="E278" s="449" t="str">
        <f t="shared" si="161"/>
        <v>KUCIE561</v>
      </c>
      <c r="F278" s="450">
        <f t="shared" si="162"/>
        <v>202</v>
      </c>
      <c r="G278" s="450">
        <v>0</v>
      </c>
      <c r="H278" s="450">
        <v>0</v>
      </c>
      <c r="I278" s="450">
        <v>0</v>
      </c>
      <c r="J278" s="450">
        <f t="shared" si="163"/>
        <v>22727624</v>
      </c>
      <c r="K278" s="482">
        <f t="shared" si="164"/>
        <v>0</v>
      </c>
      <c r="L278" s="482">
        <f t="shared" si="165"/>
        <v>0</v>
      </c>
      <c r="M278" s="482">
        <f t="shared" si="166"/>
        <v>62186</v>
      </c>
      <c r="N278" s="482">
        <f t="shared" si="167"/>
        <v>0</v>
      </c>
      <c r="O278" s="482">
        <f t="shared" si="168"/>
        <v>0</v>
      </c>
      <c r="P278" s="482">
        <f t="shared" si="169"/>
        <v>0</v>
      </c>
      <c r="Q278" s="451">
        <f t="shared" si="170"/>
        <v>170</v>
      </c>
      <c r="R278" s="452">
        <f t="shared" si="171"/>
        <v>3.5619999999999999E-2</v>
      </c>
      <c r="S278" s="452">
        <v>0</v>
      </c>
      <c r="T278" s="452">
        <v>0</v>
      </c>
      <c r="U278" s="452">
        <f t="shared" si="172"/>
        <v>2.8920000000000001E-2</v>
      </c>
      <c r="V278" s="451">
        <f t="shared" si="173"/>
        <v>0</v>
      </c>
      <c r="W278" s="451">
        <f t="shared" si="174"/>
        <v>13.18</v>
      </c>
      <c r="X278" s="451">
        <f t="shared" si="175"/>
        <v>15.28</v>
      </c>
      <c r="Y278" s="453">
        <f t="shared" si="176"/>
        <v>34340</v>
      </c>
      <c r="Z278" s="453">
        <f t="shared" si="177"/>
        <v>809557.97</v>
      </c>
      <c r="AA278" s="453">
        <f t="shared" si="178"/>
        <v>0</v>
      </c>
      <c r="AB278" s="453">
        <f t="shared" si="179"/>
        <v>0</v>
      </c>
      <c r="AC278" s="453">
        <f t="shared" si="180"/>
        <v>950202.08</v>
      </c>
      <c r="AD278" s="453">
        <f t="shared" si="181"/>
        <v>950202.08</v>
      </c>
      <c r="AE278" s="493">
        <f t="shared" si="182"/>
        <v>1794100.0499999998</v>
      </c>
      <c r="AF278" s="453">
        <f t="shared" si="183"/>
        <v>1794105</v>
      </c>
      <c r="AG278" s="494">
        <f t="shared" si="184"/>
        <v>1.0000027590434548</v>
      </c>
      <c r="AH278" s="454">
        <f t="shared" si="185"/>
        <v>48749</v>
      </c>
      <c r="AI278" s="454">
        <f t="shared" si="186"/>
        <v>41836</v>
      </c>
      <c r="AJ278" s="454">
        <f t="shared" si="187"/>
        <v>96260</v>
      </c>
      <c r="AK278" s="454">
        <f t="shared" si="188"/>
        <v>0</v>
      </c>
      <c r="AL278" s="454">
        <f t="shared" si="189"/>
        <v>0</v>
      </c>
      <c r="AM278" s="454">
        <f t="shared" si="190"/>
        <v>1980950</v>
      </c>
      <c r="AN278" s="491">
        <f t="shared" si="191"/>
        <v>1980945.0499999998</v>
      </c>
      <c r="AO278" s="487">
        <f t="shared" si="192"/>
        <v>4.9500000001862645</v>
      </c>
      <c r="AP278" s="495">
        <f t="shared" si="193"/>
        <v>657282.89</v>
      </c>
      <c r="AQ278" s="496">
        <f t="shared" si="194"/>
        <v>152275.07999999996</v>
      </c>
      <c r="AV278" s="459">
        <f>IF(BA278&gt;BA277,AV277,IF(AV277&lt;MiscData!$F$1,EOMONTH(AV277,1),EOMONTH(AV277,-11)))</f>
        <v>42247</v>
      </c>
      <c r="AW278" s="448" t="str">
        <f t="shared" si="195"/>
        <v>20140101KUCIE561</v>
      </c>
      <c r="AX278" s="457" t="str">
        <f t="shared" si="196"/>
        <v>20140101PSP</v>
      </c>
      <c r="AY278" s="439">
        <f>IF(AV278&lt;=MiscData!$B$23,MiscData!$C$23,IF(AV278&lt;=MiscData!$B$24,MiscData!$C$24,MiscData!$C$25))</f>
        <v>20140101</v>
      </c>
      <c r="AZ278" s="439" t="str">
        <f>VLOOKUP(BA278,MiscData!$V$4:$W$42,2,FALSE)</f>
        <v>KUCIE561</v>
      </c>
      <c r="BA278" s="439">
        <f>IF(BA277=MiscData!$V$42,1,BA277+1)</f>
        <v>2</v>
      </c>
      <c r="BB278" s="439" t="str">
        <f>VLOOKUP(AZ278,MiscData!$W$4:$Y$42,3,FALSE)</f>
        <v>PSP</v>
      </c>
    </row>
    <row r="279" spans="1:55" hidden="1">
      <c r="A279" s="448">
        <f t="shared" si="197"/>
        <v>255</v>
      </c>
      <c r="B279" s="448" t="str">
        <f t="shared" si="159"/>
        <v>Aug 2015</v>
      </c>
      <c r="C279" s="448" t="s">
        <v>24</v>
      </c>
      <c r="D279" s="449" t="str">
        <f t="shared" si="160"/>
        <v>PSS</v>
      </c>
      <c r="E279" s="449" t="str">
        <f t="shared" si="161"/>
        <v>KUCIE562</v>
      </c>
      <c r="F279" s="450">
        <f t="shared" si="162"/>
        <v>4700</v>
      </c>
      <c r="G279" s="450">
        <v>0</v>
      </c>
      <c r="H279" s="450">
        <v>0</v>
      </c>
      <c r="I279" s="450">
        <v>0</v>
      </c>
      <c r="J279" s="450">
        <f t="shared" si="163"/>
        <v>209413425</v>
      </c>
      <c r="K279" s="482">
        <f t="shared" si="164"/>
        <v>0</v>
      </c>
      <c r="L279" s="482">
        <f t="shared" si="165"/>
        <v>0</v>
      </c>
      <c r="M279" s="482">
        <f t="shared" si="166"/>
        <v>683205</v>
      </c>
      <c r="N279" s="482">
        <f t="shared" si="167"/>
        <v>0</v>
      </c>
      <c r="O279" s="482">
        <f t="shared" si="168"/>
        <v>0</v>
      </c>
      <c r="P279" s="482">
        <f t="shared" si="169"/>
        <v>0</v>
      </c>
      <c r="Q279" s="451">
        <f t="shared" si="170"/>
        <v>90</v>
      </c>
      <c r="R279" s="452">
        <f t="shared" si="171"/>
        <v>3.5640000000000005E-2</v>
      </c>
      <c r="S279" s="452">
        <v>0</v>
      </c>
      <c r="T279" s="452">
        <v>0</v>
      </c>
      <c r="U279" s="452">
        <f t="shared" si="172"/>
        <v>2.8920000000000001E-2</v>
      </c>
      <c r="V279" s="451">
        <f t="shared" si="173"/>
        <v>0</v>
      </c>
      <c r="W279" s="451">
        <f t="shared" si="174"/>
        <v>13.2</v>
      </c>
      <c r="X279" s="451">
        <f t="shared" si="175"/>
        <v>15.3</v>
      </c>
      <c r="Y279" s="453">
        <f t="shared" si="176"/>
        <v>423000</v>
      </c>
      <c r="Z279" s="453">
        <f t="shared" si="177"/>
        <v>7463494.4699999997</v>
      </c>
      <c r="AA279" s="453">
        <f t="shared" si="178"/>
        <v>0</v>
      </c>
      <c r="AB279" s="453">
        <f t="shared" si="179"/>
        <v>0</v>
      </c>
      <c r="AC279" s="453">
        <f t="shared" si="180"/>
        <v>10453036.5</v>
      </c>
      <c r="AD279" s="453">
        <f t="shared" si="181"/>
        <v>10453036.5</v>
      </c>
      <c r="AE279" s="493">
        <f t="shared" si="182"/>
        <v>18339530.969999999</v>
      </c>
      <c r="AF279" s="453">
        <f t="shared" si="183"/>
        <v>18339535</v>
      </c>
      <c r="AG279" s="494">
        <f t="shared" si="184"/>
        <v>1.0000002197438969</v>
      </c>
      <c r="AH279" s="454">
        <f t="shared" si="185"/>
        <v>449173</v>
      </c>
      <c r="AI279" s="454">
        <f t="shared" si="186"/>
        <v>385480</v>
      </c>
      <c r="AJ279" s="454">
        <f t="shared" si="187"/>
        <v>886946</v>
      </c>
      <c r="AK279" s="454">
        <f t="shared" si="188"/>
        <v>0</v>
      </c>
      <c r="AL279" s="454">
        <f t="shared" si="189"/>
        <v>0</v>
      </c>
      <c r="AM279" s="454">
        <f t="shared" si="190"/>
        <v>20061134</v>
      </c>
      <c r="AN279" s="491">
        <f t="shared" si="191"/>
        <v>20061129.969999999</v>
      </c>
      <c r="AO279" s="487">
        <f t="shared" si="192"/>
        <v>4.0300000011920929</v>
      </c>
      <c r="AP279" s="495">
        <f t="shared" si="193"/>
        <v>6056236.25</v>
      </c>
      <c r="AQ279" s="496">
        <f t="shared" si="194"/>
        <v>1407258.2199999997</v>
      </c>
      <c r="AV279" s="459">
        <f>IF(BA279&gt;BA278,AV278,IF(AV278&lt;MiscData!$F$1,EOMONTH(AV278,1),EOMONTH(AV278,-11)))</f>
        <v>42247</v>
      </c>
      <c r="AW279" s="448" t="str">
        <f t="shared" si="195"/>
        <v>20140101KUCIE562</v>
      </c>
      <c r="AX279" s="457" t="str">
        <f t="shared" si="196"/>
        <v>20140101PSS</v>
      </c>
      <c r="AY279" s="439">
        <f>IF(AV279&lt;=MiscData!$B$23,MiscData!$C$23,IF(AV279&lt;=MiscData!$B$24,MiscData!$C$24,MiscData!$C$25))</f>
        <v>20140101</v>
      </c>
      <c r="AZ279" s="439" t="str">
        <f>VLOOKUP(BA279,MiscData!$V$4:$W$42,2,FALSE)</f>
        <v>KUCIE562</v>
      </c>
      <c r="BA279" s="439">
        <f>IF(BA278=MiscData!$V$42,1,BA278+1)</f>
        <v>3</v>
      </c>
      <c r="BB279" s="439" t="str">
        <f>VLOOKUP(AZ279,MiscData!$W$4:$Y$42,3,FALSE)</f>
        <v>PSS</v>
      </c>
    </row>
    <row r="280" spans="1:55" hidden="1">
      <c r="A280" s="448">
        <f t="shared" si="197"/>
        <v>256</v>
      </c>
      <c r="B280" s="448" t="str">
        <f t="shared" si="159"/>
        <v>Aug 2015</v>
      </c>
      <c r="C280" s="448" t="s">
        <v>205</v>
      </c>
      <c r="D280" s="449" t="str">
        <f t="shared" si="160"/>
        <v>TODP</v>
      </c>
      <c r="E280" s="449" t="str">
        <f t="shared" si="161"/>
        <v>KUCIE563</v>
      </c>
      <c r="F280" s="450">
        <f t="shared" si="162"/>
        <v>52</v>
      </c>
      <c r="G280" s="450">
        <v>0</v>
      </c>
      <c r="H280" s="450">
        <v>0</v>
      </c>
      <c r="I280" s="450">
        <v>0</v>
      </c>
      <c r="J280" s="450">
        <f t="shared" si="163"/>
        <v>280193456</v>
      </c>
      <c r="K280" s="482">
        <f t="shared" si="164"/>
        <v>563206</v>
      </c>
      <c r="L280" s="482">
        <f t="shared" si="165"/>
        <v>550095</v>
      </c>
      <c r="M280" s="482">
        <f t="shared" si="166"/>
        <v>544359</v>
      </c>
      <c r="N280" s="482">
        <f t="shared" si="167"/>
        <v>0</v>
      </c>
      <c r="O280" s="482">
        <f t="shared" si="168"/>
        <v>0</v>
      </c>
      <c r="P280" s="482">
        <f t="shared" si="169"/>
        <v>0</v>
      </c>
      <c r="Q280" s="451">
        <f t="shared" si="170"/>
        <v>300</v>
      </c>
      <c r="R280" s="452">
        <f t="shared" si="171"/>
        <v>3.7650000000000003E-2</v>
      </c>
      <c r="S280" s="452">
        <v>0</v>
      </c>
      <c r="T280" s="452">
        <v>0</v>
      </c>
      <c r="U280" s="452">
        <f t="shared" si="172"/>
        <v>2.8920000000000001E-2</v>
      </c>
      <c r="V280" s="451">
        <f t="shared" si="173"/>
        <v>1.71</v>
      </c>
      <c r="W280" s="451">
        <f t="shared" si="174"/>
        <v>2.76</v>
      </c>
      <c r="X280" s="451">
        <f t="shared" si="175"/>
        <v>4.26</v>
      </c>
      <c r="Y280" s="453">
        <f t="shared" si="176"/>
        <v>15600</v>
      </c>
      <c r="Z280" s="453">
        <f t="shared" si="177"/>
        <v>10549283.619999999</v>
      </c>
      <c r="AA280" s="453">
        <f t="shared" si="178"/>
        <v>963082.26</v>
      </c>
      <c r="AB280" s="453">
        <f t="shared" si="179"/>
        <v>1518262.2</v>
      </c>
      <c r="AC280" s="453">
        <f t="shared" si="180"/>
        <v>2318969.34</v>
      </c>
      <c r="AD280" s="453">
        <f t="shared" si="181"/>
        <v>4800313.8</v>
      </c>
      <c r="AE280" s="493">
        <f t="shared" si="182"/>
        <v>15365197.419999998</v>
      </c>
      <c r="AF280" s="453">
        <f t="shared" si="183"/>
        <v>15365200</v>
      </c>
      <c r="AG280" s="494">
        <f t="shared" si="184"/>
        <v>1.0000001679119332</v>
      </c>
      <c r="AH280" s="454">
        <f t="shared" si="185"/>
        <v>600989</v>
      </c>
      <c r="AI280" s="454">
        <f t="shared" si="186"/>
        <v>515769</v>
      </c>
      <c r="AJ280" s="454">
        <f t="shared" si="187"/>
        <v>1186726</v>
      </c>
      <c r="AK280" s="454">
        <f t="shared" si="188"/>
        <v>0</v>
      </c>
      <c r="AL280" s="454">
        <f t="shared" si="189"/>
        <v>0</v>
      </c>
      <c r="AM280" s="454">
        <f t="shared" si="190"/>
        <v>17668684</v>
      </c>
      <c r="AN280" s="491">
        <f t="shared" si="191"/>
        <v>17668681.419999998</v>
      </c>
      <c r="AO280" s="487">
        <f t="shared" si="192"/>
        <v>2.580000001937151</v>
      </c>
      <c r="AP280" s="495">
        <f t="shared" si="193"/>
        <v>8103194.75</v>
      </c>
      <c r="AQ280" s="496">
        <f t="shared" si="194"/>
        <v>2446088.8699999992</v>
      </c>
      <c r="AV280" s="459">
        <f>IF(BA280&gt;BA279,AV279,IF(AV279&lt;MiscData!$F$1,EOMONTH(AV279,1),EOMONTH(AV279,-11)))</f>
        <v>42247</v>
      </c>
      <c r="AW280" s="448" t="str">
        <f t="shared" si="195"/>
        <v>20140101KUCIE563</v>
      </c>
      <c r="AX280" s="457" t="str">
        <f t="shared" si="196"/>
        <v>20140101TODP</v>
      </c>
      <c r="AY280" s="439">
        <f>IF(AV280&lt;=MiscData!$B$23,MiscData!$C$23,IF(AV280&lt;=MiscData!$B$24,MiscData!$C$24,MiscData!$C$25))</f>
        <v>20140101</v>
      </c>
      <c r="AZ280" s="439" t="str">
        <f>VLOOKUP(BA280,MiscData!$V$4:$W$42,2,FALSE)</f>
        <v>KUCIE563</v>
      </c>
      <c r="BA280" s="439">
        <f>IF(BA279=MiscData!$V$42,1,BA279+1)</f>
        <v>4</v>
      </c>
      <c r="BB280" s="439" t="str">
        <f>VLOOKUP(AZ280,MiscData!$W$4:$Y$42,3,FALSE)</f>
        <v>TODP</v>
      </c>
    </row>
    <row r="281" spans="1:55" hidden="1">
      <c r="A281" s="448">
        <f t="shared" si="197"/>
        <v>257</v>
      </c>
      <c r="B281" s="448" t="str">
        <f t="shared" si="159"/>
        <v>Aug 2015</v>
      </c>
      <c r="C281" s="448" t="s">
        <v>25</v>
      </c>
      <c r="D281" s="449" t="str">
        <f t="shared" si="160"/>
        <v>PSP</v>
      </c>
      <c r="E281" s="449" t="str">
        <f t="shared" si="161"/>
        <v>KUCIE566</v>
      </c>
      <c r="F281" s="450">
        <f t="shared" si="162"/>
        <v>0</v>
      </c>
      <c r="G281" s="450">
        <v>0</v>
      </c>
      <c r="H281" s="450">
        <v>0</v>
      </c>
      <c r="I281" s="450">
        <v>0</v>
      </c>
      <c r="J281" s="450">
        <f t="shared" si="163"/>
        <v>0</v>
      </c>
      <c r="K281" s="482">
        <f t="shared" si="164"/>
        <v>0</v>
      </c>
      <c r="L281" s="482">
        <f t="shared" si="165"/>
        <v>0</v>
      </c>
      <c r="M281" s="482">
        <f t="shared" si="166"/>
        <v>0</v>
      </c>
      <c r="N281" s="482">
        <f t="shared" si="167"/>
        <v>0</v>
      </c>
      <c r="O281" s="482">
        <f t="shared" si="168"/>
        <v>0</v>
      </c>
      <c r="P281" s="482">
        <f t="shared" si="169"/>
        <v>0</v>
      </c>
      <c r="Q281" s="451">
        <f t="shared" si="170"/>
        <v>170</v>
      </c>
      <c r="R281" s="452">
        <f t="shared" si="171"/>
        <v>3.5619999999999999E-2</v>
      </c>
      <c r="S281" s="452">
        <v>0</v>
      </c>
      <c r="T281" s="452">
        <v>0</v>
      </c>
      <c r="U281" s="452">
        <f t="shared" si="172"/>
        <v>2.8920000000000001E-2</v>
      </c>
      <c r="V281" s="451">
        <f t="shared" si="173"/>
        <v>0</v>
      </c>
      <c r="W281" s="451">
        <f t="shared" si="174"/>
        <v>13.18</v>
      </c>
      <c r="X281" s="451">
        <f t="shared" si="175"/>
        <v>15.28</v>
      </c>
      <c r="Y281" s="453">
        <f t="shared" si="176"/>
        <v>0</v>
      </c>
      <c r="Z281" s="453">
        <f t="shared" si="177"/>
        <v>0</v>
      </c>
      <c r="AA281" s="453">
        <f t="shared" si="178"/>
        <v>0</v>
      </c>
      <c r="AB281" s="453">
        <f t="shared" si="179"/>
        <v>0</v>
      </c>
      <c r="AC281" s="453">
        <f t="shared" si="180"/>
        <v>0</v>
      </c>
      <c r="AD281" s="453">
        <f t="shared" si="181"/>
        <v>0</v>
      </c>
      <c r="AE281" s="493">
        <f t="shared" si="182"/>
        <v>0</v>
      </c>
      <c r="AF281" s="453">
        <f t="shared" si="183"/>
        <v>0</v>
      </c>
      <c r="AG281" s="494">
        <f t="shared" si="184"/>
        <v>1</v>
      </c>
      <c r="AH281" s="454">
        <f t="shared" si="185"/>
        <v>0</v>
      </c>
      <c r="AI281" s="454">
        <f t="shared" si="186"/>
        <v>0</v>
      </c>
      <c r="AJ281" s="454">
        <f t="shared" si="187"/>
        <v>0</v>
      </c>
      <c r="AK281" s="454">
        <f t="shared" si="188"/>
        <v>0</v>
      </c>
      <c r="AL281" s="454">
        <f t="shared" si="189"/>
        <v>0</v>
      </c>
      <c r="AM281" s="454">
        <f t="shared" si="190"/>
        <v>0</v>
      </c>
      <c r="AN281" s="491">
        <f t="shared" si="191"/>
        <v>0</v>
      </c>
      <c r="AO281" s="487">
        <f t="shared" si="192"/>
        <v>0</v>
      </c>
      <c r="AP281" s="495">
        <f t="shared" si="193"/>
        <v>0</v>
      </c>
      <c r="AQ281" s="496">
        <f t="shared" si="194"/>
        <v>0</v>
      </c>
      <c r="AV281" s="459">
        <f>IF(BA281&gt;BA280,AV280,IF(AV280&lt;MiscData!$F$1,EOMONTH(AV280,1),EOMONTH(AV280,-11)))</f>
        <v>42247</v>
      </c>
      <c r="AW281" s="448" t="str">
        <f t="shared" si="195"/>
        <v>20140101KUCIE566</v>
      </c>
      <c r="AX281" s="457" t="str">
        <f t="shared" si="196"/>
        <v>20140101PSP</v>
      </c>
      <c r="AY281" s="439">
        <f>IF(AV281&lt;=MiscData!$B$23,MiscData!$C$23,IF(AV281&lt;=MiscData!$B$24,MiscData!$C$24,MiscData!$C$25))</f>
        <v>20140101</v>
      </c>
      <c r="AZ281" s="439" t="str">
        <f>VLOOKUP(BA281,MiscData!$V$4:$W$42,2,FALSE)</f>
        <v>KUCIE566</v>
      </c>
      <c r="BA281" s="439">
        <f>IF(BA280=MiscData!$V$42,1,BA280+1)</f>
        <v>5</v>
      </c>
      <c r="BB281" s="439" t="str">
        <f>VLOOKUP(AZ281,MiscData!$W$4:$Y$42,3,FALSE)</f>
        <v>PSP</v>
      </c>
    </row>
    <row r="282" spans="1:55" hidden="1">
      <c r="A282" s="448">
        <f t="shared" si="197"/>
        <v>258</v>
      </c>
      <c r="B282" s="448" t="str">
        <f t="shared" si="159"/>
        <v>Aug 2015</v>
      </c>
      <c r="C282" s="448" t="s">
        <v>24</v>
      </c>
      <c r="D282" s="449" t="str">
        <f t="shared" si="160"/>
        <v>PSS</v>
      </c>
      <c r="E282" s="449" t="str">
        <f t="shared" si="161"/>
        <v>KUCIE568</v>
      </c>
      <c r="F282" s="450">
        <f t="shared" si="162"/>
        <v>0</v>
      </c>
      <c r="G282" s="450">
        <v>0</v>
      </c>
      <c r="H282" s="450">
        <v>0</v>
      </c>
      <c r="I282" s="450">
        <v>0</v>
      </c>
      <c r="J282" s="450">
        <f t="shared" si="163"/>
        <v>0</v>
      </c>
      <c r="K282" s="482">
        <f t="shared" si="164"/>
        <v>0</v>
      </c>
      <c r="L282" s="482">
        <f t="shared" si="165"/>
        <v>0</v>
      </c>
      <c r="M282" s="482">
        <f t="shared" si="166"/>
        <v>0</v>
      </c>
      <c r="N282" s="482">
        <f t="shared" si="167"/>
        <v>0</v>
      </c>
      <c r="O282" s="482">
        <f t="shared" si="168"/>
        <v>0</v>
      </c>
      <c r="P282" s="482">
        <f t="shared" si="169"/>
        <v>0</v>
      </c>
      <c r="Q282" s="451">
        <f t="shared" si="170"/>
        <v>90</v>
      </c>
      <c r="R282" s="452">
        <f t="shared" si="171"/>
        <v>3.5640000000000005E-2</v>
      </c>
      <c r="S282" s="452">
        <v>0</v>
      </c>
      <c r="T282" s="452">
        <v>0</v>
      </c>
      <c r="U282" s="452">
        <f t="shared" si="172"/>
        <v>2.8920000000000001E-2</v>
      </c>
      <c r="V282" s="451">
        <f t="shared" si="173"/>
        <v>0</v>
      </c>
      <c r="W282" s="451">
        <f t="shared" si="174"/>
        <v>13.2</v>
      </c>
      <c r="X282" s="451">
        <f t="shared" si="175"/>
        <v>15.3</v>
      </c>
      <c r="Y282" s="453">
        <f t="shared" si="176"/>
        <v>0</v>
      </c>
      <c r="Z282" s="453">
        <f t="shared" si="177"/>
        <v>0</v>
      </c>
      <c r="AA282" s="453">
        <f t="shared" si="178"/>
        <v>0</v>
      </c>
      <c r="AB282" s="453">
        <f t="shared" si="179"/>
        <v>0</v>
      </c>
      <c r="AC282" s="453">
        <f t="shared" si="180"/>
        <v>0</v>
      </c>
      <c r="AD282" s="453">
        <f t="shared" si="181"/>
        <v>0</v>
      </c>
      <c r="AE282" s="493">
        <f t="shared" si="182"/>
        <v>0</v>
      </c>
      <c r="AF282" s="453">
        <f t="shared" si="183"/>
        <v>0</v>
      </c>
      <c r="AG282" s="494">
        <f t="shared" si="184"/>
        <v>1</v>
      </c>
      <c r="AH282" s="454">
        <f t="shared" si="185"/>
        <v>0</v>
      </c>
      <c r="AI282" s="454">
        <f t="shared" si="186"/>
        <v>0</v>
      </c>
      <c r="AJ282" s="454">
        <f t="shared" si="187"/>
        <v>0</v>
      </c>
      <c r="AK282" s="454">
        <f t="shared" si="188"/>
        <v>0</v>
      </c>
      <c r="AL282" s="454">
        <f t="shared" si="189"/>
        <v>0</v>
      </c>
      <c r="AM282" s="454">
        <f t="shared" si="190"/>
        <v>0</v>
      </c>
      <c r="AN282" s="491">
        <f t="shared" si="191"/>
        <v>0</v>
      </c>
      <c r="AO282" s="487">
        <f t="shared" si="192"/>
        <v>0</v>
      </c>
      <c r="AP282" s="495">
        <f t="shared" si="193"/>
        <v>0</v>
      </c>
      <c r="AQ282" s="496">
        <f t="shared" si="194"/>
        <v>0</v>
      </c>
      <c r="AV282" s="459">
        <f>IF(BA282&gt;BA281,AV281,IF(AV281&lt;MiscData!$F$1,EOMONTH(AV281,1),EOMONTH(AV281,-11)))</f>
        <v>42247</v>
      </c>
      <c r="AW282" s="448" t="str">
        <f t="shared" si="195"/>
        <v>20140101KUCIE568</v>
      </c>
      <c r="AX282" s="457" t="str">
        <f t="shared" si="196"/>
        <v>20140101PSS</v>
      </c>
      <c r="AY282" s="439">
        <f>IF(AV282&lt;=MiscData!$B$23,MiscData!$C$23,IF(AV282&lt;=MiscData!$B$24,MiscData!$C$24,MiscData!$C$25))</f>
        <v>20140101</v>
      </c>
      <c r="AZ282" s="439" t="str">
        <f>VLOOKUP(BA282,MiscData!$V$4:$W$42,2,FALSE)</f>
        <v>KUCIE568</v>
      </c>
      <c r="BA282" s="439">
        <f>IF(BA281=MiscData!$V$42,1,BA281+1)</f>
        <v>6</v>
      </c>
      <c r="BB282" s="439" t="str">
        <f>VLOOKUP(AZ282,MiscData!$W$4:$Y$42,3,FALSE)</f>
        <v>PSS</v>
      </c>
    </row>
    <row r="283" spans="1:55" hidden="1">
      <c r="A283" s="448">
        <f t="shared" si="197"/>
        <v>259</v>
      </c>
      <c r="B283" s="448" t="str">
        <f t="shared" si="159"/>
        <v>Aug 2015</v>
      </c>
      <c r="C283" s="448" t="s">
        <v>205</v>
      </c>
      <c r="D283" s="449" t="str">
        <f t="shared" si="160"/>
        <v>TODP</v>
      </c>
      <c r="E283" s="449" t="str">
        <f t="shared" si="161"/>
        <v>KUCIE571</v>
      </c>
      <c r="F283" s="450">
        <f t="shared" si="162"/>
        <v>196</v>
      </c>
      <c r="G283" s="450">
        <v>0</v>
      </c>
      <c r="H283" s="450">
        <v>0</v>
      </c>
      <c r="I283" s="450">
        <v>0</v>
      </c>
      <c r="J283" s="450">
        <f t="shared" si="163"/>
        <v>116583613</v>
      </c>
      <c r="K283" s="482">
        <f t="shared" si="164"/>
        <v>296542</v>
      </c>
      <c r="L283" s="482">
        <f t="shared" si="165"/>
        <v>283712</v>
      </c>
      <c r="M283" s="482">
        <f t="shared" si="166"/>
        <v>275127</v>
      </c>
      <c r="N283" s="482">
        <f t="shared" si="167"/>
        <v>0</v>
      </c>
      <c r="O283" s="482">
        <f t="shared" si="168"/>
        <v>0</v>
      </c>
      <c r="P283" s="482">
        <f t="shared" si="169"/>
        <v>0</v>
      </c>
      <c r="Q283" s="451">
        <f t="shared" si="170"/>
        <v>300</v>
      </c>
      <c r="R283" s="452">
        <f t="shared" si="171"/>
        <v>3.7650000000000003E-2</v>
      </c>
      <c r="S283" s="452">
        <v>0</v>
      </c>
      <c r="T283" s="452">
        <v>0</v>
      </c>
      <c r="U283" s="452">
        <f t="shared" si="172"/>
        <v>2.8920000000000001E-2</v>
      </c>
      <c r="V283" s="451">
        <f t="shared" si="173"/>
        <v>1.71</v>
      </c>
      <c r="W283" s="451">
        <f t="shared" si="174"/>
        <v>2.76</v>
      </c>
      <c r="X283" s="451">
        <f t="shared" si="175"/>
        <v>4.26</v>
      </c>
      <c r="Y283" s="453">
        <f t="shared" si="176"/>
        <v>58800</v>
      </c>
      <c r="Z283" s="453">
        <f t="shared" si="177"/>
        <v>4389373.03</v>
      </c>
      <c r="AA283" s="453">
        <f t="shared" si="178"/>
        <v>507086.82</v>
      </c>
      <c r="AB283" s="453">
        <f t="shared" si="179"/>
        <v>783045.12</v>
      </c>
      <c r="AC283" s="453">
        <f t="shared" si="180"/>
        <v>1172041.02</v>
      </c>
      <c r="AD283" s="453">
        <f t="shared" si="181"/>
        <v>2462172.96</v>
      </c>
      <c r="AE283" s="493">
        <f t="shared" si="182"/>
        <v>6910345.9900000002</v>
      </c>
      <c r="AF283" s="453">
        <f t="shared" si="183"/>
        <v>6910349</v>
      </c>
      <c r="AG283" s="494">
        <f t="shared" si="184"/>
        <v>1.0000004355787691</v>
      </c>
      <c r="AH283" s="454">
        <f t="shared" si="185"/>
        <v>250061</v>
      </c>
      <c r="AI283" s="454">
        <f t="shared" si="186"/>
        <v>214603</v>
      </c>
      <c r="AJ283" s="454">
        <f t="shared" si="187"/>
        <v>493776</v>
      </c>
      <c r="AK283" s="454">
        <f t="shared" si="188"/>
        <v>0</v>
      </c>
      <c r="AL283" s="454">
        <f t="shared" si="189"/>
        <v>0</v>
      </c>
      <c r="AM283" s="454">
        <f t="shared" si="190"/>
        <v>7868789</v>
      </c>
      <c r="AN283" s="491">
        <f t="shared" si="191"/>
        <v>7868785.9900000002</v>
      </c>
      <c r="AO283" s="487">
        <f t="shared" si="192"/>
        <v>3.0099999997764826</v>
      </c>
      <c r="AP283" s="495">
        <f t="shared" si="193"/>
        <v>3371598.09</v>
      </c>
      <c r="AQ283" s="496">
        <f t="shared" si="194"/>
        <v>1017774.9400000004</v>
      </c>
      <c r="AV283" s="459">
        <f>IF(BA283&gt;BA282,AV282,IF(AV282&lt;MiscData!$F$1,EOMONTH(AV282,1),EOMONTH(AV282,-11)))</f>
        <v>42247</v>
      </c>
      <c r="AW283" s="448" t="str">
        <f t="shared" si="195"/>
        <v>20140101KUCIE571</v>
      </c>
      <c r="AX283" s="457" t="str">
        <f t="shared" si="196"/>
        <v>20140101TODP</v>
      </c>
      <c r="AY283" s="439">
        <f>IF(AV283&lt;=MiscData!$B$23,MiscData!$C$23,IF(AV283&lt;=MiscData!$B$24,MiscData!$C$24,MiscData!$C$25))</f>
        <v>20140101</v>
      </c>
      <c r="AZ283" s="439" t="str">
        <f>VLOOKUP(BA283,MiscData!$V$4:$W$42,2,FALSE)</f>
        <v>KUCIE571</v>
      </c>
      <c r="BA283" s="439">
        <f>IF(BA282=MiscData!$V$42,1,BA282+1)</f>
        <v>7</v>
      </c>
      <c r="BB283" s="439" t="str">
        <f>VLOOKUP(AZ283,MiscData!$W$4:$Y$42,3,FALSE)</f>
        <v>TODP</v>
      </c>
    </row>
    <row r="284" spans="1:55" hidden="1">
      <c r="A284" s="448">
        <f t="shared" si="197"/>
        <v>260</v>
      </c>
      <c r="B284" s="448" t="str">
        <f t="shared" si="159"/>
        <v>Aug 2015</v>
      </c>
      <c r="C284" s="448" t="s">
        <v>204</v>
      </c>
      <c r="D284" s="449" t="str">
        <f t="shared" si="160"/>
        <v>TODS</v>
      </c>
      <c r="E284" s="449" t="str">
        <f t="shared" si="161"/>
        <v>KUCIE572</v>
      </c>
      <c r="F284" s="450">
        <f t="shared" si="162"/>
        <v>462</v>
      </c>
      <c r="G284" s="450">
        <v>0</v>
      </c>
      <c r="H284" s="450">
        <v>0</v>
      </c>
      <c r="I284" s="450">
        <v>0</v>
      </c>
      <c r="J284" s="450">
        <f t="shared" si="163"/>
        <v>151711802</v>
      </c>
      <c r="K284" s="482">
        <f t="shared" si="164"/>
        <v>367858</v>
      </c>
      <c r="L284" s="482">
        <f t="shared" si="165"/>
        <v>343442</v>
      </c>
      <c r="M284" s="482">
        <f t="shared" si="166"/>
        <v>336756</v>
      </c>
      <c r="N284" s="482">
        <f t="shared" si="167"/>
        <v>0</v>
      </c>
      <c r="O284" s="482">
        <f t="shared" si="168"/>
        <v>0</v>
      </c>
      <c r="P284" s="482">
        <f t="shared" si="169"/>
        <v>0</v>
      </c>
      <c r="Q284" s="451">
        <f t="shared" si="170"/>
        <v>200</v>
      </c>
      <c r="R284" s="452">
        <f t="shared" si="171"/>
        <v>3.773E-2</v>
      </c>
      <c r="S284" s="452">
        <v>0</v>
      </c>
      <c r="T284" s="452">
        <v>0</v>
      </c>
      <c r="U284" s="452">
        <f t="shared" si="172"/>
        <v>2.8920000000000001E-2</v>
      </c>
      <c r="V284" s="451">
        <f t="shared" si="173"/>
        <v>3.62</v>
      </c>
      <c r="W284" s="451">
        <f t="shared" si="174"/>
        <v>2.95</v>
      </c>
      <c r="X284" s="451">
        <f t="shared" si="175"/>
        <v>4.55</v>
      </c>
      <c r="Y284" s="453">
        <f t="shared" si="176"/>
        <v>92400</v>
      </c>
      <c r="Z284" s="453">
        <f t="shared" si="177"/>
        <v>5724086.29</v>
      </c>
      <c r="AA284" s="453">
        <f t="shared" si="178"/>
        <v>1331645.96</v>
      </c>
      <c r="AB284" s="453">
        <f t="shared" si="179"/>
        <v>1013153.9</v>
      </c>
      <c r="AC284" s="453">
        <f t="shared" si="180"/>
        <v>1532239.8</v>
      </c>
      <c r="AD284" s="453">
        <f t="shared" si="181"/>
        <v>3877039.66</v>
      </c>
      <c r="AE284" s="493">
        <f t="shared" si="182"/>
        <v>9693525.9500000011</v>
      </c>
      <c r="AF284" s="453">
        <f t="shared" si="183"/>
        <v>9693526</v>
      </c>
      <c r="AG284" s="494">
        <f t="shared" si="184"/>
        <v>1.0000000051580817</v>
      </c>
      <c r="AH284" s="454">
        <f t="shared" si="185"/>
        <v>325408</v>
      </c>
      <c r="AI284" s="454">
        <f t="shared" si="186"/>
        <v>279265</v>
      </c>
      <c r="AJ284" s="454">
        <f t="shared" si="187"/>
        <v>642557</v>
      </c>
      <c r="AK284" s="454">
        <f t="shared" si="188"/>
        <v>0</v>
      </c>
      <c r="AL284" s="454">
        <f t="shared" si="189"/>
        <v>0</v>
      </c>
      <c r="AM284" s="454">
        <f t="shared" si="190"/>
        <v>10940756</v>
      </c>
      <c r="AN284" s="491">
        <f t="shared" si="191"/>
        <v>10940755.950000001</v>
      </c>
      <c r="AO284" s="487">
        <f t="shared" si="192"/>
        <v>4.999999888241291E-2</v>
      </c>
      <c r="AP284" s="495">
        <f t="shared" si="193"/>
        <v>4387505.3099999996</v>
      </c>
      <c r="AQ284" s="496">
        <f t="shared" si="194"/>
        <v>1336580.9800000004</v>
      </c>
      <c r="AV284" s="459">
        <f>IF(BA284&gt;BA283,AV283,IF(AV283&lt;MiscData!$F$1,EOMONTH(AV283,1),EOMONTH(AV283,-11)))</f>
        <v>42247</v>
      </c>
      <c r="AW284" s="448" t="str">
        <f t="shared" si="195"/>
        <v>20140101KUCIE572</v>
      </c>
      <c r="AX284" s="457" t="str">
        <f t="shared" si="196"/>
        <v>20140101TODS</v>
      </c>
      <c r="AY284" s="439">
        <f>IF(AV284&lt;=MiscData!$B$23,MiscData!$C$23,IF(AV284&lt;=MiscData!$B$24,MiscData!$C$24,MiscData!$C$25))</f>
        <v>20140101</v>
      </c>
      <c r="AZ284" s="439" t="str">
        <f>VLOOKUP(BA284,MiscData!$V$4:$W$42,2,FALSE)</f>
        <v>KUCIE572</v>
      </c>
      <c r="BA284" s="439">
        <f>IF(BA283=MiscData!$V$42,1,BA283+1)</f>
        <v>8</v>
      </c>
      <c r="BB284" s="439" t="str">
        <f>VLOOKUP(AZ284,MiscData!$W$4:$Y$42,3,FALSE)</f>
        <v>TODS</v>
      </c>
    </row>
    <row r="285" spans="1:55" hidden="1">
      <c r="A285" s="448">
        <f t="shared" si="197"/>
        <v>261</v>
      </c>
      <c r="B285" s="448" t="str">
        <f t="shared" si="159"/>
        <v>Aug 2015</v>
      </c>
      <c r="C285" s="448" t="s">
        <v>24</v>
      </c>
      <c r="D285" s="449" t="str">
        <f t="shared" si="160"/>
        <v>PSS</v>
      </c>
      <c r="E285" s="449" t="str">
        <f t="shared" si="161"/>
        <v>KUCIE717</v>
      </c>
      <c r="F285" s="450">
        <f t="shared" si="162"/>
        <v>0</v>
      </c>
      <c r="G285" s="450">
        <v>0</v>
      </c>
      <c r="H285" s="450">
        <v>0</v>
      </c>
      <c r="I285" s="450">
        <v>0</v>
      </c>
      <c r="J285" s="450">
        <f t="shared" si="163"/>
        <v>0</v>
      </c>
      <c r="K285" s="482">
        <f t="shared" si="164"/>
        <v>0</v>
      </c>
      <c r="L285" s="482">
        <f t="shared" si="165"/>
        <v>0</v>
      </c>
      <c r="M285" s="482">
        <f t="shared" si="166"/>
        <v>0</v>
      </c>
      <c r="N285" s="482">
        <f t="shared" si="167"/>
        <v>0</v>
      </c>
      <c r="O285" s="482">
        <f t="shared" si="168"/>
        <v>0</v>
      </c>
      <c r="P285" s="482">
        <f t="shared" si="169"/>
        <v>0</v>
      </c>
      <c r="Q285" s="451">
        <f t="shared" si="170"/>
        <v>90</v>
      </c>
      <c r="R285" s="452">
        <f t="shared" si="171"/>
        <v>3.5640000000000005E-2</v>
      </c>
      <c r="S285" s="452">
        <v>0</v>
      </c>
      <c r="T285" s="452">
        <v>0</v>
      </c>
      <c r="U285" s="452">
        <f t="shared" si="172"/>
        <v>2.8920000000000001E-2</v>
      </c>
      <c r="V285" s="451">
        <f t="shared" si="173"/>
        <v>0</v>
      </c>
      <c r="W285" s="451">
        <f t="shared" si="174"/>
        <v>13.2</v>
      </c>
      <c r="X285" s="451">
        <f t="shared" si="175"/>
        <v>15.3</v>
      </c>
      <c r="Y285" s="453">
        <f t="shared" si="176"/>
        <v>0</v>
      </c>
      <c r="Z285" s="453">
        <f t="shared" si="177"/>
        <v>0</v>
      </c>
      <c r="AA285" s="453">
        <f t="shared" si="178"/>
        <v>0</v>
      </c>
      <c r="AB285" s="453">
        <f t="shared" si="179"/>
        <v>0</v>
      </c>
      <c r="AC285" s="453">
        <f t="shared" si="180"/>
        <v>0</v>
      </c>
      <c r="AD285" s="453">
        <f t="shared" si="181"/>
        <v>0</v>
      </c>
      <c r="AE285" s="493">
        <f t="shared" si="182"/>
        <v>0</v>
      </c>
      <c r="AF285" s="453">
        <f t="shared" si="183"/>
        <v>0</v>
      </c>
      <c r="AG285" s="494">
        <f t="shared" si="184"/>
        <v>1</v>
      </c>
      <c r="AH285" s="454">
        <f t="shared" si="185"/>
        <v>0</v>
      </c>
      <c r="AI285" s="454">
        <f t="shared" si="186"/>
        <v>0</v>
      </c>
      <c r="AJ285" s="454">
        <f t="shared" si="187"/>
        <v>0</v>
      </c>
      <c r="AK285" s="454">
        <f t="shared" si="188"/>
        <v>0</v>
      </c>
      <c r="AL285" s="454">
        <f t="shared" si="189"/>
        <v>0</v>
      </c>
      <c r="AM285" s="454">
        <f t="shared" si="190"/>
        <v>0</v>
      </c>
      <c r="AN285" s="491">
        <f t="shared" si="191"/>
        <v>0</v>
      </c>
      <c r="AO285" s="487">
        <f t="shared" si="192"/>
        <v>0</v>
      </c>
      <c r="AP285" s="495">
        <f t="shared" si="193"/>
        <v>0</v>
      </c>
      <c r="AQ285" s="496">
        <f t="shared" si="194"/>
        <v>0</v>
      </c>
      <c r="AV285" s="459">
        <f>IF(BA285&gt;BA284,AV284,IF(AV284&lt;MiscData!$F$1,EOMONTH(AV284,1),EOMONTH(AV284,-11)))</f>
        <v>42247</v>
      </c>
      <c r="AW285" s="448" t="str">
        <f t="shared" si="195"/>
        <v>20140101KUCIE717</v>
      </c>
      <c r="AX285" s="457" t="str">
        <f t="shared" si="196"/>
        <v>20140101PSS</v>
      </c>
      <c r="AY285" s="439">
        <f>IF(AV285&lt;=MiscData!$B$23,MiscData!$C$23,IF(AV285&lt;=MiscData!$B$24,MiscData!$C$24,MiscData!$C$25))</f>
        <v>20140101</v>
      </c>
      <c r="AZ285" s="439" t="str">
        <f>VLOOKUP(BA285,MiscData!$V$4:$W$42,2,FALSE)</f>
        <v>KUCIE717</v>
      </c>
      <c r="BA285" s="439">
        <f>IF(BA284=MiscData!$V$42,1,BA284+1)</f>
        <v>9</v>
      </c>
      <c r="BB285" s="439" t="str">
        <f>VLOOKUP(AZ285,MiscData!$W$4:$Y$42,3,FALSE)</f>
        <v>PSS</v>
      </c>
    </row>
    <row r="286" spans="1:55">
      <c r="A286" s="499">
        <f t="shared" si="197"/>
        <v>262</v>
      </c>
      <c r="B286" s="448" t="str">
        <f t="shared" si="159"/>
        <v>Aug 2015</v>
      </c>
      <c r="C286" s="448" t="s">
        <v>208</v>
      </c>
      <c r="D286" s="449" t="str">
        <f t="shared" si="160"/>
        <v>GS</v>
      </c>
      <c r="E286" s="449" t="str">
        <f t="shared" si="161"/>
        <v>KUCME110</v>
      </c>
      <c r="F286" s="450">
        <f t="shared" si="162"/>
        <v>63498</v>
      </c>
      <c r="G286" s="450">
        <v>0</v>
      </c>
      <c r="H286" s="450">
        <v>0</v>
      </c>
      <c r="I286" s="450">
        <v>0</v>
      </c>
      <c r="J286" s="450">
        <f t="shared" si="163"/>
        <v>73848581</v>
      </c>
      <c r="K286" s="482">
        <f t="shared" si="164"/>
        <v>0</v>
      </c>
      <c r="L286" s="482">
        <f t="shared" si="165"/>
        <v>0</v>
      </c>
      <c r="M286" s="482">
        <f t="shared" si="166"/>
        <v>0</v>
      </c>
      <c r="N286" s="482">
        <f t="shared" si="167"/>
        <v>0</v>
      </c>
      <c r="O286" s="482">
        <f t="shared" si="168"/>
        <v>0</v>
      </c>
      <c r="P286" s="482">
        <f t="shared" si="169"/>
        <v>0</v>
      </c>
      <c r="Q286" s="451">
        <f t="shared" si="170"/>
        <v>20</v>
      </c>
      <c r="R286" s="452">
        <f t="shared" si="171"/>
        <v>9.2249999999999999E-2</v>
      </c>
      <c r="S286" s="452">
        <v>0</v>
      </c>
      <c r="T286" s="452">
        <v>0</v>
      </c>
      <c r="U286" s="452">
        <f t="shared" si="172"/>
        <v>2.8920000000000001E-2</v>
      </c>
      <c r="V286" s="451">
        <f t="shared" si="173"/>
        <v>0</v>
      </c>
      <c r="W286" s="451">
        <f t="shared" si="174"/>
        <v>0</v>
      </c>
      <c r="X286" s="451">
        <f t="shared" si="175"/>
        <v>0</v>
      </c>
      <c r="Y286" s="453">
        <f t="shared" si="176"/>
        <v>1269960</v>
      </c>
      <c r="Z286" s="453">
        <f t="shared" si="177"/>
        <v>6812531.5999999996</v>
      </c>
      <c r="AA286" s="453">
        <f t="shared" si="178"/>
        <v>0</v>
      </c>
      <c r="AB286" s="453">
        <f t="shared" si="179"/>
        <v>0</v>
      </c>
      <c r="AC286" s="453">
        <f t="shared" si="180"/>
        <v>0</v>
      </c>
      <c r="AD286" s="453">
        <f t="shared" si="181"/>
        <v>0</v>
      </c>
      <c r="AE286" s="493">
        <f t="shared" si="182"/>
        <v>8082491.5999999996</v>
      </c>
      <c r="AF286" s="453">
        <f t="shared" si="183"/>
        <v>8082499</v>
      </c>
      <c r="AG286" s="494">
        <f t="shared" si="184"/>
        <v>1.0000009155592566</v>
      </c>
      <c r="AH286" s="454">
        <f t="shared" si="185"/>
        <v>158398</v>
      </c>
      <c r="AI286" s="454">
        <f t="shared" si="186"/>
        <v>135938</v>
      </c>
      <c r="AJ286" s="454">
        <f t="shared" si="187"/>
        <v>312777</v>
      </c>
      <c r="AK286" s="454">
        <f t="shared" si="188"/>
        <v>0</v>
      </c>
      <c r="AL286" s="454">
        <f t="shared" si="189"/>
        <v>0</v>
      </c>
      <c r="AM286" s="454">
        <f t="shared" si="190"/>
        <v>8689612</v>
      </c>
      <c r="AN286" s="491">
        <f t="shared" si="191"/>
        <v>8689604.5999999996</v>
      </c>
      <c r="AO286" s="487">
        <f t="shared" si="192"/>
        <v>7.400000000372529</v>
      </c>
      <c r="AP286" s="495">
        <f t="shared" si="193"/>
        <v>2135700.96</v>
      </c>
      <c r="AQ286" s="496">
        <f t="shared" si="194"/>
        <v>4676830.6399999997</v>
      </c>
      <c r="AV286" s="459">
        <f>IF(BA286&gt;BA285,AV285,IF(AV285&lt;MiscData!$F$1,EOMONTH(AV285,1),EOMONTH(AV285,-11)))</f>
        <v>42247</v>
      </c>
      <c r="AW286" s="448" t="str">
        <f t="shared" si="195"/>
        <v>20140101KUCME110</v>
      </c>
      <c r="AX286" s="457" t="str">
        <f t="shared" si="196"/>
        <v>20140101GS</v>
      </c>
      <c r="AY286" s="439">
        <f>IF(AV286&lt;=MiscData!$B$23,MiscData!$C$23,IF(AV286&lt;=MiscData!$B$24,MiscData!$C$24,MiscData!$C$25))</f>
        <v>20140101</v>
      </c>
      <c r="AZ286" s="439" t="str">
        <f>VLOOKUP(BA286,MiscData!$V$4:$W$42,2,FALSE)</f>
        <v>KUCME110</v>
      </c>
      <c r="BA286" s="439">
        <f>IF(BA285=MiscData!$V$42,1,BA285+1)</f>
        <v>10</v>
      </c>
      <c r="BB286" s="511" t="str">
        <f>VLOOKUP(AZ286,MiscData!$W$4:$Y$42,3,FALSE)</f>
        <v>GS</v>
      </c>
    </row>
    <row r="287" spans="1:55">
      <c r="A287" s="499">
        <f t="shared" si="197"/>
        <v>263</v>
      </c>
      <c r="B287" s="448" t="str">
        <f t="shared" si="159"/>
        <v>Aug 2015</v>
      </c>
      <c r="C287" s="448" t="s">
        <v>208</v>
      </c>
      <c r="D287" s="449" t="str">
        <f t="shared" si="160"/>
        <v>GS</v>
      </c>
      <c r="E287" s="449" t="str">
        <f t="shared" si="161"/>
        <v>KUCME112</v>
      </c>
      <c r="F287" s="450">
        <f t="shared" si="162"/>
        <v>0</v>
      </c>
      <c r="G287" s="450">
        <v>0</v>
      </c>
      <c r="H287" s="450">
        <v>0</v>
      </c>
      <c r="I287" s="450">
        <v>0</v>
      </c>
      <c r="J287" s="450">
        <f t="shared" si="163"/>
        <v>0</v>
      </c>
      <c r="K287" s="482">
        <f t="shared" si="164"/>
        <v>0</v>
      </c>
      <c r="L287" s="482">
        <f t="shared" si="165"/>
        <v>0</v>
      </c>
      <c r="M287" s="482">
        <f t="shared" si="166"/>
        <v>0</v>
      </c>
      <c r="N287" s="482">
        <f t="shared" si="167"/>
        <v>0</v>
      </c>
      <c r="O287" s="482">
        <f t="shared" si="168"/>
        <v>0</v>
      </c>
      <c r="P287" s="482">
        <f t="shared" si="169"/>
        <v>0</v>
      </c>
      <c r="Q287" s="451">
        <f t="shared" si="170"/>
        <v>20</v>
      </c>
      <c r="R287" s="452">
        <f t="shared" si="171"/>
        <v>9.2249999999999999E-2</v>
      </c>
      <c r="S287" s="452">
        <v>0</v>
      </c>
      <c r="T287" s="452">
        <v>0</v>
      </c>
      <c r="U287" s="452">
        <f t="shared" si="172"/>
        <v>2.8920000000000001E-2</v>
      </c>
      <c r="V287" s="451">
        <f t="shared" si="173"/>
        <v>0</v>
      </c>
      <c r="W287" s="451">
        <f t="shared" si="174"/>
        <v>0</v>
      </c>
      <c r="X287" s="451">
        <f t="shared" si="175"/>
        <v>0</v>
      </c>
      <c r="Y287" s="453">
        <f t="shared" si="176"/>
        <v>0</v>
      </c>
      <c r="Z287" s="453">
        <f t="shared" si="177"/>
        <v>0</v>
      </c>
      <c r="AA287" s="453">
        <f t="shared" si="178"/>
        <v>0</v>
      </c>
      <c r="AB287" s="453">
        <f t="shared" si="179"/>
        <v>0</v>
      </c>
      <c r="AC287" s="453">
        <f t="shared" si="180"/>
        <v>0</v>
      </c>
      <c r="AD287" s="453">
        <f t="shared" si="181"/>
        <v>0</v>
      </c>
      <c r="AE287" s="493">
        <f t="shared" si="182"/>
        <v>0</v>
      </c>
      <c r="AF287" s="453">
        <f t="shared" si="183"/>
        <v>0</v>
      </c>
      <c r="AG287" s="494">
        <f t="shared" si="184"/>
        <v>1</v>
      </c>
      <c r="AH287" s="454">
        <f t="shared" si="185"/>
        <v>0</v>
      </c>
      <c r="AI287" s="454">
        <f t="shared" si="186"/>
        <v>0</v>
      </c>
      <c r="AJ287" s="454">
        <f t="shared" si="187"/>
        <v>0</v>
      </c>
      <c r="AK287" s="454">
        <f t="shared" si="188"/>
        <v>0</v>
      </c>
      <c r="AL287" s="454">
        <f t="shared" si="189"/>
        <v>0</v>
      </c>
      <c r="AM287" s="454">
        <f t="shared" si="190"/>
        <v>0</v>
      </c>
      <c r="AN287" s="491">
        <f t="shared" si="191"/>
        <v>0</v>
      </c>
      <c r="AO287" s="487">
        <f t="shared" si="192"/>
        <v>0</v>
      </c>
      <c r="AP287" s="495">
        <f t="shared" si="193"/>
        <v>0</v>
      </c>
      <c r="AQ287" s="496">
        <f t="shared" si="194"/>
        <v>0</v>
      </c>
      <c r="AV287" s="459">
        <f>IF(BA287&gt;BA286,AV286,IF(AV286&lt;MiscData!$F$1,EOMONTH(AV286,1),EOMONTH(AV286,-11)))</f>
        <v>42247</v>
      </c>
      <c r="AW287" s="448" t="str">
        <f t="shared" si="195"/>
        <v>20140101KUCME112</v>
      </c>
      <c r="AX287" s="457" t="str">
        <f t="shared" si="196"/>
        <v>20140101GS</v>
      </c>
      <c r="AY287" s="439">
        <f>IF(AV287&lt;=MiscData!$B$23,MiscData!$C$23,IF(AV287&lt;=MiscData!$B$24,MiscData!$C$24,MiscData!$C$25))</f>
        <v>20140101</v>
      </c>
      <c r="AZ287" s="439" t="str">
        <f>VLOOKUP(BA287,MiscData!$V$4:$W$42,2,FALSE)</f>
        <v>KUCME112</v>
      </c>
      <c r="BA287" s="439">
        <f>IF(BA286=MiscData!$V$42,1,BA286+1)</f>
        <v>11</v>
      </c>
      <c r="BB287" s="511" t="str">
        <f>VLOOKUP(AZ287,MiscData!$W$4:$Y$42,3,FALSE)</f>
        <v>GS</v>
      </c>
    </row>
    <row r="288" spans="1:55">
      <c r="A288" s="448">
        <f t="shared" si="197"/>
        <v>264</v>
      </c>
      <c r="B288" s="448" t="str">
        <f t="shared" si="159"/>
        <v>Aug 2015</v>
      </c>
      <c r="C288" s="448" t="s">
        <v>17</v>
      </c>
      <c r="D288" s="449" t="str">
        <f t="shared" si="160"/>
        <v>GS3</v>
      </c>
      <c r="E288" s="449" t="str">
        <f t="shared" si="161"/>
        <v>KUCME113</v>
      </c>
      <c r="F288" s="450">
        <f t="shared" si="162"/>
        <v>18562</v>
      </c>
      <c r="G288" s="450">
        <v>0</v>
      </c>
      <c r="H288" s="450">
        <v>0</v>
      </c>
      <c r="I288" s="450">
        <v>0</v>
      </c>
      <c r="J288" s="450">
        <f t="shared" si="163"/>
        <v>108396952</v>
      </c>
      <c r="K288" s="482">
        <f t="shared" si="164"/>
        <v>388709</v>
      </c>
      <c r="L288" s="482">
        <f t="shared" si="165"/>
        <v>0</v>
      </c>
      <c r="M288" s="482">
        <f t="shared" si="166"/>
        <v>0</v>
      </c>
      <c r="N288" s="482">
        <f t="shared" si="167"/>
        <v>0</v>
      </c>
      <c r="O288" s="482">
        <f t="shared" si="168"/>
        <v>0</v>
      </c>
      <c r="P288" s="482">
        <f t="shared" si="169"/>
        <v>0</v>
      </c>
      <c r="Q288" s="451">
        <f t="shared" si="170"/>
        <v>35</v>
      </c>
      <c r="R288" s="452">
        <f t="shared" si="171"/>
        <v>9.2249999999999999E-2</v>
      </c>
      <c r="S288" s="452">
        <v>0</v>
      </c>
      <c r="T288" s="452">
        <v>0</v>
      </c>
      <c r="U288" s="452">
        <f t="shared" si="172"/>
        <v>2.8920000000000001E-2</v>
      </c>
      <c r="V288" s="451">
        <f t="shared" si="173"/>
        <v>0</v>
      </c>
      <c r="W288" s="451">
        <f t="shared" si="174"/>
        <v>0</v>
      </c>
      <c r="X288" s="451">
        <f t="shared" si="175"/>
        <v>0</v>
      </c>
      <c r="Y288" s="453">
        <f t="shared" si="176"/>
        <v>649670</v>
      </c>
      <c r="Z288" s="453">
        <f t="shared" si="177"/>
        <v>9999618.8200000003</v>
      </c>
      <c r="AA288" s="453">
        <f t="shared" si="178"/>
        <v>0</v>
      </c>
      <c r="AB288" s="453">
        <f t="shared" si="179"/>
        <v>0</v>
      </c>
      <c r="AC288" s="453">
        <f t="shared" si="180"/>
        <v>0</v>
      </c>
      <c r="AD288" s="453">
        <f t="shared" si="181"/>
        <v>0</v>
      </c>
      <c r="AE288" s="493">
        <f t="shared" si="182"/>
        <v>10649288.82</v>
      </c>
      <c r="AF288" s="453">
        <f t="shared" si="183"/>
        <v>10649275</v>
      </c>
      <c r="AG288" s="494">
        <f t="shared" si="184"/>
        <v>0.99999870226075804</v>
      </c>
      <c r="AH288" s="454">
        <f t="shared" si="185"/>
        <v>232502</v>
      </c>
      <c r="AI288" s="454">
        <f t="shared" si="186"/>
        <v>199533</v>
      </c>
      <c r="AJ288" s="454">
        <f t="shared" si="187"/>
        <v>459103</v>
      </c>
      <c r="AK288" s="454">
        <f t="shared" si="188"/>
        <v>0</v>
      </c>
      <c r="AL288" s="454">
        <f t="shared" si="189"/>
        <v>0</v>
      </c>
      <c r="AM288" s="454">
        <f t="shared" si="190"/>
        <v>11540413</v>
      </c>
      <c r="AN288" s="491">
        <f t="shared" si="191"/>
        <v>11540426.82</v>
      </c>
      <c r="AO288" s="487">
        <f t="shared" si="192"/>
        <v>-13.820000000298023</v>
      </c>
      <c r="AP288" s="495">
        <f t="shared" si="193"/>
        <v>3134839.85</v>
      </c>
      <c r="AQ288" s="496">
        <f t="shared" si="194"/>
        <v>6864778.9700000007</v>
      </c>
      <c r="AV288" s="459">
        <f>IF(BA288&gt;BA287,AV287,IF(AV287&lt;MiscData!$F$1,EOMONTH(AV287,1),EOMONTH(AV287,-11)))</f>
        <v>42247</v>
      </c>
      <c r="AW288" s="448" t="str">
        <f t="shared" si="195"/>
        <v>20140101KUCME113</v>
      </c>
      <c r="AX288" s="457" t="str">
        <f t="shared" si="196"/>
        <v>20140101GS3</v>
      </c>
      <c r="AY288" s="439">
        <f>IF(AV288&lt;=MiscData!$B$23,MiscData!$C$23,IF(AV288&lt;=MiscData!$B$24,MiscData!$C$24,MiscData!$C$25))</f>
        <v>20140101</v>
      </c>
      <c r="AZ288" s="439" t="str">
        <f>VLOOKUP(BA288,MiscData!$V$4:$W$42,2,FALSE)</f>
        <v>KUCME113</v>
      </c>
      <c r="BA288" s="439">
        <f>IF(BA287=MiscData!$V$42,1,BA287+1)</f>
        <v>12</v>
      </c>
      <c r="BB288" s="439" t="str">
        <f>VLOOKUP(AZ288,MiscData!$W$4:$Y$42,3,FALSE)</f>
        <v>GS3</v>
      </c>
    </row>
    <row r="289" spans="1:54" hidden="1">
      <c r="A289" s="448">
        <f t="shared" si="197"/>
        <v>265</v>
      </c>
      <c r="B289" s="448" t="str">
        <f t="shared" si="159"/>
        <v>Aug 2015</v>
      </c>
      <c r="C289" s="448" t="s">
        <v>203</v>
      </c>
      <c r="D289" s="449" t="str">
        <f t="shared" si="160"/>
        <v>AES</v>
      </c>
      <c r="E289" s="449" t="str">
        <f t="shared" si="161"/>
        <v>KUCME220</v>
      </c>
      <c r="F289" s="450">
        <f t="shared" si="162"/>
        <v>376</v>
      </c>
      <c r="G289" s="450">
        <v>0</v>
      </c>
      <c r="H289" s="450">
        <v>0</v>
      </c>
      <c r="I289" s="450">
        <v>0</v>
      </c>
      <c r="J289" s="450">
        <f t="shared" si="163"/>
        <v>629511</v>
      </c>
      <c r="K289" s="482">
        <f t="shared" si="164"/>
        <v>0</v>
      </c>
      <c r="L289" s="482">
        <f t="shared" si="165"/>
        <v>0</v>
      </c>
      <c r="M289" s="482">
        <f t="shared" si="166"/>
        <v>0</v>
      </c>
      <c r="N289" s="482">
        <f t="shared" si="167"/>
        <v>0</v>
      </c>
      <c r="O289" s="482">
        <f t="shared" si="168"/>
        <v>0</v>
      </c>
      <c r="P289" s="482">
        <f t="shared" si="169"/>
        <v>0</v>
      </c>
      <c r="Q289" s="451">
        <f t="shared" si="170"/>
        <v>20</v>
      </c>
      <c r="R289" s="452">
        <f t="shared" si="171"/>
        <v>7.4399999999999994E-2</v>
      </c>
      <c r="S289" s="452">
        <v>0</v>
      </c>
      <c r="T289" s="452">
        <v>0</v>
      </c>
      <c r="U289" s="452">
        <f t="shared" si="172"/>
        <v>2.8920000000000001E-2</v>
      </c>
      <c r="V289" s="451">
        <f t="shared" si="173"/>
        <v>0</v>
      </c>
      <c r="W289" s="451">
        <f t="shared" si="174"/>
        <v>0</v>
      </c>
      <c r="X289" s="451">
        <f t="shared" si="175"/>
        <v>0</v>
      </c>
      <c r="Y289" s="453">
        <f t="shared" si="176"/>
        <v>7520</v>
      </c>
      <c r="Z289" s="453">
        <f t="shared" si="177"/>
        <v>46835.62</v>
      </c>
      <c r="AA289" s="453">
        <f t="shared" si="178"/>
        <v>0</v>
      </c>
      <c r="AB289" s="453">
        <f t="shared" si="179"/>
        <v>0</v>
      </c>
      <c r="AC289" s="453">
        <f t="shared" si="180"/>
        <v>0</v>
      </c>
      <c r="AD289" s="453">
        <f t="shared" si="181"/>
        <v>0</v>
      </c>
      <c r="AE289" s="493">
        <f t="shared" si="182"/>
        <v>54355.62</v>
      </c>
      <c r="AF289" s="453">
        <f t="shared" si="183"/>
        <v>54356</v>
      </c>
      <c r="AG289" s="494">
        <f t="shared" si="184"/>
        <v>1.000006990997435</v>
      </c>
      <c r="AH289" s="454">
        <f t="shared" si="185"/>
        <v>1350</v>
      </c>
      <c r="AI289" s="454">
        <f t="shared" si="186"/>
        <v>1159</v>
      </c>
      <c r="AJ289" s="454">
        <f t="shared" si="187"/>
        <v>2666</v>
      </c>
      <c r="AK289" s="454">
        <f t="shared" si="188"/>
        <v>0</v>
      </c>
      <c r="AL289" s="454">
        <f t="shared" si="189"/>
        <v>0</v>
      </c>
      <c r="AM289" s="454">
        <f t="shared" si="190"/>
        <v>59531</v>
      </c>
      <c r="AN289" s="491">
        <f t="shared" si="191"/>
        <v>59530.62</v>
      </c>
      <c r="AO289" s="487">
        <f t="shared" si="192"/>
        <v>0.37999999999738066</v>
      </c>
      <c r="AP289" s="495">
        <f t="shared" si="193"/>
        <v>18205.46</v>
      </c>
      <c r="AQ289" s="496">
        <f t="shared" si="194"/>
        <v>28630.160000000003</v>
      </c>
      <c r="AV289" s="459">
        <f>IF(BA289&gt;BA288,AV288,IF(AV288&lt;MiscData!$F$1,EOMONTH(AV288,1),EOMONTH(AV288,-11)))</f>
        <v>42247</v>
      </c>
      <c r="AW289" s="448" t="str">
        <f t="shared" si="195"/>
        <v>20140101KUCME220</v>
      </c>
      <c r="AX289" s="457" t="str">
        <f t="shared" si="196"/>
        <v>20140101AES</v>
      </c>
      <c r="AY289" s="439">
        <f>IF(AV289&lt;=MiscData!$B$23,MiscData!$C$23,IF(AV289&lt;=MiscData!$B$24,MiscData!$C$24,MiscData!$C$25))</f>
        <v>20140101</v>
      </c>
      <c r="AZ289" s="439" t="str">
        <f>VLOOKUP(BA289,MiscData!$V$4:$W$42,2,FALSE)</f>
        <v>KUCME220</v>
      </c>
      <c r="BA289" s="439">
        <f>IF(BA288=MiscData!$V$42,1,BA288+1)</f>
        <v>13</v>
      </c>
      <c r="BB289" s="439" t="str">
        <f>VLOOKUP(AZ289,MiscData!$W$4:$Y$42,3,FALSE)</f>
        <v>AES</v>
      </c>
    </row>
    <row r="290" spans="1:54" hidden="1">
      <c r="A290" s="448">
        <f t="shared" si="197"/>
        <v>266</v>
      </c>
      <c r="B290" s="448" t="str">
        <f t="shared" si="159"/>
        <v>Aug 2015</v>
      </c>
      <c r="C290" s="448" t="s">
        <v>203</v>
      </c>
      <c r="D290" s="449" t="str">
        <f t="shared" si="160"/>
        <v>AES</v>
      </c>
      <c r="E290" s="449" t="str">
        <f t="shared" si="161"/>
        <v>KUCME221</v>
      </c>
      <c r="F290" s="450">
        <f t="shared" si="162"/>
        <v>0</v>
      </c>
      <c r="G290" s="450">
        <v>0</v>
      </c>
      <c r="H290" s="450">
        <v>0</v>
      </c>
      <c r="I290" s="450">
        <v>0</v>
      </c>
      <c r="J290" s="450">
        <f t="shared" si="163"/>
        <v>0</v>
      </c>
      <c r="K290" s="482">
        <f t="shared" si="164"/>
        <v>0</v>
      </c>
      <c r="L290" s="482">
        <f t="shared" si="165"/>
        <v>0</v>
      </c>
      <c r="M290" s="482">
        <f t="shared" si="166"/>
        <v>0</v>
      </c>
      <c r="N290" s="482">
        <f t="shared" si="167"/>
        <v>0</v>
      </c>
      <c r="O290" s="482">
        <f t="shared" si="168"/>
        <v>0</v>
      </c>
      <c r="P290" s="482">
        <f t="shared" si="169"/>
        <v>0</v>
      </c>
      <c r="Q290" s="451">
        <f t="shared" si="170"/>
        <v>20</v>
      </c>
      <c r="R290" s="452">
        <f t="shared" si="171"/>
        <v>7.4399999999999994E-2</v>
      </c>
      <c r="S290" s="452">
        <v>0</v>
      </c>
      <c r="T290" s="452">
        <v>0</v>
      </c>
      <c r="U290" s="452">
        <f t="shared" si="172"/>
        <v>2.8920000000000001E-2</v>
      </c>
      <c r="V290" s="451">
        <f t="shared" si="173"/>
        <v>0</v>
      </c>
      <c r="W290" s="451">
        <f t="shared" si="174"/>
        <v>0</v>
      </c>
      <c r="X290" s="451">
        <f t="shared" si="175"/>
        <v>0</v>
      </c>
      <c r="Y290" s="453">
        <f t="shared" si="176"/>
        <v>0</v>
      </c>
      <c r="Z290" s="453">
        <f t="shared" si="177"/>
        <v>0</v>
      </c>
      <c r="AA290" s="453">
        <f t="shared" si="178"/>
        <v>0</v>
      </c>
      <c r="AB290" s="453">
        <f t="shared" si="179"/>
        <v>0</v>
      </c>
      <c r="AC290" s="453">
        <f t="shared" si="180"/>
        <v>0</v>
      </c>
      <c r="AD290" s="453">
        <f t="shared" si="181"/>
        <v>0</v>
      </c>
      <c r="AE290" s="493">
        <f t="shared" si="182"/>
        <v>0</v>
      </c>
      <c r="AF290" s="453">
        <f t="shared" si="183"/>
        <v>0</v>
      </c>
      <c r="AG290" s="494">
        <f t="shared" si="184"/>
        <v>1</v>
      </c>
      <c r="AH290" s="454">
        <f t="shared" si="185"/>
        <v>0</v>
      </c>
      <c r="AI290" s="454">
        <f t="shared" si="186"/>
        <v>0</v>
      </c>
      <c r="AJ290" s="454">
        <f t="shared" si="187"/>
        <v>0</v>
      </c>
      <c r="AK290" s="454">
        <f t="shared" si="188"/>
        <v>0</v>
      </c>
      <c r="AL290" s="454">
        <f t="shared" si="189"/>
        <v>0</v>
      </c>
      <c r="AM290" s="454">
        <f t="shared" si="190"/>
        <v>0</v>
      </c>
      <c r="AN290" s="491">
        <f t="shared" si="191"/>
        <v>0</v>
      </c>
      <c r="AO290" s="487">
        <f t="shared" si="192"/>
        <v>0</v>
      </c>
      <c r="AP290" s="495">
        <f t="shared" si="193"/>
        <v>0</v>
      </c>
      <c r="AQ290" s="496">
        <f t="shared" si="194"/>
        <v>0</v>
      </c>
      <c r="AV290" s="459">
        <f>IF(BA290&gt;BA289,AV289,IF(AV289&lt;MiscData!$F$1,EOMONTH(AV289,1),EOMONTH(AV289,-11)))</f>
        <v>42247</v>
      </c>
      <c r="AW290" s="448" t="str">
        <f t="shared" si="195"/>
        <v>20140101KUCME221</v>
      </c>
      <c r="AX290" s="457" t="str">
        <f t="shared" si="196"/>
        <v>20140101AES</v>
      </c>
      <c r="AY290" s="439">
        <f>IF(AV290&lt;=MiscData!$B$23,MiscData!$C$23,IF(AV290&lt;=MiscData!$B$24,MiscData!$C$24,MiscData!$C$25))</f>
        <v>20140101</v>
      </c>
      <c r="AZ290" s="439" t="str">
        <f>VLOOKUP(BA290,MiscData!$V$4:$W$42,2,FALSE)</f>
        <v>KUCME221</v>
      </c>
      <c r="BA290" s="439">
        <f>IF(BA289=MiscData!$V$42,1,BA289+1)</f>
        <v>14</v>
      </c>
      <c r="BB290" s="439" t="str">
        <f>VLOOKUP(AZ290,MiscData!$W$4:$Y$42,3,FALSE)</f>
        <v>AES</v>
      </c>
    </row>
    <row r="291" spans="1:54" hidden="1">
      <c r="A291" s="448">
        <f t="shared" si="197"/>
        <v>267</v>
      </c>
      <c r="B291" s="448" t="str">
        <f t="shared" si="159"/>
        <v>Aug 2015</v>
      </c>
      <c r="C291" s="832" t="s">
        <v>212</v>
      </c>
      <c r="D291" s="449" t="str">
        <f t="shared" si="160"/>
        <v>AES3</v>
      </c>
      <c r="E291" s="449" t="str">
        <f t="shared" si="161"/>
        <v>KUCME223</v>
      </c>
      <c r="F291" s="450">
        <f t="shared" si="162"/>
        <v>0</v>
      </c>
      <c r="G291" s="450">
        <v>0</v>
      </c>
      <c r="H291" s="450">
        <v>0</v>
      </c>
      <c r="I291" s="450">
        <v>0</v>
      </c>
      <c r="J291" s="450">
        <f t="shared" si="163"/>
        <v>0</v>
      </c>
      <c r="K291" s="482">
        <f t="shared" si="164"/>
        <v>0</v>
      </c>
      <c r="L291" s="482">
        <f t="shared" si="165"/>
        <v>0</v>
      </c>
      <c r="M291" s="482">
        <f t="shared" si="166"/>
        <v>0</v>
      </c>
      <c r="N291" s="482">
        <f t="shared" si="167"/>
        <v>0</v>
      </c>
      <c r="O291" s="482">
        <f t="shared" si="168"/>
        <v>0</v>
      </c>
      <c r="P291" s="482">
        <f t="shared" si="169"/>
        <v>0</v>
      </c>
      <c r="Q291" s="451">
        <f t="shared" si="170"/>
        <v>35</v>
      </c>
      <c r="R291" s="452">
        <f t="shared" si="171"/>
        <v>7.4399999999999994E-2</v>
      </c>
      <c r="S291" s="452">
        <v>0</v>
      </c>
      <c r="T291" s="452">
        <v>0</v>
      </c>
      <c r="U291" s="452">
        <f t="shared" si="172"/>
        <v>2.8920000000000001E-2</v>
      </c>
      <c r="V291" s="451">
        <f t="shared" si="173"/>
        <v>0</v>
      </c>
      <c r="W291" s="451">
        <f t="shared" si="174"/>
        <v>0</v>
      </c>
      <c r="X291" s="451">
        <f t="shared" si="175"/>
        <v>0</v>
      </c>
      <c r="Y291" s="453">
        <f t="shared" si="176"/>
        <v>0</v>
      </c>
      <c r="Z291" s="453">
        <f t="shared" si="177"/>
        <v>0</v>
      </c>
      <c r="AA291" s="453">
        <f t="shared" si="178"/>
        <v>0</v>
      </c>
      <c r="AB291" s="453">
        <f t="shared" si="179"/>
        <v>0</v>
      </c>
      <c r="AC291" s="453">
        <f t="shared" si="180"/>
        <v>0</v>
      </c>
      <c r="AD291" s="453">
        <f t="shared" si="181"/>
        <v>0</v>
      </c>
      <c r="AE291" s="493">
        <f t="shared" si="182"/>
        <v>0</v>
      </c>
      <c r="AF291" s="453">
        <f t="shared" si="183"/>
        <v>0</v>
      </c>
      <c r="AG291" s="494">
        <f t="shared" si="184"/>
        <v>1</v>
      </c>
      <c r="AH291" s="454">
        <f t="shared" si="185"/>
        <v>0</v>
      </c>
      <c r="AI291" s="454">
        <f t="shared" si="186"/>
        <v>0</v>
      </c>
      <c r="AJ291" s="454">
        <f t="shared" si="187"/>
        <v>0</v>
      </c>
      <c r="AK291" s="454">
        <f t="shared" si="188"/>
        <v>0</v>
      </c>
      <c r="AL291" s="454">
        <f t="shared" si="189"/>
        <v>0</v>
      </c>
      <c r="AM291" s="454">
        <f t="shared" si="190"/>
        <v>0</v>
      </c>
      <c r="AN291" s="491">
        <f t="shared" si="191"/>
        <v>0</v>
      </c>
      <c r="AO291" s="487">
        <f t="shared" si="192"/>
        <v>0</v>
      </c>
      <c r="AP291" s="495">
        <f t="shared" si="193"/>
        <v>0</v>
      </c>
      <c r="AQ291" s="496">
        <f t="shared" si="194"/>
        <v>0</v>
      </c>
      <c r="AV291" s="459">
        <f>IF(BA291&gt;BA290,AV290,IF(AV290&lt;MiscData!$F$1,EOMONTH(AV290,1),EOMONTH(AV290,-11)))</f>
        <v>42247</v>
      </c>
      <c r="AW291" s="448" t="str">
        <f t="shared" si="195"/>
        <v>20140101KUCME223</v>
      </c>
      <c r="AX291" s="457" t="str">
        <f t="shared" si="196"/>
        <v>20140101AES3</v>
      </c>
      <c r="AY291" s="439">
        <f>IF(AV291&lt;=MiscData!$B$23,MiscData!$C$23,IF(AV291&lt;=MiscData!$B$24,MiscData!$C$24,MiscData!$C$25))</f>
        <v>20140101</v>
      </c>
      <c r="AZ291" s="439" t="str">
        <f>VLOOKUP(BA291,MiscData!$V$4:$W$42,2,FALSE)</f>
        <v>KUCME223</v>
      </c>
      <c r="BA291" s="439">
        <f>IF(BA290=MiscData!$V$42,1,BA290+1)</f>
        <v>15</v>
      </c>
      <c r="BB291" s="439" t="str">
        <f>VLOOKUP(AZ291,MiscData!$W$4:$Y$42,3,FALSE)</f>
        <v>AES3</v>
      </c>
    </row>
    <row r="292" spans="1:54" hidden="1">
      <c r="A292" s="448">
        <f t="shared" si="197"/>
        <v>268</v>
      </c>
      <c r="B292" s="448" t="str">
        <f t="shared" si="159"/>
        <v>Aug 2015</v>
      </c>
      <c r="C292" s="832" t="s">
        <v>212</v>
      </c>
      <c r="D292" s="449" t="str">
        <f t="shared" si="160"/>
        <v>AES3</v>
      </c>
      <c r="E292" s="449" t="str">
        <f t="shared" si="161"/>
        <v>KUCME224</v>
      </c>
      <c r="F292" s="450">
        <f t="shared" si="162"/>
        <v>261</v>
      </c>
      <c r="G292" s="450">
        <v>0</v>
      </c>
      <c r="H292" s="450">
        <v>0</v>
      </c>
      <c r="I292" s="450">
        <v>0</v>
      </c>
      <c r="J292" s="450">
        <f t="shared" si="163"/>
        <v>11667674</v>
      </c>
      <c r="K292" s="482">
        <f t="shared" si="164"/>
        <v>44048</v>
      </c>
      <c r="L292" s="482">
        <f t="shared" si="165"/>
        <v>0</v>
      </c>
      <c r="M292" s="482">
        <f t="shared" si="166"/>
        <v>0</v>
      </c>
      <c r="N292" s="482">
        <f t="shared" si="167"/>
        <v>0</v>
      </c>
      <c r="O292" s="482">
        <f t="shared" si="168"/>
        <v>0</v>
      </c>
      <c r="P292" s="482">
        <f t="shared" si="169"/>
        <v>0</v>
      </c>
      <c r="Q292" s="451">
        <f t="shared" si="170"/>
        <v>35</v>
      </c>
      <c r="R292" s="452">
        <f t="shared" si="171"/>
        <v>7.4399999999999994E-2</v>
      </c>
      <c r="S292" s="452">
        <v>0</v>
      </c>
      <c r="T292" s="452">
        <v>0</v>
      </c>
      <c r="U292" s="452">
        <f t="shared" si="172"/>
        <v>2.8920000000000001E-2</v>
      </c>
      <c r="V292" s="451">
        <f t="shared" si="173"/>
        <v>0</v>
      </c>
      <c r="W292" s="451">
        <f t="shared" si="174"/>
        <v>0</v>
      </c>
      <c r="X292" s="451">
        <f t="shared" si="175"/>
        <v>0</v>
      </c>
      <c r="Y292" s="453">
        <f t="shared" si="176"/>
        <v>9135</v>
      </c>
      <c r="Z292" s="453">
        <f t="shared" si="177"/>
        <v>868074.95</v>
      </c>
      <c r="AA292" s="453">
        <f t="shared" si="178"/>
        <v>0</v>
      </c>
      <c r="AB292" s="453">
        <f t="shared" si="179"/>
        <v>0</v>
      </c>
      <c r="AC292" s="453">
        <f t="shared" si="180"/>
        <v>0</v>
      </c>
      <c r="AD292" s="453">
        <f t="shared" si="181"/>
        <v>0</v>
      </c>
      <c r="AE292" s="493">
        <f t="shared" si="182"/>
        <v>877209.95</v>
      </c>
      <c r="AF292" s="453">
        <f t="shared" si="183"/>
        <v>877211</v>
      </c>
      <c r="AG292" s="494">
        <f t="shared" si="184"/>
        <v>1.000001196976847</v>
      </c>
      <c r="AH292" s="454">
        <f t="shared" si="185"/>
        <v>25026</v>
      </c>
      <c r="AI292" s="454">
        <f t="shared" si="186"/>
        <v>21477</v>
      </c>
      <c r="AJ292" s="454">
        <f t="shared" si="187"/>
        <v>49417</v>
      </c>
      <c r="AK292" s="454">
        <f t="shared" si="188"/>
        <v>0</v>
      </c>
      <c r="AL292" s="454">
        <f t="shared" si="189"/>
        <v>0</v>
      </c>
      <c r="AM292" s="454">
        <f t="shared" si="190"/>
        <v>973131</v>
      </c>
      <c r="AN292" s="491">
        <f t="shared" si="191"/>
        <v>973129.95</v>
      </c>
      <c r="AO292" s="487">
        <f t="shared" si="192"/>
        <v>1.0500000000465661</v>
      </c>
      <c r="AP292" s="495">
        <f t="shared" si="193"/>
        <v>337429.13</v>
      </c>
      <c r="AQ292" s="496">
        <f t="shared" si="194"/>
        <v>530645.81999999995</v>
      </c>
      <c r="AV292" s="459">
        <f>IF(BA292&gt;BA291,AV291,IF(AV291&lt;MiscData!$F$1,EOMONTH(AV291,1),EOMONTH(AV291,-11)))</f>
        <v>42247</v>
      </c>
      <c r="AW292" s="448" t="str">
        <f t="shared" si="195"/>
        <v>20140101KUCME224</v>
      </c>
      <c r="AX292" s="457" t="str">
        <f t="shared" si="196"/>
        <v>20140101AES3</v>
      </c>
      <c r="AY292" s="439">
        <f>IF(AV292&lt;=MiscData!$B$23,MiscData!$C$23,IF(AV292&lt;=MiscData!$B$24,MiscData!$C$24,MiscData!$C$25))</f>
        <v>20140101</v>
      </c>
      <c r="AZ292" s="439" t="str">
        <f>VLOOKUP(BA292,MiscData!$V$4:$W$42,2,FALSE)</f>
        <v>KUCME224</v>
      </c>
      <c r="BA292" s="439">
        <f>IF(BA291=MiscData!$V$42,1,BA291+1)</f>
        <v>16</v>
      </c>
      <c r="BB292" s="439" t="str">
        <f>VLOOKUP(AZ292,MiscData!$W$4:$Y$42,3,FALSE)</f>
        <v>AES3</v>
      </c>
    </row>
    <row r="293" spans="1:54" hidden="1">
      <c r="A293" s="448">
        <f t="shared" si="197"/>
        <v>269</v>
      </c>
      <c r="B293" s="448" t="str">
        <f t="shared" si="159"/>
        <v>Aug 2015</v>
      </c>
      <c r="C293" s="832" t="s">
        <v>212</v>
      </c>
      <c r="D293" s="449" t="str">
        <f t="shared" si="160"/>
        <v>AES3</v>
      </c>
      <c r="E293" s="449" t="str">
        <f t="shared" si="161"/>
        <v>KUCME225</v>
      </c>
      <c r="F293" s="450">
        <f t="shared" si="162"/>
        <v>0</v>
      </c>
      <c r="G293" s="450">
        <v>0</v>
      </c>
      <c r="H293" s="450">
        <v>0</v>
      </c>
      <c r="I293" s="450">
        <v>0</v>
      </c>
      <c r="J293" s="450">
        <f t="shared" si="163"/>
        <v>0</v>
      </c>
      <c r="K293" s="482">
        <f t="shared" si="164"/>
        <v>0</v>
      </c>
      <c r="L293" s="482">
        <f t="shared" si="165"/>
        <v>0</v>
      </c>
      <c r="M293" s="482">
        <f t="shared" si="166"/>
        <v>0</v>
      </c>
      <c r="N293" s="482">
        <f t="shared" si="167"/>
        <v>0</v>
      </c>
      <c r="O293" s="482">
        <f t="shared" si="168"/>
        <v>0</v>
      </c>
      <c r="P293" s="482">
        <f t="shared" si="169"/>
        <v>0</v>
      </c>
      <c r="Q293" s="451">
        <f t="shared" si="170"/>
        <v>35</v>
      </c>
      <c r="R293" s="452">
        <f t="shared" si="171"/>
        <v>7.4399999999999994E-2</v>
      </c>
      <c r="S293" s="452">
        <v>0</v>
      </c>
      <c r="T293" s="452">
        <v>0</v>
      </c>
      <c r="U293" s="452">
        <f t="shared" si="172"/>
        <v>2.8920000000000001E-2</v>
      </c>
      <c r="V293" s="451">
        <f t="shared" si="173"/>
        <v>0</v>
      </c>
      <c r="W293" s="451">
        <f t="shared" si="174"/>
        <v>0</v>
      </c>
      <c r="X293" s="451">
        <f t="shared" si="175"/>
        <v>0</v>
      </c>
      <c r="Y293" s="453">
        <f t="shared" si="176"/>
        <v>0</v>
      </c>
      <c r="Z293" s="453">
        <f t="shared" si="177"/>
        <v>0</v>
      </c>
      <c r="AA293" s="453">
        <f t="shared" si="178"/>
        <v>0</v>
      </c>
      <c r="AB293" s="453">
        <f t="shared" si="179"/>
        <v>0</v>
      </c>
      <c r="AC293" s="453">
        <f t="shared" si="180"/>
        <v>0</v>
      </c>
      <c r="AD293" s="453">
        <f t="shared" si="181"/>
        <v>0</v>
      </c>
      <c r="AE293" s="493">
        <f t="shared" si="182"/>
        <v>0</v>
      </c>
      <c r="AF293" s="453">
        <f t="shared" si="183"/>
        <v>0</v>
      </c>
      <c r="AG293" s="494">
        <f t="shared" si="184"/>
        <v>1</v>
      </c>
      <c r="AH293" s="454">
        <f t="shared" si="185"/>
        <v>0</v>
      </c>
      <c r="AI293" s="454">
        <f t="shared" si="186"/>
        <v>0</v>
      </c>
      <c r="AJ293" s="454">
        <f t="shared" si="187"/>
        <v>0</v>
      </c>
      <c r="AK293" s="454">
        <f t="shared" si="188"/>
        <v>0</v>
      </c>
      <c r="AL293" s="454">
        <f t="shared" si="189"/>
        <v>0</v>
      </c>
      <c r="AM293" s="454">
        <f t="shared" si="190"/>
        <v>0</v>
      </c>
      <c r="AN293" s="491">
        <f t="shared" si="191"/>
        <v>0</v>
      </c>
      <c r="AO293" s="487">
        <f t="shared" si="192"/>
        <v>0</v>
      </c>
      <c r="AP293" s="495">
        <f t="shared" si="193"/>
        <v>0</v>
      </c>
      <c r="AQ293" s="496">
        <f t="shared" si="194"/>
        <v>0</v>
      </c>
      <c r="AV293" s="459">
        <f>IF(BA293&gt;BA292,AV292,IF(AV292&lt;MiscData!$F$1,EOMONTH(AV292,1),EOMONTH(AV292,-11)))</f>
        <v>42247</v>
      </c>
      <c r="AW293" s="448" t="str">
        <f t="shared" si="195"/>
        <v>20140101KUCME225</v>
      </c>
      <c r="AX293" s="457" t="str">
        <f t="shared" si="196"/>
        <v>20140101AES3</v>
      </c>
      <c r="AY293" s="439">
        <f>IF(AV293&lt;=MiscData!$B$23,MiscData!$C$23,IF(AV293&lt;=MiscData!$B$24,MiscData!$C$24,MiscData!$C$25))</f>
        <v>20140101</v>
      </c>
      <c r="AZ293" s="439" t="str">
        <f>VLOOKUP(BA293,MiscData!$V$4:$W$42,2,FALSE)</f>
        <v>KUCME225</v>
      </c>
      <c r="BA293" s="439">
        <f>IF(BA292=MiscData!$V$42,1,BA292+1)</f>
        <v>17</v>
      </c>
      <c r="BB293" s="439" t="str">
        <f>VLOOKUP(AZ293,MiscData!$W$4:$Y$42,3,FALSE)</f>
        <v>AES3</v>
      </c>
    </row>
    <row r="294" spans="1:54" hidden="1">
      <c r="A294" s="448">
        <f t="shared" si="197"/>
        <v>270</v>
      </c>
      <c r="B294" s="448" t="str">
        <f t="shared" si="159"/>
        <v>Aug 2015</v>
      </c>
      <c r="C294" s="448" t="s">
        <v>203</v>
      </c>
      <c r="D294" s="449" t="str">
        <f t="shared" si="160"/>
        <v>AES</v>
      </c>
      <c r="E294" s="449" t="str">
        <f t="shared" si="161"/>
        <v>KUCME226</v>
      </c>
      <c r="F294" s="450">
        <f t="shared" si="162"/>
        <v>0</v>
      </c>
      <c r="G294" s="450">
        <v>0</v>
      </c>
      <c r="H294" s="450">
        <v>0</v>
      </c>
      <c r="I294" s="450">
        <v>0</v>
      </c>
      <c r="J294" s="450">
        <f t="shared" si="163"/>
        <v>0</v>
      </c>
      <c r="K294" s="482">
        <f t="shared" si="164"/>
        <v>0</v>
      </c>
      <c r="L294" s="482">
        <f t="shared" si="165"/>
        <v>0</v>
      </c>
      <c r="M294" s="482">
        <f t="shared" si="166"/>
        <v>0</v>
      </c>
      <c r="N294" s="482">
        <f t="shared" si="167"/>
        <v>0</v>
      </c>
      <c r="O294" s="482">
        <f t="shared" si="168"/>
        <v>0</v>
      </c>
      <c r="P294" s="482">
        <f t="shared" si="169"/>
        <v>0</v>
      </c>
      <c r="Q294" s="451">
        <f t="shared" si="170"/>
        <v>20</v>
      </c>
      <c r="R294" s="452">
        <f t="shared" si="171"/>
        <v>7.4399999999999994E-2</v>
      </c>
      <c r="S294" s="452">
        <v>0</v>
      </c>
      <c r="T294" s="452">
        <v>0</v>
      </c>
      <c r="U294" s="452">
        <f t="shared" si="172"/>
        <v>2.8920000000000001E-2</v>
      </c>
      <c r="V294" s="451">
        <f t="shared" si="173"/>
        <v>0</v>
      </c>
      <c r="W294" s="451">
        <f t="shared" si="174"/>
        <v>0</v>
      </c>
      <c r="X294" s="451">
        <f t="shared" si="175"/>
        <v>0</v>
      </c>
      <c r="Y294" s="453">
        <f t="shared" si="176"/>
        <v>0</v>
      </c>
      <c r="Z294" s="453">
        <f t="shared" si="177"/>
        <v>0</v>
      </c>
      <c r="AA294" s="453">
        <f t="shared" si="178"/>
        <v>0</v>
      </c>
      <c r="AB294" s="453">
        <f t="shared" si="179"/>
        <v>0</v>
      </c>
      <c r="AC294" s="453">
        <f t="shared" si="180"/>
        <v>0</v>
      </c>
      <c r="AD294" s="453">
        <f t="shared" si="181"/>
        <v>0</v>
      </c>
      <c r="AE294" s="493">
        <f t="shared" si="182"/>
        <v>0</v>
      </c>
      <c r="AF294" s="453">
        <f t="shared" si="183"/>
        <v>0</v>
      </c>
      <c r="AG294" s="494">
        <f t="shared" si="184"/>
        <v>1</v>
      </c>
      <c r="AH294" s="454">
        <f t="shared" si="185"/>
        <v>0</v>
      </c>
      <c r="AI294" s="454">
        <f t="shared" si="186"/>
        <v>0</v>
      </c>
      <c r="AJ294" s="454">
        <f t="shared" si="187"/>
        <v>0</v>
      </c>
      <c r="AK294" s="454">
        <f t="shared" si="188"/>
        <v>0</v>
      </c>
      <c r="AL294" s="454">
        <f t="shared" si="189"/>
        <v>0</v>
      </c>
      <c r="AM294" s="454">
        <f t="shared" si="190"/>
        <v>0</v>
      </c>
      <c r="AN294" s="491">
        <f t="shared" si="191"/>
        <v>0</v>
      </c>
      <c r="AO294" s="487">
        <f t="shared" si="192"/>
        <v>0</v>
      </c>
      <c r="AP294" s="495">
        <f t="shared" si="193"/>
        <v>0</v>
      </c>
      <c r="AQ294" s="496">
        <f t="shared" si="194"/>
        <v>0</v>
      </c>
      <c r="AV294" s="459">
        <f>IF(BA294&gt;BA293,AV293,IF(AV293&lt;MiscData!$F$1,EOMONTH(AV293,1),EOMONTH(AV293,-11)))</f>
        <v>42247</v>
      </c>
      <c r="AW294" s="448" t="str">
        <f t="shared" si="195"/>
        <v>20140101KUCME226</v>
      </c>
      <c r="AX294" s="457" t="str">
        <f t="shared" si="196"/>
        <v>20140101AES</v>
      </c>
      <c r="AY294" s="439">
        <f>IF(AV294&lt;=MiscData!$B$23,MiscData!$C$23,IF(AV294&lt;=MiscData!$B$24,MiscData!$C$24,MiscData!$C$25))</f>
        <v>20140101</v>
      </c>
      <c r="AZ294" s="439" t="str">
        <f>VLOOKUP(BA294,MiscData!$V$4:$W$42,2,FALSE)</f>
        <v>KUCME226</v>
      </c>
      <c r="BA294" s="439">
        <f>IF(BA293=MiscData!$V$42,1,BA293+1)</f>
        <v>18</v>
      </c>
      <c r="BB294" s="439" t="str">
        <f>VLOOKUP(AZ294,MiscData!$W$4:$Y$42,3,FALSE)</f>
        <v>AES</v>
      </c>
    </row>
    <row r="295" spans="1:54" hidden="1">
      <c r="A295" s="448">
        <f t="shared" si="197"/>
        <v>271</v>
      </c>
      <c r="B295" s="448" t="str">
        <f t="shared" si="159"/>
        <v>Aug 2015</v>
      </c>
      <c r="C295" s="832" t="s">
        <v>212</v>
      </c>
      <c r="D295" s="449" t="str">
        <f t="shared" si="160"/>
        <v>AES3</v>
      </c>
      <c r="E295" s="449" t="str">
        <f t="shared" si="161"/>
        <v>KUCME227</v>
      </c>
      <c r="F295" s="450">
        <f t="shared" si="162"/>
        <v>0</v>
      </c>
      <c r="G295" s="450">
        <v>0</v>
      </c>
      <c r="H295" s="450">
        <v>0</v>
      </c>
      <c r="I295" s="450">
        <v>0</v>
      </c>
      <c r="J295" s="450">
        <f t="shared" si="163"/>
        <v>0</v>
      </c>
      <c r="K295" s="482">
        <f t="shared" si="164"/>
        <v>0</v>
      </c>
      <c r="L295" s="482">
        <f t="shared" si="165"/>
        <v>0</v>
      </c>
      <c r="M295" s="482">
        <f t="shared" si="166"/>
        <v>0</v>
      </c>
      <c r="N295" s="482">
        <f t="shared" si="167"/>
        <v>0</v>
      </c>
      <c r="O295" s="482">
        <f t="shared" si="168"/>
        <v>0</v>
      </c>
      <c r="P295" s="482">
        <f t="shared" si="169"/>
        <v>0</v>
      </c>
      <c r="Q295" s="451">
        <f t="shared" si="170"/>
        <v>35</v>
      </c>
      <c r="R295" s="452">
        <f t="shared" si="171"/>
        <v>7.4399999999999994E-2</v>
      </c>
      <c r="S295" s="452">
        <v>0</v>
      </c>
      <c r="T295" s="452">
        <v>0</v>
      </c>
      <c r="U295" s="452">
        <f t="shared" si="172"/>
        <v>2.8920000000000001E-2</v>
      </c>
      <c r="V295" s="451">
        <f t="shared" si="173"/>
        <v>0</v>
      </c>
      <c r="W295" s="451">
        <f t="shared" si="174"/>
        <v>0</v>
      </c>
      <c r="X295" s="451">
        <f t="shared" si="175"/>
        <v>0</v>
      </c>
      <c r="Y295" s="453">
        <f t="shared" si="176"/>
        <v>0</v>
      </c>
      <c r="Z295" s="453">
        <f t="shared" si="177"/>
        <v>0</v>
      </c>
      <c r="AA295" s="453">
        <f t="shared" si="178"/>
        <v>0</v>
      </c>
      <c r="AB295" s="453">
        <f t="shared" si="179"/>
        <v>0</v>
      </c>
      <c r="AC295" s="453">
        <f t="shared" si="180"/>
        <v>0</v>
      </c>
      <c r="AD295" s="453">
        <f t="shared" si="181"/>
        <v>0</v>
      </c>
      <c r="AE295" s="493">
        <f t="shared" si="182"/>
        <v>0</v>
      </c>
      <c r="AF295" s="453">
        <f t="shared" si="183"/>
        <v>0</v>
      </c>
      <c r="AG295" s="494">
        <f t="shared" si="184"/>
        <v>1</v>
      </c>
      <c r="AH295" s="454">
        <f t="shared" si="185"/>
        <v>0</v>
      </c>
      <c r="AI295" s="454">
        <f t="shared" si="186"/>
        <v>0</v>
      </c>
      <c r="AJ295" s="454">
        <f t="shared" si="187"/>
        <v>0</v>
      </c>
      <c r="AK295" s="454">
        <f t="shared" si="188"/>
        <v>0</v>
      </c>
      <c r="AL295" s="454">
        <f t="shared" si="189"/>
        <v>0</v>
      </c>
      <c r="AM295" s="454">
        <f t="shared" si="190"/>
        <v>0</v>
      </c>
      <c r="AN295" s="491">
        <f t="shared" si="191"/>
        <v>0</v>
      </c>
      <c r="AO295" s="487">
        <f t="shared" si="192"/>
        <v>0</v>
      </c>
      <c r="AP295" s="495">
        <f t="shared" si="193"/>
        <v>0</v>
      </c>
      <c r="AQ295" s="496">
        <f t="shared" si="194"/>
        <v>0</v>
      </c>
      <c r="AV295" s="459">
        <f>IF(BA295&gt;BA294,AV294,IF(AV294&lt;MiscData!$F$1,EOMONTH(AV294,1),EOMONTH(AV294,-11)))</f>
        <v>42247</v>
      </c>
      <c r="AW295" s="448" t="str">
        <f t="shared" si="195"/>
        <v>20140101KUCME227</v>
      </c>
      <c r="AX295" s="457" t="str">
        <f t="shared" si="196"/>
        <v>20140101AES3</v>
      </c>
      <c r="AY295" s="439">
        <f>IF(AV295&lt;=MiscData!$B$23,MiscData!$C$23,IF(AV295&lt;=MiscData!$B$24,MiscData!$C$24,MiscData!$C$25))</f>
        <v>20140101</v>
      </c>
      <c r="AZ295" s="439" t="str">
        <f>VLOOKUP(BA295,MiscData!$V$4:$W$42,2,FALSE)</f>
        <v>KUCME227</v>
      </c>
      <c r="BA295" s="439">
        <f>IF(BA294=MiscData!$V$42,1,BA294+1)</f>
        <v>19</v>
      </c>
      <c r="BB295" s="439" t="str">
        <f>VLOOKUP(AZ295,MiscData!$W$4:$Y$42,3,FALSE)</f>
        <v>AES3</v>
      </c>
    </row>
    <row r="296" spans="1:54" hidden="1">
      <c r="A296" s="448">
        <f t="shared" si="197"/>
        <v>272</v>
      </c>
      <c r="B296" s="448" t="str">
        <f t="shared" si="159"/>
        <v>Aug 2015</v>
      </c>
      <c r="C296" s="448" t="s">
        <v>19</v>
      </c>
      <c r="D296" s="449" t="str">
        <f t="shared" si="160"/>
        <v>LE</v>
      </c>
      <c r="E296" s="449" t="str">
        <f t="shared" si="161"/>
        <v>KUCME290</v>
      </c>
      <c r="F296" s="450">
        <f t="shared" si="162"/>
        <v>2</v>
      </c>
      <c r="G296" s="450">
        <v>0</v>
      </c>
      <c r="H296" s="450">
        <v>0</v>
      </c>
      <c r="I296" s="450">
        <v>0</v>
      </c>
      <c r="J296" s="450">
        <f t="shared" si="163"/>
        <v>12623</v>
      </c>
      <c r="K296" s="482">
        <f t="shared" si="164"/>
        <v>0</v>
      </c>
      <c r="L296" s="482">
        <f t="shared" si="165"/>
        <v>0</v>
      </c>
      <c r="M296" s="482">
        <f t="shared" si="166"/>
        <v>0</v>
      </c>
      <c r="N296" s="482">
        <f t="shared" si="167"/>
        <v>0</v>
      </c>
      <c r="O296" s="482">
        <f t="shared" si="168"/>
        <v>0</v>
      </c>
      <c r="P296" s="482">
        <f t="shared" si="169"/>
        <v>0</v>
      </c>
      <c r="Q296" s="451">
        <f t="shared" si="170"/>
        <v>0</v>
      </c>
      <c r="R296" s="452">
        <f t="shared" si="171"/>
        <v>6.3799999999999996E-2</v>
      </c>
      <c r="S296" s="452">
        <v>0</v>
      </c>
      <c r="T296" s="452">
        <v>0</v>
      </c>
      <c r="U296" s="452">
        <f t="shared" si="172"/>
        <v>2.8920000000000001E-2</v>
      </c>
      <c r="V296" s="451">
        <f t="shared" si="173"/>
        <v>0</v>
      </c>
      <c r="W296" s="451">
        <f t="shared" si="174"/>
        <v>0</v>
      </c>
      <c r="X296" s="451">
        <f t="shared" si="175"/>
        <v>0</v>
      </c>
      <c r="Y296" s="453">
        <f t="shared" si="176"/>
        <v>0</v>
      </c>
      <c r="Z296" s="453">
        <f t="shared" si="177"/>
        <v>805.35</v>
      </c>
      <c r="AA296" s="453">
        <f t="shared" si="178"/>
        <v>0</v>
      </c>
      <c r="AB296" s="453">
        <f t="shared" si="179"/>
        <v>0</v>
      </c>
      <c r="AC296" s="453">
        <f t="shared" si="180"/>
        <v>0</v>
      </c>
      <c r="AD296" s="453">
        <f t="shared" si="181"/>
        <v>0</v>
      </c>
      <c r="AE296" s="493">
        <f t="shared" si="182"/>
        <v>805.35</v>
      </c>
      <c r="AF296" s="453">
        <f t="shared" si="183"/>
        <v>0</v>
      </c>
      <c r="AG296" s="494">
        <f t="shared" si="184"/>
        <v>0</v>
      </c>
      <c r="AH296" s="454">
        <f t="shared" si="185"/>
        <v>0</v>
      </c>
      <c r="AI296" s="454">
        <f t="shared" si="186"/>
        <v>0</v>
      </c>
      <c r="AJ296" s="454">
        <f t="shared" si="187"/>
        <v>0</v>
      </c>
      <c r="AK296" s="454">
        <f t="shared" si="188"/>
        <v>0</v>
      </c>
      <c r="AL296" s="454">
        <f t="shared" si="189"/>
        <v>0</v>
      </c>
      <c r="AM296" s="454">
        <f t="shared" si="190"/>
        <v>0</v>
      </c>
      <c r="AN296" s="491">
        <f t="shared" si="191"/>
        <v>805.35</v>
      </c>
      <c r="AO296" s="487">
        <f t="shared" si="192"/>
        <v>-805.35</v>
      </c>
      <c r="AP296" s="495">
        <f t="shared" si="193"/>
        <v>365.06</v>
      </c>
      <c r="AQ296" s="496">
        <f t="shared" si="194"/>
        <v>440.29</v>
      </c>
      <c r="AV296" s="459">
        <f>IF(BA296&gt;BA295,AV295,IF(AV295&lt;MiscData!$F$1,EOMONTH(AV295,1),EOMONTH(AV295,-11)))</f>
        <v>42247</v>
      </c>
      <c r="AW296" s="448" t="str">
        <f t="shared" si="195"/>
        <v>20140101KUCME290</v>
      </c>
      <c r="AX296" s="457" t="str">
        <f t="shared" si="196"/>
        <v>20140101LE</v>
      </c>
      <c r="AY296" s="439">
        <f>IF(AV296&lt;=MiscData!$B$23,MiscData!$C$23,IF(AV296&lt;=MiscData!$B$24,MiscData!$C$24,MiscData!$C$25))</f>
        <v>20140101</v>
      </c>
      <c r="AZ296" s="439" t="str">
        <f>VLOOKUP(BA296,MiscData!$V$4:$W$42,2,FALSE)</f>
        <v>KUCME290</v>
      </c>
      <c r="BA296" s="439">
        <f>IF(BA295=MiscData!$V$42,1,BA295+1)</f>
        <v>20</v>
      </c>
      <c r="BB296" s="439" t="str">
        <f>VLOOKUP(AZ296,MiscData!$W$4:$Y$42,3,FALSE)</f>
        <v>LE</v>
      </c>
    </row>
    <row r="297" spans="1:54" hidden="1">
      <c r="A297" s="448">
        <f t="shared" si="197"/>
        <v>273</v>
      </c>
      <c r="B297" s="448" t="str">
        <f t="shared" si="159"/>
        <v>Aug 2015</v>
      </c>
      <c r="C297" s="448" t="s">
        <v>19</v>
      </c>
      <c r="D297" s="449" t="str">
        <f t="shared" si="160"/>
        <v>LE</v>
      </c>
      <c r="E297" s="449" t="str">
        <f t="shared" si="161"/>
        <v>KUCME291</v>
      </c>
      <c r="F297" s="450">
        <f t="shared" si="162"/>
        <v>0</v>
      </c>
      <c r="G297" s="450">
        <v>0</v>
      </c>
      <c r="H297" s="450">
        <v>0</v>
      </c>
      <c r="I297" s="450">
        <v>0</v>
      </c>
      <c r="J297" s="450">
        <f t="shared" si="163"/>
        <v>0</v>
      </c>
      <c r="K297" s="482">
        <f t="shared" si="164"/>
        <v>0</v>
      </c>
      <c r="L297" s="482">
        <f t="shared" si="165"/>
        <v>0</v>
      </c>
      <c r="M297" s="482">
        <f t="shared" si="166"/>
        <v>0</v>
      </c>
      <c r="N297" s="482">
        <f t="shared" si="167"/>
        <v>0</v>
      </c>
      <c r="O297" s="482">
        <f t="shared" si="168"/>
        <v>0</v>
      </c>
      <c r="P297" s="482">
        <f t="shared" si="169"/>
        <v>0</v>
      </c>
      <c r="Q297" s="451">
        <f t="shared" si="170"/>
        <v>0</v>
      </c>
      <c r="R297" s="452">
        <f t="shared" si="171"/>
        <v>6.3799999999999996E-2</v>
      </c>
      <c r="S297" s="452">
        <v>0</v>
      </c>
      <c r="T297" s="452">
        <v>0</v>
      </c>
      <c r="U297" s="452">
        <f t="shared" si="172"/>
        <v>2.8920000000000001E-2</v>
      </c>
      <c r="V297" s="451">
        <f t="shared" si="173"/>
        <v>0</v>
      </c>
      <c r="W297" s="451">
        <f t="shared" si="174"/>
        <v>0</v>
      </c>
      <c r="X297" s="451">
        <f t="shared" si="175"/>
        <v>0</v>
      </c>
      <c r="Y297" s="453">
        <f t="shared" si="176"/>
        <v>0</v>
      </c>
      <c r="Z297" s="453">
        <f t="shared" si="177"/>
        <v>0</v>
      </c>
      <c r="AA297" s="453">
        <f t="shared" si="178"/>
        <v>0</v>
      </c>
      <c r="AB297" s="453">
        <f t="shared" si="179"/>
        <v>0</v>
      </c>
      <c r="AC297" s="453">
        <f t="shared" si="180"/>
        <v>0</v>
      </c>
      <c r="AD297" s="453">
        <f t="shared" si="181"/>
        <v>0</v>
      </c>
      <c r="AE297" s="493">
        <f t="shared" si="182"/>
        <v>0</v>
      </c>
      <c r="AF297" s="453">
        <f t="shared" si="183"/>
        <v>0</v>
      </c>
      <c r="AG297" s="494">
        <f t="shared" si="184"/>
        <v>1</v>
      </c>
      <c r="AH297" s="454">
        <f t="shared" si="185"/>
        <v>0</v>
      </c>
      <c r="AI297" s="454">
        <f t="shared" si="186"/>
        <v>0</v>
      </c>
      <c r="AJ297" s="454">
        <f t="shared" si="187"/>
        <v>0</v>
      </c>
      <c r="AK297" s="454">
        <f t="shared" si="188"/>
        <v>0</v>
      </c>
      <c r="AL297" s="454">
        <f t="shared" si="189"/>
        <v>0</v>
      </c>
      <c r="AM297" s="454">
        <f t="shared" si="190"/>
        <v>0</v>
      </c>
      <c r="AN297" s="491">
        <f t="shared" si="191"/>
        <v>0</v>
      </c>
      <c r="AO297" s="487">
        <f t="shared" si="192"/>
        <v>0</v>
      </c>
      <c r="AP297" s="495">
        <f t="shared" si="193"/>
        <v>0</v>
      </c>
      <c r="AQ297" s="496">
        <f t="shared" si="194"/>
        <v>0</v>
      </c>
      <c r="AV297" s="459">
        <f>IF(BA297&gt;BA296,AV296,IF(AV296&lt;MiscData!$F$1,EOMONTH(AV296,1),EOMONTH(AV296,-11)))</f>
        <v>42247</v>
      </c>
      <c r="AW297" s="448" t="str">
        <f t="shared" si="195"/>
        <v>20140101KUCME291</v>
      </c>
      <c r="AX297" s="457" t="str">
        <f t="shared" si="196"/>
        <v>20140101LE</v>
      </c>
      <c r="AY297" s="439">
        <f>IF(AV297&lt;=MiscData!$B$23,MiscData!$C$23,IF(AV297&lt;=MiscData!$B$24,MiscData!$C$24,MiscData!$C$25))</f>
        <v>20140101</v>
      </c>
      <c r="AZ297" s="439" t="str">
        <f>VLOOKUP(BA297,MiscData!$V$4:$W$42,2,FALSE)</f>
        <v>KUCME291</v>
      </c>
      <c r="BA297" s="439">
        <f>IF(BA296=MiscData!$V$42,1,BA296+1)</f>
        <v>21</v>
      </c>
      <c r="BB297" s="439" t="str">
        <f>VLOOKUP(AZ297,MiscData!$W$4:$Y$42,3,FALSE)</f>
        <v>LE</v>
      </c>
    </row>
    <row r="298" spans="1:54" hidden="1">
      <c r="A298" s="448">
        <f t="shared" si="197"/>
        <v>274</v>
      </c>
      <c r="B298" s="448" t="str">
        <f t="shared" si="159"/>
        <v>Aug 2015</v>
      </c>
      <c r="C298" s="448" t="s">
        <v>20</v>
      </c>
      <c r="D298" s="449" t="str">
        <f t="shared" si="160"/>
        <v>TE</v>
      </c>
      <c r="E298" s="449" t="str">
        <f t="shared" si="161"/>
        <v>KUCME295</v>
      </c>
      <c r="F298" s="450">
        <f t="shared" si="162"/>
        <v>747</v>
      </c>
      <c r="G298" s="450">
        <v>0</v>
      </c>
      <c r="H298" s="450">
        <v>0</v>
      </c>
      <c r="I298" s="450">
        <v>0</v>
      </c>
      <c r="J298" s="450">
        <f t="shared" si="163"/>
        <v>100534</v>
      </c>
      <c r="K298" s="482">
        <f t="shared" si="164"/>
        <v>0</v>
      </c>
      <c r="L298" s="482">
        <f t="shared" si="165"/>
        <v>0</v>
      </c>
      <c r="M298" s="482">
        <f t="shared" si="166"/>
        <v>0</v>
      </c>
      <c r="N298" s="482">
        <f t="shared" si="167"/>
        <v>0</v>
      </c>
      <c r="O298" s="482">
        <f t="shared" si="168"/>
        <v>0</v>
      </c>
      <c r="P298" s="482">
        <f t="shared" si="169"/>
        <v>0</v>
      </c>
      <c r="Q298" s="451">
        <f t="shared" si="170"/>
        <v>3.25</v>
      </c>
      <c r="R298" s="452">
        <f t="shared" si="171"/>
        <v>7.9780000000000004E-2</v>
      </c>
      <c r="S298" s="452">
        <v>0</v>
      </c>
      <c r="T298" s="452">
        <v>0</v>
      </c>
      <c r="U298" s="452">
        <f t="shared" si="172"/>
        <v>2.8920000000000001E-2</v>
      </c>
      <c r="V298" s="451">
        <f t="shared" si="173"/>
        <v>0</v>
      </c>
      <c r="W298" s="451">
        <f t="shared" si="174"/>
        <v>0</v>
      </c>
      <c r="X298" s="451">
        <f t="shared" si="175"/>
        <v>0</v>
      </c>
      <c r="Y298" s="453">
        <f t="shared" si="176"/>
        <v>2427.75</v>
      </c>
      <c r="Z298" s="453">
        <f t="shared" si="177"/>
        <v>8020.6</v>
      </c>
      <c r="AA298" s="453">
        <f t="shared" si="178"/>
        <v>0</v>
      </c>
      <c r="AB298" s="453">
        <f t="shared" si="179"/>
        <v>0</v>
      </c>
      <c r="AC298" s="453">
        <f t="shared" si="180"/>
        <v>0</v>
      </c>
      <c r="AD298" s="453">
        <f t="shared" si="181"/>
        <v>0</v>
      </c>
      <c r="AE298" s="493">
        <f t="shared" si="182"/>
        <v>10448.35</v>
      </c>
      <c r="AF298" s="453">
        <f t="shared" si="183"/>
        <v>0</v>
      </c>
      <c r="AG298" s="494">
        <f t="shared" si="184"/>
        <v>0</v>
      </c>
      <c r="AH298" s="454">
        <f t="shared" si="185"/>
        <v>0</v>
      </c>
      <c r="AI298" s="454">
        <f t="shared" si="186"/>
        <v>0</v>
      </c>
      <c r="AJ298" s="454">
        <f t="shared" si="187"/>
        <v>0</v>
      </c>
      <c r="AK298" s="454">
        <f t="shared" si="188"/>
        <v>0</v>
      </c>
      <c r="AL298" s="454">
        <f t="shared" si="189"/>
        <v>0</v>
      </c>
      <c r="AM298" s="454">
        <f t="shared" si="190"/>
        <v>0</v>
      </c>
      <c r="AN298" s="491">
        <f t="shared" si="191"/>
        <v>10448.35</v>
      </c>
      <c r="AO298" s="487">
        <f t="shared" si="192"/>
        <v>-10448.35</v>
      </c>
      <c r="AP298" s="495">
        <f t="shared" si="193"/>
        <v>2907.44</v>
      </c>
      <c r="AQ298" s="496">
        <f t="shared" si="194"/>
        <v>5113.16</v>
      </c>
      <c r="AV298" s="459">
        <f>IF(BA298&gt;BA297,AV297,IF(AV297&lt;MiscData!$F$1,EOMONTH(AV297,1),EOMONTH(AV297,-11)))</f>
        <v>42247</v>
      </c>
      <c r="AW298" s="448" t="str">
        <f t="shared" si="195"/>
        <v>20140101KUCME295</v>
      </c>
      <c r="AX298" s="457" t="str">
        <f t="shared" si="196"/>
        <v>20140101TE</v>
      </c>
      <c r="AY298" s="439">
        <f>IF(AV298&lt;=MiscData!$B$23,MiscData!$C$23,IF(AV298&lt;=MiscData!$B$24,MiscData!$C$24,MiscData!$C$25))</f>
        <v>20140101</v>
      </c>
      <c r="AZ298" s="439" t="str">
        <f>VLOOKUP(BA298,MiscData!$V$4:$W$42,2,FALSE)</f>
        <v>KUCME295</v>
      </c>
      <c r="BA298" s="439">
        <f>IF(BA297=MiscData!$V$42,1,BA297+1)</f>
        <v>22</v>
      </c>
      <c r="BB298" s="439" t="str">
        <f>VLOOKUP(AZ298,MiscData!$W$4:$Y$42,3,FALSE)</f>
        <v>TE</v>
      </c>
    </row>
    <row r="299" spans="1:54" hidden="1">
      <c r="A299" s="448">
        <f t="shared" si="197"/>
        <v>275</v>
      </c>
      <c r="B299" s="448" t="str">
        <f t="shared" si="159"/>
        <v>Aug 2015</v>
      </c>
      <c r="C299" s="448" t="s">
        <v>20</v>
      </c>
      <c r="D299" s="449" t="str">
        <f t="shared" si="160"/>
        <v>TE</v>
      </c>
      <c r="E299" s="449" t="str">
        <f t="shared" si="161"/>
        <v>KUCME297</v>
      </c>
      <c r="F299" s="450">
        <f t="shared" si="162"/>
        <v>0</v>
      </c>
      <c r="G299" s="450">
        <v>0</v>
      </c>
      <c r="H299" s="450">
        <v>0</v>
      </c>
      <c r="I299" s="450">
        <v>0</v>
      </c>
      <c r="J299" s="450">
        <f t="shared" si="163"/>
        <v>0</v>
      </c>
      <c r="K299" s="482">
        <f t="shared" si="164"/>
        <v>0</v>
      </c>
      <c r="L299" s="482">
        <f t="shared" si="165"/>
        <v>0</v>
      </c>
      <c r="M299" s="482">
        <f t="shared" si="166"/>
        <v>0</v>
      </c>
      <c r="N299" s="482">
        <f t="shared" si="167"/>
        <v>0</v>
      </c>
      <c r="O299" s="482">
        <f t="shared" si="168"/>
        <v>0</v>
      </c>
      <c r="P299" s="482">
        <f t="shared" si="169"/>
        <v>0</v>
      </c>
      <c r="Q299" s="451">
        <f t="shared" si="170"/>
        <v>3.25</v>
      </c>
      <c r="R299" s="452">
        <f t="shared" si="171"/>
        <v>7.9780000000000004E-2</v>
      </c>
      <c r="S299" s="452">
        <v>0</v>
      </c>
      <c r="T299" s="452">
        <v>0</v>
      </c>
      <c r="U299" s="452">
        <f t="shared" si="172"/>
        <v>2.8920000000000001E-2</v>
      </c>
      <c r="V299" s="451">
        <f t="shared" si="173"/>
        <v>0</v>
      </c>
      <c r="W299" s="451">
        <f t="shared" si="174"/>
        <v>0</v>
      </c>
      <c r="X299" s="451">
        <f t="shared" si="175"/>
        <v>0</v>
      </c>
      <c r="Y299" s="453">
        <f t="shared" si="176"/>
        <v>0</v>
      </c>
      <c r="Z299" s="453">
        <f t="shared" si="177"/>
        <v>0</v>
      </c>
      <c r="AA299" s="453">
        <f t="shared" si="178"/>
        <v>0</v>
      </c>
      <c r="AB299" s="453">
        <f t="shared" si="179"/>
        <v>0</v>
      </c>
      <c r="AC299" s="453">
        <f t="shared" si="180"/>
        <v>0</v>
      </c>
      <c r="AD299" s="453">
        <f t="shared" si="181"/>
        <v>0</v>
      </c>
      <c r="AE299" s="493">
        <f t="shared" si="182"/>
        <v>0</v>
      </c>
      <c r="AF299" s="453">
        <f t="shared" si="183"/>
        <v>0</v>
      </c>
      <c r="AG299" s="494">
        <f t="shared" si="184"/>
        <v>1</v>
      </c>
      <c r="AH299" s="454">
        <f t="shared" si="185"/>
        <v>0</v>
      </c>
      <c r="AI299" s="454">
        <f t="shared" si="186"/>
        <v>0</v>
      </c>
      <c r="AJ299" s="454">
        <f t="shared" si="187"/>
        <v>0</v>
      </c>
      <c r="AK299" s="454">
        <f t="shared" si="188"/>
        <v>0</v>
      </c>
      <c r="AL299" s="454">
        <f t="shared" si="189"/>
        <v>0</v>
      </c>
      <c r="AM299" s="454">
        <f t="shared" si="190"/>
        <v>0</v>
      </c>
      <c r="AN299" s="491">
        <f t="shared" si="191"/>
        <v>0</v>
      </c>
      <c r="AO299" s="487">
        <f t="shared" si="192"/>
        <v>0</v>
      </c>
      <c r="AP299" s="495">
        <f t="shared" si="193"/>
        <v>0</v>
      </c>
      <c r="AQ299" s="496">
        <f t="shared" si="194"/>
        <v>0</v>
      </c>
      <c r="AV299" s="459">
        <f>IF(BA299&gt;BA298,AV298,IF(AV298&lt;MiscData!$F$1,EOMONTH(AV298,1),EOMONTH(AV298,-11)))</f>
        <v>42247</v>
      </c>
      <c r="AW299" s="448" t="str">
        <f t="shared" si="195"/>
        <v>20140101KUCME297</v>
      </c>
      <c r="AX299" s="457" t="str">
        <f t="shared" si="196"/>
        <v>20140101TE</v>
      </c>
      <c r="AY299" s="439">
        <f>IF(AV299&lt;=MiscData!$B$23,MiscData!$C$23,IF(AV299&lt;=MiscData!$B$24,MiscData!$C$24,MiscData!$C$25))</f>
        <v>20140101</v>
      </c>
      <c r="AZ299" s="439" t="str">
        <f>VLOOKUP(BA299,MiscData!$V$4:$W$42,2,FALSE)</f>
        <v>KUCME297</v>
      </c>
      <c r="BA299" s="439">
        <f>IF(BA298=MiscData!$V$42,1,BA298+1)</f>
        <v>23</v>
      </c>
      <c r="BB299" s="439" t="str">
        <f>VLOOKUP(AZ299,MiscData!$W$4:$Y$42,3,FALSE)</f>
        <v>TE</v>
      </c>
    </row>
    <row r="300" spans="1:54" hidden="1">
      <c r="A300" s="448">
        <f t="shared" si="197"/>
        <v>276</v>
      </c>
      <c r="B300" s="448" t="str">
        <f t="shared" si="159"/>
        <v>Aug 2015</v>
      </c>
      <c r="C300" s="448" t="s">
        <v>690</v>
      </c>
      <c r="D300" s="449" t="str">
        <f t="shared" si="160"/>
        <v>SQF</v>
      </c>
      <c r="E300" s="449" t="str">
        <f t="shared" si="161"/>
        <v>KUCME705</v>
      </c>
      <c r="F300" s="450">
        <f t="shared" si="162"/>
        <v>0</v>
      </c>
      <c r="G300" s="450">
        <v>0</v>
      </c>
      <c r="H300" s="450">
        <v>0</v>
      </c>
      <c r="I300" s="450">
        <v>0</v>
      </c>
      <c r="J300" s="450">
        <f t="shared" si="163"/>
        <v>0</v>
      </c>
      <c r="K300" s="482">
        <f t="shared" si="164"/>
        <v>0</v>
      </c>
      <c r="L300" s="482">
        <f t="shared" si="165"/>
        <v>0</v>
      </c>
      <c r="M300" s="482">
        <f t="shared" si="166"/>
        <v>0</v>
      </c>
      <c r="N300" s="482">
        <f t="shared" si="167"/>
        <v>0</v>
      </c>
      <c r="O300" s="482">
        <f t="shared" si="168"/>
        <v>0</v>
      </c>
      <c r="P300" s="482">
        <f t="shared" si="169"/>
        <v>0</v>
      </c>
      <c r="Q300" s="451">
        <f t="shared" si="170"/>
        <v>0</v>
      </c>
      <c r="R300" s="452">
        <f t="shared" si="171"/>
        <v>0</v>
      </c>
      <c r="S300" s="452">
        <v>0</v>
      </c>
      <c r="T300" s="452">
        <v>0</v>
      </c>
      <c r="U300" s="452">
        <f t="shared" si="172"/>
        <v>0</v>
      </c>
      <c r="V300" s="451">
        <f t="shared" si="173"/>
        <v>0</v>
      </c>
      <c r="W300" s="451">
        <f t="shared" si="174"/>
        <v>0</v>
      </c>
      <c r="X300" s="451">
        <f t="shared" si="175"/>
        <v>0</v>
      </c>
      <c r="Y300" s="453">
        <f t="shared" si="176"/>
        <v>0</v>
      </c>
      <c r="Z300" s="453">
        <f t="shared" si="177"/>
        <v>0</v>
      </c>
      <c r="AA300" s="453">
        <f t="shared" si="178"/>
        <v>0</v>
      </c>
      <c r="AB300" s="453">
        <f t="shared" si="179"/>
        <v>0</v>
      </c>
      <c r="AC300" s="453">
        <f t="shared" si="180"/>
        <v>0</v>
      </c>
      <c r="AD300" s="453">
        <f t="shared" si="181"/>
        <v>0</v>
      </c>
      <c r="AE300" s="493">
        <f t="shared" si="182"/>
        <v>0</v>
      </c>
      <c r="AF300" s="453">
        <f t="shared" si="183"/>
        <v>0</v>
      </c>
      <c r="AG300" s="494">
        <f t="shared" si="184"/>
        <v>1</v>
      </c>
      <c r="AH300" s="454">
        <f t="shared" si="185"/>
        <v>0</v>
      </c>
      <c r="AI300" s="454">
        <f t="shared" si="186"/>
        <v>0</v>
      </c>
      <c r="AJ300" s="454">
        <f t="shared" si="187"/>
        <v>0</v>
      </c>
      <c r="AK300" s="454">
        <f t="shared" si="188"/>
        <v>0</v>
      </c>
      <c r="AL300" s="454">
        <f t="shared" si="189"/>
        <v>0</v>
      </c>
      <c r="AM300" s="454">
        <f t="shared" si="190"/>
        <v>0</v>
      </c>
      <c r="AN300" s="491">
        <f t="shared" si="191"/>
        <v>0</v>
      </c>
      <c r="AO300" s="487">
        <f t="shared" si="192"/>
        <v>0</v>
      </c>
      <c r="AP300" s="495">
        <f t="shared" si="193"/>
        <v>0</v>
      </c>
      <c r="AQ300" s="496">
        <f t="shared" si="194"/>
        <v>0</v>
      </c>
      <c r="AV300" s="459">
        <f>IF(BA300&gt;BA299,AV299,IF(AV299&lt;MiscData!$F$1,EOMONTH(AV299,1),EOMONTH(AV299,-11)))</f>
        <v>42247</v>
      </c>
      <c r="AW300" s="448" t="str">
        <f t="shared" si="195"/>
        <v>20140101KUCME705</v>
      </c>
      <c r="AX300" s="457" t="str">
        <f t="shared" si="196"/>
        <v>20140101SQF</v>
      </c>
      <c r="AY300" s="439">
        <f>IF(AV300&lt;=MiscData!$B$23,MiscData!$C$23,IF(AV300&lt;=MiscData!$B$24,MiscData!$C$24,MiscData!$C$25))</f>
        <v>20140101</v>
      </c>
      <c r="AZ300" s="439" t="str">
        <f>VLOOKUP(BA300,MiscData!$V$4:$W$42,2,FALSE)</f>
        <v>KUCME705</v>
      </c>
      <c r="BA300" s="439">
        <f>IF(BA299=MiscData!$V$42,1,BA299+1)</f>
        <v>24</v>
      </c>
      <c r="BB300" s="439" t="str">
        <f>VLOOKUP(AZ300,MiscData!$W$4:$Y$42,3,FALSE)</f>
        <v>SQF</v>
      </c>
    </row>
    <row r="301" spans="1:54" hidden="1">
      <c r="A301" s="448">
        <f t="shared" si="197"/>
        <v>277</v>
      </c>
      <c r="B301" s="448" t="str">
        <f t="shared" si="159"/>
        <v>Aug 2015</v>
      </c>
      <c r="C301" s="448" t="s">
        <v>1156</v>
      </c>
      <c r="D301" s="449" t="str">
        <f t="shared" si="160"/>
        <v>LQF</v>
      </c>
      <c r="E301" s="449" t="str">
        <f t="shared" si="161"/>
        <v>KUCME707</v>
      </c>
      <c r="F301" s="450">
        <f t="shared" si="162"/>
        <v>0</v>
      </c>
      <c r="G301" s="450">
        <v>0</v>
      </c>
      <c r="H301" s="450">
        <v>0</v>
      </c>
      <c r="I301" s="450">
        <v>0</v>
      </c>
      <c r="J301" s="450">
        <f t="shared" si="163"/>
        <v>0</v>
      </c>
      <c r="K301" s="482">
        <f t="shared" si="164"/>
        <v>0</v>
      </c>
      <c r="L301" s="482">
        <f t="shared" si="165"/>
        <v>0</v>
      </c>
      <c r="M301" s="482">
        <f t="shared" si="166"/>
        <v>0</v>
      </c>
      <c r="N301" s="482">
        <f t="shared" si="167"/>
        <v>0</v>
      </c>
      <c r="O301" s="482">
        <f t="shared" si="168"/>
        <v>0</v>
      </c>
      <c r="P301" s="482">
        <f t="shared" si="169"/>
        <v>0</v>
      </c>
      <c r="Q301" s="451">
        <f t="shared" si="170"/>
        <v>0</v>
      </c>
      <c r="R301" s="452">
        <f t="shared" si="171"/>
        <v>0</v>
      </c>
      <c r="S301" s="452">
        <v>0</v>
      </c>
      <c r="T301" s="452">
        <v>0</v>
      </c>
      <c r="U301" s="452">
        <f t="shared" si="172"/>
        <v>0</v>
      </c>
      <c r="V301" s="451">
        <f t="shared" si="173"/>
        <v>0</v>
      </c>
      <c r="W301" s="451">
        <f t="shared" si="174"/>
        <v>0</v>
      </c>
      <c r="X301" s="451">
        <f t="shared" si="175"/>
        <v>0</v>
      </c>
      <c r="Y301" s="453">
        <f t="shared" si="176"/>
        <v>0</v>
      </c>
      <c r="Z301" s="453">
        <f t="shared" si="177"/>
        <v>0</v>
      </c>
      <c r="AA301" s="453">
        <f t="shared" si="178"/>
        <v>0</v>
      </c>
      <c r="AB301" s="453">
        <f t="shared" si="179"/>
        <v>0</v>
      </c>
      <c r="AC301" s="453">
        <f t="shared" si="180"/>
        <v>0</v>
      </c>
      <c r="AD301" s="453">
        <f t="shared" si="181"/>
        <v>0</v>
      </c>
      <c r="AE301" s="493">
        <f t="shared" si="182"/>
        <v>0</v>
      </c>
      <c r="AF301" s="453">
        <f t="shared" si="183"/>
        <v>0</v>
      </c>
      <c r="AG301" s="494">
        <f t="shared" si="184"/>
        <v>1</v>
      </c>
      <c r="AH301" s="454">
        <f t="shared" si="185"/>
        <v>0</v>
      </c>
      <c r="AI301" s="454">
        <f t="shared" si="186"/>
        <v>0</v>
      </c>
      <c r="AJ301" s="454">
        <f t="shared" si="187"/>
        <v>0</v>
      </c>
      <c r="AK301" s="454">
        <f t="shared" si="188"/>
        <v>0</v>
      </c>
      <c r="AL301" s="454">
        <f t="shared" si="189"/>
        <v>0</v>
      </c>
      <c r="AM301" s="454">
        <f t="shared" si="190"/>
        <v>0</v>
      </c>
      <c r="AN301" s="491">
        <f t="shared" si="191"/>
        <v>0</v>
      </c>
      <c r="AO301" s="487">
        <f t="shared" si="192"/>
        <v>0</v>
      </c>
      <c r="AP301" s="495">
        <f t="shared" si="193"/>
        <v>0</v>
      </c>
      <c r="AQ301" s="496">
        <f t="shared" si="194"/>
        <v>0</v>
      </c>
      <c r="AV301" s="459">
        <f>IF(BA301&gt;BA300,AV300,IF(AV300&lt;MiscData!$F$1,EOMONTH(AV300,1),EOMONTH(AV300,-11)))</f>
        <v>42247</v>
      </c>
      <c r="AW301" s="448" t="str">
        <f t="shared" si="195"/>
        <v>20140101KUCME707</v>
      </c>
      <c r="AX301" s="457" t="str">
        <f t="shared" si="196"/>
        <v>20140101LQF</v>
      </c>
      <c r="AY301" s="439">
        <f>IF(AV301&lt;=MiscData!$B$23,MiscData!$C$23,IF(AV301&lt;=MiscData!$B$24,MiscData!$C$24,MiscData!$C$25))</f>
        <v>20140101</v>
      </c>
      <c r="AZ301" s="439" t="str">
        <f>VLOOKUP(BA301,MiscData!$V$4:$W$42,2,FALSE)</f>
        <v>KUCME707</v>
      </c>
      <c r="BA301" s="439">
        <f>IF(BA300=MiscData!$V$42,1,BA300+1)</f>
        <v>25</v>
      </c>
      <c r="BB301" s="439" t="str">
        <f>VLOOKUP(AZ301,MiscData!$W$4:$Y$42,3,FALSE)</f>
        <v>LQF</v>
      </c>
    </row>
    <row r="302" spans="1:54">
      <c r="A302" s="499">
        <f t="shared" si="197"/>
        <v>278</v>
      </c>
      <c r="B302" s="448" t="str">
        <f t="shared" si="159"/>
        <v>Aug 2015</v>
      </c>
      <c r="C302" s="448" t="s">
        <v>208</v>
      </c>
      <c r="D302" s="449" t="str">
        <f t="shared" si="160"/>
        <v>GS</v>
      </c>
      <c r="E302" s="449" t="str">
        <f t="shared" si="161"/>
        <v>KUCME710</v>
      </c>
      <c r="F302" s="450">
        <f t="shared" si="162"/>
        <v>0</v>
      </c>
      <c r="G302" s="450">
        <v>0</v>
      </c>
      <c r="H302" s="450">
        <v>0</v>
      </c>
      <c r="I302" s="450">
        <v>0</v>
      </c>
      <c r="J302" s="450">
        <f t="shared" si="163"/>
        <v>0</v>
      </c>
      <c r="K302" s="482">
        <f t="shared" si="164"/>
        <v>0</v>
      </c>
      <c r="L302" s="482">
        <f t="shared" si="165"/>
        <v>0</v>
      </c>
      <c r="M302" s="482">
        <f t="shared" si="166"/>
        <v>0</v>
      </c>
      <c r="N302" s="482">
        <f t="shared" si="167"/>
        <v>0</v>
      </c>
      <c r="O302" s="482">
        <f t="shared" si="168"/>
        <v>0</v>
      </c>
      <c r="P302" s="482">
        <f t="shared" si="169"/>
        <v>0</v>
      </c>
      <c r="Q302" s="451">
        <f t="shared" si="170"/>
        <v>20</v>
      </c>
      <c r="R302" s="452">
        <f t="shared" si="171"/>
        <v>9.2249999999999999E-2</v>
      </c>
      <c r="S302" s="452">
        <v>0</v>
      </c>
      <c r="T302" s="452">
        <v>0</v>
      </c>
      <c r="U302" s="452">
        <f t="shared" si="172"/>
        <v>2.8920000000000001E-2</v>
      </c>
      <c r="V302" s="451">
        <f t="shared" si="173"/>
        <v>0</v>
      </c>
      <c r="W302" s="451">
        <f t="shared" si="174"/>
        <v>0</v>
      </c>
      <c r="X302" s="451">
        <f t="shared" si="175"/>
        <v>0</v>
      </c>
      <c r="Y302" s="453">
        <f t="shared" si="176"/>
        <v>0</v>
      </c>
      <c r="Z302" s="453">
        <f t="shared" si="177"/>
        <v>0</v>
      </c>
      <c r="AA302" s="453">
        <f t="shared" si="178"/>
        <v>0</v>
      </c>
      <c r="AB302" s="453">
        <f t="shared" si="179"/>
        <v>0</v>
      </c>
      <c r="AC302" s="453">
        <f t="shared" si="180"/>
        <v>0</v>
      </c>
      <c r="AD302" s="453">
        <f t="shared" si="181"/>
        <v>0</v>
      </c>
      <c r="AE302" s="493">
        <f t="shared" si="182"/>
        <v>0</v>
      </c>
      <c r="AF302" s="453">
        <f t="shared" si="183"/>
        <v>0</v>
      </c>
      <c r="AG302" s="494">
        <f t="shared" si="184"/>
        <v>1</v>
      </c>
      <c r="AH302" s="454">
        <f t="shared" si="185"/>
        <v>0</v>
      </c>
      <c r="AI302" s="454">
        <f t="shared" si="186"/>
        <v>0</v>
      </c>
      <c r="AJ302" s="454">
        <f t="shared" si="187"/>
        <v>0</v>
      </c>
      <c r="AK302" s="454">
        <f t="shared" si="188"/>
        <v>0</v>
      </c>
      <c r="AL302" s="454">
        <f t="shared" si="189"/>
        <v>0</v>
      </c>
      <c r="AM302" s="454">
        <f t="shared" si="190"/>
        <v>0</v>
      </c>
      <c r="AN302" s="491">
        <f t="shared" si="191"/>
        <v>0</v>
      </c>
      <c r="AO302" s="487">
        <f t="shared" si="192"/>
        <v>0</v>
      </c>
      <c r="AP302" s="495">
        <f t="shared" si="193"/>
        <v>0</v>
      </c>
      <c r="AQ302" s="496">
        <f t="shared" si="194"/>
        <v>0</v>
      </c>
      <c r="AV302" s="459">
        <f>IF(BA302&gt;BA301,AV301,IF(AV301&lt;MiscData!$F$1,EOMONTH(AV301,1),EOMONTH(AV301,-11)))</f>
        <v>42247</v>
      </c>
      <c r="AW302" s="448" t="str">
        <f t="shared" si="195"/>
        <v>20140101KUCME710</v>
      </c>
      <c r="AX302" s="457" t="str">
        <f t="shared" si="196"/>
        <v>20140101GS</v>
      </c>
      <c r="AY302" s="439">
        <f>IF(AV302&lt;=MiscData!$B$23,MiscData!$C$23,IF(AV302&lt;=MiscData!$B$24,MiscData!$C$24,MiscData!$C$25))</f>
        <v>20140101</v>
      </c>
      <c r="AZ302" s="439" t="str">
        <f>VLOOKUP(BA302,MiscData!$V$4:$W$42,2,FALSE)</f>
        <v>KUCME710</v>
      </c>
      <c r="BA302" s="439">
        <f>IF(BA301=MiscData!$V$42,1,BA301+1)</f>
        <v>26</v>
      </c>
      <c r="BB302" s="511" t="str">
        <f>VLOOKUP(AZ302,MiscData!$W$4:$Y$42,3,FALSE)</f>
        <v>GS</v>
      </c>
    </row>
    <row r="303" spans="1:54">
      <c r="A303" s="448">
        <f t="shared" si="197"/>
        <v>279</v>
      </c>
      <c r="B303" s="448" t="str">
        <f t="shared" si="159"/>
        <v>Aug 2015</v>
      </c>
      <c r="C303" s="448" t="s">
        <v>17</v>
      </c>
      <c r="D303" s="449" t="str">
        <f t="shared" si="160"/>
        <v>GS3</v>
      </c>
      <c r="E303" s="449" t="str">
        <f t="shared" si="161"/>
        <v>KUCME713</v>
      </c>
      <c r="F303" s="450">
        <f t="shared" si="162"/>
        <v>0</v>
      </c>
      <c r="G303" s="450">
        <v>0</v>
      </c>
      <c r="H303" s="450">
        <v>0</v>
      </c>
      <c r="I303" s="450">
        <v>0</v>
      </c>
      <c r="J303" s="450">
        <f t="shared" si="163"/>
        <v>0</v>
      </c>
      <c r="K303" s="482">
        <f t="shared" si="164"/>
        <v>0</v>
      </c>
      <c r="L303" s="482">
        <f t="shared" si="165"/>
        <v>0</v>
      </c>
      <c r="M303" s="482">
        <f t="shared" si="166"/>
        <v>0</v>
      </c>
      <c r="N303" s="482">
        <f t="shared" si="167"/>
        <v>0</v>
      </c>
      <c r="O303" s="482">
        <f t="shared" si="168"/>
        <v>0</v>
      </c>
      <c r="P303" s="482">
        <f t="shared" si="169"/>
        <v>0</v>
      </c>
      <c r="Q303" s="451">
        <f t="shared" si="170"/>
        <v>35</v>
      </c>
      <c r="R303" s="452">
        <f t="shared" si="171"/>
        <v>9.2249999999999999E-2</v>
      </c>
      <c r="S303" s="452">
        <v>0</v>
      </c>
      <c r="T303" s="452">
        <v>0</v>
      </c>
      <c r="U303" s="452">
        <f t="shared" si="172"/>
        <v>2.8920000000000001E-2</v>
      </c>
      <c r="V303" s="451">
        <f t="shared" si="173"/>
        <v>0</v>
      </c>
      <c r="W303" s="451">
        <f t="shared" si="174"/>
        <v>0</v>
      </c>
      <c r="X303" s="451">
        <f t="shared" si="175"/>
        <v>0</v>
      </c>
      <c r="Y303" s="453">
        <f t="shared" si="176"/>
        <v>0</v>
      </c>
      <c r="Z303" s="453">
        <f t="shared" si="177"/>
        <v>0</v>
      </c>
      <c r="AA303" s="453">
        <f t="shared" si="178"/>
        <v>0</v>
      </c>
      <c r="AB303" s="453">
        <f t="shared" si="179"/>
        <v>0</v>
      </c>
      <c r="AC303" s="453">
        <f t="shared" si="180"/>
        <v>0</v>
      </c>
      <c r="AD303" s="453">
        <f t="shared" si="181"/>
        <v>0</v>
      </c>
      <c r="AE303" s="493">
        <f t="shared" si="182"/>
        <v>0</v>
      </c>
      <c r="AF303" s="453">
        <f t="shared" si="183"/>
        <v>0</v>
      </c>
      <c r="AG303" s="494">
        <f t="shared" si="184"/>
        <v>1</v>
      </c>
      <c r="AH303" s="454">
        <f t="shared" si="185"/>
        <v>0</v>
      </c>
      <c r="AI303" s="454">
        <f t="shared" si="186"/>
        <v>0</v>
      </c>
      <c r="AJ303" s="454">
        <f t="shared" si="187"/>
        <v>0</v>
      </c>
      <c r="AK303" s="454">
        <f t="shared" si="188"/>
        <v>0</v>
      </c>
      <c r="AL303" s="454">
        <f t="shared" si="189"/>
        <v>0</v>
      </c>
      <c r="AM303" s="454">
        <f t="shared" si="190"/>
        <v>0</v>
      </c>
      <c r="AN303" s="491">
        <f t="shared" si="191"/>
        <v>0</v>
      </c>
      <c r="AO303" s="487">
        <f t="shared" si="192"/>
        <v>0</v>
      </c>
      <c r="AP303" s="495">
        <f t="shared" si="193"/>
        <v>0</v>
      </c>
      <c r="AQ303" s="496">
        <f t="shared" si="194"/>
        <v>0</v>
      </c>
      <c r="AV303" s="459">
        <f>IF(BA303&gt;BA302,AV302,IF(AV302&lt;MiscData!$F$1,EOMONTH(AV302,1),EOMONTH(AV302,-11)))</f>
        <v>42247</v>
      </c>
      <c r="AW303" s="448" t="str">
        <f t="shared" si="195"/>
        <v>20140101KUCME713</v>
      </c>
      <c r="AX303" s="457" t="str">
        <f t="shared" si="196"/>
        <v>20140101GS3</v>
      </c>
      <c r="AY303" s="439">
        <f>IF(AV303&lt;=MiscData!$B$23,MiscData!$C$23,IF(AV303&lt;=MiscData!$B$24,MiscData!$C$24,MiscData!$C$25))</f>
        <v>20140101</v>
      </c>
      <c r="AZ303" s="439" t="str">
        <f>VLOOKUP(BA303,MiscData!$V$4:$W$42,2,FALSE)</f>
        <v>KUCME713</v>
      </c>
      <c r="BA303" s="439">
        <f>IF(BA302=MiscData!$V$42,1,BA302+1)</f>
        <v>27</v>
      </c>
      <c r="BB303" s="439" t="str">
        <f>VLOOKUP(AZ303,MiscData!$W$4:$Y$42,3,FALSE)</f>
        <v>GS3</v>
      </c>
    </row>
    <row r="304" spans="1:54" hidden="1">
      <c r="A304" s="448">
        <f t="shared" si="197"/>
        <v>280</v>
      </c>
      <c r="B304" s="448" t="str">
        <f t="shared" si="159"/>
        <v>Aug 2015</v>
      </c>
      <c r="C304" s="448" t="s">
        <v>1471</v>
      </c>
      <c r="D304" s="449" t="str">
        <f t="shared" si="160"/>
        <v>CSR10</v>
      </c>
      <c r="E304" s="449" t="str">
        <f t="shared" si="161"/>
        <v>KUCSR760</v>
      </c>
      <c r="F304" s="450">
        <f t="shared" si="162"/>
        <v>0</v>
      </c>
      <c r="G304" s="450">
        <v>0</v>
      </c>
      <c r="H304" s="450">
        <v>0</v>
      </c>
      <c r="I304" s="450">
        <v>0</v>
      </c>
      <c r="J304" s="450">
        <f t="shared" si="163"/>
        <v>0</v>
      </c>
      <c r="K304" s="482">
        <f t="shared" si="164"/>
        <v>0</v>
      </c>
      <c r="L304" s="482">
        <f t="shared" si="165"/>
        <v>0</v>
      </c>
      <c r="M304" s="482">
        <f t="shared" si="166"/>
        <v>0</v>
      </c>
      <c r="N304" s="482">
        <f t="shared" si="167"/>
        <v>0</v>
      </c>
      <c r="O304" s="482">
        <f t="shared" si="168"/>
        <v>0</v>
      </c>
      <c r="P304" s="482">
        <f t="shared" si="169"/>
        <v>0</v>
      </c>
      <c r="Q304" s="451">
        <f t="shared" si="170"/>
        <v>0</v>
      </c>
      <c r="R304" s="452">
        <f t="shared" si="171"/>
        <v>0</v>
      </c>
      <c r="S304" s="452">
        <v>0</v>
      </c>
      <c r="T304" s="452">
        <v>0</v>
      </c>
      <c r="U304" s="452">
        <f t="shared" si="172"/>
        <v>0</v>
      </c>
      <c r="V304" s="451">
        <f t="shared" si="173"/>
        <v>-5.4</v>
      </c>
      <c r="W304" s="451">
        <f t="shared" si="174"/>
        <v>0</v>
      </c>
      <c r="X304" s="451">
        <f t="shared" si="175"/>
        <v>0</v>
      </c>
      <c r="Y304" s="453">
        <f t="shared" si="176"/>
        <v>0</v>
      </c>
      <c r="Z304" s="453">
        <f t="shared" si="177"/>
        <v>0</v>
      </c>
      <c r="AA304" s="453">
        <f t="shared" si="178"/>
        <v>0</v>
      </c>
      <c r="AB304" s="453">
        <f t="shared" si="179"/>
        <v>0</v>
      </c>
      <c r="AC304" s="453">
        <f t="shared" si="180"/>
        <v>0</v>
      </c>
      <c r="AD304" s="453">
        <f t="shared" si="181"/>
        <v>0</v>
      </c>
      <c r="AE304" s="493">
        <f t="shared" si="182"/>
        <v>0</v>
      </c>
      <c r="AF304" s="453">
        <f t="shared" si="183"/>
        <v>0</v>
      </c>
      <c r="AG304" s="494">
        <f t="shared" si="184"/>
        <v>1</v>
      </c>
      <c r="AH304" s="454">
        <f t="shared" si="185"/>
        <v>0</v>
      </c>
      <c r="AI304" s="454">
        <f t="shared" si="186"/>
        <v>0</v>
      </c>
      <c r="AJ304" s="454">
        <f t="shared" si="187"/>
        <v>0</v>
      </c>
      <c r="AK304" s="454">
        <f t="shared" si="188"/>
        <v>0</v>
      </c>
      <c r="AL304" s="454">
        <f t="shared" si="189"/>
        <v>-989829</v>
      </c>
      <c r="AM304" s="454">
        <f t="shared" si="190"/>
        <v>-989829</v>
      </c>
      <c r="AN304" s="491">
        <f t="shared" si="191"/>
        <v>-989829</v>
      </c>
      <c r="AO304" s="487">
        <f t="shared" si="192"/>
        <v>0</v>
      </c>
      <c r="AP304" s="495">
        <f t="shared" si="193"/>
        <v>0</v>
      </c>
      <c r="AQ304" s="496">
        <f t="shared" si="194"/>
        <v>0</v>
      </c>
      <c r="AV304" s="459">
        <f>IF(BA304&gt;BA303,AV303,IF(AV303&lt;MiscData!$F$1,EOMONTH(AV303,1),EOMONTH(AV303,-11)))</f>
        <v>42247</v>
      </c>
      <c r="AW304" s="448" t="str">
        <f t="shared" si="195"/>
        <v>20140101KUCSR760</v>
      </c>
      <c r="AX304" s="457" t="str">
        <f t="shared" si="196"/>
        <v>20140101CSR10</v>
      </c>
      <c r="AY304" s="439">
        <f>IF(AV304&lt;=MiscData!$B$23,MiscData!$C$23,IF(AV304&lt;=MiscData!$B$24,MiscData!$C$24,MiscData!$C$25))</f>
        <v>20140101</v>
      </c>
      <c r="AZ304" s="439" t="str">
        <f>VLOOKUP(BA304,MiscData!$V$4:$W$42,2,FALSE)</f>
        <v>KUCSR760</v>
      </c>
      <c r="BA304" s="439">
        <f>IF(BA303=MiscData!$V$42,1,BA303+1)</f>
        <v>28</v>
      </c>
      <c r="BB304" s="439" t="str">
        <f>VLOOKUP(AZ304,MiscData!$W$4:$Y$42,3,FALSE)</f>
        <v>CSR10</v>
      </c>
    </row>
    <row r="305" spans="1:55" hidden="1">
      <c r="A305" s="448">
        <f>A301+1</f>
        <v>278</v>
      </c>
      <c r="B305" s="448" t="str">
        <f t="shared" si="159"/>
        <v>Aug 2015</v>
      </c>
      <c r="C305" s="448" t="s">
        <v>1471</v>
      </c>
      <c r="D305" s="449" t="str">
        <f t="shared" si="160"/>
        <v>CSR10</v>
      </c>
      <c r="E305" s="449" t="str">
        <f t="shared" si="161"/>
        <v>KUCSR761</v>
      </c>
      <c r="F305" s="450">
        <f t="shared" si="162"/>
        <v>0</v>
      </c>
      <c r="G305" s="450">
        <v>0</v>
      </c>
      <c r="H305" s="450">
        <v>0</v>
      </c>
      <c r="I305" s="450">
        <v>0</v>
      </c>
      <c r="J305" s="450">
        <f t="shared" si="163"/>
        <v>0</v>
      </c>
      <c r="K305" s="482">
        <f t="shared" si="164"/>
        <v>0</v>
      </c>
      <c r="L305" s="482">
        <f t="shared" si="165"/>
        <v>0</v>
      </c>
      <c r="M305" s="482">
        <f t="shared" si="166"/>
        <v>0</v>
      </c>
      <c r="N305" s="482">
        <f t="shared" si="167"/>
        <v>0</v>
      </c>
      <c r="O305" s="482">
        <f t="shared" si="168"/>
        <v>0</v>
      </c>
      <c r="P305" s="482">
        <f t="shared" si="169"/>
        <v>0</v>
      </c>
      <c r="Q305" s="451">
        <f t="shared" si="170"/>
        <v>0</v>
      </c>
      <c r="R305" s="452">
        <f t="shared" si="171"/>
        <v>0</v>
      </c>
      <c r="S305" s="452">
        <v>0</v>
      </c>
      <c r="T305" s="452">
        <v>0</v>
      </c>
      <c r="U305" s="452">
        <f t="shared" si="172"/>
        <v>0</v>
      </c>
      <c r="V305" s="451">
        <f t="shared" si="173"/>
        <v>-5.5</v>
      </c>
      <c r="W305" s="451">
        <f t="shared" si="174"/>
        <v>0</v>
      </c>
      <c r="X305" s="451">
        <f t="shared" si="175"/>
        <v>0</v>
      </c>
      <c r="Y305" s="453">
        <f t="shared" si="176"/>
        <v>0</v>
      </c>
      <c r="Z305" s="453">
        <f t="shared" si="177"/>
        <v>0</v>
      </c>
      <c r="AA305" s="453">
        <f t="shared" si="178"/>
        <v>0</v>
      </c>
      <c r="AB305" s="453">
        <f t="shared" si="179"/>
        <v>0</v>
      </c>
      <c r="AC305" s="453">
        <f t="shared" si="180"/>
        <v>0</v>
      </c>
      <c r="AD305" s="453">
        <f t="shared" si="181"/>
        <v>0</v>
      </c>
      <c r="AE305" s="493">
        <f t="shared" si="182"/>
        <v>0</v>
      </c>
      <c r="AF305" s="453">
        <f t="shared" si="183"/>
        <v>0</v>
      </c>
      <c r="AG305" s="494">
        <f t="shared" si="184"/>
        <v>1</v>
      </c>
      <c r="AH305" s="454">
        <f t="shared" si="185"/>
        <v>0</v>
      </c>
      <c r="AI305" s="454">
        <f t="shared" si="186"/>
        <v>0</v>
      </c>
      <c r="AJ305" s="454">
        <f t="shared" si="187"/>
        <v>0</v>
      </c>
      <c r="AK305" s="454">
        <f t="shared" si="188"/>
        <v>0</v>
      </c>
      <c r="AL305" s="454">
        <f t="shared" si="189"/>
        <v>0</v>
      </c>
      <c r="AM305" s="454">
        <f t="shared" si="190"/>
        <v>0</v>
      </c>
      <c r="AN305" s="491">
        <f t="shared" si="191"/>
        <v>0</v>
      </c>
      <c r="AO305" s="487">
        <f t="shared" si="192"/>
        <v>0</v>
      </c>
      <c r="AP305" s="495">
        <f t="shared" si="193"/>
        <v>0</v>
      </c>
      <c r="AQ305" s="496">
        <f t="shared" si="194"/>
        <v>0</v>
      </c>
      <c r="AV305" s="459">
        <f>IF(BA305&gt;BA301,AV301,IF(AV301&lt;MiscData!$F$1,EOMONTH(AV301,1),EOMONTH(AV301,-11)))</f>
        <v>42247</v>
      </c>
      <c r="AW305" s="448" t="str">
        <f t="shared" si="195"/>
        <v>20140101KUCSR761</v>
      </c>
      <c r="AX305" s="457" t="str">
        <f t="shared" si="196"/>
        <v>20140101CSR10</v>
      </c>
      <c r="AY305" s="439">
        <f>IF(AV305&lt;=MiscData!$B$23,MiscData!$C$23,IF(AV305&lt;=MiscData!$B$24,MiscData!$C$24,MiscData!$C$25))</f>
        <v>20140101</v>
      </c>
      <c r="AZ305" s="439" t="str">
        <f>VLOOKUP(BA305,MiscData!$V$4:$W$42,2,FALSE)</f>
        <v>KUCSR761</v>
      </c>
      <c r="BA305" s="439">
        <f>IF(BA304=MiscData!$V$42,1,BA304+1)</f>
        <v>29</v>
      </c>
      <c r="BB305" s="439" t="str">
        <f>VLOOKUP(AZ305,MiscData!$W$4:$Y$42,3,FALSE)</f>
        <v>CSR10</v>
      </c>
    </row>
    <row r="306" spans="1:55" hidden="1">
      <c r="A306" s="499">
        <f>A302+1</f>
        <v>279</v>
      </c>
      <c r="B306" s="448" t="str">
        <f t="shared" si="159"/>
        <v>Aug 2015</v>
      </c>
      <c r="C306" s="448" t="s">
        <v>1472</v>
      </c>
      <c r="D306" s="449" t="str">
        <f t="shared" si="160"/>
        <v>CSR30</v>
      </c>
      <c r="E306" s="449" t="str">
        <f t="shared" si="161"/>
        <v>KUCSR780</v>
      </c>
      <c r="F306" s="450">
        <f t="shared" si="162"/>
        <v>0</v>
      </c>
      <c r="G306" s="450">
        <v>0</v>
      </c>
      <c r="H306" s="450">
        <v>0</v>
      </c>
      <c r="I306" s="450">
        <v>0</v>
      </c>
      <c r="J306" s="450">
        <f t="shared" si="163"/>
        <v>0</v>
      </c>
      <c r="K306" s="482">
        <f t="shared" si="164"/>
        <v>0</v>
      </c>
      <c r="L306" s="482">
        <f t="shared" si="165"/>
        <v>0</v>
      </c>
      <c r="M306" s="482">
        <f t="shared" si="166"/>
        <v>0</v>
      </c>
      <c r="N306" s="482">
        <f t="shared" si="167"/>
        <v>0</v>
      </c>
      <c r="O306" s="482">
        <f t="shared" si="168"/>
        <v>0</v>
      </c>
      <c r="P306" s="482">
        <f t="shared" si="169"/>
        <v>0</v>
      </c>
      <c r="Q306" s="451">
        <f t="shared" si="170"/>
        <v>0</v>
      </c>
      <c r="R306" s="452">
        <f t="shared" si="171"/>
        <v>0</v>
      </c>
      <c r="S306" s="452">
        <v>0</v>
      </c>
      <c r="T306" s="452">
        <v>0</v>
      </c>
      <c r="U306" s="452">
        <f t="shared" si="172"/>
        <v>0</v>
      </c>
      <c r="V306" s="451">
        <f t="shared" si="173"/>
        <v>-4.3</v>
      </c>
      <c r="W306" s="451">
        <f t="shared" si="174"/>
        <v>0</v>
      </c>
      <c r="X306" s="451">
        <f t="shared" si="175"/>
        <v>0</v>
      </c>
      <c r="Y306" s="453">
        <f t="shared" si="176"/>
        <v>0</v>
      </c>
      <c r="Z306" s="453">
        <f t="shared" si="177"/>
        <v>0</v>
      </c>
      <c r="AA306" s="453">
        <f t="shared" si="178"/>
        <v>0</v>
      </c>
      <c r="AB306" s="453">
        <f t="shared" si="179"/>
        <v>0</v>
      </c>
      <c r="AC306" s="453">
        <f t="shared" si="180"/>
        <v>0</v>
      </c>
      <c r="AD306" s="453">
        <f t="shared" si="181"/>
        <v>0</v>
      </c>
      <c r="AE306" s="493">
        <f t="shared" si="182"/>
        <v>0</v>
      </c>
      <c r="AF306" s="453">
        <f t="shared" si="183"/>
        <v>0</v>
      </c>
      <c r="AG306" s="494">
        <f t="shared" si="184"/>
        <v>1</v>
      </c>
      <c r="AH306" s="454">
        <f t="shared" si="185"/>
        <v>0</v>
      </c>
      <c r="AI306" s="454">
        <f t="shared" si="186"/>
        <v>0</v>
      </c>
      <c r="AJ306" s="454">
        <f t="shared" si="187"/>
        <v>0</v>
      </c>
      <c r="AK306" s="454">
        <f t="shared" si="188"/>
        <v>0</v>
      </c>
      <c r="AL306" s="454">
        <f t="shared" si="189"/>
        <v>0</v>
      </c>
      <c r="AM306" s="454">
        <f t="shared" si="190"/>
        <v>0</v>
      </c>
      <c r="AN306" s="491">
        <f t="shared" si="191"/>
        <v>0</v>
      </c>
      <c r="AO306" s="487">
        <f t="shared" si="192"/>
        <v>0</v>
      </c>
      <c r="AP306" s="495">
        <f t="shared" si="193"/>
        <v>0</v>
      </c>
      <c r="AQ306" s="510">
        <f t="shared" si="194"/>
        <v>0</v>
      </c>
      <c r="AV306" s="459">
        <f>IF(BA306&gt;BA302,AV302,IF(AV302&lt;MiscData!$F$1,EOMONTH(AV302,1),EOMONTH(AV302,-11)))</f>
        <v>42247</v>
      </c>
      <c r="AW306" s="448" t="str">
        <f t="shared" si="195"/>
        <v>20140101KUCSR780</v>
      </c>
      <c r="AX306" s="457" t="str">
        <f t="shared" si="196"/>
        <v>20140101CSR30</v>
      </c>
      <c r="AY306" s="439">
        <f>IF(AV306&lt;=MiscData!$B$23,MiscData!$C$23,IF(AV306&lt;=MiscData!$B$24,MiscData!$C$24,MiscData!$C$25))</f>
        <v>20140101</v>
      </c>
      <c r="AZ306" s="439" t="str">
        <f>VLOOKUP(BA306,MiscData!$V$4:$W$42,2,FALSE)</f>
        <v>KUCSR780</v>
      </c>
      <c r="BA306" s="439">
        <f>IF(BA305=MiscData!$V$42,1,BA305+1)</f>
        <v>30</v>
      </c>
      <c r="BB306" s="439" t="str">
        <f>VLOOKUP(AZ306,MiscData!$W$4:$Y$42,3,FALSE)</f>
        <v>CSR30</v>
      </c>
    </row>
    <row r="307" spans="1:55" hidden="1">
      <c r="A307" s="499">
        <f>A303+1</f>
        <v>280</v>
      </c>
      <c r="B307" s="448" t="str">
        <f t="shared" si="159"/>
        <v>Aug 2015</v>
      </c>
      <c r="C307" s="448" t="s">
        <v>1472</v>
      </c>
      <c r="D307" s="449" t="str">
        <f t="shared" si="160"/>
        <v>CSR30</v>
      </c>
      <c r="E307" s="449" t="str">
        <f t="shared" si="161"/>
        <v>KUCSR781</v>
      </c>
      <c r="F307" s="450">
        <f t="shared" si="162"/>
        <v>0</v>
      </c>
      <c r="G307" s="450">
        <v>0</v>
      </c>
      <c r="H307" s="450">
        <v>0</v>
      </c>
      <c r="I307" s="450">
        <v>0</v>
      </c>
      <c r="J307" s="450">
        <f t="shared" si="163"/>
        <v>0</v>
      </c>
      <c r="K307" s="482">
        <f t="shared" si="164"/>
        <v>0</v>
      </c>
      <c r="L307" s="482">
        <f t="shared" si="165"/>
        <v>0</v>
      </c>
      <c r="M307" s="482">
        <f t="shared" si="166"/>
        <v>0</v>
      </c>
      <c r="N307" s="482">
        <f t="shared" si="167"/>
        <v>0</v>
      </c>
      <c r="O307" s="482">
        <f t="shared" si="168"/>
        <v>0</v>
      </c>
      <c r="P307" s="482">
        <f t="shared" si="169"/>
        <v>0</v>
      </c>
      <c r="Q307" s="451">
        <f t="shared" si="170"/>
        <v>0</v>
      </c>
      <c r="R307" s="452">
        <f t="shared" si="171"/>
        <v>0</v>
      </c>
      <c r="S307" s="452">
        <v>0</v>
      </c>
      <c r="T307" s="452">
        <v>0</v>
      </c>
      <c r="U307" s="452">
        <f t="shared" si="172"/>
        <v>0</v>
      </c>
      <c r="V307" s="451">
        <f t="shared" si="173"/>
        <v>-4.4000000000000004</v>
      </c>
      <c r="W307" s="451">
        <f t="shared" si="174"/>
        <v>0</v>
      </c>
      <c r="X307" s="451">
        <f t="shared" si="175"/>
        <v>0</v>
      </c>
      <c r="Y307" s="453">
        <f t="shared" si="176"/>
        <v>0</v>
      </c>
      <c r="Z307" s="453">
        <f t="shared" si="177"/>
        <v>0</v>
      </c>
      <c r="AA307" s="453">
        <f t="shared" si="178"/>
        <v>0</v>
      </c>
      <c r="AB307" s="453">
        <f t="shared" si="179"/>
        <v>0</v>
      </c>
      <c r="AC307" s="453">
        <f t="shared" si="180"/>
        <v>0</v>
      </c>
      <c r="AD307" s="453">
        <f t="shared" si="181"/>
        <v>0</v>
      </c>
      <c r="AE307" s="493">
        <f t="shared" si="182"/>
        <v>0</v>
      </c>
      <c r="AF307" s="453">
        <f t="shared" si="183"/>
        <v>0</v>
      </c>
      <c r="AG307" s="494">
        <f t="shared" si="184"/>
        <v>1</v>
      </c>
      <c r="AH307" s="454">
        <f t="shared" si="185"/>
        <v>0</v>
      </c>
      <c r="AI307" s="454">
        <f t="shared" si="186"/>
        <v>0</v>
      </c>
      <c r="AJ307" s="454">
        <f t="shared" si="187"/>
        <v>0</v>
      </c>
      <c r="AK307" s="454">
        <f t="shared" si="188"/>
        <v>0</v>
      </c>
      <c r="AL307" s="454">
        <f t="shared" si="189"/>
        <v>0</v>
      </c>
      <c r="AM307" s="454">
        <f t="shared" si="190"/>
        <v>0</v>
      </c>
      <c r="AN307" s="491">
        <f t="shared" si="191"/>
        <v>0</v>
      </c>
      <c r="AO307" s="487">
        <f t="shared" si="192"/>
        <v>0</v>
      </c>
      <c r="AP307" s="495">
        <f t="shared" si="193"/>
        <v>0</v>
      </c>
      <c r="AQ307" s="510">
        <f t="shared" si="194"/>
        <v>0</v>
      </c>
      <c r="AV307" s="459">
        <f>IF(BA307&gt;BA303,AV303,IF(AV303&lt;MiscData!$F$1,EOMONTH(AV303,1),EOMONTH(AV303,-11)))</f>
        <v>42247</v>
      </c>
      <c r="AW307" s="448" t="str">
        <f t="shared" si="195"/>
        <v>20140101KUCSR781</v>
      </c>
      <c r="AX307" s="457" t="str">
        <f t="shared" si="196"/>
        <v>20140101CSR30</v>
      </c>
      <c r="AY307" s="439">
        <f>IF(AV307&lt;=MiscData!$B$23,MiscData!$C$23,IF(AV307&lt;=MiscData!$B$24,MiscData!$C$24,MiscData!$C$25))</f>
        <v>20140101</v>
      </c>
      <c r="AZ307" s="439" t="str">
        <f>VLOOKUP(BA307,MiscData!$V$4:$W$42,2,FALSE)</f>
        <v>KUCSR781</v>
      </c>
      <c r="BA307" s="439">
        <f>IF(BA306=MiscData!$V$42,1,BA306+1)</f>
        <v>31</v>
      </c>
      <c r="BB307" s="439" t="str">
        <f>VLOOKUP(AZ307,MiscData!$W$4:$Y$42,3,FALSE)</f>
        <v>CSR30</v>
      </c>
    </row>
    <row r="308" spans="1:55" hidden="1">
      <c r="A308" s="499">
        <f>A304+1</f>
        <v>281</v>
      </c>
      <c r="B308" s="448" t="str">
        <f t="shared" si="159"/>
        <v>Aug 2015</v>
      </c>
      <c r="C308" s="448" t="s">
        <v>1472</v>
      </c>
      <c r="D308" s="449" t="str">
        <f t="shared" si="160"/>
        <v>CSR30</v>
      </c>
      <c r="E308" s="449" t="str">
        <f t="shared" si="161"/>
        <v>KUCSR783</v>
      </c>
      <c r="F308" s="450">
        <f t="shared" si="162"/>
        <v>0</v>
      </c>
      <c r="G308" s="450">
        <v>0</v>
      </c>
      <c r="H308" s="450">
        <v>0</v>
      </c>
      <c r="I308" s="450">
        <v>0</v>
      </c>
      <c r="J308" s="450">
        <f t="shared" si="163"/>
        <v>0</v>
      </c>
      <c r="K308" s="482">
        <f t="shared" si="164"/>
        <v>0</v>
      </c>
      <c r="L308" s="482">
        <f t="shared" si="165"/>
        <v>0</v>
      </c>
      <c r="M308" s="482">
        <f t="shared" si="166"/>
        <v>0</v>
      </c>
      <c r="N308" s="482">
        <f t="shared" si="167"/>
        <v>0</v>
      </c>
      <c r="O308" s="482">
        <f t="shared" si="168"/>
        <v>0</v>
      </c>
      <c r="P308" s="482">
        <f t="shared" si="169"/>
        <v>0</v>
      </c>
      <c r="Q308" s="451">
        <f t="shared" si="170"/>
        <v>0</v>
      </c>
      <c r="R308" s="452">
        <f t="shared" si="171"/>
        <v>0</v>
      </c>
      <c r="S308" s="452">
        <v>0</v>
      </c>
      <c r="T308" s="452">
        <v>0</v>
      </c>
      <c r="U308" s="452">
        <f t="shared" si="172"/>
        <v>0</v>
      </c>
      <c r="V308" s="451">
        <f t="shared" si="173"/>
        <v>-4.4000000000000004</v>
      </c>
      <c r="W308" s="451">
        <f t="shared" si="174"/>
        <v>0</v>
      </c>
      <c r="X308" s="451">
        <f t="shared" si="175"/>
        <v>0</v>
      </c>
      <c r="Y308" s="453">
        <f t="shared" si="176"/>
        <v>0</v>
      </c>
      <c r="Z308" s="453">
        <f t="shared" si="177"/>
        <v>0</v>
      </c>
      <c r="AA308" s="453">
        <f t="shared" si="178"/>
        <v>0</v>
      </c>
      <c r="AB308" s="453">
        <f t="shared" si="179"/>
        <v>0</v>
      </c>
      <c r="AC308" s="453">
        <f t="shared" si="180"/>
        <v>0</v>
      </c>
      <c r="AD308" s="453">
        <f t="shared" si="181"/>
        <v>0</v>
      </c>
      <c r="AE308" s="493">
        <f t="shared" si="182"/>
        <v>0</v>
      </c>
      <c r="AF308" s="453">
        <f t="shared" si="183"/>
        <v>0</v>
      </c>
      <c r="AG308" s="494">
        <f t="shared" si="184"/>
        <v>1</v>
      </c>
      <c r="AH308" s="454">
        <f t="shared" si="185"/>
        <v>0</v>
      </c>
      <c r="AI308" s="454">
        <f t="shared" si="186"/>
        <v>0</v>
      </c>
      <c r="AJ308" s="454">
        <f t="shared" si="187"/>
        <v>0</v>
      </c>
      <c r="AK308" s="454">
        <f t="shared" si="188"/>
        <v>0</v>
      </c>
      <c r="AL308" s="454">
        <f t="shared" si="189"/>
        <v>0</v>
      </c>
      <c r="AM308" s="454">
        <f t="shared" si="190"/>
        <v>0</v>
      </c>
      <c r="AN308" s="491">
        <f t="shared" si="191"/>
        <v>0</v>
      </c>
      <c r="AO308" s="487">
        <f t="shared" si="192"/>
        <v>0</v>
      </c>
      <c r="AP308" s="495">
        <f t="shared" si="193"/>
        <v>0</v>
      </c>
      <c r="AQ308" s="510">
        <f t="shared" si="194"/>
        <v>0</v>
      </c>
      <c r="AV308" s="459">
        <f>IF(BA308&gt;BA304,AV304,IF(AV304&lt;MiscData!$F$1,EOMONTH(AV304,1),EOMONTH(AV304,-11)))</f>
        <v>42247</v>
      </c>
      <c r="AW308" s="448" t="str">
        <f t="shared" si="195"/>
        <v>20140101KUCSR783</v>
      </c>
      <c r="AX308" s="457" t="str">
        <f t="shared" si="196"/>
        <v>20140101CSR30</v>
      </c>
      <c r="AY308" s="439">
        <f>IF(AV308&lt;=MiscData!$B$23,MiscData!$C$23,IF(AV308&lt;=MiscData!$B$24,MiscData!$C$24,MiscData!$C$25))</f>
        <v>20140101</v>
      </c>
      <c r="AZ308" s="439" t="str">
        <f>VLOOKUP(BA308,MiscData!$V$4:$W$42,2,FALSE)</f>
        <v>KUCSR783</v>
      </c>
      <c r="BA308" s="439">
        <f>IF(BA307=MiscData!$V$42,1,BA307+1)</f>
        <v>32</v>
      </c>
      <c r="BB308" s="439" t="str">
        <f>VLOOKUP(AZ308,MiscData!$W$4:$Y$42,3,FALSE)</f>
        <v>CSR30</v>
      </c>
    </row>
    <row r="309" spans="1:55" hidden="1">
      <c r="A309" s="499">
        <f t="shared" ref="A309:A343" si="198">A308+1</f>
        <v>282</v>
      </c>
      <c r="B309" s="448" t="str">
        <f t="shared" si="159"/>
        <v>Aug 2015</v>
      </c>
      <c r="C309" s="832" t="s">
        <v>642</v>
      </c>
      <c r="D309" s="449" t="str">
        <f t="shared" si="160"/>
        <v>FLST</v>
      </c>
      <c r="E309" s="449" t="str">
        <f t="shared" si="161"/>
        <v>KUINE730</v>
      </c>
      <c r="F309" s="450">
        <f t="shared" si="162"/>
        <v>1</v>
      </c>
      <c r="G309" s="450">
        <v>0</v>
      </c>
      <c r="H309" s="450">
        <v>0</v>
      </c>
      <c r="I309" s="450">
        <v>0</v>
      </c>
      <c r="J309" s="450">
        <f t="shared" si="163"/>
        <v>46590427</v>
      </c>
      <c r="K309" s="482">
        <f t="shared" si="164"/>
        <v>185158</v>
      </c>
      <c r="L309" s="482">
        <f t="shared" si="165"/>
        <v>185158</v>
      </c>
      <c r="M309" s="482">
        <f t="shared" si="166"/>
        <v>101388</v>
      </c>
      <c r="N309" s="482">
        <f t="shared" si="167"/>
        <v>0</v>
      </c>
      <c r="O309" s="482">
        <f t="shared" si="168"/>
        <v>0</v>
      </c>
      <c r="P309" s="482">
        <f t="shared" si="169"/>
        <v>0</v>
      </c>
      <c r="Q309" s="451">
        <f t="shared" si="170"/>
        <v>750</v>
      </c>
      <c r="R309" s="452">
        <f t="shared" si="171"/>
        <v>3.261E-2</v>
      </c>
      <c r="S309" s="452">
        <v>0</v>
      </c>
      <c r="T309" s="452">
        <v>0</v>
      </c>
      <c r="U309" s="452">
        <f t="shared" si="172"/>
        <v>2.8920000000000001E-2</v>
      </c>
      <c r="V309" s="451">
        <f t="shared" si="173"/>
        <v>1.05</v>
      </c>
      <c r="W309" s="451">
        <f t="shared" si="174"/>
        <v>1.52</v>
      </c>
      <c r="X309" s="451">
        <f t="shared" si="175"/>
        <v>2.41</v>
      </c>
      <c r="Y309" s="453">
        <f t="shared" si="176"/>
        <v>750</v>
      </c>
      <c r="Z309" s="453">
        <f t="shared" si="177"/>
        <v>1519313.82</v>
      </c>
      <c r="AA309" s="453">
        <f t="shared" si="178"/>
        <v>194415.9</v>
      </c>
      <c r="AB309" s="453">
        <f t="shared" si="179"/>
        <v>281440.15999999997</v>
      </c>
      <c r="AC309" s="453">
        <f t="shared" si="180"/>
        <v>244345.08</v>
      </c>
      <c r="AD309" s="453">
        <f t="shared" si="181"/>
        <v>720201.1399999999</v>
      </c>
      <c r="AE309" s="493">
        <f t="shared" si="182"/>
        <v>2240264.96</v>
      </c>
      <c r="AF309" s="453">
        <f t="shared" si="183"/>
        <v>2240263</v>
      </c>
      <c r="AG309" s="494">
        <f t="shared" si="184"/>
        <v>0.99999912510348776</v>
      </c>
      <c r="AH309" s="454">
        <f t="shared" si="185"/>
        <v>99932</v>
      </c>
      <c r="AI309" s="454">
        <f t="shared" si="186"/>
        <v>0</v>
      </c>
      <c r="AJ309" s="454">
        <f t="shared" si="187"/>
        <v>197328</v>
      </c>
      <c r="AK309" s="454">
        <f t="shared" si="188"/>
        <v>0</v>
      </c>
      <c r="AL309" s="454">
        <f t="shared" si="189"/>
        <v>0</v>
      </c>
      <c r="AM309" s="454">
        <f t="shared" si="190"/>
        <v>2537523</v>
      </c>
      <c r="AN309" s="491">
        <f t="shared" si="191"/>
        <v>2537524.96</v>
      </c>
      <c r="AO309" s="487">
        <f t="shared" si="192"/>
        <v>-1.9599999999627471</v>
      </c>
      <c r="AP309" s="495">
        <f t="shared" si="193"/>
        <v>1347395.15</v>
      </c>
      <c r="AQ309" s="510">
        <f t="shared" si="194"/>
        <v>171918.67000000016</v>
      </c>
      <c r="AV309" s="459">
        <f>IF(BA309&gt;BA308,AV308,IF(AV308&lt;MiscData!$F$1,EOMONTH(AV308,1),EOMONTH(AV308,-11)))</f>
        <v>42247</v>
      </c>
      <c r="AW309" s="448" t="str">
        <f t="shared" si="195"/>
        <v>20140101KUINE730</v>
      </c>
      <c r="AX309" s="457" t="str">
        <f t="shared" si="196"/>
        <v>20140101FLST</v>
      </c>
      <c r="AY309" s="439">
        <f>IF(AV309&lt;=MiscData!$B$23,MiscData!$C$23,IF(AV309&lt;=MiscData!$B$24,MiscData!$C$24,MiscData!$C$25))</f>
        <v>20140101</v>
      </c>
      <c r="AZ309" s="439" t="str">
        <f>VLOOKUP(BA309,MiscData!$V$4:$W$42,2,FALSE)</f>
        <v>KUINE730</v>
      </c>
      <c r="BA309" s="439">
        <f>IF(BA308=MiscData!$V$42,1,BA308+1)</f>
        <v>33</v>
      </c>
      <c r="BB309" s="439" t="str">
        <f>VLOOKUP(AZ309,MiscData!$W$4:$Y$42,3,FALSE)</f>
        <v>FLST</v>
      </c>
    </row>
    <row r="310" spans="1:55" hidden="1">
      <c r="A310" s="448">
        <f t="shared" si="198"/>
        <v>283</v>
      </c>
      <c r="B310" s="448" t="str">
        <f t="shared" si="159"/>
        <v>Aug 2015</v>
      </c>
      <c r="C310" s="448" t="s">
        <v>14</v>
      </c>
      <c r="D310" s="449" t="str">
        <f t="shared" si="160"/>
        <v>RS</v>
      </c>
      <c r="E310" s="449" t="str">
        <f t="shared" si="161"/>
        <v>KURSE010</v>
      </c>
      <c r="F310" s="450">
        <f t="shared" si="162"/>
        <v>429501</v>
      </c>
      <c r="G310" s="450">
        <v>0</v>
      </c>
      <c r="H310" s="450">
        <v>0</v>
      </c>
      <c r="I310" s="450">
        <v>0</v>
      </c>
      <c r="J310" s="450">
        <f t="shared" si="163"/>
        <v>576723280</v>
      </c>
      <c r="K310" s="482">
        <f t="shared" si="164"/>
        <v>0</v>
      </c>
      <c r="L310" s="482">
        <f t="shared" si="165"/>
        <v>0</v>
      </c>
      <c r="M310" s="482">
        <f t="shared" si="166"/>
        <v>0</v>
      </c>
      <c r="N310" s="482">
        <f t="shared" si="167"/>
        <v>0</v>
      </c>
      <c r="O310" s="482">
        <f t="shared" si="168"/>
        <v>0</v>
      </c>
      <c r="P310" s="482">
        <f t="shared" si="169"/>
        <v>0</v>
      </c>
      <c r="Q310" s="451">
        <f t="shared" si="170"/>
        <v>10.75</v>
      </c>
      <c r="R310" s="452">
        <f t="shared" si="171"/>
        <v>7.7439999999999995E-2</v>
      </c>
      <c r="S310" s="452">
        <v>0</v>
      </c>
      <c r="T310" s="452">
        <v>0</v>
      </c>
      <c r="U310" s="452">
        <f t="shared" si="172"/>
        <v>2.8920000000000001E-2</v>
      </c>
      <c r="V310" s="451">
        <f t="shared" si="173"/>
        <v>0</v>
      </c>
      <c r="W310" s="451">
        <f t="shared" si="174"/>
        <v>0</v>
      </c>
      <c r="X310" s="451">
        <f t="shared" si="175"/>
        <v>0</v>
      </c>
      <c r="Y310" s="453">
        <f t="shared" si="176"/>
        <v>4617135.75</v>
      </c>
      <c r="Z310" s="453">
        <f t="shared" si="177"/>
        <v>44661450.799999997</v>
      </c>
      <c r="AA310" s="453">
        <f t="shared" si="178"/>
        <v>0</v>
      </c>
      <c r="AB310" s="453">
        <f t="shared" si="179"/>
        <v>0</v>
      </c>
      <c r="AC310" s="453">
        <f t="shared" si="180"/>
        <v>0</v>
      </c>
      <c r="AD310" s="453">
        <f t="shared" si="181"/>
        <v>0</v>
      </c>
      <c r="AE310" s="493">
        <f t="shared" si="182"/>
        <v>49278586.549999997</v>
      </c>
      <c r="AF310" s="453">
        <f t="shared" si="183"/>
        <v>49279119</v>
      </c>
      <c r="AG310" s="494">
        <f t="shared" si="184"/>
        <v>1.0000108048959453</v>
      </c>
      <c r="AH310" s="454">
        <f t="shared" si="185"/>
        <v>1237032</v>
      </c>
      <c r="AI310" s="454">
        <f t="shared" si="186"/>
        <v>1061621</v>
      </c>
      <c r="AJ310" s="454">
        <f t="shared" si="187"/>
        <v>2442669</v>
      </c>
      <c r="AK310" s="454">
        <f t="shared" si="188"/>
        <v>0</v>
      </c>
      <c r="AL310" s="454">
        <f t="shared" si="189"/>
        <v>0</v>
      </c>
      <c r="AM310" s="454">
        <f t="shared" si="190"/>
        <v>54020441</v>
      </c>
      <c r="AN310" s="491">
        <f t="shared" si="191"/>
        <v>54019908.549999997</v>
      </c>
      <c r="AO310" s="487">
        <f t="shared" si="192"/>
        <v>532.45000000298023</v>
      </c>
      <c r="AP310" s="495">
        <f t="shared" si="193"/>
        <v>16678837.26</v>
      </c>
      <c r="AQ310" s="496">
        <f t="shared" si="194"/>
        <v>27982613.539999999</v>
      </c>
      <c r="AV310" s="459">
        <f>IF(BA310&gt;BA309,AV309,IF(AV309&lt;MiscData!$F$1,EOMONTH(AV309,1),EOMONTH(AV309,-11)))</f>
        <v>42247</v>
      </c>
      <c r="AW310" s="448" t="str">
        <f t="shared" si="195"/>
        <v>20140101KURSE010</v>
      </c>
      <c r="AX310" s="457" t="str">
        <f t="shared" si="196"/>
        <v>20140101RS</v>
      </c>
      <c r="AY310" s="439">
        <f>IF(AV310&lt;=MiscData!$B$23,MiscData!$C$23,IF(AV310&lt;=MiscData!$B$24,MiscData!$C$24,MiscData!$C$25))</f>
        <v>20140101</v>
      </c>
      <c r="AZ310" s="439" t="str">
        <f>VLOOKUP(BA310,MiscData!$V$4:$W$42,2,FALSE)</f>
        <v>KURSE010</v>
      </c>
      <c r="BA310" s="439">
        <f>IF(BA309=MiscData!$V$42,1,BA309+1)</f>
        <v>34</v>
      </c>
      <c r="BB310" s="439" t="str">
        <f>VLOOKUP(AZ310,MiscData!$W$4:$Y$42,3,FALSE)</f>
        <v>RS</v>
      </c>
    </row>
    <row r="311" spans="1:55" hidden="1">
      <c r="A311" s="448">
        <f t="shared" si="198"/>
        <v>284</v>
      </c>
      <c r="B311" s="448" t="str">
        <f t="shared" si="159"/>
        <v>Aug 2015</v>
      </c>
      <c r="C311" s="448" t="s">
        <v>14</v>
      </c>
      <c r="D311" s="449" t="str">
        <f t="shared" si="160"/>
        <v>RS</v>
      </c>
      <c r="E311" s="449" t="str">
        <f t="shared" si="161"/>
        <v>KURSE020</v>
      </c>
      <c r="F311" s="450">
        <f t="shared" si="162"/>
        <v>0</v>
      </c>
      <c r="G311" s="450">
        <v>0</v>
      </c>
      <c r="H311" s="450">
        <v>0</v>
      </c>
      <c r="I311" s="450">
        <v>0</v>
      </c>
      <c r="J311" s="450">
        <f t="shared" si="163"/>
        <v>0</v>
      </c>
      <c r="K311" s="482">
        <f t="shared" si="164"/>
        <v>0</v>
      </c>
      <c r="L311" s="482">
        <f t="shared" si="165"/>
        <v>0</v>
      </c>
      <c r="M311" s="482">
        <f t="shared" si="166"/>
        <v>0</v>
      </c>
      <c r="N311" s="482">
        <f t="shared" si="167"/>
        <v>0</v>
      </c>
      <c r="O311" s="482">
        <f t="shared" si="168"/>
        <v>0</v>
      </c>
      <c r="P311" s="482">
        <f t="shared" si="169"/>
        <v>0</v>
      </c>
      <c r="Q311" s="451">
        <f t="shared" si="170"/>
        <v>10.75</v>
      </c>
      <c r="R311" s="452">
        <f t="shared" si="171"/>
        <v>7.7439999999999995E-2</v>
      </c>
      <c r="S311" s="452">
        <v>0</v>
      </c>
      <c r="T311" s="452">
        <v>0</v>
      </c>
      <c r="U311" s="452">
        <f t="shared" si="172"/>
        <v>2.8920000000000001E-2</v>
      </c>
      <c r="V311" s="451">
        <f t="shared" si="173"/>
        <v>0</v>
      </c>
      <c r="W311" s="451">
        <f t="shared" si="174"/>
        <v>0</v>
      </c>
      <c r="X311" s="451">
        <f t="shared" si="175"/>
        <v>0</v>
      </c>
      <c r="Y311" s="453">
        <f t="shared" si="176"/>
        <v>0</v>
      </c>
      <c r="Z311" s="453">
        <f t="shared" si="177"/>
        <v>0</v>
      </c>
      <c r="AA311" s="453">
        <f t="shared" si="178"/>
        <v>0</v>
      </c>
      <c r="AB311" s="453">
        <f t="shared" si="179"/>
        <v>0</v>
      </c>
      <c r="AC311" s="453">
        <f t="shared" si="180"/>
        <v>0</v>
      </c>
      <c r="AD311" s="453">
        <f t="shared" si="181"/>
        <v>0</v>
      </c>
      <c r="AE311" s="493">
        <f t="shared" si="182"/>
        <v>0</v>
      </c>
      <c r="AF311" s="453">
        <f t="shared" si="183"/>
        <v>0</v>
      </c>
      <c r="AG311" s="494">
        <f t="shared" si="184"/>
        <v>1</v>
      </c>
      <c r="AH311" s="454">
        <f t="shared" si="185"/>
        <v>0</v>
      </c>
      <c r="AI311" s="454">
        <f t="shared" si="186"/>
        <v>0</v>
      </c>
      <c r="AJ311" s="454">
        <f t="shared" si="187"/>
        <v>0</v>
      </c>
      <c r="AK311" s="454">
        <f t="shared" si="188"/>
        <v>0</v>
      </c>
      <c r="AL311" s="454">
        <f t="shared" si="189"/>
        <v>0</v>
      </c>
      <c r="AM311" s="454">
        <f t="shared" si="190"/>
        <v>0</v>
      </c>
      <c r="AN311" s="491">
        <f t="shared" si="191"/>
        <v>0</v>
      </c>
      <c r="AO311" s="487">
        <f t="shared" si="192"/>
        <v>0</v>
      </c>
      <c r="AP311" s="495">
        <f t="shared" si="193"/>
        <v>0</v>
      </c>
      <c r="AQ311" s="496">
        <f t="shared" si="194"/>
        <v>0</v>
      </c>
      <c r="AV311" s="459">
        <f>IF(BA311&gt;BA310,AV310,IF(AV310&lt;MiscData!$F$1,EOMONTH(AV310,1),EOMONTH(AV310,-11)))</f>
        <v>42247</v>
      </c>
      <c r="AW311" s="448" t="str">
        <f t="shared" si="195"/>
        <v>20140101KURSE020</v>
      </c>
      <c r="AX311" s="457" t="str">
        <f t="shared" si="196"/>
        <v>20140101RS</v>
      </c>
      <c r="AY311" s="439">
        <f>IF(AV311&lt;=MiscData!$B$23,MiscData!$C$23,IF(AV311&lt;=MiscData!$B$24,MiscData!$C$24,MiscData!$C$25))</f>
        <v>20140101</v>
      </c>
      <c r="AZ311" s="439" t="str">
        <f>VLOOKUP(BA311,MiscData!$V$4:$W$42,2,FALSE)</f>
        <v>KURSE020</v>
      </c>
      <c r="BA311" s="439">
        <f>IF(BA310=MiscData!$V$42,1,BA310+1)</f>
        <v>35</v>
      </c>
      <c r="BB311" s="439" t="str">
        <f>VLOOKUP(AZ311,MiscData!$W$4:$Y$42,3,FALSE)</f>
        <v>RS</v>
      </c>
    </row>
    <row r="312" spans="1:55" hidden="1">
      <c r="A312" s="448">
        <f t="shared" si="198"/>
        <v>285</v>
      </c>
      <c r="B312" s="448" t="str">
        <f t="shared" si="159"/>
        <v>Aug 2015</v>
      </c>
      <c r="C312" s="448" t="s">
        <v>14</v>
      </c>
      <c r="D312" s="449" t="str">
        <f t="shared" si="160"/>
        <v>RS</v>
      </c>
      <c r="E312" s="449" t="str">
        <f t="shared" si="161"/>
        <v>KURSE025</v>
      </c>
      <c r="F312" s="450">
        <f t="shared" si="162"/>
        <v>0</v>
      </c>
      <c r="G312" s="450">
        <v>0</v>
      </c>
      <c r="H312" s="450">
        <v>0</v>
      </c>
      <c r="I312" s="450">
        <v>0</v>
      </c>
      <c r="J312" s="450">
        <f t="shared" si="163"/>
        <v>0</v>
      </c>
      <c r="K312" s="482">
        <f t="shared" si="164"/>
        <v>0</v>
      </c>
      <c r="L312" s="482">
        <f t="shared" si="165"/>
        <v>0</v>
      </c>
      <c r="M312" s="482">
        <f t="shared" si="166"/>
        <v>0</v>
      </c>
      <c r="N312" s="482">
        <f t="shared" si="167"/>
        <v>0</v>
      </c>
      <c r="O312" s="482">
        <f t="shared" si="168"/>
        <v>0</v>
      </c>
      <c r="P312" s="482">
        <f t="shared" si="169"/>
        <v>0</v>
      </c>
      <c r="Q312" s="451">
        <f t="shared" si="170"/>
        <v>10.75</v>
      </c>
      <c r="R312" s="452">
        <f t="shared" si="171"/>
        <v>7.7439999999999995E-2</v>
      </c>
      <c r="S312" s="452">
        <v>0</v>
      </c>
      <c r="T312" s="452">
        <v>0</v>
      </c>
      <c r="U312" s="452">
        <f t="shared" si="172"/>
        <v>2.8920000000000001E-2</v>
      </c>
      <c r="V312" s="451">
        <f t="shared" si="173"/>
        <v>0</v>
      </c>
      <c r="W312" s="451">
        <f t="shared" si="174"/>
        <v>0</v>
      </c>
      <c r="X312" s="451">
        <f t="shared" si="175"/>
        <v>0</v>
      </c>
      <c r="Y312" s="453">
        <f t="shared" si="176"/>
        <v>0</v>
      </c>
      <c r="Z312" s="453">
        <f t="shared" si="177"/>
        <v>0</v>
      </c>
      <c r="AA312" s="453">
        <f t="shared" si="178"/>
        <v>0</v>
      </c>
      <c r="AB312" s="453">
        <f t="shared" si="179"/>
        <v>0</v>
      </c>
      <c r="AC312" s="453">
        <f t="shared" si="180"/>
        <v>0</v>
      </c>
      <c r="AD312" s="453">
        <f t="shared" si="181"/>
        <v>0</v>
      </c>
      <c r="AE312" s="493">
        <f t="shared" si="182"/>
        <v>0</v>
      </c>
      <c r="AF312" s="453">
        <f t="shared" si="183"/>
        <v>0</v>
      </c>
      <c r="AG312" s="494">
        <f t="shared" si="184"/>
        <v>1</v>
      </c>
      <c r="AH312" s="454">
        <f t="shared" si="185"/>
        <v>0</v>
      </c>
      <c r="AI312" s="454">
        <f t="shared" si="186"/>
        <v>0</v>
      </c>
      <c r="AJ312" s="454">
        <f t="shared" si="187"/>
        <v>0</v>
      </c>
      <c r="AK312" s="454">
        <f t="shared" si="188"/>
        <v>0</v>
      </c>
      <c r="AL312" s="454">
        <f t="shared" si="189"/>
        <v>0</v>
      </c>
      <c r="AM312" s="454">
        <f t="shared" si="190"/>
        <v>0</v>
      </c>
      <c r="AN312" s="491">
        <f t="shared" si="191"/>
        <v>0</v>
      </c>
      <c r="AO312" s="487">
        <f t="shared" si="192"/>
        <v>0</v>
      </c>
      <c r="AP312" s="495">
        <f t="shared" si="193"/>
        <v>0</v>
      </c>
      <c r="AQ312" s="496">
        <f t="shared" si="194"/>
        <v>0</v>
      </c>
      <c r="AV312" s="459">
        <f>IF(BA312&gt;BA311,AV311,IF(AV311&lt;MiscData!$F$1,EOMONTH(AV311,1),EOMONTH(AV311,-11)))</f>
        <v>42247</v>
      </c>
      <c r="AW312" s="448" t="str">
        <f t="shared" si="195"/>
        <v>20140101KURSE025</v>
      </c>
      <c r="AX312" s="457" t="str">
        <f t="shared" si="196"/>
        <v>20140101RS</v>
      </c>
      <c r="AY312" s="439">
        <f>IF(AV312&lt;=MiscData!$B$23,MiscData!$C$23,IF(AV312&lt;=MiscData!$B$24,MiscData!$C$24,MiscData!$C$25))</f>
        <v>20140101</v>
      </c>
      <c r="AZ312" s="439" t="str">
        <f>VLOOKUP(BA312,MiscData!$V$4:$W$42,2,FALSE)</f>
        <v>KURSE025</v>
      </c>
      <c r="BA312" s="439">
        <f>IF(BA311=MiscData!$V$42,1,BA311+1)</f>
        <v>36</v>
      </c>
      <c r="BB312" s="439" t="str">
        <f>VLOOKUP(AZ312,MiscData!$W$4:$Y$42,3,FALSE)</f>
        <v>RS</v>
      </c>
    </row>
    <row r="313" spans="1:55" hidden="1">
      <c r="A313" s="448">
        <f t="shared" si="198"/>
        <v>286</v>
      </c>
      <c r="B313" s="448" t="str">
        <f t="shared" si="159"/>
        <v>Aug 2015</v>
      </c>
      <c r="C313" s="448" t="s">
        <v>828</v>
      </c>
      <c r="D313" s="449" t="str">
        <f t="shared" si="160"/>
        <v>RSLEV</v>
      </c>
      <c r="E313" s="449" t="str">
        <f t="shared" si="161"/>
        <v>KURSE040</v>
      </c>
      <c r="F313" s="450">
        <f t="shared" si="162"/>
        <v>7</v>
      </c>
      <c r="G313" s="450">
        <f>SUMIFS(_1022_KWH_P1,_1022_RevenueMonth,$B313,_1022_RateCategory,$E313)</f>
        <v>4017</v>
      </c>
      <c r="H313" s="450">
        <f>SUMIFS(_1022_KWH_P2,_1022_RevenueMonth,$B313,_1022_RateCategory,$E313)</f>
        <v>1188</v>
      </c>
      <c r="I313" s="450">
        <f>SUMIFS(_1022_KWH_P3,_1022_RevenueMonth,$B313,_1022_RateCategory,$E313)</f>
        <v>718</v>
      </c>
      <c r="J313" s="450">
        <f t="shared" si="163"/>
        <v>5923</v>
      </c>
      <c r="K313" s="482">
        <f t="shared" si="164"/>
        <v>0</v>
      </c>
      <c r="L313" s="482">
        <f t="shared" si="165"/>
        <v>0</v>
      </c>
      <c r="M313" s="482">
        <f t="shared" si="166"/>
        <v>0</v>
      </c>
      <c r="N313" s="482">
        <f t="shared" si="167"/>
        <v>0</v>
      </c>
      <c r="O313" s="482">
        <f t="shared" si="168"/>
        <v>0</v>
      </c>
      <c r="P313" s="482">
        <f t="shared" si="169"/>
        <v>0</v>
      </c>
      <c r="Q313" s="451">
        <f t="shared" si="170"/>
        <v>10.75</v>
      </c>
      <c r="R313" s="452">
        <f t="shared" si="171"/>
        <v>5.5870000000000003E-2</v>
      </c>
      <c r="S313" s="452">
        <f>SUMIF(_Rates_Tariff_Category,$AW313,_Rates_Energy_P2)</f>
        <v>7.7630000000000005E-2</v>
      </c>
      <c r="T313" s="452">
        <f>SUMIF(_Rates_Tariff_Category,$AW313,_Rates_Energy_P3)</f>
        <v>0.14297000000000001</v>
      </c>
      <c r="U313" s="452">
        <f t="shared" si="172"/>
        <v>2.8920000000000001E-2</v>
      </c>
      <c r="V313" s="451">
        <f t="shared" si="173"/>
        <v>0</v>
      </c>
      <c r="W313" s="451">
        <f t="shared" si="174"/>
        <v>0</v>
      </c>
      <c r="X313" s="451">
        <f t="shared" si="175"/>
        <v>0</v>
      </c>
      <c r="Y313" s="453">
        <f t="shared" si="176"/>
        <v>75.25</v>
      </c>
      <c r="Z313" s="453">
        <f t="shared" si="177"/>
        <v>419.31</v>
      </c>
      <c r="AA313" s="453">
        <f t="shared" si="178"/>
        <v>0</v>
      </c>
      <c r="AB313" s="453">
        <f t="shared" si="179"/>
        <v>0</v>
      </c>
      <c r="AC313" s="453">
        <f t="shared" si="180"/>
        <v>0</v>
      </c>
      <c r="AD313" s="453">
        <f t="shared" si="181"/>
        <v>0</v>
      </c>
      <c r="AE313" s="493">
        <f t="shared" si="182"/>
        <v>494.56</v>
      </c>
      <c r="AF313" s="453">
        <f t="shared" si="183"/>
        <v>0</v>
      </c>
      <c r="AG313" s="494">
        <f t="shared" si="184"/>
        <v>0</v>
      </c>
      <c r="AH313" s="454">
        <f t="shared" si="185"/>
        <v>0</v>
      </c>
      <c r="AI313" s="454">
        <f t="shared" si="186"/>
        <v>0</v>
      </c>
      <c r="AJ313" s="454">
        <f t="shared" si="187"/>
        <v>0</v>
      </c>
      <c r="AK313" s="454">
        <f t="shared" si="188"/>
        <v>0</v>
      </c>
      <c r="AL313" s="454">
        <f t="shared" si="189"/>
        <v>0</v>
      </c>
      <c r="AM313" s="454">
        <f t="shared" si="190"/>
        <v>0</v>
      </c>
      <c r="AN313" s="491">
        <f t="shared" si="191"/>
        <v>494.56</v>
      </c>
      <c r="AO313" s="487">
        <f t="shared" si="192"/>
        <v>-494.56</v>
      </c>
      <c r="AP313" s="495">
        <f t="shared" si="193"/>
        <v>171.29</v>
      </c>
      <c r="AQ313" s="496">
        <f t="shared" si="194"/>
        <v>248.02</v>
      </c>
      <c r="AV313" s="459">
        <f>IF(BA313&gt;BA312,AV312,IF(AV312&lt;MiscData!$F$1,EOMONTH(AV312,1),EOMONTH(AV312,-11)))</f>
        <v>42247</v>
      </c>
      <c r="AW313" s="448" t="str">
        <f t="shared" si="195"/>
        <v>20140101KURSE040</v>
      </c>
      <c r="AX313" s="457" t="str">
        <f t="shared" si="196"/>
        <v>20140101RSLEV</v>
      </c>
      <c r="AY313" s="439">
        <f>IF(AV313&lt;=MiscData!$B$23,MiscData!$C$23,IF(AV313&lt;=MiscData!$B$24,MiscData!$C$24,MiscData!$C$25))</f>
        <v>20140101</v>
      </c>
      <c r="AZ313" s="439" t="str">
        <f>VLOOKUP(BA313,MiscData!$V$4:$W$42,2,FALSE)</f>
        <v>KURSE040</v>
      </c>
      <c r="BA313" s="439">
        <f>IF(BA312=MiscData!$V$42,1,BA312+1)</f>
        <v>37</v>
      </c>
      <c r="BB313" s="439" t="str">
        <f>VLOOKUP(AZ313,MiscData!$W$4:$Y$42,3,FALSE)</f>
        <v>RSLEV</v>
      </c>
    </row>
    <row r="314" spans="1:55" hidden="1">
      <c r="A314" s="448">
        <f t="shared" si="198"/>
        <v>287</v>
      </c>
      <c r="B314" s="448" t="str">
        <f t="shared" si="159"/>
        <v>Aug 2015</v>
      </c>
      <c r="C314" s="448" t="s">
        <v>14</v>
      </c>
      <c r="D314" s="449" t="str">
        <f t="shared" si="160"/>
        <v>RSVFD</v>
      </c>
      <c r="E314" s="449" t="str">
        <f t="shared" si="161"/>
        <v>KURSE080</v>
      </c>
      <c r="F314" s="450">
        <f t="shared" si="162"/>
        <v>0</v>
      </c>
      <c r="G314" s="450">
        <v>0</v>
      </c>
      <c r="H314" s="450">
        <v>0</v>
      </c>
      <c r="I314" s="450">
        <v>0</v>
      </c>
      <c r="J314" s="450">
        <f t="shared" si="163"/>
        <v>0</v>
      </c>
      <c r="K314" s="482">
        <f t="shared" si="164"/>
        <v>0</v>
      </c>
      <c r="L314" s="482">
        <f t="shared" si="165"/>
        <v>0</v>
      </c>
      <c r="M314" s="482">
        <f t="shared" si="166"/>
        <v>0</v>
      </c>
      <c r="N314" s="482">
        <f t="shared" si="167"/>
        <v>0</v>
      </c>
      <c r="O314" s="482">
        <f t="shared" si="168"/>
        <v>0</v>
      </c>
      <c r="P314" s="482">
        <f t="shared" si="169"/>
        <v>0</v>
      </c>
      <c r="Q314" s="451">
        <f t="shared" si="170"/>
        <v>10.75</v>
      </c>
      <c r="R314" s="452">
        <f t="shared" si="171"/>
        <v>7.7439999999999995E-2</v>
      </c>
      <c r="S314" s="452">
        <v>0</v>
      </c>
      <c r="T314" s="452">
        <v>0</v>
      </c>
      <c r="U314" s="452">
        <f t="shared" si="172"/>
        <v>2.8920000000000001E-2</v>
      </c>
      <c r="V314" s="451">
        <f t="shared" si="173"/>
        <v>0</v>
      </c>
      <c r="W314" s="451">
        <f t="shared" si="174"/>
        <v>0</v>
      </c>
      <c r="X314" s="451">
        <f t="shared" si="175"/>
        <v>0</v>
      </c>
      <c r="Y314" s="453">
        <f t="shared" si="176"/>
        <v>0</v>
      </c>
      <c r="Z314" s="453">
        <f t="shared" si="177"/>
        <v>0</v>
      </c>
      <c r="AA314" s="453">
        <f t="shared" si="178"/>
        <v>0</v>
      </c>
      <c r="AB314" s="453">
        <f t="shared" si="179"/>
        <v>0</v>
      </c>
      <c r="AC314" s="453">
        <f t="shared" si="180"/>
        <v>0</v>
      </c>
      <c r="AD314" s="453">
        <f t="shared" si="181"/>
        <v>0</v>
      </c>
      <c r="AE314" s="493">
        <f t="shared" si="182"/>
        <v>0</v>
      </c>
      <c r="AF314" s="453">
        <f t="shared" si="183"/>
        <v>0</v>
      </c>
      <c r="AG314" s="494">
        <f t="shared" si="184"/>
        <v>1</v>
      </c>
      <c r="AH314" s="454">
        <f t="shared" si="185"/>
        <v>0</v>
      </c>
      <c r="AI314" s="454">
        <f t="shared" si="186"/>
        <v>0</v>
      </c>
      <c r="AJ314" s="454">
        <f t="shared" si="187"/>
        <v>0</v>
      </c>
      <c r="AK314" s="454">
        <f t="shared" si="188"/>
        <v>0</v>
      </c>
      <c r="AL314" s="454">
        <f t="shared" si="189"/>
        <v>0</v>
      </c>
      <c r="AM314" s="454">
        <f t="shared" si="190"/>
        <v>0</v>
      </c>
      <c r="AN314" s="491">
        <f t="shared" si="191"/>
        <v>0</v>
      </c>
      <c r="AO314" s="487">
        <f t="shared" si="192"/>
        <v>0</v>
      </c>
      <c r="AP314" s="495">
        <f t="shared" si="193"/>
        <v>0</v>
      </c>
      <c r="AQ314" s="496">
        <f t="shared" si="194"/>
        <v>0</v>
      </c>
      <c r="AV314" s="459">
        <f>IF(BA314&gt;BA313,AV313,IF(AV313&lt;MiscData!$F$1,EOMONTH(AV313,1),EOMONTH(AV313,-11)))</f>
        <v>42247</v>
      </c>
      <c r="AW314" s="448" t="str">
        <f t="shared" si="195"/>
        <v>20140101KURSE080</v>
      </c>
      <c r="AX314" s="457" t="str">
        <f t="shared" si="196"/>
        <v>20140101RSVFD</v>
      </c>
      <c r="AY314" s="439">
        <f>IF(AV314&lt;=MiscData!$B$23,MiscData!$C$23,IF(AV314&lt;=MiscData!$B$24,MiscData!$C$24,MiscData!$C$25))</f>
        <v>20140101</v>
      </c>
      <c r="AZ314" s="439" t="str">
        <f>VLOOKUP(BA314,MiscData!$V$4:$W$42,2,FALSE)</f>
        <v>KURSE080</v>
      </c>
      <c r="BA314" s="439">
        <f>IF(BA313=MiscData!$V$42,1,BA313+1)</f>
        <v>38</v>
      </c>
      <c r="BB314" s="439" t="str">
        <f>VLOOKUP(AZ314,MiscData!$W$4:$Y$42,3,FALSE)</f>
        <v>RSVFD</v>
      </c>
    </row>
    <row r="315" spans="1:55" s="511" customFormat="1" hidden="1">
      <c r="A315" s="499">
        <f t="shared" si="198"/>
        <v>288</v>
      </c>
      <c r="B315" s="499" t="str">
        <f t="shared" si="159"/>
        <v>Aug 2015</v>
      </c>
      <c r="C315" s="499" t="s">
        <v>14</v>
      </c>
      <c r="D315" s="500" t="str">
        <f t="shared" si="160"/>
        <v>RS</v>
      </c>
      <c r="E315" s="500" t="str">
        <f t="shared" si="161"/>
        <v>KURSE715</v>
      </c>
      <c r="F315" s="501">
        <f t="shared" si="162"/>
        <v>0</v>
      </c>
      <c r="G315" s="501">
        <v>0</v>
      </c>
      <c r="H315" s="501">
        <v>0</v>
      </c>
      <c r="I315" s="501">
        <v>0</v>
      </c>
      <c r="J315" s="501">
        <f t="shared" si="163"/>
        <v>0</v>
      </c>
      <c r="K315" s="502">
        <f t="shared" si="164"/>
        <v>0</v>
      </c>
      <c r="L315" s="502">
        <f t="shared" si="165"/>
        <v>0</v>
      </c>
      <c r="M315" s="502">
        <f t="shared" si="166"/>
        <v>0</v>
      </c>
      <c r="N315" s="502">
        <f t="shared" si="167"/>
        <v>0</v>
      </c>
      <c r="O315" s="502">
        <f t="shared" si="168"/>
        <v>0</v>
      </c>
      <c r="P315" s="502">
        <f t="shared" si="169"/>
        <v>0</v>
      </c>
      <c r="Q315" s="503">
        <f t="shared" si="170"/>
        <v>10.75</v>
      </c>
      <c r="R315" s="504">
        <f t="shared" si="171"/>
        <v>7.7439999999999995E-2</v>
      </c>
      <c r="S315" s="504">
        <v>0</v>
      </c>
      <c r="T315" s="504">
        <v>0</v>
      </c>
      <c r="U315" s="504">
        <f t="shared" si="172"/>
        <v>2.8920000000000001E-2</v>
      </c>
      <c r="V315" s="503">
        <f t="shared" si="173"/>
        <v>0</v>
      </c>
      <c r="W315" s="503">
        <f t="shared" si="174"/>
        <v>0</v>
      </c>
      <c r="X315" s="503">
        <f t="shared" si="175"/>
        <v>0</v>
      </c>
      <c r="Y315" s="453">
        <f t="shared" si="176"/>
        <v>0</v>
      </c>
      <c r="Z315" s="453">
        <f t="shared" si="177"/>
        <v>0</v>
      </c>
      <c r="AA315" s="453">
        <f t="shared" si="178"/>
        <v>0</v>
      </c>
      <c r="AB315" s="453">
        <f t="shared" si="179"/>
        <v>0</v>
      </c>
      <c r="AC315" s="453">
        <f t="shared" si="180"/>
        <v>0</v>
      </c>
      <c r="AD315" s="493">
        <f t="shared" si="181"/>
        <v>0</v>
      </c>
      <c r="AE315" s="493">
        <f t="shared" si="182"/>
        <v>0</v>
      </c>
      <c r="AF315" s="493">
        <f t="shared" si="183"/>
        <v>0</v>
      </c>
      <c r="AG315" s="494">
        <f t="shared" si="184"/>
        <v>1</v>
      </c>
      <c r="AH315" s="505">
        <f t="shared" si="185"/>
        <v>0</v>
      </c>
      <c r="AI315" s="505">
        <f t="shared" si="186"/>
        <v>0</v>
      </c>
      <c r="AJ315" s="505">
        <f t="shared" si="187"/>
        <v>0</v>
      </c>
      <c r="AK315" s="505">
        <f t="shared" si="188"/>
        <v>0</v>
      </c>
      <c r="AL315" s="505">
        <f t="shared" si="189"/>
        <v>0</v>
      </c>
      <c r="AM315" s="505">
        <f t="shared" si="190"/>
        <v>0</v>
      </c>
      <c r="AN315" s="506">
        <f t="shared" si="191"/>
        <v>0</v>
      </c>
      <c r="AO315" s="507">
        <f t="shared" si="192"/>
        <v>0</v>
      </c>
      <c r="AP315" s="508">
        <f t="shared" si="193"/>
        <v>0</v>
      </c>
      <c r="AQ315" s="510">
        <f t="shared" si="194"/>
        <v>0</v>
      </c>
      <c r="AV315" s="512">
        <f>IF(BA315&gt;BA314,AV314,IF(AV314&lt;MiscData!$F$1,EOMONTH(AV314,1),EOMONTH(AV314,-11)))</f>
        <v>42247</v>
      </c>
      <c r="AW315" s="499" t="str">
        <f t="shared" si="195"/>
        <v>20140101KURSE715</v>
      </c>
      <c r="AX315" s="513" t="str">
        <f t="shared" si="196"/>
        <v>20140101RS</v>
      </c>
      <c r="AY315" s="511">
        <f>IF(AV315&lt;=MiscData!$B$23,MiscData!$C$23,IF(AV315&lt;=MiscData!$B$24,MiscData!$C$24,MiscData!$C$25))</f>
        <v>20140101</v>
      </c>
      <c r="AZ315" s="511" t="str">
        <f>VLOOKUP(BA315,MiscData!$V$4:$W$42,2,FALSE)</f>
        <v>KURSE715</v>
      </c>
      <c r="BA315" s="439">
        <f>IF(BA314=MiscData!$V$42,1,BA314+1)</f>
        <v>39</v>
      </c>
      <c r="BB315" s="511" t="str">
        <f>VLOOKUP(AZ315,MiscData!$W$4:$Y$42,3,FALSE)</f>
        <v>RS</v>
      </c>
      <c r="BC315" s="777"/>
    </row>
    <row r="316" spans="1:55" hidden="1">
      <c r="A316" s="448">
        <f t="shared" si="198"/>
        <v>289</v>
      </c>
      <c r="B316" s="448" t="str">
        <f t="shared" si="159"/>
        <v>Sep 2015</v>
      </c>
      <c r="C316" s="448" t="s">
        <v>18</v>
      </c>
      <c r="D316" s="449" t="str">
        <f t="shared" si="160"/>
        <v>RTS</v>
      </c>
      <c r="E316" s="449" t="str">
        <f t="shared" si="161"/>
        <v>KUCIE550</v>
      </c>
      <c r="F316" s="450">
        <f t="shared" si="162"/>
        <v>32</v>
      </c>
      <c r="G316" s="450">
        <v>0</v>
      </c>
      <c r="H316" s="450">
        <v>0</v>
      </c>
      <c r="I316" s="450">
        <v>0</v>
      </c>
      <c r="J316" s="450">
        <f t="shared" si="163"/>
        <v>118627727</v>
      </c>
      <c r="K316" s="482">
        <f t="shared" si="164"/>
        <v>303336</v>
      </c>
      <c r="L316" s="482">
        <f t="shared" si="165"/>
        <v>286770</v>
      </c>
      <c r="M316" s="482">
        <f t="shared" si="166"/>
        <v>283053</v>
      </c>
      <c r="N316" s="482">
        <f t="shared" si="167"/>
        <v>0</v>
      </c>
      <c r="O316" s="482">
        <f t="shared" si="168"/>
        <v>0</v>
      </c>
      <c r="P316" s="482">
        <f t="shared" si="169"/>
        <v>0</v>
      </c>
      <c r="Q316" s="451">
        <f t="shared" si="170"/>
        <v>750</v>
      </c>
      <c r="R316" s="452">
        <f t="shared" si="171"/>
        <v>3.6339999999999997E-2</v>
      </c>
      <c r="S316" s="452">
        <v>0</v>
      </c>
      <c r="T316" s="452">
        <v>0</v>
      </c>
      <c r="U316" s="452">
        <f t="shared" si="172"/>
        <v>2.8920000000000001E-2</v>
      </c>
      <c r="V316" s="451">
        <f t="shared" si="173"/>
        <v>1.34</v>
      </c>
      <c r="W316" s="451">
        <f t="shared" si="174"/>
        <v>2.87</v>
      </c>
      <c r="X316" s="451">
        <f t="shared" si="175"/>
        <v>3.97</v>
      </c>
      <c r="Y316" s="453">
        <f t="shared" si="176"/>
        <v>24000</v>
      </c>
      <c r="Z316" s="453">
        <f t="shared" si="177"/>
        <v>4310931.5999999996</v>
      </c>
      <c r="AA316" s="453">
        <f t="shared" si="178"/>
        <v>406470.24</v>
      </c>
      <c r="AB316" s="453">
        <f t="shared" si="179"/>
        <v>823029.9</v>
      </c>
      <c r="AC316" s="453">
        <f t="shared" si="180"/>
        <v>1123720.4099999999</v>
      </c>
      <c r="AD316" s="453">
        <f t="shared" si="181"/>
        <v>2353220.5499999998</v>
      </c>
      <c r="AE316" s="493">
        <f t="shared" si="182"/>
        <v>6688152.1500000004</v>
      </c>
      <c r="AF316" s="453">
        <f t="shared" si="183"/>
        <v>6688153</v>
      </c>
      <c r="AG316" s="494">
        <f t="shared" si="184"/>
        <v>1.0000001270904102</v>
      </c>
      <c r="AH316" s="454">
        <f t="shared" si="185"/>
        <v>49766</v>
      </c>
      <c r="AI316" s="454">
        <f t="shared" si="186"/>
        <v>0</v>
      </c>
      <c r="AJ316" s="454">
        <f t="shared" si="187"/>
        <v>675681</v>
      </c>
      <c r="AK316" s="454">
        <f t="shared" si="188"/>
        <v>0</v>
      </c>
      <c r="AL316" s="454">
        <f t="shared" si="189"/>
        <v>0</v>
      </c>
      <c r="AM316" s="454">
        <f t="shared" si="190"/>
        <v>7413600</v>
      </c>
      <c r="AN316" s="491">
        <f t="shared" si="191"/>
        <v>7413599.1500000004</v>
      </c>
      <c r="AO316" s="487">
        <f t="shared" si="192"/>
        <v>0.84999999962747097</v>
      </c>
      <c r="AP316" s="495">
        <f t="shared" si="193"/>
        <v>3430713.86</v>
      </c>
      <c r="AQ316" s="496">
        <f t="shared" si="194"/>
        <v>880217.73999999976</v>
      </c>
      <c r="AV316" s="459">
        <f>IF(BA316&gt;BA315,AV315,IF(AV315&lt;MiscData!$F$1,EOMONTH(AV315,1),EOMONTH(AV315,-11)))</f>
        <v>42277</v>
      </c>
      <c r="AW316" s="448" t="str">
        <f t="shared" si="195"/>
        <v>20140101KUCIE550</v>
      </c>
      <c r="AX316" s="457" t="str">
        <f t="shared" si="196"/>
        <v>20140101RTS</v>
      </c>
      <c r="AY316" s="439">
        <f>IF(AV316&lt;=MiscData!$B$23,MiscData!$C$23,IF(AV316&lt;=MiscData!$B$24,MiscData!$C$24,MiscData!$C$25))</f>
        <v>20140101</v>
      </c>
      <c r="AZ316" s="439" t="str">
        <f>VLOOKUP(BA316,MiscData!$V$4:$W$42,2,FALSE)</f>
        <v>KUCIE550</v>
      </c>
      <c r="BA316" s="439">
        <f>IF(BA315=MiscData!$V$42,1,BA315+1)</f>
        <v>1</v>
      </c>
      <c r="BB316" s="439" t="str">
        <f>VLOOKUP(AZ316,MiscData!$W$4:$Y$42,3,FALSE)</f>
        <v>RTS</v>
      </c>
    </row>
    <row r="317" spans="1:55" hidden="1">
      <c r="A317" s="448">
        <f t="shared" si="198"/>
        <v>290</v>
      </c>
      <c r="B317" s="448" t="str">
        <f t="shared" si="159"/>
        <v>Sep 2015</v>
      </c>
      <c r="C317" s="448" t="s">
        <v>25</v>
      </c>
      <c r="D317" s="449" t="str">
        <f t="shared" si="160"/>
        <v>PSP</v>
      </c>
      <c r="E317" s="449" t="str">
        <f t="shared" si="161"/>
        <v>KUCIE561</v>
      </c>
      <c r="F317" s="450">
        <f t="shared" si="162"/>
        <v>201</v>
      </c>
      <c r="G317" s="450">
        <v>0</v>
      </c>
      <c r="H317" s="450">
        <v>0</v>
      </c>
      <c r="I317" s="450">
        <v>0</v>
      </c>
      <c r="J317" s="450">
        <f t="shared" si="163"/>
        <v>17906267</v>
      </c>
      <c r="K317" s="482">
        <f t="shared" si="164"/>
        <v>0</v>
      </c>
      <c r="L317" s="482">
        <f t="shared" si="165"/>
        <v>0</v>
      </c>
      <c r="M317" s="482">
        <f t="shared" si="166"/>
        <v>60267</v>
      </c>
      <c r="N317" s="482">
        <f t="shared" si="167"/>
        <v>0</v>
      </c>
      <c r="O317" s="482">
        <f t="shared" si="168"/>
        <v>0</v>
      </c>
      <c r="P317" s="482">
        <f t="shared" si="169"/>
        <v>0</v>
      </c>
      <c r="Q317" s="451">
        <f t="shared" si="170"/>
        <v>170</v>
      </c>
      <c r="R317" s="452">
        <f t="shared" si="171"/>
        <v>3.5619999999999999E-2</v>
      </c>
      <c r="S317" s="452">
        <v>0</v>
      </c>
      <c r="T317" s="452">
        <v>0</v>
      </c>
      <c r="U317" s="452">
        <f t="shared" si="172"/>
        <v>2.8920000000000001E-2</v>
      </c>
      <c r="V317" s="451">
        <f t="shared" si="173"/>
        <v>0</v>
      </c>
      <c r="W317" s="451">
        <f t="shared" si="174"/>
        <v>13.18</v>
      </c>
      <c r="X317" s="451">
        <f t="shared" si="175"/>
        <v>15.28</v>
      </c>
      <c r="Y317" s="453">
        <f t="shared" si="176"/>
        <v>34170</v>
      </c>
      <c r="Z317" s="453">
        <f t="shared" si="177"/>
        <v>637821.23</v>
      </c>
      <c r="AA317" s="453">
        <f t="shared" si="178"/>
        <v>0</v>
      </c>
      <c r="AB317" s="453">
        <f t="shared" si="179"/>
        <v>0</v>
      </c>
      <c r="AC317" s="453">
        <f t="shared" si="180"/>
        <v>920879.76</v>
      </c>
      <c r="AD317" s="453">
        <f t="shared" si="181"/>
        <v>920879.76</v>
      </c>
      <c r="AE317" s="493">
        <f t="shared" si="182"/>
        <v>1592870.99</v>
      </c>
      <c r="AF317" s="453">
        <f t="shared" si="183"/>
        <v>1592868</v>
      </c>
      <c r="AG317" s="494">
        <f t="shared" si="184"/>
        <v>0.99999812288627343</v>
      </c>
      <c r="AH317" s="454">
        <f t="shared" si="185"/>
        <v>7512</v>
      </c>
      <c r="AI317" s="454">
        <f t="shared" si="186"/>
        <v>33816</v>
      </c>
      <c r="AJ317" s="454">
        <f t="shared" si="187"/>
        <v>101991</v>
      </c>
      <c r="AK317" s="454">
        <f t="shared" si="188"/>
        <v>0</v>
      </c>
      <c r="AL317" s="454">
        <f t="shared" si="189"/>
        <v>0</v>
      </c>
      <c r="AM317" s="454">
        <f t="shared" si="190"/>
        <v>1736187</v>
      </c>
      <c r="AN317" s="491">
        <f t="shared" si="191"/>
        <v>1736189.99</v>
      </c>
      <c r="AO317" s="487">
        <f t="shared" si="192"/>
        <v>-2.9899999999906868</v>
      </c>
      <c r="AP317" s="495">
        <f t="shared" si="193"/>
        <v>517849.24</v>
      </c>
      <c r="AQ317" s="496">
        <f t="shared" si="194"/>
        <v>119971.98999999999</v>
      </c>
      <c r="AV317" s="459">
        <f>IF(BA317&gt;BA316,AV316,IF(AV316&lt;MiscData!$F$1,EOMONTH(AV316,1),EOMONTH(AV316,-11)))</f>
        <v>42277</v>
      </c>
      <c r="AW317" s="448" t="str">
        <f t="shared" si="195"/>
        <v>20140101KUCIE561</v>
      </c>
      <c r="AX317" s="457" t="str">
        <f t="shared" si="196"/>
        <v>20140101PSP</v>
      </c>
      <c r="AY317" s="439">
        <f>IF(AV317&lt;=MiscData!$B$23,MiscData!$C$23,IF(AV317&lt;=MiscData!$B$24,MiscData!$C$24,MiscData!$C$25))</f>
        <v>20140101</v>
      </c>
      <c r="AZ317" s="439" t="str">
        <f>VLOOKUP(BA317,MiscData!$V$4:$W$42,2,FALSE)</f>
        <v>KUCIE561</v>
      </c>
      <c r="BA317" s="439">
        <f>IF(BA316=MiscData!$V$42,1,BA316+1)</f>
        <v>2</v>
      </c>
      <c r="BB317" s="439" t="str">
        <f>VLOOKUP(AZ317,MiscData!$W$4:$Y$42,3,FALSE)</f>
        <v>PSP</v>
      </c>
    </row>
    <row r="318" spans="1:55" hidden="1">
      <c r="A318" s="448">
        <f t="shared" si="198"/>
        <v>291</v>
      </c>
      <c r="B318" s="448" t="str">
        <f t="shared" si="159"/>
        <v>Sep 2015</v>
      </c>
      <c r="C318" s="448" t="s">
        <v>24</v>
      </c>
      <c r="D318" s="449" t="str">
        <f t="shared" si="160"/>
        <v>PSS</v>
      </c>
      <c r="E318" s="449" t="str">
        <f t="shared" si="161"/>
        <v>KUCIE562</v>
      </c>
      <c r="F318" s="450">
        <f t="shared" si="162"/>
        <v>4690</v>
      </c>
      <c r="G318" s="450">
        <v>0</v>
      </c>
      <c r="H318" s="450">
        <v>0</v>
      </c>
      <c r="I318" s="450">
        <v>0</v>
      </c>
      <c r="J318" s="450">
        <f t="shared" si="163"/>
        <v>178051436</v>
      </c>
      <c r="K318" s="482">
        <f t="shared" si="164"/>
        <v>0</v>
      </c>
      <c r="L318" s="482">
        <f t="shared" si="165"/>
        <v>0</v>
      </c>
      <c r="M318" s="482">
        <f t="shared" si="166"/>
        <v>684147</v>
      </c>
      <c r="N318" s="482">
        <f t="shared" si="167"/>
        <v>0</v>
      </c>
      <c r="O318" s="482">
        <f t="shared" si="168"/>
        <v>0</v>
      </c>
      <c r="P318" s="482">
        <f t="shared" si="169"/>
        <v>0</v>
      </c>
      <c r="Q318" s="451">
        <f t="shared" si="170"/>
        <v>90</v>
      </c>
      <c r="R318" s="452">
        <f t="shared" si="171"/>
        <v>3.5640000000000005E-2</v>
      </c>
      <c r="S318" s="452">
        <v>0</v>
      </c>
      <c r="T318" s="452">
        <v>0</v>
      </c>
      <c r="U318" s="452">
        <f t="shared" si="172"/>
        <v>2.8920000000000001E-2</v>
      </c>
      <c r="V318" s="451">
        <f t="shared" si="173"/>
        <v>0</v>
      </c>
      <c r="W318" s="451">
        <f t="shared" si="174"/>
        <v>13.2</v>
      </c>
      <c r="X318" s="451">
        <f t="shared" si="175"/>
        <v>15.3</v>
      </c>
      <c r="Y318" s="453">
        <f t="shared" si="176"/>
        <v>422100</v>
      </c>
      <c r="Z318" s="453">
        <f t="shared" si="177"/>
        <v>6345753.1799999997</v>
      </c>
      <c r="AA318" s="453">
        <f t="shared" si="178"/>
        <v>0</v>
      </c>
      <c r="AB318" s="453">
        <f t="shared" si="179"/>
        <v>0</v>
      </c>
      <c r="AC318" s="453">
        <f t="shared" si="180"/>
        <v>10467449.1</v>
      </c>
      <c r="AD318" s="453">
        <f t="shared" si="181"/>
        <v>10467449.1</v>
      </c>
      <c r="AE318" s="493">
        <f t="shared" si="182"/>
        <v>17235302.280000001</v>
      </c>
      <c r="AF318" s="453">
        <f t="shared" si="183"/>
        <v>17235302</v>
      </c>
      <c r="AG318" s="494">
        <f t="shared" si="184"/>
        <v>0.99999998375427379</v>
      </c>
      <c r="AH318" s="454">
        <f t="shared" si="185"/>
        <v>74695</v>
      </c>
      <c r="AI318" s="454">
        <f t="shared" si="186"/>
        <v>336255</v>
      </c>
      <c r="AJ318" s="454">
        <f t="shared" si="187"/>
        <v>1014147</v>
      </c>
      <c r="AK318" s="454">
        <f t="shared" si="188"/>
        <v>0</v>
      </c>
      <c r="AL318" s="454">
        <f t="shared" si="189"/>
        <v>0</v>
      </c>
      <c r="AM318" s="454">
        <f t="shared" si="190"/>
        <v>18660399</v>
      </c>
      <c r="AN318" s="491">
        <f t="shared" si="191"/>
        <v>18660399.280000001</v>
      </c>
      <c r="AO318" s="487">
        <f t="shared" si="192"/>
        <v>-0.2800000011920929</v>
      </c>
      <c r="AP318" s="495">
        <f t="shared" si="193"/>
        <v>5149247.53</v>
      </c>
      <c r="AQ318" s="496">
        <f t="shared" si="194"/>
        <v>1196505.6499999994</v>
      </c>
      <c r="AV318" s="459">
        <f>IF(BA318&gt;BA317,AV317,IF(AV317&lt;MiscData!$F$1,EOMONTH(AV317,1),EOMONTH(AV317,-11)))</f>
        <v>42277</v>
      </c>
      <c r="AW318" s="448" t="str">
        <f t="shared" si="195"/>
        <v>20140101KUCIE562</v>
      </c>
      <c r="AX318" s="457" t="str">
        <f t="shared" si="196"/>
        <v>20140101PSS</v>
      </c>
      <c r="AY318" s="439">
        <f>IF(AV318&lt;=MiscData!$B$23,MiscData!$C$23,IF(AV318&lt;=MiscData!$B$24,MiscData!$C$24,MiscData!$C$25))</f>
        <v>20140101</v>
      </c>
      <c r="AZ318" s="439" t="str">
        <f>VLOOKUP(BA318,MiscData!$V$4:$W$42,2,FALSE)</f>
        <v>KUCIE562</v>
      </c>
      <c r="BA318" s="439">
        <f>IF(BA317=MiscData!$V$42,1,BA317+1)</f>
        <v>3</v>
      </c>
      <c r="BB318" s="439" t="str">
        <f>VLOOKUP(AZ318,MiscData!$W$4:$Y$42,3,FALSE)</f>
        <v>PSS</v>
      </c>
    </row>
    <row r="319" spans="1:55" hidden="1">
      <c r="A319" s="448">
        <f t="shared" si="198"/>
        <v>292</v>
      </c>
      <c r="B319" s="448" t="str">
        <f t="shared" si="159"/>
        <v>Sep 2015</v>
      </c>
      <c r="C319" s="448" t="s">
        <v>205</v>
      </c>
      <c r="D319" s="449" t="str">
        <f t="shared" si="160"/>
        <v>TODP</v>
      </c>
      <c r="E319" s="449" t="str">
        <f t="shared" si="161"/>
        <v>KUCIE563</v>
      </c>
      <c r="F319" s="450">
        <f t="shared" si="162"/>
        <v>52</v>
      </c>
      <c r="G319" s="450">
        <v>0</v>
      </c>
      <c r="H319" s="450">
        <v>0</v>
      </c>
      <c r="I319" s="450">
        <v>0</v>
      </c>
      <c r="J319" s="450">
        <f t="shared" si="163"/>
        <v>233921558</v>
      </c>
      <c r="K319" s="482">
        <f t="shared" si="164"/>
        <v>532320</v>
      </c>
      <c r="L319" s="482">
        <f t="shared" si="165"/>
        <v>525566</v>
      </c>
      <c r="M319" s="482">
        <f t="shared" si="166"/>
        <v>518603</v>
      </c>
      <c r="N319" s="482">
        <f t="shared" si="167"/>
        <v>0</v>
      </c>
      <c r="O319" s="482">
        <f t="shared" si="168"/>
        <v>0</v>
      </c>
      <c r="P319" s="482">
        <f t="shared" si="169"/>
        <v>0</v>
      </c>
      <c r="Q319" s="451">
        <f t="shared" si="170"/>
        <v>300</v>
      </c>
      <c r="R319" s="452">
        <f t="shared" si="171"/>
        <v>3.7650000000000003E-2</v>
      </c>
      <c r="S319" s="452">
        <v>0</v>
      </c>
      <c r="T319" s="452">
        <v>0</v>
      </c>
      <c r="U319" s="452">
        <f t="shared" si="172"/>
        <v>2.8920000000000001E-2</v>
      </c>
      <c r="V319" s="451">
        <f t="shared" si="173"/>
        <v>1.71</v>
      </c>
      <c r="W319" s="451">
        <f t="shared" si="174"/>
        <v>2.76</v>
      </c>
      <c r="X319" s="451">
        <f t="shared" si="175"/>
        <v>4.26</v>
      </c>
      <c r="Y319" s="453">
        <f t="shared" si="176"/>
        <v>15600</v>
      </c>
      <c r="Z319" s="453">
        <f t="shared" si="177"/>
        <v>8807146.6600000001</v>
      </c>
      <c r="AA319" s="453">
        <f t="shared" si="178"/>
        <v>910267.2</v>
      </c>
      <c r="AB319" s="453">
        <f t="shared" si="179"/>
        <v>1450562.16</v>
      </c>
      <c r="AC319" s="453">
        <f t="shared" si="180"/>
        <v>2209248.7799999998</v>
      </c>
      <c r="AD319" s="453">
        <f t="shared" si="181"/>
        <v>4570078.1399999997</v>
      </c>
      <c r="AE319" s="493">
        <f t="shared" si="182"/>
        <v>13392824.799999999</v>
      </c>
      <c r="AF319" s="453">
        <f t="shared" si="183"/>
        <v>13392828</v>
      </c>
      <c r="AG319" s="494">
        <f t="shared" si="184"/>
        <v>1.0000002389339104</v>
      </c>
      <c r="AH319" s="454">
        <f t="shared" si="185"/>
        <v>98134</v>
      </c>
      <c r="AI319" s="454">
        <f t="shared" si="186"/>
        <v>441767</v>
      </c>
      <c r="AJ319" s="454">
        <f t="shared" si="187"/>
        <v>1332372</v>
      </c>
      <c r="AK319" s="454">
        <f t="shared" si="188"/>
        <v>0</v>
      </c>
      <c r="AL319" s="454">
        <f t="shared" si="189"/>
        <v>0</v>
      </c>
      <c r="AM319" s="454">
        <f t="shared" si="190"/>
        <v>15265101</v>
      </c>
      <c r="AN319" s="491">
        <f t="shared" si="191"/>
        <v>15265097.799999999</v>
      </c>
      <c r="AO319" s="487">
        <f t="shared" si="192"/>
        <v>3.2000000011175871</v>
      </c>
      <c r="AP319" s="495">
        <f t="shared" si="193"/>
        <v>6765011.46</v>
      </c>
      <c r="AQ319" s="496">
        <f t="shared" si="194"/>
        <v>2042135.2000000002</v>
      </c>
      <c r="AV319" s="459">
        <f>IF(BA319&gt;BA318,AV318,IF(AV318&lt;MiscData!$F$1,EOMONTH(AV318,1),EOMONTH(AV318,-11)))</f>
        <v>42277</v>
      </c>
      <c r="AW319" s="448" t="str">
        <f t="shared" si="195"/>
        <v>20140101KUCIE563</v>
      </c>
      <c r="AX319" s="457" t="str">
        <f t="shared" si="196"/>
        <v>20140101TODP</v>
      </c>
      <c r="AY319" s="439">
        <f>IF(AV319&lt;=MiscData!$B$23,MiscData!$C$23,IF(AV319&lt;=MiscData!$B$24,MiscData!$C$24,MiscData!$C$25))</f>
        <v>20140101</v>
      </c>
      <c r="AZ319" s="439" t="str">
        <f>VLOOKUP(BA319,MiscData!$V$4:$W$42,2,FALSE)</f>
        <v>KUCIE563</v>
      </c>
      <c r="BA319" s="439">
        <f>IF(BA318=MiscData!$V$42,1,BA318+1)</f>
        <v>4</v>
      </c>
      <c r="BB319" s="439" t="str">
        <f>VLOOKUP(AZ319,MiscData!$W$4:$Y$42,3,FALSE)</f>
        <v>TODP</v>
      </c>
    </row>
    <row r="320" spans="1:55" hidden="1">
      <c r="A320" s="448">
        <f t="shared" si="198"/>
        <v>293</v>
      </c>
      <c r="B320" s="448" t="str">
        <f t="shared" si="159"/>
        <v>Sep 2015</v>
      </c>
      <c r="C320" s="448" t="s">
        <v>25</v>
      </c>
      <c r="D320" s="449" t="str">
        <f t="shared" si="160"/>
        <v>PSP</v>
      </c>
      <c r="E320" s="449" t="str">
        <f t="shared" si="161"/>
        <v>KUCIE566</v>
      </c>
      <c r="F320" s="450">
        <f t="shared" si="162"/>
        <v>0</v>
      </c>
      <c r="G320" s="450">
        <v>0</v>
      </c>
      <c r="H320" s="450">
        <v>0</v>
      </c>
      <c r="I320" s="450">
        <v>0</v>
      </c>
      <c r="J320" s="450">
        <f t="shared" si="163"/>
        <v>0</v>
      </c>
      <c r="K320" s="482">
        <f t="shared" si="164"/>
        <v>0</v>
      </c>
      <c r="L320" s="482">
        <f t="shared" si="165"/>
        <v>0</v>
      </c>
      <c r="M320" s="482">
        <f t="shared" si="166"/>
        <v>0</v>
      </c>
      <c r="N320" s="482">
        <f t="shared" si="167"/>
        <v>0</v>
      </c>
      <c r="O320" s="482">
        <f t="shared" si="168"/>
        <v>0</v>
      </c>
      <c r="P320" s="482">
        <f t="shared" si="169"/>
        <v>0</v>
      </c>
      <c r="Q320" s="451">
        <f t="shared" si="170"/>
        <v>170</v>
      </c>
      <c r="R320" s="452">
        <f t="shared" si="171"/>
        <v>3.5619999999999999E-2</v>
      </c>
      <c r="S320" s="452">
        <v>0</v>
      </c>
      <c r="T320" s="452">
        <v>0</v>
      </c>
      <c r="U320" s="452">
        <f t="shared" si="172"/>
        <v>2.8920000000000001E-2</v>
      </c>
      <c r="V320" s="451">
        <f t="shared" si="173"/>
        <v>0</v>
      </c>
      <c r="W320" s="451">
        <f t="shared" si="174"/>
        <v>13.18</v>
      </c>
      <c r="X320" s="451">
        <f t="shared" si="175"/>
        <v>15.28</v>
      </c>
      <c r="Y320" s="453">
        <f t="shared" si="176"/>
        <v>0</v>
      </c>
      <c r="Z320" s="453">
        <f t="shared" si="177"/>
        <v>0</v>
      </c>
      <c r="AA320" s="453">
        <f t="shared" si="178"/>
        <v>0</v>
      </c>
      <c r="AB320" s="453">
        <f t="shared" si="179"/>
        <v>0</v>
      </c>
      <c r="AC320" s="453">
        <f t="shared" si="180"/>
        <v>0</v>
      </c>
      <c r="AD320" s="453">
        <f t="shared" si="181"/>
        <v>0</v>
      </c>
      <c r="AE320" s="493">
        <f t="shared" si="182"/>
        <v>0</v>
      </c>
      <c r="AF320" s="453">
        <f t="shared" si="183"/>
        <v>0</v>
      </c>
      <c r="AG320" s="494">
        <f t="shared" si="184"/>
        <v>1</v>
      </c>
      <c r="AH320" s="454">
        <f t="shared" si="185"/>
        <v>0</v>
      </c>
      <c r="AI320" s="454">
        <f t="shared" si="186"/>
        <v>0</v>
      </c>
      <c r="AJ320" s="454">
        <f t="shared" si="187"/>
        <v>0</v>
      </c>
      <c r="AK320" s="454">
        <f t="shared" si="188"/>
        <v>0</v>
      </c>
      <c r="AL320" s="454">
        <f t="shared" si="189"/>
        <v>0</v>
      </c>
      <c r="AM320" s="454">
        <f t="shared" si="190"/>
        <v>0</v>
      </c>
      <c r="AN320" s="491">
        <f t="shared" si="191"/>
        <v>0</v>
      </c>
      <c r="AO320" s="487">
        <f t="shared" si="192"/>
        <v>0</v>
      </c>
      <c r="AP320" s="495">
        <f t="shared" si="193"/>
        <v>0</v>
      </c>
      <c r="AQ320" s="496">
        <f t="shared" si="194"/>
        <v>0</v>
      </c>
      <c r="AV320" s="459">
        <f>IF(BA320&gt;BA319,AV319,IF(AV319&lt;MiscData!$F$1,EOMONTH(AV319,1),EOMONTH(AV319,-11)))</f>
        <v>42277</v>
      </c>
      <c r="AW320" s="448" t="str">
        <f t="shared" si="195"/>
        <v>20140101KUCIE566</v>
      </c>
      <c r="AX320" s="457" t="str">
        <f t="shared" si="196"/>
        <v>20140101PSP</v>
      </c>
      <c r="AY320" s="439">
        <f>IF(AV320&lt;=MiscData!$B$23,MiscData!$C$23,IF(AV320&lt;=MiscData!$B$24,MiscData!$C$24,MiscData!$C$25))</f>
        <v>20140101</v>
      </c>
      <c r="AZ320" s="439" t="str">
        <f>VLOOKUP(BA320,MiscData!$V$4:$W$42,2,FALSE)</f>
        <v>KUCIE566</v>
      </c>
      <c r="BA320" s="439">
        <f>IF(BA319=MiscData!$V$42,1,BA319+1)</f>
        <v>5</v>
      </c>
      <c r="BB320" s="439" t="str">
        <f>VLOOKUP(AZ320,MiscData!$W$4:$Y$42,3,FALSE)</f>
        <v>PSP</v>
      </c>
    </row>
    <row r="321" spans="1:54" hidden="1">
      <c r="A321" s="448">
        <f t="shared" si="198"/>
        <v>294</v>
      </c>
      <c r="B321" s="448" t="str">
        <f t="shared" si="159"/>
        <v>Sep 2015</v>
      </c>
      <c r="C321" s="448" t="s">
        <v>24</v>
      </c>
      <c r="D321" s="449" t="str">
        <f t="shared" si="160"/>
        <v>PSS</v>
      </c>
      <c r="E321" s="449" t="str">
        <f t="shared" si="161"/>
        <v>KUCIE568</v>
      </c>
      <c r="F321" s="450">
        <f t="shared" si="162"/>
        <v>0</v>
      </c>
      <c r="G321" s="450">
        <v>0</v>
      </c>
      <c r="H321" s="450">
        <v>0</v>
      </c>
      <c r="I321" s="450">
        <v>0</v>
      </c>
      <c r="J321" s="450">
        <f t="shared" si="163"/>
        <v>0</v>
      </c>
      <c r="K321" s="482">
        <f t="shared" si="164"/>
        <v>0</v>
      </c>
      <c r="L321" s="482">
        <f t="shared" si="165"/>
        <v>0</v>
      </c>
      <c r="M321" s="482">
        <f t="shared" si="166"/>
        <v>0</v>
      </c>
      <c r="N321" s="482">
        <f t="shared" si="167"/>
        <v>0</v>
      </c>
      <c r="O321" s="482">
        <f t="shared" si="168"/>
        <v>0</v>
      </c>
      <c r="P321" s="482">
        <f t="shared" si="169"/>
        <v>0</v>
      </c>
      <c r="Q321" s="451">
        <f t="shared" si="170"/>
        <v>90</v>
      </c>
      <c r="R321" s="452">
        <f t="shared" si="171"/>
        <v>3.5640000000000005E-2</v>
      </c>
      <c r="S321" s="452">
        <v>0</v>
      </c>
      <c r="T321" s="452">
        <v>0</v>
      </c>
      <c r="U321" s="452">
        <f t="shared" si="172"/>
        <v>2.8920000000000001E-2</v>
      </c>
      <c r="V321" s="451">
        <f t="shared" si="173"/>
        <v>0</v>
      </c>
      <c r="W321" s="451">
        <f t="shared" si="174"/>
        <v>13.2</v>
      </c>
      <c r="X321" s="451">
        <f t="shared" si="175"/>
        <v>15.3</v>
      </c>
      <c r="Y321" s="453">
        <f t="shared" si="176"/>
        <v>0</v>
      </c>
      <c r="Z321" s="453">
        <f t="shared" si="177"/>
        <v>0</v>
      </c>
      <c r="AA321" s="453">
        <f t="shared" si="178"/>
        <v>0</v>
      </c>
      <c r="AB321" s="453">
        <f t="shared" si="179"/>
        <v>0</v>
      </c>
      <c r="AC321" s="453">
        <f t="shared" si="180"/>
        <v>0</v>
      </c>
      <c r="AD321" s="453">
        <f t="shared" si="181"/>
        <v>0</v>
      </c>
      <c r="AE321" s="493">
        <f t="shared" si="182"/>
        <v>0</v>
      </c>
      <c r="AF321" s="453">
        <f t="shared" si="183"/>
        <v>0</v>
      </c>
      <c r="AG321" s="494">
        <f t="shared" si="184"/>
        <v>1</v>
      </c>
      <c r="AH321" s="454">
        <f t="shared" si="185"/>
        <v>0</v>
      </c>
      <c r="AI321" s="454">
        <f t="shared" si="186"/>
        <v>0</v>
      </c>
      <c r="AJ321" s="454">
        <f t="shared" si="187"/>
        <v>0</v>
      </c>
      <c r="AK321" s="454">
        <f t="shared" si="188"/>
        <v>0</v>
      </c>
      <c r="AL321" s="454">
        <f t="shared" si="189"/>
        <v>0</v>
      </c>
      <c r="AM321" s="454">
        <f t="shared" si="190"/>
        <v>0</v>
      </c>
      <c r="AN321" s="491">
        <f t="shared" si="191"/>
        <v>0</v>
      </c>
      <c r="AO321" s="487">
        <f t="shared" si="192"/>
        <v>0</v>
      </c>
      <c r="AP321" s="495">
        <f t="shared" si="193"/>
        <v>0</v>
      </c>
      <c r="AQ321" s="496">
        <f t="shared" si="194"/>
        <v>0</v>
      </c>
      <c r="AV321" s="459">
        <f>IF(BA321&gt;BA320,AV320,IF(AV320&lt;MiscData!$F$1,EOMONTH(AV320,1),EOMONTH(AV320,-11)))</f>
        <v>42277</v>
      </c>
      <c r="AW321" s="448" t="str">
        <f t="shared" si="195"/>
        <v>20140101KUCIE568</v>
      </c>
      <c r="AX321" s="457" t="str">
        <f t="shared" si="196"/>
        <v>20140101PSS</v>
      </c>
      <c r="AY321" s="439">
        <f>IF(AV321&lt;=MiscData!$B$23,MiscData!$C$23,IF(AV321&lt;=MiscData!$B$24,MiscData!$C$24,MiscData!$C$25))</f>
        <v>20140101</v>
      </c>
      <c r="AZ321" s="439" t="str">
        <f>VLOOKUP(BA321,MiscData!$V$4:$W$42,2,FALSE)</f>
        <v>KUCIE568</v>
      </c>
      <c r="BA321" s="439">
        <f>IF(BA320=MiscData!$V$42,1,BA320+1)</f>
        <v>6</v>
      </c>
      <c r="BB321" s="439" t="str">
        <f>VLOOKUP(AZ321,MiscData!$W$4:$Y$42,3,FALSE)</f>
        <v>PSS</v>
      </c>
    </row>
    <row r="322" spans="1:54" hidden="1">
      <c r="A322" s="448">
        <f t="shared" si="198"/>
        <v>295</v>
      </c>
      <c r="B322" s="448" t="str">
        <f t="shared" si="159"/>
        <v>Sep 2015</v>
      </c>
      <c r="C322" s="448" t="s">
        <v>205</v>
      </c>
      <c r="D322" s="449" t="str">
        <f t="shared" si="160"/>
        <v>TODP</v>
      </c>
      <c r="E322" s="449" t="str">
        <f t="shared" si="161"/>
        <v>KUCIE571</v>
      </c>
      <c r="F322" s="450">
        <f t="shared" si="162"/>
        <v>197</v>
      </c>
      <c r="G322" s="450">
        <v>0</v>
      </c>
      <c r="H322" s="450">
        <v>0</v>
      </c>
      <c r="I322" s="450">
        <v>0</v>
      </c>
      <c r="J322" s="450">
        <f t="shared" si="163"/>
        <v>98398740</v>
      </c>
      <c r="K322" s="482">
        <f t="shared" si="164"/>
        <v>272897</v>
      </c>
      <c r="L322" s="482">
        <f t="shared" si="165"/>
        <v>262231</v>
      </c>
      <c r="M322" s="482">
        <f t="shared" si="166"/>
        <v>252544</v>
      </c>
      <c r="N322" s="482">
        <f t="shared" si="167"/>
        <v>0</v>
      </c>
      <c r="O322" s="482">
        <f t="shared" si="168"/>
        <v>0</v>
      </c>
      <c r="P322" s="482">
        <f t="shared" si="169"/>
        <v>0</v>
      </c>
      <c r="Q322" s="451">
        <f t="shared" si="170"/>
        <v>300</v>
      </c>
      <c r="R322" s="452">
        <f t="shared" si="171"/>
        <v>3.7650000000000003E-2</v>
      </c>
      <c r="S322" s="452">
        <v>0</v>
      </c>
      <c r="T322" s="452">
        <v>0</v>
      </c>
      <c r="U322" s="452">
        <f t="shared" si="172"/>
        <v>2.8920000000000001E-2</v>
      </c>
      <c r="V322" s="451">
        <f t="shared" si="173"/>
        <v>1.71</v>
      </c>
      <c r="W322" s="451">
        <f t="shared" si="174"/>
        <v>2.76</v>
      </c>
      <c r="X322" s="451">
        <f t="shared" si="175"/>
        <v>4.26</v>
      </c>
      <c r="Y322" s="453">
        <f t="shared" si="176"/>
        <v>59100</v>
      </c>
      <c r="Z322" s="453">
        <f t="shared" si="177"/>
        <v>3704712.56</v>
      </c>
      <c r="AA322" s="453">
        <f t="shared" si="178"/>
        <v>466653.87</v>
      </c>
      <c r="AB322" s="453">
        <f t="shared" si="179"/>
        <v>723757.56</v>
      </c>
      <c r="AC322" s="453">
        <f t="shared" si="180"/>
        <v>1075837.4399999999</v>
      </c>
      <c r="AD322" s="453">
        <f t="shared" si="181"/>
        <v>2266248.87</v>
      </c>
      <c r="AE322" s="493">
        <f t="shared" si="182"/>
        <v>6030061.4299999997</v>
      </c>
      <c r="AF322" s="453">
        <f t="shared" si="183"/>
        <v>6030063</v>
      </c>
      <c r="AG322" s="494">
        <f t="shared" si="184"/>
        <v>1.00000026036219</v>
      </c>
      <c r="AH322" s="454">
        <f t="shared" si="185"/>
        <v>41280</v>
      </c>
      <c r="AI322" s="454">
        <f t="shared" si="186"/>
        <v>185829</v>
      </c>
      <c r="AJ322" s="454">
        <f t="shared" si="187"/>
        <v>560460</v>
      </c>
      <c r="AK322" s="454">
        <f t="shared" si="188"/>
        <v>0</v>
      </c>
      <c r="AL322" s="454">
        <f t="shared" si="189"/>
        <v>0</v>
      </c>
      <c r="AM322" s="454">
        <f t="shared" si="190"/>
        <v>6817632</v>
      </c>
      <c r="AN322" s="491">
        <f t="shared" si="191"/>
        <v>6817630.4299999997</v>
      </c>
      <c r="AO322" s="487">
        <f t="shared" si="192"/>
        <v>1.5700000002980232</v>
      </c>
      <c r="AP322" s="495">
        <f t="shared" si="193"/>
        <v>2845691.56</v>
      </c>
      <c r="AQ322" s="496">
        <f t="shared" si="194"/>
        <v>859021</v>
      </c>
      <c r="AV322" s="459">
        <f>IF(BA322&gt;BA321,AV321,IF(AV321&lt;MiscData!$F$1,EOMONTH(AV321,1),EOMONTH(AV321,-11)))</f>
        <v>42277</v>
      </c>
      <c r="AW322" s="448" t="str">
        <f t="shared" si="195"/>
        <v>20140101KUCIE571</v>
      </c>
      <c r="AX322" s="457" t="str">
        <f t="shared" si="196"/>
        <v>20140101TODP</v>
      </c>
      <c r="AY322" s="439">
        <f>IF(AV322&lt;=MiscData!$B$23,MiscData!$C$23,IF(AV322&lt;=MiscData!$B$24,MiscData!$C$24,MiscData!$C$25))</f>
        <v>20140101</v>
      </c>
      <c r="AZ322" s="439" t="str">
        <f>VLOOKUP(BA322,MiscData!$V$4:$W$42,2,FALSE)</f>
        <v>KUCIE571</v>
      </c>
      <c r="BA322" s="439">
        <f>IF(BA321=MiscData!$V$42,1,BA321+1)</f>
        <v>7</v>
      </c>
      <c r="BB322" s="439" t="str">
        <f>VLOOKUP(AZ322,MiscData!$W$4:$Y$42,3,FALSE)</f>
        <v>TODP</v>
      </c>
    </row>
    <row r="323" spans="1:54" hidden="1">
      <c r="A323" s="448">
        <f t="shared" si="198"/>
        <v>296</v>
      </c>
      <c r="B323" s="448" t="str">
        <f t="shared" si="159"/>
        <v>Sep 2015</v>
      </c>
      <c r="C323" s="448" t="s">
        <v>204</v>
      </c>
      <c r="D323" s="449" t="str">
        <f t="shared" si="160"/>
        <v>TODS</v>
      </c>
      <c r="E323" s="449" t="str">
        <f t="shared" si="161"/>
        <v>KUCIE572</v>
      </c>
      <c r="F323" s="450">
        <f t="shared" si="162"/>
        <v>463</v>
      </c>
      <c r="G323" s="450">
        <v>0</v>
      </c>
      <c r="H323" s="450">
        <v>0</v>
      </c>
      <c r="I323" s="450">
        <v>0</v>
      </c>
      <c r="J323" s="450">
        <f t="shared" si="163"/>
        <v>133838239</v>
      </c>
      <c r="K323" s="482">
        <f t="shared" si="164"/>
        <v>373420</v>
      </c>
      <c r="L323" s="482">
        <f t="shared" si="165"/>
        <v>348634</v>
      </c>
      <c r="M323" s="482">
        <f t="shared" si="166"/>
        <v>341848</v>
      </c>
      <c r="N323" s="482">
        <f t="shared" si="167"/>
        <v>0</v>
      </c>
      <c r="O323" s="482">
        <f t="shared" si="168"/>
        <v>0</v>
      </c>
      <c r="P323" s="482">
        <f t="shared" si="169"/>
        <v>0</v>
      </c>
      <c r="Q323" s="451">
        <f t="shared" si="170"/>
        <v>200</v>
      </c>
      <c r="R323" s="452">
        <f t="shared" si="171"/>
        <v>3.773E-2</v>
      </c>
      <c r="S323" s="452">
        <v>0</v>
      </c>
      <c r="T323" s="452">
        <v>0</v>
      </c>
      <c r="U323" s="452">
        <f t="shared" si="172"/>
        <v>2.8920000000000001E-2</v>
      </c>
      <c r="V323" s="451">
        <f t="shared" si="173"/>
        <v>3.62</v>
      </c>
      <c r="W323" s="451">
        <f t="shared" si="174"/>
        <v>2.95</v>
      </c>
      <c r="X323" s="451">
        <f t="shared" si="175"/>
        <v>4.55</v>
      </c>
      <c r="Y323" s="453">
        <f t="shared" si="176"/>
        <v>92600</v>
      </c>
      <c r="Z323" s="453">
        <f t="shared" si="177"/>
        <v>5049716.76</v>
      </c>
      <c r="AA323" s="453">
        <f t="shared" si="178"/>
        <v>1351780.4</v>
      </c>
      <c r="AB323" s="453">
        <f t="shared" si="179"/>
        <v>1028470.3</v>
      </c>
      <c r="AC323" s="453">
        <f t="shared" si="180"/>
        <v>1555408.4</v>
      </c>
      <c r="AD323" s="453">
        <f t="shared" si="181"/>
        <v>3935659.1</v>
      </c>
      <c r="AE323" s="493">
        <f t="shared" si="182"/>
        <v>9077975.8599999994</v>
      </c>
      <c r="AF323" s="453">
        <f t="shared" si="183"/>
        <v>9077976</v>
      </c>
      <c r="AG323" s="494">
        <f t="shared" si="184"/>
        <v>1.0000000154219402</v>
      </c>
      <c r="AH323" s="454">
        <f t="shared" si="185"/>
        <v>56147</v>
      </c>
      <c r="AI323" s="454">
        <f t="shared" si="186"/>
        <v>252757</v>
      </c>
      <c r="AJ323" s="454">
        <f t="shared" si="187"/>
        <v>762317</v>
      </c>
      <c r="AK323" s="454">
        <f t="shared" si="188"/>
        <v>0</v>
      </c>
      <c r="AL323" s="454">
        <f t="shared" si="189"/>
        <v>0</v>
      </c>
      <c r="AM323" s="454">
        <f t="shared" si="190"/>
        <v>10149197</v>
      </c>
      <c r="AN323" s="491">
        <f t="shared" si="191"/>
        <v>10149196.859999999</v>
      </c>
      <c r="AO323" s="487">
        <f t="shared" si="192"/>
        <v>0.14000000059604645</v>
      </c>
      <c r="AP323" s="495">
        <f t="shared" si="193"/>
        <v>3870601.87</v>
      </c>
      <c r="AQ323" s="496">
        <f t="shared" si="194"/>
        <v>1179114.8899999997</v>
      </c>
      <c r="AV323" s="459">
        <f>IF(BA323&gt;BA322,AV322,IF(AV322&lt;MiscData!$F$1,EOMONTH(AV322,1),EOMONTH(AV322,-11)))</f>
        <v>42277</v>
      </c>
      <c r="AW323" s="448" t="str">
        <f t="shared" si="195"/>
        <v>20140101KUCIE572</v>
      </c>
      <c r="AX323" s="457" t="str">
        <f t="shared" si="196"/>
        <v>20140101TODS</v>
      </c>
      <c r="AY323" s="439">
        <f>IF(AV323&lt;=MiscData!$B$23,MiscData!$C$23,IF(AV323&lt;=MiscData!$B$24,MiscData!$C$24,MiscData!$C$25))</f>
        <v>20140101</v>
      </c>
      <c r="AZ323" s="439" t="str">
        <f>VLOOKUP(BA323,MiscData!$V$4:$W$42,2,FALSE)</f>
        <v>KUCIE572</v>
      </c>
      <c r="BA323" s="439">
        <f>IF(BA322=MiscData!$V$42,1,BA322+1)</f>
        <v>8</v>
      </c>
      <c r="BB323" s="439" t="str">
        <f>VLOOKUP(AZ323,MiscData!$W$4:$Y$42,3,FALSE)</f>
        <v>TODS</v>
      </c>
    </row>
    <row r="324" spans="1:54" hidden="1">
      <c r="A324" s="448">
        <f t="shared" si="198"/>
        <v>297</v>
      </c>
      <c r="B324" s="448" t="str">
        <f t="shared" ref="B324:B387" si="199">TEXT(AV324,"mmm yyyy")</f>
        <v>Sep 2015</v>
      </c>
      <c r="C324" s="448" t="s">
        <v>24</v>
      </c>
      <c r="D324" s="449" t="str">
        <f t="shared" ref="D324:D387" si="200">BB324</f>
        <v>PSS</v>
      </c>
      <c r="E324" s="449" t="str">
        <f t="shared" ref="E324:E387" si="201">AZ324</f>
        <v>KUCIE717</v>
      </c>
      <c r="F324" s="450">
        <f t="shared" ref="F324:F387" si="202">SUMIFS(_1022_Count,_1022_RevenueMonth,$B324,_1022_RateCategory,$E324)</f>
        <v>0</v>
      </c>
      <c r="G324" s="450">
        <v>0</v>
      </c>
      <c r="H324" s="450">
        <v>0</v>
      </c>
      <c r="I324" s="450">
        <v>0</v>
      </c>
      <c r="J324" s="450">
        <f t="shared" ref="J324:J387" si="203">SUMIFS(_1022_KWH,_1022_RevenueMonth,$B324,_1022_RateCategory,$E324)</f>
        <v>0</v>
      </c>
      <c r="K324" s="482">
        <f t="shared" ref="K324:K387" si="204">SUMIFS(_1022_Measured_KVA_Base,_1022_RevenueMonth,$B324,_1022_RateCategory,$E324)</f>
        <v>0</v>
      </c>
      <c r="L324" s="482">
        <f t="shared" ref="L324:L387" si="205">SUMIFS(_1022_Measured_KVA_Inter,_1022_RevenueMonth,$B324,_1022_RateCategory,$E324)</f>
        <v>0</v>
      </c>
      <c r="M324" s="482">
        <f t="shared" ref="M324:M387" si="206">SUMIFS(_1022_Measured_KVA_Peak,_1022_RevenueMonth,$B324,_1022_RateCategory,$E324)</f>
        <v>0</v>
      </c>
      <c r="N324" s="482">
        <f t="shared" ref="N324:N387" si="207">SUMIFS(_1022_Demand_Base,_1022_RevenueMonth,$B324,_1022_RateCategory,$E324)</f>
        <v>0</v>
      </c>
      <c r="O324" s="482">
        <f t="shared" ref="O324:O387" si="208">SUMIFS(_1022_Demand_Intermediate,_1022_RevenueMonth,$B324,_1022_RateCategory,$E324)</f>
        <v>0</v>
      </c>
      <c r="P324" s="482">
        <f t="shared" ref="P324:P387" si="209">SUMIFS(_1022_Demand_Peak,_1022_RevenueMonth,$B324,_1022_RateCategory,$E324)</f>
        <v>0</v>
      </c>
      <c r="Q324" s="451">
        <f t="shared" ref="Q324:Q387" si="210">SUMIF(_Rates_Tariff_Category,$AW324,_Rates_BasicServiceCharge)</f>
        <v>90</v>
      </c>
      <c r="R324" s="452">
        <f t="shared" ref="R324:R387" si="211">SUMIF(_Rates_Tariff_Category,$AW324,_Rates_Energy)</f>
        <v>3.5640000000000005E-2</v>
      </c>
      <c r="S324" s="452">
        <v>0</v>
      </c>
      <c r="T324" s="452">
        <v>0</v>
      </c>
      <c r="U324" s="452">
        <f t="shared" ref="U324:U387" si="212">SUMIF(_Rates_Tariff_Category,$AW324,_Rates_FAC_Energy)</f>
        <v>2.8920000000000001E-2</v>
      </c>
      <c r="V324" s="451">
        <f t="shared" ref="V324:V387" si="213">SUMIF(_Rates_Tariff_Category,$AW324,_Rates_Demand_Base)</f>
        <v>0</v>
      </c>
      <c r="W324" s="451">
        <f t="shared" ref="W324:W387" si="214">SUMIF(_Rates_Tariff_Category,$AW324,_Rates_Demand_Intermediate)</f>
        <v>13.2</v>
      </c>
      <c r="X324" s="451">
        <f t="shared" ref="X324:X387" si="215">SUMIF(_Rates_Tariff_Category,$AW324,_Rates_Demand_Peak)</f>
        <v>15.3</v>
      </c>
      <c r="Y324" s="453">
        <f t="shared" ref="Y324:Y387" si="216">ROUND($F324*$Q324,2)</f>
        <v>0</v>
      </c>
      <c r="Z324" s="453">
        <f t="shared" ref="Z324:Z387" si="217">ROUND(IF(G324=0,J324*R324,SUMPRODUCT(G324:I324,R324:T324)),2)</f>
        <v>0</v>
      </c>
      <c r="AA324" s="453">
        <f t="shared" ref="AA324:AA387" si="218">ROUND($K324*$V324,2)</f>
        <v>0</v>
      </c>
      <c r="AB324" s="453">
        <f t="shared" ref="AB324:AB387" si="219">ROUND($L324*$W324,2)</f>
        <v>0</v>
      </c>
      <c r="AC324" s="453">
        <f t="shared" ref="AC324:AC387" si="220">ROUND($M324*$X324,2)</f>
        <v>0</v>
      </c>
      <c r="AD324" s="453">
        <f t="shared" ref="AD324:AD387" si="221">SUM(AA324:AC324)</f>
        <v>0</v>
      </c>
      <c r="AE324" s="493">
        <f t="shared" ref="AE324:AE387" si="222">SUM(Y324:AC324)</f>
        <v>0</v>
      </c>
      <c r="AF324" s="453">
        <f t="shared" ref="AF324:AF387" si="223">AM324-SUM(AH324:AL324)</f>
        <v>0</v>
      </c>
      <c r="AG324" s="494">
        <f t="shared" ref="AG324:AG387" si="224">IF(AND(AE324=0,AF324=0),1,IF(AE324=0,0,AF324/AE324))</f>
        <v>1</v>
      </c>
      <c r="AH324" s="454">
        <f t="shared" ref="AH324:AH387" si="225">SUMIFS(_SBR_FAC,_SBR_Revenue_Month,$B324,_SBR_Rate_Category,$E324)</f>
        <v>0</v>
      </c>
      <c r="AI324" s="454">
        <f t="shared" ref="AI324:AI387" si="226">SUMIFS(_SBR_DSM,_SBR_Revenue_Month,$B324,_SBR_Rate_Category,$E324)</f>
        <v>0</v>
      </c>
      <c r="AJ324" s="454">
        <f t="shared" ref="AJ324:AJ387" si="227">SUMIFS(_SBR_ECR,_SBR_Revenue_Month,$B324,_SBR_Rate_Category,$E324)</f>
        <v>0</v>
      </c>
      <c r="AK324" s="454">
        <f t="shared" ref="AK324:AK387" si="228">SUMIFS(_SBR_MSR,_SBR_Revenue_Month,$B324,_SBR_Rate_Category,$E324)</f>
        <v>0</v>
      </c>
      <c r="AL324" s="454">
        <f t="shared" ref="AL324:AL387" si="229">SUMIFS(_SBR_CSR,_SBR_Revenue_Month,$B324,_SBR_Rate_Category,$E324)</f>
        <v>0</v>
      </c>
      <c r="AM324" s="454">
        <f t="shared" ref="AM324:AM387" si="230">SUMIFS(_SBR_Revenue_Actual,_SBR_Revenue_Month,$B324,_SBR_Rate_Category,$E324)</f>
        <v>0</v>
      </c>
      <c r="AN324" s="491">
        <f t="shared" ref="AN324:AN387" si="231">SUM(AE324,AH324:AL324)</f>
        <v>0</v>
      </c>
      <c r="AO324" s="487">
        <f t="shared" ref="AO324:AO387" si="232">AM324-AN324</f>
        <v>0</v>
      </c>
      <c r="AP324" s="495">
        <f t="shared" ref="AP324:AP387" si="233">ROUND($J324*$U324,2)</f>
        <v>0</v>
      </c>
      <c r="AQ324" s="496">
        <f t="shared" ref="AQ324:AQ387" si="234">Z324-AP324</f>
        <v>0</v>
      </c>
      <c r="AV324" s="459">
        <f>IF(BA324&gt;BA323,AV323,IF(AV323&lt;MiscData!$F$1,EOMONTH(AV323,1),EOMONTH(AV323,-11)))</f>
        <v>42277</v>
      </c>
      <c r="AW324" s="448" t="str">
        <f t="shared" ref="AW324:AW387" si="235">CONCATENATE(AY324&amp;AZ324)</f>
        <v>20140101KUCIE717</v>
      </c>
      <c r="AX324" s="457" t="str">
        <f t="shared" ref="AX324:AX387" si="236">CONCATENATE(AY324&amp;BB324)</f>
        <v>20140101PSS</v>
      </c>
      <c r="AY324" s="439">
        <f>IF(AV324&lt;=MiscData!$B$23,MiscData!$C$23,IF(AV324&lt;=MiscData!$B$24,MiscData!$C$24,MiscData!$C$25))</f>
        <v>20140101</v>
      </c>
      <c r="AZ324" s="439" t="str">
        <f>VLOOKUP(BA324,MiscData!$V$4:$W$42,2,FALSE)</f>
        <v>KUCIE717</v>
      </c>
      <c r="BA324" s="439">
        <f>IF(BA323=MiscData!$V$42,1,BA323+1)</f>
        <v>9</v>
      </c>
      <c r="BB324" s="439" t="str">
        <f>VLOOKUP(AZ324,MiscData!$W$4:$Y$42,3,FALSE)</f>
        <v>PSS</v>
      </c>
    </row>
    <row r="325" spans="1:54">
      <c r="A325" s="499">
        <f t="shared" si="198"/>
        <v>298</v>
      </c>
      <c r="B325" s="448" t="str">
        <f t="shared" si="199"/>
        <v>Sep 2015</v>
      </c>
      <c r="C325" s="448" t="s">
        <v>208</v>
      </c>
      <c r="D325" s="449" t="str">
        <f t="shared" si="200"/>
        <v>GS</v>
      </c>
      <c r="E325" s="449" t="str">
        <f t="shared" si="201"/>
        <v>KUCME110</v>
      </c>
      <c r="F325" s="450">
        <f t="shared" si="202"/>
        <v>63506</v>
      </c>
      <c r="G325" s="450">
        <v>0</v>
      </c>
      <c r="H325" s="450">
        <v>0</v>
      </c>
      <c r="I325" s="450">
        <v>0</v>
      </c>
      <c r="J325" s="450">
        <f t="shared" si="203"/>
        <v>60603647</v>
      </c>
      <c r="K325" s="482">
        <f t="shared" si="204"/>
        <v>0</v>
      </c>
      <c r="L325" s="482">
        <f t="shared" si="205"/>
        <v>0</v>
      </c>
      <c r="M325" s="482">
        <f t="shared" si="206"/>
        <v>0</v>
      </c>
      <c r="N325" s="482">
        <f t="shared" si="207"/>
        <v>0</v>
      </c>
      <c r="O325" s="482">
        <f t="shared" si="208"/>
        <v>0</v>
      </c>
      <c r="P325" s="482">
        <f t="shared" si="209"/>
        <v>0</v>
      </c>
      <c r="Q325" s="451">
        <f t="shared" si="210"/>
        <v>20</v>
      </c>
      <c r="R325" s="452">
        <f t="shared" si="211"/>
        <v>9.2249999999999999E-2</v>
      </c>
      <c r="S325" s="452">
        <v>0</v>
      </c>
      <c r="T325" s="452">
        <v>0</v>
      </c>
      <c r="U325" s="452">
        <f t="shared" si="212"/>
        <v>2.8920000000000001E-2</v>
      </c>
      <c r="V325" s="451">
        <f t="shared" si="213"/>
        <v>0</v>
      </c>
      <c r="W325" s="451">
        <f t="shared" si="214"/>
        <v>0</v>
      </c>
      <c r="X325" s="451">
        <f t="shared" si="215"/>
        <v>0</v>
      </c>
      <c r="Y325" s="453">
        <f t="shared" si="216"/>
        <v>1270120</v>
      </c>
      <c r="Z325" s="453">
        <f t="shared" si="217"/>
        <v>5590686.4400000004</v>
      </c>
      <c r="AA325" s="453">
        <f t="shared" si="218"/>
        <v>0</v>
      </c>
      <c r="AB325" s="453">
        <f t="shared" si="219"/>
        <v>0</v>
      </c>
      <c r="AC325" s="453">
        <f t="shared" si="220"/>
        <v>0</v>
      </c>
      <c r="AD325" s="453">
        <f t="shared" si="221"/>
        <v>0</v>
      </c>
      <c r="AE325" s="493">
        <f t="shared" si="222"/>
        <v>6860806.4400000004</v>
      </c>
      <c r="AF325" s="453">
        <f t="shared" si="223"/>
        <v>6860808</v>
      </c>
      <c r="AG325" s="494">
        <f t="shared" si="224"/>
        <v>1.0000002273785178</v>
      </c>
      <c r="AH325" s="454">
        <f t="shared" si="225"/>
        <v>25424</v>
      </c>
      <c r="AI325" s="454">
        <f t="shared" si="226"/>
        <v>114452</v>
      </c>
      <c r="AJ325" s="454">
        <f t="shared" si="227"/>
        <v>345187</v>
      </c>
      <c r="AK325" s="454">
        <f t="shared" si="228"/>
        <v>0</v>
      </c>
      <c r="AL325" s="454">
        <f t="shared" si="229"/>
        <v>0</v>
      </c>
      <c r="AM325" s="454">
        <f t="shared" si="230"/>
        <v>7345871</v>
      </c>
      <c r="AN325" s="491">
        <f t="shared" si="231"/>
        <v>7345869.4400000004</v>
      </c>
      <c r="AO325" s="487">
        <f t="shared" si="232"/>
        <v>1.5599999995902181</v>
      </c>
      <c r="AP325" s="495">
        <f t="shared" si="233"/>
        <v>1752657.47</v>
      </c>
      <c r="AQ325" s="496">
        <f t="shared" si="234"/>
        <v>3838028.9700000007</v>
      </c>
      <c r="AV325" s="459">
        <f>IF(BA325&gt;BA324,AV324,IF(AV324&lt;MiscData!$F$1,EOMONTH(AV324,1),EOMONTH(AV324,-11)))</f>
        <v>42277</v>
      </c>
      <c r="AW325" s="448" t="str">
        <f t="shared" si="235"/>
        <v>20140101KUCME110</v>
      </c>
      <c r="AX325" s="457" t="str">
        <f t="shared" si="236"/>
        <v>20140101GS</v>
      </c>
      <c r="AY325" s="439">
        <f>IF(AV325&lt;=MiscData!$B$23,MiscData!$C$23,IF(AV325&lt;=MiscData!$B$24,MiscData!$C$24,MiscData!$C$25))</f>
        <v>20140101</v>
      </c>
      <c r="AZ325" s="439" t="str">
        <f>VLOOKUP(BA325,MiscData!$V$4:$W$42,2,FALSE)</f>
        <v>KUCME110</v>
      </c>
      <c r="BA325" s="439">
        <f>IF(BA324=MiscData!$V$42,1,BA324+1)</f>
        <v>10</v>
      </c>
      <c r="BB325" s="511" t="str">
        <f>VLOOKUP(AZ325,MiscData!$W$4:$Y$42,3,FALSE)</f>
        <v>GS</v>
      </c>
    </row>
    <row r="326" spans="1:54">
      <c r="A326" s="499">
        <f t="shared" si="198"/>
        <v>299</v>
      </c>
      <c r="B326" s="448" t="str">
        <f t="shared" si="199"/>
        <v>Sep 2015</v>
      </c>
      <c r="C326" s="448" t="s">
        <v>208</v>
      </c>
      <c r="D326" s="449" t="str">
        <f t="shared" si="200"/>
        <v>GS</v>
      </c>
      <c r="E326" s="449" t="str">
        <f t="shared" si="201"/>
        <v>KUCME112</v>
      </c>
      <c r="F326" s="450">
        <f t="shared" si="202"/>
        <v>0</v>
      </c>
      <c r="G326" s="450">
        <v>0</v>
      </c>
      <c r="H326" s="450">
        <v>0</v>
      </c>
      <c r="I326" s="450">
        <v>0</v>
      </c>
      <c r="J326" s="450">
        <f t="shared" si="203"/>
        <v>0</v>
      </c>
      <c r="K326" s="482">
        <f t="shared" si="204"/>
        <v>0</v>
      </c>
      <c r="L326" s="482">
        <f t="shared" si="205"/>
        <v>0</v>
      </c>
      <c r="M326" s="482">
        <f t="shared" si="206"/>
        <v>0</v>
      </c>
      <c r="N326" s="482">
        <f t="shared" si="207"/>
        <v>0</v>
      </c>
      <c r="O326" s="482">
        <f t="shared" si="208"/>
        <v>0</v>
      </c>
      <c r="P326" s="482">
        <f t="shared" si="209"/>
        <v>0</v>
      </c>
      <c r="Q326" s="451">
        <f t="shared" si="210"/>
        <v>20</v>
      </c>
      <c r="R326" s="452">
        <f t="shared" si="211"/>
        <v>9.2249999999999999E-2</v>
      </c>
      <c r="S326" s="452">
        <v>0</v>
      </c>
      <c r="T326" s="452">
        <v>0</v>
      </c>
      <c r="U326" s="452">
        <f t="shared" si="212"/>
        <v>2.8920000000000001E-2</v>
      </c>
      <c r="V326" s="451">
        <f t="shared" si="213"/>
        <v>0</v>
      </c>
      <c r="W326" s="451">
        <f t="shared" si="214"/>
        <v>0</v>
      </c>
      <c r="X326" s="451">
        <f t="shared" si="215"/>
        <v>0</v>
      </c>
      <c r="Y326" s="453">
        <f t="shared" si="216"/>
        <v>0</v>
      </c>
      <c r="Z326" s="453">
        <f t="shared" si="217"/>
        <v>0</v>
      </c>
      <c r="AA326" s="453">
        <f t="shared" si="218"/>
        <v>0</v>
      </c>
      <c r="AB326" s="453">
        <f t="shared" si="219"/>
        <v>0</v>
      </c>
      <c r="AC326" s="453">
        <f t="shared" si="220"/>
        <v>0</v>
      </c>
      <c r="AD326" s="453">
        <f t="shared" si="221"/>
        <v>0</v>
      </c>
      <c r="AE326" s="493">
        <f t="shared" si="222"/>
        <v>0</v>
      </c>
      <c r="AF326" s="453">
        <f t="shared" si="223"/>
        <v>0</v>
      </c>
      <c r="AG326" s="494">
        <f t="shared" si="224"/>
        <v>1</v>
      </c>
      <c r="AH326" s="454">
        <f t="shared" si="225"/>
        <v>0</v>
      </c>
      <c r="AI326" s="454">
        <f t="shared" si="226"/>
        <v>0</v>
      </c>
      <c r="AJ326" s="454">
        <f t="shared" si="227"/>
        <v>0</v>
      </c>
      <c r="AK326" s="454">
        <f t="shared" si="228"/>
        <v>0</v>
      </c>
      <c r="AL326" s="454">
        <f t="shared" si="229"/>
        <v>0</v>
      </c>
      <c r="AM326" s="454">
        <f t="shared" si="230"/>
        <v>0</v>
      </c>
      <c r="AN326" s="491">
        <f t="shared" si="231"/>
        <v>0</v>
      </c>
      <c r="AO326" s="487">
        <f t="shared" si="232"/>
        <v>0</v>
      </c>
      <c r="AP326" s="495">
        <f t="shared" si="233"/>
        <v>0</v>
      </c>
      <c r="AQ326" s="496">
        <f t="shared" si="234"/>
        <v>0</v>
      </c>
      <c r="AV326" s="459">
        <f>IF(BA326&gt;BA325,AV325,IF(AV325&lt;MiscData!$F$1,EOMONTH(AV325,1),EOMONTH(AV325,-11)))</f>
        <v>42277</v>
      </c>
      <c r="AW326" s="448" t="str">
        <f t="shared" si="235"/>
        <v>20140101KUCME112</v>
      </c>
      <c r="AX326" s="457" t="str">
        <f t="shared" si="236"/>
        <v>20140101GS</v>
      </c>
      <c r="AY326" s="439">
        <f>IF(AV326&lt;=MiscData!$B$23,MiscData!$C$23,IF(AV326&lt;=MiscData!$B$24,MiscData!$C$24,MiscData!$C$25))</f>
        <v>20140101</v>
      </c>
      <c r="AZ326" s="439" t="str">
        <f>VLOOKUP(BA326,MiscData!$V$4:$W$42,2,FALSE)</f>
        <v>KUCME112</v>
      </c>
      <c r="BA326" s="439">
        <f>IF(BA325=MiscData!$V$42,1,BA325+1)</f>
        <v>11</v>
      </c>
      <c r="BB326" s="511" t="str">
        <f>VLOOKUP(AZ326,MiscData!$W$4:$Y$42,3,FALSE)</f>
        <v>GS</v>
      </c>
    </row>
    <row r="327" spans="1:54">
      <c r="A327" s="448">
        <f t="shared" si="198"/>
        <v>300</v>
      </c>
      <c r="B327" s="448" t="str">
        <f t="shared" si="199"/>
        <v>Sep 2015</v>
      </c>
      <c r="C327" s="448" t="s">
        <v>17</v>
      </c>
      <c r="D327" s="449" t="str">
        <f t="shared" si="200"/>
        <v>GS3</v>
      </c>
      <c r="E327" s="449" t="str">
        <f t="shared" si="201"/>
        <v>KUCME113</v>
      </c>
      <c r="F327" s="450">
        <f t="shared" si="202"/>
        <v>18564</v>
      </c>
      <c r="G327" s="450">
        <v>0</v>
      </c>
      <c r="H327" s="450">
        <v>0</v>
      </c>
      <c r="I327" s="450">
        <v>0</v>
      </c>
      <c r="J327" s="450">
        <f t="shared" si="203"/>
        <v>88529551</v>
      </c>
      <c r="K327" s="482">
        <f t="shared" si="204"/>
        <v>365688</v>
      </c>
      <c r="L327" s="482">
        <f t="shared" si="205"/>
        <v>0</v>
      </c>
      <c r="M327" s="482">
        <f t="shared" si="206"/>
        <v>0</v>
      </c>
      <c r="N327" s="482">
        <f t="shared" si="207"/>
        <v>0</v>
      </c>
      <c r="O327" s="482">
        <f t="shared" si="208"/>
        <v>0</v>
      </c>
      <c r="P327" s="482">
        <f t="shared" si="209"/>
        <v>0</v>
      </c>
      <c r="Q327" s="451">
        <f t="shared" si="210"/>
        <v>35</v>
      </c>
      <c r="R327" s="452">
        <f t="shared" si="211"/>
        <v>9.2249999999999999E-2</v>
      </c>
      <c r="S327" s="452">
        <v>0</v>
      </c>
      <c r="T327" s="452">
        <v>0</v>
      </c>
      <c r="U327" s="452">
        <f t="shared" si="212"/>
        <v>2.8920000000000001E-2</v>
      </c>
      <c r="V327" s="451">
        <f t="shared" si="213"/>
        <v>0</v>
      </c>
      <c r="W327" s="451">
        <f t="shared" si="214"/>
        <v>0</v>
      </c>
      <c r="X327" s="451">
        <f t="shared" si="215"/>
        <v>0</v>
      </c>
      <c r="Y327" s="453">
        <f t="shared" si="216"/>
        <v>649740</v>
      </c>
      <c r="Z327" s="453">
        <f t="shared" si="217"/>
        <v>8166851.0800000001</v>
      </c>
      <c r="AA327" s="453">
        <f t="shared" si="218"/>
        <v>0</v>
      </c>
      <c r="AB327" s="453">
        <f t="shared" si="219"/>
        <v>0</v>
      </c>
      <c r="AC327" s="453">
        <f t="shared" si="220"/>
        <v>0</v>
      </c>
      <c r="AD327" s="453">
        <f t="shared" si="221"/>
        <v>0</v>
      </c>
      <c r="AE327" s="493">
        <f t="shared" si="222"/>
        <v>8816591.0800000001</v>
      </c>
      <c r="AF327" s="453">
        <f t="shared" si="223"/>
        <v>8816587</v>
      </c>
      <c r="AG327" s="494">
        <f t="shared" si="224"/>
        <v>0.99999953723610824</v>
      </c>
      <c r="AH327" s="454">
        <f t="shared" si="225"/>
        <v>37140</v>
      </c>
      <c r="AI327" s="454">
        <f t="shared" si="226"/>
        <v>167191</v>
      </c>
      <c r="AJ327" s="454">
        <f t="shared" si="227"/>
        <v>504247</v>
      </c>
      <c r="AK327" s="454">
        <f t="shared" si="228"/>
        <v>0</v>
      </c>
      <c r="AL327" s="454">
        <f t="shared" si="229"/>
        <v>0</v>
      </c>
      <c r="AM327" s="454">
        <f t="shared" si="230"/>
        <v>9525165</v>
      </c>
      <c r="AN327" s="491">
        <f t="shared" si="231"/>
        <v>9525169.0800000001</v>
      </c>
      <c r="AO327" s="487">
        <f t="shared" si="232"/>
        <v>-4.0800000000745058</v>
      </c>
      <c r="AP327" s="495">
        <f t="shared" si="233"/>
        <v>2560274.61</v>
      </c>
      <c r="AQ327" s="496">
        <f t="shared" si="234"/>
        <v>5606576.4700000007</v>
      </c>
      <c r="AV327" s="459">
        <f>IF(BA327&gt;BA326,AV326,IF(AV326&lt;MiscData!$F$1,EOMONTH(AV326,1),EOMONTH(AV326,-11)))</f>
        <v>42277</v>
      </c>
      <c r="AW327" s="448" t="str">
        <f t="shared" si="235"/>
        <v>20140101KUCME113</v>
      </c>
      <c r="AX327" s="457" t="str">
        <f t="shared" si="236"/>
        <v>20140101GS3</v>
      </c>
      <c r="AY327" s="439">
        <f>IF(AV327&lt;=MiscData!$B$23,MiscData!$C$23,IF(AV327&lt;=MiscData!$B$24,MiscData!$C$24,MiscData!$C$25))</f>
        <v>20140101</v>
      </c>
      <c r="AZ327" s="439" t="str">
        <f>VLOOKUP(BA327,MiscData!$V$4:$W$42,2,FALSE)</f>
        <v>KUCME113</v>
      </c>
      <c r="BA327" s="439">
        <f>IF(BA326=MiscData!$V$42,1,BA326+1)</f>
        <v>12</v>
      </c>
      <c r="BB327" s="439" t="str">
        <f>VLOOKUP(AZ327,MiscData!$W$4:$Y$42,3,FALSE)</f>
        <v>GS3</v>
      </c>
    </row>
    <row r="328" spans="1:54" hidden="1">
      <c r="A328" s="448">
        <f t="shared" si="198"/>
        <v>301</v>
      </c>
      <c r="B328" s="448" t="str">
        <f t="shared" si="199"/>
        <v>Sep 2015</v>
      </c>
      <c r="C328" s="448" t="s">
        <v>203</v>
      </c>
      <c r="D328" s="449" t="str">
        <f t="shared" si="200"/>
        <v>AES</v>
      </c>
      <c r="E328" s="449" t="str">
        <f t="shared" si="201"/>
        <v>KUCME220</v>
      </c>
      <c r="F328" s="450">
        <f t="shared" si="202"/>
        <v>375</v>
      </c>
      <c r="G328" s="450">
        <v>0</v>
      </c>
      <c r="H328" s="450">
        <v>0</v>
      </c>
      <c r="I328" s="450">
        <v>0</v>
      </c>
      <c r="J328" s="450">
        <f t="shared" si="203"/>
        <v>520806</v>
      </c>
      <c r="K328" s="482">
        <f t="shared" si="204"/>
        <v>0</v>
      </c>
      <c r="L328" s="482">
        <f t="shared" si="205"/>
        <v>0</v>
      </c>
      <c r="M328" s="482">
        <f t="shared" si="206"/>
        <v>0</v>
      </c>
      <c r="N328" s="482">
        <f t="shared" si="207"/>
        <v>0</v>
      </c>
      <c r="O328" s="482">
        <f t="shared" si="208"/>
        <v>0</v>
      </c>
      <c r="P328" s="482">
        <f t="shared" si="209"/>
        <v>0</v>
      </c>
      <c r="Q328" s="451">
        <f t="shared" si="210"/>
        <v>20</v>
      </c>
      <c r="R328" s="452">
        <f t="shared" si="211"/>
        <v>7.4399999999999994E-2</v>
      </c>
      <c r="S328" s="452">
        <v>0</v>
      </c>
      <c r="T328" s="452">
        <v>0</v>
      </c>
      <c r="U328" s="452">
        <f t="shared" si="212"/>
        <v>2.8920000000000001E-2</v>
      </c>
      <c r="V328" s="451">
        <f t="shared" si="213"/>
        <v>0</v>
      </c>
      <c r="W328" s="451">
        <f t="shared" si="214"/>
        <v>0</v>
      </c>
      <c r="X328" s="451">
        <f t="shared" si="215"/>
        <v>0</v>
      </c>
      <c r="Y328" s="453">
        <f t="shared" si="216"/>
        <v>7500</v>
      </c>
      <c r="Z328" s="453">
        <f t="shared" si="217"/>
        <v>38747.97</v>
      </c>
      <c r="AA328" s="453">
        <f t="shared" si="218"/>
        <v>0</v>
      </c>
      <c r="AB328" s="453">
        <f t="shared" si="219"/>
        <v>0</v>
      </c>
      <c r="AC328" s="453">
        <f t="shared" si="220"/>
        <v>0</v>
      </c>
      <c r="AD328" s="453">
        <f t="shared" si="221"/>
        <v>0</v>
      </c>
      <c r="AE328" s="493">
        <f t="shared" si="222"/>
        <v>46247.97</v>
      </c>
      <c r="AF328" s="453">
        <f t="shared" si="223"/>
        <v>46248</v>
      </c>
      <c r="AG328" s="494">
        <f t="shared" si="224"/>
        <v>1.0000006486771202</v>
      </c>
      <c r="AH328" s="454">
        <f t="shared" si="225"/>
        <v>218</v>
      </c>
      <c r="AI328" s="454">
        <f t="shared" si="226"/>
        <v>984</v>
      </c>
      <c r="AJ328" s="454">
        <f t="shared" si="227"/>
        <v>2966</v>
      </c>
      <c r="AK328" s="454">
        <f t="shared" si="228"/>
        <v>0</v>
      </c>
      <c r="AL328" s="454">
        <f t="shared" si="229"/>
        <v>0</v>
      </c>
      <c r="AM328" s="454">
        <f t="shared" si="230"/>
        <v>50416</v>
      </c>
      <c r="AN328" s="491">
        <f t="shared" si="231"/>
        <v>50415.97</v>
      </c>
      <c r="AO328" s="487">
        <f t="shared" si="232"/>
        <v>2.9999999998835847E-2</v>
      </c>
      <c r="AP328" s="495">
        <f t="shared" si="233"/>
        <v>15061.71</v>
      </c>
      <c r="AQ328" s="496">
        <f t="shared" si="234"/>
        <v>23686.260000000002</v>
      </c>
      <c r="AV328" s="459">
        <f>IF(BA328&gt;BA327,AV327,IF(AV327&lt;MiscData!$F$1,EOMONTH(AV327,1),EOMONTH(AV327,-11)))</f>
        <v>42277</v>
      </c>
      <c r="AW328" s="448" t="str">
        <f t="shared" si="235"/>
        <v>20140101KUCME220</v>
      </c>
      <c r="AX328" s="457" t="str">
        <f t="shared" si="236"/>
        <v>20140101AES</v>
      </c>
      <c r="AY328" s="439">
        <f>IF(AV328&lt;=MiscData!$B$23,MiscData!$C$23,IF(AV328&lt;=MiscData!$B$24,MiscData!$C$24,MiscData!$C$25))</f>
        <v>20140101</v>
      </c>
      <c r="AZ328" s="439" t="str">
        <f>VLOOKUP(BA328,MiscData!$V$4:$W$42,2,FALSE)</f>
        <v>KUCME220</v>
      </c>
      <c r="BA328" s="439">
        <f>IF(BA327=MiscData!$V$42,1,BA327+1)</f>
        <v>13</v>
      </c>
      <c r="BB328" s="439" t="str">
        <f>VLOOKUP(AZ328,MiscData!$W$4:$Y$42,3,FALSE)</f>
        <v>AES</v>
      </c>
    </row>
    <row r="329" spans="1:54" hidden="1">
      <c r="A329" s="448">
        <f t="shared" si="198"/>
        <v>302</v>
      </c>
      <c r="B329" s="448" t="str">
        <f t="shared" si="199"/>
        <v>Sep 2015</v>
      </c>
      <c r="C329" s="448" t="s">
        <v>203</v>
      </c>
      <c r="D329" s="449" t="str">
        <f t="shared" si="200"/>
        <v>AES</v>
      </c>
      <c r="E329" s="449" t="str">
        <f t="shared" si="201"/>
        <v>KUCME221</v>
      </c>
      <c r="F329" s="450">
        <f t="shared" si="202"/>
        <v>0</v>
      </c>
      <c r="G329" s="450">
        <v>0</v>
      </c>
      <c r="H329" s="450">
        <v>0</v>
      </c>
      <c r="I329" s="450">
        <v>0</v>
      </c>
      <c r="J329" s="450">
        <f t="shared" si="203"/>
        <v>0</v>
      </c>
      <c r="K329" s="482">
        <f t="shared" si="204"/>
        <v>0</v>
      </c>
      <c r="L329" s="482">
        <f t="shared" si="205"/>
        <v>0</v>
      </c>
      <c r="M329" s="482">
        <f t="shared" si="206"/>
        <v>0</v>
      </c>
      <c r="N329" s="482">
        <f t="shared" si="207"/>
        <v>0</v>
      </c>
      <c r="O329" s="482">
        <f t="shared" si="208"/>
        <v>0</v>
      </c>
      <c r="P329" s="482">
        <f t="shared" si="209"/>
        <v>0</v>
      </c>
      <c r="Q329" s="451">
        <f t="shared" si="210"/>
        <v>20</v>
      </c>
      <c r="R329" s="452">
        <f t="shared" si="211"/>
        <v>7.4399999999999994E-2</v>
      </c>
      <c r="S329" s="452">
        <v>0</v>
      </c>
      <c r="T329" s="452">
        <v>0</v>
      </c>
      <c r="U329" s="452">
        <f t="shared" si="212"/>
        <v>2.8920000000000001E-2</v>
      </c>
      <c r="V329" s="451">
        <f t="shared" si="213"/>
        <v>0</v>
      </c>
      <c r="W329" s="451">
        <f t="shared" si="214"/>
        <v>0</v>
      </c>
      <c r="X329" s="451">
        <f t="shared" si="215"/>
        <v>0</v>
      </c>
      <c r="Y329" s="453">
        <f t="shared" si="216"/>
        <v>0</v>
      </c>
      <c r="Z329" s="453">
        <f t="shared" si="217"/>
        <v>0</v>
      </c>
      <c r="AA329" s="453">
        <f t="shared" si="218"/>
        <v>0</v>
      </c>
      <c r="AB329" s="453">
        <f t="shared" si="219"/>
        <v>0</v>
      </c>
      <c r="AC329" s="453">
        <f t="shared" si="220"/>
        <v>0</v>
      </c>
      <c r="AD329" s="453">
        <f t="shared" si="221"/>
        <v>0</v>
      </c>
      <c r="AE329" s="493">
        <f t="shared" si="222"/>
        <v>0</v>
      </c>
      <c r="AF329" s="453">
        <f t="shared" si="223"/>
        <v>0</v>
      </c>
      <c r="AG329" s="494">
        <f t="shared" si="224"/>
        <v>1</v>
      </c>
      <c r="AH329" s="454">
        <f t="shared" si="225"/>
        <v>0</v>
      </c>
      <c r="AI329" s="454">
        <f t="shared" si="226"/>
        <v>0</v>
      </c>
      <c r="AJ329" s="454">
        <f t="shared" si="227"/>
        <v>0</v>
      </c>
      <c r="AK329" s="454">
        <f t="shared" si="228"/>
        <v>0</v>
      </c>
      <c r="AL329" s="454">
        <f t="shared" si="229"/>
        <v>0</v>
      </c>
      <c r="AM329" s="454">
        <f t="shared" si="230"/>
        <v>0</v>
      </c>
      <c r="AN329" s="491">
        <f t="shared" si="231"/>
        <v>0</v>
      </c>
      <c r="AO329" s="487">
        <f t="shared" si="232"/>
        <v>0</v>
      </c>
      <c r="AP329" s="495">
        <f t="shared" si="233"/>
        <v>0</v>
      </c>
      <c r="AQ329" s="496">
        <f t="shared" si="234"/>
        <v>0</v>
      </c>
      <c r="AV329" s="459">
        <f>IF(BA329&gt;BA328,AV328,IF(AV328&lt;MiscData!$F$1,EOMONTH(AV328,1),EOMONTH(AV328,-11)))</f>
        <v>42277</v>
      </c>
      <c r="AW329" s="448" t="str">
        <f t="shared" si="235"/>
        <v>20140101KUCME221</v>
      </c>
      <c r="AX329" s="457" t="str">
        <f t="shared" si="236"/>
        <v>20140101AES</v>
      </c>
      <c r="AY329" s="439">
        <f>IF(AV329&lt;=MiscData!$B$23,MiscData!$C$23,IF(AV329&lt;=MiscData!$B$24,MiscData!$C$24,MiscData!$C$25))</f>
        <v>20140101</v>
      </c>
      <c r="AZ329" s="439" t="str">
        <f>VLOOKUP(BA329,MiscData!$V$4:$W$42,2,FALSE)</f>
        <v>KUCME221</v>
      </c>
      <c r="BA329" s="439">
        <f>IF(BA328=MiscData!$V$42,1,BA328+1)</f>
        <v>14</v>
      </c>
      <c r="BB329" s="439" t="str">
        <f>VLOOKUP(AZ329,MiscData!$W$4:$Y$42,3,FALSE)</f>
        <v>AES</v>
      </c>
    </row>
    <row r="330" spans="1:54" hidden="1">
      <c r="A330" s="448">
        <f t="shared" si="198"/>
        <v>303</v>
      </c>
      <c r="B330" s="448" t="str">
        <f t="shared" si="199"/>
        <v>Sep 2015</v>
      </c>
      <c r="C330" s="832" t="s">
        <v>212</v>
      </c>
      <c r="D330" s="449" t="str">
        <f t="shared" si="200"/>
        <v>AES3</v>
      </c>
      <c r="E330" s="449" t="str">
        <f t="shared" si="201"/>
        <v>KUCME223</v>
      </c>
      <c r="F330" s="450">
        <f t="shared" si="202"/>
        <v>0</v>
      </c>
      <c r="G330" s="450">
        <v>0</v>
      </c>
      <c r="H330" s="450">
        <v>0</v>
      </c>
      <c r="I330" s="450">
        <v>0</v>
      </c>
      <c r="J330" s="450">
        <f t="shared" si="203"/>
        <v>0</v>
      </c>
      <c r="K330" s="482">
        <f t="shared" si="204"/>
        <v>0</v>
      </c>
      <c r="L330" s="482">
        <f t="shared" si="205"/>
        <v>0</v>
      </c>
      <c r="M330" s="482">
        <f t="shared" si="206"/>
        <v>0</v>
      </c>
      <c r="N330" s="482">
        <f t="shared" si="207"/>
        <v>0</v>
      </c>
      <c r="O330" s="482">
        <f t="shared" si="208"/>
        <v>0</v>
      </c>
      <c r="P330" s="482">
        <f t="shared" si="209"/>
        <v>0</v>
      </c>
      <c r="Q330" s="451">
        <f t="shared" si="210"/>
        <v>35</v>
      </c>
      <c r="R330" s="452">
        <f t="shared" si="211"/>
        <v>7.4399999999999994E-2</v>
      </c>
      <c r="S330" s="452">
        <v>0</v>
      </c>
      <c r="T330" s="452">
        <v>0</v>
      </c>
      <c r="U330" s="452">
        <f t="shared" si="212"/>
        <v>2.8920000000000001E-2</v>
      </c>
      <c r="V330" s="451">
        <f t="shared" si="213"/>
        <v>0</v>
      </c>
      <c r="W330" s="451">
        <f t="shared" si="214"/>
        <v>0</v>
      </c>
      <c r="X330" s="451">
        <f t="shared" si="215"/>
        <v>0</v>
      </c>
      <c r="Y330" s="453">
        <f t="shared" si="216"/>
        <v>0</v>
      </c>
      <c r="Z330" s="453">
        <f t="shared" si="217"/>
        <v>0</v>
      </c>
      <c r="AA330" s="453">
        <f t="shared" si="218"/>
        <v>0</v>
      </c>
      <c r="AB330" s="453">
        <f t="shared" si="219"/>
        <v>0</v>
      </c>
      <c r="AC330" s="453">
        <f t="shared" si="220"/>
        <v>0</v>
      </c>
      <c r="AD330" s="453">
        <f t="shared" si="221"/>
        <v>0</v>
      </c>
      <c r="AE330" s="493">
        <f t="shared" si="222"/>
        <v>0</v>
      </c>
      <c r="AF330" s="453">
        <f t="shared" si="223"/>
        <v>0</v>
      </c>
      <c r="AG330" s="494">
        <f t="shared" si="224"/>
        <v>1</v>
      </c>
      <c r="AH330" s="454">
        <f t="shared" si="225"/>
        <v>0</v>
      </c>
      <c r="AI330" s="454">
        <f t="shared" si="226"/>
        <v>0</v>
      </c>
      <c r="AJ330" s="454">
        <f t="shared" si="227"/>
        <v>0</v>
      </c>
      <c r="AK330" s="454">
        <f t="shared" si="228"/>
        <v>0</v>
      </c>
      <c r="AL330" s="454">
        <f t="shared" si="229"/>
        <v>0</v>
      </c>
      <c r="AM330" s="454">
        <f t="shared" si="230"/>
        <v>0</v>
      </c>
      <c r="AN330" s="491">
        <f t="shared" si="231"/>
        <v>0</v>
      </c>
      <c r="AO330" s="487">
        <f t="shared" si="232"/>
        <v>0</v>
      </c>
      <c r="AP330" s="495">
        <f t="shared" si="233"/>
        <v>0</v>
      </c>
      <c r="AQ330" s="496">
        <f t="shared" si="234"/>
        <v>0</v>
      </c>
      <c r="AV330" s="459">
        <f>IF(BA330&gt;BA329,AV329,IF(AV329&lt;MiscData!$F$1,EOMONTH(AV329,1),EOMONTH(AV329,-11)))</f>
        <v>42277</v>
      </c>
      <c r="AW330" s="448" t="str">
        <f t="shared" si="235"/>
        <v>20140101KUCME223</v>
      </c>
      <c r="AX330" s="457" t="str">
        <f t="shared" si="236"/>
        <v>20140101AES3</v>
      </c>
      <c r="AY330" s="439">
        <f>IF(AV330&lt;=MiscData!$B$23,MiscData!$C$23,IF(AV330&lt;=MiscData!$B$24,MiscData!$C$24,MiscData!$C$25))</f>
        <v>20140101</v>
      </c>
      <c r="AZ330" s="439" t="str">
        <f>VLOOKUP(BA330,MiscData!$V$4:$W$42,2,FALSE)</f>
        <v>KUCME223</v>
      </c>
      <c r="BA330" s="439">
        <f>IF(BA329=MiscData!$V$42,1,BA329+1)</f>
        <v>15</v>
      </c>
      <c r="BB330" s="439" t="str">
        <f>VLOOKUP(AZ330,MiscData!$W$4:$Y$42,3,FALSE)</f>
        <v>AES3</v>
      </c>
    </row>
    <row r="331" spans="1:54" hidden="1">
      <c r="A331" s="448">
        <f t="shared" si="198"/>
        <v>304</v>
      </c>
      <c r="B331" s="448" t="str">
        <f t="shared" si="199"/>
        <v>Sep 2015</v>
      </c>
      <c r="C331" s="832" t="s">
        <v>212</v>
      </c>
      <c r="D331" s="449" t="str">
        <f t="shared" si="200"/>
        <v>AES3</v>
      </c>
      <c r="E331" s="449" t="str">
        <f t="shared" si="201"/>
        <v>KUCME224</v>
      </c>
      <c r="F331" s="450">
        <f t="shared" si="202"/>
        <v>260</v>
      </c>
      <c r="G331" s="450">
        <v>0</v>
      </c>
      <c r="H331" s="450">
        <v>0</v>
      </c>
      <c r="I331" s="450">
        <v>0</v>
      </c>
      <c r="J331" s="450">
        <f t="shared" si="203"/>
        <v>9652888</v>
      </c>
      <c r="K331" s="482">
        <f t="shared" si="204"/>
        <v>39766</v>
      </c>
      <c r="L331" s="482">
        <f t="shared" si="205"/>
        <v>0</v>
      </c>
      <c r="M331" s="482">
        <f t="shared" si="206"/>
        <v>0</v>
      </c>
      <c r="N331" s="482">
        <f t="shared" si="207"/>
        <v>0</v>
      </c>
      <c r="O331" s="482">
        <f t="shared" si="208"/>
        <v>0</v>
      </c>
      <c r="P331" s="482">
        <f t="shared" si="209"/>
        <v>0</v>
      </c>
      <c r="Q331" s="451">
        <f t="shared" si="210"/>
        <v>35</v>
      </c>
      <c r="R331" s="452">
        <f t="shared" si="211"/>
        <v>7.4399999999999994E-2</v>
      </c>
      <c r="S331" s="452">
        <v>0</v>
      </c>
      <c r="T331" s="452">
        <v>0</v>
      </c>
      <c r="U331" s="452">
        <f t="shared" si="212"/>
        <v>2.8920000000000001E-2</v>
      </c>
      <c r="V331" s="451">
        <f t="shared" si="213"/>
        <v>0</v>
      </c>
      <c r="W331" s="451">
        <f t="shared" si="214"/>
        <v>0</v>
      </c>
      <c r="X331" s="451">
        <f t="shared" si="215"/>
        <v>0</v>
      </c>
      <c r="Y331" s="453">
        <f t="shared" si="216"/>
        <v>9100</v>
      </c>
      <c r="Z331" s="453">
        <f t="shared" si="217"/>
        <v>718174.87</v>
      </c>
      <c r="AA331" s="453">
        <f t="shared" si="218"/>
        <v>0</v>
      </c>
      <c r="AB331" s="453">
        <f t="shared" si="219"/>
        <v>0</v>
      </c>
      <c r="AC331" s="453">
        <f t="shared" si="220"/>
        <v>0</v>
      </c>
      <c r="AD331" s="453">
        <f t="shared" si="221"/>
        <v>0</v>
      </c>
      <c r="AE331" s="493">
        <f t="shared" si="222"/>
        <v>727274.87</v>
      </c>
      <c r="AF331" s="453">
        <f t="shared" si="223"/>
        <v>727274</v>
      </c>
      <c r="AG331" s="494">
        <f t="shared" si="224"/>
        <v>0.99999880375352446</v>
      </c>
      <c r="AH331" s="454">
        <f t="shared" si="225"/>
        <v>4050</v>
      </c>
      <c r="AI331" s="454">
        <f t="shared" si="226"/>
        <v>18230</v>
      </c>
      <c r="AJ331" s="454">
        <f t="shared" si="227"/>
        <v>54981</v>
      </c>
      <c r="AK331" s="454">
        <f t="shared" si="228"/>
        <v>0</v>
      </c>
      <c r="AL331" s="454">
        <f t="shared" si="229"/>
        <v>0</v>
      </c>
      <c r="AM331" s="454">
        <f t="shared" si="230"/>
        <v>804535</v>
      </c>
      <c r="AN331" s="491">
        <f t="shared" si="231"/>
        <v>804535.87</v>
      </c>
      <c r="AO331" s="487">
        <f t="shared" si="232"/>
        <v>-0.86999999999534339</v>
      </c>
      <c r="AP331" s="495">
        <f t="shared" si="233"/>
        <v>279161.52</v>
      </c>
      <c r="AQ331" s="496">
        <f t="shared" si="234"/>
        <v>439013.35</v>
      </c>
      <c r="AV331" s="459">
        <f>IF(BA331&gt;BA330,AV330,IF(AV330&lt;MiscData!$F$1,EOMONTH(AV330,1),EOMONTH(AV330,-11)))</f>
        <v>42277</v>
      </c>
      <c r="AW331" s="448" t="str">
        <f t="shared" si="235"/>
        <v>20140101KUCME224</v>
      </c>
      <c r="AX331" s="457" t="str">
        <f t="shared" si="236"/>
        <v>20140101AES3</v>
      </c>
      <c r="AY331" s="439">
        <f>IF(AV331&lt;=MiscData!$B$23,MiscData!$C$23,IF(AV331&lt;=MiscData!$B$24,MiscData!$C$24,MiscData!$C$25))</f>
        <v>20140101</v>
      </c>
      <c r="AZ331" s="439" t="str">
        <f>VLOOKUP(BA331,MiscData!$V$4:$W$42,2,FALSE)</f>
        <v>KUCME224</v>
      </c>
      <c r="BA331" s="439">
        <f>IF(BA330=MiscData!$V$42,1,BA330+1)</f>
        <v>16</v>
      </c>
      <c r="BB331" s="439" t="str">
        <f>VLOOKUP(AZ331,MiscData!$W$4:$Y$42,3,FALSE)</f>
        <v>AES3</v>
      </c>
    </row>
    <row r="332" spans="1:54" hidden="1">
      <c r="A332" s="448">
        <f t="shared" si="198"/>
        <v>305</v>
      </c>
      <c r="B332" s="448" t="str">
        <f t="shared" si="199"/>
        <v>Sep 2015</v>
      </c>
      <c r="C332" s="832" t="s">
        <v>212</v>
      </c>
      <c r="D332" s="449" t="str">
        <f t="shared" si="200"/>
        <v>AES3</v>
      </c>
      <c r="E332" s="449" t="str">
        <f t="shared" si="201"/>
        <v>KUCME225</v>
      </c>
      <c r="F332" s="450">
        <f t="shared" si="202"/>
        <v>0</v>
      </c>
      <c r="G332" s="450">
        <v>0</v>
      </c>
      <c r="H332" s="450">
        <v>0</v>
      </c>
      <c r="I332" s="450">
        <v>0</v>
      </c>
      <c r="J332" s="450">
        <f t="shared" si="203"/>
        <v>0</v>
      </c>
      <c r="K332" s="482">
        <f t="shared" si="204"/>
        <v>0</v>
      </c>
      <c r="L332" s="482">
        <f t="shared" si="205"/>
        <v>0</v>
      </c>
      <c r="M332" s="482">
        <f t="shared" si="206"/>
        <v>0</v>
      </c>
      <c r="N332" s="482">
        <f t="shared" si="207"/>
        <v>0</v>
      </c>
      <c r="O332" s="482">
        <f t="shared" si="208"/>
        <v>0</v>
      </c>
      <c r="P332" s="482">
        <f t="shared" si="209"/>
        <v>0</v>
      </c>
      <c r="Q332" s="451">
        <f t="shared" si="210"/>
        <v>35</v>
      </c>
      <c r="R332" s="452">
        <f t="shared" si="211"/>
        <v>7.4399999999999994E-2</v>
      </c>
      <c r="S332" s="452">
        <v>0</v>
      </c>
      <c r="T332" s="452">
        <v>0</v>
      </c>
      <c r="U332" s="452">
        <f t="shared" si="212"/>
        <v>2.8920000000000001E-2</v>
      </c>
      <c r="V332" s="451">
        <f t="shared" si="213"/>
        <v>0</v>
      </c>
      <c r="W332" s="451">
        <f t="shared" si="214"/>
        <v>0</v>
      </c>
      <c r="X332" s="451">
        <f t="shared" si="215"/>
        <v>0</v>
      </c>
      <c r="Y332" s="453">
        <f t="shared" si="216"/>
        <v>0</v>
      </c>
      <c r="Z332" s="453">
        <f t="shared" si="217"/>
        <v>0</v>
      </c>
      <c r="AA332" s="453">
        <f t="shared" si="218"/>
        <v>0</v>
      </c>
      <c r="AB332" s="453">
        <f t="shared" si="219"/>
        <v>0</v>
      </c>
      <c r="AC332" s="453">
        <f t="shared" si="220"/>
        <v>0</v>
      </c>
      <c r="AD332" s="453">
        <f t="shared" si="221"/>
        <v>0</v>
      </c>
      <c r="AE332" s="493">
        <f t="shared" si="222"/>
        <v>0</v>
      </c>
      <c r="AF332" s="453">
        <f t="shared" si="223"/>
        <v>0</v>
      </c>
      <c r="AG332" s="494">
        <f t="shared" si="224"/>
        <v>1</v>
      </c>
      <c r="AH332" s="454">
        <f t="shared" si="225"/>
        <v>0</v>
      </c>
      <c r="AI332" s="454">
        <f t="shared" si="226"/>
        <v>0</v>
      </c>
      <c r="AJ332" s="454">
        <f t="shared" si="227"/>
        <v>0</v>
      </c>
      <c r="AK332" s="454">
        <f t="shared" si="228"/>
        <v>0</v>
      </c>
      <c r="AL332" s="454">
        <f t="shared" si="229"/>
        <v>0</v>
      </c>
      <c r="AM332" s="454">
        <f t="shared" si="230"/>
        <v>0</v>
      </c>
      <c r="AN332" s="491">
        <f t="shared" si="231"/>
        <v>0</v>
      </c>
      <c r="AO332" s="487">
        <f t="shared" si="232"/>
        <v>0</v>
      </c>
      <c r="AP332" s="495">
        <f t="shared" si="233"/>
        <v>0</v>
      </c>
      <c r="AQ332" s="496">
        <f t="shared" si="234"/>
        <v>0</v>
      </c>
      <c r="AV332" s="459">
        <f>IF(BA332&gt;BA331,AV331,IF(AV331&lt;MiscData!$F$1,EOMONTH(AV331,1),EOMONTH(AV331,-11)))</f>
        <v>42277</v>
      </c>
      <c r="AW332" s="448" t="str">
        <f t="shared" si="235"/>
        <v>20140101KUCME225</v>
      </c>
      <c r="AX332" s="457" t="str">
        <f t="shared" si="236"/>
        <v>20140101AES3</v>
      </c>
      <c r="AY332" s="439">
        <f>IF(AV332&lt;=MiscData!$B$23,MiscData!$C$23,IF(AV332&lt;=MiscData!$B$24,MiscData!$C$24,MiscData!$C$25))</f>
        <v>20140101</v>
      </c>
      <c r="AZ332" s="439" t="str">
        <f>VLOOKUP(BA332,MiscData!$V$4:$W$42,2,FALSE)</f>
        <v>KUCME225</v>
      </c>
      <c r="BA332" s="439">
        <f>IF(BA331=MiscData!$V$42,1,BA331+1)</f>
        <v>17</v>
      </c>
      <c r="BB332" s="439" t="str">
        <f>VLOOKUP(AZ332,MiscData!$W$4:$Y$42,3,FALSE)</f>
        <v>AES3</v>
      </c>
    </row>
    <row r="333" spans="1:54" hidden="1">
      <c r="A333" s="448">
        <f t="shared" si="198"/>
        <v>306</v>
      </c>
      <c r="B333" s="448" t="str">
        <f t="shared" si="199"/>
        <v>Sep 2015</v>
      </c>
      <c r="C333" s="448" t="s">
        <v>203</v>
      </c>
      <c r="D333" s="449" t="str">
        <f t="shared" si="200"/>
        <v>AES</v>
      </c>
      <c r="E333" s="449" t="str">
        <f t="shared" si="201"/>
        <v>KUCME226</v>
      </c>
      <c r="F333" s="450">
        <f t="shared" si="202"/>
        <v>0</v>
      </c>
      <c r="G333" s="450">
        <v>0</v>
      </c>
      <c r="H333" s="450">
        <v>0</v>
      </c>
      <c r="I333" s="450">
        <v>0</v>
      </c>
      <c r="J333" s="450">
        <f t="shared" si="203"/>
        <v>0</v>
      </c>
      <c r="K333" s="482">
        <f t="shared" si="204"/>
        <v>0</v>
      </c>
      <c r="L333" s="482">
        <f t="shared" si="205"/>
        <v>0</v>
      </c>
      <c r="M333" s="482">
        <f t="shared" si="206"/>
        <v>0</v>
      </c>
      <c r="N333" s="482">
        <f t="shared" si="207"/>
        <v>0</v>
      </c>
      <c r="O333" s="482">
        <f t="shared" si="208"/>
        <v>0</v>
      </c>
      <c r="P333" s="482">
        <f t="shared" si="209"/>
        <v>0</v>
      </c>
      <c r="Q333" s="451">
        <f t="shared" si="210"/>
        <v>20</v>
      </c>
      <c r="R333" s="452">
        <f t="shared" si="211"/>
        <v>7.4399999999999994E-2</v>
      </c>
      <c r="S333" s="452">
        <v>0</v>
      </c>
      <c r="T333" s="452">
        <v>0</v>
      </c>
      <c r="U333" s="452">
        <f t="shared" si="212"/>
        <v>2.8920000000000001E-2</v>
      </c>
      <c r="V333" s="451">
        <f t="shared" si="213"/>
        <v>0</v>
      </c>
      <c r="W333" s="451">
        <f t="shared" si="214"/>
        <v>0</v>
      </c>
      <c r="X333" s="451">
        <f t="shared" si="215"/>
        <v>0</v>
      </c>
      <c r="Y333" s="453">
        <f t="shared" si="216"/>
        <v>0</v>
      </c>
      <c r="Z333" s="453">
        <f t="shared" si="217"/>
        <v>0</v>
      </c>
      <c r="AA333" s="453">
        <f t="shared" si="218"/>
        <v>0</v>
      </c>
      <c r="AB333" s="453">
        <f t="shared" si="219"/>
        <v>0</v>
      </c>
      <c r="AC333" s="453">
        <f t="shared" si="220"/>
        <v>0</v>
      </c>
      <c r="AD333" s="453">
        <f t="shared" si="221"/>
        <v>0</v>
      </c>
      <c r="AE333" s="493">
        <f t="shared" si="222"/>
        <v>0</v>
      </c>
      <c r="AF333" s="453">
        <f t="shared" si="223"/>
        <v>0</v>
      </c>
      <c r="AG333" s="494">
        <f t="shared" si="224"/>
        <v>1</v>
      </c>
      <c r="AH333" s="454">
        <f t="shared" si="225"/>
        <v>0</v>
      </c>
      <c r="AI333" s="454">
        <f t="shared" si="226"/>
        <v>0</v>
      </c>
      <c r="AJ333" s="454">
        <f t="shared" si="227"/>
        <v>0</v>
      </c>
      <c r="AK333" s="454">
        <f t="shared" si="228"/>
        <v>0</v>
      </c>
      <c r="AL333" s="454">
        <f t="shared" si="229"/>
        <v>0</v>
      </c>
      <c r="AM333" s="454">
        <f t="shared" si="230"/>
        <v>0</v>
      </c>
      <c r="AN333" s="491">
        <f t="shared" si="231"/>
        <v>0</v>
      </c>
      <c r="AO333" s="487">
        <f t="shared" si="232"/>
        <v>0</v>
      </c>
      <c r="AP333" s="495">
        <f t="shared" si="233"/>
        <v>0</v>
      </c>
      <c r="AQ333" s="496">
        <f t="shared" si="234"/>
        <v>0</v>
      </c>
      <c r="AV333" s="459">
        <f>IF(BA333&gt;BA332,AV332,IF(AV332&lt;MiscData!$F$1,EOMONTH(AV332,1),EOMONTH(AV332,-11)))</f>
        <v>42277</v>
      </c>
      <c r="AW333" s="448" t="str">
        <f t="shared" si="235"/>
        <v>20140101KUCME226</v>
      </c>
      <c r="AX333" s="457" t="str">
        <f t="shared" si="236"/>
        <v>20140101AES</v>
      </c>
      <c r="AY333" s="439">
        <f>IF(AV333&lt;=MiscData!$B$23,MiscData!$C$23,IF(AV333&lt;=MiscData!$B$24,MiscData!$C$24,MiscData!$C$25))</f>
        <v>20140101</v>
      </c>
      <c r="AZ333" s="439" t="str">
        <f>VLOOKUP(BA333,MiscData!$V$4:$W$42,2,FALSE)</f>
        <v>KUCME226</v>
      </c>
      <c r="BA333" s="439">
        <f>IF(BA332=MiscData!$V$42,1,BA332+1)</f>
        <v>18</v>
      </c>
      <c r="BB333" s="439" t="str">
        <f>VLOOKUP(AZ333,MiscData!$W$4:$Y$42,3,FALSE)</f>
        <v>AES</v>
      </c>
    </row>
    <row r="334" spans="1:54" hidden="1">
      <c r="A334" s="448">
        <f t="shared" si="198"/>
        <v>307</v>
      </c>
      <c r="B334" s="448" t="str">
        <f t="shared" si="199"/>
        <v>Sep 2015</v>
      </c>
      <c r="C334" s="832" t="s">
        <v>212</v>
      </c>
      <c r="D334" s="449" t="str">
        <f t="shared" si="200"/>
        <v>AES3</v>
      </c>
      <c r="E334" s="449" t="str">
        <f t="shared" si="201"/>
        <v>KUCME227</v>
      </c>
      <c r="F334" s="450">
        <f t="shared" si="202"/>
        <v>0</v>
      </c>
      <c r="G334" s="450">
        <v>0</v>
      </c>
      <c r="H334" s="450">
        <v>0</v>
      </c>
      <c r="I334" s="450">
        <v>0</v>
      </c>
      <c r="J334" s="450">
        <f t="shared" si="203"/>
        <v>0</v>
      </c>
      <c r="K334" s="482">
        <f t="shared" si="204"/>
        <v>0</v>
      </c>
      <c r="L334" s="482">
        <f t="shared" si="205"/>
        <v>0</v>
      </c>
      <c r="M334" s="482">
        <f t="shared" si="206"/>
        <v>0</v>
      </c>
      <c r="N334" s="482">
        <f t="shared" si="207"/>
        <v>0</v>
      </c>
      <c r="O334" s="482">
        <f t="shared" si="208"/>
        <v>0</v>
      </c>
      <c r="P334" s="482">
        <f t="shared" si="209"/>
        <v>0</v>
      </c>
      <c r="Q334" s="451">
        <f t="shared" si="210"/>
        <v>35</v>
      </c>
      <c r="R334" s="452">
        <f t="shared" si="211"/>
        <v>7.4399999999999994E-2</v>
      </c>
      <c r="S334" s="452">
        <v>0</v>
      </c>
      <c r="T334" s="452">
        <v>0</v>
      </c>
      <c r="U334" s="452">
        <f t="shared" si="212"/>
        <v>2.8920000000000001E-2</v>
      </c>
      <c r="V334" s="451">
        <f t="shared" si="213"/>
        <v>0</v>
      </c>
      <c r="W334" s="451">
        <f t="shared" si="214"/>
        <v>0</v>
      </c>
      <c r="X334" s="451">
        <f t="shared" si="215"/>
        <v>0</v>
      </c>
      <c r="Y334" s="453">
        <f t="shared" si="216"/>
        <v>0</v>
      </c>
      <c r="Z334" s="453">
        <f t="shared" si="217"/>
        <v>0</v>
      </c>
      <c r="AA334" s="453">
        <f t="shared" si="218"/>
        <v>0</v>
      </c>
      <c r="AB334" s="453">
        <f t="shared" si="219"/>
        <v>0</v>
      </c>
      <c r="AC334" s="453">
        <f t="shared" si="220"/>
        <v>0</v>
      </c>
      <c r="AD334" s="453">
        <f t="shared" si="221"/>
        <v>0</v>
      </c>
      <c r="AE334" s="493">
        <f t="shared" si="222"/>
        <v>0</v>
      </c>
      <c r="AF334" s="453">
        <f t="shared" si="223"/>
        <v>0</v>
      </c>
      <c r="AG334" s="494">
        <f t="shared" si="224"/>
        <v>1</v>
      </c>
      <c r="AH334" s="454">
        <f t="shared" si="225"/>
        <v>0</v>
      </c>
      <c r="AI334" s="454">
        <f t="shared" si="226"/>
        <v>0</v>
      </c>
      <c r="AJ334" s="454">
        <f t="shared" si="227"/>
        <v>0</v>
      </c>
      <c r="AK334" s="454">
        <f t="shared" si="228"/>
        <v>0</v>
      </c>
      <c r="AL334" s="454">
        <f t="shared" si="229"/>
        <v>0</v>
      </c>
      <c r="AM334" s="454">
        <f t="shared" si="230"/>
        <v>0</v>
      </c>
      <c r="AN334" s="491">
        <f t="shared" si="231"/>
        <v>0</v>
      </c>
      <c r="AO334" s="487">
        <f t="shared" si="232"/>
        <v>0</v>
      </c>
      <c r="AP334" s="495">
        <f t="shared" si="233"/>
        <v>0</v>
      </c>
      <c r="AQ334" s="496">
        <f t="shared" si="234"/>
        <v>0</v>
      </c>
      <c r="AV334" s="459">
        <f>IF(BA334&gt;BA333,AV333,IF(AV333&lt;MiscData!$F$1,EOMONTH(AV333,1),EOMONTH(AV333,-11)))</f>
        <v>42277</v>
      </c>
      <c r="AW334" s="448" t="str">
        <f t="shared" si="235"/>
        <v>20140101KUCME227</v>
      </c>
      <c r="AX334" s="457" t="str">
        <f t="shared" si="236"/>
        <v>20140101AES3</v>
      </c>
      <c r="AY334" s="439">
        <f>IF(AV334&lt;=MiscData!$B$23,MiscData!$C$23,IF(AV334&lt;=MiscData!$B$24,MiscData!$C$24,MiscData!$C$25))</f>
        <v>20140101</v>
      </c>
      <c r="AZ334" s="439" t="str">
        <f>VLOOKUP(BA334,MiscData!$V$4:$W$42,2,FALSE)</f>
        <v>KUCME227</v>
      </c>
      <c r="BA334" s="439">
        <f>IF(BA333=MiscData!$V$42,1,BA333+1)</f>
        <v>19</v>
      </c>
      <c r="BB334" s="439" t="str">
        <f>VLOOKUP(AZ334,MiscData!$W$4:$Y$42,3,FALSE)</f>
        <v>AES3</v>
      </c>
    </row>
    <row r="335" spans="1:54" hidden="1">
      <c r="A335" s="448">
        <f t="shared" si="198"/>
        <v>308</v>
      </c>
      <c r="B335" s="448" t="str">
        <f t="shared" si="199"/>
        <v>Sep 2015</v>
      </c>
      <c r="C335" s="448" t="s">
        <v>19</v>
      </c>
      <c r="D335" s="449" t="str">
        <f t="shared" si="200"/>
        <v>LE</v>
      </c>
      <c r="E335" s="449" t="str">
        <f t="shared" si="201"/>
        <v>KUCME290</v>
      </c>
      <c r="F335" s="450">
        <f t="shared" si="202"/>
        <v>2</v>
      </c>
      <c r="G335" s="450">
        <v>0</v>
      </c>
      <c r="H335" s="450">
        <v>0</v>
      </c>
      <c r="I335" s="450">
        <v>0</v>
      </c>
      <c r="J335" s="450">
        <f t="shared" si="203"/>
        <v>12721</v>
      </c>
      <c r="K335" s="482">
        <f t="shared" si="204"/>
        <v>0</v>
      </c>
      <c r="L335" s="482">
        <f t="shared" si="205"/>
        <v>0</v>
      </c>
      <c r="M335" s="482">
        <f t="shared" si="206"/>
        <v>0</v>
      </c>
      <c r="N335" s="482">
        <f t="shared" si="207"/>
        <v>0</v>
      </c>
      <c r="O335" s="482">
        <f t="shared" si="208"/>
        <v>0</v>
      </c>
      <c r="P335" s="482">
        <f t="shared" si="209"/>
        <v>0</v>
      </c>
      <c r="Q335" s="451">
        <f t="shared" si="210"/>
        <v>0</v>
      </c>
      <c r="R335" s="452">
        <f t="shared" si="211"/>
        <v>6.3799999999999996E-2</v>
      </c>
      <c r="S335" s="452">
        <v>0</v>
      </c>
      <c r="T335" s="452">
        <v>0</v>
      </c>
      <c r="U335" s="452">
        <f t="shared" si="212"/>
        <v>2.8920000000000001E-2</v>
      </c>
      <c r="V335" s="451">
        <f t="shared" si="213"/>
        <v>0</v>
      </c>
      <c r="W335" s="451">
        <f t="shared" si="214"/>
        <v>0</v>
      </c>
      <c r="X335" s="451">
        <f t="shared" si="215"/>
        <v>0</v>
      </c>
      <c r="Y335" s="453">
        <f t="shared" si="216"/>
        <v>0</v>
      </c>
      <c r="Z335" s="453">
        <f t="shared" si="217"/>
        <v>811.6</v>
      </c>
      <c r="AA335" s="453">
        <f t="shared" si="218"/>
        <v>0</v>
      </c>
      <c r="AB335" s="453">
        <f t="shared" si="219"/>
        <v>0</v>
      </c>
      <c r="AC335" s="453">
        <f t="shared" si="220"/>
        <v>0</v>
      </c>
      <c r="AD335" s="453">
        <f t="shared" si="221"/>
        <v>0</v>
      </c>
      <c r="AE335" s="493">
        <f t="shared" si="222"/>
        <v>811.6</v>
      </c>
      <c r="AF335" s="453">
        <f t="shared" si="223"/>
        <v>0</v>
      </c>
      <c r="AG335" s="494">
        <f t="shared" si="224"/>
        <v>0</v>
      </c>
      <c r="AH335" s="454">
        <f t="shared" si="225"/>
        <v>0</v>
      </c>
      <c r="AI335" s="454">
        <f t="shared" si="226"/>
        <v>0</v>
      </c>
      <c r="AJ335" s="454">
        <f t="shared" si="227"/>
        <v>0</v>
      </c>
      <c r="AK335" s="454">
        <f t="shared" si="228"/>
        <v>0</v>
      </c>
      <c r="AL335" s="454">
        <f t="shared" si="229"/>
        <v>0</v>
      </c>
      <c r="AM335" s="454">
        <f t="shared" si="230"/>
        <v>0</v>
      </c>
      <c r="AN335" s="491">
        <f t="shared" si="231"/>
        <v>811.6</v>
      </c>
      <c r="AO335" s="487">
        <f t="shared" si="232"/>
        <v>-811.6</v>
      </c>
      <c r="AP335" s="495">
        <f t="shared" si="233"/>
        <v>367.89</v>
      </c>
      <c r="AQ335" s="496">
        <f t="shared" si="234"/>
        <v>443.71000000000004</v>
      </c>
      <c r="AV335" s="459">
        <f>IF(BA335&gt;BA334,AV334,IF(AV334&lt;MiscData!$F$1,EOMONTH(AV334,1),EOMONTH(AV334,-11)))</f>
        <v>42277</v>
      </c>
      <c r="AW335" s="448" t="str">
        <f t="shared" si="235"/>
        <v>20140101KUCME290</v>
      </c>
      <c r="AX335" s="457" t="str">
        <f t="shared" si="236"/>
        <v>20140101LE</v>
      </c>
      <c r="AY335" s="439">
        <f>IF(AV335&lt;=MiscData!$B$23,MiscData!$C$23,IF(AV335&lt;=MiscData!$B$24,MiscData!$C$24,MiscData!$C$25))</f>
        <v>20140101</v>
      </c>
      <c r="AZ335" s="439" t="str">
        <f>VLOOKUP(BA335,MiscData!$V$4:$W$42,2,FALSE)</f>
        <v>KUCME290</v>
      </c>
      <c r="BA335" s="439">
        <f>IF(BA334=MiscData!$V$42,1,BA334+1)</f>
        <v>20</v>
      </c>
      <c r="BB335" s="439" t="str">
        <f>VLOOKUP(AZ335,MiscData!$W$4:$Y$42,3,FALSE)</f>
        <v>LE</v>
      </c>
    </row>
    <row r="336" spans="1:54" hidden="1">
      <c r="A336" s="448">
        <f t="shared" si="198"/>
        <v>309</v>
      </c>
      <c r="B336" s="448" t="str">
        <f t="shared" si="199"/>
        <v>Sep 2015</v>
      </c>
      <c r="C336" s="448" t="s">
        <v>19</v>
      </c>
      <c r="D336" s="449" t="str">
        <f t="shared" si="200"/>
        <v>LE</v>
      </c>
      <c r="E336" s="449" t="str">
        <f t="shared" si="201"/>
        <v>KUCME291</v>
      </c>
      <c r="F336" s="450">
        <f t="shared" si="202"/>
        <v>0</v>
      </c>
      <c r="G336" s="450">
        <v>0</v>
      </c>
      <c r="H336" s="450">
        <v>0</v>
      </c>
      <c r="I336" s="450">
        <v>0</v>
      </c>
      <c r="J336" s="450">
        <f t="shared" si="203"/>
        <v>0</v>
      </c>
      <c r="K336" s="482">
        <f t="shared" si="204"/>
        <v>0</v>
      </c>
      <c r="L336" s="482">
        <f t="shared" si="205"/>
        <v>0</v>
      </c>
      <c r="M336" s="482">
        <f t="shared" si="206"/>
        <v>0</v>
      </c>
      <c r="N336" s="482">
        <f t="shared" si="207"/>
        <v>0</v>
      </c>
      <c r="O336" s="482">
        <f t="shared" si="208"/>
        <v>0</v>
      </c>
      <c r="P336" s="482">
        <f t="shared" si="209"/>
        <v>0</v>
      </c>
      <c r="Q336" s="451">
        <f t="shared" si="210"/>
        <v>0</v>
      </c>
      <c r="R336" s="452">
        <f t="shared" si="211"/>
        <v>6.3799999999999996E-2</v>
      </c>
      <c r="S336" s="452">
        <v>0</v>
      </c>
      <c r="T336" s="452">
        <v>0</v>
      </c>
      <c r="U336" s="452">
        <f t="shared" si="212"/>
        <v>2.8920000000000001E-2</v>
      </c>
      <c r="V336" s="451">
        <f t="shared" si="213"/>
        <v>0</v>
      </c>
      <c r="W336" s="451">
        <f t="shared" si="214"/>
        <v>0</v>
      </c>
      <c r="X336" s="451">
        <f t="shared" si="215"/>
        <v>0</v>
      </c>
      <c r="Y336" s="453">
        <f t="shared" si="216"/>
        <v>0</v>
      </c>
      <c r="Z336" s="453">
        <f t="shared" si="217"/>
        <v>0</v>
      </c>
      <c r="AA336" s="453">
        <f t="shared" si="218"/>
        <v>0</v>
      </c>
      <c r="AB336" s="453">
        <f t="shared" si="219"/>
        <v>0</v>
      </c>
      <c r="AC336" s="453">
        <f t="shared" si="220"/>
        <v>0</v>
      </c>
      <c r="AD336" s="453">
        <f t="shared" si="221"/>
        <v>0</v>
      </c>
      <c r="AE336" s="493">
        <f t="shared" si="222"/>
        <v>0</v>
      </c>
      <c r="AF336" s="453">
        <f t="shared" si="223"/>
        <v>0</v>
      </c>
      <c r="AG336" s="494">
        <f t="shared" si="224"/>
        <v>1</v>
      </c>
      <c r="AH336" s="454">
        <f t="shared" si="225"/>
        <v>0</v>
      </c>
      <c r="AI336" s="454">
        <f t="shared" si="226"/>
        <v>0</v>
      </c>
      <c r="AJ336" s="454">
        <f t="shared" si="227"/>
        <v>0</v>
      </c>
      <c r="AK336" s="454">
        <f t="shared" si="228"/>
        <v>0</v>
      </c>
      <c r="AL336" s="454">
        <f t="shared" si="229"/>
        <v>0</v>
      </c>
      <c r="AM336" s="454">
        <f t="shared" si="230"/>
        <v>0</v>
      </c>
      <c r="AN336" s="491">
        <f t="shared" si="231"/>
        <v>0</v>
      </c>
      <c r="AO336" s="487">
        <f t="shared" si="232"/>
        <v>0</v>
      </c>
      <c r="AP336" s="495">
        <f t="shared" si="233"/>
        <v>0</v>
      </c>
      <c r="AQ336" s="496">
        <f t="shared" si="234"/>
        <v>0</v>
      </c>
      <c r="AV336" s="459">
        <f>IF(BA336&gt;BA335,AV335,IF(AV335&lt;MiscData!$F$1,EOMONTH(AV335,1),EOMONTH(AV335,-11)))</f>
        <v>42277</v>
      </c>
      <c r="AW336" s="448" t="str">
        <f t="shared" si="235"/>
        <v>20140101KUCME291</v>
      </c>
      <c r="AX336" s="457" t="str">
        <f t="shared" si="236"/>
        <v>20140101LE</v>
      </c>
      <c r="AY336" s="439">
        <f>IF(AV336&lt;=MiscData!$B$23,MiscData!$C$23,IF(AV336&lt;=MiscData!$B$24,MiscData!$C$24,MiscData!$C$25))</f>
        <v>20140101</v>
      </c>
      <c r="AZ336" s="439" t="str">
        <f>VLOOKUP(BA336,MiscData!$V$4:$W$42,2,FALSE)</f>
        <v>KUCME291</v>
      </c>
      <c r="BA336" s="439">
        <f>IF(BA335=MiscData!$V$42,1,BA335+1)</f>
        <v>21</v>
      </c>
      <c r="BB336" s="439" t="str">
        <f>VLOOKUP(AZ336,MiscData!$W$4:$Y$42,3,FALSE)</f>
        <v>LE</v>
      </c>
    </row>
    <row r="337" spans="1:54" hidden="1">
      <c r="A337" s="448">
        <f t="shared" si="198"/>
        <v>310</v>
      </c>
      <c r="B337" s="448" t="str">
        <f t="shared" si="199"/>
        <v>Sep 2015</v>
      </c>
      <c r="C337" s="448" t="s">
        <v>20</v>
      </c>
      <c r="D337" s="449" t="str">
        <f t="shared" si="200"/>
        <v>TE</v>
      </c>
      <c r="E337" s="449" t="str">
        <f t="shared" si="201"/>
        <v>KUCME295</v>
      </c>
      <c r="F337" s="450">
        <f t="shared" si="202"/>
        <v>747</v>
      </c>
      <c r="G337" s="450">
        <v>0</v>
      </c>
      <c r="H337" s="450">
        <v>0</v>
      </c>
      <c r="I337" s="450">
        <v>0</v>
      </c>
      <c r="J337" s="450">
        <f t="shared" si="203"/>
        <v>91750</v>
      </c>
      <c r="K337" s="482">
        <f t="shared" si="204"/>
        <v>0</v>
      </c>
      <c r="L337" s="482">
        <f t="shared" si="205"/>
        <v>0</v>
      </c>
      <c r="M337" s="482">
        <f t="shared" si="206"/>
        <v>0</v>
      </c>
      <c r="N337" s="482">
        <f t="shared" si="207"/>
        <v>0</v>
      </c>
      <c r="O337" s="482">
        <f t="shared" si="208"/>
        <v>0</v>
      </c>
      <c r="P337" s="482">
        <f t="shared" si="209"/>
        <v>0</v>
      </c>
      <c r="Q337" s="451">
        <f t="shared" si="210"/>
        <v>3.25</v>
      </c>
      <c r="R337" s="452">
        <f t="shared" si="211"/>
        <v>7.9780000000000004E-2</v>
      </c>
      <c r="S337" s="452">
        <v>0</v>
      </c>
      <c r="T337" s="452">
        <v>0</v>
      </c>
      <c r="U337" s="452">
        <f t="shared" si="212"/>
        <v>2.8920000000000001E-2</v>
      </c>
      <c r="V337" s="451">
        <f t="shared" si="213"/>
        <v>0</v>
      </c>
      <c r="W337" s="451">
        <f t="shared" si="214"/>
        <v>0</v>
      </c>
      <c r="X337" s="451">
        <f t="shared" si="215"/>
        <v>0</v>
      </c>
      <c r="Y337" s="453">
        <f t="shared" si="216"/>
        <v>2427.75</v>
      </c>
      <c r="Z337" s="453">
        <f t="shared" si="217"/>
        <v>7319.82</v>
      </c>
      <c r="AA337" s="453">
        <f t="shared" si="218"/>
        <v>0</v>
      </c>
      <c r="AB337" s="453">
        <f t="shared" si="219"/>
        <v>0</v>
      </c>
      <c r="AC337" s="453">
        <f t="shared" si="220"/>
        <v>0</v>
      </c>
      <c r="AD337" s="453">
        <f t="shared" si="221"/>
        <v>0</v>
      </c>
      <c r="AE337" s="493">
        <f t="shared" si="222"/>
        <v>9747.57</v>
      </c>
      <c r="AF337" s="453">
        <f t="shared" si="223"/>
        <v>0</v>
      </c>
      <c r="AG337" s="494">
        <f t="shared" si="224"/>
        <v>0</v>
      </c>
      <c r="AH337" s="454">
        <f t="shared" si="225"/>
        <v>0</v>
      </c>
      <c r="AI337" s="454">
        <f t="shared" si="226"/>
        <v>0</v>
      </c>
      <c r="AJ337" s="454">
        <f t="shared" si="227"/>
        <v>0</v>
      </c>
      <c r="AK337" s="454">
        <f t="shared" si="228"/>
        <v>0</v>
      </c>
      <c r="AL337" s="454">
        <f t="shared" si="229"/>
        <v>0</v>
      </c>
      <c r="AM337" s="454">
        <f t="shared" si="230"/>
        <v>0</v>
      </c>
      <c r="AN337" s="491">
        <f t="shared" si="231"/>
        <v>9747.57</v>
      </c>
      <c r="AO337" s="487">
        <f t="shared" si="232"/>
        <v>-9747.57</v>
      </c>
      <c r="AP337" s="495">
        <f t="shared" si="233"/>
        <v>2653.41</v>
      </c>
      <c r="AQ337" s="496">
        <f t="shared" si="234"/>
        <v>4666.41</v>
      </c>
      <c r="AV337" s="459">
        <f>IF(BA337&gt;BA336,AV336,IF(AV336&lt;MiscData!$F$1,EOMONTH(AV336,1),EOMONTH(AV336,-11)))</f>
        <v>42277</v>
      </c>
      <c r="AW337" s="448" t="str">
        <f t="shared" si="235"/>
        <v>20140101KUCME295</v>
      </c>
      <c r="AX337" s="457" t="str">
        <f t="shared" si="236"/>
        <v>20140101TE</v>
      </c>
      <c r="AY337" s="439">
        <f>IF(AV337&lt;=MiscData!$B$23,MiscData!$C$23,IF(AV337&lt;=MiscData!$B$24,MiscData!$C$24,MiscData!$C$25))</f>
        <v>20140101</v>
      </c>
      <c r="AZ337" s="439" t="str">
        <f>VLOOKUP(BA337,MiscData!$V$4:$W$42,2,FALSE)</f>
        <v>KUCME295</v>
      </c>
      <c r="BA337" s="439">
        <f>IF(BA336=MiscData!$V$42,1,BA336+1)</f>
        <v>22</v>
      </c>
      <c r="BB337" s="439" t="str">
        <f>VLOOKUP(AZ337,MiscData!$W$4:$Y$42,3,FALSE)</f>
        <v>TE</v>
      </c>
    </row>
    <row r="338" spans="1:54" hidden="1">
      <c r="A338" s="448">
        <f t="shared" si="198"/>
        <v>311</v>
      </c>
      <c r="B338" s="448" t="str">
        <f t="shared" si="199"/>
        <v>Sep 2015</v>
      </c>
      <c r="C338" s="448" t="s">
        <v>20</v>
      </c>
      <c r="D338" s="449" t="str">
        <f t="shared" si="200"/>
        <v>TE</v>
      </c>
      <c r="E338" s="449" t="str">
        <f t="shared" si="201"/>
        <v>KUCME297</v>
      </c>
      <c r="F338" s="450">
        <f t="shared" si="202"/>
        <v>0</v>
      </c>
      <c r="G338" s="450">
        <v>0</v>
      </c>
      <c r="H338" s="450">
        <v>0</v>
      </c>
      <c r="I338" s="450">
        <v>0</v>
      </c>
      <c r="J338" s="450">
        <f t="shared" si="203"/>
        <v>0</v>
      </c>
      <c r="K338" s="482">
        <f t="shared" si="204"/>
        <v>0</v>
      </c>
      <c r="L338" s="482">
        <f t="shared" si="205"/>
        <v>0</v>
      </c>
      <c r="M338" s="482">
        <f t="shared" si="206"/>
        <v>0</v>
      </c>
      <c r="N338" s="482">
        <f t="shared" si="207"/>
        <v>0</v>
      </c>
      <c r="O338" s="482">
        <f t="shared" si="208"/>
        <v>0</v>
      </c>
      <c r="P338" s="482">
        <f t="shared" si="209"/>
        <v>0</v>
      </c>
      <c r="Q338" s="451">
        <f t="shared" si="210"/>
        <v>3.25</v>
      </c>
      <c r="R338" s="452">
        <f t="shared" si="211"/>
        <v>7.9780000000000004E-2</v>
      </c>
      <c r="S338" s="452">
        <v>0</v>
      </c>
      <c r="T338" s="452">
        <v>0</v>
      </c>
      <c r="U338" s="452">
        <f t="shared" si="212"/>
        <v>2.8920000000000001E-2</v>
      </c>
      <c r="V338" s="451">
        <f t="shared" si="213"/>
        <v>0</v>
      </c>
      <c r="W338" s="451">
        <f t="shared" si="214"/>
        <v>0</v>
      </c>
      <c r="X338" s="451">
        <f t="shared" si="215"/>
        <v>0</v>
      </c>
      <c r="Y338" s="453">
        <f t="shared" si="216"/>
        <v>0</v>
      </c>
      <c r="Z338" s="453">
        <f t="shared" si="217"/>
        <v>0</v>
      </c>
      <c r="AA338" s="453">
        <f t="shared" si="218"/>
        <v>0</v>
      </c>
      <c r="AB338" s="453">
        <f t="shared" si="219"/>
        <v>0</v>
      </c>
      <c r="AC338" s="453">
        <f t="shared" si="220"/>
        <v>0</v>
      </c>
      <c r="AD338" s="453">
        <f t="shared" si="221"/>
        <v>0</v>
      </c>
      <c r="AE338" s="493">
        <f t="shared" si="222"/>
        <v>0</v>
      </c>
      <c r="AF338" s="453">
        <f t="shared" si="223"/>
        <v>0</v>
      </c>
      <c r="AG338" s="494">
        <f t="shared" si="224"/>
        <v>1</v>
      </c>
      <c r="AH338" s="454">
        <f t="shared" si="225"/>
        <v>0</v>
      </c>
      <c r="AI338" s="454">
        <f t="shared" si="226"/>
        <v>0</v>
      </c>
      <c r="AJ338" s="454">
        <f t="shared" si="227"/>
        <v>0</v>
      </c>
      <c r="AK338" s="454">
        <f t="shared" si="228"/>
        <v>0</v>
      </c>
      <c r="AL338" s="454">
        <f t="shared" si="229"/>
        <v>0</v>
      </c>
      <c r="AM338" s="454">
        <f t="shared" si="230"/>
        <v>0</v>
      </c>
      <c r="AN338" s="491">
        <f t="shared" si="231"/>
        <v>0</v>
      </c>
      <c r="AO338" s="487">
        <f t="shared" si="232"/>
        <v>0</v>
      </c>
      <c r="AP338" s="495">
        <f t="shared" si="233"/>
        <v>0</v>
      </c>
      <c r="AQ338" s="496">
        <f t="shared" si="234"/>
        <v>0</v>
      </c>
      <c r="AV338" s="459">
        <f>IF(BA338&gt;BA337,AV337,IF(AV337&lt;MiscData!$F$1,EOMONTH(AV337,1),EOMONTH(AV337,-11)))</f>
        <v>42277</v>
      </c>
      <c r="AW338" s="448" t="str">
        <f t="shared" si="235"/>
        <v>20140101KUCME297</v>
      </c>
      <c r="AX338" s="457" t="str">
        <f t="shared" si="236"/>
        <v>20140101TE</v>
      </c>
      <c r="AY338" s="439">
        <f>IF(AV338&lt;=MiscData!$B$23,MiscData!$C$23,IF(AV338&lt;=MiscData!$B$24,MiscData!$C$24,MiscData!$C$25))</f>
        <v>20140101</v>
      </c>
      <c r="AZ338" s="439" t="str">
        <f>VLOOKUP(BA338,MiscData!$V$4:$W$42,2,FALSE)</f>
        <v>KUCME297</v>
      </c>
      <c r="BA338" s="439">
        <f>IF(BA337=MiscData!$V$42,1,BA337+1)</f>
        <v>23</v>
      </c>
      <c r="BB338" s="439" t="str">
        <f>VLOOKUP(AZ338,MiscData!$W$4:$Y$42,3,FALSE)</f>
        <v>TE</v>
      </c>
    </row>
    <row r="339" spans="1:54" hidden="1">
      <c r="A339" s="448">
        <f t="shared" si="198"/>
        <v>312</v>
      </c>
      <c r="B339" s="448" t="str">
        <f t="shared" si="199"/>
        <v>Sep 2015</v>
      </c>
      <c r="C339" s="448" t="s">
        <v>690</v>
      </c>
      <c r="D339" s="449" t="str">
        <f t="shared" si="200"/>
        <v>SQF</v>
      </c>
      <c r="E339" s="449" t="str">
        <f t="shared" si="201"/>
        <v>KUCME705</v>
      </c>
      <c r="F339" s="450">
        <f t="shared" si="202"/>
        <v>0</v>
      </c>
      <c r="G339" s="450">
        <v>0</v>
      </c>
      <c r="H339" s="450">
        <v>0</v>
      </c>
      <c r="I339" s="450">
        <v>0</v>
      </c>
      <c r="J339" s="450">
        <f t="shared" si="203"/>
        <v>0</v>
      </c>
      <c r="K339" s="482">
        <f t="shared" si="204"/>
        <v>0</v>
      </c>
      <c r="L339" s="482">
        <f t="shared" si="205"/>
        <v>0</v>
      </c>
      <c r="M339" s="482">
        <f t="shared" si="206"/>
        <v>0</v>
      </c>
      <c r="N339" s="482">
        <f t="shared" si="207"/>
        <v>0</v>
      </c>
      <c r="O339" s="482">
        <f t="shared" si="208"/>
        <v>0</v>
      </c>
      <c r="P339" s="482">
        <f t="shared" si="209"/>
        <v>0</v>
      </c>
      <c r="Q339" s="451">
        <f t="shared" si="210"/>
        <v>0</v>
      </c>
      <c r="R339" s="452">
        <f t="shared" si="211"/>
        <v>0</v>
      </c>
      <c r="S339" s="452">
        <v>0</v>
      </c>
      <c r="T339" s="452">
        <v>0</v>
      </c>
      <c r="U339" s="452">
        <f t="shared" si="212"/>
        <v>0</v>
      </c>
      <c r="V339" s="451">
        <f t="shared" si="213"/>
        <v>0</v>
      </c>
      <c r="W339" s="451">
        <f t="shared" si="214"/>
        <v>0</v>
      </c>
      <c r="X339" s="451">
        <f t="shared" si="215"/>
        <v>0</v>
      </c>
      <c r="Y339" s="453">
        <f t="shared" si="216"/>
        <v>0</v>
      </c>
      <c r="Z339" s="453">
        <f t="shared" si="217"/>
        <v>0</v>
      </c>
      <c r="AA339" s="453">
        <f t="shared" si="218"/>
        <v>0</v>
      </c>
      <c r="AB339" s="453">
        <f t="shared" si="219"/>
        <v>0</v>
      </c>
      <c r="AC339" s="453">
        <f t="shared" si="220"/>
        <v>0</v>
      </c>
      <c r="AD339" s="453">
        <f t="shared" si="221"/>
        <v>0</v>
      </c>
      <c r="AE339" s="493">
        <f t="shared" si="222"/>
        <v>0</v>
      </c>
      <c r="AF339" s="453">
        <f t="shared" si="223"/>
        <v>0</v>
      </c>
      <c r="AG339" s="494">
        <f t="shared" si="224"/>
        <v>1</v>
      </c>
      <c r="AH339" s="454">
        <f t="shared" si="225"/>
        <v>0</v>
      </c>
      <c r="AI339" s="454">
        <f t="shared" si="226"/>
        <v>0</v>
      </c>
      <c r="AJ339" s="454">
        <f t="shared" si="227"/>
        <v>0</v>
      </c>
      <c r="AK339" s="454">
        <f t="shared" si="228"/>
        <v>0</v>
      </c>
      <c r="AL339" s="454">
        <f t="shared" si="229"/>
        <v>0</v>
      </c>
      <c r="AM339" s="454">
        <f t="shared" si="230"/>
        <v>0</v>
      </c>
      <c r="AN339" s="491">
        <f t="shared" si="231"/>
        <v>0</v>
      </c>
      <c r="AO339" s="487">
        <f t="shared" si="232"/>
        <v>0</v>
      </c>
      <c r="AP339" s="495">
        <f t="shared" si="233"/>
        <v>0</v>
      </c>
      <c r="AQ339" s="496">
        <f t="shared" si="234"/>
        <v>0</v>
      </c>
      <c r="AV339" s="459">
        <f>IF(BA339&gt;BA338,AV338,IF(AV338&lt;MiscData!$F$1,EOMONTH(AV338,1),EOMONTH(AV338,-11)))</f>
        <v>42277</v>
      </c>
      <c r="AW339" s="448" t="str">
        <f t="shared" si="235"/>
        <v>20140101KUCME705</v>
      </c>
      <c r="AX339" s="457" t="str">
        <f t="shared" si="236"/>
        <v>20140101SQF</v>
      </c>
      <c r="AY339" s="439">
        <f>IF(AV339&lt;=MiscData!$B$23,MiscData!$C$23,IF(AV339&lt;=MiscData!$B$24,MiscData!$C$24,MiscData!$C$25))</f>
        <v>20140101</v>
      </c>
      <c r="AZ339" s="439" t="str">
        <f>VLOOKUP(BA339,MiscData!$V$4:$W$42,2,FALSE)</f>
        <v>KUCME705</v>
      </c>
      <c r="BA339" s="439">
        <f>IF(BA338=MiscData!$V$42,1,BA338+1)</f>
        <v>24</v>
      </c>
      <c r="BB339" s="439" t="str">
        <f>VLOOKUP(AZ339,MiscData!$W$4:$Y$42,3,FALSE)</f>
        <v>SQF</v>
      </c>
    </row>
    <row r="340" spans="1:54" hidden="1">
      <c r="A340" s="448">
        <f t="shared" si="198"/>
        <v>313</v>
      </c>
      <c r="B340" s="448" t="str">
        <f t="shared" si="199"/>
        <v>Sep 2015</v>
      </c>
      <c r="C340" s="448" t="s">
        <v>1156</v>
      </c>
      <c r="D340" s="449" t="str">
        <f t="shared" si="200"/>
        <v>LQF</v>
      </c>
      <c r="E340" s="449" t="str">
        <f t="shared" si="201"/>
        <v>KUCME707</v>
      </c>
      <c r="F340" s="450">
        <f t="shared" si="202"/>
        <v>0</v>
      </c>
      <c r="G340" s="450">
        <v>0</v>
      </c>
      <c r="H340" s="450">
        <v>0</v>
      </c>
      <c r="I340" s="450">
        <v>0</v>
      </c>
      <c r="J340" s="450">
        <f t="shared" si="203"/>
        <v>0</v>
      </c>
      <c r="K340" s="482">
        <f t="shared" si="204"/>
        <v>0</v>
      </c>
      <c r="L340" s="482">
        <f t="shared" si="205"/>
        <v>0</v>
      </c>
      <c r="M340" s="482">
        <f t="shared" si="206"/>
        <v>0</v>
      </c>
      <c r="N340" s="482">
        <f t="shared" si="207"/>
        <v>0</v>
      </c>
      <c r="O340" s="482">
        <f t="shared" si="208"/>
        <v>0</v>
      </c>
      <c r="P340" s="482">
        <f t="shared" si="209"/>
        <v>0</v>
      </c>
      <c r="Q340" s="451">
        <f t="shared" si="210"/>
        <v>0</v>
      </c>
      <c r="R340" s="452">
        <f t="shared" si="211"/>
        <v>0</v>
      </c>
      <c r="S340" s="452">
        <v>0</v>
      </c>
      <c r="T340" s="452">
        <v>0</v>
      </c>
      <c r="U340" s="452">
        <f t="shared" si="212"/>
        <v>0</v>
      </c>
      <c r="V340" s="451">
        <f t="shared" si="213"/>
        <v>0</v>
      </c>
      <c r="W340" s="451">
        <f t="shared" si="214"/>
        <v>0</v>
      </c>
      <c r="X340" s="451">
        <f t="shared" si="215"/>
        <v>0</v>
      </c>
      <c r="Y340" s="453">
        <f t="shared" si="216"/>
        <v>0</v>
      </c>
      <c r="Z340" s="453">
        <f t="shared" si="217"/>
        <v>0</v>
      </c>
      <c r="AA340" s="453">
        <f t="shared" si="218"/>
        <v>0</v>
      </c>
      <c r="AB340" s="453">
        <f t="shared" si="219"/>
        <v>0</v>
      </c>
      <c r="AC340" s="453">
        <f t="shared" si="220"/>
        <v>0</v>
      </c>
      <c r="AD340" s="453">
        <f t="shared" si="221"/>
        <v>0</v>
      </c>
      <c r="AE340" s="493">
        <f t="shared" si="222"/>
        <v>0</v>
      </c>
      <c r="AF340" s="453">
        <f t="shared" si="223"/>
        <v>0</v>
      </c>
      <c r="AG340" s="494">
        <f t="shared" si="224"/>
        <v>1</v>
      </c>
      <c r="AH340" s="454">
        <f t="shared" si="225"/>
        <v>0</v>
      </c>
      <c r="AI340" s="454">
        <f t="shared" si="226"/>
        <v>0</v>
      </c>
      <c r="AJ340" s="454">
        <f t="shared" si="227"/>
        <v>0</v>
      </c>
      <c r="AK340" s="454">
        <f t="shared" si="228"/>
        <v>0</v>
      </c>
      <c r="AL340" s="454">
        <f t="shared" si="229"/>
        <v>0</v>
      </c>
      <c r="AM340" s="454">
        <f t="shared" si="230"/>
        <v>0</v>
      </c>
      <c r="AN340" s="491">
        <f t="shared" si="231"/>
        <v>0</v>
      </c>
      <c r="AO340" s="487">
        <f t="shared" si="232"/>
        <v>0</v>
      </c>
      <c r="AP340" s="495">
        <f t="shared" si="233"/>
        <v>0</v>
      </c>
      <c r="AQ340" s="496">
        <f t="shared" si="234"/>
        <v>0</v>
      </c>
      <c r="AV340" s="459">
        <f>IF(BA340&gt;BA339,AV339,IF(AV339&lt;MiscData!$F$1,EOMONTH(AV339,1),EOMONTH(AV339,-11)))</f>
        <v>42277</v>
      </c>
      <c r="AW340" s="448" t="str">
        <f t="shared" si="235"/>
        <v>20140101KUCME707</v>
      </c>
      <c r="AX340" s="457" t="str">
        <f t="shared" si="236"/>
        <v>20140101LQF</v>
      </c>
      <c r="AY340" s="439">
        <f>IF(AV340&lt;=MiscData!$B$23,MiscData!$C$23,IF(AV340&lt;=MiscData!$B$24,MiscData!$C$24,MiscData!$C$25))</f>
        <v>20140101</v>
      </c>
      <c r="AZ340" s="439" t="str">
        <f>VLOOKUP(BA340,MiscData!$V$4:$W$42,2,FALSE)</f>
        <v>KUCME707</v>
      </c>
      <c r="BA340" s="439">
        <f>IF(BA339=MiscData!$V$42,1,BA339+1)</f>
        <v>25</v>
      </c>
      <c r="BB340" s="439" t="str">
        <f>VLOOKUP(AZ340,MiscData!$W$4:$Y$42,3,FALSE)</f>
        <v>LQF</v>
      </c>
    </row>
    <row r="341" spans="1:54">
      <c r="A341" s="499">
        <f t="shared" si="198"/>
        <v>314</v>
      </c>
      <c r="B341" s="448" t="str">
        <f t="shared" si="199"/>
        <v>Sep 2015</v>
      </c>
      <c r="C341" s="448" t="s">
        <v>208</v>
      </c>
      <c r="D341" s="449" t="str">
        <f t="shared" si="200"/>
        <v>GS</v>
      </c>
      <c r="E341" s="449" t="str">
        <f t="shared" si="201"/>
        <v>KUCME710</v>
      </c>
      <c r="F341" s="450">
        <f t="shared" si="202"/>
        <v>0</v>
      </c>
      <c r="G341" s="450">
        <v>0</v>
      </c>
      <c r="H341" s="450">
        <v>0</v>
      </c>
      <c r="I341" s="450">
        <v>0</v>
      </c>
      <c r="J341" s="450">
        <f t="shared" si="203"/>
        <v>0</v>
      </c>
      <c r="K341" s="482">
        <f t="shared" si="204"/>
        <v>0</v>
      </c>
      <c r="L341" s="482">
        <f t="shared" si="205"/>
        <v>0</v>
      </c>
      <c r="M341" s="482">
        <f t="shared" si="206"/>
        <v>0</v>
      </c>
      <c r="N341" s="482">
        <f t="shared" si="207"/>
        <v>0</v>
      </c>
      <c r="O341" s="482">
        <f t="shared" si="208"/>
        <v>0</v>
      </c>
      <c r="P341" s="482">
        <f t="shared" si="209"/>
        <v>0</v>
      </c>
      <c r="Q341" s="451">
        <f t="shared" si="210"/>
        <v>20</v>
      </c>
      <c r="R341" s="452">
        <f t="shared" si="211"/>
        <v>9.2249999999999999E-2</v>
      </c>
      <c r="S341" s="452">
        <v>0</v>
      </c>
      <c r="T341" s="452">
        <v>0</v>
      </c>
      <c r="U341" s="452">
        <f t="shared" si="212"/>
        <v>2.8920000000000001E-2</v>
      </c>
      <c r="V341" s="451">
        <f t="shared" si="213"/>
        <v>0</v>
      </c>
      <c r="W341" s="451">
        <f t="shared" si="214"/>
        <v>0</v>
      </c>
      <c r="X341" s="451">
        <f t="shared" si="215"/>
        <v>0</v>
      </c>
      <c r="Y341" s="453">
        <f t="shared" si="216"/>
        <v>0</v>
      </c>
      <c r="Z341" s="453">
        <f t="shared" si="217"/>
        <v>0</v>
      </c>
      <c r="AA341" s="453">
        <f t="shared" si="218"/>
        <v>0</v>
      </c>
      <c r="AB341" s="453">
        <f t="shared" si="219"/>
        <v>0</v>
      </c>
      <c r="AC341" s="453">
        <f t="shared" si="220"/>
        <v>0</v>
      </c>
      <c r="AD341" s="453">
        <f t="shared" si="221"/>
        <v>0</v>
      </c>
      <c r="AE341" s="493">
        <f t="shared" si="222"/>
        <v>0</v>
      </c>
      <c r="AF341" s="453">
        <f t="shared" si="223"/>
        <v>0</v>
      </c>
      <c r="AG341" s="494">
        <f t="shared" si="224"/>
        <v>1</v>
      </c>
      <c r="AH341" s="454">
        <f t="shared" si="225"/>
        <v>0</v>
      </c>
      <c r="AI341" s="454">
        <f t="shared" si="226"/>
        <v>0</v>
      </c>
      <c r="AJ341" s="454">
        <f t="shared" si="227"/>
        <v>0</v>
      </c>
      <c r="AK341" s="454">
        <f t="shared" si="228"/>
        <v>0</v>
      </c>
      <c r="AL341" s="454">
        <f t="shared" si="229"/>
        <v>0</v>
      </c>
      <c r="AM341" s="454">
        <f t="shared" si="230"/>
        <v>0</v>
      </c>
      <c r="AN341" s="491">
        <f t="shared" si="231"/>
        <v>0</v>
      </c>
      <c r="AO341" s="487">
        <f t="shared" si="232"/>
        <v>0</v>
      </c>
      <c r="AP341" s="495">
        <f t="shared" si="233"/>
        <v>0</v>
      </c>
      <c r="AQ341" s="496">
        <f t="shared" si="234"/>
        <v>0</v>
      </c>
      <c r="AV341" s="459">
        <f>IF(BA341&gt;BA340,AV340,IF(AV340&lt;MiscData!$F$1,EOMONTH(AV340,1),EOMONTH(AV340,-11)))</f>
        <v>42277</v>
      </c>
      <c r="AW341" s="448" t="str">
        <f t="shared" si="235"/>
        <v>20140101KUCME710</v>
      </c>
      <c r="AX341" s="457" t="str">
        <f t="shared" si="236"/>
        <v>20140101GS</v>
      </c>
      <c r="AY341" s="439">
        <f>IF(AV341&lt;=MiscData!$B$23,MiscData!$C$23,IF(AV341&lt;=MiscData!$B$24,MiscData!$C$24,MiscData!$C$25))</f>
        <v>20140101</v>
      </c>
      <c r="AZ341" s="439" t="str">
        <f>VLOOKUP(BA341,MiscData!$V$4:$W$42,2,FALSE)</f>
        <v>KUCME710</v>
      </c>
      <c r="BA341" s="439">
        <f>IF(BA340=MiscData!$V$42,1,BA340+1)</f>
        <v>26</v>
      </c>
      <c r="BB341" s="511" t="str">
        <f>VLOOKUP(AZ341,MiscData!$W$4:$Y$42,3,FALSE)</f>
        <v>GS</v>
      </c>
    </row>
    <row r="342" spans="1:54">
      <c r="A342" s="448">
        <f t="shared" si="198"/>
        <v>315</v>
      </c>
      <c r="B342" s="448" t="str">
        <f t="shared" si="199"/>
        <v>Sep 2015</v>
      </c>
      <c r="C342" s="448" t="s">
        <v>17</v>
      </c>
      <c r="D342" s="449" t="str">
        <f t="shared" si="200"/>
        <v>GS3</v>
      </c>
      <c r="E342" s="449" t="str">
        <f t="shared" si="201"/>
        <v>KUCME713</v>
      </c>
      <c r="F342" s="450">
        <f t="shared" si="202"/>
        <v>0</v>
      </c>
      <c r="G342" s="450">
        <v>0</v>
      </c>
      <c r="H342" s="450">
        <v>0</v>
      </c>
      <c r="I342" s="450">
        <v>0</v>
      </c>
      <c r="J342" s="450">
        <f t="shared" si="203"/>
        <v>0</v>
      </c>
      <c r="K342" s="482">
        <f t="shared" si="204"/>
        <v>0</v>
      </c>
      <c r="L342" s="482">
        <f t="shared" si="205"/>
        <v>0</v>
      </c>
      <c r="M342" s="482">
        <f t="shared" si="206"/>
        <v>0</v>
      </c>
      <c r="N342" s="482">
        <f t="shared" si="207"/>
        <v>0</v>
      </c>
      <c r="O342" s="482">
        <f t="shared" si="208"/>
        <v>0</v>
      </c>
      <c r="P342" s="482">
        <f t="shared" si="209"/>
        <v>0</v>
      </c>
      <c r="Q342" s="451">
        <f t="shared" si="210"/>
        <v>35</v>
      </c>
      <c r="R342" s="452">
        <f t="shared" si="211"/>
        <v>9.2249999999999999E-2</v>
      </c>
      <c r="S342" s="452">
        <v>0</v>
      </c>
      <c r="T342" s="452">
        <v>0</v>
      </c>
      <c r="U342" s="452">
        <f t="shared" si="212"/>
        <v>2.8920000000000001E-2</v>
      </c>
      <c r="V342" s="451">
        <f t="shared" si="213"/>
        <v>0</v>
      </c>
      <c r="W342" s="451">
        <f t="shared" si="214"/>
        <v>0</v>
      </c>
      <c r="X342" s="451">
        <f t="shared" si="215"/>
        <v>0</v>
      </c>
      <c r="Y342" s="453">
        <f t="shared" si="216"/>
        <v>0</v>
      </c>
      <c r="Z342" s="453">
        <f t="shared" si="217"/>
        <v>0</v>
      </c>
      <c r="AA342" s="453">
        <f t="shared" si="218"/>
        <v>0</v>
      </c>
      <c r="AB342" s="453">
        <f t="shared" si="219"/>
        <v>0</v>
      </c>
      <c r="AC342" s="453">
        <f t="shared" si="220"/>
        <v>0</v>
      </c>
      <c r="AD342" s="453">
        <f t="shared" si="221"/>
        <v>0</v>
      </c>
      <c r="AE342" s="493">
        <f t="shared" si="222"/>
        <v>0</v>
      </c>
      <c r="AF342" s="453">
        <f t="shared" si="223"/>
        <v>0</v>
      </c>
      <c r="AG342" s="494">
        <f t="shared" si="224"/>
        <v>1</v>
      </c>
      <c r="AH342" s="454">
        <f t="shared" si="225"/>
        <v>0</v>
      </c>
      <c r="AI342" s="454">
        <f t="shared" si="226"/>
        <v>0</v>
      </c>
      <c r="AJ342" s="454">
        <f t="shared" si="227"/>
        <v>0</v>
      </c>
      <c r="AK342" s="454">
        <f t="shared" si="228"/>
        <v>0</v>
      </c>
      <c r="AL342" s="454">
        <f t="shared" si="229"/>
        <v>0</v>
      </c>
      <c r="AM342" s="454">
        <f t="shared" si="230"/>
        <v>0</v>
      </c>
      <c r="AN342" s="491">
        <f t="shared" si="231"/>
        <v>0</v>
      </c>
      <c r="AO342" s="487">
        <f t="shared" si="232"/>
        <v>0</v>
      </c>
      <c r="AP342" s="495">
        <f t="shared" si="233"/>
        <v>0</v>
      </c>
      <c r="AQ342" s="496">
        <f t="shared" si="234"/>
        <v>0</v>
      </c>
      <c r="AV342" s="459">
        <f>IF(BA342&gt;BA341,AV341,IF(AV341&lt;MiscData!$F$1,EOMONTH(AV341,1),EOMONTH(AV341,-11)))</f>
        <v>42277</v>
      </c>
      <c r="AW342" s="448" t="str">
        <f t="shared" si="235"/>
        <v>20140101KUCME713</v>
      </c>
      <c r="AX342" s="457" t="str">
        <f t="shared" si="236"/>
        <v>20140101GS3</v>
      </c>
      <c r="AY342" s="439">
        <f>IF(AV342&lt;=MiscData!$B$23,MiscData!$C$23,IF(AV342&lt;=MiscData!$B$24,MiscData!$C$24,MiscData!$C$25))</f>
        <v>20140101</v>
      </c>
      <c r="AZ342" s="439" t="str">
        <f>VLOOKUP(BA342,MiscData!$V$4:$W$42,2,FALSE)</f>
        <v>KUCME713</v>
      </c>
      <c r="BA342" s="439">
        <f>IF(BA341=MiscData!$V$42,1,BA341+1)</f>
        <v>27</v>
      </c>
      <c r="BB342" s="439" t="str">
        <f>VLOOKUP(AZ342,MiscData!$W$4:$Y$42,3,FALSE)</f>
        <v>GS3</v>
      </c>
    </row>
    <row r="343" spans="1:54" hidden="1">
      <c r="A343" s="448">
        <f t="shared" si="198"/>
        <v>316</v>
      </c>
      <c r="B343" s="448" t="str">
        <f t="shared" si="199"/>
        <v>Sep 2015</v>
      </c>
      <c r="C343" s="448" t="s">
        <v>1471</v>
      </c>
      <c r="D343" s="449" t="str">
        <f t="shared" si="200"/>
        <v>CSR10</v>
      </c>
      <c r="E343" s="449" t="str">
        <f t="shared" si="201"/>
        <v>KUCSR760</v>
      </c>
      <c r="F343" s="450">
        <f t="shared" si="202"/>
        <v>0</v>
      </c>
      <c r="G343" s="450">
        <v>0</v>
      </c>
      <c r="H343" s="450">
        <v>0</v>
      </c>
      <c r="I343" s="450">
        <v>0</v>
      </c>
      <c r="J343" s="450">
        <f t="shared" si="203"/>
        <v>0</v>
      </c>
      <c r="K343" s="482">
        <f t="shared" si="204"/>
        <v>0</v>
      </c>
      <c r="L343" s="482">
        <f t="shared" si="205"/>
        <v>0</v>
      </c>
      <c r="M343" s="482">
        <f t="shared" si="206"/>
        <v>0</v>
      </c>
      <c r="N343" s="482">
        <f t="shared" si="207"/>
        <v>0</v>
      </c>
      <c r="O343" s="482">
        <f t="shared" si="208"/>
        <v>0</v>
      </c>
      <c r="P343" s="482">
        <f t="shared" si="209"/>
        <v>0</v>
      </c>
      <c r="Q343" s="451">
        <f t="shared" si="210"/>
        <v>0</v>
      </c>
      <c r="R343" s="452">
        <f t="shared" si="211"/>
        <v>0</v>
      </c>
      <c r="S343" s="452">
        <v>0</v>
      </c>
      <c r="T343" s="452">
        <v>0</v>
      </c>
      <c r="U343" s="452">
        <f t="shared" si="212"/>
        <v>0</v>
      </c>
      <c r="V343" s="451">
        <f t="shared" si="213"/>
        <v>-5.4</v>
      </c>
      <c r="W343" s="451">
        <f t="shared" si="214"/>
        <v>0</v>
      </c>
      <c r="X343" s="451">
        <f t="shared" si="215"/>
        <v>0</v>
      </c>
      <c r="Y343" s="453">
        <f t="shared" si="216"/>
        <v>0</v>
      </c>
      <c r="Z343" s="453">
        <f t="shared" si="217"/>
        <v>0</v>
      </c>
      <c r="AA343" s="453">
        <f t="shared" si="218"/>
        <v>0</v>
      </c>
      <c r="AB343" s="453">
        <f t="shared" si="219"/>
        <v>0</v>
      </c>
      <c r="AC343" s="453">
        <f t="shared" si="220"/>
        <v>0</v>
      </c>
      <c r="AD343" s="453">
        <f t="shared" si="221"/>
        <v>0</v>
      </c>
      <c r="AE343" s="493">
        <f t="shared" si="222"/>
        <v>0</v>
      </c>
      <c r="AF343" s="453">
        <f t="shared" si="223"/>
        <v>0</v>
      </c>
      <c r="AG343" s="494">
        <f t="shared" si="224"/>
        <v>1</v>
      </c>
      <c r="AH343" s="454">
        <f t="shared" si="225"/>
        <v>0</v>
      </c>
      <c r="AI343" s="454">
        <f t="shared" si="226"/>
        <v>0</v>
      </c>
      <c r="AJ343" s="454">
        <f t="shared" si="227"/>
        <v>0</v>
      </c>
      <c r="AK343" s="454">
        <f t="shared" si="228"/>
        <v>0</v>
      </c>
      <c r="AL343" s="454">
        <f t="shared" si="229"/>
        <v>-989829</v>
      </c>
      <c r="AM343" s="454">
        <f t="shared" si="230"/>
        <v>-989829</v>
      </c>
      <c r="AN343" s="491">
        <f t="shared" si="231"/>
        <v>-989829</v>
      </c>
      <c r="AO343" s="487">
        <f t="shared" si="232"/>
        <v>0</v>
      </c>
      <c r="AP343" s="495">
        <f t="shared" si="233"/>
        <v>0</v>
      </c>
      <c r="AQ343" s="496">
        <f t="shared" si="234"/>
        <v>0</v>
      </c>
      <c r="AV343" s="459">
        <f>IF(BA343&gt;BA342,AV342,IF(AV342&lt;MiscData!$F$1,EOMONTH(AV342,1),EOMONTH(AV342,-11)))</f>
        <v>42277</v>
      </c>
      <c r="AW343" s="448" t="str">
        <f t="shared" si="235"/>
        <v>20140101KUCSR760</v>
      </c>
      <c r="AX343" s="457" t="str">
        <f t="shared" si="236"/>
        <v>20140101CSR10</v>
      </c>
      <c r="AY343" s="439">
        <f>IF(AV343&lt;=MiscData!$B$23,MiscData!$C$23,IF(AV343&lt;=MiscData!$B$24,MiscData!$C$24,MiscData!$C$25))</f>
        <v>20140101</v>
      </c>
      <c r="AZ343" s="439" t="str">
        <f>VLOOKUP(BA343,MiscData!$V$4:$W$42,2,FALSE)</f>
        <v>KUCSR760</v>
      </c>
      <c r="BA343" s="439">
        <f>IF(BA342=MiscData!$V$42,1,BA342+1)</f>
        <v>28</v>
      </c>
      <c r="BB343" s="439" t="str">
        <f>VLOOKUP(AZ343,MiscData!$W$4:$Y$42,3,FALSE)</f>
        <v>CSR10</v>
      </c>
    </row>
    <row r="344" spans="1:54" hidden="1">
      <c r="A344" s="448">
        <f>A340+1</f>
        <v>314</v>
      </c>
      <c r="B344" s="448" t="str">
        <f t="shared" si="199"/>
        <v>Sep 2015</v>
      </c>
      <c r="C344" s="448" t="s">
        <v>1471</v>
      </c>
      <c r="D344" s="449" t="str">
        <f t="shared" si="200"/>
        <v>CSR10</v>
      </c>
      <c r="E344" s="449" t="str">
        <f t="shared" si="201"/>
        <v>KUCSR761</v>
      </c>
      <c r="F344" s="450">
        <f t="shared" si="202"/>
        <v>0</v>
      </c>
      <c r="G344" s="450">
        <v>0</v>
      </c>
      <c r="H344" s="450">
        <v>0</v>
      </c>
      <c r="I344" s="450">
        <v>0</v>
      </c>
      <c r="J344" s="450">
        <f t="shared" si="203"/>
        <v>0</v>
      </c>
      <c r="K344" s="482">
        <f t="shared" si="204"/>
        <v>0</v>
      </c>
      <c r="L344" s="482">
        <f t="shared" si="205"/>
        <v>0</v>
      </c>
      <c r="M344" s="482">
        <f t="shared" si="206"/>
        <v>0</v>
      </c>
      <c r="N344" s="482">
        <f t="shared" si="207"/>
        <v>0</v>
      </c>
      <c r="O344" s="482">
        <f t="shared" si="208"/>
        <v>0</v>
      </c>
      <c r="P344" s="482">
        <f t="shared" si="209"/>
        <v>0</v>
      </c>
      <c r="Q344" s="451">
        <f t="shared" si="210"/>
        <v>0</v>
      </c>
      <c r="R344" s="452">
        <f t="shared" si="211"/>
        <v>0</v>
      </c>
      <c r="S344" s="452">
        <v>0</v>
      </c>
      <c r="T344" s="452">
        <v>0</v>
      </c>
      <c r="U344" s="452">
        <f t="shared" si="212"/>
        <v>0</v>
      </c>
      <c r="V344" s="451">
        <f t="shared" si="213"/>
        <v>-5.5</v>
      </c>
      <c r="W344" s="451">
        <f t="shared" si="214"/>
        <v>0</v>
      </c>
      <c r="X344" s="451">
        <f t="shared" si="215"/>
        <v>0</v>
      </c>
      <c r="Y344" s="453">
        <f t="shared" si="216"/>
        <v>0</v>
      </c>
      <c r="Z344" s="453">
        <f t="shared" si="217"/>
        <v>0</v>
      </c>
      <c r="AA344" s="453">
        <f t="shared" si="218"/>
        <v>0</v>
      </c>
      <c r="AB344" s="453">
        <f t="shared" si="219"/>
        <v>0</v>
      </c>
      <c r="AC344" s="453">
        <f t="shared" si="220"/>
        <v>0</v>
      </c>
      <c r="AD344" s="453">
        <f t="shared" si="221"/>
        <v>0</v>
      </c>
      <c r="AE344" s="493">
        <f t="shared" si="222"/>
        <v>0</v>
      </c>
      <c r="AF344" s="453">
        <f t="shared" si="223"/>
        <v>0</v>
      </c>
      <c r="AG344" s="494">
        <f t="shared" si="224"/>
        <v>1</v>
      </c>
      <c r="AH344" s="454">
        <f t="shared" si="225"/>
        <v>0</v>
      </c>
      <c r="AI344" s="454">
        <f t="shared" si="226"/>
        <v>0</v>
      </c>
      <c r="AJ344" s="454">
        <f t="shared" si="227"/>
        <v>0</v>
      </c>
      <c r="AK344" s="454">
        <f t="shared" si="228"/>
        <v>0</v>
      </c>
      <c r="AL344" s="454">
        <f t="shared" si="229"/>
        <v>0</v>
      </c>
      <c r="AM344" s="454">
        <f t="shared" si="230"/>
        <v>0</v>
      </c>
      <c r="AN344" s="491">
        <f t="shared" si="231"/>
        <v>0</v>
      </c>
      <c r="AO344" s="487">
        <f t="shared" si="232"/>
        <v>0</v>
      </c>
      <c r="AP344" s="495">
        <f t="shared" si="233"/>
        <v>0</v>
      </c>
      <c r="AQ344" s="496">
        <f t="shared" si="234"/>
        <v>0</v>
      </c>
      <c r="AV344" s="459">
        <f>IF(BA344&gt;BA340,AV340,IF(AV340&lt;MiscData!$F$1,EOMONTH(AV340,1),EOMONTH(AV340,-11)))</f>
        <v>42277</v>
      </c>
      <c r="AW344" s="448" t="str">
        <f t="shared" si="235"/>
        <v>20140101KUCSR761</v>
      </c>
      <c r="AX344" s="457" t="str">
        <f t="shared" si="236"/>
        <v>20140101CSR10</v>
      </c>
      <c r="AY344" s="439">
        <f>IF(AV344&lt;=MiscData!$B$23,MiscData!$C$23,IF(AV344&lt;=MiscData!$B$24,MiscData!$C$24,MiscData!$C$25))</f>
        <v>20140101</v>
      </c>
      <c r="AZ344" s="439" t="str">
        <f>VLOOKUP(BA344,MiscData!$V$4:$W$42,2,FALSE)</f>
        <v>KUCSR761</v>
      </c>
      <c r="BA344" s="439">
        <f>IF(BA343=MiscData!$V$42,1,BA343+1)</f>
        <v>29</v>
      </c>
      <c r="BB344" s="439" t="str">
        <f>VLOOKUP(AZ344,MiscData!$W$4:$Y$42,3,FALSE)</f>
        <v>CSR10</v>
      </c>
    </row>
    <row r="345" spans="1:54" hidden="1">
      <c r="A345" s="499">
        <f>A341+1</f>
        <v>315</v>
      </c>
      <c r="B345" s="448" t="str">
        <f t="shared" si="199"/>
        <v>Sep 2015</v>
      </c>
      <c r="C345" s="448" t="s">
        <v>1472</v>
      </c>
      <c r="D345" s="449" t="str">
        <f t="shared" si="200"/>
        <v>CSR30</v>
      </c>
      <c r="E345" s="449" t="str">
        <f t="shared" si="201"/>
        <v>KUCSR780</v>
      </c>
      <c r="F345" s="450">
        <f t="shared" si="202"/>
        <v>0</v>
      </c>
      <c r="G345" s="450">
        <v>0</v>
      </c>
      <c r="H345" s="450">
        <v>0</v>
      </c>
      <c r="I345" s="450">
        <v>0</v>
      </c>
      <c r="J345" s="450">
        <f t="shared" si="203"/>
        <v>0</v>
      </c>
      <c r="K345" s="482">
        <f t="shared" si="204"/>
        <v>0</v>
      </c>
      <c r="L345" s="482">
        <f t="shared" si="205"/>
        <v>0</v>
      </c>
      <c r="M345" s="482">
        <f t="shared" si="206"/>
        <v>0</v>
      </c>
      <c r="N345" s="482">
        <f t="shared" si="207"/>
        <v>0</v>
      </c>
      <c r="O345" s="482">
        <f t="shared" si="208"/>
        <v>0</v>
      </c>
      <c r="P345" s="482">
        <f t="shared" si="209"/>
        <v>0</v>
      </c>
      <c r="Q345" s="451">
        <f t="shared" si="210"/>
        <v>0</v>
      </c>
      <c r="R345" s="452">
        <f t="shared" si="211"/>
        <v>0</v>
      </c>
      <c r="S345" s="452">
        <v>0</v>
      </c>
      <c r="T345" s="452">
        <v>0</v>
      </c>
      <c r="U345" s="452">
        <f t="shared" si="212"/>
        <v>0</v>
      </c>
      <c r="V345" s="451">
        <f t="shared" si="213"/>
        <v>-4.3</v>
      </c>
      <c r="W345" s="451">
        <f t="shared" si="214"/>
        <v>0</v>
      </c>
      <c r="X345" s="451">
        <f t="shared" si="215"/>
        <v>0</v>
      </c>
      <c r="Y345" s="453">
        <f t="shared" si="216"/>
        <v>0</v>
      </c>
      <c r="Z345" s="453">
        <f t="shared" si="217"/>
        <v>0</v>
      </c>
      <c r="AA345" s="453">
        <f t="shared" si="218"/>
        <v>0</v>
      </c>
      <c r="AB345" s="453">
        <f t="shared" si="219"/>
        <v>0</v>
      </c>
      <c r="AC345" s="453">
        <f t="shared" si="220"/>
        <v>0</v>
      </c>
      <c r="AD345" s="453">
        <f t="shared" si="221"/>
        <v>0</v>
      </c>
      <c r="AE345" s="493">
        <f t="shared" si="222"/>
        <v>0</v>
      </c>
      <c r="AF345" s="453">
        <f t="shared" si="223"/>
        <v>0</v>
      </c>
      <c r="AG345" s="494">
        <f t="shared" si="224"/>
        <v>1</v>
      </c>
      <c r="AH345" s="454">
        <f t="shared" si="225"/>
        <v>0</v>
      </c>
      <c r="AI345" s="454">
        <f t="shared" si="226"/>
        <v>0</v>
      </c>
      <c r="AJ345" s="454">
        <f t="shared" si="227"/>
        <v>0</v>
      </c>
      <c r="AK345" s="454">
        <f t="shared" si="228"/>
        <v>0</v>
      </c>
      <c r="AL345" s="454">
        <f t="shared" si="229"/>
        <v>0</v>
      </c>
      <c r="AM345" s="454">
        <f t="shared" si="230"/>
        <v>0</v>
      </c>
      <c r="AN345" s="491">
        <f t="shared" si="231"/>
        <v>0</v>
      </c>
      <c r="AO345" s="487">
        <f t="shared" si="232"/>
        <v>0</v>
      </c>
      <c r="AP345" s="495">
        <f t="shared" si="233"/>
        <v>0</v>
      </c>
      <c r="AQ345" s="510">
        <f t="shared" si="234"/>
        <v>0</v>
      </c>
      <c r="AV345" s="459">
        <f>IF(BA345&gt;BA341,AV341,IF(AV341&lt;MiscData!$F$1,EOMONTH(AV341,1),EOMONTH(AV341,-11)))</f>
        <v>42277</v>
      </c>
      <c r="AW345" s="448" t="str">
        <f t="shared" si="235"/>
        <v>20140101KUCSR780</v>
      </c>
      <c r="AX345" s="457" t="str">
        <f t="shared" si="236"/>
        <v>20140101CSR30</v>
      </c>
      <c r="AY345" s="439">
        <f>IF(AV345&lt;=MiscData!$B$23,MiscData!$C$23,IF(AV345&lt;=MiscData!$B$24,MiscData!$C$24,MiscData!$C$25))</f>
        <v>20140101</v>
      </c>
      <c r="AZ345" s="439" t="str">
        <f>VLOOKUP(BA345,MiscData!$V$4:$W$42,2,FALSE)</f>
        <v>KUCSR780</v>
      </c>
      <c r="BA345" s="439">
        <f>IF(BA344=MiscData!$V$42,1,BA344+1)</f>
        <v>30</v>
      </c>
      <c r="BB345" s="439" t="str">
        <f>VLOOKUP(AZ345,MiscData!$W$4:$Y$42,3,FALSE)</f>
        <v>CSR30</v>
      </c>
    </row>
    <row r="346" spans="1:54" hidden="1">
      <c r="A346" s="499">
        <f>A342+1</f>
        <v>316</v>
      </c>
      <c r="B346" s="448" t="str">
        <f t="shared" si="199"/>
        <v>Sep 2015</v>
      </c>
      <c r="C346" s="448" t="s">
        <v>1472</v>
      </c>
      <c r="D346" s="449" t="str">
        <f t="shared" si="200"/>
        <v>CSR30</v>
      </c>
      <c r="E346" s="449" t="str">
        <f t="shared" si="201"/>
        <v>KUCSR781</v>
      </c>
      <c r="F346" s="450">
        <f t="shared" si="202"/>
        <v>0</v>
      </c>
      <c r="G346" s="450">
        <v>0</v>
      </c>
      <c r="H346" s="450">
        <v>0</v>
      </c>
      <c r="I346" s="450">
        <v>0</v>
      </c>
      <c r="J346" s="450">
        <f t="shared" si="203"/>
        <v>0</v>
      </c>
      <c r="K346" s="482">
        <f t="shared" si="204"/>
        <v>0</v>
      </c>
      <c r="L346" s="482">
        <f t="shared" si="205"/>
        <v>0</v>
      </c>
      <c r="M346" s="482">
        <f t="shared" si="206"/>
        <v>0</v>
      </c>
      <c r="N346" s="482">
        <f t="shared" si="207"/>
        <v>0</v>
      </c>
      <c r="O346" s="482">
        <f t="shared" si="208"/>
        <v>0</v>
      </c>
      <c r="P346" s="482">
        <f t="shared" si="209"/>
        <v>0</v>
      </c>
      <c r="Q346" s="451">
        <f t="shared" si="210"/>
        <v>0</v>
      </c>
      <c r="R346" s="452">
        <f t="shared" si="211"/>
        <v>0</v>
      </c>
      <c r="S346" s="452">
        <v>0</v>
      </c>
      <c r="T346" s="452">
        <v>0</v>
      </c>
      <c r="U346" s="452">
        <f t="shared" si="212"/>
        <v>0</v>
      </c>
      <c r="V346" s="451">
        <f t="shared" si="213"/>
        <v>-4.4000000000000004</v>
      </c>
      <c r="W346" s="451">
        <f t="shared" si="214"/>
        <v>0</v>
      </c>
      <c r="X346" s="451">
        <f t="shared" si="215"/>
        <v>0</v>
      </c>
      <c r="Y346" s="453">
        <f t="shared" si="216"/>
        <v>0</v>
      </c>
      <c r="Z346" s="453">
        <f t="shared" si="217"/>
        <v>0</v>
      </c>
      <c r="AA346" s="453">
        <f t="shared" si="218"/>
        <v>0</v>
      </c>
      <c r="AB346" s="453">
        <f t="shared" si="219"/>
        <v>0</v>
      </c>
      <c r="AC346" s="453">
        <f t="shared" si="220"/>
        <v>0</v>
      </c>
      <c r="AD346" s="453">
        <f t="shared" si="221"/>
        <v>0</v>
      </c>
      <c r="AE346" s="493">
        <f t="shared" si="222"/>
        <v>0</v>
      </c>
      <c r="AF346" s="453">
        <f t="shared" si="223"/>
        <v>0</v>
      </c>
      <c r="AG346" s="494">
        <f t="shared" si="224"/>
        <v>1</v>
      </c>
      <c r="AH346" s="454">
        <f t="shared" si="225"/>
        <v>0</v>
      </c>
      <c r="AI346" s="454">
        <f t="shared" si="226"/>
        <v>0</v>
      </c>
      <c r="AJ346" s="454">
        <f t="shared" si="227"/>
        <v>0</v>
      </c>
      <c r="AK346" s="454">
        <f t="shared" si="228"/>
        <v>0</v>
      </c>
      <c r="AL346" s="454">
        <f t="shared" si="229"/>
        <v>0</v>
      </c>
      <c r="AM346" s="454">
        <f t="shared" si="230"/>
        <v>0</v>
      </c>
      <c r="AN346" s="491">
        <f t="shared" si="231"/>
        <v>0</v>
      </c>
      <c r="AO346" s="487">
        <f t="shared" si="232"/>
        <v>0</v>
      </c>
      <c r="AP346" s="495">
        <f t="shared" si="233"/>
        <v>0</v>
      </c>
      <c r="AQ346" s="510">
        <f t="shared" si="234"/>
        <v>0</v>
      </c>
      <c r="AV346" s="459">
        <f>IF(BA346&gt;BA342,AV342,IF(AV342&lt;MiscData!$F$1,EOMONTH(AV342,1),EOMONTH(AV342,-11)))</f>
        <v>42277</v>
      </c>
      <c r="AW346" s="448" t="str">
        <f t="shared" si="235"/>
        <v>20140101KUCSR781</v>
      </c>
      <c r="AX346" s="457" t="str">
        <f t="shared" si="236"/>
        <v>20140101CSR30</v>
      </c>
      <c r="AY346" s="439">
        <f>IF(AV346&lt;=MiscData!$B$23,MiscData!$C$23,IF(AV346&lt;=MiscData!$B$24,MiscData!$C$24,MiscData!$C$25))</f>
        <v>20140101</v>
      </c>
      <c r="AZ346" s="439" t="str">
        <f>VLOOKUP(BA346,MiscData!$V$4:$W$42,2,FALSE)</f>
        <v>KUCSR781</v>
      </c>
      <c r="BA346" s="439">
        <f>IF(BA345=MiscData!$V$42,1,BA345+1)</f>
        <v>31</v>
      </c>
      <c r="BB346" s="439" t="str">
        <f>VLOOKUP(AZ346,MiscData!$W$4:$Y$42,3,FALSE)</f>
        <v>CSR30</v>
      </c>
    </row>
    <row r="347" spans="1:54" hidden="1">
      <c r="A347" s="499">
        <f>A343+1</f>
        <v>317</v>
      </c>
      <c r="B347" s="448" t="str">
        <f t="shared" si="199"/>
        <v>Sep 2015</v>
      </c>
      <c r="C347" s="448" t="s">
        <v>1472</v>
      </c>
      <c r="D347" s="449" t="str">
        <f t="shared" si="200"/>
        <v>CSR30</v>
      </c>
      <c r="E347" s="449" t="str">
        <f t="shared" si="201"/>
        <v>KUCSR783</v>
      </c>
      <c r="F347" s="450">
        <f t="shared" si="202"/>
        <v>0</v>
      </c>
      <c r="G347" s="450">
        <v>0</v>
      </c>
      <c r="H347" s="450">
        <v>0</v>
      </c>
      <c r="I347" s="450">
        <v>0</v>
      </c>
      <c r="J347" s="450">
        <f t="shared" si="203"/>
        <v>0</v>
      </c>
      <c r="K347" s="482">
        <f t="shared" si="204"/>
        <v>0</v>
      </c>
      <c r="L347" s="482">
        <f t="shared" si="205"/>
        <v>0</v>
      </c>
      <c r="M347" s="482">
        <f t="shared" si="206"/>
        <v>0</v>
      </c>
      <c r="N347" s="482">
        <f t="shared" si="207"/>
        <v>0</v>
      </c>
      <c r="O347" s="482">
        <f t="shared" si="208"/>
        <v>0</v>
      </c>
      <c r="P347" s="482">
        <f t="shared" si="209"/>
        <v>0</v>
      </c>
      <c r="Q347" s="451">
        <f t="shared" si="210"/>
        <v>0</v>
      </c>
      <c r="R347" s="452">
        <f t="shared" si="211"/>
        <v>0</v>
      </c>
      <c r="S347" s="452">
        <v>0</v>
      </c>
      <c r="T347" s="452">
        <v>0</v>
      </c>
      <c r="U347" s="452">
        <f t="shared" si="212"/>
        <v>0</v>
      </c>
      <c r="V347" s="451">
        <f t="shared" si="213"/>
        <v>-4.4000000000000004</v>
      </c>
      <c r="W347" s="451">
        <f t="shared" si="214"/>
        <v>0</v>
      </c>
      <c r="X347" s="451">
        <f t="shared" si="215"/>
        <v>0</v>
      </c>
      <c r="Y347" s="453">
        <f t="shared" si="216"/>
        <v>0</v>
      </c>
      <c r="Z347" s="453">
        <f t="shared" si="217"/>
        <v>0</v>
      </c>
      <c r="AA347" s="453">
        <f t="shared" si="218"/>
        <v>0</v>
      </c>
      <c r="AB347" s="453">
        <f t="shared" si="219"/>
        <v>0</v>
      </c>
      <c r="AC347" s="453">
        <f t="shared" si="220"/>
        <v>0</v>
      </c>
      <c r="AD347" s="453">
        <f t="shared" si="221"/>
        <v>0</v>
      </c>
      <c r="AE347" s="493">
        <f t="shared" si="222"/>
        <v>0</v>
      </c>
      <c r="AF347" s="453">
        <f t="shared" si="223"/>
        <v>0</v>
      </c>
      <c r="AG347" s="494">
        <f t="shared" si="224"/>
        <v>1</v>
      </c>
      <c r="AH347" s="454">
        <f t="shared" si="225"/>
        <v>0</v>
      </c>
      <c r="AI347" s="454">
        <f t="shared" si="226"/>
        <v>0</v>
      </c>
      <c r="AJ347" s="454">
        <f t="shared" si="227"/>
        <v>0</v>
      </c>
      <c r="AK347" s="454">
        <f t="shared" si="228"/>
        <v>0</v>
      </c>
      <c r="AL347" s="454">
        <f t="shared" si="229"/>
        <v>0</v>
      </c>
      <c r="AM347" s="454">
        <f t="shared" si="230"/>
        <v>0</v>
      </c>
      <c r="AN347" s="491">
        <f t="shared" si="231"/>
        <v>0</v>
      </c>
      <c r="AO347" s="487">
        <f t="shared" si="232"/>
        <v>0</v>
      </c>
      <c r="AP347" s="495">
        <f t="shared" si="233"/>
        <v>0</v>
      </c>
      <c r="AQ347" s="510">
        <f t="shared" si="234"/>
        <v>0</v>
      </c>
      <c r="AV347" s="459">
        <f>IF(BA347&gt;BA343,AV343,IF(AV343&lt;MiscData!$F$1,EOMONTH(AV343,1),EOMONTH(AV343,-11)))</f>
        <v>42277</v>
      </c>
      <c r="AW347" s="448" t="str">
        <f t="shared" si="235"/>
        <v>20140101KUCSR783</v>
      </c>
      <c r="AX347" s="457" t="str">
        <f t="shared" si="236"/>
        <v>20140101CSR30</v>
      </c>
      <c r="AY347" s="439">
        <f>IF(AV347&lt;=MiscData!$B$23,MiscData!$C$23,IF(AV347&lt;=MiscData!$B$24,MiscData!$C$24,MiscData!$C$25))</f>
        <v>20140101</v>
      </c>
      <c r="AZ347" s="439" t="str">
        <f>VLOOKUP(BA347,MiscData!$V$4:$W$42,2,FALSE)</f>
        <v>KUCSR783</v>
      </c>
      <c r="BA347" s="439">
        <f>IF(BA346=MiscData!$V$42,1,BA346+1)</f>
        <v>32</v>
      </c>
      <c r="BB347" s="439" t="str">
        <f>VLOOKUP(AZ347,MiscData!$W$4:$Y$42,3,FALSE)</f>
        <v>CSR30</v>
      </c>
    </row>
    <row r="348" spans="1:54" hidden="1">
      <c r="A348" s="499">
        <f t="shared" ref="A348:A381" si="237">A347+1</f>
        <v>318</v>
      </c>
      <c r="B348" s="448" t="str">
        <f t="shared" si="199"/>
        <v>Sep 2015</v>
      </c>
      <c r="C348" s="832" t="s">
        <v>642</v>
      </c>
      <c r="D348" s="449" t="str">
        <f t="shared" si="200"/>
        <v>FLST</v>
      </c>
      <c r="E348" s="449" t="str">
        <f t="shared" si="201"/>
        <v>KUINE730</v>
      </c>
      <c r="F348" s="450">
        <f t="shared" si="202"/>
        <v>1</v>
      </c>
      <c r="G348" s="450">
        <v>0</v>
      </c>
      <c r="H348" s="450">
        <v>0</v>
      </c>
      <c r="I348" s="450">
        <v>0</v>
      </c>
      <c r="J348" s="450">
        <f t="shared" si="203"/>
        <v>45641536</v>
      </c>
      <c r="K348" s="482">
        <f t="shared" si="204"/>
        <v>185158</v>
      </c>
      <c r="L348" s="482">
        <f t="shared" si="205"/>
        <v>185158</v>
      </c>
      <c r="M348" s="482">
        <f t="shared" si="206"/>
        <v>101388</v>
      </c>
      <c r="N348" s="482">
        <f t="shared" si="207"/>
        <v>0</v>
      </c>
      <c r="O348" s="482">
        <f t="shared" si="208"/>
        <v>0</v>
      </c>
      <c r="P348" s="482">
        <f t="shared" si="209"/>
        <v>0</v>
      </c>
      <c r="Q348" s="451">
        <f t="shared" si="210"/>
        <v>750</v>
      </c>
      <c r="R348" s="452">
        <f t="shared" si="211"/>
        <v>3.261E-2</v>
      </c>
      <c r="S348" s="452">
        <v>0</v>
      </c>
      <c r="T348" s="452">
        <v>0</v>
      </c>
      <c r="U348" s="452">
        <f t="shared" si="212"/>
        <v>2.8920000000000001E-2</v>
      </c>
      <c r="V348" s="451">
        <f t="shared" si="213"/>
        <v>1.05</v>
      </c>
      <c r="W348" s="451">
        <f t="shared" si="214"/>
        <v>1.52</v>
      </c>
      <c r="X348" s="451">
        <f t="shared" si="215"/>
        <v>2.41</v>
      </c>
      <c r="Y348" s="453">
        <f t="shared" si="216"/>
        <v>750</v>
      </c>
      <c r="Z348" s="453">
        <f t="shared" si="217"/>
        <v>1488370.49</v>
      </c>
      <c r="AA348" s="453">
        <f t="shared" si="218"/>
        <v>194415.9</v>
      </c>
      <c r="AB348" s="453">
        <f t="shared" si="219"/>
        <v>281440.15999999997</v>
      </c>
      <c r="AC348" s="453">
        <f t="shared" si="220"/>
        <v>244345.08</v>
      </c>
      <c r="AD348" s="453">
        <f t="shared" si="221"/>
        <v>720201.1399999999</v>
      </c>
      <c r="AE348" s="493">
        <f t="shared" si="222"/>
        <v>2209321.63</v>
      </c>
      <c r="AF348" s="453">
        <f t="shared" si="223"/>
        <v>2209320</v>
      </c>
      <c r="AG348" s="494">
        <f t="shared" si="224"/>
        <v>0.99999926221697299</v>
      </c>
      <c r="AH348" s="454">
        <f t="shared" si="225"/>
        <v>19147</v>
      </c>
      <c r="AI348" s="454">
        <f t="shared" si="226"/>
        <v>0</v>
      </c>
      <c r="AJ348" s="454">
        <f t="shared" si="227"/>
        <v>259965</v>
      </c>
      <c r="AK348" s="454">
        <f t="shared" si="228"/>
        <v>0</v>
      </c>
      <c r="AL348" s="454">
        <f t="shared" si="229"/>
        <v>0</v>
      </c>
      <c r="AM348" s="454">
        <f t="shared" si="230"/>
        <v>2488432</v>
      </c>
      <c r="AN348" s="491">
        <f t="shared" si="231"/>
        <v>2488433.63</v>
      </c>
      <c r="AO348" s="487">
        <f t="shared" si="232"/>
        <v>-1.6299999998882413</v>
      </c>
      <c r="AP348" s="495">
        <f t="shared" si="233"/>
        <v>1319953.22</v>
      </c>
      <c r="AQ348" s="510">
        <f t="shared" si="234"/>
        <v>168417.27000000002</v>
      </c>
      <c r="AV348" s="459">
        <f>IF(BA348&gt;BA347,AV347,IF(AV347&lt;MiscData!$F$1,EOMONTH(AV347,1),EOMONTH(AV347,-11)))</f>
        <v>42277</v>
      </c>
      <c r="AW348" s="448" t="str">
        <f t="shared" si="235"/>
        <v>20140101KUINE730</v>
      </c>
      <c r="AX348" s="457" t="str">
        <f t="shared" si="236"/>
        <v>20140101FLST</v>
      </c>
      <c r="AY348" s="439">
        <f>IF(AV348&lt;=MiscData!$B$23,MiscData!$C$23,IF(AV348&lt;=MiscData!$B$24,MiscData!$C$24,MiscData!$C$25))</f>
        <v>20140101</v>
      </c>
      <c r="AZ348" s="439" t="str">
        <f>VLOOKUP(BA348,MiscData!$V$4:$W$42,2,FALSE)</f>
        <v>KUINE730</v>
      </c>
      <c r="BA348" s="439">
        <f>IF(BA347=MiscData!$V$42,1,BA347+1)</f>
        <v>33</v>
      </c>
      <c r="BB348" s="439" t="str">
        <f>VLOOKUP(AZ348,MiscData!$W$4:$Y$42,3,FALSE)</f>
        <v>FLST</v>
      </c>
    </row>
    <row r="349" spans="1:54" hidden="1">
      <c r="A349" s="448">
        <f t="shared" si="237"/>
        <v>319</v>
      </c>
      <c r="B349" s="448" t="str">
        <f t="shared" si="199"/>
        <v>Sep 2015</v>
      </c>
      <c r="C349" s="448" t="s">
        <v>14</v>
      </c>
      <c r="D349" s="449" t="str">
        <f t="shared" si="200"/>
        <v>RS</v>
      </c>
      <c r="E349" s="449" t="str">
        <f t="shared" si="201"/>
        <v>KURSE010</v>
      </c>
      <c r="F349" s="450">
        <f t="shared" si="202"/>
        <v>429693</v>
      </c>
      <c r="G349" s="450">
        <v>0</v>
      </c>
      <c r="H349" s="450">
        <v>0</v>
      </c>
      <c r="I349" s="450">
        <v>0</v>
      </c>
      <c r="J349" s="450">
        <f t="shared" si="203"/>
        <v>450429077</v>
      </c>
      <c r="K349" s="482">
        <f t="shared" si="204"/>
        <v>0</v>
      </c>
      <c r="L349" s="482">
        <f t="shared" si="205"/>
        <v>0</v>
      </c>
      <c r="M349" s="482">
        <f t="shared" si="206"/>
        <v>0</v>
      </c>
      <c r="N349" s="482">
        <f t="shared" si="207"/>
        <v>0</v>
      </c>
      <c r="O349" s="482">
        <f t="shared" si="208"/>
        <v>0</v>
      </c>
      <c r="P349" s="482">
        <f t="shared" si="209"/>
        <v>0</v>
      </c>
      <c r="Q349" s="451">
        <f t="shared" si="210"/>
        <v>10.75</v>
      </c>
      <c r="R349" s="452">
        <f t="shared" si="211"/>
        <v>7.7439999999999995E-2</v>
      </c>
      <c r="S349" s="452">
        <v>0</v>
      </c>
      <c r="T349" s="452">
        <v>0</v>
      </c>
      <c r="U349" s="452">
        <f t="shared" si="212"/>
        <v>2.8920000000000001E-2</v>
      </c>
      <c r="V349" s="451">
        <f t="shared" si="213"/>
        <v>0</v>
      </c>
      <c r="W349" s="451">
        <f t="shared" si="214"/>
        <v>0</v>
      </c>
      <c r="X349" s="451">
        <f t="shared" si="215"/>
        <v>0</v>
      </c>
      <c r="Y349" s="453">
        <f t="shared" si="216"/>
        <v>4619199.75</v>
      </c>
      <c r="Z349" s="453">
        <f t="shared" si="217"/>
        <v>34881227.719999999</v>
      </c>
      <c r="AA349" s="453">
        <f t="shared" si="218"/>
        <v>0</v>
      </c>
      <c r="AB349" s="453">
        <f t="shared" si="219"/>
        <v>0</v>
      </c>
      <c r="AC349" s="453">
        <f t="shared" si="220"/>
        <v>0</v>
      </c>
      <c r="AD349" s="453">
        <f t="shared" si="221"/>
        <v>0</v>
      </c>
      <c r="AE349" s="493">
        <f t="shared" si="222"/>
        <v>39500427.469999999</v>
      </c>
      <c r="AF349" s="453">
        <f t="shared" si="223"/>
        <v>39501022</v>
      </c>
      <c r="AG349" s="494">
        <f t="shared" si="224"/>
        <v>1.0000150512295203</v>
      </c>
      <c r="AH349" s="454">
        <f t="shared" si="225"/>
        <v>188965</v>
      </c>
      <c r="AI349" s="454">
        <f t="shared" si="226"/>
        <v>850661</v>
      </c>
      <c r="AJ349" s="454">
        <f t="shared" si="227"/>
        <v>2565596</v>
      </c>
      <c r="AK349" s="454">
        <f t="shared" si="228"/>
        <v>0</v>
      </c>
      <c r="AL349" s="454">
        <f t="shared" si="229"/>
        <v>0</v>
      </c>
      <c r="AM349" s="454">
        <f t="shared" si="230"/>
        <v>43106244</v>
      </c>
      <c r="AN349" s="491">
        <f t="shared" si="231"/>
        <v>43105649.469999999</v>
      </c>
      <c r="AO349" s="487">
        <f t="shared" si="232"/>
        <v>594.53000000119209</v>
      </c>
      <c r="AP349" s="495">
        <f t="shared" si="233"/>
        <v>13026408.91</v>
      </c>
      <c r="AQ349" s="496">
        <f t="shared" si="234"/>
        <v>21854818.809999999</v>
      </c>
      <c r="AV349" s="459">
        <f>IF(BA349&gt;BA348,AV348,IF(AV348&lt;MiscData!$F$1,EOMONTH(AV348,1),EOMONTH(AV348,-11)))</f>
        <v>42277</v>
      </c>
      <c r="AW349" s="448" t="str">
        <f t="shared" si="235"/>
        <v>20140101KURSE010</v>
      </c>
      <c r="AX349" s="457" t="str">
        <f t="shared" si="236"/>
        <v>20140101RS</v>
      </c>
      <c r="AY349" s="439">
        <f>IF(AV349&lt;=MiscData!$B$23,MiscData!$C$23,IF(AV349&lt;=MiscData!$B$24,MiscData!$C$24,MiscData!$C$25))</f>
        <v>20140101</v>
      </c>
      <c r="AZ349" s="439" t="str">
        <f>VLOOKUP(BA349,MiscData!$V$4:$W$42,2,FALSE)</f>
        <v>KURSE010</v>
      </c>
      <c r="BA349" s="439">
        <f>IF(BA348=MiscData!$V$42,1,BA348+1)</f>
        <v>34</v>
      </c>
      <c r="BB349" s="439" t="str">
        <f>VLOOKUP(AZ349,MiscData!$W$4:$Y$42,3,FALSE)</f>
        <v>RS</v>
      </c>
    </row>
    <row r="350" spans="1:54" hidden="1">
      <c r="A350" s="448">
        <f t="shared" si="237"/>
        <v>320</v>
      </c>
      <c r="B350" s="448" t="str">
        <f t="shared" si="199"/>
        <v>Sep 2015</v>
      </c>
      <c r="C350" s="448" t="s">
        <v>14</v>
      </c>
      <c r="D350" s="449" t="str">
        <f t="shared" si="200"/>
        <v>RS</v>
      </c>
      <c r="E350" s="449" t="str">
        <f t="shared" si="201"/>
        <v>KURSE020</v>
      </c>
      <c r="F350" s="450">
        <f t="shared" si="202"/>
        <v>0</v>
      </c>
      <c r="G350" s="450">
        <v>0</v>
      </c>
      <c r="H350" s="450">
        <v>0</v>
      </c>
      <c r="I350" s="450">
        <v>0</v>
      </c>
      <c r="J350" s="450">
        <f t="shared" si="203"/>
        <v>0</v>
      </c>
      <c r="K350" s="482">
        <f t="shared" si="204"/>
        <v>0</v>
      </c>
      <c r="L350" s="482">
        <f t="shared" si="205"/>
        <v>0</v>
      </c>
      <c r="M350" s="482">
        <f t="shared" si="206"/>
        <v>0</v>
      </c>
      <c r="N350" s="482">
        <f t="shared" si="207"/>
        <v>0</v>
      </c>
      <c r="O350" s="482">
        <f t="shared" si="208"/>
        <v>0</v>
      </c>
      <c r="P350" s="482">
        <f t="shared" si="209"/>
        <v>0</v>
      </c>
      <c r="Q350" s="451">
        <f t="shared" si="210"/>
        <v>10.75</v>
      </c>
      <c r="R350" s="452">
        <f t="shared" si="211"/>
        <v>7.7439999999999995E-2</v>
      </c>
      <c r="S350" s="452">
        <v>0</v>
      </c>
      <c r="T350" s="452">
        <v>0</v>
      </c>
      <c r="U350" s="452">
        <f t="shared" si="212"/>
        <v>2.8920000000000001E-2</v>
      </c>
      <c r="V350" s="451">
        <f t="shared" si="213"/>
        <v>0</v>
      </c>
      <c r="W350" s="451">
        <f t="shared" si="214"/>
        <v>0</v>
      </c>
      <c r="X350" s="451">
        <f t="shared" si="215"/>
        <v>0</v>
      </c>
      <c r="Y350" s="453">
        <f t="shared" si="216"/>
        <v>0</v>
      </c>
      <c r="Z350" s="453">
        <f t="shared" si="217"/>
        <v>0</v>
      </c>
      <c r="AA350" s="453">
        <f t="shared" si="218"/>
        <v>0</v>
      </c>
      <c r="AB350" s="453">
        <f t="shared" si="219"/>
        <v>0</v>
      </c>
      <c r="AC350" s="453">
        <f t="shared" si="220"/>
        <v>0</v>
      </c>
      <c r="AD350" s="453">
        <f t="shared" si="221"/>
        <v>0</v>
      </c>
      <c r="AE350" s="493">
        <f t="shared" si="222"/>
        <v>0</v>
      </c>
      <c r="AF350" s="453">
        <f t="shared" si="223"/>
        <v>0</v>
      </c>
      <c r="AG350" s="494">
        <f t="shared" si="224"/>
        <v>1</v>
      </c>
      <c r="AH350" s="454">
        <f t="shared" si="225"/>
        <v>0</v>
      </c>
      <c r="AI350" s="454">
        <f t="shared" si="226"/>
        <v>0</v>
      </c>
      <c r="AJ350" s="454">
        <f t="shared" si="227"/>
        <v>0</v>
      </c>
      <c r="AK350" s="454">
        <f t="shared" si="228"/>
        <v>0</v>
      </c>
      <c r="AL350" s="454">
        <f t="shared" si="229"/>
        <v>0</v>
      </c>
      <c r="AM350" s="454">
        <f t="shared" si="230"/>
        <v>0</v>
      </c>
      <c r="AN350" s="491">
        <f t="shared" si="231"/>
        <v>0</v>
      </c>
      <c r="AO350" s="487">
        <f t="shared" si="232"/>
        <v>0</v>
      </c>
      <c r="AP350" s="495">
        <f t="shared" si="233"/>
        <v>0</v>
      </c>
      <c r="AQ350" s="496">
        <f t="shared" si="234"/>
        <v>0</v>
      </c>
      <c r="AV350" s="459">
        <f>IF(BA350&gt;BA349,AV349,IF(AV349&lt;MiscData!$F$1,EOMONTH(AV349,1),EOMONTH(AV349,-11)))</f>
        <v>42277</v>
      </c>
      <c r="AW350" s="448" t="str">
        <f t="shared" si="235"/>
        <v>20140101KURSE020</v>
      </c>
      <c r="AX350" s="457" t="str">
        <f t="shared" si="236"/>
        <v>20140101RS</v>
      </c>
      <c r="AY350" s="439">
        <f>IF(AV350&lt;=MiscData!$B$23,MiscData!$C$23,IF(AV350&lt;=MiscData!$B$24,MiscData!$C$24,MiscData!$C$25))</f>
        <v>20140101</v>
      </c>
      <c r="AZ350" s="439" t="str">
        <f>VLOOKUP(BA350,MiscData!$V$4:$W$42,2,FALSE)</f>
        <v>KURSE020</v>
      </c>
      <c r="BA350" s="439">
        <f>IF(BA349=MiscData!$V$42,1,BA349+1)</f>
        <v>35</v>
      </c>
      <c r="BB350" s="439" t="str">
        <f>VLOOKUP(AZ350,MiscData!$W$4:$Y$42,3,FALSE)</f>
        <v>RS</v>
      </c>
    </row>
    <row r="351" spans="1:54" hidden="1">
      <c r="A351" s="448">
        <f t="shared" si="237"/>
        <v>321</v>
      </c>
      <c r="B351" s="448" t="str">
        <f t="shared" si="199"/>
        <v>Sep 2015</v>
      </c>
      <c r="C351" s="448" t="s">
        <v>14</v>
      </c>
      <c r="D351" s="449" t="str">
        <f t="shared" si="200"/>
        <v>RS</v>
      </c>
      <c r="E351" s="449" t="str">
        <f t="shared" si="201"/>
        <v>KURSE025</v>
      </c>
      <c r="F351" s="450">
        <f t="shared" si="202"/>
        <v>0</v>
      </c>
      <c r="G351" s="450">
        <v>0</v>
      </c>
      <c r="H351" s="450">
        <v>0</v>
      </c>
      <c r="I351" s="450">
        <v>0</v>
      </c>
      <c r="J351" s="450">
        <f t="shared" si="203"/>
        <v>0</v>
      </c>
      <c r="K351" s="482">
        <f t="shared" si="204"/>
        <v>0</v>
      </c>
      <c r="L351" s="482">
        <f t="shared" si="205"/>
        <v>0</v>
      </c>
      <c r="M351" s="482">
        <f t="shared" si="206"/>
        <v>0</v>
      </c>
      <c r="N351" s="482">
        <f t="shared" si="207"/>
        <v>0</v>
      </c>
      <c r="O351" s="482">
        <f t="shared" si="208"/>
        <v>0</v>
      </c>
      <c r="P351" s="482">
        <f t="shared" si="209"/>
        <v>0</v>
      </c>
      <c r="Q351" s="451">
        <f t="shared" si="210"/>
        <v>10.75</v>
      </c>
      <c r="R351" s="452">
        <f t="shared" si="211"/>
        <v>7.7439999999999995E-2</v>
      </c>
      <c r="S351" s="452">
        <v>0</v>
      </c>
      <c r="T351" s="452">
        <v>0</v>
      </c>
      <c r="U351" s="452">
        <f t="shared" si="212"/>
        <v>2.8920000000000001E-2</v>
      </c>
      <c r="V351" s="451">
        <f t="shared" si="213"/>
        <v>0</v>
      </c>
      <c r="W351" s="451">
        <f t="shared" si="214"/>
        <v>0</v>
      </c>
      <c r="X351" s="451">
        <f t="shared" si="215"/>
        <v>0</v>
      </c>
      <c r="Y351" s="453">
        <f t="shared" si="216"/>
        <v>0</v>
      </c>
      <c r="Z351" s="453">
        <f t="shared" si="217"/>
        <v>0</v>
      </c>
      <c r="AA351" s="453">
        <f t="shared" si="218"/>
        <v>0</v>
      </c>
      <c r="AB351" s="453">
        <f t="shared" si="219"/>
        <v>0</v>
      </c>
      <c r="AC351" s="453">
        <f t="shared" si="220"/>
        <v>0</v>
      </c>
      <c r="AD351" s="453">
        <f t="shared" si="221"/>
        <v>0</v>
      </c>
      <c r="AE351" s="493">
        <f t="shared" si="222"/>
        <v>0</v>
      </c>
      <c r="AF351" s="453">
        <f t="shared" si="223"/>
        <v>0</v>
      </c>
      <c r="AG351" s="494">
        <f t="shared" si="224"/>
        <v>1</v>
      </c>
      <c r="AH351" s="454">
        <f t="shared" si="225"/>
        <v>0</v>
      </c>
      <c r="AI351" s="454">
        <f t="shared" si="226"/>
        <v>0</v>
      </c>
      <c r="AJ351" s="454">
        <f t="shared" si="227"/>
        <v>0</v>
      </c>
      <c r="AK351" s="454">
        <f t="shared" si="228"/>
        <v>0</v>
      </c>
      <c r="AL351" s="454">
        <f t="shared" si="229"/>
        <v>0</v>
      </c>
      <c r="AM351" s="454">
        <f t="shared" si="230"/>
        <v>0</v>
      </c>
      <c r="AN351" s="491">
        <f t="shared" si="231"/>
        <v>0</v>
      </c>
      <c r="AO351" s="487">
        <f t="shared" si="232"/>
        <v>0</v>
      </c>
      <c r="AP351" s="495">
        <f t="shared" si="233"/>
        <v>0</v>
      </c>
      <c r="AQ351" s="496">
        <f t="shared" si="234"/>
        <v>0</v>
      </c>
      <c r="AV351" s="459">
        <f>IF(BA351&gt;BA350,AV350,IF(AV350&lt;MiscData!$F$1,EOMONTH(AV350,1),EOMONTH(AV350,-11)))</f>
        <v>42277</v>
      </c>
      <c r="AW351" s="448" t="str">
        <f t="shared" si="235"/>
        <v>20140101KURSE025</v>
      </c>
      <c r="AX351" s="457" t="str">
        <f t="shared" si="236"/>
        <v>20140101RS</v>
      </c>
      <c r="AY351" s="439">
        <f>IF(AV351&lt;=MiscData!$B$23,MiscData!$C$23,IF(AV351&lt;=MiscData!$B$24,MiscData!$C$24,MiscData!$C$25))</f>
        <v>20140101</v>
      </c>
      <c r="AZ351" s="439" t="str">
        <f>VLOOKUP(BA351,MiscData!$V$4:$W$42,2,FALSE)</f>
        <v>KURSE025</v>
      </c>
      <c r="BA351" s="439">
        <f>IF(BA350=MiscData!$V$42,1,BA350+1)</f>
        <v>36</v>
      </c>
      <c r="BB351" s="439" t="str">
        <f>VLOOKUP(AZ351,MiscData!$W$4:$Y$42,3,FALSE)</f>
        <v>RS</v>
      </c>
    </row>
    <row r="352" spans="1:54" hidden="1">
      <c r="A352" s="448">
        <f t="shared" si="237"/>
        <v>322</v>
      </c>
      <c r="B352" s="448" t="str">
        <f t="shared" si="199"/>
        <v>Sep 2015</v>
      </c>
      <c r="C352" s="448" t="s">
        <v>828</v>
      </c>
      <c r="D352" s="449" t="str">
        <f t="shared" si="200"/>
        <v>RSLEV</v>
      </c>
      <c r="E352" s="449" t="str">
        <f t="shared" si="201"/>
        <v>KURSE040</v>
      </c>
      <c r="F352" s="450">
        <f t="shared" si="202"/>
        <v>7</v>
      </c>
      <c r="G352" s="450">
        <f>SUMIFS(_1022_KWH_P1,_1022_RevenueMonth,$B352,_1022_RateCategory,$E352)</f>
        <v>4218</v>
      </c>
      <c r="H352" s="450">
        <f>SUMIFS(_1022_KWH_P2,_1022_RevenueMonth,$B352,_1022_RateCategory,$E352)</f>
        <v>1626</v>
      </c>
      <c r="I352" s="450">
        <f>SUMIFS(_1022_KWH_P3,_1022_RevenueMonth,$B352,_1022_RateCategory,$E352)</f>
        <v>919</v>
      </c>
      <c r="J352" s="450">
        <f t="shared" si="203"/>
        <v>6763</v>
      </c>
      <c r="K352" s="482">
        <f t="shared" si="204"/>
        <v>0</v>
      </c>
      <c r="L352" s="482">
        <f t="shared" si="205"/>
        <v>0</v>
      </c>
      <c r="M352" s="482">
        <f t="shared" si="206"/>
        <v>0</v>
      </c>
      <c r="N352" s="482">
        <f t="shared" si="207"/>
        <v>0</v>
      </c>
      <c r="O352" s="482">
        <f t="shared" si="208"/>
        <v>0</v>
      </c>
      <c r="P352" s="482">
        <f t="shared" si="209"/>
        <v>0</v>
      </c>
      <c r="Q352" s="451">
        <f t="shared" si="210"/>
        <v>10.75</v>
      </c>
      <c r="R352" s="452">
        <f t="shared" si="211"/>
        <v>5.5870000000000003E-2</v>
      </c>
      <c r="S352" s="452">
        <f>SUMIF(_Rates_Tariff_Category,$AW352,_Rates_Energy_P2)</f>
        <v>7.7630000000000005E-2</v>
      </c>
      <c r="T352" s="452">
        <f>SUMIF(_Rates_Tariff_Category,$AW352,_Rates_Energy_P3)</f>
        <v>0.14297000000000001</v>
      </c>
      <c r="U352" s="452">
        <f t="shared" si="212"/>
        <v>2.8920000000000001E-2</v>
      </c>
      <c r="V352" s="451">
        <f t="shared" si="213"/>
        <v>0</v>
      </c>
      <c r="W352" s="451">
        <f t="shared" si="214"/>
        <v>0</v>
      </c>
      <c r="X352" s="451">
        <f t="shared" si="215"/>
        <v>0</v>
      </c>
      <c r="Y352" s="453">
        <f t="shared" si="216"/>
        <v>75.25</v>
      </c>
      <c r="Z352" s="453">
        <f t="shared" si="217"/>
        <v>493.28</v>
      </c>
      <c r="AA352" s="453">
        <f t="shared" si="218"/>
        <v>0</v>
      </c>
      <c r="AB352" s="453">
        <f t="shared" si="219"/>
        <v>0</v>
      </c>
      <c r="AC352" s="453">
        <f t="shared" si="220"/>
        <v>0</v>
      </c>
      <c r="AD352" s="453">
        <f t="shared" si="221"/>
        <v>0</v>
      </c>
      <c r="AE352" s="493">
        <f t="shared" si="222"/>
        <v>568.53</v>
      </c>
      <c r="AF352" s="453">
        <f t="shared" si="223"/>
        <v>0</v>
      </c>
      <c r="AG352" s="494">
        <f t="shared" si="224"/>
        <v>0</v>
      </c>
      <c r="AH352" s="454">
        <f t="shared" si="225"/>
        <v>0</v>
      </c>
      <c r="AI352" s="454">
        <f t="shared" si="226"/>
        <v>0</v>
      </c>
      <c r="AJ352" s="454">
        <f t="shared" si="227"/>
        <v>0</v>
      </c>
      <c r="AK352" s="454">
        <f t="shared" si="228"/>
        <v>0</v>
      </c>
      <c r="AL352" s="454">
        <f t="shared" si="229"/>
        <v>0</v>
      </c>
      <c r="AM352" s="454">
        <f t="shared" si="230"/>
        <v>0</v>
      </c>
      <c r="AN352" s="491">
        <f t="shared" si="231"/>
        <v>568.53</v>
      </c>
      <c r="AO352" s="487">
        <f t="shared" si="232"/>
        <v>-568.53</v>
      </c>
      <c r="AP352" s="495">
        <f t="shared" si="233"/>
        <v>195.59</v>
      </c>
      <c r="AQ352" s="496">
        <f t="shared" si="234"/>
        <v>297.68999999999994</v>
      </c>
      <c r="AV352" s="459">
        <f>IF(BA352&gt;BA351,AV351,IF(AV351&lt;MiscData!$F$1,EOMONTH(AV351,1),EOMONTH(AV351,-11)))</f>
        <v>42277</v>
      </c>
      <c r="AW352" s="448" t="str">
        <f t="shared" si="235"/>
        <v>20140101KURSE040</v>
      </c>
      <c r="AX352" s="457" t="str">
        <f t="shared" si="236"/>
        <v>20140101RSLEV</v>
      </c>
      <c r="AY352" s="439">
        <f>IF(AV352&lt;=MiscData!$B$23,MiscData!$C$23,IF(AV352&lt;=MiscData!$B$24,MiscData!$C$24,MiscData!$C$25))</f>
        <v>20140101</v>
      </c>
      <c r="AZ352" s="439" t="str">
        <f>VLOOKUP(BA352,MiscData!$V$4:$W$42,2,FALSE)</f>
        <v>KURSE040</v>
      </c>
      <c r="BA352" s="439">
        <f>IF(BA351=MiscData!$V$42,1,BA351+1)</f>
        <v>37</v>
      </c>
      <c r="BB352" s="439" t="str">
        <f>VLOOKUP(AZ352,MiscData!$W$4:$Y$42,3,FALSE)</f>
        <v>RSLEV</v>
      </c>
    </row>
    <row r="353" spans="1:55" hidden="1">
      <c r="A353" s="448">
        <f t="shared" si="237"/>
        <v>323</v>
      </c>
      <c r="B353" s="448" t="str">
        <f t="shared" si="199"/>
        <v>Sep 2015</v>
      </c>
      <c r="C353" s="448" t="s">
        <v>14</v>
      </c>
      <c r="D353" s="449" t="str">
        <f t="shared" si="200"/>
        <v>RSVFD</v>
      </c>
      <c r="E353" s="449" t="str">
        <f t="shared" si="201"/>
        <v>KURSE080</v>
      </c>
      <c r="F353" s="450">
        <f t="shared" si="202"/>
        <v>0</v>
      </c>
      <c r="G353" s="450">
        <v>0</v>
      </c>
      <c r="H353" s="450">
        <v>0</v>
      </c>
      <c r="I353" s="450">
        <v>0</v>
      </c>
      <c r="J353" s="450">
        <f t="shared" si="203"/>
        <v>0</v>
      </c>
      <c r="K353" s="482">
        <f t="shared" si="204"/>
        <v>0</v>
      </c>
      <c r="L353" s="482">
        <f t="shared" si="205"/>
        <v>0</v>
      </c>
      <c r="M353" s="482">
        <f t="shared" si="206"/>
        <v>0</v>
      </c>
      <c r="N353" s="482">
        <f t="shared" si="207"/>
        <v>0</v>
      </c>
      <c r="O353" s="482">
        <f t="shared" si="208"/>
        <v>0</v>
      </c>
      <c r="P353" s="482">
        <f t="shared" si="209"/>
        <v>0</v>
      </c>
      <c r="Q353" s="451">
        <f t="shared" si="210"/>
        <v>10.75</v>
      </c>
      <c r="R353" s="452">
        <f t="shared" si="211"/>
        <v>7.7439999999999995E-2</v>
      </c>
      <c r="S353" s="452">
        <v>0</v>
      </c>
      <c r="T353" s="452">
        <v>0</v>
      </c>
      <c r="U353" s="452">
        <f t="shared" si="212"/>
        <v>2.8920000000000001E-2</v>
      </c>
      <c r="V353" s="451">
        <f t="shared" si="213"/>
        <v>0</v>
      </c>
      <c r="W353" s="451">
        <f t="shared" si="214"/>
        <v>0</v>
      </c>
      <c r="X353" s="451">
        <f t="shared" si="215"/>
        <v>0</v>
      </c>
      <c r="Y353" s="453">
        <f t="shared" si="216"/>
        <v>0</v>
      </c>
      <c r="Z353" s="453">
        <f t="shared" si="217"/>
        <v>0</v>
      </c>
      <c r="AA353" s="453">
        <f t="shared" si="218"/>
        <v>0</v>
      </c>
      <c r="AB353" s="453">
        <f t="shared" si="219"/>
        <v>0</v>
      </c>
      <c r="AC353" s="453">
        <f t="shared" si="220"/>
        <v>0</v>
      </c>
      <c r="AD353" s="453">
        <f t="shared" si="221"/>
        <v>0</v>
      </c>
      <c r="AE353" s="493">
        <f t="shared" si="222"/>
        <v>0</v>
      </c>
      <c r="AF353" s="453">
        <f t="shared" si="223"/>
        <v>0</v>
      </c>
      <c r="AG353" s="494">
        <f t="shared" si="224"/>
        <v>1</v>
      </c>
      <c r="AH353" s="454">
        <f t="shared" si="225"/>
        <v>0</v>
      </c>
      <c r="AI353" s="454">
        <f t="shared" si="226"/>
        <v>0</v>
      </c>
      <c r="AJ353" s="454">
        <f t="shared" si="227"/>
        <v>0</v>
      </c>
      <c r="AK353" s="454">
        <f t="shared" si="228"/>
        <v>0</v>
      </c>
      <c r="AL353" s="454">
        <f t="shared" si="229"/>
        <v>0</v>
      </c>
      <c r="AM353" s="454">
        <f t="shared" si="230"/>
        <v>0</v>
      </c>
      <c r="AN353" s="491">
        <f t="shared" si="231"/>
        <v>0</v>
      </c>
      <c r="AO353" s="487">
        <f t="shared" si="232"/>
        <v>0</v>
      </c>
      <c r="AP353" s="495">
        <f t="shared" si="233"/>
        <v>0</v>
      </c>
      <c r="AQ353" s="496">
        <f t="shared" si="234"/>
        <v>0</v>
      </c>
      <c r="AV353" s="459">
        <f>IF(BA353&gt;BA352,AV352,IF(AV352&lt;MiscData!$F$1,EOMONTH(AV352,1),EOMONTH(AV352,-11)))</f>
        <v>42277</v>
      </c>
      <c r="AW353" s="448" t="str">
        <f t="shared" si="235"/>
        <v>20140101KURSE080</v>
      </c>
      <c r="AX353" s="457" t="str">
        <f t="shared" si="236"/>
        <v>20140101RSVFD</v>
      </c>
      <c r="AY353" s="439">
        <f>IF(AV353&lt;=MiscData!$B$23,MiscData!$C$23,IF(AV353&lt;=MiscData!$B$24,MiscData!$C$24,MiscData!$C$25))</f>
        <v>20140101</v>
      </c>
      <c r="AZ353" s="439" t="str">
        <f>VLOOKUP(BA353,MiscData!$V$4:$W$42,2,FALSE)</f>
        <v>KURSE080</v>
      </c>
      <c r="BA353" s="439">
        <f>IF(BA352=MiscData!$V$42,1,BA352+1)</f>
        <v>38</v>
      </c>
      <c r="BB353" s="439" t="str">
        <f>VLOOKUP(AZ353,MiscData!$W$4:$Y$42,3,FALSE)</f>
        <v>RSVFD</v>
      </c>
    </row>
    <row r="354" spans="1:55" s="511" customFormat="1" hidden="1">
      <c r="A354" s="499">
        <f t="shared" si="237"/>
        <v>324</v>
      </c>
      <c r="B354" s="499" t="str">
        <f t="shared" si="199"/>
        <v>Sep 2015</v>
      </c>
      <c r="C354" s="499" t="s">
        <v>14</v>
      </c>
      <c r="D354" s="500" t="str">
        <f t="shared" si="200"/>
        <v>RS</v>
      </c>
      <c r="E354" s="500" t="str">
        <f t="shared" si="201"/>
        <v>KURSE715</v>
      </c>
      <c r="F354" s="501">
        <f t="shared" si="202"/>
        <v>0</v>
      </c>
      <c r="G354" s="501">
        <v>0</v>
      </c>
      <c r="H354" s="501">
        <v>0</v>
      </c>
      <c r="I354" s="501">
        <v>0</v>
      </c>
      <c r="J354" s="501">
        <f t="shared" si="203"/>
        <v>0</v>
      </c>
      <c r="K354" s="502">
        <f t="shared" si="204"/>
        <v>0</v>
      </c>
      <c r="L354" s="502">
        <f t="shared" si="205"/>
        <v>0</v>
      </c>
      <c r="M354" s="502">
        <f t="shared" si="206"/>
        <v>0</v>
      </c>
      <c r="N354" s="502">
        <f t="shared" si="207"/>
        <v>0</v>
      </c>
      <c r="O354" s="502">
        <f t="shared" si="208"/>
        <v>0</v>
      </c>
      <c r="P354" s="502">
        <f t="shared" si="209"/>
        <v>0</v>
      </c>
      <c r="Q354" s="503">
        <f t="shared" si="210"/>
        <v>10.75</v>
      </c>
      <c r="R354" s="504">
        <f t="shared" si="211"/>
        <v>7.7439999999999995E-2</v>
      </c>
      <c r="S354" s="504">
        <v>0</v>
      </c>
      <c r="T354" s="504">
        <v>0</v>
      </c>
      <c r="U354" s="504">
        <f t="shared" si="212"/>
        <v>2.8920000000000001E-2</v>
      </c>
      <c r="V354" s="503">
        <f t="shared" si="213"/>
        <v>0</v>
      </c>
      <c r="W354" s="503">
        <f t="shared" si="214"/>
        <v>0</v>
      </c>
      <c r="X354" s="503">
        <f t="shared" si="215"/>
        <v>0</v>
      </c>
      <c r="Y354" s="453">
        <f t="shared" si="216"/>
        <v>0</v>
      </c>
      <c r="Z354" s="453">
        <f t="shared" si="217"/>
        <v>0</v>
      </c>
      <c r="AA354" s="453">
        <f t="shared" si="218"/>
        <v>0</v>
      </c>
      <c r="AB354" s="453">
        <f t="shared" si="219"/>
        <v>0</v>
      </c>
      <c r="AC354" s="453">
        <f t="shared" si="220"/>
        <v>0</v>
      </c>
      <c r="AD354" s="493">
        <f t="shared" si="221"/>
        <v>0</v>
      </c>
      <c r="AE354" s="493">
        <f t="shared" si="222"/>
        <v>0</v>
      </c>
      <c r="AF354" s="493">
        <f t="shared" si="223"/>
        <v>0</v>
      </c>
      <c r="AG354" s="494">
        <f t="shared" si="224"/>
        <v>1</v>
      </c>
      <c r="AH354" s="505">
        <f t="shared" si="225"/>
        <v>0</v>
      </c>
      <c r="AI354" s="505">
        <f t="shared" si="226"/>
        <v>0</v>
      </c>
      <c r="AJ354" s="505">
        <f t="shared" si="227"/>
        <v>0</v>
      </c>
      <c r="AK354" s="505">
        <f t="shared" si="228"/>
        <v>0</v>
      </c>
      <c r="AL354" s="505">
        <f t="shared" si="229"/>
        <v>0</v>
      </c>
      <c r="AM354" s="505">
        <f t="shared" si="230"/>
        <v>0</v>
      </c>
      <c r="AN354" s="506">
        <f t="shared" si="231"/>
        <v>0</v>
      </c>
      <c r="AO354" s="507">
        <f t="shared" si="232"/>
        <v>0</v>
      </c>
      <c r="AP354" s="508">
        <f t="shared" si="233"/>
        <v>0</v>
      </c>
      <c r="AQ354" s="510">
        <f t="shared" si="234"/>
        <v>0</v>
      </c>
      <c r="AV354" s="512">
        <f>IF(BA354&gt;BA353,AV353,IF(AV353&lt;MiscData!$F$1,EOMONTH(AV353,1),EOMONTH(AV353,-11)))</f>
        <v>42277</v>
      </c>
      <c r="AW354" s="499" t="str">
        <f t="shared" si="235"/>
        <v>20140101KURSE715</v>
      </c>
      <c r="AX354" s="513" t="str">
        <f t="shared" si="236"/>
        <v>20140101RS</v>
      </c>
      <c r="AY354" s="511">
        <f>IF(AV354&lt;=MiscData!$B$23,MiscData!$C$23,IF(AV354&lt;=MiscData!$B$24,MiscData!$C$24,MiscData!$C$25))</f>
        <v>20140101</v>
      </c>
      <c r="AZ354" s="511" t="str">
        <f>VLOOKUP(BA354,MiscData!$V$4:$W$42,2,FALSE)</f>
        <v>KURSE715</v>
      </c>
      <c r="BA354" s="439">
        <f>IF(BA353=MiscData!$V$42,1,BA353+1)</f>
        <v>39</v>
      </c>
      <c r="BB354" s="511" t="str">
        <f>VLOOKUP(AZ354,MiscData!$W$4:$Y$42,3,FALSE)</f>
        <v>RS</v>
      </c>
      <c r="BC354" s="777"/>
    </row>
    <row r="355" spans="1:55" hidden="1">
      <c r="A355" s="448">
        <f t="shared" si="237"/>
        <v>325</v>
      </c>
      <c r="B355" s="448" t="str">
        <f t="shared" si="199"/>
        <v>Oct 2015</v>
      </c>
      <c r="C355" s="448" t="s">
        <v>18</v>
      </c>
      <c r="D355" s="449" t="str">
        <f t="shared" si="200"/>
        <v>RTS</v>
      </c>
      <c r="E355" s="449" t="str">
        <f t="shared" si="201"/>
        <v>KUCIE550</v>
      </c>
      <c r="F355" s="450">
        <f t="shared" si="202"/>
        <v>32</v>
      </c>
      <c r="G355" s="450">
        <v>0</v>
      </c>
      <c r="H355" s="450">
        <v>0</v>
      </c>
      <c r="I355" s="450">
        <v>0</v>
      </c>
      <c r="J355" s="450">
        <f t="shared" si="203"/>
        <v>127037667</v>
      </c>
      <c r="K355" s="482">
        <f t="shared" si="204"/>
        <v>295166</v>
      </c>
      <c r="L355" s="482">
        <f t="shared" si="205"/>
        <v>285093</v>
      </c>
      <c r="M355" s="482">
        <f t="shared" si="206"/>
        <v>280936</v>
      </c>
      <c r="N355" s="482">
        <f t="shared" si="207"/>
        <v>0</v>
      </c>
      <c r="O355" s="482">
        <f t="shared" si="208"/>
        <v>0</v>
      </c>
      <c r="P355" s="482">
        <f t="shared" si="209"/>
        <v>0</v>
      </c>
      <c r="Q355" s="451">
        <f t="shared" si="210"/>
        <v>750</v>
      </c>
      <c r="R355" s="452">
        <f t="shared" si="211"/>
        <v>3.6339999999999997E-2</v>
      </c>
      <c r="S355" s="452">
        <v>0</v>
      </c>
      <c r="T355" s="452">
        <v>0</v>
      </c>
      <c r="U355" s="452">
        <f t="shared" si="212"/>
        <v>2.8920000000000001E-2</v>
      </c>
      <c r="V355" s="451">
        <f t="shared" si="213"/>
        <v>1.34</v>
      </c>
      <c r="W355" s="451">
        <f t="shared" si="214"/>
        <v>2.87</v>
      </c>
      <c r="X355" s="451">
        <f t="shared" si="215"/>
        <v>3.97</v>
      </c>
      <c r="Y355" s="453">
        <f t="shared" si="216"/>
        <v>24000</v>
      </c>
      <c r="Z355" s="453">
        <f t="shared" si="217"/>
        <v>4616548.82</v>
      </c>
      <c r="AA355" s="453">
        <f t="shared" si="218"/>
        <v>395522.44</v>
      </c>
      <c r="AB355" s="453">
        <f t="shared" si="219"/>
        <v>818216.91</v>
      </c>
      <c r="AC355" s="453">
        <f t="shared" si="220"/>
        <v>1115315.92</v>
      </c>
      <c r="AD355" s="453">
        <f t="shared" si="221"/>
        <v>2329055.27</v>
      </c>
      <c r="AE355" s="493">
        <f t="shared" si="222"/>
        <v>6969604.0900000008</v>
      </c>
      <c r="AF355" s="453">
        <f t="shared" si="223"/>
        <v>6969607</v>
      </c>
      <c r="AG355" s="494">
        <f t="shared" si="224"/>
        <v>1.0000004175273032</v>
      </c>
      <c r="AH355" s="454">
        <f t="shared" si="225"/>
        <v>301122</v>
      </c>
      <c r="AI355" s="454">
        <f t="shared" si="226"/>
        <v>0</v>
      </c>
      <c r="AJ355" s="454">
        <f t="shared" si="227"/>
        <v>793636</v>
      </c>
      <c r="AK355" s="454">
        <f t="shared" si="228"/>
        <v>0</v>
      </c>
      <c r="AL355" s="454">
        <f t="shared" si="229"/>
        <v>0</v>
      </c>
      <c r="AM355" s="454">
        <f t="shared" si="230"/>
        <v>8064365</v>
      </c>
      <c r="AN355" s="491">
        <f t="shared" si="231"/>
        <v>8064362.0900000008</v>
      </c>
      <c r="AO355" s="487">
        <f t="shared" si="232"/>
        <v>2.909999999217689</v>
      </c>
      <c r="AP355" s="495">
        <f t="shared" si="233"/>
        <v>3673929.33</v>
      </c>
      <c r="AQ355" s="496">
        <f t="shared" si="234"/>
        <v>942619.49000000022</v>
      </c>
      <c r="AV355" s="459">
        <f>IF(BA355&gt;BA354,AV354,IF(AV354&lt;MiscData!$F$1,EOMONTH(AV354,1),EOMONTH(AV354,-11)))</f>
        <v>42308</v>
      </c>
      <c r="AW355" s="448" t="str">
        <f t="shared" si="235"/>
        <v>20140101KUCIE550</v>
      </c>
      <c r="AX355" s="457" t="str">
        <f t="shared" si="236"/>
        <v>20140101RTS</v>
      </c>
      <c r="AY355" s="439">
        <f>IF(AV355&lt;=MiscData!$B$23,MiscData!$C$23,IF(AV355&lt;=MiscData!$B$24,MiscData!$C$24,MiscData!$C$25))</f>
        <v>20140101</v>
      </c>
      <c r="AZ355" s="439" t="str">
        <f>VLOOKUP(BA355,MiscData!$V$4:$W$42,2,FALSE)</f>
        <v>KUCIE550</v>
      </c>
      <c r="BA355" s="439">
        <f>IF(BA354=MiscData!$V$42,1,BA354+1)</f>
        <v>1</v>
      </c>
      <c r="BB355" s="439" t="str">
        <f>VLOOKUP(AZ355,MiscData!$W$4:$Y$42,3,FALSE)</f>
        <v>RTS</v>
      </c>
    </row>
    <row r="356" spans="1:55" hidden="1">
      <c r="A356" s="448">
        <f t="shared" si="237"/>
        <v>326</v>
      </c>
      <c r="B356" s="448" t="str">
        <f t="shared" si="199"/>
        <v>Oct 2015</v>
      </c>
      <c r="C356" s="448" t="s">
        <v>25</v>
      </c>
      <c r="D356" s="449" t="str">
        <f t="shared" si="200"/>
        <v>PSP</v>
      </c>
      <c r="E356" s="449" t="str">
        <f t="shared" si="201"/>
        <v>KUCIE561</v>
      </c>
      <c r="F356" s="450">
        <f t="shared" si="202"/>
        <v>199</v>
      </c>
      <c r="G356" s="450">
        <v>0</v>
      </c>
      <c r="H356" s="450">
        <v>0</v>
      </c>
      <c r="I356" s="450">
        <v>0</v>
      </c>
      <c r="J356" s="450">
        <f t="shared" si="203"/>
        <v>18810649</v>
      </c>
      <c r="K356" s="482">
        <f t="shared" si="204"/>
        <v>0</v>
      </c>
      <c r="L356" s="482">
        <f t="shared" si="205"/>
        <v>55989</v>
      </c>
      <c r="M356" s="482">
        <f t="shared" si="206"/>
        <v>0</v>
      </c>
      <c r="N356" s="482">
        <f t="shared" si="207"/>
        <v>0</v>
      </c>
      <c r="O356" s="482">
        <f t="shared" si="208"/>
        <v>0</v>
      </c>
      <c r="P356" s="482">
        <f t="shared" si="209"/>
        <v>0</v>
      </c>
      <c r="Q356" s="451">
        <f t="shared" si="210"/>
        <v>170</v>
      </c>
      <c r="R356" s="452">
        <f t="shared" si="211"/>
        <v>3.5619999999999999E-2</v>
      </c>
      <c r="S356" s="452">
        <v>0</v>
      </c>
      <c r="T356" s="452">
        <v>0</v>
      </c>
      <c r="U356" s="452">
        <f t="shared" si="212"/>
        <v>2.8920000000000001E-2</v>
      </c>
      <c r="V356" s="451">
        <f t="shared" si="213"/>
        <v>0</v>
      </c>
      <c r="W356" s="451">
        <f t="shared" si="214"/>
        <v>13.18</v>
      </c>
      <c r="X356" s="451">
        <f t="shared" si="215"/>
        <v>15.28</v>
      </c>
      <c r="Y356" s="453">
        <f t="shared" si="216"/>
        <v>33830</v>
      </c>
      <c r="Z356" s="453">
        <f t="shared" si="217"/>
        <v>670035.31999999995</v>
      </c>
      <c r="AA356" s="453">
        <f t="shared" si="218"/>
        <v>0</v>
      </c>
      <c r="AB356" s="453">
        <f t="shared" si="219"/>
        <v>737935.02</v>
      </c>
      <c r="AC356" s="453">
        <f t="shared" si="220"/>
        <v>0</v>
      </c>
      <c r="AD356" s="453">
        <f t="shared" si="221"/>
        <v>737935.02</v>
      </c>
      <c r="AE356" s="493">
        <f t="shared" si="222"/>
        <v>1441800.3399999999</v>
      </c>
      <c r="AF356" s="453">
        <f t="shared" si="223"/>
        <v>1441801</v>
      </c>
      <c r="AG356" s="494">
        <f t="shared" si="224"/>
        <v>1.000000457761024</v>
      </c>
      <c r="AH356" s="454">
        <f t="shared" si="225"/>
        <v>44588</v>
      </c>
      <c r="AI356" s="454">
        <f t="shared" si="226"/>
        <v>35817</v>
      </c>
      <c r="AJ356" s="454">
        <f t="shared" si="227"/>
        <v>117515</v>
      </c>
      <c r="AK356" s="454">
        <f t="shared" si="228"/>
        <v>0</v>
      </c>
      <c r="AL356" s="454">
        <f t="shared" si="229"/>
        <v>0</v>
      </c>
      <c r="AM356" s="454">
        <f t="shared" si="230"/>
        <v>1639721</v>
      </c>
      <c r="AN356" s="491">
        <f t="shared" si="231"/>
        <v>1639720.3399999999</v>
      </c>
      <c r="AO356" s="487">
        <f t="shared" si="232"/>
        <v>0.66000000014901161</v>
      </c>
      <c r="AP356" s="495">
        <f t="shared" si="233"/>
        <v>544003.97</v>
      </c>
      <c r="AQ356" s="496">
        <f t="shared" si="234"/>
        <v>126031.34999999998</v>
      </c>
      <c r="AV356" s="459">
        <f>IF(BA356&gt;BA355,AV355,IF(AV355&lt;MiscData!$F$1,EOMONTH(AV355,1),EOMONTH(AV355,-11)))</f>
        <v>42308</v>
      </c>
      <c r="AW356" s="448" t="str">
        <f t="shared" si="235"/>
        <v>20140101KUCIE561</v>
      </c>
      <c r="AX356" s="457" t="str">
        <f t="shared" si="236"/>
        <v>20140101PSP</v>
      </c>
      <c r="AY356" s="439">
        <f>IF(AV356&lt;=MiscData!$B$23,MiscData!$C$23,IF(AV356&lt;=MiscData!$B$24,MiscData!$C$24,MiscData!$C$25))</f>
        <v>20140101</v>
      </c>
      <c r="AZ356" s="439" t="str">
        <f>VLOOKUP(BA356,MiscData!$V$4:$W$42,2,FALSE)</f>
        <v>KUCIE561</v>
      </c>
      <c r="BA356" s="439">
        <f>IF(BA355=MiscData!$V$42,1,BA355+1)</f>
        <v>2</v>
      </c>
      <c r="BB356" s="439" t="str">
        <f>VLOOKUP(AZ356,MiscData!$W$4:$Y$42,3,FALSE)</f>
        <v>PSP</v>
      </c>
    </row>
    <row r="357" spans="1:55" hidden="1">
      <c r="A357" s="448">
        <f t="shared" si="237"/>
        <v>327</v>
      </c>
      <c r="B357" s="448" t="str">
        <f t="shared" si="199"/>
        <v>Oct 2015</v>
      </c>
      <c r="C357" s="448" t="s">
        <v>24</v>
      </c>
      <c r="D357" s="449" t="str">
        <f t="shared" si="200"/>
        <v>PSS</v>
      </c>
      <c r="E357" s="449" t="str">
        <f t="shared" si="201"/>
        <v>KUCIE562</v>
      </c>
      <c r="F357" s="450">
        <f t="shared" si="202"/>
        <v>4680</v>
      </c>
      <c r="G357" s="450">
        <v>0</v>
      </c>
      <c r="H357" s="450">
        <v>0</v>
      </c>
      <c r="I357" s="450">
        <v>0</v>
      </c>
      <c r="J357" s="450">
        <f t="shared" si="203"/>
        <v>169242348</v>
      </c>
      <c r="K357" s="482">
        <f t="shared" si="204"/>
        <v>0</v>
      </c>
      <c r="L357" s="482">
        <f t="shared" si="205"/>
        <v>565093</v>
      </c>
      <c r="M357" s="482">
        <f t="shared" si="206"/>
        <v>0</v>
      </c>
      <c r="N357" s="482">
        <f t="shared" si="207"/>
        <v>0</v>
      </c>
      <c r="O357" s="482">
        <f t="shared" si="208"/>
        <v>0</v>
      </c>
      <c r="P357" s="482">
        <f t="shared" si="209"/>
        <v>0</v>
      </c>
      <c r="Q357" s="451">
        <f t="shared" si="210"/>
        <v>90</v>
      </c>
      <c r="R357" s="452">
        <f t="shared" si="211"/>
        <v>3.5640000000000005E-2</v>
      </c>
      <c r="S357" s="452">
        <v>0</v>
      </c>
      <c r="T357" s="452">
        <v>0</v>
      </c>
      <c r="U357" s="452">
        <f t="shared" si="212"/>
        <v>2.8920000000000001E-2</v>
      </c>
      <c r="V357" s="451">
        <f t="shared" si="213"/>
        <v>0</v>
      </c>
      <c r="W357" s="451">
        <f t="shared" si="214"/>
        <v>13.2</v>
      </c>
      <c r="X357" s="451">
        <f t="shared" si="215"/>
        <v>15.3</v>
      </c>
      <c r="Y357" s="453">
        <f t="shared" si="216"/>
        <v>421200</v>
      </c>
      <c r="Z357" s="453">
        <f t="shared" si="217"/>
        <v>6031797.2800000003</v>
      </c>
      <c r="AA357" s="453">
        <f t="shared" si="218"/>
        <v>0</v>
      </c>
      <c r="AB357" s="453">
        <f t="shared" si="219"/>
        <v>7459227.5999999996</v>
      </c>
      <c r="AC357" s="453">
        <f t="shared" si="220"/>
        <v>0</v>
      </c>
      <c r="AD357" s="453">
        <f t="shared" si="221"/>
        <v>7459227.5999999996</v>
      </c>
      <c r="AE357" s="493">
        <f t="shared" si="222"/>
        <v>13912224.879999999</v>
      </c>
      <c r="AF357" s="453">
        <f t="shared" si="223"/>
        <v>13912221</v>
      </c>
      <c r="AG357" s="494">
        <f t="shared" si="224"/>
        <v>0.99999972110859103</v>
      </c>
      <c r="AH357" s="454">
        <f t="shared" si="225"/>
        <v>401161</v>
      </c>
      <c r="AI357" s="454">
        <f t="shared" si="226"/>
        <v>322255</v>
      </c>
      <c r="AJ357" s="454">
        <f t="shared" si="227"/>
        <v>1057300</v>
      </c>
      <c r="AK357" s="454">
        <f t="shared" si="228"/>
        <v>0</v>
      </c>
      <c r="AL357" s="454">
        <f t="shared" si="229"/>
        <v>0</v>
      </c>
      <c r="AM357" s="454">
        <f t="shared" si="230"/>
        <v>15692937</v>
      </c>
      <c r="AN357" s="491">
        <f t="shared" si="231"/>
        <v>15692940.879999999</v>
      </c>
      <c r="AO357" s="487">
        <f t="shared" si="232"/>
        <v>-3.8799999989569187</v>
      </c>
      <c r="AP357" s="495">
        <f t="shared" si="233"/>
        <v>4894488.7</v>
      </c>
      <c r="AQ357" s="496">
        <f t="shared" si="234"/>
        <v>1137308.58</v>
      </c>
      <c r="AV357" s="459">
        <f>IF(BA357&gt;BA356,AV356,IF(AV356&lt;MiscData!$F$1,EOMONTH(AV356,1),EOMONTH(AV356,-11)))</f>
        <v>42308</v>
      </c>
      <c r="AW357" s="448" t="str">
        <f t="shared" si="235"/>
        <v>20140101KUCIE562</v>
      </c>
      <c r="AX357" s="457" t="str">
        <f t="shared" si="236"/>
        <v>20140101PSS</v>
      </c>
      <c r="AY357" s="439">
        <f>IF(AV357&lt;=MiscData!$B$23,MiscData!$C$23,IF(AV357&lt;=MiscData!$B$24,MiscData!$C$24,MiscData!$C$25))</f>
        <v>20140101</v>
      </c>
      <c r="AZ357" s="439" t="str">
        <f>VLOOKUP(BA357,MiscData!$V$4:$W$42,2,FALSE)</f>
        <v>KUCIE562</v>
      </c>
      <c r="BA357" s="439">
        <f>IF(BA356=MiscData!$V$42,1,BA356+1)</f>
        <v>3</v>
      </c>
      <c r="BB357" s="439" t="str">
        <f>VLOOKUP(AZ357,MiscData!$W$4:$Y$42,3,FALSE)</f>
        <v>PSS</v>
      </c>
    </row>
    <row r="358" spans="1:55" hidden="1">
      <c r="A358" s="448">
        <f t="shared" si="237"/>
        <v>328</v>
      </c>
      <c r="B358" s="448" t="str">
        <f t="shared" si="199"/>
        <v>Oct 2015</v>
      </c>
      <c r="C358" s="448" t="s">
        <v>205</v>
      </c>
      <c r="D358" s="449" t="str">
        <f t="shared" si="200"/>
        <v>TODP</v>
      </c>
      <c r="E358" s="449" t="str">
        <f t="shared" si="201"/>
        <v>KUCIE563</v>
      </c>
      <c r="F358" s="450">
        <f t="shared" si="202"/>
        <v>52</v>
      </c>
      <c r="G358" s="450">
        <v>0</v>
      </c>
      <c r="H358" s="450">
        <v>0</v>
      </c>
      <c r="I358" s="450">
        <v>0</v>
      </c>
      <c r="J358" s="450">
        <f t="shared" si="203"/>
        <v>242601164</v>
      </c>
      <c r="K358" s="482">
        <f t="shared" si="204"/>
        <v>537698</v>
      </c>
      <c r="L358" s="482">
        <f t="shared" si="205"/>
        <v>522820</v>
      </c>
      <c r="M358" s="482">
        <f t="shared" si="206"/>
        <v>505852</v>
      </c>
      <c r="N358" s="482">
        <f t="shared" si="207"/>
        <v>0</v>
      </c>
      <c r="O358" s="482">
        <f t="shared" si="208"/>
        <v>0</v>
      </c>
      <c r="P358" s="482">
        <f t="shared" si="209"/>
        <v>0</v>
      </c>
      <c r="Q358" s="451">
        <f t="shared" si="210"/>
        <v>300</v>
      </c>
      <c r="R358" s="452">
        <f t="shared" si="211"/>
        <v>3.7650000000000003E-2</v>
      </c>
      <c r="S358" s="452">
        <v>0</v>
      </c>
      <c r="T358" s="452">
        <v>0</v>
      </c>
      <c r="U358" s="452">
        <f t="shared" si="212"/>
        <v>2.8920000000000001E-2</v>
      </c>
      <c r="V358" s="451">
        <f t="shared" si="213"/>
        <v>1.71</v>
      </c>
      <c r="W358" s="451">
        <f t="shared" si="214"/>
        <v>2.76</v>
      </c>
      <c r="X358" s="451">
        <f t="shared" si="215"/>
        <v>4.26</v>
      </c>
      <c r="Y358" s="453">
        <f t="shared" si="216"/>
        <v>15600</v>
      </c>
      <c r="Z358" s="453">
        <f t="shared" si="217"/>
        <v>9133933.8200000003</v>
      </c>
      <c r="AA358" s="453">
        <f t="shared" si="218"/>
        <v>919463.58</v>
      </c>
      <c r="AB358" s="453">
        <f t="shared" si="219"/>
        <v>1442983.2</v>
      </c>
      <c r="AC358" s="453">
        <f t="shared" si="220"/>
        <v>2154929.52</v>
      </c>
      <c r="AD358" s="453">
        <f t="shared" si="221"/>
        <v>4517376.3</v>
      </c>
      <c r="AE358" s="493">
        <f t="shared" si="222"/>
        <v>13666910.119999999</v>
      </c>
      <c r="AF358" s="453">
        <f t="shared" si="223"/>
        <v>13666909</v>
      </c>
      <c r="AG358" s="494">
        <f t="shared" si="224"/>
        <v>0.99999991805024036</v>
      </c>
      <c r="AH358" s="454">
        <f t="shared" si="225"/>
        <v>575046</v>
      </c>
      <c r="AI358" s="454">
        <f t="shared" si="226"/>
        <v>461938</v>
      </c>
      <c r="AJ358" s="454">
        <f t="shared" si="227"/>
        <v>1515591</v>
      </c>
      <c r="AK358" s="454">
        <f t="shared" si="228"/>
        <v>0</v>
      </c>
      <c r="AL358" s="454">
        <f t="shared" si="229"/>
        <v>0</v>
      </c>
      <c r="AM358" s="454">
        <f t="shared" si="230"/>
        <v>16219484</v>
      </c>
      <c r="AN358" s="491">
        <f t="shared" si="231"/>
        <v>16219485.119999999</v>
      </c>
      <c r="AO358" s="487">
        <f t="shared" si="232"/>
        <v>-1.1199999991804361</v>
      </c>
      <c r="AP358" s="495">
        <f t="shared" si="233"/>
        <v>7016025.6600000001</v>
      </c>
      <c r="AQ358" s="496">
        <f t="shared" si="234"/>
        <v>2117908.16</v>
      </c>
      <c r="AV358" s="459">
        <f>IF(BA358&gt;BA357,AV357,IF(AV357&lt;MiscData!$F$1,EOMONTH(AV357,1),EOMONTH(AV357,-11)))</f>
        <v>42308</v>
      </c>
      <c r="AW358" s="448" t="str">
        <f t="shared" si="235"/>
        <v>20140101KUCIE563</v>
      </c>
      <c r="AX358" s="457" t="str">
        <f t="shared" si="236"/>
        <v>20140101TODP</v>
      </c>
      <c r="AY358" s="439">
        <f>IF(AV358&lt;=MiscData!$B$23,MiscData!$C$23,IF(AV358&lt;=MiscData!$B$24,MiscData!$C$24,MiscData!$C$25))</f>
        <v>20140101</v>
      </c>
      <c r="AZ358" s="439" t="str">
        <f>VLOOKUP(BA358,MiscData!$V$4:$W$42,2,FALSE)</f>
        <v>KUCIE563</v>
      </c>
      <c r="BA358" s="439">
        <f>IF(BA357=MiscData!$V$42,1,BA357+1)</f>
        <v>4</v>
      </c>
      <c r="BB358" s="439" t="str">
        <f>VLOOKUP(AZ358,MiscData!$W$4:$Y$42,3,FALSE)</f>
        <v>TODP</v>
      </c>
    </row>
    <row r="359" spans="1:55" hidden="1">
      <c r="A359" s="448">
        <f t="shared" si="237"/>
        <v>329</v>
      </c>
      <c r="B359" s="448" t="str">
        <f t="shared" si="199"/>
        <v>Oct 2015</v>
      </c>
      <c r="C359" s="448" t="s">
        <v>25</v>
      </c>
      <c r="D359" s="449" t="str">
        <f t="shared" si="200"/>
        <v>PSP</v>
      </c>
      <c r="E359" s="449" t="str">
        <f t="shared" si="201"/>
        <v>KUCIE566</v>
      </c>
      <c r="F359" s="450">
        <f t="shared" si="202"/>
        <v>0</v>
      </c>
      <c r="G359" s="450">
        <v>0</v>
      </c>
      <c r="H359" s="450">
        <v>0</v>
      </c>
      <c r="I359" s="450">
        <v>0</v>
      </c>
      <c r="J359" s="450">
        <f t="shared" si="203"/>
        <v>0</v>
      </c>
      <c r="K359" s="482">
        <f t="shared" si="204"/>
        <v>0</v>
      </c>
      <c r="L359" s="482">
        <f t="shared" si="205"/>
        <v>0</v>
      </c>
      <c r="M359" s="482">
        <f t="shared" si="206"/>
        <v>0</v>
      </c>
      <c r="N359" s="482">
        <f t="shared" si="207"/>
        <v>0</v>
      </c>
      <c r="O359" s="482">
        <f t="shared" si="208"/>
        <v>0</v>
      </c>
      <c r="P359" s="482">
        <f t="shared" si="209"/>
        <v>0</v>
      </c>
      <c r="Q359" s="451">
        <f t="shared" si="210"/>
        <v>170</v>
      </c>
      <c r="R359" s="452">
        <f t="shared" si="211"/>
        <v>3.5619999999999999E-2</v>
      </c>
      <c r="S359" s="452">
        <v>0</v>
      </c>
      <c r="T359" s="452">
        <v>0</v>
      </c>
      <c r="U359" s="452">
        <f t="shared" si="212"/>
        <v>2.8920000000000001E-2</v>
      </c>
      <c r="V359" s="451">
        <f t="shared" si="213"/>
        <v>0</v>
      </c>
      <c r="W359" s="451">
        <f t="shared" si="214"/>
        <v>13.18</v>
      </c>
      <c r="X359" s="451">
        <f t="shared" si="215"/>
        <v>15.28</v>
      </c>
      <c r="Y359" s="453">
        <f t="shared" si="216"/>
        <v>0</v>
      </c>
      <c r="Z359" s="453">
        <f t="shared" si="217"/>
        <v>0</v>
      </c>
      <c r="AA359" s="453">
        <f t="shared" si="218"/>
        <v>0</v>
      </c>
      <c r="AB359" s="453">
        <f t="shared" si="219"/>
        <v>0</v>
      </c>
      <c r="AC359" s="453">
        <f t="shared" si="220"/>
        <v>0</v>
      </c>
      <c r="AD359" s="453">
        <f t="shared" si="221"/>
        <v>0</v>
      </c>
      <c r="AE359" s="493">
        <f t="shared" si="222"/>
        <v>0</v>
      </c>
      <c r="AF359" s="453">
        <f t="shared" si="223"/>
        <v>0</v>
      </c>
      <c r="AG359" s="494">
        <f t="shared" si="224"/>
        <v>1</v>
      </c>
      <c r="AH359" s="454">
        <f t="shared" si="225"/>
        <v>0</v>
      </c>
      <c r="AI359" s="454">
        <f t="shared" si="226"/>
        <v>0</v>
      </c>
      <c r="AJ359" s="454">
        <f t="shared" si="227"/>
        <v>0</v>
      </c>
      <c r="AK359" s="454">
        <f t="shared" si="228"/>
        <v>0</v>
      </c>
      <c r="AL359" s="454">
        <f t="shared" si="229"/>
        <v>0</v>
      </c>
      <c r="AM359" s="454">
        <f t="shared" si="230"/>
        <v>0</v>
      </c>
      <c r="AN359" s="491">
        <f t="shared" si="231"/>
        <v>0</v>
      </c>
      <c r="AO359" s="487">
        <f t="shared" si="232"/>
        <v>0</v>
      </c>
      <c r="AP359" s="495">
        <f t="shared" si="233"/>
        <v>0</v>
      </c>
      <c r="AQ359" s="496">
        <f t="shared" si="234"/>
        <v>0</v>
      </c>
      <c r="AV359" s="459">
        <f>IF(BA359&gt;BA358,AV358,IF(AV358&lt;MiscData!$F$1,EOMONTH(AV358,1),EOMONTH(AV358,-11)))</f>
        <v>42308</v>
      </c>
      <c r="AW359" s="448" t="str">
        <f t="shared" si="235"/>
        <v>20140101KUCIE566</v>
      </c>
      <c r="AX359" s="457" t="str">
        <f t="shared" si="236"/>
        <v>20140101PSP</v>
      </c>
      <c r="AY359" s="439">
        <f>IF(AV359&lt;=MiscData!$B$23,MiscData!$C$23,IF(AV359&lt;=MiscData!$B$24,MiscData!$C$24,MiscData!$C$25))</f>
        <v>20140101</v>
      </c>
      <c r="AZ359" s="439" t="str">
        <f>VLOOKUP(BA359,MiscData!$V$4:$W$42,2,FALSE)</f>
        <v>KUCIE566</v>
      </c>
      <c r="BA359" s="439">
        <f>IF(BA358=MiscData!$V$42,1,BA358+1)</f>
        <v>5</v>
      </c>
      <c r="BB359" s="439" t="str">
        <f>VLOOKUP(AZ359,MiscData!$W$4:$Y$42,3,FALSE)</f>
        <v>PSP</v>
      </c>
    </row>
    <row r="360" spans="1:55" hidden="1">
      <c r="A360" s="448">
        <f t="shared" si="237"/>
        <v>330</v>
      </c>
      <c r="B360" s="448" t="str">
        <f t="shared" si="199"/>
        <v>Oct 2015</v>
      </c>
      <c r="C360" s="448" t="s">
        <v>24</v>
      </c>
      <c r="D360" s="449" t="str">
        <f t="shared" si="200"/>
        <v>PSS</v>
      </c>
      <c r="E360" s="449" t="str">
        <f t="shared" si="201"/>
        <v>KUCIE568</v>
      </c>
      <c r="F360" s="450">
        <f t="shared" si="202"/>
        <v>0</v>
      </c>
      <c r="G360" s="450">
        <v>0</v>
      </c>
      <c r="H360" s="450">
        <v>0</v>
      </c>
      <c r="I360" s="450">
        <v>0</v>
      </c>
      <c r="J360" s="450">
        <f t="shared" si="203"/>
        <v>0</v>
      </c>
      <c r="K360" s="482">
        <f t="shared" si="204"/>
        <v>0</v>
      </c>
      <c r="L360" s="482">
        <f t="shared" si="205"/>
        <v>0</v>
      </c>
      <c r="M360" s="482">
        <f t="shared" si="206"/>
        <v>0</v>
      </c>
      <c r="N360" s="482">
        <f t="shared" si="207"/>
        <v>0</v>
      </c>
      <c r="O360" s="482">
        <f t="shared" si="208"/>
        <v>0</v>
      </c>
      <c r="P360" s="482">
        <f t="shared" si="209"/>
        <v>0</v>
      </c>
      <c r="Q360" s="451">
        <f t="shared" si="210"/>
        <v>90</v>
      </c>
      <c r="R360" s="452">
        <f t="shared" si="211"/>
        <v>3.5640000000000005E-2</v>
      </c>
      <c r="S360" s="452">
        <v>0</v>
      </c>
      <c r="T360" s="452">
        <v>0</v>
      </c>
      <c r="U360" s="452">
        <f t="shared" si="212"/>
        <v>2.8920000000000001E-2</v>
      </c>
      <c r="V360" s="451">
        <f t="shared" si="213"/>
        <v>0</v>
      </c>
      <c r="W360" s="451">
        <f t="shared" si="214"/>
        <v>13.2</v>
      </c>
      <c r="X360" s="451">
        <f t="shared" si="215"/>
        <v>15.3</v>
      </c>
      <c r="Y360" s="453">
        <f t="shared" si="216"/>
        <v>0</v>
      </c>
      <c r="Z360" s="453">
        <f t="shared" si="217"/>
        <v>0</v>
      </c>
      <c r="AA360" s="453">
        <f t="shared" si="218"/>
        <v>0</v>
      </c>
      <c r="AB360" s="453">
        <f t="shared" si="219"/>
        <v>0</v>
      </c>
      <c r="AC360" s="453">
        <f t="shared" si="220"/>
        <v>0</v>
      </c>
      <c r="AD360" s="453">
        <f t="shared" si="221"/>
        <v>0</v>
      </c>
      <c r="AE360" s="493">
        <f t="shared" si="222"/>
        <v>0</v>
      </c>
      <c r="AF360" s="453">
        <f t="shared" si="223"/>
        <v>0</v>
      </c>
      <c r="AG360" s="494">
        <f t="shared" si="224"/>
        <v>1</v>
      </c>
      <c r="AH360" s="454">
        <f t="shared" si="225"/>
        <v>0</v>
      </c>
      <c r="AI360" s="454">
        <f t="shared" si="226"/>
        <v>0</v>
      </c>
      <c r="AJ360" s="454">
        <f t="shared" si="227"/>
        <v>0</v>
      </c>
      <c r="AK360" s="454">
        <f t="shared" si="228"/>
        <v>0</v>
      </c>
      <c r="AL360" s="454">
        <f t="shared" si="229"/>
        <v>0</v>
      </c>
      <c r="AM360" s="454">
        <f t="shared" si="230"/>
        <v>0</v>
      </c>
      <c r="AN360" s="491">
        <f t="shared" si="231"/>
        <v>0</v>
      </c>
      <c r="AO360" s="487">
        <f t="shared" si="232"/>
        <v>0</v>
      </c>
      <c r="AP360" s="495">
        <f t="shared" si="233"/>
        <v>0</v>
      </c>
      <c r="AQ360" s="496">
        <f t="shared" si="234"/>
        <v>0</v>
      </c>
      <c r="AV360" s="459">
        <f>IF(BA360&gt;BA359,AV359,IF(AV359&lt;MiscData!$F$1,EOMONTH(AV359,1),EOMONTH(AV359,-11)))</f>
        <v>42308</v>
      </c>
      <c r="AW360" s="448" t="str">
        <f t="shared" si="235"/>
        <v>20140101KUCIE568</v>
      </c>
      <c r="AX360" s="457" t="str">
        <f t="shared" si="236"/>
        <v>20140101PSS</v>
      </c>
      <c r="AY360" s="439">
        <f>IF(AV360&lt;=MiscData!$B$23,MiscData!$C$23,IF(AV360&lt;=MiscData!$B$24,MiscData!$C$24,MiscData!$C$25))</f>
        <v>20140101</v>
      </c>
      <c r="AZ360" s="439" t="str">
        <f>VLOOKUP(BA360,MiscData!$V$4:$W$42,2,FALSE)</f>
        <v>KUCIE568</v>
      </c>
      <c r="BA360" s="439">
        <f>IF(BA359=MiscData!$V$42,1,BA359+1)</f>
        <v>6</v>
      </c>
      <c r="BB360" s="439" t="str">
        <f>VLOOKUP(AZ360,MiscData!$W$4:$Y$42,3,FALSE)</f>
        <v>PSS</v>
      </c>
    </row>
    <row r="361" spans="1:55" hidden="1">
      <c r="A361" s="448">
        <f t="shared" si="237"/>
        <v>331</v>
      </c>
      <c r="B361" s="448" t="str">
        <f t="shared" si="199"/>
        <v>Oct 2015</v>
      </c>
      <c r="C361" s="448" t="s">
        <v>205</v>
      </c>
      <c r="D361" s="449" t="str">
        <f t="shared" si="200"/>
        <v>TODP</v>
      </c>
      <c r="E361" s="449" t="str">
        <f t="shared" si="201"/>
        <v>KUCIE571</v>
      </c>
      <c r="F361" s="450">
        <f t="shared" si="202"/>
        <v>199</v>
      </c>
      <c r="G361" s="450">
        <v>0</v>
      </c>
      <c r="H361" s="450">
        <v>0</v>
      </c>
      <c r="I361" s="450">
        <v>0</v>
      </c>
      <c r="J361" s="450">
        <f t="shared" si="203"/>
        <v>101809828</v>
      </c>
      <c r="K361" s="482">
        <f t="shared" si="204"/>
        <v>272350</v>
      </c>
      <c r="L361" s="482">
        <f t="shared" si="205"/>
        <v>262435</v>
      </c>
      <c r="M361" s="482">
        <f t="shared" si="206"/>
        <v>254158</v>
      </c>
      <c r="N361" s="482">
        <f t="shared" si="207"/>
        <v>0</v>
      </c>
      <c r="O361" s="482">
        <f t="shared" si="208"/>
        <v>0</v>
      </c>
      <c r="P361" s="482">
        <f t="shared" si="209"/>
        <v>0</v>
      </c>
      <c r="Q361" s="451">
        <f t="shared" si="210"/>
        <v>300</v>
      </c>
      <c r="R361" s="452">
        <f t="shared" si="211"/>
        <v>3.7650000000000003E-2</v>
      </c>
      <c r="S361" s="452">
        <v>0</v>
      </c>
      <c r="T361" s="452">
        <v>0</v>
      </c>
      <c r="U361" s="452">
        <f t="shared" si="212"/>
        <v>2.8920000000000001E-2</v>
      </c>
      <c r="V361" s="451">
        <f t="shared" si="213"/>
        <v>1.71</v>
      </c>
      <c r="W361" s="451">
        <f t="shared" si="214"/>
        <v>2.76</v>
      </c>
      <c r="X361" s="451">
        <f t="shared" si="215"/>
        <v>4.26</v>
      </c>
      <c r="Y361" s="453">
        <f t="shared" si="216"/>
        <v>59700</v>
      </c>
      <c r="Z361" s="453">
        <f t="shared" si="217"/>
        <v>3833140.02</v>
      </c>
      <c r="AA361" s="453">
        <f t="shared" si="218"/>
        <v>465718.5</v>
      </c>
      <c r="AB361" s="453">
        <f t="shared" si="219"/>
        <v>724320.6</v>
      </c>
      <c r="AC361" s="453">
        <f t="shared" si="220"/>
        <v>1082713.08</v>
      </c>
      <c r="AD361" s="453">
        <f t="shared" si="221"/>
        <v>2272752.1800000002</v>
      </c>
      <c r="AE361" s="493">
        <f t="shared" si="222"/>
        <v>6165592.1999999993</v>
      </c>
      <c r="AF361" s="453">
        <f t="shared" si="223"/>
        <v>6165593</v>
      </c>
      <c r="AG361" s="494">
        <f t="shared" si="224"/>
        <v>1.0000001297523375</v>
      </c>
      <c r="AH361" s="454">
        <f t="shared" si="225"/>
        <v>241323</v>
      </c>
      <c r="AI361" s="454">
        <f t="shared" si="226"/>
        <v>193856</v>
      </c>
      <c r="AJ361" s="454">
        <f t="shared" si="227"/>
        <v>636032</v>
      </c>
      <c r="AK361" s="454">
        <f t="shared" si="228"/>
        <v>0</v>
      </c>
      <c r="AL361" s="454">
        <f t="shared" si="229"/>
        <v>0</v>
      </c>
      <c r="AM361" s="454">
        <f t="shared" si="230"/>
        <v>7236804</v>
      </c>
      <c r="AN361" s="491">
        <f t="shared" si="231"/>
        <v>7236803.1999999993</v>
      </c>
      <c r="AO361" s="487">
        <f t="shared" si="232"/>
        <v>0.80000000074505806</v>
      </c>
      <c r="AP361" s="495">
        <f t="shared" si="233"/>
        <v>2944340.23</v>
      </c>
      <c r="AQ361" s="496">
        <f t="shared" si="234"/>
        <v>888799.79</v>
      </c>
      <c r="AV361" s="459">
        <f>IF(BA361&gt;BA360,AV360,IF(AV360&lt;MiscData!$F$1,EOMONTH(AV360,1),EOMONTH(AV360,-11)))</f>
        <v>42308</v>
      </c>
      <c r="AW361" s="448" t="str">
        <f t="shared" si="235"/>
        <v>20140101KUCIE571</v>
      </c>
      <c r="AX361" s="457" t="str">
        <f t="shared" si="236"/>
        <v>20140101TODP</v>
      </c>
      <c r="AY361" s="439">
        <f>IF(AV361&lt;=MiscData!$B$23,MiscData!$C$23,IF(AV361&lt;=MiscData!$B$24,MiscData!$C$24,MiscData!$C$25))</f>
        <v>20140101</v>
      </c>
      <c r="AZ361" s="439" t="str">
        <f>VLOOKUP(BA361,MiscData!$V$4:$W$42,2,FALSE)</f>
        <v>KUCIE571</v>
      </c>
      <c r="BA361" s="439">
        <f>IF(BA360=MiscData!$V$42,1,BA360+1)</f>
        <v>7</v>
      </c>
      <c r="BB361" s="439" t="str">
        <f>VLOOKUP(AZ361,MiscData!$W$4:$Y$42,3,FALSE)</f>
        <v>TODP</v>
      </c>
    </row>
    <row r="362" spans="1:55" hidden="1">
      <c r="A362" s="448">
        <f t="shared" si="237"/>
        <v>332</v>
      </c>
      <c r="B362" s="448" t="str">
        <f t="shared" si="199"/>
        <v>Oct 2015</v>
      </c>
      <c r="C362" s="448" t="s">
        <v>204</v>
      </c>
      <c r="D362" s="449" t="str">
        <f t="shared" si="200"/>
        <v>TODS</v>
      </c>
      <c r="E362" s="449" t="str">
        <f t="shared" si="201"/>
        <v>KUCIE572</v>
      </c>
      <c r="F362" s="450">
        <f t="shared" si="202"/>
        <v>464</v>
      </c>
      <c r="G362" s="450">
        <v>0</v>
      </c>
      <c r="H362" s="450">
        <v>0</v>
      </c>
      <c r="I362" s="450">
        <v>0</v>
      </c>
      <c r="J362" s="450">
        <f t="shared" si="203"/>
        <v>129968346</v>
      </c>
      <c r="K362" s="482">
        <f t="shared" si="204"/>
        <v>324937</v>
      </c>
      <c r="L362" s="482">
        <f t="shared" si="205"/>
        <v>295953</v>
      </c>
      <c r="M362" s="482">
        <f t="shared" si="206"/>
        <v>289324</v>
      </c>
      <c r="N362" s="482">
        <f t="shared" si="207"/>
        <v>0</v>
      </c>
      <c r="O362" s="482">
        <f t="shared" si="208"/>
        <v>0</v>
      </c>
      <c r="P362" s="482">
        <f t="shared" si="209"/>
        <v>0</v>
      </c>
      <c r="Q362" s="451">
        <f t="shared" si="210"/>
        <v>200</v>
      </c>
      <c r="R362" s="452">
        <f t="shared" si="211"/>
        <v>3.773E-2</v>
      </c>
      <c r="S362" s="452">
        <v>0</v>
      </c>
      <c r="T362" s="452">
        <v>0</v>
      </c>
      <c r="U362" s="452">
        <f t="shared" si="212"/>
        <v>2.8920000000000001E-2</v>
      </c>
      <c r="V362" s="451">
        <f t="shared" si="213"/>
        <v>3.62</v>
      </c>
      <c r="W362" s="451">
        <f t="shared" si="214"/>
        <v>2.95</v>
      </c>
      <c r="X362" s="451">
        <f t="shared" si="215"/>
        <v>4.55</v>
      </c>
      <c r="Y362" s="453">
        <f t="shared" si="216"/>
        <v>92800</v>
      </c>
      <c r="Z362" s="453">
        <f t="shared" si="217"/>
        <v>4903705.6900000004</v>
      </c>
      <c r="AA362" s="453">
        <f t="shared" si="218"/>
        <v>1176271.94</v>
      </c>
      <c r="AB362" s="453">
        <f t="shared" si="219"/>
        <v>873061.35</v>
      </c>
      <c r="AC362" s="453">
        <f t="shared" si="220"/>
        <v>1316424.2</v>
      </c>
      <c r="AD362" s="453">
        <f t="shared" si="221"/>
        <v>3365757.49</v>
      </c>
      <c r="AE362" s="493">
        <f t="shared" si="222"/>
        <v>8362263.1800000006</v>
      </c>
      <c r="AF362" s="453">
        <f t="shared" si="223"/>
        <v>8362266</v>
      </c>
      <c r="AG362" s="494">
        <f t="shared" si="224"/>
        <v>1.0000003372292809</v>
      </c>
      <c r="AH362" s="454">
        <f t="shared" si="225"/>
        <v>308069</v>
      </c>
      <c r="AI362" s="454">
        <f t="shared" si="226"/>
        <v>247473</v>
      </c>
      <c r="AJ362" s="454">
        <f t="shared" si="227"/>
        <v>811945</v>
      </c>
      <c r="AK362" s="454">
        <f t="shared" si="228"/>
        <v>0</v>
      </c>
      <c r="AL362" s="454">
        <f t="shared" si="229"/>
        <v>0</v>
      </c>
      <c r="AM362" s="454">
        <f t="shared" si="230"/>
        <v>9729753</v>
      </c>
      <c r="AN362" s="491">
        <f t="shared" si="231"/>
        <v>9729750.1799999997</v>
      </c>
      <c r="AO362" s="487">
        <f t="shared" si="232"/>
        <v>2.8200000002980232</v>
      </c>
      <c r="AP362" s="495">
        <f t="shared" si="233"/>
        <v>3758684.57</v>
      </c>
      <c r="AQ362" s="496">
        <f t="shared" si="234"/>
        <v>1145021.1200000006</v>
      </c>
      <c r="AV362" s="459">
        <f>IF(BA362&gt;BA361,AV361,IF(AV361&lt;MiscData!$F$1,EOMONTH(AV361,1),EOMONTH(AV361,-11)))</f>
        <v>42308</v>
      </c>
      <c r="AW362" s="448" t="str">
        <f t="shared" si="235"/>
        <v>20140101KUCIE572</v>
      </c>
      <c r="AX362" s="457" t="str">
        <f t="shared" si="236"/>
        <v>20140101TODS</v>
      </c>
      <c r="AY362" s="439">
        <f>IF(AV362&lt;=MiscData!$B$23,MiscData!$C$23,IF(AV362&lt;=MiscData!$B$24,MiscData!$C$24,MiscData!$C$25))</f>
        <v>20140101</v>
      </c>
      <c r="AZ362" s="439" t="str">
        <f>VLOOKUP(BA362,MiscData!$V$4:$W$42,2,FALSE)</f>
        <v>KUCIE572</v>
      </c>
      <c r="BA362" s="439">
        <f>IF(BA361=MiscData!$V$42,1,BA361+1)</f>
        <v>8</v>
      </c>
      <c r="BB362" s="439" t="str">
        <f>VLOOKUP(AZ362,MiscData!$W$4:$Y$42,3,FALSE)</f>
        <v>TODS</v>
      </c>
    </row>
    <row r="363" spans="1:55" hidden="1">
      <c r="A363" s="448">
        <f t="shared" si="237"/>
        <v>333</v>
      </c>
      <c r="B363" s="448" t="str">
        <f t="shared" si="199"/>
        <v>Oct 2015</v>
      </c>
      <c r="C363" s="448" t="s">
        <v>24</v>
      </c>
      <c r="D363" s="449" t="str">
        <f t="shared" si="200"/>
        <v>PSS</v>
      </c>
      <c r="E363" s="449" t="str">
        <f t="shared" si="201"/>
        <v>KUCIE717</v>
      </c>
      <c r="F363" s="450">
        <f t="shared" si="202"/>
        <v>0</v>
      </c>
      <c r="G363" s="450">
        <v>0</v>
      </c>
      <c r="H363" s="450">
        <v>0</v>
      </c>
      <c r="I363" s="450">
        <v>0</v>
      </c>
      <c r="J363" s="450">
        <f t="shared" si="203"/>
        <v>0</v>
      </c>
      <c r="K363" s="482">
        <f t="shared" si="204"/>
        <v>0</v>
      </c>
      <c r="L363" s="482">
        <f t="shared" si="205"/>
        <v>0</v>
      </c>
      <c r="M363" s="482">
        <f t="shared" si="206"/>
        <v>0</v>
      </c>
      <c r="N363" s="482">
        <f t="shared" si="207"/>
        <v>0</v>
      </c>
      <c r="O363" s="482">
        <f t="shared" si="208"/>
        <v>0</v>
      </c>
      <c r="P363" s="482">
        <f t="shared" si="209"/>
        <v>0</v>
      </c>
      <c r="Q363" s="451">
        <f t="shared" si="210"/>
        <v>90</v>
      </c>
      <c r="R363" s="452">
        <f t="shared" si="211"/>
        <v>3.5640000000000005E-2</v>
      </c>
      <c r="S363" s="452">
        <v>0</v>
      </c>
      <c r="T363" s="452">
        <v>0</v>
      </c>
      <c r="U363" s="452">
        <f t="shared" si="212"/>
        <v>2.8920000000000001E-2</v>
      </c>
      <c r="V363" s="451">
        <f t="shared" si="213"/>
        <v>0</v>
      </c>
      <c r="W363" s="451">
        <f t="shared" si="214"/>
        <v>13.2</v>
      </c>
      <c r="X363" s="451">
        <f t="shared" si="215"/>
        <v>15.3</v>
      </c>
      <c r="Y363" s="453">
        <f t="shared" si="216"/>
        <v>0</v>
      </c>
      <c r="Z363" s="453">
        <f t="shared" si="217"/>
        <v>0</v>
      </c>
      <c r="AA363" s="453">
        <f t="shared" si="218"/>
        <v>0</v>
      </c>
      <c r="AB363" s="453">
        <f t="shared" si="219"/>
        <v>0</v>
      </c>
      <c r="AC363" s="453">
        <f t="shared" si="220"/>
        <v>0</v>
      </c>
      <c r="AD363" s="453">
        <f t="shared" si="221"/>
        <v>0</v>
      </c>
      <c r="AE363" s="493">
        <f t="shared" si="222"/>
        <v>0</v>
      </c>
      <c r="AF363" s="453">
        <f t="shared" si="223"/>
        <v>0</v>
      </c>
      <c r="AG363" s="494">
        <f t="shared" si="224"/>
        <v>1</v>
      </c>
      <c r="AH363" s="454">
        <f t="shared" si="225"/>
        <v>0</v>
      </c>
      <c r="AI363" s="454">
        <f t="shared" si="226"/>
        <v>0</v>
      </c>
      <c r="AJ363" s="454">
        <f t="shared" si="227"/>
        <v>0</v>
      </c>
      <c r="AK363" s="454">
        <f t="shared" si="228"/>
        <v>0</v>
      </c>
      <c r="AL363" s="454">
        <f t="shared" si="229"/>
        <v>0</v>
      </c>
      <c r="AM363" s="454">
        <f t="shared" si="230"/>
        <v>0</v>
      </c>
      <c r="AN363" s="491">
        <f t="shared" si="231"/>
        <v>0</v>
      </c>
      <c r="AO363" s="487">
        <f t="shared" si="232"/>
        <v>0</v>
      </c>
      <c r="AP363" s="495">
        <f t="shared" si="233"/>
        <v>0</v>
      </c>
      <c r="AQ363" s="496">
        <f t="shared" si="234"/>
        <v>0</v>
      </c>
      <c r="AV363" s="459">
        <f>IF(BA363&gt;BA362,AV362,IF(AV362&lt;MiscData!$F$1,EOMONTH(AV362,1),EOMONTH(AV362,-11)))</f>
        <v>42308</v>
      </c>
      <c r="AW363" s="448" t="str">
        <f t="shared" si="235"/>
        <v>20140101KUCIE717</v>
      </c>
      <c r="AX363" s="457" t="str">
        <f t="shared" si="236"/>
        <v>20140101PSS</v>
      </c>
      <c r="AY363" s="439">
        <f>IF(AV363&lt;=MiscData!$B$23,MiscData!$C$23,IF(AV363&lt;=MiscData!$B$24,MiscData!$C$24,MiscData!$C$25))</f>
        <v>20140101</v>
      </c>
      <c r="AZ363" s="439" t="str">
        <f>VLOOKUP(BA363,MiscData!$V$4:$W$42,2,FALSE)</f>
        <v>KUCIE717</v>
      </c>
      <c r="BA363" s="439">
        <f>IF(BA362=MiscData!$V$42,1,BA362+1)</f>
        <v>9</v>
      </c>
      <c r="BB363" s="439" t="str">
        <f>VLOOKUP(AZ363,MiscData!$W$4:$Y$42,3,FALSE)</f>
        <v>PSS</v>
      </c>
    </row>
    <row r="364" spans="1:55">
      <c r="A364" s="499">
        <f t="shared" si="237"/>
        <v>334</v>
      </c>
      <c r="B364" s="448" t="str">
        <f t="shared" si="199"/>
        <v>Oct 2015</v>
      </c>
      <c r="C364" s="448" t="s">
        <v>208</v>
      </c>
      <c r="D364" s="449" t="str">
        <f t="shared" si="200"/>
        <v>GS</v>
      </c>
      <c r="E364" s="449" t="str">
        <f t="shared" si="201"/>
        <v>KUCME110</v>
      </c>
      <c r="F364" s="450">
        <f t="shared" si="202"/>
        <v>63514</v>
      </c>
      <c r="G364" s="450">
        <v>0</v>
      </c>
      <c r="H364" s="450">
        <v>0</v>
      </c>
      <c r="I364" s="450">
        <v>0</v>
      </c>
      <c r="J364" s="450">
        <f t="shared" si="203"/>
        <v>56367337</v>
      </c>
      <c r="K364" s="482">
        <f t="shared" si="204"/>
        <v>0</v>
      </c>
      <c r="L364" s="482">
        <f t="shared" si="205"/>
        <v>0</v>
      </c>
      <c r="M364" s="482">
        <f t="shared" si="206"/>
        <v>0</v>
      </c>
      <c r="N364" s="482">
        <f t="shared" si="207"/>
        <v>0</v>
      </c>
      <c r="O364" s="482">
        <f t="shared" si="208"/>
        <v>0</v>
      </c>
      <c r="P364" s="482">
        <f t="shared" si="209"/>
        <v>0</v>
      </c>
      <c r="Q364" s="451">
        <f t="shared" si="210"/>
        <v>20</v>
      </c>
      <c r="R364" s="452">
        <f t="shared" si="211"/>
        <v>9.2249999999999999E-2</v>
      </c>
      <c r="S364" s="452">
        <v>0</v>
      </c>
      <c r="T364" s="452">
        <v>0</v>
      </c>
      <c r="U364" s="452">
        <f t="shared" si="212"/>
        <v>2.8920000000000001E-2</v>
      </c>
      <c r="V364" s="451">
        <f t="shared" si="213"/>
        <v>0</v>
      </c>
      <c r="W364" s="451">
        <f t="shared" si="214"/>
        <v>0</v>
      </c>
      <c r="X364" s="451">
        <f t="shared" si="215"/>
        <v>0</v>
      </c>
      <c r="Y364" s="453">
        <f t="shared" si="216"/>
        <v>1270280</v>
      </c>
      <c r="Z364" s="453">
        <f t="shared" si="217"/>
        <v>5199886.84</v>
      </c>
      <c r="AA364" s="453">
        <f t="shared" si="218"/>
        <v>0</v>
      </c>
      <c r="AB364" s="453">
        <f t="shared" si="219"/>
        <v>0</v>
      </c>
      <c r="AC364" s="453">
        <f t="shared" si="220"/>
        <v>0</v>
      </c>
      <c r="AD364" s="453">
        <f t="shared" si="221"/>
        <v>0</v>
      </c>
      <c r="AE364" s="493">
        <f t="shared" si="222"/>
        <v>6470166.8399999999</v>
      </c>
      <c r="AF364" s="453">
        <f t="shared" si="223"/>
        <v>6470165</v>
      </c>
      <c r="AG364" s="494">
        <f t="shared" si="224"/>
        <v>0.9999997156178434</v>
      </c>
      <c r="AH364" s="454">
        <f t="shared" si="225"/>
        <v>133609</v>
      </c>
      <c r="AI364" s="454">
        <f t="shared" si="226"/>
        <v>107329</v>
      </c>
      <c r="AJ364" s="454">
        <f t="shared" si="227"/>
        <v>352141</v>
      </c>
      <c r="AK364" s="454">
        <f t="shared" si="228"/>
        <v>0</v>
      </c>
      <c r="AL364" s="454">
        <f t="shared" si="229"/>
        <v>0</v>
      </c>
      <c r="AM364" s="454">
        <f t="shared" si="230"/>
        <v>7063244</v>
      </c>
      <c r="AN364" s="491">
        <f t="shared" si="231"/>
        <v>7063245.8399999999</v>
      </c>
      <c r="AO364" s="487">
        <f t="shared" si="232"/>
        <v>-1.8399999998509884</v>
      </c>
      <c r="AP364" s="495">
        <f t="shared" si="233"/>
        <v>1630143.39</v>
      </c>
      <c r="AQ364" s="496">
        <f t="shared" si="234"/>
        <v>3569743.45</v>
      </c>
      <c r="AV364" s="459">
        <f>IF(BA364&gt;BA363,AV363,IF(AV363&lt;MiscData!$F$1,EOMONTH(AV363,1),EOMONTH(AV363,-11)))</f>
        <v>42308</v>
      </c>
      <c r="AW364" s="448" t="str">
        <f t="shared" si="235"/>
        <v>20140101KUCME110</v>
      </c>
      <c r="AX364" s="457" t="str">
        <f t="shared" si="236"/>
        <v>20140101GS</v>
      </c>
      <c r="AY364" s="439">
        <f>IF(AV364&lt;=MiscData!$B$23,MiscData!$C$23,IF(AV364&lt;=MiscData!$B$24,MiscData!$C$24,MiscData!$C$25))</f>
        <v>20140101</v>
      </c>
      <c r="AZ364" s="439" t="str">
        <f>VLOOKUP(BA364,MiscData!$V$4:$W$42,2,FALSE)</f>
        <v>KUCME110</v>
      </c>
      <c r="BA364" s="439">
        <f>IF(BA363=MiscData!$V$42,1,BA363+1)</f>
        <v>10</v>
      </c>
      <c r="BB364" s="511" t="str">
        <f>VLOOKUP(AZ364,MiscData!$W$4:$Y$42,3,FALSE)</f>
        <v>GS</v>
      </c>
    </row>
    <row r="365" spans="1:55">
      <c r="A365" s="499">
        <f t="shared" si="237"/>
        <v>335</v>
      </c>
      <c r="B365" s="448" t="str">
        <f t="shared" si="199"/>
        <v>Oct 2015</v>
      </c>
      <c r="C365" s="448" t="s">
        <v>208</v>
      </c>
      <c r="D365" s="449" t="str">
        <f t="shared" si="200"/>
        <v>GS</v>
      </c>
      <c r="E365" s="449" t="str">
        <f t="shared" si="201"/>
        <v>KUCME112</v>
      </c>
      <c r="F365" s="450">
        <f t="shared" si="202"/>
        <v>0</v>
      </c>
      <c r="G365" s="450">
        <v>0</v>
      </c>
      <c r="H365" s="450">
        <v>0</v>
      </c>
      <c r="I365" s="450">
        <v>0</v>
      </c>
      <c r="J365" s="450">
        <f t="shared" si="203"/>
        <v>0</v>
      </c>
      <c r="K365" s="482">
        <f t="shared" si="204"/>
        <v>0</v>
      </c>
      <c r="L365" s="482">
        <f t="shared" si="205"/>
        <v>0</v>
      </c>
      <c r="M365" s="482">
        <f t="shared" si="206"/>
        <v>0</v>
      </c>
      <c r="N365" s="482">
        <f t="shared" si="207"/>
        <v>0</v>
      </c>
      <c r="O365" s="482">
        <f t="shared" si="208"/>
        <v>0</v>
      </c>
      <c r="P365" s="482">
        <f t="shared" si="209"/>
        <v>0</v>
      </c>
      <c r="Q365" s="451">
        <f t="shared" si="210"/>
        <v>20</v>
      </c>
      <c r="R365" s="452">
        <f t="shared" si="211"/>
        <v>9.2249999999999999E-2</v>
      </c>
      <c r="S365" s="452">
        <v>0</v>
      </c>
      <c r="T365" s="452">
        <v>0</v>
      </c>
      <c r="U365" s="452">
        <f t="shared" si="212"/>
        <v>2.8920000000000001E-2</v>
      </c>
      <c r="V365" s="451">
        <f t="shared" si="213"/>
        <v>0</v>
      </c>
      <c r="W365" s="451">
        <f t="shared" si="214"/>
        <v>0</v>
      </c>
      <c r="X365" s="451">
        <f t="shared" si="215"/>
        <v>0</v>
      </c>
      <c r="Y365" s="453">
        <f t="shared" si="216"/>
        <v>0</v>
      </c>
      <c r="Z365" s="453">
        <f t="shared" si="217"/>
        <v>0</v>
      </c>
      <c r="AA365" s="453">
        <f t="shared" si="218"/>
        <v>0</v>
      </c>
      <c r="AB365" s="453">
        <f t="shared" si="219"/>
        <v>0</v>
      </c>
      <c r="AC365" s="453">
        <f t="shared" si="220"/>
        <v>0</v>
      </c>
      <c r="AD365" s="453">
        <f t="shared" si="221"/>
        <v>0</v>
      </c>
      <c r="AE365" s="493">
        <f t="shared" si="222"/>
        <v>0</v>
      </c>
      <c r="AF365" s="453">
        <f t="shared" si="223"/>
        <v>0</v>
      </c>
      <c r="AG365" s="494">
        <f t="shared" si="224"/>
        <v>1</v>
      </c>
      <c r="AH365" s="454">
        <f t="shared" si="225"/>
        <v>0</v>
      </c>
      <c r="AI365" s="454">
        <f t="shared" si="226"/>
        <v>0</v>
      </c>
      <c r="AJ365" s="454">
        <f t="shared" si="227"/>
        <v>0</v>
      </c>
      <c r="AK365" s="454">
        <f t="shared" si="228"/>
        <v>0</v>
      </c>
      <c r="AL365" s="454">
        <f t="shared" si="229"/>
        <v>0</v>
      </c>
      <c r="AM365" s="454">
        <f t="shared" si="230"/>
        <v>0</v>
      </c>
      <c r="AN365" s="491">
        <f t="shared" si="231"/>
        <v>0</v>
      </c>
      <c r="AO365" s="487">
        <f t="shared" si="232"/>
        <v>0</v>
      </c>
      <c r="AP365" s="495">
        <f t="shared" si="233"/>
        <v>0</v>
      </c>
      <c r="AQ365" s="496">
        <f t="shared" si="234"/>
        <v>0</v>
      </c>
      <c r="AV365" s="459">
        <f>IF(BA365&gt;BA364,AV364,IF(AV364&lt;MiscData!$F$1,EOMONTH(AV364,1),EOMONTH(AV364,-11)))</f>
        <v>42308</v>
      </c>
      <c r="AW365" s="448" t="str">
        <f t="shared" si="235"/>
        <v>20140101KUCME112</v>
      </c>
      <c r="AX365" s="457" t="str">
        <f t="shared" si="236"/>
        <v>20140101GS</v>
      </c>
      <c r="AY365" s="439">
        <f>IF(AV365&lt;=MiscData!$B$23,MiscData!$C$23,IF(AV365&lt;=MiscData!$B$24,MiscData!$C$24,MiscData!$C$25))</f>
        <v>20140101</v>
      </c>
      <c r="AZ365" s="439" t="str">
        <f>VLOOKUP(BA365,MiscData!$V$4:$W$42,2,FALSE)</f>
        <v>KUCME112</v>
      </c>
      <c r="BA365" s="439">
        <f>IF(BA364=MiscData!$V$42,1,BA364+1)</f>
        <v>11</v>
      </c>
      <c r="BB365" s="511" t="str">
        <f>VLOOKUP(AZ365,MiscData!$W$4:$Y$42,3,FALSE)</f>
        <v>GS</v>
      </c>
    </row>
    <row r="366" spans="1:55">
      <c r="A366" s="448">
        <f t="shared" si="237"/>
        <v>336</v>
      </c>
      <c r="B366" s="448" t="str">
        <f t="shared" si="199"/>
        <v>Oct 2015</v>
      </c>
      <c r="C366" s="448" t="s">
        <v>17</v>
      </c>
      <c r="D366" s="449" t="str">
        <f t="shared" si="200"/>
        <v>GS3</v>
      </c>
      <c r="E366" s="449" t="str">
        <f t="shared" si="201"/>
        <v>KUCME113</v>
      </c>
      <c r="F366" s="450">
        <f t="shared" si="202"/>
        <v>18566</v>
      </c>
      <c r="G366" s="450">
        <v>0</v>
      </c>
      <c r="H366" s="450">
        <v>0</v>
      </c>
      <c r="I366" s="450">
        <v>0</v>
      </c>
      <c r="J366" s="450">
        <f t="shared" si="203"/>
        <v>82175085</v>
      </c>
      <c r="K366" s="482">
        <f t="shared" si="204"/>
        <v>354292</v>
      </c>
      <c r="L366" s="482">
        <f t="shared" si="205"/>
        <v>0</v>
      </c>
      <c r="M366" s="482">
        <f t="shared" si="206"/>
        <v>0</v>
      </c>
      <c r="N366" s="482">
        <f t="shared" si="207"/>
        <v>0</v>
      </c>
      <c r="O366" s="482">
        <f t="shared" si="208"/>
        <v>0</v>
      </c>
      <c r="P366" s="482">
        <f t="shared" si="209"/>
        <v>0</v>
      </c>
      <c r="Q366" s="451">
        <f t="shared" si="210"/>
        <v>35</v>
      </c>
      <c r="R366" s="452">
        <f t="shared" si="211"/>
        <v>9.2249999999999999E-2</v>
      </c>
      <c r="S366" s="452">
        <v>0</v>
      </c>
      <c r="T366" s="452">
        <v>0</v>
      </c>
      <c r="U366" s="452">
        <f t="shared" si="212"/>
        <v>2.8920000000000001E-2</v>
      </c>
      <c r="V366" s="451">
        <f t="shared" si="213"/>
        <v>0</v>
      </c>
      <c r="W366" s="451">
        <f t="shared" si="214"/>
        <v>0</v>
      </c>
      <c r="X366" s="451">
        <f t="shared" si="215"/>
        <v>0</v>
      </c>
      <c r="Y366" s="453">
        <f t="shared" si="216"/>
        <v>649810</v>
      </c>
      <c r="Z366" s="453">
        <f t="shared" si="217"/>
        <v>7580651.5899999999</v>
      </c>
      <c r="AA366" s="453">
        <f t="shared" si="218"/>
        <v>0</v>
      </c>
      <c r="AB366" s="453">
        <f t="shared" si="219"/>
        <v>0</v>
      </c>
      <c r="AC366" s="453">
        <f t="shared" si="220"/>
        <v>0</v>
      </c>
      <c r="AD366" s="453">
        <f t="shared" si="221"/>
        <v>0</v>
      </c>
      <c r="AE366" s="493">
        <f t="shared" si="222"/>
        <v>8230461.5899999999</v>
      </c>
      <c r="AF366" s="453">
        <f t="shared" si="223"/>
        <v>8230468</v>
      </c>
      <c r="AG366" s="494">
        <f t="shared" si="224"/>
        <v>1.0000007788141565</v>
      </c>
      <c r="AH366" s="454">
        <f t="shared" si="225"/>
        <v>194782</v>
      </c>
      <c r="AI366" s="454">
        <f t="shared" si="226"/>
        <v>156470</v>
      </c>
      <c r="AJ366" s="454">
        <f t="shared" si="227"/>
        <v>513368</v>
      </c>
      <c r="AK366" s="454">
        <f t="shared" si="228"/>
        <v>0</v>
      </c>
      <c r="AL366" s="454">
        <f t="shared" si="229"/>
        <v>0</v>
      </c>
      <c r="AM366" s="454">
        <f t="shared" si="230"/>
        <v>9095088</v>
      </c>
      <c r="AN366" s="491">
        <f t="shared" si="231"/>
        <v>9095081.5899999999</v>
      </c>
      <c r="AO366" s="487">
        <f t="shared" si="232"/>
        <v>6.4100000001490116</v>
      </c>
      <c r="AP366" s="495">
        <f t="shared" si="233"/>
        <v>2376503.46</v>
      </c>
      <c r="AQ366" s="496">
        <f t="shared" si="234"/>
        <v>5204148.13</v>
      </c>
      <c r="AV366" s="459">
        <f>IF(BA366&gt;BA365,AV365,IF(AV365&lt;MiscData!$F$1,EOMONTH(AV365,1),EOMONTH(AV365,-11)))</f>
        <v>42308</v>
      </c>
      <c r="AW366" s="448" t="str">
        <f t="shared" si="235"/>
        <v>20140101KUCME113</v>
      </c>
      <c r="AX366" s="457" t="str">
        <f t="shared" si="236"/>
        <v>20140101GS3</v>
      </c>
      <c r="AY366" s="439">
        <f>IF(AV366&lt;=MiscData!$B$23,MiscData!$C$23,IF(AV366&lt;=MiscData!$B$24,MiscData!$C$24,MiscData!$C$25))</f>
        <v>20140101</v>
      </c>
      <c r="AZ366" s="439" t="str">
        <f>VLOOKUP(BA366,MiscData!$V$4:$W$42,2,FALSE)</f>
        <v>KUCME113</v>
      </c>
      <c r="BA366" s="439">
        <f>IF(BA365=MiscData!$V$42,1,BA365+1)</f>
        <v>12</v>
      </c>
      <c r="BB366" s="439" t="str">
        <f>VLOOKUP(AZ366,MiscData!$W$4:$Y$42,3,FALSE)</f>
        <v>GS3</v>
      </c>
    </row>
    <row r="367" spans="1:55" hidden="1">
      <c r="A367" s="448">
        <f t="shared" si="237"/>
        <v>337</v>
      </c>
      <c r="B367" s="448" t="str">
        <f t="shared" si="199"/>
        <v>Oct 2015</v>
      </c>
      <c r="C367" s="448" t="s">
        <v>203</v>
      </c>
      <c r="D367" s="449" t="str">
        <f t="shared" si="200"/>
        <v>AES</v>
      </c>
      <c r="E367" s="449" t="str">
        <f t="shared" si="201"/>
        <v>KUCME220</v>
      </c>
      <c r="F367" s="450">
        <f t="shared" si="202"/>
        <v>375</v>
      </c>
      <c r="G367" s="450">
        <v>0</v>
      </c>
      <c r="H367" s="450">
        <v>0</v>
      </c>
      <c r="I367" s="450">
        <v>0</v>
      </c>
      <c r="J367" s="450">
        <f t="shared" si="203"/>
        <v>560790</v>
      </c>
      <c r="K367" s="482">
        <f t="shared" si="204"/>
        <v>0</v>
      </c>
      <c r="L367" s="482">
        <f t="shared" si="205"/>
        <v>0</v>
      </c>
      <c r="M367" s="482">
        <f t="shared" si="206"/>
        <v>0</v>
      </c>
      <c r="N367" s="482">
        <f t="shared" si="207"/>
        <v>0</v>
      </c>
      <c r="O367" s="482">
        <f t="shared" si="208"/>
        <v>0</v>
      </c>
      <c r="P367" s="482">
        <f t="shared" si="209"/>
        <v>0</v>
      </c>
      <c r="Q367" s="451">
        <f t="shared" si="210"/>
        <v>20</v>
      </c>
      <c r="R367" s="452">
        <f t="shared" si="211"/>
        <v>7.4399999999999994E-2</v>
      </c>
      <c r="S367" s="452">
        <v>0</v>
      </c>
      <c r="T367" s="452">
        <v>0</v>
      </c>
      <c r="U367" s="452">
        <f t="shared" si="212"/>
        <v>2.8920000000000001E-2</v>
      </c>
      <c r="V367" s="451">
        <f t="shared" si="213"/>
        <v>0</v>
      </c>
      <c r="W367" s="451">
        <f t="shared" si="214"/>
        <v>0</v>
      </c>
      <c r="X367" s="451">
        <f t="shared" si="215"/>
        <v>0</v>
      </c>
      <c r="Y367" s="453">
        <f t="shared" si="216"/>
        <v>7500</v>
      </c>
      <c r="Z367" s="453">
        <f t="shared" si="217"/>
        <v>41722.78</v>
      </c>
      <c r="AA367" s="453">
        <f t="shared" si="218"/>
        <v>0</v>
      </c>
      <c r="AB367" s="453">
        <f t="shared" si="219"/>
        <v>0</v>
      </c>
      <c r="AC367" s="453">
        <f t="shared" si="220"/>
        <v>0</v>
      </c>
      <c r="AD367" s="453">
        <f t="shared" si="221"/>
        <v>0</v>
      </c>
      <c r="AE367" s="493">
        <f t="shared" si="222"/>
        <v>49222.78</v>
      </c>
      <c r="AF367" s="453">
        <f t="shared" si="223"/>
        <v>49223</v>
      </c>
      <c r="AG367" s="494">
        <f t="shared" si="224"/>
        <v>1.0000044694753121</v>
      </c>
      <c r="AH367" s="454">
        <f t="shared" si="225"/>
        <v>1329</v>
      </c>
      <c r="AI367" s="454">
        <f t="shared" si="226"/>
        <v>1068</v>
      </c>
      <c r="AJ367" s="454">
        <f t="shared" si="227"/>
        <v>3503</v>
      </c>
      <c r="AK367" s="454">
        <f t="shared" si="228"/>
        <v>0</v>
      </c>
      <c r="AL367" s="454">
        <f t="shared" si="229"/>
        <v>0</v>
      </c>
      <c r="AM367" s="454">
        <f t="shared" si="230"/>
        <v>55123</v>
      </c>
      <c r="AN367" s="491">
        <f t="shared" si="231"/>
        <v>55122.78</v>
      </c>
      <c r="AO367" s="487">
        <f t="shared" si="232"/>
        <v>0.22000000000116415</v>
      </c>
      <c r="AP367" s="495">
        <f t="shared" si="233"/>
        <v>16218.05</v>
      </c>
      <c r="AQ367" s="496">
        <f t="shared" si="234"/>
        <v>25504.73</v>
      </c>
      <c r="AV367" s="459">
        <f>IF(BA367&gt;BA366,AV366,IF(AV366&lt;MiscData!$F$1,EOMONTH(AV366,1),EOMONTH(AV366,-11)))</f>
        <v>42308</v>
      </c>
      <c r="AW367" s="448" t="str">
        <f t="shared" si="235"/>
        <v>20140101KUCME220</v>
      </c>
      <c r="AX367" s="457" t="str">
        <f t="shared" si="236"/>
        <v>20140101AES</v>
      </c>
      <c r="AY367" s="439">
        <f>IF(AV367&lt;=MiscData!$B$23,MiscData!$C$23,IF(AV367&lt;=MiscData!$B$24,MiscData!$C$24,MiscData!$C$25))</f>
        <v>20140101</v>
      </c>
      <c r="AZ367" s="439" t="str">
        <f>VLOOKUP(BA367,MiscData!$V$4:$W$42,2,FALSE)</f>
        <v>KUCME220</v>
      </c>
      <c r="BA367" s="439">
        <f>IF(BA366=MiscData!$V$42,1,BA366+1)</f>
        <v>13</v>
      </c>
      <c r="BB367" s="439" t="str">
        <f>VLOOKUP(AZ367,MiscData!$W$4:$Y$42,3,FALSE)</f>
        <v>AES</v>
      </c>
    </row>
    <row r="368" spans="1:55" hidden="1">
      <c r="A368" s="448">
        <f t="shared" si="237"/>
        <v>338</v>
      </c>
      <c r="B368" s="448" t="str">
        <f t="shared" si="199"/>
        <v>Oct 2015</v>
      </c>
      <c r="C368" s="448" t="s">
        <v>203</v>
      </c>
      <c r="D368" s="449" t="str">
        <f t="shared" si="200"/>
        <v>AES</v>
      </c>
      <c r="E368" s="449" t="str">
        <f t="shared" si="201"/>
        <v>KUCME221</v>
      </c>
      <c r="F368" s="450">
        <f t="shared" si="202"/>
        <v>0</v>
      </c>
      <c r="G368" s="450">
        <v>0</v>
      </c>
      <c r="H368" s="450">
        <v>0</v>
      </c>
      <c r="I368" s="450">
        <v>0</v>
      </c>
      <c r="J368" s="450">
        <f t="shared" si="203"/>
        <v>0</v>
      </c>
      <c r="K368" s="482">
        <f t="shared" si="204"/>
        <v>0</v>
      </c>
      <c r="L368" s="482">
        <f t="shared" si="205"/>
        <v>0</v>
      </c>
      <c r="M368" s="482">
        <f t="shared" si="206"/>
        <v>0</v>
      </c>
      <c r="N368" s="482">
        <f t="shared" si="207"/>
        <v>0</v>
      </c>
      <c r="O368" s="482">
        <f t="shared" si="208"/>
        <v>0</v>
      </c>
      <c r="P368" s="482">
        <f t="shared" si="209"/>
        <v>0</v>
      </c>
      <c r="Q368" s="451">
        <f t="shared" si="210"/>
        <v>20</v>
      </c>
      <c r="R368" s="452">
        <f t="shared" si="211"/>
        <v>7.4399999999999994E-2</v>
      </c>
      <c r="S368" s="452">
        <v>0</v>
      </c>
      <c r="T368" s="452">
        <v>0</v>
      </c>
      <c r="U368" s="452">
        <f t="shared" si="212"/>
        <v>2.8920000000000001E-2</v>
      </c>
      <c r="V368" s="451">
        <f t="shared" si="213"/>
        <v>0</v>
      </c>
      <c r="W368" s="451">
        <f t="shared" si="214"/>
        <v>0</v>
      </c>
      <c r="X368" s="451">
        <f t="shared" si="215"/>
        <v>0</v>
      </c>
      <c r="Y368" s="453">
        <f t="shared" si="216"/>
        <v>0</v>
      </c>
      <c r="Z368" s="453">
        <f t="shared" si="217"/>
        <v>0</v>
      </c>
      <c r="AA368" s="453">
        <f t="shared" si="218"/>
        <v>0</v>
      </c>
      <c r="AB368" s="453">
        <f t="shared" si="219"/>
        <v>0</v>
      </c>
      <c r="AC368" s="453">
        <f t="shared" si="220"/>
        <v>0</v>
      </c>
      <c r="AD368" s="453">
        <f t="shared" si="221"/>
        <v>0</v>
      </c>
      <c r="AE368" s="493">
        <f t="shared" si="222"/>
        <v>0</v>
      </c>
      <c r="AF368" s="453">
        <f t="shared" si="223"/>
        <v>0</v>
      </c>
      <c r="AG368" s="494">
        <f t="shared" si="224"/>
        <v>1</v>
      </c>
      <c r="AH368" s="454">
        <f t="shared" si="225"/>
        <v>0</v>
      </c>
      <c r="AI368" s="454">
        <f t="shared" si="226"/>
        <v>0</v>
      </c>
      <c r="AJ368" s="454">
        <f t="shared" si="227"/>
        <v>0</v>
      </c>
      <c r="AK368" s="454">
        <f t="shared" si="228"/>
        <v>0</v>
      </c>
      <c r="AL368" s="454">
        <f t="shared" si="229"/>
        <v>0</v>
      </c>
      <c r="AM368" s="454">
        <f t="shared" si="230"/>
        <v>0</v>
      </c>
      <c r="AN368" s="491">
        <f t="shared" si="231"/>
        <v>0</v>
      </c>
      <c r="AO368" s="487">
        <f t="shared" si="232"/>
        <v>0</v>
      </c>
      <c r="AP368" s="495">
        <f t="shared" si="233"/>
        <v>0</v>
      </c>
      <c r="AQ368" s="496">
        <f t="shared" si="234"/>
        <v>0</v>
      </c>
      <c r="AV368" s="459">
        <f>IF(BA368&gt;BA367,AV367,IF(AV367&lt;MiscData!$F$1,EOMONTH(AV367,1),EOMONTH(AV367,-11)))</f>
        <v>42308</v>
      </c>
      <c r="AW368" s="448" t="str">
        <f t="shared" si="235"/>
        <v>20140101KUCME221</v>
      </c>
      <c r="AX368" s="457" t="str">
        <f t="shared" si="236"/>
        <v>20140101AES</v>
      </c>
      <c r="AY368" s="439">
        <f>IF(AV368&lt;=MiscData!$B$23,MiscData!$C$23,IF(AV368&lt;=MiscData!$B$24,MiscData!$C$24,MiscData!$C$25))</f>
        <v>20140101</v>
      </c>
      <c r="AZ368" s="439" t="str">
        <f>VLOOKUP(BA368,MiscData!$V$4:$W$42,2,FALSE)</f>
        <v>KUCME221</v>
      </c>
      <c r="BA368" s="439">
        <f>IF(BA367=MiscData!$V$42,1,BA367+1)</f>
        <v>14</v>
      </c>
      <c r="BB368" s="439" t="str">
        <f>VLOOKUP(AZ368,MiscData!$W$4:$Y$42,3,FALSE)</f>
        <v>AES</v>
      </c>
    </row>
    <row r="369" spans="1:54" hidden="1">
      <c r="A369" s="448">
        <f t="shared" si="237"/>
        <v>339</v>
      </c>
      <c r="B369" s="448" t="str">
        <f t="shared" si="199"/>
        <v>Oct 2015</v>
      </c>
      <c r="C369" s="832" t="s">
        <v>212</v>
      </c>
      <c r="D369" s="449" t="str">
        <f t="shared" si="200"/>
        <v>AES3</v>
      </c>
      <c r="E369" s="449" t="str">
        <f t="shared" si="201"/>
        <v>KUCME223</v>
      </c>
      <c r="F369" s="450">
        <f t="shared" si="202"/>
        <v>0</v>
      </c>
      <c r="G369" s="450">
        <v>0</v>
      </c>
      <c r="H369" s="450">
        <v>0</v>
      </c>
      <c r="I369" s="450">
        <v>0</v>
      </c>
      <c r="J369" s="450">
        <f t="shared" si="203"/>
        <v>0</v>
      </c>
      <c r="K369" s="482">
        <f t="shared" si="204"/>
        <v>0</v>
      </c>
      <c r="L369" s="482">
        <f t="shared" si="205"/>
        <v>0</v>
      </c>
      <c r="M369" s="482">
        <f t="shared" si="206"/>
        <v>0</v>
      </c>
      <c r="N369" s="482">
        <f t="shared" si="207"/>
        <v>0</v>
      </c>
      <c r="O369" s="482">
        <f t="shared" si="208"/>
        <v>0</v>
      </c>
      <c r="P369" s="482">
        <f t="shared" si="209"/>
        <v>0</v>
      </c>
      <c r="Q369" s="451">
        <f t="shared" si="210"/>
        <v>35</v>
      </c>
      <c r="R369" s="452">
        <f t="shared" si="211"/>
        <v>7.4399999999999994E-2</v>
      </c>
      <c r="S369" s="452">
        <v>0</v>
      </c>
      <c r="T369" s="452">
        <v>0</v>
      </c>
      <c r="U369" s="452">
        <f t="shared" si="212"/>
        <v>2.8920000000000001E-2</v>
      </c>
      <c r="V369" s="451">
        <f t="shared" si="213"/>
        <v>0</v>
      </c>
      <c r="W369" s="451">
        <f t="shared" si="214"/>
        <v>0</v>
      </c>
      <c r="X369" s="451">
        <f t="shared" si="215"/>
        <v>0</v>
      </c>
      <c r="Y369" s="453">
        <f t="shared" si="216"/>
        <v>0</v>
      </c>
      <c r="Z369" s="453">
        <f t="shared" si="217"/>
        <v>0</v>
      </c>
      <c r="AA369" s="453">
        <f t="shared" si="218"/>
        <v>0</v>
      </c>
      <c r="AB369" s="453">
        <f t="shared" si="219"/>
        <v>0</v>
      </c>
      <c r="AC369" s="453">
        <f t="shared" si="220"/>
        <v>0</v>
      </c>
      <c r="AD369" s="453">
        <f t="shared" si="221"/>
        <v>0</v>
      </c>
      <c r="AE369" s="493">
        <f t="shared" si="222"/>
        <v>0</v>
      </c>
      <c r="AF369" s="453">
        <f t="shared" si="223"/>
        <v>0</v>
      </c>
      <c r="AG369" s="494">
        <f t="shared" si="224"/>
        <v>1</v>
      </c>
      <c r="AH369" s="454">
        <f t="shared" si="225"/>
        <v>0</v>
      </c>
      <c r="AI369" s="454">
        <f t="shared" si="226"/>
        <v>0</v>
      </c>
      <c r="AJ369" s="454">
        <f t="shared" si="227"/>
        <v>0</v>
      </c>
      <c r="AK369" s="454">
        <f t="shared" si="228"/>
        <v>0</v>
      </c>
      <c r="AL369" s="454">
        <f t="shared" si="229"/>
        <v>0</v>
      </c>
      <c r="AM369" s="454">
        <f t="shared" si="230"/>
        <v>0</v>
      </c>
      <c r="AN369" s="491">
        <f t="shared" si="231"/>
        <v>0</v>
      </c>
      <c r="AO369" s="487">
        <f t="shared" si="232"/>
        <v>0</v>
      </c>
      <c r="AP369" s="495">
        <f t="shared" si="233"/>
        <v>0</v>
      </c>
      <c r="AQ369" s="496">
        <f t="shared" si="234"/>
        <v>0</v>
      </c>
      <c r="AV369" s="459">
        <f>IF(BA369&gt;BA368,AV368,IF(AV368&lt;MiscData!$F$1,EOMONTH(AV368,1),EOMONTH(AV368,-11)))</f>
        <v>42308</v>
      </c>
      <c r="AW369" s="448" t="str">
        <f t="shared" si="235"/>
        <v>20140101KUCME223</v>
      </c>
      <c r="AX369" s="457" t="str">
        <f t="shared" si="236"/>
        <v>20140101AES3</v>
      </c>
      <c r="AY369" s="439">
        <f>IF(AV369&lt;=MiscData!$B$23,MiscData!$C$23,IF(AV369&lt;=MiscData!$B$24,MiscData!$C$24,MiscData!$C$25))</f>
        <v>20140101</v>
      </c>
      <c r="AZ369" s="439" t="str">
        <f>VLOOKUP(BA369,MiscData!$V$4:$W$42,2,FALSE)</f>
        <v>KUCME223</v>
      </c>
      <c r="BA369" s="439">
        <f>IF(BA368=MiscData!$V$42,1,BA368+1)</f>
        <v>15</v>
      </c>
      <c r="BB369" s="439" t="str">
        <f>VLOOKUP(AZ369,MiscData!$W$4:$Y$42,3,FALSE)</f>
        <v>AES3</v>
      </c>
    </row>
    <row r="370" spans="1:54" hidden="1">
      <c r="A370" s="448">
        <f t="shared" si="237"/>
        <v>340</v>
      </c>
      <c r="B370" s="448" t="str">
        <f t="shared" si="199"/>
        <v>Oct 2015</v>
      </c>
      <c r="C370" s="832" t="s">
        <v>212</v>
      </c>
      <c r="D370" s="449" t="str">
        <f t="shared" si="200"/>
        <v>AES3</v>
      </c>
      <c r="E370" s="449" t="str">
        <f t="shared" si="201"/>
        <v>KUCME224</v>
      </c>
      <c r="F370" s="450">
        <f t="shared" si="202"/>
        <v>260</v>
      </c>
      <c r="G370" s="450">
        <v>0</v>
      </c>
      <c r="H370" s="450">
        <v>0</v>
      </c>
      <c r="I370" s="450">
        <v>0</v>
      </c>
      <c r="J370" s="450">
        <f t="shared" si="203"/>
        <v>10393976</v>
      </c>
      <c r="K370" s="482">
        <f t="shared" si="204"/>
        <v>43429</v>
      </c>
      <c r="L370" s="482">
        <f t="shared" si="205"/>
        <v>0</v>
      </c>
      <c r="M370" s="482">
        <f t="shared" si="206"/>
        <v>0</v>
      </c>
      <c r="N370" s="482">
        <f t="shared" si="207"/>
        <v>0</v>
      </c>
      <c r="O370" s="482">
        <f t="shared" si="208"/>
        <v>0</v>
      </c>
      <c r="P370" s="482">
        <f t="shared" si="209"/>
        <v>0</v>
      </c>
      <c r="Q370" s="451">
        <f t="shared" si="210"/>
        <v>35</v>
      </c>
      <c r="R370" s="452">
        <f t="shared" si="211"/>
        <v>7.4399999999999994E-2</v>
      </c>
      <c r="S370" s="452">
        <v>0</v>
      </c>
      <c r="T370" s="452">
        <v>0</v>
      </c>
      <c r="U370" s="452">
        <f t="shared" si="212"/>
        <v>2.8920000000000001E-2</v>
      </c>
      <c r="V370" s="451">
        <f t="shared" si="213"/>
        <v>0</v>
      </c>
      <c r="W370" s="451">
        <f t="shared" si="214"/>
        <v>0</v>
      </c>
      <c r="X370" s="451">
        <f t="shared" si="215"/>
        <v>0</v>
      </c>
      <c r="Y370" s="453">
        <f t="shared" si="216"/>
        <v>9100</v>
      </c>
      <c r="Z370" s="453">
        <f t="shared" si="217"/>
        <v>773311.81</v>
      </c>
      <c r="AA370" s="453">
        <f t="shared" si="218"/>
        <v>0</v>
      </c>
      <c r="AB370" s="453">
        <f t="shared" si="219"/>
        <v>0</v>
      </c>
      <c r="AC370" s="453">
        <f t="shared" si="220"/>
        <v>0</v>
      </c>
      <c r="AD370" s="453">
        <f t="shared" si="221"/>
        <v>0</v>
      </c>
      <c r="AE370" s="493">
        <f t="shared" si="222"/>
        <v>782411.81</v>
      </c>
      <c r="AF370" s="453">
        <f t="shared" si="223"/>
        <v>782412</v>
      </c>
      <c r="AG370" s="494">
        <f t="shared" si="224"/>
        <v>1.0000002428388701</v>
      </c>
      <c r="AH370" s="454">
        <f t="shared" si="225"/>
        <v>24637</v>
      </c>
      <c r="AI370" s="454">
        <f t="shared" si="226"/>
        <v>19791</v>
      </c>
      <c r="AJ370" s="454">
        <f t="shared" si="227"/>
        <v>64934</v>
      </c>
      <c r="AK370" s="454">
        <f t="shared" si="228"/>
        <v>0</v>
      </c>
      <c r="AL370" s="454">
        <f t="shared" si="229"/>
        <v>0</v>
      </c>
      <c r="AM370" s="454">
        <f t="shared" si="230"/>
        <v>891774</v>
      </c>
      <c r="AN370" s="491">
        <f t="shared" si="231"/>
        <v>891773.81</v>
      </c>
      <c r="AO370" s="487">
        <f t="shared" si="232"/>
        <v>0.18999999994412065</v>
      </c>
      <c r="AP370" s="495">
        <f t="shared" si="233"/>
        <v>300593.78999999998</v>
      </c>
      <c r="AQ370" s="496">
        <f t="shared" si="234"/>
        <v>472718.02000000008</v>
      </c>
      <c r="AV370" s="459">
        <f>IF(BA370&gt;BA369,AV369,IF(AV369&lt;MiscData!$F$1,EOMONTH(AV369,1),EOMONTH(AV369,-11)))</f>
        <v>42308</v>
      </c>
      <c r="AW370" s="448" t="str">
        <f t="shared" si="235"/>
        <v>20140101KUCME224</v>
      </c>
      <c r="AX370" s="457" t="str">
        <f t="shared" si="236"/>
        <v>20140101AES3</v>
      </c>
      <c r="AY370" s="439">
        <f>IF(AV370&lt;=MiscData!$B$23,MiscData!$C$23,IF(AV370&lt;=MiscData!$B$24,MiscData!$C$24,MiscData!$C$25))</f>
        <v>20140101</v>
      </c>
      <c r="AZ370" s="439" t="str">
        <f>VLOOKUP(BA370,MiscData!$V$4:$W$42,2,FALSE)</f>
        <v>KUCME224</v>
      </c>
      <c r="BA370" s="439">
        <f>IF(BA369=MiscData!$V$42,1,BA369+1)</f>
        <v>16</v>
      </c>
      <c r="BB370" s="439" t="str">
        <f>VLOOKUP(AZ370,MiscData!$W$4:$Y$42,3,FALSE)</f>
        <v>AES3</v>
      </c>
    </row>
    <row r="371" spans="1:54" hidden="1">
      <c r="A371" s="448">
        <f t="shared" si="237"/>
        <v>341</v>
      </c>
      <c r="B371" s="448" t="str">
        <f t="shared" si="199"/>
        <v>Oct 2015</v>
      </c>
      <c r="C371" s="832" t="s">
        <v>212</v>
      </c>
      <c r="D371" s="449" t="str">
        <f t="shared" si="200"/>
        <v>AES3</v>
      </c>
      <c r="E371" s="449" t="str">
        <f t="shared" si="201"/>
        <v>KUCME225</v>
      </c>
      <c r="F371" s="450">
        <f t="shared" si="202"/>
        <v>0</v>
      </c>
      <c r="G371" s="450">
        <v>0</v>
      </c>
      <c r="H371" s="450">
        <v>0</v>
      </c>
      <c r="I371" s="450">
        <v>0</v>
      </c>
      <c r="J371" s="450">
        <f t="shared" si="203"/>
        <v>0</v>
      </c>
      <c r="K371" s="482">
        <f t="shared" si="204"/>
        <v>0</v>
      </c>
      <c r="L371" s="482">
        <f t="shared" si="205"/>
        <v>0</v>
      </c>
      <c r="M371" s="482">
        <f t="shared" si="206"/>
        <v>0</v>
      </c>
      <c r="N371" s="482">
        <f t="shared" si="207"/>
        <v>0</v>
      </c>
      <c r="O371" s="482">
        <f t="shared" si="208"/>
        <v>0</v>
      </c>
      <c r="P371" s="482">
        <f t="shared" si="209"/>
        <v>0</v>
      </c>
      <c r="Q371" s="451">
        <f t="shared" si="210"/>
        <v>35</v>
      </c>
      <c r="R371" s="452">
        <f t="shared" si="211"/>
        <v>7.4399999999999994E-2</v>
      </c>
      <c r="S371" s="452">
        <v>0</v>
      </c>
      <c r="T371" s="452">
        <v>0</v>
      </c>
      <c r="U371" s="452">
        <f t="shared" si="212"/>
        <v>2.8920000000000001E-2</v>
      </c>
      <c r="V371" s="451">
        <f t="shared" si="213"/>
        <v>0</v>
      </c>
      <c r="W371" s="451">
        <f t="shared" si="214"/>
        <v>0</v>
      </c>
      <c r="X371" s="451">
        <f t="shared" si="215"/>
        <v>0</v>
      </c>
      <c r="Y371" s="453">
        <f t="shared" si="216"/>
        <v>0</v>
      </c>
      <c r="Z371" s="453">
        <f t="shared" si="217"/>
        <v>0</v>
      </c>
      <c r="AA371" s="453">
        <f t="shared" si="218"/>
        <v>0</v>
      </c>
      <c r="AB371" s="453">
        <f t="shared" si="219"/>
        <v>0</v>
      </c>
      <c r="AC371" s="453">
        <f t="shared" si="220"/>
        <v>0</v>
      </c>
      <c r="AD371" s="453">
        <f t="shared" si="221"/>
        <v>0</v>
      </c>
      <c r="AE371" s="493">
        <f t="shared" si="222"/>
        <v>0</v>
      </c>
      <c r="AF371" s="453">
        <f t="shared" si="223"/>
        <v>0</v>
      </c>
      <c r="AG371" s="494">
        <f t="shared" si="224"/>
        <v>1</v>
      </c>
      <c r="AH371" s="454">
        <f t="shared" si="225"/>
        <v>0</v>
      </c>
      <c r="AI371" s="454">
        <f t="shared" si="226"/>
        <v>0</v>
      </c>
      <c r="AJ371" s="454">
        <f t="shared" si="227"/>
        <v>0</v>
      </c>
      <c r="AK371" s="454">
        <f t="shared" si="228"/>
        <v>0</v>
      </c>
      <c r="AL371" s="454">
        <f t="shared" si="229"/>
        <v>0</v>
      </c>
      <c r="AM371" s="454">
        <f t="shared" si="230"/>
        <v>0</v>
      </c>
      <c r="AN371" s="491">
        <f t="shared" si="231"/>
        <v>0</v>
      </c>
      <c r="AO371" s="487">
        <f t="shared" si="232"/>
        <v>0</v>
      </c>
      <c r="AP371" s="495">
        <f t="shared" si="233"/>
        <v>0</v>
      </c>
      <c r="AQ371" s="496">
        <f t="shared" si="234"/>
        <v>0</v>
      </c>
      <c r="AV371" s="459">
        <f>IF(BA371&gt;BA370,AV370,IF(AV370&lt;MiscData!$F$1,EOMONTH(AV370,1),EOMONTH(AV370,-11)))</f>
        <v>42308</v>
      </c>
      <c r="AW371" s="448" t="str">
        <f t="shared" si="235"/>
        <v>20140101KUCME225</v>
      </c>
      <c r="AX371" s="457" t="str">
        <f t="shared" si="236"/>
        <v>20140101AES3</v>
      </c>
      <c r="AY371" s="439">
        <f>IF(AV371&lt;=MiscData!$B$23,MiscData!$C$23,IF(AV371&lt;=MiscData!$B$24,MiscData!$C$24,MiscData!$C$25))</f>
        <v>20140101</v>
      </c>
      <c r="AZ371" s="439" t="str">
        <f>VLOOKUP(BA371,MiscData!$V$4:$W$42,2,FALSE)</f>
        <v>KUCME225</v>
      </c>
      <c r="BA371" s="439">
        <f>IF(BA370=MiscData!$V$42,1,BA370+1)</f>
        <v>17</v>
      </c>
      <c r="BB371" s="439" t="str">
        <f>VLOOKUP(AZ371,MiscData!$W$4:$Y$42,3,FALSE)</f>
        <v>AES3</v>
      </c>
    </row>
    <row r="372" spans="1:54" hidden="1">
      <c r="A372" s="448">
        <f t="shared" si="237"/>
        <v>342</v>
      </c>
      <c r="B372" s="448" t="str">
        <f t="shared" si="199"/>
        <v>Oct 2015</v>
      </c>
      <c r="C372" s="448" t="s">
        <v>203</v>
      </c>
      <c r="D372" s="449" t="str">
        <f t="shared" si="200"/>
        <v>AES</v>
      </c>
      <c r="E372" s="449" t="str">
        <f t="shared" si="201"/>
        <v>KUCME226</v>
      </c>
      <c r="F372" s="450">
        <f t="shared" si="202"/>
        <v>0</v>
      </c>
      <c r="G372" s="450">
        <v>0</v>
      </c>
      <c r="H372" s="450">
        <v>0</v>
      </c>
      <c r="I372" s="450">
        <v>0</v>
      </c>
      <c r="J372" s="450">
        <f t="shared" si="203"/>
        <v>0</v>
      </c>
      <c r="K372" s="482">
        <f t="shared" si="204"/>
        <v>0</v>
      </c>
      <c r="L372" s="482">
        <f t="shared" si="205"/>
        <v>0</v>
      </c>
      <c r="M372" s="482">
        <f t="shared" si="206"/>
        <v>0</v>
      </c>
      <c r="N372" s="482">
        <f t="shared" si="207"/>
        <v>0</v>
      </c>
      <c r="O372" s="482">
        <f t="shared" si="208"/>
        <v>0</v>
      </c>
      <c r="P372" s="482">
        <f t="shared" si="209"/>
        <v>0</v>
      </c>
      <c r="Q372" s="451">
        <f t="shared" si="210"/>
        <v>20</v>
      </c>
      <c r="R372" s="452">
        <f t="shared" si="211"/>
        <v>7.4399999999999994E-2</v>
      </c>
      <c r="S372" s="452">
        <v>0</v>
      </c>
      <c r="T372" s="452">
        <v>0</v>
      </c>
      <c r="U372" s="452">
        <f t="shared" si="212"/>
        <v>2.8920000000000001E-2</v>
      </c>
      <c r="V372" s="451">
        <f t="shared" si="213"/>
        <v>0</v>
      </c>
      <c r="W372" s="451">
        <f t="shared" si="214"/>
        <v>0</v>
      </c>
      <c r="X372" s="451">
        <f t="shared" si="215"/>
        <v>0</v>
      </c>
      <c r="Y372" s="453">
        <f t="shared" si="216"/>
        <v>0</v>
      </c>
      <c r="Z372" s="453">
        <f t="shared" si="217"/>
        <v>0</v>
      </c>
      <c r="AA372" s="453">
        <f t="shared" si="218"/>
        <v>0</v>
      </c>
      <c r="AB372" s="453">
        <f t="shared" si="219"/>
        <v>0</v>
      </c>
      <c r="AC372" s="453">
        <f t="shared" si="220"/>
        <v>0</v>
      </c>
      <c r="AD372" s="453">
        <f t="shared" si="221"/>
        <v>0</v>
      </c>
      <c r="AE372" s="493">
        <f t="shared" si="222"/>
        <v>0</v>
      </c>
      <c r="AF372" s="453">
        <f t="shared" si="223"/>
        <v>0</v>
      </c>
      <c r="AG372" s="494">
        <f t="shared" si="224"/>
        <v>1</v>
      </c>
      <c r="AH372" s="454">
        <f t="shared" si="225"/>
        <v>0</v>
      </c>
      <c r="AI372" s="454">
        <f t="shared" si="226"/>
        <v>0</v>
      </c>
      <c r="AJ372" s="454">
        <f t="shared" si="227"/>
        <v>0</v>
      </c>
      <c r="AK372" s="454">
        <f t="shared" si="228"/>
        <v>0</v>
      </c>
      <c r="AL372" s="454">
        <f t="shared" si="229"/>
        <v>0</v>
      </c>
      <c r="AM372" s="454">
        <f t="shared" si="230"/>
        <v>0</v>
      </c>
      <c r="AN372" s="491">
        <f t="shared" si="231"/>
        <v>0</v>
      </c>
      <c r="AO372" s="487">
        <f t="shared" si="232"/>
        <v>0</v>
      </c>
      <c r="AP372" s="495">
        <f t="shared" si="233"/>
        <v>0</v>
      </c>
      <c r="AQ372" s="496">
        <f t="shared" si="234"/>
        <v>0</v>
      </c>
      <c r="AV372" s="459">
        <f>IF(BA372&gt;BA371,AV371,IF(AV371&lt;MiscData!$F$1,EOMONTH(AV371,1),EOMONTH(AV371,-11)))</f>
        <v>42308</v>
      </c>
      <c r="AW372" s="448" t="str">
        <f t="shared" si="235"/>
        <v>20140101KUCME226</v>
      </c>
      <c r="AX372" s="457" t="str">
        <f t="shared" si="236"/>
        <v>20140101AES</v>
      </c>
      <c r="AY372" s="439">
        <f>IF(AV372&lt;=MiscData!$B$23,MiscData!$C$23,IF(AV372&lt;=MiscData!$B$24,MiscData!$C$24,MiscData!$C$25))</f>
        <v>20140101</v>
      </c>
      <c r="AZ372" s="439" t="str">
        <f>VLOOKUP(BA372,MiscData!$V$4:$W$42,2,FALSE)</f>
        <v>KUCME226</v>
      </c>
      <c r="BA372" s="439">
        <f>IF(BA371=MiscData!$V$42,1,BA371+1)</f>
        <v>18</v>
      </c>
      <c r="BB372" s="439" t="str">
        <f>VLOOKUP(AZ372,MiscData!$W$4:$Y$42,3,FALSE)</f>
        <v>AES</v>
      </c>
    </row>
    <row r="373" spans="1:54" hidden="1">
      <c r="A373" s="448">
        <f t="shared" si="237"/>
        <v>343</v>
      </c>
      <c r="B373" s="448" t="str">
        <f t="shared" si="199"/>
        <v>Oct 2015</v>
      </c>
      <c r="C373" s="832" t="s">
        <v>212</v>
      </c>
      <c r="D373" s="449" t="str">
        <f t="shared" si="200"/>
        <v>AES3</v>
      </c>
      <c r="E373" s="449" t="str">
        <f t="shared" si="201"/>
        <v>KUCME227</v>
      </c>
      <c r="F373" s="450">
        <f t="shared" si="202"/>
        <v>0</v>
      </c>
      <c r="G373" s="450">
        <v>0</v>
      </c>
      <c r="H373" s="450">
        <v>0</v>
      </c>
      <c r="I373" s="450">
        <v>0</v>
      </c>
      <c r="J373" s="450">
        <f t="shared" si="203"/>
        <v>0</v>
      </c>
      <c r="K373" s="482">
        <f t="shared" si="204"/>
        <v>0</v>
      </c>
      <c r="L373" s="482">
        <f t="shared" si="205"/>
        <v>0</v>
      </c>
      <c r="M373" s="482">
        <f t="shared" si="206"/>
        <v>0</v>
      </c>
      <c r="N373" s="482">
        <f t="shared" si="207"/>
        <v>0</v>
      </c>
      <c r="O373" s="482">
        <f t="shared" si="208"/>
        <v>0</v>
      </c>
      <c r="P373" s="482">
        <f t="shared" si="209"/>
        <v>0</v>
      </c>
      <c r="Q373" s="451">
        <f t="shared" si="210"/>
        <v>35</v>
      </c>
      <c r="R373" s="452">
        <f t="shared" si="211"/>
        <v>7.4399999999999994E-2</v>
      </c>
      <c r="S373" s="452">
        <v>0</v>
      </c>
      <c r="T373" s="452">
        <v>0</v>
      </c>
      <c r="U373" s="452">
        <f t="shared" si="212"/>
        <v>2.8920000000000001E-2</v>
      </c>
      <c r="V373" s="451">
        <f t="shared" si="213"/>
        <v>0</v>
      </c>
      <c r="W373" s="451">
        <f t="shared" si="214"/>
        <v>0</v>
      </c>
      <c r="X373" s="451">
        <f t="shared" si="215"/>
        <v>0</v>
      </c>
      <c r="Y373" s="453">
        <f t="shared" si="216"/>
        <v>0</v>
      </c>
      <c r="Z373" s="453">
        <f t="shared" si="217"/>
        <v>0</v>
      </c>
      <c r="AA373" s="453">
        <f t="shared" si="218"/>
        <v>0</v>
      </c>
      <c r="AB373" s="453">
        <f t="shared" si="219"/>
        <v>0</v>
      </c>
      <c r="AC373" s="453">
        <f t="shared" si="220"/>
        <v>0</v>
      </c>
      <c r="AD373" s="453">
        <f t="shared" si="221"/>
        <v>0</v>
      </c>
      <c r="AE373" s="493">
        <f t="shared" si="222"/>
        <v>0</v>
      </c>
      <c r="AF373" s="453">
        <f t="shared" si="223"/>
        <v>0</v>
      </c>
      <c r="AG373" s="494">
        <f t="shared" si="224"/>
        <v>1</v>
      </c>
      <c r="AH373" s="454">
        <f t="shared" si="225"/>
        <v>0</v>
      </c>
      <c r="AI373" s="454">
        <f t="shared" si="226"/>
        <v>0</v>
      </c>
      <c r="AJ373" s="454">
        <f t="shared" si="227"/>
        <v>0</v>
      </c>
      <c r="AK373" s="454">
        <f t="shared" si="228"/>
        <v>0</v>
      </c>
      <c r="AL373" s="454">
        <f t="shared" si="229"/>
        <v>0</v>
      </c>
      <c r="AM373" s="454">
        <f t="shared" si="230"/>
        <v>0</v>
      </c>
      <c r="AN373" s="491">
        <f t="shared" si="231"/>
        <v>0</v>
      </c>
      <c r="AO373" s="487">
        <f t="shared" si="232"/>
        <v>0</v>
      </c>
      <c r="AP373" s="495">
        <f t="shared" si="233"/>
        <v>0</v>
      </c>
      <c r="AQ373" s="496">
        <f t="shared" si="234"/>
        <v>0</v>
      </c>
      <c r="AV373" s="459">
        <f>IF(BA373&gt;BA372,AV372,IF(AV372&lt;MiscData!$F$1,EOMONTH(AV372,1),EOMONTH(AV372,-11)))</f>
        <v>42308</v>
      </c>
      <c r="AW373" s="448" t="str">
        <f t="shared" si="235"/>
        <v>20140101KUCME227</v>
      </c>
      <c r="AX373" s="457" t="str">
        <f t="shared" si="236"/>
        <v>20140101AES3</v>
      </c>
      <c r="AY373" s="439">
        <f>IF(AV373&lt;=MiscData!$B$23,MiscData!$C$23,IF(AV373&lt;=MiscData!$B$24,MiscData!$C$24,MiscData!$C$25))</f>
        <v>20140101</v>
      </c>
      <c r="AZ373" s="439" t="str">
        <f>VLOOKUP(BA373,MiscData!$V$4:$W$42,2,FALSE)</f>
        <v>KUCME227</v>
      </c>
      <c r="BA373" s="439">
        <f>IF(BA372=MiscData!$V$42,1,BA372+1)</f>
        <v>19</v>
      </c>
      <c r="BB373" s="439" t="str">
        <f>VLOOKUP(AZ373,MiscData!$W$4:$Y$42,3,FALSE)</f>
        <v>AES3</v>
      </c>
    </row>
    <row r="374" spans="1:54" hidden="1">
      <c r="A374" s="448">
        <f t="shared" si="237"/>
        <v>344</v>
      </c>
      <c r="B374" s="448" t="str">
        <f t="shared" si="199"/>
        <v>Oct 2015</v>
      </c>
      <c r="C374" s="448" t="s">
        <v>19</v>
      </c>
      <c r="D374" s="449" t="str">
        <f t="shared" si="200"/>
        <v>LE</v>
      </c>
      <c r="E374" s="449" t="str">
        <f t="shared" si="201"/>
        <v>KUCME290</v>
      </c>
      <c r="F374" s="450">
        <f t="shared" si="202"/>
        <v>2</v>
      </c>
      <c r="G374" s="450">
        <v>0</v>
      </c>
      <c r="H374" s="450">
        <v>0</v>
      </c>
      <c r="I374" s="450">
        <v>0</v>
      </c>
      <c r="J374" s="450">
        <f t="shared" si="203"/>
        <v>13752</v>
      </c>
      <c r="K374" s="482">
        <f t="shared" si="204"/>
        <v>0</v>
      </c>
      <c r="L374" s="482">
        <f t="shared" si="205"/>
        <v>0</v>
      </c>
      <c r="M374" s="482">
        <f t="shared" si="206"/>
        <v>0</v>
      </c>
      <c r="N374" s="482">
        <f t="shared" si="207"/>
        <v>0</v>
      </c>
      <c r="O374" s="482">
        <f t="shared" si="208"/>
        <v>0</v>
      </c>
      <c r="P374" s="482">
        <f t="shared" si="209"/>
        <v>0</v>
      </c>
      <c r="Q374" s="451">
        <f t="shared" si="210"/>
        <v>0</v>
      </c>
      <c r="R374" s="452">
        <f t="shared" si="211"/>
        <v>6.3799999999999996E-2</v>
      </c>
      <c r="S374" s="452">
        <v>0</v>
      </c>
      <c r="T374" s="452">
        <v>0</v>
      </c>
      <c r="U374" s="452">
        <f t="shared" si="212"/>
        <v>2.8920000000000001E-2</v>
      </c>
      <c r="V374" s="451">
        <f t="shared" si="213"/>
        <v>0</v>
      </c>
      <c r="W374" s="451">
        <f t="shared" si="214"/>
        <v>0</v>
      </c>
      <c r="X374" s="451">
        <f t="shared" si="215"/>
        <v>0</v>
      </c>
      <c r="Y374" s="453">
        <f t="shared" si="216"/>
        <v>0</v>
      </c>
      <c r="Z374" s="453">
        <f t="shared" si="217"/>
        <v>877.38</v>
      </c>
      <c r="AA374" s="453">
        <f t="shared" si="218"/>
        <v>0</v>
      </c>
      <c r="AB374" s="453">
        <f t="shared" si="219"/>
        <v>0</v>
      </c>
      <c r="AC374" s="453">
        <f t="shared" si="220"/>
        <v>0</v>
      </c>
      <c r="AD374" s="453">
        <f t="shared" si="221"/>
        <v>0</v>
      </c>
      <c r="AE374" s="493">
        <f t="shared" si="222"/>
        <v>877.38</v>
      </c>
      <c r="AF374" s="453">
        <f t="shared" si="223"/>
        <v>0</v>
      </c>
      <c r="AG374" s="494">
        <f t="shared" si="224"/>
        <v>0</v>
      </c>
      <c r="AH374" s="454">
        <f t="shared" si="225"/>
        <v>0</v>
      </c>
      <c r="AI374" s="454">
        <f t="shared" si="226"/>
        <v>0</v>
      </c>
      <c r="AJ374" s="454">
        <f t="shared" si="227"/>
        <v>0</v>
      </c>
      <c r="AK374" s="454">
        <f t="shared" si="228"/>
        <v>0</v>
      </c>
      <c r="AL374" s="454">
        <f t="shared" si="229"/>
        <v>0</v>
      </c>
      <c r="AM374" s="454">
        <f t="shared" si="230"/>
        <v>0</v>
      </c>
      <c r="AN374" s="491">
        <f t="shared" si="231"/>
        <v>877.38</v>
      </c>
      <c r="AO374" s="487">
        <f t="shared" si="232"/>
        <v>-877.38</v>
      </c>
      <c r="AP374" s="495">
        <f t="shared" si="233"/>
        <v>397.71</v>
      </c>
      <c r="AQ374" s="496">
        <f t="shared" si="234"/>
        <v>479.67</v>
      </c>
      <c r="AV374" s="459">
        <f>IF(BA374&gt;BA373,AV373,IF(AV373&lt;MiscData!$F$1,EOMONTH(AV373,1),EOMONTH(AV373,-11)))</f>
        <v>42308</v>
      </c>
      <c r="AW374" s="448" t="str">
        <f t="shared" si="235"/>
        <v>20140101KUCME290</v>
      </c>
      <c r="AX374" s="457" t="str">
        <f t="shared" si="236"/>
        <v>20140101LE</v>
      </c>
      <c r="AY374" s="439">
        <f>IF(AV374&lt;=MiscData!$B$23,MiscData!$C$23,IF(AV374&lt;=MiscData!$B$24,MiscData!$C$24,MiscData!$C$25))</f>
        <v>20140101</v>
      </c>
      <c r="AZ374" s="439" t="str">
        <f>VLOOKUP(BA374,MiscData!$V$4:$W$42,2,FALSE)</f>
        <v>KUCME290</v>
      </c>
      <c r="BA374" s="439">
        <f>IF(BA373=MiscData!$V$42,1,BA373+1)</f>
        <v>20</v>
      </c>
      <c r="BB374" s="439" t="str">
        <f>VLOOKUP(AZ374,MiscData!$W$4:$Y$42,3,FALSE)</f>
        <v>LE</v>
      </c>
    </row>
    <row r="375" spans="1:54" hidden="1">
      <c r="A375" s="448">
        <f t="shared" si="237"/>
        <v>345</v>
      </c>
      <c r="B375" s="448" t="str">
        <f t="shared" si="199"/>
        <v>Oct 2015</v>
      </c>
      <c r="C375" s="448" t="s">
        <v>19</v>
      </c>
      <c r="D375" s="449" t="str">
        <f t="shared" si="200"/>
        <v>LE</v>
      </c>
      <c r="E375" s="449" t="str">
        <f t="shared" si="201"/>
        <v>KUCME291</v>
      </c>
      <c r="F375" s="450">
        <f t="shared" si="202"/>
        <v>0</v>
      </c>
      <c r="G375" s="450">
        <v>0</v>
      </c>
      <c r="H375" s="450">
        <v>0</v>
      </c>
      <c r="I375" s="450">
        <v>0</v>
      </c>
      <c r="J375" s="450">
        <f t="shared" si="203"/>
        <v>0</v>
      </c>
      <c r="K375" s="482">
        <f t="shared" si="204"/>
        <v>0</v>
      </c>
      <c r="L375" s="482">
        <f t="shared" si="205"/>
        <v>0</v>
      </c>
      <c r="M375" s="482">
        <f t="shared" si="206"/>
        <v>0</v>
      </c>
      <c r="N375" s="482">
        <f t="shared" si="207"/>
        <v>0</v>
      </c>
      <c r="O375" s="482">
        <f t="shared" si="208"/>
        <v>0</v>
      </c>
      <c r="P375" s="482">
        <f t="shared" si="209"/>
        <v>0</v>
      </c>
      <c r="Q375" s="451">
        <f t="shared" si="210"/>
        <v>0</v>
      </c>
      <c r="R375" s="452">
        <f t="shared" si="211"/>
        <v>6.3799999999999996E-2</v>
      </c>
      <c r="S375" s="452">
        <v>0</v>
      </c>
      <c r="T375" s="452">
        <v>0</v>
      </c>
      <c r="U375" s="452">
        <f t="shared" si="212"/>
        <v>2.8920000000000001E-2</v>
      </c>
      <c r="V375" s="451">
        <f t="shared" si="213"/>
        <v>0</v>
      </c>
      <c r="W375" s="451">
        <f t="shared" si="214"/>
        <v>0</v>
      </c>
      <c r="X375" s="451">
        <f t="shared" si="215"/>
        <v>0</v>
      </c>
      <c r="Y375" s="453">
        <f t="shared" si="216"/>
        <v>0</v>
      </c>
      <c r="Z375" s="453">
        <f t="shared" si="217"/>
        <v>0</v>
      </c>
      <c r="AA375" s="453">
        <f t="shared" si="218"/>
        <v>0</v>
      </c>
      <c r="AB375" s="453">
        <f t="shared" si="219"/>
        <v>0</v>
      </c>
      <c r="AC375" s="453">
        <f t="shared" si="220"/>
        <v>0</v>
      </c>
      <c r="AD375" s="453">
        <f t="shared" si="221"/>
        <v>0</v>
      </c>
      <c r="AE375" s="493">
        <f t="shared" si="222"/>
        <v>0</v>
      </c>
      <c r="AF375" s="453">
        <f t="shared" si="223"/>
        <v>0</v>
      </c>
      <c r="AG375" s="494">
        <f t="shared" si="224"/>
        <v>1</v>
      </c>
      <c r="AH375" s="454">
        <f t="shared" si="225"/>
        <v>0</v>
      </c>
      <c r="AI375" s="454">
        <f t="shared" si="226"/>
        <v>0</v>
      </c>
      <c r="AJ375" s="454">
        <f t="shared" si="227"/>
        <v>0</v>
      </c>
      <c r="AK375" s="454">
        <f t="shared" si="228"/>
        <v>0</v>
      </c>
      <c r="AL375" s="454">
        <f t="shared" si="229"/>
        <v>0</v>
      </c>
      <c r="AM375" s="454">
        <f t="shared" si="230"/>
        <v>0</v>
      </c>
      <c r="AN375" s="491">
        <f t="shared" si="231"/>
        <v>0</v>
      </c>
      <c r="AO375" s="487">
        <f t="shared" si="232"/>
        <v>0</v>
      </c>
      <c r="AP375" s="495">
        <f t="shared" si="233"/>
        <v>0</v>
      </c>
      <c r="AQ375" s="496">
        <f t="shared" si="234"/>
        <v>0</v>
      </c>
      <c r="AV375" s="459">
        <f>IF(BA375&gt;BA374,AV374,IF(AV374&lt;MiscData!$F$1,EOMONTH(AV374,1),EOMONTH(AV374,-11)))</f>
        <v>42308</v>
      </c>
      <c r="AW375" s="448" t="str">
        <f t="shared" si="235"/>
        <v>20140101KUCME291</v>
      </c>
      <c r="AX375" s="457" t="str">
        <f t="shared" si="236"/>
        <v>20140101LE</v>
      </c>
      <c r="AY375" s="439">
        <f>IF(AV375&lt;=MiscData!$B$23,MiscData!$C$23,IF(AV375&lt;=MiscData!$B$24,MiscData!$C$24,MiscData!$C$25))</f>
        <v>20140101</v>
      </c>
      <c r="AZ375" s="439" t="str">
        <f>VLOOKUP(BA375,MiscData!$V$4:$W$42,2,FALSE)</f>
        <v>KUCME291</v>
      </c>
      <c r="BA375" s="439">
        <f>IF(BA374=MiscData!$V$42,1,BA374+1)</f>
        <v>21</v>
      </c>
      <c r="BB375" s="439" t="str">
        <f>VLOOKUP(AZ375,MiscData!$W$4:$Y$42,3,FALSE)</f>
        <v>LE</v>
      </c>
    </row>
    <row r="376" spans="1:54" hidden="1">
      <c r="A376" s="448">
        <f t="shared" si="237"/>
        <v>346</v>
      </c>
      <c r="B376" s="448" t="str">
        <f t="shared" si="199"/>
        <v>Oct 2015</v>
      </c>
      <c r="C376" s="448" t="s">
        <v>20</v>
      </c>
      <c r="D376" s="449" t="str">
        <f t="shared" si="200"/>
        <v>TE</v>
      </c>
      <c r="E376" s="449" t="str">
        <f t="shared" si="201"/>
        <v>KUCME295</v>
      </c>
      <c r="F376" s="450">
        <f t="shared" si="202"/>
        <v>747</v>
      </c>
      <c r="G376" s="450">
        <v>0</v>
      </c>
      <c r="H376" s="450">
        <v>0</v>
      </c>
      <c r="I376" s="450">
        <v>0</v>
      </c>
      <c r="J376" s="450">
        <f t="shared" si="203"/>
        <v>95410</v>
      </c>
      <c r="K376" s="482">
        <f t="shared" si="204"/>
        <v>0</v>
      </c>
      <c r="L376" s="482">
        <f t="shared" si="205"/>
        <v>0</v>
      </c>
      <c r="M376" s="482">
        <f t="shared" si="206"/>
        <v>0</v>
      </c>
      <c r="N376" s="482">
        <f t="shared" si="207"/>
        <v>0</v>
      </c>
      <c r="O376" s="482">
        <f t="shared" si="208"/>
        <v>0</v>
      </c>
      <c r="P376" s="482">
        <f t="shared" si="209"/>
        <v>0</v>
      </c>
      <c r="Q376" s="451">
        <f t="shared" si="210"/>
        <v>3.25</v>
      </c>
      <c r="R376" s="452">
        <f t="shared" si="211"/>
        <v>7.9780000000000004E-2</v>
      </c>
      <c r="S376" s="452">
        <v>0</v>
      </c>
      <c r="T376" s="452">
        <v>0</v>
      </c>
      <c r="U376" s="452">
        <f t="shared" si="212"/>
        <v>2.8920000000000001E-2</v>
      </c>
      <c r="V376" s="451">
        <f t="shared" si="213"/>
        <v>0</v>
      </c>
      <c r="W376" s="451">
        <f t="shared" si="214"/>
        <v>0</v>
      </c>
      <c r="X376" s="451">
        <f t="shared" si="215"/>
        <v>0</v>
      </c>
      <c r="Y376" s="453">
        <f t="shared" si="216"/>
        <v>2427.75</v>
      </c>
      <c r="Z376" s="453">
        <f t="shared" si="217"/>
        <v>7611.81</v>
      </c>
      <c r="AA376" s="453">
        <f t="shared" si="218"/>
        <v>0</v>
      </c>
      <c r="AB376" s="453">
        <f t="shared" si="219"/>
        <v>0</v>
      </c>
      <c r="AC376" s="453">
        <f t="shared" si="220"/>
        <v>0</v>
      </c>
      <c r="AD376" s="453">
        <f t="shared" si="221"/>
        <v>0</v>
      </c>
      <c r="AE376" s="493">
        <f t="shared" si="222"/>
        <v>10039.560000000001</v>
      </c>
      <c r="AF376" s="453">
        <f t="shared" si="223"/>
        <v>0</v>
      </c>
      <c r="AG376" s="494">
        <f t="shared" si="224"/>
        <v>0</v>
      </c>
      <c r="AH376" s="454">
        <f t="shared" si="225"/>
        <v>0</v>
      </c>
      <c r="AI376" s="454">
        <f t="shared" si="226"/>
        <v>0</v>
      </c>
      <c r="AJ376" s="454">
        <f t="shared" si="227"/>
        <v>0</v>
      </c>
      <c r="AK376" s="454">
        <f t="shared" si="228"/>
        <v>0</v>
      </c>
      <c r="AL376" s="454">
        <f t="shared" si="229"/>
        <v>0</v>
      </c>
      <c r="AM376" s="454">
        <f t="shared" si="230"/>
        <v>0</v>
      </c>
      <c r="AN376" s="491">
        <f t="shared" si="231"/>
        <v>10039.560000000001</v>
      </c>
      <c r="AO376" s="487">
        <f t="shared" si="232"/>
        <v>-10039.560000000001</v>
      </c>
      <c r="AP376" s="495">
        <f t="shared" si="233"/>
        <v>2759.26</v>
      </c>
      <c r="AQ376" s="496">
        <f t="shared" si="234"/>
        <v>4852.55</v>
      </c>
      <c r="AV376" s="459">
        <f>IF(BA376&gt;BA375,AV375,IF(AV375&lt;MiscData!$F$1,EOMONTH(AV375,1),EOMONTH(AV375,-11)))</f>
        <v>42308</v>
      </c>
      <c r="AW376" s="448" t="str">
        <f t="shared" si="235"/>
        <v>20140101KUCME295</v>
      </c>
      <c r="AX376" s="457" t="str">
        <f t="shared" si="236"/>
        <v>20140101TE</v>
      </c>
      <c r="AY376" s="439">
        <f>IF(AV376&lt;=MiscData!$B$23,MiscData!$C$23,IF(AV376&lt;=MiscData!$B$24,MiscData!$C$24,MiscData!$C$25))</f>
        <v>20140101</v>
      </c>
      <c r="AZ376" s="439" t="str">
        <f>VLOOKUP(BA376,MiscData!$V$4:$W$42,2,FALSE)</f>
        <v>KUCME295</v>
      </c>
      <c r="BA376" s="439">
        <f>IF(BA375=MiscData!$V$42,1,BA375+1)</f>
        <v>22</v>
      </c>
      <c r="BB376" s="439" t="str">
        <f>VLOOKUP(AZ376,MiscData!$W$4:$Y$42,3,FALSE)</f>
        <v>TE</v>
      </c>
    </row>
    <row r="377" spans="1:54" hidden="1">
      <c r="A377" s="448">
        <f t="shared" si="237"/>
        <v>347</v>
      </c>
      <c r="B377" s="448" t="str">
        <f t="shared" si="199"/>
        <v>Oct 2015</v>
      </c>
      <c r="C377" s="448" t="s">
        <v>20</v>
      </c>
      <c r="D377" s="449" t="str">
        <f t="shared" si="200"/>
        <v>TE</v>
      </c>
      <c r="E377" s="449" t="str">
        <f t="shared" si="201"/>
        <v>KUCME297</v>
      </c>
      <c r="F377" s="450">
        <f t="shared" si="202"/>
        <v>0</v>
      </c>
      <c r="G377" s="450">
        <v>0</v>
      </c>
      <c r="H377" s="450">
        <v>0</v>
      </c>
      <c r="I377" s="450">
        <v>0</v>
      </c>
      <c r="J377" s="450">
        <f t="shared" si="203"/>
        <v>0</v>
      </c>
      <c r="K377" s="482">
        <f t="shared" si="204"/>
        <v>0</v>
      </c>
      <c r="L377" s="482">
        <f t="shared" si="205"/>
        <v>0</v>
      </c>
      <c r="M377" s="482">
        <f t="shared" si="206"/>
        <v>0</v>
      </c>
      <c r="N377" s="482">
        <f t="shared" si="207"/>
        <v>0</v>
      </c>
      <c r="O377" s="482">
        <f t="shared" si="208"/>
        <v>0</v>
      </c>
      <c r="P377" s="482">
        <f t="shared" si="209"/>
        <v>0</v>
      </c>
      <c r="Q377" s="451">
        <f t="shared" si="210"/>
        <v>3.25</v>
      </c>
      <c r="R377" s="452">
        <f t="shared" si="211"/>
        <v>7.9780000000000004E-2</v>
      </c>
      <c r="S377" s="452">
        <v>0</v>
      </c>
      <c r="T377" s="452">
        <v>0</v>
      </c>
      <c r="U377" s="452">
        <f t="shared" si="212"/>
        <v>2.8920000000000001E-2</v>
      </c>
      <c r="V377" s="451">
        <f t="shared" si="213"/>
        <v>0</v>
      </c>
      <c r="W377" s="451">
        <f t="shared" si="214"/>
        <v>0</v>
      </c>
      <c r="X377" s="451">
        <f t="shared" si="215"/>
        <v>0</v>
      </c>
      <c r="Y377" s="453">
        <f t="shared" si="216"/>
        <v>0</v>
      </c>
      <c r="Z377" s="453">
        <f t="shared" si="217"/>
        <v>0</v>
      </c>
      <c r="AA377" s="453">
        <f t="shared" si="218"/>
        <v>0</v>
      </c>
      <c r="AB377" s="453">
        <f t="shared" si="219"/>
        <v>0</v>
      </c>
      <c r="AC377" s="453">
        <f t="shared" si="220"/>
        <v>0</v>
      </c>
      <c r="AD377" s="453">
        <f t="shared" si="221"/>
        <v>0</v>
      </c>
      <c r="AE377" s="493">
        <f t="shared" si="222"/>
        <v>0</v>
      </c>
      <c r="AF377" s="453">
        <f t="shared" si="223"/>
        <v>0</v>
      </c>
      <c r="AG377" s="494">
        <f t="shared" si="224"/>
        <v>1</v>
      </c>
      <c r="AH377" s="454">
        <f t="shared" si="225"/>
        <v>0</v>
      </c>
      <c r="AI377" s="454">
        <f t="shared" si="226"/>
        <v>0</v>
      </c>
      <c r="AJ377" s="454">
        <f t="shared" si="227"/>
        <v>0</v>
      </c>
      <c r="AK377" s="454">
        <f t="shared" si="228"/>
        <v>0</v>
      </c>
      <c r="AL377" s="454">
        <f t="shared" si="229"/>
        <v>0</v>
      </c>
      <c r="AM377" s="454">
        <f t="shared" si="230"/>
        <v>0</v>
      </c>
      <c r="AN377" s="491">
        <f t="shared" si="231"/>
        <v>0</v>
      </c>
      <c r="AO377" s="487">
        <f t="shared" si="232"/>
        <v>0</v>
      </c>
      <c r="AP377" s="495">
        <f t="shared" si="233"/>
        <v>0</v>
      </c>
      <c r="AQ377" s="496">
        <f t="shared" si="234"/>
        <v>0</v>
      </c>
      <c r="AV377" s="459">
        <f>IF(BA377&gt;BA376,AV376,IF(AV376&lt;MiscData!$F$1,EOMONTH(AV376,1),EOMONTH(AV376,-11)))</f>
        <v>42308</v>
      </c>
      <c r="AW377" s="448" t="str">
        <f t="shared" si="235"/>
        <v>20140101KUCME297</v>
      </c>
      <c r="AX377" s="457" t="str">
        <f t="shared" si="236"/>
        <v>20140101TE</v>
      </c>
      <c r="AY377" s="439">
        <f>IF(AV377&lt;=MiscData!$B$23,MiscData!$C$23,IF(AV377&lt;=MiscData!$B$24,MiscData!$C$24,MiscData!$C$25))</f>
        <v>20140101</v>
      </c>
      <c r="AZ377" s="439" t="str">
        <f>VLOOKUP(BA377,MiscData!$V$4:$W$42,2,FALSE)</f>
        <v>KUCME297</v>
      </c>
      <c r="BA377" s="439">
        <f>IF(BA376=MiscData!$V$42,1,BA376+1)</f>
        <v>23</v>
      </c>
      <c r="BB377" s="439" t="str">
        <f>VLOOKUP(AZ377,MiscData!$W$4:$Y$42,3,FALSE)</f>
        <v>TE</v>
      </c>
    </row>
    <row r="378" spans="1:54" hidden="1">
      <c r="A378" s="448">
        <f t="shared" si="237"/>
        <v>348</v>
      </c>
      <c r="B378" s="448" t="str">
        <f t="shared" si="199"/>
        <v>Oct 2015</v>
      </c>
      <c r="C378" s="448" t="s">
        <v>690</v>
      </c>
      <c r="D378" s="449" t="str">
        <f t="shared" si="200"/>
        <v>SQF</v>
      </c>
      <c r="E378" s="449" t="str">
        <f t="shared" si="201"/>
        <v>KUCME705</v>
      </c>
      <c r="F378" s="450">
        <f t="shared" si="202"/>
        <v>0</v>
      </c>
      <c r="G378" s="450">
        <v>0</v>
      </c>
      <c r="H378" s="450">
        <v>0</v>
      </c>
      <c r="I378" s="450">
        <v>0</v>
      </c>
      <c r="J378" s="450">
        <f t="shared" si="203"/>
        <v>0</v>
      </c>
      <c r="K378" s="482">
        <f t="shared" si="204"/>
        <v>0</v>
      </c>
      <c r="L378" s="482">
        <f t="shared" si="205"/>
        <v>0</v>
      </c>
      <c r="M378" s="482">
        <f t="shared" si="206"/>
        <v>0</v>
      </c>
      <c r="N378" s="482">
        <f t="shared" si="207"/>
        <v>0</v>
      </c>
      <c r="O378" s="482">
        <f t="shared" si="208"/>
        <v>0</v>
      </c>
      <c r="P378" s="482">
        <f t="shared" si="209"/>
        <v>0</v>
      </c>
      <c r="Q378" s="451">
        <f t="shared" si="210"/>
        <v>0</v>
      </c>
      <c r="R378" s="452">
        <f t="shared" si="211"/>
        <v>0</v>
      </c>
      <c r="S378" s="452">
        <v>0</v>
      </c>
      <c r="T378" s="452">
        <v>0</v>
      </c>
      <c r="U378" s="452">
        <f t="shared" si="212"/>
        <v>0</v>
      </c>
      <c r="V378" s="451">
        <f t="shared" si="213"/>
        <v>0</v>
      </c>
      <c r="W378" s="451">
        <f t="shared" si="214"/>
        <v>0</v>
      </c>
      <c r="X378" s="451">
        <f t="shared" si="215"/>
        <v>0</v>
      </c>
      <c r="Y378" s="453">
        <f t="shared" si="216"/>
        <v>0</v>
      </c>
      <c r="Z378" s="453">
        <f t="shared" si="217"/>
        <v>0</v>
      </c>
      <c r="AA378" s="453">
        <f t="shared" si="218"/>
        <v>0</v>
      </c>
      <c r="AB378" s="453">
        <f t="shared" si="219"/>
        <v>0</v>
      </c>
      <c r="AC378" s="453">
        <f t="shared" si="220"/>
        <v>0</v>
      </c>
      <c r="AD378" s="453">
        <f t="shared" si="221"/>
        <v>0</v>
      </c>
      <c r="AE378" s="493">
        <f t="shared" si="222"/>
        <v>0</v>
      </c>
      <c r="AF378" s="453">
        <f t="shared" si="223"/>
        <v>0</v>
      </c>
      <c r="AG378" s="494">
        <f t="shared" si="224"/>
        <v>1</v>
      </c>
      <c r="AH378" s="454">
        <f t="shared" si="225"/>
        <v>0</v>
      </c>
      <c r="AI378" s="454">
        <f t="shared" si="226"/>
        <v>0</v>
      </c>
      <c r="AJ378" s="454">
        <f t="shared" si="227"/>
        <v>0</v>
      </c>
      <c r="AK378" s="454">
        <f t="shared" si="228"/>
        <v>0</v>
      </c>
      <c r="AL378" s="454">
        <f t="shared" si="229"/>
        <v>0</v>
      </c>
      <c r="AM378" s="454">
        <f t="shared" si="230"/>
        <v>0</v>
      </c>
      <c r="AN378" s="491">
        <f t="shared" si="231"/>
        <v>0</v>
      </c>
      <c r="AO378" s="487">
        <f t="shared" si="232"/>
        <v>0</v>
      </c>
      <c r="AP378" s="495">
        <f t="shared" si="233"/>
        <v>0</v>
      </c>
      <c r="AQ378" s="496">
        <f t="shared" si="234"/>
        <v>0</v>
      </c>
      <c r="AV378" s="459">
        <f>IF(BA378&gt;BA377,AV377,IF(AV377&lt;MiscData!$F$1,EOMONTH(AV377,1),EOMONTH(AV377,-11)))</f>
        <v>42308</v>
      </c>
      <c r="AW378" s="448" t="str">
        <f t="shared" si="235"/>
        <v>20140101KUCME705</v>
      </c>
      <c r="AX378" s="457" t="str">
        <f t="shared" si="236"/>
        <v>20140101SQF</v>
      </c>
      <c r="AY378" s="439">
        <f>IF(AV378&lt;=MiscData!$B$23,MiscData!$C$23,IF(AV378&lt;=MiscData!$B$24,MiscData!$C$24,MiscData!$C$25))</f>
        <v>20140101</v>
      </c>
      <c r="AZ378" s="439" t="str">
        <f>VLOOKUP(BA378,MiscData!$V$4:$W$42,2,FALSE)</f>
        <v>KUCME705</v>
      </c>
      <c r="BA378" s="439">
        <f>IF(BA377=MiscData!$V$42,1,BA377+1)</f>
        <v>24</v>
      </c>
      <c r="BB378" s="439" t="str">
        <f>VLOOKUP(AZ378,MiscData!$W$4:$Y$42,3,FALSE)</f>
        <v>SQF</v>
      </c>
    </row>
    <row r="379" spans="1:54" hidden="1">
      <c r="A379" s="448">
        <f t="shared" si="237"/>
        <v>349</v>
      </c>
      <c r="B379" s="448" t="str">
        <f t="shared" si="199"/>
        <v>Oct 2015</v>
      </c>
      <c r="C379" s="448" t="s">
        <v>1156</v>
      </c>
      <c r="D379" s="449" t="str">
        <f t="shared" si="200"/>
        <v>LQF</v>
      </c>
      <c r="E379" s="449" t="str">
        <f t="shared" si="201"/>
        <v>KUCME707</v>
      </c>
      <c r="F379" s="450">
        <f t="shared" si="202"/>
        <v>0</v>
      </c>
      <c r="G379" s="450">
        <v>0</v>
      </c>
      <c r="H379" s="450">
        <v>0</v>
      </c>
      <c r="I379" s="450">
        <v>0</v>
      </c>
      <c r="J379" s="450">
        <f t="shared" si="203"/>
        <v>0</v>
      </c>
      <c r="K379" s="482">
        <f t="shared" si="204"/>
        <v>0</v>
      </c>
      <c r="L379" s="482">
        <f t="shared" si="205"/>
        <v>0</v>
      </c>
      <c r="M379" s="482">
        <f t="shared" si="206"/>
        <v>0</v>
      </c>
      <c r="N379" s="482">
        <f t="shared" si="207"/>
        <v>0</v>
      </c>
      <c r="O379" s="482">
        <f t="shared" si="208"/>
        <v>0</v>
      </c>
      <c r="P379" s="482">
        <f t="shared" si="209"/>
        <v>0</v>
      </c>
      <c r="Q379" s="451">
        <f t="shared" si="210"/>
        <v>0</v>
      </c>
      <c r="R379" s="452">
        <f t="shared" si="211"/>
        <v>0</v>
      </c>
      <c r="S379" s="452">
        <v>0</v>
      </c>
      <c r="T379" s="452">
        <v>0</v>
      </c>
      <c r="U379" s="452">
        <f t="shared" si="212"/>
        <v>0</v>
      </c>
      <c r="V379" s="451">
        <f t="shared" si="213"/>
        <v>0</v>
      </c>
      <c r="W379" s="451">
        <f t="shared" si="214"/>
        <v>0</v>
      </c>
      <c r="X379" s="451">
        <f t="shared" si="215"/>
        <v>0</v>
      </c>
      <c r="Y379" s="453">
        <f t="shared" si="216"/>
        <v>0</v>
      </c>
      <c r="Z379" s="453">
        <f t="shared" si="217"/>
        <v>0</v>
      </c>
      <c r="AA379" s="453">
        <f t="shared" si="218"/>
        <v>0</v>
      </c>
      <c r="AB379" s="453">
        <f t="shared" si="219"/>
        <v>0</v>
      </c>
      <c r="AC379" s="453">
        <f t="shared" si="220"/>
        <v>0</v>
      </c>
      <c r="AD379" s="453">
        <f t="shared" si="221"/>
        <v>0</v>
      </c>
      <c r="AE379" s="493">
        <f t="shared" si="222"/>
        <v>0</v>
      </c>
      <c r="AF379" s="453">
        <f t="shared" si="223"/>
        <v>0</v>
      </c>
      <c r="AG379" s="494">
        <f t="shared" si="224"/>
        <v>1</v>
      </c>
      <c r="AH379" s="454">
        <f t="shared" si="225"/>
        <v>0</v>
      </c>
      <c r="AI379" s="454">
        <f t="shared" si="226"/>
        <v>0</v>
      </c>
      <c r="AJ379" s="454">
        <f t="shared" si="227"/>
        <v>0</v>
      </c>
      <c r="AK379" s="454">
        <f t="shared" si="228"/>
        <v>0</v>
      </c>
      <c r="AL379" s="454">
        <f t="shared" si="229"/>
        <v>0</v>
      </c>
      <c r="AM379" s="454">
        <f t="shared" si="230"/>
        <v>0</v>
      </c>
      <c r="AN379" s="491">
        <f t="shared" si="231"/>
        <v>0</v>
      </c>
      <c r="AO379" s="487">
        <f t="shared" si="232"/>
        <v>0</v>
      </c>
      <c r="AP379" s="495">
        <f t="shared" si="233"/>
        <v>0</v>
      </c>
      <c r="AQ379" s="496">
        <f t="shared" si="234"/>
        <v>0</v>
      </c>
      <c r="AV379" s="459">
        <f>IF(BA379&gt;BA378,AV378,IF(AV378&lt;MiscData!$F$1,EOMONTH(AV378,1),EOMONTH(AV378,-11)))</f>
        <v>42308</v>
      </c>
      <c r="AW379" s="448" t="str">
        <f t="shared" si="235"/>
        <v>20140101KUCME707</v>
      </c>
      <c r="AX379" s="457" t="str">
        <f t="shared" si="236"/>
        <v>20140101LQF</v>
      </c>
      <c r="AY379" s="439">
        <f>IF(AV379&lt;=MiscData!$B$23,MiscData!$C$23,IF(AV379&lt;=MiscData!$B$24,MiscData!$C$24,MiscData!$C$25))</f>
        <v>20140101</v>
      </c>
      <c r="AZ379" s="439" t="str">
        <f>VLOOKUP(BA379,MiscData!$V$4:$W$42,2,FALSE)</f>
        <v>KUCME707</v>
      </c>
      <c r="BA379" s="439">
        <f>IF(BA378=MiscData!$V$42,1,BA378+1)</f>
        <v>25</v>
      </c>
      <c r="BB379" s="439" t="str">
        <f>VLOOKUP(AZ379,MiscData!$W$4:$Y$42,3,FALSE)</f>
        <v>LQF</v>
      </c>
    </row>
    <row r="380" spans="1:54">
      <c r="A380" s="499">
        <f t="shared" si="237"/>
        <v>350</v>
      </c>
      <c r="B380" s="448" t="str">
        <f t="shared" si="199"/>
        <v>Oct 2015</v>
      </c>
      <c r="C380" s="448" t="s">
        <v>208</v>
      </c>
      <c r="D380" s="449" t="str">
        <f t="shared" si="200"/>
        <v>GS</v>
      </c>
      <c r="E380" s="449" t="str">
        <f t="shared" si="201"/>
        <v>KUCME710</v>
      </c>
      <c r="F380" s="450">
        <f t="shared" si="202"/>
        <v>0</v>
      </c>
      <c r="G380" s="450">
        <v>0</v>
      </c>
      <c r="H380" s="450">
        <v>0</v>
      </c>
      <c r="I380" s="450">
        <v>0</v>
      </c>
      <c r="J380" s="450">
        <f t="shared" si="203"/>
        <v>0</v>
      </c>
      <c r="K380" s="482">
        <f t="shared" si="204"/>
        <v>0</v>
      </c>
      <c r="L380" s="482">
        <f t="shared" si="205"/>
        <v>0</v>
      </c>
      <c r="M380" s="482">
        <f t="shared" si="206"/>
        <v>0</v>
      </c>
      <c r="N380" s="482">
        <f t="shared" si="207"/>
        <v>0</v>
      </c>
      <c r="O380" s="482">
        <f t="shared" si="208"/>
        <v>0</v>
      </c>
      <c r="P380" s="482">
        <f t="shared" si="209"/>
        <v>0</v>
      </c>
      <c r="Q380" s="451">
        <f t="shared" si="210"/>
        <v>20</v>
      </c>
      <c r="R380" s="452">
        <f t="shared" si="211"/>
        <v>9.2249999999999999E-2</v>
      </c>
      <c r="S380" s="452">
        <v>0</v>
      </c>
      <c r="T380" s="452">
        <v>0</v>
      </c>
      <c r="U380" s="452">
        <f t="shared" si="212"/>
        <v>2.8920000000000001E-2</v>
      </c>
      <c r="V380" s="451">
        <f t="shared" si="213"/>
        <v>0</v>
      </c>
      <c r="W380" s="451">
        <f t="shared" si="214"/>
        <v>0</v>
      </c>
      <c r="X380" s="451">
        <f t="shared" si="215"/>
        <v>0</v>
      </c>
      <c r="Y380" s="453">
        <f t="shared" si="216"/>
        <v>0</v>
      </c>
      <c r="Z380" s="453">
        <f t="shared" si="217"/>
        <v>0</v>
      </c>
      <c r="AA380" s="453">
        <f t="shared" si="218"/>
        <v>0</v>
      </c>
      <c r="AB380" s="453">
        <f t="shared" si="219"/>
        <v>0</v>
      </c>
      <c r="AC380" s="453">
        <f t="shared" si="220"/>
        <v>0</v>
      </c>
      <c r="AD380" s="453">
        <f t="shared" si="221"/>
        <v>0</v>
      </c>
      <c r="AE380" s="493">
        <f t="shared" si="222"/>
        <v>0</v>
      </c>
      <c r="AF380" s="453">
        <f t="shared" si="223"/>
        <v>0</v>
      </c>
      <c r="AG380" s="494">
        <f t="shared" si="224"/>
        <v>1</v>
      </c>
      <c r="AH380" s="454">
        <f t="shared" si="225"/>
        <v>0</v>
      </c>
      <c r="AI380" s="454">
        <f t="shared" si="226"/>
        <v>0</v>
      </c>
      <c r="AJ380" s="454">
        <f t="shared" si="227"/>
        <v>0</v>
      </c>
      <c r="AK380" s="454">
        <f t="shared" si="228"/>
        <v>0</v>
      </c>
      <c r="AL380" s="454">
        <f t="shared" si="229"/>
        <v>0</v>
      </c>
      <c r="AM380" s="454">
        <f t="shared" si="230"/>
        <v>0</v>
      </c>
      <c r="AN380" s="491">
        <f t="shared" si="231"/>
        <v>0</v>
      </c>
      <c r="AO380" s="487">
        <f t="shared" si="232"/>
        <v>0</v>
      </c>
      <c r="AP380" s="495">
        <f t="shared" si="233"/>
        <v>0</v>
      </c>
      <c r="AQ380" s="496">
        <f t="shared" si="234"/>
        <v>0</v>
      </c>
      <c r="AV380" s="459">
        <f>IF(BA380&gt;BA379,AV379,IF(AV379&lt;MiscData!$F$1,EOMONTH(AV379,1),EOMONTH(AV379,-11)))</f>
        <v>42308</v>
      </c>
      <c r="AW380" s="448" t="str">
        <f t="shared" si="235"/>
        <v>20140101KUCME710</v>
      </c>
      <c r="AX380" s="457" t="str">
        <f t="shared" si="236"/>
        <v>20140101GS</v>
      </c>
      <c r="AY380" s="439">
        <f>IF(AV380&lt;=MiscData!$B$23,MiscData!$C$23,IF(AV380&lt;=MiscData!$B$24,MiscData!$C$24,MiscData!$C$25))</f>
        <v>20140101</v>
      </c>
      <c r="AZ380" s="439" t="str">
        <f>VLOOKUP(BA380,MiscData!$V$4:$W$42,2,FALSE)</f>
        <v>KUCME710</v>
      </c>
      <c r="BA380" s="439">
        <f>IF(BA379=MiscData!$V$42,1,BA379+1)</f>
        <v>26</v>
      </c>
      <c r="BB380" s="511" t="str">
        <f>VLOOKUP(AZ380,MiscData!$W$4:$Y$42,3,FALSE)</f>
        <v>GS</v>
      </c>
    </row>
    <row r="381" spans="1:54">
      <c r="A381" s="448">
        <f t="shared" si="237"/>
        <v>351</v>
      </c>
      <c r="B381" s="448" t="str">
        <f t="shared" si="199"/>
        <v>Oct 2015</v>
      </c>
      <c r="C381" s="448" t="s">
        <v>17</v>
      </c>
      <c r="D381" s="449" t="str">
        <f t="shared" si="200"/>
        <v>GS3</v>
      </c>
      <c r="E381" s="449" t="str">
        <f t="shared" si="201"/>
        <v>KUCME713</v>
      </c>
      <c r="F381" s="450">
        <f t="shared" si="202"/>
        <v>0</v>
      </c>
      <c r="G381" s="450">
        <v>0</v>
      </c>
      <c r="H381" s="450">
        <v>0</v>
      </c>
      <c r="I381" s="450">
        <v>0</v>
      </c>
      <c r="J381" s="450">
        <f t="shared" si="203"/>
        <v>0</v>
      </c>
      <c r="K381" s="482">
        <f t="shared" si="204"/>
        <v>0</v>
      </c>
      <c r="L381" s="482">
        <f t="shared" si="205"/>
        <v>0</v>
      </c>
      <c r="M381" s="482">
        <f t="shared" si="206"/>
        <v>0</v>
      </c>
      <c r="N381" s="482">
        <f t="shared" si="207"/>
        <v>0</v>
      </c>
      <c r="O381" s="482">
        <f t="shared" si="208"/>
        <v>0</v>
      </c>
      <c r="P381" s="482">
        <f t="shared" si="209"/>
        <v>0</v>
      </c>
      <c r="Q381" s="451">
        <f t="shared" si="210"/>
        <v>35</v>
      </c>
      <c r="R381" s="452">
        <f t="shared" si="211"/>
        <v>9.2249999999999999E-2</v>
      </c>
      <c r="S381" s="452">
        <v>0</v>
      </c>
      <c r="T381" s="452">
        <v>0</v>
      </c>
      <c r="U381" s="452">
        <f t="shared" si="212"/>
        <v>2.8920000000000001E-2</v>
      </c>
      <c r="V381" s="451">
        <f t="shared" si="213"/>
        <v>0</v>
      </c>
      <c r="W381" s="451">
        <f t="shared" si="214"/>
        <v>0</v>
      </c>
      <c r="X381" s="451">
        <f t="shared" si="215"/>
        <v>0</v>
      </c>
      <c r="Y381" s="453">
        <f t="shared" si="216"/>
        <v>0</v>
      </c>
      <c r="Z381" s="453">
        <f t="shared" si="217"/>
        <v>0</v>
      </c>
      <c r="AA381" s="453">
        <f t="shared" si="218"/>
        <v>0</v>
      </c>
      <c r="AB381" s="453">
        <f t="shared" si="219"/>
        <v>0</v>
      </c>
      <c r="AC381" s="453">
        <f t="shared" si="220"/>
        <v>0</v>
      </c>
      <c r="AD381" s="453">
        <f t="shared" si="221"/>
        <v>0</v>
      </c>
      <c r="AE381" s="493">
        <f t="shared" si="222"/>
        <v>0</v>
      </c>
      <c r="AF381" s="453">
        <f t="shared" si="223"/>
        <v>0</v>
      </c>
      <c r="AG381" s="494">
        <f t="shared" si="224"/>
        <v>1</v>
      </c>
      <c r="AH381" s="454">
        <f t="shared" si="225"/>
        <v>0</v>
      </c>
      <c r="AI381" s="454">
        <f t="shared" si="226"/>
        <v>0</v>
      </c>
      <c r="AJ381" s="454">
        <f t="shared" si="227"/>
        <v>0</v>
      </c>
      <c r="AK381" s="454">
        <f t="shared" si="228"/>
        <v>0</v>
      </c>
      <c r="AL381" s="454">
        <f t="shared" si="229"/>
        <v>0</v>
      </c>
      <c r="AM381" s="454">
        <f t="shared" si="230"/>
        <v>0</v>
      </c>
      <c r="AN381" s="491">
        <f t="shared" si="231"/>
        <v>0</v>
      </c>
      <c r="AO381" s="487">
        <f t="shared" si="232"/>
        <v>0</v>
      </c>
      <c r="AP381" s="495">
        <f t="shared" si="233"/>
        <v>0</v>
      </c>
      <c r="AQ381" s="496">
        <f t="shared" si="234"/>
        <v>0</v>
      </c>
      <c r="AV381" s="459">
        <f>IF(BA381&gt;BA380,AV380,IF(AV380&lt;MiscData!$F$1,EOMONTH(AV380,1),EOMONTH(AV380,-11)))</f>
        <v>42308</v>
      </c>
      <c r="AW381" s="448" t="str">
        <f t="shared" si="235"/>
        <v>20140101KUCME713</v>
      </c>
      <c r="AX381" s="457" t="str">
        <f t="shared" si="236"/>
        <v>20140101GS3</v>
      </c>
      <c r="AY381" s="439">
        <f>IF(AV381&lt;=MiscData!$B$23,MiscData!$C$23,IF(AV381&lt;=MiscData!$B$24,MiscData!$C$24,MiscData!$C$25))</f>
        <v>20140101</v>
      </c>
      <c r="AZ381" s="439" t="str">
        <f>VLOOKUP(BA381,MiscData!$V$4:$W$42,2,FALSE)</f>
        <v>KUCME713</v>
      </c>
      <c r="BA381" s="439">
        <f>IF(BA380=MiscData!$V$42,1,BA380+1)</f>
        <v>27</v>
      </c>
      <c r="BB381" s="439" t="str">
        <f>VLOOKUP(AZ381,MiscData!$W$4:$Y$42,3,FALSE)</f>
        <v>GS3</v>
      </c>
    </row>
    <row r="382" spans="1:54" hidden="1">
      <c r="A382" s="448">
        <f>A378+1</f>
        <v>349</v>
      </c>
      <c r="B382" s="448" t="str">
        <f t="shared" si="199"/>
        <v>Oct 2015</v>
      </c>
      <c r="C382" s="448" t="s">
        <v>1471</v>
      </c>
      <c r="D382" s="449" t="str">
        <f t="shared" si="200"/>
        <v>CSR10</v>
      </c>
      <c r="E382" s="449" t="str">
        <f t="shared" si="201"/>
        <v>KUCSR760</v>
      </c>
      <c r="F382" s="450">
        <f t="shared" si="202"/>
        <v>0</v>
      </c>
      <c r="G382" s="450">
        <v>0</v>
      </c>
      <c r="H382" s="450">
        <v>0</v>
      </c>
      <c r="I382" s="450">
        <v>0</v>
      </c>
      <c r="J382" s="450">
        <f t="shared" si="203"/>
        <v>0</v>
      </c>
      <c r="K382" s="482">
        <f t="shared" si="204"/>
        <v>0</v>
      </c>
      <c r="L382" s="482">
        <f t="shared" si="205"/>
        <v>0</v>
      </c>
      <c r="M382" s="482">
        <f t="shared" si="206"/>
        <v>0</v>
      </c>
      <c r="N382" s="482">
        <f t="shared" si="207"/>
        <v>0</v>
      </c>
      <c r="O382" s="482">
        <f t="shared" si="208"/>
        <v>0</v>
      </c>
      <c r="P382" s="482">
        <f t="shared" si="209"/>
        <v>0</v>
      </c>
      <c r="Q382" s="451">
        <f t="shared" si="210"/>
        <v>0</v>
      </c>
      <c r="R382" s="452">
        <f t="shared" si="211"/>
        <v>0</v>
      </c>
      <c r="S382" s="452">
        <v>0</v>
      </c>
      <c r="T382" s="452">
        <v>0</v>
      </c>
      <c r="U382" s="452">
        <f t="shared" si="212"/>
        <v>0</v>
      </c>
      <c r="V382" s="451">
        <f t="shared" si="213"/>
        <v>-5.4</v>
      </c>
      <c r="W382" s="451">
        <f t="shared" si="214"/>
        <v>0</v>
      </c>
      <c r="X382" s="451">
        <f t="shared" si="215"/>
        <v>0</v>
      </c>
      <c r="Y382" s="453">
        <f t="shared" si="216"/>
        <v>0</v>
      </c>
      <c r="Z382" s="453">
        <f t="shared" si="217"/>
        <v>0</v>
      </c>
      <c r="AA382" s="453">
        <f t="shared" si="218"/>
        <v>0</v>
      </c>
      <c r="AB382" s="453">
        <f t="shared" si="219"/>
        <v>0</v>
      </c>
      <c r="AC382" s="453">
        <f t="shared" si="220"/>
        <v>0</v>
      </c>
      <c r="AD382" s="453">
        <f t="shared" si="221"/>
        <v>0</v>
      </c>
      <c r="AE382" s="493">
        <f t="shared" si="222"/>
        <v>0</v>
      </c>
      <c r="AF382" s="453">
        <f t="shared" si="223"/>
        <v>0</v>
      </c>
      <c r="AG382" s="494">
        <f t="shared" si="224"/>
        <v>1</v>
      </c>
      <c r="AH382" s="454">
        <f t="shared" si="225"/>
        <v>0</v>
      </c>
      <c r="AI382" s="454">
        <f t="shared" si="226"/>
        <v>0</v>
      </c>
      <c r="AJ382" s="454">
        <f t="shared" si="227"/>
        <v>0</v>
      </c>
      <c r="AK382" s="454">
        <f t="shared" si="228"/>
        <v>0</v>
      </c>
      <c r="AL382" s="454">
        <f t="shared" si="229"/>
        <v>-989829</v>
      </c>
      <c r="AM382" s="454">
        <f t="shared" si="230"/>
        <v>-989829</v>
      </c>
      <c r="AN382" s="491">
        <f t="shared" si="231"/>
        <v>-989829</v>
      </c>
      <c r="AO382" s="487">
        <f t="shared" si="232"/>
        <v>0</v>
      </c>
      <c r="AP382" s="495">
        <f t="shared" si="233"/>
        <v>0</v>
      </c>
      <c r="AQ382" s="496">
        <f t="shared" si="234"/>
        <v>0</v>
      </c>
      <c r="AV382" s="459">
        <f>IF(BA382&gt;BA378,AV378,IF(AV378&lt;MiscData!$F$1,EOMONTH(AV378,1),EOMONTH(AV378,-11)))</f>
        <v>42308</v>
      </c>
      <c r="AW382" s="448" t="str">
        <f t="shared" si="235"/>
        <v>20140101KUCSR760</v>
      </c>
      <c r="AX382" s="457" t="str">
        <f t="shared" si="236"/>
        <v>20140101CSR10</v>
      </c>
      <c r="AY382" s="439">
        <f>IF(AV382&lt;=MiscData!$B$23,MiscData!$C$23,IF(AV382&lt;=MiscData!$B$24,MiscData!$C$24,MiscData!$C$25))</f>
        <v>20140101</v>
      </c>
      <c r="AZ382" s="439" t="str">
        <f>VLOOKUP(BA382,MiscData!$V$4:$W$42,2,FALSE)</f>
        <v>KUCSR760</v>
      </c>
      <c r="BA382" s="439">
        <f>IF(BA381=MiscData!$V$42,1,BA381+1)</f>
        <v>28</v>
      </c>
      <c r="BB382" s="439" t="str">
        <f>VLOOKUP(AZ382,MiscData!$W$4:$Y$42,3,FALSE)</f>
        <v>CSR10</v>
      </c>
    </row>
    <row r="383" spans="1:54" hidden="1">
      <c r="A383" s="448">
        <f>A379+1</f>
        <v>350</v>
      </c>
      <c r="B383" s="448" t="str">
        <f t="shared" si="199"/>
        <v>Oct 2015</v>
      </c>
      <c r="C383" s="448" t="s">
        <v>1471</v>
      </c>
      <c r="D383" s="449" t="str">
        <f t="shared" si="200"/>
        <v>CSR10</v>
      </c>
      <c r="E383" s="449" t="str">
        <f t="shared" si="201"/>
        <v>KUCSR761</v>
      </c>
      <c r="F383" s="450">
        <f t="shared" si="202"/>
        <v>0</v>
      </c>
      <c r="G383" s="450">
        <v>0</v>
      </c>
      <c r="H383" s="450">
        <v>0</v>
      </c>
      <c r="I383" s="450">
        <v>0</v>
      </c>
      <c r="J383" s="450">
        <f t="shared" si="203"/>
        <v>0</v>
      </c>
      <c r="K383" s="482">
        <f t="shared" si="204"/>
        <v>0</v>
      </c>
      <c r="L383" s="482">
        <f t="shared" si="205"/>
        <v>0</v>
      </c>
      <c r="M383" s="482">
        <f t="shared" si="206"/>
        <v>0</v>
      </c>
      <c r="N383" s="482">
        <f t="shared" si="207"/>
        <v>0</v>
      </c>
      <c r="O383" s="482">
        <f t="shared" si="208"/>
        <v>0</v>
      </c>
      <c r="P383" s="482">
        <f t="shared" si="209"/>
        <v>0</v>
      </c>
      <c r="Q383" s="451">
        <f t="shared" si="210"/>
        <v>0</v>
      </c>
      <c r="R383" s="452">
        <f t="shared" si="211"/>
        <v>0</v>
      </c>
      <c r="S383" s="452">
        <v>0</v>
      </c>
      <c r="T383" s="452">
        <v>0</v>
      </c>
      <c r="U383" s="452">
        <f t="shared" si="212"/>
        <v>0</v>
      </c>
      <c r="V383" s="451">
        <f t="shared" si="213"/>
        <v>-5.5</v>
      </c>
      <c r="W383" s="451">
        <f t="shared" si="214"/>
        <v>0</v>
      </c>
      <c r="X383" s="451">
        <f t="shared" si="215"/>
        <v>0</v>
      </c>
      <c r="Y383" s="453">
        <f t="shared" si="216"/>
        <v>0</v>
      </c>
      <c r="Z383" s="453">
        <f t="shared" si="217"/>
        <v>0</v>
      </c>
      <c r="AA383" s="453">
        <f t="shared" si="218"/>
        <v>0</v>
      </c>
      <c r="AB383" s="453">
        <f t="shared" si="219"/>
        <v>0</v>
      </c>
      <c r="AC383" s="453">
        <f t="shared" si="220"/>
        <v>0</v>
      </c>
      <c r="AD383" s="453">
        <f t="shared" si="221"/>
        <v>0</v>
      </c>
      <c r="AE383" s="493">
        <f t="shared" si="222"/>
        <v>0</v>
      </c>
      <c r="AF383" s="453">
        <f t="shared" si="223"/>
        <v>0</v>
      </c>
      <c r="AG383" s="494">
        <f t="shared" si="224"/>
        <v>1</v>
      </c>
      <c r="AH383" s="454">
        <f t="shared" si="225"/>
        <v>0</v>
      </c>
      <c r="AI383" s="454">
        <f t="shared" si="226"/>
        <v>0</v>
      </c>
      <c r="AJ383" s="454">
        <f t="shared" si="227"/>
        <v>0</v>
      </c>
      <c r="AK383" s="454">
        <f t="shared" si="228"/>
        <v>0</v>
      </c>
      <c r="AL383" s="454">
        <f t="shared" si="229"/>
        <v>0</v>
      </c>
      <c r="AM383" s="454">
        <f t="shared" si="230"/>
        <v>0</v>
      </c>
      <c r="AN383" s="491">
        <f t="shared" si="231"/>
        <v>0</v>
      </c>
      <c r="AO383" s="487">
        <f t="shared" si="232"/>
        <v>0</v>
      </c>
      <c r="AP383" s="495">
        <f t="shared" si="233"/>
        <v>0</v>
      </c>
      <c r="AQ383" s="496">
        <f t="shared" si="234"/>
        <v>0</v>
      </c>
      <c r="AV383" s="459">
        <f>IF(BA383&gt;BA379,AV379,IF(AV379&lt;MiscData!$F$1,EOMONTH(AV379,1),EOMONTH(AV379,-11)))</f>
        <v>42308</v>
      </c>
      <c r="AW383" s="448" t="str">
        <f t="shared" si="235"/>
        <v>20140101KUCSR761</v>
      </c>
      <c r="AX383" s="457" t="str">
        <f t="shared" si="236"/>
        <v>20140101CSR10</v>
      </c>
      <c r="AY383" s="439">
        <f>IF(AV383&lt;=MiscData!$B$23,MiscData!$C$23,IF(AV383&lt;=MiscData!$B$24,MiscData!$C$24,MiscData!$C$25))</f>
        <v>20140101</v>
      </c>
      <c r="AZ383" s="439" t="str">
        <f>VLOOKUP(BA383,MiscData!$V$4:$W$42,2,FALSE)</f>
        <v>KUCSR761</v>
      </c>
      <c r="BA383" s="439">
        <f>IF(BA382=MiscData!$V$42,1,BA382+1)</f>
        <v>29</v>
      </c>
      <c r="BB383" s="439" t="str">
        <f>VLOOKUP(AZ383,MiscData!$W$4:$Y$42,3,FALSE)</f>
        <v>CSR10</v>
      </c>
    </row>
    <row r="384" spans="1:54" hidden="1">
      <c r="A384" s="499">
        <f>A380+1</f>
        <v>351</v>
      </c>
      <c r="B384" s="448" t="str">
        <f t="shared" si="199"/>
        <v>Oct 2015</v>
      </c>
      <c r="C384" s="448" t="s">
        <v>1472</v>
      </c>
      <c r="D384" s="449" t="str">
        <f t="shared" si="200"/>
        <v>CSR30</v>
      </c>
      <c r="E384" s="449" t="str">
        <f t="shared" si="201"/>
        <v>KUCSR780</v>
      </c>
      <c r="F384" s="450">
        <f t="shared" si="202"/>
        <v>0</v>
      </c>
      <c r="G384" s="450">
        <v>0</v>
      </c>
      <c r="H384" s="450">
        <v>0</v>
      </c>
      <c r="I384" s="450">
        <v>0</v>
      </c>
      <c r="J384" s="450">
        <f t="shared" si="203"/>
        <v>0</v>
      </c>
      <c r="K384" s="482">
        <f t="shared" si="204"/>
        <v>0</v>
      </c>
      <c r="L384" s="482">
        <f t="shared" si="205"/>
        <v>0</v>
      </c>
      <c r="M384" s="482">
        <f t="shared" si="206"/>
        <v>0</v>
      </c>
      <c r="N384" s="482">
        <f t="shared" si="207"/>
        <v>0</v>
      </c>
      <c r="O384" s="482">
        <f t="shared" si="208"/>
        <v>0</v>
      </c>
      <c r="P384" s="482">
        <f t="shared" si="209"/>
        <v>0</v>
      </c>
      <c r="Q384" s="451">
        <f t="shared" si="210"/>
        <v>0</v>
      </c>
      <c r="R384" s="452">
        <f t="shared" si="211"/>
        <v>0</v>
      </c>
      <c r="S384" s="452">
        <v>0</v>
      </c>
      <c r="T384" s="452">
        <v>0</v>
      </c>
      <c r="U384" s="452">
        <f t="shared" si="212"/>
        <v>0</v>
      </c>
      <c r="V384" s="451">
        <f t="shared" si="213"/>
        <v>-4.3</v>
      </c>
      <c r="W384" s="451">
        <f t="shared" si="214"/>
        <v>0</v>
      </c>
      <c r="X384" s="451">
        <f t="shared" si="215"/>
        <v>0</v>
      </c>
      <c r="Y384" s="453">
        <f t="shared" si="216"/>
        <v>0</v>
      </c>
      <c r="Z384" s="453">
        <f t="shared" si="217"/>
        <v>0</v>
      </c>
      <c r="AA384" s="453">
        <f t="shared" si="218"/>
        <v>0</v>
      </c>
      <c r="AB384" s="453">
        <f t="shared" si="219"/>
        <v>0</v>
      </c>
      <c r="AC384" s="453">
        <f t="shared" si="220"/>
        <v>0</v>
      </c>
      <c r="AD384" s="453">
        <f t="shared" si="221"/>
        <v>0</v>
      </c>
      <c r="AE384" s="493">
        <f t="shared" si="222"/>
        <v>0</v>
      </c>
      <c r="AF384" s="453">
        <f t="shared" si="223"/>
        <v>0</v>
      </c>
      <c r="AG384" s="494">
        <f t="shared" si="224"/>
        <v>1</v>
      </c>
      <c r="AH384" s="454">
        <f t="shared" si="225"/>
        <v>0</v>
      </c>
      <c r="AI384" s="454">
        <f t="shared" si="226"/>
        <v>0</v>
      </c>
      <c r="AJ384" s="454">
        <f t="shared" si="227"/>
        <v>0</v>
      </c>
      <c r="AK384" s="454">
        <f t="shared" si="228"/>
        <v>0</v>
      </c>
      <c r="AL384" s="454">
        <f t="shared" si="229"/>
        <v>0</v>
      </c>
      <c r="AM384" s="454">
        <f t="shared" si="230"/>
        <v>0</v>
      </c>
      <c r="AN384" s="491">
        <f t="shared" si="231"/>
        <v>0</v>
      </c>
      <c r="AO384" s="487">
        <f t="shared" si="232"/>
        <v>0</v>
      </c>
      <c r="AP384" s="495">
        <f t="shared" si="233"/>
        <v>0</v>
      </c>
      <c r="AQ384" s="510">
        <f t="shared" si="234"/>
        <v>0</v>
      </c>
      <c r="AV384" s="459">
        <f>IF(BA384&gt;BA380,AV380,IF(AV380&lt;MiscData!$F$1,EOMONTH(AV380,1),EOMONTH(AV380,-11)))</f>
        <v>42308</v>
      </c>
      <c r="AW384" s="448" t="str">
        <f t="shared" si="235"/>
        <v>20140101KUCSR780</v>
      </c>
      <c r="AX384" s="457" t="str">
        <f t="shared" si="236"/>
        <v>20140101CSR30</v>
      </c>
      <c r="AY384" s="439">
        <f>IF(AV384&lt;=MiscData!$B$23,MiscData!$C$23,IF(AV384&lt;=MiscData!$B$24,MiscData!$C$24,MiscData!$C$25))</f>
        <v>20140101</v>
      </c>
      <c r="AZ384" s="439" t="str">
        <f>VLOOKUP(BA384,MiscData!$V$4:$W$42,2,FALSE)</f>
        <v>KUCSR780</v>
      </c>
      <c r="BA384" s="439">
        <f>IF(BA383=MiscData!$V$42,1,BA383+1)</f>
        <v>30</v>
      </c>
      <c r="BB384" s="439" t="str">
        <f>VLOOKUP(AZ384,MiscData!$W$4:$Y$42,3,FALSE)</f>
        <v>CSR30</v>
      </c>
    </row>
    <row r="385" spans="1:55" hidden="1">
      <c r="A385" s="499">
        <f>A381+1</f>
        <v>352</v>
      </c>
      <c r="B385" s="448" t="str">
        <f t="shared" si="199"/>
        <v>Oct 2015</v>
      </c>
      <c r="C385" s="448" t="s">
        <v>1472</v>
      </c>
      <c r="D385" s="449" t="str">
        <f t="shared" si="200"/>
        <v>CSR30</v>
      </c>
      <c r="E385" s="449" t="str">
        <f t="shared" si="201"/>
        <v>KUCSR781</v>
      </c>
      <c r="F385" s="450">
        <f t="shared" si="202"/>
        <v>0</v>
      </c>
      <c r="G385" s="450">
        <v>0</v>
      </c>
      <c r="H385" s="450">
        <v>0</v>
      </c>
      <c r="I385" s="450">
        <v>0</v>
      </c>
      <c r="J385" s="450">
        <f t="shared" si="203"/>
        <v>0</v>
      </c>
      <c r="K385" s="482">
        <f t="shared" si="204"/>
        <v>0</v>
      </c>
      <c r="L385" s="482">
        <f t="shared" si="205"/>
        <v>0</v>
      </c>
      <c r="M385" s="482">
        <f t="shared" si="206"/>
        <v>0</v>
      </c>
      <c r="N385" s="482">
        <f t="shared" si="207"/>
        <v>0</v>
      </c>
      <c r="O385" s="482">
        <f t="shared" si="208"/>
        <v>0</v>
      </c>
      <c r="P385" s="482">
        <f t="shared" si="209"/>
        <v>0</v>
      </c>
      <c r="Q385" s="451">
        <f t="shared" si="210"/>
        <v>0</v>
      </c>
      <c r="R385" s="452">
        <f t="shared" si="211"/>
        <v>0</v>
      </c>
      <c r="S385" s="452">
        <v>0</v>
      </c>
      <c r="T385" s="452">
        <v>0</v>
      </c>
      <c r="U385" s="452">
        <f t="shared" si="212"/>
        <v>0</v>
      </c>
      <c r="V385" s="451">
        <f t="shared" si="213"/>
        <v>-4.4000000000000004</v>
      </c>
      <c r="W385" s="451">
        <f t="shared" si="214"/>
        <v>0</v>
      </c>
      <c r="X385" s="451">
        <f t="shared" si="215"/>
        <v>0</v>
      </c>
      <c r="Y385" s="453">
        <f t="shared" si="216"/>
        <v>0</v>
      </c>
      <c r="Z385" s="453">
        <f t="shared" si="217"/>
        <v>0</v>
      </c>
      <c r="AA385" s="453">
        <f t="shared" si="218"/>
        <v>0</v>
      </c>
      <c r="AB385" s="453">
        <f t="shared" si="219"/>
        <v>0</v>
      </c>
      <c r="AC385" s="453">
        <f t="shared" si="220"/>
        <v>0</v>
      </c>
      <c r="AD385" s="453">
        <f t="shared" si="221"/>
        <v>0</v>
      </c>
      <c r="AE385" s="493">
        <f t="shared" si="222"/>
        <v>0</v>
      </c>
      <c r="AF385" s="453">
        <f t="shared" si="223"/>
        <v>0</v>
      </c>
      <c r="AG385" s="494">
        <f t="shared" si="224"/>
        <v>1</v>
      </c>
      <c r="AH385" s="454">
        <f t="shared" si="225"/>
        <v>0</v>
      </c>
      <c r="AI385" s="454">
        <f t="shared" si="226"/>
        <v>0</v>
      </c>
      <c r="AJ385" s="454">
        <f t="shared" si="227"/>
        <v>0</v>
      </c>
      <c r="AK385" s="454">
        <f t="shared" si="228"/>
        <v>0</v>
      </c>
      <c r="AL385" s="454">
        <f t="shared" si="229"/>
        <v>0</v>
      </c>
      <c r="AM385" s="454">
        <f t="shared" si="230"/>
        <v>0</v>
      </c>
      <c r="AN385" s="491">
        <f t="shared" si="231"/>
        <v>0</v>
      </c>
      <c r="AO385" s="487">
        <f t="shared" si="232"/>
        <v>0</v>
      </c>
      <c r="AP385" s="495">
        <f t="shared" si="233"/>
        <v>0</v>
      </c>
      <c r="AQ385" s="510">
        <f t="shared" si="234"/>
        <v>0</v>
      </c>
      <c r="AV385" s="459">
        <f>IF(BA385&gt;BA381,AV381,IF(AV381&lt;MiscData!$F$1,EOMONTH(AV381,1),EOMONTH(AV381,-11)))</f>
        <v>42308</v>
      </c>
      <c r="AW385" s="448" t="str">
        <f t="shared" si="235"/>
        <v>20140101KUCSR781</v>
      </c>
      <c r="AX385" s="457" t="str">
        <f t="shared" si="236"/>
        <v>20140101CSR30</v>
      </c>
      <c r="AY385" s="439">
        <f>IF(AV385&lt;=MiscData!$B$23,MiscData!$C$23,IF(AV385&lt;=MiscData!$B$24,MiscData!$C$24,MiscData!$C$25))</f>
        <v>20140101</v>
      </c>
      <c r="AZ385" s="439" t="str">
        <f>VLOOKUP(BA385,MiscData!$V$4:$W$42,2,FALSE)</f>
        <v>KUCSR781</v>
      </c>
      <c r="BA385" s="439">
        <f>IF(BA384=MiscData!$V$42,1,BA384+1)</f>
        <v>31</v>
      </c>
      <c r="BB385" s="439" t="str">
        <f>VLOOKUP(AZ385,MiscData!$W$4:$Y$42,3,FALSE)</f>
        <v>CSR30</v>
      </c>
    </row>
    <row r="386" spans="1:55" hidden="1">
      <c r="A386" s="499">
        <f>A385+1</f>
        <v>353</v>
      </c>
      <c r="B386" s="448" t="str">
        <f t="shared" si="199"/>
        <v>Oct 2015</v>
      </c>
      <c r="C386" s="448" t="s">
        <v>1472</v>
      </c>
      <c r="D386" s="449" t="str">
        <f t="shared" si="200"/>
        <v>CSR30</v>
      </c>
      <c r="E386" s="449" t="str">
        <f t="shared" si="201"/>
        <v>KUCSR783</v>
      </c>
      <c r="F386" s="450">
        <f t="shared" si="202"/>
        <v>0</v>
      </c>
      <c r="G386" s="450">
        <v>0</v>
      </c>
      <c r="H386" s="450">
        <v>0</v>
      </c>
      <c r="I386" s="450">
        <v>0</v>
      </c>
      <c r="J386" s="450">
        <f t="shared" si="203"/>
        <v>0</v>
      </c>
      <c r="K386" s="482">
        <f t="shared" si="204"/>
        <v>0</v>
      </c>
      <c r="L386" s="482">
        <f t="shared" si="205"/>
        <v>0</v>
      </c>
      <c r="M386" s="482">
        <f t="shared" si="206"/>
        <v>0</v>
      </c>
      <c r="N386" s="482">
        <f t="shared" si="207"/>
        <v>0</v>
      </c>
      <c r="O386" s="482">
        <f t="shared" si="208"/>
        <v>0</v>
      </c>
      <c r="P386" s="482">
        <f t="shared" si="209"/>
        <v>0</v>
      </c>
      <c r="Q386" s="451">
        <f t="shared" si="210"/>
        <v>0</v>
      </c>
      <c r="R386" s="452">
        <f t="shared" si="211"/>
        <v>0</v>
      </c>
      <c r="S386" s="452">
        <v>0</v>
      </c>
      <c r="T386" s="452">
        <v>0</v>
      </c>
      <c r="U386" s="452">
        <f t="shared" si="212"/>
        <v>0</v>
      </c>
      <c r="V386" s="451">
        <f t="shared" si="213"/>
        <v>-4.4000000000000004</v>
      </c>
      <c r="W386" s="451">
        <f t="shared" si="214"/>
        <v>0</v>
      </c>
      <c r="X386" s="451">
        <f t="shared" si="215"/>
        <v>0</v>
      </c>
      <c r="Y386" s="453">
        <f t="shared" si="216"/>
        <v>0</v>
      </c>
      <c r="Z386" s="453">
        <f t="shared" si="217"/>
        <v>0</v>
      </c>
      <c r="AA386" s="453">
        <f t="shared" si="218"/>
        <v>0</v>
      </c>
      <c r="AB386" s="453">
        <f t="shared" si="219"/>
        <v>0</v>
      </c>
      <c r="AC386" s="453">
        <f t="shared" si="220"/>
        <v>0</v>
      </c>
      <c r="AD386" s="453">
        <f t="shared" si="221"/>
        <v>0</v>
      </c>
      <c r="AE386" s="493">
        <f t="shared" si="222"/>
        <v>0</v>
      </c>
      <c r="AF386" s="453">
        <f t="shared" si="223"/>
        <v>0</v>
      </c>
      <c r="AG386" s="494">
        <f t="shared" si="224"/>
        <v>1</v>
      </c>
      <c r="AH386" s="454">
        <f t="shared" si="225"/>
        <v>0</v>
      </c>
      <c r="AI386" s="454">
        <f t="shared" si="226"/>
        <v>0</v>
      </c>
      <c r="AJ386" s="454">
        <f t="shared" si="227"/>
        <v>0</v>
      </c>
      <c r="AK386" s="454">
        <f t="shared" si="228"/>
        <v>0</v>
      </c>
      <c r="AL386" s="454">
        <f t="shared" si="229"/>
        <v>0</v>
      </c>
      <c r="AM386" s="454">
        <f t="shared" si="230"/>
        <v>0</v>
      </c>
      <c r="AN386" s="491">
        <f t="shared" si="231"/>
        <v>0</v>
      </c>
      <c r="AO386" s="487">
        <f t="shared" si="232"/>
        <v>0</v>
      </c>
      <c r="AP386" s="495">
        <f t="shared" si="233"/>
        <v>0</v>
      </c>
      <c r="AQ386" s="510">
        <f t="shared" si="234"/>
        <v>0</v>
      </c>
      <c r="AV386" s="459">
        <f>IF(BA386&gt;BA385,AV385,IF(AV385&lt;MiscData!$F$1,EOMONTH(AV385,1),EOMONTH(AV385,-11)))</f>
        <v>42308</v>
      </c>
      <c r="AW386" s="448" t="str">
        <f t="shared" si="235"/>
        <v>20140101KUCSR783</v>
      </c>
      <c r="AX386" s="457" t="str">
        <f t="shared" si="236"/>
        <v>20140101CSR30</v>
      </c>
      <c r="AY386" s="439">
        <f>IF(AV386&lt;=MiscData!$B$23,MiscData!$C$23,IF(AV386&lt;=MiscData!$B$24,MiscData!$C$24,MiscData!$C$25))</f>
        <v>20140101</v>
      </c>
      <c r="AZ386" s="439" t="str">
        <f>VLOOKUP(BA386,MiscData!$V$4:$W$42,2,FALSE)</f>
        <v>KUCSR783</v>
      </c>
      <c r="BA386" s="439">
        <f>IF(BA385=MiscData!$V$42,1,BA385+1)</f>
        <v>32</v>
      </c>
      <c r="BB386" s="439" t="str">
        <f>VLOOKUP(AZ386,MiscData!$W$4:$Y$42,3,FALSE)</f>
        <v>CSR30</v>
      </c>
    </row>
    <row r="387" spans="1:55" hidden="1">
      <c r="A387" s="499">
        <f>A386+1</f>
        <v>354</v>
      </c>
      <c r="B387" s="448" t="str">
        <f t="shared" si="199"/>
        <v>Oct 2015</v>
      </c>
      <c r="C387" s="832" t="s">
        <v>642</v>
      </c>
      <c r="D387" s="449" t="str">
        <f t="shared" si="200"/>
        <v>FLST</v>
      </c>
      <c r="E387" s="449" t="str">
        <f t="shared" si="201"/>
        <v>KUINE730</v>
      </c>
      <c r="F387" s="450">
        <f t="shared" si="202"/>
        <v>1</v>
      </c>
      <c r="G387" s="450">
        <v>0</v>
      </c>
      <c r="H387" s="450">
        <v>0</v>
      </c>
      <c r="I387" s="450">
        <v>0</v>
      </c>
      <c r="J387" s="450">
        <f t="shared" si="203"/>
        <v>45507524</v>
      </c>
      <c r="K387" s="482">
        <f t="shared" si="204"/>
        <v>185158</v>
      </c>
      <c r="L387" s="482">
        <f t="shared" si="205"/>
        <v>185158</v>
      </c>
      <c r="M387" s="482">
        <f t="shared" si="206"/>
        <v>101388</v>
      </c>
      <c r="N387" s="482">
        <f t="shared" si="207"/>
        <v>0</v>
      </c>
      <c r="O387" s="482">
        <f t="shared" si="208"/>
        <v>0</v>
      </c>
      <c r="P387" s="482">
        <f t="shared" si="209"/>
        <v>0</v>
      </c>
      <c r="Q387" s="451">
        <f t="shared" si="210"/>
        <v>750</v>
      </c>
      <c r="R387" s="452">
        <f t="shared" si="211"/>
        <v>3.261E-2</v>
      </c>
      <c r="S387" s="452">
        <v>0</v>
      </c>
      <c r="T387" s="452">
        <v>0</v>
      </c>
      <c r="U387" s="452">
        <f t="shared" si="212"/>
        <v>2.8920000000000001E-2</v>
      </c>
      <c r="V387" s="451">
        <f t="shared" si="213"/>
        <v>1.05</v>
      </c>
      <c r="W387" s="451">
        <f t="shared" si="214"/>
        <v>1.52</v>
      </c>
      <c r="X387" s="451">
        <f t="shared" si="215"/>
        <v>2.41</v>
      </c>
      <c r="Y387" s="453">
        <f t="shared" si="216"/>
        <v>750</v>
      </c>
      <c r="Z387" s="453">
        <f t="shared" si="217"/>
        <v>1484000.36</v>
      </c>
      <c r="AA387" s="453">
        <f t="shared" si="218"/>
        <v>194415.9</v>
      </c>
      <c r="AB387" s="453">
        <f t="shared" si="219"/>
        <v>281440.15999999997</v>
      </c>
      <c r="AC387" s="453">
        <f t="shared" si="220"/>
        <v>244345.08</v>
      </c>
      <c r="AD387" s="453">
        <f t="shared" si="221"/>
        <v>720201.1399999999</v>
      </c>
      <c r="AE387" s="493">
        <f t="shared" si="222"/>
        <v>2204951.5</v>
      </c>
      <c r="AF387" s="453">
        <f t="shared" si="223"/>
        <v>2204950</v>
      </c>
      <c r="AG387" s="494">
        <f t="shared" si="224"/>
        <v>0.99999931971292788</v>
      </c>
      <c r="AH387" s="454">
        <f t="shared" si="225"/>
        <v>107868</v>
      </c>
      <c r="AI387" s="454">
        <f t="shared" si="226"/>
        <v>0</v>
      </c>
      <c r="AJ387" s="454">
        <f t="shared" si="227"/>
        <v>284297</v>
      </c>
      <c r="AK387" s="454">
        <f t="shared" si="228"/>
        <v>0</v>
      </c>
      <c r="AL387" s="454">
        <f t="shared" si="229"/>
        <v>0</v>
      </c>
      <c r="AM387" s="454">
        <f t="shared" si="230"/>
        <v>2597115</v>
      </c>
      <c r="AN387" s="491">
        <f t="shared" si="231"/>
        <v>2597116.5</v>
      </c>
      <c r="AO387" s="487">
        <f t="shared" si="232"/>
        <v>-1.5</v>
      </c>
      <c r="AP387" s="495">
        <f t="shared" si="233"/>
        <v>1316077.5900000001</v>
      </c>
      <c r="AQ387" s="510">
        <f t="shared" si="234"/>
        <v>167922.77000000002</v>
      </c>
      <c r="AV387" s="459">
        <f>IF(BA387&gt;BA386,AV386,IF(AV386&lt;MiscData!$F$1,EOMONTH(AV386,1),EOMONTH(AV386,-11)))</f>
        <v>42308</v>
      </c>
      <c r="AW387" s="448" t="str">
        <f t="shared" si="235"/>
        <v>20140101KUINE730</v>
      </c>
      <c r="AX387" s="457" t="str">
        <f t="shared" si="236"/>
        <v>20140101FLST</v>
      </c>
      <c r="AY387" s="439">
        <f>IF(AV387&lt;=MiscData!$B$23,MiscData!$C$23,IF(AV387&lt;=MiscData!$B$24,MiscData!$C$24,MiscData!$C$25))</f>
        <v>20140101</v>
      </c>
      <c r="AZ387" s="439" t="str">
        <f>VLOOKUP(BA387,MiscData!$V$4:$W$42,2,FALSE)</f>
        <v>KUINE730</v>
      </c>
      <c r="BA387" s="439">
        <f>IF(BA386=MiscData!$V$42,1,BA386+1)</f>
        <v>33</v>
      </c>
      <c r="BB387" s="439" t="str">
        <f>VLOOKUP(AZ387,MiscData!$W$4:$Y$42,3,FALSE)</f>
        <v>FLST</v>
      </c>
    </row>
    <row r="388" spans="1:55" hidden="1">
      <c r="A388" s="448">
        <f>A387+1</f>
        <v>355</v>
      </c>
      <c r="B388" s="448" t="str">
        <f t="shared" ref="B388:B451" si="238">TEXT(AV388,"mmm yyyy")</f>
        <v>Oct 2015</v>
      </c>
      <c r="C388" s="448" t="s">
        <v>14</v>
      </c>
      <c r="D388" s="449" t="str">
        <f t="shared" ref="D388:D451" si="239">BB388</f>
        <v>RS</v>
      </c>
      <c r="E388" s="449" t="str">
        <f t="shared" ref="E388:E451" si="240">AZ388</f>
        <v>KURSE010</v>
      </c>
      <c r="F388" s="450">
        <f t="shared" ref="F388:F451" si="241">SUMIFS(_1022_Count,_1022_RevenueMonth,$B388,_1022_RateCategory,$E388)</f>
        <v>429884</v>
      </c>
      <c r="G388" s="450">
        <v>0</v>
      </c>
      <c r="H388" s="450">
        <v>0</v>
      </c>
      <c r="I388" s="450">
        <v>0</v>
      </c>
      <c r="J388" s="450">
        <f t="shared" ref="J388:J451" si="242">SUMIFS(_1022_KWH,_1022_RevenueMonth,$B388,_1022_RateCategory,$E388)</f>
        <v>372865560</v>
      </c>
      <c r="K388" s="482">
        <f t="shared" ref="K388:K451" si="243">SUMIFS(_1022_Measured_KVA_Base,_1022_RevenueMonth,$B388,_1022_RateCategory,$E388)</f>
        <v>0</v>
      </c>
      <c r="L388" s="482">
        <f t="shared" ref="L388:L451" si="244">SUMIFS(_1022_Measured_KVA_Inter,_1022_RevenueMonth,$B388,_1022_RateCategory,$E388)</f>
        <v>0</v>
      </c>
      <c r="M388" s="482">
        <f t="shared" ref="M388:M451" si="245">SUMIFS(_1022_Measured_KVA_Peak,_1022_RevenueMonth,$B388,_1022_RateCategory,$E388)</f>
        <v>0</v>
      </c>
      <c r="N388" s="482">
        <f t="shared" ref="N388:N451" si="246">SUMIFS(_1022_Demand_Base,_1022_RevenueMonth,$B388,_1022_RateCategory,$E388)</f>
        <v>0</v>
      </c>
      <c r="O388" s="482">
        <f t="shared" ref="O388:O451" si="247">SUMIFS(_1022_Demand_Intermediate,_1022_RevenueMonth,$B388,_1022_RateCategory,$E388)</f>
        <v>0</v>
      </c>
      <c r="P388" s="482">
        <f t="shared" ref="P388:P451" si="248">SUMIFS(_1022_Demand_Peak,_1022_RevenueMonth,$B388,_1022_RateCategory,$E388)</f>
        <v>0</v>
      </c>
      <c r="Q388" s="451">
        <f t="shared" ref="Q388:Q451" si="249">SUMIF(_Rates_Tariff_Category,$AW388,_Rates_BasicServiceCharge)</f>
        <v>10.75</v>
      </c>
      <c r="R388" s="452">
        <f t="shared" ref="R388:R451" si="250">SUMIF(_Rates_Tariff_Category,$AW388,_Rates_Energy)</f>
        <v>7.7439999999999995E-2</v>
      </c>
      <c r="S388" s="452">
        <v>0</v>
      </c>
      <c r="T388" s="452">
        <v>0</v>
      </c>
      <c r="U388" s="452">
        <f t="shared" ref="U388:U451" si="251">SUMIF(_Rates_Tariff_Category,$AW388,_Rates_FAC_Energy)</f>
        <v>2.8920000000000001E-2</v>
      </c>
      <c r="V388" s="451">
        <f t="shared" ref="V388:V451" si="252">SUMIF(_Rates_Tariff_Category,$AW388,_Rates_Demand_Base)</f>
        <v>0</v>
      </c>
      <c r="W388" s="451">
        <f t="shared" ref="W388:W451" si="253">SUMIF(_Rates_Tariff_Category,$AW388,_Rates_Demand_Intermediate)</f>
        <v>0</v>
      </c>
      <c r="X388" s="451">
        <f t="shared" ref="X388:X451" si="254">SUMIF(_Rates_Tariff_Category,$AW388,_Rates_Demand_Peak)</f>
        <v>0</v>
      </c>
      <c r="Y388" s="453">
        <f t="shared" ref="Y388:Y451" si="255">ROUND($F388*$Q388,2)</f>
        <v>4621253</v>
      </c>
      <c r="Z388" s="453">
        <f t="shared" ref="Z388:Z451" si="256">ROUND(IF(G388=0,J388*R388,SUMPRODUCT(G388:I388,R388:T388)),2)</f>
        <v>28874708.969999999</v>
      </c>
      <c r="AA388" s="453">
        <f t="shared" ref="AA388:AA451" si="257">ROUND($K388*$V388,2)</f>
        <v>0</v>
      </c>
      <c r="AB388" s="453">
        <f t="shared" ref="AB388:AB451" si="258">ROUND($L388*$W388,2)</f>
        <v>0</v>
      </c>
      <c r="AC388" s="453">
        <f t="shared" ref="AC388:AC451" si="259">ROUND($M388*$X388,2)</f>
        <v>0</v>
      </c>
      <c r="AD388" s="453">
        <f t="shared" ref="AD388:AD451" si="260">SUM(AA388:AC388)</f>
        <v>0</v>
      </c>
      <c r="AE388" s="493">
        <f t="shared" ref="AE388:AE451" si="261">SUM(Y388:AC388)</f>
        <v>33495961.969999999</v>
      </c>
      <c r="AF388" s="453">
        <f t="shared" ref="AF388:AF451" si="262">AM388-SUM(AH388:AL388)</f>
        <v>33496802</v>
      </c>
      <c r="AG388" s="494">
        <f t="shared" ref="AG388:AG451" si="263">IF(AND(AE388=0,AF388=0),1,IF(AE388=0,0,AF388/AE388))</f>
        <v>1.0000250785453111</v>
      </c>
      <c r="AH388" s="454">
        <f t="shared" ref="AH388:AH451" si="264">SUMIFS(_SBR_FAC,_SBR_Revenue_Month,$B388,_SBR_Rate_Category,$E388)</f>
        <v>883840</v>
      </c>
      <c r="AI388" s="454">
        <f t="shared" ref="AI388:AI451" si="265">SUMIFS(_SBR_DSM,_SBR_Revenue_Month,$B388,_SBR_Rate_Category,$E388)</f>
        <v>709994</v>
      </c>
      <c r="AJ388" s="454">
        <f t="shared" ref="AJ388:AJ451" si="266">SUMIFS(_SBR_ECR,_SBR_Revenue_Month,$B388,_SBR_Rate_Category,$E388)</f>
        <v>2329447</v>
      </c>
      <c r="AK388" s="454">
        <f t="shared" ref="AK388:AK451" si="267">SUMIFS(_SBR_MSR,_SBR_Revenue_Month,$B388,_SBR_Rate_Category,$E388)</f>
        <v>0</v>
      </c>
      <c r="AL388" s="454">
        <f t="shared" ref="AL388:AL451" si="268">SUMIFS(_SBR_CSR,_SBR_Revenue_Month,$B388,_SBR_Rate_Category,$E388)</f>
        <v>0</v>
      </c>
      <c r="AM388" s="454">
        <f t="shared" ref="AM388:AM451" si="269">SUMIFS(_SBR_Revenue_Actual,_SBR_Revenue_Month,$B388,_SBR_Rate_Category,$E388)</f>
        <v>37420083</v>
      </c>
      <c r="AN388" s="491">
        <f t="shared" ref="AN388:AN451" si="270">SUM(AE388,AH388:AL388)</f>
        <v>37419242.969999999</v>
      </c>
      <c r="AO388" s="487">
        <f t="shared" ref="AO388:AO451" si="271">AM388-AN388</f>
        <v>840.03000000119209</v>
      </c>
      <c r="AP388" s="495">
        <f t="shared" ref="AP388:AP451" si="272">ROUND($J388*$U388,2)</f>
        <v>10783272</v>
      </c>
      <c r="AQ388" s="496">
        <f t="shared" ref="AQ388:AQ451" si="273">Z388-AP388</f>
        <v>18091436.969999999</v>
      </c>
      <c r="AV388" s="459">
        <f>IF(BA388&gt;BA387,AV387,IF(AV387&lt;MiscData!$F$1,EOMONTH(AV387,1),EOMONTH(AV387,-11)))</f>
        <v>42308</v>
      </c>
      <c r="AW388" s="448" t="str">
        <f t="shared" ref="AW388:AW451" si="274">CONCATENATE(AY388&amp;AZ388)</f>
        <v>20140101KURSE010</v>
      </c>
      <c r="AX388" s="457" t="str">
        <f t="shared" ref="AX388:AX451" si="275">CONCATENATE(AY388&amp;BB388)</f>
        <v>20140101RS</v>
      </c>
      <c r="AY388" s="439">
        <f>IF(AV388&lt;=MiscData!$B$23,MiscData!$C$23,IF(AV388&lt;=MiscData!$B$24,MiscData!$C$24,MiscData!$C$25))</f>
        <v>20140101</v>
      </c>
      <c r="AZ388" s="439" t="str">
        <f>VLOOKUP(BA388,MiscData!$V$4:$W$42,2,FALSE)</f>
        <v>KURSE010</v>
      </c>
      <c r="BA388" s="439">
        <f>IF(BA387=MiscData!$V$42,1,BA387+1)</f>
        <v>34</v>
      </c>
      <c r="BB388" s="439" t="str">
        <f>VLOOKUP(AZ388,MiscData!$W$4:$Y$42,3,FALSE)</f>
        <v>RS</v>
      </c>
    </row>
    <row r="389" spans="1:55" hidden="1">
      <c r="A389" s="448">
        <f>A387+1</f>
        <v>355</v>
      </c>
      <c r="B389" s="448" t="str">
        <f t="shared" si="238"/>
        <v>Oct 2015</v>
      </c>
      <c r="C389" s="448" t="s">
        <v>14</v>
      </c>
      <c r="D389" s="449" t="str">
        <f t="shared" si="239"/>
        <v>RS</v>
      </c>
      <c r="E389" s="449" t="str">
        <f t="shared" si="240"/>
        <v>KURSE020</v>
      </c>
      <c r="F389" s="450">
        <f t="shared" si="241"/>
        <v>0</v>
      </c>
      <c r="G389" s="450">
        <v>0</v>
      </c>
      <c r="H389" s="450">
        <v>0</v>
      </c>
      <c r="I389" s="450">
        <v>0</v>
      </c>
      <c r="J389" s="450">
        <f t="shared" si="242"/>
        <v>0</v>
      </c>
      <c r="K389" s="482">
        <f t="shared" si="243"/>
        <v>0</v>
      </c>
      <c r="L389" s="482">
        <f t="shared" si="244"/>
        <v>0</v>
      </c>
      <c r="M389" s="482">
        <f t="shared" si="245"/>
        <v>0</v>
      </c>
      <c r="N389" s="482">
        <f t="shared" si="246"/>
        <v>0</v>
      </c>
      <c r="O389" s="482">
        <f t="shared" si="247"/>
        <v>0</v>
      </c>
      <c r="P389" s="482">
        <f t="shared" si="248"/>
        <v>0</v>
      </c>
      <c r="Q389" s="451">
        <f t="shared" si="249"/>
        <v>10.75</v>
      </c>
      <c r="R389" s="452">
        <f t="shared" si="250"/>
        <v>7.7439999999999995E-2</v>
      </c>
      <c r="S389" s="452">
        <v>0</v>
      </c>
      <c r="T389" s="452">
        <v>0</v>
      </c>
      <c r="U389" s="452">
        <f t="shared" si="251"/>
        <v>2.8920000000000001E-2</v>
      </c>
      <c r="V389" s="451">
        <f t="shared" si="252"/>
        <v>0</v>
      </c>
      <c r="W389" s="451">
        <f t="shared" si="253"/>
        <v>0</v>
      </c>
      <c r="X389" s="451">
        <f t="shared" si="254"/>
        <v>0</v>
      </c>
      <c r="Y389" s="453">
        <f t="shared" si="255"/>
        <v>0</v>
      </c>
      <c r="Z389" s="453">
        <f t="shared" si="256"/>
        <v>0</v>
      </c>
      <c r="AA389" s="453">
        <f t="shared" si="257"/>
        <v>0</v>
      </c>
      <c r="AB389" s="453">
        <f t="shared" si="258"/>
        <v>0</v>
      </c>
      <c r="AC389" s="453">
        <f t="shared" si="259"/>
        <v>0</v>
      </c>
      <c r="AD389" s="453">
        <f t="shared" si="260"/>
        <v>0</v>
      </c>
      <c r="AE389" s="493">
        <f t="shared" si="261"/>
        <v>0</v>
      </c>
      <c r="AF389" s="453">
        <f t="shared" si="262"/>
        <v>0</v>
      </c>
      <c r="AG389" s="494">
        <f t="shared" si="263"/>
        <v>1</v>
      </c>
      <c r="AH389" s="454">
        <f t="shared" si="264"/>
        <v>0</v>
      </c>
      <c r="AI389" s="454">
        <f t="shared" si="265"/>
        <v>0</v>
      </c>
      <c r="AJ389" s="454">
        <f t="shared" si="266"/>
        <v>0</v>
      </c>
      <c r="AK389" s="454">
        <f t="shared" si="267"/>
        <v>0</v>
      </c>
      <c r="AL389" s="454">
        <f t="shared" si="268"/>
        <v>0</v>
      </c>
      <c r="AM389" s="454">
        <f t="shared" si="269"/>
        <v>0</v>
      </c>
      <c r="AN389" s="491">
        <f t="shared" si="270"/>
        <v>0</v>
      </c>
      <c r="AO389" s="487">
        <f t="shared" si="271"/>
        <v>0</v>
      </c>
      <c r="AP389" s="495">
        <f t="shared" si="272"/>
        <v>0</v>
      </c>
      <c r="AQ389" s="496">
        <f t="shared" si="273"/>
        <v>0</v>
      </c>
      <c r="AV389" s="459">
        <f>IF(BA389&gt;BA388,AV388,IF(AV388&lt;MiscData!$F$1,EOMONTH(AV388,1),EOMONTH(AV388,-11)))</f>
        <v>42308</v>
      </c>
      <c r="AW389" s="448" t="str">
        <f t="shared" si="274"/>
        <v>20140101KURSE020</v>
      </c>
      <c r="AX389" s="457" t="str">
        <f t="shared" si="275"/>
        <v>20140101RS</v>
      </c>
      <c r="AY389" s="439">
        <f>IF(AV389&lt;=MiscData!$B$23,MiscData!$C$23,IF(AV389&lt;=MiscData!$B$24,MiscData!$C$24,MiscData!$C$25))</f>
        <v>20140101</v>
      </c>
      <c r="AZ389" s="439" t="str">
        <f>VLOOKUP(BA389,MiscData!$V$4:$W$42,2,FALSE)</f>
        <v>KURSE020</v>
      </c>
      <c r="BA389" s="439">
        <f>IF(BA388=MiscData!$V$42,1,BA388+1)</f>
        <v>35</v>
      </c>
      <c r="BB389" s="439" t="str">
        <f>VLOOKUP(AZ389,MiscData!$W$4:$Y$42,3,FALSE)</f>
        <v>RS</v>
      </c>
    </row>
    <row r="390" spans="1:55" hidden="1">
      <c r="A390" s="448">
        <f>A388+1</f>
        <v>356</v>
      </c>
      <c r="B390" s="448" t="str">
        <f t="shared" si="238"/>
        <v>Oct 2015</v>
      </c>
      <c r="C390" s="448" t="s">
        <v>14</v>
      </c>
      <c r="D390" s="449" t="str">
        <f t="shared" si="239"/>
        <v>RS</v>
      </c>
      <c r="E390" s="449" t="str">
        <f t="shared" si="240"/>
        <v>KURSE025</v>
      </c>
      <c r="F390" s="450">
        <f t="shared" si="241"/>
        <v>0</v>
      </c>
      <c r="G390" s="450">
        <v>0</v>
      </c>
      <c r="H390" s="450">
        <v>0</v>
      </c>
      <c r="I390" s="450">
        <v>0</v>
      </c>
      <c r="J390" s="450">
        <f t="shared" si="242"/>
        <v>0</v>
      </c>
      <c r="K390" s="482">
        <f t="shared" si="243"/>
        <v>0</v>
      </c>
      <c r="L390" s="482">
        <f t="shared" si="244"/>
        <v>0</v>
      </c>
      <c r="M390" s="482">
        <f t="shared" si="245"/>
        <v>0</v>
      </c>
      <c r="N390" s="482">
        <f t="shared" si="246"/>
        <v>0</v>
      </c>
      <c r="O390" s="482">
        <f t="shared" si="247"/>
        <v>0</v>
      </c>
      <c r="P390" s="482">
        <f t="shared" si="248"/>
        <v>0</v>
      </c>
      <c r="Q390" s="451">
        <f t="shared" si="249"/>
        <v>10.75</v>
      </c>
      <c r="R390" s="452">
        <f t="shared" si="250"/>
        <v>7.7439999999999995E-2</v>
      </c>
      <c r="S390" s="452">
        <v>0</v>
      </c>
      <c r="T390" s="452">
        <v>0</v>
      </c>
      <c r="U390" s="452">
        <f t="shared" si="251"/>
        <v>2.8920000000000001E-2</v>
      </c>
      <c r="V390" s="451">
        <f t="shared" si="252"/>
        <v>0</v>
      </c>
      <c r="W390" s="451">
        <f t="shared" si="253"/>
        <v>0</v>
      </c>
      <c r="X390" s="451">
        <f t="shared" si="254"/>
        <v>0</v>
      </c>
      <c r="Y390" s="453">
        <f t="shared" si="255"/>
        <v>0</v>
      </c>
      <c r="Z390" s="453">
        <f t="shared" si="256"/>
        <v>0</v>
      </c>
      <c r="AA390" s="453">
        <f t="shared" si="257"/>
        <v>0</v>
      </c>
      <c r="AB390" s="453">
        <f t="shared" si="258"/>
        <v>0</v>
      </c>
      <c r="AC390" s="453">
        <f t="shared" si="259"/>
        <v>0</v>
      </c>
      <c r="AD390" s="453">
        <f t="shared" si="260"/>
        <v>0</v>
      </c>
      <c r="AE390" s="493">
        <f t="shared" si="261"/>
        <v>0</v>
      </c>
      <c r="AF390" s="453">
        <f t="shared" si="262"/>
        <v>0</v>
      </c>
      <c r="AG390" s="494">
        <f t="shared" si="263"/>
        <v>1</v>
      </c>
      <c r="AH390" s="454">
        <f t="shared" si="264"/>
        <v>0</v>
      </c>
      <c r="AI390" s="454">
        <f t="shared" si="265"/>
        <v>0</v>
      </c>
      <c r="AJ390" s="454">
        <f t="shared" si="266"/>
        <v>0</v>
      </c>
      <c r="AK390" s="454">
        <f t="shared" si="267"/>
        <v>0</v>
      </c>
      <c r="AL390" s="454">
        <f t="shared" si="268"/>
        <v>0</v>
      </c>
      <c r="AM390" s="454">
        <f t="shared" si="269"/>
        <v>0</v>
      </c>
      <c r="AN390" s="491">
        <f t="shared" si="270"/>
        <v>0</v>
      </c>
      <c r="AO390" s="487">
        <f t="shared" si="271"/>
        <v>0</v>
      </c>
      <c r="AP390" s="495">
        <f t="shared" si="272"/>
        <v>0</v>
      </c>
      <c r="AQ390" s="496">
        <f t="shared" si="273"/>
        <v>0</v>
      </c>
      <c r="AV390" s="459">
        <f>IF(BA390&gt;BA389,AV389,IF(AV389&lt;MiscData!$F$1,EOMONTH(AV389,1),EOMONTH(AV389,-11)))</f>
        <v>42308</v>
      </c>
      <c r="AW390" s="448" t="str">
        <f t="shared" si="274"/>
        <v>20140101KURSE025</v>
      </c>
      <c r="AX390" s="457" t="str">
        <f t="shared" si="275"/>
        <v>20140101RS</v>
      </c>
      <c r="AY390" s="439">
        <f>IF(AV390&lt;=MiscData!$B$23,MiscData!$C$23,IF(AV390&lt;=MiscData!$B$24,MiscData!$C$24,MiscData!$C$25))</f>
        <v>20140101</v>
      </c>
      <c r="AZ390" s="439" t="str">
        <f>VLOOKUP(BA390,MiscData!$V$4:$W$42,2,FALSE)</f>
        <v>KURSE025</v>
      </c>
      <c r="BA390" s="439">
        <f>IF(BA389=MiscData!$V$42,1,BA389+1)</f>
        <v>36</v>
      </c>
      <c r="BB390" s="439" t="str">
        <f>VLOOKUP(AZ390,MiscData!$W$4:$Y$42,3,FALSE)</f>
        <v>RS</v>
      </c>
    </row>
    <row r="391" spans="1:55" hidden="1">
      <c r="A391" s="448">
        <f>A390+1</f>
        <v>357</v>
      </c>
      <c r="B391" s="448" t="str">
        <f t="shared" si="238"/>
        <v>Oct 2015</v>
      </c>
      <c r="C391" s="448" t="s">
        <v>828</v>
      </c>
      <c r="D391" s="449" t="str">
        <f t="shared" si="239"/>
        <v>RSLEV</v>
      </c>
      <c r="E391" s="449" t="str">
        <f t="shared" si="240"/>
        <v>KURSE040</v>
      </c>
      <c r="F391" s="450">
        <f t="shared" si="241"/>
        <v>7</v>
      </c>
      <c r="G391" s="450">
        <f>SUMIFS(_1022_KWH_P1,_1022_RevenueMonth,$B391,_1022_RateCategory,$E391)</f>
        <v>6021</v>
      </c>
      <c r="H391" s="450">
        <f>SUMIFS(_1022_KWH_P2,_1022_RevenueMonth,$B391,_1022_RateCategory,$E391)</f>
        <v>2399</v>
      </c>
      <c r="I391" s="450">
        <f>SUMIFS(_1022_KWH_P3,_1022_RevenueMonth,$B391,_1022_RateCategory,$E391)</f>
        <v>1423</v>
      </c>
      <c r="J391" s="450">
        <f t="shared" si="242"/>
        <v>9843</v>
      </c>
      <c r="K391" s="482">
        <f t="shared" si="243"/>
        <v>0</v>
      </c>
      <c r="L391" s="482">
        <f t="shared" si="244"/>
        <v>0</v>
      </c>
      <c r="M391" s="482">
        <f t="shared" si="245"/>
        <v>0</v>
      </c>
      <c r="N391" s="482">
        <f t="shared" si="246"/>
        <v>0</v>
      </c>
      <c r="O391" s="482">
        <f t="shared" si="247"/>
        <v>0</v>
      </c>
      <c r="P391" s="482">
        <f t="shared" si="248"/>
        <v>0</v>
      </c>
      <c r="Q391" s="451">
        <f t="shared" si="249"/>
        <v>10.75</v>
      </c>
      <c r="R391" s="452">
        <f t="shared" si="250"/>
        <v>5.5870000000000003E-2</v>
      </c>
      <c r="S391" s="452">
        <f>SUMIF(_Rates_Tariff_Category,$AW391,_Rates_Energy_P2)</f>
        <v>7.7630000000000005E-2</v>
      </c>
      <c r="T391" s="452">
        <f>SUMIF(_Rates_Tariff_Category,$AW391,_Rates_Energy_P3)</f>
        <v>0.14297000000000001</v>
      </c>
      <c r="U391" s="452">
        <f t="shared" si="251"/>
        <v>2.8920000000000001E-2</v>
      </c>
      <c r="V391" s="451">
        <f t="shared" si="252"/>
        <v>0</v>
      </c>
      <c r="W391" s="451">
        <f t="shared" si="253"/>
        <v>0</v>
      </c>
      <c r="X391" s="451">
        <f t="shared" si="254"/>
        <v>0</v>
      </c>
      <c r="Y391" s="453">
        <f t="shared" si="255"/>
        <v>75.25</v>
      </c>
      <c r="Z391" s="453">
        <f t="shared" si="256"/>
        <v>726.07</v>
      </c>
      <c r="AA391" s="453">
        <f t="shared" si="257"/>
        <v>0</v>
      </c>
      <c r="AB391" s="453">
        <f t="shared" si="258"/>
        <v>0</v>
      </c>
      <c r="AC391" s="453">
        <f t="shared" si="259"/>
        <v>0</v>
      </c>
      <c r="AD391" s="453">
        <f t="shared" si="260"/>
        <v>0</v>
      </c>
      <c r="AE391" s="493">
        <f t="shared" si="261"/>
        <v>801.32</v>
      </c>
      <c r="AF391" s="453">
        <f t="shared" si="262"/>
        <v>0</v>
      </c>
      <c r="AG391" s="494">
        <f t="shared" si="263"/>
        <v>0</v>
      </c>
      <c r="AH391" s="454">
        <f t="shared" si="264"/>
        <v>0</v>
      </c>
      <c r="AI391" s="454">
        <f t="shared" si="265"/>
        <v>0</v>
      </c>
      <c r="AJ391" s="454">
        <f t="shared" si="266"/>
        <v>0</v>
      </c>
      <c r="AK391" s="454">
        <f t="shared" si="267"/>
        <v>0</v>
      </c>
      <c r="AL391" s="454">
        <f t="shared" si="268"/>
        <v>0</v>
      </c>
      <c r="AM391" s="454">
        <f t="shared" si="269"/>
        <v>0</v>
      </c>
      <c r="AN391" s="491">
        <f t="shared" si="270"/>
        <v>801.32</v>
      </c>
      <c r="AO391" s="487">
        <f t="shared" si="271"/>
        <v>-801.32</v>
      </c>
      <c r="AP391" s="495">
        <f t="shared" si="272"/>
        <v>284.66000000000003</v>
      </c>
      <c r="AQ391" s="496">
        <f t="shared" si="273"/>
        <v>441.41</v>
      </c>
      <c r="AV391" s="459">
        <f>IF(BA391&gt;BA390,AV390,IF(AV390&lt;MiscData!$F$1,EOMONTH(AV390,1),EOMONTH(AV390,-11)))</f>
        <v>42308</v>
      </c>
      <c r="AW391" s="448" t="str">
        <f t="shared" si="274"/>
        <v>20140101KURSE040</v>
      </c>
      <c r="AX391" s="457" t="str">
        <f t="shared" si="275"/>
        <v>20140101RSLEV</v>
      </c>
      <c r="AY391" s="439">
        <f>IF(AV391&lt;=MiscData!$B$23,MiscData!$C$23,IF(AV391&lt;=MiscData!$B$24,MiscData!$C$24,MiscData!$C$25))</f>
        <v>20140101</v>
      </c>
      <c r="AZ391" s="439" t="str">
        <f>VLOOKUP(BA391,MiscData!$V$4:$W$42,2,FALSE)</f>
        <v>KURSE040</v>
      </c>
      <c r="BA391" s="439">
        <f>IF(BA390=MiscData!$V$42,1,BA390+1)</f>
        <v>37</v>
      </c>
      <c r="BB391" s="439" t="str">
        <f>VLOOKUP(AZ391,MiscData!$W$4:$Y$42,3,FALSE)</f>
        <v>RSLEV</v>
      </c>
    </row>
    <row r="392" spans="1:55" hidden="1">
      <c r="A392" s="448">
        <f t="shared" ref="A392:A399" si="276">A374+1</f>
        <v>345</v>
      </c>
      <c r="B392" s="448" t="str">
        <f t="shared" si="238"/>
        <v>Oct 2015</v>
      </c>
      <c r="C392" s="448" t="s">
        <v>14</v>
      </c>
      <c r="D392" s="449" t="str">
        <f t="shared" si="239"/>
        <v>RSVFD</v>
      </c>
      <c r="E392" s="449" t="str">
        <f t="shared" si="240"/>
        <v>KURSE080</v>
      </c>
      <c r="F392" s="450">
        <f t="shared" si="241"/>
        <v>0</v>
      </c>
      <c r="G392" s="450">
        <v>0</v>
      </c>
      <c r="H392" s="450">
        <v>0</v>
      </c>
      <c r="I392" s="450">
        <v>0</v>
      </c>
      <c r="J392" s="450">
        <f t="shared" si="242"/>
        <v>0</v>
      </c>
      <c r="K392" s="482">
        <f t="shared" si="243"/>
        <v>0</v>
      </c>
      <c r="L392" s="482">
        <f t="shared" si="244"/>
        <v>0</v>
      </c>
      <c r="M392" s="482">
        <f t="shared" si="245"/>
        <v>0</v>
      </c>
      <c r="N392" s="482">
        <f t="shared" si="246"/>
        <v>0</v>
      </c>
      <c r="O392" s="482">
        <f t="shared" si="247"/>
        <v>0</v>
      </c>
      <c r="P392" s="482">
        <f t="shared" si="248"/>
        <v>0</v>
      </c>
      <c r="Q392" s="451">
        <f t="shared" si="249"/>
        <v>10.75</v>
      </c>
      <c r="R392" s="452">
        <f t="shared" si="250"/>
        <v>7.7439999999999995E-2</v>
      </c>
      <c r="S392" s="452">
        <v>0</v>
      </c>
      <c r="T392" s="452">
        <v>0</v>
      </c>
      <c r="U392" s="452">
        <f t="shared" si="251"/>
        <v>2.8920000000000001E-2</v>
      </c>
      <c r="V392" s="451">
        <f t="shared" si="252"/>
        <v>0</v>
      </c>
      <c r="W392" s="451">
        <f t="shared" si="253"/>
        <v>0</v>
      </c>
      <c r="X392" s="451">
        <f t="shared" si="254"/>
        <v>0</v>
      </c>
      <c r="Y392" s="453">
        <f t="shared" si="255"/>
        <v>0</v>
      </c>
      <c r="Z392" s="453">
        <f t="shared" si="256"/>
        <v>0</v>
      </c>
      <c r="AA392" s="453">
        <f t="shared" si="257"/>
        <v>0</v>
      </c>
      <c r="AB392" s="453">
        <f t="shared" si="258"/>
        <v>0</v>
      </c>
      <c r="AC392" s="453">
        <f t="shared" si="259"/>
        <v>0</v>
      </c>
      <c r="AD392" s="453">
        <f t="shared" si="260"/>
        <v>0</v>
      </c>
      <c r="AE392" s="493">
        <f t="shared" si="261"/>
        <v>0</v>
      </c>
      <c r="AF392" s="453">
        <f t="shared" si="262"/>
        <v>0</v>
      </c>
      <c r="AG392" s="494">
        <f t="shared" si="263"/>
        <v>1</v>
      </c>
      <c r="AH392" s="454">
        <f t="shared" si="264"/>
        <v>0</v>
      </c>
      <c r="AI392" s="454">
        <f t="shared" si="265"/>
        <v>0</v>
      </c>
      <c r="AJ392" s="454">
        <f t="shared" si="266"/>
        <v>0</v>
      </c>
      <c r="AK392" s="454">
        <f t="shared" si="267"/>
        <v>0</v>
      </c>
      <c r="AL392" s="454">
        <f t="shared" si="268"/>
        <v>0</v>
      </c>
      <c r="AM392" s="454">
        <f t="shared" si="269"/>
        <v>0</v>
      </c>
      <c r="AN392" s="491">
        <f t="shared" si="270"/>
        <v>0</v>
      </c>
      <c r="AO392" s="487">
        <f t="shared" si="271"/>
        <v>0</v>
      </c>
      <c r="AP392" s="495">
        <f t="shared" si="272"/>
        <v>0</v>
      </c>
      <c r="AQ392" s="496">
        <f t="shared" si="273"/>
        <v>0</v>
      </c>
      <c r="AV392" s="459">
        <f>IF(BA392&gt;BA391,AV391,IF(AV391&lt;MiscData!$F$1,EOMONTH(AV391,1),EOMONTH(AV391,-11)))</f>
        <v>42308</v>
      </c>
      <c r="AW392" s="448" t="str">
        <f t="shared" si="274"/>
        <v>20140101KURSE080</v>
      </c>
      <c r="AX392" s="457" t="str">
        <f t="shared" si="275"/>
        <v>20140101RSVFD</v>
      </c>
      <c r="AY392" s="439">
        <f>IF(AV392&lt;=MiscData!$B$23,MiscData!$C$23,IF(AV392&lt;=MiscData!$B$24,MiscData!$C$24,MiscData!$C$25))</f>
        <v>20140101</v>
      </c>
      <c r="AZ392" s="439" t="str">
        <f>VLOOKUP(BA392,MiscData!$V$4:$W$42,2,FALSE)</f>
        <v>KURSE080</v>
      </c>
      <c r="BA392" s="439">
        <f>IF(BA391=MiscData!$V$42,1,BA391+1)</f>
        <v>38</v>
      </c>
      <c r="BB392" s="439" t="str">
        <f>VLOOKUP(AZ392,MiscData!$W$4:$Y$42,3,FALSE)</f>
        <v>RSVFD</v>
      </c>
    </row>
    <row r="393" spans="1:55" s="511" customFormat="1" hidden="1">
      <c r="A393" s="499">
        <f t="shared" si="276"/>
        <v>346</v>
      </c>
      <c r="B393" s="499" t="str">
        <f t="shared" si="238"/>
        <v>Oct 2015</v>
      </c>
      <c r="C393" s="499" t="s">
        <v>14</v>
      </c>
      <c r="D393" s="500" t="str">
        <f t="shared" si="239"/>
        <v>RS</v>
      </c>
      <c r="E393" s="500" t="str">
        <f t="shared" si="240"/>
        <v>KURSE715</v>
      </c>
      <c r="F393" s="501">
        <f t="shared" si="241"/>
        <v>0</v>
      </c>
      <c r="G393" s="501">
        <v>0</v>
      </c>
      <c r="H393" s="501">
        <v>0</v>
      </c>
      <c r="I393" s="501">
        <v>0</v>
      </c>
      <c r="J393" s="501">
        <f t="shared" si="242"/>
        <v>0</v>
      </c>
      <c r="K393" s="502">
        <f t="shared" si="243"/>
        <v>0</v>
      </c>
      <c r="L393" s="502">
        <f t="shared" si="244"/>
        <v>0</v>
      </c>
      <c r="M393" s="502">
        <f t="shared" si="245"/>
        <v>0</v>
      </c>
      <c r="N393" s="502">
        <f t="shared" si="246"/>
        <v>0</v>
      </c>
      <c r="O393" s="502">
        <f t="shared" si="247"/>
        <v>0</v>
      </c>
      <c r="P393" s="502">
        <f t="shared" si="248"/>
        <v>0</v>
      </c>
      <c r="Q393" s="503">
        <f t="shared" si="249"/>
        <v>10.75</v>
      </c>
      <c r="R393" s="504">
        <f t="shared" si="250"/>
        <v>7.7439999999999995E-2</v>
      </c>
      <c r="S393" s="504">
        <v>0</v>
      </c>
      <c r="T393" s="504">
        <v>0</v>
      </c>
      <c r="U393" s="504">
        <f t="shared" si="251"/>
        <v>2.8920000000000001E-2</v>
      </c>
      <c r="V393" s="503">
        <f t="shared" si="252"/>
        <v>0</v>
      </c>
      <c r="W393" s="503">
        <f t="shared" si="253"/>
        <v>0</v>
      </c>
      <c r="X393" s="503">
        <f t="shared" si="254"/>
        <v>0</v>
      </c>
      <c r="Y393" s="453">
        <f t="shared" si="255"/>
        <v>0</v>
      </c>
      <c r="Z393" s="453">
        <f t="shared" si="256"/>
        <v>0</v>
      </c>
      <c r="AA393" s="453">
        <f t="shared" si="257"/>
        <v>0</v>
      </c>
      <c r="AB393" s="453">
        <f t="shared" si="258"/>
        <v>0</v>
      </c>
      <c r="AC393" s="453">
        <f t="shared" si="259"/>
        <v>0</v>
      </c>
      <c r="AD393" s="493">
        <f t="shared" si="260"/>
        <v>0</v>
      </c>
      <c r="AE393" s="493">
        <f t="shared" si="261"/>
        <v>0</v>
      </c>
      <c r="AF393" s="493">
        <f t="shared" si="262"/>
        <v>0</v>
      </c>
      <c r="AG393" s="494">
        <f t="shared" si="263"/>
        <v>1</v>
      </c>
      <c r="AH393" s="505">
        <f t="shared" si="264"/>
        <v>0</v>
      </c>
      <c r="AI393" s="505">
        <f t="shared" si="265"/>
        <v>0</v>
      </c>
      <c r="AJ393" s="505">
        <f t="shared" si="266"/>
        <v>0</v>
      </c>
      <c r="AK393" s="505">
        <f t="shared" si="267"/>
        <v>0</v>
      </c>
      <c r="AL393" s="505">
        <f t="shared" si="268"/>
        <v>0</v>
      </c>
      <c r="AM393" s="505">
        <f t="shared" si="269"/>
        <v>0</v>
      </c>
      <c r="AN393" s="506">
        <f t="shared" si="270"/>
        <v>0</v>
      </c>
      <c r="AO393" s="507">
        <f t="shared" si="271"/>
        <v>0</v>
      </c>
      <c r="AP393" s="508">
        <f t="shared" si="272"/>
        <v>0</v>
      </c>
      <c r="AQ393" s="510">
        <f t="shared" si="273"/>
        <v>0</v>
      </c>
      <c r="AV393" s="512">
        <f>IF(BA393&gt;BA392,AV392,IF(AV392&lt;MiscData!$F$1,EOMONTH(AV392,1),EOMONTH(AV392,-11)))</f>
        <v>42308</v>
      </c>
      <c r="AW393" s="499" t="str">
        <f t="shared" si="274"/>
        <v>20140101KURSE715</v>
      </c>
      <c r="AX393" s="513" t="str">
        <f t="shared" si="275"/>
        <v>20140101RS</v>
      </c>
      <c r="AY393" s="511">
        <f>IF(AV393&lt;=MiscData!$B$23,MiscData!$C$23,IF(AV393&lt;=MiscData!$B$24,MiscData!$C$24,MiscData!$C$25))</f>
        <v>20140101</v>
      </c>
      <c r="AZ393" s="511" t="str">
        <f>VLOOKUP(BA393,MiscData!$V$4:$W$42,2,FALSE)</f>
        <v>KURSE715</v>
      </c>
      <c r="BA393" s="439">
        <f>IF(BA392=MiscData!$V$42,1,BA392+1)</f>
        <v>39</v>
      </c>
      <c r="BB393" s="511" t="str">
        <f>VLOOKUP(AZ393,MiscData!$W$4:$Y$42,3,FALSE)</f>
        <v>RS</v>
      </c>
      <c r="BC393" s="777"/>
    </row>
    <row r="394" spans="1:55" hidden="1">
      <c r="A394" s="448">
        <f t="shared" si="276"/>
        <v>347</v>
      </c>
      <c r="B394" s="448" t="str">
        <f t="shared" si="238"/>
        <v>Nov 2015</v>
      </c>
      <c r="C394" s="448" t="s">
        <v>18</v>
      </c>
      <c r="D394" s="449" t="str">
        <f t="shared" si="239"/>
        <v>RTS</v>
      </c>
      <c r="E394" s="449" t="str">
        <f t="shared" si="240"/>
        <v>KUCIE550</v>
      </c>
      <c r="F394" s="450">
        <f t="shared" si="241"/>
        <v>32</v>
      </c>
      <c r="G394" s="450">
        <v>0</v>
      </c>
      <c r="H394" s="450">
        <v>0</v>
      </c>
      <c r="I394" s="450">
        <v>0</v>
      </c>
      <c r="J394" s="450">
        <f t="shared" si="242"/>
        <v>136559534</v>
      </c>
      <c r="K394" s="482">
        <f t="shared" si="243"/>
        <v>301167</v>
      </c>
      <c r="L394" s="482">
        <f t="shared" si="244"/>
        <v>293808</v>
      </c>
      <c r="M394" s="482">
        <f t="shared" si="245"/>
        <v>283169</v>
      </c>
      <c r="N394" s="482">
        <f t="shared" si="246"/>
        <v>0</v>
      </c>
      <c r="O394" s="482">
        <f t="shared" si="247"/>
        <v>0</v>
      </c>
      <c r="P394" s="482">
        <f t="shared" si="248"/>
        <v>0</v>
      </c>
      <c r="Q394" s="451">
        <f t="shared" si="249"/>
        <v>750</v>
      </c>
      <c r="R394" s="452">
        <f t="shared" si="250"/>
        <v>3.6339999999999997E-2</v>
      </c>
      <c r="S394" s="452">
        <v>0</v>
      </c>
      <c r="T394" s="452">
        <v>0</v>
      </c>
      <c r="U394" s="452">
        <f t="shared" si="251"/>
        <v>2.8920000000000001E-2</v>
      </c>
      <c r="V394" s="451">
        <f t="shared" si="252"/>
        <v>1.34</v>
      </c>
      <c r="W394" s="451">
        <f t="shared" si="253"/>
        <v>2.87</v>
      </c>
      <c r="X394" s="451">
        <f t="shared" si="254"/>
        <v>3.97</v>
      </c>
      <c r="Y394" s="453">
        <f t="shared" si="255"/>
        <v>24000</v>
      </c>
      <c r="Z394" s="453">
        <f t="shared" si="256"/>
        <v>4962573.47</v>
      </c>
      <c r="AA394" s="453">
        <f t="shared" si="257"/>
        <v>403563.78</v>
      </c>
      <c r="AB394" s="453">
        <f t="shared" si="258"/>
        <v>843228.96</v>
      </c>
      <c r="AC394" s="453">
        <f t="shared" si="259"/>
        <v>1124180.93</v>
      </c>
      <c r="AD394" s="453">
        <f t="shared" si="260"/>
        <v>2370973.67</v>
      </c>
      <c r="AE394" s="493">
        <f t="shared" si="261"/>
        <v>7357547.1399999997</v>
      </c>
      <c r="AF394" s="453">
        <f t="shared" si="262"/>
        <v>7357546</v>
      </c>
      <c r="AG394" s="494">
        <f t="shared" si="263"/>
        <v>0.99999984505705797</v>
      </c>
      <c r="AH394" s="454">
        <f t="shared" si="264"/>
        <v>442865</v>
      </c>
      <c r="AI394" s="454">
        <f t="shared" si="265"/>
        <v>0</v>
      </c>
      <c r="AJ394" s="454">
        <f t="shared" si="266"/>
        <v>825623</v>
      </c>
      <c r="AK394" s="454">
        <f t="shared" si="267"/>
        <v>0</v>
      </c>
      <c r="AL394" s="454">
        <f t="shared" si="268"/>
        <v>0</v>
      </c>
      <c r="AM394" s="454">
        <f t="shared" si="269"/>
        <v>8626034</v>
      </c>
      <c r="AN394" s="491">
        <f t="shared" si="270"/>
        <v>8626035.1400000006</v>
      </c>
      <c r="AO394" s="487">
        <f t="shared" si="271"/>
        <v>-1.1400000005960464</v>
      </c>
      <c r="AP394" s="495">
        <f t="shared" si="272"/>
        <v>3949301.72</v>
      </c>
      <c r="AQ394" s="496">
        <f t="shared" si="273"/>
        <v>1013271.7499999995</v>
      </c>
      <c r="AV394" s="459">
        <f>IF(BA394&gt;BA393,AV393,IF(AV393&lt;MiscData!$F$1,EOMONTH(AV393,1),EOMONTH(AV393,-11)))</f>
        <v>42338</v>
      </c>
      <c r="AW394" s="448" t="str">
        <f t="shared" si="274"/>
        <v>20140101KUCIE550</v>
      </c>
      <c r="AX394" s="457" t="str">
        <f t="shared" si="275"/>
        <v>20140101RTS</v>
      </c>
      <c r="AY394" s="439">
        <f>IF(AV394&lt;=MiscData!$B$23,MiscData!$C$23,IF(AV394&lt;=MiscData!$B$24,MiscData!$C$24,MiscData!$C$25))</f>
        <v>20140101</v>
      </c>
      <c r="AZ394" s="439" t="str">
        <f>VLOOKUP(BA394,MiscData!$V$4:$W$42,2,FALSE)</f>
        <v>KUCIE550</v>
      </c>
      <c r="BA394" s="439">
        <f>IF(BA393=MiscData!$V$42,1,BA393+1)</f>
        <v>1</v>
      </c>
      <c r="BB394" s="439" t="str">
        <f>VLOOKUP(AZ394,MiscData!$W$4:$Y$42,3,FALSE)</f>
        <v>RTS</v>
      </c>
    </row>
    <row r="395" spans="1:55" hidden="1">
      <c r="A395" s="448">
        <f t="shared" si="276"/>
        <v>348</v>
      </c>
      <c r="B395" s="448" t="str">
        <f t="shared" si="238"/>
        <v>Nov 2015</v>
      </c>
      <c r="C395" s="448" t="s">
        <v>25</v>
      </c>
      <c r="D395" s="449" t="str">
        <f t="shared" si="239"/>
        <v>PSP</v>
      </c>
      <c r="E395" s="449" t="str">
        <f t="shared" si="240"/>
        <v>KUCIE561</v>
      </c>
      <c r="F395" s="450">
        <f t="shared" si="241"/>
        <v>198</v>
      </c>
      <c r="G395" s="450">
        <v>0</v>
      </c>
      <c r="H395" s="450">
        <v>0</v>
      </c>
      <c r="I395" s="450">
        <v>0</v>
      </c>
      <c r="J395" s="450">
        <f t="shared" si="242"/>
        <v>19617060</v>
      </c>
      <c r="K395" s="482">
        <f t="shared" si="243"/>
        <v>0</v>
      </c>
      <c r="L395" s="482">
        <f t="shared" si="244"/>
        <v>54525</v>
      </c>
      <c r="M395" s="482">
        <f t="shared" si="245"/>
        <v>0</v>
      </c>
      <c r="N395" s="482">
        <f t="shared" si="246"/>
        <v>0</v>
      </c>
      <c r="O395" s="482">
        <f t="shared" si="247"/>
        <v>0</v>
      </c>
      <c r="P395" s="482">
        <f t="shared" si="248"/>
        <v>0</v>
      </c>
      <c r="Q395" s="451">
        <f t="shared" si="249"/>
        <v>170</v>
      </c>
      <c r="R395" s="452">
        <f t="shared" si="250"/>
        <v>3.5619999999999999E-2</v>
      </c>
      <c r="S395" s="452">
        <v>0</v>
      </c>
      <c r="T395" s="452">
        <v>0</v>
      </c>
      <c r="U395" s="452">
        <f t="shared" si="251"/>
        <v>2.8920000000000001E-2</v>
      </c>
      <c r="V395" s="451">
        <f t="shared" si="252"/>
        <v>0</v>
      </c>
      <c r="W395" s="451">
        <f t="shared" si="253"/>
        <v>13.18</v>
      </c>
      <c r="X395" s="451">
        <f t="shared" si="254"/>
        <v>15.28</v>
      </c>
      <c r="Y395" s="453">
        <f t="shared" si="255"/>
        <v>33660</v>
      </c>
      <c r="Z395" s="453">
        <f t="shared" si="256"/>
        <v>698759.68000000005</v>
      </c>
      <c r="AA395" s="453">
        <f t="shared" si="257"/>
        <v>0</v>
      </c>
      <c r="AB395" s="453">
        <f t="shared" si="258"/>
        <v>718639.5</v>
      </c>
      <c r="AC395" s="453">
        <f t="shared" si="259"/>
        <v>0</v>
      </c>
      <c r="AD395" s="453">
        <f t="shared" si="260"/>
        <v>718639.5</v>
      </c>
      <c r="AE395" s="493">
        <f t="shared" si="261"/>
        <v>1451059.1800000002</v>
      </c>
      <c r="AF395" s="453">
        <f t="shared" si="262"/>
        <v>1451055</v>
      </c>
      <c r="AG395" s="494">
        <f t="shared" si="263"/>
        <v>0.99999711934560787</v>
      </c>
      <c r="AH395" s="454">
        <f t="shared" si="264"/>
        <v>63618</v>
      </c>
      <c r="AI395" s="454">
        <f t="shared" si="265"/>
        <v>36931</v>
      </c>
      <c r="AJ395" s="454">
        <f t="shared" si="266"/>
        <v>118602</v>
      </c>
      <c r="AK395" s="454">
        <f t="shared" si="267"/>
        <v>0</v>
      </c>
      <c r="AL395" s="454">
        <f t="shared" si="268"/>
        <v>0</v>
      </c>
      <c r="AM395" s="454">
        <f t="shared" si="269"/>
        <v>1670206</v>
      </c>
      <c r="AN395" s="491">
        <f t="shared" si="270"/>
        <v>1670210.1800000002</v>
      </c>
      <c r="AO395" s="487">
        <f t="shared" si="271"/>
        <v>-4.1800000001676381</v>
      </c>
      <c r="AP395" s="495">
        <f t="shared" si="272"/>
        <v>567325.38</v>
      </c>
      <c r="AQ395" s="496">
        <f t="shared" si="273"/>
        <v>131434.30000000005</v>
      </c>
      <c r="AV395" s="459">
        <f>IF(BA395&gt;BA394,AV394,IF(AV394&lt;MiscData!$F$1,EOMONTH(AV394,1),EOMONTH(AV394,-11)))</f>
        <v>42338</v>
      </c>
      <c r="AW395" s="448" t="str">
        <f t="shared" si="274"/>
        <v>20140101KUCIE561</v>
      </c>
      <c r="AX395" s="457" t="str">
        <f t="shared" si="275"/>
        <v>20140101PSP</v>
      </c>
      <c r="AY395" s="439">
        <f>IF(AV395&lt;=MiscData!$B$23,MiscData!$C$23,IF(AV395&lt;=MiscData!$B$24,MiscData!$C$24,MiscData!$C$25))</f>
        <v>20140101</v>
      </c>
      <c r="AZ395" s="439" t="str">
        <f>VLOOKUP(BA395,MiscData!$V$4:$W$42,2,FALSE)</f>
        <v>KUCIE561</v>
      </c>
      <c r="BA395" s="439">
        <f>IF(BA394=MiscData!$V$42,1,BA394+1)</f>
        <v>2</v>
      </c>
      <c r="BB395" s="439" t="str">
        <f>VLOOKUP(AZ395,MiscData!$W$4:$Y$42,3,FALSE)</f>
        <v>PSP</v>
      </c>
    </row>
    <row r="396" spans="1:55" hidden="1">
      <c r="A396" s="448">
        <f t="shared" si="276"/>
        <v>349</v>
      </c>
      <c r="B396" s="448" t="str">
        <f t="shared" si="238"/>
        <v>Nov 2015</v>
      </c>
      <c r="C396" s="448" t="s">
        <v>24</v>
      </c>
      <c r="D396" s="449" t="str">
        <f t="shared" si="239"/>
        <v>PSS</v>
      </c>
      <c r="E396" s="449" t="str">
        <f t="shared" si="240"/>
        <v>KUCIE562</v>
      </c>
      <c r="F396" s="450">
        <f t="shared" si="241"/>
        <v>4670</v>
      </c>
      <c r="G396" s="450">
        <v>0</v>
      </c>
      <c r="H396" s="450">
        <v>0</v>
      </c>
      <c r="I396" s="450">
        <v>0</v>
      </c>
      <c r="J396" s="450">
        <f t="shared" si="242"/>
        <v>160821920</v>
      </c>
      <c r="K396" s="482">
        <f t="shared" si="243"/>
        <v>0</v>
      </c>
      <c r="L396" s="482">
        <f t="shared" si="244"/>
        <v>508359</v>
      </c>
      <c r="M396" s="482">
        <f t="shared" si="245"/>
        <v>0</v>
      </c>
      <c r="N396" s="482">
        <f t="shared" si="246"/>
        <v>0</v>
      </c>
      <c r="O396" s="482">
        <f t="shared" si="247"/>
        <v>0</v>
      </c>
      <c r="P396" s="482">
        <f t="shared" si="248"/>
        <v>0</v>
      </c>
      <c r="Q396" s="451">
        <f t="shared" si="249"/>
        <v>90</v>
      </c>
      <c r="R396" s="452">
        <f t="shared" si="250"/>
        <v>3.5640000000000005E-2</v>
      </c>
      <c r="S396" s="452">
        <v>0</v>
      </c>
      <c r="T396" s="452">
        <v>0</v>
      </c>
      <c r="U396" s="452">
        <f t="shared" si="251"/>
        <v>2.8920000000000001E-2</v>
      </c>
      <c r="V396" s="451">
        <f t="shared" si="252"/>
        <v>0</v>
      </c>
      <c r="W396" s="451">
        <f t="shared" si="253"/>
        <v>13.2</v>
      </c>
      <c r="X396" s="451">
        <f t="shared" si="254"/>
        <v>15.3</v>
      </c>
      <c r="Y396" s="453">
        <f t="shared" si="255"/>
        <v>420300</v>
      </c>
      <c r="Z396" s="453">
        <f t="shared" si="256"/>
        <v>5731693.2300000004</v>
      </c>
      <c r="AA396" s="453">
        <f t="shared" si="257"/>
        <v>0</v>
      </c>
      <c r="AB396" s="453">
        <f t="shared" si="258"/>
        <v>6710338.7999999998</v>
      </c>
      <c r="AC396" s="453">
        <f t="shared" si="259"/>
        <v>0</v>
      </c>
      <c r="AD396" s="453">
        <f t="shared" si="260"/>
        <v>6710338.7999999998</v>
      </c>
      <c r="AE396" s="493">
        <f t="shared" si="261"/>
        <v>12862332.030000001</v>
      </c>
      <c r="AF396" s="453">
        <f t="shared" si="262"/>
        <v>12862331</v>
      </c>
      <c r="AG396" s="494">
        <f t="shared" si="263"/>
        <v>0.99999991992120874</v>
      </c>
      <c r="AH396" s="454">
        <f t="shared" si="264"/>
        <v>521548</v>
      </c>
      <c r="AI396" s="454">
        <f t="shared" si="265"/>
        <v>302767</v>
      </c>
      <c r="AJ396" s="454">
        <f t="shared" si="266"/>
        <v>972311</v>
      </c>
      <c r="AK396" s="454">
        <f t="shared" si="267"/>
        <v>0</v>
      </c>
      <c r="AL396" s="454">
        <f t="shared" si="268"/>
        <v>0</v>
      </c>
      <c r="AM396" s="454">
        <f t="shared" si="269"/>
        <v>14658957</v>
      </c>
      <c r="AN396" s="491">
        <f t="shared" si="270"/>
        <v>14658958.030000001</v>
      </c>
      <c r="AO396" s="487">
        <f t="shared" si="271"/>
        <v>-1.0300000011920929</v>
      </c>
      <c r="AP396" s="495">
        <f t="shared" si="272"/>
        <v>4650969.93</v>
      </c>
      <c r="AQ396" s="496">
        <f t="shared" si="273"/>
        <v>1080723.3000000007</v>
      </c>
      <c r="AV396" s="459">
        <f>IF(BA396&gt;BA395,AV395,IF(AV395&lt;MiscData!$F$1,EOMONTH(AV395,1),EOMONTH(AV395,-11)))</f>
        <v>42338</v>
      </c>
      <c r="AW396" s="448" t="str">
        <f t="shared" si="274"/>
        <v>20140101KUCIE562</v>
      </c>
      <c r="AX396" s="457" t="str">
        <f t="shared" si="275"/>
        <v>20140101PSS</v>
      </c>
      <c r="AY396" s="439">
        <f>IF(AV396&lt;=MiscData!$B$23,MiscData!$C$23,IF(AV396&lt;=MiscData!$B$24,MiscData!$C$24,MiscData!$C$25))</f>
        <v>20140101</v>
      </c>
      <c r="AZ396" s="439" t="str">
        <f>VLOOKUP(BA396,MiscData!$V$4:$W$42,2,FALSE)</f>
        <v>KUCIE562</v>
      </c>
      <c r="BA396" s="439">
        <f>IF(BA395=MiscData!$V$42,1,BA395+1)</f>
        <v>3</v>
      </c>
      <c r="BB396" s="439" t="str">
        <f>VLOOKUP(AZ396,MiscData!$W$4:$Y$42,3,FALSE)</f>
        <v>PSS</v>
      </c>
    </row>
    <row r="397" spans="1:55" hidden="1">
      <c r="A397" s="448">
        <f t="shared" si="276"/>
        <v>350</v>
      </c>
      <c r="B397" s="448" t="str">
        <f t="shared" si="238"/>
        <v>Nov 2015</v>
      </c>
      <c r="C397" s="448" t="s">
        <v>205</v>
      </c>
      <c r="D397" s="449" t="str">
        <f t="shared" si="239"/>
        <v>TODP</v>
      </c>
      <c r="E397" s="449" t="str">
        <f t="shared" si="240"/>
        <v>KUCIE563</v>
      </c>
      <c r="F397" s="450">
        <f t="shared" si="241"/>
        <v>52</v>
      </c>
      <c r="G397" s="450">
        <v>0</v>
      </c>
      <c r="H397" s="450">
        <v>0</v>
      </c>
      <c r="I397" s="450">
        <v>0</v>
      </c>
      <c r="J397" s="450">
        <f t="shared" si="242"/>
        <v>250340516</v>
      </c>
      <c r="K397" s="482">
        <f t="shared" si="243"/>
        <v>513159</v>
      </c>
      <c r="L397" s="482">
        <f t="shared" si="244"/>
        <v>490651</v>
      </c>
      <c r="M397" s="482">
        <f t="shared" si="245"/>
        <v>484533</v>
      </c>
      <c r="N397" s="482">
        <f t="shared" si="246"/>
        <v>0</v>
      </c>
      <c r="O397" s="482">
        <f t="shared" si="247"/>
        <v>0</v>
      </c>
      <c r="P397" s="482">
        <f t="shared" si="248"/>
        <v>0</v>
      </c>
      <c r="Q397" s="451">
        <f t="shared" si="249"/>
        <v>300</v>
      </c>
      <c r="R397" s="452">
        <f t="shared" si="250"/>
        <v>3.7650000000000003E-2</v>
      </c>
      <c r="S397" s="452">
        <v>0</v>
      </c>
      <c r="T397" s="452">
        <v>0</v>
      </c>
      <c r="U397" s="452">
        <f t="shared" si="251"/>
        <v>2.8920000000000001E-2</v>
      </c>
      <c r="V397" s="451">
        <f t="shared" si="252"/>
        <v>1.71</v>
      </c>
      <c r="W397" s="451">
        <f t="shared" si="253"/>
        <v>2.76</v>
      </c>
      <c r="X397" s="451">
        <f t="shared" si="254"/>
        <v>4.26</v>
      </c>
      <c r="Y397" s="453">
        <f t="shared" si="255"/>
        <v>15600</v>
      </c>
      <c r="Z397" s="453">
        <f t="shared" si="256"/>
        <v>9425320.4299999997</v>
      </c>
      <c r="AA397" s="453">
        <f t="shared" si="257"/>
        <v>877501.89</v>
      </c>
      <c r="AB397" s="453">
        <f t="shared" si="258"/>
        <v>1354196.76</v>
      </c>
      <c r="AC397" s="453">
        <f t="shared" si="259"/>
        <v>2064110.58</v>
      </c>
      <c r="AD397" s="453">
        <f t="shared" si="260"/>
        <v>4295809.2300000004</v>
      </c>
      <c r="AE397" s="493">
        <f t="shared" si="261"/>
        <v>13736729.66</v>
      </c>
      <c r="AF397" s="453">
        <f t="shared" si="262"/>
        <v>13736731</v>
      </c>
      <c r="AG397" s="494">
        <f t="shared" si="263"/>
        <v>1.0000000975486911</v>
      </c>
      <c r="AH397" s="454">
        <f t="shared" si="264"/>
        <v>811858</v>
      </c>
      <c r="AI397" s="454">
        <f t="shared" si="265"/>
        <v>471296</v>
      </c>
      <c r="AJ397" s="454">
        <f t="shared" si="266"/>
        <v>1513530</v>
      </c>
      <c r="AK397" s="454">
        <f t="shared" si="267"/>
        <v>0</v>
      </c>
      <c r="AL397" s="454">
        <f t="shared" si="268"/>
        <v>0</v>
      </c>
      <c r="AM397" s="454">
        <f t="shared" si="269"/>
        <v>16533415</v>
      </c>
      <c r="AN397" s="491">
        <f t="shared" si="270"/>
        <v>16533413.66</v>
      </c>
      <c r="AO397" s="487">
        <f t="shared" si="271"/>
        <v>1.3399999998509884</v>
      </c>
      <c r="AP397" s="495">
        <f t="shared" si="272"/>
        <v>7239847.7199999997</v>
      </c>
      <c r="AQ397" s="496">
        <f t="shared" si="273"/>
        <v>2185472.71</v>
      </c>
      <c r="AV397" s="459">
        <f>IF(BA397&gt;BA396,AV396,IF(AV396&lt;MiscData!$F$1,EOMONTH(AV396,1),EOMONTH(AV396,-11)))</f>
        <v>42338</v>
      </c>
      <c r="AW397" s="448" t="str">
        <f t="shared" si="274"/>
        <v>20140101KUCIE563</v>
      </c>
      <c r="AX397" s="457" t="str">
        <f t="shared" si="275"/>
        <v>20140101TODP</v>
      </c>
      <c r="AY397" s="439">
        <f>IF(AV397&lt;=MiscData!$B$23,MiscData!$C$23,IF(AV397&lt;=MiscData!$B$24,MiscData!$C$24,MiscData!$C$25))</f>
        <v>20140101</v>
      </c>
      <c r="AZ397" s="439" t="str">
        <f>VLOOKUP(BA397,MiscData!$V$4:$W$42,2,FALSE)</f>
        <v>KUCIE563</v>
      </c>
      <c r="BA397" s="439">
        <f>IF(BA396=MiscData!$V$42,1,BA396+1)</f>
        <v>4</v>
      </c>
      <c r="BB397" s="439" t="str">
        <f>VLOOKUP(AZ397,MiscData!$W$4:$Y$42,3,FALSE)</f>
        <v>TODP</v>
      </c>
    </row>
    <row r="398" spans="1:55" hidden="1">
      <c r="A398" s="448">
        <f t="shared" si="276"/>
        <v>351</v>
      </c>
      <c r="B398" s="448" t="str">
        <f t="shared" si="238"/>
        <v>Nov 2015</v>
      </c>
      <c r="C398" s="448" t="s">
        <v>25</v>
      </c>
      <c r="D398" s="449" t="str">
        <f t="shared" si="239"/>
        <v>PSP</v>
      </c>
      <c r="E398" s="449" t="str">
        <f t="shared" si="240"/>
        <v>KUCIE566</v>
      </c>
      <c r="F398" s="450">
        <f t="shared" si="241"/>
        <v>0</v>
      </c>
      <c r="G398" s="450">
        <v>0</v>
      </c>
      <c r="H398" s="450">
        <v>0</v>
      </c>
      <c r="I398" s="450">
        <v>0</v>
      </c>
      <c r="J398" s="450">
        <f t="shared" si="242"/>
        <v>0</v>
      </c>
      <c r="K398" s="482">
        <f t="shared" si="243"/>
        <v>0</v>
      </c>
      <c r="L398" s="482">
        <f t="shared" si="244"/>
        <v>0</v>
      </c>
      <c r="M398" s="482">
        <f t="shared" si="245"/>
        <v>0</v>
      </c>
      <c r="N398" s="482">
        <f t="shared" si="246"/>
        <v>0</v>
      </c>
      <c r="O398" s="482">
        <f t="shared" si="247"/>
        <v>0</v>
      </c>
      <c r="P398" s="482">
        <f t="shared" si="248"/>
        <v>0</v>
      </c>
      <c r="Q398" s="451">
        <f t="shared" si="249"/>
        <v>170</v>
      </c>
      <c r="R398" s="452">
        <f t="shared" si="250"/>
        <v>3.5619999999999999E-2</v>
      </c>
      <c r="S398" s="452">
        <v>0</v>
      </c>
      <c r="T398" s="452">
        <v>0</v>
      </c>
      <c r="U398" s="452">
        <f t="shared" si="251"/>
        <v>2.8920000000000001E-2</v>
      </c>
      <c r="V398" s="451">
        <f t="shared" si="252"/>
        <v>0</v>
      </c>
      <c r="W398" s="451">
        <f t="shared" si="253"/>
        <v>13.18</v>
      </c>
      <c r="X398" s="451">
        <f t="shared" si="254"/>
        <v>15.28</v>
      </c>
      <c r="Y398" s="453">
        <f t="shared" si="255"/>
        <v>0</v>
      </c>
      <c r="Z398" s="453">
        <f t="shared" si="256"/>
        <v>0</v>
      </c>
      <c r="AA398" s="453">
        <f t="shared" si="257"/>
        <v>0</v>
      </c>
      <c r="AB398" s="453">
        <f t="shared" si="258"/>
        <v>0</v>
      </c>
      <c r="AC398" s="453">
        <f t="shared" si="259"/>
        <v>0</v>
      </c>
      <c r="AD398" s="453">
        <f t="shared" si="260"/>
        <v>0</v>
      </c>
      <c r="AE398" s="493">
        <f t="shared" si="261"/>
        <v>0</v>
      </c>
      <c r="AF398" s="453">
        <f t="shared" si="262"/>
        <v>0</v>
      </c>
      <c r="AG398" s="494">
        <f t="shared" si="263"/>
        <v>1</v>
      </c>
      <c r="AH398" s="454">
        <f t="shared" si="264"/>
        <v>0</v>
      </c>
      <c r="AI398" s="454">
        <f t="shared" si="265"/>
        <v>0</v>
      </c>
      <c r="AJ398" s="454">
        <f t="shared" si="266"/>
        <v>0</v>
      </c>
      <c r="AK398" s="454">
        <f t="shared" si="267"/>
        <v>0</v>
      </c>
      <c r="AL398" s="454">
        <f t="shared" si="268"/>
        <v>0</v>
      </c>
      <c r="AM398" s="454">
        <f t="shared" si="269"/>
        <v>0</v>
      </c>
      <c r="AN398" s="491">
        <f t="shared" si="270"/>
        <v>0</v>
      </c>
      <c r="AO398" s="487">
        <f t="shared" si="271"/>
        <v>0</v>
      </c>
      <c r="AP398" s="495">
        <f t="shared" si="272"/>
        <v>0</v>
      </c>
      <c r="AQ398" s="496">
        <f t="shared" si="273"/>
        <v>0</v>
      </c>
      <c r="AV398" s="459">
        <f>IF(BA398&gt;BA397,AV397,IF(AV397&lt;MiscData!$F$1,EOMONTH(AV397,1),EOMONTH(AV397,-11)))</f>
        <v>42338</v>
      </c>
      <c r="AW398" s="448" t="str">
        <f t="shared" si="274"/>
        <v>20140101KUCIE566</v>
      </c>
      <c r="AX398" s="457" t="str">
        <f t="shared" si="275"/>
        <v>20140101PSP</v>
      </c>
      <c r="AY398" s="439">
        <f>IF(AV398&lt;=MiscData!$B$23,MiscData!$C$23,IF(AV398&lt;=MiscData!$B$24,MiscData!$C$24,MiscData!$C$25))</f>
        <v>20140101</v>
      </c>
      <c r="AZ398" s="439" t="str">
        <f>VLOOKUP(BA398,MiscData!$V$4:$W$42,2,FALSE)</f>
        <v>KUCIE566</v>
      </c>
      <c r="BA398" s="439">
        <f>IF(BA397=MiscData!$V$42,1,BA397+1)</f>
        <v>5</v>
      </c>
      <c r="BB398" s="439" t="str">
        <f>VLOOKUP(AZ398,MiscData!$W$4:$Y$42,3,FALSE)</f>
        <v>PSP</v>
      </c>
    </row>
    <row r="399" spans="1:55" hidden="1">
      <c r="A399" s="448">
        <f t="shared" si="276"/>
        <v>352</v>
      </c>
      <c r="B399" s="448" t="str">
        <f t="shared" si="238"/>
        <v>Nov 2015</v>
      </c>
      <c r="C399" s="448" t="s">
        <v>24</v>
      </c>
      <c r="D399" s="449" t="str">
        <f t="shared" si="239"/>
        <v>PSS</v>
      </c>
      <c r="E399" s="449" t="str">
        <f t="shared" si="240"/>
        <v>KUCIE568</v>
      </c>
      <c r="F399" s="450">
        <f t="shared" si="241"/>
        <v>0</v>
      </c>
      <c r="G399" s="450">
        <v>0</v>
      </c>
      <c r="H399" s="450">
        <v>0</v>
      </c>
      <c r="I399" s="450">
        <v>0</v>
      </c>
      <c r="J399" s="450">
        <f t="shared" si="242"/>
        <v>0</v>
      </c>
      <c r="K399" s="482">
        <f t="shared" si="243"/>
        <v>0</v>
      </c>
      <c r="L399" s="482">
        <f t="shared" si="244"/>
        <v>0</v>
      </c>
      <c r="M399" s="482">
        <f t="shared" si="245"/>
        <v>0</v>
      </c>
      <c r="N399" s="482">
        <f t="shared" si="246"/>
        <v>0</v>
      </c>
      <c r="O399" s="482">
        <f t="shared" si="247"/>
        <v>0</v>
      </c>
      <c r="P399" s="482">
        <f t="shared" si="248"/>
        <v>0</v>
      </c>
      <c r="Q399" s="451">
        <f t="shared" si="249"/>
        <v>90</v>
      </c>
      <c r="R399" s="452">
        <f t="shared" si="250"/>
        <v>3.5640000000000005E-2</v>
      </c>
      <c r="S399" s="452">
        <v>0</v>
      </c>
      <c r="T399" s="452">
        <v>0</v>
      </c>
      <c r="U399" s="452">
        <f t="shared" si="251"/>
        <v>2.8920000000000001E-2</v>
      </c>
      <c r="V399" s="451">
        <f t="shared" si="252"/>
        <v>0</v>
      </c>
      <c r="W399" s="451">
        <f t="shared" si="253"/>
        <v>13.2</v>
      </c>
      <c r="X399" s="451">
        <f t="shared" si="254"/>
        <v>15.3</v>
      </c>
      <c r="Y399" s="453">
        <f t="shared" si="255"/>
        <v>0</v>
      </c>
      <c r="Z399" s="453">
        <f t="shared" si="256"/>
        <v>0</v>
      </c>
      <c r="AA399" s="453">
        <f t="shared" si="257"/>
        <v>0</v>
      </c>
      <c r="AB399" s="453">
        <f t="shared" si="258"/>
        <v>0</v>
      </c>
      <c r="AC399" s="453">
        <f t="shared" si="259"/>
        <v>0</v>
      </c>
      <c r="AD399" s="453">
        <f t="shared" si="260"/>
        <v>0</v>
      </c>
      <c r="AE399" s="493">
        <f t="shared" si="261"/>
        <v>0</v>
      </c>
      <c r="AF399" s="453">
        <f t="shared" si="262"/>
        <v>0</v>
      </c>
      <c r="AG399" s="494">
        <f t="shared" si="263"/>
        <v>1</v>
      </c>
      <c r="AH399" s="454">
        <f t="shared" si="264"/>
        <v>0</v>
      </c>
      <c r="AI399" s="454">
        <f t="shared" si="265"/>
        <v>0</v>
      </c>
      <c r="AJ399" s="454">
        <f t="shared" si="266"/>
        <v>0</v>
      </c>
      <c r="AK399" s="454">
        <f t="shared" si="267"/>
        <v>0</v>
      </c>
      <c r="AL399" s="454">
        <f t="shared" si="268"/>
        <v>0</v>
      </c>
      <c r="AM399" s="454">
        <f t="shared" si="269"/>
        <v>0</v>
      </c>
      <c r="AN399" s="491">
        <f t="shared" si="270"/>
        <v>0</v>
      </c>
      <c r="AO399" s="487">
        <f t="shared" si="271"/>
        <v>0</v>
      </c>
      <c r="AP399" s="495">
        <f t="shared" si="272"/>
        <v>0</v>
      </c>
      <c r="AQ399" s="496">
        <f t="shared" si="273"/>
        <v>0</v>
      </c>
      <c r="AV399" s="459">
        <f>IF(BA399&gt;BA398,AV398,IF(AV398&lt;MiscData!$F$1,EOMONTH(AV398,1),EOMONTH(AV398,-11)))</f>
        <v>42338</v>
      </c>
      <c r="AW399" s="448" t="str">
        <f t="shared" si="274"/>
        <v>20140101KUCIE568</v>
      </c>
      <c r="AX399" s="457" t="str">
        <f t="shared" si="275"/>
        <v>20140101PSS</v>
      </c>
      <c r="AY399" s="439">
        <f>IF(AV399&lt;=MiscData!$B$23,MiscData!$C$23,IF(AV399&lt;=MiscData!$B$24,MiscData!$C$24,MiscData!$C$25))</f>
        <v>20140101</v>
      </c>
      <c r="AZ399" s="439" t="str">
        <f>VLOOKUP(BA399,MiscData!$V$4:$W$42,2,FALSE)</f>
        <v>KUCIE568</v>
      </c>
      <c r="BA399" s="439">
        <f>IF(BA398=MiscData!$V$42,1,BA398+1)</f>
        <v>6</v>
      </c>
      <c r="BB399" s="439" t="str">
        <f>VLOOKUP(AZ399,MiscData!$W$4:$Y$42,3,FALSE)</f>
        <v>PSS</v>
      </c>
    </row>
    <row r="400" spans="1:55" hidden="1">
      <c r="A400" s="448">
        <f>A385+1</f>
        <v>353</v>
      </c>
      <c r="B400" s="448" t="str">
        <f t="shared" si="238"/>
        <v>Nov 2015</v>
      </c>
      <c r="C400" s="448" t="s">
        <v>205</v>
      </c>
      <c r="D400" s="449" t="str">
        <f t="shared" si="239"/>
        <v>TODP</v>
      </c>
      <c r="E400" s="449" t="str">
        <f t="shared" si="240"/>
        <v>KUCIE571</v>
      </c>
      <c r="F400" s="450">
        <f t="shared" si="241"/>
        <v>200</v>
      </c>
      <c r="G400" s="450">
        <v>0</v>
      </c>
      <c r="H400" s="450">
        <v>0</v>
      </c>
      <c r="I400" s="450">
        <v>0</v>
      </c>
      <c r="J400" s="450">
        <f t="shared" si="242"/>
        <v>104851396</v>
      </c>
      <c r="K400" s="482">
        <f t="shared" si="243"/>
        <v>268874</v>
      </c>
      <c r="L400" s="482">
        <f t="shared" si="244"/>
        <v>257789</v>
      </c>
      <c r="M400" s="482">
        <f t="shared" si="245"/>
        <v>253788</v>
      </c>
      <c r="N400" s="482">
        <f t="shared" si="246"/>
        <v>0</v>
      </c>
      <c r="O400" s="482">
        <f t="shared" si="247"/>
        <v>0</v>
      </c>
      <c r="P400" s="482">
        <f t="shared" si="248"/>
        <v>0</v>
      </c>
      <c r="Q400" s="451">
        <f t="shared" si="249"/>
        <v>300</v>
      </c>
      <c r="R400" s="452">
        <f t="shared" si="250"/>
        <v>3.7650000000000003E-2</v>
      </c>
      <c r="S400" s="452">
        <v>0</v>
      </c>
      <c r="T400" s="452">
        <v>0</v>
      </c>
      <c r="U400" s="452">
        <f t="shared" si="251"/>
        <v>2.8920000000000001E-2</v>
      </c>
      <c r="V400" s="451">
        <f t="shared" si="252"/>
        <v>1.71</v>
      </c>
      <c r="W400" s="451">
        <f t="shared" si="253"/>
        <v>2.76</v>
      </c>
      <c r="X400" s="451">
        <f t="shared" si="254"/>
        <v>4.26</v>
      </c>
      <c r="Y400" s="453">
        <f t="shared" si="255"/>
        <v>60000</v>
      </c>
      <c r="Z400" s="453">
        <f t="shared" si="256"/>
        <v>3947655.06</v>
      </c>
      <c r="AA400" s="453">
        <f t="shared" si="257"/>
        <v>459774.54</v>
      </c>
      <c r="AB400" s="453">
        <f t="shared" si="258"/>
        <v>711497.64</v>
      </c>
      <c r="AC400" s="453">
        <f t="shared" si="259"/>
        <v>1081136.8799999999</v>
      </c>
      <c r="AD400" s="453">
        <f t="shared" si="260"/>
        <v>2252409.0599999996</v>
      </c>
      <c r="AE400" s="493">
        <f t="shared" si="261"/>
        <v>6260064.1199999992</v>
      </c>
      <c r="AF400" s="453">
        <f t="shared" si="262"/>
        <v>6260063</v>
      </c>
      <c r="AG400" s="494">
        <f t="shared" si="263"/>
        <v>0.99999982108809471</v>
      </c>
      <c r="AH400" s="454">
        <f t="shared" si="264"/>
        <v>340035</v>
      </c>
      <c r="AI400" s="454">
        <f t="shared" si="265"/>
        <v>197395</v>
      </c>
      <c r="AJ400" s="454">
        <f t="shared" si="266"/>
        <v>633919</v>
      </c>
      <c r="AK400" s="454">
        <f t="shared" si="267"/>
        <v>0</v>
      </c>
      <c r="AL400" s="454">
        <f t="shared" si="268"/>
        <v>0</v>
      </c>
      <c r="AM400" s="454">
        <f t="shared" si="269"/>
        <v>7431412</v>
      </c>
      <c r="AN400" s="491">
        <f t="shared" si="270"/>
        <v>7431413.1199999992</v>
      </c>
      <c r="AO400" s="487">
        <f t="shared" si="271"/>
        <v>-1.1199999991804361</v>
      </c>
      <c r="AP400" s="495">
        <f t="shared" si="272"/>
        <v>3032302.37</v>
      </c>
      <c r="AQ400" s="496">
        <f t="shared" si="273"/>
        <v>915352.69</v>
      </c>
      <c r="AV400" s="459">
        <f>IF(BA400&gt;BA399,AV399,IF(AV399&lt;MiscData!$F$1,EOMONTH(AV399,1),EOMONTH(AV399,-11)))</f>
        <v>42338</v>
      </c>
      <c r="AW400" s="448" t="str">
        <f t="shared" si="274"/>
        <v>20140101KUCIE571</v>
      </c>
      <c r="AX400" s="457" t="str">
        <f t="shared" si="275"/>
        <v>20140101TODP</v>
      </c>
      <c r="AY400" s="439">
        <f>IF(AV400&lt;=MiscData!$B$23,MiscData!$C$23,IF(AV400&lt;=MiscData!$B$24,MiscData!$C$24,MiscData!$C$25))</f>
        <v>20140101</v>
      </c>
      <c r="AZ400" s="439" t="str">
        <f>VLOOKUP(BA400,MiscData!$V$4:$W$42,2,FALSE)</f>
        <v>KUCIE571</v>
      </c>
      <c r="BA400" s="439">
        <f>IF(BA399=MiscData!$V$42,1,BA399+1)</f>
        <v>7</v>
      </c>
      <c r="BB400" s="439" t="str">
        <f>VLOOKUP(AZ400,MiscData!$W$4:$Y$42,3,FALSE)</f>
        <v>TODP</v>
      </c>
    </row>
    <row r="401" spans="1:54" hidden="1">
      <c r="A401" s="448">
        <f>A386+1</f>
        <v>354</v>
      </c>
      <c r="B401" s="448" t="str">
        <f t="shared" si="238"/>
        <v>Nov 2015</v>
      </c>
      <c r="C401" s="448" t="s">
        <v>204</v>
      </c>
      <c r="D401" s="449" t="str">
        <f t="shared" si="239"/>
        <v>TODS</v>
      </c>
      <c r="E401" s="449" t="str">
        <f t="shared" si="240"/>
        <v>KUCIE572</v>
      </c>
      <c r="F401" s="450">
        <f t="shared" si="241"/>
        <v>465</v>
      </c>
      <c r="G401" s="450">
        <v>0</v>
      </c>
      <c r="H401" s="450">
        <v>0</v>
      </c>
      <c r="I401" s="450">
        <v>0</v>
      </c>
      <c r="J401" s="450">
        <f t="shared" si="242"/>
        <v>126203044</v>
      </c>
      <c r="K401" s="482">
        <f t="shared" si="243"/>
        <v>300924</v>
      </c>
      <c r="L401" s="482">
        <f t="shared" si="244"/>
        <v>274082</v>
      </c>
      <c r="M401" s="482">
        <f t="shared" si="245"/>
        <v>267942</v>
      </c>
      <c r="N401" s="482">
        <f t="shared" si="246"/>
        <v>0</v>
      </c>
      <c r="O401" s="482">
        <f t="shared" si="247"/>
        <v>0</v>
      </c>
      <c r="P401" s="482">
        <f t="shared" si="248"/>
        <v>0</v>
      </c>
      <c r="Q401" s="451">
        <f t="shared" si="249"/>
        <v>200</v>
      </c>
      <c r="R401" s="452">
        <f t="shared" si="250"/>
        <v>3.773E-2</v>
      </c>
      <c r="S401" s="452">
        <v>0</v>
      </c>
      <c r="T401" s="452">
        <v>0</v>
      </c>
      <c r="U401" s="452">
        <f t="shared" si="251"/>
        <v>2.8920000000000001E-2</v>
      </c>
      <c r="V401" s="451">
        <f t="shared" si="252"/>
        <v>3.62</v>
      </c>
      <c r="W401" s="451">
        <f t="shared" si="253"/>
        <v>2.95</v>
      </c>
      <c r="X401" s="451">
        <f t="shared" si="254"/>
        <v>4.55</v>
      </c>
      <c r="Y401" s="453">
        <f t="shared" si="255"/>
        <v>93000</v>
      </c>
      <c r="Z401" s="453">
        <f t="shared" si="256"/>
        <v>4761640.8499999996</v>
      </c>
      <c r="AA401" s="453">
        <f t="shared" si="257"/>
        <v>1089344.8799999999</v>
      </c>
      <c r="AB401" s="453">
        <f t="shared" si="258"/>
        <v>808541.9</v>
      </c>
      <c r="AC401" s="453">
        <f t="shared" si="259"/>
        <v>1219136.1000000001</v>
      </c>
      <c r="AD401" s="453">
        <f t="shared" si="260"/>
        <v>3117022.88</v>
      </c>
      <c r="AE401" s="493">
        <f t="shared" si="261"/>
        <v>7971663.7300000004</v>
      </c>
      <c r="AF401" s="453">
        <f t="shared" si="262"/>
        <v>7971661</v>
      </c>
      <c r="AG401" s="494">
        <f t="shared" si="263"/>
        <v>0.99999965753698439</v>
      </c>
      <c r="AH401" s="454">
        <f t="shared" si="264"/>
        <v>409278</v>
      </c>
      <c r="AI401" s="454">
        <f t="shared" si="265"/>
        <v>237593</v>
      </c>
      <c r="AJ401" s="454">
        <f t="shared" si="266"/>
        <v>763009</v>
      </c>
      <c r="AK401" s="454">
        <f t="shared" si="267"/>
        <v>0</v>
      </c>
      <c r="AL401" s="454">
        <f t="shared" si="268"/>
        <v>0</v>
      </c>
      <c r="AM401" s="454">
        <f t="shared" si="269"/>
        <v>9381541</v>
      </c>
      <c r="AN401" s="491">
        <f t="shared" si="270"/>
        <v>9381543.7300000004</v>
      </c>
      <c r="AO401" s="487">
        <f t="shared" si="271"/>
        <v>-2.7300000004470348</v>
      </c>
      <c r="AP401" s="495">
        <f t="shared" si="272"/>
        <v>3649792.03</v>
      </c>
      <c r="AQ401" s="496">
        <f t="shared" si="273"/>
        <v>1111848.8199999998</v>
      </c>
      <c r="AV401" s="459">
        <f>IF(BA401&gt;BA400,AV400,IF(AV400&lt;MiscData!$F$1,EOMONTH(AV400,1),EOMONTH(AV400,-11)))</f>
        <v>42338</v>
      </c>
      <c r="AW401" s="448" t="str">
        <f t="shared" si="274"/>
        <v>20140101KUCIE572</v>
      </c>
      <c r="AX401" s="457" t="str">
        <f t="shared" si="275"/>
        <v>20140101TODS</v>
      </c>
      <c r="AY401" s="439">
        <f>IF(AV401&lt;=MiscData!$B$23,MiscData!$C$23,IF(AV401&lt;=MiscData!$B$24,MiscData!$C$24,MiscData!$C$25))</f>
        <v>20140101</v>
      </c>
      <c r="AZ401" s="439" t="str">
        <f>VLOOKUP(BA401,MiscData!$V$4:$W$42,2,FALSE)</f>
        <v>KUCIE572</v>
      </c>
      <c r="BA401" s="439">
        <f>IF(BA400=MiscData!$V$42,1,BA400+1)</f>
        <v>8</v>
      </c>
      <c r="BB401" s="439" t="str">
        <f>VLOOKUP(AZ401,MiscData!$W$4:$Y$42,3,FALSE)</f>
        <v>TODS</v>
      </c>
    </row>
    <row r="402" spans="1:54" hidden="1">
      <c r="A402" s="448">
        <f>A387+1</f>
        <v>355</v>
      </c>
      <c r="B402" s="448" t="str">
        <f t="shared" si="238"/>
        <v>Nov 2015</v>
      </c>
      <c r="C402" s="448" t="s">
        <v>24</v>
      </c>
      <c r="D402" s="449" t="str">
        <f t="shared" si="239"/>
        <v>PSS</v>
      </c>
      <c r="E402" s="449" t="str">
        <f t="shared" si="240"/>
        <v>KUCIE717</v>
      </c>
      <c r="F402" s="450">
        <f t="shared" si="241"/>
        <v>0</v>
      </c>
      <c r="G402" s="450">
        <v>0</v>
      </c>
      <c r="H402" s="450">
        <v>0</v>
      </c>
      <c r="I402" s="450">
        <v>0</v>
      </c>
      <c r="J402" s="450">
        <f t="shared" si="242"/>
        <v>0</v>
      </c>
      <c r="K402" s="482">
        <f t="shared" si="243"/>
        <v>0</v>
      </c>
      <c r="L402" s="482">
        <f t="shared" si="244"/>
        <v>0</v>
      </c>
      <c r="M402" s="482">
        <f t="shared" si="245"/>
        <v>0</v>
      </c>
      <c r="N402" s="482">
        <f t="shared" si="246"/>
        <v>0</v>
      </c>
      <c r="O402" s="482">
        <f t="shared" si="247"/>
        <v>0</v>
      </c>
      <c r="P402" s="482">
        <f t="shared" si="248"/>
        <v>0</v>
      </c>
      <c r="Q402" s="451">
        <f t="shared" si="249"/>
        <v>90</v>
      </c>
      <c r="R402" s="452">
        <f t="shared" si="250"/>
        <v>3.5640000000000005E-2</v>
      </c>
      <c r="S402" s="452">
        <v>0</v>
      </c>
      <c r="T402" s="452">
        <v>0</v>
      </c>
      <c r="U402" s="452">
        <f t="shared" si="251"/>
        <v>2.8920000000000001E-2</v>
      </c>
      <c r="V402" s="451">
        <f t="shared" si="252"/>
        <v>0</v>
      </c>
      <c r="W402" s="451">
        <f t="shared" si="253"/>
        <v>13.2</v>
      </c>
      <c r="X402" s="451">
        <f t="shared" si="254"/>
        <v>15.3</v>
      </c>
      <c r="Y402" s="453">
        <f t="shared" si="255"/>
        <v>0</v>
      </c>
      <c r="Z402" s="453">
        <f t="shared" si="256"/>
        <v>0</v>
      </c>
      <c r="AA402" s="453">
        <f t="shared" si="257"/>
        <v>0</v>
      </c>
      <c r="AB402" s="453">
        <f t="shared" si="258"/>
        <v>0</v>
      </c>
      <c r="AC402" s="453">
        <f t="shared" si="259"/>
        <v>0</v>
      </c>
      <c r="AD402" s="453">
        <f t="shared" si="260"/>
        <v>0</v>
      </c>
      <c r="AE402" s="493">
        <f t="shared" si="261"/>
        <v>0</v>
      </c>
      <c r="AF402" s="453">
        <f t="shared" si="262"/>
        <v>0</v>
      </c>
      <c r="AG402" s="494">
        <f t="shared" si="263"/>
        <v>1</v>
      </c>
      <c r="AH402" s="454">
        <f t="shared" si="264"/>
        <v>0</v>
      </c>
      <c r="AI402" s="454">
        <f t="shared" si="265"/>
        <v>0</v>
      </c>
      <c r="AJ402" s="454">
        <f t="shared" si="266"/>
        <v>0</v>
      </c>
      <c r="AK402" s="454">
        <f t="shared" si="267"/>
        <v>0</v>
      </c>
      <c r="AL402" s="454">
        <f t="shared" si="268"/>
        <v>0</v>
      </c>
      <c r="AM402" s="454">
        <f t="shared" si="269"/>
        <v>0</v>
      </c>
      <c r="AN402" s="491">
        <f t="shared" si="270"/>
        <v>0</v>
      </c>
      <c r="AO402" s="487">
        <f t="shared" si="271"/>
        <v>0</v>
      </c>
      <c r="AP402" s="495">
        <f t="shared" si="272"/>
        <v>0</v>
      </c>
      <c r="AQ402" s="496">
        <f t="shared" si="273"/>
        <v>0</v>
      </c>
      <c r="AV402" s="459">
        <f>IF(BA402&gt;BA401,AV401,IF(AV401&lt;MiscData!$F$1,EOMONTH(AV401,1),EOMONTH(AV401,-11)))</f>
        <v>42338</v>
      </c>
      <c r="AW402" s="448" t="str">
        <f t="shared" si="274"/>
        <v>20140101KUCIE717</v>
      </c>
      <c r="AX402" s="457" t="str">
        <f t="shared" si="275"/>
        <v>20140101PSS</v>
      </c>
      <c r="AY402" s="439">
        <f>IF(AV402&lt;=MiscData!$B$23,MiscData!$C$23,IF(AV402&lt;=MiscData!$B$24,MiscData!$C$24,MiscData!$C$25))</f>
        <v>20140101</v>
      </c>
      <c r="AZ402" s="439" t="str">
        <f>VLOOKUP(BA402,MiscData!$V$4:$W$42,2,FALSE)</f>
        <v>KUCIE717</v>
      </c>
      <c r="BA402" s="439">
        <f>IF(BA401=MiscData!$V$42,1,BA401+1)</f>
        <v>9</v>
      </c>
      <c r="BB402" s="439" t="str">
        <f>VLOOKUP(AZ402,MiscData!$W$4:$Y$42,3,FALSE)</f>
        <v>PSS</v>
      </c>
    </row>
    <row r="403" spans="1:54">
      <c r="A403" s="499">
        <f>A388+1</f>
        <v>356</v>
      </c>
      <c r="B403" s="448" t="str">
        <f t="shared" si="238"/>
        <v>Nov 2015</v>
      </c>
      <c r="C403" s="448" t="s">
        <v>208</v>
      </c>
      <c r="D403" s="449" t="str">
        <f t="shared" si="239"/>
        <v>GS</v>
      </c>
      <c r="E403" s="449" t="str">
        <f t="shared" si="240"/>
        <v>KUCME110</v>
      </c>
      <c r="F403" s="450">
        <f t="shared" si="241"/>
        <v>63522</v>
      </c>
      <c r="G403" s="450">
        <v>0</v>
      </c>
      <c r="H403" s="450">
        <v>0</v>
      </c>
      <c r="I403" s="450">
        <v>0</v>
      </c>
      <c r="J403" s="450">
        <f t="shared" si="242"/>
        <v>55344548</v>
      </c>
      <c r="K403" s="482">
        <f t="shared" si="243"/>
        <v>0</v>
      </c>
      <c r="L403" s="482">
        <f t="shared" si="244"/>
        <v>0</v>
      </c>
      <c r="M403" s="482">
        <f t="shared" si="245"/>
        <v>0</v>
      </c>
      <c r="N403" s="482">
        <f t="shared" si="246"/>
        <v>0</v>
      </c>
      <c r="O403" s="482">
        <f t="shared" si="247"/>
        <v>0</v>
      </c>
      <c r="P403" s="482">
        <f t="shared" si="248"/>
        <v>0</v>
      </c>
      <c r="Q403" s="451">
        <f t="shared" si="249"/>
        <v>20</v>
      </c>
      <c r="R403" s="452">
        <f t="shared" si="250"/>
        <v>9.2249999999999999E-2</v>
      </c>
      <c r="S403" s="452">
        <v>0</v>
      </c>
      <c r="T403" s="452">
        <v>0</v>
      </c>
      <c r="U403" s="452">
        <f t="shared" si="251"/>
        <v>2.8920000000000001E-2</v>
      </c>
      <c r="V403" s="451">
        <f t="shared" si="252"/>
        <v>0</v>
      </c>
      <c r="W403" s="451">
        <f t="shared" si="253"/>
        <v>0</v>
      </c>
      <c r="X403" s="451">
        <f t="shared" si="254"/>
        <v>0</v>
      </c>
      <c r="Y403" s="453">
        <f t="shared" si="255"/>
        <v>1270440</v>
      </c>
      <c r="Z403" s="453">
        <f t="shared" si="256"/>
        <v>5105534.55</v>
      </c>
      <c r="AA403" s="453">
        <f t="shared" si="257"/>
        <v>0</v>
      </c>
      <c r="AB403" s="453">
        <f t="shared" si="258"/>
        <v>0</v>
      </c>
      <c r="AC403" s="453">
        <f t="shared" si="259"/>
        <v>0</v>
      </c>
      <c r="AD403" s="453">
        <f t="shared" si="260"/>
        <v>0</v>
      </c>
      <c r="AE403" s="493">
        <f t="shared" si="261"/>
        <v>6375974.5499999998</v>
      </c>
      <c r="AF403" s="453">
        <f t="shared" si="262"/>
        <v>6375966</v>
      </c>
      <c r="AG403" s="494">
        <f t="shared" si="263"/>
        <v>0.99999865902852458</v>
      </c>
      <c r="AH403" s="454">
        <f t="shared" si="264"/>
        <v>179483</v>
      </c>
      <c r="AI403" s="454">
        <f t="shared" si="265"/>
        <v>104193</v>
      </c>
      <c r="AJ403" s="454">
        <f t="shared" si="266"/>
        <v>334607</v>
      </c>
      <c r="AK403" s="454">
        <f t="shared" si="267"/>
        <v>0</v>
      </c>
      <c r="AL403" s="454">
        <f t="shared" si="268"/>
        <v>0</v>
      </c>
      <c r="AM403" s="454">
        <f t="shared" si="269"/>
        <v>6994249</v>
      </c>
      <c r="AN403" s="491">
        <f t="shared" si="270"/>
        <v>6994257.5499999998</v>
      </c>
      <c r="AO403" s="487">
        <f t="shared" si="271"/>
        <v>-8.5499999998137355</v>
      </c>
      <c r="AP403" s="495">
        <f t="shared" si="272"/>
        <v>1600564.33</v>
      </c>
      <c r="AQ403" s="496">
        <f t="shared" si="273"/>
        <v>3504970.2199999997</v>
      </c>
      <c r="AV403" s="459">
        <f>IF(BA403&gt;BA402,AV402,IF(AV402&lt;MiscData!$F$1,EOMONTH(AV402,1),EOMONTH(AV402,-11)))</f>
        <v>42338</v>
      </c>
      <c r="AW403" s="448" t="str">
        <f t="shared" si="274"/>
        <v>20140101KUCME110</v>
      </c>
      <c r="AX403" s="457" t="str">
        <f t="shared" si="275"/>
        <v>20140101GS</v>
      </c>
      <c r="AY403" s="439">
        <f>IF(AV403&lt;=MiscData!$B$23,MiscData!$C$23,IF(AV403&lt;=MiscData!$B$24,MiscData!$C$24,MiscData!$C$25))</f>
        <v>20140101</v>
      </c>
      <c r="AZ403" s="439" t="str">
        <f>VLOOKUP(BA403,MiscData!$V$4:$W$42,2,FALSE)</f>
        <v>KUCME110</v>
      </c>
      <c r="BA403" s="439">
        <f>IF(BA402=MiscData!$V$42,1,BA402+1)</f>
        <v>10</v>
      </c>
      <c r="BB403" s="511" t="str">
        <f>VLOOKUP(AZ403,MiscData!$W$4:$Y$42,3,FALSE)</f>
        <v>GS</v>
      </c>
    </row>
    <row r="404" spans="1:54">
      <c r="A404" s="499">
        <f>A388+1</f>
        <v>356</v>
      </c>
      <c r="B404" s="448" t="str">
        <f t="shared" si="238"/>
        <v>Nov 2015</v>
      </c>
      <c r="C404" s="448" t="s">
        <v>208</v>
      </c>
      <c r="D404" s="449" t="str">
        <f t="shared" si="239"/>
        <v>GS</v>
      </c>
      <c r="E404" s="449" t="str">
        <f t="shared" si="240"/>
        <v>KUCME112</v>
      </c>
      <c r="F404" s="450">
        <f t="shared" si="241"/>
        <v>0</v>
      </c>
      <c r="G404" s="450">
        <v>0</v>
      </c>
      <c r="H404" s="450">
        <v>0</v>
      </c>
      <c r="I404" s="450">
        <v>0</v>
      </c>
      <c r="J404" s="450">
        <f t="shared" si="242"/>
        <v>0</v>
      </c>
      <c r="K404" s="482">
        <f t="shared" si="243"/>
        <v>0</v>
      </c>
      <c r="L404" s="482">
        <f t="shared" si="244"/>
        <v>0</v>
      </c>
      <c r="M404" s="482">
        <f t="shared" si="245"/>
        <v>0</v>
      </c>
      <c r="N404" s="482">
        <f t="shared" si="246"/>
        <v>0</v>
      </c>
      <c r="O404" s="482">
        <f t="shared" si="247"/>
        <v>0</v>
      </c>
      <c r="P404" s="482">
        <f t="shared" si="248"/>
        <v>0</v>
      </c>
      <c r="Q404" s="451">
        <f t="shared" si="249"/>
        <v>20</v>
      </c>
      <c r="R404" s="452">
        <f t="shared" si="250"/>
        <v>9.2249999999999999E-2</v>
      </c>
      <c r="S404" s="452">
        <v>0</v>
      </c>
      <c r="T404" s="452">
        <v>0</v>
      </c>
      <c r="U404" s="452">
        <f t="shared" si="251"/>
        <v>2.8920000000000001E-2</v>
      </c>
      <c r="V404" s="451">
        <f t="shared" si="252"/>
        <v>0</v>
      </c>
      <c r="W404" s="451">
        <f t="shared" si="253"/>
        <v>0</v>
      </c>
      <c r="X404" s="451">
        <f t="shared" si="254"/>
        <v>0</v>
      </c>
      <c r="Y404" s="453">
        <f t="shared" si="255"/>
        <v>0</v>
      </c>
      <c r="Z404" s="453">
        <f t="shared" si="256"/>
        <v>0</v>
      </c>
      <c r="AA404" s="453">
        <f t="shared" si="257"/>
        <v>0</v>
      </c>
      <c r="AB404" s="453">
        <f t="shared" si="258"/>
        <v>0</v>
      </c>
      <c r="AC404" s="453">
        <f t="shared" si="259"/>
        <v>0</v>
      </c>
      <c r="AD404" s="453">
        <f t="shared" si="260"/>
        <v>0</v>
      </c>
      <c r="AE404" s="493">
        <f t="shared" si="261"/>
        <v>0</v>
      </c>
      <c r="AF404" s="453">
        <f t="shared" si="262"/>
        <v>0</v>
      </c>
      <c r="AG404" s="494">
        <f t="shared" si="263"/>
        <v>1</v>
      </c>
      <c r="AH404" s="454">
        <f t="shared" si="264"/>
        <v>0</v>
      </c>
      <c r="AI404" s="454">
        <f t="shared" si="265"/>
        <v>0</v>
      </c>
      <c r="AJ404" s="454">
        <f t="shared" si="266"/>
        <v>0</v>
      </c>
      <c r="AK404" s="454">
        <f t="shared" si="267"/>
        <v>0</v>
      </c>
      <c r="AL404" s="454">
        <f t="shared" si="268"/>
        <v>0</v>
      </c>
      <c r="AM404" s="454">
        <f t="shared" si="269"/>
        <v>0</v>
      </c>
      <c r="AN404" s="491">
        <f t="shared" si="270"/>
        <v>0</v>
      </c>
      <c r="AO404" s="487">
        <f t="shared" si="271"/>
        <v>0</v>
      </c>
      <c r="AP404" s="495">
        <f t="shared" si="272"/>
        <v>0</v>
      </c>
      <c r="AQ404" s="496">
        <f t="shared" si="273"/>
        <v>0</v>
      </c>
      <c r="AV404" s="459">
        <f>IF(BA404&gt;BA403,AV403,IF(AV403&lt;MiscData!$F$1,EOMONTH(AV403,1),EOMONTH(AV403,-11)))</f>
        <v>42338</v>
      </c>
      <c r="AW404" s="448" t="str">
        <f t="shared" si="274"/>
        <v>20140101KUCME112</v>
      </c>
      <c r="AX404" s="457" t="str">
        <f t="shared" si="275"/>
        <v>20140101GS</v>
      </c>
      <c r="AY404" s="439">
        <f>IF(AV404&lt;=MiscData!$B$23,MiscData!$C$23,IF(AV404&lt;=MiscData!$B$24,MiscData!$C$24,MiscData!$C$25))</f>
        <v>20140101</v>
      </c>
      <c r="AZ404" s="439" t="str">
        <f>VLOOKUP(BA404,MiscData!$V$4:$W$42,2,FALSE)</f>
        <v>KUCME112</v>
      </c>
      <c r="BA404" s="439">
        <f>IF(BA403=MiscData!$V$42,1,BA403+1)</f>
        <v>11</v>
      </c>
      <c r="BB404" s="511" t="str">
        <f>VLOOKUP(AZ404,MiscData!$W$4:$Y$42,3,FALSE)</f>
        <v>GS</v>
      </c>
    </row>
    <row r="405" spans="1:54">
      <c r="A405" s="448">
        <f>A389+1</f>
        <v>356</v>
      </c>
      <c r="B405" s="448" t="str">
        <f t="shared" si="238"/>
        <v>Nov 2015</v>
      </c>
      <c r="C405" s="448" t="s">
        <v>17</v>
      </c>
      <c r="D405" s="449" t="str">
        <f t="shared" si="239"/>
        <v>GS3</v>
      </c>
      <c r="E405" s="449" t="str">
        <f t="shared" si="240"/>
        <v>KUCME113</v>
      </c>
      <c r="F405" s="450">
        <f t="shared" si="241"/>
        <v>18568</v>
      </c>
      <c r="G405" s="450">
        <v>0</v>
      </c>
      <c r="H405" s="450">
        <v>0</v>
      </c>
      <c r="I405" s="450">
        <v>0</v>
      </c>
      <c r="J405" s="450">
        <f t="shared" si="242"/>
        <v>80640902</v>
      </c>
      <c r="K405" s="482">
        <f t="shared" si="243"/>
        <v>363606</v>
      </c>
      <c r="L405" s="482">
        <f t="shared" si="244"/>
        <v>0</v>
      </c>
      <c r="M405" s="482">
        <f t="shared" si="245"/>
        <v>0</v>
      </c>
      <c r="N405" s="482">
        <f t="shared" si="246"/>
        <v>0</v>
      </c>
      <c r="O405" s="482">
        <f t="shared" si="247"/>
        <v>0</v>
      </c>
      <c r="P405" s="482">
        <f t="shared" si="248"/>
        <v>0</v>
      </c>
      <c r="Q405" s="451">
        <f t="shared" si="249"/>
        <v>35</v>
      </c>
      <c r="R405" s="452">
        <f t="shared" si="250"/>
        <v>9.2249999999999999E-2</v>
      </c>
      <c r="S405" s="452">
        <v>0</v>
      </c>
      <c r="T405" s="452">
        <v>0</v>
      </c>
      <c r="U405" s="452">
        <f t="shared" si="251"/>
        <v>2.8920000000000001E-2</v>
      </c>
      <c r="V405" s="451">
        <f t="shared" si="252"/>
        <v>0</v>
      </c>
      <c r="W405" s="451">
        <f t="shared" si="253"/>
        <v>0</v>
      </c>
      <c r="X405" s="451">
        <f t="shared" si="254"/>
        <v>0</v>
      </c>
      <c r="Y405" s="453">
        <f t="shared" si="255"/>
        <v>649880</v>
      </c>
      <c r="Z405" s="453">
        <f t="shared" si="256"/>
        <v>7439123.21</v>
      </c>
      <c r="AA405" s="453">
        <f t="shared" si="257"/>
        <v>0</v>
      </c>
      <c r="AB405" s="453">
        <f t="shared" si="258"/>
        <v>0</v>
      </c>
      <c r="AC405" s="453">
        <f t="shared" si="259"/>
        <v>0</v>
      </c>
      <c r="AD405" s="453">
        <f t="shared" si="260"/>
        <v>0</v>
      </c>
      <c r="AE405" s="493">
        <f t="shared" si="261"/>
        <v>8089003.21</v>
      </c>
      <c r="AF405" s="453">
        <f t="shared" si="262"/>
        <v>8089017</v>
      </c>
      <c r="AG405" s="494">
        <f t="shared" si="263"/>
        <v>1.0000017047835985</v>
      </c>
      <c r="AH405" s="454">
        <f t="shared" si="264"/>
        <v>261520</v>
      </c>
      <c r="AI405" s="454">
        <f t="shared" si="265"/>
        <v>151816</v>
      </c>
      <c r="AJ405" s="454">
        <f t="shared" si="266"/>
        <v>487546</v>
      </c>
      <c r="AK405" s="454">
        <f t="shared" si="267"/>
        <v>0</v>
      </c>
      <c r="AL405" s="454">
        <f t="shared" si="268"/>
        <v>0</v>
      </c>
      <c r="AM405" s="454">
        <f t="shared" si="269"/>
        <v>8989899</v>
      </c>
      <c r="AN405" s="491">
        <f t="shared" si="270"/>
        <v>8989885.2100000009</v>
      </c>
      <c r="AO405" s="487">
        <f t="shared" si="271"/>
        <v>13.78999999910593</v>
      </c>
      <c r="AP405" s="495">
        <f t="shared" si="272"/>
        <v>2332134.89</v>
      </c>
      <c r="AQ405" s="496">
        <f t="shared" si="273"/>
        <v>5106988.32</v>
      </c>
      <c r="AV405" s="459">
        <f>IF(BA405&gt;BA404,AV404,IF(AV404&lt;MiscData!$F$1,EOMONTH(AV404,1),EOMONTH(AV404,-11)))</f>
        <v>42338</v>
      </c>
      <c r="AW405" s="448" t="str">
        <f t="shared" si="274"/>
        <v>20140101KUCME113</v>
      </c>
      <c r="AX405" s="457" t="str">
        <f t="shared" si="275"/>
        <v>20140101GS3</v>
      </c>
      <c r="AY405" s="439">
        <f>IF(AV405&lt;=MiscData!$B$23,MiscData!$C$23,IF(AV405&lt;=MiscData!$B$24,MiscData!$C$24,MiscData!$C$25))</f>
        <v>20140101</v>
      </c>
      <c r="AZ405" s="439" t="str">
        <f>VLOOKUP(BA405,MiscData!$V$4:$W$42,2,FALSE)</f>
        <v>KUCME113</v>
      </c>
      <c r="BA405" s="439">
        <f>IF(BA404=MiscData!$V$42,1,BA404+1)</f>
        <v>12</v>
      </c>
      <c r="BB405" s="439" t="str">
        <f>VLOOKUP(AZ405,MiscData!$W$4:$Y$42,3,FALSE)</f>
        <v>GS3</v>
      </c>
    </row>
    <row r="406" spans="1:54" hidden="1">
      <c r="A406" s="448">
        <f>A390+1</f>
        <v>357</v>
      </c>
      <c r="B406" s="448" t="str">
        <f t="shared" si="238"/>
        <v>Nov 2015</v>
      </c>
      <c r="C406" s="448" t="s">
        <v>203</v>
      </c>
      <c r="D406" s="449" t="str">
        <f t="shared" si="239"/>
        <v>AES</v>
      </c>
      <c r="E406" s="449" t="str">
        <f t="shared" si="240"/>
        <v>KUCME220</v>
      </c>
      <c r="F406" s="450">
        <f t="shared" si="241"/>
        <v>374</v>
      </c>
      <c r="G406" s="450">
        <v>0</v>
      </c>
      <c r="H406" s="450">
        <v>0</v>
      </c>
      <c r="I406" s="450">
        <v>0</v>
      </c>
      <c r="J406" s="450">
        <f t="shared" si="242"/>
        <v>645706</v>
      </c>
      <c r="K406" s="482">
        <f t="shared" si="243"/>
        <v>0</v>
      </c>
      <c r="L406" s="482">
        <f t="shared" si="244"/>
        <v>0</v>
      </c>
      <c r="M406" s="482">
        <f t="shared" si="245"/>
        <v>0</v>
      </c>
      <c r="N406" s="482">
        <f t="shared" si="246"/>
        <v>0</v>
      </c>
      <c r="O406" s="482">
        <f t="shared" si="247"/>
        <v>0</v>
      </c>
      <c r="P406" s="482">
        <f t="shared" si="248"/>
        <v>0</v>
      </c>
      <c r="Q406" s="451">
        <f t="shared" si="249"/>
        <v>20</v>
      </c>
      <c r="R406" s="452">
        <f t="shared" si="250"/>
        <v>7.4399999999999994E-2</v>
      </c>
      <c r="S406" s="452">
        <v>0</v>
      </c>
      <c r="T406" s="452">
        <v>0</v>
      </c>
      <c r="U406" s="452">
        <f t="shared" si="251"/>
        <v>2.8920000000000001E-2</v>
      </c>
      <c r="V406" s="451">
        <f t="shared" si="252"/>
        <v>0</v>
      </c>
      <c r="W406" s="451">
        <f t="shared" si="253"/>
        <v>0</v>
      </c>
      <c r="X406" s="451">
        <f t="shared" si="254"/>
        <v>0</v>
      </c>
      <c r="Y406" s="453">
        <f t="shared" si="255"/>
        <v>7480</v>
      </c>
      <c r="Z406" s="453">
        <f t="shared" si="256"/>
        <v>48040.53</v>
      </c>
      <c r="AA406" s="453">
        <f t="shared" si="257"/>
        <v>0</v>
      </c>
      <c r="AB406" s="453">
        <f t="shared" si="258"/>
        <v>0</v>
      </c>
      <c r="AC406" s="453">
        <f t="shared" si="259"/>
        <v>0</v>
      </c>
      <c r="AD406" s="453">
        <f t="shared" si="260"/>
        <v>0</v>
      </c>
      <c r="AE406" s="493">
        <f t="shared" si="261"/>
        <v>55520.53</v>
      </c>
      <c r="AF406" s="453">
        <f t="shared" si="262"/>
        <v>55520</v>
      </c>
      <c r="AG406" s="494">
        <f t="shared" si="263"/>
        <v>0.99999045398161723</v>
      </c>
      <c r="AH406" s="454">
        <f t="shared" si="264"/>
        <v>2094</v>
      </c>
      <c r="AI406" s="454">
        <f t="shared" si="265"/>
        <v>1216</v>
      </c>
      <c r="AJ406" s="454">
        <f t="shared" si="266"/>
        <v>3904</v>
      </c>
      <c r="AK406" s="454">
        <f t="shared" si="267"/>
        <v>0</v>
      </c>
      <c r="AL406" s="454">
        <f t="shared" si="268"/>
        <v>0</v>
      </c>
      <c r="AM406" s="454">
        <f t="shared" si="269"/>
        <v>62734</v>
      </c>
      <c r="AN406" s="491">
        <f t="shared" si="270"/>
        <v>62734.53</v>
      </c>
      <c r="AO406" s="487">
        <f t="shared" si="271"/>
        <v>-0.52999999999883585</v>
      </c>
      <c r="AP406" s="495">
        <f t="shared" si="272"/>
        <v>18673.82</v>
      </c>
      <c r="AQ406" s="496">
        <f t="shared" si="273"/>
        <v>29366.71</v>
      </c>
      <c r="AV406" s="459">
        <f>IF(BA406&gt;BA405,AV405,IF(AV405&lt;MiscData!$F$1,EOMONTH(AV405,1),EOMONTH(AV405,-11)))</f>
        <v>42338</v>
      </c>
      <c r="AW406" s="448" t="str">
        <f t="shared" si="274"/>
        <v>20140101KUCME220</v>
      </c>
      <c r="AX406" s="457" t="str">
        <f t="shared" si="275"/>
        <v>20140101AES</v>
      </c>
      <c r="AY406" s="439">
        <f>IF(AV406&lt;=MiscData!$B$23,MiscData!$C$23,IF(AV406&lt;=MiscData!$B$24,MiscData!$C$24,MiscData!$C$25))</f>
        <v>20140101</v>
      </c>
      <c r="AZ406" s="439" t="str">
        <f>VLOOKUP(BA406,MiscData!$V$4:$W$42,2,FALSE)</f>
        <v>KUCME220</v>
      </c>
      <c r="BA406" s="439">
        <f>IF(BA405=MiscData!$V$42,1,BA405+1)</f>
        <v>13</v>
      </c>
      <c r="BB406" s="439" t="str">
        <f>VLOOKUP(AZ406,MiscData!$W$4:$Y$42,3,FALSE)</f>
        <v>AES</v>
      </c>
    </row>
    <row r="407" spans="1:54" hidden="1">
      <c r="A407" s="448">
        <f>A406+1</f>
        <v>358</v>
      </c>
      <c r="B407" s="448" t="str">
        <f t="shared" si="238"/>
        <v>Nov 2015</v>
      </c>
      <c r="C407" s="448" t="s">
        <v>203</v>
      </c>
      <c r="D407" s="449" t="str">
        <f t="shared" si="239"/>
        <v>AES</v>
      </c>
      <c r="E407" s="449" t="str">
        <f t="shared" si="240"/>
        <v>KUCME221</v>
      </c>
      <c r="F407" s="450">
        <f t="shared" si="241"/>
        <v>0</v>
      </c>
      <c r="G407" s="450">
        <v>0</v>
      </c>
      <c r="H407" s="450">
        <v>0</v>
      </c>
      <c r="I407" s="450">
        <v>0</v>
      </c>
      <c r="J407" s="450">
        <f t="shared" si="242"/>
        <v>0</v>
      </c>
      <c r="K407" s="482">
        <f t="shared" si="243"/>
        <v>0</v>
      </c>
      <c r="L407" s="482">
        <f t="shared" si="244"/>
        <v>0</v>
      </c>
      <c r="M407" s="482">
        <f t="shared" si="245"/>
        <v>0</v>
      </c>
      <c r="N407" s="482">
        <f t="shared" si="246"/>
        <v>0</v>
      </c>
      <c r="O407" s="482">
        <f t="shared" si="247"/>
        <v>0</v>
      </c>
      <c r="P407" s="482">
        <f t="shared" si="248"/>
        <v>0</v>
      </c>
      <c r="Q407" s="451">
        <f t="shared" si="249"/>
        <v>20</v>
      </c>
      <c r="R407" s="452">
        <f t="shared" si="250"/>
        <v>7.4399999999999994E-2</v>
      </c>
      <c r="S407" s="452">
        <v>0</v>
      </c>
      <c r="T407" s="452">
        <v>0</v>
      </c>
      <c r="U407" s="452">
        <f t="shared" si="251"/>
        <v>2.8920000000000001E-2</v>
      </c>
      <c r="V407" s="451">
        <f t="shared" si="252"/>
        <v>0</v>
      </c>
      <c r="W407" s="451">
        <f t="shared" si="253"/>
        <v>0</v>
      </c>
      <c r="X407" s="451">
        <f t="shared" si="254"/>
        <v>0</v>
      </c>
      <c r="Y407" s="453">
        <f t="shared" si="255"/>
        <v>0</v>
      </c>
      <c r="Z407" s="453">
        <f t="shared" si="256"/>
        <v>0</v>
      </c>
      <c r="AA407" s="453">
        <f t="shared" si="257"/>
        <v>0</v>
      </c>
      <c r="AB407" s="453">
        <f t="shared" si="258"/>
        <v>0</v>
      </c>
      <c r="AC407" s="453">
        <f t="shared" si="259"/>
        <v>0</v>
      </c>
      <c r="AD407" s="453">
        <f t="shared" si="260"/>
        <v>0</v>
      </c>
      <c r="AE407" s="493">
        <f t="shared" si="261"/>
        <v>0</v>
      </c>
      <c r="AF407" s="453">
        <f t="shared" si="262"/>
        <v>0</v>
      </c>
      <c r="AG407" s="494">
        <f t="shared" si="263"/>
        <v>1</v>
      </c>
      <c r="AH407" s="454">
        <f t="shared" si="264"/>
        <v>0</v>
      </c>
      <c r="AI407" s="454">
        <f t="shared" si="265"/>
        <v>0</v>
      </c>
      <c r="AJ407" s="454">
        <f t="shared" si="266"/>
        <v>0</v>
      </c>
      <c r="AK407" s="454">
        <f t="shared" si="267"/>
        <v>0</v>
      </c>
      <c r="AL407" s="454">
        <f t="shared" si="268"/>
        <v>0</v>
      </c>
      <c r="AM407" s="454">
        <f t="shared" si="269"/>
        <v>0</v>
      </c>
      <c r="AN407" s="491">
        <f t="shared" si="270"/>
        <v>0</v>
      </c>
      <c r="AO407" s="487">
        <f t="shared" si="271"/>
        <v>0</v>
      </c>
      <c r="AP407" s="495">
        <f t="shared" si="272"/>
        <v>0</v>
      </c>
      <c r="AQ407" s="496">
        <f t="shared" si="273"/>
        <v>0</v>
      </c>
      <c r="AV407" s="459">
        <f>IF(BA407&gt;BA406,AV406,IF(AV406&lt;MiscData!$F$1,EOMONTH(AV406,1),EOMONTH(AV406,-11)))</f>
        <v>42338</v>
      </c>
      <c r="AW407" s="448" t="str">
        <f t="shared" si="274"/>
        <v>20140101KUCME221</v>
      </c>
      <c r="AX407" s="457" t="str">
        <f t="shared" si="275"/>
        <v>20140101AES</v>
      </c>
      <c r="AY407" s="439">
        <f>IF(AV407&lt;=MiscData!$B$23,MiscData!$C$23,IF(AV407&lt;=MiscData!$B$24,MiscData!$C$24,MiscData!$C$25))</f>
        <v>20140101</v>
      </c>
      <c r="AZ407" s="439" t="str">
        <f>VLOOKUP(BA407,MiscData!$V$4:$W$42,2,FALSE)</f>
        <v>KUCME221</v>
      </c>
      <c r="BA407" s="439">
        <f>IF(BA406=MiscData!$V$42,1,BA406+1)</f>
        <v>14</v>
      </c>
      <c r="BB407" s="439" t="str">
        <f>VLOOKUP(AZ407,MiscData!$W$4:$Y$42,3,FALSE)</f>
        <v>AES</v>
      </c>
    </row>
    <row r="408" spans="1:54" hidden="1">
      <c r="A408" s="448">
        <f>A407+1</f>
        <v>359</v>
      </c>
      <c r="B408" s="448" t="str">
        <f t="shared" si="238"/>
        <v>Nov 2015</v>
      </c>
      <c r="C408" s="832" t="s">
        <v>212</v>
      </c>
      <c r="D408" s="449" t="str">
        <f t="shared" si="239"/>
        <v>AES3</v>
      </c>
      <c r="E408" s="449" t="str">
        <f t="shared" si="240"/>
        <v>KUCME223</v>
      </c>
      <c r="F408" s="450">
        <f t="shared" si="241"/>
        <v>0</v>
      </c>
      <c r="G408" s="450">
        <v>0</v>
      </c>
      <c r="H408" s="450">
        <v>0</v>
      </c>
      <c r="I408" s="450">
        <v>0</v>
      </c>
      <c r="J408" s="450">
        <f t="shared" si="242"/>
        <v>0</v>
      </c>
      <c r="K408" s="482">
        <f t="shared" si="243"/>
        <v>0</v>
      </c>
      <c r="L408" s="482">
        <f t="shared" si="244"/>
        <v>0</v>
      </c>
      <c r="M408" s="482">
        <f t="shared" si="245"/>
        <v>0</v>
      </c>
      <c r="N408" s="482">
        <f t="shared" si="246"/>
        <v>0</v>
      </c>
      <c r="O408" s="482">
        <f t="shared" si="247"/>
        <v>0</v>
      </c>
      <c r="P408" s="482">
        <f t="shared" si="248"/>
        <v>0</v>
      </c>
      <c r="Q408" s="451">
        <f t="shared" si="249"/>
        <v>35</v>
      </c>
      <c r="R408" s="452">
        <f t="shared" si="250"/>
        <v>7.4399999999999994E-2</v>
      </c>
      <c r="S408" s="452">
        <v>0</v>
      </c>
      <c r="T408" s="452">
        <v>0</v>
      </c>
      <c r="U408" s="452">
        <f t="shared" si="251"/>
        <v>2.8920000000000001E-2</v>
      </c>
      <c r="V408" s="451">
        <f t="shared" si="252"/>
        <v>0</v>
      </c>
      <c r="W408" s="451">
        <f t="shared" si="253"/>
        <v>0</v>
      </c>
      <c r="X408" s="451">
        <f t="shared" si="254"/>
        <v>0</v>
      </c>
      <c r="Y408" s="453">
        <f t="shared" si="255"/>
        <v>0</v>
      </c>
      <c r="Z408" s="453">
        <f t="shared" si="256"/>
        <v>0</v>
      </c>
      <c r="AA408" s="453">
        <f t="shared" si="257"/>
        <v>0</v>
      </c>
      <c r="AB408" s="453">
        <f t="shared" si="258"/>
        <v>0</v>
      </c>
      <c r="AC408" s="453">
        <f t="shared" si="259"/>
        <v>0</v>
      </c>
      <c r="AD408" s="453">
        <f t="shared" si="260"/>
        <v>0</v>
      </c>
      <c r="AE408" s="493">
        <f t="shared" si="261"/>
        <v>0</v>
      </c>
      <c r="AF408" s="453">
        <f t="shared" si="262"/>
        <v>0</v>
      </c>
      <c r="AG408" s="494">
        <f t="shared" si="263"/>
        <v>1</v>
      </c>
      <c r="AH408" s="454">
        <f t="shared" si="264"/>
        <v>0</v>
      </c>
      <c r="AI408" s="454">
        <f t="shared" si="265"/>
        <v>0</v>
      </c>
      <c r="AJ408" s="454">
        <f t="shared" si="266"/>
        <v>0</v>
      </c>
      <c r="AK408" s="454">
        <f t="shared" si="267"/>
        <v>0</v>
      </c>
      <c r="AL408" s="454">
        <f t="shared" si="268"/>
        <v>0</v>
      </c>
      <c r="AM408" s="454">
        <f t="shared" si="269"/>
        <v>0</v>
      </c>
      <c r="AN408" s="491">
        <f t="shared" si="270"/>
        <v>0</v>
      </c>
      <c r="AO408" s="487">
        <f t="shared" si="271"/>
        <v>0</v>
      </c>
      <c r="AP408" s="495">
        <f t="shared" si="272"/>
        <v>0</v>
      </c>
      <c r="AQ408" s="496">
        <f t="shared" si="273"/>
        <v>0</v>
      </c>
      <c r="AV408" s="459">
        <f>IF(BA408&gt;BA407,AV407,IF(AV407&lt;MiscData!$F$1,EOMONTH(AV407,1),EOMONTH(AV407,-11)))</f>
        <v>42338</v>
      </c>
      <c r="AW408" s="448" t="str">
        <f t="shared" si="274"/>
        <v>20140101KUCME223</v>
      </c>
      <c r="AX408" s="457" t="str">
        <f t="shared" si="275"/>
        <v>20140101AES3</v>
      </c>
      <c r="AY408" s="439">
        <f>IF(AV408&lt;=MiscData!$B$23,MiscData!$C$23,IF(AV408&lt;=MiscData!$B$24,MiscData!$C$24,MiscData!$C$25))</f>
        <v>20140101</v>
      </c>
      <c r="AZ408" s="439" t="str">
        <f>VLOOKUP(BA408,MiscData!$V$4:$W$42,2,FALSE)</f>
        <v>KUCME223</v>
      </c>
      <c r="BA408" s="439">
        <f>IF(BA407=MiscData!$V$42,1,BA407+1)</f>
        <v>15</v>
      </c>
      <c r="BB408" s="439" t="str">
        <f>VLOOKUP(AZ408,MiscData!$W$4:$Y$42,3,FALSE)</f>
        <v>AES3</v>
      </c>
    </row>
    <row r="409" spans="1:54" hidden="1">
      <c r="A409" s="448">
        <f>A408+1</f>
        <v>360</v>
      </c>
      <c r="B409" s="448" t="str">
        <f t="shared" si="238"/>
        <v>Nov 2015</v>
      </c>
      <c r="C409" s="832" t="s">
        <v>212</v>
      </c>
      <c r="D409" s="449" t="str">
        <f t="shared" si="239"/>
        <v>AES3</v>
      </c>
      <c r="E409" s="449" t="str">
        <f t="shared" si="240"/>
        <v>KUCME224</v>
      </c>
      <c r="F409" s="450">
        <f t="shared" si="241"/>
        <v>260</v>
      </c>
      <c r="G409" s="450">
        <v>0</v>
      </c>
      <c r="H409" s="450">
        <v>0</v>
      </c>
      <c r="I409" s="450">
        <v>0</v>
      </c>
      <c r="J409" s="450">
        <f t="shared" si="242"/>
        <v>11967848</v>
      </c>
      <c r="K409" s="482">
        <f t="shared" si="243"/>
        <v>54419</v>
      </c>
      <c r="L409" s="482">
        <f t="shared" si="244"/>
        <v>0</v>
      </c>
      <c r="M409" s="482">
        <f t="shared" si="245"/>
        <v>0</v>
      </c>
      <c r="N409" s="482">
        <f t="shared" si="246"/>
        <v>0</v>
      </c>
      <c r="O409" s="482">
        <f t="shared" si="247"/>
        <v>0</v>
      </c>
      <c r="P409" s="482">
        <f t="shared" si="248"/>
        <v>0</v>
      </c>
      <c r="Q409" s="451">
        <f t="shared" si="249"/>
        <v>35</v>
      </c>
      <c r="R409" s="452">
        <f t="shared" si="250"/>
        <v>7.4399999999999994E-2</v>
      </c>
      <c r="S409" s="452">
        <v>0</v>
      </c>
      <c r="T409" s="452">
        <v>0</v>
      </c>
      <c r="U409" s="452">
        <f t="shared" si="251"/>
        <v>2.8920000000000001E-2</v>
      </c>
      <c r="V409" s="451">
        <f t="shared" si="252"/>
        <v>0</v>
      </c>
      <c r="W409" s="451">
        <f t="shared" si="253"/>
        <v>0</v>
      </c>
      <c r="X409" s="451">
        <f t="shared" si="254"/>
        <v>0</v>
      </c>
      <c r="Y409" s="453">
        <f t="shared" si="255"/>
        <v>9100</v>
      </c>
      <c r="Z409" s="453">
        <f t="shared" si="256"/>
        <v>890407.89</v>
      </c>
      <c r="AA409" s="453">
        <f t="shared" si="257"/>
        <v>0</v>
      </c>
      <c r="AB409" s="453">
        <f t="shared" si="258"/>
        <v>0</v>
      </c>
      <c r="AC409" s="453">
        <f t="shared" si="259"/>
        <v>0</v>
      </c>
      <c r="AD409" s="453">
        <f t="shared" si="260"/>
        <v>0</v>
      </c>
      <c r="AE409" s="493">
        <f t="shared" si="261"/>
        <v>899507.89</v>
      </c>
      <c r="AF409" s="453">
        <f t="shared" si="262"/>
        <v>899508</v>
      </c>
      <c r="AG409" s="494">
        <f t="shared" si="263"/>
        <v>1.0000001222890884</v>
      </c>
      <c r="AH409" s="454">
        <f t="shared" si="264"/>
        <v>38812</v>
      </c>
      <c r="AI409" s="454">
        <f t="shared" si="265"/>
        <v>22531</v>
      </c>
      <c r="AJ409" s="454">
        <f t="shared" si="266"/>
        <v>72356</v>
      </c>
      <c r="AK409" s="454">
        <f t="shared" si="267"/>
        <v>0</v>
      </c>
      <c r="AL409" s="454">
        <f t="shared" si="268"/>
        <v>0</v>
      </c>
      <c r="AM409" s="454">
        <f t="shared" si="269"/>
        <v>1033207</v>
      </c>
      <c r="AN409" s="491">
        <f t="shared" si="270"/>
        <v>1033206.89</v>
      </c>
      <c r="AO409" s="487">
        <f t="shared" si="271"/>
        <v>0.10999999998603016</v>
      </c>
      <c r="AP409" s="495">
        <f t="shared" si="272"/>
        <v>346110.16</v>
      </c>
      <c r="AQ409" s="496">
        <f t="shared" si="273"/>
        <v>544297.73</v>
      </c>
      <c r="AV409" s="459">
        <f>IF(BA409&gt;BA408,AV408,IF(AV408&lt;MiscData!$F$1,EOMONTH(AV408,1),EOMONTH(AV408,-11)))</f>
        <v>42338</v>
      </c>
      <c r="AW409" s="448" t="str">
        <f t="shared" si="274"/>
        <v>20140101KUCME224</v>
      </c>
      <c r="AX409" s="457" t="str">
        <f t="shared" si="275"/>
        <v>20140101AES3</v>
      </c>
      <c r="AY409" s="439">
        <f>IF(AV409&lt;=MiscData!$B$23,MiscData!$C$23,IF(AV409&lt;=MiscData!$B$24,MiscData!$C$24,MiscData!$C$25))</f>
        <v>20140101</v>
      </c>
      <c r="AZ409" s="439" t="str">
        <f>VLOOKUP(BA409,MiscData!$V$4:$W$42,2,FALSE)</f>
        <v>KUCME224</v>
      </c>
      <c r="BA409" s="439">
        <f>IF(BA408=MiscData!$V$42,1,BA408+1)</f>
        <v>16</v>
      </c>
      <c r="BB409" s="439" t="str">
        <f>VLOOKUP(AZ409,MiscData!$W$4:$Y$42,3,FALSE)</f>
        <v>AES3</v>
      </c>
    </row>
    <row r="410" spans="1:54" hidden="1">
      <c r="A410" s="448">
        <f>A409+1</f>
        <v>361</v>
      </c>
      <c r="B410" s="448" t="str">
        <f t="shared" si="238"/>
        <v>Nov 2015</v>
      </c>
      <c r="C410" s="832" t="s">
        <v>212</v>
      </c>
      <c r="D410" s="449" t="str">
        <f t="shared" si="239"/>
        <v>AES3</v>
      </c>
      <c r="E410" s="449" t="str">
        <f t="shared" si="240"/>
        <v>KUCME225</v>
      </c>
      <c r="F410" s="450">
        <f t="shared" si="241"/>
        <v>0</v>
      </c>
      <c r="G410" s="450">
        <v>0</v>
      </c>
      <c r="H410" s="450">
        <v>0</v>
      </c>
      <c r="I410" s="450">
        <v>0</v>
      </c>
      <c r="J410" s="450">
        <f t="shared" si="242"/>
        <v>0</v>
      </c>
      <c r="K410" s="482">
        <f t="shared" si="243"/>
        <v>0</v>
      </c>
      <c r="L410" s="482">
        <f t="shared" si="244"/>
        <v>0</v>
      </c>
      <c r="M410" s="482">
        <f t="shared" si="245"/>
        <v>0</v>
      </c>
      <c r="N410" s="482">
        <f t="shared" si="246"/>
        <v>0</v>
      </c>
      <c r="O410" s="482">
        <f t="shared" si="247"/>
        <v>0</v>
      </c>
      <c r="P410" s="482">
        <f t="shared" si="248"/>
        <v>0</v>
      </c>
      <c r="Q410" s="451">
        <f t="shared" si="249"/>
        <v>35</v>
      </c>
      <c r="R410" s="452">
        <f t="shared" si="250"/>
        <v>7.4399999999999994E-2</v>
      </c>
      <c r="S410" s="452">
        <v>0</v>
      </c>
      <c r="T410" s="452">
        <v>0</v>
      </c>
      <c r="U410" s="452">
        <f t="shared" si="251"/>
        <v>2.8920000000000001E-2</v>
      </c>
      <c r="V410" s="451">
        <f t="shared" si="252"/>
        <v>0</v>
      </c>
      <c r="W410" s="451">
        <f t="shared" si="253"/>
        <v>0</v>
      </c>
      <c r="X410" s="451">
        <f t="shared" si="254"/>
        <v>0</v>
      </c>
      <c r="Y410" s="453">
        <f t="shared" si="255"/>
        <v>0</v>
      </c>
      <c r="Z410" s="453">
        <f t="shared" si="256"/>
        <v>0</v>
      </c>
      <c r="AA410" s="453">
        <f t="shared" si="257"/>
        <v>0</v>
      </c>
      <c r="AB410" s="453">
        <f t="shared" si="258"/>
        <v>0</v>
      </c>
      <c r="AC410" s="453">
        <f t="shared" si="259"/>
        <v>0</v>
      </c>
      <c r="AD410" s="453">
        <f t="shared" si="260"/>
        <v>0</v>
      </c>
      <c r="AE410" s="493">
        <f t="shared" si="261"/>
        <v>0</v>
      </c>
      <c r="AF410" s="453">
        <f t="shared" si="262"/>
        <v>0</v>
      </c>
      <c r="AG410" s="494">
        <f t="shared" si="263"/>
        <v>1</v>
      </c>
      <c r="AH410" s="454">
        <f t="shared" si="264"/>
        <v>0</v>
      </c>
      <c r="AI410" s="454">
        <f t="shared" si="265"/>
        <v>0</v>
      </c>
      <c r="AJ410" s="454">
        <f t="shared" si="266"/>
        <v>0</v>
      </c>
      <c r="AK410" s="454">
        <f t="shared" si="267"/>
        <v>0</v>
      </c>
      <c r="AL410" s="454">
        <f t="shared" si="268"/>
        <v>0</v>
      </c>
      <c r="AM410" s="454">
        <f t="shared" si="269"/>
        <v>0</v>
      </c>
      <c r="AN410" s="491">
        <f t="shared" si="270"/>
        <v>0</v>
      </c>
      <c r="AO410" s="487">
        <f t="shared" si="271"/>
        <v>0</v>
      </c>
      <c r="AP410" s="495">
        <f t="shared" si="272"/>
        <v>0</v>
      </c>
      <c r="AQ410" s="496">
        <f t="shared" si="273"/>
        <v>0</v>
      </c>
      <c r="AV410" s="459">
        <f>IF(BA410&gt;BA409,AV409,IF(AV409&lt;MiscData!$F$1,EOMONTH(AV409,1),EOMONTH(AV409,-11)))</f>
        <v>42338</v>
      </c>
      <c r="AW410" s="448" t="str">
        <f t="shared" si="274"/>
        <v>20140101KUCME225</v>
      </c>
      <c r="AX410" s="457" t="str">
        <f t="shared" si="275"/>
        <v>20140101AES3</v>
      </c>
      <c r="AY410" s="439">
        <f>IF(AV410&lt;=MiscData!$B$23,MiscData!$C$23,IF(AV410&lt;=MiscData!$B$24,MiscData!$C$24,MiscData!$C$25))</f>
        <v>20140101</v>
      </c>
      <c r="AZ410" s="439" t="str">
        <f>VLOOKUP(BA410,MiscData!$V$4:$W$42,2,FALSE)</f>
        <v>KUCME225</v>
      </c>
      <c r="BA410" s="439">
        <f>IF(BA409=MiscData!$V$42,1,BA409+1)</f>
        <v>17</v>
      </c>
      <c r="BB410" s="439" t="str">
        <f>VLOOKUP(AZ410,MiscData!$W$4:$Y$42,3,FALSE)</f>
        <v>AES3</v>
      </c>
    </row>
    <row r="411" spans="1:54" hidden="1">
      <c r="A411" s="448">
        <f>A386+1</f>
        <v>354</v>
      </c>
      <c r="B411" s="448" t="str">
        <f t="shared" si="238"/>
        <v>Nov 2015</v>
      </c>
      <c r="C411" s="448" t="s">
        <v>203</v>
      </c>
      <c r="D411" s="449" t="str">
        <f t="shared" si="239"/>
        <v>AES</v>
      </c>
      <c r="E411" s="449" t="str">
        <f t="shared" si="240"/>
        <v>KUCME226</v>
      </c>
      <c r="F411" s="450">
        <f t="shared" si="241"/>
        <v>0</v>
      </c>
      <c r="G411" s="450">
        <v>0</v>
      </c>
      <c r="H411" s="450">
        <v>0</v>
      </c>
      <c r="I411" s="450">
        <v>0</v>
      </c>
      <c r="J411" s="450">
        <f t="shared" si="242"/>
        <v>0</v>
      </c>
      <c r="K411" s="482">
        <f t="shared" si="243"/>
        <v>0</v>
      </c>
      <c r="L411" s="482">
        <f t="shared" si="244"/>
        <v>0</v>
      </c>
      <c r="M411" s="482">
        <f t="shared" si="245"/>
        <v>0</v>
      </c>
      <c r="N411" s="482">
        <f t="shared" si="246"/>
        <v>0</v>
      </c>
      <c r="O411" s="482">
        <f t="shared" si="247"/>
        <v>0</v>
      </c>
      <c r="P411" s="482">
        <f t="shared" si="248"/>
        <v>0</v>
      </c>
      <c r="Q411" s="451">
        <f t="shared" si="249"/>
        <v>20</v>
      </c>
      <c r="R411" s="452">
        <f t="shared" si="250"/>
        <v>7.4399999999999994E-2</v>
      </c>
      <c r="S411" s="452">
        <v>0</v>
      </c>
      <c r="T411" s="452">
        <v>0</v>
      </c>
      <c r="U411" s="452">
        <f t="shared" si="251"/>
        <v>2.8920000000000001E-2</v>
      </c>
      <c r="V411" s="451">
        <f t="shared" si="252"/>
        <v>0</v>
      </c>
      <c r="W411" s="451">
        <f t="shared" si="253"/>
        <v>0</v>
      </c>
      <c r="X411" s="451">
        <f t="shared" si="254"/>
        <v>0</v>
      </c>
      <c r="Y411" s="453">
        <f t="shared" si="255"/>
        <v>0</v>
      </c>
      <c r="Z411" s="453">
        <f t="shared" si="256"/>
        <v>0</v>
      </c>
      <c r="AA411" s="453">
        <f t="shared" si="257"/>
        <v>0</v>
      </c>
      <c r="AB411" s="453">
        <f t="shared" si="258"/>
        <v>0</v>
      </c>
      <c r="AC411" s="453">
        <f t="shared" si="259"/>
        <v>0</v>
      </c>
      <c r="AD411" s="453">
        <f t="shared" si="260"/>
        <v>0</v>
      </c>
      <c r="AE411" s="493">
        <f t="shared" si="261"/>
        <v>0</v>
      </c>
      <c r="AF411" s="453">
        <f t="shared" si="262"/>
        <v>0</v>
      </c>
      <c r="AG411" s="494">
        <f t="shared" si="263"/>
        <v>1</v>
      </c>
      <c r="AH411" s="454">
        <f t="shared" si="264"/>
        <v>0</v>
      </c>
      <c r="AI411" s="454">
        <f t="shared" si="265"/>
        <v>0</v>
      </c>
      <c r="AJ411" s="454">
        <f t="shared" si="266"/>
        <v>0</v>
      </c>
      <c r="AK411" s="454">
        <f t="shared" si="267"/>
        <v>0</v>
      </c>
      <c r="AL411" s="454">
        <f t="shared" si="268"/>
        <v>0</v>
      </c>
      <c r="AM411" s="454">
        <f t="shared" si="269"/>
        <v>0</v>
      </c>
      <c r="AN411" s="491">
        <f t="shared" si="270"/>
        <v>0</v>
      </c>
      <c r="AO411" s="487">
        <f t="shared" si="271"/>
        <v>0</v>
      </c>
      <c r="AP411" s="495">
        <f t="shared" si="272"/>
        <v>0</v>
      </c>
      <c r="AQ411" s="496">
        <f t="shared" si="273"/>
        <v>0</v>
      </c>
      <c r="AV411" s="459">
        <f>IF(BA411&gt;BA410,AV410,IF(AV410&lt;MiscData!$F$1,EOMONTH(AV410,1),EOMONTH(AV410,-11)))</f>
        <v>42338</v>
      </c>
      <c r="AW411" s="448" t="str">
        <f t="shared" si="274"/>
        <v>20140101KUCME226</v>
      </c>
      <c r="AX411" s="457" t="str">
        <f t="shared" si="275"/>
        <v>20140101AES</v>
      </c>
      <c r="AY411" s="439">
        <f>IF(AV411&lt;=MiscData!$B$23,MiscData!$C$23,IF(AV411&lt;=MiscData!$B$24,MiscData!$C$24,MiscData!$C$25))</f>
        <v>20140101</v>
      </c>
      <c r="AZ411" s="439" t="str">
        <f>VLOOKUP(BA411,MiscData!$V$4:$W$42,2,FALSE)</f>
        <v>KUCME226</v>
      </c>
      <c r="BA411" s="439">
        <f>IF(BA410=MiscData!$V$42,1,BA410+1)</f>
        <v>18</v>
      </c>
      <c r="BB411" s="439" t="str">
        <f>VLOOKUP(AZ411,MiscData!$W$4:$Y$42,3,FALSE)</f>
        <v>AES</v>
      </c>
    </row>
    <row r="412" spans="1:54" hidden="1">
      <c r="A412" s="448">
        <f t="shared" ref="A412:A420" si="277">A411+1</f>
        <v>355</v>
      </c>
      <c r="B412" s="448" t="str">
        <f t="shared" si="238"/>
        <v>Nov 2015</v>
      </c>
      <c r="C412" s="832" t="s">
        <v>212</v>
      </c>
      <c r="D412" s="449" t="str">
        <f t="shared" si="239"/>
        <v>AES3</v>
      </c>
      <c r="E412" s="449" t="str">
        <f t="shared" si="240"/>
        <v>KUCME227</v>
      </c>
      <c r="F412" s="450">
        <f t="shared" si="241"/>
        <v>0</v>
      </c>
      <c r="G412" s="450">
        <v>0</v>
      </c>
      <c r="H412" s="450">
        <v>0</v>
      </c>
      <c r="I412" s="450">
        <v>0</v>
      </c>
      <c r="J412" s="450">
        <f t="shared" si="242"/>
        <v>0</v>
      </c>
      <c r="K412" s="482">
        <f t="shared" si="243"/>
        <v>0</v>
      </c>
      <c r="L412" s="482">
        <f t="shared" si="244"/>
        <v>0</v>
      </c>
      <c r="M412" s="482">
        <f t="shared" si="245"/>
        <v>0</v>
      </c>
      <c r="N412" s="482">
        <f t="shared" si="246"/>
        <v>0</v>
      </c>
      <c r="O412" s="482">
        <f t="shared" si="247"/>
        <v>0</v>
      </c>
      <c r="P412" s="482">
        <f t="shared" si="248"/>
        <v>0</v>
      </c>
      <c r="Q412" s="451">
        <f t="shared" si="249"/>
        <v>35</v>
      </c>
      <c r="R412" s="452">
        <f t="shared" si="250"/>
        <v>7.4399999999999994E-2</v>
      </c>
      <c r="S412" s="452">
        <v>0</v>
      </c>
      <c r="T412" s="452">
        <v>0</v>
      </c>
      <c r="U412" s="452">
        <f t="shared" si="251"/>
        <v>2.8920000000000001E-2</v>
      </c>
      <c r="V412" s="451">
        <f t="shared" si="252"/>
        <v>0</v>
      </c>
      <c r="W412" s="451">
        <f t="shared" si="253"/>
        <v>0</v>
      </c>
      <c r="X412" s="451">
        <f t="shared" si="254"/>
        <v>0</v>
      </c>
      <c r="Y412" s="453">
        <f t="shared" si="255"/>
        <v>0</v>
      </c>
      <c r="Z412" s="453">
        <f t="shared" si="256"/>
        <v>0</v>
      </c>
      <c r="AA412" s="453">
        <f t="shared" si="257"/>
        <v>0</v>
      </c>
      <c r="AB412" s="453">
        <f t="shared" si="258"/>
        <v>0</v>
      </c>
      <c r="AC412" s="453">
        <f t="shared" si="259"/>
        <v>0</v>
      </c>
      <c r="AD412" s="453">
        <f t="shared" si="260"/>
        <v>0</v>
      </c>
      <c r="AE412" s="493">
        <f t="shared" si="261"/>
        <v>0</v>
      </c>
      <c r="AF412" s="453">
        <f t="shared" si="262"/>
        <v>0</v>
      </c>
      <c r="AG412" s="494">
        <f t="shared" si="263"/>
        <v>1</v>
      </c>
      <c r="AH412" s="454">
        <f t="shared" si="264"/>
        <v>0</v>
      </c>
      <c r="AI412" s="454">
        <f t="shared" si="265"/>
        <v>0</v>
      </c>
      <c r="AJ412" s="454">
        <f t="shared" si="266"/>
        <v>0</v>
      </c>
      <c r="AK412" s="454">
        <f t="shared" si="267"/>
        <v>0</v>
      </c>
      <c r="AL412" s="454">
        <f t="shared" si="268"/>
        <v>0</v>
      </c>
      <c r="AM412" s="454">
        <f t="shared" si="269"/>
        <v>0</v>
      </c>
      <c r="AN412" s="491">
        <f t="shared" si="270"/>
        <v>0</v>
      </c>
      <c r="AO412" s="487">
        <f t="shared" si="271"/>
        <v>0</v>
      </c>
      <c r="AP412" s="495">
        <f t="shared" si="272"/>
        <v>0</v>
      </c>
      <c r="AQ412" s="496">
        <f t="shared" si="273"/>
        <v>0</v>
      </c>
      <c r="AV412" s="459">
        <f>IF(BA412&gt;BA411,AV411,IF(AV411&lt;MiscData!$F$1,EOMONTH(AV411,1),EOMONTH(AV411,-11)))</f>
        <v>42338</v>
      </c>
      <c r="AW412" s="448" t="str">
        <f t="shared" si="274"/>
        <v>20140101KUCME227</v>
      </c>
      <c r="AX412" s="457" t="str">
        <f t="shared" si="275"/>
        <v>20140101AES3</v>
      </c>
      <c r="AY412" s="439">
        <f>IF(AV412&lt;=MiscData!$B$23,MiscData!$C$23,IF(AV412&lt;=MiscData!$B$24,MiscData!$C$24,MiscData!$C$25))</f>
        <v>20140101</v>
      </c>
      <c r="AZ412" s="439" t="str">
        <f>VLOOKUP(BA412,MiscData!$V$4:$W$42,2,FALSE)</f>
        <v>KUCME227</v>
      </c>
      <c r="BA412" s="439">
        <f>IF(BA411=MiscData!$V$42,1,BA411+1)</f>
        <v>19</v>
      </c>
      <c r="BB412" s="439" t="str">
        <f>VLOOKUP(AZ412,MiscData!$W$4:$Y$42,3,FALSE)</f>
        <v>AES3</v>
      </c>
    </row>
    <row r="413" spans="1:54" hidden="1">
      <c r="A413" s="448">
        <f t="shared" si="277"/>
        <v>356</v>
      </c>
      <c r="B413" s="448" t="str">
        <f t="shared" si="238"/>
        <v>Nov 2015</v>
      </c>
      <c r="C413" s="448" t="s">
        <v>19</v>
      </c>
      <c r="D413" s="449" t="str">
        <f t="shared" si="239"/>
        <v>LE</v>
      </c>
      <c r="E413" s="449" t="str">
        <f t="shared" si="240"/>
        <v>KUCME290</v>
      </c>
      <c r="F413" s="450">
        <f t="shared" si="241"/>
        <v>2</v>
      </c>
      <c r="G413" s="450">
        <v>0</v>
      </c>
      <c r="H413" s="450">
        <v>0</v>
      </c>
      <c r="I413" s="450">
        <v>0</v>
      </c>
      <c r="J413" s="450">
        <f t="shared" si="242"/>
        <v>16078</v>
      </c>
      <c r="K413" s="482">
        <f t="shared" si="243"/>
        <v>0</v>
      </c>
      <c r="L413" s="482">
        <f t="shared" si="244"/>
        <v>0</v>
      </c>
      <c r="M413" s="482">
        <f t="shared" si="245"/>
        <v>0</v>
      </c>
      <c r="N413" s="482">
        <f t="shared" si="246"/>
        <v>0</v>
      </c>
      <c r="O413" s="482">
        <f t="shared" si="247"/>
        <v>0</v>
      </c>
      <c r="P413" s="482">
        <f t="shared" si="248"/>
        <v>0</v>
      </c>
      <c r="Q413" s="451">
        <f t="shared" si="249"/>
        <v>0</v>
      </c>
      <c r="R413" s="452">
        <f t="shared" si="250"/>
        <v>6.3799999999999996E-2</v>
      </c>
      <c r="S413" s="452">
        <v>0</v>
      </c>
      <c r="T413" s="452">
        <v>0</v>
      </c>
      <c r="U413" s="452">
        <f t="shared" si="251"/>
        <v>2.8920000000000001E-2</v>
      </c>
      <c r="V413" s="451">
        <f t="shared" si="252"/>
        <v>0</v>
      </c>
      <c r="W413" s="451">
        <f t="shared" si="253"/>
        <v>0</v>
      </c>
      <c r="X413" s="451">
        <f t="shared" si="254"/>
        <v>0</v>
      </c>
      <c r="Y413" s="453">
        <f t="shared" si="255"/>
        <v>0</v>
      </c>
      <c r="Z413" s="453">
        <f t="shared" si="256"/>
        <v>1025.78</v>
      </c>
      <c r="AA413" s="453">
        <f t="shared" si="257"/>
        <v>0</v>
      </c>
      <c r="AB413" s="453">
        <f t="shared" si="258"/>
        <v>0</v>
      </c>
      <c r="AC413" s="453">
        <f t="shared" si="259"/>
        <v>0</v>
      </c>
      <c r="AD413" s="453">
        <f t="shared" si="260"/>
        <v>0</v>
      </c>
      <c r="AE413" s="493">
        <f t="shared" si="261"/>
        <v>1025.78</v>
      </c>
      <c r="AF413" s="453">
        <f t="shared" si="262"/>
        <v>0</v>
      </c>
      <c r="AG413" s="494">
        <f t="shared" si="263"/>
        <v>0</v>
      </c>
      <c r="AH413" s="454">
        <f t="shared" si="264"/>
        <v>0</v>
      </c>
      <c r="AI413" s="454">
        <f t="shared" si="265"/>
        <v>0</v>
      </c>
      <c r="AJ413" s="454">
        <f t="shared" si="266"/>
        <v>0</v>
      </c>
      <c r="AK413" s="454">
        <f t="shared" si="267"/>
        <v>0</v>
      </c>
      <c r="AL413" s="454">
        <f t="shared" si="268"/>
        <v>0</v>
      </c>
      <c r="AM413" s="454">
        <f t="shared" si="269"/>
        <v>0</v>
      </c>
      <c r="AN413" s="491">
        <f t="shared" si="270"/>
        <v>1025.78</v>
      </c>
      <c r="AO413" s="487">
        <f t="shared" si="271"/>
        <v>-1025.78</v>
      </c>
      <c r="AP413" s="495">
        <f t="shared" si="272"/>
        <v>464.98</v>
      </c>
      <c r="AQ413" s="496">
        <f t="shared" si="273"/>
        <v>560.79999999999995</v>
      </c>
      <c r="AV413" s="459">
        <f>IF(BA413&gt;BA412,AV412,IF(AV412&lt;MiscData!$F$1,EOMONTH(AV412,1),EOMONTH(AV412,-11)))</f>
        <v>42338</v>
      </c>
      <c r="AW413" s="448" t="str">
        <f t="shared" si="274"/>
        <v>20140101KUCME290</v>
      </c>
      <c r="AX413" s="457" t="str">
        <f t="shared" si="275"/>
        <v>20140101LE</v>
      </c>
      <c r="AY413" s="439">
        <f>IF(AV413&lt;=MiscData!$B$23,MiscData!$C$23,IF(AV413&lt;=MiscData!$B$24,MiscData!$C$24,MiscData!$C$25))</f>
        <v>20140101</v>
      </c>
      <c r="AZ413" s="439" t="str">
        <f>VLOOKUP(BA413,MiscData!$V$4:$W$42,2,FALSE)</f>
        <v>KUCME290</v>
      </c>
      <c r="BA413" s="439">
        <f>IF(BA412=MiscData!$V$42,1,BA412+1)</f>
        <v>20</v>
      </c>
      <c r="BB413" s="439" t="str">
        <f>VLOOKUP(AZ413,MiscData!$W$4:$Y$42,3,FALSE)</f>
        <v>LE</v>
      </c>
    </row>
    <row r="414" spans="1:54" hidden="1">
      <c r="A414" s="448">
        <f t="shared" si="277"/>
        <v>357</v>
      </c>
      <c r="B414" s="448" t="str">
        <f t="shared" si="238"/>
        <v>Nov 2015</v>
      </c>
      <c r="C414" s="448" t="s">
        <v>19</v>
      </c>
      <c r="D414" s="449" t="str">
        <f t="shared" si="239"/>
        <v>LE</v>
      </c>
      <c r="E414" s="449" t="str">
        <f t="shared" si="240"/>
        <v>KUCME291</v>
      </c>
      <c r="F414" s="450">
        <f t="shared" si="241"/>
        <v>0</v>
      </c>
      <c r="G414" s="450">
        <v>0</v>
      </c>
      <c r="H414" s="450">
        <v>0</v>
      </c>
      <c r="I414" s="450">
        <v>0</v>
      </c>
      <c r="J414" s="450">
        <f t="shared" si="242"/>
        <v>0</v>
      </c>
      <c r="K414" s="482">
        <f t="shared" si="243"/>
        <v>0</v>
      </c>
      <c r="L414" s="482">
        <f t="shared" si="244"/>
        <v>0</v>
      </c>
      <c r="M414" s="482">
        <f t="shared" si="245"/>
        <v>0</v>
      </c>
      <c r="N414" s="482">
        <f t="shared" si="246"/>
        <v>0</v>
      </c>
      <c r="O414" s="482">
        <f t="shared" si="247"/>
        <v>0</v>
      </c>
      <c r="P414" s="482">
        <f t="shared" si="248"/>
        <v>0</v>
      </c>
      <c r="Q414" s="451">
        <f t="shared" si="249"/>
        <v>0</v>
      </c>
      <c r="R414" s="452">
        <f t="shared" si="250"/>
        <v>6.3799999999999996E-2</v>
      </c>
      <c r="S414" s="452">
        <v>0</v>
      </c>
      <c r="T414" s="452">
        <v>0</v>
      </c>
      <c r="U414" s="452">
        <f t="shared" si="251"/>
        <v>2.8920000000000001E-2</v>
      </c>
      <c r="V414" s="451">
        <f t="shared" si="252"/>
        <v>0</v>
      </c>
      <c r="W414" s="451">
        <f t="shared" si="253"/>
        <v>0</v>
      </c>
      <c r="X414" s="451">
        <f t="shared" si="254"/>
        <v>0</v>
      </c>
      <c r="Y414" s="453">
        <f t="shared" si="255"/>
        <v>0</v>
      </c>
      <c r="Z414" s="453">
        <f t="shared" si="256"/>
        <v>0</v>
      </c>
      <c r="AA414" s="453">
        <f t="shared" si="257"/>
        <v>0</v>
      </c>
      <c r="AB414" s="453">
        <f t="shared" si="258"/>
        <v>0</v>
      </c>
      <c r="AC414" s="453">
        <f t="shared" si="259"/>
        <v>0</v>
      </c>
      <c r="AD414" s="453">
        <f t="shared" si="260"/>
        <v>0</v>
      </c>
      <c r="AE414" s="493">
        <f t="shared" si="261"/>
        <v>0</v>
      </c>
      <c r="AF414" s="453">
        <f t="shared" si="262"/>
        <v>0</v>
      </c>
      <c r="AG414" s="494">
        <f t="shared" si="263"/>
        <v>1</v>
      </c>
      <c r="AH414" s="454">
        <f t="shared" si="264"/>
        <v>0</v>
      </c>
      <c r="AI414" s="454">
        <f t="shared" si="265"/>
        <v>0</v>
      </c>
      <c r="AJ414" s="454">
        <f t="shared" si="266"/>
        <v>0</v>
      </c>
      <c r="AK414" s="454">
        <f t="shared" si="267"/>
        <v>0</v>
      </c>
      <c r="AL414" s="454">
        <f t="shared" si="268"/>
        <v>0</v>
      </c>
      <c r="AM414" s="454">
        <f t="shared" si="269"/>
        <v>0</v>
      </c>
      <c r="AN414" s="491">
        <f t="shared" si="270"/>
        <v>0</v>
      </c>
      <c r="AO414" s="487">
        <f t="shared" si="271"/>
        <v>0</v>
      </c>
      <c r="AP414" s="495">
        <f t="shared" si="272"/>
        <v>0</v>
      </c>
      <c r="AQ414" s="496">
        <f t="shared" si="273"/>
        <v>0</v>
      </c>
      <c r="AV414" s="459">
        <f>IF(BA414&gt;BA413,AV413,IF(AV413&lt;MiscData!$F$1,EOMONTH(AV413,1),EOMONTH(AV413,-11)))</f>
        <v>42338</v>
      </c>
      <c r="AW414" s="448" t="str">
        <f t="shared" si="274"/>
        <v>20140101KUCME291</v>
      </c>
      <c r="AX414" s="457" t="str">
        <f t="shared" si="275"/>
        <v>20140101LE</v>
      </c>
      <c r="AY414" s="439">
        <f>IF(AV414&lt;=MiscData!$B$23,MiscData!$C$23,IF(AV414&lt;=MiscData!$B$24,MiscData!$C$24,MiscData!$C$25))</f>
        <v>20140101</v>
      </c>
      <c r="AZ414" s="439" t="str">
        <f>VLOOKUP(BA414,MiscData!$V$4:$W$42,2,FALSE)</f>
        <v>KUCME291</v>
      </c>
      <c r="BA414" s="439">
        <f>IF(BA413=MiscData!$V$42,1,BA413+1)</f>
        <v>21</v>
      </c>
      <c r="BB414" s="439" t="str">
        <f>VLOOKUP(AZ414,MiscData!$W$4:$Y$42,3,FALSE)</f>
        <v>LE</v>
      </c>
    </row>
    <row r="415" spans="1:54" hidden="1">
      <c r="A415" s="448">
        <f t="shared" si="277"/>
        <v>358</v>
      </c>
      <c r="B415" s="448" t="str">
        <f t="shared" si="238"/>
        <v>Nov 2015</v>
      </c>
      <c r="C415" s="448" t="s">
        <v>20</v>
      </c>
      <c r="D415" s="449" t="str">
        <f t="shared" si="239"/>
        <v>TE</v>
      </c>
      <c r="E415" s="449" t="str">
        <f t="shared" si="240"/>
        <v>KUCME295</v>
      </c>
      <c r="F415" s="450">
        <f t="shared" si="241"/>
        <v>747</v>
      </c>
      <c r="G415" s="450">
        <v>0</v>
      </c>
      <c r="H415" s="450">
        <v>0</v>
      </c>
      <c r="I415" s="450">
        <v>0</v>
      </c>
      <c r="J415" s="450">
        <f t="shared" si="242"/>
        <v>100910</v>
      </c>
      <c r="K415" s="482">
        <f t="shared" si="243"/>
        <v>0</v>
      </c>
      <c r="L415" s="482">
        <f t="shared" si="244"/>
        <v>0</v>
      </c>
      <c r="M415" s="482">
        <f t="shared" si="245"/>
        <v>0</v>
      </c>
      <c r="N415" s="482">
        <f t="shared" si="246"/>
        <v>0</v>
      </c>
      <c r="O415" s="482">
        <f t="shared" si="247"/>
        <v>0</v>
      </c>
      <c r="P415" s="482">
        <f t="shared" si="248"/>
        <v>0</v>
      </c>
      <c r="Q415" s="451">
        <f t="shared" si="249"/>
        <v>3.25</v>
      </c>
      <c r="R415" s="452">
        <f t="shared" si="250"/>
        <v>7.9780000000000004E-2</v>
      </c>
      <c r="S415" s="452">
        <v>0</v>
      </c>
      <c r="T415" s="452">
        <v>0</v>
      </c>
      <c r="U415" s="452">
        <f t="shared" si="251"/>
        <v>2.8920000000000001E-2</v>
      </c>
      <c r="V415" s="451">
        <f t="shared" si="252"/>
        <v>0</v>
      </c>
      <c r="W415" s="451">
        <f t="shared" si="253"/>
        <v>0</v>
      </c>
      <c r="X415" s="451">
        <f t="shared" si="254"/>
        <v>0</v>
      </c>
      <c r="Y415" s="453">
        <f t="shared" si="255"/>
        <v>2427.75</v>
      </c>
      <c r="Z415" s="453">
        <f t="shared" si="256"/>
        <v>8050.6</v>
      </c>
      <c r="AA415" s="453">
        <f t="shared" si="257"/>
        <v>0</v>
      </c>
      <c r="AB415" s="453">
        <f t="shared" si="258"/>
        <v>0</v>
      </c>
      <c r="AC415" s="453">
        <f t="shared" si="259"/>
        <v>0</v>
      </c>
      <c r="AD415" s="453">
        <f t="shared" si="260"/>
        <v>0</v>
      </c>
      <c r="AE415" s="493">
        <f t="shared" si="261"/>
        <v>10478.35</v>
      </c>
      <c r="AF415" s="453">
        <f t="shared" si="262"/>
        <v>0</v>
      </c>
      <c r="AG415" s="494">
        <f t="shared" si="263"/>
        <v>0</v>
      </c>
      <c r="AH415" s="454">
        <f t="shared" si="264"/>
        <v>0</v>
      </c>
      <c r="AI415" s="454">
        <f t="shared" si="265"/>
        <v>0</v>
      </c>
      <c r="AJ415" s="454">
        <f t="shared" si="266"/>
        <v>0</v>
      </c>
      <c r="AK415" s="454">
        <f t="shared" si="267"/>
        <v>0</v>
      </c>
      <c r="AL415" s="454">
        <f t="shared" si="268"/>
        <v>0</v>
      </c>
      <c r="AM415" s="454">
        <f t="shared" si="269"/>
        <v>0</v>
      </c>
      <c r="AN415" s="491">
        <f t="shared" si="270"/>
        <v>10478.35</v>
      </c>
      <c r="AO415" s="487">
        <f t="shared" si="271"/>
        <v>-10478.35</v>
      </c>
      <c r="AP415" s="495">
        <f t="shared" si="272"/>
        <v>2918.32</v>
      </c>
      <c r="AQ415" s="496">
        <f t="shared" si="273"/>
        <v>5132.2800000000007</v>
      </c>
      <c r="AV415" s="459">
        <f>IF(BA415&gt;BA414,AV414,IF(AV414&lt;MiscData!$F$1,EOMONTH(AV414,1),EOMONTH(AV414,-11)))</f>
        <v>42338</v>
      </c>
      <c r="AW415" s="448" t="str">
        <f t="shared" si="274"/>
        <v>20140101KUCME295</v>
      </c>
      <c r="AX415" s="457" t="str">
        <f t="shared" si="275"/>
        <v>20140101TE</v>
      </c>
      <c r="AY415" s="439">
        <f>IF(AV415&lt;=MiscData!$B$23,MiscData!$C$23,IF(AV415&lt;=MiscData!$B$24,MiscData!$C$24,MiscData!$C$25))</f>
        <v>20140101</v>
      </c>
      <c r="AZ415" s="439" t="str">
        <f>VLOOKUP(BA415,MiscData!$V$4:$W$42,2,FALSE)</f>
        <v>KUCME295</v>
      </c>
      <c r="BA415" s="439">
        <f>IF(BA414=MiscData!$V$42,1,BA414+1)</f>
        <v>22</v>
      </c>
      <c r="BB415" s="439" t="str">
        <f>VLOOKUP(AZ415,MiscData!$W$4:$Y$42,3,FALSE)</f>
        <v>TE</v>
      </c>
    </row>
    <row r="416" spans="1:54" hidden="1">
      <c r="A416" s="448">
        <f t="shared" si="277"/>
        <v>359</v>
      </c>
      <c r="B416" s="448" t="str">
        <f t="shared" si="238"/>
        <v>Nov 2015</v>
      </c>
      <c r="C416" s="448" t="s">
        <v>20</v>
      </c>
      <c r="D416" s="449" t="str">
        <f t="shared" si="239"/>
        <v>TE</v>
      </c>
      <c r="E416" s="449" t="str">
        <f t="shared" si="240"/>
        <v>KUCME297</v>
      </c>
      <c r="F416" s="450">
        <f t="shared" si="241"/>
        <v>0</v>
      </c>
      <c r="G416" s="450">
        <v>0</v>
      </c>
      <c r="H416" s="450">
        <v>0</v>
      </c>
      <c r="I416" s="450">
        <v>0</v>
      </c>
      <c r="J416" s="450">
        <f t="shared" si="242"/>
        <v>0</v>
      </c>
      <c r="K416" s="482">
        <f t="shared" si="243"/>
        <v>0</v>
      </c>
      <c r="L416" s="482">
        <f t="shared" si="244"/>
        <v>0</v>
      </c>
      <c r="M416" s="482">
        <f t="shared" si="245"/>
        <v>0</v>
      </c>
      <c r="N416" s="482">
        <f t="shared" si="246"/>
        <v>0</v>
      </c>
      <c r="O416" s="482">
        <f t="shared" si="247"/>
        <v>0</v>
      </c>
      <c r="P416" s="482">
        <f t="shared" si="248"/>
        <v>0</v>
      </c>
      <c r="Q416" s="451">
        <f t="shared" si="249"/>
        <v>3.25</v>
      </c>
      <c r="R416" s="452">
        <f t="shared" si="250"/>
        <v>7.9780000000000004E-2</v>
      </c>
      <c r="S416" s="452">
        <v>0</v>
      </c>
      <c r="T416" s="452">
        <v>0</v>
      </c>
      <c r="U416" s="452">
        <f t="shared" si="251"/>
        <v>2.8920000000000001E-2</v>
      </c>
      <c r="V416" s="451">
        <f t="shared" si="252"/>
        <v>0</v>
      </c>
      <c r="W416" s="451">
        <f t="shared" si="253"/>
        <v>0</v>
      </c>
      <c r="X416" s="451">
        <f t="shared" si="254"/>
        <v>0</v>
      </c>
      <c r="Y416" s="453">
        <f t="shared" si="255"/>
        <v>0</v>
      </c>
      <c r="Z416" s="453">
        <f t="shared" si="256"/>
        <v>0</v>
      </c>
      <c r="AA416" s="453">
        <f t="shared" si="257"/>
        <v>0</v>
      </c>
      <c r="AB416" s="453">
        <f t="shared" si="258"/>
        <v>0</v>
      </c>
      <c r="AC416" s="453">
        <f t="shared" si="259"/>
        <v>0</v>
      </c>
      <c r="AD416" s="453">
        <f t="shared" si="260"/>
        <v>0</v>
      </c>
      <c r="AE416" s="493">
        <f t="shared" si="261"/>
        <v>0</v>
      </c>
      <c r="AF416" s="453">
        <f t="shared" si="262"/>
        <v>0</v>
      </c>
      <c r="AG416" s="494">
        <f t="shared" si="263"/>
        <v>1</v>
      </c>
      <c r="AH416" s="454">
        <f t="shared" si="264"/>
        <v>0</v>
      </c>
      <c r="AI416" s="454">
        <f t="shared" si="265"/>
        <v>0</v>
      </c>
      <c r="AJ416" s="454">
        <f t="shared" si="266"/>
        <v>0</v>
      </c>
      <c r="AK416" s="454">
        <f t="shared" si="267"/>
        <v>0</v>
      </c>
      <c r="AL416" s="454">
        <f t="shared" si="268"/>
        <v>0</v>
      </c>
      <c r="AM416" s="454">
        <f t="shared" si="269"/>
        <v>0</v>
      </c>
      <c r="AN416" s="491">
        <f t="shared" si="270"/>
        <v>0</v>
      </c>
      <c r="AO416" s="487">
        <f t="shared" si="271"/>
        <v>0</v>
      </c>
      <c r="AP416" s="495">
        <f t="shared" si="272"/>
        <v>0</v>
      </c>
      <c r="AQ416" s="496">
        <f t="shared" si="273"/>
        <v>0</v>
      </c>
      <c r="AV416" s="459">
        <f>IF(BA416&gt;BA415,AV415,IF(AV415&lt;MiscData!$F$1,EOMONTH(AV415,1),EOMONTH(AV415,-11)))</f>
        <v>42338</v>
      </c>
      <c r="AW416" s="448" t="str">
        <f t="shared" si="274"/>
        <v>20140101KUCME297</v>
      </c>
      <c r="AX416" s="457" t="str">
        <f t="shared" si="275"/>
        <v>20140101TE</v>
      </c>
      <c r="AY416" s="439">
        <f>IF(AV416&lt;=MiscData!$B$23,MiscData!$C$23,IF(AV416&lt;=MiscData!$B$24,MiscData!$C$24,MiscData!$C$25))</f>
        <v>20140101</v>
      </c>
      <c r="AZ416" s="439" t="str">
        <f>VLOOKUP(BA416,MiscData!$V$4:$W$42,2,FALSE)</f>
        <v>KUCME297</v>
      </c>
      <c r="BA416" s="439">
        <f>IF(BA415=MiscData!$V$42,1,BA415+1)</f>
        <v>23</v>
      </c>
      <c r="BB416" s="439" t="str">
        <f>VLOOKUP(AZ416,MiscData!$W$4:$Y$42,3,FALSE)</f>
        <v>TE</v>
      </c>
    </row>
    <row r="417" spans="1:55" hidden="1">
      <c r="A417" s="448">
        <f t="shared" si="277"/>
        <v>360</v>
      </c>
      <c r="B417" s="448" t="str">
        <f t="shared" si="238"/>
        <v>Nov 2015</v>
      </c>
      <c r="C417" s="448" t="s">
        <v>690</v>
      </c>
      <c r="D417" s="449" t="str">
        <f t="shared" si="239"/>
        <v>SQF</v>
      </c>
      <c r="E417" s="449" t="str">
        <f t="shared" si="240"/>
        <v>KUCME705</v>
      </c>
      <c r="F417" s="450">
        <f t="shared" si="241"/>
        <v>0</v>
      </c>
      <c r="G417" s="450">
        <v>0</v>
      </c>
      <c r="H417" s="450">
        <v>0</v>
      </c>
      <c r="I417" s="450">
        <v>0</v>
      </c>
      <c r="J417" s="450">
        <f t="shared" si="242"/>
        <v>0</v>
      </c>
      <c r="K417" s="482">
        <f t="shared" si="243"/>
        <v>0</v>
      </c>
      <c r="L417" s="482">
        <f t="shared" si="244"/>
        <v>0</v>
      </c>
      <c r="M417" s="482">
        <f t="shared" si="245"/>
        <v>0</v>
      </c>
      <c r="N417" s="482">
        <f t="shared" si="246"/>
        <v>0</v>
      </c>
      <c r="O417" s="482">
        <f t="shared" si="247"/>
        <v>0</v>
      </c>
      <c r="P417" s="482">
        <f t="shared" si="248"/>
        <v>0</v>
      </c>
      <c r="Q417" s="451">
        <f t="shared" si="249"/>
        <v>0</v>
      </c>
      <c r="R417" s="452">
        <f t="shared" si="250"/>
        <v>0</v>
      </c>
      <c r="S417" s="452">
        <v>0</v>
      </c>
      <c r="T417" s="452">
        <v>0</v>
      </c>
      <c r="U417" s="452">
        <f t="shared" si="251"/>
        <v>0</v>
      </c>
      <c r="V417" s="451">
        <f t="shared" si="252"/>
        <v>0</v>
      </c>
      <c r="W417" s="451">
        <f t="shared" si="253"/>
        <v>0</v>
      </c>
      <c r="X417" s="451">
        <f t="shared" si="254"/>
        <v>0</v>
      </c>
      <c r="Y417" s="453">
        <f t="shared" si="255"/>
        <v>0</v>
      </c>
      <c r="Z417" s="453">
        <f t="shared" si="256"/>
        <v>0</v>
      </c>
      <c r="AA417" s="453">
        <f t="shared" si="257"/>
        <v>0</v>
      </c>
      <c r="AB417" s="453">
        <f t="shared" si="258"/>
        <v>0</v>
      </c>
      <c r="AC417" s="453">
        <f t="shared" si="259"/>
        <v>0</v>
      </c>
      <c r="AD417" s="453">
        <f t="shared" si="260"/>
        <v>0</v>
      </c>
      <c r="AE417" s="493">
        <f t="shared" si="261"/>
        <v>0</v>
      </c>
      <c r="AF417" s="453">
        <f t="shared" si="262"/>
        <v>0</v>
      </c>
      <c r="AG417" s="494">
        <f t="shared" si="263"/>
        <v>1</v>
      </c>
      <c r="AH417" s="454">
        <f t="shared" si="264"/>
        <v>0</v>
      </c>
      <c r="AI417" s="454">
        <f t="shared" si="265"/>
        <v>0</v>
      </c>
      <c r="AJ417" s="454">
        <f t="shared" si="266"/>
        <v>0</v>
      </c>
      <c r="AK417" s="454">
        <f t="shared" si="267"/>
        <v>0</v>
      </c>
      <c r="AL417" s="454">
        <f t="shared" si="268"/>
        <v>0</v>
      </c>
      <c r="AM417" s="454">
        <f t="shared" si="269"/>
        <v>0</v>
      </c>
      <c r="AN417" s="491">
        <f t="shared" si="270"/>
        <v>0</v>
      </c>
      <c r="AO417" s="487">
        <f t="shared" si="271"/>
        <v>0</v>
      </c>
      <c r="AP417" s="495">
        <f t="shared" si="272"/>
        <v>0</v>
      </c>
      <c r="AQ417" s="496">
        <f t="shared" si="273"/>
        <v>0</v>
      </c>
      <c r="AV417" s="459">
        <f>IF(BA417&gt;BA416,AV416,IF(AV416&lt;MiscData!$F$1,EOMONTH(AV416,1),EOMONTH(AV416,-11)))</f>
        <v>42338</v>
      </c>
      <c r="AW417" s="448" t="str">
        <f t="shared" si="274"/>
        <v>20140101KUCME705</v>
      </c>
      <c r="AX417" s="457" t="str">
        <f t="shared" si="275"/>
        <v>20140101SQF</v>
      </c>
      <c r="AY417" s="439">
        <f>IF(AV417&lt;=MiscData!$B$23,MiscData!$C$23,IF(AV417&lt;=MiscData!$B$24,MiscData!$C$24,MiscData!$C$25))</f>
        <v>20140101</v>
      </c>
      <c r="AZ417" s="439" t="str">
        <f>VLOOKUP(BA417,MiscData!$V$4:$W$42,2,FALSE)</f>
        <v>KUCME705</v>
      </c>
      <c r="BA417" s="439">
        <f>IF(BA416=MiscData!$V$42,1,BA416+1)</f>
        <v>24</v>
      </c>
      <c r="BB417" s="439" t="str">
        <f>VLOOKUP(AZ417,MiscData!$W$4:$Y$42,3,FALSE)</f>
        <v>SQF</v>
      </c>
    </row>
    <row r="418" spans="1:55" hidden="1">
      <c r="A418" s="448">
        <f t="shared" si="277"/>
        <v>361</v>
      </c>
      <c r="B418" s="448" t="str">
        <f t="shared" si="238"/>
        <v>Nov 2015</v>
      </c>
      <c r="C418" s="448" t="s">
        <v>1156</v>
      </c>
      <c r="D418" s="449" t="str">
        <f t="shared" si="239"/>
        <v>LQF</v>
      </c>
      <c r="E418" s="449" t="str">
        <f t="shared" si="240"/>
        <v>KUCME707</v>
      </c>
      <c r="F418" s="450">
        <f t="shared" si="241"/>
        <v>0</v>
      </c>
      <c r="G418" s="450">
        <v>0</v>
      </c>
      <c r="H418" s="450">
        <v>0</v>
      </c>
      <c r="I418" s="450">
        <v>0</v>
      </c>
      <c r="J418" s="450">
        <f t="shared" si="242"/>
        <v>0</v>
      </c>
      <c r="K418" s="482">
        <f t="shared" si="243"/>
        <v>0</v>
      </c>
      <c r="L418" s="482">
        <f t="shared" si="244"/>
        <v>0</v>
      </c>
      <c r="M418" s="482">
        <f t="shared" si="245"/>
        <v>0</v>
      </c>
      <c r="N418" s="482">
        <f t="shared" si="246"/>
        <v>0</v>
      </c>
      <c r="O418" s="482">
        <f t="shared" si="247"/>
        <v>0</v>
      </c>
      <c r="P418" s="482">
        <f t="shared" si="248"/>
        <v>0</v>
      </c>
      <c r="Q418" s="451">
        <f t="shared" si="249"/>
        <v>0</v>
      </c>
      <c r="R418" s="452">
        <f t="shared" si="250"/>
        <v>0</v>
      </c>
      <c r="S418" s="452">
        <v>0</v>
      </c>
      <c r="T418" s="452">
        <v>0</v>
      </c>
      <c r="U418" s="452">
        <f t="shared" si="251"/>
        <v>0</v>
      </c>
      <c r="V418" s="451">
        <f t="shared" si="252"/>
        <v>0</v>
      </c>
      <c r="W418" s="451">
        <f t="shared" si="253"/>
        <v>0</v>
      </c>
      <c r="X418" s="451">
        <f t="shared" si="254"/>
        <v>0</v>
      </c>
      <c r="Y418" s="453">
        <f t="shared" si="255"/>
        <v>0</v>
      </c>
      <c r="Z418" s="453">
        <f t="shared" si="256"/>
        <v>0</v>
      </c>
      <c r="AA418" s="453">
        <f t="shared" si="257"/>
        <v>0</v>
      </c>
      <c r="AB418" s="453">
        <f t="shared" si="258"/>
        <v>0</v>
      </c>
      <c r="AC418" s="453">
        <f t="shared" si="259"/>
        <v>0</v>
      </c>
      <c r="AD418" s="453">
        <f t="shared" si="260"/>
        <v>0</v>
      </c>
      <c r="AE418" s="493">
        <f t="shared" si="261"/>
        <v>0</v>
      </c>
      <c r="AF418" s="453">
        <f t="shared" si="262"/>
        <v>0</v>
      </c>
      <c r="AG418" s="494">
        <f t="shared" si="263"/>
        <v>1</v>
      </c>
      <c r="AH418" s="454">
        <f t="shared" si="264"/>
        <v>0</v>
      </c>
      <c r="AI418" s="454">
        <f t="shared" si="265"/>
        <v>0</v>
      </c>
      <c r="AJ418" s="454">
        <f t="shared" si="266"/>
        <v>0</v>
      </c>
      <c r="AK418" s="454">
        <f t="shared" si="267"/>
        <v>0</v>
      </c>
      <c r="AL418" s="454">
        <f t="shared" si="268"/>
        <v>0</v>
      </c>
      <c r="AM418" s="454">
        <f t="shared" si="269"/>
        <v>0</v>
      </c>
      <c r="AN418" s="491">
        <f t="shared" si="270"/>
        <v>0</v>
      </c>
      <c r="AO418" s="487">
        <f t="shared" si="271"/>
        <v>0</v>
      </c>
      <c r="AP418" s="495">
        <f t="shared" si="272"/>
        <v>0</v>
      </c>
      <c r="AQ418" s="496">
        <f t="shared" si="273"/>
        <v>0</v>
      </c>
      <c r="AV418" s="459">
        <f>IF(BA418&gt;BA417,AV417,IF(AV417&lt;MiscData!$F$1,EOMONTH(AV417,1),EOMONTH(AV417,-11)))</f>
        <v>42338</v>
      </c>
      <c r="AW418" s="448" t="str">
        <f t="shared" si="274"/>
        <v>20140101KUCME707</v>
      </c>
      <c r="AX418" s="457" t="str">
        <f t="shared" si="275"/>
        <v>20140101LQF</v>
      </c>
      <c r="AY418" s="439">
        <f>IF(AV418&lt;=MiscData!$B$23,MiscData!$C$23,IF(AV418&lt;=MiscData!$B$24,MiscData!$C$24,MiscData!$C$25))</f>
        <v>20140101</v>
      </c>
      <c r="AZ418" s="439" t="str">
        <f>VLOOKUP(BA418,MiscData!$V$4:$W$42,2,FALSE)</f>
        <v>KUCME707</v>
      </c>
      <c r="BA418" s="439">
        <f>IF(BA417=MiscData!$V$42,1,BA417+1)</f>
        <v>25</v>
      </c>
      <c r="BB418" s="439" t="str">
        <f>VLOOKUP(AZ418,MiscData!$W$4:$Y$42,3,FALSE)</f>
        <v>LQF</v>
      </c>
    </row>
    <row r="419" spans="1:55">
      <c r="A419" s="499">
        <f t="shared" si="277"/>
        <v>362</v>
      </c>
      <c r="B419" s="448" t="str">
        <f t="shared" si="238"/>
        <v>Nov 2015</v>
      </c>
      <c r="C419" s="448" t="s">
        <v>208</v>
      </c>
      <c r="D419" s="449" t="str">
        <f t="shared" si="239"/>
        <v>GS</v>
      </c>
      <c r="E419" s="449" t="str">
        <f t="shared" si="240"/>
        <v>KUCME710</v>
      </c>
      <c r="F419" s="450">
        <f t="shared" si="241"/>
        <v>0</v>
      </c>
      <c r="G419" s="450">
        <v>0</v>
      </c>
      <c r="H419" s="450">
        <v>0</v>
      </c>
      <c r="I419" s="450">
        <v>0</v>
      </c>
      <c r="J419" s="450">
        <f t="shared" si="242"/>
        <v>0</v>
      </c>
      <c r="K419" s="482">
        <f t="shared" si="243"/>
        <v>0</v>
      </c>
      <c r="L419" s="482">
        <f t="shared" si="244"/>
        <v>0</v>
      </c>
      <c r="M419" s="482">
        <f t="shared" si="245"/>
        <v>0</v>
      </c>
      <c r="N419" s="482">
        <f t="shared" si="246"/>
        <v>0</v>
      </c>
      <c r="O419" s="482">
        <f t="shared" si="247"/>
        <v>0</v>
      </c>
      <c r="P419" s="482">
        <f t="shared" si="248"/>
        <v>0</v>
      </c>
      <c r="Q419" s="451">
        <f t="shared" si="249"/>
        <v>20</v>
      </c>
      <c r="R419" s="452">
        <f t="shared" si="250"/>
        <v>9.2249999999999999E-2</v>
      </c>
      <c r="S419" s="452">
        <v>0</v>
      </c>
      <c r="T419" s="452">
        <v>0</v>
      </c>
      <c r="U419" s="452">
        <f t="shared" si="251"/>
        <v>2.8920000000000001E-2</v>
      </c>
      <c r="V419" s="451">
        <f t="shared" si="252"/>
        <v>0</v>
      </c>
      <c r="W419" s="451">
        <f t="shared" si="253"/>
        <v>0</v>
      </c>
      <c r="X419" s="451">
        <f t="shared" si="254"/>
        <v>0</v>
      </c>
      <c r="Y419" s="453">
        <f t="shared" si="255"/>
        <v>0</v>
      </c>
      <c r="Z419" s="453">
        <f t="shared" si="256"/>
        <v>0</v>
      </c>
      <c r="AA419" s="453">
        <f t="shared" si="257"/>
        <v>0</v>
      </c>
      <c r="AB419" s="453">
        <f t="shared" si="258"/>
        <v>0</v>
      </c>
      <c r="AC419" s="453">
        <f t="shared" si="259"/>
        <v>0</v>
      </c>
      <c r="AD419" s="453">
        <f t="shared" si="260"/>
        <v>0</v>
      </c>
      <c r="AE419" s="493">
        <f t="shared" si="261"/>
        <v>0</v>
      </c>
      <c r="AF419" s="453">
        <f t="shared" si="262"/>
        <v>0</v>
      </c>
      <c r="AG419" s="494">
        <f t="shared" si="263"/>
        <v>1</v>
      </c>
      <c r="AH419" s="454">
        <f t="shared" si="264"/>
        <v>0</v>
      </c>
      <c r="AI419" s="454">
        <f t="shared" si="265"/>
        <v>0</v>
      </c>
      <c r="AJ419" s="454">
        <f t="shared" si="266"/>
        <v>0</v>
      </c>
      <c r="AK419" s="454">
        <f t="shared" si="267"/>
        <v>0</v>
      </c>
      <c r="AL419" s="454">
        <f t="shared" si="268"/>
        <v>0</v>
      </c>
      <c r="AM419" s="454">
        <f t="shared" si="269"/>
        <v>0</v>
      </c>
      <c r="AN419" s="491">
        <f t="shared" si="270"/>
        <v>0</v>
      </c>
      <c r="AO419" s="487">
        <f t="shared" si="271"/>
        <v>0</v>
      </c>
      <c r="AP419" s="495">
        <f t="shared" si="272"/>
        <v>0</v>
      </c>
      <c r="AQ419" s="496">
        <f t="shared" si="273"/>
        <v>0</v>
      </c>
      <c r="AV419" s="459">
        <f>IF(BA419&gt;BA418,AV418,IF(AV418&lt;MiscData!$F$1,EOMONTH(AV418,1),EOMONTH(AV418,-11)))</f>
        <v>42338</v>
      </c>
      <c r="AW419" s="448" t="str">
        <f t="shared" si="274"/>
        <v>20140101KUCME710</v>
      </c>
      <c r="AX419" s="457" t="str">
        <f t="shared" si="275"/>
        <v>20140101GS</v>
      </c>
      <c r="AY419" s="439">
        <f>IF(AV419&lt;=MiscData!$B$23,MiscData!$C$23,IF(AV419&lt;=MiscData!$B$24,MiscData!$C$24,MiscData!$C$25))</f>
        <v>20140101</v>
      </c>
      <c r="AZ419" s="439" t="str">
        <f>VLOOKUP(BA419,MiscData!$V$4:$W$42,2,FALSE)</f>
        <v>KUCME710</v>
      </c>
      <c r="BA419" s="439">
        <f>IF(BA418=MiscData!$V$42,1,BA418+1)</f>
        <v>26</v>
      </c>
      <c r="BB419" s="511" t="str">
        <f>VLOOKUP(AZ419,MiscData!$W$4:$Y$42,3,FALSE)</f>
        <v>GS</v>
      </c>
    </row>
    <row r="420" spans="1:55">
      <c r="A420" s="448">
        <f t="shared" si="277"/>
        <v>363</v>
      </c>
      <c r="B420" s="448" t="str">
        <f t="shared" si="238"/>
        <v>Nov 2015</v>
      </c>
      <c r="C420" s="448" t="s">
        <v>17</v>
      </c>
      <c r="D420" s="449" t="str">
        <f t="shared" si="239"/>
        <v>GS3</v>
      </c>
      <c r="E420" s="449" t="str">
        <f t="shared" si="240"/>
        <v>KUCME713</v>
      </c>
      <c r="F420" s="450">
        <f t="shared" si="241"/>
        <v>0</v>
      </c>
      <c r="G420" s="450">
        <v>0</v>
      </c>
      <c r="H420" s="450">
        <v>0</v>
      </c>
      <c r="I420" s="450">
        <v>0</v>
      </c>
      <c r="J420" s="450">
        <f t="shared" si="242"/>
        <v>0</v>
      </c>
      <c r="K420" s="482">
        <f t="shared" si="243"/>
        <v>0</v>
      </c>
      <c r="L420" s="482">
        <f t="shared" si="244"/>
        <v>0</v>
      </c>
      <c r="M420" s="482">
        <f t="shared" si="245"/>
        <v>0</v>
      </c>
      <c r="N420" s="482">
        <f t="shared" si="246"/>
        <v>0</v>
      </c>
      <c r="O420" s="482">
        <f t="shared" si="247"/>
        <v>0</v>
      </c>
      <c r="P420" s="482">
        <f t="shared" si="248"/>
        <v>0</v>
      </c>
      <c r="Q420" s="451">
        <f t="shared" si="249"/>
        <v>35</v>
      </c>
      <c r="R420" s="452">
        <f t="shared" si="250"/>
        <v>9.2249999999999999E-2</v>
      </c>
      <c r="S420" s="452">
        <v>0</v>
      </c>
      <c r="T420" s="452">
        <v>0</v>
      </c>
      <c r="U420" s="452">
        <f t="shared" si="251"/>
        <v>2.8920000000000001E-2</v>
      </c>
      <c r="V420" s="451">
        <f t="shared" si="252"/>
        <v>0</v>
      </c>
      <c r="W420" s="451">
        <f t="shared" si="253"/>
        <v>0</v>
      </c>
      <c r="X420" s="451">
        <f t="shared" si="254"/>
        <v>0</v>
      </c>
      <c r="Y420" s="453">
        <f t="shared" si="255"/>
        <v>0</v>
      </c>
      <c r="Z420" s="453">
        <f t="shared" si="256"/>
        <v>0</v>
      </c>
      <c r="AA420" s="453">
        <f t="shared" si="257"/>
        <v>0</v>
      </c>
      <c r="AB420" s="453">
        <f t="shared" si="258"/>
        <v>0</v>
      </c>
      <c r="AC420" s="453">
        <f t="shared" si="259"/>
        <v>0</v>
      </c>
      <c r="AD420" s="453">
        <f t="shared" si="260"/>
        <v>0</v>
      </c>
      <c r="AE420" s="493">
        <f t="shared" si="261"/>
        <v>0</v>
      </c>
      <c r="AF420" s="453">
        <f t="shared" si="262"/>
        <v>0</v>
      </c>
      <c r="AG420" s="494">
        <f t="shared" si="263"/>
        <v>1</v>
      </c>
      <c r="AH420" s="454">
        <f t="shared" si="264"/>
        <v>0</v>
      </c>
      <c r="AI420" s="454">
        <f t="shared" si="265"/>
        <v>0</v>
      </c>
      <c r="AJ420" s="454">
        <f t="shared" si="266"/>
        <v>0</v>
      </c>
      <c r="AK420" s="454">
        <f t="shared" si="267"/>
        <v>0</v>
      </c>
      <c r="AL420" s="454">
        <f t="shared" si="268"/>
        <v>0</v>
      </c>
      <c r="AM420" s="454">
        <f t="shared" si="269"/>
        <v>0</v>
      </c>
      <c r="AN420" s="491">
        <f t="shared" si="270"/>
        <v>0</v>
      </c>
      <c r="AO420" s="487">
        <f t="shared" si="271"/>
        <v>0</v>
      </c>
      <c r="AP420" s="495">
        <f t="shared" si="272"/>
        <v>0</v>
      </c>
      <c r="AQ420" s="496">
        <f t="shared" si="273"/>
        <v>0</v>
      </c>
      <c r="AV420" s="459">
        <f>IF(BA420&gt;BA419,AV419,IF(AV419&lt;MiscData!$F$1,EOMONTH(AV419,1),EOMONTH(AV419,-11)))</f>
        <v>42338</v>
      </c>
      <c r="AW420" s="448" t="str">
        <f t="shared" si="274"/>
        <v>20140101KUCME713</v>
      </c>
      <c r="AX420" s="457" t="str">
        <f t="shared" si="275"/>
        <v>20140101GS3</v>
      </c>
      <c r="AY420" s="439">
        <f>IF(AV420&lt;=MiscData!$B$23,MiscData!$C$23,IF(AV420&lt;=MiscData!$B$24,MiscData!$C$24,MiscData!$C$25))</f>
        <v>20140101</v>
      </c>
      <c r="AZ420" s="439" t="str">
        <f>VLOOKUP(BA420,MiscData!$V$4:$W$42,2,FALSE)</f>
        <v>KUCME713</v>
      </c>
      <c r="BA420" s="439">
        <f>IF(BA419=MiscData!$V$42,1,BA419+1)</f>
        <v>27</v>
      </c>
      <c r="BB420" s="439" t="str">
        <f>VLOOKUP(AZ420,MiscData!$W$4:$Y$42,3,FALSE)</f>
        <v>GS3</v>
      </c>
    </row>
    <row r="421" spans="1:55" hidden="1">
      <c r="A421" s="448">
        <f>A417+1</f>
        <v>361</v>
      </c>
      <c r="B421" s="448" t="str">
        <f t="shared" si="238"/>
        <v>Nov 2015</v>
      </c>
      <c r="C421" s="448" t="s">
        <v>1471</v>
      </c>
      <c r="D421" s="449" t="str">
        <f t="shared" si="239"/>
        <v>CSR10</v>
      </c>
      <c r="E421" s="449" t="str">
        <f t="shared" si="240"/>
        <v>KUCSR760</v>
      </c>
      <c r="F421" s="450">
        <f t="shared" si="241"/>
        <v>0</v>
      </c>
      <c r="G421" s="450">
        <v>0</v>
      </c>
      <c r="H421" s="450">
        <v>0</v>
      </c>
      <c r="I421" s="450">
        <v>0</v>
      </c>
      <c r="J421" s="450">
        <f t="shared" si="242"/>
        <v>0</v>
      </c>
      <c r="K421" s="482">
        <f t="shared" si="243"/>
        <v>0</v>
      </c>
      <c r="L421" s="482">
        <f t="shared" si="244"/>
        <v>0</v>
      </c>
      <c r="M421" s="482">
        <f t="shared" si="245"/>
        <v>0</v>
      </c>
      <c r="N421" s="482">
        <f t="shared" si="246"/>
        <v>0</v>
      </c>
      <c r="O421" s="482">
        <f t="shared" si="247"/>
        <v>0</v>
      </c>
      <c r="P421" s="482">
        <f t="shared" si="248"/>
        <v>0</v>
      </c>
      <c r="Q421" s="451">
        <f t="shared" si="249"/>
        <v>0</v>
      </c>
      <c r="R421" s="452">
        <f t="shared" si="250"/>
        <v>0</v>
      </c>
      <c r="S421" s="452">
        <v>0</v>
      </c>
      <c r="T421" s="452">
        <v>0</v>
      </c>
      <c r="U421" s="452">
        <f t="shared" si="251"/>
        <v>0</v>
      </c>
      <c r="V421" s="451">
        <f t="shared" si="252"/>
        <v>-5.4</v>
      </c>
      <c r="W421" s="451">
        <f t="shared" si="253"/>
        <v>0</v>
      </c>
      <c r="X421" s="451">
        <f t="shared" si="254"/>
        <v>0</v>
      </c>
      <c r="Y421" s="453">
        <f t="shared" si="255"/>
        <v>0</v>
      </c>
      <c r="Z421" s="453">
        <f t="shared" si="256"/>
        <v>0</v>
      </c>
      <c r="AA421" s="453">
        <f t="shared" si="257"/>
        <v>0</v>
      </c>
      <c r="AB421" s="453">
        <f t="shared" si="258"/>
        <v>0</v>
      </c>
      <c r="AC421" s="453">
        <f t="shared" si="259"/>
        <v>0</v>
      </c>
      <c r="AD421" s="453">
        <f t="shared" si="260"/>
        <v>0</v>
      </c>
      <c r="AE421" s="493">
        <f t="shared" si="261"/>
        <v>0</v>
      </c>
      <c r="AF421" s="453">
        <f t="shared" si="262"/>
        <v>0</v>
      </c>
      <c r="AG421" s="494">
        <f t="shared" si="263"/>
        <v>1</v>
      </c>
      <c r="AH421" s="454">
        <f t="shared" si="264"/>
        <v>0</v>
      </c>
      <c r="AI421" s="454">
        <f t="shared" si="265"/>
        <v>0</v>
      </c>
      <c r="AJ421" s="454">
        <f t="shared" si="266"/>
        <v>0</v>
      </c>
      <c r="AK421" s="454">
        <f t="shared" si="267"/>
        <v>0</v>
      </c>
      <c r="AL421" s="454">
        <f t="shared" si="268"/>
        <v>-989829</v>
      </c>
      <c r="AM421" s="454">
        <f t="shared" si="269"/>
        <v>-989829</v>
      </c>
      <c r="AN421" s="491">
        <f t="shared" si="270"/>
        <v>-989829</v>
      </c>
      <c r="AO421" s="487">
        <f t="shared" si="271"/>
        <v>0</v>
      </c>
      <c r="AP421" s="495">
        <f t="shared" si="272"/>
        <v>0</v>
      </c>
      <c r="AQ421" s="496">
        <f t="shared" si="273"/>
        <v>0</v>
      </c>
      <c r="AV421" s="459">
        <f>IF(BA421&gt;BA417,AV417,IF(AV417&lt;MiscData!$F$1,EOMONTH(AV417,1),EOMONTH(AV417,-11)))</f>
        <v>42338</v>
      </c>
      <c r="AW421" s="448" t="str">
        <f t="shared" si="274"/>
        <v>20140101KUCSR760</v>
      </c>
      <c r="AX421" s="457" t="str">
        <f t="shared" si="275"/>
        <v>20140101CSR10</v>
      </c>
      <c r="AY421" s="439">
        <f>IF(AV421&lt;=MiscData!$B$23,MiscData!$C$23,IF(AV421&lt;=MiscData!$B$24,MiscData!$C$24,MiscData!$C$25))</f>
        <v>20140101</v>
      </c>
      <c r="AZ421" s="439" t="str">
        <f>VLOOKUP(BA421,MiscData!$V$4:$W$42,2,FALSE)</f>
        <v>KUCSR760</v>
      </c>
      <c r="BA421" s="439">
        <f>IF(BA420=MiscData!$V$42,1,BA420+1)</f>
        <v>28</v>
      </c>
      <c r="BB421" s="439" t="str">
        <f>VLOOKUP(AZ421,MiscData!$W$4:$Y$42,3,FALSE)</f>
        <v>CSR10</v>
      </c>
    </row>
    <row r="422" spans="1:55" hidden="1">
      <c r="A422" s="448">
        <f>A418+1</f>
        <v>362</v>
      </c>
      <c r="B422" s="448" t="str">
        <f t="shared" si="238"/>
        <v>Nov 2015</v>
      </c>
      <c r="C422" s="448" t="s">
        <v>1471</v>
      </c>
      <c r="D422" s="449" t="str">
        <f t="shared" si="239"/>
        <v>CSR10</v>
      </c>
      <c r="E422" s="449" t="str">
        <f t="shared" si="240"/>
        <v>KUCSR761</v>
      </c>
      <c r="F422" s="450">
        <f t="shared" si="241"/>
        <v>0</v>
      </c>
      <c r="G422" s="450">
        <v>0</v>
      </c>
      <c r="H422" s="450">
        <v>0</v>
      </c>
      <c r="I422" s="450">
        <v>0</v>
      </c>
      <c r="J422" s="450">
        <f t="shared" si="242"/>
        <v>0</v>
      </c>
      <c r="K422" s="482">
        <f t="shared" si="243"/>
        <v>0</v>
      </c>
      <c r="L422" s="482">
        <f t="shared" si="244"/>
        <v>0</v>
      </c>
      <c r="M422" s="482">
        <f t="shared" si="245"/>
        <v>0</v>
      </c>
      <c r="N422" s="482">
        <f t="shared" si="246"/>
        <v>0</v>
      </c>
      <c r="O422" s="482">
        <f t="shared" si="247"/>
        <v>0</v>
      </c>
      <c r="P422" s="482">
        <f t="shared" si="248"/>
        <v>0</v>
      </c>
      <c r="Q422" s="451">
        <f t="shared" si="249"/>
        <v>0</v>
      </c>
      <c r="R422" s="452">
        <f t="shared" si="250"/>
        <v>0</v>
      </c>
      <c r="S422" s="452">
        <v>0</v>
      </c>
      <c r="T422" s="452">
        <v>0</v>
      </c>
      <c r="U422" s="452">
        <f t="shared" si="251"/>
        <v>0</v>
      </c>
      <c r="V422" s="451">
        <f t="shared" si="252"/>
        <v>-5.5</v>
      </c>
      <c r="W422" s="451">
        <f t="shared" si="253"/>
        <v>0</v>
      </c>
      <c r="X422" s="451">
        <f t="shared" si="254"/>
        <v>0</v>
      </c>
      <c r="Y422" s="453">
        <f t="shared" si="255"/>
        <v>0</v>
      </c>
      <c r="Z422" s="453">
        <f t="shared" si="256"/>
        <v>0</v>
      </c>
      <c r="AA422" s="453">
        <f t="shared" si="257"/>
        <v>0</v>
      </c>
      <c r="AB422" s="453">
        <f t="shared" si="258"/>
        <v>0</v>
      </c>
      <c r="AC422" s="453">
        <f t="shared" si="259"/>
        <v>0</v>
      </c>
      <c r="AD422" s="453">
        <f t="shared" si="260"/>
        <v>0</v>
      </c>
      <c r="AE422" s="493">
        <f t="shared" si="261"/>
        <v>0</v>
      </c>
      <c r="AF422" s="453">
        <f t="shared" si="262"/>
        <v>0</v>
      </c>
      <c r="AG422" s="494">
        <f t="shared" si="263"/>
        <v>1</v>
      </c>
      <c r="AH422" s="454">
        <f t="shared" si="264"/>
        <v>0</v>
      </c>
      <c r="AI422" s="454">
        <f t="shared" si="265"/>
        <v>0</v>
      </c>
      <c r="AJ422" s="454">
        <f t="shared" si="266"/>
        <v>0</v>
      </c>
      <c r="AK422" s="454">
        <f t="shared" si="267"/>
        <v>0</v>
      </c>
      <c r="AL422" s="454">
        <f t="shared" si="268"/>
        <v>0</v>
      </c>
      <c r="AM422" s="454">
        <f t="shared" si="269"/>
        <v>0</v>
      </c>
      <c r="AN422" s="491">
        <f t="shared" si="270"/>
        <v>0</v>
      </c>
      <c r="AO422" s="487">
        <f t="shared" si="271"/>
        <v>0</v>
      </c>
      <c r="AP422" s="495">
        <f t="shared" si="272"/>
        <v>0</v>
      </c>
      <c r="AQ422" s="496">
        <f t="shared" si="273"/>
        <v>0</v>
      </c>
      <c r="AV422" s="459">
        <f>IF(BA422&gt;BA418,AV418,IF(AV418&lt;MiscData!$F$1,EOMONTH(AV418,1),EOMONTH(AV418,-11)))</f>
        <v>42338</v>
      </c>
      <c r="AW422" s="448" t="str">
        <f t="shared" si="274"/>
        <v>20140101KUCSR761</v>
      </c>
      <c r="AX422" s="457" t="str">
        <f t="shared" si="275"/>
        <v>20140101CSR10</v>
      </c>
      <c r="AY422" s="439">
        <f>IF(AV422&lt;=MiscData!$B$23,MiscData!$C$23,IF(AV422&lt;=MiscData!$B$24,MiscData!$C$24,MiscData!$C$25))</f>
        <v>20140101</v>
      </c>
      <c r="AZ422" s="439" t="str">
        <f>VLOOKUP(BA422,MiscData!$V$4:$W$42,2,FALSE)</f>
        <v>KUCSR761</v>
      </c>
      <c r="BA422" s="439">
        <f>IF(BA421=MiscData!$V$42,1,BA421+1)</f>
        <v>29</v>
      </c>
      <c r="BB422" s="439" t="str">
        <f>VLOOKUP(AZ422,MiscData!$W$4:$Y$42,3,FALSE)</f>
        <v>CSR10</v>
      </c>
    </row>
    <row r="423" spans="1:55" hidden="1">
      <c r="A423" s="499">
        <f>A419+1</f>
        <v>363</v>
      </c>
      <c r="B423" s="448" t="str">
        <f t="shared" si="238"/>
        <v>Nov 2015</v>
      </c>
      <c r="C423" s="448" t="s">
        <v>1472</v>
      </c>
      <c r="D423" s="449" t="str">
        <f t="shared" si="239"/>
        <v>CSR30</v>
      </c>
      <c r="E423" s="449" t="str">
        <f t="shared" si="240"/>
        <v>KUCSR780</v>
      </c>
      <c r="F423" s="450">
        <f t="shared" si="241"/>
        <v>0</v>
      </c>
      <c r="G423" s="450">
        <v>0</v>
      </c>
      <c r="H423" s="450">
        <v>0</v>
      </c>
      <c r="I423" s="450">
        <v>0</v>
      </c>
      <c r="J423" s="450">
        <f t="shared" si="242"/>
        <v>0</v>
      </c>
      <c r="K423" s="482">
        <f t="shared" si="243"/>
        <v>0</v>
      </c>
      <c r="L423" s="482">
        <f t="shared" si="244"/>
        <v>0</v>
      </c>
      <c r="M423" s="482">
        <f t="shared" si="245"/>
        <v>0</v>
      </c>
      <c r="N423" s="482">
        <f t="shared" si="246"/>
        <v>0</v>
      </c>
      <c r="O423" s="482">
        <f t="shared" si="247"/>
        <v>0</v>
      </c>
      <c r="P423" s="482">
        <f t="shared" si="248"/>
        <v>0</v>
      </c>
      <c r="Q423" s="451">
        <f t="shared" si="249"/>
        <v>0</v>
      </c>
      <c r="R423" s="452">
        <f t="shared" si="250"/>
        <v>0</v>
      </c>
      <c r="S423" s="452">
        <v>0</v>
      </c>
      <c r="T423" s="452">
        <v>0</v>
      </c>
      <c r="U423" s="452">
        <f t="shared" si="251"/>
        <v>0</v>
      </c>
      <c r="V423" s="451">
        <f t="shared" si="252"/>
        <v>-4.3</v>
      </c>
      <c r="W423" s="451">
        <f t="shared" si="253"/>
        <v>0</v>
      </c>
      <c r="X423" s="451">
        <f t="shared" si="254"/>
        <v>0</v>
      </c>
      <c r="Y423" s="453">
        <f t="shared" si="255"/>
        <v>0</v>
      </c>
      <c r="Z423" s="453">
        <f t="shared" si="256"/>
        <v>0</v>
      </c>
      <c r="AA423" s="453">
        <f t="shared" si="257"/>
        <v>0</v>
      </c>
      <c r="AB423" s="453">
        <f t="shared" si="258"/>
        <v>0</v>
      </c>
      <c r="AC423" s="453">
        <f t="shared" si="259"/>
        <v>0</v>
      </c>
      <c r="AD423" s="453">
        <f t="shared" si="260"/>
        <v>0</v>
      </c>
      <c r="AE423" s="493">
        <f t="shared" si="261"/>
        <v>0</v>
      </c>
      <c r="AF423" s="453">
        <f t="shared" si="262"/>
        <v>0</v>
      </c>
      <c r="AG423" s="494">
        <f t="shared" si="263"/>
        <v>1</v>
      </c>
      <c r="AH423" s="454">
        <f t="shared" si="264"/>
        <v>0</v>
      </c>
      <c r="AI423" s="454">
        <f t="shared" si="265"/>
        <v>0</v>
      </c>
      <c r="AJ423" s="454">
        <f t="shared" si="266"/>
        <v>0</v>
      </c>
      <c r="AK423" s="454">
        <f t="shared" si="267"/>
        <v>0</v>
      </c>
      <c r="AL423" s="454">
        <f t="shared" si="268"/>
        <v>0</v>
      </c>
      <c r="AM423" s="454">
        <f t="shared" si="269"/>
        <v>0</v>
      </c>
      <c r="AN423" s="491">
        <f t="shared" si="270"/>
        <v>0</v>
      </c>
      <c r="AO423" s="487">
        <f t="shared" si="271"/>
        <v>0</v>
      </c>
      <c r="AP423" s="495">
        <f t="shared" si="272"/>
        <v>0</v>
      </c>
      <c r="AQ423" s="510">
        <f t="shared" si="273"/>
        <v>0</v>
      </c>
      <c r="AV423" s="459">
        <f>IF(BA423&gt;BA419,AV419,IF(AV419&lt;MiscData!$F$1,EOMONTH(AV419,1),EOMONTH(AV419,-11)))</f>
        <v>42338</v>
      </c>
      <c r="AW423" s="448" t="str">
        <f t="shared" si="274"/>
        <v>20140101KUCSR780</v>
      </c>
      <c r="AX423" s="457" t="str">
        <f t="shared" si="275"/>
        <v>20140101CSR30</v>
      </c>
      <c r="AY423" s="439">
        <f>IF(AV423&lt;=MiscData!$B$23,MiscData!$C$23,IF(AV423&lt;=MiscData!$B$24,MiscData!$C$24,MiscData!$C$25))</f>
        <v>20140101</v>
      </c>
      <c r="AZ423" s="439" t="str">
        <f>VLOOKUP(BA423,MiscData!$V$4:$W$42,2,FALSE)</f>
        <v>KUCSR780</v>
      </c>
      <c r="BA423" s="439">
        <f>IF(BA422=MiscData!$V$42,1,BA422+1)</f>
        <v>30</v>
      </c>
      <c r="BB423" s="439" t="str">
        <f>VLOOKUP(AZ423,MiscData!$W$4:$Y$42,3,FALSE)</f>
        <v>CSR30</v>
      </c>
    </row>
    <row r="424" spans="1:55" hidden="1">
      <c r="A424" s="499">
        <f>A420+1</f>
        <v>364</v>
      </c>
      <c r="B424" s="448" t="str">
        <f t="shared" si="238"/>
        <v>Nov 2015</v>
      </c>
      <c r="C424" s="448" t="s">
        <v>1472</v>
      </c>
      <c r="D424" s="449" t="str">
        <f t="shared" si="239"/>
        <v>CSR30</v>
      </c>
      <c r="E424" s="449" t="str">
        <f t="shared" si="240"/>
        <v>KUCSR781</v>
      </c>
      <c r="F424" s="450">
        <f t="shared" si="241"/>
        <v>0</v>
      </c>
      <c r="G424" s="450">
        <v>0</v>
      </c>
      <c r="H424" s="450">
        <v>0</v>
      </c>
      <c r="I424" s="450">
        <v>0</v>
      </c>
      <c r="J424" s="450">
        <f t="shared" si="242"/>
        <v>0</v>
      </c>
      <c r="K424" s="482">
        <f t="shared" si="243"/>
        <v>0</v>
      </c>
      <c r="L424" s="482">
        <f t="shared" si="244"/>
        <v>0</v>
      </c>
      <c r="M424" s="482">
        <f t="shared" si="245"/>
        <v>0</v>
      </c>
      <c r="N424" s="482">
        <f t="shared" si="246"/>
        <v>0</v>
      </c>
      <c r="O424" s="482">
        <f t="shared" si="247"/>
        <v>0</v>
      </c>
      <c r="P424" s="482">
        <f t="shared" si="248"/>
        <v>0</v>
      </c>
      <c r="Q424" s="451">
        <f t="shared" si="249"/>
        <v>0</v>
      </c>
      <c r="R424" s="452">
        <f t="shared" si="250"/>
        <v>0</v>
      </c>
      <c r="S424" s="452">
        <v>0</v>
      </c>
      <c r="T424" s="452">
        <v>0</v>
      </c>
      <c r="U424" s="452">
        <f t="shared" si="251"/>
        <v>0</v>
      </c>
      <c r="V424" s="451">
        <f t="shared" si="252"/>
        <v>-4.4000000000000004</v>
      </c>
      <c r="W424" s="451">
        <f t="shared" si="253"/>
        <v>0</v>
      </c>
      <c r="X424" s="451">
        <f t="shared" si="254"/>
        <v>0</v>
      </c>
      <c r="Y424" s="453">
        <f t="shared" si="255"/>
        <v>0</v>
      </c>
      <c r="Z424" s="453">
        <f t="shared" si="256"/>
        <v>0</v>
      </c>
      <c r="AA424" s="453">
        <f t="shared" si="257"/>
        <v>0</v>
      </c>
      <c r="AB424" s="453">
        <f t="shared" si="258"/>
        <v>0</v>
      </c>
      <c r="AC424" s="453">
        <f t="shared" si="259"/>
        <v>0</v>
      </c>
      <c r="AD424" s="453">
        <f t="shared" si="260"/>
        <v>0</v>
      </c>
      <c r="AE424" s="493">
        <f t="shared" si="261"/>
        <v>0</v>
      </c>
      <c r="AF424" s="453">
        <f t="shared" si="262"/>
        <v>0</v>
      </c>
      <c r="AG424" s="494">
        <f t="shared" si="263"/>
        <v>1</v>
      </c>
      <c r="AH424" s="454">
        <f t="shared" si="264"/>
        <v>0</v>
      </c>
      <c r="AI424" s="454">
        <f t="shared" si="265"/>
        <v>0</v>
      </c>
      <c r="AJ424" s="454">
        <f t="shared" si="266"/>
        <v>0</v>
      </c>
      <c r="AK424" s="454">
        <f t="shared" si="267"/>
        <v>0</v>
      </c>
      <c r="AL424" s="454">
        <f t="shared" si="268"/>
        <v>0</v>
      </c>
      <c r="AM424" s="454">
        <f t="shared" si="269"/>
        <v>0</v>
      </c>
      <c r="AN424" s="491">
        <f t="shared" si="270"/>
        <v>0</v>
      </c>
      <c r="AO424" s="487">
        <f t="shared" si="271"/>
        <v>0</v>
      </c>
      <c r="AP424" s="495">
        <f t="shared" si="272"/>
        <v>0</v>
      </c>
      <c r="AQ424" s="510">
        <f t="shared" si="273"/>
        <v>0</v>
      </c>
      <c r="AV424" s="459">
        <f>IF(BA424&gt;BA420,AV420,IF(AV420&lt;MiscData!$F$1,EOMONTH(AV420,1),EOMONTH(AV420,-11)))</f>
        <v>42338</v>
      </c>
      <c r="AW424" s="448" t="str">
        <f t="shared" si="274"/>
        <v>20140101KUCSR781</v>
      </c>
      <c r="AX424" s="457" t="str">
        <f t="shared" si="275"/>
        <v>20140101CSR30</v>
      </c>
      <c r="AY424" s="439">
        <f>IF(AV424&lt;=MiscData!$B$23,MiscData!$C$23,IF(AV424&lt;=MiscData!$B$24,MiscData!$C$24,MiscData!$C$25))</f>
        <v>20140101</v>
      </c>
      <c r="AZ424" s="439" t="str">
        <f>VLOOKUP(BA424,MiscData!$V$4:$W$42,2,FALSE)</f>
        <v>KUCSR781</v>
      </c>
      <c r="BA424" s="439">
        <f>IF(BA423=MiscData!$V$42,1,BA423+1)</f>
        <v>31</v>
      </c>
      <c r="BB424" s="439" t="str">
        <f>VLOOKUP(AZ424,MiscData!$W$4:$Y$42,3,FALSE)</f>
        <v>CSR30</v>
      </c>
    </row>
    <row r="425" spans="1:55" hidden="1">
      <c r="A425" s="499">
        <f>A420+1</f>
        <v>364</v>
      </c>
      <c r="B425" s="448" t="str">
        <f t="shared" si="238"/>
        <v>Nov 2015</v>
      </c>
      <c r="C425" s="448" t="s">
        <v>1472</v>
      </c>
      <c r="D425" s="449" t="str">
        <f t="shared" si="239"/>
        <v>CSR30</v>
      </c>
      <c r="E425" s="449" t="str">
        <f t="shared" si="240"/>
        <v>KUCSR783</v>
      </c>
      <c r="F425" s="450">
        <f t="shared" si="241"/>
        <v>0</v>
      </c>
      <c r="G425" s="450">
        <v>0</v>
      </c>
      <c r="H425" s="450">
        <v>0</v>
      </c>
      <c r="I425" s="450">
        <v>0</v>
      </c>
      <c r="J425" s="450">
        <f t="shared" si="242"/>
        <v>0</v>
      </c>
      <c r="K425" s="482">
        <f t="shared" si="243"/>
        <v>0</v>
      </c>
      <c r="L425" s="482">
        <f t="shared" si="244"/>
        <v>0</v>
      </c>
      <c r="M425" s="482">
        <f t="shared" si="245"/>
        <v>0</v>
      </c>
      <c r="N425" s="482">
        <f t="shared" si="246"/>
        <v>0</v>
      </c>
      <c r="O425" s="482">
        <f t="shared" si="247"/>
        <v>0</v>
      </c>
      <c r="P425" s="482">
        <f t="shared" si="248"/>
        <v>0</v>
      </c>
      <c r="Q425" s="451">
        <f t="shared" si="249"/>
        <v>0</v>
      </c>
      <c r="R425" s="452">
        <f t="shared" si="250"/>
        <v>0</v>
      </c>
      <c r="S425" s="452">
        <v>0</v>
      </c>
      <c r="T425" s="452">
        <v>0</v>
      </c>
      <c r="U425" s="452">
        <f t="shared" si="251"/>
        <v>0</v>
      </c>
      <c r="V425" s="451">
        <f t="shared" si="252"/>
        <v>-4.4000000000000004</v>
      </c>
      <c r="W425" s="451">
        <f t="shared" si="253"/>
        <v>0</v>
      </c>
      <c r="X425" s="451">
        <f t="shared" si="254"/>
        <v>0</v>
      </c>
      <c r="Y425" s="453">
        <f t="shared" si="255"/>
        <v>0</v>
      </c>
      <c r="Z425" s="453">
        <f t="shared" si="256"/>
        <v>0</v>
      </c>
      <c r="AA425" s="453">
        <f t="shared" si="257"/>
        <v>0</v>
      </c>
      <c r="AB425" s="453">
        <f t="shared" si="258"/>
        <v>0</v>
      </c>
      <c r="AC425" s="453">
        <f t="shared" si="259"/>
        <v>0</v>
      </c>
      <c r="AD425" s="453">
        <f t="shared" si="260"/>
        <v>0</v>
      </c>
      <c r="AE425" s="493">
        <f t="shared" si="261"/>
        <v>0</v>
      </c>
      <c r="AF425" s="453">
        <f t="shared" si="262"/>
        <v>0</v>
      </c>
      <c r="AG425" s="494">
        <f t="shared" si="263"/>
        <v>1</v>
      </c>
      <c r="AH425" s="454">
        <f t="shared" si="264"/>
        <v>0</v>
      </c>
      <c r="AI425" s="454">
        <f t="shared" si="265"/>
        <v>0</v>
      </c>
      <c r="AJ425" s="454">
        <f t="shared" si="266"/>
        <v>0</v>
      </c>
      <c r="AK425" s="454">
        <f t="shared" si="267"/>
        <v>0</v>
      </c>
      <c r="AL425" s="454">
        <f t="shared" si="268"/>
        <v>0</v>
      </c>
      <c r="AM425" s="454">
        <f t="shared" si="269"/>
        <v>0</v>
      </c>
      <c r="AN425" s="491">
        <f t="shared" si="270"/>
        <v>0</v>
      </c>
      <c r="AO425" s="487">
        <f t="shared" si="271"/>
        <v>0</v>
      </c>
      <c r="AP425" s="495">
        <f t="shared" si="272"/>
        <v>0</v>
      </c>
      <c r="AQ425" s="510">
        <f t="shared" si="273"/>
        <v>0</v>
      </c>
      <c r="AV425" s="459">
        <f>IF(BA425&gt;BA424,AV424,IF(AV424&lt;MiscData!$F$1,EOMONTH(AV424,1),EOMONTH(AV424,-11)))</f>
        <v>42338</v>
      </c>
      <c r="AW425" s="448" t="str">
        <f t="shared" si="274"/>
        <v>20140101KUCSR783</v>
      </c>
      <c r="AX425" s="457" t="str">
        <f t="shared" si="275"/>
        <v>20140101CSR30</v>
      </c>
      <c r="AY425" s="439">
        <f>IF(AV425&lt;=MiscData!$B$23,MiscData!$C$23,IF(AV425&lt;=MiscData!$B$24,MiscData!$C$24,MiscData!$C$25))</f>
        <v>20140101</v>
      </c>
      <c r="AZ425" s="439" t="str">
        <f>VLOOKUP(BA425,MiscData!$V$4:$W$42,2,FALSE)</f>
        <v>KUCSR783</v>
      </c>
      <c r="BA425" s="439">
        <f>IF(BA424=MiscData!$V$42,1,BA424+1)</f>
        <v>32</v>
      </c>
      <c r="BB425" s="439" t="str">
        <f>VLOOKUP(AZ425,MiscData!$W$4:$Y$42,3,FALSE)</f>
        <v>CSR30</v>
      </c>
    </row>
    <row r="426" spans="1:55" hidden="1">
      <c r="A426" s="499">
        <f>A424+1</f>
        <v>365</v>
      </c>
      <c r="B426" s="448" t="str">
        <f t="shared" si="238"/>
        <v>Nov 2015</v>
      </c>
      <c r="C426" s="832" t="s">
        <v>642</v>
      </c>
      <c r="D426" s="449" t="str">
        <f t="shared" si="239"/>
        <v>FLST</v>
      </c>
      <c r="E426" s="449" t="str">
        <f t="shared" si="240"/>
        <v>KUINE730</v>
      </c>
      <c r="F426" s="450">
        <f t="shared" si="241"/>
        <v>1</v>
      </c>
      <c r="G426" s="450">
        <v>0</v>
      </c>
      <c r="H426" s="450">
        <v>0</v>
      </c>
      <c r="I426" s="450">
        <v>0</v>
      </c>
      <c r="J426" s="450">
        <f t="shared" si="242"/>
        <v>44497248</v>
      </c>
      <c r="K426" s="482">
        <f t="shared" si="243"/>
        <v>185158</v>
      </c>
      <c r="L426" s="482">
        <f t="shared" si="244"/>
        <v>185158</v>
      </c>
      <c r="M426" s="482">
        <f t="shared" si="245"/>
        <v>101388</v>
      </c>
      <c r="N426" s="482">
        <f t="shared" si="246"/>
        <v>0</v>
      </c>
      <c r="O426" s="482">
        <f t="shared" si="247"/>
        <v>0</v>
      </c>
      <c r="P426" s="482">
        <f t="shared" si="248"/>
        <v>0</v>
      </c>
      <c r="Q426" s="451">
        <f t="shared" si="249"/>
        <v>750</v>
      </c>
      <c r="R426" s="452">
        <f t="shared" si="250"/>
        <v>3.261E-2</v>
      </c>
      <c r="S426" s="452">
        <v>0</v>
      </c>
      <c r="T426" s="452">
        <v>0</v>
      </c>
      <c r="U426" s="452">
        <f t="shared" si="251"/>
        <v>2.8920000000000001E-2</v>
      </c>
      <c r="V426" s="451">
        <f t="shared" si="252"/>
        <v>1.05</v>
      </c>
      <c r="W426" s="451">
        <f t="shared" si="253"/>
        <v>1.52</v>
      </c>
      <c r="X426" s="451">
        <f t="shared" si="254"/>
        <v>2.41</v>
      </c>
      <c r="Y426" s="453">
        <f t="shared" si="255"/>
        <v>750</v>
      </c>
      <c r="Z426" s="453">
        <f t="shared" si="256"/>
        <v>1451055.26</v>
      </c>
      <c r="AA426" s="453">
        <f t="shared" si="257"/>
        <v>194415.9</v>
      </c>
      <c r="AB426" s="453">
        <f t="shared" si="258"/>
        <v>281440.15999999997</v>
      </c>
      <c r="AC426" s="453">
        <f t="shared" si="259"/>
        <v>244345.08</v>
      </c>
      <c r="AD426" s="453">
        <f t="shared" si="260"/>
        <v>720201.1399999999</v>
      </c>
      <c r="AE426" s="493">
        <f t="shared" si="261"/>
        <v>2172006.3999999999</v>
      </c>
      <c r="AF426" s="453">
        <f t="shared" si="262"/>
        <v>2172005</v>
      </c>
      <c r="AG426" s="494">
        <f t="shared" si="263"/>
        <v>0.99999935543468021</v>
      </c>
      <c r="AH426" s="454">
        <f t="shared" si="264"/>
        <v>144305</v>
      </c>
      <c r="AI426" s="454">
        <f t="shared" si="265"/>
        <v>0</v>
      </c>
      <c r="AJ426" s="454">
        <f t="shared" si="266"/>
        <v>269025</v>
      </c>
      <c r="AK426" s="454">
        <f t="shared" si="267"/>
        <v>0</v>
      </c>
      <c r="AL426" s="454">
        <f t="shared" si="268"/>
        <v>0</v>
      </c>
      <c r="AM426" s="454">
        <f t="shared" si="269"/>
        <v>2585335</v>
      </c>
      <c r="AN426" s="491">
        <f t="shared" si="270"/>
        <v>2585336.4</v>
      </c>
      <c r="AO426" s="487">
        <f t="shared" si="271"/>
        <v>-1.3999999999068677</v>
      </c>
      <c r="AP426" s="495">
        <f t="shared" si="272"/>
        <v>1286860.4099999999</v>
      </c>
      <c r="AQ426" s="510">
        <f t="shared" si="273"/>
        <v>164194.85000000009</v>
      </c>
      <c r="AV426" s="459">
        <f>IF(BA426&gt;BA425,AV425,IF(AV425&lt;MiscData!$F$1,EOMONTH(AV425,1),EOMONTH(AV425,-11)))</f>
        <v>42338</v>
      </c>
      <c r="AW426" s="448" t="str">
        <f t="shared" si="274"/>
        <v>20140101KUINE730</v>
      </c>
      <c r="AX426" s="457" t="str">
        <f t="shared" si="275"/>
        <v>20140101FLST</v>
      </c>
      <c r="AY426" s="439">
        <f>IF(AV426&lt;=MiscData!$B$23,MiscData!$C$23,IF(AV426&lt;=MiscData!$B$24,MiscData!$C$24,MiscData!$C$25))</f>
        <v>20140101</v>
      </c>
      <c r="AZ426" s="439" t="str">
        <f>VLOOKUP(BA426,MiscData!$V$4:$W$42,2,FALSE)</f>
        <v>KUINE730</v>
      </c>
      <c r="BA426" s="439">
        <f>IF(BA425=MiscData!$V$42,1,BA425+1)</f>
        <v>33</v>
      </c>
      <c r="BB426" s="439" t="str">
        <f>VLOOKUP(AZ426,MiscData!$W$4:$Y$42,3,FALSE)</f>
        <v>FLST</v>
      </c>
    </row>
    <row r="427" spans="1:55" hidden="1">
      <c r="A427" s="448">
        <f>A426+1</f>
        <v>366</v>
      </c>
      <c r="B427" s="448" t="str">
        <f t="shared" si="238"/>
        <v>Nov 2015</v>
      </c>
      <c r="C427" s="448" t="s">
        <v>14</v>
      </c>
      <c r="D427" s="449" t="str">
        <f t="shared" si="239"/>
        <v>RS</v>
      </c>
      <c r="E427" s="449" t="str">
        <f t="shared" si="240"/>
        <v>KURSE010</v>
      </c>
      <c r="F427" s="450">
        <f t="shared" si="241"/>
        <v>430076</v>
      </c>
      <c r="G427" s="450">
        <v>0</v>
      </c>
      <c r="H427" s="450">
        <v>0</v>
      </c>
      <c r="I427" s="450">
        <v>0</v>
      </c>
      <c r="J427" s="450">
        <f t="shared" si="242"/>
        <v>425767369</v>
      </c>
      <c r="K427" s="482">
        <f t="shared" si="243"/>
        <v>0</v>
      </c>
      <c r="L427" s="482">
        <f t="shared" si="244"/>
        <v>0</v>
      </c>
      <c r="M427" s="482">
        <f t="shared" si="245"/>
        <v>0</v>
      </c>
      <c r="N427" s="482">
        <f t="shared" si="246"/>
        <v>0</v>
      </c>
      <c r="O427" s="482">
        <f t="shared" si="247"/>
        <v>0</v>
      </c>
      <c r="P427" s="482">
        <f t="shared" si="248"/>
        <v>0</v>
      </c>
      <c r="Q427" s="451">
        <f t="shared" si="249"/>
        <v>10.75</v>
      </c>
      <c r="R427" s="452">
        <f t="shared" si="250"/>
        <v>7.7439999999999995E-2</v>
      </c>
      <c r="S427" s="452">
        <v>0</v>
      </c>
      <c r="T427" s="452">
        <v>0</v>
      </c>
      <c r="U427" s="452">
        <f t="shared" si="251"/>
        <v>2.8920000000000001E-2</v>
      </c>
      <c r="V427" s="451">
        <f t="shared" si="252"/>
        <v>0</v>
      </c>
      <c r="W427" s="451">
        <f t="shared" si="253"/>
        <v>0</v>
      </c>
      <c r="X427" s="451">
        <f t="shared" si="254"/>
        <v>0</v>
      </c>
      <c r="Y427" s="453">
        <f t="shared" si="255"/>
        <v>4623317</v>
      </c>
      <c r="Z427" s="453">
        <f t="shared" si="256"/>
        <v>32971425.059999999</v>
      </c>
      <c r="AA427" s="453">
        <f t="shared" si="257"/>
        <v>0</v>
      </c>
      <c r="AB427" s="453">
        <f t="shared" si="258"/>
        <v>0</v>
      </c>
      <c r="AC427" s="453">
        <f t="shared" si="259"/>
        <v>0</v>
      </c>
      <c r="AD427" s="453">
        <f t="shared" si="260"/>
        <v>0</v>
      </c>
      <c r="AE427" s="493">
        <f t="shared" si="261"/>
        <v>37594742.060000002</v>
      </c>
      <c r="AF427" s="453">
        <f t="shared" si="262"/>
        <v>37595732</v>
      </c>
      <c r="AG427" s="494">
        <f t="shared" si="263"/>
        <v>1.0000263318737077</v>
      </c>
      <c r="AH427" s="454">
        <f t="shared" si="264"/>
        <v>1380809</v>
      </c>
      <c r="AI427" s="454">
        <f t="shared" si="265"/>
        <v>801581</v>
      </c>
      <c r="AJ427" s="454">
        <f t="shared" si="266"/>
        <v>2574212</v>
      </c>
      <c r="AK427" s="454">
        <f t="shared" si="267"/>
        <v>0</v>
      </c>
      <c r="AL427" s="454">
        <f t="shared" si="268"/>
        <v>0</v>
      </c>
      <c r="AM427" s="454">
        <f t="shared" si="269"/>
        <v>42352334</v>
      </c>
      <c r="AN427" s="491">
        <f t="shared" si="270"/>
        <v>42351344.060000002</v>
      </c>
      <c r="AO427" s="487">
        <f t="shared" si="271"/>
        <v>989.93999999761581</v>
      </c>
      <c r="AP427" s="495">
        <f t="shared" si="272"/>
        <v>12313192.310000001</v>
      </c>
      <c r="AQ427" s="496">
        <f t="shared" si="273"/>
        <v>20658232.75</v>
      </c>
      <c r="AV427" s="459">
        <f>IF(BA427&gt;BA426,AV426,IF(AV426&lt;MiscData!$F$1,EOMONTH(AV426,1),EOMONTH(AV426,-11)))</f>
        <v>42338</v>
      </c>
      <c r="AW427" s="448" t="str">
        <f t="shared" si="274"/>
        <v>20140101KURSE010</v>
      </c>
      <c r="AX427" s="457" t="str">
        <f t="shared" si="275"/>
        <v>20140101RS</v>
      </c>
      <c r="AY427" s="439">
        <f>IF(AV427&lt;=MiscData!$B$23,MiscData!$C$23,IF(AV427&lt;=MiscData!$B$24,MiscData!$C$24,MiscData!$C$25))</f>
        <v>20140101</v>
      </c>
      <c r="AZ427" s="439" t="str">
        <f>VLOOKUP(BA427,MiscData!$V$4:$W$42,2,FALSE)</f>
        <v>KURSE010</v>
      </c>
      <c r="BA427" s="439">
        <f>IF(BA426=MiscData!$V$42,1,BA426+1)</f>
        <v>34</v>
      </c>
      <c r="BB427" s="439" t="str">
        <f>VLOOKUP(AZ427,MiscData!$W$4:$Y$42,3,FALSE)</f>
        <v>RS</v>
      </c>
    </row>
    <row r="428" spans="1:55" hidden="1">
      <c r="A428" s="448">
        <f>A386+1</f>
        <v>354</v>
      </c>
      <c r="B428" s="448" t="str">
        <f t="shared" si="238"/>
        <v>Nov 2015</v>
      </c>
      <c r="C428" s="448" t="s">
        <v>14</v>
      </c>
      <c r="D428" s="449" t="str">
        <f t="shared" si="239"/>
        <v>RS</v>
      </c>
      <c r="E428" s="449" t="str">
        <f t="shared" si="240"/>
        <v>KURSE020</v>
      </c>
      <c r="F428" s="450">
        <f t="shared" si="241"/>
        <v>0</v>
      </c>
      <c r="G428" s="450">
        <v>0</v>
      </c>
      <c r="H428" s="450">
        <v>0</v>
      </c>
      <c r="I428" s="450">
        <v>0</v>
      </c>
      <c r="J428" s="450">
        <f t="shared" si="242"/>
        <v>0</v>
      </c>
      <c r="K428" s="482">
        <f t="shared" si="243"/>
        <v>0</v>
      </c>
      <c r="L428" s="482">
        <f t="shared" si="244"/>
        <v>0</v>
      </c>
      <c r="M428" s="482">
        <f t="shared" si="245"/>
        <v>0</v>
      </c>
      <c r="N428" s="482">
        <f t="shared" si="246"/>
        <v>0</v>
      </c>
      <c r="O428" s="482">
        <f t="shared" si="247"/>
        <v>0</v>
      </c>
      <c r="P428" s="482">
        <f t="shared" si="248"/>
        <v>0</v>
      </c>
      <c r="Q428" s="451">
        <f t="shared" si="249"/>
        <v>10.75</v>
      </c>
      <c r="R428" s="452">
        <f t="shared" si="250"/>
        <v>7.7439999999999995E-2</v>
      </c>
      <c r="S428" s="452">
        <v>0</v>
      </c>
      <c r="T428" s="452">
        <v>0</v>
      </c>
      <c r="U428" s="452">
        <f t="shared" si="251"/>
        <v>2.8920000000000001E-2</v>
      </c>
      <c r="V428" s="451">
        <f t="shared" si="252"/>
        <v>0</v>
      </c>
      <c r="W428" s="451">
        <f t="shared" si="253"/>
        <v>0</v>
      </c>
      <c r="X428" s="451">
        <f t="shared" si="254"/>
        <v>0</v>
      </c>
      <c r="Y428" s="453">
        <f t="shared" si="255"/>
        <v>0</v>
      </c>
      <c r="Z428" s="453">
        <f t="shared" si="256"/>
        <v>0</v>
      </c>
      <c r="AA428" s="453">
        <f t="shared" si="257"/>
        <v>0</v>
      </c>
      <c r="AB428" s="453">
        <f t="shared" si="258"/>
        <v>0</v>
      </c>
      <c r="AC428" s="453">
        <f t="shared" si="259"/>
        <v>0</v>
      </c>
      <c r="AD428" s="453">
        <f t="shared" si="260"/>
        <v>0</v>
      </c>
      <c r="AE428" s="493">
        <f t="shared" si="261"/>
        <v>0</v>
      </c>
      <c r="AF428" s="453">
        <f t="shared" si="262"/>
        <v>0</v>
      </c>
      <c r="AG428" s="494">
        <f t="shared" si="263"/>
        <v>1</v>
      </c>
      <c r="AH428" s="454">
        <f t="shared" si="264"/>
        <v>0</v>
      </c>
      <c r="AI428" s="454">
        <f t="shared" si="265"/>
        <v>0</v>
      </c>
      <c r="AJ428" s="454">
        <f t="shared" si="266"/>
        <v>0</v>
      </c>
      <c r="AK428" s="454">
        <f t="shared" si="267"/>
        <v>0</v>
      </c>
      <c r="AL428" s="454">
        <f t="shared" si="268"/>
        <v>0</v>
      </c>
      <c r="AM428" s="454">
        <f t="shared" si="269"/>
        <v>0</v>
      </c>
      <c r="AN428" s="491">
        <f t="shared" si="270"/>
        <v>0</v>
      </c>
      <c r="AO428" s="487">
        <f t="shared" si="271"/>
        <v>0</v>
      </c>
      <c r="AP428" s="495">
        <f t="shared" si="272"/>
        <v>0</v>
      </c>
      <c r="AQ428" s="496">
        <f t="shared" si="273"/>
        <v>0</v>
      </c>
      <c r="AV428" s="459">
        <f>IF(BA428&gt;BA427,AV427,IF(AV427&lt;MiscData!$F$1,EOMONTH(AV427,1),EOMONTH(AV427,-11)))</f>
        <v>42338</v>
      </c>
      <c r="AW428" s="448" t="str">
        <f t="shared" si="274"/>
        <v>20140101KURSE020</v>
      </c>
      <c r="AX428" s="457" t="str">
        <f t="shared" si="275"/>
        <v>20140101RS</v>
      </c>
      <c r="AY428" s="439">
        <f>IF(AV428&lt;=MiscData!$B$23,MiscData!$C$23,IF(AV428&lt;=MiscData!$B$24,MiscData!$C$24,MiscData!$C$25))</f>
        <v>20140101</v>
      </c>
      <c r="AZ428" s="439" t="str">
        <f>VLOOKUP(BA428,MiscData!$V$4:$W$42,2,FALSE)</f>
        <v>KURSE020</v>
      </c>
      <c r="BA428" s="439">
        <f>IF(BA427=MiscData!$V$42,1,BA427+1)</f>
        <v>35</v>
      </c>
      <c r="BB428" s="439" t="str">
        <f>VLOOKUP(AZ428,MiscData!$W$4:$Y$42,3,FALSE)</f>
        <v>RS</v>
      </c>
    </row>
    <row r="429" spans="1:55" hidden="1">
      <c r="A429" s="448">
        <f t="shared" ref="A429:A437" si="278">A411+1</f>
        <v>355</v>
      </c>
      <c r="B429" s="448" t="str">
        <f t="shared" si="238"/>
        <v>Nov 2015</v>
      </c>
      <c r="C429" s="448" t="s">
        <v>14</v>
      </c>
      <c r="D429" s="449" t="str">
        <f t="shared" si="239"/>
        <v>RS</v>
      </c>
      <c r="E429" s="449" t="str">
        <f t="shared" si="240"/>
        <v>KURSE025</v>
      </c>
      <c r="F429" s="450">
        <f t="shared" si="241"/>
        <v>0</v>
      </c>
      <c r="G429" s="450">
        <v>0</v>
      </c>
      <c r="H429" s="450">
        <v>0</v>
      </c>
      <c r="I429" s="450">
        <v>0</v>
      </c>
      <c r="J429" s="450">
        <f t="shared" si="242"/>
        <v>0</v>
      </c>
      <c r="K429" s="482">
        <f t="shared" si="243"/>
        <v>0</v>
      </c>
      <c r="L429" s="482">
        <f t="shared" si="244"/>
        <v>0</v>
      </c>
      <c r="M429" s="482">
        <f t="shared" si="245"/>
        <v>0</v>
      </c>
      <c r="N429" s="482">
        <f t="shared" si="246"/>
        <v>0</v>
      </c>
      <c r="O429" s="482">
        <f t="shared" si="247"/>
        <v>0</v>
      </c>
      <c r="P429" s="482">
        <f t="shared" si="248"/>
        <v>0</v>
      </c>
      <c r="Q429" s="451">
        <f t="shared" si="249"/>
        <v>10.75</v>
      </c>
      <c r="R429" s="452">
        <f t="shared" si="250"/>
        <v>7.7439999999999995E-2</v>
      </c>
      <c r="S429" s="452">
        <v>0</v>
      </c>
      <c r="T429" s="452">
        <v>0</v>
      </c>
      <c r="U429" s="452">
        <f t="shared" si="251"/>
        <v>2.8920000000000001E-2</v>
      </c>
      <c r="V429" s="451">
        <f t="shared" si="252"/>
        <v>0</v>
      </c>
      <c r="W429" s="451">
        <f t="shared" si="253"/>
        <v>0</v>
      </c>
      <c r="X429" s="451">
        <f t="shared" si="254"/>
        <v>0</v>
      </c>
      <c r="Y429" s="453">
        <f t="shared" si="255"/>
        <v>0</v>
      </c>
      <c r="Z429" s="453">
        <f t="shared" si="256"/>
        <v>0</v>
      </c>
      <c r="AA429" s="453">
        <f t="shared" si="257"/>
        <v>0</v>
      </c>
      <c r="AB429" s="453">
        <f t="shared" si="258"/>
        <v>0</v>
      </c>
      <c r="AC429" s="453">
        <f t="shared" si="259"/>
        <v>0</v>
      </c>
      <c r="AD429" s="453">
        <f t="shared" si="260"/>
        <v>0</v>
      </c>
      <c r="AE429" s="493">
        <f t="shared" si="261"/>
        <v>0</v>
      </c>
      <c r="AF429" s="453">
        <f t="shared" si="262"/>
        <v>0</v>
      </c>
      <c r="AG429" s="494">
        <f t="shared" si="263"/>
        <v>1</v>
      </c>
      <c r="AH429" s="454">
        <f t="shared" si="264"/>
        <v>0</v>
      </c>
      <c r="AI429" s="454">
        <f t="shared" si="265"/>
        <v>0</v>
      </c>
      <c r="AJ429" s="454">
        <f t="shared" si="266"/>
        <v>0</v>
      </c>
      <c r="AK429" s="454">
        <f t="shared" si="267"/>
        <v>0</v>
      </c>
      <c r="AL429" s="454">
        <f t="shared" si="268"/>
        <v>0</v>
      </c>
      <c r="AM429" s="454">
        <f t="shared" si="269"/>
        <v>0</v>
      </c>
      <c r="AN429" s="491">
        <f t="shared" si="270"/>
        <v>0</v>
      </c>
      <c r="AO429" s="487">
        <f t="shared" si="271"/>
        <v>0</v>
      </c>
      <c r="AP429" s="495">
        <f t="shared" si="272"/>
        <v>0</v>
      </c>
      <c r="AQ429" s="496">
        <f t="shared" si="273"/>
        <v>0</v>
      </c>
      <c r="AV429" s="459">
        <f>IF(BA429&gt;BA428,AV428,IF(AV428&lt;MiscData!$F$1,EOMONTH(AV428,1),EOMONTH(AV428,-11)))</f>
        <v>42338</v>
      </c>
      <c r="AW429" s="448" t="str">
        <f t="shared" si="274"/>
        <v>20140101KURSE025</v>
      </c>
      <c r="AX429" s="457" t="str">
        <f t="shared" si="275"/>
        <v>20140101RS</v>
      </c>
      <c r="AY429" s="439">
        <f>IF(AV429&lt;=MiscData!$B$23,MiscData!$C$23,IF(AV429&lt;=MiscData!$B$24,MiscData!$C$24,MiscData!$C$25))</f>
        <v>20140101</v>
      </c>
      <c r="AZ429" s="439" t="str">
        <f>VLOOKUP(BA429,MiscData!$V$4:$W$42,2,FALSE)</f>
        <v>KURSE025</v>
      </c>
      <c r="BA429" s="439">
        <f>IF(BA428=MiscData!$V$42,1,BA428+1)</f>
        <v>36</v>
      </c>
      <c r="BB429" s="439" t="str">
        <f>VLOOKUP(AZ429,MiscData!$W$4:$Y$42,3,FALSE)</f>
        <v>RS</v>
      </c>
    </row>
    <row r="430" spans="1:55" hidden="1">
      <c r="A430" s="448">
        <f t="shared" si="278"/>
        <v>356</v>
      </c>
      <c r="B430" s="448" t="str">
        <f t="shared" si="238"/>
        <v>Nov 2015</v>
      </c>
      <c r="C430" s="448" t="s">
        <v>828</v>
      </c>
      <c r="D430" s="449" t="str">
        <f t="shared" si="239"/>
        <v>RSLEV</v>
      </c>
      <c r="E430" s="449" t="str">
        <f t="shared" si="240"/>
        <v>KURSE040</v>
      </c>
      <c r="F430" s="450">
        <f t="shared" si="241"/>
        <v>7</v>
      </c>
      <c r="G430" s="450">
        <f>SUMIFS(_1022_KWH_P1,_1022_RevenueMonth,$B430,_1022_RateCategory,$E430)</f>
        <v>6774</v>
      </c>
      <c r="H430" s="450">
        <f>SUMIFS(_1022_KWH_P2,_1022_RevenueMonth,$B430,_1022_RateCategory,$E430)</f>
        <v>3197</v>
      </c>
      <c r="I430" s="450">
        <f>SUMIFS(_1022_KWH_P3,_1022_RevenueMonth,$B430,_1022_RateCategory,$E430)</f>
        <v>1832</v>
      </c>
      <c r="J430" s="450">
        <f t="shared" si="242"/>
        <v>11803</v>
      </c>
      <c r="K430" s="482">
        <f t="shared" si="243"/>
        <v>0</v>
      </c>
      <c r="L430" s="482">
        <f t="shared" si="244"/>
        <v>0</v>
      </c>
      <c r="M430" s="482">
        <f t="shared" si="245"/>
        <v>0</v>
      </c>
      <c r="N430" s="482">
        <f t="shared" si="246"/>
        <v>0</v>
      </c>
      <c r="O430" s="482">
        <f t="shared" si="247"/>
        <v>0</v>
      </c>
      <c r="P430" s="482">
        <f t="shared" si="248"/>
        <v>0</v>
      </c>
      <c r="Q430" s="451">
        <f t="shared" si="249"/>
        <v>10.75</v>
      </c>
      <c r="R430" s="452">
        <f t="shared" si="250"/>
        <v>5.5870000000000003E-2</v>
      </c>
      <c r="S430" s="452">
        <f>SUMIF(_Rates_Tariff_Category,$AW430,_Rates_Energy_P2)</f>
        <v>7.7630000000000005E-2</v>
      </c>
      <c r="T430" s="452">
        <f>SUMIF(_Rates_Tariff_Category,$AW430,_Rates_Energy_P3)</f>
        <v>0.14297000000000001</v>
      </c>
      <c r="U430" s="452">
        <f t="shared" si="251"/>
        <v>2.8920000000000001E-2</v>
      </c>
      <c r="V430" s="451">
        <f t="shared" si="252"/>
        <v>0</v>
      </c>
      <c r="W430" s="451">
        <f t="shared" si="253"/>
        <v>0</v>
      </c>
      <c r="X430" s="451">
        <f t="shared" si="254"/>
        <v>0</v>
      </c>
      <c r="Y430" s="453">
        <f t="shared" si="255"/>
        <v>75.25</v>
      </c>
      <c r="Z430" s="453">
        <f t="shared" si="256"/>
        <v>888.57</v>
      </c>
      <c r="AA430" s="453">
        <f t="shared" si="257"/>
        <v>0</v>
      </c>
      <c r="AB430" s="453">
        <f t="shared" si="258"/>
        <v>0</v>
      </c>
      <c r="AC430" s="453">
        <f t="shared" si="259"/>
        <v>0</v>
      </c>
      <c r="AD430" s="453">
        <f t="shared" si="260"/>
        <v>0</v>
      </c>
      <c r="AE430" s="493">
        <f t="shared" si="261"/>
        <v>963.82</v>
      </c>
      <c r="AF430" s="453">
        <f t="shared" si="262"/>
        <v>0</v>
      </c>
      <c r="AG430" s="494">
        <f t="shared" si="263"/>
        <v>0</v>
      </c>
      <c r="AH430" s="454">
        <f t="shared" si="264"/>
        <v>0</v>
      </c>
      <c r="AI430" s="454">
        <f t="shared" si="265"/>
        <v>0</v>
      </c>
      <c r="AJ430" s="454">
        <f t="shared" si="266"/>
        <v>0</v>
      </c>
      <c r="AK430" s="454">
        <f t="shared" si="267"/>
        <v>0</v>
      </c>
      <c r="AL430" s="454">
        <f t="shared" si="268"/>
        <v>0</v>
      </c>
      <c r="AM430" s="454">
        <f t="shared" si="269"/>
        <v>0</v>
      </c>
      <c r="AN430" s="491">
        <f t="shared" si="270"/>
        <v>963.82</v>
      </c>
      <c r="AO430" s="487">
        <f t="shared" si="271"/>
        <v>-963.82</v>
      </c>
      <c r="AP430" s="495">
        <f t="shared" si="272"/>
        <v>341.34</v>
      </c>
      <c r="AQ430" s="496">
        <f t="shared" si="273"/>
        <v>547.23</v>
      </c>
      <c r="AV430" s="459">
        <f>IF(BA430&gt;BA429,AV429,IF(AV429&lt;MiscData!$F$1,EOMONTH(AV429,1),EOMONTH(AV429,-11)))</f>
        <v>42338</v>
      </c>
      <c r="AW430" s="448" t="str">
        <f t="shared" si="274"/>
        <v>20140101KURSE040</v>
      </c>
      <c r="AX430" s="457" t="str">
        <f t="shared" si="275"/>
        <v>20140101RSLEV</v>
      </c>
      <c r="AY430" s="439">
        <f>IF(AV430&lt;=MiscData!$B$23,MiscData!$C$23,IF(AV430&lt;=MiscData!$B$24,MiscData!$C$24,MiscData!$C$25))</f>
        <v>20140101</v>
      </c>
      <c r="AZ430" s="439" t="str">
        <f>VLOOKUP(BA430,MiscData!$V$4:$W$42,2,FALSE)</f>
        <v>KURSE040</v>
      </c>
      <c r="BA430" s="439">
        <f>IF(BA429=MiscData!$V$42,1,BA429+1)</f>
        <v>37</v>
      </c>
      <c r="BB430" s="439" t="str">
        <f>VLOOKUP(AZ430,MiscData!$W$4:$Y$42,3,FALSE)</f>
        <v>RSLEV</v>
      </c>
    </row>
    <row r="431" spans="1:55" hidden="1">
      <c r="A431" s="448">
        <f t="shared" si="278"/>
        <v>357</v>
      </c>
      <c r="B431" s="448" t="str">
        <f t="shared" si="238"/>
        <v>Nov 2015</v>
      </c>
      <c r="C431" s="448" t="s">
        <v>14</v>
      </c>
      <c r="D431" s="449" t="str">
        <f t="shared" si="239"/>
        <v>RSVFD</v>
      </c>
      <c r="E431" s="449" t="str">
        <f t="shared" si="240"/>
        <v>KURSE080</v>
      </c>
      <c r="F431" s="450">
        <f t="shared" si="241"/>
        <v>0</v>
      </c>
      <c r="G431" s="450">
        <v>0</v>
      </c>
      <c r="H431" s="450">
        <v>0</v>
      </c>
      <c r="I431" s="450">
        <v>0</v>
      </c>
      <c r="J431" s="450">
        <f t="shared" si="242"/>
        <v>0</v>
      </c>
      <c r="K431" s="482">
        <f t="shared" si="243"/>
        <v>0</v>
      </c>
      <c r="L431" s="482">
        <f t="shared" si="244"/>
        <v>0</v>
      </c>
      <c r="M431" s="482">
        <f t="shared" si="245"/>
        <v>0</v>
      </c>
      <c r="N431" s="482">
        <f t="shared" si="246"/>
        <v>0</v>
      </c>
      <c r="O431" s="482">
        <f t="shared" si="247"/>
        <v>0</v>
      </c>
      <c r="P431" s="482">
        <f t="shared" si="248"/>
        <v>0</v>
      </c>
      <c r="Q431" s="451">
        <f t="shared" si="249"/>
        <v>10.75</v>
      </c>
      <c r="R431" s="452">
        <f t="shared" si="250"/>
        <v>7.7439999999999995E-2</v>
      </c>
      <c r="S431" s="452">
        <v>0</v>
      </c>
      <c r="T431" s="452">
        <v>0</v>
      </c>
      <c r="U431" s="452">
        <f t="shared" si="251"/>
        <v>2.8920000000000001E-2</v>
      </c>
      <c r="V431" s="451">
        <f t="shared" si="252"/>
        <v>0</v>
      </c>
      <c r="W431" s="451">
        <f t="shared" si="253"/>
        <v>0</v>
      </c>
      <c r="X431" s="451">
        <f t="shared" si="254"/>
        <v>0</v>
      </c>
      <c r="Y431" s="453">
        <f t="shared" si="255"/>
        <v>0</v>
      </c>
      <c r="Z431" s="453">
        <f t="shared" si="256"/>
        <v>0</v>
      </c>
      <c r="AA431" s="453">
        <f t="shared" si="257"/>
        <v>0</v>
      </c>
      <c r="AB431" s="453">
        <f t="shared" si="258"/>
        <v>0</v>
      </c>
      <c r="AC431" s="453">
        <f t="shared" si="259"/>
        <v>0</v>
      </c>
      <c r="AD431" s="453">
        <f t="shared" si="260"/>
        <v>0</v>
      </c>
      <c r="AE431" s="493">
        <f t="shared" si="261"/>
        <v>0</v>
      </c>
      <c r="AF431" s="453">
        <f t="shared" si="262"/>
        <v>0</v>
      </c>
      <c r="AG431" s="494">
        <f t="shared" si="263"/>
        <v>1</v>
      </c>
      <c r="AH431" s="454">
        <f t="shared" si="264"/>
        <v>0</v>
      </c>
      <c r="AI431" s="454">
        <f t="shared" si="265"/>
        <v>0</v>
      </c>
      <c r="AJ431" s="454">
        <f t="shared" si="266"/>
        <v>0</v>
      </c>
      <c r="AK431" s="454">
        <f t="shared" si="267"/>
        <v>0</v>
      </c>
      <c r="AL431" s="454">
        <f t="shared" si="268"/>
        <v>0</v>
      </c>
      <c r="AM431" s="454">
        <f t="shared" si="269"/>
        <v>0</v>
      </c>
      <c r="AN431" s="491">
        <f t="shared" si="270"/>
        <v>0</v>
      </c>
      <c r="AO431" s="487">
        <f t="shared" si="271"/>
        <v>0</v>
      </c>
      <c r="AP431" s="495">
        <f t="shared" si="272"/>
        <v>0</v>
      </c>
      <c r="AQ431" s="496">
        <f t="shared" si="273"/>
        <v>0</v>
      </c>
      <c r="AV431" s="459">
        <f>IF(BA431&gt;BA430,AV430,IF(AV430&lt;MiscData!$F$1,EOMONTH(AV430,1),EOMONTH(AV430,-11)))</f>
        <v>42338</v>
      </c>
      <c r="AW431" s="448" t="str">
        <f t="shared" si="274"/>
        <v>20140101KURSE080</v>
      </c>
      <c r="AX431" s="457" t="str">
        <f t="shared" si="275"/>
        <v>20140101RSVFD</v>
      </c>
      <c r="AY431" s="439">
        <f>IF(AV431&lt;=MiscData!$B$23,MiscData!$C$23,IF(AV431&lt;=MiscData!$B$24,MiscData!$C$24,MiscData!$C$25))</f>
        <v>20140101</v>
      </c>
      <c r="AZ431" s="439" t="str">
        <f>VLOOKUP(BA431,MiscData!$V$4:$W$42,2,FALSE)</f>
        <v>KURSE080</v>
      </c>
      <c r="BA431" s="439">
        <f>IF(BA430=MiscData!$V$42,1,BA430+1)</f>
        <v>38</v>
      </c>
      <c r="BB431" s="439" t="str">
        <f>VLOOKUP(AZ431,MiscData!$W$4:$Y$42,3,FALSE)</f>
        <v>RSVFD</v>
      </c>
    </row>
    <row r="432" spans="1:55" s="511" customFormat="1" hidden="1">
      <c r="A432" s="499">
        <f t="shared" si="278"/>
        <v>358</v>
      </c>
      <c r="B432" s="499" t="str">
        <f t="shared" si="238"/>
        <v>Nov 2015</v>
      </c>
      <c r="C432" s="499" t="s">
        <v>14</v>
      </c>
      <c r="D432" s="500" t="str">
        <f t="shared" si="239"/>
        <v>RS</v>
      </c>
      <c r="E432" s="500" t="str">
        <f t="shared" si="240"/>
        <v>KURSE715</v>
      </c>
      <c r="F432" s="501">
        <f t="shared" si="241"/>
        <v>0</v>
      </c>
      <c r="G432" s="501">
        <v>0</v>
      </c>
      <c r="H432" s="501">
        <v>0</v>
      </c>
      <c r="I432" s="501">
        <v>0</v>
      </c>
      <c r="J432" s="501">
        <f t="shared" si="242"/>
        <v>0</v>
      </c>
      <c r="K432" s="502">
        <f t="shared" si="243"/>
        <v>0</v>
      </c>
      <c r="L432" s="502">
        <f t="shared" si="244"/>
        <v>0</v>
      </c>
      <c r="M432" s="502">
        <f t="shared" si="245"/>
        <v>0</v>
      </c>
      <c r="N432" s="502">
        <f t="shared" si="246"/>
        <v>0</v>
      </c>
      <c r="O432" s="502">
        <f t="shared" si="247"/>
        <v>0</v>
      </c>
      <c r="P432" s="502">
        <f t="shared" si="248"/>
        <v>0</v>
      </c>
      <c r="Q432" s="503">
        <f t="shared" si="249"/>
        <v>10.75</v>
      </c>
      <c r="R432" s="504">
        <f t="shared" si="250"/>
        <v>7.7439999999999995E-2</v>
      </c>
      <c r="S432" s="504">
        <v>0</v>
      </c>
      <c r="T432" s="504">
        <v>0</v>
      </c>
      <c r="U432" s="504">
        <f t="shared" si="251"/>
        <v>2.8920000000000001E-2</v>
      </c>
      <c r="V432" s="503">
        <f t="shared" si="252"/>
        <v>0</v>
      </c>
      <c r="W432" s="503">
        <f t="shared" si="253"/>
        <v>0</v>
      </c>
      <c r="X432" s="503">
        <f t="shared" si="254"/>
        <v>0</v>
      </c>
      <c r="Y432" s="453">
        <f t="shared" si="255"/>
        <v>0</v>
      </c>
      <c r="Z432" s="453">
        <f t="shared" si="256"/>
        <v>0</v>
      </c>
      <c r="AA432" s="453">
        <f t="shared" si="257"/>
        <v>0</v>
      </c>
      <c r="AB432" s="453">
        <f t="shared" si="258"/>
        <v>0</v>
      </c>
      <c r="AC432" s="453">
        <f t="shared" si="259"/>
        <v>0</v>
      </c>
      <c r="AD432" s="493">
        <f t="shared" si="260"/>
        <v>0</v>
      </c>
      <c r="AE432" s="493">
        <f t="shared" si="261"/>
        <v>0</v>
      </c>
      <c r="AF432" s="493">
        <f t="shared" si="262"/>
        <v>0</v>
      </c>
      <c r="AG432" s="494">
        <f t="shared" si="263"/>
        <v>1</v>
      </c>
      <c r="AH432" s="505">
        <f t="shared" si="264"/>
        <v>0</v>
      </c>
      <c r="AI432" s="505">
        <f t="shared" si="265"/>
        <v>0</v>
      </c>
      <c r="AJ432" s="505">
        <f t="shared" si="266"/>
        <v>0</v>
      </c>
      <c r="AK432" s="505">
        <f t="shared" si="267"/>
        <v>0</v>
      </c>
      <c r="AL432" s="505">
        <f t="shared" si="268"/>
        <v>0</v>
      </c>
      <c r="AM432" s="505">
        <f t="shared" si="269"/>
        <v>0</v>
      </c>
      <c r="AN432" s="506">
        <f t="shared" si="270"/>
        <v>0</v>
      </c>
      <c r="AO432" s="507">
        <f t="shared" si="271"/>
        <v>0</v>
      </c>
      <c r="AP432" s="508">
        <f t="shared" si="272"/>
        <v>0</v>
      </c>
      <c r="AQ432" s="510">
        <f t="shared" si="273"/>
        <v>0</v>
      </c>
      <c r="AV432" s="512">
        <f>IF(BA432&gt;BA431,AV431,IF(AV431&lt;MiscData!$F$1,EOMONTH(AV431,1),EOMONTH(AV431,-11)))</f>
        <v>42338</v>
      </c>
      <c r="AW432" s="499" t="str">
        <f t="shared" si="274"/>
        <v>20140101KURSE715</v>
      </c>
      <c r="AX432" s="513" t="str">
        <f t="shared" si="275"/>
        <v>20140101RS</v>
      </c>
      <c r="AY432" s="511">
        <f>IF(AV432&lt;=MiscData!$B$23,MiscData!$C$23,IF(AV432&lt;=MiscData!$B$24,MiscData!$C$24,MiscData!$C$25))</f>
        <v>20140101</v>
      </c>
      <c r="AZ432" s="511" t="str">
        <f>VLOOKUP(BA432,MiscData!$V$4:$W$42,2,FALSE)</f>
        <v>KURSE715</v>
      </c>
      <c r="BA432" s="439">
        <f>IF(BA431=MiscData!$V$42,1,BA431+1)</f>
        <v>39</v>
      </c>
      <c r="BB432" s="511" t="str">
        <f>VLOOKUP(AZ432,MiscData!$W$4:$Y$42,3,FALSE)</f>
        <v>RS</v>
      </c>
      <c r="BC432" s="777"/>
    </row>
    <row r="433" spans="1:54" hidden="1">
      <c r="A433" s="448">
        <f t="shared" si="278"/>
        <v>359</v>
      </c>
      <c r="B433" s="448" t="str">
        <f t="shared" si="238"/>
        <v>Dec 2015</v>
      </c>
      <c r="C433" s="448" t="s">
        <v>18</v>
      </c>
      <c r="D433" s="449" t="str">
        <f t="shared" si="239"/>
        <v>RTS</v>
      </c>
      <c r="E433" s="449" t="str">
        <f t="shared" si="240"/>
        <v>KUCIE550</v>
      </c>
      <c r="F433" s="450">
        <f t="shared" si="241"/>
        <v>32</v>
      </c>
      <c r="G433" s="450">
        <v>0</v>
      </c>
      <c r="H433" s="450">
        <v>0</v>
      </c>
      <c r="I433" s="450">
        <v>0</v>
      </c>
      <c r="J433" s="450">
        <f t="shared" si="242"/>
        <v>143877223</v>
      </c>
      <c r="K433" s="482">
        <f t="shared" si="243"/>
        <v>305101</v>
      </c>
      <c r="L433" s="482">
        <f t="shared" si="244"/>
        <v>298666</v>
      </c>
      <c r="M433" s="482">
        <f t="shared" si="245"/>
        <v>292465</v>
      </c>
      <c r="N433" s="482">
        <f t="shared" si="246"/>
        <v>0</v>
      </c>
      <c r="O433" s="482">
        <f t="shared" si="247"/>
        <v>0</v>
      </c>
      <c r="P433" s="482">
        <f t="shared" si="248"/>
        <v>0</v>
      </c>
      <c r="Q433" s="451">
        <f t="shared" si="249"/>
        <v>750</v>
      </c>
      <c r="R433" s="452">
        <f t="shared" si="250"/>
        <v>3.6339999999999997E-2</v>
      </c>
      <c r="S433" s="452">
        <v>0</v>
      </c>
      <c r="T433" s="452">
        <v>0</v>
      </c>
      <c r="U433" s="452">
        <f t="shared" si="251"/>
        <v>2.8920000000000001E-2</v>
      </c>
      <c r="V433" s="451">
        <f t="shared" si="252"/>
        <v>1.34</v>
      </c>
      <c r="W433" s="451">
        <f t="shared" si="253"/>
        <v>2.87</v>
      </c>
      <c r="X433" s="451">
        <f t="shared" si="254"/>
        <v>3.97</v>
      </c>
      <c r="Y433" s="453">
        <f t="shared" si="255"/>
        <v>24000</v>
      </c>
      <c r="Z433" s="453">
        <f t="shared" si="256"/>
        <v>5228498.28</v>
      </c>
      <c r="AA433" s="453">
        <f t="shared" si="257"/>
        <v>408835.34</v>
      </c>
      <c r="AB433" s="453">
        <f t="shared" si="258"/>
        <v>857171.42</v>
      </c>
      <c r="AC433" s="453">
        <f t="shared" si="259"/>
        <v>1161086.05</v>
      </c>
      <c r="AD433" s="453">
        <f t="shared" si="260"/>
        <v>2427092.81</v>
      </c>
      <c r="AE433" s="493">
        <f t="shared" si="261"/>
        <v>7679591.0899999999</v>
      </c>
      <c r="AF433" s="453">
        <f t="shared" si="262"/>
        <v>7679592</v>
      </c>
      <c r="AG433" s="494">
        <f t="shared" si="263"/>
        <v>1.0000001184958924</v>
      </c>
      <c r="AH433" s="454">
        <f t="shared" si="264"/>
        <v>338882</v>
      </c>
      <c r="AI433" s="454">
        <f t="shared" si="265"/>
        <v>0</v>
      </c>
      <c r="AJ433" s="454">
        <f t="shared" si="266"/>
        <v>727015</v>
      </c>
      <c r="AK433" s="454">
        <f t="shared" si="267"/>
        <v>0</v>
      </c>
      <c r="AL433" s="454">
        <f t="shared" si="268"/>
        <v>0</v>
      </c>
      <c r="AM433" s="454">
        <f t="shared" si="269"/>
        <v>8745489</v>
      </c>
      <c r="AN433" s="491">
        <f t="shared" si="270"/>
        <v>8745488.0899999999</v>
      </c>
      <c r="AO433" s="487">
        <f t="shared" si="271"/>
        <v>0.91000000014901161</v>
      </c>
      <c r="AP433" s="495">
        <f t="shared" si="272"/>
        <v>4160929.29</v>
      </c>
      <c r="AQ433" s="496">
        <f t="shared" si="273"/>
        <v>1067568.9900000002</v>
      </c>
      <c r="AV433" s="459">
        <f>IF(BA433&gt;BA432,AV432,IF(AV432&lt;MiscData!$F$1,EOMONTH(AV432,1),EOMONTH(AV432,-11)))</f>
        <v>42369</v>
      </c>
      <c r="AW433" s="448" t="str">
        <f t="shared" si="274"/>
        <v>20140101KUCIE550</v>
      </c>
      <c r="AX433" s="457" t="str">
        <f t="shared" si="275"/>
        <v>20140101RTS</v>
      </c>
      <c r="AY433" s="439">
        <f>IF(AV433&lt;=MiscData!$B$23,MiscData!$C$23,IF(AV433&lt;=MiscData!$B$24,MiscData!$C$24,MiscData!$C$25))</f>
        <v>20140101</v>
      </c>
      <c r="AZ433" s="439" t="str">
        <f>VLOOKUP(BA433,MiscData!$V$4:$W$42,2,FALSE)</f>
        <v>KUCIE550</v>
      </c>
      <c r="BA433" s="439">
        <f>IF(BA432=MiscData!$V$42,1,BA432+1)</f>
        <v>1</v>
      </c>
      <c r="BB433" s="439" t="str">
        <f>VLOOKUP(AZ433,MiscData!$W$4:$Y$42,3,FALSE)</f>
        <v>RTS</v>
      </c>
    </row>
    <row r="434" spans="1:54" hidden="1">
      <c r="A434" s="448">
        <f t="shared" si="278"/>
        <v>360</v>
      </c>
      <c r="B434" s="448" t="str">
        <f t="shared" si="238"/>
        <v>Dec 2015</v>
      </c>
      <c r="C434" s="448" t="s">
        <v>25</v>
      </c>
      <c r="D434" s="449" t="str">
        <f t="shared" si="239"/>
        <v>PSP</v>
      </c>
      <c r="E434" s="449" t="str">
        <f t="shared" si="240"/>
        <v>KUCIE561</v>
      </c>
      <c r="F434" s="450">
        <f t="shared" si="241"/>
        <v>196</v>
      </c>
      <c r="G434" s="450">
        <v>0</v>
      </c>
      <c r="H434" s="450">
        <v>0</v>
      </c>
      <c r="I434" s="450">
        <v>0</v>
      </c>
      <c r="J434" s="450">
        <f t="shared" si="242"/>
        <v>20132212</v>
      </c>
      <c r="K434" s="482">
        <f t="shared" si="243"/>
        <v>0</v>
      </c>
      <c r="L434" s="482">
        <f t="shared" si="244"/>
        <v>54459</v>
      </c>
      <c r="M434" s="482">
        <f t="shared" si="245"/>
        <v>0</v>
      </c>
      <c r="N434" s="482">
        <f t="shared" si="246"/>
        <v>0</v>
      </c>
      <c r="O434" s="482">
        <f t="shared" si="247"/>
        <v>0</v>
      </c>
      <c r="P434" s="482">
        <f t="shared" si="248"/>
        <v>0</v>
      </c>
      <c r="Q434" s="451">
        <f t="shared" si="249"/>
        <v>170</v>
      </c>
      <c r="R434" s="452">
        <f t="shared" si="250"/>
        <v>3.5619999999999999E-2</v>
      </c>
      <c r="S434" s="452">
        <v>0</v>
      </c>
      <c r="T434" s="452">
        <v>0</v>
      </c>
      <c r="U434" s="452">
        <f t="shared" si="251"/>
        <v>2.8920000000000001E-2</v>
      </c>
      <c r="V434" s="451">
        <f t="shared" si="252"/>
        <v>0</v>
      </c>
      <c r="W434" s="451">
        <f t="shared" si="253"/>
        <v>13.18</v>
      </c>
      <c r="X434" s="451">
        <f t="shared" si="254"/>
        <v>15.28</v>
      </c>
      <c r="Y434" s="453">
        <f t="shared" si="255"/>
        <v>33320</v>
      </c>
      <c r="Z434" s="453">
        <f t="shared" si="256"/>
        <v>717109.39</v>
      </c>
      <c r="AA434" s="453">
        <f t="shared" si="257"/>
        <v>0</v>
      </c>
      <c r="AB434" s="453">
        <f t="shared" si="258"/>
        <v>717769.62</v>
      </c>
      <c r="AC434" s="453">
        <f t="shared" si="259"/>
        <v>0</v>
      </c>
      <c r="AD434" s="453">
        <f t="shared" si="260"/>
        <v>717769.62</v>
      </c>
      <c r="AE434" s="493">
        <f t="shared" si="261"/>
        <v>1468199.01</v>
      </c>
      <c r="AF434" s="453">
        <f t="shared" si="262"/>
        <v>1468193</v>
      </c>
      <c r="AG434" s="494">
        <f t="shared" si="263"/>
        <v>0.99999590654948067</v>
      </c>
      <c r="AH434" s="454">
        <f t="shared" si="264"/>
        <v>47419</v>
      </c>
      <c r="AI434" s="454">
        <f t="shared" si="265"/>
        <v>31785</v>
      </c>
      <c r="AJ434" s="454">
        <f t="shared" si="266"/>
        <v>101729</v>
      </c>
      <c r="AK434" s="454">
        <f t="shared" si="267"/>
        <v>0</v>
      </c>
      <c r="AL434" s="454">
        <f t="shared" si="268"/>
        <v>0</v>
      </c>
      <c r="AM434" s="454">
        <f t="shared" si="269"/>
        <v>1649126</v>
      </c>
      <c r="AN434" s="491">
        <f t="shared" si="270"/>
        <v>1649132.01</v>
      </c>
      <c r="AO434" s="487">
        <f t="shared" si="271"/>
        <v>-6.0100000000093132</v>
      </c>
      <c r="AP434" s="495">
        <f t="shared" si="272"/>
        <v>582223.56999999995</v>
      </c>
      <c r="AQ434" s="496">
        <f t="shared" si="273"/>
        <v>134885.82000000007</v>
      </c>
      <c r="AV434" s="459">
        <f>IF(BA434&gt;BA433,AV433,IF(AV433&lt;MiscData!$F$1,EOMONTH(AV433,1),EOMONTH(AV433,-11)))</f>
        <v>42369</v>
      </c>
      <c r="AW434" s="448" t="str">
        <f t="shared" si="274"/>
        <v>20140101KUCIE561</v>
      </c>
      <c r="AX434" s="457" t="str">
        <f t="shared" si="275"/>
        <v>20140101PSP</v>
      </c>
      <c r="AY434" s="439">
        <f>IF(AV434&lt;=MiscData!$B$23,MiscData!$C$23,IF(AV434&lt;=MiscData!$B$24,MiscData!$C$24,MiscData!$C$25))</f>
        <v>20140101</v>
      </c>
      <c r="AZ434" s="439" t="str">
        <f>VLOOKUP(BA434,MiscData!$V$4:$W$42,2,FALSE)</f>
        <v>KUCIE561</v>
      </c>
      <c r="BA434" s="439">
        <f>IF(BA433=MiscData!$V$42,1,BA433+1)</f>
        <v>2</v>
      </c>
      <c r="BB434" s="439" t="str">
        <f>VLOOKUP(AZ434,MiscData!$W$4:$Y$42,3,FALSE)</f>
        <v>PSP</v>
      </c>
    </row>
    <row r="435" spans="1:54" hidden="1">
      <c r="A435" s="448">
        <f t="shared" si="278"/>
        <v>361</v>
      </c>
      <c r="B435" s="448" t="str">
        <f t="shared" si="238"/>
        <v>Dec 2015</v>
      </c>
      <c r="C435" s="448" t="s">
        <v>24</v>
      </c>
      <c r="D435" s="449" t="str">
        <f t="shared" si="239"/>
        <v>PSS</v>
      </c>
      <c r="E435" s="449" t="str">
        <f t="shared" si="240"/>
        <v>KUCIE562</v>
      </c>
      <c r="F435" s="450">
        <f t="shared" si="241"/>
        <v>4660</v>
      </c>
      <c r="G435" s="450">
        <v>0</v>
      </c>
      <c r="H435" s="450">
        <v>0</v>
      </c>
      <c r="I435" s="450">
        <v>0</v>
      </c>
      <c r="J435" s="450">
        <f t="shared" si="242"/>
        <v>177385987</v>
      </c>
      <c r="K435" s="482">
        <f t="shared" si="243"/>
        <v>0</v>
      </c>
      <c r="L435" s="482">
        <f t="shared" si="244"/>
        <v>548106</v>
      </c>
      <c r="M435" s="482">
        <f t="shared" si="245"/>
        <v>0</v>
      </c>
      <c r="N435" s="482">
        <f t="shared" si="246"/>
        <v>0</v>
      </c>
      <c r="O435" s="482">
        <f t="shared" si="247"/>
        <v>0</v>
      </c>
      <c r="P435" s="482">
        <f t="shared" si="248"/>
        <v>0</v>
      </c>
      <c r="Q435" s="451">
        <f t="shared" si="249"/>
        <v>90</v>
      </c>
      <c r="R435" s="452">
        <f t="shared" si="250"/>
        <v>3.5640000000000005E-2</v>
      </c>
      <c r="S435" s="452">
        <v>0</v>
      </c>
      <c r="T435" s="452">
        <v>0</v>
      </c>
      <c r="U435" s="452">
        <f t="shared" si="251"/>
        <v>2.8920000000000001E-2</v>
      </c>
      <c r="V435" s="451">
        <f t="shared" si="252"/>
        <v>0</v>
      </c>
      <c r="W435" s="451">
        <f t="shared" si="253"/>
        <v>13.2</v>
      </c>
      <c r="X435" s="451">
        <f t="shared" si="254"/>
        <v>15.3</v>
      </c>
      <c r="Y435" s="453">
        <f t="shared" si="255"/>
        <v>419400</v>
      </c>
      <c r="Z435" s="453">
        <f t="shared" si="256"/>
        <v>6322036.5800000001</v>
      </c>
      <c r="AA435" s="453">
        <f t="shared" si="257"/>
        <v>0</v>
      </c>
      <c r="AB435" s="453">
        <f t="shared" si="258"/>
        <v>7234999.2000000002</v>
      </c>
      <c r="AC435" s="453">
        <f t="shared" si="259"/>
        <v>0</v>
      </c>
      <c r="AD435" s="453">
        <f t="shared" si="260"/>
        <v>7234999.2000000002</v>
      </c>
      <c r="AE435" s="493">
        <f t="shared" si="261"/>
        <v>13976435.780000001</v>
      </c>
      <c r="AF435" s="453">
        <f t="shared" si="262"/>
        <v>13976440</v>
      </c>
      <c r="AG435" s="494">
        <f t="shared" si="263"/>
        <v>1.0000003019367789</v>
      </c>
      <c r="AH435" s="454">
        <f t="shared" si="264"/>
        <v>417807</v>
      </c>
      <c r="AI435" s="454">
        <f t="shared" si="265"/>
        <v>280059</v>
      </c>
      <c r="AJ435" s="454">
        <f t="shared" si="266"/>
        <v>896336</v>
      </c>
      <c r="AK435" s="454">
        <f t="shared" si="267"/>
        <v>0</v>
      </c>
      <c r="AL435" s="454">
        <f t="shared" si="268"/>
        <v>0</v>
      </c>
      <c r="AM435" s="454">
        <f t="shared" si="269"/>
        <v>15570642</v>
      </c>
      <c r="AN435" s="491">
        <f t="shared" si="270"/>
        <v>15570637.780000001</v>
      </c>
      <c r="AO435" s="487">
        <f t="shared" si="271"/>
        <v>4.2199999988079071</v>
      </c>
      <c r="AP435" s="495">
        <f t="shared" si="272"/>
        <v>5130002.74</v>
      </c>
      <c r="AQ435" s="496">
        <f t="shared" si="273"/>
        <v>1192033.8399999999</v>
      </c>
      <c r="AV435" s="459">
        <f>IF(BA435&gt;BA434,AV434,IF(AV434&lt;MiscData!$F$1,EOMONTH(AV434,1),EOMONTH(AV434,-11)))</f>
        <v>42369</v>
      </c>
      <c r="AW435" s="448" t="str">
        <f t="shared" si="274"/>
        <v>20140101KUCIE562</v>
      </c>
      <c r="AX435" s="457" t="str">
        <f t="shared" si="275"/>
        <v>20140101PSS</v>
      </c>
      <c r="AY435" s="439">
        <f>IF(AV435&lt;=MiscData!$B$23,MiscData!$C$23,IF(AV435&lt;=MiscData!$B$24,MiscData!$C$24,MiscData!$C$25))</f>
        <v>20140101</v>
      </c>
      <c r="AZ435" s="439" t="str">
        <f>VLOOKUP(BA435,MiscData!$V$4:$W$42,2,FALSE)</f>
        <v>KUCIE562</v>
      </c>
      <c r="BA435" s="439">
        <f>IF(BA434=MiscData!$V$42,1,BA434+1)</f>
        <v>3</v>
      </c>
      <c r="BB435" s="439" t="str">
        <f>VLOOKUP(AZ435,MiscData!$W$4:$Y$42,3,FALSE)</f>
        <v>PSS</v>
      </c>
    </row>
    <row r="436" spans="1:54" hidden="1">
      <c r="A436" s="448">
        <f t="shared" si="278"/>
        <v>362</v>
      </c>
      <c r="B436" s="448" t="str">
        <f t="shared" si="238"/>
        <v>Dec 2015</v>
      </c>
      <c r="C436" s="448" t="s">
        <v>205</v>
      </c>
      <c r="D436" s="449" t="str">
        <f t="shared" si="239"/>
        <v>TODP</v>
      </c>
      <c r="E436" s="449" t="str">
        <f t="shared" si="240"/>
        <v>KUCIE563</v>
      </c>
      <c r="F436" s="450">
        <f t="shared" si="241"/>
        <v>52</v>
      </c>
      <c r="G436" s="450">
        <v>0</v>
      </c>
      <c r="H436" s="450">
        <v>0</v>
      </c>
      <c r="I436" s="450">
        <v>0</v>
      </c>
      <c r="J436" s="450">
        <f t="shared" si="242"/>
        <v>255284575</v>
      </c>
      <c r="K436" s="482">
        <f t="shared" si="243"/>
        <v>517261</v>
      </c>
      <c r="L436" s="482">
        <f t="shared" si="244"/>
        <v>482638</v>
      </c>
      <c r="M436" s="482">
        <f t="shared" si="245"/>
        <v>479026</v>
      </c>
      <c r="N436" s="482">
        <f t="shared" si="246"/>
        <v>0</v>
      </c>
      <c r="O436" s="482">
        <f t="shared" si="247"/>
        <v>0</v>
      </c>
      <c r="P436" s="482">
        <f t="shared" si="248"/>
        <v>0</v>
      </c>
      <c r="Q436" s="451">
        <f t="shared" si="249"/>
        <v>300</v>
      </c>
      <c r="R436" s="452">
        <f t="shared" si="250"/>
        <v>3.7650000000000003E-2</v>
      </c>
      <c r="S436" s="452">
        <v>0</v>
      </c>
      <c r="T436" s="452">
        <v>0</v>
      </c>
      <c r="U436" s="452">
        <f t="shared" si="251"/>
        <v>2.8920000000000001E-2</v>
      </c>
      <c r="V436" s="451">
        <f t="shared" si="252"/>
        <v>1.71</v>
      </c>
      <c r="W436" s="451">
        <f t="shared" si="253"/>
        <v>2.76</v>
      </c>
      <c r="X436" s="451">
        <f t="shared" si="254"/>
        <v>4.26</v>
      </c>
      <c r="Y436" s="453">
        <f t="shared" si="255"/>
        <v>15600</v>
      </c>
      <c r="Z436" s="453">
        <f t="shared" si="256"/>
        <v>9611464.25</v>
      </c>
      <c r="AA436" s="453">
        <f t="shared" si="257"/>
        <v>884516.31</v>
      </c>
      <c r="AB436" s="453">
        <f t="shared" si="258"/>
        <v>1332080.8799999999</v>
      </c>
      <c r="AC436" s="453">
        <f t="shared" si="259"/>
        <v>2040650.76</v>
      </c>
      <c r="AD436" s="453">
        <f t="shared" si="260"/>
        <v>4257247.95</v>
      </c>
      <c r="AE436" s="493">
        <f t="shared" si="261"/>
        <v>13884312.200000001</v>
      </c>
      <c r="AF436" s="453">
        <f t="shared" si="262"/>
        <v>13884313</v>
      </c>
      <c r="AG436" s="494">
        <f t="shared" si="263"/>
        <v>1.0000000576189867</v>
      </c>
      <c r="AH436" s="454">
        <f t="shared" si="264"/>
        <v>601286</v>
      </c>
      <c r="AI436" s="454">
        <f t="shared" si="265"/>
        <v>403046</v>
      </c>
      <c r="AJ436" s="454">
        <f t="shared" si="266"/>
        <v>1289959</v>
      </c>
      <c r="AK436" s="454">
        <f t="shared" si="267"/>
        <v>0</v>
      </c>
      <c r="AL436" s="454">
        <f t="shared" si="268"/>
        <v>0</v>
      </c>
      <c r="AM436" s="454">
        <f t="shared" si="269"/>
        <v>16178604</v>
      </c>
      <c r="AN436" s="491">
        <f t="shared" si="270"/>
        <v>16178603.200000001</v>
      </c>
      <c r="AO436" s="487">
        <f t="shared" si="271"/>
        <v>0.79999999888241291</v>
      </c>
      <c r="AP436" s="495">
        <f t="shared" si="272"/>
        <v>7382829.9100000001</v>
      </c>
      <c r="AQ436" s="496">
        <f t="shared" si="273"/>
        <v>2228634.34</v>
      </c>
      <c r="AV436" s="459">
        <f>IF(BA436&gt;BA435,AV435,IF(AV435&lt;MiscData!$F$1,EOMONTH(AV435,1),EOMONTH(AV435,-11)))</f>
        <v>42369</v>
      </c>
      <c r="AW436" s="448" t="str">
        <f t="shared" si="274"/>
        <v>20140101KUCIE563</v>
      </c>
      <c r="AX436" s="457" t="str">
        <f t="shared" si="275"/>
        <v>20140101TODP</v>
      </c>
      <c r="AY436" s="439">
        <f>IF(AV436&lt;=MiscData!$B$23,MiscData!$C$23,IF(AV436&lt;=MiscData!$B$24,MiscData!$C$24,MiscData!$C$25))</f>
        <v>20140101</v>
      </c>
      <c r="AZ436" s="439" t="str">
        <f>VLOOKUP(BA436,MiscData!$V$4:$W$42,2,FALSE)</f>
        <v>KUCIE563</v>
      </c>
      <c r="BA436" s="439">
        <f>IF(BA435=MiscData!$V$42,1,BA435+1)</f>
        <v>4</v>
      </c>
      <c r="BB436" s="439" t="str">
        <f>VLOOKUP(AZ436,MiscData!$W$4:$Y$42,3,FALSE)</f>
        <v>TODP</v>
      </c>
    </row>
    <row r="437" spans="1:54" hidden="1">
      <c r="A437" s="448">
        <f t="shared" si="278"/>
        <v>363</v>
      </c>
      <c r="B437" s="448" t="str">
        <f t="shared" si="238"/>
        <v>Dec 2015</v>
      </c>
      <c r="C437" s="448" t="s">
        <v>25</v>
      </c>
      <c r="D437" s="449" t="str">
        <f t="shared" si="239"/>
        <v>PSP</v>
      </c>
      <c r="E437" s="449" t="str">
        <f t="shared" si="240"/>
        <v>KUCIE566</v>
      </c>
      <c r="F437" s="450">
        <f t="shared" si="241"/>
        <v>0</v>
      </c>
      <c r="G437" s="450">
        <v>0</v>
      </c>
      <c r="H437" s="450">
        <v>0</v>
      </c>
      <c r="I437" s="450">
        <v>0</v>
      </c>
      <c r="J437" s="450">
        <f t="shared" si="242"/>
        <v>0</v>
      </c>
      <c r="K437" s="482">
        <f t="shared" si="243"/>
        <v>0</v>
      </c>
      <c r="L437" s="482">
        <f t="shared" si="244"/>
        <v>0</v>
      </c>
      <c r="M437" s="482">
        <f t="shared" si="245"/>
        <v>0</v>
      </c>
      <c r="N437" s="482">
        <f t="shared" si="246"/>
        <v>0</v>
      </c>
      <c r="O437" s="482">
        <f t="shared" si="247"/>
        <v>0</v>
      </c>
      <c r="P437" s="482">
        <f t="shared" si="248"/>
        <v>0</v>
      </c>
      <c r="Q437" s="451">
        <f t="shared" si="249"/>
        <v>170</v>
      </c>
      <c r="R437" s="452">
        <f t="shared" si="250"/>
        <v>3.5619999999999999E-2</v>
      </c>
      <c r="S437" s="452">
        <v>0</v>
      </c>
      <c r="T437" s="452">
        <v>0</v>
      </c>
      <c r="U437" s="452">
        <f t="shared" si="251"/>
        <v>2.8920000000000001E-2</v>
      </c>
      <c r="V437" s="451">
        <f t="shared" si="252"/>
        <v>0</v>
      </c>
      <c r="W437" s="451">
        <f t="shared" si="253"/>
        <v>13.18</v>
      </c>
      <c r="X437" s="451">
        <f t="shared" si="254"/>
        <v>15.28</v>
      </c>
      <c r="Y437" s="453">
        <f t="shared" si="255"/>
        <v>0</v>
      </c>
      <c r="Z437" s="453">
        <f t="shared" si="256"/>
        <v>0</v>
      </c>
      <c r="AA437" s="453">
        <f t="shared" si="257"/>
        <v>0</v>
      </c>
      <c r="AB437" s="453">
        <f t="shared" si="258"/>
        <v>0</v>
      </c>
      <c r="AC437" s="453">
        <f t="shared" si="259"/>
        <v>0</v>
      </c>
      <c r="AD437" s="453">
        <f t="shared" si="260"/>
        <v>0</v>
      </c>
      <c r="AE437" s="493">
        <f t="shared" si="261"/>
        <v>0</v>
      </c>
      <c r="AF437" s="453">
        <f t="shared" si="262"/>
        <v>0</v>
      </c>
      <c r="AG437" s="494">
        <f t="shared" si="263"/>
        <v>1</v>
      </c>
      <c r="AH437" s="454">
        <f t="shared" si="264"/>
        <v>0</v>
      </c>
      <c r="AI437" s="454">
        <f t="shared" si="265"/>
        <v>0</v>
      </c>
      <c r="AJ437" s="454">
        <f t="shared" si="266"/>
        <v>0</v>
      </c>
      <c r="AK437" s="454">
        <f t="shared" si="267"/>
        <v>0</v>
      </c>
      <c r="AL437" s="454">
        <f t="shared" si="268"/>
        <v>0</v>
      </c>
      <c r="AM437" s="454">
        <f t="shared" si="269"/>
        <v>0</v>
      </c>
      <c r="AN437" s="491">
        <f t="shared" si="270"/>
        <v>0</v>
      </c>
      <c r="AO437" s="487">
        <f t="shared" si="271"/>
        <v>0</v>
      </c>
      <c r="AP437" s="495">
        <f t="shared" si="272"/>
        <v>0</v>
      </c>
      <c r="AQ437" s="496">
        <f t="shared" si="273"/>
        <v>0</v>
      </c>
      <c r="AV437" s="459">
        <f>IF(BA437&gt;BA436,AV436,IF(AV436&lt;MiscData!$F$1,EOMONTH(AV436,1),EOMONTH(AV436,-11)))</f>
        <v>42369</v>
      </c>
      <c r="AW437" s="448" t="str">
        <f t="shared" si="274"/>
        <v>20140101KUCIE566</v>
      </c>
      <c r="AX437" s="457" t="str">
        <f t="shared" si="275"/>
        <v>20140101PSP</v>
      </c>
      <c r="AY437" s="439">
        <f>IF(AV437&lt;=MiscData!$B$23,MiscData!$C$23,IF(AV437&lt;=MiscData!$B$24,MiscData!$C$24,MiscData!$C$25))</f>
        <v>20140101</v>
      </c>
      <c r="AZ437" s="439" t="str">
        <f>VLOOKUP(BA437,MiscData!$V$4:$W$42,2,FALSE)</f>
        <v>KUCIE566</v>
      </c>
      <c r="BA437" s="439">
        <f>IF(BA436=MiscData!$V$42,1,BA436+1)</f>
        <v>5</v>
      </c>
      <c r="BB437" s="439" t="str">
        <f>VLOOKUP(AZ437,MiscData!$W$4:$Y$42,3,FALSE)</f>
        <v>PSP</v>
      </c>
    </row>
    <row r="438" spans="1:54" hidden="1">
      <c r="A438" s="448">
        <f>A410+1</f>
        <v>362</v>
      </c>
      <c r="B438" s="448" t="str">
        <f t="shared" si="238"/>
        <v>Dec 2015</v>
      </c>
      <c r="C438" s="448" t="s">
        <v>24</v>
      </c>
      <c r="D438" s="449" t="str">
        <f t="shared" si="239"/>
        <v>PSS</v>
      </c>
      <c r="E438" s="449" t="str">
        <f t="shared" si="240"/>
        <v>KUCIE568</v>
      </c>
      <c r="F438" s="450">
        <f t="shared" si="241"/>
        <v>0</v>
      </c>
      <c r="G438" s="450">
        <v>0</v>
      </c>
      <c r="H438" s="450">
        <v>0</v>
      </c>
      <c r="I438" s="450">
        <v>0</v>
      </c>
      <c r="J438" s="450">
        <f t="shared" si="242"/>
        <v>0</v>
      </c>
      <c r="K438" s="482">
        <f t="shared" si="243"/>
        <v>0</v>
      </c>
      <c r="L438" s="482">
        <f t="shared" si="244"/>
        <v>0</v>
      </c>
      <c r="M438" s="482">
        <f t="shared" si="245"/>
        <v>0</v>
      </c>
      <c r="N438" s="482">
        <f t="shared" si="246"/>
        <v>0</v>
      </c>
      <c r="O438" s="482">
        <f t="shared" si="247"/>
        <v>0</v>
      </c>
      <c r="P438" s="482">
        <f t="shared" si="248"/>
        <v>0</v>
      </c>
      <c r="Q438" s="451">
        <f t="shared" si="249"/>
        <v>90</v>
      </c>
      <c r="R438" s="452">
        <f t="shared" si="250"/>
        <v>3.5640000000000005E-2</v>
      </c>
      <c r="S438" s="452">
        <v>0</v>
      </c>
      <c r="T438" s="452">
        <v>0</v>
      </c>
      <c r="U438" s="452">
        <f t="shared" si="251"/>
        <v>2.8920000000000001E-2</v>
      </c>
      <c r="V438" s="451">
        <f t="shared" si="252"/>
        <v>0</v>
      </c>
      <c r="W438" s="451">
        <f t="shared" si="253"/>
        <v>13.2</v>
      </c>
      <c r="X438" s="451">
        <f t="shared" si="254"/>
        <v>15.3</v>
      </c>
      <c r="Y438" s="453">
        <f t="shared" si="255"/>
        <v>0</v>
      </c>
      <c r="Z438" s="453">
        <f t="shared" si="256"/>
        <v>0</v>
      </c>
      <c r="AA438" s="453">
        <f t="shared" si="257"/>
        <v>0</v>
      </c>
      <c r="AB438" s="453">
        <f t="shared" si="258"/>
        <v>0</v>
      </c>
      <c r="AC438" s="453">
        <f t="shared" si="259"/>
        <v>0</v>
      </c>
      <c r="AD438" s="453">
        <f t="shared" si="260"/>
        <v>0</v>
      </c>
      <c r="AE438" s="493">
        <f t="shared" si="261"/>
        <v>0</v>
      </c>
      <c r="AF438" s="453">
        <f t="shared" si="262"/>
        <v>0</v>
      </c>
      <c r="AG438" s="494">
        <f t="shared" si="263"/>
        <v>1</v>
      </c>
      <c r="AH438" s="454">
        <f t="shared" si="264"/>
        <v>0</v>
      </c>
      <c r="AI438" s="454">
        <f t="shared" si="265"/>
        <v>0</v>
      </c>
      <c r="AJ438" s="454">
        <f t="shared" si="266"/>
        <v>0</v>
      </c>
      <c r="AK438" s="454">
        <f t="shared" si="267"/>
        <v>0</v>
      </c>
      <c r="AL438" s="454">
        <f t="shared" si="268"/>
        <v>0</v>
      </c>
      <c r="AM438" s="454">
        <f t="shared" si="269"/>
        <v>0</v>
      </c>
      <c r="AN438" s="491">
        <f t="shared" si="270"/>
        <v>0</v>
      </c>
      <c r="AO438" s="487">
        <f t="shared" si="271"/>
        <v>0</v>
      </c>
      <c r="AP438" s="495">
        <f t="shared" si="272"/>
        <v>0</v>
      </c>
      <c r="AQ438" s="496">
        <f t="shared" si="273"/>
        <v>0</v>
      </c>
      <c r="AV438" s="459">
        <f>IF(BA438&gt;BA437,AV437,IF(AV437&lt;MiscData!$F$1,EOMONTH(AV437,1),EOMONTH(AV437,-11)))</f>
        <v>42369</v>
      </c>
      <c r="AW438" s="448" t="str">
        <f t="shared" si="274"/>
        <v>20140101KUCIE568</v>
      </c>
      <c r="AX438" s="457" t="str">
        <f t="shared" si="275"/>
        <v>20140101PSS</v>
      </c>
      <c r="AY438" s="439">
        <f>IF(AV438&lt;=MiscData!$B$23,MiscData!$C$23,IF(AV438&lt;=MiscData!$B$24,MiscData!$C$24,MiscData!$C$25))</f>
        <v>20140101</v>
      </c>
      <c r="AZ438" s="439" t="str">
        <f>VLOOKUP(BA438,MiscData!$V$4:$W$42,2,FALSE)</f>
        <v>KUCIE568</v>
      </c>
      <c r="BA438" s="439">
        <f>IF(BA437=MiscData!$V$42,1,BA437+1)</f>
        <v>6</v>
      </c>
      <c r="BB438" s="439" t="str">
        <f>VLOOKUP(AZ438,MiscData!$W$4:$Y$42,3,FALSE)</f>
        <v>PSS</v>
      </c>
    </row>
    <row r="439" spans="1:54" hidden="1">
      <c r="A439" s="448">
        <f t="shared" ref="A439:A448" si="279">A438+1</f>
        <v>363</v>
      </c>
      <c r="B439" s="448" t="str">
        <f t="shared" si="238"/>
        <v>Dec 2015</v>
      </c>
      <c r="C439" s="448" t="s">
        <v>205</v>
      </c>
      <c r="D439" s="449" t="str">
        <f t="shared" si="239"/>
        <v>TODP</v>
      </c>
      <c r="E439" s="449" t="str">
        <f t="shared" si="240"/>
        <v>KUCIE571</v>
      </c>
      <c r="F439" s="450">
        <f t="shared" si="241"/>
        <v>202</v>
      </c>
      <c r="G439" s="450">
        <v>0</v>
      </c>
      <c r="H439" s="450">
        <v>0</v>
      </c>
      <c r="I439" s="450">
        <v>0</v>
      </c>
      <c r="J439" s="450">
        <f t="shared" si="242"/>
        <v>106794414</v>
      </c>
      <c r="K439" s="482">
        <f t="shared" si="243"/>
        <v>254407</v>
      </c>
      <c r="L439" s="482">
        <f t="shared" si="244"/>
        <v>244745</v>
      </c>
      <c r="M439" s="482">
        <f t="shared" si="245"/>
        <v>241237</v>
      </c>
      <c r="N439" s="482">
        <f t="shared" si="246"/>
        <v>0</v>
      </c>
      <c r="O439" s="482">
        <f t="shared" si="247"/>
        <v>0</v>
      </c>
      <c r="P439" s="482">
        <f t="shared" si="248"/>
        <v>0</v>
      </c>
      <c r="Q439" s="451">
        <f t="shared" si="249"/>
        <v>300</v>
      </c>
      <c r="R439" s="452">
        <f t="shared" si="250"/>
        <v>3.7650000000000003E-2</v>
      </c>
      <c r="S439" s="452">
        <v>0</v>
      </c>
      <c r="T439" s="452">
        <v>0</v>
      </c>
      <c r="U439" s="452">
        <f t="shared" si="251"/>
        <v>2.8920000000000001E-2</v>
      </c>
      <c r="V439" s="451">
        <f t="shared" si="252"/>
        <v>1.71</v>
      </c>
      <c r="W439" s="451">
        <f t="shared" si="253"/>
        <v>2.76</v>
      </c>
      <c r="X439" s="451">
        <f t="shared" si="254"/>
        <v>4.26</v>
      </c>
      <c r="Y439" s="453">
        <f t="shared" si="255"/>
        <v>60600</v>
      </c>
      <c r="Z439" s="453">
        <f t="shared" si="256"/>
        <v>4020809.69</v>
      </c>
      <c r="AA439" s="453">
        <f t="shared" si="257"/>
        <v>435035.97</v>
      </c>
      <c r="AB439" s="453">
        <f t="shared" si="258"/>
        <v>675496.2</v>
      </c>
      <c r="AC439" s="453">
        <f t="shared" si="259"/>
        <v>1027669.62</v>
      </c>
      <c r="AD439" s="453">
        <f t="shared" si="260"/>
        <v>2138201.79</v>
      </c>
      <c r="AE439" s="493">
        <f t="shared" si="261"/>
        <v>6219611.4800000004</v>
      </c>
      <c r="AF439" s="453">
        <f t="shared" si="262"/>
        <v>6219612</v>
      </c>
      <c r="AG439" s="494">
        <f t="shared" si="263"/>
        <v>1.0000000836065084</v>
      </c>
      <c r="AH439" s="454">
        <f t="shared" si="264"/>
        <v>251539</v>
      </c>
      <c r="AI439" s="454">
        <f t="shared" si="265"/>
        <v>168608</v>
      </c>
      <c r="AJ439" s="454">
        <f t="shared" si="266"/>
        <v>539635</v>
      </c>
      <c r="AK439" s="454">
        <f t="shared" si="267"/>
        <v>0</v>
      </c>
      <c r="AL439" s="454">
        <f t="shared" si="268"/>
        <v>0</v>
      </c>
      <c r="AM439" s="454">
        <f t="shared" si="269"/>
        <v>7179394</v>
      </c>
      <c r="AN439" s="491">
        <f t="shared" si="270"/>
        <v>7179393.4800000004</v>
      </c>
      <c r="AO439" s="487">
        <f t="shared" si="271"/>
        <v>0.51999999955296516</v>
      </c>
      <c r="AP439" s="495">
        <f t="shared" si="272"/>
        <v>3088494.45</v>
      </c>
      <c r="AQ439" s="496">
        <f t="shared" si="273"/>
        <v>932315.23999999976</v>
      </c>
      <c r="AV439" s="459">
        <f>IF(BA439&gt;BA438,AV438,IF(AV438&lt;MiscData!$F$1,EOMONTH(AV438,1),EOMONTH(AV438,-11)))</f>
        <v>42369</v>
      </c>
      <c r="AW439" s="448" t="str">
        <f t="shared" si="274"/>
        <v>20140101KUCIE571</v>
      </c>
      <c r="AX439" s="457" t="str">
        <f t="shared" si="275"/>
        <v>20140101TODP</v>
      </c>
      <c r="AY439" s="439">
        <f>IF(AV439&lt;=MiscData!$B$23,MiscData!$C$23,IF(AV439&lt;=MiscData!$B$24,MiscData!$C$24,MiscData!$C$25))</f>
        <v>20140101</v>
      </c>
      <c r="AZ439" s="439" t="str">
        <f>VLOOKUP(BA439,MiscData!$V$4:$W$42,2,FALSE)</f>
        <v>KUCIE571</v>
      </c>
      <c r="BA439" s="439">
        <f>IF(BA438=MiscData!$V$42,1,BA438+1)</f>
        <v>7</v>
      </c>
      <c r="BB439" s="439" t="str">
        <f>VLOOKUP(AZ439,MiscData!$W$4:$Y$42,3,FALSE)</f>
        <v>TODP</v>
      </c>
    </row>
    <row r="440" spans="1:54" hidden="1">
      <c r="A440" s="499">
        <f t="shared" si="279"/>
        <v>364</v>
      </c>
      <c r="B440" s="499" t="str">
        <f t="shared" si="238"/>
        <v>Dec 2015</v>
      </c>
      <c r="C440" s="499" t="s">
        <v>204</v>
      </c>
      <c r="D440" s="500" t="str">
        <f t="shared" si="239"/>
        <v>TODS</v>
      </c>
      <c r="E440" s="500" t="str">
        <f t="shared" si="240"/>
        <v>KUCIE572</v>
      </c>
      <c r="F440" s="501">
        <f t="shared" si="241"/>
        <v>466</v>
      </c>
      <c r="G440" s="501">
        <v>0</v>
      </c>
      <c r="H440" s="501">
        <v>0</v>
      </c>
      <c r="I440" s="501">
        <v>0</v>
      </c>
      <c r="J440" s="501">
        <f t="shared" si="242"/>
        <v>138941021</v>
      </c>
      <c r="K440" s="502">
        <f t="shared" si="243"/>
        <v>325202</v>
      </c>
      <c r="L440" s="502">
        <f t="shared" si="244"/>
        <v>296195</v>
      </c>
      <c r="M440" s="502">
        <f t="shared" si="245"/>
        <v>289560</v>
      </c>
      <c r="N440" s="502">
        <f t="shared" si="246"/>
        <v>0</v>
      </c>
      <c r="O440" s="502">
        <f t="shared" si="247"/>
        <v>0</v>
      </c>
      <c r="P440" s="502">
        <f t="shared" si="248"/>
        <v>0</v>
      </c>
      <c r="Q440" s="503">
        <f t="shared" si="249"/>
        <v>200</v>
      </c>
      <c r="R440" s="504">
        <f t="shared" si="250"/>
        <v>3.773E-2</v>
      </c>
      <c r="S440" s="504">
        <v>0</v>
      </c>
      <c r="T440" s="504">
        <v>0</v>
      </c>
      <c r="U440" s="504">
        <f t="shared" si="251"/>
        <v>2.8920000000000001E-2</v>
      </c>
      <c r="V440" s="503">
        <f t="shared" si="252"/>
        <v>3.62</v>
      </c>
      <c r="W440" s="503">
        <f t="shared" si="253"/>
        <v>2.95</v>
      </c>
      <c r="X440" s="503">
        <f t="shared" si="254"/>
        <v>4.55</v>
      </c>
      <c r="Y440" s="453">
        <f t="shared" si="255"/>
        <v>93200</v>
      </c>
      <c r="Z440" s="453">
        <f t="shared" si="256"/>
        <v>5242244.72</v>
      </c>
      <c r="AA440" s="453">
        <f t="shared" si="257"/>
        <v>1177231.24</v>
      </c>
      <c r="AB440" s="453">
        <f t="shared" si="258"/>
        <v>873775.25</v>
      </c>
      <c r="AC440" s="453">
        <f t="shared" si="259"/>
        <v>1317498</v>
      </c>
      <c r="AD440" s="493">
        <f t="shared" si="260"/>
        <v>3368504.49</v>
      </c>
      <c r="AE440" s="493">
        <f t="shared" si="261"/>
        <v>8703949.2100000009</v>
      </c>
      <c r="AF440" s="493">
        <f t="shared" si="262"/>
        <v>8703948</v>
      </c>
      <c r="AG440" s="494">
        <f t="shared" si="263"/>
        <v>0.99999986098264459</v>
      </c>
      <c r="AH440" s="505">
        <f t="shared" si="264"/>
        <v>327256</v>
      </c>
      <c r="AI440" s="505">
        <f t="shared" si="265"/>
        <v>219361</v>
      </c>
      <c r="AJ440" s="505">
        <f t="shared" si="266"/>
        <v>702073</v>
      </c>
      <c r="AK440" s="505">
        <f t="shared" si="267"/>
        <v>0</v>
      </c>
      <c r="AL440" s="505">
        <f t="shared" si="268"/>
        <v>0</v>
      </c>
      <c r="AM440" s="505">
        <f t="shared" si="269"/>
        <v>9952638</v>
      </c>
      <c r="AN440" s="506">
        <f t="shared" si="270"/>
        <v>9952639.2100000009</v>
      </c>
      <c r="AO440" s="507">
        <f t="shared" si="271"/>
        <v>-1.2100000008940697</v>
      </c>
      <c r="AP440" s="508">
        <f t="shared" si="272"/>
        <v>4018174.33</v>
      </c>
      <c r="AQ440" s="510">
        <f t="shared" si="273"/>
        <v>1224070.3899999997</v>
      </c>
      <c r="AV440" s="459">
        <f>IF(BA440&gt;BA439,AV439,IF(AV439&lt;MiscData!$F$1,EOMONTH(AV439,1),EOMONTH(AV439,-11)))</f>
        <v>42369</v>
      </c>
      <c r="AW440" s="448" t="str">
        <f t="shared" si="274"/>
        <v>20140101KUCIE572</v>
      </c>
      <c r="AX440" s="457" t="str">
        <f t="shared" si="275"/>
        <v>20140101TODS</v>
      </c>
      <c r="AY440" s="439">
        <f>IF(AV440&lt;=MiscData!$B$23,MiscData!$C$23,IF(AV440&lt;=MiscData!$B$24,MiscData!$C$24,MiscData!$C$25))</f>
        <v>20140101</v>
      </c>
      <c r="AZ440" s="439" t="str">
        <f>VLOOKUP(BA440,MiscData!$V$4:$W$42,2,FALSE)</f>
        <v>KUCIE572</v>
      </c>
      <c r="BA440" s="439">
        <f>IF(BA439=MiscData!$V$42,1,BA439+1)</f>
        <v>8</v>
      </c>
      <c r="BB440" s="439" t="str">
        <f>VLOOKUP(AZ440,MiscData!$W$4:$Y$42,3,FALSE)</f>
        <v>TODS</v>
      </c>
    </row>
    <row r="441" spans="1:54" hidden="1">
      <c r="A441" s="448">
        <f t="shared" si="279"/>
        <v>365</v>
      </c>
      <c r="B441" s="448" t="str">
        <f t="shared" si="238"/>
        <v>Dec 2015</v>
      </c>
      <c r="C441" s="448" t="s">
        <v>24</v>
      </c>
      <c r="D441" s="449" t="str">
        <f t="shared" si="239"/>
        <v>PSS</v>
      </c>
      <c r="E441" s="449" t="str">
        <f t="shared" si="240"/>
        <v>KUCIE717</v>
      </c>
      <c r="F441" s="450">
        <f t="shared" si="241"/>
        <v>0</v>
      </c>
      <c r="G441" s="450">
        <v>0</v>
      </c>
      <c r="H441" s="450">
        <v>0</v>
      </c>
      <c r="I441" s="450">
        <v>0</v>
      </c>
      <c r="J441" s="450">
        <f t="shared" si="242"/>
        <v>0</v>
      </c>
      <c r="K441" s="482">
        <f t="shared" si="243"/>
        <v>0</v>
      </c>
      <c r="L441" s="482">
        <f t="shared" si="244"/>
        <v>0</v>
      </c>
      <c r="M441" s="482">
        <f t="shared" si="245"/>
        <v>0</v>
      </c>
      <c r="N441" s="482">
        <f t="shared" si="246"/>
        <v>0</v>
      </c>
      <c r="O441" s="482">
        <f t="shared" si="247"/>
        <v>0</v>
      </c>
      <c r="P441" s="482">
        <f t="shared" si="248"/>
        <v>0</v>
      </c>
      <c r="Q441" s="451">
        <f t="shared" si="249"/>
        <v>90</v>
      </c>
      <c r="R441" s="452">
        <f t="shared" si="250"/>
        <v>3.5640000000000005E-2</v>
      </c>
      <c r="S441" s="452">
        <v>0</v>
      </c>
      <c r="T441" s="452">
        <v>0</v>
      </c>
      <c r="U441" s="452">
        <f t="shared" si="251"/>
        <v>2.8920000000000001E-2</v>
      </c>
      <c r="V441" s="451">
        <f t="shared" si="252"/>
        <v>0</v>
      </c>
      <c r="W441" s="451">
        <f t="shared" si="253"/>
        <v>13.2</v>
      </c>
      <c r="X441" s="451">
        <f t="shared" si="254"/>
        <v>15.3</v>
      </c>
      <c r="Y441" s="453">
        <f t="shared" si="255"/>
        <v>0</v>
      </c>
      <c r="Z441" s="453">
        <f t="shared" si="256"/>
        <v>0</v>
      </c>
      <c r="AA441" s="453">
        <f t="shared" si="257"/>
        <v>0</v>
      </c>
      <c r="AB441" s="453">
        <f t="shared" si="258"/>
        <v>0</v>
      </c>
      <c r="AC441" s="453">
        <f t="shared" si="259"/>
        <v>0</v>
      </c>
      <c r="AD441" s="453">
        <f t="shared" si="260"/>
        <v>0</v>
      </c>
      <c r="AE441" s="493">
        <f t="shared" si="261"/>
        <v>0</v>
      </c>
      <c r="AF441" s="453">
        <f t="shared" si="262"/>
        <v>0</v>
      </c>
      <c r="AG441" s="494">
        <f t="shared" si="263"/>
        <v>1</v>
      </c>
      <c r="AH441" s="454">
        <f t="shared" si="264"/>
        <v>0</v>
      </c>
      <c r="AI441" s="454">
        <f t="shared" si="265"/>
        <v>0</v>
      </c>
      <c r="AJ441" s="454">
        <f t="shared" si="266"/>
        <v>0</v>
      </c>
      <c r="AK441" s="454">
        <f t="shared" si="267"/>
        <v>0</v>
      </c>
      <c r="AL441" s="454">
        <f t="shared" si="268"/>
        <v>0</v>
      </c>
      <c r="AM441" s="454">
        <f t="shared" si="269"/>
        <v>0</v>
      </c>
      <c r="AN441" s="491">
        <f t="shared" si="270"/>
        <v>0</v>
      </c>
      <c r="AO441" s="487">
        <f t="shared" si="271"/>
        <v>0</v>
      </c>
      <c r="AP441" s="495">
        <f t="shared" si="272"/>
        <v>0</v>
      </c>
      <c r="AQ441" s="496">
        <f t="shared" si="273"/>
        <v>0</v>
      </c>
      <c r="AV441" s="459">
        <f>IF(BA441&gt;BA440,AV440,IF(AV440&lt;MiscData!$F$1,EOMONTH(AV440,1),EOMONTH(AV440,-11)))</f>
        <v>42369</v>
      </c>
      <c r="AW441" s="448" t="str">
        <f t="shared" si="274"/>
        <v>20140101KUCIE717</v>
      </c>
      <c r="AX441" s="457" t="str">
        <f t="shared" si="275"/>
        <v>20140101PSS</v>
      </c>
      <c r="AY441" s="439">
        <f>IF(AV441&lt;=MiscData!$B$23,MiscData!$C$23,IF(AV441&lt;=MiscData!$B$24,MiscData!$C$24,MiscData!$C$25))</f>
        <v>20140101</v>
      </c>
      <c r="AZ441" s="439" t="str">
        <f>VLOOKUP(BA441,MiscData!$V$4:$W$42,2,FALSE)</f>
        <v>KUCIE717</v>
      </c>
      <c r="BA441" s="439">
        <f>IF(BA440=MiscData!$V$42,1,BA440+1)</f>
        <v>9</v>
      </c>
      <c r="BB441" s="439" t="str">
        <f>VLOOKUP(AZ441,MiscData!$W$4:$Y$42,3,FALSE)</f>
        <v>PSS</v>
      </c>
    </row>
    <row r="442" spans="1:54">
      <c r="A442" s="499">
        <f t="shared" si="279"/>
        <v>366</v>
      </c>
      <c r="B442" s="448" t="str">
        <f t="shared" si="238"/>
        <v>Dec 2015</v>
      </c>
      <c r="C442" s="448" t="s">
        <v>208</v>
      </c>
      <c r="D442" s="449" t="str">
        <f t="shared" si="239"/>
        <v>GS</v>
      </c>
      <c r="E442" s="449" t="str">
        <f t="shared" si="240"/>
        <v>KUCME110</v>
      </c>
      <c r="F442" s="450">
        <f t="shared" si="241"/>
        <v>63529</v>
      </c>
      <c r="G442" s="450">
        <v>0</v>
      </c>
      <c r="H442" s="450">
        <v>0</v>
      </c>
      <c r="I442" s="450">
        <v>0</v>
      </c>
      <c r="J442" s="450">
        <f t="shared" si="242"/>
        <v>68970770</v>
      </c>
      <c r="K442" s="482">
        <f t="shared" si="243"/>
        <v>0</v>
      </c>
      <c r="L442" s="482">
        <f t="shared" si="244"/>
        <v>0</v>
      </c>
      <c r="M442" s="482">
        <f t="shared" si="245"/>
        <v>0</v>
      </c>
      <c r="N442" s="482">
        <f t="shared" si="246"/>
        <v>0</v>
      </c>
      <c r="O442" s="482">
        <f t="shared" si="247"/>
        <v>0</v>
      </c>
      <c r="P442" s="482">
        <f t="shared" si="248"/>
        <v>0</v>
      </c>
      <c r="Q442" s="451">
        <f t="shared" si="249"/>
        <v>20</v>
      </c>
      <c r="R442" s="452">
        <f t="shared" si="250"/>
        <v>9.2249999999999999E-2</v>
      </c>
      <c r="S442" s="452">
        <v>0</v>
      </c>
      <c r="T442" s="452">
        <v>0</v>
      </c>
      <c r="U442" s="452">
        <f t="shared" si="251"/>
        <v>2.8920000000000001E-2</v>
      </c>
      <c r="V442" s="451">
        <f t="shared" si="252"/>
        <v>0</v>
      </c>
      <c r="W442" s="451">
        <f t="shared" si="253"/>
        <v>0</v>
      </c>
      <c r="X442" s="451">
        <f t="shared" si="254"/>
        <v>0</v>
      </c>
      <c r="Y442" s="453">
        <f t="shared" si="255"/>
        <v>1270580</v>
      </c>
      <c r="Z442" s="453">
        <f t="shared" si="256"/>
        <v>6362553.5300000003</v>
      </c>
      <c r="AA442" s="453">
        <f t="shared" si="257"/>
        <v>0</v>
      </c>
      <c r="AB442" s="453">
        <f t="shared" si="258"/>
        <v>0</v>
      </c>
      <c r="AC442" s="453">
        <f t="shared" si="259"/>
        <v>0</v>
      </c>
      <c r="AD442" s="453">
        <f t="shared" si="260"/>
        <v>0</v>
      </c>
      <c r="AE442" s="493">
        <f t="shared" si="261"/>
        <v>7633133.5300000003</v>
      </c>
      <c r="AF442" s="453">
        <f t="shared" si="262"/>
        <v>7633140</v>
      </c>
      <c r="AG442" s="494">
        <f t="shared" si="263"/>
        <v>1.0000008476204398</v>
      </c>
      <c r="AH442" s="454">
        <f t="shared" si="264"/>
        <v>162451</v>
      </c>
      <c r="AI442" s="454">
        <f t="shared" si="265"/>
        <v>108892</v>
      </c>
      <c r="AJ442" s="454">
        <f t="shared" si="266"/>
        <v>348511</v>
      </c>
      <c r="AK442" s="454">
        <f t="shared" si="267"/>
        <v>0</v>
      </c>
      <c r="AL442" s="454">
        <f t="shared" si="268"/>
        <v>0</v>
      </c>
      <c r="AM442" s="454">
        <f t="shared" si="269"/>
        <v>8252994</v>
      </c>
      <c r="AN442" s="491">
        <f t="shared" si="270"/>
        <v>8252987.5300000003</v>
      </c>
      <c r="AO442" s="487">
        <f t="shared" si="271"/>
        <v>6.4699999997392297</v>
      </c>
      <c r="AP442" s="495">
        <f t="shared" si="272"/>
        <v>1994634.67</v>
      </c>
      <c r="AQ442" s="496">
        <f t="shared" si="273"/>
        <v>4367918.8600000003</v>
      </c>
      <c r="AV442" s="459">
        <f>IF(BA442&gt;BA441,AV441,IF(AV441&lt;MiscData!$F$1,EOMONTH(AV441,1),EOMONTH(AV441,-11)))</f>
        <v>42369</v>
      </c>
      <c r="AW442" s="448" t="str">
        <f t="shared" si="274"/>
        <v>20140101KUCME110</v>
      </c>
      <c r="AX442" s="457" t="str">
        <f t="shared" si="275"/>
        <v>20140101GS</v>
      </c>
      <c r="AY442" s="439">
        <f>IF(AV442&lt;=MiscData!$B$23,MiscData!$C$23,IF(AV442&lt;=MiscData!$B$24,MiscData!$C$24,MiscData!$C$25))</f>
        <v>20140101</v>
      </c>
      <c r="AZ442" s="439" t="str">
        <f>VLOOKUP(BA442,MiscData!$V$4:$W$42,2,FALSE)</f>
        <v>KUCME110</v>
      </c>
      <c r="BA442" s="439">
        <f>IF(BA441=MiscData!$V$42,1,BA441+1)</f>
        <v>10</v>
      </c>
      <c r="BB442" s="511" t="str">
        <f>VLOOKUP(AZ442,MiscData!$W$4:$Y$42,3,FALSE)</f>
        <v>GS</v>
      </c>
    </row>
    <row r="443" spans="1:54">
      <c r="A443" s="499">
        <f t="shared" si="279"/>
        <v>367</v>
      </c>
      <c r="B443" s="448" t="str">
        <f t="shared" si="238"/>
        <v>Dec 2015</v>
      </c>
      <c r="C443" s="448" t="s">
        <v>208</v>
      </c>
      <c r="D443" s="449" t="str">
        <f t="shared" si="239"/>
        <v>GS</v>
      </c>
      <c r="E443" s="449" t="str">
        <f t="shared" si="240"/>
        <v>KUCME112</v>
      </c>
      <c r="F443" s="450">
        <f t="shared" si="241"/>
        <v>0</v>
      </c>
      <c r="G443" s="450">
        <v>0</v>
      </c>
      <c r="H443" s="450">
        <v>0</v>
      </c>
      <c r="I443" s="450">
        <v>0</v>
      </c>
      <c r="J443" s="450">
        <f t="shared" si="242"/>
        <v>0</v>
      </c>
      <c r="K443" s="482">
        <f t="shared" si="243"/>
        <v>0</v>
      </c>
      <c r="L443" s="482">
        <f t="shared" si="244"/>
        <v>0</v>
      </c>
      <c r="M443" s="482">
        <f t="shared" si="245"/>
        <v>0</v>
      </c>
      <c r="N443" s="482">
        <f t="shared" si="246"/>
        <v>0</v>
      </c>
      <c r="O443" s="482">
        <f t="shared" si="247"/>
        <v>0</v>
      </c>
      <c r="P443" s="482">
        <f t="shared" si="248"/>
        <v>0</v>
      </c>
      <c r="Q443" s="451">
        <f t="shared" si="249"/>
        <v>20</v>
      </c>
      <c r="R443" s="452">
        <f t="shared" si="250"/>
        <v>9.2249999999999999E-2</v>
      </c>
      <c r="S443" s="452">
        <v>0</v>
      </c>
      <c r="T443" s="452">
        <v>0</v>
      </c>
      <c r="U443" s="452">
        <f t="shared" si="251"/>
        <v>2.8920000000000001E-2</v>
      </c>
      <c r="V443" s="451">
        <f t="shared" si="252"/>
        <v>0</v>
      </c>
      <c r="W443" s="451">
        <f t="shared" si="253"/>
        <v>0</v>
      </c>
      <c r="X443" s="451">
        <f t="shared" si="254"/>
        <v>0</v>
      </c>
      <c r="Y443" s="453">
        <f t="shared" si="255"/>
        <v>0</v>
      </c>
      <c r="Z443" s="453">
        <f t="shared" si="256"/>
        <v>0</v>
      </c>
      <c r="AA443" s="453">
        <f t="shared" si="257"/>
        <v>0</v>
      </c>
      <c r="AB443" s="453">
        <f t="shared" si="258"/>
        <v>0</v>
      </c>
      <c r="AC443" s="453">
        <f t="shared" si="259"/>
        <v>0</v>
      </c>
      <c r="AD443" s="453">
        <f t="shared" si="260"/>
        <v>0</v>
      </c>
      <c r="AE443" s="493">
        <f t="shared" si="261"/>
        <v>0</v>
      </c>
      <c r="AF443" s="453">
        <f t="shared" si="262"/>
        <v>0</v>
      </c>
      <c r="AG443" s="494">
        <f t="shared" si="263"/>
        <v>1</v>
      </c>
      <c r="AH443" s="454">
        <f t="shared" si="264"/>
        <v>0</v>
      </c>
      <c r="AI443" s="454">
        <f t="shared" si="265"/>
        <v>0</v>
      </c>
      <c r="AJ443" s="454">
        <f t="shared" si="266"/>
        <v>0</v>
      </c>
      <c r="AK443" s="454">
        <f t="shared" si="267"/>
        <v>0</v>
      </c>
      <c r="AL443" s="454">
        <f t="shared" si="268"/>
        <v>0</v>
      </c>
      <c r="AM443" s="454">
        <f t="shared" si="269"/>
        <v>0</v>
      </c>
      <c r="AN443" s="491">
        <f t="shared" si="270"/>
        <v>0</v>
      </c>
      <c r="AO443" s="487">
        <f t="shared" si="271"/>
        <v>0</v>
      </c>
      <c r="AP443" s="495">
        <f t="shared" si="272"/>
        <v>0</v>
      </c>
      <c r="AQ443" s="496">
        <f t="shared" si="273"/>
        <v>0</v>
      </c>
      <c r="AV443" s="459">
        <f>IF(BA443&gt;BA442,AV442,IF(AV442&lt;MiscData!$F$1,EOMONTH(AV442,1),EOMONTH(AV442,-11)))</f>
        <v>42369</v>
      </c>
      <c r="AW443" s="448" t="str">
        <f t="shared" si="274"/>
        <v>20140101KUCME112</v>
      </c>
      <c r="AX443" s="457" t="str">
        <f t="shared" si="275"/>
        <v>20140101GS</v>
      </c>
      <c r="AY443" s="439">
        <f>IF(AV443&lt;=MiscData!$B$23,MiscData!$C$23,IF(AV443&lt;=MiscData!$B$24,MiscData!$C$24,MiscData!$C$25))</f>
        <v>20140101</v>
      </c>
      <c r="AZ443" s="439" t="str">
        <f>VLOOKUP(BA443,MiscData!$V$4:$W$42,2,FALSE)</f>
        <v>KUCME112</v>
      </c>
      <c r="BA443" s="439">
        <f>IF(BA442=MiscData!$V$42,1,BA442+1)</f>
        <v>11</v>
      </c>
      <c r="BB443" s="511" t="str">
        <f>VLOOKUP(AZ443,MiscData!$W$4:$Y$42,3,FALSE)</f>
        <v>GS</v>
      </c>
    </row>
    <row r="444" spans="1:54">
      <c r="A444" s="448">
        <f t="shared" si="279"/>
        <v>368</v>
      </c>
      <c r="B444" s="448" t="str">
        <f t="shared" si="238"/>
        <v>Dec 2015</v>
      </c>
      <c r="C444" s="448" t="s">
        <v>17</v>
      </c>
      <c r="D444" s="449" t="str">
        <f t="shared" si="239"/>
        <v>GS3</v>
      </c>
      <c r="E444" s="449" t="str">
        <f t="shared" si="240"/>
        <v>KUCME113</v>
      </c>
      <c r="F444" s="450">
        <f t="shared" si="241"/>
        <v>18571</v>
      </c>
      <c r="G444" s="450">
        <v>0</v>
      </c>
      <c r="H444" s="450">
        <v>0</v>
      </c>
      <c r="I444" s="450">
        <v>0</v>
      </c>
      <c r="J444" s="450">
        <f t="shared" si="242"/>
        <v>101080235</v>
      </c>
      <c r="K444" s="482">
        <f t="shared" si="243"/>
        <v>385178</v>
      </c>
      <c r="L444" s="482">
        <f t="shared" si="244"/>
        <v>0</v>
      </c>
      <c r="M444" s="482">
        <f t="shared" si="245"/>
        <v>0</v>
      </c>
      <c r="N444" s="482">
        <f t="shared" si="246"/>
        <v>0</v>
      </c>
      <c r="O444" s="482">
        <f t="shared" si="247"/>
        <v>0</v>
      </c>
      <c r="P444" s="482">
        <f t="shared" si="248"/>
        <v>0</v>
      </c>
      <c r="Q444" s="451">
        <f t="shared" si="249"/>
        <v>35</v>
      </c>
      <c r="R444" s="452">
        <f t="shared" si="250"/>
        <v>9.2249999999999999E-2</v>
      </c>
      <c r="S444" s="452">
        <v>0</v>
      </c>
      <c r="T444" s="452">
        <v>0</v>
      </c>
      <c r="U444" s="452">
        <f t="shared" si="251"/>
        <v>2.8920000000000001E-2</v>
      </c>
      <c r="V444" s="451">
        <f t="shared" si="252"/>
        <v>0</v>
      </c>
      <c r="W444" s="451">
        <f t="shared" si="253"/>
        <v>0</v>
      </c>
      <c r="X444" s="451">
        <f t="shared" si="254"/>
        <v>0</v>
      </c>
      <c r="Y444" s="453">
        <f t="shared" si="255"/>
        <v>649985</v>
      </c>
      <c r="Z444" s="453">
        <f t="shared" si="256"/>
        <v>9324651.6799999997</v>
      </c>
      <c r="AA444" s="453">
        <f t="shared" si="257"/>
        <v>0</v>
      </c>
      <c r="AB444" s="453">
        <f t="shared" si="258"/>
        <v>0</v>
      </c>
      <c r="AC444" s="453">
        <f t="shared" si="259"/>
        <v>0</v>
      </c>
      <c r="AD444" s="453">
        <f t="shared" si="260"/>
        <v>0</v>
      </c>
      <c r="AE444" s="493">
        <f t="shared" si="261"/>
        <v>9974636.6799999997</v>
      </c>
      <c r="AF444" s="453">
        <f t="shared" si="262"/>
        <v>9974625</v>
      </c>
      <c r="AG444" s="494">
        <f t="shared" si="263"/>
        <v>0.99999882903003146</v>
      </c>
      <c r="AH444" s="454">
        <f t="shared" si="264"/>
        <v>238080</v>
      </c>
      <c r="AI444" s="454">
        <f t="shared" si="265"/>
        <v>159586</v>
      </c>
      <c r="AJ444" s="454">
        <f t="shared" si="266"/>
        <v>510761</v>
      </c>
      <c r="AK444" s="454">
        <f t="shared" si="267"/>
        <v>0</v>
      </c>
      <c r="AL444" s="454">
        <f t="shared" si="268"/>
        <v>0</v>
      </c>
      <c r="AM444" s="454">
        <f t="shared" si="269"/>
        <v>10883052</v>
      </c>
      <c r="AN444" s="491">
        <f t="shared" si="270"/>
        <v>10883063.68</v>
      </c>
      <c r="AO444" s="487">
        <f t="shared" si="271"/>
        <v>-11.679999999701977</v>
      </c>
      <c r="AP444" s="495">
        <f t="shared" si="272"/>
        <v>2923240.4</v>
      </c>
      <c r="AQ444" s="496">
        <f t="shared" si="273"/>
        <v>6401411.2799999993</v>
      </c>
      <c r="AV444" s="459">
        <f>IF(BA444&gt;BA443,AV443,IF(AV443&lt;MiscData!$F$1,EOMONTH(AV443,1),EOMONTH(AV443,-11)))</f>
        <v>42369</v>
      </c>
      <c r="AW444" s="448" t="str">
        <f t="shared" si="274"/>
        <v>20140101KUCME113</v>
      </c>
      <c r="AX444" s="457" t="str">
        <f t="shared" si="275"/>
        <v>20140101GS3</v>
      </c>
      <c r="AY444" s="439">
        <f>IF(AV444&lt;=MiscData!$B$23,MiscData!$C$23,IF(AV444&lt;=MiscData!$B$24,MiscData!$C$24,MiscData!$C$25))</f>
        <v>20140101</v>
      </c>
      <c r="AZ444" s="439" t="str">
        <f>VLOOKUP(BA444,MiscData!$V$4:$W$42,2,FALSE)</f>
        <v>KUCME113</v>
      </c>
      <c r="BA444" s="439">
        <f>IF(BA443=MiscData!$V$42,1,BA443+1)</f>
        <v>12</v>
      </c>
      <c r="BB444" s="439" t="str">
        <f>VLOOKUP(AZ444,MiscData!$W$4:$Y$42,3,FALSE)</f>
        <v>GS3</v>
      </c>
    </row>
    <row r="445" spans="1:54" hidden="1">
      <c r="A445" s="448">
        <f t="shared" si="279"/>
        <v>369</v>
      </c>
      <c r="B445" s="448" t="str">
        <f t="shared" si="238"/>
        <v>Dec 2015</v>
      </c>
      <c r="C445" s="448" t="s">
        <v>203</v>
      </c>
      <c r="D445" s="449" t="str">
        <f t="shared" si="239"/>
        <v>AES</v>
      </c>
      <c r="E445" s="449" t="str">
        <f t="shared" si="240"/>
        <v>KUCME220</v>
      </c>
      <c r="F445" s="450">
        <f t="shared" si="241"/>
        <v>373</v>
      </c>
      <c r="G445" s="450">
        <v>0</v>
      </c>
      <c r="H445" s="450">
        <v>0</v>
      </c>
      <c r="I445" s="450">
        <v>0</v>
      </c>
      <c r="J445" s="450">
        <f t="shared" si="242"/>
        <v>744788</v>
      </c>
      <c r="K445" s="482">
        <f t="shared" si="243"/>
        <v>0</v>
      </c>
      <c r="L445" s="482">
        <f t="shared" si="244"/>
        <v>0</v>
      </c>
      <c r="M445" s="482">
        <f t="shared" si="245"/>
        <v>0</v>
      </c>
      <c r="N445" s="482">
        <f t="shared" si="246"/>
        <v>0</v>
      </c>
      <c r="O445" s="482">
        <f t="shared" si="247"/>
        <v>0</v>
      </c>
      <c r="P445" s="482">
        <f t="shared" si="248"/>
        <v>0</v>
      </c>
      <c r="Q445" s="451">
        <f t="shared" si="249"/>
        <v>20</v>
      </c>
      <c r="R445" s="452">
        <f t="shared" si="250"/>
        <v>7.4399999999999994E-2</v>
      </c>
      <c r="S445" s="452">
        <v>0</v>
      </c>
      <c r="T445" s="452">
        <v>0</v>
      </c>
      <c r="U445" s="452">
        <f t="shared" si="251"/>
        <v>2.8920000000000001E-2</v>
      </c>
      <c r="V445" s="451">
        <f t="shared" si="252"/>
        <v>0</v>
      </c>
      <c r="W445" s="451">
        <f t="shared" si="253"/>
        <v>0</v>
      </c>
      <c r="X445" s="451">
        <f t="shared" si="254"/>
        <v>0</v>
      </c>
      <c r="Y445" s="453">
        <f t="shared" si="255"/>
        <v>7460</v>
      </c>
      <c r="Z445" s="453">
        <f t="shared" si="256"/>
        <v>55412.23</v>
      </c>
      <c r="AA445" s="453">
        <f t="shared" si="257"/>
        <v>0</v>
      </c>
      <c r="AB445" s="453">
        <f t="shared" si="258"/>
        <v>0</v>
      </c>
      <c r="AC445" s="453">
        <f t="shared" si="259"/>
        <v>0</v>
      </c>
      <c r="AD445" s="453">
        <f t="shared" si="260"/>
        <v>0</v>
      </c>
      <c r="AE445" s="493">
        <f t="shared" si="261"/>
        <v>62872.23</v>
      </c>
      <c r="AF445" s="453">
        <f t="shared" si="262"/>
        <v>62873</v>
      </c>
      <c r="AG445" s="494">
        <f t="shared" si="263"/>
        <v>1.0000122470604271</v>
      </c>
      <c r="AH445" s="454">
        <f t="shared" si="264"/>
        <v>1754</v>
      </c>
      <c r="AI445" s="454">
        <f t="shared" si="265"/>
        <v>1176</v>
      </c>
      <c r="AJ445" s="454">
        <f t="shared" si="266"/>
        <v>3763</v>
      </c>
      <c r="AK445" s="454">
        <f t="shared" si="267"/>
        <v>0</v>
      </c>
      <c r="AL445" s="454">
        <f t="shared" si="268"/>
        <v>0</v>
      </c>
      <c r="AM445" s="454">
        <f t="shared" si="269"/>
        <v>69566</v>
      </c>
      <c r="AN445" s="491">
        <f t="shared" si="270"/>
        <v>69565.23000000001</v>
      </c>
      <c r="AO445" s="487">
        <f t="shared" si="271"/>
        <v>0.76999999998952262</v>
      </c>
      <c r="AP445" s="495">
        <f t="shared" si="272"/>
        <v>21539.27</v>
      </c>
      <c r="AQ445" s="496">
        <f t="shared" si="273"/>
        <v>33872.960000000006</v>
      </c>
      <c r="AV445" s="459">
        <f>IF(BA445&gt;BA444,AV444,IF(AV444&lt;MiscData!$F$1,EOMONTH(AV444,1),EOMONTH(AV444,-11)))</f>
        <v>42369</v>
      </c>
      <c r="AW445" s="448" t="str">
        <f t="shared" si="274"/>
        <v>20140101KUCME220</v>
      </c>
      <c r="AX445" s="457" t="str">
        <f t="shared" si="275"/>
        <v>20140101AES</v>
      </c>
      <c r="AY445" s="439">
        <f>IF(AV445&lt;=MiscData!$B$23,MiscData!$C$23,IF(AV445&lt;=MiscData!$B$24,MiscData!$C$24,MiscData!$C$25))</f>
        <v>20140101</v>
      </c>
      <c r="AZ445" s="439" t="str">
        <f>VLOOKUP(BA445,MiscData!$V$4:$W$42,2,FALSE)</f>
        <v>KUCME220</v>
      </c>
      <c r="BA445" s="439">
        <f>IF(BA444=MiscData!$V$42,1,BA444+1)</f>
        <v>13</v>
      </c>
      <c r="BB445" s="439" t="str">
        <f>VLOOKUP(AZ445,MiscData!$W$4:$Y$42,3,FALSE)</f>
        <v>AES</v>
      </c>
    </row>
    <row r="446" spans="1:54" hidden="1">
      <c r="A446" s="448">
        <f t="shared" si="279"/>
        <v>370</v>
      </c>
      <c r="B446" s="448" t="str">
        <f t="shared" si="238"/>
        <v>Dec 2015</v>
      </c>
      <c r="C446" s="448" t="s">
        <v>203</v>
      </c>
      <c r="D446" s="449" t="str">
        <f t="shared" si="239"/>
        <v>AES</v>
      </c>
      <c r="E446" s="449" t="str">
        <f t="shared" si="240"/>
        <v>KUCME221</v>
      </c>
      <c r="F446" s="450">
        <f t="shared" si="241"/>
        <v>0</v>
      </c>
      <c r="G446" s="450">
        <v>0</v>
      </c>
      <c r="H446" s="450">
        <v>0</v>
      </c>
      <c r="I446" s="450">
        <v>0</v>
      </c>
      <c r="J446" s="450">
        <f t="shared" si="242"/>
        <v>0</v>
      </c>
      <c r="K446" s="482">
        <f t="shared" si="243"/>
        <v>0</v>
      </c>
      <c r="L446" s="482">
        <f t="shared" si="244"/>
        <v>0</v>
      </c>
      <c r="M446" s="482">
        <f t="shared" si="245"/>
        <v>0</v>
      </c>
      <c r="N446" s="482">
        <f t="shared" si="246"/>
        <v>0</v>
      </c>
      <c r="O446" s="482">
        <f t="shared" si="247"/>
        <v>0</v>
      </c>
      <c r="P446" s="482">
        <f t="shared" si="248"/>
        <v>0</v>
      </c>
      <c r="Q446" s="451">
        <f t="shared" si="249"/>
        <v>20</v>
      </c>
      <c r="R446" s="452">
        <f t="shared" si="250"/>
        <v>7.4399999999999994E-2</v>
      </c>
      <c r="S446" s="452">
        <v>0</v>
      </c>
      <c r="T446" s="452">
        <v>0</v>
      </c>
      <c r="U446" s="452">
        <f t="shared" si="251"/>
        <v>2.8920000000000001E-2</v>
      </c>
      <c r="V446" s="451">
        <f t="shared" si="252"/>
        <v>0</v>
      </c>
      <c r="W446" s="451">
        <f t="shared" si="253"/>
        <v>0</v>
      </c>
      <c r="X446" s="451">
        <f t="shared" si="254"/>
        <v>0</v>
      </c>
      <c r="Y446" s="453">
        <f t="shared" si="255"/>
        <v>0</v>
      </c>
      <c r="Z446" s="453">
        <f t="shared" si="256"/>
        <v>0</v>
      </c>
      <c r="AA446" s="453">
        <f t="shared" si="257"/>
        <v>0</v>
      </c>
      <c r="AB446" s="453">
        <f t="shared" si="258"/>
        <v>0</v>
      </c>
      <c r="AC446" s="453">
        <f t="shared" si="259"/>
        <v>0</v>
      </c>
      <c r="AD446" s="453">
        <f t="shared" si="260"/>
        <v>0</v>
      </c>
      <c r="AE446" s="493">
        <f t="shared" si="261"/>
        <v>0</v>
      </c>
      <c r="AF446" s="453">
        <f t="shared" si="262"/>
        <v>0</v>
      </c>
      <c r="AG446" s="494">
        <f t="shared" si="263"/>
        <v>1</v>
      </c>
      <c r="AH446" s="454">
        <f t="shared" si="264"/>
        <v>0</v>
      </c>
      <c r="AI446" s="454">
        <f t="shared" si="265"/>
        <v>0</v>
      </c>
      <c r="AJ446" s="454">
        <f t="shared" si="266"/>
        <v>0</v>
      </c>
      <c r="AK446" s="454">
        <f t="shared" si="267"/>
        <v>0</v>
      </c>
      <c r="AL446" s="454">
        <f t="shared" si="268"/>
        <v>0</v>
      </c>
      <c r="AM446" s="454">
        <f t="shared" si="269"/>
        <v>0</v>
      </c>
      <c r="AN446" s="491">
        <f t="shared" si="270"/>
        <v>0</v>
      </c>
      <c r="AO446" s="487">
        <f t="shared" si="271"/>
        <v>0</v>
      </c>
      <c r="AP446" s="495">
        <f t="shared" si="272"/>
        <v>0</v>
      </c>
      <c r="AQ446" s="496">
        <f t="shared" si="273"/>
        <v>0</v>
      </c>
      <c r="AV446" s="459">
        <f>IF(BA446&gt;BA445,AV445,IF(AV445&lt;MiscData!$F$1,EOMONTH(AV445,1),EOMONTH(AV445,-11)))</f>
        <v>42369</v>
      </c>
      <c r="AW446" s="448" t="str">
        <f t="shared" si="274"/>
        <v>20140101KUCME221</v>
      </c>
      <c r="AX446" s="457" t="str">
        <f t="shared" si="275"/>
        <v>20140101AES</v>
      </c>
      <c r="AY446" s="439">
        <f>IF(AV446&lt;=MiscData!$B$23,MiscData!$C$23,IF(AV446&lt;=MiscData!$B$24,MiscData!$C$24,MiscData!$C$25))</f>
        <v>20140101</v>
      </c>
      <c r="AZ446" s="439" t="str">
        <f>VLOOKUP(BA446,MiscData!$V$4:$W$42,2,FALSE)</f>
        <v>KUCME221</v>
      </c>
      <c r="BA446" s="439">
        <f>IF(BA445=MiscData!$V$42,1,BA445+1)</f>
        <v>14</v>
      </c>
      <c r="BB446" s="439" t="str">
        <f>VLOOKUP(AZ446,MiscData!$W$4:$Y$42,3,FALSE)</f>
        <v>AES</v>
      </c>
    </row>
    <row r="447" spans="1:54" hidden="1">
      <c r="A447" s="448">
        <f t="shared" si="279"/>
        <v>371</v>
      </c>
      <c r="B447" s="448" t="str">
        <f t="shared" si="238"/>
        <v>Dec 2015</v>
      </c>
      <c r="C447" s="832" t="s">
        <v>212</v>
      </c>
      <c r="D447" s="449" t="str">
        <f t="shared" si="239"/>
        <v>AES3</v>
      </c>
      <c r="E447" s="449" t="str">
        <f t="shared" si="240"/>
        <v>KUCME223</v>
      </c>
      <c r="F447" s="450">
        <f t="shared" si="241"/>
        <v>0</v>
      </c>
      <c r="G447" s="450">
        <v>0</v>
      </c>
      <c r="H447" s="450">
        <v>0</v>
      </c>
      <c r="I447" s="450">
        <v>0</v>
      </c>
      <c r="J447" s="450">
        <f t="shared" si="242"/>
        <v>0</v>
      </c>
      <c r="K447" s="482">
        <f t="shared" si="243"/>
        <v>0</v>
      </c>
      <c r="L447" s="482">
        <f t="shared" si="244"/>
        <v>0</v>
      </c>
      <c r="M447" s="482">
        <f t="shared" si="245"/>
        <v>0</v>
      </c>
      <c r="N447" s="482">
        <f t="shared" si="246"/>
        <v>0</v>
      </c>
      <c r="O447" s="482">
        <f t="shared" si="247"/>
        <v>0</v>
      </c>
      <c r="P447" s="482">
        <f t="shared" si="248"/>
        <v>0</v>
      </c>
      <c r="Q447" s="451">
        <f t="shared" si="249"/>
        <v>35</v>
      </c>
      <c r="R447" s="452">
        <f t="shared" si="250"/>
        <v>7.4399999999999994E-2</v>
      </c>
      <c r="S447" s="452">
        <v>0</v>
      </c>
      <c r="T447" s="452">
        <v>0</v>
      </c>
      <c r="U447" s="452">
        <f t="shared" si="251"/>
        <v>2.8920000000000001E-2</v>
      </c>
      <c r="V447" s="451">
        <f t="shared" si="252"/>
        <v>0</v>
      </c>
      <c r="W447" s="451">
        <f t="shared" si="253"/>
        <v>0</v>
      </c>
      <c r="X447" s="451">
        <f t="shared" si="254"/>
        <v>0</v>
      </c>
      <c r="Y447" s="453">
        <f t="shared" si="255"/>
        <v>0</v>
      </c>
      <c r="Z447" s="453">
        <f t="shared" si="256"/>
        <v>0</v>
      </c>
      <c r="AA447" s="453">
        <f t="shared" si="257"/>
        <v>0</v>
      </c>
      <c r="AB447" s="453">
        <f t="shared" si="258"/>
        <v>0</v>
      </c>
      <c r="AC447" s="453">
        <f t="shared" si="259"/>
        <v>0</v>
      </c>
      <c r="AD447" s="453">
        <f t="shared" si="260"/>
        <v>0</v>
      </c>
      <c r="AE447" s="493">
        <f t="shared" si="261"/>
        <v>0</v>
      </c>
      <c r="AF447" s="453">
        <f t="shared" si="262"/>
        <v>0</v>
      </c>
      <c r="AG447" s="494">
        <f t="shared" si="263"/>
        <v>1</v>
      </c>
      <c r="AH447" s="454">
        <f t="shared" si="264"/>
        <v>0</v>
      </c>
      <c r="AI447" s="454">
        <f t="shared" si="265"/>
        <v>0</v>
      </c>
      <c r="AJ447" s="454">
        <f t="shared" si="266"/>
        <v>0</v>
      </c>
      <c r="AK447" s="454">
        <f t="shared" si="267"/>
        <v>0</v>
      </c>
      <c r="AL447" s="454">
        <f t="shared" si="268"/>
        <v>0</v>
      </c>
      <c r="AM447" s="454">
        <f t="shared" si="269"/>
        <v>0</v>
      </c>
      <c r="AN447" s="491">
        <f t="shared" si="270"/>
        <v>0</v>
      </c>
      <c r="AO447" s="487">
        <f t="shared" si="271"/>
        <v>0</v>
      </c>
      <c r="AP447" s="495">
        <f t="shared" si="272"/>
        <v>0</v>
      </c>
      <c r="AQ447" s="496">
        <f t="shared" si="273"/>
        <v>0</v>
      </c>
      <c r="AV447" s="459">
        <f>IF(BA447&gt;BA446,AV446,IF(AV446&lt;MiscData!$F$1,EOMONTH(AV446,1),EOMONTH(AV446,-11)))</f>
        <v>42369</v>
      </c>
      <c r="AW447" s="448" t="str">
        <f t="shared" si="274"/>
        <v>20140101KUCME223</v>
      </c>
      <c r="AX447" s="457" t="str">
        <f t="shared" si="275"/>
        <v>20140101AES3</v>
      </c>
      <c r="AY447" s="439">
        <f>IF(AV447&lt;=MiscData!$B$23,MiscData!$C$23,IF(AV447&lt;=MiscData!$B$24,MiscData!$C$24,MiscData!$C$25))</f>
        <v>20140101</v>
      </c>
      <c r="AZ447" s="439" t="str">
        <f>VLOOKUP(BA447,MiscData!$V$4:$W$42,2,FALSE)</f>
        <v>KUCME223</v>
      </c>
      <c r="BA447" s="439">
        <f>IF(BA446=MiscData!$V$42,1,BA446+1)</f>
        <v>15</v>
      </c>
      <c r="BB447" s="439" t="str">
        <f>VLOOKUP(AZ447,MiscData!$W$4:$Y$42,3,FALSE)</f>
        <v>AES3</v>
      </c>
    </row>
    <row r="448" spans="1:54" hidden="1">
      <c r="A448" s="448">
        <f t="shared" si="279"/>
        <v>372</v>
      </c>
      <c r="B448" s="448" t="str">
        <f t="shared" si="238"/>
        <v>Dec 2015</v>
      </c>
      <c r="C448" s="832" t="s">
        <v>212</v>
      </c>
      <c r="D448" s="449" t="str">
        <f t="shared" si="239"/>
        <v>AES3</v>
      </c>
      <c r="E448" s="449" t="str">
        <f t="shared" si="240"/>
        <v>KUCME224</v>
      </c>
      <c r="F448" s="450">
        <f t="shared" si="241"/>
        <v>260</v>
      </c>
      <c r="G448" s="450">
        <v>0</v>
      </c>
      <c r="H448" s="450">
        <v>0</v>
      </c>
      <c r="I448" s="450">
        <v>0</v>
      </c>
      <c r="J448" s="450">
        <f t="shared" si="242"/>
        <v>13804282</v>
      </c>
      <c r="K448" s="482">
        <f t="shared" si="243"/>
        <v>51812</v>
      </c>
      <c r="L448" s="482">
        <f t="shared" si="244"/>
        <v>0</v>
      </c>
      <c r="M448" s="482">
        <f t="shared" si="245"/>
        <v>0</v>
      </c>
      <c r="N448" s="482">
        <f t="shared" si="246"/>
        <v>0</v>
      </c>
      <c r="O448" s="482">
        <f t="shared" si="247"/>
        <v>0</v>
      </c>
      <c r="P448" s="482">
        <f t="shared" si="248"/>
        <v>0</v>
      </c>
      <c r="Q448" s="451">
        <f t="shared" si="249"/>
        <v>35</v>
      </c>
      <c r="R448" s="452">
        <f t="shared" si="250"/>
        <v>7.4399999999999994E-2</v>
      </c>
      <c r="S448" s="452">
        <v>0</v>
      </c>
      <c r="T448" s="452">
        <v>0</v>
      </c>
      <c r="U448" s="452">
        <f t="shared" si="251"/>
        <v>2.8920000000000001E-2</v>
      </c>
      <c r="V448" s="451">
        <f t="shared" si="252"/>
        <v>0</v>
      </c>
      <c r="W448" s="451">
        <f t="shared" si="253"/>
        <v>0</v>
      </c>
      <c r="X448" s="451">
        <f t="shared" si="254"/>
        <v>0</v>
      </c>
      <c r="Y448" s="453">
        <f t="shared" si="255"/>
        <v>9100</v>
      </c>
      <c r="Z448" s="453">
        <f t="shared" si="256"/>
        <v>1027038.58</v>
      </c>
      <c r="AA448" s="453">
        <f t="shared" si="257"/>
        <v>0</v>
      </c>
      <c r="AB448" s="453">
        <f t="shared" si="258"/>
        <v>0</v>
      </c>
      <c r="AC448" s="453">
        <f t="shared" si="259"/>
        <v>0</v>
      </c>
      <c r="AD448" s="453">
        <f t="shared" si="260"/>
        <v>0</v>
      </c>
      <c r="AE448" s="493">
        <f t="shared" si="261"/>
        <v>1036138.58</v>
      </c>
      <c r="AF448" s="453">
        <f t="shared" si="262"/>
        <v>1036139</v>
      </c>
      <c r="AG448" s="494">
        <f t="shared" si="263"/>
        <v>1.000000405351184</v>
      </c>
      <c r="AH448" s="454">
        <f t="shared" si="264"/>
        <v>32514</v>
      </c>
      <c r="AI448" s="454">
        <f t="shared" si="265"/>
        <v>21794</v>
      </c>
      <c r="AJ448" s="454">
        <f t="shared" si="266"/>
        <v>69753</v>
      </c>
      <c r="AK448" s="454">
        <f t="shared" si="267"/>
        <v>0</v>
      </c>
      <c r="AL448" s="454">
        <f t="shared" si="268"/>
        <v>0</v>
      </c>
      <c r="AM448" s="454">
        <f t="shared" si="269"/>
        <v>1160200</v>
      </c>
      <c r="AN448" s="491">
        <f t="shared" si="270"/>
        <v>1160199.58</v>
      </c>
      <c r="AO448" s="487">
        <f t="shared" si="271"/>
        <v>0.41999999992549419</v>
      </c>
      <c r="AP448" s="495">
        <f t="shared" si="272"/>
        <v>399219.84</v>
      </c>
      <c r="AQ448" s="496">
        <f t="shared" si="273"/>
        <v>627818.74</v>
      </c>
      <c r="AV448" s="459">
        <f>IF(BA448&gt;BA447,AV447,IF(AV447&lt;MiscData!$F$1,EOMONTH(AV447,1),EOMONTH(AV447,-11)))</f>
        <v>42369</v>
      </c>
      <c r="AW448" s="448" t="str">
        <f t="shared" si="274"/>
        <v>20140101KUCME224</v>
      </c>
      <c r="AX448" s="457" t="str">
        <f t="shared" si="275"/>
        <v>20140101AES3</v>
      </c>
      <c r="AY448" s="439">
        <f>IF(AV448&lt;=MiscData!$B$23,MiscData!$C$23,IF(AV448&lt;=MiscData!$B$24,MiscData!$C$24,MiscData!$C$25))</f>
        <v>20140101</v>
      </c>
      <c r="AZ448" s="439" t="str">
        <f>VLOOKUP(BA448,MiscData!$V$4:$W$42,2,FALSE)</f>
        <v>KUCME224</v>
      </c>
      <c r="BA448" s="439">
        <f>IF(BA447=MiscData!$V$42,1,BA447+1)</f>
        <v>16</v>
      </c>
      <c r="BB448" s="439" t="str">
        <f>VLOOKUP(AZ448,MiscData!$W$4:$Y$42,3,FALSE)</f>
        <v>AES3</v>
      </c>
    </row>
    <row r="449" spans="1:54" hidden="1">
      <c r="A449" s="448">
        <f>A447+1</f>
        <v>372</v>
      </c>
      <c r="B449" s="448" t="str">
        <f t="shared" si="238"/>
        <v>Dec 2015</v>
      </c>
      <c r="C449" s="832" t="s">
        <v>212</v>
      </c>
      <c r="D449" s="449" t="str">
        <f t="shared" si="239"/>
        <v>AES3</v>
      </c>
      <c r="E449" s="449" t="str">
        <f t="shared" si="240"/>
        <v>KUCME225</v>
      </c>
      <c r="F449" s="450">
        <f t="shared" si="241"/>
        <v>0</v>
      </c>
      <c r="G449" s="450">
        <v>0</v>
      </c>
      <c r="H449" s="450">
        <v>0</v>
      </c>
      <c r="I449" s="450">
        <v>0</v>
      </c>
      <c r="J449" s="450">
        <f t="shared" si="242"/>
        <v>0</v>
      </c>
      <c r="K449" s="482">
        <f t="shared" si="243"/>
        <v>0</v>
      </c>
      <c r="L449" s="482">
        <f t="shared" si="244"/>
        <v>0</v>
      </c>
      <c r="M449" s="482">
        <f t="shared" si="245"/>
        <v>0</v>
      </c>
      <c r="N449" s="482">
        <f t="shared" si="246"/>
        <v>0</v>
      </c>
      <c r="O449" s="482">
        <f t="shared" si="247"/>
        <v>0</v>
      </c>
      <c r="P449" s="482">
        <f t="shared" si="248"/>
        <v>0</v>
      </c>
      <c r="Q449" s="451">
        <f t="shared" si="249"/>
        <v>35</v>
      </c>
      <c r="R449" s="452">
        <f t="shared" si="250"/>
        <v>7.4399999999999994E-2</v>
      </c>
      <c r="S449" s="452">
        <v>0</v>
      </c>
      <c r="T449" s="452">
        <v>0</v>
      </c>
      <c r="U449" s="452">
        <f t="shared" si="251"/>
        <v>2.8920000000000001E-2</v>
      </c>
      <c r="V449" s="451">
        <f t="shared" si="252"/>
        <v>0</v>
      </c>
      <c r="W449" s="451">
        <f t="shared" si="253"/>
        <v>0</v>
      </c>
      <c r="X449" s="451">
        <f t="shared" si="254"/>
        <v>0</v>
      </c>
      <c r="Y449" s="453">
        <f t="shared" si="255"/>
        <v>0</v>
      </c>
      <c r="Z449" s="453">
        <f t="shared" si="256"/>
        <v>0</v>
      </c>
      <c r="AA449" s="453">
        <f t="shared" si="257"/>
        <v>0</v>
      </c>
      <c r="AB449" s="453">
        <f t="shared" si="258"/>
        <v>0</v>
      </c>
      <c r="AC449" s="453">
        <f t="shared" si="259"/>
        <v>0</v>
      </c>
      <c r="AD449" s="453">
        <f t="shared" si="260"/>
        <v>0</v>
      </c>
      <c r="AE449" s="493">
        <f t="shared" si="261"/>
        <v>0</v>
      </c>
      <c r="AF449" s="453">
        <f t="shared" si="262"/>
        <v>0</v>
      </c>
      <c r="AG449" s="494">
        <f t="shared" si="263"/>
        <v>1</v>
      </c>
      <c r="AH449" s="454">
        <f t="shared" si="264"/>
        <v>0</v>
      </c>
      <c r="AI449" s="454">
        <f t="shared" si="265"/>
        <v>0</v>
      </c>
      <c r="AJ449" s="454">
        <f t="shared" si="266"/>
        <v>0</v>
      </c>
      <c r="AK449" s="454">
        <f t="shared" si="267"/>
        <v>0</v>
      </c>
      <c r="AL449" s="454">
        <f t="shared" si="268"/>
        <v>0</v>
      </c>
      <c r="AM449" s="454">
        <f t="shared" si="269"/>
        <v>0</v>
      </c>
      <c r="AN449" s="491">
        <f t="shared" si="270"/>
        <v>0</v>
      </c>
      <c r="AO449" s="487">
        <f t="shared" si="271"/>
        <v>0</v>
      </c>
      <c r="AP449" s="495">
        <f t="shared" si="272"/>
        <v>0</v>
      </c>
      <c r="AQ449" s="496">
        <f t="shared" si="273"/>
        <v>0</v>
      </c>
      <c r="AV449" s="459">
        <f>IF(BA449&gt;BA448,AV448,IF(AV448&lt;MiscData!$F$1,EOMONTH(AV448,1),EOMONTH(AV448,-11)))</f>
        <v>42369</v>
      </c>
      <c r="AW449" s="448" t="str">
        <f t="shared" si="274"/>
        <v>20140101KUCME225</v>
      </c>
      <c r="AX449" s="457" t="str">
        <f t="shared" si="275"/>
        <v>20140101AES3</v>
      </c>
      <c r="AY449" s="439">
        <f>IF(AV449&lt;=MiscData!$B$23,MiscData!$C$23,IF(AV449&lt;=MiscData!$B$24,MiscData!$C$24,MiscData!$C$25))</f>
        <v>20140101</v>
      </c>
      <c r="AZ449" s="439" t="str">
        <f>VLOOKUP(BA449,MiscData!$V$4:$W$42,2,FALSE)</f>
        <v>KUCME225</v>
      </c>
      <c r="BA449" s="439">
        <f>IF(BA448=MiscData!$V$42,1,BA448+1)</f>
        <v>17</v>
      </c>
      <c r="BB449" s="439" t="str">
        <f>VLOOKUP(AZ449,MiscData!$W$4:$Y$42,3,FALSE)</f>
        <v>AES3</v>
      </c>
    </row>
    <row r="450" spans="1:54" hidden="1">
      <c r="A450" s="448">
        <f>A448+1</f>
        <v>373</v>
      </c>
      <c r="B450" s="448" t="str">
        <f t="shared" si="238"/>
        <v>Dec 2015</v>
      </c>
      <c r="C450" s="448" t="s">
        <v>203</v>
      </c>
      <c r="D450" s="449" t="str">
        <f t="shared" si="239"/>
        <v>AES</v>
      </c>
      <c r="E450" s="449" t="str">
        <f t="shared" si="240"/>
        <v>KUCME226</v>
      </c>
      <c r="F450" s="450">
        <f t="shared" si="241"/>
        <v>0</v>
      </c>
      <c r="G450" s="450">
        <v>0</v>
      </c>
      <c r="H450" s="450">
        <v>0</v>
      </c>
      <c r="I450" s="450">
        <v>0</v>
      </c>
      <c r="J450" s="450">
        <f t="shared" si="242"/>
        <v>0</v>
      </c>
      <c r="K450" s="482">
        <f t="shared" si="243"/>
        <v>0</v>
      </c>
      <c r="L450" s="482">
        <f t="shared" si="244"/>
        <v>0</v>
      </c>
      <c r="M450" s="482">
        <f t="shared" si="245"/>
        <v>0</v>
      </c>
      <c r="N450" s="482">
        <f t="shared" si="246"/>
        <v>0</v>
      </c>
      <c r="O450" s="482">
        <f t="shared" si="247"/>
        <v>0</v>
      </c>
      <c r="P450" s="482">
        <f t="shared" si="248"/>
        <v>0</v>
      </c>
      <c r="Q450" s="451">
        <f t="shared" si="249"/>
        <v>20</v>
      </c>
      <c r="R450" s="452">
        <f t="shared" si="250"/>
        <v>7.4399999999999994E-2</v>
      </c>
      <c r="S450" s="452">
        <v>0</v>
      </c>
      <c r="T450" s="452">
        <v>0</v>
      </c>
      <c r="U450" s="452">
        <f t="shared" si="251"/>
        <v>2.8920000000000001E-2</v>
      </c>
      <c r="V450" s="451">
        <f t="shared" si="252"/>
        <v>0</v>
      </c>
      <c r="W450" s="451">
        <f t="shared" si="253"/>
        <v>0</v>
      </c>
      <c r="X450" s="451">
        <f t="shared" si="254"/>
        <v>0</v>
      </c>
      <c r="Y450" s="453">
        <f t="shared" si="255"/>
        <v>0</v>
      </c>
      <c r="Z450" s="453">
        <f t="shared" si="256"/>
        <v>0</v>
      </c>
      <c r="AA450" s="453">
        <f t="shared" si="257"/>
        <v>0</v>
      </c>
      <c r="AB450" s="453">
        <f t="shared" si="258"/>
        <v>0</v>
      </c>
      <c r="AC450" s="453">
        <f t="shared" si="259"/>
        <v>0</v>
      </c>
      <c r="AD450" s="453">
        <f t="shared" si="260"/>
        <v>0</v>
      </c>
      <c r="AE450" s="493">
        <f t="shared" si="261"/>
        <v>0</v>
      </c>
      <c r="AF450" s="453">
        <f t="shared" si="262"/>
        <v>0</v>
      </c>
      <c r="AG450" s="494">
        <f t="shared" si="263"/>
        <v>1</v>
      </c>
      <c r="AH450" s="454">
        <f t="shared" si="264"/>
        <v>0</v>
      </c>
      <c r="AI450" s="454">
        <f t="shared" si="265"/>
        <v>0</v>
      </c>
      <c r="AJ450" s="454">
        <f t="shared" si="266"/>
        <v>0</v>
      </c>
      <c r="AK450" s="454">
        <f t="shared" si="267"/>
        <v>0</v>
      </c>
      <c r="AL450" s="454">
        <f t="shared" si="268"/>
        <v>0</v>
      </c>
      <c r="AM450" s="454">
        <f t="shared" si="269"/>
        <v>0</v>
      </c>
      <c r="AN450" s="491">
        <f t="shared" si="270"/>
        <v>0</v>
      </c>
      <c r="AO450" s="487">
        <f t="shared" si="271"/>
        <v>0</v>
      </c>
      <c r="AP450" s="495">
        <f t="shared" si="272"/>
        <v>0</v>
      </c>
      <c r="AQ450" s="496">
        <f t="shared" si="273"/>
        <v>0</v>
      </c>
      <c r="AV450" s="459">
        <f>IF(BA450&gt;BA449,AV449,IF(AV449&lt;MiscData!$F$1,EOMONTH(AV449,1),EOMONTH(AV449,-11)))</f>
        <v>42369</v>
      </c>
      <c r="AW450" s="448" t="str">
        <f t="shared" si="274"/>
        <v>20140101KUCME226</v>
      </c>
      <c r="AX450" s="457" t="str">
        <f t="shared" si="275"/>
        <v>20140101AES</v>
      </c>
      <c r="AY450" s="439">
        <f>IF(AV450&lt;=MiscData!$B$23,MiscData!$C$23,IF(AV450&lt;=MiscData!$B$24,MiscData!$C$24,MiscData!$C$25))</f>
        <v>20140101</v>
      </c>
      <c r="AZ450" s="439" t="str">
        <f>VLOOKUP(BA450,MiscData!$V$4:$W$42,2,FALSE)</f>
        <v>KUCME226</v>
      </c>
      <c r="BA450" s="439">
        <f>IF(BA449=MiscData!$V$42,1,BA449+1)</f>
        <v>18</v>
      </c>
      <c r="BB450" s="439" t="str">
        <f>VLOOKUP(AZ450,MiscData!$W$4:$Y$42,3,FALSE)</f>
        <v>AES</v>
      </c>
    </row>
    <row r="451" spans="1:54" hidden="1">
      <c r="A451" s="448">
        <f>A450+1</f>
        <v>374</v>
      </c>
      <c r="B451" s="448" t="str">
        <f t="shared" si="238"/>
        <v>Dec 2015</v>
      </c>
      <c r="C451" s="832" t="s">
        <v>212</v>
      </c>
      <c r="D451" s="449" t="str">
        <f t="shared" si="239"/>
        <v>AES3</v>
      </c>
      <c r="E451" s="449" t="str">
        <f t="shared" si="240"/>
        <v>KUCME227</v>
      </c>
      <c r="F451" s="450">
        <f t="shared" si="241"/>
        <v>0</v>
      </c>
      <c r="G451" s="450">
        <v>0</v>
      </c>
      <c r="H451" s="450">
        <v>0</v>
      </c>
      <c r="I451" s="450">
        <v>0</v>
      </c>
      <c r="J451" s="450">
        <f t="shared" si="242"/>
        <v>0</v>
      </c>
      <c r="K451" s="482">
        <f t="shared" si="243"/>
        <v>0</v>
      </c>
      <c r="L451" s="482">
        <f t="shared" si="244"/>
        <v>0</v>
      </c>
      <c r="M451" s="482">
        <f t="shared" si="245"/>
        <v>0</v>
      </c>
      <c r="N451" s="482">
        <f t="shared" si="246"/>
        <v>0</v>
      </c>
      <c r="O451" s="482">
        <f t="shared" si="247"/>
        <v>0</v>
      </c>
      <c r="P451" s="482">
        <f t="shared" si="248"/>
        <v>0</v>
      </c>
      <c r="Q451" s="451">
        <f t="shared" si="249"/>
        <v>35</v>
      </c>
      <c r="R451" s="452">
        <f t="shared" si="250"/>
        <v>7.4399999999999994E-2</v>
      </c>
      <c r="S451" s="452">
        <v>0</v>
      </c>
      <c r="T451" s="452">
        <v>0</v>
      </c>
      <c r="U451" s="452">
        <f t="shared" si="251"/>
        <v>2.8920000000000001E-2</v>
      </c>
      <c r="V451" s="451">
        <f t="shared" si="252"/>
        <v>0</v>
      </c>
      <c r="W451" s="451">
        <f t="shared" si="253"/>
        <v>0</v>
      </c>
      <c r="X451" s="451">
        <f t="shared" si="254"/>
        <v>0</v>
      </c>
      <c r="Y451" s="453">
        <f t="shared" si="255"/>
        <v>0</v>
      </c>
      <c r="Z451" s="453">
        <f t="shared" si="256"/>
        <v>0</v>
      </c>
      <c r="AA451" s="453">
        <f t="shared" si="257"/>
        <v>0</v>
      </c>
      <c r="AB451" s="453">
        <f t="shared" si="258"/>
        <v>0</v>
      </c>
      <c r="AC451" s="453">
        <f t="shared" si="259"/>
        <v>0</v>
      </c>
      <c r="AD451" s="453">
        <f t="shared" si="260"/>
        <v>0</v>
      </c>
      <c r="AE451" s="493">
        <f t="shared" si="261"/>
        <v>0</v>
      </c>
      <c r="AF451" s="453">
        <f t="shared" si="262"/>
        <v>0</v>
      </c>
      <c r="AG451" s="494">
        <f t="shared" si="263"/>
        <v>1</v>
      </c>
      <c r="AH451" s="454">
        <f t="shared" si="264"/>
        <v>0</v>
      </c>
      <c r="AI451" s="454">
        <f t="shared" si="265"/>
        <v>0</v>
      </c>
      <c r="AJ451" s="454">
        <f t="shared" si="266"/>
        <v>0</v>
      </c>
      <c r="AK451" s="454">
        <f t="shared" si="267"/>
        <v>0</v>
      </c>
      <c r="AL451" s="454">
        <f t="shared" si="268"/>
        <v>0</v>
      </c>
      <c r="AM451" s="454">
        <f t="shared" si="269"/>
        <v>0</v>
      </c>
      <c r="AN451" s="491">
        <f t="shared" si="270"/>
        <v>0</v>
      </c>
      <c r="AO451" s="487">
        <f t="shared" si="271"/>
        <v>0</v>
      </c>
      <c r="AP451" s="495">
        <f t="shared" si="272"/>
        <v>0</v>
      </c>
      <c r="AQ451" s="496">
        <f t="shared" si="273"/>
        <v>0</v>
      </c>
      <c r="AV451" s="459">
        <f>IF(BA451&gt;BA450,AV450,IF(AV450&lt;MiscData!$F$1,EOMONTH(AV450,1),EOMONTH(AV450,-11)))</f>
        <v>42369</v>
      </c>
      <c r="AW451" s="448" t="str">
        <f t="shared" si="274"/>
        <v>20140101KUCME227</v>
      </c>
      <c r="AX451" s="457" t="str">
        <f t="shared" si="275"/>
        <v>20140101AES3</v>
      </c>
      <c r="AY451" s="439">
        <f>IF(AV451&lt;=MiscData!$B$23,MiscData!$C$23,IF(AV451&lt;=MiscData!$B$24,MiscData!$C$24,MiscData!$C$25))</f>
        <v>20140101</v>
      </c>
      <c r="AZ451" s="439" t="str">
        <f>VLOOKUP(BA451,MiscData!$V$4:$W$42,2,FALSE)</f>
        <v>KUCME227</v>
      </c>
      <c r="BA451" s="439">
        <f>IF(BA450=MiscData!$V$42,1,BA450+1)</f>
        <v>19</v>
      </c>
      <c r="BB451" s="439" t="str">
        <f>VLOOKUP(AZ451,MiscData!$W$4:$Y$42,3,FALSE)</f>
        <v>AES3</v>
      </c>
    </row>
    <row r="452" spans="1:54" hidden="1">
      <c r="A452" s="448">
        <f>A410+1</f>
        <v>362</v>
      </c>
      <c r="B452" s="448" t="str">
        <f t="shared" ref="B452:B471" si="280">TEXT(AV452,"mmm yyyy")</f>
        <v>Dec 2015</v>
      </c>
      <c r="C452" s="448" t="s">
        <v>19</v>
      </c>
      <c r="D452" s="449" t="str">
        <f t="shared" ref="D452:D471" si="281">BB452</f>
        <v>LE</v>
      </c>
      <c r="E452" s="449" t="str">
        <f t="shared" ref="E452:E471" si="282">AZ452</f>
        <v>KUCME290</v>
      </c>
      <c r="F452" s="450">
        <f t="shared" ref="F452:F471" si="283">SUMIFS(_1022_Count,_1022_RevenueMonth,$B452,_1022_RateCategory,$E452)</f>
        <v>2</v>
      </c>
      <c r="G452" s="450">
        <v>0</v>
      </c>
      <c r="H452" s="450">
        <v>0</v>
      </c>
      <c r="I452" s="450">
        <v>0</v>
      </c>
      <c r="J452" s="450">
        <f t="shared" ref="J452:J471" si="284">SUMIFS(_1022_KWH,_1022_RevenueMonth,$B452,_1022_RateCategory,$E452)</f>
        <v>20203</v>
      </c>
      <c r="K452" s="482">
        <f t="shared" ref="K452:K471" si="285">SUMIFS(_1022_Measured_KVA_Base,_1022_RevenueMonth,$B452,_1022_RateCategory,$E452)</f>
        <v>0</v>
      </c>
      <c r="L452" s="482">
        <f t="shared" ref="L452:L471" si="286">SUMIFS(_1022_Measured_KVA_Inter,_1022_RevenueMonth,$B452,_1022_RateCategory,$E452)</f>
        <v>0</v>
      </c>
      <c r="M452" s="482">
        <f t="shared" ref="M452:M471" si="287">SUMIFS(_1022_Measured_KVA_Peak,_1022_RevenueMonth,$B452,_1022_RateCategory,$E452)</f>
        <v>0</v>
      </c>
      <c r="N452" s="482">
        <f t="shared" ref="N452:N471" si="288">SUMIFS(_1022_Demand_Base,_1022_RevenueMonth,$B452,_1022_RateCategory,$E452)</f>
        <v>0</v>
      </c>
      <c r="O452" s="482">
        <f t="shared" ref="O452:O471" si="289">SUMIFS(_1022_Demand_Intermediate,_1022_RevenueMonth,$B452,_1022_RateCategory,$E452)</f>
        <v>0</v>
      </c>
      <c r="P452" s="482">
        <f t="shared" ref="P452:P471" si="290">SUMIFS(_1022_Demand_Peak,_1022_RevenueMonth,$B452,_1022_RateCategory,$E452)</f>
        <v>0</v>
      </c>
      <c r="Q452" s="451">
        <f t="shared" ref="Q452:Q471" si="291">SUMIF(_Rates_Tariff_Category,$AW452,_Rates_BasicServiceCharge)</f>
        <v>0</v>
      </c>
      <c r="R452" s="452">
        <f t="shared" ref="R452:R471" si="292">SUMIF(_Rates_Tariff_Category,$AW452,_Rates_Energy)</f>
        <v>6.3799999999999996E-2</v>
      </c>
      <c r="S452" s="452">
        <v>0</v>
      </c>
      <c r="T452" s="452">
        <v>0</v>
      </c>
      <c r="U452" s="452">
        <f t="shared" ref="U452:U471" si="293">SUMIF(_Rates_Tariff_Category,$AW452,_Rates_FAC_Energy)</f>
        <v>2.8920000000000001E-2</v>
      </c>
      <c r="V452" s="451">
        <f t="shared" ref="V452:V471" si="294">SUMIF(_Rates_Tariff_Category,$AW452,_Rates_Demand_Base)</f>
        <v>0</v>
      </c>
      <c r="W452" s="451">
        <f t="shared" ref="W452:W471" si="295">SUMIF(_Rates_Tariff_Category,$AW452,_Rates_Demand_Intermediate)</f>
        <v>0</v>
      </c>
      <c r="X452" s="451">
        <f t="shared" ref="X452:X471" si="296">SUMIF(_Rates_Tariff_Category,$AW452,_Rates_Demand_Peak)</f>
        <v>0</v>
      </c>
      <c r="Y452" s="453">
        <f t="shared" ref="Y452:Y471" si="297">ROUND($F452*$Q452,2)</f>
        <v>0</v>
      </c>
      <c r="Z452" s="453">
        <f t="shared" ref="Z452:Z471" si="298">ROUND(IF(G452=0,J452*R452,SUMPRODUCT(G452:I452,R452:T452)),2)</f>
        <v>1288.95</v>
      </c>
      <c r="AA452" s="453">
        <f t="shared" ref="AA452:AA471" si="299">ROUND($K452*$V452,2)</f>
        <v>0</v>
      </c>
      <c r="AB452" s="453">
        <f t="shared" ref="AB452:AB471" si="300">ROUND($L452*$W452,2)</f>
        <v>0</v>
      </c>
      <c r="AC452" s="453">
        <f t="shared" ref="AC452:AC471" si="301">ROUND($M452*$X452,2)</f>
        <v>0</v>
      </c>
      <c r="AD452" s="453">
        <f t="shared" ref="AD452:AD471" si="302">SUM(AA452:AC452)</f>
        <v>0</v>
      </c>
      <c r="AE452" s="493">
        <f t="shared" ref="AE452:AE471" si="303">SUM(Y452:AC452)</f>
        <v>1288.95</v>
      </c>
      <c r="AF452" s="453">
        <f t="shared" ref="AF452:AF471" si="304">AM452-SUM(AH452:AL452)</f>
        <v>0</v>
      </c>
      <c r="AG452" s="494">
        <f t="shared" ref="AG452:AG471" si="305">IF(AND(AE452=0,AF452=0),1,IF(AE452=0,0,AF452/AE452))</f>
        <v>0</v>
      </c>
      <c r="AH452" s="454">
        <f t="shared" ref="AH452:AH471" si="306">SUMIFS(_SBR_FAC,_SBR_Revenue_Month,$B452,_SBR_Rate_Category,$E452)</f>
        <v>0</v>
      </c>
      <c r="AI452" s="454">
        <f t="shared" ref="AI452:AI471" si="307">SUMIFS(_SBR_DSM,_SBR_Revenue_Month,$B452,_SBR_Rate_Category,$E452)</f>
        <v>0</v>
      </c>
      <c r="AJ452" s="454">
        <f t="shared" ref="AJ452:AJ471" si="308">SUMIFS(_SBR_ECR,_SBR_Revenue_Month,$B452,_SBR_Rate_Category,$E452)</f>
        <v>0</v>
      </c>
      <c r="AK452" s="454">
        <f t="shared" ref="AK452:AK471" si="309">SUMIFS(_SBR_MSR,_SBR_Revenue_Month,$B452,_SBR_Rate_Category,$E452)</f>
        <v>0</v>
      </c>
      <c r="AL452" s="454">
        <f t="shared" ref="AL452:AL471" si="310">SUMIFS(_SBR_CSR,_SBR_Revenue_Month,$B452,_SBR_Rate_Category,$E452)</f>
        <v>0</v>
      </c>
      <c r="AM452" s="454">
        <f t="shared" ref="AM452:AM471" si="311">SUMIFS(_SBR_Revenue_Actual,_SBR_Revenue_Month,$B452,_SBR_Rate_Category,$E452)</f>
        <v>0</v>
      </c>
      <c r="AN452" s="491">
        <f t="shared" ref="AN452:AN471" si="312">SUM(AE452,AH452:AL452)</f>
        <v>1288.95</v>
      </c>
      <c r="AO452" s="487">
        <f t="shared" ref="AO452:AO471" si="313">AM452-AN452</f>
        <v>-1288.95</v>
      </c>
      <c r="AP452" s="495">
        <f t="shared" ref="AP452:AP471" si="314">ROUND($J452*$U452,2)</f>
        <v>584.27</v>
      </c>
      <c r="AQ452" s="496">
        <f t="shared" ref="AQ452:AQ471" si="315">Z452-AP452</f>
        <v>704.68000000000006</v>
      </c>
      <c r="AV452" s="459">
        <f>IF(BA452&gt;BA451,AV451,IF(AV451&lt;MiscData!$F$1,EOMONTH(AV451,1),EOMONTH(AV451,-11)))</f>
        <v>42369</v>
      </c>
      <c r="AW452" s="448" t="str">
        <f t="shared" ref="AW452:AW471" si="316">CONCATENATE(AY452&amp;AZ452)</f>
        <v>20140101KUCME290</v>
      </c>
      <c r="AX452" s="457" t="str">
        <f t="shared" ref="AX452:AX471" si="317">CONCATENATE(AY452&amp;BB452)</f>
        <v>20140101LE</v>
      </c>
      <c r="AY452" s="439">
        <f>IF(AV452&lt;=MiscData!$B$23,MiscData!$C$23,IF(AV452&lt;=MiscData!$B$24,MiscData!$C$24,MiscData!$C$25))</f>
        <v>20140101</v>
      </c>
      <c r="AZ452" s="439" t="str">
        <f>VLOOKUP(BA452,MiscData!$V$4:$W$42,2,FALSE)</f>
        <v>KUCME290</v>
      </c>
      <c r="BA452" s="439">
        <f>IF(BA451=MiscData!$V$42,1,BA451+1)</f>
        <v>20</v>
      </c>
      <c r="BB452" s="439" t="str">
        <f>VLOOKUP(AZ452,MiscData!$W$4:$Y$42,3,FALSE)</f>
        <v>LE</v>
      </c>
    </row>
    <row r="453" spans="1:54" hidden="1">
      <c r="A453" s="448">
        <f t="shared" ref="A453:A460" si="318">A438+1</f>
        <v>363</v>
      </c>
      <c r="B453" s="448" t="str">
        <f t="shared" si="280"/>
        <v>Dec 2015</v>
      </c>
      <c r="C453" s="448" t="s">
        <v>19</v>
      </c>
      <c r="D453" s="449" t="str">
        <f t="shared" si="281"/>
        <v>LE</v>
      </c>
      <c r="E453" s="449" t="str">
        <f t="shared" si="282"/>
        <v>KUCME291</v>
      </c>
      <c r="F453" s="450">
        <f t="shared" si="283"/>
        <v>0</v>
      </c>
      <c r="G453" s="450">
        <v>0</v>
      </c>
      <c r="H453" s="450">
        <v>0</v>
      </c>
      <c r="I453" s="450">
        <v>0</v>
      </c>
      <c r="J453" s="450">
        <f t="shared" si="284"/>
        <v>0</v>
      </c>
      <c r="K453" s="482">
        <f t="shared" si="285"/>
        <v>0</v>
      </c>
      <c r="L453" s="482">
        <f t="shared" si="286"/>
        <v>0</v>
      </c>
      <c r="M453" s="482">
        <f t="shared" si="287"/>
        <v>0</v>
      </c>
      <c r="N453" s="482">
        <f t="shared" si="288"/>
        <v>0</v>
      </c>
      <c r="O453" s="482">
        <f t="shared" si="289"/>
        <v>0</v>
      </c>
      <c r="P453" s="482">
        <f t="shared" si="290"/>
        <v>0</v>
      </c>
      <c r="Q453" s="451">
        <f t="shared" si="291"/>
        <v>0</v>
      </c>
      <c r="R453" s="452">
        <f t="shared" si="292"/>
        <v>6.3799999999999996E-2</v>
      </c>
      <c r="S453" s="452">
        <v>0</v>
      </c>
      <c r="T453" s="452">
        <v>0</v>
      </c>
      <c r="U453" s="452">
        <f t="shared" si="293"/>
        <v>2.8920000000000001E-2</v>
      </c>
      <c r="V453" s="451">
        <f t="shared" si="294"/>
        <v>0</v>
      </c>
      <c r="W453" s="451">
        <f t="shared" si="295"/>
        <v>0</v>
      </c>
      <c r="X453" s="451">
        <f t="shared" si="296"/>
        <v>0</v>
      </c>
      <c r="Y453" s="453">
        <f t="shared" si="297"/>
        <v>0</v>
      </c>
      <c r="Z453" s="453">
        <f t="shared" si="298"/>
        <v>0</v>
      </c>
      <c r="AA453" s="453">
        <f t="shared" si="299"/>
        <v>0</v>
      </c>
      <c r="AB453" s="453">
        <f t="shared" si="300"/>
        <v>0</v>
      </c>
      <c r="AC453" s="453">
        <f t="shared" si="301"/>
        <v>0</v>
      </c>
      <c r="AD453" s="453">
        <f t="shared" si="302"/>
        <v>0</v>
      </c>
      <c r="AE453" s="493">
        <f t="shared" si="303"/>
        <v>0</v>
      </c>
      <c r="AF453" s="453">
        <f t="shared" si="304"/>
        <v>0</v>
      </c>
      <c r="AG453" s="494">
        <f t="shared" si="305"/>
        <v>1</v>
      </c>
      <c r="AH453" s="454">
        <f t="shared" si="306"/>
        <v>0</v>
      </c>
      <c r="AI453" s="454">
        <f t="shared" si="307"/>
        <v>0</v>
      </c>
      <c r="AJ453" s="454">
        <f t="shared" si="308"/>
        <v>0</v>
      </c>
      <c r="AK453" s="454">
        <f t="shared" si="309"/>
        <v>0</v>
      </c>
      <c r="AL453" s="454">
        <f t="shared" si="310"/>
        <v>0</v>
      </c>
      <c r="AM453" s="454">
        <f t="shared" si="311"/>
        <v>0</v>
      </c>
      <c r="AN453" s="491">
        <f t="shared" si="312"/>
        <v>0</v>
      </c>
      <c r="AO453" s="487">
        <f t="shared" si="313"/>
        <v>0</v>
      </c>
      <c r="AP453" s="495">
        <f t="shared" si="314"/>
        <v>0</v>
      </c>
      <c r="AQ453" s="496">
        <f t="shared" si="315"/>
        <v>0</v>
      </c>
      <c r="AV453" s="459">
        <f>IF(BA453&gt;BA452,AV452,IF(AV452&lt;MiscData!$F$1,EOMONTH(AV452,1),EOMONTH(AV452,-11)))</f>
        <v>42369</v>
      </c>
      <c r="AW453" s="448" t="str">
        <f t="shared" si="316"/>
        <v>20140101KUCME291</v>
      </c>
      <c r="AX453" s="457" t="str">
        <f t="shared" si="317"/>
        <v>20140101LE</v>
      </c>
      <c r="AY453" s="439">
        <f>IF(AV453&lt;=MiscData!$B$23,MiscData!$C$23,IF(AV453&lt;=MiscData!$B$24,MiscData!$C$24,MiscData!$C$25))</f>
        <v>20140101</v>
      </c>
      <c r="AZ453" s="439" t="str">
        <f>VLOOKUP(BA453,MiscData!$V$4:$W$42,2,FALSE)</f>
        <v>KUCME291</v>
      </c>
      <c r="BA453" s="439">
        <f>IF(BA452=MiscData!$V$42,1,BA452+1)</f>
        <v>21</v>
      </c>
      <c r="BB453" s="439" t="str">
        <f>VLOOKUP(AZ453,MiscData!$W$4:$Y$42,3,FALSE)</f>
        <v>LE</v>
      </c>
    </row>
    <row r="454" spans="1:54" hidden="1">
      <c r="A454" s="448">
        <f t="shared" si="318"/>
        <v>364</v>
      </c>
      <c r="B454" s="448" t="str">
        <f t="shared" si="280"/>
        <v>Dec 2015</v>
      </c>
      <c r="C454" s="448" t="s">
        <v>20</v>
      </c>
      <c r="D454" s="449" t="str">
        <f t="shared" si="281"/>
        <v>TE</v>
      </c>
      <c r="E454" s="449" t="str">
        <f t="shared" si="282"/>
        <v>KUCME295</v>
      </c>
      <c r="F454" s="450">
        <f t="shared" si="283"/>
        <v>747</v>
      </c>
      <c r="G454" s="450">
        <v>0</v>
      </c>
      <c r="H454" s="450">
        <v>0</v>
      </c>
      <c r="I454" s="450">
        <v>0</v>
      </c>
      <c r="J454" s="450">
        <f t="shared" si="284"/>
        <v>118302</v>
      </c>
      <c r="K454" s="482">
        <f t="shared" si="285"/>
        <v>0</v>
      </c>
      <c r="L454" s="482">
        <f t="shared" si="286"/>
        <v>0</v>
      </c>
      <c r="M454" s="482">
        <f t="shared" si="287"/>
        <v>0</v>
      </c>
      <c r="N454" s="482">
        <f t="shared" si="288"/>
        <v>0</v>
      </c>
      <c r="O454" s="482">
        <f t="shared" si="289"/>
        <v>0</v>
      </c>
      <c r="P454" s="482">
        <f t="shared" si="290"/>
        <v>0</v>
      </c>
      <c r="Q454" s="451">
        <f t="shared" si="291"/>
        <v>3.25</v>
      </c>
      <c r="R454" s="452">
        <f t="shared" si="292"/>
        <v>7.9780000000000004E-2</v>
      </c>
      <c r="S454" s="452">
        <v>0</v>
      </c>
      <c r="T454" s="452">
        <v>0</v>
      </c>
      <c r="U454" s="452">
        <f t="shared" si="293"/>
        <v>2.8920000000000001E-2</v>
      </c>
      <c r="V454" s="451">
        <f t="shared" si="294"/>
        <v>0</v>
      </c>
      <c r="W454" s="451">
        <f t="shared" si="295"/>
        <v>0</v>
      </c>
      <c r="X454" s="451">
        <f t="shared" si="296"/>
        <v>0</v>
      </c>
      <c r="Y454" s="453">
        <f t="shared" si="297"/>
        <v>2427.75</v>
      </c>
      <c r="Z454" s="453">
        <f t="shared" si="298"/>
        <v>9438.1299999999992</v>
      </c>
      <c r="AA454" s="453">
        <f t="shared" si="299"/>
        <v>0</v>
      </c>
      <c r="AB454" s="453">
        <f t="shared" si="300"/>
        <v>0</v>
      </c>
      <c r="AC454" s="453">
        <f t="shared" si="301"/>
        <v>0</v>
      </c>
      <c r="AD454" s="453">
        <f t="shared" si="302"/>
        <v>0</v>
      </c>
      <c r="AE454" s="493">
        <f t="shared" si="303"/>
        <v>11865.88</v>
      </c>
      <c r="AF454" s="453">
        <f t="shared" si="304"/>
        <v>0</v>
      </c>
      <c r="AG454" s="494">
        <f t="shared" si="305"/>
        <v>0</v>
      </c>
      <c r="AH454" s="454">
        <f t="shared" si="306"/>
        <v>0</v>
      </c>
      <c r="AI454" s="454">
        <f t="shared" si="307"/>
        <v>0</v>
      </c>
      <c r="AJ454" s="454">
        <f t="shared" si="308"/>
        <v>0</v>
      </c>
      <c r="AK454" s="454">
        <f t="shared" si="309"/>
        <v>0</v>
      </c>
      <c r="AL454" s="454">
        <f t="shared" si="310"/>
        <v>0</v>
      </c>
      <c r="AM454" s="454">
        <f t="shared" si="311"/>
        <v>0</v>
      </c>
      <c r="AN454" s="491">
        <f t="shared" si="312"/>
        <v>11865.88</v>
      </c>
      <c r="AO454" s="487">
        <f t="shared" si="313"/>
        <v>-11865.88</v>
      </c>
      <c r="AP454" s="495">
        <f t="shared" si="314"/>
        <v>3421.29</v>
      </c>
      <c r="AQ454" s="496">
        <f t="shared" si="315"/>
        <v>6016.8399999999992</v>
      </c>
      <c r="AV454" s="459">
        <f>IF(BA454&gt;BA453,AV453,IF(AV453&lt;MiscData!$F$1,EOMONTH(AV453,1),EOMONTH(AV453,-11)))</f>
        <v>42369</v>
      </c>
      <c r="AW454" s="448" t="str">
        <f t="shared" si="316"/>
        <v>20140101KUCME295</v>
      </c>
      <c r="AX454" s="457" t="str">
        <f t="shared" si="317"/>
        <v>20140101TE</v>
      </c>
      <c r="AY454" s="439">
        <f>IF(AV454&lt;=MiscData!$B$23,MiscData!$C$23,IF(AV454&lt;=MiscData!$B$24,MiscData!$C$24,MiscData!$C$25))</f>
        <v>20140101</v>
      </c>
      <c r="AZ454" s="439" t="str">
        <f>VLOOKUP(BA454,MiscData!$V$4:$W$42,2,FALSE)</f>
        <v>KUCME295</v>
      </c>
      <c r="BA454" s="439">
        <f>IF(BA453=MiscData!$V$42,1,BA453+1)</f>
        <v>22</v>
      </c>
      <c r="BB454" s="439" t="str">
        <f>VLOOKUP(AZ454,MiscData!$W$4:$Y$42,3,FALSE)</f>
        <v>TE</v>
      </c>
    </row>
    <row r="455" spans="1:54" hidden="1">
      <c r="A455" s="448">
        <f t="shared" si="318"/>
        <v>365</v>
      </c>
      <c r="B455" s="448" t="str">
        <f t="shared" si="280"/>
        <v>Dec 2015</v>
      </c>
      <c r="C455" s="448" t="s">
        <v>20</v>
      </c>
      <c r="D455" s="449" t="str">
        <f t="shared" si="281"/>
        <v>TE</v>
      </c>
      <c r="E455" s="449" t="str">
        <f t="shared" si="282"/>
        <v>KUCME297</v>
      </c>
      <c r="F455" s="450">
        <f t="shared" si="283"/>
        <v>0</v>
      </c>
      <c r="G455" s="450">
        <v>0</v>
      </c>
      <c r="H455" s="450">
        <v>0</v>
      </c>
      <c r="I455" s="450">
        <v>0</v>
      </c>
      <c r="J455" s="450">
        <f t="shared" si="284"/>
        <v>0</v>
      </c>
      <c r="K455" s="482">
        <f t="shared" si="285"/>
        <v>0</v>
      </c>
      <c r="L455" s="482">
        <f t="shared" si="286"/>
        <v>0</v>
      </c>
      <c r="M455" s="482">
        <f t="shared" si="287"/>
        <v>0</v>
      </c>
      <c r="N455" s="482">
        <f t="shared" si="288"/>
        <v>0</v>
      </c>
      <c r="O455" s="482">
        <f t="shared" si="289"/>
        <v>0</v>
      </c>
      <c r="P455" s="482">
        <f t="shared" si="290"/>
        <v>0</v>
      </c>
      <c r="Q455" s="451">
        <f t="shared" si="291"/>
        <v>3.25</v>
      </c>
      <c r="R455" s="452">
        <f t="shared" si="292"/>
        <v>7.9780000000000004E-2</v>
      </c>
      <c r="S455" s="452">
        <v>0</v>
      </c>
      <c r="T455" s="452">
        <v>0</v>
      </c>
      <c r="U455" s="452">
        <f t="shared" si="293"/>
        <v>2.8920000000000001E-2</v>
      </c>
      <c r="V455" s="451">
        <f t="shared" si="294"/>
        <v>0</v>
      </c>
      <c r="W455" s="451">
        <f t="shared" si="295"/>
        <v>0</v>
      </c>
      <c r="X455" s="451">
        <f t="shared" si="296"/>
        <v>0</v>
      </c>
      <c r="Y455" s="453">
        <f t="shared" si="297"/>
        <v>0</v>
      </c>
      <c r="Z455" s="453">
        <f t="shared" si="298"/>
        <v>0</v>
      </c>
      <c r="AA455" s="453">
        <f t="shared" si="299"/>
        <v>0</v>
      </c>
      <c r="AB455" s="453">
        <f t="shared" si="300"/>
        <v>0</v>
      </c>
      <c r="AC455" s="453">
        <f t="shared" si="301"/>
        <v>0</v>
      </c>
      <c r="AD455" s="453">
        <f t="shared" si="302"/>
        <v>0</v>
      </c>
      <c r="AE455" s="493">
        <f t="shared" si="303"/>
        <v>0</v>
      </c>
      <c r="AF455" s="453">
        <f t="shared" si="304"/>
        <v>0</v>
      </c>
      <c r="AG455" s="494">
        <f t="shared" si="305"/>
        <v>1</v>
      </c>
      <c r="AH455" s="454">
        <f t="shared" si="306"/>
        <v>0</v>
      </c>
      <c r="AI455" s="454">
        <f t="shared" si="307"/>
        <v>0</v>
      </c>
      <c r="AJ455" s="454">
        <f t="shared" si="308"/>
        <v>0</v>
      </c>
      <c r="AK455" s="454">
        <f t="shared" si="309"/>
        <v>0</v>
      </c>
      <c r="AL455" s="454">
        <f t="shared" si="310"/>
        <v>0</v>
      </c>
      <c r="AM455" s="454">
        <f t="shared" si="311"/>
        <v>0</v>
      </c>
      <c r="AN455" s="491">
        <f t="shared" si="312"/>
        <v>0</v>
      </c>
      <c r="AO455" s="487">
        <f t="shared" si="313"/>
        <v>0</v>
      </c>
      <c r="AP455" s="495">
        <f t="shared" si="314"/>
        <v>0</v>
      </c>
      <c r="AQ455" s="496">
        <f t="shared" si="315"/>
        <v>0</v>
      </c>
      <c r="AV455" s="459">
        <f>IF(BA455&gt;BA454,AV454,IF(AV454&lt;MiscData!$F$1,EOMONTH(AV454,1),EOMONTH(AV454,-11)))</f>
        <v>42369</v>
      </c>
      <c r="AW455" s="448" t="str">
        <f t="shared" si="316"/>
        <v>20140101KUCME297</v>
      </c>
      <c r="AX455" s="457" t="str">
        <f t="shared" si="317"/>
        <v>20140101TE</v>
      </c>
      <c r="AY455" s="439">
        <f>IF(AV455&lt;=MiscData!$B$23,MiscData!$C$23,IF(AV455&lt;=MiscData!$B$24,MiscData!$C$24,MiscData!$C$25))</f>
        <v>20140101</v>
      </c>
      <c r="AZ455" s="439" t="str">
        <f>VLOOKUP(BA455,MiscData!$V$4:$W$42,2,FALSE)</f>
        <v>KUCME297</v>
      </c>
      <c r="BA455" s="439">
        <f>IF(BA454=MiscData!$V$42,1,BA454+1)</f>
        <v>23</v>
      </c>
      <c r="BB455" s="439" t="str">
        <f>VLOOKUP(AZ455,MiscData!$W$4:$Y$42,3,FALSE)</f>
        <v>TE</v>
      </c>
    </row>
    <row r="456" spans="1:54" hidden="1">
      <c r="A456" s="448">
        <f t="shared" si="318"/>
        <v>366</v>
      </c>
      <c r="B456" s="448" t="str">
        <f t="shared" si="280"/>
        <v>Dec 2015</v>
      </c>
      <c r="C456" s="448" t="s">
        <v>690</v>
      </c>
      <c r="D456" s="449" t="str">
        <f t="shared" si="281"/>
        <v>SQF</v>
      </c>
      <c r="E456" s="449" t="str">
        <f t="shared" si="282"/>
        <v>KUCME705</v>
      </c>
      <c r="F456" s="450">
        <f t="shared" si="283"/>
        <v>0</v>
      </c>
      <c r="G456" s="450">
        <v>0</v>
      </c>
      <c r="H456" s="450">
        <v>0</v>
      </c>
      <c r="I456" s="450">
        <v>0</v>
      </c>
      <c r="J456" s="450">
        <f t="shared" si="284"/>
        <v>0</v>
      </c>
      <c r="K456" s="482">
        <f t="shared" si="285"/>
        <v>0</v>
      </c>
      <c r="L456" s="482">
        <f t="shared" si="286"/>
        <v>0</v>
      </c>
      <c r="M456" s="482">
        <f t="shared" si="287"/>
        <v>0</v>
      </c>
      <c r="N456" s="482">
        <f t="shared" si="288"/>
        <v>0</v>
      </c>
      <c r="O456" s="482">
        <f t="shared" si="289"/>
        <v>0</v>
      </c>
      <c r="P456" s="482">
        <f t="shared" si="290"/>
        <v>0</v>
      </c>
      <c r="Q456" s="451">
        <f t="shared" si="291"/>
        <v>0</v>
      </c>
      <c r="R456" s="452">
        <f t="shared" si="292"/>
        <v>0</v>
      </c>
      <c r="S456" s="452">
        <v>0</v>
      </c>
      <c r="T456" s="452">
        <v>0</v>
      </c>
      <c r="U456" s="452">
        <f t="shared" si="293"/>
        <v>0</v>
      </c>
      <c r="V456" s="451">
        <f t="shared" si="294"/>
        <v>0</v>
      </c>
      <c r="W456" s="451">
        <f t="shared" si="295"/>
        <v>0</v>
      </c>
      <c r="X456" s="451">
        <f t="shared" si="296"/>
        <v>0</v>
      </c>
      <c r="Y456" s="453">
        <f t="shared" si="297"/>
        <v>0</v>
      </c>
      <c r="Z456" s="453">
        <f t="shared" si="298"/>
        <v>0</v>
      </c>
      <c r="AA456" s="453">
        <f t="shared" si="299"/>
        <v>0</v>
      </c>
      <c r="AB456" s="453">
        <f t="shared" si="300"/>
        <v>0</v>
      </c>
      <c r="AC456" s="453">
        <f t="shared" si="301"/>
        <v>0</v>
      </c>
      <c r="AD456" s="453">
        <f t="shared" si="302"/>
        <v>0</v>
      </c>
      <c r="AE456" s="493">
        <f t="shared" si="303"/>
        <v>0</v>
      </c>
      <c r="AF456" s="453">
        <f t="shared" si="304"/>
        <v>0</v>
      </c>
      <c r="AG456" s="494">
        <f t="shared" si="305"/>
        <v>1</v>
      </c>
      <c r="AH456" s="454">
        <f t="shared" si="306"/>
        <v>0</v>
      </c>
      <c r="AI456" s="454">
        <f t="shared" si="307"/>
        <v>0</v>
      </c>
      <c r="AJ456" s="454">
        <f t="shared" si="308"/>
        <v>0</v>
      </c>
      <c r="AK456" s="454">
        <f t="shared" si="309"/>
        <v>0</v>
      </c>
      <c r="AL456" s="454">
        <f t="shared" si="310"/>
        <v>0</v>
      </c>
      <c r="AM456" s="454">
        <f t="shared" si="311"/>
        <v>0</v>
      </c>
      <c r="AN456" s="491">
        <f t="shared" si="312"/>
        <v>0</v>
      </c>
      <c r="AO456" s="487">
        <f t="shared" si="313"/>
        <v>0</v>
      </c>
      <c r="AP456" s="495">
        <f t="shared" si="314"/>
        <v>0</v>
      </c>
      <c r="AQ456" s="496">
        <f t="shared" si="315"/>
        <v>0</v>
      </c>
      <c r="AV456" s="459">
        <f>IF(BA456&gt;BA455,AV455,IF(AV455&lt;MiscData!$F$1,EOMONTH(AV455,1),EOMONTH(AV455,-11)))</f>
        <v>42369</v>
      </c>
      <c r="AW456" s="448" t="str">
        <f t="shared" si="316"/>
        <v>20140101KUCME705</v>
      </c>
      <c r="AX456" s="457" t="str">
        <f t="shared" si="317"/>
        <v>20140101SQF</v>
      </c>
      <c r="AY456" s="439">
        <f>IF(AV456&lt;=MiscData!$B$23,MiscData!$C$23,IF(AV456&lt;=MiscData!$B$24,MiscData!$C$24,MiscData!$C$25))</f>
        <v>20140101</v>
      </c>
      <c r="AZ456" s="439" t="str">
        <f>VLOOKUP(BA456,MiscData!$V$4:$W$42,2,FALSE)</f>
        <v>KUCME705</v>
      </c>
      <c r="BA456" s="439">
        <f>IF(BA455=MiscData!$V$42,1,BA455+1)</f>
        <v>24</v>
      </c>
      <c r="BB456" s="439" t="str">
        <f>VLOOKUP(AZ456,MiscData!$W$4:$Y$42,3,FALSE)</f>
        <v>SQF</v>
      </c>
    </row>
    <row r="457" spans="1:54" hidden="1">
      <c r="A457" s="448">
        <f t="shared" si="318"/>
        <v>367</v>
      </c>
      <c r="B457" s="448" t="str">
        <f t="shared" si="280"/>
        <v>Dec 2015</v>
      </c>
      <c r="C457" s="448" t="s">
        <v>1156</v>
      </c>
      <c r="D457" s="449" t="str">
        <f t="shared" si="281"/>
        <v>LQF</v>
      </c>
      <c r="E457" s="449" t="str">
        <f t="shared" si="282"/>
        <v>KUCME707</v>
      </c>
      <c r="F457" s="450">
        <f t="shared" si="283"/>
        <v>0</v>
      </c>
      <c r="G457" s="450">
        <v>0</v>
      </c>
      <c r="H457" s="450">
        <v>0</v>
      </c>
      <c r="I457" s="450">
        <v>0</v>
      </c>
      <c r="J457" s="450">
        <f t="shared" si="284"/>
        <v>0</v>
      </c>
      <c r="K457" s="482">
        <f t="shared" si="285"/>
        <v>0</v>
      </c>
      <c r="L457" s="482">
        <f t="shared" si="286"/>
        <v>0</v>
      </c>
      <c r="M457" s="482">
        <f t="shared" si="287"/>
        <v>0</v>
      </c>
      <c r="N457" s="482">
        <f t="shared" si="288"/>
        <v>0</v>
      </c>
      <c r="O457" s="482">
        <f t="shared" si="289"/>
        <v>0</v>
      </c>
      <c r="P457" s="482">
        <f t="shared" si="290"/>
        <v>0</v>
      </c>
      <c r="Q457" s="451">
        <f t="shared" si="291"/>
        <v>0</v>
      </c>
      <c r="R457" s="452">
        <f t="shared" si="292"/>
        <v>0</v>
      </c>
      <c r="S457" s="452">
        <v>0</v>
      </c>
      <c r="T457" s="452">
        <v>0</v>
      </c>
      <c r="U457" s="452">
        <f t="shared" si="293"/>
        <v>0</v>
      </c>
      <c r="V457" s="451">
        <f t="shared" si="294"/>
        <v>0</v>
      </c>
      <c r="W457" s="451">
        <f t="shared" si="295"/>
        <v>0</v>
      </c>
      <c r="X457" s="451">
        <f t="shared" si="296"/>
        <v>0</v>
      </c>
      <c r="Y457" s="453">
        <f t="shared" si="297"/>
        <v>0</v>
      </c>
      <c r="Z457" s="453">
        <f t="shared" si="298"/>
        <v>0</v>
      </c>
      <c r="AA457" s="453">
        <f t="shared" si="299"/>
        <v>0</v>
      </c>
      <c r="AB457" s="453">
        <f t="shared" si="300"/>
        <v>0</v>
      </c>
      <c r="AC457" s="453">
        <f t="shared" si="301"/>
        <v>0</v>
      </c>
      <c r="AD457" s="453">
        <f t="shared" si="302"/>
        <v>0</v>
      </c>
      <c r="AE457" s="493">
        <f t="shared" si="303"/>
        <v>0</v>
      </c>
      <c r="AF457" s="453">
        <f t="shared" si="304"/>
        <v>0</v>
      </c>
      <c r="AG457" s="494">
        <f t="shared" si="305"/>
        <v>1</v>
      </c>
      <c r="AH457" s="454">
        <f t="shared" si="306"/>
        <v>0</v>
      </c>
      <c r="AI457" s="454">
        <f t="shared" si="307"/>
        <v>0</v>
      </c>
      <c r="AJ457" s="454">
        <f t="shared" si="308"/>
        <v>0</v>
      </c>
      <c r="AK457" s="454">
        <f t="shared" si="309"/>
        <v>0</v>
      </c>
      <c r="AL457" s="454">
        <f t="shared" si="310"/>
        <v>0</v>
      </c>
      <c r="AM457" s="454">
        <f t="shared" si="311"/>
        <v>0</v>
      </c>
      <c r="AN457" s="491">
        <f t="shared" si="312"/>
        <v>0</v>
      </c>
      <c r="AO457" s="487">
        <f t="shared" si="313"/>
        <v>0</v>
      </c>
      <c r="AP457" s="495">
        <f t="shared" si="314"/>
        <v>0</v>
      </c>
      <c r="AQ457" s="496">
        <f t="shared" si="315"/>
        <v>0</v>
      </c>
      <c r="AV457" s="459">
        <f>IF(BA457&gt;BA456,AV456,IF(AV456&lt;MiscData!$F$1,EOMONTH(AV456,1),EOMONTH(AV456,-11)))</f>
        <v>42369</v>
      </c>
      <c r="AW457" s="448" t="str">
        <f t="shared" si="316"/>
        <v>20140101KUCME707</v>
      </c>
      <c r="AX457" s="457" t="str">
        <f t="shared" si="317"/>
        <v>20140101LQF</v>
      </c>
      <c r="AY457" s="439">
        <f>IF(AV457&lt;=MiscData!$B$23,MiscData!$C$23,IF(AV457&lt;=MiscData!$B$24,MiscData!$C$24,MiscData!$C$25))</f>
        <v>20140101</v>
      </c>
      <c r="AZ457" s="439" t="str">
        <f>VLOOKUP(BA457,MiscData!$V$4:$W$42,2,FALSE)</f>
        <v>KUCME707</v>
      </c>
      <c r="BA457" s="439">
        <f>IF(BA456=MiscData!$V$42,1,BA456+1)</f>
        <v>25</v>
      </c>
      <c r="BB457" s="439" t="str">
        <f>VLOOKUP(AZ457,MiscData!$W$4:$Y$42,3,FALSE)</f>
        <v>LQF</v>
      </c>
    </row>
    <row r="458" spans="1:54">
      <c r="A458" s="499">
        <f t="shared" si="318"/>
        <v>368</v>
      </c>
      <c r="B458" s="448" t="str">
        <f t="shared" si="280"/>
        <v>Dec 2015</v>
      </c>
      <c r="C458" s="448" t="s">
        <v>208</v>
      </c>
      <c r="D458" s="449" t="str">
        <f t="shared" si="281"/>
        <v>GS</v>
      </c>
      <c r="E458" s="449" t="str">
        <f t="shared" si="282"/>
        <v>KUCME710</v>
      </c>
      <c r="F458" s="450">
        <f t="shared" si="283"/>
        <v>0</v>
      </c>
      <c r="G458" s="450">
        <v>0</v>
      </c>
      <c r="H458" s="450">
        <v>0</v>
      </c>
      <c r="I458" s="450">
        <v>0</v>
      </c>
      <c r="J458" s="450">
        <f t="shared" si="284"/>
        <v>0</v>
      </c>
      <c r="K458" s="482">
        <f t="shared" si="285"/>
        <v>0</v>
      </c>
      <c r="L458" s="482">
        <f t="shared" si="286"/>
        <v>0</v>
      </c>
      <c r="M458" s="482">
        <f t="shared" si="287"/>
        <v>0</v>
      </c>
      <c r="N458" s="482">
        <f t="shared" si="288"/>
        <v>0</v>
      </c>
      <c r="O458" s="482">
        <f t="shared" si="289"/>
        <v>0</v>
      </c>
      <c r="P458" s="482">
        <f t="shared" si="290"/>
        <v>0</v>
      </c>
      <c r="Q458" s="451">
        <f t="shared" si="291"/>
        <v>20</v>
      </c>
      <c r="R458" s="452">
        <f t="shared" si="292"/>
        <v>9.2249999999999999E-2</v>
      </c>
      <c r="S458" s="452">
        <v>0</v>
      </c>
      <c r="T458" s="452">
        <v>0</v>
      </c>
      <c r="U458" s="452">
        <f t="shared" si="293"/>
        <v>2.8920000000000001E-2</v>
      </c>
      <c r="V458" s="451">
        <f t="shared" si="294"/>
        <v>0</v>
      </c>
      <c r="W458" s="451">
        <f t="shared" si="295"/>
        <v>0</v>
      </c>
      <c r="X458" s="451">
        <f t="shared" si="296"/>
        <v>0</v>
      </c>
      <c r="Y458" s="453">
        <f t="shared" si="297"/>
        <v>0</v>
      </c>
      <c r="Z458" s="453">
        <f t="shared" si="298"/>
        <v>0</v>
      </c>
      <c r="AA458" s="453">
        <f t="shared" si="299"/>
        <v>0</v>
      </c>
      <c r="AB458" s="453">
        <f t="shared" si="300"/>
        <v>0</v>
      </c>
      <c r="AC458" s="453">
        <f t="shared" si="301"/>
        <v>0</v>
      </c>
      <c r="AD458" s="453">
        <f t="shared" si="302"/>
        <v>0</v>
      </c>
      <c r="AE458" s="493">
        <f t="shared" si="303"/>
        <v>0</v>
      </c>
      <c r="AF458" s="453">
        <f t="shared" si="304"/>
        <v>0</v>
      </c>
      <c r="AG458" s="494">
        <f t="shared" si="305"/>
        <v>1</v>
      </c>
      <c r="AH458" s="454">
        <f t="shared" si="306"/>
        <v>0</v>
      </c>
      <c r="AI458" s="454">
        <f t="shared" si="307"/>
        <v>0</v>
      </c>
      <c r="AJ458" s="454">
        <f t="shared" si="308"/>
        <v>0</v>
      </c>
      <c r="AK458" s="454">
        <f t="shared" si="309"/>
        <v>0</v>
      </c>
      <c r="AL458" s="454">
        <f t="shared" si="310"/>
        <v>0</v>
      </c>
      <c r="AM458" s="454">
        <f t="shared" si="311"/>
        <v>0</v>
      </c>
      <c r="AN458" s="491">
        <f t="shared" si="312"/>
        <v>0</v>
      </c>
      <c r="AO458" s="487">
        <f t="shared" si="313"/>
        <v>0</v>
      </c>
      <c r="AP458" s="495">
        <f t="shared" si="314"/>
        <v>0</v>
      </c>
      <c r="AQ458" s="496">
        <f t="shared" si="315"/>
        <v>0</v>
      </c>
      <c r="AV458" s="459">
        <f>IF(BA458&gt;BA457,AV457,IF(AV457&lt;MiscData!$F$1,EOMONTH(AV457,1),EOMONTH(AV457,-11)))</f>
        <v>42369</v>
      </c>
      <c r="AW458" s="448" t="str">
        <f t="shared" si="316"/>
        <v>20140101KUCME710</v>
      </c>
      <c r="AX458" s="457" t="str">
        <f t="shared" si="317"/>
        <v>20140101GS</v>
      </c>
      <c r="AY458" s="439">
        <f>IF(AV458&lt;=MiscData!$B$23,MiscData!$C$23,IF(AV458&lt;=MiscData!$B$24,MiscData!$C$24,MiscData!$C$25))</f>
        <v>20140101</v>
      </c>
      <c r="AZ458" s="439" t="str">
        <f>VLOOKUP(BA458,MiscData!$V$4:$W$42,2,FALSE)</f>
        <v>KUCME710</v>
      </c>
      <c r="BA458" s="439">
        <f>IF(BA457=MiscData!$V$42,1,BA457+1)</f>
        <v>26</v>
      </c>
      <c r="BB458" s="511" t="str">
        <f>VLOOKUP(AZ458,MiscData!$W$4:$Y$42,3,FALSE)</f>
        <v>GS</v>
      </c>
    </row>
    <row r="459" spans="1:54">
      <c r="A459" s="448">
        <f t="shared" si="318"/>
        <v>369</v>
      </c>
      <c r="B459" s="448" t="str">
        <f t="shared" si="280"/>
        <v>Dec 2015</v>
      </c>
      <c r="C459" s="448" t="s">
        <v>17</v>
      </c>
      <c r="D459" s="449" t="str">
        <f t="shared" si="281"/>
        <v>GS3</v>
      </c>
      <c r="E459" s="449" t="str">
        <f t="shared" si="282"/>
        <v>KUCME713</v>
      </c>
      <c r="F459" s="450">
        <f t="shared" si="283"/>
        <v>0</v>
      </c>
      <c r="G459" s="450">
        <v>0</v>
      </c>
      <c r="H459" s="450">
        <v>0</v>
      </c>
      <c r="I459" s="450">
        <v>0</v>
      </c>
      <c r="J459" s="450">
        <f t="shared" si="284"/>
        <v>0</v>
      </c>
      <c r="K459" s="482">
        <f t="shared" si="285"/>
        <v>0</v>
      </c>
      <c r="L459" s="482">
        <f t="shared" si="286"/>
        <v>0</v>
      </c>
      <c r="M459" s="482">
        <f t="shared" si="287"/>
        <v>0</v>
      </c>
      <c r="N459" s="482">
        <f t="shared" si="288"/>
        <v>0</v>
      </c>
      <c r="O459" s="482">
        <f t="shared" si="289"/>
        <v>0</v>
      </c>
      <c r="P459" s="482">
        <f t="shared" si="290"/>
        <v>0</v>
      </c>
      <c r="Q459" s="451">
        <f t="shared" si="291"/>
        <v>35</v>
      </c>
      <c r="R459" s="452">
        <f t="shared" si="292"/>
        <v>9.2249999999999999E-2</v>
      </c>
      <c r="S459" s="452">
        <v>0</v>
      </c>
      <c r="T459" s="452">
        <v>0</v>
      </c>
      <c r="U459" s="452">
        <f t="shared" si="293"/>
        <v>2.8920000000000001E-2</v>
      </c>
      <c r="V459" s="451">
        <f t="shared" si="294"/>
        <v>0</v>
      </c>
      <c r="W459" s="451">
        <f t="shared" si="295"/>
        <v>0</v>
      </c>
      <c r="X459" s="451">
        <f t="shared" si="296"/>
        <v>0</v>
      </c>
      <c r="Y459" s="453">
        <f t="shared" si="297"/>
        <v>0</v>
      </c>
      <c r="Z459" s="453">
        <f t="shared" si="298"/>
        <v>0</v>
      </c>
      <c r="AA459" s="453">
        <f t="shared" si="299"/>
        <v>0</v>
      </c>
      <c r="AB459" s="453">
        <f t="shared" si="300"/>
        <v>0</v>
      </c>
      <c r="AC459" s="453">
        <f t="shared" si="301"/>
        <v>0</v>
      </c>
      <c r="AD459" s="453">
        <f t="shared" si="302"/>
        <v>0</v>
      </c>
      <c r="AE459" s="493">
        <f t="shared" si="303"/>
        <v>0</v>
      </c>
      <c r="AF459" s="453">
        <f t="shared" si="304"/>
        <v>0</v>
      </c>
      <c r="AG459" s="494">
        <f t="shared" si="305"/>
        <v>1</v>
      </c>
      <c r="AH459" s="454">
        <f t="shared" si="306"/>
        <v>0</v>
      </c>
      <c r="AI459" s="454">
        <f t="shared" si="307"/>
        <v>0</v>
      </c>
      <c r="AJ459" s="454">
        <f t="shared" si="308"/>
        <v>0</v>
      </c>
      <c r="AK459" s="454">
        <f t="shared" si="309"/>
        <v>0</v>
      </c>
      <c r="AL459" s="454">
        <f t="shared" si="310"/>
        <v>0</v>
      </c>
      <c r="AM459" s="454">
        <f t="shared" si="311"/>
        <v>0</v>
      </c>
      <c r="AN459" s="491">
        <f t="shared" si="312"/>
        <v>0</v>
      </c>
      <c r="AO459" s="487">
        <f t="shared" si="313"/>
        <v>0</v>
      </c>
      <c r="AP459" s="495">
        <f t="shared" si="314"/>
        <v>0</v>
      </c>
      <c r="AQ459" s="496">
        <f t="shared" si="315"/>
        <v>0</v>
      </c>
      <c r="AV459" s="459">
        <f>IF(BA459&gt;BA458,AV458,IF(AV458&lt;MiscData!$F$1,EOMONTH(AV458,1),EOMONTH(AV458,-11)))</f>
        <v>42369</v>
      </c>
      <c r="AW459" s="448" t="str">
        <f t="shared" si="316"/>
        <v>20140101KUCME713</v>
      </c>
      <c r="AX459" s="457" t="str">
        <f t="shared" si="317"/>
        <v>20140101GS3</v>
      </c>
      <c r="AY459" s="439">
        <f>IF(AV459&lt;=MiscData!$B$23,MiscData!$C$23,IF(AV459&lt;=MiscData!$B$24,MiscData!$C$24,MiscData!$C$25))</f>
        <v>20140101</v>
      </c>
      <c r="AZ459" s="439" t="str">
        <f>VLOOKUP(BA459,MiscData!$V$4:$W$42,2,FALSE)</f>
        <v>KUCME713</v>
      </c>
      <c r="BA459" s="439">
        <f>IF(BA458=MiscData!$V$42,1,BA458+1)</f>
        <v>27</v>
      </c>
      <c r="BB459" s="439" t="str">
        <f>VLOOKUP(AZ459,MiscData!$W$4:$Y$42,3,FALSE)</f>
        <v>GS3</v>
      </c>
    </row>
    <row r="460" spans="1:54" hidden="1">
      <c r="A460" s="448">
        <f t="shared" si="318"/>
        <v>370</v>
      </c>
      <c r="B460" s="448" t="str">
        <f t="shared" si="280"/>
        <v>Dec 2015</v>
      </c>
      <c r="C460" s="448" t="s">
        <v>1471</v>
      </c>
      <c r="D460" s="449" t="str">
        <f t="shared" si="281"/>
        <v>CSR10</v>
      </c>
      <c r="E460" s="449" t="str">
        <f t="shared" si="282"/>
        <v>KUCSR760</v>
      </c>
      <c r="F460" s="450">
        <f t="shared" si="283"/>
        <v>0</v>
      </c>
      <c r="G460" s="450">
        <v>0</v>
      </c>
      <c r="H460" s="450">
        <v>0</v>
      </c>
      <c r="I460" s="450">
        <v>0</v>
      </c>
      <c r="J460" s="450">
        <f t="shared" si="284"/>
        <v>0</v>
      </c>
      <c r="K460" s="482">
        <f t="shared" si="285"/>
        <v>0</v>
      </c>
      <c r="L460" s="482">
        <f t="shared" si="286"/>
        <v>0</v>
      </c>
      <c r="M460" s="482">
        <f t="shared" si="287"/>
        <v>0</v>
      </c>
      <c r="N460" s="482">
        <f t="shared" si="288"/>
        <v>0</v>
      </c>
      <c r="O460" s="482">
        <f t="shared" si="289"/>
        <v>0</v>
      </c>
      <c r="P460" s="482">
        <f t="shared" si="290"/>
        <v>0</v>
      </c>
      <c r="Q460" s="451">
        <f t="shared" si="291"/>
        <v>0</v>
      </c>
      <c r="R460" s="452">
        <f t="shared" si="292"/>
        <v>0</v>
      </c>
      <c r="S460" s="452">
        <v>0</v>
      </c>
      <c r="T460" s="452">
        <v>0</v>
      </c>
      <c r="U460" s="452">
        <f t="shared" si="293"/>
        <v>0</v>
      </c>
      <c r="V460" s="451">
        <f t="shared" si="294"/>
        <v>-5.4</v>
      </c>
      <c r="W460" s="451">
        <f t="shared" si="295"/>
        <v>0</v>
      </c>
      <c r="X460" s="451">
        <f t="shared" si="296"/>
        <v>0</v>
      </c>
      <c r="Y460" s="453">
        <f t="shared" si="297"/>
        <v>0</v>
      </c>
      <c r="Z460" s="453">
        <f t="shared" si="298"/>
        <v>0</v>
      </c>
      <c r="AA460" s="453">
        <f t="shared" si="299"/>
        <v>0</v>
      </c>
      <c r="AB460" s="453">
        <f t="shared" si="300"/>
        <v>0</v>
      </c>
      <c r="AC460" s="453">
        <f t="shared" si="301"/>
        <v>0</v>
      </c>
      <c r="AD460" s="453">
        <f t="shared" si="302"/>
        <v>0</v>
      </c>
      <c r="AE460" s="493">
        <f t="shared" si="303"/>
        <v>0</v>
      </c>
      <c r="AF460" s="453">
        <f t="shared" si="304"/>
        <v>0</v>
      </c>
      <c r="AG460" s="494">
        <f t="shared" si="305"/>
        <v>1</v>
      </c>
      <c r="AH460" s="454">
        <f t="shared" si="306"/>
        <v>0</v>
      </c>
      <c r="AI460" s="454">
        <f t="shared" si="307"/>
        <v>0</v>
      </c>
      <c r="AJ460" s="454">
        <f t="shared" si="308"/>
        <v>0</v>
      </c>
      <c r="AK460" s="454">
        <f t="shared" si="309"/>
        <v>0</v>
      </c>
      <c r="AL460" s="454">
        <f t="shared" si="310"/>
        <v>-989829</v>
      </c>
      <c r="AM460" s="454">
        <f t="shared" si="311"/>
        <v>-989829</v>
      </c>
      <c r="AN460" s="491">
        <f t="shared" si="312"/>
        <v>-989829</v>
      </c>
      <c r="AO460" s="487">
        <f t="shared" si="313"/>
        <v>0</v>
      </c>
      <c r="AP460" s="495">
        <f t="shared" si="314"/>
        <v>0</v>
      </c>
      <c r="AQ460" s="496">
        <f t="shared" si="315"/>
        <v>0</v>
      </c>
      <c r="AV460" s="459">
        <f>IF(BA460&gt;BA459,AV459,IF(AV459&lt;MiscData!$F$1,EOMONTH(AV459,1),EOMONTH(AV459,-11)))</f>
        <v>42369</v>
      </c>
      <c r="AW460" s="448" t="str">
        <f t="shared" si="316"/>
        <v>20140101KUCSR760</v>
      </c>
      <c r="AX460" s="457" t="str">
        <f t="shared" si="317"/>
        <v>20140101CSR10</v>
      </c>
      <c r="AY460" s="439">
        <f>IF(AV460&lt;=MiscData!$B$23,MiscData!$C$23,IF(AV460&lt;=MiscData!$B$24,MiscData!$C$24,MiscData!$C$25))</f>
        <v>20140101</v>
      </c>
      <c r="AZ460" s="439" t="str">
        <f>VLOOKUP(BA460,MiscData!$V$4:$W$42,2,FALSE)</f>
        <v>KUCSR760</v>
      </c>
      <c r="BA460" s="439">
        <f>IF(BA459=MiscData!$V$42,1,BA459+1)</f>
        <v>28</v>
      </c>
      <c r="BB460" s="439" t="str">
        <f>VLOOKUP(AZ460,MiscData!$W$4:$Y$42,3,FALSE)</f>
        <v>CSR10</v>
      </c>
    </row>
    <row r="461" spans="1:54" hidden="1">
      <c r="A461" s="448">
        <f t="shared" ref="A461:A466" si="319">A443+1</f>
        <v>368</v>
      </c>
      <c r="B461" s="448" t="str">
        <f t="shared" si="280"/>
        <v>Dec 2015</v>
      </c>
      <c r="C461" s="448" t="s">
        <v>1471</v>
      </c>
      <c r="D461" s="449" t="str">
        <f t="shared" si="281"/>
        <v>CSR10</v>
      </c>
      <c r="E461" s="449" t="str">
        <f t="shared" si="282"/>
        <v>KUCSR761</v>
      </c>
      <c r="F461" s="450">
        <f t="shared" si="283"/>
        <v>0</v>
      </c>
      <c r="G461" s="450">
        <v>0</v>
      </c>
      <c r="H461" s="450">
        <v>0</v>
      </c>
      <c r="I461" s="450">
        <v>0</v>
      </c>
      <c r="J461" s="450">
        <f t="shared" si="284"/>
        <v>0</v>
      </c>
      <c r="K461" s="482">
        <f t="shared" si="285"/>
        <v>0</v>
      </c>
      <c r="L461" s="482">
        <f t="shared" si="286"/>
        <v>0</v>
      </c>
      <c r="M461" s="482">
        <f t="shared" si="287"/>
        <v>0</v>
      </c>
      <c r="N461" s="482">
        <f t="shared" si="288"/>
        <v>0</v>
      </c>
      <c r="O461" s="482">
        <f t="shared" si="289"/>
        <v>0</v>
      </c>
      <c r="P461" s="482">
        <f t="shared" si="290"/>
        <v>0</v>
      </c>
      <c r="Q461" s="451">
        <f t="shared" si="291"/>
        <v>0</v>
      </c>
      <c r="R461" s="452">
        <f t="shared" si="292"/>
        <v>0</v>
      </c>
      <c r="S461" s="452">
        <v>0</v>
      </c>
      <c r="T461" s="452">
        <v>0</v>
      </c>
      <c r="U461" s="452">
        <f t="shared" si="293"/>
        <v>0</v>
      </c>
      <c r="V461" s="451">
        <f t="shared" si="294"/>
        <v>-5.5</v>
      </c>
      <c r="W461" s="451">
        <f t="shared" si="295"/>
        <v>0</v>
      </c>
      <c r="X461" s="451">
        <f t="shared" si="296"/>
        <v>0</v>
      </c>
      <c r="Y461" s="453">
        <f t="shared" si="297"/>
        <v>0</v>
      </c>
      <c r="Z461" s="453">
        <f t="shared" si="298"/>
        <v>0</v>
      </c>
      <c r="AA461" s="453">
        <f t="shared" si="299"/>
        <v>0</v>
      </c>
      <c r="AB461" s="453">
        <f t="shared" si="300"/>
        <v>0</v>
      </c>
      <c r="AC461" s="453">
        <f t="shared" si="301"/>
        <v>0</v>
      </c>
      <c r="AD461" s="453">
        <f t="shared" si="302"/>
        <v>0</v>
      </c>
      <c r="AE461" s="493">
        <f t="shared" si="303"/>
        <v>0</v>
      </c>
      <c r="AF461" s="453">
        <f t="shared" si="304"/>
        <v>0</v>
      </c>
      <c r="AG461" s="494">
        <f t="shared" si="305"/>
        <v>1</v>
      </c>
      <c r="AH461" s="454">
        <f t="shared" si="306"/>
        <v>0</v>
      </c>
      <c r="AI461" s="454">
        <f t="shared" si="307"/>
        <v>0</v>
      </c>
      <c r="AJ461" s="454">
        <f t="shared" si="308"/>
        <v>0</v>
      </c>
      <c r="AK461" s="454">
        <f t="shared" si="309"/>
        <v>0</v>
      </c>
      <c r="AL461" s="454">
        <f t="shared" si="310"/>
        <v>0</v>
      </c>
      <c r="AM461" s="454">
        <f t="shared" si="311"/>
        <v>0</v>
      </c>
      <c r="AN461" s="491">
        <f t="shared" si="312"/>
        <v>0</v>
      </c>
      <c r="AO461" s="487">
        <f t="shared" si="313"/>
        <v>0</v>
      </c>
      <c r="AP461" s="495">
        <f t="shared" si="314"/>
        <v>0</v>
      </c>
      <c r="AQ461" s="496">
        <f t="shared" si="315"/>
        <v>0</v>
      </c>
      <c r="AV461" s="459">
        <f>IF(BA461&gt;BA457,AV457,IF(AV457&lt;MiscData!$F$1,EOMONTH(AV457,1),EOMONTH(AV457,-11)))</f>
        <v>42369</v>
      </c>
      <c r="AW461" s="448" t="str">
        <f t="shared" si="316"/>
        <v>20140101KUCSR761</v>
      </c>
      <c r="AX461" s="457" t="str">
        <f t="shared" si="317"/>
        <v>20140101CSR10</v>
      </c>
      <c r="AY461" s="439">
        <f>IF(AV461&lt;=MiscData!$B$23,MiscData!$C$23,IF(AV461&lt;=MiscData!$B$24,MiscData!$C$24,MiscData!$C$25))</f>
        <v>20140101</v>
      </c>
      <c r="AZ461" s="439" t="str">
        <f>VLOOKUP(BA461,MiscData!$V$4:$W$42,2,FALSE)</f>
        <v>KUCSR761</v>
      </c>
      <c r="BA461" s="439">
        <f>IF(BA460=MiscData!$V$42,1,BA460+1)</f>
        <v>29</v>
      </c>
      <c r="BB461" s="439" t="str">
        <f>VLOOKUP(AZ461,MiscData!$W$4:$Y$42,3,FALSE)</f>
        <v>CSR10</v>
      </c>
    </row>
    <row r="462" spans="1:54" hidden="1">
      <c r="A462" s="499">
        <f t="shared" si="319"/>
        <v>369</v>
      </c>
      <c r="B462" s="448" t="str">
        <f t="shared" si="280"/>
        <v>Dec 2015</v>
      </c>
      <c r="C462" s="448" t="s">
        <v>1472</v>
      </c>
      <c r="D462" s="449" t="str">
        <f t="shared" si="281"/>
        <v>CSR30</v>
      </c>
      <c r="E462" s="449" t="str">
        <f t="shared" si="282"/>
        <v>KUCSR780</v>
      </c>
      <c r="F462" s="450">
        <f t="shared" si="283"/>
        <v>0</v>
      </c>
      <c r="G462" s="450">
        <v>0</v>
      </c>
      <c r="H462" s="450">
        <v>0</v>
      </c>
      <c r="I462" s="450">
        <v>0</v>
      </c>
      <c r="J462" s="450">
        <f t="shared" si="284"/>
        <v>0</v>
      </c>
      <c r="K462" s="482">
        <f t="shared" si="285"/>
        <v>0</v>
      </c>
      <c r="L462" s="482">
        <f t="shared" si="286"/>
        <v>0</v>
      </c>
      <c r="M462" s="482">
        <f t="shared" si="287"/>
        <v>0</v>
      </c>
      <c r="N462" s="482">
        <f t="shared" si="288"/>
        <v>0</v>
      </c>
      <c r="O462" s="482">
        <f t="shared" si="289"/>
        <v>0</v>
      </c>
      <c r="P462" s="482">
        <f t="shared" si="290"/>
        <v>0</v>
      </c>
      <c r="Q462" s="451">
        <f t="shared" si="291"/>
        <v>0</v>
      </c>
      <c r="R462" s="452">
        <f t="shared" si="292"/>
        <v>0</v>
      </c>
      <c r="S462" s="452">
        <v>0</v>
      </c>
      <c r="T462" s="452">
        <v>0</v>
      </c>
      <c r="U462" s="452">
        <f t="shared" si="293"/>
        <v>0</v>
      </c>
      <c r="V462" s="451">
        <f t="shared" si="294"/>
        <v>-4.3</v>
      </c>
      <c r="W462" s="451">
        <f t="shared" si="295"/>
        <v>0</v>
      </c>
      <c r="X462" s="451">
        <f t="shared" si="296"/>
        <v>0</v>
      </c>
      <c r="Y462" s="453">
        <f t="shared" si="297"/>
        <v>0</v>
      </c>
      <c r="Z462" s="453">
        <f t="shared" si="298"/>
        <v>0</v>
      </c>
      <c r="AA462" s="453">
        <f t="shared" si="299"/>
        <v>0</v>
      </c>
      <c r="AB462" s="453">
        <f t="shared" si="300"/>
        <v>0</v>
      </c>
      <c r="AC462" s="453">
        <f t="shared" si="301"/>
        <v>0</v>
      </c>
      <c r="AD462" s="453">
        <f t="shared" si="302"/>
        <v>0</v>
      </c>
      <c r="AE462" s="493">
        <f t="shared" si="303"/>
        <v>0</v>
      </c>
      <c r="AF462" s="453">
        <f t="shared" si="304"/>
        <v>0</v>
      </c>
      <c r="AG462" s="494">
        <f t="shared" si="305"/>
        <v>1</v>
      </c>
      <c r="AH462" s="454">
        <f t="shared" si="306"/>
        <v>0</v>
      </c>
      <c r="AI462" s="454">
        <f t="shared" si="307"/>
        <v>0</v>
      </c>
      <c r="AJ462" s="454">
        <f t="shared" si="308"/>
        <v>0</v>
      </c>
      <c r="AK462" s="454">
        <f t="shared" si="309"/>
        <v>0</v>
      </c>
      <c r="AL462" s="454">
        <f t="shared" si="310"/>
        <v>0</v>
      </c>
      <c r="AM462" s="454">
        <f t="shared" si="311"/>
        <v>0</v>
      </c>
      <c r="AN462" s="491">
        <f t="shared" si="312"/>
        <v>0</v>
      </c>
      <c r="AO462" s="487">
        <f t="shared" si="313"/>
        <v>0</v>
      </c>
      <c r="AP462" s="495">
        <f t="shared" si="314"/>
        <v>0</v>
      </c>
      <c r="AQ462" s="510">
        <f t="shared" si="315"/>
        <v>0</v>
      </c>
      <c r="AV462" s="459">
        <f>IF(BA462&gt;BA458,AV458,IF(AV458&lt;MiscData!$F$1,EOMONTH(AV458,1),EOMONTH(AV458,-11)))</f>
        <v>42369</v>
      </c>
      <c r="AW462" s="448" t="str">
        <f t="shared" si="316"/>
        <v>20140101KUCSR780</v>
      </c>
      <c r="AX462" s="457" t="str">
        <f t="shared" si="317"/>
        <v>20140101CSR30</v>
      </c>
      <c r="AY462" s="439">
        <f>IF(AV462&lt;=MiscData!$B$23,MiscData!$C$23,IF(AV462&lt;=MiscData!$B$24,MiscData!$C$24,MiscData!$C$25))</f>
        <v>20140101</v>
      </c>
      <c r="AZ462" s="439" t="str">
        <f>VLOOKUP(BA462,MiscData!$V$4:$W$42,2,FALSE)</f>
        <v>KUCSR780</v>
      </c>
      <c r="BA462" s="439">
        <f>IF(BA461=MiscData!$V$42,1,BA461+1)</f>
        <v>30</v>
      </c>
      <c r="BB462" s="439" t="str">
        <f>VLOOKUP(AZ462,MiscData!$W$4:$Y$42,3,FALSE)</f>
        <v>CSR30</v>
      </c>
    </row>
    <row r="463" spans="1:54" hidden="1">
      <c r="A463" s="499">
        <f t="shared" si="319"/>
        <v>370</v>
      </c>
      <c r="B463" s="448" t="str">
        <f t="shared" si="280"/>
        <v>Dec 2015</v>
      </c>
      <c r="C463" s="448" t="s">
        <v>1472</v>
      </c>
      <c r="D463" s="449" t="str">
        <f t="shared" si="281"/>
        <v>CSR30</v>
      </c>
      <c r="E463" s="449" t="str">
        <f t="shared" si="282"/>
        <v>KUCSR781</v>
      </c>
      <c r="F463" s="450">
        <f t="shared" si="283"/>
        <v>0</v>
      </c>
      <c r="G463" s="450">
        <v>0</v>
      </c>
      <c r="H463" s="450">
        <v>0</v>
      </c>
      <c r="I463" s="450">
        <v>0</v>
      </c>
      <c r="J463" s="450">
        <f t="shared" si="284"/>
        <v>0</v>
      </c>
      <c r="K463" s="482">
        <f t="shared" si="285"/>
        <v>0</v>
      </c>
      <c r="L463" s="482">
        <f t="shared" si="286"/>
        <v>0</v>
      </c>
      <c r="M463" s="482">
        <f t="shared" si="287"/>
        <v>0</v>
      </c>
      <c r="N463" s="482">
        <f t="shared" si="288"/>
        <v>0</v>
      </c>
      <c r="O463" s="482">
        <f t="shared" si="289"/>
        <v>0</v>
      </c>
      <c r="P463" s="482">
        <f t="shared" si="290"/>
        <v>0</v>
      </c>
      <c r="Q463" s="451">
        <f t="shared" si="291"/>
        <v>0</v>
      </c>
      <c r="R463" s="452">
        <f t="shared" si="292"/>
        <v>0</v>
      </c>
      <c r="S463" s="452">
        <v>0</v>
      </c>
      <c r="T463" s="452">
        <v>0</v>
      </c>
      <c r="U463" s="452">
        <f t="shared" si="293"/>
        <v>0</v>
      </c>
      <c r="V463" s="451">
        <f t="shared" si="294"/>
        <v>-4.4000000000000004</v>
      </c>
      <c r="W463" s="451">
        <f t="shared" si="295"/>
        <v>0</v>
      </c>
      <c r="X463" s="451">
        <f t="shared" si="296"/>
        <v>0</v>
      </c>
      <c r="Y463" s="453">
        <f t="shared" si="297"/>
        <v>0</v>
      </c>
      <c r="Z463" s="453">
        <f t="shared" si="298"/>
        <v>0</v>
      </c>
      <c r="AA463" s="453">
        <f t="shared" si="299"/>
        <v>0</v>
      </c>
      <c r="AB463" s="453">
        <f t="shared" si="300"/>
        <v>0</v>
      </c>
      <c r="AC463" s="453">
        <f t="shared" si="301"/>
        <v>0</v>
      </c>
      <c r="AD463" s="453">
        <f t="shared" si="302"/>
        <v>0</v>
      </c>
      <c r="AE463" s="493">
        <f t="shared" si="303"/>
        <v>0</v>
      </c>
      <c r="AF463" s="453">
        <f t="shared" si="304"/>
        <v>0</v>
      </c>
      <c r="AG463" s="494">
        <f t="shared" si="305"/>
        <v>1</v>
      </c>
      <c r="AH463" s="454">
        <f t="shared" si="306"/>
        <v>0</v>
      </c>
      <c r="AI463" s="454">
        <f t="shared" si="307"/>
        <v>0</v>
      </c>
      <c r="AJ463" s="454">
        <f t="shared" si="308"/>
        <v>0</v>
      </c>
      <c r="AK463" s="454">
        <f t="shared" si="309"/>
        <v>0</v>
      </c>
      <c r="AL463" s="454">
        <f t="shared" si="310"/>
        <v>0</v>
      </c>
      <c r="AM463" s="454">
        <f t="shared" si="311"/>
        <v>0</v>
      </c>
      <c r="AN463" s="491">
        <f t="shared" si="312"/>
        <v>0</v>
      </c>
      <c r="AO463" s="487">
        <f t="shared" si="313"/>
        <v>0</v>
      </c>
      <c r="AP463" s="495">
        <f t="shared" si="314"/>
        <v>0</v>
      </c>
      <c r="AQ463" s="510">
        <f t="shared" si="315"/>
        <v>0</v>
      </c>
      <c r="AV463" s="459">
        <f>IF(BA463&gt;BA459,AV459,IF(AV459&lt;MiscData!$F$1,EOMONTH(AV459,1),EOMONTH(AV459,-11)))</f>
        <v>42369</v>
      </c>
      <c r="AW463" s="448" t="str">
        <f t="shared" si="316"/>
        <v>20140101KUCSR781</v>
      </c>
      <c r="AX463" s="457" t="str">
        <f t="shared" si="317"/>
        <v>20140101CSR30</v>
      </c>
      <c r="AY463" s="439">
        <f>IF(AV463&lt;=MiscData!$B$23,MiscData!$C$23,IF(AV463&lt;=MiscData!$B$24,MiscData!$C$24,MiscData!$C$25))</f>
        <v>20140101</v>
      </c>
      <c r="AZ463" s="439" t="str">
        <f>VLOOKUP(BA463,MiscData!$V$4:$W$42,2,FALSE)</f>
        <v>KUCSR781</v>
      </c>
      <c r="BA463" s="439">
        <f>IF(BA462=MiscData!$V$42,1,BA462+1)</f>
        <v>31</v>
      </c>
      <c r="BB463" s="439" t="str">
        <f>VLOOKUP(AZ463,MiscData!$W$4:$Y$42,3,FALSE)</f>
        <v>CSR30</v>
      </c>
    </row>
    <row r="464" spans="1:54" hidden="1">
      <c r="A464" s="499">
        <f t="shared" si="319"/>
        <v>371</v>
      </c>
      <c r="B464" s="448" t="str">
        <f t="shared" si="280"/>
        <v>Dec 2015</v>
      </c>
      <c r="C464" s="448" t="s">
        <v>1472</v>
      </c>
      <c r="D464" s="449" t="str">
        <f t="shared" si="281"/>
        <v>CSR30</v>
      </c>
      <c r="E464" s="449" t="str">
        <f t="shared" si="282"/>
        <v>KUCSR783</v>
      </c>
      <c r="F464" s="450">
        <f t="shared" si="283"/>
        <v>0</v>
      </c>
      <c r="G464" s="450">
        <v>0</v>
      </c>
      <c r="H464" s="450">
        <v>0</v>
      </c>
      <c r="I464" s="450">
        <v>0</v>
      </c>
      <c r="J464" s="450">
        <f t="shared" si="284"/>
        <v>0</v>
      </c>
      <c r="K464" s="482">
        <f t="shared" si="285"/>
        <v>0</v>
      </c>
      <c r="L464" s="482">
        <f t="shared" si="286"/>
        <v>0</v>
      </c>
      <c r="M464" s="482">
        <f t="shared" si="287"/>
        <v>0</v>
      </c>
      <c r="N464" s="482">
        <f t="shared" si="288"/>
        <v>0</v>
      </c>
      <c r="O464" s="482">
        <f t="shared" si="289"/>
        <v>0</v>
      </c>
      <c r="P464" s="482">
        <f t="shared" si="290"/>
        <v>0</v>
      </c>
      <c r="Q464" s="451">
        <f t="shared" si="291"/>
        <v>0</v>
      </c>
      <c r="R464" s="452">
        <f t="shared" si="292"/>
        <v>0</v>
      </c>
      <c r="S464" s="452">
        <v>0</v>
      </c>
      <c r="T464" s="452">
        <v>0</v>
      </c>
      <c r="U464" s="452">
        <f t="shared" si="293"/>
        <v>0</v>
      </c>
      <c r="V464" s="451">
        <f t="shared" si="294"/>
        <v>-4.4000000000000004</v>
      </c>
      <c r="W464" s="451">
        <f t="shared" si="295"/>
        <v>0</v>
      </c>
      <c r="X464" s="451">
        <f t="shared" si="296"/>
        <v>0</v>
      </c>
      <c r="Y464" s="453">
        <f t="shared" si="297"/>
        <v>0</v>
      </c>
      <c r="Z464" s="453">
        <f t="shared" si="298"/>
        <v>0</v>
      </c>
      <c r="AA464" s="453">
        <f t="shared" si="299"/>
        <v>0</v>
      </c>
      <c r="AB464" s="453">
        <f t="shared" si="300"/>
        <v>0</v>
      </c>
      <c r="AC464" s="453">
        <f t="shared" si="301"/>
        <v>0</v>
      </c>
      <c r="AD464" s="453">
        <f t="shared" si="302"/>
        <v>0</v>
      </c>
      <c r="AE464" s="493">
        <f t="shared" si="303"/>
        <v>0</v>
      </c>
      <c r="AF464" s="453">
        <f t="shared" si="304"/>
        <v>0</v>
      </c>
      <c r="AG464" s="494">
        <f t="shared" si="305"/>
        <v>1</v>
      </c>
      <c r="AH464" s="454">
        <f t="shared" si="306"/>
        <v>0</v>
      </c>
      <c r="AI464" s="454">
        <f t="shared" si="307"/>
        <v>0</v>
      </c>
      <c r="AJ464" s="454">
        <f t="shared" si="308"/>
        <v>0</v>
      </c>
      <c r="AK464" s="454">
        <f t="shared" si="309"/>
        <v>0</v>
      </c>
      <c r="AL464" s="454">
        <f t="shared" si="310"/>
        <v>0</v>
      </c>
      <c r="AM464" s="454">
        <f t="shared" si="311"/>
        <v>0</v>
      </c>
      <c r="AN464" s="491">
        <f t="shared" si="312"/>
        <v>0</v>
      </c>
      <c r="AO464" s="487">
        <f t="shared" si="313"/>
        <v>0</v>
      </c>
      <c r="AP464" s="495">
        <f t="shared" si="314"/>
        <v>0</v>
      </c>
      <c r="AQ464" s="510">
        <f t="shared" si="315"/>
        <v>0</v>
      </c>
      <c r="AV464" s="459">
        <f>IF(BA464&gt;BA460,AV460,IF(AV460&lt;MiscData!$F$1,EOMONTH(AV460,1),EOMONTH(AV460,-11)))</f>
        <v>42369</v>
      </c>
      <c r="AW464" s="448" t="str">
        <f t="shared" si="316"/>
        <v>20140101KUCSR783</v>
      </c>
      <c r="AX464" s="457" t="str">
        <f t="shared" si="317"/>
        <v>20140101CSR30</v>
      </c>
      <c r="AY464" s="439">
        <f>IF(AV464&lt;=MiscData!$B$23,MiscData!$C$23,IF(AV464&lt;=MiscData!$B$24,MiscData!$C$24,MiscData!$C$25))</f>
        <v>20140101</v>
      </c>
      <c r="AZ464" s="439" t="str">
        <f>VLOOKUP(BA464,MiscData!$V$4:$W$42,2,FALSE)</f>
        <v>KUCSR783</v>
      </c>
      <c r="BA464" s="439">
        <f>IF(BA463=MiscData!$V$42,1,BA463+1)</f>
        <v>32</v>
      </c>
      <c r="BB464" s="439" t="str">
        <f>VLOOKUP(AZ464,MiscData!$W$4:$Y$42,3,FALSE)</f>
        <v>CSR30</v>
      </c>
    </row>
    <row r="465" spans="1:54" hidden="1">
      <c r="A465" s="448">
        <f t="shared" si="319"/>
        <v>372</v>
      </c>
      <c r="B465" s="448" t="str">
        <f t="shared" si="280"/>
        <v>Dec 2015</v>
      </c>
      <c r="C465" s="832" t="s">
        <v>642</v>
      </c>
      <c r="D465" s="449" t="str">
        <f t="shared" si="281"/>
        <v>FLST</v>
      </c>
      <c r="E465" s="449" t="str">
        <f t="shared" si="282"/>
        <v>KUINE730</v>
      </c>
      <c r="F465" s="450">
        <f t="shared" si="283"/>
        <v>1</v>
      </c>
      <c r="G465" s="450">
        <v>0</v>
      </c>
      <c r="H465" s="450">
        <v>0</v>
      </c>
      <c r="I465" s="450">
        <v>0</v>
      </c>
      <c r="J465" s="450">
        <f t="shared" si="284"/>
        <v>48145895</v>
      </c>
      <c r="K465" s="482">
        <f t="shared" si="285"/>
        <v>185158</v>
      </c>
      <c r="L465" s="482">
        <f t="shared" si="286"/>
        <v>185158</v>
      </c>
      <c r="M465" s="482">
        <f t="shared" si="287"/>
        <v>101388</v>
      </c>
      <c r="N465" s="482">
        <f t="shared" si="288"/>
        <v>0</v>
      </c>
      <c r="O465" s="482">
        <f t="shared" si="289"/>
        <v>0</v>
      </c>
      <c r="P465" s="482">
        <f t="shared" si="290"/>
        <v>0</v>
      </c>
      <c r="Q465" s="451">
        <f t="shared" si="291"/>
        <v>750</v>
      </c>
      <c r="R465" s="452">
        <f t="shared" si="292"/>
        <v>3.261E-2</v>
      </c>
      <c r="S465" s="452">
        <v>0</v>
      </c>
      <c r="T465" s="452">
        <v>0</v>
      </c>
      <c r="U465" s="452">
        <f t="shared" si="293"/>
        <v>2.8920000000000001E-2</v>
      </c>
      <c r="V465" s="451">
        <f t="shared" si="294"/>
        <v>1.05</v>
      </c>
      <c r="W465" s="451">
        <f t="shared" si="295"/>
        <v>1.52</v>
      </c>
      <c r="X465" s="451">
        <f t="shared" si="296"/>
        <v>2.41</v>
      </c>
      <c r="Y465" s="453">
        <f t="shared" si="297"/>
        <v>750</v>
      </c>
      <c r="Z465" s="453">
        <f t="shared" si="298"/>
        <v>1570037.64</v>
      </c>
      <c r="AA465" s="453">
        <f t="shared" si="299"/>
        <v>194415.9</v>
      </c>
      <c r="AB465" s="453">
        <f t="shared" si="300"/>
        <v>281440.15999999997</v>
      </c>
      <c r="AC465" s="453">
        <f t="shared" si="301"/>
        <v>244345.08</v>
      </c>
      <c r="AD465" s="453">
        <f t="shared" si="302"/>
        <v>720201.1399999999</v>
      </c>
      <c r="AE465" s="493">
        <f t="shared" si="303"/>
        <v>2290988.7799999998</v>
      </c>
      <c r="AF465" s="453">
        <f t="shared" si="304"/>
        <v>2290987</v>
      </c>
      <c r="AG465" s="494">
        <f t="shared" si="305"/>
        <v>0.99999922304289945</v>
      </c>
      <c r="AH465" s="454">
        <f t="shared" si="306"/>
        <v>113401</v>
      </c>
      <c r="AI465" s="454">
        <f t="shared" si="307"/>
        <v>0</v>
      </c>
      <c r="AJ465" s="454">
        <f t="shared" si="308"/>
        <v>243282</v>
      </c>
      <c r="AK465" s="454">
        <f t="shared" si="309"/>
        <v>0</v>
      </c>
      <c r="AL465" s="454">
        <f t="shared" si="310"/>
        <v>0</v>
      </c>
      <c r="AM465" s="454">
        <f t="shared" si="311"/>
        <v>2647670</v>
      </c>
      <c r="AN465" s="491">
        <f t="shared" si="312"/>
        <v>2647671.7799999998</v>
      </c>
      <c r="AO465" s="487">
        <f t="shared" si="313"/>
        <v>-1.779999999795109</v>
      </c>
      <c r="AP465" s="495">
        <f t="shared" si="314"/>
        <v>1392379.28</v>
      </c>
      <c r="AQ465" s="496">
        <f t="shared" si="315"/>
        <v>177658.35999999987</v>
      </c>
      <c r="AV465" s="459">
        <f>IF(BA465&gt;BA464,AV464,IF(AV464&lt;MiscData!$F$1,EOMONTH(AV464,1),EOMONTH(AV464,-11)))</f>
        <v>42369</v>
      </c>
      <c r="AW465" s="448" t="str">
        <f t="shared" si="316"/>
        <v>20140101KUINE730</v>
      </c>
      <c r="AX465" s="457" t="str">
        <f t="shared" si="317"/>
        <v>20140101FLST</v>
      </c>
      <c r="AY465" s="439">
        <f>IF(AV465&lt;=MiscData!$B$23,MiscData!$C$23,IF(AV465&lt;=MiscData!$B$24,MiscData!$C$24,MiscData!$C$25))</f>
        <v>20140101</v>
      </c>
      <c r="AZ465" s="439" t="str">
        <f>VLOOKUP(BA465,MiscData!$V$4:$W$42,2,FALSE)</f>
        <v>KUINE730</v>
      </c>
      <c r="BA465" s="439">
        <f>IF(BA464=MiscData!$V$42,1,BA464+1)</f>
        <v>33</v>
      </c>
      <c r="BB465" s="439" t="str">
        <f>VLOOKUP(AZ465,MiscData!$W$4:$Y$42,3,FALSE)</f>
        <v>FLST</v>
      </c>
    </row>
    <row r="466" spans="1:54" hidden="1">
      <c r="A466" s="448">
        <f t="shared" si="319"/>
        <v>373</v>
      </c>
      <c r="B466" s="448" t="str">
        <f t="shared" si="280"/>
        <v>Dec 2015</v>
      </c>
      <c r="C466" s="448" t="s">
        <v>14</v>
      </c>
      <c r="D466" s="449" t="str">
        <f t="shared" si="281"/>
        <v>RS</v>
      </c>
      <c r="E466" s="449" t="str">
        <f t="shared" si="282"/>
        <v>KURSE010</v>
      </c>
      <c r="F466" s="450">
        <f t="shared" si="283"/>
        <v>430268</v>
      </c>
      <c r="G466" s="450">
        <v>0</v>
      </c>
      <c r="H466" s="450">
        <v>0</v>
      </c>
      <c r="I466" s="450">
        <v>0</v>
      </c>
      <c r="J466" s="450">
        <f t="shared" si="284"/>
        <v>619539657</v>
      </c>
      <c r="K466" s="482">
        <f t="shared" si="285"/>
        <v>0</v>
      </c>
      <c r="L466" s="482">
        <f t="shared" si="286"/>
        <v>0</v>
      </c>
      <c r="M466" s="482">
        <f t="shared" si="287"/>
        <v>0</v>
      </c>
      <c r="N466" s="482">
        <f t="shared" si="288"/>
        <v>0</v>
      </c>
      <c r="O466" s="482">
        <f t="shared" si="289"/>
        <v>0</v>
      </c>
      <c r="P466" s="482">
        <f t="shared" si="290"/>
        <v>0</v>
      </c>
      <c r="Q466" s="451">
        <f t="shared" si="291"/>
        <v>10.75</v>
      </c>
      <c r="R466" s="452">
        <f t="shared" si="292"/>
        <v>7.7439999999999995E-2</v>
      </c>
      <c r="S466" s="452">
        <v>0</v>
      </c>
      <c r="T466" s="452">
        <v>0</v>
      </c>
      <c r="U466" s="452">
        <f t="shared" si="293"/>
        <v>2.8920000000000001E-2</v>
      </c>
      <c r="V466" s="451">
        <f t="shared" si="294"/>
        <v>0</v>
      </c>
      <c r="W466" s="451">
        <f t="shared" si="295"/>
        <v>0</v>
      </c>
      <c r="X466" s="451">
        <f t="shared" si="296"/>
        <v>0</v>
      </c>
      <c r="Y466" s="453">
        <f t="shared" si="297"/>
        <v>4625381</v>
      </c>
      <c r="Z466" s="453">
        <f t="shared" si="298"/>
        <v>47977151.039999999</v>
      </c>
      <c r="AA466" s="453">
        <f t="shared" si="299"/>
        <v>0</v>
      </c>
      <c r="AB466" s="453">
        <f t="shared" si="300"/>
        <v>0</v>
      </c>
      <c r="AC466" s="453">
        <f t="shared" si="301"/>
        <v>0</v>
      </c>
      <c r="AD466" s="453">
        <f t="shared" si="302"/>
        <v>0</v>
      </c>
      <c r="AE466" s="493">
        <f t="shared" si="303"/>
        <v>52602532.039999999</v>
      </c>
      <c r="AF466" s="453">
        <f t="shared" si="304"/>
        <v>52603394</v>
      </c>
      <c r="AG466" s="494">
        <f t="shared" si="305"/>
        <v>1.0000163862834464</v>
      </c>
      <c r="AH466" s="454">
        <f t="shared" si="306"/>
        <v>1459261</v>
      </c>
      <c r="AI466" s="454">
        <f t="shared" si="307"/>
        <v>978151</v>
      </c>
      <c r="AJ466" s="454">
        <f t="shared" si="308"/>
        <v>3130601</v>
      </c>
      <c r="AK466" s="454">
        <f t="shared" si="309"/>
        <v>0</v>
      </c>
      <c r="AL466" s="454">
        <f t="shared" si="310"/>
        <v>0</v>
      </c>
      <c r="AM466" s="454">
        <f t="shared" si="311"/>
        <v>58171407</v>
      </c>
      <c r="AN466" s="491">
        <f t="shared" si="312"/>
        <v>58170545.039999999</v>
      </c>
      <c r="AO466" s="487">
        <f t="shared" si="313"/>
        <v>861.96000000089407</v>
      </c>
      <c r="AP466" s="495">
        <f t="shared" si="314"/>
        <v>17917086.879999999</v>
      </c>
      <c r="AQ466" s="496">
        <f t="shared" si="315"/>
        <v>30060064.16</v>
      </c>
      <c r="AV466" s="459">
        <f>IF(BA466&gt;BA465,AV465,IF(AV465&lt;MiscData!$F$1,EOMONTH(AV465,1),EOMONTH(AV465,-11)))</f>
        <v>42369</v>
      </c>
      <c r="AW466" s="448" t="str">
        <f t="shared" si="316"/>
        <v>20140101KURSE010</v>
      </c>
      <c r="AX466" s="457" t="str">
        <f t="shared" si="317"/>
        <v>20140101RS</v>
      </c>
      <c r="AY466" s="439">
        <f>IF(AV466&lt;=MiscData!$B$23,MiscData!$C$23,IF(AV466&lt;=MiscData!$B$24,MiscData!$C$24,MiscData!$C$25))</f>
        <v>20140101</v>
      </c>
      <c r="AZ466" s="439" t="str">
        <f>VLOOKUP(BA466,MiscData!$V$4:$W$42,2,FALSE)</f>
        <v>KURSE010</v>
      </c>
      <c r="BA466" s="439">
        <f>IF(BA465=MiscData!$V$42,1,BA465+1)</f>
        <v>34</v>
      </c>
      <c r="BB466" s="439" t="str">
        <f>VLOOKUP(AZ466,MiscData!$W$4:$Y$42,3,FALSE)</f>
        <v>RS</v>
      </c>
    </row>
    <row r="467" spans="1:54" hidden="1">
      <c r="A467" s="448">
        <f>A448+1</f>
        <v>373</v>
      </c>
      <c r="B467" s="448" t="str">
        <f t="shared" si="280"/>
        <v>Dec 2015</v>
      </c>
      <c r="C467" s="448" t="s">
        <v>14</v>
      </c>
      <c r="D467" s="449" t="str">
        <f t="shared" si="281"/>
        <v>RS</v>
      </c>
      <c r="E467" s="449" t="str">
        <f t="shared" si="282"/>
        <v>KURSE020</v>
      </c>
      <c r="F467" s="450">
        <f t="shared" si="283"/>
        <v>0</v>
      </c>
      <c r="G467" s="450">
        <v>0</v>
      </c>
      <c r="H467" s="450">
        <v>0</v>
      </c>
      <c r="I467" s="450">
        <v>0</v>
      </c>
      <c r="J467" s="450">
        <f t="shared" si="284"/>
        <v>0</v>
      </c>
      <c r="K467" s="482">
        <f t="shared" si="285"/>
        <v>0</v>
      </c>
      <c r="L467" s="482">
        <f t="shared" si="286"/>
        <v>0</v>
      </c>
      <c r="M467" s="482">
        <f t="shared" si="287"/>
        <v>0</v>
      </c>
      <c r="N467" s="482">
        <f t="shared" si="288"/>
        <v>0</v>
      </c>
      <c r="O467" s="482">
        <f t="shared" si="289"/>
        <v>0</v>
      </c>
      <c r="P467" s="482">
        <f t="shared" si="290"/>
        <v>0</v>
      </c>
      <c r="Q467" s="451">
        <f t="shared" si="291"/>
        <v>10.75</v>
      </c>
      <c r="R467" s="452">
        <f t="shared" si="292"/>
        <v>7.7439999999999995E-2</v>
      </c>
      <c r="S467" s="452">
        <v>0</v>
      </c>
      <c r="T467" s="452">
        <v>0</v>
      </c>
      <c r="U467" s="452">
        <f t="shared" si="293"/>
        <v>2.8920000000000001E-2</v>
      </c>
      <c r="V467" s="451">
        <f t="shared" si="294"/>
        <v>0</v>
      </c>
      <c r="W467" s="451">
        <f t="shared" si="295"/>
        <v>0</v>
      </c>
      <c r="X467" s="451">
        <f t="shared" si="296"/>
        <v>0</v>
      </c>
      <c r="Y467" s="453">
        <f t="shared" si="297"/>
        <v>0</v>
      </c>
      <c r="Z467" s="453">
        <f t="shared" si="298"/>
        <v>0</v>
      </c>
      <c r="AA467" s="453">
        <f t="shared" si="299"/>
        <v>0</v>
      </c>
      <c r="AB467" s="453">
        <f t="shared" si="300"/>
        <v>0</v>
      </c>
      <c r="AC467" s="453">
        <f t="shared" si="301"/>
        <v>0</v>
      </c>
      <c r="AD467" s="453">
        <f t="shared" si="302"/>
        <v>0</v>
      </c>
      <c r="AE467" s="493">
        <f t="shared" si="303"/>
        <v>0</v>
      </c>
      <c r="AF467" s="453">
        <f t="shared" si="304"/>
        <v>0</v>
      </c>
      <c r="AG467" s="494">
        <f t="shared" si="305"/>
        <v>1</v>
      </c>
      <c r="AH467" s="454">
        <f t="shared" si="306"/>
        <v>0</v>
      </c>
      <c r="AI467" s="454">
        <f t="shared" si="307"/>
        <v>0</v>
      </c>
      <c r="AJ467" s="454">
        <f t="shared" si="308"/>
        <v>0</v>
      </c>
      <c r="AK467" s="454">
        <f t="shared" si="309"/>
        <v>0</v>
      </c>
      <c r="AL467" s="454">
        <f t="shared" si="310"/>
        <v>0</v>
      </c>
      <c r="AM467" s="454">
        <f t="shared" si="311"/>
        <v>0</v>
      </c>
      <c r="AN467" s="491">
        <f t="shared" si="312"/>
        <v>0</v>
      </c>
      <c r="AO467" s="487">
        <f t="shared" si="313"/>
        <v>0</v>
      </c>
      <c r="AP467" s="495">
        <f t="shared" si="314"/>
        <v>0</v>
      </c>
      <c r="AQ467" s="496">
        <f t="shared" si="315"/>
        <v>0</v>
      </c>
      <c r="AV467" s="459">
        <f>IF(BA467&gt;BA466,AV466,IF(AV466&lt;MiscData!$F$1,EOMONTH(AV466,1),EOMONTH(AV466,-11)))</f>
        <v>42369</v>
      </c>
      <c r="AW467" s="448" t="str">
        <f t="shared" si="316"/>
        <v>20140101KURSE020</v>
      </c>
      <c r="AX467" s="457" t="str">
        <f t="shared" si="317"/>
        <v>20140101RS</v>
      </c>
      <c r="AY467" s="439">
        <f>IF(AV467&lt;=MiscData!$B$23,MiscData!$C$23,IF(AV467&lt;=MiscData!$B$24,MiscData!$C$24,MiscData!$C$25))</f>
        <v>20140101</v>
      </c>
      <c r="AZ467" s="439" t="str">
        <f>VLOOKUP(BA467,MiscData!$V$4:$W$42,2,FALSE)</f>
        <v>KURSE020</v>
      </c>
      <c r="BA467" s="439">
        <f>IF(BA466=MiscData!$V$42,1,BA466+1)</f>
        <v>35</v>
      </c>
      <c r="BB467" s="439" t="str">
        <f>VLOOKUP(AZ467,MiscData!$W$4:$Y$42,3,FALSE)</f>
        <v>RS</v>
      </c>
    </row>
    <row r="468" spans="1:54" hidden="1">
      <c r="A468" s="448">
        <f>A449+1</f>
        <v>373</v>
      </c>
      <c r="B468" s="448" t="str">
        <f t="shared" si="280"/>
        <v>Dec 2015</v>
      </c>
      <c r="C468" s="448" t="s">
        <v>14</v>
      </c>
      <c r="D468" s="449" t="str">
        <f t="shared" si="281"/>
        <v>RS</v>
      </c>
      <c r="E468" s="449" t="str">
        <f t="shared" si="282"/>
        <v>KURSE025</v>
      </c>
      <c r="F468" s="450">
        <f t="shared" si="283"/>
        <v>0</v>
      </c>
      <c r="G468" s="450">
        <v>0</v>
      </c>
      <c r="H468" s="450">
        <v>0</v>
      </c>
      <c r="I468" s="450">
        <v>0</v>
      </c>
      <c r="J468" s="450">
        <f t="shared" si="284"/>
        <v>0</v>
      </c>
      <c r="K468" s="482">
        <f t="shared" si="285"/>
        <v>0</v>
      </c>
      <c r="L468" s="482">
        <f t="shared" si="286"/>
        <v>0</v>
      </c>
      <c r="M468" s="482">
        <f t="shared" si="287"/>
        <v>0</v>
      </c>
      <c r="N468" s="482">
        <f t="shared" si="288"/>
        <v>0</v>
      </c>
      <c r="O468" s="482">
        <f t="shared" si="289"/>
        <v>0</v>
      </c>
      <c r="P468" s="482">
        <f t="shared" si="290"/>
        <v>0</v>
      </c>
      <c r="Q468" s="451">
        <f t="shared" si="291"/>
        <v>10.75</v>
      </c>
      <c r="R468" s="452">
        <f t="shared" si="292"/>
        <v>7.7439999999999995E-2</v>
      </c>
      <c r="S468" s="452">
        <v>0</v>
      </c>
      <c r="T468" s="452">
        <v>0</v>
      </c>
      <c r="U468" s="452">
        <f t="shared" si="293"/>
        <v>2.8920000000000001E-2</v>
      </c>
      <c r="V468" s="451">
        <f t="shared" si="294"/>
        <v>0</v>
      </c>
      <c r="W468" s="451">
        <f t="shared" si="295"/>
        <v>0</v>
      </c>
      <c r="X468" s="451">
        <f t="shared" si="296"/>
        <v>0</v>
      </c>
      <c r="Y468" s="453">
        <f t="shared" si="297"/>
        <v>0</v>
      </c>
      <c r="Z468" s="453">
        <f t="shared" si="298"/>
        <v>0</v>
      </c>
      <c r="AA468" s="453">
        <f t="shared" si="299"/>
        <v>0</v>
      </c>
      <c r="AB468" s="453">
        <f t="shared" si="300"/>
        <v>0</v>
      </c>
      <c r="AC468" s="453">
        <f t="shared" si="301"/>
        <v>0</v>
      </c>
      <c r="AD468" s="453">
        <f t="shared" si="302"/>
        <v>0</v>
      </c>
      <c r="AE468" s="493">
        <f t="shared" si="303"/>
        <v>0</v>
      </c>
      <c r="AF468" s="453">
        <f t="shared" si="304"/>
        <v>0</v>
      </c>
      <c r="AG468" s="494">
        <f t="shared" si="305"/>
        <v>1</v>
      </c>
      <c r="AH468" s="454">
        <f t="shared" si="306"/>
        <v>0</v>
      </c>
      <c r="AI468" s="454">
        <f t="shared" si="307"/>
        <v>0</v>
      </c>
      <c r="AJ468" s="454">
        <f t="shared" si="308"/>
        <v>0</v>
      </c>
      <c r="AK468" s="454">
        <f t="shared" si="309"/>
        <v>0</v>
      </c>
      <c r="AL468" s="454">
        <f t="shared" si="310"/>
        <v>0</v>
      </c>
      <c r="AM468" s="454">
        <f t="shared" si="311"/>
        <v>0</v>
      </c>
      <c r="AN468" s="491">
        <f t="shared" si="312"/>
        <v>0</v>
      </c>
      <c r="AO468" s="487">
        <f t="shared" si="313"/>
        <v>0</v>
      </c>
      <c r="AP468" s="495">
        <f t="shared" si="314"/>
        <v>0</v>
      </c>
      <c r="AQ468" s="496">
        <f t="shared" si="315"/>
        <v>0</v>
      </c>
      <c r="AV468" s="459">
        <f>IF(BA468&gt;BA467,AV467,IF(AV467&lt;MiscData!$F$1,EOMONTH(AV467,1),EOMONTH(AV467,-11)))</f>
        <v>42369</v>
      </c>
      <c r="AW468" s="448" t="str">
        <f t="shared" si="316"/>
        <v>20140101KURSE025</v>
      </c>
      <c r="AX468" s="457" t="str">
        <f t="shared" si="317"/>
        <v>20140101RS</v>
      </c>
      <c r="AY468" s="439">
        <f>IF(AV468&lt;=MiscData!$B$23,MiscData!$C$23,IF(AV468&lt;=MiscData!$B$24,MiscData!$C$24,MiscData!$C$25))</f>
        <v>20140101</v>
      </c>
      <c r="AZ468" s="439" t="str">
        <f>VLOOKUP(BA468,MiscData!$V$4:$W$42,2,FALSE)</f>
        <v>KURSE025</v>
      </c>
      <c r="BA468" s="439">
        <f>IF(BA467=MiscData!$V$42,1,BA467+1)</f>
        <v>36</v>
      </c>
      <c r="BB468" s="439" t="str">
        <f>VLOOKUP(AZ468,MiscData!$W$4:$Y$42,3,FALSE)</f>
        <v>RS</v>
      </c>
    </row>
    <row r="469" spans="1:54" hidden="1">
      <c r="A469" s="448">
        <f>A450+1</f>
        <v>374</v>
      </c>
      <c r="B469" s="448" t="str">
        <f t="shared" si="280"/>
        <v>Dec 2015</v>
      </c>
      <c r="C469" s="448" t="s">
        <v>828</v>
      </c>
      <c r="D469" s="449" t="str">
        <f t="shared" si="281"/>
        <v>RSLEV</v>
      </c>
      <c r="E469" s="449" t="str">
        <f t="shared" si="282"/>
        <v>KURSE040</v>
      </c>
      <c r="F469" s="450">
        <f t="shared" si="283"/>
        <v>7</v>
      </c>
      <c r="G469" s="450">
        <f>SUMIFS(_1022_KWH_P1,_1022_RevenueMonth,$B469,_1022_RateCategory,$E469)</f>
        <v>5906</v>
      </c>
      <c r="H469" s="450">
        <f>SUMIFS(_1022_KWH_P2,_1022_RevenueMonth,$B469,_1022_RateCategory,$E469)</f>
        <v>2533</v>
      </c>
      <c r="I469" s="450">
        <f>SUMIFS(_1022_KWH_P3,_1022_RevenueMonth,$B469,_1022_RateCategory,$E469)</f>
        <v>1737</v>
      </c>
      <c r="J469" s="450">
        <f t="shared" si="284"/>
        <v>10176</v>
      </c>
      <c r="K469" s="482">
        <f t="shared" si="285"/>
        <v>0</v>
      </c>
      <c r="L469" s="482">
        <f t="shared" si="286"/>
        <v>0</v>
      </c>
      <c r="M469" s="482">
        <f t="shared" si="287"/>
        <v>0</v>
      </c>
      <c r="N469" s="482">
        <f t="shared" si="288"/>
        <v>0</v>
      </c>
      <c r="O469" s="482">
        <f t="shared" si="289"/>
        <v>0</v>
      </c>
      <c r="P469" s="482">
        <f t="shared" si="290"/>
        <v>0</v>
      </c>
      <c r="Q469" s="451">
        <f t="shared" si="291"/>
        <v>10.75</v>
      </c>
      <c r="R469" s="452">
        <f t="shared" si="292"/>
        <v>5.5870000000000003E-2</v>
      </c>
      <c r="S469" s="452">
        <f>SUMIF(_Rates_Tariff_Category,$AW469,_Rates_Energy_P2)</f>
        <v>7.7630000000000005E-2</v>
      </c>
      <c r="T469" s="452">
        <f>SUMIF(_Rates_Tariff_Category,$AW469,_Rates_Energy_P3)</f>
        <v>0.14297000000000001</v>
      </c>
      <c r="U469" s="452">
        <f t="shared" si="293"/>
        <v>2.8920000000000001E-2</v>
      </c>
      <c r="V469" s="451">
        <f t="shared" si="294"/>
        <v>0</v>
      </c>
      <c r="W469" s="451">
        <f t="shared" si="295"/>
        <v>0</v>
      </c>
      <c r="X469" s="451">
        <f t="shared" si="296"/>
        <v>0</v>
      </c>
      <c r="Y469" s="453">
        <f t="shared" si="297"/>
        <v>75.25</v>
      </c>
      <c r="Z469" s="453">
        <f t="shared" si="298"/>
        <v>774.94</v>
      </c>
      <c r="AA469" s="453">
        <f t="shared" si="299"/>
        <v>0</v>
      </c>
      <c r="AB469" s="453">
        <f t="shared" si="300"/>
        <v>0</v>
      </c>
      <c r="AC469" s="453">
        <f t="shared" si="301"/>
        <v>0</v>
      </c>
      <c r="AD469" s="453">
        <f t="shared" si="302"/>
        <v>0</v>
      </c>
      <c r="AE469" s="493">
        <f t="shared" si="303"/>
        <v>850.19</v>
      </c>
      <c r="AF469" s="453">
        <f t="shared" si="304"/>
        <v>0</v>
      </c>
      <c r="AG469" s="494">
        <f t="shared" si="305"/>
        <v>0</v>
      </c>
      <c r="AH469" s="454">
        <f t="shared" si="306"/>
        <v>0</v>
      </c>
      <c r="AI469" s="454">
        <f t="shared" si="307"/>
        <v>0</v>
      </c>
      <c r="AJ469" s="454">
        <f t="shared" si="308"/>
        <v>0</v>
      </c>
      <c r="AK469" s="454">
        <f t="shared" si="309"/>
        <v>0</v>
      </c>
      <c r="AL469" s="454">
        <f t="shared" si="310"/>
        <v>0</v>
      </c>
      <c r="AM469" s="454">
        <f t="shared" si="311"/>
        <v>0</v>
      </c>
      <c r="AN469" s="491">
        <f t="shared" si="312"/>
        <v>850.19</v>
      </c>
      <c r="AO469" s="487">
        <f t="shared" si="313"/>
        <v>-850.19</v>
      </c>
      <c r="AP469" s="495">
        <f t="shared" si="314"/>
        <v>294.29000000000002</v>
      </c>
      <c r="AQ469" s="496">
        <f t="shared" si="315"/>
        <v>480.65000000000003</v>
      </c>
      <c r="AV469" s="459">
        <f>IF(BA469&gt;BA468,AV468,IF(AV468&lt;MiscData!$F$1,EOMONTH(AV468,1),EOMONTH(AV468,-11)))</f>
        <v>42369</v>
      </c>
      <c r="AW469" s="448" t="str">
        <f t="shared" si="316"/>
        <v>20140101KURSE040</v>
      </c>
      <c r="AX469" s="457" t="str">
        <f t="shared" si="317"/>
        <v>20140101RSLEV</v>
      </c>
      <c r="AY469" s="439">
        <f>IF(AV469&lt;=MiscData!$B$23,MiscData!$C$23,IF(AV469&lt;=MiscData!$B$24,MiscData!$C$24,MiscData!$C$25))</f>
        <v>20140101</v>
      </c>
      <c r="AZ469" s="439" t="str">
        <f>VLOOKUP(BA469,MiscData!$V$4:$W$42,2,FALSE)</f>
        <v>KURSE040</v>
      </c>
      <c r="BA469" s="439">
        <f>IF(BA468=MiscData!$V$42,1,BA468+1)</f>
        <v>37</v>
      </c>
      <c r="BB469" s="439" t="str">
        <f>VLOOKUP(AZ469,MiscData!$W$4:$Y$42,3,FALSE)</f>
        <v>RSLEV</v>
      </c>
    </row>
    <row r="470" spans="1:54" hidden="1">
      <c r="A470" s="448">
        <f>A391+1</f>
        <v>358</v>
      </c>
      <c r="B470" s="448" t="str">
        <f t="shared" si="280"/>
        <v>Dec 2015</v>
      </c>
      <c r="C470" s="448" t="s">
        <v>14</v>
      </c>
      <c r="D470" s="449" t="str">
        <f t="shared" si="281"/>
        <v>RSVFD</v>
      </c>
      <c r="E470" s="449" t="str">
        <f t="shared" si="282"/>
        <v>KURSE080</v>
      </c>
      <c r="F470" s="450">
        <f t="shared" si="283"/>
        <v>0</v>
      </c>
      <c r="G470" s="450">
        <v>0</v>
      </c>
      <c r="H470" s="450">
        <v>0</v>
      </c>
      <c r="I470" s="450">
        <v>0</v>
      </c>
      <c r="J470" s="450">
        <f t="shared" si="284"/>
        <v>0</v>
      </c>
      <c r="K470" s="482">
        <f t="shared" si="285"/>
        <v>0</v>
      </c>
      <c r="L470" s="482">
        <f t="shared" si="286"/>
        <v>0</v>
      </c>
      <c r="M470" s="482">
        <f t="shared" si="287"/>
        <v>0</v>
      </c>
      <c r="N470" s="482">
        <f t="shared" si="288"/>
        <v>0</v>
      </c>
      <c r="O470" s="482">
        <f t="shared" si="289"/>
        <v>0</v>
      </c>
      <c r="P470" s="482">
        <f t="shared" si="290"/>
        <v>0</v>
      </c>
      <c r="Q470" s="451">
        <f t="shared" si="291"/>
        <v>10.75</v>
      </c>
      <c r="R470" s="452">
        <f t="shared" si="292"/>
        <v>7.7439999999999995E-2</v>
      </c>
      <c r="S470" s="452">
        <v>0</v>
      </c>
      <c r="T470" s="452">
        <v>0</v>
      </c>
      <c r="U470" s="452">
        <f t="shared" si="293"/>
        <v>2.8920000000000001E-2</v>
      </c>
      <c r="V470" s="451">
        <f t="shared" si="294"/>
        <v>0</v>
      </c>
      <c r="W470" s="451">
        <f t="shared" si="295"/>
        <v>0</v>
      </c>
      <c r="X470" s="451">
        <f t="shared" si="296"/>
        <v>0</v>
      </c>
      <c r="Y470" s="453">
        <f t="shared" si="297"/>
        <v>0</v>
      </c>
      <c r="Z470" s="453">
        <f t="shared" si="298"/>
        <v>0</v>
      </c>
      <c r="AA470" s="453">
        <f t="shared" si="299"/>
        <v>0</v>
      </c>
      <c r="AB470" s="453">
        <f t="shared" si="300"/>
        <v>0</v>
      </c>
      <c r="AC470" s="453">
        <f t="shared" si="301"/>
        <v>0</v>
      </c>
      <c r="AD470" s="453">
        <f t="shared" si="302"/>
        <v>0</v>
      </c>
      <c r="AE470" s="493">
        <f t="shared" si="303"/>
        <v>0</v>
      </c>
      <c r="AF470" s="453">
        <f t="shared" si="304"/>
        <v>0</v>
      </c>
      <c r="AG470" s="494">
        <f t="shared" si="305"/>
        <v>1</v>
      </c>
      <c r="AH470" s="454">
        <f t="shared" si="306"/>
        <v>0</v>
      </c>
      <c r="AI470" s="454">
        <f t="shared" si="307"/>
        <v>0</v>
      </c>
      <c r="AJ470" s="454">
        <f t="shared" si="308"/>
        <v>0</v>
      </c>
      <c r="AK470" s="454">
        <f t="shared" si="309"/>
        <v>0</v>
      </c>
      <c r="AL470" s="454">
        <f t="shared" si="310"/>
        <v>0</v>
      </c>
      <c r="AM470" s="454">
        <f t="shared" si="311"/>
        <v>0</v>
      </c>
      <c r="AN470" s="491">
        <f t="shared" si="312"/>
        <v>0</v>
      </c>
      <c r="AO470" s="487">
        <f t="shared" si="313"/>
        <v>0</v>
      </c>
      <c r="AP470" s="495">
        <f t="shared" si="314"/>
        <v>0</v>
      </c>
      <c r="AQ470" s="496">
        <f t="shared" si="315"/>
        <v>0</v>
      </c>
      <c r="AV470" s="459">
        <f>IF(BA470&gt;BA469,AV469,IF(AV469&lt;MiscData!$F$1,EOMONTH(AV469,1),EOMONTH(AV469,-11)))</f>
        <v>42369</v>
      </c>
      <c r="AW470" s="448" t="str">
        <f t="shared" si="316"/>
        <v>20140101KURSE080</v>
      </c>
      <c r="AX470" s="457" t="str">
        <f t="shared" si="317"/>
        <v>20140101RSVFD</v>
      </c>
      <c r="AY470" s="439">
        <f>IF(AV470&lt;=MiscData!$B$23,MiscData!$C$23,IF(AV470&lt;=MiscData!$B$24,MiscData!$C$24,MiscData!$C$25))</f>
        <v>20140101</v>
      </c>
      <c r="AZ470" s="439" t="str">
        <f>VLOOKUP(BA470,MiscData!$V$4:$W$42,2,FALSE)</f>
        <v>KURSE080</v>
      </c>
      <c r="BA470" s="439">
        <f>IF(BA469=MiscData!$V$42,1,BA469+1)</f>
        <v>38</v>
      </c>
      <c r="BB470" s="439" t="str">
        <f>VLOOKUP(AZ470,MiscData!$W$4:$Y$42,3,FALSE)</f>
        <v>RSVFD</v>
      </c>
    </row>
    <row r="471" spans="1:54" ht="12.75" hidden="1" thickBot="1">
      <c r="A471" s="515">
        <f>A470+1</f>
        <v>359</v>
      </c>
      <c r="B471" s="515" t="str">
        <f t="shared" si="280"/>
        <v>Dec 2015</v>
      </c>
      <c r="C471" s="515" t="s">
        <v>14</v>
      </c>
      <c r="D471" s="516" t="str">
        <f t="shared" si="281"/>
        <v>RS</v>
      </c>
      <c r="E471" s="516" t="str">
        <f t="shared" si="282"/>
        <v>KURSE715</v>
      </c>
      <c r="F471" s="517">
        <f t="shared" si="283"/>
        <v>0</v>
      </c>
      <c r="G471" s="517">
        <v>0</v>
      </c>
      <c r="H471" s="517">
        <v>0</v>
      </c>
      <c r="I471" s="517">
        <v>0</v>
      </c>
      <c r="J471" s="517">
        <f t="shared" si="284"/>
        <v>0</v>
      </c>
      <c r="K471" s="518">
        <f t="shared" si="285"/>
        <v>0</v>
      </c>
      <c r="L471" s="518">
        <f t="shared" si="286"/>
        <v>0</v>
      </c>
      <c r="M471" s="518">
        <f t="shared" si="287"/>
        <v>0</v>
      </c>
      <c r="N471" s="518">
        <f t="shared" si="288"/>
        <v>0</v>
      </c>
      <c r="O471" s="518">
        <f t="shared" si="289"/>
        <v>0</v>
      </c>
      <c r="P471" s="518">
        <f t="shared" si="290"/>
        <v>0</v>
      </c>
      <c r="Q471" s="519">
        <f t="shared" si="291"/>
        <v>10.75</v>
      </c>
      <c r="R471" s="520">
        <f t="shared" si="292"/>
        <v>7.7439999999999995E-2</v>
      </c>
      <c r="S471" s="520">
        <v>0</v>
      </c>
      <c r="T471" s="520">
        <v>0</v>
      </c>
      <c r="U471" s="520">
        <f t="shared" si="293"/>
        <v>2.8920000000000001E-2</v>
      </c>
      <c r="V471" s="519">
        <f t="shared" si="294"/>
        <v>0</v>
      </c>
      <c r="W471" s="519">
        <f t="shared" si="295"/>
        <v>0</v>
      </c>
      <c r="X471" s="519">
        <f t="shared" si="296"/>
        <v>0</v>
      </c>
      <c r="Y471" s="453">
        <f t="shared" si="297"/>
        <v>0</v>
      </c>
      <c r="Z471" s="453">
        <f t="shared" si="298"/>
        <v>0</v>
      </c>
      <c r="AA471" s="453">
        <f t="shared" si="299"/>
        <v>0</v>
      </c>
      <c r="AB471" s="453">
        <f t="shared" si="300"/>
        <v>0</v>
      </c>
      <c r="AC471" s="453">
        <f t="shared" si="301"/>
        <v>0</v>
      </c>
      <c r="AD471" s="521">
        <f t="shared" si="302"/>
        <v>0</v>
      </c>
      <c r="AE471" s="493">
        <f t="shared" si="303"/>
        <v>0</v>
      </c>
      <c r="AF471" s="521">
        <f t="shared" si="304"/>
        <v>0</v>
      </c>
      <c r="AG471" s="494">
        <f t="shared" si="305"/>
        <v>1</v>
      </c>
      <c r="AH471" s="522">
        <f t="shared" si="306"/>
        <v>0</v>
      </c>
      <c r="AI471" s="522">
        <f t="shared" si="307"/>
        <v>0</v>
      </c>
      <c r="AJ471" s="522">
        <f t="shared" si="308"/>
        <v>0</v>
      </c>
      <c r="AK471" s="522">
        <f t="shared" si="309"/>
        <v>0</v>
      </c>
      <c r="AL471" s="522">
        <f t="shared" si="310"/>
        <v>0</v>
      </c>
      <c r="AM471" s="522">
        <f t="shared" si="311"/>
        <v>0</v>
      </c>
      <c r="AN471" s="523">
        <f t="shared" si="312"/>
        <v>0</v>
      </c>
      <c r="AO471" s="524">
        <f t="shared" si="313"/>
        <v>0</v>
      </c>
      <c r="AP471" s="525">
        <f t="shared" si="314"/>
        <v>0</v>
      </c>
      <c r="AQ471" s="526">
        <f t="shared" si="315"/>
        <v>0</v>
      </c>
      <c r="AV471" s="459">
        <f>IF(BA471&gt;BA470,AV470,IF(AV470&lt;MiscData!$F$1,EOMONTH(AV470,1),EOMONTH(AV470,-11)))</f>
        <v>42369</v>
      </c>
      <c r="AW471" s="448" t="str">
        <f t="shared" si="316"/>
        <v>20140101KURSE715</v>
      </c>
      <c r="AX471" s="457" t="str">
        <f t="shared" si="317"/>
        <v>20140101RS</v>
      </c>
      <c r="AY471" s="439">
        <f>IF(AV471&lt;=MiscData!$B$23,MiscData!$C$23,IF(AV471&lt;=MiscData!$B$24,MiscData!$C$24,MiscData!$C$25))</f>
        <v>20140101</v>
      </c>
      <c r="AZ471" s="439" t="str">
        <f>VLOOKUP(BA471,MiscData!$V$4:$W$42,2,FALSE)</f>
        <v>KURSE715</v>
      </c>
      <c r="BA471" s="439">
        <f>IF(BA470=MiscData!$V$42,1,BA470+1)</f>
        <v>39</v>
      </c>
      <c r="BB471" s="439" t="str">
        <f>VLOOKUP(AZ471,MiscData!$W$4:$Y$42,3,FALSE)</f>
        <v>RS</v>
      </c>
    </row>
    <row r="473" spans="1:54">
      <c r="F473" s="460">
        <f t="shared" ref="F473:AD473" si="320">SUM(F4:F471)</f>
        <v>6233401</v>
      </c>
      <c r="G473" s="460">
        <f t="shared" si="320"/>
        <v>62620</v>
      </c>
      <c r="H473" s="460">
        <f t="shared" si="320"/>
        <v>21870</v>
      </c>
      <c r="I473" s="460">
        <f t="shared" si="320"/>
        <v>13964</v>
      </c>
      <c r="J473" s="460">
        <f t="shared" si="320"/>
        <v>18675275442</v>
      </c>
      <c r="K473" s="460">
        <f t="shared" si="320"/>
        <v>24599386</v>
      </c>
      <c r="L473" s="460">
        <f t="shared" si="320"/>
        <v>22737913</v>
      </c>
      <c r="M473" s="460">
        <f t="shared" si="320"/>
        <v>20789012</v>
      </c>
      <c r="N473" s="460">
        <f t="shared" si="320"/>
        <v>0</v>
      </c>
      <c r="O473" s="460">
        <f t="shared" si="320"/>
        <v>0</v>
      </c>
      <c r="P473" s="460">
        <f t="shared" si="320"/>
        <v>0</v>
      </c>
      <c r="Q473" s="460">
        <f t="shared" si="320"/>
        <v>39732</v>
      </c>
      <c r="R473" s="460">
        <f t="shared" si="320"/>
        <v>24.869039999999998</v>
      </c>
      <c r="S473" s="460">
        <f t="shared" si="320"/>
        <v>0.93155999999999983</v>
      </c>
      <c r="T473" s="460">
        <f t="shared" si="320"/>
        <v>1.7156400000000003</v>
      </c>
      <c r="U473" s="460"/>
      <c r="V473" s="460">
        <f t="shared" si="320"/>
        <v>-174.84000000000006</v>
      </c>
      <c r="W473" s="460">
        <f t="shared" si="320"/>
        <v>945.84000000000015</v>
      </c>
      <c r="X473" s="460">
        <f t="shared" si="320"/>
        <v>1150.9199999999987</v>
      </c>
      <c r="Y473" s="460">
        <f t="shared" si="320"/>
        <v>86556394.75</v>
      </c>
      <c r="Z473" s="460">
        <f t="shared" si="320"/>
        <v>1049870129.2400004</v>
      </c>
      <c r="AA473" s="460">
        <f t="shared" si="320"/>
        <v>38033116.320000008</v>
      </c>
      <c r="AB473" s="460">
        <f t="shared" si="320"/>
        <v>104381367.29999994</v>
      </c>
      <c r="AC473" s="460">
        <f t="shared" si="320"/>
        <v>125117021.81999999</v>
      </c>
      <c r="AD473" s="460">
        <f t="shared" si="320"/>
        <v>267531505.43999997</v>
      </c>
      <c r="AE473" s="460">
        <f t="shared" ref="AE473:AO473" si="321">SUM(AE4:AE471)</f>
        <v>1403958029.4300003</v>
      </c>
      <c r="AF473" s="460">
        <f t="shared" si="321"/>
        <v>1403819799</v>
      </c>
      <c r="AG473" s="460">
        <f t="shared" si="321"/>
        <v>432.00019214777694</v>
      </c>
      <c r="AH473" s="460">
        <f t="shared" si="321"/>
        <v>45658989</v>
      </c>
      <c r="AI473" s="460">
        <f t="shared" si="321"/>
        <v>24674028</v>
      </c>
      <c r="AJ473" s="460">
        <f t="shared" si="321"/>
        <v>103571593</v>
      </c>
      <c r="AK473" s="460">
        <f t="shared" si="321"/>
        <v>0</v>
      </c>
      <c r="AL473" s="460">
        <f t="shared" si="321"/>
        <v>-11877948</v>
      </c>
      <c r="AM473" s="460">
        <f t="shared" si="321"/>
        <v>1565846461</v>
      </c>
      <c r="AN473" s="460">
        <f t="shared" si="321"/>
        <v>1565984691.4300001</v>
      </c>
      <c r="AO473" s="460">
        <f t="shared" si="321"/>
        <v>-138230.42999999449</v>
      </c>
    </row>
    <row r="474" spans="1:54">
      <c r="F474" s="460">
        <f>'12MonLights'!E1071</f>
        <v>2024381</v>
      </c>
      <c r="J474" s="460">
        <f>'12MonLights'!G1071</f>
        <v>118735664</v>
      </c>
      <c r="AM474" s="527">
        <f>'12MonLights'!U1071</f>
        <v>26238599</v>
      </c>
    </row>
    <row r="475" spans="1:54">
      <c r="AE475" s="462"/>
      <c r="AH475" s="462"/>
      <c r="AM475" s="527">
        <f>AM473+AM474</f>
        <v>1592085060</v>
      </c>
    </row>
    <row r="476" spans="1:54">
      <c r="F476" s="460">
        <f>F473+F474</f>
        <v>8257782</v>
      </c>
      <c r="J476" s="460">
        <f>J473+J474</f>
        <v>18794011106</v>
      </c>
      <c r="M476" s="441">
        <f>SUM(K473:M473)</f>
        <v>68126311</v>
      </c>
    </row>
    <row r="478" spans="1:54">
      <c r="Z478" s="439">
        <f>G118*R118</f>
        <v>221.35694000000001</v>
      </c>
    </row>
    <row r="480" spans="1:54">
      <c r="J480" s="441"/>
    </row>
    <row r="481" spans="4:39">
      <c r="J481" s="528"/>
    </row>
    <row r="482" spans="4:39">
      <c r="J482" s="528"/>
    </row>
    <row r="483" spans="4:39">
      <c r="J483" s="441"/>
    </row>
    <row r="486" spans="4:39">
      <c r="J486" s="441"/>
    </row>
    <row r="487" spans="4:39">
      <c r="D487" s="448" t="s">
        <v>14</v>
      </c>
      <c r="J487" s="528"/>
      <c r="AE487" s="601">
        <f>SUMIF(_12MonResults_RateClass,D487,_12MonResults_Revenue_Calculated)</f>
        <v>535440636.48000002</v>
      </c>
      <c r="AF487" s="601">
        <f>SUM(LEV!I102:I103)</f>
        <v>535441077.47000003</v>
      </c>
      <c r="AG487" s="439">
        <f>AE487/AF487</f>
        <v>0.99999917639863922</v>
      </c>
      <c r="AH487" s="601">
        <f>SUMIF(_12MonResults_RateClass,D487,_12MonResults_Revenue_FAC)</f>
        <v>15609887</v>
      </c>
      <c r="AI487" s="601">
        <f>SUMIF(_12MonResults_RateClass,D487,_12MonResults_Revenue_DSM)</f>
        <v>9031444</v>
      </c>
      <c r="AJ487" s="601">
        <f>SUMIF(_12MonResults_RateClass,D487,_12MonResults_Revenue_ECR)</f>
        <v>33907729</v>
      </c>
      <c r="AK487" s="601">
        <f>SUMIF(_12MonResults_RateClass,D487,_12MonResults_Revenue_MSR)</f>
        <v>0</v>
      </c>
      <c r="AL487" s="601">
        <f>SUMIF(_12MonResults_RateClass,D487,_12MonResults_Revenue_CSR)</f>
        <v>0</v>
      </c>
      <c r="AM487" s="601">
        <f>SUMIF(_12MonResults_RateClass,D487,_12MonResults_Revenue_Total)</f>
        <v>593998238</v>
      </c>
    </row>
    <row r="488" spans="4:39">
      <c r="D488" s="448" t="s">
        <v>828</v>
      </c>
      <c r="J488" s="528"/>
      <c r="AE488" s="601">
        <f>ROUND(SUM(LEV!E102:E105),0)</f>
        <v>8107</v>
      </c>
      <c r="AF488" s="601">
        <f>AM488-SUM(AH488:AL488)</f>
        <v>8106.5300000000007</v>
      </c>
      <c r="AG488" s="439">
        <f>AE488/AF488</f>
        <v>1.0000579779511085</v>
      </c>
      <c r="AH488" s="601">
        <f>LEV!E107</f>
        <v>148.78825373769598</v>
      </c>
      <c r="AI488" s="601">
        <f>LEV!E108</f>
        <v>86.084579268470421</v>
      </c>
      <c r="AJ488" s="601">
        <f>LEV!E109</f>
        <v>323.19743844389393</v>
      </c>
      <c r="AK488" s="601">
        <f>SUMIF(_12MonResults_RateClass,D488,_12MonResults_Revenue_MSR)</f>
        <v>0</v>
      </c>
      <c r="AL488" s="601">
        <f>SUMIF(_12MonResults_RateClass,D488,_12MonResults_Revenue_CSR)</f>
        <v>0</v>
      </c>
      <c r="AM488" s="601">
        <f>LEV!E111</f>
        <v>8664.600271450061</v>
      </c>
    </row>
    <row r="489" spans="4:39">
      <c r="D489" s="435" t="s">
        <v>208</v>
      </c>
      <c r="AE489" s="601">
        <f>SUMIF(_12MonResults_RateClass,$D489,_12MonResults_Revenue_Calculated)</f>
        <v>86612871.140000001</v>
      </c>
      <c r="AF489" s="601">
        <f>SUMIF(_12MonResults_RateClass,$D489,_12MonResults_Revenue_Actual)</f>
        <v>86612863</v>
      </c>
      <c r="AG489" s="439">
        <f t="shared" ref="AG489:AG491" si="322">AE489/AF489</f>
        <v>1.0000000939814218</v>
      </c>
      <c r="AH489" s="601">
        <f>SUMIF(_12MonResults_RateClass,D489,_12MonResults_Revenue_FAC)</f>
        <v>1886555</v>
      </c>
      <c r="AI489" s="601">
        <f>SUMIF(_12MonResults_RateClass,D489,_12MonResults_Revenue_DSM)</f>
        <v>1156669</v>
      </c>
      <c r="AJ489" s="601">
        <f>SUMIF(_12MonResults_RateClass,D489,_12MonResults_Revenue_ECR)</f>
        <v>4282655</v>
      </c>
      <c r="AK489" s="601">
        <f>SUMIF(_12MonResults_RateClass,D489,_12MonResults_Revenue_MSR)</f>
        <v>0</v>
      </c>
      <c r="AL489" s="601">
        <f>SUMIF(_12MonResults_RateClass,D489,_12MonResults_Revenue_CSR)</f>
        <v>0</v>
      </c>
      <c r="AM489" s="601">
        <f>SUMIF(_12MonResults_RateClass,D489,_12MonResults_Revenue_Total)</f>
        <v>93938742</v>
      </c>
    </row>
    <row r="490" spans="4:39">
      <c r="D490" s="435" t="s">
        <v>17</v>
      </c>
      <c r="AE490" s="601">
        <f>SUMIF(_12MonResults_RateClass,$D490,_12MonResults_Revenue_Calculated)</f>
        <v>112217328.44999999</v>
      </c>
      <c r="AF490" s="601">
        <f>SUMIF(_12MonResults_RateClass,$D490,_12MonResults_Revenue_Actual)</f>
        <v>112217336</v>
      </c>
      <c r="AG490" s="439">
        <f t="shared" si="322"/>
        <v>0.99999993271984278</v>
      </c>
      <c r="AH490" s="601">
        <f>SUMIF(_12MonResults_RateClass,D490,_12MonResults_Revenue_FAC)</f>
        <v>2760369</v>
      </c>
      <c r="AI490" s="601">
        <f>SUMIF(_12MonResults_RateClass,D490,_12MonResults_Revenue_DSM)</f>
        <v>1691860</v>
      </c>
      <c r="AJ490" s="601">
        <f>SUMIF(_12MonResults_RateClass,D490,_12MonResults_Revenue_ECR)</f>
        <v>6263515</v>
      </c>
      <c r="AK490" s="601">
        <f>SUMIF(_12MonResults_RateClass,D490,_12MonResults_Revenue_MSR)</f>
        <v>0</v>
      </c>
      <c r="AL490" s="601">
        <f>SUMIF(_12MonResults_RateClass,D490,_12MonResults_Revenue_CSR)</f>
        <v>0</v>
      </c>
      <c r="AM490" s="601">
        <f>SUMIF(_12MonResults_RateClass,D490,_12MonResults_Revenue_Total)</f>
        <v>122933080</v>
      </c>
    </row>
    <row r="491" spans="4:39">
      <c r="D491" s="796" t="s">
        <v>1764</v>
      </c>
      <c r="AE491" s="487">
        <f>ROUND(AE489+AE490,0)-1</f>
        <v>198830199</v>
      </c>
      <c r="AF491" s="487">
        <f>AF489+AF490</f>
        <v>198830199</v>
      </c>
      <c r="AG491" s="439">
        <f t="shared" si="322"/>
        <v>1</v>
      </c>
      <c r="AH491" s="487">
        <f t="shared" ref="AH491:AM491" si="323">AH489+AH490</f>
        <v>4646924</v>
      </c>
      <c r="AI491" s="487">
        <f t="shared" si="323"/>
        <v>2848529</v>
      </c>
      <c r="AJ491" s="487">
        <f t="shared" si="323"/>
        <v>10546170</v>
      </c>
      <c r="AK491" s="487">
        <f t="shared" si="323"/>
        <v>0</v>
      </c>
      <c r="AL491" s="487">
        <f t="shared" si="323"/>
        <v>0</v>
      </c>
      <c r="AM491" s="487">
        <f t="shared" si="323"/>
        <v>216871822</v>
      </c>
    </row>
    <row r="492" spans="4:39">
      <c r="D492" s="435" t="s">
        <v>203</v>
      </c>
      <c r="AE492" s="601">
        <f>SUMIF(_12MonResults_RateClass,$D492,_12MonResults_Revenue_Calculated)</f>
        <v>667661.91</v>
      </c>
      <c r="AF492" s="601">
        <f>SUMIF(_12MonResults_RateClass,$D492,_12MonResults_Revenue_Actual)</f>
        <v>667662</v>
      </c>
      <c r="AG492" s="439">
        <f t="shared" ref="AG492:AG494" si="324">AE492/AF492</f>
        <v>0.99999986520125461</v>
      </c>
      <c r="AH492" s="601">
        <f>SUMIF(_12MonResults_RateClass,D492,_12MonResults_Revenue_FAC)</f>
        <v>19319</v>
      </c>
      <c r="AI492" s="601">
        <f>SUMIF(_12MonResults_RateClass,D492,_12MonResults_Revenue_DSM)</f>
        <v>11544</v>
      </c>
      <c r="AJ492" s="601">
        <f>SUMIF(_12MonResults_RateClass,D492,_12MonResults_Revenue_ECR)</f>
        <v>43334</v>
      </c>
      <c r="AK492" s="601">
        <f>SUMIF(_12MonResults_RateClass,D492,_12MonResults_Revenue_MSR)</f>
        <v>0</v>
      </c>
      <c r="AL492" s="601">
        <f>SUMIF(_12MonResults_RateClass,D492,_12MonResults_Revenue_CSR)</f>
        <v>0</v>
      </c>
      <c r="AM492" s="601">
        <f>SUMIF(_12MonResults_RateClass,D492,_12MonResults_Revenue_Total)</f>
        <v>741859</v>
      </c>
    </row>
    <row r="493" spans="4:39">
      <c r="D493" s="435" t="s">
        <v>212</v>
      </c>
      <c r="AE493" s="601">
        <f>SUMIF(_12MonResults_RateClass,$D493,_12MonResults_Revenue_Calculated)</f>
        <v>10819218.690000001</v>
      </c>
      <c r="AF493" s="601">
        <f>SUMIF(_12MonResults_RateClass,$D493,_12MonResults_Revenue_Actual)</f>
        <v>10819218</v>
      </c>
      <c r="AG493" s="439">
        <f t="shared" si="324"/>
        <v>1.0000000637754043</v>
      </c>
      <c r="AH493" s="601">
        <f>SUMIF(_12MonResults_RateClass,D493,_12MonResults_Revenue_FAC)</f>
        <v>358103</v>
      </c>
      <c r="AI493" s="601">
        <f>SUMIF(_12MonResults_RateClass,D493,_12MonResults_Revenue_DSM)</f>
        <v>213930</v>
      </c>
      <c r="AJ493" s="601">
        <f>SUMIF(_12MonResults_RateClass,D493,_12MonResults_Revenue_ECR)</f>
        <v>803187</v>
      </c>
      <c r="AK493" s="601">
        <f>SUMIF(_12MonResults_RateClass,D493,_12MonResults_Revenue_MSR)</f>
        <v>0</v>
      </c>
      <c r="AL493" s="601">
        <f>SUMIF(_12MonResults_RateClass,D493,_12MonResults_Revenue_CSR)</f>
        <v>0</v>
      </c>
      <c r="AM493" s="601">
        <f>SUMIF(_12MonResults_RateClass,D493,_12MonResults_Revenue_Total)</f>
        <v>12194438</v>
      </c>
    </row>
    <row r="494" spans="4:39">
      <c r="D494" s="796" t="s">
        <v>1767</v>
      </c>
      <c r="AE494" s="487">
        <f>ROUND(AE492+AE493,0)-1</f>
        <v>11486880</v>
      </c>
      <c r="AF494" s="487">
        <f>AF492+AF493</f>
        <v>11486880</v>
      </c>
      <c r="AG494" s="439">
        <f t="shared" si="324"/>
        <v>1</v>
      </c>
      <c r="AH494" s="487">
        <f t="shared" ref="AH494" si="325">AH492+AH493</f>
        <v>377422</v>
      </c>
      <c r="AI494" s="487">
        <f t="shared" ref="AI494" si="326">AI492+AI493</f>
        <v>225474</v>
      </c>
      <c r="AJ494" s="487">
        <f t="shared" ref="AJ494" si="327">AJ492+AJ493</f>
        <v>846521</v>
      </c>
      <c r="AK494" s="487">
        <f t="shared" ref="AK494" si="328">AK492+AK493</f>
        <v>0</v>
      </c>
      <c r="AL494" s="487">
        <f t="shared" ref="AL494" si="329">AL492+AL493</f>
        <v>0</v>
      </c>
      <c r="AM494" s="487">
        <f t="shared" ref="AM494" si="330">AM492+AM493</f>
        <v>12936297</v>
      </c>
    </row>
    <row r="495" spans="4:39">
      <c r="D495" s="435" t="s">
        <v>24</v>
      </c>
      <c r="AE495" s="601">
        <f>SUMIF(_12MonResults_RateClass,$D495,_12MonResults_Revenue_Calculated)-0.34</f>
        <v>179055572</v>
      </c>
      <c r="AF495" s="601">
        <f t="shared" ref="AF495:AF500" si="331">SUMIF(_12MonResults_RateClass,$D495,_12MonResults_Revenue_Actual)</f>
        <v>179055593</v>
      </c>
      <c r="AG495" s="439">
        <f t="shared" ref="AG495" si="332">AE495/AF495</f>
        <v>0.99999988271798912</v>
      </c>
      <c r="AH495" s="601">
        <f t="shared" ref="AH495:AH500" si="333">SUMIF(_12MonResults_RateClass,D495,_12MonResults_Revenue_FAC)</f>
        <v>5007479</v>
      </c>
      <c r="AI495" s="601">
        <f t="shared" ref="AI495:AI502" si="334">SUMIF(_12MonResults_RateClass,D495,_12MonResults_Revenue_DSM)</f>
        <v>3217407</v>
      </c>
      <c r="AJ495" s="601">
        <f t="shared" ref="AJ495:AJ500" si="335">SUMIF(_12MonResults_RateClass,D495,_12MonResults_Revenue_ECR)</f>
        <v>11727246</v>
      </c>
      <c r="AK495" s="601">
        <f t="shared" ref="AK495:AK502" si="336">SUMIF(_12MonResults_RateClass,D495,_12MonResults_Revenue_MSR)</f>
        <v>0</v>
      </c>
      <c r="AL495" s="601">
        <f t="shared" ref="AL495:AL502" si="337">SUMIF(_12MonResults_RateClass,D495,_12MonResults_Revenue_CSR)</f>
        <v>0</v>
      </c>
      <c r="AM495" s="601">
        <f t="shared" ref="AM495:AM500" si="338">SUMIF(_12MonResults_RateClass,D495,_12MonResults_Revenue_Total)</f>
        <v>199007725</v>
      </c>
    </row>
    <row r="496" spans="4:39">
      <c r="D496" s="442" t="s">
        <v>25</v>
      </c>
      <c r="AE496" s="601">
        <f t="shared" ref="AE496:AE502" si="339">ROUND(SUMIF(_12MonResults_RateClass,$D496,_12MonResults_Revenue_Calculated),0)</f>
        <v>18503483</v>
      </c>
      <c r="AF496" s="601">
        <f t="shared" si="331"/>
        <v>18503478</v>
      </c>
      <c r="AG496" s="439">
        <f t="shared" ref="AG496" si="340">AE496/AF496</f>
        <v>1.000000270219469</v>
      </c>
      <c r="AH496" s="601">
        <f t="shared" si="333"/>
        <v>569148</v>
      </c>
      <c r="AI496" s="601">
        <f t="shared" si="334"/>
        <v>362854</v>
      </c>
      <c r="AJ496" s="601">
        <f t="shared" si="335"/>
        <v>1329230</v>
      </c>
      <c r="AK496" s="601">
        <f t="shared" si="336"/>
        <v>0</v>
      </c>
      <c r="AL496" s="601">
        <f t="shared" si="337"/>
        <v>0</v>
      </c>
      <c r="AM496" s="601">
        <f t="shared" si="338"/>
        <v>20764710</v>
      </c>
    </row>
    <row r="497" spans="4:39">
      <c r="D497" s="442" t="s">
        <v>204</v>
      </c>
      <c r="AE497" s="601">
        <f t="shared" si="339"/>
        <v>103239997</v>
      </c>
      <c r="AF497" s="601">
        <f t="shared" si="331"/>
        <v>103239994</v>
      </c>
      <c r="AG497" s="439">
        <f t="shared" ref="AG497" si="341">AE497/AF497</f>
        <v>1.000000029058506</v>
      </c>
      <c r="AH497" s="601">
        <f t="shared" si="333"/>
        <v>3843371</v>
      </c>
      <c r="AI497" s="601">
        <f t="shared" si="334"/>
        <v>2449836</v>
      </c>
      <c r="AJ497" s="601">
        <f t="shared" si="335"/>
        <v>8978850</v>
      </c>
      <c r="AK497" s="601">
        <f t="shared" si="336"/>
        <v>0</v>
      </c>
      <c r="AL497" s="601">
        <f t="shared" si="337"/>
        <v>0</v>
      </c>
      <c r="AM497" s="601">
        <f t="shared" si="338"/>
        <v>118512051</v>
      </c>
    </row>
    <row r="498" spans="4:39">
      <c r="D498" s="442" t="s">
        <v>205</v>
      </c>
      <c r="AE498" s="601">
        <f t="shared" si="339"/>
        <v>243112442</v>
      </c>
      <c r="AF498" s="601">
        <f t="shared" si="331"/>
        <v>243112448</v>
      </c>
      <c r="AG498" s="439">
        <f t="shared" ref="AG498" si="342">AE498/AF498</f>
        <v>0.99999997532006257</v>
      </c>
      <c r="AH498" s="601">
        <f t="shared" si="333"/>
        <v>10326000</v>
      </c>
      <c r="AI498" s="601">
        <f t="shared" si="334"/>
        <v>6538484</v>
      </c>
      <c r="AJ498" s="601">
        <f t="shared" si="335"/>
        <v>24046945</v>
      </c>
      <c r="AK498" s="601">
        <f t="shared" si="336"/>
        <v>0</v>
      </c>
      <c r="AL498" s="601">
        <f t="shared" si="337"/>
        <v>0</v>
      </c>
      <c r="AM498" s="601">
        <f t="shared" si="338"/>
        <v>284023877</v>
      </c>
    </row>
    <row r="499" spans="4:39">
      <c r="D499" s="442" t="s">
        <v>18</v>
      </c>
      <c r="AE499" s="601">
        <f t="shared" si="339"/>
        <v>87203056</v>
      </c>
      <c r="AF499" s="601">
        <f t="shared" si="331"/>
        <v>87203062</v>
      </c>
      <c r="AG499" s="439">
        <f t="shared" ref="AG499" si="343">AE499/AF499</f>
        <v>0.99999993119507657</v>
      </c>
      <c r="AH499" s="601">
        <f t="shared" si="333"/>
        <v>3910238</v>
      </c>
      <c r="AI499" s="601">
        <f t="shared" si="334"/>
        <v>0</v>
      </c>
      <c r="AJ499" s="601">
        <f t="shared" si="335"/>
        <v>9030076</v>
      </c>
      <c r="AK499" s="601">
        <f t="shared" si="336"/>
        <v>0</v>
      </c>
      <c r="AL499" s="601">
        <f t="shared" si="337"/>
        <v>0</v>
      </c>
      <c r="AM499" s="601">
        <f t="shared" si="338"/>
        <v>100143376</v>
      </c>
    </row>
    <row r="500" spans="4:39">
      <c r="D500" s="442" t="s">
        <v>27</v>
      </c>
      <c r="AE500" s="601">
        <f t="shared" si="339"/>
        <v>26938989</v>
      </c>
      <c r="AF500" s="601">
        <f t="shared" si="331"/>
        <v>26938967</v>
      </c>
      <c r="AG500" s="439">
        <f t="shared" ref="AG500" si="344">AE500/AF500</f>
        <v>1.0000008166608616</v>
      </c>
      <c r="AH500" s="601">
        <f t="shared" si="333"/>
        <v>1368520</v>
      </c>
      <c r="AI500" s="601">
        <f t="shared" si="334"/>
        <v>0</v>
      </c>
      <c r="AJ500" s="601">
        <f t="shared" si="335"/>
        <v>3158826</v>
      </c>
      <c r="AK500" s="601">
        <f t="shared" si="336"/>
        <v>0</v>
      </c>
      <c r="AL500" s="601">
        <f t="shared" si="337"/>
        <v>0</v>
      </c>
      <c r="AM500" s="601">
        <f t="shared" si="338"/>
        <v>31466313</v>
      </c>
    </row>
    <row r="501" spans="4:39">
      <c r="D501" s="442" t="s">
        <v>19</v>
      </c>
      <c r="AE501" s="601">
        <f t="shared" si="339"/>
        <v>10497</v>
      </c>
      <c r="AF501" s="601">
        <f>ROUND(Lighting!E23,0)</f>
        <v>10497</v>
      </c>
      <c r="AG501" s="439">
        <f t="shared" ref="AG501" si="345">AE501/AF501</f>
        <v>1</v>
      </c>
      <c r="AH501" s="601">
        <f>Lighting!$C$25</f>
        <v>289955.86612234282</v>
      </c>
      <c r="AI501" s="601">
        <f t="shared" si="334"/>
        <v>0</v>
      </c>
      <c r="AJ501" s="601">
        <f>Lighting!$D$23</f>
        <v>917.94861316912545</v>
      </c>
      <c r="AK501" s="601">
        <f t="shared" si="336"/>
        <v>0</v>
      </c>
      <c r="AL501" s="601">
        <f t="shared" si="337"/>
        <v>0</v>
      </c>
      <c r="AM501" s="601">
        <f>Lighting!$B$23</f>
        <v>11821.996380265882</v>
      </c>
    </row>
    <row r="502" spans="4:39">
      <c r="D502" s="442" t="s">
        <v>20</v>
      </c>
      <c r="AE502" s="601">
        <f t="shared" si="339"/>
        <v>128169</v>
      </c>
      <c r="AF502" s="601">
        <f>ROUND(Lighting!E24,0)</f>
        <v>128169</v>
      </c>
      <c r="AG502" s="439">
        <f t="shared" ref="AG502" si="346">AE502/AF502</f>
        <v>1</v>
      </c>
      <c r="AH502" s="601">
        <f>Lighting!$C$25</f>
        <v>289955.86612234282</v>
      </c>
      <c r="AI502" s="601">
        <f t="shared" si="334"/>
        <v>0</v>
      </c>
      <c r="AJ502" s="601">
        <f>Lighting!$D$23</f>
        <v>917.94861316912545</v>
      </c>
      <c r="AK502" s="601">
        <f t="shared" si="336"/>
        <v>0</v>
      </c>
      <c r="AL502" s="601">
        <f t="shared" si="337"/>
        <v>0</v>
      </c>
      <c r="AM502" s="601">
        <f>Lighting!$B$23</f>
        <v>11821.996380265882</v>
      </c>
    </row>
  </sheetData>
  <autoFilter ref="A3:AQ471">
    <filterColumn colId="2">
      <filters>
        <filter val="GS"/>
        <filter val="GS3"/>
      </filters>
    </filterColumn>
  </autoFilter>
  <mergeCells count="1">
    <mergeCell ref="AV1:AX2"/>
  </mergeCells>
  <conditionalFormatting sqref="AG465:AG471 AG4:AG30 AG34:AG69 AG75:AG108 AG114:AG147 AG153:AG186 AG192:AG225 AG231:AG264 AG270:AG303 AG309:AG342 AG348:AG381 AG387:AG420 AG426:AG459">
    <cfRule type="cellIs" dxfId="8" priority="37" operator="notEqual">
      <formula>1</formula>
    </cfRule>
  </conditionalFormatting>
  <conditionalFormatting sqref="AG32:AG33">
    <cfRule type="cellIs" dxfId="7" priority="36" operator="notEqual">
      <formula>1</formula>
    </cfRule>
  </conditionalFormatting>
  <conditionalFormatting sqref="AG31:AG35">
    <cfRule type="cellIs" dxfId="6" priority="35" operator="notEqual">
      <formula>1</formula>
    </cfRule>
  </conditionalFormatting>
  <conditionalFormatting sqref="AG460:AG464 AG421:AG425 AG382:AG386 AG343:AG347 AG304:AG308 AG265:AG269 AG226:AG230 AG187:AG191 AG148:AG152 AG109:AG113 AG70:AG74">
    <cfRule type="cellIs" dxfId="5" priority="1" operator="notEqual">
      <formula>1</formula>
    </cfRule>
  </conditionalFormatting>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O1167"/>
  <sheetViews>
    <sheetView topLeftCell="A1046" workbookViewId="0">
      <selection activeCell="E1071" sqref="E1071"/>
    </sheetView>
  </sheetViews>
  <sheetFormatPr defaultRowHeight="12"/>
  <cols>
    <col min="1" max="1" width="6.83203125" customWidth="1"/>
    <col min="2" max="2" width="12.33203125" style="17" bestFit="1" customWidth="1"/>
    <col min="3" max="3" width="9.5" style="17" bestFit="1" customWidth="1"/>
    <col min="4" max="4" width="15" style="17" bestFit="1" customWidth="1"/>
    <col min="5" max="5" width="12.1640625" style="79" customWidth="1"/>
    <col min="6" max="6" width="12.1640625" style="17" customWidth="1"/>
    <col min="7" max="8" width="16.5" style="17" customWidth="1"/>
    <col min="9" max="10" width="11.33203125" style="17" customWidth="1"/>
    <col min="11" max="11" width="16" style="17" customWidth="1"/>
    <col min="12" max="13" width="18.6640625" customWidth="1"/>
    <col min="14" max="15" width="15.1640625" bestFit="1" customWidth="1"/>
    <col min="16" max="18" width="14.1640625" bestFit="1" customWidth="1"/>
    <col min="19" max="19" width="13.33203125" customWidth="1"/>
    <col min="20" max="20" width="17.6640625" customWidth="1"/>
    <col min="21" max="21" width="17" customWidth="1"/>
    <col min="22" max="22" width="15.83203125" bestFit="1" customWidth="1"/>
    <col min="23" max="23" width="15.1640625" bestFit="1" customWidth="1"/>
    <col min="25" max="25" width="11.5" bestFit="1" customWidth="1"/>
    <col min="26" max="26" width="13.33203125" customWidth="1"/>
    <col min="28" max="28" width="10.83203125" customWidth="1"/>
    <col min="30" max="30" width="10.1640625" style="17" bestFit="1" customWidth="1"/>
    <col min="31" max="31" width="21.6640625" style="17" bestFit="1" customWidth="1"/>
    <col min="32" max="32" width="18.6640625" bestFit="1" customWidth="1"/>
    <col min="33" max="33" width="9.33203125" style="183"/>
    <col min="37" max="37" width="11.33203125" bestFit="1" customWidth="1"/>
    <col min="39" max="39" width="9.5" bestFit="1" customWidth="1"/>
  </cols>
  <sheetData>
    <row r="1" spans="1:41" s="71" customFormat="1" ht="50.25" customHeight="1">
      <c r="A1" s="66" t="s">
        <v>33</v>
      </c>
      <c r="B1" s="66" t="s">
        <v>71</v>
      </c>
      <c r="C1" s="66" t="s">
        <v>34</v>
      </c>
      <c r="D1" s="66" t="s">
        <v>50</v>
      </c>
      <c r="E1" s="168" t="s">
        <v>51</v>
      </c>
      <c r="F1" s="67" t="s">
        <v>1380</v>
      </c>
      <c r="G1" s="68" t="s">
        <v>35</v>
      </c>
      <c r="H1" s="67" t="s">
        <v>1381</v>
      </c>
      <c r="I1" s="68" t="s">
        <v>639</v>
      </c>
      <c r="J1" s="68" t="s">
        <v>1266</v>
      </c>
      <c r="K1" s="68" t="s">
        <v>640</v>
      </c>
      <c r="L1" s="67" t="s">
        <v>1382</v>
      </c>
      <c r="M1" s="67" t="s">
        <v>1383</v>
      </c>
      <c r="N1" s="68" t="s">
        <v>42</v>
      </c>
      <c r="O1" s="68" t="s">
        <v>43</v>
      </c>
      <c r="P1" s="69" t="s">
        <v>44</v>
      </c>
      <c r="Q1" s="66" t="s">
        <v>45</v>
      </c>
      <c r="R1" s="66" t="s">
        <v>46</v>
      </c>
      <c r="S1" s="66" t="s">
        <v>47</v>
      </c>
      <c r="T1" s="66" t="s">
        <v>48</v>
      </c>
      <c r="U1" s="70" t="s">
        <v>641</v>
      </c>
      <c r="V1" s="66" t="s">
        <v>633</v>
      </c>
      <c r="W1" s="66" t="s">
        <v>634</v>
      </c>
      <c r="Y1" s="71" t="s">
        <v>1199</v>
      </c>
      <c r="Z1" s="71" t="s">
        <v>1362</v>
      </c>
      <c r="AA1" s="71" t="s">
        <v>705</v>
      </c>
      <c r="AB1" s="1118" t="s">
        <v>703</v>
      </c>
      <c r="AD1" t="s">
        <v>635</v>
      </c>
      <c r="AE1" t="s">
        <v>636</v>
      </c>
      <c r="AF1" t="s">
        <v>637</v>
      </c>
      <c r="AG1" s="184"/>
      <c r="AH1" s="71">
        <f>MiscData!$AB$115</f>
        <v>0</v>
      </c>
      <c r="AI1" s="71" t="s">
        <v>638</v>
      </c>
      <c r="AK1" s="71" t="s">
        <v>5</v>
      </c>
      <c r="AL1" s="71" t="s">
        <v>10</v>
      </c>
    </row>
    <row r="2" spans="1:41">
      <c r="A2" s="7">
        <v>1</v>
      </c>
      <c r="B2" s="13" t="str">
        <f t="shared" ref="B2:B65" si="0">TEXT(AD2,"mmm yyyy")</f>
        <v>Jan 2016</v>
      </c>
      <c r="C2" s="23" t="str">
        <f t="shared" ref="C2:C65" si="1">AL2</f>
        <v>LS</v>
      </c>
      <c r="D2" s="23" t="str">
        <f t="shared" ref="D2:D65" si="2">AK2</f>
        <v>KUUM_300</v>
      </c>
      <c r="E2" s="170">
        <f t="shared" ref="E2:E65" si="3">SUMIFS(_1055_Light_Count,_1055_RevMonth,$B2,_1055_RateCategory,$D2)</f>
        <v>0</v>
      </c>
      <c r="F2" s="185"/>
      <c r="G2" s="170">
        <f t="shared" ref="G2:G65" si="4">SUMIFS(_SBR_KWH,_SBR_Revenue_Month,$B2,_SBR_Rate_Category,$D2)</f>
        <v>0</v>
      </c>
      <c r="H2" s="170">
        <v>0</v>
      </c>
      <c r="I2" s="11">
        <f>SUMIF(_Lights_Tariff_Category,$AE2,_Lights_Rates)</f>
        <v>22.49</v>
      </c>
      <c r="J2" s="11">
        <f t="shared" ref="J2:J65" si="5">SUMIF(_Lights_Tariff_Category,$AE2,_Rates_Lights_BaseFAC)</f>
        <v>0.58000000000000185</v>
      </c>
      <c r="K2" s="416">
        <f>ROUND(($E2+$F2)*$I2,2)</f>
        <v>0</v>
      </c>
      <c r="L2" s="180"/>
      <c r="M2" s="180"/>
      <c r="N2" s="182">
        <f t="shared" ref="N2:N65" si="6">SUM(K2:M2)</f>
        <v>0</v>
      </c>
      <c r="O2" s="29">
        <f t="shared" ref="O2:O65" si="7">U2-SUM(Q2:T2)</f>
        <v>0</v>
      </c>
      <c r="P2" s="181">
        <f>IF(AND(N2=0,O2=0),1,IF(N2=0,0,ROUND(O2/N2,6)))</f>
        <v>1</v>
      </c>
      <c r="Q2" s="182">
        <f t="shared" ref="Q2:Q65" si="8">SUMIFS(_SBR_FAC,_SBR_Revenue_Month,$B2,_SBR_Rate_Category,$D2)</f>
        <v>0</v>
      </c>
      <c r="R2" s="182">
        <f t="shared" ref="R2:R65" si="9">SUMIFS(_SBR_DSM,_SBR_Revenue_Month,$B2,_SBR_Rate_Category,$D2)</f>
        <v>0</v>
      </c>
      <c r="S2" s="182">
        <f t="shared" ref="S2:S65" si="10">SUMIFS(_SBR_ECR,_SBR_Revenue_Month,$B2,_SBR_Rate_Category,$D2)</f>
        <v>0</v>
      </c>
      <c r="T2" s="182">
        <f t="shared" ref="T2:T65" si="11">SUMIFS(_SBR_MSR,_SBR_Revenue_Month,$B2,_SBR_Rate_Category,$D2)</f>
        <v>0</v>
      </c>
      <c r="U2" s="182">
        <f t="shared" ref="U2:U65" si="12">SUMIFS(_SBR_Revenue_Actual,_SBR_Revenue_Month,$B2,_SBR_Rate_Category,$D2)</f>
        <v>0</v>
      </c>
      <c r="V2" s="14">
        <f t="shared" ref="V2:V65" si="13">SUM(N2,Q2:T2)</f>
        <v>0</v>
      </c>
      <c r="W2" s="14">
        <f t="shared" ref="W2:W65" si="14">U2-V2</f>
        <v>0</v>
      </c>
      <c r="Y2" s="14">
        <f>ROUND(E2*J2,2)</f>
        <v>0</v>
      </c>
      <c r="Z2" s="14">
        <f>O2-Y2</f>
        <v>0</v>
      </c>
      <c r="AA2" s="11">
        <f t="shared" ref="AA2:AA65" si="15">SUMIF(_Lights_Tariff_Category,$AE2,_Rates_Lights_ECR)</f>
        <v>0.33</v>
      </c>
      <c r="AB2" s="9">
        <f>E2*AA2</f>
        <v>0</v>
      </c>
      <c r="AD2" s="24">
        <f>MiscData!$A$5</f>
        <v>42400</v>
      </c>
      <c r="AE2" s="7" t="str">
        <f t="shared" ref="AE2:AE65" si="16">CONCATENATE(AI2&amp;AK2)</f>
        <v>20140101KUUM_300</v>
      </c>
      <c r="AF2" s="12" t="str">
        <f t="shared" ref="AF2:AF65" si="17">CONCATENATE(AI2&amp;AL2)</f>
        <v>20140101LS</v>
      </c>
      <c r="AG2" s="31"/>
      <c r="AH2">
        <f>IF(AH1=MiscData!$AB$91,1,AH1+1)</f>
        <v>1</v>
      </c>
      <c r="AI2">
        <f>IF(AD2&lt;=MiscData!$B$23,MiscData!$C$23,IF(AD2&lt;=MiscData!$B$24,MiscData!$C$24,MiscData!$C$25))</f>
        <v>20140101</v>
      </c>
      <c r="AK2" s="190" t="str">
        <f>VLOOKUP(AM2,MiscData!$AB$4:$ACB$113,2,FALSE)</f>
        <v>KUUM_300</v>
      </c>
      <c r="AL2" s="190" t="str">
        <f>VLOOKUP(AM2,MiscData!$AB$4:$AE$115,4,FALSE)</f>
        <v>LS</v>
      </c>
      <c r="AM2">
        <v>1</v>
      </c>
      <c r="AN2" t="s">
        <v>695</v>
      </c>
      <c r="AO2">
        <f>MiscData!AB115</f>
        <v>0</v>
      </c>
    </row>
    <row r="3" spans="1:41">
      <c r="A3" s="7">
        <f>A2+1</f>
        <v>2</v>
      </c>
      <c r="B3" s="13" t="str">
        <f t="shared" si="0"/>
        <v>Jan 2016</v>
      </c>
      <c r="C3" s="23" t="str">
        <f t="shared" si="1"/>
        <v>LS</v>
      </c>
      <c r="D3" s="23" t="str">
        <f t="shared" si="2"/>
        <v>KUUM_301</v>
      </c>
      <c r="E3" s="170">
        <f t="shared" si="3"/>
        <v>0</v>
      </c>
      <c r="F3" s="185"/>
      <c r="G3" s="170">
        <f t="shared" si="4"/>
        <v>0</v>
      </c>
      <c r="H3" s="170">
        <v>0</v>
      </c>
      <c r="I3" s="11">
        <f t="shared" ref="I3:I65" si="18">SUMIF(_Lights_Tariff_Category,$AE3,_Lights_Rates)</f>
        <v>23.5</v>
      </c>
      <c r="J3" s="11">
        <f t="shared" si="5"/>
        <v>1.129999999999999</v>
      </c>
      <c r="K3" s="416">
        <f t="shared" ref="K3:K66" si="19">ROUND(($E3+$F3)*$I3,2)</f>
        <v>0</v>
      </c>
      <c r="L3" s="180"/>
      <c r="M3" s="180"/>
      <c r="N3" s="182">
        <f t="shared" si="6"/>
        <v>0</v>
      </c>
      <c r="O3" s="29">
        <f t="shared" si="7"/>
        <v>0</v>
      </c>
      <c r="P3" s="181">
        <f t="shared" ref="P3:P66" si="20">IF(AND(N3=0,O3=0),1,IF(N3=0,0,ROUND(O3/N3,6)))</f>
        <v>1</v>
      </c>
      <c r="Q3" s="182">
        <f t="shared" si="8"/>
        <v>0</v>
      </c>
      <c r="R3" s="182">
        <f t="shared" si="9"/>
        <v>0</v>
      </c>
      <c r="S3" s="182">
        <f t="shared" si="10"/>
        <v>0</v>
      </c>
      <c r="T3" s="182">
        <f t="shared" si="11"/>
        <v>0</v>
      </c>
      <c r="U3" s="182">
        <f t="shared" si="12"/>
        <v>0</v>
      </c>
      <c r="V3" s="14">
        <f t="shared" si="13"/>
        <v>0</v>
      </c>
      <c r="W3" s="14">
        <f t="shared" si="14"/>
        <v>0</v>
      </c>
      <c r="Y3" s="14">
        <f t="shared" ref="Y3:Y66" si="21">ROUND(E3*J3,2)</f>
        <v>0</v>
      </c>
      <c r="Z3" s="14">
        <f t="shared" ref="Z3:Z66" si="22">O3-Y3</f>
        <v>0</v>
      </c>
      <c r="AA3" s="11">
        <f t="shared" si="15"/>
        <v>0.34</v>
      </c>
      <c r="AB3" s="9">
        <f t="shared" ref="AB3:AB66" si="23">E3*AA3</f>
        <v>0</v>
      </c>
      <c r="AD3" s="13">
        <f>IF(AH3&gt;AH2,AD2,IF(AD2&lt;MiscData!$F$1,EOMONTH(AD2,1),EOMONTH(AD2,-11)))</f>
        <v>42400</v>
      </c>
      <c r="AE3" s="7" t="str">
        <f t="shared" si="16"/>
        <v>20140101KUUM_301</v>
      </c>
      <c r="AF3" s="12" t="str">
        <f t="shared" si="17"/>
        <v>20140101LS</v>
      </c>
      <c r="AG3" s="31"/>
      <c r="AH3">
        <f>IF(AH2=MiscData!$AB$91,1,AH2+1)</f>
        <v>2</v>
      </c>
      <c r="AI3">
        <f>IF(AD3&lt;=MiscData!$B$23,MiscData!$C$23,IF(AD3&lt;=MiscData!$B$24,MiscData!$C$24,MiscData!$C$25))</f>
        <v>20140101</v>
      </c>
      <c r="AK3" s="190" t="str">
        <f>VLOOKUP(AM3,MiscData!$AB$4:$ACB$113,2,FALSE)</f>
        <v>KUUM_301</v>
      </c>
      <c r="AL3" s="190" t="str">
        <f>VLOOKUP(AM3,MiscData!$AB$4:$AE$115,4,FALSE)</f>
        <v>LS</v>
      </c>
      <c r="AM3">
        <f>IF(AM2=MiscData!$AB$91,1,AM2+1)</f>
        <v>2</v>
      </c>
    </row>
    <row r="4" spans="1:41">
      <c r="A4" s="7">
        <f t="shared" ref="A4:A67" si="24">A3+1</f>
        <v>3</v>
      </c>
      <c r="B4" s="13" t="str">
        <f t="shared" si="0"/>
        <v>Jan 2016</v>
      </c>
      <c r="C4" s="23" t="str">
        <f t="shared" si="1"/>
        <v>LS</v>
      </c>
      <c r="D4" s="23" t="str">
        <f t="shared" si="2"/>
        <v>KUUM_360</v>
      </c>
      <c r="E4" s="170">
        <f t="shared" si="3"/>
        <v>172</v>
      </c>
      <c r="F4" s="185"/>
      <c r="G4" s="170">
        <f t="shared" si="4"/>
        <v>0</v>
      </c>
      <c r="H4" s="170">
        <v>0</v>
      </c>
      <c r="I4" s="11">
        <f t="shared" si="18"/>
        <v>55.33</v>
      </c>
      <c r="J4" s="11">
        <f t="shared" si="5"/>
        <v>1.75</v>
      </c>
      <c r="K4" s="416">
        <f t="shared" si="19"/>
        <v>9516.76</v>
      </c>
      <c r="L4" s="180"/>
      <c r="M4" s="180"/>
      <c r="N4" s="182">
        <f t="shared" si="6"/>
        <v>9516.76</v>
      </c>
      <c r="O4" s="29">
        <f t="shared" si="7"/>
        <v>0</v>
      </c>
      <c r="P4" s="181">
        <f t="shared" si="20"/>
        <v>0</v>
      </c>
      <c r="Q4" s="182">
        <f t="shared" si="8"/>
        <v>0</v>
      </c>
      <c r="R4" s="182">
        <f t="shared" si="9"/>
        <v>0</v>
      </c>
      <c r="S4" s="182">
        <f t="shared" si="10"/>
        <v>0</v>
      </c>
      <c r="T4" s="182">
        <f t="shared" si="11"/>
        <v>0</v>
      </c>
      <c r="U4" s="182">
        <f t="shared" si="12"/>
        <v>0</v>
      </c>
      <c r="V4" s="14">
        <f t="shared" si="13"/>
        <v>9516.76</v>
      </c>
      <c r="W4" s="14">
        <f t="shared" si="14"/>
        <v>-9516.76</v>
      </c>
      <c r="Y4" s="14">
        <f t="shared" si="21"/>
        <v>301</v>
      </c>
      <c r="Z4" s="14">
        <f t="shared" si="22"/>
        <v>-301</v>
      </c>
      <c r="AA4" s="11">
        <f t="shared" si="15"/>
        <v>2.41</v>
      </c>
      <c r="AB4" s="9">
        <f t="shared" si="23"/>
        <v>414.52000000000004</v>
      </c>
      <c r="AD4" s="13">
        <f>IF(AH4&gt;AH3,AD3,IF(AD3&lt;MiscData!$F$1,EOMONTH(AD3,1),EOMONTH(AD3,-11)))</f>
        <v>42400</v>
      </c>
      <c r="AE4" s="7" t="str">
        <f t="shared" si="16"/>
        <v>20140101KUUM_360</v>
      </c>
      <c r="AF4" s="12" t="str">
        <f t="shared" si="17"/>
        <v>20140101LS</v>
      </c>
      <c r="AG4" s="31"/>
      <c r="AH4">
        <f>IF(AH3=MiscData!$AB$91,1,AH3+1)</f>
        <v>3</v>
      </c>
      <c r="AI4">
        <f>IF(AD4&lt;=MiscData!$B$23,MiscData!$C$23,IF(AD4&lt;=MiscData!$B$24,MiscData!$C$24,MiscData!$C$25))</f>
        <v>20140101</v>
      </c>
      <c r="AK4" s="190" t="str">
        <f>VLOOKUP(AM4,MiscData!$AB$4:$ACB$113,2,FALSE)</f>
        <v>KUUM_360</v>
      </c>
      <c r="AL4" s="190" t="str">
        <f>VLOOKUP(AM4,MiscData!$AB$4:$AE$115,4,FALSE)</f>
        <v>LS</v>
      </c>
      <c r="AM4">
        <f>IF(AM3=MiscData!$AB$91,1,AM3+1)</f>
        <v>3</v>
      </c>
    </row>
    <row r="5" spans="1:41">
      <c r="A5" s="7">
        <f t="shared" si="24"/>
        <v>4</v>
      </c>
      <c r="B5" s="13" t="str">
        <f t="shared" si="0"/>
        <v>Jan 2016</v>
      </c>
      <c r="C5" s="23" t="str">
        <f t="shared" si="1"/>
        <v>LS</v>
      </c>
      <c r="D5" s="23" t="str">
        <f t="shared" si="2"/>
        <v>KUUM_361</v>
      </c>
      <c r="E5" s="170">
        <f t="shared" si="3"/>
        <v>26</v>
      </c>
      <c r="F5" s="185"/>
      <c r="G5" s="170">
        <f t="shared" si="4"/>
        <v>0</v>
      </c>
      <c r="H5" s="170">
        <v>0</v>
      </c>
      <c r="I5" s="11">
        <f t="shared" si="18"/>
        <v>83.16</v>
      </c>
      <c r="J5" s="11">
        <f t="shared" si="5"/>
        <v>1.75</v>
      </c>
      <c r="K5" s="416">
        <f t="shared" si="19"/>
        <v>2162.16</v>
      </c>
      <c r="L5" s="180"/>
      <c r="M5" s="180"/>
      <c r="N5" s="182">
        <f t="shared" si="6"/>
        <v>2162.16</v>
      </c>
      <c r="O5" s="29">
        <f t="shared" si="7"/>
        <v>0</v>
      </c>
      <c r="P5" s="181">
        <f t="shared" si="20"/>
        <v>0</v>
      </c>
      <c r="Q5" s="182">
        <f t="shared" si="8"/>
        <v>0</v>
      </c>
      <c r="R5" s="182">
        <f t="shared" si="9"/>
        <v>0</v>
      </c>
      <c r="S5" s="182">
        <f t="shared" si="10"/>
        <v>0</v>
      </c>
      <c r="T5" s="182">
        <f t="shared" si="11"/>
        <v>0</v>
      </c>
      <c r="U5" s="182">
        <f t="shared" si="12"/>
        <v>0</v>
      </c>
      <c r="V5" s="14">
        <f t="shared" si="13"/>
        <v>2162.16</v>
      </c>
      <c r="W5" s="14">
        <f t="shared" si="14"/>
        <v>-2162.16</v>
      </c>
      <c r="Y5" s="14">
        <f t="shared" si="21"/>
        <v>45.5</v>
      </c>
      <c r="Z5" s="14">
        <f t="shared" si="22"/>
        <v>-45.5</v>
      </c>
      <c r="AA5" s="11">
        <f t="shared" si="15"/>
        <v>2.41</v>
      </c>
      <c r="AB5" s="9">
        <f t="shared" si="23"/>
        <v>62.660000000000004</v>
      </c>
      <c r="AD5" s="13">
        <f>IF(AH5&gt;AH4,AD4,IF(AD4&lt;MiscData!$F$1,EOMONTH(AD4,1),EOMONTH(AD4,-11)))</f>
        <v>42400</v>
      </c>
      <c r="AE5" s="7" t="str">
        <f t="shared" si="16"/>
        <v>20140101KUUM_361</v>
      </c>
      <c r="AF5" s="12" t="str">
        <f t="shared" si="17"/>
        <v>20140101LS</v>
      </c>
      <c r="AG5" s="31"/>
      <c r="AH5">
        <f>IF(AH4=MiscData!$AB$91,1,AH4+1)</f>
        <v>4</v>
      </c>
      <c r="AI5">
        <f>IF(AD5&lt;=MiscData!$B$23,MiscData!$C$23,IF(AD5&lt;=MiscData!$B$24,MiscData!$C$24,MiscData!$C$25))</f>
        <v>20140101</v>
      </c>
      <c r="AK5" s="190" t="str">
        <f>VLOOKUP(AM5,MiscData!$AB$4:$ACB$113,2,FALSE)</f>
        <v>KUUM_361</v>
      </c>
      <c r="AL5" s="190" t="str">
        <f>VLOOKUP(AM5,MiscData!$AB$4:$AE$115,4,FALSE)</f>
        <v>LS</v>
      </c>
      <c r="AM5">
        <f>IF(AM4=MiscData!$AB$91,1,AM4+1)</f>
        <v>4</v>
      </c>
    </row>
    <row r="6" spans="1:41">
      <c r="A6" s="7">
        <f t="shared" si="24"/>
        <v>5</v>
      </c>
      <c r="B6" s="13" t="str">
        <f t="shared" si="0"/>
        <v>Jan 2016</v>
      </c>
      <c r="C6" s="23" t="str">
        <f t="shared" si="1"/>
        <v>LS</v>
      </c>
      <c r="D6" s="23" t="str">
        <f t="shared" si="2"/>
        <v>KUUM_362</v>
      </c>
      <c r="E6" s="170">
        <f t="shared" si="3"/>
        <v>44</v>
      </c>
      <c r="F6" s="185"/>
      <c r="G6" s="170">
        <f t="shared" si="4"/>
        <v>0</v>
      </c>
      <c r="H6" s="170">
        <v>0</v>
      </c>
      <c r="I6" s="11">
        <f t="shared" si="18"/>
        <v>59.78</v>
      </c>
      <c r="J6" s="11">
        <f t="shared" si="5"/>
        <v>1.75</v>
      </c>
      <c r="K6" s="416">
        <f t="shared" si="19"/>
        <v>2630.32</v>
      </c>
      <c r="L6" s="180"/>
      <c r="M6" s="180"/>
      <c r="N6" s="182">
        <f t="shared" si="6"/>
        <v>2630.32</v>
      </c>
      <c r="O6" s="29">
        <f t="shared" si="7"/>
        <v>0</v>
      </c>
      <c r="P6" s="181">
        <f t="shared" si="20"/>
        <v>0</v>
      </c>
      <c r="Q6" s="182">
        <f t="shared" si="8"/>
        <v>0</v>
      </c>
      <c r="R6" s="182">
        <f t="shared" si="9"/>
        <v>0</v>
      </c>
      <c r="S6" s="182">
        <f t="shared" si="10"/>
        <v>0</v>
      </c>
      <c r="T6" s="182">
        <f t="shared" si="11"/>
        <v>0</v>
      </c>
      <c r="U6" s="182">
        <f t="shared" si="12"/>
        <v>0</v>
      </c>
      <c r="V6" s="14">
        <f t="shared" si="13"/>
        <v>2630.32</v>
      </c>
      <c r="W6" s="14">
        <f t="shared" si="14"/>
        <v>-2630.32</v>
      </c>
      <c r="Y6" s="14">
        <f t="shared" si="21"/>
        <v>77</v>
      </c>
      <c r="Z6" s="14">
        <f t="shared" si="22"/>
        <v>-77</v>
      </c>
      <c r="AA6" s="11">
        <f t="shared" si="15"/>
        <v>2.41</v>
      </c>
      <c r="AB6" s="9">
        <f t="shared" si="23"/>
        <v>106.04</v>
      </c>
      <c r="AD6" s="13">
        <f>IF(AH6&gt;AH5,AD5,IF(AD5&lt;MiscData!$F$1,EOMONTH(AD5,1),EOMONTH(AD5,-11)))</f>
        <v>42400</v>
      </c>
      <c r="AE6" s="7" t="str">
        <f t="shared" si="16"/>
        <v>20140101KUUM_362</v>
      </c>
      <c r="AF6" s="12" t="str">
        <f t="shared" si="17"/>
        <v>20140101LS</v>
      </c>
      <c r="AG6" s="31"/>
      <c r="AH6">
        <f>IF(AH5=MiscData!$AB$91,1,AH5+1)</f>
        <v>5</v>
      </c>
      <c r="AI6">
        <f>IF(AD6&lt;=MiscData!$B$23,MiscData!$C$23,IF(AD6&lt;=MiscData!$B$24,MiscData!$C$24,MiscData!$C$25))</f>
        <v>20140101</v>
      </c>
      <c r="AK6" s="190" t="str">
        <f>VLOOKUP(AM6,MiscData!$AB$4:$ACB$113,2,FALSE)</f>
        <v>KUUM_362</v>
      </c>
      <c r="AL6" s="190" t="str">
        <f>VLOOKUP(AM6,MiscData!$AB$4:$AE$115,4,FALSE)</f>
        <v>LS</v>
      </c>
      <c r="AM6">
        <f>IF(AM5=MiscData!$AB$91,1,AM5+1)</f>
        <v>5</v>
      </c>
    </row>
    <row r="7" spans="1:41">
      <c r="A7" s="7">
        <f t="shared" si="24"/>
        <v>6</v>
      </c>
      <c r="B7" s="13" t="str">
        <f t="shared" si="0"/>
        <v>Jan 2016</v>
      </c>
      <c r="C7" s="23" t="str">
        <f t="shared" si="1"/>
        <v>LS</v>
      </c>
      <c r="D7" s="23" t="str">
        <f t="shared" si="2"/>
        <v>KUUM_363</v>
      </c>
      <c r="E7" s="170">
        <f t="shared" si="3"/>
        <v>5</v>
      </c>
      <c r="F7" s="185"/>
      <c r="G7" s="170">
        <f t="shared" si="4"/>
        <v>0</v>
      </c>
      <c r="H7" s="170">
        <v>0</v>
      </c>
      <c r="I7" s="11">
        <f t="shared" si="18"/>
        <v>61.75</v>
      </c>
      <c r="J7" s="11">
        <f t="shared" si="5"/>
        <v>1.75</v>
      </c>
      <c r="K7" s="416">
        <f t="shared" si="19"/>
        <v>308.75</v>
      </c>
      <c r="L7" s="180"/>
      <c r="M7" s="180"/>
      <c r="N7" s="182">
        <f t="shared" si="6"/>
        <v>308.75</v>
      </c>
      <c r="O7" s="29">
        <f t="shared" si="7"/>
        <v>0</v>
      </c>
      <c r="P7" s="181">
        <f t="shared" si="20"/>
        <v>0</v>
      </c>
      <c r="Q7" s="182">
        <f t="shared" si="8"/>
        <v>0</v>
      </c>
      <c r="R7" s="182">
        <f t="shared" si="9"/>
        <v>0</v>
      </c>
      <c r="S7" s="182">
        <f t="shared" si="10"/>
        <v>0</v>
      </c>
      <c r="T7" s="182">
        <f t="shared" si="11"/>
        <v>0</v>
      </c>
      <c r="U7" s="182">
        <f t="shared" si="12"/>
        <v>0</v>
      </c>
      <c r="V7" s="14">
        <f t="shared" si="13"/>
        <v>308.75</v>
      </c>
      <c r="W7" s="14">
        <f t="shared" si="14"/>
        <v>-308.75</v>
      </c>
      <c r="Y7" s="14">
        <f t="shared" si="21"/>
        <v>8.75</v>
      </c>
      <c r="Z7" s="14">
        <f t="shared" si="22"/>
        <v>-8.75</v>
      </c>
      <c r="AA7" s="11">
        <f t="shared" si="15"/>
        <v>2.41</v>
      </c>
      <c r="AB7" s="9">
        <f t="shared" si="23"/>
        <v>12.05</v>
      </c>
      <c r="AD7" s="13">
        <f>IF(AH7&gt;AH6,AD6,IF(AD6&lt;MiscData!$F$1,EOMONTH(AD6,1),EOMONTH(AD6,-11)))</f>
        <v>42400</v>
      </c>
      <c r="AE7" s="7" t="str">
        <f t="shared" si="16"/>
        <v>20140101KUUM_363</v>
      </c>
      <c r="AF7" s="12" t="str">
        <f t="shared" si="17"/>
        <v>20140101LS</v>
      </c>
      <c r="AG7" s="31"/>
      <c r="AH7">
        <f>IF(AH6=MiscData!$AB$91,1,AH6+1)</f>
        <v>6</v>
      </c>
      <c r="AI7">
        <f>IF(AD7&lt;=MiscData!$B$23,MiscData!$C$23,IF(AD7&lt;=MiscData!$B$24,MiscData!$C$24,MiscData!$C$25))</f>
        <v>20140101</v>
      </c>
      <c r="AK7" s="190" t="str">
        <f>VLOOKUP(AM7,MiscData!$AB$4:$ACB$113,2,FALSE)</f>
        <v>KUUM_363</v>
      </c>
      <c r="AL7" s="190" t="str">
        <f>VLOOKUP(AM7,MiscData!$AB$4:$AE$115,4,FALSE)</f>
        <v>LS</v>
      </c>
      <c r="AM7">
        <f>IF(AM6=MiscData!$AB$91,1,AM6+1)</f>
        <v>6</v>
      </c>
    </row>
    <row r="8" spans="1:41">
      <c r="A8" s="7">
        <f t="shared" si="24"/>
        <v>7</v>
      </c>
      <c r="B8" s="13" t="str">
        <f t="shared" si="0"/>
        <v>Jan 2016</v>
      </c>
      <c r="C8" s="23" t="str">
        <f t="shared" si="1"/>
        <v>LS</v>
      </c>
      <c r="D8" s="23" t="str">
        <f t="shared" si="2"/>
        <v>KUUM_364</v>
      </c>
      <c r="E8" s="170">
        <f t="shared" si="3"/>
        <v>1</v>
      </c>
      <c r="F8" s="185"/>
      <c r="G8" s="170">
        <f t="shared" si="4"/>
        <v>0</v>
      </c>
      <c r="H8" s="170">
        <v>0</v>
      </c>
      <c r="I8" s="11">
        <f t="shared" si="18"/>
        <v>63.11</v>
      </c>
      <c r="J8" s="11">
        <f t="shared" si="5"/>
        <v>1.75</v>
      </c>
      <c r="K8" s="416">
        <f t="shared" si="19"/>
        <v>63.11</v>
      </c>
      <c r="L8" s="180"/>
      <c r="M8" s="180"/>
      <c r="N8" s="182">
        <f t="shared" si="6"/>
        <v>63.11</v>
      </c>
      <c r="O8" s="29">
        <f t="shared" si="7"/>
        <v>0</v>
      </c>
      <c r="P8" s="181">
        <f t="shared" si="20"/>
        <v>0</v>
      </c>
      <c r="Q8" s="182">
        <f t="shared" si="8"/>
        <v>0</v>
      </c>
      <c r="R8" s="182">
        <f t="shared" si="9"/>
        <v>0</v>
      </c>
      <c r="S8" s="182">
        <f t="shared" si="10"/>
        <v>0</v>
      </c>
      <c r="T8" s="182">
        <f t="shared" si="11"/>
        <v>0</v>
      </c>
      <c r="U8" s="182">
        <f t="shared" si="12"/>
        <v>0</v>
      </c>
      <c r="V8" s="14">
        <f t="shared" si="13"/>
        <v>63.11</v>
      </c>
      <c r="W8" s="14">
        <f t="shared" si="14"/>
        <v>-63.11</v>
      </c>
      <c r="Y8" s="14">
        <f t="shared" si="21"/>
        <v>1.75</v>
      </c>
      <c r="Z8" s="14">
        <f t="shared" si="22"/>
        <v>-1.75</v>
      </c>
      <c r="AA8" s="11">
        <f t="shared" si="15"/>
        <v>2.41</v>
      </c>
      <c r="AB8" s="9">
        <f t="shared" si="23"/>
        <v>2.41</v>
      </c>
      <c r="AD8" s="13">
        <f>IF(AH8&gt;AH7,AD7,IF(AD7&lt;MiscData!$F$1,EOMONTH(AD7,1),EOMONTH(AD7,-11)))</f>
        <v>42400</v>
      </c>
      <c r="AE8" s="7" t="str">
        <f t="shared" si="16"/>
        <v>20140101KUUM_364</v>
      </c>
      <c r="AF8" s="12" t="str">
        <f t="shared" si="17"/>
        <v>20140101LS</v>
      </c>
      <c r="AG8" s="31"/>
      <c r="AH8">
        <f>IF(AH7=MiscData!$AB$91,1,AH7+1)</f>
        <v>7</v>
      </c>
      <c r="AI8">
        <f>IF(AD8&lt;=MiscData!$B$23,MiscData!$C$23,IF(AD8&lt;=MiscData!$B$24,MiscData!$C$24,MiscData!$C$25))</f>
        <v>20140101</v>
      </c>
      <c r="AK8" s="190" t="str">
        <f>VLOOKUP(AM8,MiscData!$AB$4:$ACB$113,2,FALSE)</f>
        <v>KUUM_364</v>
      </c>
      <c r="AL8" s="190" t="str">
        <f>VLOOKUP(AM8,MiscData!$AB$4:$AE$115,4,FALSE)</f>
        <v>LS</v>
      </c>
      <c r="AM8">
        <f>IF(AM7=MiscData!$AB$91,1,AM7+1)</f>
        <v>7</v>
      </c>
    </row>
    <row r="9" spans="1:41">
      <c r="A9" s="7">
        <f t="shared" si="24"/>
        <v>8</v>
      </c>
      <c r="B9" s="13" t="str">
        <f t="shared" si="0"/>
        <v>Jan 2016</v>
      </c>
      <c r="C9" s="23" t="str">
        <f t="shared" si="1"/>
        <v>LS</v>
      </c>
      <c r="D9" s="23" t="str">
        <f t="shared" si="2"/>
        <v>KUUM_365</v>
      </c>
      <c r="E9" s="170">
        <f t="shared" si="3"/>
        <v>5</v>
      </c>
      <c r="F9" s="185"/>
      <c r="G9" s="170">
        <f t="shared" si="4"/>
        <v>0</v>
      </c>
      <c r="H9" s="170">
        <v>0</v>
      </c>
      <c r="I9" s="11">
        <f t="shared" si="18"/>
        <v>80.94</v>
      </c>
      <c r="J9" s="11">
        <f t="shared" si="5"/>
        <v>1.75</v>
      </c>
      <c r="K9" s="416">
        <f t="shared" si="19"/>
        <v>404.7</v>
      </c>
      <c r="L9" s="180"/>
      <c r="M9" s="180"/>
      <c r="N9" s="182">
        <f t="shared" si="6"/>
        <v>404.7</v>
      </c>
      <c r="O9" s="29">
        <f t="shared" si="7"/>
        <v>0</v>
      </c>
      <c r="P9" s="181">
        <f t="shared" si="20"/>
        <v>0</v>
      </c>
      <c r="Q9" s="182">
        <f t="shared" si="8"/>
        <v>0</v>
      </c>
      <c r="R9" s="182">
        <f t="shared" si="9"/>
        <v>0</v>
      </c>
      <c r="S9" s="182">
        <f t="shared" si="10"/>
        <v>0</v>
      </c>
      <c r="T9" s="182">
        <f t="shared" si="11"/>
        <v>0</v>
      </c>
      <c r="U9" s="182">
        <f t="shared" si="12"/>
        <v>0</v>
      </c>
      <c r="V9" s="14">
        <f t="shared" si="13"/>
        <v>404.7</v>
      </c>
      <c r="W9" s="14">
        <f t="shared" si="14"/>
        <v>-404.7</v>
      </c>
      <c r="Y9" s="14">
        <f t="shared" si="21"/>
        <v>8.75</v>
      </c>
      <c r="Z9" s="14">
        <f t="shared" si="22"/>
        <v>-8.75</v>
      </c>
      <c r="AA9" s="11">
        <f t="shared" si="15"/>
        <v>2.41</v>
      </c>
      <c r="AB9" s="9">
        <f t="shared" si="23"/>
        <v>12.05</v>
      </c>
      <c r="AD9" s="13">
        <f>IF(AH9&gt;AH8,AD8,IF(AD8&lt;MiscData!$F$1,EOMONTH(AD8,1),EOMONTH(AD8,-11)))</f>
        <v>42400</v>
      </c>
      <c r="AE9" s="7" t="str">
        <f t="shared" si="16"/>
        <v>20140101KUUM_365</v>
      </c>
      <c r="AF9" s="12" t="str">
        <f t="shared" si="17"/>
        <v>20140101LS</v>
      </c>
      <c r="AG9" s="31"/>
      <c r="AH9">
        <f>IF(AH8=MiscData!$AB$91,1,AH8+1)</f>
        <v>8</v>
      </c>
      <c r="AI9">
        <f>IF(AD9&lt;=MiscData!$B$23,MiscData!$C$23,IF(AD9&lt;=MiscData!$B$24,MiscData!$C$24,MiscData!$C$25))</f>
        <v>20140101</v>
      </c>
      <c r="AK9" s="190" t="str">
        <f>VLOOKUP(AM9,MiscData!$AB$4:$ACB$113,2,FALSE)</f>
        <v>KUUM_365</v>
      </c>
      <c r="AL9" s="190" t="str">
        <f>VLOOKUP(AM9,MiscData!$AB$4:$AE$115,4,FALSE)</f>
        <v>LS</v>
      </c>
      <c r="AM9">
        <f>IF(AM8=MiscData!$AB$91,1,AM8+1)</f>
        <v>8</v>
      </c>
    </row>
    <row r="10" spans="1:41">
      <c r="A10" s="7">
        <f t="shared" si="24"/>
        <v>9</v>
      </c>
      <c r="B10" s="13" t="str">
        <f t="shared" si="0"/>
        <v>Jan 2016</v>
      </c>
      <c r="C10" s="23" t="str">
        <f t="shared" si="1"/>
        <v>LS</v>
      </c>
      <c r="D10" s="23" t="str">
        <f t="shared" si="2"/>
        <v>KUUM_366</v>
      </c>
      <c r="E10" s="170">
        <f t="shared" si="3"/>
        <v>10</v>
      </c>
      <c r="F10" s="185"/>
      <c r="G10" s="170">
        <f t="shared" si="4"/>
        <v>0</v>
      </c>
      <c r="H10" s="170">
        <v>0</v>
      </c>
      <c r="I10" s="11">
        <f t="shared" si="18"/>
        <v>78.97</v>
      </c>
      <c r="J10" s="11">
        <f t="shared" si="5"/>
        <v>1.75</v>
      </c>
      <c r="K10" s="416">
        <f t="shared" si="19"/>
        <v>789.7</v>
      </c>
      <c r="L10" s="180"/>
      <c r="M10" s="180"/>
      <c r="N10" s="182">
        <f t="shared" si="6"/>
        <v>789.7</v>
      </c>
      <c r="O10" s="29">
        <f t="shared" si="7"/>
        <v>0</v>
      </c>
      <c r="P10" s="181">
        <f t="shared" si="20"/>
        <v>0</v>
      </c>
      <c r="Q10" s="182">
        <f t="shared" si="8"/>
        <v>0</v>
      </c>
      <c r="R10" s="182">
        <f t="shared" si="9"/>
        <v>0</v>
      </c>
      <c r="S10" s="182">
        <f t="shared" si="10"/>
        <v>0</v>
      </c>
      <c r="T10" s="182">
        <f t="shared" si="11"/>
        <v>0</v>
      </c>
      <c r="U10" s="182">
        <f t="shared" si="12"/>
        <v>0</v>
      </c>
      <c r="V10" s="14">
        <f t="shared" si="13"/>
        <v>789.7</v>
      </c>
      <c r="W10" s="14">
        <f t="shared" si="14"/>
        <v>-789.7</v>
      </c>
      <c r="Y10" s="14">
        <f t="shared" si="21"/>
        <v>17.5</v>
      </c>
      <c r="Z10" s="14">
        <f t="shared" si="22"/>
        <v>-17.5</v>
      </c>
      <c r="AA10" s="11">
        <f t="shared" si="15"/>
        <v>2.41</v>
      </c>
      <c r="AB10" s="9">
        <f t="shared" si="23"/>
        <v>24.1</v>
      </c>
      <c r="AD10" s="13">
        <f>IF(AH10&gt;AH9,AD9,IF(AD9&lt;MiscData!$F$1,EOMONTH(AD9,1),EOMONTH(AD9,-11)))</f>
        <v>42400</v>
      </c>
      <c r="AE10" s="7" t="str">
        <f t="shared" si="16"/>
        <v>20140101KUUM_366</v>
      </c>
      <c r="AF10" s="12" t="str">
        <f t="shared" si="17"/>
        <v>20140101LS</v>
      </c>
      <c r="AG10" s="31"/>
      <c r="AH10">
        <f>IF(AH9=MiscData!$AB$91,1,AH9+1)</f>
        <v>9</v>
      </c>
      <c r="AI10">
        <f>IF(AD10&lt;=MiscData!$B$23,MiscData!$C$23,IF(AD10&lt;=MiscData!$B$24,MiscData!$C$24,MiscData!$C$25))</f>
        <v>20140101</v>
      </c>
      <c r="AK10" s="190" t="str">
        <f>VLOOKUP(AM10,MiscData!$AB$4:$ACB$113,2,FALSE)</f>
        <v>KUUM_366</v>
      </c>
      <c r="AL10" s="190" t="str">
        <f>VLOOKUP(AM10,MiscData!$AB$4:$AE$115,4,FALSE)</f>
        <v>LS</v>
      </c>
      <c r="AM10">
        <f>IF(AM9=MiscData!$AB$91,1,AM9+1)</f>
        <v>9</v>
      </c>
    </row>
    <row r="11" spans="1:41">
      <c r="A11" s="7">
        <f t="shared" si="24"/>
        <v>10</v>
      </c>
      <c r="B11" s="13" t="str">
        <f t="shared" si="0"/>
        <v>Jan 2016</v>
      </c>
      <c r="C11" s="23" t="str">
        <f t="shared" si="1"/>
        <v>LS</v>
      </c>
      <c r="D11" s="23" t="str">
        <f t="shared" si="2"/>
        <v>KUUM_367</v>
      </c>
      <c r="E11" s="170">
        <f t="shared" si="3"/>
        <v>24</v>
      </c>
      <c r="F11" s="185"/>
      <c r="G11" s="170">
        <f t="shared" si="4"/>
        <v>0</v>
      </c>
      <c r="H11" s="170">
        <v>0</v>
      </c>
      <c r="I11" s="11">
        <f t="shared" si="18"/>
        <v>61.230000000000004</v>
      </c>
      <c r="J11" s="11">
        <f t="shared" si="5"/>
        <v>1.75</v>
      </c>
      <c r="K11" s="416">
        <f t="shared" si="19"/>
        <v>1469.52</v>
      </c>
      <c r="L11" s="180"/>
      <c r="M11" s="180"/>
      <c r="N11" s="182">
        <f t="shared" si="6"/>
        <v>1469.52</v>
      </c>
      <c r="O11" s="29">
        <f t="shared" si="7"/>
        <v>0</v>
      </c>
      <c r="P11" s="181">
        <f t="shared" si="20"/>
        <v>0</v>
      </c>
      <c r="Q11" s="182">
        <f t="shared" si="8"/>
        <v>0</v>
      </c>
      <c r="R11" s="182">
        <f t="shared" si="9"/>
        <v>0</v>
      </c>
      <c r="S11" s="182">
        <f t="shared" si="10"/>
        <v>0</v>
      </c>
      <c r="T11" s="182">
        <f t="shared" si="11"/>
        <v>0</v>
      </c>
      <c r="U11" s="182">
        <f t="shared" si="12"/>
        <v>0</v>
      </c>
      <c r="V11" s="14">
        <f t="shared" si="13"/>
        <v>1469.52</v>
      </c>
      <c r="W11" s="14">
        <f t="shared" si="14"/>
        <v>-1469.52</v>
      </c>
      <c r="Y11" s="14">
        <f t="shared" si="21"/>
        <v>42</v>
      </c>
      <c r="Z11" s="14">
        <f t="shared" si="22"/>
        <v>-42</v>
      </c>
      <c r="AA11" s="11">
        <f t="shared" si="15"/>
        <v>2.41</v>
      </c>
      <c r="AB11" s="9">
        <f t="shared" si="23"/>
        <v>57.84</v>
      </c>
      <c r="AD11" s="13">
        <f>IF(AH11&gt;AH10,AD10,IF(AD10&lt;MiscData!$F$1,EOMONTH(AD10,1),EOMONTH(AD10,-11)))</f>
        <v>42400</v>
      </c>
      <c r="AE11" s="7" t="str">
        <f t="shared" si="16"/>
        <v>20140101KUUM_367</v>
      </c>
      <c r="AF11" s="12" t="str">
        <f t="shared" si="17"/>
        <v>20140101LS</v>
      </c>
      <c r="AG11" s="31"/>
      <c r="AH11">
        <f>IF(AH10=MiscData!$AB$91,1,AH10+1)</f>
        <v>10</v>
      </c>
      <c r="AI11">
        <f>IF(AD11&lt;=MiscData!$B$23,MiscData!$C$23,IF(AD11&lt;=MiscData!$B$24,MiscData!$C$24,MiscData!$C$25))</f>
        <v>20140101</v>
      </c>
      <c r="AK11" s="190" t="str">
        <f>VLOOKUP(AM11,MiscData!$AB$4:$ACB$113,2,FALSE)</f>
        <v>KUUM_367</v>
      </c>
      <c r="AL11" s="190" t="str">
        <f>VLOOKUP(AM11,MiscData!$AB$4:$AE$115,4,FALSE)</f>
        <v>LS</v>
      </c>
      <c r="AM11">
        <f>IF(AM10=MiscData!$AB$91,1,AM10+1)</f>
        <v>10</v>
      </c>
    </row>
    <row r="12" spans="1:41">
      <c r="A12" s="7">
        <f t="shared" si="24"/>
        <v>11</v>
      </c>
      <c r="B12" s="13" t="str">
        <f t="shared" si="0"/>
        <v>Jan 2016</v>
      </c>
      <c r="C12" s="23" t="str">
        <f t="shared" si="1"/>
        <v>LS</v>
      </c>
      <c r="D12" s="23" t="str">
        <f t="shared" si="2"/>
        <v>KUUM_368</v>
      </c>
      <c r="E12" s="170">
        <f t="shared" si="3"/>
        <v>1</v>
      </c>
      <c r="F12" s="185"/>
      <c r="G12" s="170">
        <f t="shared" si="4"/>
        <v>0</v>
      </c>
      <c r="H12" s="170">
        <v>0</v>
      </c>
      <c r="I12" s="11">
        <f t="shared" si="18"/>
        <v>56.69</v>
      </c>
      <c r="J12" s="11">
        <f t="shared" si="5"/>
        <v>1.75</v>
      </c>
      <c r="K12" s="416">
        <f t="shared" si="19"/>
        <v>56.69</v>
      </c>
      <c r="L12" s="180"/>
      <c r="M12" s="180"/>
      <c r="N12" s="182">
        <f t="shared" si="6"/>
        <v>56.69</v>
      </c>
      <c r="O12" s="29">
        <f t="shared" si="7"/>
        <v>0</v>
      </c>
      <c r="P12" s="181">
        <f t="shared" si="20"/>
        <v>0</v>
      </c>
      <c r="Q12" s="182">
        <f t="shared" si="8"/>
        <v>0</v>
      </c>
      <c r="R12" s="182">
        <f t="shared" si="9"/>
        <v>0</v>
      </c>
      <c r="S12" s="182">
        <f t="shared" si="10"/>
        <v>0</v>
      </c>
      <c r="T12" s="182">
        <f t="shared" si="11"/>
        <v>0</v>
      </c>
      <c r="U12" s="182">
        <f t="shared" si="12"/>
        <v>0</v>
      </c>
      <c r="V12" s="14">
        <f t="shared" si="13"/>
        <v>56.69</v>
      </c>
      <c r="W12" s="14">
        <f t="shared" si="14"/>
        <v>-56.69</v>
      </c>
      <c r="Y12" s="14">
        <f t="shared" si="21"/>
        <v>1.75</v>
      </c>
      <c r="Z12" s="14">
        <f t="shared" si="22"/>
        <v>-1.75</v>
      </c>
      <c r="AA12" s="11">
        <f t="shared" si="15"/>
        <v>2.41</v>
      </c>
      <c r="AB12" s="9">
        <f t="shared" si="23"/>
        <v>2.41</v>
      </c>
      <c r="AD12" s="13">
        <f>IF(AH12&gt;AH11,AD11,IF(AD11&lt;MiscData!$F$1,EOMONTH(AD11,1),EOMONTH(AD11,-11)))</f>
        <v>42400</v>
      </c>
      <c r="AE12" s="7" t="str">
        <f t="shared" si="16"/>
        <v>20140101KUUM_368</v>
      </c>
      <c r="AF12" s="12" t="str">
        <f t="shared" si="17"/>
        <v>20140101LS</v>
      </c>
      <c r="AG12" s="31"/>
      <c r="AH12">
        <f>IF(AH11=MiscData!$AB$91,1,AH11+1)</f>
        <v>11</v>
      </c>
      <c r="AI12">
        <f>IF(AD12&lt;=MiscData!$B$23,MiscData!$C$23,IF(AD12&lt;=MiscData!$B$24,MiscData!$C$24,MiscData!$C$25))</f>
        <v>20140101</v>
      </c>
      <c r="AK12" s="190" t="str">
        <f>VLOOKUP(AM12,MiscData!$AB$4:$ACB$113,2,FALSE)</f>
        <v>KUUM_368</v>
      </c>
      <c r="AL12" s="190" t="str">
        <f>VLOOKUP(AM12,MiscData!$AB$4:$AE$115,4,FALSE)</f>
        <v>LS</v>
      </c>
      <c r="AM12">
        <f>IF(AM11=MiscData!$AB$91,1,AM11+1)</f>
        <v>11</v>
      </c>
    </row>
    <row r="13" spans="1:41">
      <c r="A13" s="7">
        <f t="shared" si="24"/>
        <v>12</v>
      </c>
      <c r="B13" s="13" t="str">
        <f t="shared" si="0"/>
        <v>Jan 2016</v>
      </c>
      <c r="C13" s="23" t="str">
        <f t="shared" si="1"/>
        <v>LS</v>
      </c>
      <c r="D13" s="23" t="str">
        <f t="shared" si="2"/>
        <v>KUUM_370</v>
      </c>
      <c r="E13" s="170">
        <f t="shared" si="3"/>
        <v>16</v>
      </c>
      <c r="F13" s="185"/>
      <c r="G13" s="170">
        <f t="shared" si="4"/>
        <v>0</v>
      </c>
      <c r="H13" s="170">
        <v>0</v>
      </c>
      <c r="I13" s="11">
        <f t="shared" si="18"/>
        <v>74.52</v>
      </c>
      <c r="J13" s="11">
        <f t="shared" si="5"/>
        <v>1.75</v>
      </c>
      <c r="K13" s="416">
        <f t="shared" si="19"/>
        <v>1192.32</v>
      </c>
      <c r="L13" s="180"/>
      <c r="M13" s="180"/>
      <c r="N13" s="182">
        <f t="shared" si="6"/>
        <v>1192.32</v>
      </c>
      <c r="O13" s="29">
        <f t="shared" si="7"/>
        <v>0</v>
      </c>
      <c r="P13" s="181">
        <f t="shared" si="20"/>
        <v>0</v>
      </c>
      <c r="Q13" s="182">
        <f t="shared" si="8"/>
        <v>0</v>
      </c>
      <c r="R13" s="182">
        <f t="shared" si="9"/>
        <v>0</v>
      </c>
      <c r="S13" s="182">
        <f t="shared" si="10"/>
        <v>0</v>
      </c>
      <c r="T13" s="182">
        <f t="shared" si="11"/>
        <v>0</v>
      </c>
      <c r="U13" s="182">
        <f t="shared" si="12"/>
        <v>0</v>
      </c>
      <c r="V13" s="14">
        <f t="shared" si="13"/>
        <v>1192.32</v>
      </c>
      <c r="W13" s="14">
        <f t="shared" si="14"/>
        <v>-1192.32</v>
      </c>
      <c r="Y13" s="14">
        <f t="shared" si="21"/>
        <v>28</v>
      </c>
      <c r="Z13" s="14">
        <f t="shared" si="22"/>
        <v>-28</v>
      </c>
      <c r="AA13" s="11">
        <f t="shared" si="15"/>
        <v>2.41</v>
      </c>
      <c r="AB13" s="9">
        <f t="shared" si="23"/>
        <v>38.56</v>
      </c>
      <c r="AD13" s="13">
        <f>IF(AH13&gt;AH12,AD12,IF(AD12&lt;MiscData!$F$1,EOMONTH(AD12,1),EOMONTH(AD12,-11)))</f>
        <v>42400</v>
      </c>
      <c r="AE13" s="7" t="str">
        <f t="shared" si="16"/>
        <v>20140101KUUM_370</v>
      </c>
      <c r="AF13" s="12" t="str">
        <f t="shared" si="17"/>
        <v>20140101LS</v>
      </c>
      <c r="AG13" s="31"/>
      <c r="AH13">
        <f>IF(AH12=MiscData!$AB$91,1,AH12+1)</f>
        <v>12</v>
      </c>
      <c r="AI13">
        <f>IF(AD13&lt;=MiscData!$B$23,MiscData!$C$23,IF(AD13&lt;=MiscData!$B$24,MiscData!$C$24,MiscData!$C$25))</f>
        <v>20140101</v>
      </c>
      <c r="AK13" s="190" t="str">
        <f>VLOOKUP(AM13,MiscData!$AB$4:$ACB$113,2,FALSE)</f>
        <v>KUUM_370</v>
      </c>
      <c r="AL13" s="190" t="str">
        <f>VLOOKUP(AM13,MiscData!$AB$4:$AE$115,4,FALSE)</f>
        <v>LS</v>
      </c>
      <c r="AM13">
        <f>IF(AM12=MiscData!$AB$91,1,AM12+1)</f>
        <v>12</v>
      </c>
    </row>
    <row r="14" spans="1:41">
      <c r="A14" s="7">
        <f t="shared" si="24"/>
        <v>13</v>
      </c>
      <c r="B14" s="13" t="str">
        <f t="shared" si="0"/>
        <v>Jan 2016</v>
      </c>
      <c r="C14" s="23" t="str">
        <f t="shared" si="1"/>
        <v>LS</v>
      </c>
      <c r="D14" s="23" t="str">
        <f t="shared" si="2"/>
        <v>KUUM_372</v>
      </c>
      <c r="E14" s="170">
        <f t="shared" si="3"/>
        <v>1</v>
      </c>
      <c r="F14" s="185"/>
      <c r="G14" s="170">
        <f t="shared" si="4"/>
        <v>0</v>
      </c>
      <c r="H14" s="170">
        <v>0</v>
      </c>
      <c r="I14" s="11">
        <f t="shared" si="18"/>
        <v>82.3</v>
      </c>
      <c r="J14" s="11">
        <f t="shared" si="5"/>
        <v>1.75</v>
      </c>
      <c r="K14" s="416">
        <f t="shared" si="19"/>
        <v>82.3</v>
      </c>
      <c r="L14" s="180"/>
      <c r="M14" s="180"/>
      <c r="N14" s="182">
        <f t="shared" si="6"/>
        <v>82.3</v>
      </c>
      <c r="O14" s="29">
        <f t="shared" si="7"/>
        <v>0</v>
      </c>
      <c r="P14" s="181">
        <f t="shared" si="20"/>
        <v>0</v>
      </c>
      <c r="Q14" s="182">
        <f t="shared" si="8"/>
        <v>0</v>
      </c>
      <c r="R14" s="182">
        <f t="shared" si="9"/>
        <v>0</v>
      </c>
      <c r="S14" s="182">
        <f t="shared" si="10"/>
        <v>0</v>
      </c>
      <c r="T14" s="182">
        <f t="shared" si="11"/>
        <v>0</v>
      </c>
      <c r="U14" s="182">
        <f t="shared" si="12"/>
        <v>0</v>
      </c>
      <c r="V14" s="14">
        <f t="shared" si="13"/>
        <v>82.3</v>
      </c>
      <c r="W14" s="14">
        <f t="shared" si="14"/>
        <v>-82.3</v>
      </c>
      <c r="Y14" s="14">
        <f t="shared" si="21"/>
        <v>1.75</v>
      </c>
      <c r="Z14" s="14">
        <f t="shared" si="22"/>
        <v>-1.75</v>
      </c>
      <c r="AA14" s="11">
        <f t="shared" si="15"/>
        <v>2.41</v>
      </c>
      <c r="AB14" s="9">
        <f t="shared" si="23"/>
        <v>2.41</v>
      </c>
      <c r="AD14" s="13">
        <f>IF(AH14&gt;AH13,AD13,IF(AD13&lt;MiscData!$F$1,EOMONTH(AD13,1),EOMONTH(AD13,-11)))</f>
        <v>42400</v>
      </c>
      <c r="AE14" s="7" t="str">
        <f t="shared" si="16"/>
        <v>20140101KUUM_372</v>
      </c>
      <c r="AF14" s="12" t="str">
        <f t="shared" si="17"/>
        <v>20140101LS</v>
      </c>
      <c r="AG14" s="31"/>
      <c r="AH14">
        <f>IF(AH13=MiscData!$AB$91,1,AH13+1)</f>
        <v>13</v>
      </c>
      <c r="AI14">
        <f>IF(AD14&lt;=MiscData!$B$23,MiscData!$C$23,IF(AD14&lt;=MiscData!$B$24,MiscData!$C$24,MiscData!$C$25))</f>
        <v>20140101</v>
      </c>
      <c r="AK14" s="190" t="str">
        <f>VLOOKUP(AM14,MiscData!$AB$4:$ACB$113,2,FALSE)</f>
        <v>KUUM_372</v>
      </c>
      <c r="AL14" s="190" t="str">
        <f>VLOOKUP(AM14,MiscData!$AB$4:$AE$115,4,FALSE)</f>
        <v>LS</v>
      </c>
      <c r="AM14">
        <f>IF(AM13=MiscData!$AB$91,1,AM13+1)</f>
        <v>13</v>
      </c>
    </row>
    <row r="15" spans="1:41">
      <c r="A15" s="7">
        <f t="shared" si="24"/>
        <v>14</v>
      </c>
      <c r="B15" s="13" t="str">
        <f t="shared" si="0"/>
        <v>Jan 2016</v>
      </c>
      <c r="C15" s="23" t="str">
        <f t="shared" si="1"/>
        <v>LS</v>
      </c>
      <c r="D15" s="23" t="str">
        <f t="shared" si="2"/>
        <v>KUUM_373</v>
      </c>
      <c r="E15" s="170">
        <f t="shared" si="3"/>
        <v>19</v>
      </c>
      <c r="F15" s="185"/>
      <c r="G15" s="170">
        <f t="shared" si="4"/>
        <v>0</v>
      </c>
      <c r="H15" s="170">
        <v>0</v>
      </c>
      <c r="I15" s="11">
        <f t="shared" si="18"/>
        <v>74.52</v>
      </c>
      <c r="J15" s="11">
        <f t="shared" si="5"/>
        <v>1.75</v>
      </c>
      <c r="K15" s="416">
        <f t="shared" si="19"/>
        <v>1415.88</v>
      </c>
      <c r="L15" s="180"/>
      <c r="M15" s="180"/>
      <c r="N15" s="182">
        <f t="shared" si="6"/>
        <v>1415.88</v>
      </c>
      <c r="O15" s="29">
        <f t="shared" si="7"/>
        <v>0</v>
      </c>
      <c r="P15" s="181">
        <f t="shared" si="20"/>
        <v>0</v>
      </c>
      <c r="Q15" s="182">
        <f t="shared" si="8"/>
        <v>0</v>
      </c>
      <c r="R15" s="182">
        <f t="shared" si="9"/>
        <v>0</v>
      </c>
      <c r="S15" s="182">
        <f t="shared" si="10"/>
        <v>0</v>
      </c>
      <c r="T15" s="182">
        <f t="shared" si="11"/>
        <v>0</v>
      </c>
      <c r="U15" s="182">
        <f t="shared" si="12"/>
        <v>0</v>
      </c>
      <c r="V15" s="14">
        <f t="shared" si="13"/>
        <v>1415.88</v>
      </c>
      <c r="W15" s="14">
        <f t="shared" si="14"/>
        <v>-1415.88</v>
      </c>
      <c r="Y15" s="14">
        <f t="shared" si="21"/>
        <v>33.25</v>
      </c>
      <c r="Z15" s="14">
        <f t="shared" si="22"/>
        <v>-33.25</v>
      </c>
      <c r="AA15" s="11">
        <f t="shared" si="15"/>
        <v>2.41</v>
      </c>
      <c r="AB15" s="9">
        <f t="shared" si="23"/>
        <v>45.790000000000006</v>
      </c>
      <c r="AD15" s="13">
        <f>IF(AH15&gt;AH14,AD14,IF(AD14&lt;MiscData!$F$1,EOMONTH(AD14,1),EOMONTH(AD14,-11)))</f>
        <v>42400</v>
      </c>
      <c r="AE15" s="7" t="str">
        <f t="shared" si="16"/>
        <v>20140101KUUM_373</v>
      </c>
      <c r="AF15" s="12" t="str">
        <f t="shared" si="17"/>
        <v>20140101LS</v>
      </c>
      <c r="AG15" s="31"/>
      <c r="AH15">
        <f>IF(AH14=MiscData!$AB$91,1,AH14+1)</f>
        <v>14</v>
      </c>
      <c r="AI15">
        <f>IF(AD15&lt;=MiscData!$B$23,MiscData!$C$23,IF(AD15&lt;=MiscData!$B$24,MiscData!$C$24,MiscData!$C$25))</f>
        <v>20140101</v>
      </c>
      <c r="AK15" s="190" t="str">
        <f>VLOOKUP(AM15,MiscData!$AB$4:$ACB$113,2,FALSE)</f>
        <v>KUUM_373</v>
      </c>
      <c r="AL15" s="190" t="str">
        <f>VLOOKUP(AM15,MiscData!$AB$4:$AE$115,4,FALSE)</f>
        <v>LS</v>
      </c>
      <c r="AM15">
        <f>IF(AM14=MiscData!$AB$91,1,AM14+1)</f>
        <v>14</v>
      </c>
    </row>
    <row r="16" spans="1:41">
      <c r="A16" s="7">
        <f t="shared" si="24"/>
        <v>15</v>
      </c>
      <c r="B16" s="13" t="str">
        <f t="shared" si="0"/>
        <v>Jan 2016</v>
      </c>
      <c r="C16" s="23" t="str">
        <f t="shared" si="1"/>
        <v>LS</v>
      </c>
      <c r="D16" s="23" t="str">
        <f t="shared" si="2"/>
        <v>KUUM_374</v>
      </c>
      <c r="E16" s="170">
        <f t="shared" si="3"/>
        <v>4</v>
      </c>
      <c r="F16" s="185"/>
      <c r="G16" s="170">
        <f t="shared" si="4"/>
        <v>0</v>
      </c>
      <c r="H16" s="170">
        <v>0</v>
      </c>
      <c r="I16" s="11">
        <f t="shared" si="18"/>
        <v>75.88</v>
      </c>
      <c r="J16" s="11">
        <f t="shared" si="5"/>
        <v>1.75</v>
      </c>
      <c r="K16" s="416">
        <f t="shared" si="19"/>
        <v>303.52</v>
      </c>
      <c r="L16" s="180"/>
      <c r="M16" s="180"/>
      <c r="N16" s="182">
        <f t="shared" si="6"/>
        <v>303.52</v>
      </c>
      <c r="O16" s="29">
        <f t="shared" si="7"/>
        <v>0</v>
      </c>
      <c r="P16" s="181">
        <f t="shared" si="20"/>
        <v>0</v>
      </c>
      <c r="Q16" s="182">
        <f t="shared" si="8"/>
        <v>0</v>
      </c>
      <c r="R16" s="182">
        <f t="shared" si="9"/>
        <v>0</v>
      </c>
      <c r="S16" s="182">
        <f t="shared" si="10"/>
        <v>0</v>
      </c>
      <c r="T16" s="182">
        <f t="shared" si="11"/>
        <v>0</v>
      </c>
      <c r="U16" s="182">
        <f t="shared" si="12"/>
        <v>0</v>
      </c>
      <c r="V16" s="14">
        <f t="shared" si="13"/>
        <v>303.52</v>
      </c>
      <c r="W16" s="14">
        <f t="shared" si="14"/>
        <v>-303.52</v>
      </c>
      <c r="Y16" s="14">
        <f t="shared" si="21"/>
        <v>7</v>
      </c>
      <c r="Z16" s="14">
        <f t="shared" si="22"/>
        <v>-7</v>
      </c>
      <c r="AA16" s="11">
        <f t="shared" si="15"/>
        <v>2.41</v>
      </c>
      <c r="AB16" s="9">
        <f t="shared" si="23"/>
        <v>9.64</v>
      </c>
      <c r="AD16" s="13">
        <f>IF(AH16&gt;AH15,AD15,IF(AD15&lt;MiscData!$F$1,EOMONTH(AD15,1),EOMONTH(AD15,-11)))</f>
        <v>42400</v>
      </c>
      <c r="AE16" s="7" t="str">
        <f t="shared" si="16"/>
        <v>20140101KUUM_374</v>
      </c>
      <c r="AF16" s="12" t="str">
        <f t="shared" si="17"/>
        <v>20140101LS</v>
      </c>
      <c r="AG16" s="31"/>
      <c r="AH16">
        <f>IF(AH15=MiscData!$AB$91,1,AH15+1)</f>
        <v>15</v>
      </c>
      <c r="AI16">
        <f>IF(AD16&lt;=MiscData!$B$23,MiscData!$C$23,IF(AD16&lt;=MiscData!$B$24,MiscData!$C$24,MiscData!$C$25))</f>
        <v>20140101</v>
      </c>
      <c r="AK16" s="190" t="str">
        <f>VLOOKUP(AM16,MiscData!$AB$4:$ACB$113,2,FALSE)</f>
        <v>KUUM_374</v>
      </c>
      <c r="AL16" s="190" t="str">
        <f>VLOOKUP(AM16,MiscData!$AB$4:$AE$115,4,FALSE)</f>
        <v>LS</v>
      </c>
      <c r="AM16">
        <f>IF(AM15=MiscData!$AB$91,1,AM15+1)</f>
        <v>15</v>
      </c>
    </row>
    <row r="17" spans="1:39">
      <c r="A17" s="7">
        <f t="shared" si="24"/>
        <v>16</v>
      </c>
      <c r="B17" s="13" t="str">
        <f t="shared" si="0"/>
        <v>Jan 2016</v>
      </c>
      <c r="C17" s="23" t="str">
        <f t="shared" si="1"/>
        <v>LS</v>
      </c>
      <c r="D17" s="23" t="str">
        <f t="shared" si="2"/>
        <v>KUUM_375</v>
      </c>
      <c r="E17" s="170">
        <f t="shared" si="3"/>
        <v>3</v>
      </c>
      <c r="F17" s="185"/>
      <c r="G17" s="170">
        <f t="shared" si="4"/>
        <v>0</v>
      </c>
      <c r="H17" s="170">
        <v>0</v>
      </c>
      <c r="I17" s="11">
        <f t="shared" si="18"/>
        <v>78.97</v>
      </c>
      <c r="J17" s="11">
        <f t="shared" si="5"/>
        <v>1.75</v>
      </c>
      <c r="K17" s="416">
        <f t="shared" si="19"/>
        <v>236.91</v>
      </c>
      <c r="L17" s="180"/>
      <c r="M17" s="180"/>
      <c r="N17" s="182">
        <f t="shared" si="6"/>
        <v>236.91</v>
      </c>
      <c r="O17" s="29">
        <f t="shared" si="7"/>
        <v>0</v>
      </c>
      <c r="P17" s="181">
        <f t="shared" si="20"/>
        <v>0</v>
      </c>
      <c r="Q17" s="182">
        <f t="shared" si="8"/>
        <v>0</v>
      </c>
      <c r="R17" s="182">
        <f t="shared" si="9"/>
        <v>0</v>
      </c>
      <c r="S17" s="182">
        <f t="shared" si="10"/>
        <v>0</v>
      </c>
      <c r="T17" s="182">
        <f t="shared" si="11"/>
        <v>0</v>
      </c>
      <c r="U17" s="182">
        <f t="shared" si="12"/>
        <v>0</v>
      </c>
      <c r="V17" s="14">
        <f t="shared" si="13"/>
        <v>236.91</v>
      </c>
      <c r="W17" s="14">
        <f t="shared" si="14"/>
        <v>-236.91</v>
      </c>
      <c r="Y17" s="14">
        <f t="shared" si="21"/>
        <v>5.25</v>
      </c>
      <c r="Z17" s="14">
        <f t="shared" si="22"/>
        <v>-5.25</v>
      </c>
      <c r="AA17" s="11">
        <f t="shared" si="15"/>
        <v>2.41</v>
      </c>
      <c r="AB17" s="9">
        <f t="shared" si="23"/>
        <v>7.23</v>
      </c>
      <c r="AD17" s="13">
        <f>IF(AH17&gt;AH16,AD16,IF(AD16&lt;MiscData!$F$1,EOMONTH(AD16,1),EOMONTH(AD16,-11)))</f>
        <v>42400</v>
      </c>
      <c r="AE17" s="7" t="str">
        <f t="shared" si="16"/>
        <v>20140101KUUM_375</v>
      </c>
      <c r="AF17" s="12" t="str">
        <f t="shared" si="17"/>
        <v>20140101LS</v>
      </c>
      <c r="AG17" s="31"/>
      <c r="AH17">
        <f>IF(AH16=MiscData!$AB$91,1,AH16+1)</f>
        <v>16</v>
      </c>
      <c r="AI17">
        <f>IF(AD17&lt;=MiscData!$B$23,MiscData!$C$23,IF(AD17&lt;=MiscData!$B$24,MiscData!$C$24,MiscData!$C$25))</f>
        <v>20140101</v>
      </c>
      <c r="AK17" s="190" t="str">
        <f>VLOOKUP(AM17,MiscData!$AB$4:$ACB$113,2,FALSE)</f>
        <v>KUUM_375</v>
      </c>
      <c r="AL17" s="190" t="str">
        <f>VLOOKUP(AM17,MiscData!$AB$4:$AE$115,4,FALSE)</f>
        <v>LS</v>
      </c>
      <c r="AM17">
        <f>IF(AM16=MiscData!$AB$91,1,AM16+1)</f>
        <v>16</v>
      </c>
    </row>
    <row r="18" spans="1:39">
      <c r="A18" s="7">
        <f t="shared" si="24"/>
        <v>17</v>
      </c>
      <c r="B18" s="13" t="str">
        <f t="shared" si="0"/>
        <v>Jan 2016</v>
      </c>
      <c r="C18" s="23" t="str">
        <f t="shared" si="1"/>
        <v>LS</v>
      </c>
      <c r="D18" s="23" t="str">
        <f t="shared" si="2"/>
        <v>KUUM_376</v>
      </c>
      <c r="E18" s="170">
        <f t="shared" si="3"/>
        <v>2</v>
      </c>
      <c r="F18" s="185"/>
      <c r="G18" s="170">
        <f t="shared" si="4"/>
        <v>0</v>
      </c>
      <c r="H18" s="170">
        <v>0</v>
      </c>
      <c r="I18" s="11">
        <f t="shared" si="18"/>
        <v>77.259999999999991</v>
      </c>
      <c r="J18" s="11">
        <f t="shared" si="5"/>
        <v>1.75</v>
      </c>
      <c r="K18" s="416">
        <f t="shared" si="19"/>
        <v>154.52000000000001</v>
      </c>
      <c r="L18" s="180"/>
      <c r="M18" s="180"/>
      <c r="N18" s="182">
        <f t="shared" si="6"/>
        <v>154.52000000000001</v>
      </c>
      <c r="O18" s="29">
        <f t="shared" si="7"/>
        <v>0</v>
      </c>
      <c r="P18" s="181">
        <f t="shared" si="20"/>
        <v>0</v>
      </c>
      <c r="Q18" s="182">
        <f t="shared" si="8"/>
        <v>0</v>
      </c>
      <c r="R18" s="182">
        <f t="shared" si="9"/>
        <v>0</v>
      </c>
      <c r="S18" s="182">
        <f t="shared" si="10"/>
        <v>0</v>
      </c>
      <c r="T18" s="182">
        <f t="shared" si="11"/>
        <v>0</v>
      </c>
      <c r="U18" s="182">
        <f t="shared" si="12"/>
        <v>0</v>
      </c>
      <c r="V18" s="14">
        <f t="shared" si="13"/>
        <v>154.52000000000001</v>
      </c>
      <c r="W18" s="14">
        <f t="shared" si="14"/>
        <v>-154.52000000000001</v>
      </c>
      <c r="Y18" s="14">
        <f t="shared" si="21"/>
        <v>3.5</v>
      </c>
      <c r="Z18" s="14">
        <f t="shared" si="22"/>
        <v>-3.5</v>
      </c>
      <c r="AA18" s="11">
        <f t="shared" si="15"/>
        <v>2.41</v>
      </c>
      <c r="AB18" s="9">
        <f t="shared" si="23"/>
        <v>4.82</v>
      </c>
      <c r="AD18" s="13">
        <f>IF(AH18&gt;AH17,AD17,IF(AD17&lt;MiscData!$F$1,EOMONTH(AD17,1),EOMONTH(AD17,-11)))</f>
        <v>42400</v>
      </c>
      <c r="AE18" s="7" t="str">
        <f t="shared" si="16"/>
        <v>20140101KUUM_376</v>
      </c>
      <c r="AF18" s="12" t="str">
        <f t="shared" si="17"/>
        <v>20140101LS</v>
      </c>
      <c r="AG18" s="31"/>
      <c r="AH18">
        <f>IF(AH17=MiscData!$AB$91,1,AH17+1)</f>
        <v>17</v>
      </c>
      <c r="AI18">
        <f>IF(AD18&lt;=MiscData!$B$23,MiscData!$C$23,IF(AD18&lt;=MiscData!$B$24,MiscData!$C$24,MiscData!$C$25))</f>
        <v>20140101</v>
      </c>
      <c r="AK18" s="190" t="str">
        <f>VLOOKUP(AM18,MiscData!$AB$4:$ACB$113,2,FALSE)</f>
        <v>KUUM_376</v>
      </c>
      <c r="AL18" s="190" t="str">
        <f>VLOOKUP(AM18,MiscData!$AB$4:$AE$115,4,FALSE)</f>
        <v>LS</v>
      </c>
      <c r="AM18">
        <f>IF(AM17=MiscData!$AB$91,1,AM17+1)</f>
        <v>17</v>
      </c>
    </row>
    <row r="19" spans="1:39">
      <c r="A19" s="7">
        <f t="shared" si="24"/>
        <v>18</v>
      </c>
      <c r="B19" s="13" t="str">
        <f t="shared" si="0"/>
        <v>Jan 2016</v>
      </c>
      <c r="C19" s="23" t="str">
        <f t="shared" si="1"/>
        <v>LS</v>
      </c>
      <c r="D19" s="23" t="str">
        <f t="shared" si="2"/>
        <v>KUUM_377</v>
      </c>
      <c r="E19" s="170">
        <f t="shared" si="3"/>
        <v>49</v>
      </c>
      <c r="F19" s="185"/>
      <c r="G19" s="170">
        <f t="shared" si="4"/>
        <v>0</v>
      </c>
      <c r="H19" s="170">
        <v>0</v>
      </c>
      <c r="I19" s="11">
        <f t="shared" si="18"/>
        <v>64.19</v>
      </c>
      <c r="J19" s="11">
        <f t="shared" si="5"/>
        <v>1.75</v>
      </c>
      <c r="K19" s="416">
        <f t="shared" si="19"/>
        <v>3145.31</v>
      </c>
      <c r="L19" s="180"/>
      <c r="M19" s="180"/>
      <c r="N19" s="182">
        <f t="shared" si="6"/>
        <v>3145.31</v>
      </c>
      <c r="O19" s="29">
        <f t="shared" si="7"/>
        <v>0</v>
      </c>
      <c r="P19" s="181">
        <f t="shared" si="20"/>
        <v>0</v>
      </c>
      <c r="Q19" s="182">
        <f t="shared" si="8"/>
        <v>0</v>
      </c>
      <c r="R19" s="182">
        <f t="shared" si="9"/>
        <v>0</v>
      </c>
      <c r="S19" s="182">
        <f t="shared" si="10"/>
        <v>0</v>
      </c>
      <c r="T19" s="182">
        <f t="shared" si="11"/>
        <v>0</v>
      </c>
      <c r="U19" s="182">
        <f t="shared" si="12"/>
        <v>0</v>
      </c>
      <c r="V19" s="14">
        <f t="shared" si="13"/>
        <v>3145.31</v>
      </c>
      <c r="W19" s="14">
        <f t="shared" si="14"/>
        <v>-3145.31</v>
      </c>
      <c r="Y19" s="14">
        <f t="shared" si="21"/>
        <v>85.75</v>
      </c>
      <c r="Z19" s="14">
        <f t="shared" si="22"/>
        <v>-85.75</v>
      </c>
      <c r="AA19" s="11">
        <f t="shared" si="15"/>
        <v>2.41</v>
      </c>
      <c r="AB19" s="9">
        <f t="shared" si="23"/>
        <v>118.09</v>
      </c>
      <c r="AD19" s="13">
        <f>IF(AH19&gt;AH18,AD18,IF(AD18&lt;MiscData!$F$1,EOMONTH(AD18,1),EOMONTH(AD18,-11)))</f>
        <v>42400</v>
      </c>
      <c r="AE19" s="7" t="str">
        <f t="shared" si="16"/>
        <v>20140101KUUM_377</v>
      </c>
      <c r="AF19" s="12" t="str">
        <f t="shared" si="17"/>
        <v>20140101LS</v>
      </c>
      <c r="AG19" s="31"/>
      <c r="AH19">
        <f>IF(AH18=MiscData!$AB$91,1,AH18+1)</f>
        <v>18</v>
      </c>
      <c r="AI19">
        <f>IF(AD19&lt;=MiscData!$B$23,MiscData!$C$23,IF(AD19&lt;=MiscData!$B$24,MiscData!$C$24,MiscData!$C$25))</f>
        <v>20140101</v>
      </c>
      <c r="AK19" s="190" t="str">
        <f>VLOOKUP(AM19,MiscData!$AB$4:$ACB$113,2,FALSE)</f>
        <v>KUUM_377</v>
      </c>
      <c r="AL19" s="190" t="str">
        <f>VLOOKUP(AM19,MiscData!$AB$4:$AE$115,4,FALSE)</f>
        <v>LS</v>
      </c>
      <c r="AM19">
        <f>IF(AM18=MiscData!$AB$91,1,AM18+1)</f>
        <v>18</v>
      </c>
    </row>
    <row r="20" spans="1:39">
      <c r="A20" s="7">
        <f t="shared" si="24"/>
        <v>19</v>
      </c>
      <c r="B20" s="13" t="str">
        <f t="shared" si="0"/>
        <v>Jan 2016</v>
      </c>
      <c r="C20" s="23" t="str">
        <f t="shared" si="1"/>
        <v>LS</v>
      </c>
      <c r="D20" s="23" t="str">
        <f t="shared" si="2"/>
        <v>KUUM_378</v>
      </c>
      <c r="E20" s="170">
        <f t="shared" si="3"/>
        <v>2</v>
      </c>
      <c r="F20" s="185"/>
      <c r="G20" s="170">
        <f t="shared" si="4"/>
        <v>0</v>
      </c>
      <c r="H20" s="170">
        <v>0</v>
      </c>
      <c r="I20" s="11">
        <f t="shared" si="18"/>
        <v>75.899999999999991</v>
      </c>
      <c r="J20" s="11">
        <f t="shared" si="5"/>
        <v>1.75</v>
      </c>
      <c r="K20" s="416">
        <f t="shared" si="19"/>
        <v>151.80000000000001</v>
      </c>
      <c r="L20" s="180"/>
      <c r="M20" s="180"/>
      <c r="N20" s="182">
        <f t="shared" si="6"/>
        <v>151.80000000000001</v>
      </c>
      <c r="O20" s="29">
        <f t="shared" si="7"/>
        <v>0</v>
      </c>
      <c r="P20" s="181">
        <f t="shared" si="20"/>
        <v>0</v>
      </c>
      <c r="Q20" s="182">
        <f t="shared" si="8"/>
        <v>0</v>
      </c>
      <c r="R20" s="182">
        <f t="shared" si="9"/>
        <v>0</v>
      </c>
      <c r="S20" s="182">
        <f t="shared" si="10"/>
        <v>0</v>
      </c>
      <c r="T20" s="182">
        <f t="shared" si="11"/>
        <v>0</v>
      </c>
      <c r="U20" s="182">
        <f t="shared" si="12"/>
        <v>0</v>
      </c>
      <c r="V20" s="14">
        <f t="shared" si="13"/>
        <v>151.80000000000001</v>
      </c>
      <c r="W20" s="14">
        <f t="shared" si="14"/>
        <v>-151.80000000000001</v>
      </c>
      <c r="Y20" s="14">
        <f t="shared" si="21"/>
        <v>3.5</v>
      </c>
      <c r="Z20" s="14">
        <f t="shared" si="22"/>
        <v>-3.5</v>
      </c>
      <c r="AA20" s="11">
        <f t="shared" si="15"/>
        <v>2.41</v>
      </c>
      <c r="AB20" s="9">
        <f t="shared" si="23"/>
        <v>4.82</v>
      </c>
      <c r="AD20" s="13">
        <f>IF(AH20&gt;AH19,AD19,IF(AD19&lt;MiscData!$F$1,EOMONTH(AD19,1),EOMONTH(AD19,-11)))</f>
        <v>42400</v>
      </c>
      <c r="AE20" s="7" t="str">
        <f t="shared" si="16"/>
        <v>20140101KUUM_378</v>
      </c>
      <c r="AF20" s="12" t="str">
        <f t="shared" si="17"/>
        <v>20140101LS</v>
      </c>
      <c r="AG20" s="31"/>
      <c r="AH20">
        <f>IF(AH19=MiscData!$AB$91,1,AH19+1)</f>
        <v>19</v>
      </c>
      <c r="AI20">
        <f>IF(AD20&lt;=MiscData!$B$23,MiscData!$C$23,IF(AD20&lt;=MiscData!$B$24,MiscData!$C$24,MiscData!$C$25))</f>
        <v>20140101</v>
      </c>
      <c r="AK20" s="190" t="str">
        <f>VLOOKUP(AM20,MiscData!$AB$4:$ACB$113,2,FALSE)</f>
        <v>KUUM_378</v>
      </c>
      <c r="AL20" s="190" t="str">
        <f>VLOOKUP(AM20,MiscData!$AB$4:$AE$115,4,FALSE)</f>
        <v>LS</v>
      </c>
      <c r="AM20">
        <f>IF(AM19=MiscData!$AB$91,1,AM19+1)</f>
        <v>19</v>
      </c>
    </row>
    <row r="21" spans="1:39">
      <c r="A21" s="7">
        <f t="shared" si="24"/>
        <v>20</v>
      </c>
      <c r="B21" s="13" t="str">
        <f t="shared" si="0"/>
        <v>Jan 2016</v>
      </c>
      <c r="C21" s="23" t="str">
        <f t="shared" si="1"/>
        <v>LS</v>
      </c>
      <c r="D21" s="23" t="str">
        <f t="shared" si="2"/>
        <v>KUUM_401</v>
      </c>
      <c r="E21" s="170">
        <f t="shared" si="3"/>
        <v>52</v>
      </c>
      <c r="F21" s="185"/>
      <c r="G21" s="170">
        <f t="shared" si="4"/>
        <v>0</v>
      </c>
      <c r="H21" s="170">
        <v>0</v>
      </c>
      <c r="I21" s="11">
        <f t="shared" si="18"/>
        <v>14.860000000000001</v>
      </c>
      <c r="J21" s="11">
        <f t="shared" si="5"/>
        <v>0.80000000000000071</v>
      </c>
      <c r="K21" s="416">
        <f t="shared" si="19"/>
        <v>772.72</v>
      </c>
      <c r="L21" s="180"/>
      <c r="M21" s="180"/>
      <c r="N21" s="182">
        <f t="shared" si="6"/>
        <v>772.72</v>
      </c>
      <c r="O21" s="29">
        <f t="shared" si="7"/>
        <v>0</v>
      </c>
      <c r="P21" s="181">
        <f t="shared" si="20"/>
        <v>0</v>
      </c>
      <c r="Q21" s="182">
        <f t="shared" si="8"/>
        <v>0</v>
      </c>
      <c r="R21" s="182">
        <f t="shared" si="9"/>
        <v>0</v>
      </c>
      <c r="S21" s="182">
        <f t="shared" si="10"/>
        <v>0</v>
      </c>
      <c r="T21" s="182">
        <f t="shared" si="11"/>
        <v>0</v>
      </c>
      <c r="U21" s="182">
        <f t="shared" si="12"/>
        <v>0</v>
      </c>
      <c r="V21" s="14">
        <f t="shared" si="13"/>
        <v>772.72</v>
      </c>
      <c r="W21" s="14">
        <f t="shared" si="14"/>
        <v>-772.72</v>
      </c>
      <c r="Y21" s="14">
        <f t="shared" si="21"/>
        <v>41.6</v>
      </c>
      <c r="Z21" s="14">
        <f t="shared" si="22"/>
        <v>-41.6</v>
      </c>
      <c r="AA21" s="11">
        <f t="shared" si="15"/>
        <v>0.43</v>
      </c>
      <c r="AB21" s="9">
        <f t="shared" si="23"/>
        <v>22.36</v>
      </c>
      <c r="AD21" s="13">
        <f>IF(AH21&gt;AH20,AD20,IF(AD20&lt;MiscData!$F$1,EOMONTH(AD20,1),EOMONTH(AD20,-11)))</f>
        <v>42400</v>
      </c>
      <c r="AE21" s="7" t="str">
        <f t="shared" si="16"/>
        <v>20140101KUUM_401</v>
      </c>
      <c r="AF21" s="12" t="str">
        <f t="shared" si="17"/>
        <v>20140101LS</v>
      </c>
      <c r="AG21" s="31"/>
      <c r="AH21">
        <f>IF(AH20=MiscData!$AB$91,1,AH20+1)</f>
        <v>20</v>
      </c>
      <c r="AI21">
        <f>IF(AD21&lt;=MiscData!$B$23,MiscData!$C$23,IF(AD21&lt;=MiscData!$B$24,MiscData!$C$24,MiscData!$C$25))</f>
        <v>20140101</v>
      </c>
      <c r="AK21" s="190" t="str">
        <f>VLOOKUP(AM21,MiscData!$AB$4:$ACB$113,2,FALSE)</f>
        <v>KUUM_401</v>
      </c>
      <c r="AL21" s="190" t="str">
        <f>VLOOKUP(AM21,MiscData!$AB$4:$AE$115,4,FALSE)</f>
        <v>LS</v>
      </c>
      <c r="AM21">
        <f>IF(AM20=MiscData!$AB$91,1,AM20+1)</f>
        <v>20</v>
      </c>
    </row>
    <row r="22" spans="1:39">
      <c r="A22" s="7">
        <f t="shared" si="24"/>
        <v>21</v>
      </c>
      <c r="B22" s="13" t="str">
        <f t="shared" si="0"/>
        <v>Jan 2016</v>
      </c>
      <c r="C22" s="23" t="str">
        <f t="shared" si="1"/>
        <v>RLS</v>
      </c>
      <c r="D22" s="23" t="str">
        <f t="shared" si="2"/>
        <v>KUUM_404</v>
      </c>
      <c r="E22" s="170">
        <f t="shared" si="3"/>
        <v>7293</v>
      </c>
      <c r="F22" s="185"/>
      <c r="G22" s="170">
        <f t="shared" si="4"/>
        <v>0</v>
      </c>
      <c r="H22" s="170">
        <v>0</v>
      </c>
      <c r="I22" s="11">
        <f t="shared" si="18"/>
        <v>10.570000000000002</v>
      </c>
      <c r="J22" s="11">
        <f t="shared" si="5"/>
        <v>1.9900000000000002</v>
      </c>
      <c r="K22" s="416">
        <f t="shared" si="19"/>
        <v>77087.009999999995</v>
      </c>
      <c r="L22" s="180"/>
      <c r="M22" s="180"/>
      <c r="N22" s="182">
        <f t="shared" si="6"/>
        <v>77087.009999999995</v>
      </c>
      <c r="O22" s="29">
        <f t="shared" si="7"/>
        <v>0</v>
      </c>
      <c r="P22" s="181">
        <f t="shared" si="20"/>
        <v>0</v>
      </c>
      <c r="Q22" s="182">
        <f t="shared" si="8"/>
        <v>0</v>
      </c>
      <c r="R22" s="182">
        <f t="shared" si="9"/>
        <v>0</v>
      </c>
      <c r="S22" s="182">
        <f t="shared" si="10"/>
        <v>0</v>
      </c>
      <c r="T22" s="182">
        <f t="shared" si="11"/>
        <v>0</v>
      </c>
      <c r="U22" s="182">
        <f t="shared" si="12"/>
        <v>0</v>
      </c>
      <c r="V22" s="14">
        <f t="shared" si="13"/>
        <v>77087.009999999995</v>
      </c>
      <c r="W22" s="14">
        <f t="shared" si="14"/>
        <v>-77087.009999999995</v>
      </c>
      <c r="Y22" s="14">
        <f t="shared" si="21"/>
        <v>14513.07</v>
      </c>
      <c r="Z22" s="14">
        <f t="shared" si="22"/>
        <v>-14513.07</v>
      </c>
      <c r="AA22" s="11">
        <f t="shared" si="15"/>
        <v>0.39</v>
      </c>
      <c r="AB22" s="9">
        <f t="shared" si="23"/>
        <v>2844.27</v>
      </c>
      <c r="AD22" s="13">
        <f>IF(AH22&gt;AH21,AD21,IF(AD21&lt;MiscData!$F$1,EOMONTH(AD21,1),EOMONTH(AD21,-11)))</f>
        <v>42400</v>
      </c>
      <c r="AE22" s="7" t="str">
        <f t="shared" si="16"/>
        <v>20140101KUUM_404</v>
      </c>
      <c r="AF22" s="12" t="str">
        <f t="shared" si="17"/>
        <v>20140101RLS</v>
      </c>
      <c r="AG22" s="31"/>
      <c r="AH22">
        <f>IF(AH21=MiscData!$AB$91,1,AH21+1)</f>
        <v>21</v>
      </c>
      <c r="AI22">
        <f>IF(AD22&lt;=MiscData!$B$23,MiscData!$C$23,IF(AD22&lt;=MiscData!$B$24,MiscData!$C$24,MiscData!$C$25))</f>
        <v>20140101</v>
      </c>
      <c r="AK22" s="190" t="str">
        <f>VLOOKUP(AM22,MiscData!$AB$4:$ACB$113,2,FALSE)</f>
        <v>KUUM_404</v>
      </c>
      <c r="AL22" s="190" t="str">
        <f>VLOOKUP(AM22,MiscData!$AB$4:$AE$115,4,FALSE)</f>
        <v>RLS</v>
      </c>
      <c r="AM22">
        <f>IF(AM21=MiscData!$AB$91,1,AM21+1)</f>
        <v>21</v>
      </c>
    </row>
    <row r="23" spans="1:39">
      <c r="A23" s="7">
        <f t="shared" si="24"/>
        <v>22</v>
      </c>
      <c r="B23" s="13" t="str">
        <f t="shared" si="0"/>
        <v>Jan 2016</v>
      </c>
      <c r="C23" s="23" t="str">
        <f t="shared" si="1"/>
        <v>RLS</v>
      </c>
      <c r="D23" s="23" t="str">
        <f t="shared" si="2"/>
        <v>KUUM_405</v>
      </c>
      <c r="E23" s="170">
        <f t="shared" si="3"/>
        <v>0</v>
      </c>
      <c r="F23" s="185"/>
      <c r="G23" s="170">
        <f t="shared" si="4"/>
        <v>0</v>
      </c>
      <c r="H23" s="170">
        <v>0</v>
      </c>
      <c r="I23" s="11">
        <f t="shared" si="18"/>
        <v>0</v>
      </c>
      <c r="J23" s="11">
        <f t="shared" si="5"/>
        <v>0</v>
      </c>
      <c r="K23" s="416">
        <f t="shared" si="19"/>
        <v>0</v>
      </c>
      <c r="L23" s="180"/>
      <c r="M23" s="180"/>
      <c r="N23" s="182">
        <f t="shared" si="6"/>
        <v>0</v>
      </c>
      <c r="O23" s="29">
        <f t="shared" si="7"/>
        <v>0</v>
      </c>
      <c r="P23" s="181">
        <f t="shared" si="20"/>
        <v>1</v>
      </c>
      <c r="Q23" s="182">
        <f t="shared" si="8"/>
        <v>0</v>
      </c>
      <c r="R23" s="182">
        <f t="shared" si="9"/>
        <v>0</v>
      </c>
      <c r="S23" s="182">
        <f t="shared" si="10"/>
        <v>0</v>
      </c>
      <c r="T23" s="182">
        <f t="shared" si="11"/>
        <v>0</v>
      </c>
      <c r="U23" s="182">
        <f t="shared" si="12"/>
        <v>0</v>
      </c>
      <c r="V23" s="14">
        <f t="shared" si="13"/>
        <v>0</v>
      </c>
      <c r="W23" s="14">
        <f t="shared" si="14"/>
        <v>0</v>
      </c>
      <c r="Y23" s="14">
        <f t="shared" si="21"/>
        <v>0</v>
      </c>
      <c r="Z23" s="14">
        <f t="shared" si="22"/>
        <v>0</v>
      </c>
      <c r="AA23" s="11">
        <f t="shared" si="15"/>
        <v>0</v>
      </c>
      <c r="AB23" s="9">
        <f t="shared" si="23"/>
        <v>0</v>
      </c>
      <c r="AD23" s="13">
        <f>IF(AH23&gt;AH22,AD22,IF(AD22&lt;MiscData!$F$1,EOMONTH(AD22,1),EOMONTH(AD22,-11)))</f>
        <v>42400</v>
      </c>
      <c r="AE23" s="7" t="str">
        <f t="shared" si="16"/>
        <v>20140101KUUM_405</v>
      </c>
      <c r="AF23" s="12" t="str">
        <f t="shared" si="17"/>
        <v>20140101RLS</v>
      </c>
      <c r="AG23" s="31"/>
      <c r="AH23">
        <f>IF(AH22=MiscData!$AB$91,1,AH22+1)</f>
        <v>22</v>
      </c>
      <c r="AI23">
        <f>IF(AD23&lt;=MiscData!$B$23,MiscData!$C$23,IF(AD23&lt;=MiscData!$B$24,MiscData!$C$24,MiscData!$C$25))</f>
        <v>20140101</v>
      </c>
      <c r="AK23" s="190" t="str">
        <f>VLOOKUP(AM23,MiscData!$AB$4:$ACB$113,2,FALSE)</f>
        <v>KUUM_405</v>
      </c>
      <c r="AL23" s="190" t="str">
        <f>VLOOKUP(AM23,MiscData!$AB$4:$AE$115,4,FALSE)</f>
        <v>RLS</v>
      </c>
      <c r="AM23">
        <f>IF(AM22=MiscData!$AB$91,1,AM22+1)</f>
        <v>22</v>
      </c>
    </row>
    <row r="24" spans="1:39">
      <c r="A24" s="7">
        <f t="shared" si="24"/>
        <v>23</v>
      </c>
      <c r="B24" s="13" t="str">
        <f t="shared" si="0"/>
        <v>Jan 2016</v>
      </c>
      <c r="C24" s="23" t="str">
        <f t="shared" si="1"/>
        <v>LS</v>
      </c>
      <c r="D24" s="23" t="str">
        <f t="shared" si="2"/>
        <v>KUUM_407</v>
      </c>
      <c r="E24" s="170">
        <f t="shared" si="3"/>
        <v>0</v>
      </c>
      <c r="F24" s="185"/>
      <c r="G24" s="170">
        <f t="shared" si="4"/>
        <v>0</v>
      </c>
      <c r="H24" s="170">
        <v>0</v>
      </c>
      <c r="I24" s="11">
        <f t="shared" si="18"/>
        <v>0</v>
      </c>
      <c r="J24" s="11">
        <f t="shared" si="5"/>
        <v>0</v>
      </c>
      <c r="K24" s="416">
        <f t="shared" si="19"/>
        <v>0</v>
      </c>
      <c r="L24" s="180"/>
      <c r="M24" s="180"/>
      <c r="N24" s="182">
        <f t="shared" si="6"/>
        <v>0</v>
      </c>
      <c r="O24" s="29">
        <f t="shared" si="7"/>
        <v>0</v>
      </c>
      <c r="P24" s="181">
        <f t="shared" si="20"/>
        <v>1</v>
      </c>
      <c r="Q24" s="182">
        <f t="shared" si="8"/>
        <v>0</v>
      </c>
      <c r="R24" s="182">
        <f t="shared" si="9"/>
        <v>0</v>
      </c>
      <c r="S24" s="182">
        <f t="shared" si="10"/>
        <v>0</v>
      </c>
      <c r="T24" s="182">
        <f t="shared" si="11"/>
        <v>0</v>
      </c>
      <c r="U24" s="182">
        <f t="shared" si="12"/>
        <v>0</v>
      </c>
      <c r="V24" s="14">
        <f t="shared" si="13"/>
        <v>0</v>
      </c>
      <c r="W24" s="14">
        <f t="shared" si="14"/>
        <v>0</v>
      </c>
      <c r="Y24" s="14">
        <f t="shared" si="21"/>
        <v>0</v>
      </c>
      <c r="Z24" s="14">
        <f t="shared" si="22"/>
        <v>0</v>
      </c>
      <c r="AA24" s="11">
        <f t="shared" si="15"/>
        <v>0</v>
      </c>
      <c r="AB24" s="9">
        <f t="shared" si="23"/>
        <v>0</v>
      </c>
      <c r="AD24" s="13">
        <f>IF(AH24&gt;AH23,AD23,IF(AD23&lt;MiscData!$F$1,EOMONTH(AD23,1),EOMONTH(AD23,-11)))</f>
        <v>42400</v>
      </c>
      <c r="AE24" s="7" t="str">
        <f t="shared" si="16"/>
        <v>20140101KUUM_407</v>
      </c>
      <c r="AF24" s="12" t="str">
        <f t="shared" si="17"/>
        <v>20140101LS</v>
      </c>
      <c r="AG24" s="31"/>
      <c r="AH24">
        <f>IF(AH23=MiscData!$AB$91,1,AH23+1)</f>
        <v>23</v>
      </c>
      <c r="AI24">
        <f>IF(AD24&lt;=MiscData!$B$23,MiscData!$C$23,IF(AD24&lt;=MiscData!$B$24,MiscData!$C$24,MiscData!$C$25))</f>
        <v>20140101</v>
      </c>
      <c r="AK24" s="190" t="str">
        <f>VLOOKUP(AM24,MiscData!$AB$4:$ACB$113,2,FALSE)</f>
        <v>KUUM_407</v>
      </c>
      <c r="AL24" s="190" t="str">
        <f>VLOOKUP(AM24,MiscData!$AB$4:$AE$115,4,FALSE)</f>
        <v>LS</v>
      </c>
      <c r="AM24">
        <f>IF(AM23=MiscData!$AB$91,1,AM23+1)</f>
        <v>23</v>
      </c>
    </row>
    <row r="25" spans="1:39">
      <c r="A25" s="7">
        <f t="shared" si="24"/>
        <v>24</v>
      </c>
      <c r="B25" s="13" t="str">
        <f t="shared" si="0"/>
        <v>Jan 2016</v>
      </c>
      <c r="C25" s="23" t="str">
        <f t="shared" si="1"/>
        <v>RLS</v>
      </c>
      <c r="D25" s="23" t="str">
        <f t="shared" si="2"/>
        <v>KUUM_409</v>
      </c>
      <c r="E25" s="170">
        <f t="shared" si="3"/>
        <v>147</v>
      </c>
      <c r="F25" s="185"/>
      <c r="G25" s="170">
        <f t="shared" si="4"/>
        <v>0</v>
      </c>
      <c r="H25" s="170">
        <v>0</v>
      </c>
      <c r="I25" s="11">
        <f t="shared" si="18"/>
        <v>11.71</v>
      </c>
      <c r="J25" s="11">
        <f t="shared" si="5"/>
        <v>4.5299999999999994</v>
      </c>
      <c r="K25" s="416">
        <f t="shared" si="19"/>
        <v>1721.37</v>
      </c>
      <c r="L25" s="180"/>
      <c r="M25" s="180"/>
      <c r="N25" s="182">
        <f t="shared" si="6"/>
        <v>1721.37</v>
      </c>
      <c r="O25" s="29">
        <f t="shared" si="7"/>
        <v>0</v>
      </c>
      <c r="P25" s="181">
        <f t="shared" si="20"/>
        <v>0</v>
      </c>
      <c r="Q25" s="182">
        <f t="shared" si="8"/>
        <v>0</v>
      </c>
      <c r="R25" s="182">
        <f t="shared" si="9"/>
        <v>0</v>
      </c>
      <c r="S25" s="182">
        <f t="shared" si="10"/>
        <v>0</v>
      </c>
      <c r="T25" s="182">
        <f t="shared" si="11"/>
        <v>0</v>
      </c>
      <c r="U25" s="182">
        <f t="shared" si="12"/>
        <v>0</v>
      </c>
      <c r="V25" s="14">
        <f t="shared" si="13"/>
        <v>1721.37</v>
      </c>
      <c r="W25" s="14">
        <f t="shared" si="14"/>
        <v>-1721.37</v>
      </c>
      <c r="Y25" s="14">
        <f t="shared" si="21"/>
        <v>665.91</v>
      </c>
      <c r="Z25" s="14">
        <f t="shared" si="22"/>
        <v>-665.91</v>
      </c>
      <c r="AA25" s="11">
        <f t="shared" si="15"/>
        <v>0.79</v>
      </c>
      <c r="AB25" s="9">
        <f t="shared" si="23"/>
        <v>116.13000000000001</v>
      </c>
      <c r="AD25" s="13">
        <f>IF(AH25&gt;AH24,AD24,IF(AD24&lt;MiscData!$F$1,EOMONTH(AD24,1),EOMONTH(AD24,-11)))</f>
        <v>42400</v>
      </c>
      <c r="AE25" s="7" t="str">
        <f t="shared" si="16"/>
        <v>20140101KUUM_409</v>
      </c>
      <c r="AF25" s="12" t="str">
        <f t="shared" si="17"/>
        <v>20140101RLS</v>
      </c>
      <c r="AG25" s="31"/>
      <c r="AH25">
        <f>IF(AH24=MiscData!$AB$91,1,AH24+1)</f>
        <v>24</v>
      </c>
      <c r="AI25">
        <f>IF(AD25&lt;=MiscData!$B$23,MiscData!$C$23,IF(AD25&lt;=MiscData!$B$24,MiscData!$C$24,MiscData!$C$25))</f>
        <v>20140101</v>
      </c>
      <c r="AK25" s="190" t="str">
        <f>VLOOKUP(AM25,MiscData!$AB$4:$ACB$113,2,FALSE)</f>
        <v>KUUM_409</v>
      </c>
      <c r="AL25" s="190" t="str">
        <f>VLOOKUP(AM25,MiscData!$AB$4:$AE$115,4,FALSE)</f>
        <v>RLS</v>
      </c>
      <c r="AM25">
        <f>IF(AM24=MiscData!$AB$91,1,AM24+1)</f>
        <v>24</v>
      </c>
    </row>
    <row r="26" spans="1:39">
      <c r="A26" s="7">
        <f t="shared" si="24"/>
        <v>25</v>
      </c>
      <c r="B26" s="13" t="str">
        <f t="shared" si="0"/>
        <v>Jan 2016</v>
      </c>
      <c r="C26" s="23" t="str">
        <f t="shared" si="1"/>
        <v>RLS</v>
      </c>
      <c r="D26" s="23" t="str">
        <f t="shared" si="2"/>
        <v>KUUM_410</v>
      </c>
      <c r="E26" s="170">
        <f t="shared" si="3"/>
        <v>240</v>
      </c>
      <c r="F26" s="185"/>
      <c r="G26" s="170">
        <f t="shared" si="4"/>
        <v>0</v>
      </c>
      <c r="H26" s="170">
        <v>0</v>
      </c>
      <c r="I26" s="11">
        <f t="shared" si="18"/>
        <v>20.259999999999998</v>
      </c>
      <c r="J26" s="11">
        <f t="shared" si="5"/>
        <v>0.57000000000000028</v>
      </c>
      <c r="K26" s="416">
        <f t="shared" si="19"/>
        <v>4862.3999999999996</v>
      </c>
      <c r="L26" s="180"/>
      <c r="M26" s="180"/>
      <c r="N26" s="182">
        <f t="shared" si="6"/>
        <v>4862.3999999999996</v>
      </c>
      <c r="O26" s="29">
        <f t="shared" si="7"/>
        <v>0</v>
      </c>
      <c r="P26" s="181">
        <f t="shared" si="20"/>
        <v>0</v>
      </c>
      <c r="Q26" s="182">
        <f t="shared" si="8"/>
        <v>0</v>
      </c>
      <c r="R26" s="182">
        <f t="shared" si="9"/>
        <v>0</v>
      </c>
      <c r="S26" s="182">
        <f t="shared" si="10"/>
        <v>0</v>
      </c>
      <c r="T26" s="182">
        <f t="shared" si="11"/>
        <v>0</v>
      </c>
      <c r="U26" s="182">
        <f t="shared" si="12"/>
        <v>0</v>
      </c>
      <c r="V26" s="14">
        <f t="shared" si="13"/>
        <v>4862.3999999999996</v>
      </c>
      <c r="W26" s="14">
        <f t="shared" si="14"/>
        <v>-4862.3999999999996</v>
      </c>
      <c r="Y26" s="14">
        <f t="shared" si="21"/>
        <v>136.80000000000001</v>
      </c>
      <c r="Z26" s="14">
        <f t="shared" si="22"/>
        <v>-136.80000000000001</v>
      </c>
      <c r="AA26" s="11">
        <f t="shared" si="15"/>
        <v>0.33</v>
      </c>
      <c r="AB26" s="9">
        <f t="shared" si="23"/>
        <v>79.2</v>
      </c>
      <c r="AD26" s="13">
        <f>IF(AH26&gt;AH25,AD25,IF(AD25&lt;MiscData!$F$1,EOMONTH(AD25,1),EOMONTH(AD25,-11)))</f>
        <v>42400</v>
      </c>
      <c r="AE26" s="7" t="str">
        <f t="shared" si="16"/>
        <v>20140101KUUM_410</v>
      </c>
      <c r="AF26" s="12" t="str">
        <f t="shared" si="17"/>
        <v>20140101RLS</v>
      </c>
      <c r="AG26" s="31"/>
      <c r="AH26">
        <f>IF(AH25=MiscData!$AB$91,1,AH25+1)</f>
        <v>25</v>
      </c>
      <c r="AI26">
        <f>IF(AD26&lt;=MiscData!$B$23,MiscData!$C$23,IF(AD26&lt;=MiscData!$B$24,MiscData!$C$24,MiscData!$C$25))</f>
        <v>20140101</v>
      </c>
      <c r="AK26" s="190" t="str">
        <f>VLOOKUP(AM26,MiscData!$AB$4:$ACB$113,2,FALSE)</f>
        <v>KUUM_410</v>
      </c>
      <c r="AL26" s="190" t="str">
        <f>VLOOKUP(AM26,MiscData!$AB$4:$AE$115,4,FALSE)</f>
        <v>RLS</v>
      </c>
      <c r="AM26">
        <f>IF(AM25=MiscData!$AB$91,1,AM25+1)</f>
        <v>25</v>
      </c>
    </row>
    <row r="27" spans="1:39">
      <c r="A27" s="7">
        <f t="shared" si="24"/>
        <v>26</v>
      </c>
      <c r="B27" s="13" t="str">
        <f t="shared" si="0"/>
        <v>Jan 2016</v>
      </c>
      <c r="C27" s="23" t="str">
        <f t="shared" si="1"/>
        <v>LS</v>
      </c>
      <c r="D27" s="23" t="str">
        <f t="shared" si="2"/>
        <v>KUUM_411</v>
      </c>
      <c r="E27" s="170">
        <f t="shared" si="3"/>
        <v>145</v>
      </c>
      <c r="F27" s="185"/>
      <c r="G27" s="170">
        <f t="shared" si="4"/>
        <v>0</v>
      </c>
      <c r="H27" s="170">
        <v>0</v>
      </c>
      <c r="I27" s="11">
        <f t="shared" si="18"/>
        <v>21.38</v>
      </c>
      <c r="J27" s="11">
        <f t="shared" si="5"/>
        <v>0.79999999999999716</v>
      </c>
      <c r="K27" s="416">
        <f t="shared" si="19"/>
        <v>3100.1</v>
      </c>
      <c r="L27" s="180"/>
      <c r="M27" s="180"/>
      <c r="N27" s="182">
        <f t="shared" si="6"/>
        <v>3100.1</v>
      </c>
      <c r="O27" s="29">
        <f t="shared" si="7"/>
        <v>0</v>
      </c>
      <c r="P27" s="181">
        <f t="shared" si="20"/>
        <v>0</v>
      </c>
      <c r="Q27" s="182">
        <f t="shared" si="8"/>
        <v>0</v>
      </c>
      <c r="R27" s="182">
        <f t="shared" si="9"/>
        <v>0</v>
      </c>
      <c r="S27" s="182">
        <f t="shared" si="10"/>
        <v>0</v>
      </c>
      <c r="T27" s="182">
        <f t="shared" si="11"/>
        <v>0</v>
      </c>
      <c r="U27" s="182">
        <f t="shared" si="12"/>
        <v>0</v>
      </c>
      <c r="V27" s="14">
        <f t="shared" si="13"/>
        <v>3100.1</v>
      </c>
      <c r="W27" s="14">
        <f t="shared" si="14"/>
        <v>-3100.1</v>
      </c>
      <c r="Y27" s="14">
        <f t="shared" si="21"/>
        <v>116</v>
      </c>
      <c r="Z27" s="14">
        <f t="shared" si="22"/>
        <v>-116</v>
      </c>
      <c r="AA27" s="11">
        <f t="shared" si="15"/>
        <v>0.43</v>
      </c>
      <c r="AB27" s="9">
        <f t="shared" si="23"/>
        <v>62.35</v>
      </c>
      <c r="AD27" s="13">
        <f>IF(AH27&gt;AH26,AD26,IF(AD26&lt;MiscData!$F$1,EOMONTH(AD26,1),EOMONTH(AD26,-11)))</f>
        <v>42400</v>
      </c>
      <c r="AE27" s="7" t="str">
        <f t="shared" si="16"/>
        <v>20140101KUUM_411</v>
      </c>
      <c r="AF27" s="12" t="str">
        <f t="shared" si="17"/>
        <v>20140101LS</v>
      </c>
      <c r="AG27" s="31"/>
      <c r="AH27">
        <f>IF(AH26=MiscData!$AB$91,1,AH26+1)</f>
        <v>26</v>
      </c>
      <c r="AI27">
        <f>IF(AD27&lt;=MiscData!$B$23,MiscData!$C$23,IF(AD27&lt;=MiscData!$B$24,MiscData!$C$24,MiscData!$C$25))</f>
        <v>20140101</v>
      </c>
      <c r="AK27" s="190" t="str">
        <f>VLOOKUP(AM27,MiscData!$AB$4:$ACB$113,2,FALSE)</f>
        <v>KUUM_411</v>
      </c>
      <c r="AL27" s="190" t="str">
        <f>VLOOKUP(AM27,MiscData!$AB$4:$AE$115,4,FALSE)</f>
        <v>LS</v>
      </c>
      <c r="AM27">
        <f>IF(AM26=MiscData!$AB$91,1,AM26+1)</f>
        <v>26</v>
      </c>
    </row>
    <row r="28" spans="1:39">
      <c r="A28" s="7">
        <f t="shared" si="24"/>
        <v>27</v>
      </c>
      <c r="B28" s="13" t="str">
        <f t="shared" si="0"/>
        <v>Jan 2016</v>
      </c>
      <c r="C28" s="23" t="str">
        <f t="shared" si="1"/>
        <v>RLS</v>
      </c>
      <c r="D28" s="23" t="str">
        <f t="shared" si="2"/>
        <v>KUUM_412</v>
      </c>
      <c r="E28" s="170">
        <f t="shared" si="3"/>
        <v>28</v>
      </c>
      <c r="F28" s="185"/>
      <c r="G28" s="170">
        <f t="shared" si="4"/>
        <v>0</v>
      </c>
      <c r="H28" s="170">
        <v>0</v>
      </c>
      <c r="I28" s="11">
        <f t="shared" si="18"/>
        <v>30.84</v>
      </c>
      <c r="J28" s="11">
        <f t="shared" si="5"/>
        <v>0.79999999999999716</v>
      </c>
      <c r="K28" s="416">
        <f t="shared" si="19"/>
        <v>863.52</v>
      </c>
      <c r="L28" s="180"/>
      <c r="M28" s="180"/>
      <c r="N28" s="182">
        <f t="shared" si="6"/>
        <v>863.52</v>
      </c>
      <c r="O28" s="29">
        <f t="shared" si="7"/>
        <v>0</v>
      </c>
      <c r="P28" s="181">
        <f t="shared" si="20"/>
        <v>0</v>
      </c>
      <c r="Q28" s="182">
        <f t="shared" si="8"/>
        <v>0</v>
      </c>
      <c r="R28" s="182">
        <f t="shared" si="9"/>
        <v>0</v>
      </c>
      <c r="S28" s="182">
        <f t="shared" si="10"/>
        <v>0</v>
      </c>
      <c r="T28" s="182">
        <f t="shared" si="11"/>
        <v>0</v>
      </c>
      <c r="U28" s="182">
        <f t="shared" si="12"/>
        <v>0</v>
      </c>
      <c r="V28" s="14">
        <f t="shared" si="13"/>
        <v>863.52</v>
      </c>
      <c r="W28" s="14">
        <f t="shared" si="14"/>
        <v>-863.52</v>
      </c>
      <c r="Y28" s="14">
        <f t="shared" si="21"/>
        <v>22.4</v>
      </c>
      <c r="Z28" s="14">
        <f t="shared" si="22"/>
        <v>-22.4</v>
      </c>
      <c r="AA28" s="11">
        <f t="shared" si="15"/>
        <v>0.43</v>
      </c>
      <c r="AB28" s="9">
        <f t="shared" si="23"/>
        <v>12.04</v>
      </c>
      <c r="AD28" s="13">
        <f>IF(AH28&gt;AH27,AD27,IF(AD27&lt;MiscData!$F$1,EOMONTH(AD27,1),EOMONTH(AD27,-11)))</f>
        <v>42400</v>
      </c>
      <c r="AE28" s="7" t="str">
        <f t="shared" si="16"/>
        <v>20140101KUUM_412</v>
      </c>
      <c r="AF28" s="12" t="str">
        <f t="shared" si="17"/>
        <v>20140101RLS</v>
      </c>
      <c r="AG28" s="31"/>
      <c r="AH28">
        <f>IF(AH27=MiscData!$AB$91,1,AH27+1)</f>
        <v>27</v>
      </c>
      <c r="AI28">
        <f>IF(AD28&lt;=MiscData!$B$23,MiscData!$C$23,IF(AD28&lt;=MiscData!$B$24,MiscData!$C$24,MiscData!$C$25))</f>
        <v>20140101</v>
      </c>
      <c r="AK28" s="190" t="str">
        <f>VLOOKUP(AM28,MiscData!$AB$4:$ACB$113,2,FALSE)</f>
        <v>KUUM_412</v>
      </c>
      <c r="AL28" s="190" t="str">
        <f>VLOOKUP(AM28,MiscData!$AB$4:$AE$115,4,FALSE)</f>
        <v>RLS</v>
      </c>
      <c r="AM28">
        <f>IF(AM27=MiscData!$AB$91,1,AM27+1)</f>
        <v>27</v>
      </c>
    </row>
    <row r="29" spans="1:39">
      <c r="A29" s="7">
        <f t="shared" si="24"/>
        <v>28</v>
      </c>
      <c r="B29" s="13" t="str">
        <f t="shared" si="0"/>
        <v>Jan 2016</v>
      </c>
      <c r="C29" s="23" t="str">
        <f t="shared" si="1"/>
        <v>RLS</v>
      </c>
      <c r="D29" s="23" t="str">
        <f t="shared" si="2"/>
        <v>KUUM_413</v>
      </c>
      <c r="E29" s="170">
        <f t="shared" si="3"/>
        <v>96</v>
      </c>
      <c r="F29" s="185"/>
      <c r="G29" s="170">
        <f t="shared" si="4"/>
        <v>0</v>
      </c>
      <c r="H29" s="170">
        <v>0</v>
      </c>
      <c r="I29" s="11">
        <f t="shared" si="18"/>
        <v>31.22</v>
      </c>
      <c r="J29" s="11">
        <f t="shared" si="5"/>
        <v>1.129999999999999</v>
      </c>
      <c r="K29" s="416">
        <f t="shared" si="19"/>
        <v>2997.12</v>
      </c>
      <c r="L29" s="180"/>
      <c r="M29" s="180"/>
      <c r="N29" s="182">
        <f t="shared" si="6"/>
        <v>2997.12</v>
      </c>
      <c r="O29" s="29">
        <f t="shared" si="7"/>
        <v>0</v>
      </c>
      <c r="P29" s="181">
        <f t="shared" si="20"/>
        <v>0</v>
      </c>
      <c r="Q29" s="182">
        <f t="shared" si="8"/>
        <v>0</v>
      </c>
      <c r="R29" s="182">
        <f t="shared" si="9"/>
        <v>0</v>
      </c>
      <c r="S29" s="182">
        <f t="shared" si="10"/>
        <v>0</v>
      </c>
      <c r="T29" s="182">
        <f t="shared" si="11"/>
        <v>0</v>
      </c>
      <c r="U29" s="182">
        <f t="shared" si="12"/>
        <v>0</v>
      </c>
      <c r="V29" s="14">
        <f t="shared" si="13"/>
        <v>2997.12</v>
      </c>
      <c r="W29" s="14">
        <f t="shared" si="14"/>
        <v>-2997.12</v>
      </c>
      <c r="Y29" s="14">
        <f t="shared" si="21"/>
        <v>108.48</v>
      </c>
      <c r="Z29" s="14">
        <f t="shared" si="22"/>
        <v>-108.48</v>
      </c>
      <c r="AA29" s="11">
        <f t="shared" si="15"/>
        <v>0.34</v>
      </c>
      <c r="AB29" s="9">
        <f t="shared" si="23"/>
        <v>32.64</v>
      </c>
      <c r="AD29" s="13">
        <f>IF(AH29&gt;AH28,AD28,IF(AD28&lt;MiscData!$F$1,EOMONTH(AD28,1),EOMONTH(AD28,-11)))</f>
        <v>42400</v>
      </c>
      <c r="AE29" s="7" t="str">
        <f t="shared" si="16"/>
        <v>20140101KUUM_413</v>
      </c>
      <c r="AF29" s="12" t="str">
        <f t="shared" si="17"/>
        <v>20140101RLS</v>
      </c>
      <c r="AG29" s="31"/>
      <c r="AH29">
        <f>IF(AH28=MiscData!$AB$91,1,AH28+1)</f>
        <v>28</v>
      </c>
      <c r="AI29">
        <f>IF(AD29&lt;=MiscData!$B$23,MiscData!$C$23,IF(AD29&lt;=MiscData!$B$24,MiscData!$C$24,MiscData!$C$25))</f>
        <v>20140101</v>
      </c>
      <c r="AK29" s="190" t="str">
        <f>VLOOKUP(AM29,MiscData!$AB$4:$ACB$113,2,FALSE)</f>
        <v>KUUM_413</v>
      </c>
      <c r="AL29" s="190" t="str">
        <f>VLOOKUP(AM29,MiscData!$AB$4:$AE$115,4,FALSE)</f>
        <v>RLS</v>
      </c>
      <c r="AM29">
        <f>IF(AM28=MiscData!$AB$91,1,AM28+1)</f>
        <v>28</v>
      </c>
    </row>
    <row r="30" spans="1:39">
      <c r="A30" s="7">
        <f t="shared" si="24"/>
        <v>29</v>
      </c>
      <c r="B30" s="13" t="str">
        <f t="shared" si="0"/>
        <v>Jan 2016</v>
      </c>
      <c r="C30" s="23" t="str">
        <f t="shared" si="1"/>
        <v>LS</v>
      </c>
      <c r="D30" s="23" t="str">
        <f t="shared" si="2"/>
        <v>KUUM_414</v>
      </c>
      <c r="E30" s="170">
        <f t="shared" si="3"/>
        <v>21</v>
      </c>
      <c r="F30" s="185"/>
      <c r="G30" s="170">
        <f t="shared" si="4"/>
        <v>0</v>
      </c>
      <c r="H30" s="170">
        <v>0</v>
      </c>
      <c r="I30" s="11">
        <f t="shared" si="18"/>
        <v>30.84</v>
      </c>
      <c r="J30" s="11">
        <f t="shared" si="5"/>
        <v>0.79999999999999716</v>
      </c>
      <c r="K30" s="416">
        <f t="shared" si="19"/>
        <v>647.64</v>
      </c>
      <c r="L30" s="180"/>
      <c r="M30" s="180"/>
      <c r="N30" s="182">
        <f t="shared" si="6"/>
        <v>647.64</v>
      </c>
      <c r="O30" s="29">
        <f t="shared" si="7"/>
        <v>0</v>
      </c>
      <c r="P30" s="181">
        <f t="shared" si="20"/>
        <v>0</v>
      </c>
      <c r="Q30" s="182">
        <f t="shared" si="8"/>
        <v>0</v>
      </c>
      <c r="R30" s="182">
        <f t="shared" si="9"/>
        <v>0</v>
      </c>
      <c r="S30" s="182">
        <f t="shared" si="10"/>
        <v>0</v>
      </c>
      <c r="T30" s="182">
        <f t="shared" si="11"/>
        <v>0</v>
      </c>
      <c r="U30" s="182">
        <f t="shared" si="12"/>
        <v>0</v>
      </c>
      <c r="V30" s="14">
        <f t="shared" si="13"/>
        <v>647.64</v>
      </c>
      <c r="W30" s="14">
        <f t="shared" si="14"/>
        <v>-647.64</v>
      </c>
      <c r="Y30" s="14">
        <f t="shared" si="21"/>
        <v>16.8</v>
      </c>
      <c r="Z30" s="14">
        <f t="shared" si="22"/>
        <v>-16.8</v>
      </c>
      <c r="AA30" s="11">
        <f t="shared" si="15"/>
        <v>0.43</v>
      </c>
      <c r="AB30" s="9">
        <f t="shared" si="23"/>
        <v>9.0299999999999994</v>
      </c>
      <c r="AD30" s="13">
        <f>IF(AH30&gt;AH29,AD29,IF(AD29&lt;MiscData!$F$1,EOMONTH(AD29,1),EOMONTH(AD29,-11)))</f>
        <v>42400</v>
      </c>
      <c r="AE30" s="7" t="str">
        <f t="shared" si="16"/>
        <v>20140101KUUM_414</v>
      </c>
      <c r="AF30" s="12" t="str">
        <f t="shared" si="17"/>
        <v>20140101LS</v>
      </c>
      <c r="AG30" s="31"/>
      <c r="AH30">
        <f>IF(AH29=MiscData!$AB$91,1,AH29+1)</f>
        <v>29</v>
      </c>
      <c r="AI30">
        <f>IF(AD30&lt;=MiscData!$B$23,MiscData!$C$23,IF(AD30&lt;=MiscData!$B$24,MiscData!$C$24,MiscData!$C$25))</f>
        <v>20140101</v>
      </c>
      <c r="AK30" s="190" t="str">
        <f>VLOOKUP(AM30,MiscData!$AB$4:$ACB$113,2,FALSE)</f>
        <v>KUUM_414</v>
      </c>
      <c r="AL30" s="190" t="str">
        <f>VLOOKUP(AM30,MiscData!$AB$4:$AE$115,4,FALSE)</f>
        <v>LS</v>
      </c>
      <c r="AM30">
        <f>IF(AM29=MiscData!$AB$91,1,AM29+1)</f>
        <v>29</v>
      </c>
    </row>
    <row r="31" spans="1:39">
      <c r="A31" s="7">
        <f t="shared" si="24"/>
        <v>30</v>
      </c>
      <c r="B31" s="13" t="str">
        <f t="shared" si="0"/>
        <v>Jan 2016</v>
      </c>
      <c r="C31" s="23" t="str">
        <f t="shared" si="1"/>
        <v>LS</v>
      </c>
      <c r="D31" s="23" t="str">
        <f t="shared" si="2"/>
        <v>KUUM_415</v>
      </c>
      <c r="E31" s="170">
        <f t="shared" si="3"/>
        <v>10</v>
      </c>
      <c r="F31" s="185"/>
      <c r="G31" s="170">
        <f t="shared" si="4"/>
        <v>0</v>
      </c>
      <c r="H31" s="170">
        <v>0</v>
      </c>
      <c r="I31" s="11">
        <f t="shared" si="18"/>
        <v>31.22</v>
      </c>
      <c r="J31" s="11">
        <f t="shared" si="5"/>
        <v>1.129999999999999</v>
      </c>
      <c r="K31" s="416">
        <f t="shared" si="19"/>
        <v>312.2</v>
      </c>
      <c r="L31" s="180"/>
      <c r="M31" s="180"/>
      <c r="N31" s="182">
        <f t="shared" si="6"/>
        <v>312.2</v>
      </c>
      <c r="O31" s="29">
        <f t="shared" si="7"/>
        <v>0</v>
      </c>
      <c r="P31" s="181">
        <f t="shared" si="20"/>
        <v>0</v>
      </c>
      <c r="Q31" s="182">
        <f t="shared" si="8"/>
        <v>0</v>
      </c>
      <c r="R31" s="182">
        <f t="shared" si="9"/>
        <v>0</v>
      </c>
      <c r="S31" s="182">
        <f t="shared" si="10"/>
        <v>0</v>
      </c>
      <c r="T31" s="182">
        <f t="shared" si="11"/>
        <v>0</v>
      </c>
      <c r="U31" s="182">
        <f t="shared" si="12"/>
        <v>0</v>
      </c>
      <c r="V31" s="14">
        <f t="shared" si="13"/>
        <v>312.2</v>
      </c>
      <c r="W31" s="14">
        <f t="shared" si="14"/>
        <v>-312.2</v>
      </c>
      <c r="Y31" s="14">
        <f t="shared" si="21"/>
        <v>11.3</v>
      </c>
      <c r="Z31" s="14">
        <f t="shared" si="22"/>
        <v>-11.3</v>
      </c>
      <c r="AA31" s="11">
        <f t="shared" si="15"/>
        <v>0.34</v>
      </c>
      <c r="AB31" s="9">
        <f t="shared" si="23"/>
        <v>3.4000000000000004</v>
      </c>
      <c r="AD31" s="13">
        <f>IF(AH31&gt;AH30,AD30,IF(AD30&lt;MiscData!$F$1,EOMONTH(AD30,1),EOMONTH(AD30,-11)))</f>
        <v>42400</v>
      </c>
      <c r="AE31" s="7" t="str">
        <f t="shared" si="16"/>
        <v>20140101KUUM_415</v>
      </c>
      <c r="AF31" s="12" t="str">
        <f t="shared" si="17"/>
        <v>20140101LS</v>
      </c>
      <c r="AG31" s="31"/>
      <c r="AH31">
        <f>IF(AH30=MiscData!$AB$91,1,AH30+1)</f>
        <v>30</v>
      </c>
      <c r="AI31">
        <f>IF(AD31&lt;=MiscData!$B$23,MiscData!$C$23,IF(AD31&lt;=MiscData!$B$24,MiscData!$C$24,MiscData!$C$25))</f>
        <v>20140101</v>
      </c>
      <c r="AK31" s="190" t="str">
        <f>VLOOKUP(AM31,MiscData!$AB$4:$ACB$113,2,FALSE)</f>
        <v>KUUM_415</v>
      </c>
      <c r="AL31" s="190" t="str">
        <f>VLOOKUP(AM31,MiscData!$AB$4:$AE$115,4,FALSE)</f>
        <v>LS</v>
      </c>
      <c r="AM31">
        <f>IF(AM30=MiscData!$AB$91,1,AM30+1)</f>
        <v>30</v>
      </c>
    </row>
    <row r="32" spans="1:39">
      <c r="A32" s="7">
        <f t="shared" si="24"/>
        <v>31</v>
      </c>
      <c r="B32" s="13" t="str">
        <f t="shared" si="0"/>
        <v>Jan 2016</v>
      </c>
      <c r="C32" s="23" t="str">
        <f t="shared" si="1"/>
        <v>LS</v>
      </c>
      <c r="D32" s="23" t="str">
        <f t="shared" si="2"/>
        <v>KUUM_420</v>
      </c>
      <c r="E32" s="170">
        <f t="shared" si="3"/>
        <v>454</v>
      </c>
      <c r="F32" s="185"/>
      <c r="G32" s="170">
        <f t="shared" si="4"/>
        <v>0</v>
      </c>
      <c r="H32" s="170">
        <v>0</v>
      </c>
      <c r="I32" s="11">
        <f t="shared" si="18"/>
        <v>15.360000000000001</v>
      </c>
      <c r="J32" s="11">
        <f t="shared" si="5"/>
        <v>1.1300000000000008</v>
      </c>
      <c r="K32" s="416">
        <f t="shared" si="19"/>
        <v>6973.44</v>
      </c>
      <c r="L32" s="180"/>
      <c r="M32" s="180"/>
      <c r="N32" s="182">
        <f t="shared" si="6"/>
        <v>6973.44</v>
      </c>
      <c r="O32" s="29">
        <f t="shared" si="7"/>
        <v>0</v>
      </c>
      <c r="P32" s="181">
        <f t="shared" si="20"/>
        <v>0</v>
      </c>
      <c r="Q32" s="182">
        <f t="shared" si="8"/>
        <v>0</v>
      </c>
      <c r="R32" s="182">
        <f t="shared" si="9"/>
        <v>0</v>
      </c>
      <c r="S32" s="182">
        <f t="shared" si="10"/>
        <v>0</v>
      </c>
      <c r="T32" s="182">
        <f t="shared" si="11"/>
        <v>0</v>
      </c>
      <c r="U32" s="182">
        <f t="shared" si="12"/>
        <v>0</v>
      </c>
      <c r="V32" s="14">
        <f t="shared" si="13"/>
        <v>6973.44</v>
      </c>
      <c r="W32" s="14">
        <f t="shared" si="14"/>
        <v>-6973.44</v>
      </c>
      <c r="Y32" s="14">
        <f t="shared" si="21"/>
        <v>513.02</v>
      </c>
      <c r="Z32" s="14">
        <f t="shared" si="22"/>
        <v>-513.02</v>
      </c>
      <c r="AA32" s="11">
        <f t="shared" si="15"/>
        <v>0.34</v>
      </c>
      <c r="AB32" s="9">
        <f t="shared" si="23"/>
        <v>154.36000000000001</v>
      </c>
      <c r="AD32" s="13">
        <f>IF(AH32&gt;AH31,AD31,IF(AD31&lt;MiscData!$F$1,EOMONTH(AD31,1),EOMONTH(AD31,-11)))</f>
        <v>42400</v>
      </c>
      <c r="AE32" s="7" t="str">
        <f t="shared" si="16"/>
        <v>20140101KUUM_420</v>
      </c>
      <c r="AF32" s="12" t="str">
        <f t="shared" si="17"/>
        <v>20140101LS</v>
      </c>
      <c r="AG32" s="31"/>
      <c r="AH32">
        <f>IF(AH31=MiscData!$AB$91,1,AH31+1)</f>
        <v>31</v>
      </c>
      <c r="AI32">
        <f>IF(AD32&lt;=MiscData!$B$23,MiscData!$C$23,IF(AD32&lt;=MiscData!$B$24,MiscData!$C$24,MiscData!$C$25))</f>
        <v>20140101</v>
      </c>
      <c r="AK32" s="190" t="str">
        <f>VLOOKUP(AM32,MiscData!$AB$4:$ACB$113,2,FALSE)</f>
        <v>KUUM_420</v>
      </c>
      <c r="AL32" s="190" t="str">
        <f>VLOOKUP(AM32,MiscData!$AB$4:$AE$115,4,FALSE)</f>
        <v>LS</v>
      </c>
      <c r="AM32">
        <f>IF(AM31=MiscData!$AB$91,1,AM31+1)</f>
        <v>31</v>
      </c>
    </row>
    <row r="33" spans="1:39">
      <c r="A33" s="7">
        <f t="shared" si="24"/>
        <v>32</v>
      </c>
      <c r="B33" s="13" t="str">
        <f t="shared" si="0"/>
        <v>Jan 2016</v>
      </c>
      <c r="C33" s="23" t="str">
        <f t="shared" si="1"/>
        <v>RLS</v>
      </c>
      <c r="D33" s="23" t="str">
        <f t="shared" si="2"/>
        <v>KUUM_421</v>
      </c>
      <c r="E33" s="170">
        <f t="shared" si="3"/>
        <v>5</v>
      </c>
      <c r="F33" s="185"/>
      <c r="G33" s="170">
        <f t="shared" si="4"/>
        <v>0</v>
      </c>
      <c r="H33" s="170">
        <v>0</v>
      </c>
      <c r="I33" s="11">
        <f t="shared" si="18"/>
        <v>3.39</v>
      </c>
      <c r="J33" s="11">
        <f t="shared" si="5"/>
        <v>0.98999999999999977</v>
      </c>
      <c r="K33" s="416">
        <f t="shared" si="19"/>
        <v>16.95</v>
      </c>
      <c r="L33" s="180"/>
      <c r="M33" s="180"/>
      <c r="N33" s="182">
        <f t="shared" si="6"/>
        <v>16.95</v>
      </c>
      <c r="O33" s="29">
        <f t="shared" si="7"/>
        <v>0</v>
      </c>
      <c r="P33" s="181">
        <f t="shared" si="20"/>
        <v>0</v>
      </c>
      <c r="Q33" s="182">
        <f t="shared" si="8"/>
        <v>0</v>
      </c>
      <c r="R33" s="182">
        <f t="shared" si="9"/>
        <v>0</v>
      </c>
      <c r="S33" s="182">
        <f t="shared" si="10"/>
        <v>0</v>
      </c>
      <c r="T33" s="182">
        <f t="shared" si="11"/>
        <v>0</v>
      </c>
      <c r="U33" s="182">
        <f t="shared" si="12"/>
        <v>0</v>
      </c>
      <c r="V33" s="14">
        <f t="shared" si="13"/>
        <v>16.95</v>
      </c>
      <c r="W33" s="14">
        <f t="shared" si="14"/>
        <v>-16.95</v>
      </c>
      <c r="Y33" s="14">
        <f t="shared" si="21"/>
        <v>4.95</v>
      </c>
      <c r="Z33" s="14">
        <f t="shared" si="22"/>
        <v>-4.95</v>
      </c>
      <c r="AA33" s="11">
        <f t="shared" si="15"/>
        <v>0.12</v>
      </c>
      <c r="AB33" s="9">
        <f t="shared" si="23"/>
        <v>0.6</v>
      </c>
      <c r="AD33" s="13">
        <f>IF(AH33&gt;AH32,AD32,IF(AD32&lt;MiscData!$F$1,EOMONTH(AD32,1),EOMONTH(AD32,-11)))</f>
        <v>42400</v>
      </c>
      <c r="AE33" s="7" t="str">
        <f t="shared" si="16"/>
        <v>20140101KUUM_421</v>
      </c>
      <c r="AF33" s="12" t="str">
        <f t="shared" si="17"/>
        <v>20140101RLS</v>
      </c>
      <c r="AG33" s="31"/>
      <c r="AH33">
        <f>IF(AH32=MiscData!$AB$91,1,AH32+1)</f>
        <v>32</v>
      </c>
      <c r="AI33">
        <f>IF(AD33&lt;=MiscData!$B$23,MiscData!$C$23,IF(AD33&lt;=MiscData!$B$24,MiscData!$C$24,MiscData!$C$25))</f>
        <v>20140101</v>
      </c>
      <c r="AK33" s="190" t="str">
        <f>VLOOKUP(AM33,MiscData!$AB$4:$ACB$113,2,FALSE)</f>
        <v>KUUM_421</v>
      </c>
      <c r="AL33" s="190" t="str">
        <f>VLOOKUP(AM33,MiscData!$AB$4:$AE$115,4,FALSE)</f>
        <v>RLS</v>
      </c>
      <c r="AM33">
        <f>IF(AM32=MiscData!$AB$91,1,AM32+1)</f>
        <v>32</v>
      </c>
    </row>
    <row r="34" spans="1:39">
      <c r="A34" s="7">
        <f t="shared" si="24"/>
        <v>33</v>
      </c>
      <c r="B34" s="13" t="str">
        <f t="shared" si="0"/>
        <v>Jan 2016</v>
      </c>
      <c r="C34" s="23" t="str">
        <f t="shared" si="1"/>
        <v>RLS</v>
      </c>
      <c r="D34" s="23" t="str">
        <f t="shared" si="2"/>
        <v>KUUM_422</v>
      </c>
      <c r="E34" s="170">
        <f t="shared" si="3"/>
        <v>684</v>
      </c>
      <c r="F34" s="185"/>
      <c r="G34" s="170">
        <f t="shared" si="4"/>
        <v>0</v>
      </c>
      <c r="H34" s="170">
        <v>0</v>
      </c>
      <c r="I34" s="11">
        <f t="shared" si="18"/>
        <v>4.5400000000000009</v>
      </c>
      <c r="J34" s="11">
        <f t="shared" si="5"/>
        <v>1.9400000000000004</v>
      </c>
      <c r="K34" s="416">
        <f t="shared" si="19"/>
        <v>3105.36</v>
      </c>
      <c r="L34" s="180"/>
      <c r="M34" s="180"/>
      <c r="N34" s="182">
        <f t="shared" si="6"/>
        <v>3105.36</v>
      </c>
      <c r="O34" s="29">
        <f t="shared" si="7"/>
        <v>0</v>
      </c>
      <c r="P34" s="181">
        <f t="shared" si="20"/>
        <v>0</v>
      </c>
      <c r="Q34" s="182">
        <f t="shared" si="8"/>
        <v>0</v>
      </c>
      <c r="R34" s="182">
        <f t="shared" si="9"/>
        <v>0</v>
      </c>
      <c r="S34" s="182">
        <f t="shared" si="10"/>
        <v>0</v>
      </c>
      <c r="T34" s="182">
        <f t="shared" si="11"/>
        <v>0</v>
      </c>
      <c r="U34" s="182">
        <f t="shared" si="12"/>
        <v>0</v>
      </c>
      <c r="V34" s="14">
        <f t="shared" si="13"/>
        <v>3105.36</v>
      </c>
      <c r="W34" s="14">
        <f t="shared" si="14"/>
        <v>-3105.36</v>
      </c>
      <c r="Y34" s="14">
        <f t="shared" si="21"/>
        <v>1326.96</v>
      </c>
      <c r="Z34" s="14">
        <f t="shared" si="22"/>
        <v>-1326.96</v>
      </c>
      <c r="AA34" s="11">
        <f t="shared" si="15"/>
        <v>0.16</v>
      </c>
      <c r="AB34" s="9">
        <f t="shared" si="23"/>
        <v>109.44</v>
      </c>
      <c r="AD34" s="13">
        <f>IF(AH34&gt;AH33,AD33,IF(AD33&lt;MiscData!$F$1,EOMONTH(AD33,1),EOMONTH(AD33,-11)))</f>
        <v>42400</v>
      </c>
      <c r="AE34" s="7" t="str">
        <f t="shared" si="16"/>
        <v>20140101KUUM_422</v>
      </c>
      <c r="AF34" s="12" t="str">
        <f t="shared" si="17"/>
        <v>20140101RLS</v>
      </c>
      <c r="AG34" s="31"/>
      <c r="AH34">
        <f>IF(AH33=MiscData!$AB$91,1,AH33+1)</f>
        <v>33</v>
      </c>
      <c r="AI34">
        <f>IF(AD34&lt;=MiscData!$B$23,MiscData!$C$23,IF(AD34&lt;=MiscData!$B$24,MiscData!$C$24,MiscData!$C$25))</f>
        <v>20140101</v>
      </c>
      <c r="AK34" s="190" t="str">
        <f>VLOOKUP(AM34,MiscData!$AB$4:$ACB$113,2,FALSE)</f>
        <v>KUUM_422</v>
      </c>
      <c r="AL34" s="190" t="str">
        <f>VLOOKUP(AM34,MiscData!$AB$4:$AE$115,4,FALSE)</f>
        <v>RLS</v>
      </c>
      <c r="AM34">
        <f>IF(AM33=MiscData!$AB$91,1,AM33+1)</f>
        <v>33</v>
      </c>
    </row>
    <row r="35" spans="1:39">
      <c r="A35" s="7">
        <f t="shared" si="24"/>
        <v>34</v>
      </c>
      <c r="B35" s="13" t="str">
        <f t="shared" si="0"/>
        <v>Jan 2016</v>
      </c>
      <c r="C35" s="23" t="str">
        <f t="shared" si="1"/>
        <v>RLS</v>
      </c>
      <c r="D35" s="23" t="str">
        <f t="shared" si="2"/>
        <v>KUUM_424</v>
      </c>
      <c r="E35" s="170">
        <f t="shared" si="3"/>
        <v>92</v>
      </c>
      <c r="F35" s="185"/>
      <c r="G35" s="170">
        <f t="shared" si="4"/>
        <v>0</v>
      </c>
      <c r="H35" s="170">
        <v>0</v>
      </c>
      <c r="I35" s="11">
        <f t="shared" si="18"/>
        <v>6.78</v>
      </c>
      <c r="J35" s="11">
        <f t="shared" si="5"/>
        <v>0.69999999999999929</v>
      </c>
      <c r="K35" s="416">
        <f t="shared" si="19"/>
        <v>623.76</v>
      </c>
      <c r="L35" s="180"/>
      <c r="M35" s="180"/>
      <c r="N35" s="182">
        <f t="shared" si="6"/>
        <v>623.76</v>
      </c>
      <c r="O35" s="29">
        <f t="shared" si="7"/>
        <v>0</v>
      </c>
      <c r="P35" s="181">
        <f t="shared" si="20"/>
        <v>0</v>
      </c>
      <c r="Q35" s="182">
        <f t="shared" si="8"/>
        <v>0</v>
      </c>
      <c r="R35" s="182">
        <f t="shared" si="9"/>
        <v>0</v>
      </c>
      <c r="S35" s="182">
        <f t="shared" si="10"/>
        <v>0</v>
      </c>
      <c r="T35" s="182">
        <f t="shared" si="11"/>
        <v>0</v>
      </c>
      <c r="U35" s="182">
        <f t="shared" si="12"/>
        <v>0</v>
      </c>
      <c r="V35" s="14">
        <f t="shared" si="13"/>
        <v>623.76</v>
      </c>
      <c r="W35" s="14">
        <f t="shared" si="14"/>
        <v>-623.76</v>
      </c>
      <c r="Y35" s="14">
        <f t="shared" si="21"/>
        <v>64.400000000000006</v>
      </c>
      <c r="Z35" s="14">
        <f t="shared" si="22"/>
        <v>-64.400000000000006</v>
      </c>
      <c r="AA35" s="11">
        <f t="shared" si="15"/>
        <v>0.24</v>
      </c>
      <c r="AB35" s="9">
        <f t="shared" si="23"/>
        <v>22.08</v>
      </c>
      <c r="AD35" s="13">
        <f>IF(AH35&gt;AH34,AD34,IF(AD34&lt;MiscData!$F$1,EOMONTH(AD34,1),EOMONTH(AD34,-11)))</f>
        <v>42400</v>
      </c>
      <c r="AE35" s="7" t="str">
        <f t="shared" si="16"/>
        <v>20140101KUUM_424</v>
      </c>
      <c r="AF35" s="12" t="str">
        <f t="shared" si="17"/>
        <v>20140101RLS</v>
      </c>
      <c r="AG35" s="31"/>
      <c r="AH35">
        <f>IF(AH34=MiscData!$AB$91,1,AH34+1)</f>
        <v>34</v>
      </c>
      <c r="AI35">
        <f>IF(AD35&lt;=MiscData!$B$23,MiscData!$C$23,IF(AD35&lt;=MiscData!$B$24,MiscData!$C$24,MiscData!$C$25))</f>
        <v>20140101</v>
      </c>
      <c r="AK35" s="190" t="str">
        <f>VLOOKUP(AM35,MiscData!$AB$4:$ACB$113,2,FALSE)</f>
        <v>KUUM_424</v>
      </c>
      <c r="AL35" s="190" t="str">
        <f>VLOOKUP(AM35,MiscData!$AB$4:$AE$115,4,FALSE)</f>
        <v>RLS</v>
      </c>
      <c r="AM35">
        <f>IF(AM34=MiscData!$AB$91,1,AM34+1)</f>
        <v>34</v>
      </c>
    </row>
    <row r="36" spans="1:39">
      <c r="A36" s="7">
        <f t="shared" si="24"/>
        <v>35</v>
      </c>
      <c r="B36" s="13" t="str">
        <f t="shared" si="0"/>
        <v>Jan 2016</v>
      </c>
      <c r="C36" s="23" t="str">
        <f t="shared" si="1"/>
        <v>RLS</v>
      </c>
      <c r="D36" s="23" t="str">
        <f t="shared" si="2"/>
        <v>KUUM_425</v>
      </c>
      <c r="E36" s="170">
        <f t="shared" si="3"/>
        <v>2</v>
      </c>
      <c r="F36" s="185"/>
      <c r="G36" s="170">
        <f t="shared" si="4"/>
        <v>0</v>
      </c>
      <c r="H36" s="170">
        <v>0</v>
      </c>
      <c r="I36" s="11">
        <f t="shared" si="18"/>
        <v>9.06</v>
      </c>
      <c r="J36" s="11">
        <f t="shared" si="5"/>
        <v>4.3000000000000007</v>
      </c>
      <c r="K36" s="416">
        <f t="shared" si="19"/>
        <v>18.12</v>
      </c>
      <c r="L36" s="180"/>
      <c r="M36" s="180"/>
      <c r="N36" s="182">
        <f t="shared" si="6"/>
        <v>18.12</v>
      </c>
      <c r="O36" s="29">
        <f t="shared" si="7"/>
        <v>0</v>
      </c>
      <c r="P36" s="181">
        <f t="shared" si="20"/>
        <v>0</v>
      </c>
      <c r="Q36" s="182">
        <f t="shared" si="8"/>
        <v>0</v>
      </c>
      <c r="R36" s="182">
        <f t="shared" si="9"/>
        <v>0</v>
      </c>
      <c r="S36" s="182">
        <f t="shared" si="10"/>
        <v>0</v>
      </c>
      <c r="T36" s="182">
        <f t="shared" si="11"/>
        <v>0</v>
      </c>
      <c r="U36" s="182">
        <f t="shared" si="12"/>
        <v>0</v>
      </c>
      <c r="V36" s="14">
        <f t="shared" si="13"/>
        <v>18.12</v>
      </c>
      <c r="W36" s="14">
        <f t="shared" si="14"/>
        <v>-18.12</v>
      </c>
      <c r="Y36" s="14">
        <f t="shared" si="21"/>
        <v>8.6</v>
      </c>
      <c r="Z36" s="14">
        <f t="shared" si="22"/>
        <v>-8.6</v>
      </c>
      <c r="AA36" s="11">
        <f t="shared" si="15"/>
        <v>0.33</v>
      </c>
      <c r="AB36" s="9">
        <f t="shared" si="23"/>
        <v>0.66</v>
      </c>
      <c r="AD36" s="13">
        <f>IF(AH36&gt;AH35,AD35,IF(AD35&lt;MiscData!$F$1,EOMONTH(AD35,1),EOMONTH(AD35,-11)))</f>
        <v>42400</v>
      </c>
      <c r="AE36" s="7" t="str">
        <f t="shared" si="16"/>
        <v>20140101KUUM_425</v>
      </c>
      <c r="AF36" s="12" t="str">
        <f t="shared" si="17"/>
        <v>20140101RLS</v>
      </c>
      <c r="AG36" s="31"/>
      <c r="AH36">
        <f>IF(AH35=MiscData!$AB$91,1,AH35+1)</f>
        <v>35</v>
      </c>
      <c r="AI36">
        <f>IF(AD36&lt;=MiscData!$B$23,MiscData!$C$23,IF(AD36&lt;=MiscData!$B$24,MiscData!$C$24,MiscData!$C$25))</f>
        <v>20140101</v>
      </c>
      <c r="AK36" s="190" t="str">
        <f>VLOOKUP(AM36,MiscData!$AB$4:$ACB$113,2,FALSE)</f>
        <v>KUUM_425</v>
      </c>
      <c r="AL36" s="190" t="str">
        <f>VLOOKUP(AM36,MiscData!$AB$4:$AE$115,4,FALSE)</f>
        <v>RLS</v>
      </c>
      <c r="AM36">
        <f>IF(AM35=MiscData!$AB$91,1,AM35+1)</f>
        <v>35</v>
      </c>
    </row>
    <row r="37" spans="1:39">
      <c r="A37" s="7">
        <f t="shared" si="24"/>
        <v>36</v>
      </c>
      <c r="B37" s="13" t="str">
        <f t="shared" si="0"/>
        <v>Jan 2016</v>
      </c>
      <c r="C37" s="23" t="str">
        <f t="shared" si="1"/>
        <v>RLS</v>
      </c>
      <c r="D37" s="23" t="str">
        <f t="shared" si="2"/>
        <v>KUUM_426</v>
      </c>
      <c r="E37" s="170">
        <f t="shared" si="3"/>
        <v>171</v>
      </c>
      <c r="F37" s="185"/>
      <c r="G37" s="170">
        <f t="shared" si="4"/>
        <v>0</v>
      </c>
      <c r="H37" s="170">
        <v>0</v>
      </c>
      <c r="I37" s="11">
        <f t="shared" si="18"/>
        <v>7.4399999999999995</v>
      </c>
      <c r="J37" s="11">
        <f t="shared" si="5"/>
        <v>0.79999999999999982</v>
      </c>
      <c r="K37" s="416">
        <f t="shared" si="19"/>
        <v>1272.24</v>
      </c>
      <c r="L37" s="180"/>
      <c r="M37" s="180"/>
      <c r="N37" s="182">
        <f t="shared" si="6"/>
        <v>1272.24</v>
      </c>
      <c r="O37" s="29">
        <f t="shared" si="7"/>
        <v>0</v>
      </c>
      <c r="P37" s="181">
        <f t="shared" si="20"/>
        <v>0</v>
      </c>
      <c r="Q37" s="182">
        <f t="shared" si="8"/>
        <v>0</v>
      </c>
      <c r="R37" s="182">
        <f t="shared" si="9"/>
        <v>0</v>
      </c>
      <c r="S37" s="182">
        <f t="shared" si="10"/>
        <v>0</v>
      </c>
      <c r="T37" s="182">
        <f t="shared" si="11"/>
        <v>0</v>
      </c>
      <c r="U37" s="182">
        <f t="shared" si="12"/>
        <v>0</v>
      </c>
      <c r="V37" s="14">
        <f t="shared" si="13"/>
        <v>1272.24</v>
      </c>
      <c r="W37" s="14">
        <f t="shared" si="14"/>
        <v>-1272.24</v>
      </c>
      <c r="Y37" s="14">
        <f t="shared" si="21"/>
        <v>136.80000000000001</v>
      </c>
      <c r="Z37" s="14">
        <f t="shared" si="22"/>
        <v>-136.80000000000001</v>
      </c>
      <c r="AA37" s="11">
        <f t="shared" si="15"/>
        <v>0.43</v>
      </c>
      <c r="AB37" s="9">
        <f t="shared" si="23"/>
        <v>73.53</v>
      </c>
      <c r="AD37" s="13">
        <f>IF(AH37&gt;AH36,AD36,IF(AD36&lt;MiscData!$F$1,EOMONTH(AD36,1),EOMONTH(AD36,-11)))</f>
        <v>42400</v>
      </c>
      <c r="AE37" s="7" t="str">
        <f t="shared" si="16"/>
        <v>20140101KUUM_426</v>
      </c>
      <c r="AF37" s="12" t="str">
        <f t="shared" si="17"/>
        <v>20140101RLS</v>
      </c>
      <c r="AG37" s="31"/>
      <c r="AH37">
        <f>IF(AH36=MiscData!$AB$91,1,AH36+1)</f>
        <v>36</v>
      </c>
      <c r="AI37">
        <f>IF(AD37&lt;=MiscData!$B$23,MiscData!$C$23,IF(AD37&lt;=MiscData!$B$24,MiscData!$C$24,MiscData!$C$25))</f>
        <v>20140101</v>
      </c>
      <c r="AK37" s="190" t="str">
        <f>VLOOKUP(AM37,MiscData!$AB$4:$ACB$113,2,FALSE)</f>
        <v>KUUM_426</v>
      </c>
      <c r="AL37" s="190" t="str">
        <f>VLOOKUP(AM37,MiscData!$AB$4:$AE$115,4,FALSE)</f>
        <v>RLS</v>
      </c>
      <c r="AM37">
        <f>IF(AM36=MiscData!$AB$91,1,AM36+1)</f>
        <v>36</v>
      </c>
    </row>
    <row r="38" spans="1:39">
      <c r="A38" s="7">
        <f t="shared" si="24"/>
        <v>37</v>
      </c>
      <c r="B38" s="13" t="str">
        <f t="shared" si="0"/>
        <v>Jan 2016</v>
      </c>
      <c r="C38" s="23" t="str">
        <f t="shared" si="1"/>
        <v>LS</v>
      </c>
      <c r="D38" s="23" t="str">
        <f t="shared" si="2"/>
        <v>KUUM_428</v>
      </c>
      <c r="E38" s="170">
        <f t="shared" si="3"/>
        <v>36280</v>
      </c>
      <c r="F38" s="185"/>
      <c r="G38" s="170">
        <f t="shared" si="4"/>
        <v>0</v>
      </c>
      <c r="H38" s="170">
        <v>0</v>
      </c>
      <c r="I38" s="11">
        <f t="shared" si="18"/>
        <v>7.84</v>
      </c>
      <c r="J38" s="11">
        <f t="shared" si="5"/>
        <v>1.1299999999999999</v>
      </c>
      <c r="K38" s="416">
        <f t="shared" si="19"/>
        <v>284435.20000000001</v>
      </c>
      <c r="L38" s="180"/>
      <c r="M38" s="180"/>
      <c r="N38" s="182">
        <f t="shared" si="6"/>
        <v>284435.20000000001</v>
      </c>
      <c r="O38" s="29">
        <f t="shared" si="7"/>
        <v>0</v>
      </c>
      <c r="P38" s="181">
        <f t="shared" si="20"/>
        <v>0</v>
      </c>
      <c r="Q38" s="182">
        <f t="shared" si="8"/>
        <v>0</v>
      </c>
      <c r="R38" s="182">
        <f t="shared" si="9"/>
        <v>0</v>
      </c>
      <c r="S38" s="182">
        <f t="shared" si="10"/>
        <v>0</v>
      </c>
      <c r="T38" s="182">
        <f t="shared" si="11"/>
        <v>0</v>
      </c>
      <c r="U38" s="182">
        <f t="shared" si="12"/>
        <v>0</v>
      </c>
      <c r="V38" s="14">
        <f t="shared" si="13"/>
        <v>284435.20000000001</v>
      </c>
      <c r="W38" s="14">
        <f t="shared" si="14"/>
        <v>-284435.20000000001</v>
      </c>
      <c r="Y38" s="14">
        <f t="shared" si="21"/>
        <v>40996.400000000001</v>
      </c>
      <c r="Z38" s="14">
        <f t="shared" si="22"/>
        <v>-40996.400000000001</v>
      </c>
      <c r="AA38" s="11">
        <f t="shared" si="15"/>
        <v>0.34</v>
      </c>
      <c r="AB38" s="9">
        <f t="shared" si="23"/>
        <v>12335.2</v>
      </c>
      <c r="AD38" s="13">
        <f>IF(AH38&gt;AH37,AD37,IF(AD37&lt;MiscData!$F$1,EOMONTH(AD37,1),EOMONTH(AD37,-11)))</f>
        <v>42400</v>
      </c>
      <c r="AE38" s="7" t="str">
        <f t="shared" si="16"/>
        <v>20140101KUUM_428</v>
      </c>
      <c r="AF38" s="12" t="str">
        <f t="shared" si="17"/>
        <v>20140101LS</v>
      </c>
      <c r="AG38" s="31"/>
      <c r="AH38">
        <f>IF(AH37=MiscData!$AB$91,1,AH37+1)</f>
        <v>37</v>
      </c>
      <c r="AI38">
        <f>IF(AD38&lt;=MiscData!$B$23,MiscData!$C$23,IF(AD38&lt;=MiscData!$B$24,MiscData!$C$24,MiscData!$C$25))</f>
        <v>20140101</v>
      </c>
      <c r="AK38" s="190" t="str">
        <f>VLOOKUP(AM38,MiscData!$AB$4:$ACB$113,2,FALSE)</f>
        <v>KUUM_428</v>
      </c>
      <c r="AL38" s="190" t="str">
        <f>VLOOKUP(AM38,MiscData!$AB$4:$AE$115,4,FALSE)</f>
        <v>LS</v>
      </c>
      <c r="AM38">
        <f>IF(AM37=MiscData!$AB$91,1,AM37+1)</f>
        <v>37</v>
      </c>
    </row>
    <row r="39" spans="1:39">
      <c r="A39" s="7">
        <f t="shared" si="24"/>
        <v>38</v>
      </c>
      <c r="B39" s="13" t="str">
        <f t="shared" si="0"/>
        <v>Jan 2016</v>
      </c>
      <c r="C39" s="23" t="str">
        <f t="shared" si="1"/>
        <v>LS</v>
      </c>
      <c r="D39" s="23" t="str">
        <f t="shared" si="2"/>
        <v>KUUM_429</v>
      </c>
      <c r="E39" s="170">
        <f t="shared" si="3"/>
        <v>0</v>
      </c>
      <c r="F39" s="185"/>
      <c r="G39" s="170">
        <f t="shared" si="4"/>
        <v>0</v>
      </c>
      <c r="H39" s="170">
        <v>0</v>
      </c>
      <c r="I39" s="11">
        <f t="shared" si="18"/>
        <v>0</v>
      </c>
      <c r="J39" s="11">
        <f t="shared" si="5"/>
        <v>0</v>
      </c>
      <c r="K39" s="416">
        <f t="shared" si="19"/>
        <v>0</v>
      </c>
      <c r="L39" s="180"/>
      <c r="M39" s="180"/>
      <c r="N39" s="182">
        <f t="shared" si="6"/>
        <v>0</v>
      </c>
      <c r="O39" s="29">
        <f t="shared" si="7"/>
        <v>0</v>
      </c>
      <c r="P39" s="181">
        <f t="shared" si="20"/>
        <v>1</v>
      </c>
      <c r="Q39" s="182">
        <f t="shared" si="8"/>
        <v>0</v>
      </c>
      <c r="R39" s="182">
        <f t="shared" si="9"/>
        <v>0</v>
      </c>
      <c r="S39" s="182">
        <f t="shared" si="10"/>
        <v>0</v>
      </c>
      <c r="T39" s="182">
        <f t="shared" si="11"/>
        <v>0</v>
      </c>
      <c r="U39" s="182">
        <f t="shared" si="12"/>
        <v>0</v>
      </c>
      <c r="V39" s="14">
        <f t="shared" si="13"/>
        <v>0</v>
      </c>
      <c r="W39" s="14">
        <f t="shared" si="14"/>
        <v>0</v>
      </c>
      <c r="Y39" s="14">
        <f t="shared" si="21"/>
        <v>0</v>
      </c>
      <c r="Z39" s="14">
        <f t="shared" si="22"/>
        <v>0</v>
      </c>
      <c r="AA39" s="11">
        <f t="shared" si="15"/>
        <v>0</v>
      </c>
      <c r="AB39" s="9">
        <f t="shared" si="23"/>
        <v>0</v>
      </c>
      <c r="AD39" s="13">
        <f>IF(AH39&gt;AH38,AD38,IF(AD38&lt;MiscData!$F$1,EOMONTH(AD38,1),EOMONTH(AD38,-11)))</f>
        <v>42400</v>
      </c>
      <c r="AE39" s="7" t="str">
        <f t="shared" si="16"/>
        <v>20140101KUUM_429</v>
      </c>
      <c r="AF39" s="12" t="str">
        <f t="shared" si="17"/>
        <v>20140101LS</v>
      </c>
      <c r="AG39" s="31"/>
      <c r="AH39">
        <f>IF(AH38=MiscData!$AB$91,1,AH38+1)</f>
        <v>38</v>
      </c>
      <c r="AI39">
        <f>IF(AD39&lt;=MiscData!$B$23,MiscData!$C$23,IF(AD39&lt;=MiscData!$B$24,MiscData!$C$24,MiscData!$C$25))</f>
        <v>20140101</v>
      </c>
      <c r="AK39" s="190" t="str">
        <f>VLOOKUP(AM39,MiscData!$AB$4:$ACB$113,2,FALSE)</f>
        <v>KUUM_429</v>
      </c>
      <c r="AL39" s="190" t="str">
        <f>VLOOKUP(AM39,MiscData!$AB$4:$AE$115,4,FALSE)</f>
        <v>LS</v>
      </c>
      <c r="AM39">
        <f>IF(AM38=MiscData!$AB$91,1,AM38+1)</f>
        <v>38</v>
      </c>
    </row>
    <row r="40" spans="1:39">
      <c r="A40" s="7">
        <f t="shared" si="24"/>
        <v>39</v>
      </c>
      <c r="B40" s="13" t="str">
        <f t="shared" si="0"/>
        <v>Jan 2016</v>
      </c>
      <c r="C40" s="23" t="str">
        <f t="shared" si="1"/>
        <v>LS</v>
      </c>
      <c r="D40" s="23" t="str">
        <f t="shared" si="2"/>
        <v>KUUM_430</v>
      </c>
      <c r="E40" s="170">
        <f t="shared" si="3"/>
        <v>1166</v>
      </c>
      <c r="F40" s="185"/>
      <c r="G40" s="170">
        <f t="shared" si="4"/>
        <v>0</v>
      </c>
      <c r="H40" s="170">
        <v>0</v>
      </c>
      <c r="I40" s="11">
        <f t="shared" si="18"/>
        <v>22</v>
      </c>
      <c r="J40" s="11">
        <f t="shared" si="5"/>
        <v>1.129999999999999</v>
      </c>
      <c r="K40" s="416">
        <f t="shared" si="19"/>
        <v>25652</v>
      </c>
      <c r="L40" s="180"/>
      <c r="M40" s="180"/>
      <c r="N40" s="182">
        <f t="shared" si="6"/>
        <v>25652</v>
      </c>
      <c r="O40" s="29">
        <f t="shared" si="7"/>
        <v>0</v>
      </c>
      <c r="P40" s="181">
        <f t="shared" si="20"/>
        <v>0</v>
      </c>
      <c r="Q40" s="182">
        <f t="shared" si="8"/>
        <v>0</v>
      </c>
      <c r="R40" s="182">
        <f t="shared" si="9"/>
        <v>0</v>
      </c>
      <c r="S40" s="182">
        <f t="shared" si="10"/>
        <v>0</v>
      </c>
      <c r="T40" s="182">
        <f t="shared" si="11"/>
        <v>0</v>
      </c>
      <c r="U40" s="182">
        <f t="shared" si="12"/>
        <v>0</v>
      </c>
      <c r="V40" s="14">
        <f t="shared" si="13"/>
        <v>25652</v>
      </c>
      <c r="W40" s="14">
        <f t="shared" si="14"/>
        <v>-25652</v>
      </c>
      <c r="Y40" s="14">
        <f t="shared" si="21"/>
        <v>1317.58</v>
      </c>
      <c r="Z40" s="14">
        <f t="shared" si="22"/>
        <v>-1317.58</v>
      </c>
      <c r="AA40" s="11">
        <f t="shared" si="15"/>
        <v>0.34</v>
      </c>
      <c r="AB40" s="9">
        <f t="shared" si="23"/>
        <v>396.44000000000005</v>
      </c>
      <c r="AD40" s="13">
        <f>IF(AH40&gt;AH39,AD39,IF(AD39&lt;MiscData!$F$1,EOMONTH(AD39,1),EOMONTH(AD39,-11)))</f>
        <v>42400</v>
      </c>
      <c r="AE40" s="7" t="str">
        <f t="shared" si="16"/>
        <v>20140101KUUM_430</v>
      </c>
      <c r="AF40" s="12" t="str">
        <f t="shared" si="17"/>
        <v>20140101LS</v>
      </c>
      <c r="AG40" s="31"/>
      <c r="AH40">
        <f>IF(AH39=MiscData!$AB$91,1,AH39+1)</f>
        <v>39</v>
      </c>
      <c r="AI40">
        <f>IF(AD40&lt;=MiscData!$B$23,MiscData!$C$23,IF(AD40&lt;=MiscData!$B$24,MiscData!$C$24,MiscData!$C$25))</f>
        <v>20140101</v>
      </c>
      <c r="AK40" s="190" t="str">
        <f>VLOOKUP(AM40,MiscData!$AB$4:$ACB$113,2,FALSE)</f>
        <v>KUUM_430</v>
      </c>
      <c r="AL40" s="190" t="str">
        <f>VLOOKUP(AM40,MiscData!$AB$4:$AE$115,4,FALSE)</f>
        <v>LS</v>
      </c>
      <c r="AM40">
        <f>IF(AM39=MiscData!$AB$91,1,AM39+1)</f>
        <v>39</v>
      </c>
    </row>
    <row r="41" spans="1:39">
      <c r="A41" s="7">
        <f t="shared" si="24"/>
        <v>40</v>
      </c>
      <c r="B41" s="13" t="str">
        <f t="shared" si="0"/>
        <v>Jan 2016</v>
      </c>
      <c r="C41" s="23" t="str">
        <f t="shared" si="1"/>
        <v>RLS</v>
      </c>
      <c r="D41" s="23" t="str">
        <f t="shared" si="2"/>
        <v>KUUM_434</v>
      </c>
      <c r="E41" s="170">
        <f t="shared" si="3"/>
        <v>6</v>
      </c>
      <c r="F41" s="185"/>
      <c r="G41" s="170">
        <f t="shared" si="4"/>
        <v>0</v>
      </c>
      <c r="H41" s="170">
        <v>0</v>
      </c>
      <c r="I41" s="11">
        <f t="shared" si="18"/>
        <v>7.74</v>
      </c>
      <c r="J41" s="11">
        <f t="shared" si="5"/>
        <v>0.69999999999999929</v>
      </c>
      <c r="K41" s="416">
        <f t="shared" si="19"/>
        <v>46.44</v>
      </c>
      <c r="L41" s="180"/>
      <c r="M41" s="180"/>
      <c r="N41" s="182">
        <f t="shared" si="6"/>
        <v>46.44</v>
      </c>
      <c r="O41" s="29">
        <f t="shared" si="7"/>
        <v>0</v>
      </c>
      <c r="P41" s="181">
        <f t="shared" si="20"/>
        <v>0</v>
      </c>
      <c r="Q41" s="182">
        <f t="shared" si="8"/>
        <v>0</v>
      </c>
      <c r="R41" s="182">
        <f t="shared" si="9"/>
        <v>0</v>
      </c>
      <c r="S41" s="182">
        <f t="shared" si="10"/>
        <v>0</v>
      </c>
      <c r="T41" s="182">
        <f t="shared" si="11"/>
        <v>0</v>
      </c>
      <c r="U41" s="182">
        <f t="shared" si="12"/>
        <v>0</v>
      </c>
      <c r="V41" s="14">
        <f t="shared" si="13"/>
        <v>46.44</v>
      </c>
      <c r="W41" s="14">
        <f t="shared" si="14"/>
        <v>-46.44</v>
      </c>
      <c r="Y41" s="14">
        <f t="shared" si="21"/>
        <v>4.2</v>
      </c>
      <c r="Z41" s="14">
        <f t="shared" si="22"/>
        <v>-4.2</v>
      </c>
      <c r="AA41" s="11">
        <f t="shared" si="15"/>
        <v>0.24</v>
      </c>
      <c r="AB41" s="9">
        <f t="shared" si="23"/>
        <v>1.44</v>
      </c>
      <c r="AD41" s="13">
        <f>IF(AH41&gt;AH40,AD40,IF(AD40&lt;MiscData!$F$1,EOMONTH(AD40,1),EOMONTH(AD40,-11)))</f>
        <v>42400</v>
      </c>
      <c r="AE41" s="7" t="str">
        <f t="shared" si="16"/>
        <v>20140101KUUM_434</v>
      </c>
      <c r="AF41" s="12" t="str">
        <f t="shared" si="17"/>
        <v>20140101RLS</v>
      </c>
      <c r="AG41" s="31"/>
      <c r="AH41">
        <f>IF(AH40=MiscData!$AB$91,1,AH40+1)</f>
        <v>40</v>
      </c>
      <c r="AI41">
        <f>IF(AD41&lt;=MiscData!$B$23,MiscData!$C$23,IF(AD41&lt;=MiscData!$B$24,MiscData!$C$24,MiscData!$C$25))</f>
        <v>20140101</v>
      </c>
      <c r="AK41" s="190" t="str">
        <f>VLOOKUP(AM41,MiscData!$AB$4:$ACB$113,2,FALSE)</f>
        <v>KUUM_434</v>
      </c>
      <c r="AL41" s="190" t="str">
        <f>VLOOKUP(AM41,MiscData!$AB$4:$AE$115,4,FALSE)</f>
        <v>RLS</v>
      </c>
      <c r="AM41">
        <f>IF(AM40=MiscData!$AB$91,1,AM40+1)</f>
        <v>40</v>
      </c>
    </row>
    <row r="42" spans="1:39">
      <c r="A42" s="7">
        <f t="shared" si="24"/>
        <v>41</v>
      </c>
      <c r="B42" s="13" t="str">
        <f t="shared" si="0"/>
        <v>Jan 2016</v>
      </c>
      <c r="C42" s="23" t="str">
        <f t="shared" si="1"/>
        <v>RLS</v>
      </c>
      <c r="D42" s="23" t="str">
        <f t="shared" si="2"/>
        <v>KUUM_440</v>
      </c>
      <c r="E42" s="170">
        <f t="shared" si="3"/>
        <v>2</v>
      </c>
      <c r="F42" s="185"/>
      <c r="G42" s="170">
        <f t="shared" si="4"/>
        <v>0</v>
      </c>
      <c r="H42" s="170">
        <v>0</v>
      </c>
      <c r="I42" s="11">
        <f t="shared" si="18"/>
        <v>13.610000000000001</v>
      </c>
      <c r="J42" s="11">
        <f t="shared" si="5"/>
        <v>0.57000000000000028</v>
      </c>
      <c r="K42" s="416">
        <f t="shared" si="19"/>
        <v>27.22</v>
      </c>
      <c r="L42" s="180"/>
      <c r="M42" s="180"/>
      <c r="N42" s="182">
        <f t="shared" si="6"/>
        <v>27.22</v>
      </c>
      <c r="O42" s="29">
        <f t="shared" si="7"/>
        <v>0</v>
      </c>
      <c r="P42" s="181">
        <f t="shared" si="20"/>
        <v>0</v>
      </c>
      <c r="Q42" s="182">
        <f t="shared" si="8"/>
        <v>0</v>
      </c>
      <c r="R42" s="182">
        <f t="shared" si="9"/>
        <v>0</v>
      </c>
      <c r="S42" s="182">
        <f t="shared" si="10"/>
        <v>0</v>
      </c>
      <c r="T42" s="182">
        <f t="shared" si="11"/>
        <v>0</v>
      </c>
      <c r="U42" s="182">
        <f t="shared" si="12"/>
        <v>0</v>
      </c>
      <c r="V42" s="14">
        <f t="shared" si="13"/>
        <v>27.22</v>
      </c>
      <c r="W42" s="14">
        <f t="shared" si="14"/>
        <v>-27.22</v>
      </c>
      <c r="Y42" s="14">
        <f t="shared" si="21"/>
        <v>1.1399999999999999</v>
      </c>
      <c r="Z42" s="14">
        <f t="shared" si="22"/>
        <v>-1.1399999999999999</v>
      </c>
      <c r="AA42" s="11">
        <f t="shared" si="15"/>
        <v>0.33</v>
      </c>
      <c r="AB42" s="9">
        <f t="shared" si="23"/>
        <v>0.66</v>
      </c>
      <c r="AD42" s="13">
        <f>IF(AH42&gt;AH41,AD41,IF(AD41&lt;MiscData!$F$1,EOMONTH(AD41,1),EOMONTH(AD41,-11)))</f>
        <v>42400</v>
      </c>
      <c r="AE42" s="7" t="str">
        <f t="shared" si="16"/>
        <v>20140101KUUM_440</v>
      </c>
      <c r="AF42" s="12" t="str">
        <f t="shared" si="17"/>
        <v>20140101RLS</v>
      </c>
      <c r="AG42" s="31"/>
      <c r="AH42">
        <f>IF(AH41=MiscData!$AB$91,1,AH41+1)</f>
        <v>41</v>
      </c>
      <c r="AI42">
        <f>IF(AD42&lt;=MiscData!$B$23,MiscData!$C$23,IF(AD42&lt;=MiscData!$B$24,MiscData!$C$24,MiscData!$C$25))</f>
        <v>20140101</v>
      </c>
      <c r="AK42" s="190" t="str">
        <f>VLOOKUP(AM42,MiscData!$AB$4:$ACB$113,2,FALSE)</f>
        <v>KUUM_440</v>
      </c>
      <c r="AL42" s="190" t="str">
        <f>VLOOKUP(AM42,MiscData!$AB$4:$AE$115,4,FALSE)</f>
        <v>RLS</v>
      </c>
      <c r="AM42">
        <f>IF(AM41=MiscData!$AB$91,1,AM41+1)</f>
        <v>41</v>
      </c>
    </row>
    <row r="43" spans="1:39">
      <c r="A43" s="7">
        <f t="shared" si="24"/>
        <v>42</v>
      </c>
      <c r="B43" s="13" t="str">
        <f t="shared" si="0"/>
        <v>Jan 2016</v>
      </c>
      <c r="C43" s="23" t="str">
        <f t="shared" si="1"/>
        <v>RLS</v>
      </c>
      <c r="D43" s="23" t="str">
        <f t="shared" si="2"/>
        <v>KUUM_446</v>
      </c>
      <c r="E43" s="170">
        <f t="shared" si="3"/>
        <v>1080</v>
      </c>
      <c r="F43" s="185"/>
      <c r="G43" s="170">
        <f t="shared" si="4"/>
        <v>0</v>
      </c>
      <c r="H43" s="170">
        <v>0</v>
      </c>
      <c r="I43" s="11">
        <f t="shared" si="18"/>
        <v>9.5600000000000023</v>
      </c>
      <c r="J43" s="11">
        <f t="shared" si="5"/>
        <v>1.9900000000000002</v>
      </c>
      <c r="K43" s="416">
        <f t="shared" si="19"/>
        <v>10324.799999999999</v>
      </c>
      <c r="L43" s="180"/>
      <c r="M43" s="180"/>
      <c r="N43" s="182">
        <f t="shared" si="6"/>
        <v>10324.799999999999</v>
      </c>
      <c r="O43" s="29">
        <f t="shared" si="7"/>
        <v>0</v>
      </c>
      <c r="P43" s="181">
        <f t="shared" si="20"/>
        <v>0</v>
      </c>
      <c r="Q43" s="182">
        <f t="shared" si="8"/>
        <v>0</v>
      </c>
      <c r="R43" s="182">
        <f t="shared" si="9"/>
        <v>0</v>
      </c>
      <c r="S43" s="182">
        <f t="shared" si="10"/>
        <v>0</v>
      </c>
      <c r="T43" s="182">
        <f t="shared" si="11"/>
        <v>0</v>
      </c>
      <c r="U43" s="182">
        <f t="shared" si="12"/>
        <v>0</v>
      </c>
      <c r="V43" s="14">
        <f t="shared" si="13"/>
        <v>10324.799999999999</v>
      </c>
      <c r="W43" s="14">
        <f t="shared" si="14"/>
        <v>-10324.799999999999</v>
      </c>
      <c r="Y43" s="14">
        <f t="shared" si="21"/>
        <v>2149.1999999999998</v>
      </c>
      <c r="Z43" s="14">
        <f t="shared" si="22"/>
        <v>-2149.1999999999998</v>
      </c>
      <c r="AA43" s="11">
        <f t="shared" si="15"/>
        <v>0.39</v>
      </c>
      <c r="AB43" s="9">
        <f t="shared" si="23"/>
        <v>421.2</v>
      </c>
      <c r="AD43" s="13">
        <f>IF(AH43&gt;AH42,AD42,IF(AD42&lt;MiscData!$F$1,EOMONTH(AD42,1),EOMONTH(AD42,-11)))</f>
        <v>42400</v>
      </c>
      <c r="AE43" s="7" t="str">
        <f t="shared" si="16"/>
        <v>20140101KUUM_446</v>
      </c>
      <c r="AF43" s="12" t="str">
        <f t="shared" si="17"/>
        <v>20140101RLS</v>
      </c>
      <c r="AG43" s="31"/>
      <c r="AH43">
        <f>IF(AH42=MiscData!$AB$91,1,AH42+1)</f>
        <v>42</v>
      </c>
      <c r="AI43">
        <f>IF(AD43&lt;=MiscData!$B$23,MiscData!$C$23,IF(AD43&lt;=MiscData!$B$24,MiscData!$C$24,MiscData!$C$25))</f>
        <v>20140101</v>
      </c>
      <c r="AK43" s="190" t="str">
        <f>VLOOKUP(AM43,MiscData!$AB$4:$ACB$113,2,FALSE)</f>
        <v>KUUM_446</v>
      </c>
      <c r="AL43" s="190" t="str">
        <f>VLOOKUP(AM43,MiscData!$AB$4:$AE$115,4,FALSE)</f>
        <v>RLS</v>
      </c>
      <c r="AM43">
        <f>IF(AM42=MiscData!$AB$91,1,AM42+1)</f>
        <v>42</v>
      </c>
    </row>
    <row r="44" spans="1:39">
      <c r="A44" s="7">
        <f t="shared" si="24"/>
        <v>43</v>
      </c>
      <c r="B44" s="13" t="str">
        <f t="shared" si="0"/>
        <v>Jan 2016</v>
      </c>
      <c r="C44" s="23" t="str">
        <f t="shared" si="1"/>
        <v>RLS</v>
      </c>
      <c r="D44" s="23" t="str">
        <f t="shared" si="2"/>
        <v>KUUM_447</v>
      </c>
      <c r="E44" s="170">
        <f t="shared" si="3"/>
        <v>728</v>
      </c>
      <c r="F44" s="185"/>
      <c r="G44" s="170">
        <f t="shared" si="4"/>
        <v>0</v>
      </c>
      <c r="H44" s="170">
        <v>0</v>
      </c>
      <c r="I44" s="11">
        <f t="shared" si="18"/>
        <v>11.32</v>
      </c>
      <c r="J44" s="11">
        <f t="shared" si="5"/>
        <v>2.8400000000000016</v>
      </c>
      <c r="K44" s="416">
        <f t="shared" si="19"/>
        <v>8240.9599999999991</v>
      </c>
      <c r="L44" s="180"/>
      <c r="M44" s="180"/>
      <c r="N44" s="182">
        <f t="shared" si="6"/>
        <v>8240.9599999999991</v>
      </c>
      <c r="O44" s="29">
        <f t="shared" si="7"/>
        <v>0</v>
      </c>
      <c r="P44" s="181">
        <f t="shared" si="20"/>
        <v>0</v>
      </c>
      <c r="Q44" s="182">
        <f t="shared" si="8"/>
        <v>0</v>
      </c>
      <c r="R44" s="182">
        <f t="shared" si="9"/>
        <v>0</v>
      </c>
      <c r="S44" s="182">
        <f t="shared" si="10"/>
        <v>0</v>
      </c>
      <c r="T44" s="182">
        <f t="shared" si="11"/>
        <v>0</v>
      </c>
      <c r="U44" s="182">
        <f t="shared" si="12"/>
        <v>0</v>
      </c>
      <c r="V44" s="14">
        <f t="shared" si="13"/>
        <v>8240.9599999999991</v>
      </c>
      <c r="W44" s="14">
        <f t="shared" si="14"/>
        <v>-8240.9599999999991</v>
      </c>
      <c r="Y44" s="14">
        <f t="shared" si="21"/>
        <v>2067.52</v>
      </c>
      <c r="Z44" s="14">
        <f t="shared" si="22"/>
        <v>-2067.52</v>
      </c>
      <c r="AA44" s="11">
        <f t="shared" si="15"/>
        <v>0.44</v>
      </c>
      <c r="AB44" s="9">
        <f t="shared" si="23"/>
        <v>320.32</v>
      </c>
      <c r="AD44" s="13">
        <f>IF(AH44&gt;AH43,AD43,IF(AD43&lt;MiscData!$F$1,EOMONTH(AD43,1),EOMONTH(AD43,-11)))</f>
        <v>42400</v>
      </c>
      <c r="AE44" s="7" t="str">
        <f t="shared" si="16"/>
        <v>20140101KUUM_447</v>
      </c>
      <c r="AF44" s="12" t="str">
        <f t="shared" si="17"/>
        <v>20140101RLS</v>
      </c>
      <c r="AG44" s="31"/>
      <c r="AH44">
        <f>IF(AH43=MiscData!$AB$91,1,AH43+1)</f>
        <v>43</v>
      </c>
      <c r="AI44">
        <f>IF(AD44&lt;=MiscData!$B$23,MiscData!$C$23,IF(AD44&lt;=MiscData!$B$24,MiscData!$C$24,MiscData!$C$25))</f>
        <v>20140101</v>
      </c>
      <c r="AK44" s="190" t="str">
        <f>VLOOKUP(AM44,MiscData!$AB$4:$ACB$113,2,FALSE)</f>
        <v>KUUM_447</v>
      </c>
      <c r="AL44" s="190" t="str">
        <f>VLOOKUP(AM44,MiscData!$AB$4:$AE$115,4,FALSE)</f>
        <v>RLS</v>
      </c>
      <c r="AM44">
        <f>IF(AM43=MiscData!$AB$91,1,AM43+1)</f>
        <v>43</v>
      </c>
    </row>
    <row r="45" spans="1:39">
      <c r="A45" s="7">
        <f t="shared" si="24"/>
        <v>44</v>
      </c>
      <c r="B45" s="13" t="str">
        <f t="shared" si="0"/>
        <v>Jan 2016</v>
      </c>
      <c r="C45" s="23" t="str">
        <f t="shared" si="1"/>
        <v>RLS</v>
      </c>
      <c r="D45" s="23" t="str">
        <f t="shared" si="2"/>
        <v>KUUM_448</v>
      </c>
      <c r="E45" s="170">
        <f t="shared" si="3"/>
        <v>1476</v>
      </c>
      <c r="F45" s="185"/>
      <c r="G45" s="170">
        <f t="shared" si="4"/>
        <v>0</v>
      </c>
      <c r="H45" s="170">
        <v>0</v>
      </c>
      <c r="I45" s="11">
        <f t="shared" si="18"/>
        <v>12.809999999999999</v>
      </c>
      <c r="J45" s="11">
        <f t="shared" si="5"/>
        <v>4.37</v>
      </c>
      <c r="K45" s="416">
        <f t="shared" si="19"/>
        <v>18907.560000000001</v>
      </c>
      <c r="L45" s="180"/>
      <c r="M45" s="180"/>
      <c r="N45" s="182">
        <f t="shared" si="6"/>
        <v>18907.560000000001</v>
      </c>
      <c r="O45" s="29">
        <f t="shared" si="7"/>
        <v>0</v>
      </c>
      <c r="P45" s="181">
        <f t="shared" si="20"/>
        <v>0</v>
      </c>
      <c r="Q45" s="182">
        <f t="shared" si="8"/>
        <v>0</v>
      </c>
      <c r="R45" s="182">
        <f t="shared" si="9"/>
        <v>0</v>
      </c>
      <c r="S45" s="182">
        <f t="shared" si="10"/>
        <v>0</v>
      </c>
      <c r="T45" s="182">
        <f t="shared" si="11"/>
        <v>0</v>
      </c>
      <c r="U45" s="182">
        <f t="shared" si="12"/>
        <v>0</v>
      </c>
      <c r="V45" s="14">
        <f t="shared" si="13"/>
        <v>18907.560000000001</v>
      </c>
      <c r="W45" s="14">
        <f t="shared" si="14"/>
        <v>-18907.560000000001</v>
      </c>
      <c r="Y45" s="14">
        <f t="shared" si="21"/>
        <v>6450.12</v>
      </c>
      <c r="Z45" s="14">
        <f t="shared" si="22"/>
        <v>-6450.12</v>
      </c>
      <c r="AA45" s="11">
        <f t="shared" si="15"/>
        <v>0.51</v>
      </c>
      <c r="AB45" s="9">
        <f t="shared" si="23"/>
        <v>752.76</v>
      </c>
      <c r="AD45" s="13">
        <f>IF(AH45&gt;AH44,AD44,IF(AD44&lt;MiscData!$F$1,EOMONTH(AD44,1),EOMONTH(AD44,-11)))</f>
        <v>42400</v>
      </c>
      <c r="AE45" s="7" t="str">
        <f t="shared" si="16"/>
        <v>20140101KUUM_448</v>
      </c>
      <c r="AF45" s="12" t="str">
        <f t="shared" si="17"/>
        <v>20140101RLS</v>
      </c>
      <c r="AG45" s="31"/>
      <c r="AH45">
        <f>IF(AH44=MiscData!$AB$91,1,AH44+1)</f>
        <v>44</v>
      </c>
      <c r="AI45">
        <f>IF(AD45&lt;=MiscData!$B$23,MiscData!$C$23,IF(AD45&lt;=MiscData!$B$24,MiscData!$C$24,MiscData!$C$25))</f>
        <v>20140101</v>
      </c>
      <c r="AK45" s="190" t="str">
        <f>VLOOKUP(AM45,MiscData!$AB$4:$ACB$113,2,FALSE)</f>
        <v>KUUM_448</v>
      </c>
      <c r="AL45" s="190" t="str">
        <f>VLOOKUP(AM45,MiscData!$AB$4:$AE$115,4,FALSE)</f>
        <v>RLS</v>
      </c>
      <c r="AM45">
        <f>IF(AM44=MiscData!$AB$91,1,AM44+1)</f>
        <v>44</v>
      </c>
    </row>
    <row r="46" spans="1:39">
      <c r="A46" s="7">
        <f t="shared" si="24"/>
        <v>45</v>
      </c>
      <c r="B46" s="13" t="str">
        <f t="shared" si="0"/>
        <v>Jan 2016</v>
      </c>
      <c r="C46" s="23" t="str">
        <f t="shared" si="1"/>
        <v>LS</v>
      </c>
      <c r="D46" s="23" t="str">
        <f t="shared" si="2"/>
        <v>KUUM_450</v>
      </c>
      <c r="E46" s="170">
        <f t="shared" si="3"/>
        <v>646</v>
      </c>
      <c r="F46" s="185"/>
      <c r="G46" s="170">
        <f t="shared" si="4"/>
        <v>0</v>
      </c>
      <c r="H46" s="170">
        <v>0</v>
      </c>
      <c r="I46" s="11">
        <f t="shared" si="18"/>
        <v>14.25</v>
      </c>
      <c r="J46" s="11">
        <f t="shared" si="5"/>
        <v>1.9699999999999989</v>
      </c>
      <c r="K46" s="416">
        <f t="shared" si="19"/>
        <v>9205.5</v>
      </c>
      <c r="L46" s="180"/>
      <c r="M46" s="180"/>
      <c r="N46" s="182">
        <f t="shared" si="6"/>
        <v>9205.5</v>
      </c>
      <c r="O46" s="29">
        <f t="shared" si="7"/>
        <v>0</v>
      </c>
      <c r="P46" s="181">
        <f t="shared" si="20"/>
        <v>0</v>
      </c>
      <c r="Q46" s="182">
        <f t="shared" si="8"/>
        <v>0</v>
      </c>
      <c r="R46" s="182">
        <f t="shared" si="9"/>
        <v>0</v>
      </c>
      <c r="S46" s="182">
        <f t="shared" si="10"/>
        <v>0</v>
      </c>
      <c r="T46" s="182">
        <f t="shared" si="11"/>
        <v>0</v>
      </c>
      <c r="U46" s="182">
        <f t="shared" si="12"/>
        <v>0</v>
      </c>
      <c r="V46" s="14">
        <f t="shared" si="13"/>
        <v>9205.5</v>
      </c>
      <c r="W46" s="14">
        <f t="shared" si="14"/>
        <v>-9205.5</v>
      </c>
      <c r="Y46" s="14">
        <f t="shared" si="21"/>
        <v>1272.6199999999999</v>
      </c>
      <c r="Z46" s="14">
        <f t="shared" si="22"/>
        <v>-1272.6199999999999</v>
      </c>
      <c r="AA46" s="11">
        <f t="shared" si="15"/>
        <v>0.66</v>
      </c>
      <c r="AB46" s="9">
        <f t="shared" si="23"/>
        <v>426.36</v>
      </c>
      <c r="AD46" s="13">
        <f>IF(AH46&gt;AH45,AD45,IF(AD45&lt;MiscData!$F$1,EOMONTH(AD45,1),EOMONTH(AD45,-11)))</f>
        <v>42400</v>
      </c>
      <c r="AE46" s="7" t="str">
        <f t="shared" si="16"/>
        <v>20140101KUUM_450</v>
      </c>
      <c r="AF46" s="12" t="str">
        <f t="shared" si="17"/>
        <v>20140101LS</v>
      </c>
      <c r="AG46" s="31"/>
      <c r="AH46">
        <f>IF(AH45=MiscData!$AB$91,1,AH45+1)</f>
        <v>45</v>
      </c>
      <c r="AI46">
        <f>IF(AD46&lt;=MiscData!$B$23,MiscData!$C$23,IF(AD46&lt;=MiscData!$B$24,MiscData!$C$24,MiscData!$C$25))</f>
        <v>20140101</v>
      </c>
      <c r="AK46" s="190" t="str">
        <f>VLOOKUP(AM46,MiscData!$AB$4:$ACB$113,2,FALSE)</f>
        <v>KUUM_450</v>
      </c>
      <c r="AL46" s="190" t="str">
        <f>VLOOKUP(AM46,MiscData!$AB$4:$AE$115,4,FALSE)</f>
        <v>LS</v>
      </c>
      <c r="AM46">
        <f>IF(AM45=MiscData!$AB$91,1,AM45+1)</f>
        <v>45</v>
      </c>
    </row>
    <row r="47" spans="1:39">
      <c r="A47" s="7">
        <f t="shared" si="24"/>
        <v>46</v>
      </c>
      <c r="B47" s="13" t="str">
        <f t="shared" si="0"/>
        <v>Jan 2016</v>
      </c>
      <c r="C47" s="23" t="str">
        <f t="shared" si="1"/>
        <v>LS</v>
      </c>
      <c r="D47" s="23" t="str">
        <f t="shared" si="2"/>
        <v>KUUM_451</v>
      </c>
      <c r="E47" s="170">
        <f t="shared" si="3"/>
        <v>5134</v>
      </c>
      <c r="F47" s="185"/>
      <c r="G47" s="170">
        <f t="shared" si="4"/>
        <v>0</v>
      </c>
      <c r="H47" s="170">
        <v>0</v>
      </c>
      <c r="I47" s="11">
        <f t="shared" si="18"/>
        <v>20.200000000000003</v>
      </c>
      <c r="J47" s="11">
        <f t="shared" si="5"/>
        <v>4.2900000000000027</v>
      </c>
      <c r="K47" s="416">
        <f t="shared" si="19"/>
        <v>103706.8</v>
      </c>
      <c r="L47" s="180"/>
      <c r="M47" s="180"/>
      <c r="N47" s="182">
        <f t="shared" si="6"/>
        <v>103706.8</v>
      </c>
      <c r="O47" s="29">
        <f t="shared" si="7"/>
        <v>0</v>
      </c>
      <c r="P47" s="181">
        <f t="shared" si="20"/>
        <v>0</v>
      </c>
      <c r="Q47" s="182">
        <f t="shared" si="8"/>
        <v>0</v>
      </c>
      <c r="R47" s="182">
        <f t="shared" si="9"/>
        <v>0</v>
      </c>
      <c r="S47" s="182">
        <f t="shared" si="10"/>
        <v>0</v>
      </c>
      <c r="T47" s="182">
        <f t="shared" si="11"/>
        <v>0</v>
      </c>
      <c r="U47" s="182">
        <f t="shared" si="12"/>
        <v>0</v>
      </c>
      <c r="V47" s="14">
        <f t="shared" si="13"/>
        <v>103706.8</v>
      </c>
      <c r="W47" s="14">
        <f t="shared" si="14"/>
        <v>-103706.8</v>
      </c>
      <c r="Y47" s="14">
        <f t="shared" si="21"/>
        <v>22024.86</v>
      </c>
      <c r="Z47" s="14">
        <f t="shared" si="22"/>
        <v>-22024.86</v>
      </c>
      <c r="AA47" s="11">
        <f t="shared" si="15"/>
        <v>0.84</v>
      </c>
      <c r="AB47" s="9">
        <f t="shared" si="23"/>
        <v>4312.5599999999995</v>
      </c>
      <c r="AD47" s="13">
        <f>IF(AH47&gt;AH46,AD46,IF(AD46&lt;MiscData!$F$1,EOMONTH(AD46,1),EOMONTH(AD46,-11)))</f>
        <v>42400</v>
      </c>
      <c r="AE47" s="7" t="str">
        <f t="shared" si="16"/>
        <v>20140101KUUM_451</v>
      </c>
      <c r="AF47" s="12" t="str">
        <f t="shared" si="17"/>
        <v>20140101LS</v>
      </c>
      <c r="AG47" s="31"/>
      <c r="AH47">
        <f>IF(AH46=MiscData!$AB$91,1,AH46+1)</f>
        <v>46</v>
      </c>
      <c r="AI47">
        <f>IF(AD47&lt;=MiscData!$B$23,MiscData!$C$23,IF(AD47&lt;=MiscData!$B$24,MiscData!$C$24,MiscData!$C$25))</f>
        <v>20140101</v>
      </c>
      <c r="AK47" s="190" t="str">
        <f>VLOOKUP(AM47,MiscData!$AB$4:$ACB$113,2,FALSE)</f>
        <v>KUUM_451</v>
      </c>
      <c r="AL47" s="190" t="str">
        <f>VLOOKUP(AM47,MiscData!$AB$4:$AE$115,4,FALSE)</f>
        <v>LS</v>
      </c>
      <c r="AM47">
        <f>IF(AM46=MiscData!$AB$91,1,AM46+1)</f>
        <v>46</v>
      </c>
    </row>
    <row r="48" spans="1:39">
      <c r="A48" s="7">
        <f t="shared" si="24"/>
        <v>47</v>
      </c>
      <c r="B48" s="13" t="str">
        <f t="shared" si="0"/>
        <v>Jan 2016</v>
      </c>
      <c r="C48" s="23" t="str">
        <f t="shared" si="1"/>
        <v>LS</v>
      </c>
      <c r="D48" s="23" t="str">
        <f t="shared" si="2"/>
        <v>KUUM_452</v>
      </c>
      <c r="E48" s="170">
        <f t="shared" si="3"/>
        <v>1057</v>
      </c>
      <c r="F48" s="185"/>
      <c r="G48" s="170">
        <f t="shared" si="4"/>
        <v>0</v>
      </c>
      <c r="H48" s="170">
        <v>0</v>
      </c>
      <c r="I48" s="11">
        <f t="shared" si="18"/>
        <v>42.350000000000009</v>
      </c>
      <c r="J48" s="11">
        <f t="shared" si="5"/>
        <v>10.410000000000004</v>
      </c>
      <c r="K48" s="416">
        <f t="shared" si="19"/>
        <v>44763.95</v>
      </c>
      <c r="L48" s="180"/>
      <c r="M48" s="180"/>
      <c r="N48" s="182">
        <f t="shared" si="6"/>
        <v>44763.95</v>
      </c>
      <c r="O48" s="29">
        <f t="shared" si="7"/>
        <v>0</v>
      </c>
      <c r="P48" s="181">
        <f t="shared" si="20"/>
        <v>0</v>
      </c>
      <c r="Q48" s="182">
        <f t="shared" si="8"/>
        <v>0</v>
      </c>
      <c r="R48" s="182">
        <f t="shared" si="9"/>
        <v>0</v>
      </c>
      <c r="S48" s="182">
        <f t="shared" si="10"/>
        <v>0</v>
      </c>
      <c r="T48" s="182">
        <f t="shared" si="11"/>
        <v>0</v>
      </c>
      <c r="U48" s="182">
        <f t="shared" si="12"/>
        <v>0</v>
      </c>
      <c r="V48" s="14">
        <f t="shared" si="13"/>
        <v>44763.95</v>
      </c>
      <c r="W48" s="14">
        <f t="shared" si="14"/>
        <v>-44763.95</v>
      </c>
      <c r="Y48" s="14">
        <f t="shared" si="21"/>
        <v>11003.37</v>
      </c>
      <c r="Z48" s="14">
        <f t="shared" si="22"/>
        <v>-11003.37</v>
      </c>
      <c r="AA48" s="11">
        <f t="shared" si="15"/>
        <v>1.7</v>
      </c>
      <c r="AB48" s="9">
        <f t="shared" si="23"/>
        <v>1796.8999999999999</v>
      </c>
      <c r="AD48" s="13">
        <f>IF(AH48&gt;AH47,AD47,IF(AD47&lt;MiscData!$F$1,EOMONTH(AD47,1),EOMONTH(AD47,-11)))</f>
        <v>42400</v>
      </c>
      <c r="AE48" s="7" t="str">
        <f t="shared" si="16"/>
        <v>20140101KUUM_452</v>
      </c>
      <c r="AF48" s="12" t="str">
        <f t="shared" si="17"/>
        <v>20140101LS</v>
      </c>
      <c r="AG48" s="31"/>
      <c r="AH48">
        <f>IF(AH47=MiscData!$AB$91,1,AH47+1)</f>
        <v>47</v>
      </c>
      <c r="AI48">
        <f>IF(AD48&lt;=MiscData!$B$23,MiscData!$C$23,IF(AD48&lt;=MiscData!$B$24,MiscData!$C$24,MiscData!$C$25))</f>
        <v>20140101</v>
      </c>
      <c r="AK48" s="190" t="str">
        <f>VLOOKUP(AM48,MiscData!$AB$4:$ACB$113,2,FALSE)</f>
        <v>KUUM_452</v>
      </c>
      <c r="AL48" s="190" t="str">
        <f>VLOOKUP(AM48,MiscData!$AB$4:$AE$115,4,FALSE)</f>
        <v>LS</v>
      </c>
      <c r="AM48">
        <f>IF(AM47=MiscData!$AB$91,1,AM47+1)</f>
        <v>47</v>
      </c>
    </row>
    <row r="49" spans="1:39">
      <c r="A49" s="7">
        <f t="shared" si="24"/>
        <v>48</v>
      </c>
      <c r="B49" s="13" t="str">
        <f t="shared" si="0"/>
        <v>Jan 2016</v>
      </c>
      <c r="C49" s="23" t="str">
        <f t="shared" si="1"/>
        <v>RLS</v>
      </c>
      <c r="D49" s="23" t="str">
        <f t="shared" si="2"/>
        <v>KUUM_454</v>
      </c>
      <c r="E49" s="170">
        <f t="shared" si="3"/>
        <v>150</v>
      </c>
      <c r="F49" s="185"/>
      <c r="G49" s="170">
        <f t="shared" si="4"/>
        <v>0</v>
      </c>
      <c r="H49" s="170">
        <v>0</v>
      </c>
      <c r="I49" s="11">
        <f t="shared" si="18"/>
        <v>18.649999999999999</v>
      </c>
      <c r="J49" s="11">
        <f t="shared" si="5"/>
        <v>1.9699999999999989</v>
      </c>
      <c r="K49" s="416">
        <f t="shared" si="19"/>
        <v>2797.5</v>
      </c>
      <c r="L49" s="180"/>
      <c r="M49" s="180"/>
      <c r="N49" s="182">
        <f t="shared" si="6"/>
        <v>2797.5</v>
      </c>
      <c r="O49" s="29">
        <f t="shared" si="7"/>
        <v>0</v>
      </c>
      <c r="P49" s="181">
        <f t="shared" si="20"/>
        <v>0</v>
      </c>
      <c r="Q49" s="182">
        <f t="shared" si="8"/>
        <v>0</v>
      </c>
      <c r="R49" s="182">
        <f t="shared" si="9"/>
        <v>0</v>
      </c>
      <c r="S49" s="182">
        <f t="shared" si="10"/>
        <v>0</v>
      </c>
      <c r="T49" s="182">
        <f t="shared" si="11"/>
        <v>0</v>
      </c>
      <c r="U49" s="182">
        <f t="shared" si="12"/>
        <v>0</v>
      </c>
      <c r="V49" s="14">
        <f t="shared" si="13"/>
        <v>2797.5</v>
      </c>
      <c r="W49" s="14">
        <f t="shared" si="14"/>
        <v>-2797.5</v>
      </c>
      <c r="Y49" s="14">
        <f t="shared" si="21"/>
        <v>295.5</v>
      </c>
      <c r="Z49" s="14">
        <f t="shared" si="22"/>
        <v>-295.5</v>
      </c>
      <c r="AA49" s="11">
        <f t="shared" si="15"/>
        <v>0.66</v>
      </c>
      <c r="AB49" s="9">
        <f t="shared" si="23"/>
        <v>99</v>
      </c>
      <c r="AD49" s="13">
        <f>IF(AH49&gt;AH48,AD48,IF(AD48&lt;MiscData!$F$1,EOMONTH(AD48,1),EOMONTH(AD48,-11)))</f>
        <v>42400</v>
      </c>
      <c r="AE49" s="7" t="str">
        <f t="shared" si="16"/>
        <v>20140101KUUM_454</v>
      </c>
      <c r="AF49" s="12" t="str">
        <f t="shared" si="17"/>
        <v>20140101RLS</v>
      </c>
      <c r="AG49" s="31"/>
      <c r="AH49">
        <f>IF(AH48=MiscData!$AB$91,1,AH48+1)</f>
        <v>48</v>
      </c>
      <c r="AI49">
        <f>IF(AD49&lt;=MiscData!$B$23,MiscData!$C$23,IF(AD49&lt;=MiscData!$B$24,MiscData!$C$24,MiscData!$C$25))</f>
        <v>20140101</v>
      </c>
      <c r="AK49" s="190" t="str">
        <f>VLOOKUP(AM49,MiscData!$AB$4:$ACB$113,2,FALSE)</f>
        <v>KUUM_454</v>
      </c>
      <c r="AL49" s="190" t="str">
        <f>VLOOKUP(AM49,MiscData!$AB$4:$AE$115,4,FALSE)</f>
        <v>RLS</v>
      </c>
      <c r="AM49">
        <f>IF(AM48=MiscData!$AB$91,1,AM48+1)</f>
        <v>48</v>
      </c>
    </row>
    <row r="50" spans="1:39">
      <c r="A50" s="7">
        <f t="shared" si="24"/>
        <v>49</v>
      </c>
      <c r="B50" s="13" t="str">
        <f t="shared" si="0"/>
        <v>Jan 2016</v>
      </c>
      <c r="C50" s="23" t="str">
        <f t="shared" si="1"/>
        <v>RLS</v>
      </c>
      <c r="D50" s="23" t="str">
        <f t="shared" si="2"/>
        <v>KUUM_455</v>
      </c>
      <c r="E50" s="170">
        <f t="shared" si="3"/>
        <v>1024</v>
      </c>
      <c r="F50" s="185"/>
      <c r="G50" s="170">
        <f t="shared" si="4"/>
        <v>0</v>
      </c>
      <c r="H50" s="170">
        <v>0</v>
      </c>
      <c r="I50" s="11">
        <f t="shared" si="18"/>
        <v>24.59</v>
      </c>
      <c r="J50" s="11">
        <f t="shared" si="5"/>
        <v>4.2899999999999991</v>
      </c>
      <c r="K50" s="416">
        <f t="shared" si="19"/>
        <v>25180.16</v>
      </c>
      <c r="L50" s="180"/>
      <c r="M50" s="180"/>
      <c r="N50" s="182">
        <f t="shared" si="6"/>
        <v>25180.16</v>
      </c>
      <c r="O50" s="29">
        <f t="shared" si="7"/>
        <v>0</v>
      </c>
      <c r="P50" s="181">
        <f t="shared" si="20"/>
        <v>0</v>
      </c>
      <c r="Q50" s="182">
        <f t="shared" si="8"/>
        <v>0</v>
      </c>
      <c r="R50" s="182">
        <f t="shared" si="9"/>
        <v>0</v>
      </c>
      <c r="S50" s="182">
        <f t="shared" si="10"/>
        <v>0</v>
      </c>
      <c r="T50" s="182">
        <f t="shared" si="11"/>
        <v>0</v>
      </c>
      <c r="U50" s="182">
        <f t="shared" si="12"/>
        <v>0</v>
      </c>
      <c r="V50" s="14">
        <f t="shared" si="13"/>
        <v>25180.16</v>
      </c>
      <c r="W50" s="14">
        <f t="shared" si="14"/>
        <v>-25180.16</v>
      </c>
      <c r="Y50" s="14">
        <f t="shared" si="21"/>
        <v>4392.96</v>
      </c>
      <c r="Z50" s="14">
        <f t="shared" si="22"/>
        <v>-4392.96</v>
      </c>
      <c r="AA50" s="11">
        <f t="shared" si="15"/>
        <v>0.84</v>
      </c>
      <c r="AB50" s="9">
        <f t="shared" si="23"/>
        <v>860.16</v>
      </c>
      <c r="AD50" s="13">
        <f>IF(AH50&gt;AH49,AD49,IF(AD49&lt;MiscData!$F$1,EOMONTH(AD49,1),EOMONTH(AD49,-11)))</f>
        <v>42400</v>
      </c>
      <c r="AE50" s="7" t="str">
        <f t="shared" si="16"/>
        <v>20140101KUUM_455</v>
      </c>
      <c r="AF50" s="12" t="str">
        <f t="shared" si="17"/>
        <v>20140101RLS</v>
      </c>
      <c r="AG50" s="31"/>
      <c r="AH50">
        <f>IF(AH49=MiscData!$AB$91,1,AH49+1)</f>
        <v>49</v>
      </c>
      <c r="AI50">
        <f>IF(AD50&lt;=MiscData!$B$23,MiscData!$C$23,IF(AD50&lt;=MiscData!$B$24,MiscData!$C$24,MiscData!$C$25))</f>
        <v>20140101</v>
      </c>
      <c r="AK50" s="190" t="str">
        <f>VLOOKUP(AM50,MiscData!$AB$4:$ACB$113,2,FALSE)</f>
        <v>KUUM_455</v>
      </c>
      <c r="AL50" s="190" t="str">
        <f>VLOOKUP(AM50,MiscData!$AB$4:$AE$115,4,FALSE)</f>
        <v>RLS</v>
      </c>
      <c r="AM50">
        <f>IF(AM49=MiscData!$AB$91,1,AM49+1)</f>
        <v>49</v>
      </c>
    </row>
    <row r="51" spans="1:39">
      <c r="A51" s="7">
        <f t="shared" si="24"/>
        <v>50</v>
      </c>
      <c r="B51" s="13" t="str">
        <f t="shared" si="0"/>
        <v>Jan 2016</v>
      </c>
      <c r="C51" s="23" t="str">
        <f t="shared" si="1"/>
        <v>RLS</v>
      </c>
      <c r="D51" s="23" t="str">
        <f t="shared" si="2"/>
        <v>KUUM_456</v>
      </c>
      <c r="E51" s="170">
        <f t="shared" si="3"/>
        <v>139</v>
      </c>
      <c r="F51" s="185"/>
      <c r="G51" s="170">
        <f t="shared" si="4"/>
        <v>0</v>
      </c>
      <c r="H51" s="170">
        <v>0</v>
      </c>
      <c r="I51" s="11">
        <f t="shared" si="18"/>
        <v>11.870000000000001</v>
      </c>
      <c r="J51" s="11">
        <f t="shared" si="5"/>
        <v>1.9900000000000002</v>
      </c>
      <c r="K51" s="416">
        <f t="shared" si="19"/>
        <v>1649.93</v>
      </c>
      <c r="L51" s="180"/>
      <c r="M51" s="180"/>
      <c r="N51" s="182">
        <f t="shared" si="6"/>
        <v>1649.93</v>
      </c>
      <c r="O51" s="29">
        <f t="shared" si="7"/>
        <v>0</v>
      </c>
      <c r="P51" s="181">
        <f t="shared" si="20"/>
        <v>0</v>
      </c>
      <c r="Q51" s="182">
        <f t="shared" si="8"/>
        <v>0</v>
      </c>
      <c r="R51" s="182">
        <f t="shared" si="9"/>
        <v>0</v>
      </c>
      <c r="S51" s="182">
        <f t="shared" si="10"/>
        <v>0</v>
      </c>
      <c r="T51" s="182">
        <f t="shared" si="11"/>
        <v>0</v>
      </c>
      <c r="U51" s="182">
        <f t="shared" si="12"/>
        <v>0</v>
      </c>
      <c r="V51" s="14">
        <f t="shared" si="13"/>
        <v>1649.93</v>
      </c>
      <c r="W51" s="14">
        <f t="shared" si="14"/>
        <v>-1649.93</v>
      </c>
      <c r="Y51" s="14">
        <f t="shared" si="21"/>
        <v>276.61</v>
      </c>
      <c r="Z51" s="14">
        <f t="shared" si="22"/>
        <v>-276.61</v>
      </c>
      <c r="AA51" s="11">
        <f t="shared" si="15"/>
        <v>0.39</v>
      </c>
      <c r="AB51" s="9">
        <f t="shared" si="23"/>
        <v>54.21</v>
      </c>
      <c r="AD51" s="13">
        <f>IF(AH51&gt;AH50,AD50,IF(AD50&lt;MiscData!$F$1,EOMONTH(AD50,1),EOMONTH(AD50,-11)))</f>
        <v>42400</v>
      </c>
      <c r="AE51" s="7" t="str">
        <f t="shared" si="16"/>
        <v>20140101KUUM_456</v>
      </c>
      <c r="AF51" s="12" t="str">
        <f t="shared" si="17"/>
        <v>20140101RLS</v>
      </c>
      <c r="AG51" s="31"/>
      <c r="AH51">
        <f>IF(AH50=MiscData!$AB$91,1,AH50+1)</f>
        <v>50</v>
      </c>
      <c r="AI51">
        <f>IF(AD51&lt;=MiscData!$B$23,MiscData!$C$23,IF(AD51&lt;=MiscData!$B$24,MiscData!$C$24,MiscData!$C$25))</f>
        <v>20140101</v>
      </c>
      <c r="AK51" s="190" t="str">
        <f>VLOOKUP(AM51,MiscData!$AB$4:$ACB$113,2,FALSE)</f>
        <v>KUUM_456</v>
      </c>
      <c r="AL51" s="190" t="str">
        <f>VLOOKUP(AM51,MiscData!$AB$4:$AE$115,4,FALSE)</f>
        <v>RLS</v>
      </c>
      <c r="AM51">
        <f>IF(AM50=MiscData!$AB$91,1,AM50+1)</f>
        <v>50</v>
      </c>
    </row>
    <row r="52" spans="1:39">
      <c r="A52" s="7">
        <f t="shared" si="24"/>
        <v>51</v>
      </c>
      <c r="B52" s="13" t="str">
        <f t="shared" si="0"/>
        <v>Jan 2016</v>
      </c>
      <c r="C52" s="23" t="str">
        <f t="shared" si="1"/>
        <v>RLS</v>
      </c>
      <c r="D52" s="23" t="str">
        <f t="shared" si="2"/>
        <v>KUUM_457</v>
      </c>
      <c r="E52" s="170">
        <f t="shared" si="3"/>
        <v>439</v>
      </c>
      <c r="F52" s="185"/>
      <c r="G52" s="170">
        <f t="shared" si="4"/>
        <v>0</v>
      </c>
      <c r="H52" s="170">
        <v>0</v>
      </c>
      <c r="I52" s="11">
        <f t="shared" si="18"/>
        <v>13.360000000000001</v>
      </c>
      <c r="J52" s="11">
        <f t="shared" si="5"/>
        <v>2.84</v>
      </c>
      <c r="K52" s="416">
        <f t="shared" si="19"/>
        <v>5865.04</v>
      </c>
      <c r="L52" s="180"/>
      <c r="M52" s="180"/>
      <c r="N52" s="182">
        <f t="shared" si="6"/>
        <v>5865.04</v>
      </c>
      <c r="O52" s="29">
        <f t="shared" si="7"/>
        <v>0</v>
      </c>
      <c r="P52" s="181">
        <f t="shared" si="20"/>
        <v>0</v>
      </c>
      <c r="Q52" s="182">
        <f t="shared" si="8"/>
        <v>0</v>
      </c>
      <c r="R52" s="182">
        <f t="shared" si="9"/>
        <v>0</v>
      </c>
      <c r="S52" s="182">
        <f t="shared" si="10"/>
        <v>0</v>
      </c>
      <c r="T52" s="182">
        <f t="shared" si="11"/>
        <v>0</v>
      </c>
      <c r="U52" s="182">
        <f t="shared" si="12"/>
        <v>0</v>
      </c>
      <c r="V52" s="14">
        <f t="shared" si="13"/>
        <v>5865.04</v>
      </c>
      <c r="W52" s="14">
        <f t="shared" si="14"/>
        <v>-5865.04</v>
      </c>
      <c r="Y52" s="14">
        <f t="shared" si="21"/>
        <v>1246.76</v>
      </c>
      <c r="Z52" s="14">
        <f t="shared" si="22"/>
        <v>-1246.76</v>
      </c>
      <c r="AA52" s="11">
        <f t="shared" si="15"/>
        <v>0.44</v>
      </c>
      <c r="AB52" s="9">
        <f t="shared" si="23"/>
        <v>193.16</v>
      </c>
      <c r="AD52" s="13">
        <f>IF(AH52&gt;AH51,AD51,IF(AD51&lt;MiscData!$F$1,EOMONTH(AD51,1),EOMONTH(AD51,-11)))</f>
        <v>42400</v>
      </c>
      <c r="AE52" s="7" t="str">
        <f t="shared" si="16"/>
        <v>20140101KUUM_457</v>
      </c>
      <c r="AF52" s="12" t="str">
        <f t="shared" si="17"/>
        <v>20140101RLS</v>
      </c>
      <c r="AG52" s="31"/>
      <c r="AH52">
        <f>IF(AH51=MiscData!$AB$91,1,AH51+1)</f>
        <v>51</v>
      </c>
      <c r="AI52">
        <f>IF(AD52&lt;=MiscData!$B$23,MiscData!$C$23,IF(AD52&lt;=MiscData!$B$24,MiscData!$C$24,MiscData!$C$25))</f>
        <v>20140101</v>
      </c>
      <c r="AK52" s="190" t="str">
        <f>VLOOKUP(AM52,MiscData!$AB$4:$ACB$113,2,FALSE)</f>
        <v>KUUM_457</v>
      </c>
      <c r="AL52" s="190" t="str">
        <f>VLOOKUP(AM52,MiscData!$AB$4:$AE$115,4,FALSE)</f>
        <v>RLS</v>
      </c>
      <c r="AM52">
        <f>IF(AM51=MiscData!$AB$91,1,AM51+1)</f>
        <v>51</v>
      </c>
    </row>
    <row r="53" spans="1:39">
      <c r="A53" s="7">
        <f t="shared" si="24"/>
        <v>52</v>
      </c>
      <c r="B53" s="13" t="str">
        <f t="shared" si="0"/>
        <v>Jan 2016</v>
      </c>
      <c r="C53" s="23" t="str">
        <f t="shared" si="1"/>
        <v>RLS</v>
      </c>
      <c r="D53" s="23" t="str">
        <f t="shared" si="2"/>
        <v>KUUM_458</v>
      </c>
      <c r="E53" s="170">
        <f t="shared" si="3"/>
        <v>1471</v>
      </c>
      <c r="F53" s="185"/>
      <c r="G53" s="170">
        <f t="shared" si="4"/>
        <v>0</v>
      </c>
      <c r="H53" s="170">
        <v>0</v>
      </c>
      <c r="I53" s="11">
        <f t="shared" si="18"/>
        <v>15.079999999999998</v>
      </c>
      <c r="J53" s="11">
        <f t="shared" si="5"/>
        <v>4.3699999999999992</v>
      </c>
      <c r="K53" s="416">
        <f t="shared" si="19"/>
        <v>22182.68</v>
      </c>
      <c r="L53" s="180"/>
      <c r="M53" s="180"/>
      <c r="N53" s="182">
        <f t="shared" si="6"/>
        <v>22182.68</v>
      </c>
      <c r="O53" s="29">
        <f t="shared" si="7"/>
        <v>0</v>
      </c>
      <c r="P53" s="181">
        <f t="shared" si="20"/>
        <v>0</v>
      </c>
      <c r="Q53" s="182">
        <f t="shared" si="8"/>
        <v>0</v>
      </c>
      <c r="R53" s="182">
        <f t="shared" si="9"/>
        <v>0</v>
      </c>
      <c r="S53" s="182">
        <f t="shared" si="10"/>
        <v>0</v>
      </c>
      <c r="T53" s="182">
        <f t="shared" si="11"/>
        <v>0</v>
      </c>
      <c r="U53" s="182">
        <f t="shared" si="12"/>
        <v>0</v>
      </c>
      <c r="V53" s="14">
        <f t="shared" si="13"/>
        <v>22182.68</v>
      </c>
      <c r="W53" s="14">
        <f t="shared" si="14"/>
        <v>-22182.68</v>
      </c>
      <c r="Y53" s="14">
        <f t="shared" si="21"/>
        <v>6428.27</v>
      </c>
      <c r="Z53" s="14">
        <f t="shared" si="22"/>
        <v>-6428.27</v>
      </c>
      <c r="AA53" s="11">
        <f t="shared" si="15"/>
        <v>0.51</v>
      </c>
      <c r="AB53" s="9">
        <f t="shared" si="23"/>
        <v>750.21</v>
      </c>
      <c r="AD53" s="13">
        <f>IF(AH53&gt;AH52,AD52,IF(AD52&lt;MiscData!$F$1,EOMONTH(AD52,1),EOMONTH(AD52,-11)))</f>
        <v>42400</v>
      </c>
      <c r="AE53" s="7" t="str">
        <f t="shared" si="16"/>
        <v>20140101KUUM_458</v>
      </c>
      <c r="AF53" s="12" t="str">
        <f t="shared" si="17"/>
        <v>20140101RLS</v>
      </c>
      <c r="AG53" s="31"/>
      <c r="AH53">
        <f>IF(AH52=MiscData!$AB$91,1,AH52+1)</f>
        <v>52</v>
      </c>
      <c r="AI53">
        <f>IF(AD53&lt;=MiscData!$B$23,MiscData!$C$23,IF(AD53&lt;=MiscData!$B$24,MiscData!$C$24,MiscData!$C$25))</f>
        <v>20140101</v>
      </c>
      <c r="AK53" s="190" t="str">
        <f>VLOOKUP(AM53,MiscData!$AB$4:$ACB$113,2,FALSE)</f>
        <v>KUUM_458</v>
      </c>
      <c r="AL53" s="190" t="str">
        <f>VLOOKUP(AM53,MiscData!$AB$4:$AE$115,4,FALSE)</f>
        <v>RLS</v>
      </c>
      <c r="AM53">
        <f>IF(AM52=MiscData!$AB$91,1,AM52+1)</f>
        <v>52</v>
      </c>
    </row>
    <row r="54" spans="1:39">
      <c r="A54" s="7">
        <f t="shared" si="24"/>
        <v>53</v>
      </c>
      <c r="B54" s="13" t="str">
        <f t="shared" si="0"/>
        <v>Jan 2016</v>
      </c>
      <c r="C54" s="23" t="str">
        <f t="shared" si="1"/>
        <v>RLS</v>
      </c>
      <c r="D54" s="23" t="str">
        <f t="shared" si="2"/>
        <v>KUUM_459</v>
      </c>
      <c r="E54" s="170">
        <f t="shared" si="3"/>
        <v>231</v>
      </c>
      <c r="F54" s="185"/>
      <c r="G54" s="170">
        <f t="shared" si="4"/>
        <v>0</v>
      </c>
      <c r="H54" s="170">
        <v>0</v>
      </c>
      <c r="I54" s="11">
        <f t="shared" si="18"/>
        <v>46.740000000000009</v>
      </c>
      <c r="J54" s="11">
        <f t="shared" si="5"/>
        <v>10.410000000000004</v>
      </c>
      <c r="K54" s="416">
        <f t="shared" si="19"/>
        <v>10796.94</v>
      </c>
      <c r="L54" s="180"/>
      <c r="M54" s="180"/>
      <c r="N54" s="182">
        <f t="shared" si="6"/>
        <v>10796.94</v>
      </c>
      <c r="O54" s="29">
        <f t="shared" si="7"/>
        <v>0</v>
      </c>
      <c r="P54" s="181">
        <f t="shared" si="20"/>
        <v>0</v>
      </c>
      <c r="Q54" s="182">
        <f t="shared" si="8"/>
        <v>0</v>
      </c>
      <c r="R54" s="182">
        <f t="shared" si="9"/>
        <v>0</v>
      </c>
      <c r="S54" s="182">
        <f t="shared" si="10"/>
        <v>0</v>
      </c>
      <c r="T54" s="182">
        <f t="shared" si="11"/>
        <v>0</v>
      </c>
      <c r="U54" s="182">
        <f t="shared" si="12"/>
        <v>0</v>
      </c>
      <c r="V54" s="14">
        <f t="shared" si="13"/>
        <v>10796.94</v>
      </c>
      <c r="W54" s="14">
        <f t="shared" si="14"/>
        <v>-10796.94</v>
      </c>
      <c r="Y54" s="14">
        <f t="shared" si="21"/>
        <v>2404.71</v>
      </c>
      <c r="Z54" s="14">
        <f t="shared" si="22"/>
        <v>-2404.71</v>
      </c>
      <c r="AA54" s="11">
        <f t="shared" si="15"/>
        <v>1.7</v>
      </c>
      <c r="AB54" s="9">
        <f t="shared" si="23"/>
        <v>392.7</v>
      </c>
      <c r="AD54" s="13">
        <f>IF(AH54&gt;AH53,AD53,IF(AD53&lt;MiscData!$F$1,EOMONTH(AD53,1),EOMONTH(AD53,-11)))</f>
        <v>42400</v>
      </c>
      <c r="AE54" s="7" t="str">
        <f t="shared" si="16"/>
        <v>20140101KUUM_459</v>
      </c>
      <c r="AF54" s="12" t="str">
        <f t="shared" si="17"/>
        <v>20140101RLS</v>
      </c>
      <c r="AG54" s="31"/>
      <c r="AH54">
        <f>IF(AH53=MiscData!$AB$91,1,AH53+1)</f>
        <v>53</v>
      </c>
      <c r="AI54">
        <f>IF(AD54&lt;=MiscData!$B$23,MiscData!$C$23,IF(AD54&lt;=MiscData!$B$24,MiscData!$C$24,MiscData!$C$25))</f>
        <v>20140101</v>
      </c>
      <c r="AK54" s="190" t="str">
        <f>VLOOKUP(AM54,MiscData!$AB$4:$ACB$113,2,FALSE)</f>
        <v>KUUM_459</v>
      </c>
      <c r="AL54" s="190" t="str">
        <f>VLOOKUP(AM54,MiscData!$AB$4:$AE$115,4,FALSE)</f>
        <v>RLS</v>
      </c>
      <c r="AM54">
        <f>IF(AM53=MiscData!$AB$91,1,AM53+1)</f>
        <v>53</v>
      </c>
    </row>
    <row r="55" spans="1:39">
      <c r="A55" s="7">
        <f t="shared" si="24"/>
        <v>54</v>
      </c>
      <c r="B55" s="13" t="str">
        <f t="shared" si="0"/>
        <v>Jan 2016</v>
      </c>
      <c r="C55" s="23" t="str">
        <f t="shared" si="1"/>
        <v>RLS</v>
      </c>
      <c r="D55" s="23" t="str">
        <f t="shared" si="2"/>
        <v>KUUM_460</v>
      </c>
      <c r="E55" s="170">
        <f t="shared" si="3"/>
        <v>28</v>
      </c>
      <c r="F55" s="185"/>
      <c r="G55" s="170">
        <f t="shared" si="4"/>
        <v>0</v>
      </c>
      <c r="H55" s="170">
        <v>0</v>
      </c>
      <c r="I55" s="11">
        <f t="shared" si="18"/>
        <v>27.15</v>
      </c>
      <c r="J55" s="11">
        <f t="shared" si="5"/>
        <v>1.9699999999999989</v>
      </c>
      <c r="K55" s="416">
        <f t="shared" si="19"/>
        <v>760.2</v>
      </c>
      <c r="L55" s="180"/>
      <c r="M55" s="180"/>
      <c r="N55" s="182">
        <f t="shared" si="6"/>
        <v>760.2</v>
      </c>
      <c r="O55" s="29">
        <f t="shared" si="7"/>
        <v>0</v>
      </c>
      <c r="P55" s="181">
        <f t="shared" si="20"/>
        <v>0</v>
      </c>
      <c r="Q55" s="182">
        <f t="shared" si="8"/>
        <v>0</v>
      </c>
      <c r="R55" s="182">
        <f t="shared" si="9"/>
        <v>0</v>
      </c>
      <c r="S55" s="182">
        <f t="shared" si="10"/>
        <v>0</v>
      </c>
      <c r="T55" s="182">
        <f t="shared" si="11"/>
        <v>0</v>
      </c>
      <c r="U55" s="182">
        <f t="shared" si="12"/>
        <v>0</v>
      </c>
      <c r="V55" s="14">
        <f t="shared" si="13"/>
        <v>760.2</v>
      </c>
      <c r="W55" s="14">
        <f t="shared" si="14"/>
        <v>-760.2</v>
      </c>
      <c r="Y55" s="14">
        <f t="shared" si="21"/>
        <v>55.16</v>
      </c>
      <c r="Z55" s="14">
        <f t="shared" si="22"/>
        <v>-55.16</v>
      </c>
      <c r="AA55" s="11">
        <f t="shared" si="15"/>
        <v>0.66</v>
      </c>
      <c r="AB55" s="9">
        <f t="shared" si="23"/>
        <v>18.48</v>
      </c>
      <c r="AD55" s="13">
        <f>IF(AH55&gt;AH54,AD54,IF(AD54&lt;MiscData!$F$1,EOMONTH(AD54,1),EOMONTH(AD54,-11)))</f>
        <v>42400</v>
      </c>
      <c r="AE55" s="7" t="str">
        <f t="shared" si="16"/>
        <v>20140101KUUM_460</v>
      </c>
      <c r="AF55" s="12" t="str">
        <f t="shared" si="17"/>
        <v>20140101RLS</v>
      </c>
      <c r="AG55" s="31"/>
      <c r="AH55">
        <f>IF(AH54=MiscData!$AB$91,1,AH54+1)</f>
        <v>54</v>
      </c>
      <c r="AI55">
        <f>IF(AD55&lt;=MiscData!$B$23,MiscData!$C$23,IF(AD55&lt;=MiscData!$B$24,MiscData!$C$24,MiscData!$C$25))</f>
        <v>20140101</v>
      </c>
      <c r="AK55" s="190" t="str">
        <f>VLOOKUP(AM55,MiscData!$AB$4:$ACB$113,2,FALSE)</f>
        <v>KUUM_460</v>
      </c>
      <c r="AL55" s="190" t="str">
        <f>VLOOKUP(AM55,MiscData!$AB$4:$AE$115,4,FALSE)</f>
        <v>RLS</v>
      </c>
      <c r="AM55">
        <f>IF(AM54=MiscData!$AB$91,1,AM54+1)</f>
        <v>54</v>
      </c>
    </row>
    <row r="56" spans="1:39">
      <c r="A56" s="7">
        <f t="shared" si="24"/>
        <v>55</v>
      </c>
      <c r="B56" s="13" t="str">
        <f t="shared" si="0"/>
        <v>Jan 2016</v>
      </c>
      <c r="C56" s="23" t="str">
        <f t="shared" si="1"/>
        <v>RLS</v>
      </c>
      <c r="D56" s="23" t="str">
        <f t="shared" si="2"/>
        <v>KUUM_461</v>
      </c>
      <c r="E56" s="170">
        <f t="shared" si="3"/>
        <v>7211</v>
      </c>
      <c r="F56" s="185"/>
      <c r="G56" s="170">
        <f t="shared" si="4"/>
        <v>0</v>
      </c>
      <c r="H56" s="170">
        <v>0</v>
      </c>
      <c r="I56" s="11">
        <f t="shared" si="18"/>
        <v>7.54</v>
      </c>
      <c r="J56" s="11">
        <f t="shared" si="5"/>
        <v>0.57000000000000028</v>
      </c>
      <c r="K56" s="416">
        <f t="shared" si="19"/>
        <v>54370.94</v>
      </c>
      <c r="L56" s="180"/>
      <c r="M56" s="180"/>
      <c r="N56" s="182">
        <f t="shared" si="6"/>
        <v>54370.94</v>
      </c>
      <c r="O56" s="29">
        <f t="shared" si="7"/>
        <v>0</v>
      </c>
      <c r="P56" s="181">
        <f t="shared" si="20"/>
        <v>0</v>
      </c>
      <c r="Q56" s="182">
        <f t="shared" si="8"/>
        <v>0</v>
      </c>
      <c r="R56" s="182">
        <f t="shared" si="9"/>
        <v>0</v>
      </c>
      <c r="S56" s="182">
        <f t="shared" si="10"/>
        <v>0</v>
      </c>
      <c r="T56" s="182">
        <f t="shared" si="11"/>
        <v>0</v>
      </c>
      <c r="U56" s="182">
        <f t="shared" si="12"/>
        <v>0</v>
      </c>
      <c r="V56" s="14">
        <f t="shared" si="13"/>
        <v>54370.94</v>
      </c>
      <c r="W56" s="14">
        <f t="shared" si="14"/>
        <v>-54370.94</v>
      </c>
      <c r="Y56" s="14">
        <f t="shared" si="21"/>
        <v>4110.2700000000004</v>
      </c>
      <c r="Z56" s="14">
        <f t="shared" si="22"/>
        <v>-4110.2700000000004</v>
      </c>
      <c r="AA56" s="11">
        <f t="shared" si="15"/>
        <v>0.33</v>
      </c>
      <c r="AB56" s="9">
        <f t="shared" si="23"/>
        <v>2379.63</v>
      </c>
      <c r="AD56" s="13">
        <f>IF(AH56&gt;AH55,AD55,IF(AD55&lt;MiscData!$F$1,EOMONTH(AD55,1),EOMONTH(AD55,-11)))</f>
        <v>42400</v>
      </c>
      <c r="AE56" s="7" t="str">
        <f t="shared" si="16"/>
        <v>20140101KUUM_461</v>
      </c>
      <c r="AF56" s="12" t="str">
        <f t="shared" si="17"/>
        <v>20140101RLS</v>
      </c>
      <c r="AG56" s="31"/>
      <c r="AH56">
        <f>IF(AH55=MiscData!$AB$91,1,AH55+1)</f>
        <v>55</v>
      </c>
      <c r="AI56">
        <f>IF(AD56&lt;=MiscData!$B$23,MiscData!$C$23,IF(AD56&lt;=MiscData!$B$24,MiscData!$C$24,MiscData!$C$25))</f>
        <v>20140101</v>
      </c>
      <c r="AK56" s="190" t="str">
        <f>VLOOKUP(AM56,MiscData!$AB$4:$ACB$113,2,FALSE)</f>
        <v>KUUM_461</v>
      </c>
      <c r="AL56" s="190" t="str">
        <f>VLOOKUP(AM56,MiscData!$AB$4:$AE$115,4,FALSE)</f>
        <v>RLS</v>
      </c>
      <c r="AM56">
        <f>IF(AM55=MiscData!$AB$91,1,AM55+1)</f>
        <v>55</v>
      </c>
    </row>
    <row r="57" spans="1:39">
      <c r="A57" s="7">
        <f t="shared" si="24"/>
        <v>56</v>
      </c>
      <c r="B57" s="13" t="str">
        <f t="shared" si="0"/>
        <v>Jan 2016</v>
      </c>
      <c r="C57" s="23" t="str">
        <f t="shared" si="1"/>
        <v>LS</v>
      </c>
      <c r="D57" s="23" t="str">
        <f t="shared" si="2"/>
        <v>KUUM_462</v>
      </c>
      <c r="E57" s="170">
        <f t="shared" si="3"/>
        <v>8738</v>
      </c>
      <c r="F57" s="185"/>
      <c r="G57" s="170">
        <f t="shared" si="4"/>
        <v>0</v>
      </c>
      <c r="H57" s="170">
        <v>0</v>
      </c>
      <c r="I57" s="11">
        <f t="shared" si="18"/>
        <v>8.66</v>
      </c>
      <c r="J57" s="11">
        <f t="shared" si="5"/>
        <v>0.79999999999999893</v>
      </c>
      <c r="K57" s="416">
        <f t="shared" si="19"/>
        <v>75671.08</v>
      </c>
      <c r="L57" s="180"/>
      <c r="M57" s="180"/>
      <c r="N57" s="182">
        <f t="shared" si="6"/>
        <v>75671.08</v>
      </c>
      <c r="O57" s="29">
        <f t="shared" si="7"/>
        <v>0</v>
      </c>
      <c r="P57" s="181">
        <f t="shared" si="20"/>
        <v>0</v>
      </c>
      <c r="Q57" s="182">
        <f t="shared" si="8"/>
        <v>0</v>
      </c>
      <c r="R57" s="182">
        <f t="shared" si="9"/>
        <v>0</v>
      </c>
      <c r="S57" s="182">
        <f t="shared" si="10"/>
        <v>0</v>
      </c>
      <c r="T57" s="182">
        <f t="shared" si="11"/>
        <v>0</v>
      </c>
      <c r="U57" s="182">
        <f t="shared" si="12"/>
        <v>0</v>
      </c>
      <c r="V57" s="14">
        <f t="shared" si="13"/>
        <v>75671.08</v>
      </c>
      <c r="W57" s="14">
        <f t="shared" si="14"/>
        <v>-75671.08</v>
      </c>
      <c r="Y57" s="14">
        <f t="shared" si="21"/>
        <v>6990.4</v>
      </c>
      <c r="Z57" s="14">
        <f t="shared" si="22"/>
        <v>-6990.4</v>
      </c>
      <c r="AA57" s="11">
        <f t="shared" si="15"/>
        <v>0.43</v>
      </c>
      <c r="AB57" s="9">
        <f t="shared" si="23"/>
        <v>3757.34</v>
      </c>
      <c r="AD57" s="13">
        <f>IF(AH57&gt;AH56,AD56,IF(AD56&lt;MiscData!$F$1,EOMONTH(AD56,1),EOMONTH(AD56,-11)))</f>
        <v>42400</v>
      </c>
      <c r="AE57" s="7" t="str">
        <f t="shared" si="16"/>
        <v>20140101KUUM_462</v>
      </c>
      <c r="AF57" s="12" t="str">
        <f t="shared" si="17"/>
        <v>20140101LS</v>
      </c>
      <c r="AG57" s="31"/>
      <c r="AH57">
        <f>IF(AH56=MiscData!$AB$91,1,AH56+1)</f>
        <v>56</v>
      </c>
      <c r="AI57">
        <f>IF(AD57&lt;=MiscData!$B$23,MiscData!$C$23,IF(AD57&lt;=MiscData!$B$24,MiscData!$C$24,MiscData!$C$25))</f>
        <v>20140101</v>
      </c>
      <c r="AK57" s="190" t="str">
        <f>VLOOKUP(AM57,MiscData!$AB$4:$ACB$113,2,FALSE)</f>
        <v>KUUM_462</v>
      </c>
      <c r="AL57" s="190" t="str">
        <f>VLOOKUP(AM57,MiscData!$AB$4:$AE$115,4,FALSE)</f>
        <v>LS</v>
      </c>
      <c r="AM57">
        <f>IF(AM56=MiscData!$AB$91,1,AM56+1)</f>
        <v>56</v>
      </c>
    </row>
    <row r="58" spans="1:39">
      <c r="A58" s="7">
        <f t="shared" si="24"/>
        <v>57</v>
      </c>
      <c r="B58" s="13" t="str">
        <f t="shared" si="0"/>
        <v>Jan 2016</v>
      </c>
      <c r="C58" s="23" t="str">
        <f t="shared" si="1"/>
        <v>LS</v>
      </c>
      <c r="D58" s="23" t="str">
        <f t="shared" si="2"/>
        <v>KUUM_463</v>
      </c>
      <c r="E58" s="170">
        <f t="shared" si="3"/>
        <v>20840</v>
      </c>
      <c r="F58" s="185"/>
      <c r="G58" s="170">
        <f t="shared" si="4"/>
        <v>0</v>
      </c>
      <c r="H58" s="170">
        <v>0</v>
      </c>
      <c r="I58" s="11">
        <f t="shared" si="18"/>
        <v>9.14</v>
      </c>
      <c r="J58" s="11">
        <f t="shared" si="5"/>
        <v>1.1299999999999999</v>
      </c>
      <c r="K58" s="416">
        <f t="shared" si="19"/>
        <v>190477.6</v>
      </c>
      <c r="L58" s="180"/>
      <c r="M58" s="180"/>
      <c r="N58" s="182">
        <f t="shared" si="6"/>
        <v>190477.6</v>
      </c>
      <c r="O58" s="29">
        <f t="shared" si="7"/>
        <v>0</v>
      </c>
      <c r="P58" s="181">
        <f t="shared" si="20"/>
        <v>0</v>
      </c>
      <c r="Q58" s="182">
        <f t="shared" si="8"/>
        <v>0</v>
      </c>
      <c r="R58" s="182">
        <f t="shared" si="9"/>
        <v>0</v>
      </c>
      <c r="S58" s="182">
        <f t="shared" si="10"/>
        <v>0</v>
      </c>
      <c r="T58" s="182">
        <f t="shared" si="11"/>
        <v>0</v>
      </c>
      <c r="U58" s="182">
        <f t="shared" si="12"/>
        <v>0</v>
      </c>
      <c r="V58" s="14">
        <f t="shared" si="13"/>
        <v>190477.6</v>
      </c>
      <c r="W58" s="14">
        <f t="shared" si="14"/>
        <v>-190477.6</v>
      </c>
      <c r="Y58" s="14">
        <f t="shared" si="21"/>
        <v>23549.200000000001</v>
      </c>
      <c r="Z58" s="14">
        <f t="shared" si="22"/>
        <v>-23549.200000000001</v>
      </c>
      <c r="AA58" s="11">
        <f t="shared" si="15"/>
        <v>0.34</v>
      </c>
      <c r="AB58" s="9">
        <f t="shared" si="23"/>
        <v>7085.6</v>
      </c>
      <c r="AD58" s="13">
        <f>IF(AH58&gt;AH57,AD57,IF(AD57&lt;MiscData!$F$1,EOMONTH(AD57,1),EOMONTH(AD57,-11)))</f>
        <v>42400</v>
      </c>
      <c r="AE58" s="7" t="str">
        <f t="shared" si="16"/>
        <v>20140101KUUM_463</v>
      </c>
      <c r="AF58" s="12" t="str">
        <f t="shared" si="17"/>
        <v>20140101LS</v>
      </c>
      <c r="AG58" s="31"/>
      <c r="AH58">
        <f>IF(AH57=MiscData!$AB$91,1,AH57+1)</f>
        <v>57</v>
      </c>
      <c r="AI58">
        <f>IF(AD58&lt;=MiscData!$B$23,MiscData!$C$23,IF(AD58&lt;=MiscData!$B$24,MiscData!$C$24,MiscData!$C$25))</f>
        <v>20140101</v>
      </c>
      <c r="AK58" s="190" t="str">
        <f>VLOOKUP(AM58,MiscData!$AB$4:$ACB$113,2,FALSE)</f>
        <v>KUUM_463</v>
      </c>
      <c r="AL58" s="190" t="str">
        <f>VLOOKUP(AM58,MiscData!$AB$4:$AE$115,4,FALSE)</f>
        <v>LS</v>
      </c>
      <c r="AM58">
        <f>IF(AM57=MiscData!$AB$91,1,AM57+1)</f>
        <v>57</v>
      </c>
    </row>
    <row r="59" spans="1:39">
      <c r="A59" s="7">
        <f t="shared" si="24"/>
        <v>58</v>
      </c>
      <c r="B59" s="13" t="str">
        <f t="shared" si="0"/>
        <v>Jan 2016</v>
      </c>
      <c r="C59" s="23" t="str">
        <f t="shared" si="1"/>
        <v>LS</v>
      </c>
      <c r="D59" s="23" t="str">
        <f t="shared" si="2"/>
        <v>KUUM_464</v>
      </c>
      <c r="E59" s="170">
        <f t="shared" si="3"/>
        <v>7628</v>
      </c>
      <c r="F59" s="185"/>
      <c r="G59" s="170">
        <f t="shared" si="4"/>
        <v>0</v>
      </c>
      <c r="H59" s="170">
        <v>0</v>
      </c>
      <c r="I59" s="11">
        <f t="shared" si="18"/>
        <v>14.25</v>
      </c>
      <c r="J59" s="11">
        <f t="shared" si="5"/>
        <v>2.33</v>
      </c>
      <c r="K59" s="416">
        <f t="shared" si="19"/>
        <v>108699</v>
      </c>
      <c r="L59" s="180"/>
      <c r="M59" s="180"/>
      <c r="N59" s="182">
        <f t="shared" si="6"/>
        <v>108699</v>
      </c>
      <c r="O59" s="29">
        <f t="shared" si="7"/>
        <v>0</v>
      </c>
      <c r="P59" s="181">
        <f t="shared" si="20"/>
        <v>0</v>
      </c>
      <c r="Q59" s="182">
        <f t="shared" si="8"/>
        <v>0</v>
      </c>
      <c r="R59" s="182">
        <f t="shared" si="9"/>
        <v>0</v>
      </c>
      <c r="S59" s="182">
        <f t="shared" si="10"/>
        <v>0</v>
      </c>
      <c r="T59" s="182">
        <f t="shared" si="11"/>
        <v>0</v>
      </c>
      <c r="U59" s="182">
        <f t="shared" si="12"/>
        <v>0</v>
      </c>
      <c r="V59" s="14">
        <f t="shared" si="13"/>
        <v>108699</v>
      </c>
      <c r="W59" s="14">
        <f t="shared" si="14"/>
        <v>-108699</v>
      </c>
      <c r="Y59" s="14">
        <f t="shared" si="21"/>
        <v>17773.240000000002</v>
      </c>
      <c r="Z59" s="14">
        <f t="shared" si="22"/>
        <v>-17773.240000000002</v>
      </c>
      <c r="AA59" s="11">
        <f t="shared" si="15"/>
        <v>0.57999999999999996</v>
      </c>
      <c r="AB59" s="9">
        <f t="shared" si="23"/>
        <v>4424.24</v>
      </c>
      <c r="AD59" s="13">
        <f>IF(AH59&gt;AH58,AD58,IF(AD58&lt;MiscData!$F$1,EOMONTH(AD58,1),EOMONTH(AD58,-11)))</f>
        <v>42400</v>
      </c>
      <c r="AE59" s="7" t="str">
        <f t="shared" si="16"/>
        <v>20140101KUUM_464</v>
      </c>
      <c r="AF59" s="12" t="str">
        <f t="shared" si="17"/>
        <v>20140101LS</v>
      </c>
      <c r="AG59" s="31"/>
      <c r="AH59">
        <f>IF(AH58=MiscData!$AB$91,1,AH58+1)</f>
        <v>58</v>
      </c>
      <c r="AI59">
        <f>IF(AD59&lt;=MiscData!$B$23,MiscData!$C$23,IF(AD59&lt;=MiscData!$B$24,MiscData!$C$24,MiscData!$C$25))</f>
        <v>20140101</v>
      </c>
      <c r="AK59" s="190" t="str">
        <f>VLOOKUP(AM59,MiscData!$AB$4:$ACB$113,2,FALSE)</f>
        <v>KUUM_464</v>
      </c>
      <c r="AL59" s="190" t="str">
        <f>VLOOKUP(AM59,MiscData!$AB$4:$AE$115,4,FALSE)</f>
        <v>LS</v>
      </c>
      <c r="AM59">
        <f>IF(AM58=MiscData!$AB$91,1,AM58+1)</f>
        <v>58</v>
      </c>
    </row>
    <row r="60" spans="1:39">
      <c r="A60" s="7">
        <f t="shared" si="24"/>
        <v>59</v>
      </c>
      <c r="B60" s="13" t="str">
        <f t="shared" si="0"/>
        <v>Jan 2016</v>
      </c>
      <c r="C60" s="23" t="str">
        <f t="shared" si="1"/>
        <v>LS</v>
      </c>
      <c r="D60" s="23" t="str">
        <f t="shared" si="2"/>
        <v>KUUM_465</v>
      </c>
      <c r="E60" s="170">
        <f t="shared" si="3"/>
        <v>2804</v>
      </c>
      <c r="F60" s="185"/>
      <c r="G60" s="170">
        <f t="shared" si="4"/>
        <v>0</v>
      </c>
      <c r="H60" s="170">
        <v>0</v>
      </c>
      <c r="I60" s="11">
        <f t="shared" si="18"/>
        <v>22.84</v>
      </c>
      <c r="J60" s="11">
        <f t="shared" si="5"/>
        <v>4.5299999999999976</v>
      </c>
      <c r="K60" s="416">
        <f t="shared" si="19"/>
        <v>64043.360000000001</v>
      </c>
      <c r="L60" s="180"/>
      <c r="M60" s="180"/>
      <c r="N60" s="182">
        <f t="shared" si="6"/>
        <v>64043.360000000001</v>
      </c>
      <c r="O60" s="29">
        <f t="shared" si="7"/>
        <v>0</v>
      </c>
      <c r="P60" s="181">
        <f t="shared" si="20"/>
        <v>0</v>
      </c>
      <c r="Q60" s="182">
        <f t="shared" si="8"/>
        <v>0</v>
      </c>
      <c r="R60" s="182">
        <f t="shared" si="9"/>
        <v>0</v>
      </c>
      <c r="S60" s="182">
        <f t="shared" si="10"/>
        <v>0</v>
      </c>
      <c r="T60" s="182">
        <f t="shared" si="11"/>
        <v>0</v>
      </c>
      <c r="U60" s="182">
        <f t="shared" si="12"/>
        <v>0</v>
      </c>
      <c r="V60" s="14">
        <f t="shared" si="13"/>
        <v>64043.360000000001</v>
      </c>
      <c r="W60" s="14">
        <f t="shared" si="14"/>
        <v>-64043.360000000001</v>
      </c>
      <c r="Y60" s="14">
        <f t="shared" si="21"/>
        <v>12702.12</v>
      </c>
      <c r="Z60" s="14">
        <f t="shared" si="22"/>
        <v>-12702.12</v>
      </c>
      <c r="AA60" s="11">
        <f t="shared" si="15"/>
        <v>0.79</v>
      </c>
      <c r="AB60" s="9">
        <f t="shared" si="23"/>
        <v>2215.1600000000003</v>
      </c>
      <c r="AD60" s="13">
        <f>IF(AH60&gt;AH59,AD59,IF(AD59&lt;MiscData!$F$1,EOMONTH(AD59,1),EOMONTH(AD59,-11)))</f>
        <v>42400</v>
      </c>
      <c r="AE60" s="7" t="str">
        <f t="shared" si="16"/>
        <v>20140101KUUM_465</v>
      </c>
      <c r="AF60" s="12" t="str">
        <f t="shared" si="17"/>
        <v>20140101LS</v>
      </c>
      <c r="AG60" s="31"/>
      <c r="AH60">
        <f>IF(AH59=MiscData!$AB$91,1,AH59+1)</f>
        <v>59</v>
      </c>
      <c r="AI60">
        <f>IF(AD60&lt;=MiscData!$B$23,MiscData!$C$23,IF(AD60&lt;=MiscData!$B$24,MiscData!$C$24,MiscData!$C$25))</f>
        <v>20140101</v>
      </c>
      <c r="AK60" s="190" t="str">
        <f>VLOOKUP(AM60,MiscData!$AB$4:$ACB$113,2,FALSE)</f>
        <v>KUUM_465</v>
      </c>
      <c r="AL60" s="190" t="str">
        <f>VLOOKUP(AM60,MiscData!$AB$4:$AE$115,4,FALSE)</f>
        <v>LS</v>
      </c>
      <c r="AM60">
        <f>IF(AM59=MiscData!$AB$91,1,AM59+1)</f>
        <v>59</v>
      </c>
    </row>
    <row r="61" spans="1:39">
      <c r="A61" s="7">
        <f t="shared" si="24"/>
        <v>60</v>
      </c>
      <c r="B61" s="13" t="str">
        <f t="shared" si="0"/>
        <v>Jan 2016</v>
      </c>
      <c r="C61" s="23" t="str">
        <f t="shared" si="1"/>
        <v>RLS</v>
      </c>
      <c r="D61" s="23" t="str">
        <f t="shared" si="2"/>
        <v>KUUM_466</v>
      </c>
      <c r="E61" s="170">
        <f t="shared" si="3"/>
        <v>855</v>
      </c>
      <c r="F61" s="185"/>
      <c r="G61" s="170">
        <f t="shared" si="4"/>
        <v>0</v>
      </c>
      <c r="H61" s="170">
        <v>0</v>
      </c>
      <c r="I61" s="11">
        <f t="shared" si="18"/>
        <v>9.620000000000001</v>
      </c>
      <c r="J61" s="11">
        <f t="shared" si="5"/>
        <v>0.57000000000000028</v>
      </c>
      <c r="K61" s="416">
        <f t="shared" si="19"/>
        <v>8225.1</v>
      </c>
      <c r="L61" s="180"/>
      <c r="M61" s="180"/>
      <c r="N61" s="182">
        <f t="shared" si="6"/>
        <v>8225.1</v>
      </c>
      <c r="O61" s="29">
        <f t="shared" si="7"/>
        <v>0</v>
      </c>
      <c r="P61" s="181">
        <f t="shared" si="20"/>
        <v>0</v>
      </c>
      <c r="Q61" s="182">
        <f t="shared" si="8"/>
        <v>0</v>
      </c>
      <c r="R61" s="182">
        <f t="shared" si="9"/>
        <v>0</v>
      </c>
      <c r="S61" s="182">
        <f t="shared" si="10"/>
        <v>0</v>
      </c>
      <c r="T61" s="182">
        <f t="shared" si="11"/>
        <v>0</v>
      </c>
      <c r="U61" s="182">
        <f t="shared" si="12"/>
        <v>0</v>
      </c>
      <c r="V61" s="14">
        <f t="shared" si="13"/>
        <v>8225.1</v>
      </c>
      <c r="W61" s="14">
        <f t="shared" si="14"/>
        <v>-8225.1</v>
      </c>
      <c r="Y61" s="14">
        <f t="shared" si="21"/>
        <v>487.35</v>
      </c>
      <c r="Z61" s="14">
        <f t="shared" si="22"/>
        <v>-487.35</v>
      </c>
      <c r="AA61" s="11">
        <f t="shared" si="15"/>
        <v>0.33</v>
      </c>
      <c r="AB61" s="9">
        <f t="shared" si="23"/>
        <v>282.15000000000003</v>
      </c>
      <c r="AD61" s="13">
        <f>IF(AH61&gt;AH60,AD60,IF(AD60&lt;MiscData!$F$1,EOMONTH(AD60,1),EOMONTH(AD60,-11)))</f>
        <v>42400</v>
      </c>
      <c r="AE61" s="7" t="str">
        <f t="shared" si="16"/>
        <v>20140101KUUM_466</v>
      </c>
      <c r="AF61" s="12" t="str">
        <f t="shared" si="17"/>
        <v>20140101RLS</v>
      </c>
      <c r="AG61" s="31"/>
      <c r="AH61">
        <f>IF(AH60=MiscData!$AB$91,1,AH60+1)</f>
        <v>60</v>
      </c>
      <c r="AI61">
        <f>IF(AD61&lt;=MiscData!$B$23,MiscData!$C$23,IF(AD61&lt;=MiscData!$B$24,MiscData!$C$24,MiscData!$C$25))</f>
        <v>20140101</v>
      </c>
      <c r="AK61" s="190" t="str">
        <f>VLOOKUP(AM61,MiscData!$AB$4:$ACB$113,2,FALSE)</f>
        <v>KUUM_466</v>
      </c>
      <c r="AL61" s="190" t="str">
        <f>VLOOKUP(AM61,MiscData!$AB$4:$AE$115,4,FALSE)</f>
        <v>RLS</v>
      </c>
      <c r="AM61">
        <f>IF(AM60=MiscData!$AB$91,1,AM60+1)</f>
        <v>60</v>
      </c>
    </row>
    <row r="62" spans="1:39">
      <c r="A62" s="7">
        <f t="shared" si="24"/>
        <v>61</v>
      </c>
      <c r="B62" s="13" t="str">
        <f t="shared" si="0"/>
        <v>Jan 2016</v>
      </c>
      <c r="C62" s="23" t="str">
        <f t="shared" si="1"/>
        <v>LS</v>
      </c>
      <c r="D62" s="23" t="str">
        <f t="shared" si="2"/>
        <v>KUUM_467</v>
      </c>
      <c r="E62" s="170">
        <f t="shared" si="3"/>
        <v>1353</v>
      </c>
      <c r="F62" s="185"/>
      <c r="G62" s="170">
        <f t="shared" si="4"/>
        <v>0</v>
      </c>
      <c r="H62" s="170">
        <v>0</v>
      </c>
      <c r="I62" s="11">
        <f t="shared" si="18"/>
        <v>10.770000000000001</v>
      </c>
      <c r="J62" s="11">
        <f t="shared" si="5"/>
        <v>0.80000000000000071</v>
      </c>
      <c r="K62" s="416">
        <f t="shared" si="19"/>
        <v>14571.81</v>
      </c>
      <c r="L62" s="180"/>
      <c r="M62" s="180"/>
      <c r="N62" s="182">
        <f t="shared" si="6"/>
        <v>14571.81</v>
      </c>
      <c r="O62" s="29">
        <f t="shared" si="7"/>
        <v>0</v>
      </c>
      <c r="P62" s="181">
        <f t="shared" si="20"/>
        <v>0</v>
      </c>
      <c r="Q62" s="182">
        <f t="shared" si="8"/>
        <v>0</v>
      </c>
      <c r="R62" s="182">
        <f t="shared" si="9"/>
        <v>0</v>
      </c>
      <c r="S62" s="182">
        <f t="shared" si="10"/>
        <v>0</v>
      </c>
      <c r="T62" s="182">
        <f t="shared" si="11"/>
        <v>0</v>
      </c>
      <c r="U62" s="182">
        <f t="shared" si="12"/>
        <v>0</v>
      </c>
      <c r="V62" s="14">
        <f t="shared" si="13"/>
        <v>14571.81</v>
      </c>
      <c r="W62" s="14">
        <f t="shared" si="14"/>
        <v>-14571.81</v>
      </c>
      <c r="Y62" s="14">
        <f t="shared" si="21"/>
        <v>1082.4000000000001</v>
      </c>
      <c r="Z62" s="14">
        <f t="shared" si="22"/>
        <v>-1082.4000000000001</v>
      </c>
      <c r="AA62" s="11">
        <f t="shared" si="15"/>
        <v>0.43</v>
      </c>
      <c r="AB62" s="9">
        <f t="shared" si="23"/>
        <v>581.79</v>
      </c>
      <c r="AD62" s="13">
        <f>IF(AH62&gt;AH61,AD61,IF(AD61&lt;MiscData!$F$1,EOMONTH(AD61,1),EOMONTH(AD61,-11)))</f>
        <v>42400</v>
      </c>
      <c r="AE62" s="7" t="str">
        <f t="shared" si="16"/>
        <v>20140101KUUM_467</v>
      </c>
      <c r="AF62" s="12" t="str">
        <f t="shared" si="17"/>
        <v>20140101LS</v>
      </c>
      <c r="AG62" s="31"/>
      <c r="AH62">
        <f>IF(AH61=MiscData!$AB$91,1,AH61+1)</f>
        <v>61</v>
      </c>
      <c r="AI62">
        <f>IF(AD62&lt;=MiscData!$B$23,MiscData!$C$23,IF(AD62&lt;=MiscData!$B$24,MiscData!$C$24,MiscData!$C$25))</f>
        <v>20140101</v>
      </c>
      <c r="AK62" s="190" t="str">
        <f>VLOOKUP(AM62,MiscData!$AB$4:$ACB$113,2,FALSE)</f>
        <v>KUUM_467</v>
      </c>
      <c r="AL62" s="190" t="str">
        <f>VLOOKUP(AM62,MiscData!$AB$4:$AE$115,4,FALSE)</f>
        <v>LS</v>
      </c>
      <c r="AM62">
        <f>IF(AM61=MiscData!$AB$91,1,AM61+1)</f>
        <v>61</v>
      </c>
    </row>
    <row r="63" spans="1:39">
      <c r="A63" s="7">
        <f t="shared" si="24"/>
        <v>62</v>
      </c>
      <c r="B63" s="13" t="str">
        <f t="shared" si="0"/>
        <v>Jan 2016</v>
      </c>
      <c r="C63" s="23" t="str">
        <f t="shared" si="1"/>
        <v>LS</v>
      </c>
      <c r="D63" s="23" t="str">
        <f t="shared" si="2"/>
        <v>KUUM_468</v>
      </c>
      <c r="E63" s="170">
        <f t="shared" si="3"/>
        <v>4050</v>
      </c>
      <c r="F63" s="185"/>
      <c r="G63" s="170">
        <f t="shared" si="4"/>
        <v>0</v>
      </c>
      <c r="H63" s="170">
        <v>0</v>
      </c>
      <c r="I63" s="11">
        <f t="shared" si="18"/>
        <v>11.16</v>
      </c>
      <c r="J63" s="11">
        <f t="shared" si="5"/>
        <v>1.129999999999999</v>
      </c>
      <c r="K63" s="416">
        <f t="shared" si="19"/>
        <v>45198</v>
      </c>
      <c r="L63" s="180"/>
      <c r="M63" s="180"/>
      <c r="N63" s="182">
        <f t="shared" si="6"/>
        <v>45198</v>
      </c>
      <c r="O63" s="29">
        <f t="shared" si="7"/>
        <v>0</v>
      </c>
      <c r="P63" s="181">
        <f t="shared" si="20"/>
        <v>0</v>
      </c>
      <c r="Q63" s="182">
        <f t="shared" si="8"/>
        <v>0</v>
      </c>
      <c r="R63" s="182">
        <f t="shared" si="9"/>
        <v>0</v>
      </c>
      <c r="S63" s="182">
        <f t="shared" si="10"/>
        <v>0</v>
      </c>
      <c r="T63" s="182">
        <f t="shared" si="11"/>
        <v>0</v>
      </c>
      <c r="U63" s="182">
        <f t="shared" si="12"/>
        <v>0</v>
      </c>
      <c r="V63" s="14">
        <f t="shared" si="13"/>
        <v>45198</v>
      </c>
      <c r="W63" s="14">
        <f t="shared" si="14"/>
        <v>-45198</v>
      </c>
      <c r="Y63" s="14">
        <f t="shared" si="21"/>
        <v>4576.5</v>
      </c>
      <c r="Z63" s="14">
        <f t="shared" si="22"/>
        <v>-4576.5</v>
      </c>
      <c r="AA63" s="11">
        <f t="shared" si="15"/>
        <v>0.34</v>
      </c>
      <c r="AB63" s="9">
        <f t="shared" si="23"/>
        <v>1377</v>
      </c>
      <c r="AD63" s="13">
        <f>IF(AH63&gt;AH62,AD62,IF(AD62&lt;MiscData!$F$1,EOMONTH(AD62,1),EOMONTH(AD62,-11)))</f>
        <v>42400</v>
      </c>
      <c r="AE63" s="7" t="str">
        <f t="shared" si="16"/>
        <v>20140101KUUM_468</v>
      </c>
      <c r="AF63" s="12" t="str">
        <f t="shared" si="17"/>
        <v>20140101LS</v>
      </c>
      <c r="AG63" s="31"/>
      <c r="AH63">
        <f>IF(AH62=MiscData!$AB$91,1,AH62+1)</f>
        <v>62</v>
      </c>
      <c r="AI63">
        <f>IF(AD63&lt;=MiscData!$B$23,MiscData!$C$23,IF(AD63&lt;=MiscData!$B$24,MiscData!$C$24,MiscData!$C$25))</f>
        <v>20140101</v>
      </c>
      <c r="AK63" s="190" t="str">
        <f>VLOOKUP(AM63,MiscData!$AB$4:$ACB$113,2,FALSE)</f>
        <v>KUUM_468</v>
      </c>
      <c r="AL63" s="190" t="str">
        <f>VLOOKUP(AM63,MiscData!$AB$4:$AE$115,4,FALSE)</f>
        <v>LS</v>
      </c>
      <c r="AM63">
        <f>IF(AM62=MiscData!$AB$91,1,AM62+1)</f>
        <v>62</v>
      </c>
    </row>
    <row r="64" spans="1:39">
      <c r="A64" s="7">
        <f t="shared" si="24"/>
        <v>63</v>
      </c>
      <c r="B64" s="13" t="str">
        <f t="shared" si="0"/>
        <v>Jan 2016</v>
      </c>
      <c r="C64" s="23" t="str">
        <f t="shared" si="1"/>
        <v>RLS</v>
      </c>
      <c r="D64" s="23" t="str">
        <f t="shared" si="2"/>
        <v>KUUM_469</v>
      </c>
      <c r="E64" s="170">
        <f t="shared" si="3"/>
        <v>293</v>
      </c>
      <c r="F64" s="185"/>
      <c r="G64" s="170">
        <f t="shared" si="4"/>
        <v>0</v>
      </c>
      <c r="H64" s="170">
        <v>0</v>
      </c>
      <c r="I64" s="11">
        <f t="shared" si="18"/>
        <v>33.100000000000009</v>
      </c>
      <c r="J64" s="11">
        <f t="shared" si="5"/>
        <v>4.2900000000000063</v>
      </c>
      <c r="K64" s="416">
        <f t="shared" si="19"/>
        <v>9698.2999999999993</v>
      </c>
      <c r="L64" s="180"/>
      <c r="M64" s="180"/>
      <c r="N64" s="182">
        <f t="shared" si="6"/>
        <v>9698.2999999999993</v>
      </c>
      <c r="O64" s="29">
        <f t="shared" si="7"/>
        <v>0</v>
      </c>
      <c r="P64" s="181">
        <f t="shared" si="20"/>
        <v>0</v>
      </c>
      <c r="Q64" s="182">
        <f t="shared" si="8"/>
        <v>0</v>
      </c>
      <c r="R64" s="182">
        <f t="shared" si="9"/>
        <v>0</v>
      </c>
      <c r="S64" s="182">
        <f t="shared" si="10"/>
        <v>0</v>
      </c>
      <c r="T64" s="182">
        <f t="shared" si="11"/>
        <v>0</v>
      </c>
      <c r="U64" s="182">
        <f t="shared" si="12"/>
        <v>0</v>
      </c>
      <c r="V64" s="14">
        <f t="shared" si="13"/>
        <v>9698.2999999999993</v>
      </c>
      <c r="W64" s="14">
        <f t="shared" si="14"/>
        <v>-9698.2999999999993</v>
      </c>
      <c r="Y64" s="14">
        <f t="shared" si="21"/>
        <v>1256.97</v>
      </c>
      <c r="Z64" s="14">
        <f t="shared" si="22"/>
        <v>-1256.97</v>
      </c>
      <c r="AA64" s="11">
        <f t="shared" si="15"/>
        <v>0.84</v>
      </c>
      <c r="AB64" s="9">
        <f t="shared" si="23"/>
        <v>246.12</v>
      </c>
      <c r="AD64" s="13">
        <f>IF(AH64&gt;AH63,AD63,IF(AD63&lt;MiscData!$F$1,EOMONTH(AD63,1),EOMONTH(AD63,-11)))</f>
        <v>42400</v>
      </c>
      <c r="AE64" s="7" t="str">
        <f t="shared" si="16"/>
        <v>20140101KUUM_469</v>
      </c>
      <c r="AF64" s="12" t="str">
        <f t="shared" si="17"/>
        <v>20140101RLS</v>
      </c>
      <c r="AG64" s="31"/>
      <c r="AH64">
        <f>IF(AH63=MiscData!$AB$91,1,AH63+1)</f>
        <v>63</v>
      </c>
      <c r="AI64">
        <f>IF(AD64&lt;=MiscData!$B$23,MiscData!$C$23,IF(AD64&lt;=MiscData!$B$24,MiscData!$C$24,MiscData!$C$25))</f>
        <v>20140101</v>
      </c>
      <c r="AK64" s="190" t="str">
        <f>VLOOKUP(AM64,MiscData!$AB$4:$ACB$113,2,FALSE)</f>
        <v>KUUM_469</v>
      </c>
      <c r="AL64" s="190" t="str">
        <f>VLOOKUP(AM64,MiscData!$AB$4:$AE$115,4,FALSE)</f>
        <v>RLS</v>
      </c>
      <c r="AM64">
        <f>IF(AM63=MiscData!$AB$91,1,AM63+1)</f>
        <v>63</v>
      </c>
    </row>
    <row r="65" spans="1:39">
      <c r="A65" s="7">
        <f t="shared" si="24"/>
        <v>64</v>
      </c>
      <c r="B65" s="13" t="str">
        <f t="shared" si="0"/>
        <v>Jan 2016</v>
      </c>
      <c r="C65" s="23" t="str">
        <f t="shared" si="1"/>
        <v>RLS</v>
      </c>
      <c r="D65" s="23" t="str">
        <f t="shared" si="2"/>
        <v>KUUM_470</v>
      </c>
      <c r="E65" s="170">
        <f t="shared" si="3"/>
        <v>61</v>
      </c>
      <c r="F65" s="185"/>
      <c r="G65" s="170">
        <f t="shared" si="4"/>
        <v>0</v>
      </c>
      <c r="H65" s="170">
        <v>0</v>
      </c>
      <c r="I65" s="11">
        <f t="shared" si="18"/>
        <v>55.250000000000007</v>
      </c>
      <c r="J65" s="11">
        <f t="shared" si="5"/>
        <v>10.410000000000004</v>
      </c>
      <c r="K65" s="416">
        <f t="shared" si="19"/>
        <v>3370.25</v>
      </c>
      <c r="L65" s="180"/>
      <c r="M65" s="180"/>
      <c r="N65" s="182">
        <f t="shared" si="6"/>
        <v>3370.25</v>
      </c>
      <c r="O65" s="29">
        <f t="shared" si="7"/>
        <v>0</v>
      </c>
      <c r="P65" s="181">
        <f t="shared" si="20"/>
        <v>0</v>
      </c>
      <c r="Q65" s="182">
        <f t="shared" si="8"/>
        <v>0</v>
      </c>
      <c r="R65" s="182">
        <f t="shared" si="9"/>
        <v>0</v>
      </c>
      <c r="S65" s="182">
        <f t="shared" si="10"/>
        <v>0</v>
      </c>
      <c r="T65" s="182">
        <f t="shared" si="11"/>
        <v>0</v>
      </c>
      <c r="U65" s="182">
        <f t="shared" si="12"/>
        <v>0</v>
      </c>
      <c r="V65" s="14">
        <f t="shared" si="13"/>
        <v>3370.25</v>
      </c>
      <c r="W65" s="14">
        <f t="shared" si="14"/>
        <v>-3370.25</v>
      </c>
      <c r="Y65" s="14">
        <f t="shared" si="21"/>
        <v>635.01</v>
      </c>
      <c r="Z65" s="14">
        <f t="shared" si="22"/>
        <v>-635.01</v>
      </c>
      <c r="AA65" s="11">
        <f t="shared" si="15"/>
        <v>1.7</v>
      </c>
      <c r="AB65" s="9">
        <f t="shared" si="23"/>
        <v>103.7</v>
      </c>
      <c r="AD65" s="13">
        <f>IF(AH65&gt;AH64,AD64,IF(AD64&lt;MiscData!$F$1,EOMONTH(AD64,1),EOMONTH(AD64,-11)))</f>
        <v>42400</v>
      </c>
      <c r="AE65" s="7" t="str">
        <f t="shared" si="16"/>
        <v>20140101KUUM_470</v>
      </c>
      <c r="AF65" s="12" t="str">
        <f t="shared" si="17"/>
        <v>20140101RLS</v>
      </c>
      <c r="AG65" s="31"/>
      <c r="AH65">
        <f>IF(AH64=MiscData!$AB$91,1,AH64+1)</f>
        <v>64</v>
      </c>
      <c r="AI65">
        <f>IF(AD65&lt;=MiscData!$B$23,MiscData!$C$23,IF(AD65&lt;=MiscData!$B$24,MiscData!$C$24,MiscData!$C$25))</f>
        <v>20140101</v>
      </c>
      <c r="AK65" s="190" t="str">
        <f>VLOOKUP(AM65,MiscData!$AB$4:$ACB$113,2,FALSE)</f>
        <v>KUUM_470</v>
      </c>
      <c r="AL65" s="190" t="str">
        <f>VLOOKUP(AM65,MiscData!$AB$4:$AE$115,4,FALSE)</f>
        <v>RLS</v>
      </c>
      <c r="AM65">
        <f>IF(AM64=MiscData!$AB$91,1,AM64+1)</f>
        <v>64</v>
      </c>
    </row>
    <row r="66" spans="1:39">
      <c r="A66" s="7">
        <f t="shared" si="24"/>
        <v>65</v>
      </c>
      <c r="B66" s="13" t="str">
        <f t="shared" ref="B66:B129" si="25">TEXT(AD66,"mmm yyyy")</f>
        <v>Jan 2016</v>
      </c>
      <c r="C66" s="23" t="str">
        <f t="shared" ref="C66:C129" si="26">AL66</f>
        <v>RLS</v>
      </c>
      <c r="D66" s="23" t="str">
        <f t="shared" ref="D66:D129" si="27">AK66</f>
        <v>KUUM_471</v>
      </c>
      <c r="E66" s="170">
        <f t="shared" ref="E66:E129" si="28">SUMIFS(_1055_Light_Count,_1055_RevMonth,$B66,_1055_RateCategory,$D66)</f>
        <v>3569</v>
      </c>
      <c r="F66" s="185"/>
      <c r="G66" s="170">
        <f t="shared" ref="G66:G129" si="29">SUMIFS(_SBR_KWH,_SBR_Revenue_Month,$B66,_SBR_Rate_Category,$D66)</f>
        <v>0</v>
      </c>
      <c r="H66" s="170">
        <v>0</v>
      </c>
      <c r="I66" s="11">
        <f t="shared" ref="I66:I129" si="30">SUMIF(_Lights_Tariff_Category,$AE66,_Lights_Rates)</f>
        <v>10.49</v>
      </c>
      <c r="J66" s="11">
        <f t="shared" ref="J66:J129" si="31">SUMIF(_Lights_Tariff_Category,$AE66,_Rates_Lights_BaseFAC)</f>
        <v>0.56999999999999851</v>
      </c>
      <c r="K66" s="416">
        <f t="shared" si="19"/>
        <v>37438.81</v>
      </c>
      <c r="L66" s="180"/>
      <c r="M66" s="180"/>
      <c r="N66" s="182">
        <f t="shared" ref="N66:N129" si="32">SUM(K66:M66)</f>
        <v>37438.81</v>
      </c>
      <c r="O66" s="29">
        <f t="shared" ref="O66:O129" si="33">U66-SUM(Q66:T66)</f>
        <v>0</v>
      </c>
      <c r="P66" s="181">
        <f t="shared" si="20"/>
        <v>0</v>
      </c>
      <c r="Q66" s="182">
        <f t="shared" ref="Q66:Q129" si="34">SUMIFS(_SBR_FAC,_SBR_Revenue_Month,$B66,_SBR_Rate_Category,$D66)</f>
        <v>0</v>
      </c>
      <c r="R66" s="182">
        <f t="shared" ref="R66:R129" si="35">SUMIFS(_SBR_DSM,_SBR_Revenue_Month,$B66,_SBR_Rate_Category,$D66)</f>
        <v>0</v>
      </c>
      <c r="S66" s="182">
        <f t="shared" ref="S66:S129" si="36">SUMIFS(_SBR_ECR,_SBR_Revenue_Month,$B66,_SBR_Rate_Category,$D66)</f>
        <v>0</v>
      </c>
      <c r="T66" s="182">
        <f t="shared" ref="T66:T129" si="37">SUMIFS(_SBR_MSR,_SBR_Revenue_Month,$B66,_SBR_Rate_Category,$D66)</f>
        <v>0</v>
      </c>
      <c r="U66" s="182">
        <f t="shared" ref="U66:U129" si="38">SUMIFS(_SBR_Revenue_Actual,_SBR_Revenue_Month,$B66,_SBR_Rate_Category,$D66)</f>
        <v>0</v>
      </c>
      <c r="V66" s="14">
        <f t="shared" ref="V66:V129" si="39">SUM(N66,Q66:T66)</f>
        <v>37438.81</v>
      </c>
      <c r="W66" s="14">
        <f t="shared" ref="W66:W129" si="40">U66-V66</f>
        <v>-37438.81</v>
      </c>
      <c r="Y66" s="14">
        <f t="shared" si="21"/>
        <v>2034.33</v>
      </c>
      <c r="Z66" s="14">
        <f t="shared" si="22"/>
        <v>-2034.33</v>
      </c>
      <c r="AA66" s="11">
        <f t="shared" ref="AA66:AA129" si="41">SUMIF(_Lights_Tariff_Category,$AE66,_Rates_Lights_ECR)</f>
        <v>0.33</v>
      </c>
      <c r="AB66" s="9">
        <f t="shared" si="23"/>
        <v>1177.77</v>
      </c>
      <c r="AD66" s="13">
        <f>IF(AH66&gt;AH65,AD65,IF(AD65&lt;MiscData!$F$1,EOMONTH(AD65,1),EOMONTH(AD65,-11)))</f>
        <v>42400</v>
      </c>
      <c r="AE66" s="7" t="str">
        <f t="shared" ref="AE66:AE129" si="42">CONCATENATE(AI66&amp;AK66)</f>
        <v>20140101KUUM_471</v>
      </c>
      <c r="AF66" s="12" t="str">
        <f t="shared" ref="AF66:AF129" si="43">CONCATENATE(AI66&amp;AL66)</f>
        <v>20140101RLS</v>
      </c>
      <c r="AG66" s="31"/>
      <c r="AH66">
        <f>IF(AH65=MiscData!$AB$91,1,AH65+1)</f>
        <v>65</v>
      </c>
      <c r="AI66">
        <f>IF(AD66&lt;=MiscData!$B$23,MiscData!$C$23,IF(AD66&lt;=MiscData!$B$24,MiscData!$C$24,MiscData!$C$25))</f>
        <v>20140101</v>
      </c>
      <c r="AK66" s="190" t="str">
        <f>VLOOKUP(AM66,MiscData!$AB$4:$ACB$113,2,FALSE)</f>
        <v>KUUM_471</v>
      </c>
      <c r="AL66" s="190" t="str">
        <f>VLOOKUP(AM66,MiscData!$AB$4:$AE$115,4,FALSE)</f>
        <v>RLS</v>
      </c>
      <c r="AM66">
        <f>IF(AM65=MiscData!$AB$91,1,AM65+1)</f>
        <v>65</v>
      </c>
    </row>
    <row r="67" spans="1:39">
      <c r="A67" s="7">
        <f t="shared" si="24"/>
        <v>66</v>
      </c>
      <c r="B67" s="13" t="str">
        <f t="shared" si="25"/>
        <v>Jan 2016</v>
      </c>
      <c r="C67" s="23" t="str">
        <f t="shared" si="26"/>
        <v>LS</v>
      </c>
      <c r="D67" s="23" t="str">
        <f t="shared" si="27"/>
        <v>KUUM_472</v>
      </c>
      <c r="E67" s="170">
        <f t="shared" si="28"/>
        <v>8447</v>
      </c>
      <c r="F67" s="185"/>
      <c r="G67" s="170">
        <f t="shared" si="29"/>
        <v>0</v>
      </c>
      <c r="H67" s="170">
        <v>0</v>
      </c>
      <c r="I67" s="11">
        <f t="shared" si="30"/>
        <v>11.600000000000001</v>
      </c>
      <c r="J67" s="11">
        <f t="shared" si="31"/>
        <v>0.80000000000000071</v>
      </c>
      <c r="K67" s="416">
        <f t="shared" ref="K67:K130" si="44">ROUND(($E67+$F67)*$I67,2)</f>
        <v>97985.2</v>
      </c>
      <c r="L67" s="180"/>
      <c r="M67" s="180"/>
      <c r="N67" s="182">
        <f t="shared" si="32"/>
        <v>97985.2</v>
      </c>
      <c r="O67" s="29">
        <f t="shared" si="33"/>
        <v>0</v>
      </c>
      <c r="P67" s="181">
        <f t="shared" ref="P67:P130" si="45">IF(AND(N67=0,O67=0),1,IF(N67=0,0,ROUND(O67/N67,6)))</f>
        <v>0</v>
      </c>
      <c r="Q67" s="182">
        <f t="shared" si="34"/>
        <v>0</v>
      </c>
      <c r="R67" s="182">
        <f t="shared" si="35"/>
        <v>0</v>
      </c>
      <c r="S67" s="182">
        <f t="shared" si="36"/>
        <v>0</v>
      </c>
      <c r="T67" s="182">
        <f t="shared" si="37"/>
        <v>0</v>
      </c>
      <c r="U67" s="182">
        <f t="shared" si="38"/>
        <v>0</v>
      </c>
      <c r="V67" s="14">
        <f t="shared" si="39"/>
        <v>97985.2</v>
      </c>
      <c r="W67" s="14">
        <f t="shared" si="40"/>
        <v>-97985.2</v>
      </c>
      <c r="Y67" s="14">
        <f t="shared" ref="Y67:Y130" si="46">ROUND(E67*J67,2)</f>
        <v>6757.6</v>
      </c>
      <c r="Z67" s="14">
        <f t="shared" ref="Z67:Z130" si="47">O67-Y67</f>
        <v>-6757.6</v>
      </c>
      <c r="AA67" s="11">
        <f t="shared" si="41"/>
        <v>0.43</v>
      </c>
      <c r="AB67" s="9">
        <f t="shared" ref="AB67:AB130" si="48">E67*AA67</f>
        <v>3632.21</v>
      </c>
      <c r="AD67" s="13">
        <f>IF(AH67&gt;AH66,AD66,IF(AD66&lt;MiscData!$F$1,EOMONTH(AD66,1),EOMONTH(AD66,-11)))</f>
        <v>42400</v>
      </c>
      <c r="AE67" s="7" t="str">
        <f t="shared" si="42"/>
        <v>20140101KUUM_472</v>
      </c>
      <c r="AF67" s="12" t="str">
        <f t="shared" si="43"/>
        <v>20140101LS</v>
      </c>
      <c r="AG67" s="31"/>
      <c r="AH67">
        <f>IF(AH66=MiscData!$AB$91,1,AH66+1)</f>
        <v>66</v>
      </c>
      <c r="AI67">
        <f>IF(AD67&lt;=MiscData!$B$23,MiscData!$C$23,IF(AD67&lt;=MiscData!$B$24,MiscData!$C$24,MiscData!$C$25))</f>
        <v>20140101</v>
      </c>
      <c r="AK67" s="190" t="str">
        <f>VLOOKUP(AM67,MiscData!$AB$4:$ACB$113,2,FALSE)</f>
        <v>KUUM_472</v>
      </c>
      <c r="AL67" s="190" t="str">
        <f>VLOOKUP(AM67,MiscData!$AB$4:$AE$115,4,FALSE)</f>
        <v>LS</v>
      </c>
      <c r="AM67">
        <f>IF(AM66=MiscData!$AB$91,1,AM66+1)</f>
        <v>66</v>
      </c>
    </row>
    <row r="68" spans="1:39">
      <c r="A68" s="7">
        <f t="shared" ref="A68:A131" si="49">A67+1</f>
        <v>67</v>
      </c>
      <c r="B68" s="13" t="str">
        <f t="shared" si="25"/>
        <v>Jan 2016</v>
      </c>
      <c r="C68" s="23" t="str">
        <f t="shared" si="26"/>
        <v>LS</v>
      </c>
      <c r="D68" s="23" t="str">
        <f t="shared" si="27"/>
        <v>KUUM_473</v>
      </c>
      <c r="E68" s="170">
        <f t="shared" si="28"/>
        <v>3345</v>
      </c>
      <c r="F68" s="185"/>
      <c r="G68" s="170">
        <f t="shared" si="29"/>
        <v>0</v>
      </c>
      <c r="H68" s="170">
        <v>0</v>
      </c>
      <c r="I68" s="11">
        <f t="shared" si="30"/>
        <v>12.3</v>
      </c>
      <c r="J68" s="11">
        <f t="shared" si="31"/>
        <v>1.129999999999999</v>
      </c>
      <c r="K68" s="416">
        <f t="shared" si="44"/>
        <v>41143.5</v>
      </c>
      <c r="L68" s="180"/>
      <c r="M68" s="180"/>
      <c r="N68" s="182">
        <f t="shared" si="32"/>
        <v>41143.5</v>
      </c>
      <c r="O68" s="29">
        <f t="shared" si="33"/>
        <v>0</v>
      </c>
      <c r="P68" s="181">
        <f t="shared" si="45"/>
        <v>0</v>
      </c>
      <c r="Q68" s="182">
        <f t="shared" si="34"/>
        <v>0</v>
      </c>
      <c r="R68" s="182">
        <f t="shared" si="35"/>
        <v>0</v>
      </c>
      <c r="S68" s="182">
        <f t="shared" si="36"/>
        <v>0</v>
      </c>
      <c r="T68" s="182">
        <f t="shared" si="37"/>
        <v>0</v>
      </c>
      <c r="U68" s="182">
        <f t="shared" si="38"/>
        <v>0</v>
      </c>
      <c r="V68" s="14">
        <f t="shared" si="39"/>
        <v>41143.5</v>
      </c>
      <c r="W68" s="14">
        <f t="shared" si="40"/>
        <v>-41143.5</v>
      </c>
      <c r="Y68" s="14">
        <f t="shared" si="46"/>
        <v>3779.85</v>
      </c>
      <c r="Z68" s="14">
        <f t="shared" si="47"/>
        <v>-3779.85</v>
      </c>
      <c r="AA68" s="11">
        <f t="shared" si="41"/>
        <v>0.34</v>
      </c>
      <c r="AB68" s="9">
        <f t="shared" si="48"/>
        <v>1137.3000000000002</v>
      </c>
      <c r="AD68" s="13">
        <f>IF(AH68&gt;AH67,AD67,IF(AD67&lt;MiscData!$F$1,EOMONTH(AD67,1),EOMONTH(AD67,-11)))</f>
        <v>42400</v>
      </c>
      <c r="AE68" s="7" t="str">
        <f t="shared" si="42"/>
        <v>20140101KUUM_473</v>
      </c>
      <c r="AF68" s="12" t="str">
        <f t="shared" si="43"/>
        <v>20140101LS</v>
      </c>
      <c r="AG68" s="31"/>
      <c r="AH68">
        <f>IF(AH67=MiscData!$AB$91,1,AH67+1)</f>
        <v>67</v>
      </c>
      <c r="AI68">
        <f>IF(AD68&lt;=MiscData!$B$23,MiscData!$C$23,IF(AD68&lt;=MiscData!$B$24,MiscData!$C$24,MiscData!$C$25))</f>
        <v>20140101</v>
      </c>
      <c r="AK68" s="190" t="str">
        <f>VLOOKUP(AM68,MiscData!$AB$4:$ACB$113,2,FALSE)</f>
        <v>KUUM_473</v>
      </c>
      <c r="AL68" s="190" t="str">
        <f>VLOOKUP(AM68,MiscData!$AB$4:$AE$115,4,FALSE)</f>
        <v>LS</v>
      </c>
      <c r="AM68">
        <f>IF(AM67=MiscData!$AB$91,1,AM67+1)</f>
        <v>67</v>
      </c>
    </row>
    <row r="69" spans="1:39">
      <c r="A69" s="7">
        <f t="shared" si="49"/>
        <v>68</v>
      </c>
      <c r="B69" s="13" t="str">
        <f t="shared" si="25"/>
        <v>Jan 2016</v>
      </c>
      <c r="C69" s="23" t="str">
        <f t="shared" si="26"/>
        <v>LS</v>
      </c>
      <c r="D69" s="23" t="str">
        <f t="shared" si="27"/>
        <v>KUUM_474</v>
      </c>
      <c r="E69" s="170">
        <f t="shared" si="28"/>
        <v>5074</v>
      </c>
      <c r="F69" s="185"/>
      <c r="G69" s="170">
        <f t="shared" si="29"/>
        <v>0</v>
      </c>
      <c r="H69" s="170">
        <v>0</v>
      </c>
      <c r="I69" s="11">
        <f t="shared" si="30"/>
        <v>17.41</v>
      </c>
      <c r="J69" s="11">
        <f t="shared" si="31"/>
        <v>2.33</v>
      </c>
      <c r="K69" s="416">
        <f t="shared" si="44"/>
        <v>88338.34</v>
      </c>
      <c r="L69" s="180"/>
      <c r="M69" s="180"/>
      <c r="N69" s="182">
        <f t="shared" si="32"/>
        <v>88338.34</v>
      </c>
      <c r="O69" s="29">
        <f t="shared" si="33"/>
        <v>0</v>
      </c>
      <c r="P69" s="181">
        <f t="shared" si="45"/>
        <v>0</v>
      </c>
      <c r="Q69" s="182">
        <f t="shared" si="34"/>
        <v>0</v>
      </c>
      <c r="R69" s="182">
        <f t="shared" si="35"/>
        <v>0</v>
      </c>
      <c r="S69" s="182">
        <f t="shared" si="36"/>
        <v>0</v>
      </c>
      <c r="T69" s="182">
        <f t="shared" si="37"/>
        <v>0</v>
      </c>
      <c r="U69" s="182">
        <f t="shared" si="38"/>
        <v>0</v>
      </c>
      <c r="V69" s="14">
        <f t="shared" si="39"/>
        <v>88338.34</v>
      </c>
      <c r="W69" s="14">
        <f t="shared" si="40"/>
        <v>-88338.34</v>
      </c>
      <c r="Y69" s="14">
        <f t="shared" si="46"/>
        <v>11822.42</v>
      </c>
      <c r="Z69" s="14">
        <f t="shared" si="47"/>
        <v>-11822.42</v>
      </c>
      <c r="AA69" s="11">
        <f t="shared" si="41"/>
        <v>0.57999999999999996</v>
      </c>
      <c r="AB69" s="9">
        <f t="shared" si="48"/>
        <v>2942.9199999999996</v>
      </c>
      <c r="AD69" s="13">
        <f>IF(AH69&gt;AH68,AD68,IF(AD68&lt;MiscData!$F$1,EOMONTH(AD68,1),EOMONTH(AD68,-11)))</f>
        <v>42400</v>
      </c>
      <c r="AE69" s="7" t="str">
        <f t="shared" si="42"/>
        <v>20140101KUUM_474</v>
      </c>
      <c r="AF69" s="12" t="str">
        <f t="shared" si="43"/>
        <v>20140101LS</v>
      </c>
      <c r="AG69" s="31"/>
      <c r="AH69">
        <f>IF(AH68=MiscData!$AB$91,1,AH68+1)</f>
        <v>68</v>
      </c>
      <c r="AI69">
        <f>IF(AD69&lt;=MiscData!$B$23,MiscData!$C$23,IF(AD69&lt;=MiscData!$B$24,MiscData!$C$24,MiscData!$C$25))</f>
        <v>20140101</v>
      </c>
      <c r="AK69" s="190" t="str">
        <f>VLOOKUP(AM69,MiscData!$AB$4:$ACB$113,2,FALSE)</f>
        <v>KUUM_474</v>
      </c>
      <c r="AL69" s="190" t="str">
        <f>VLOOKUP(AM69,MiscData!$AB$4:$AE$115,4,FALSE)</f>
        <v>LS</v>
      </c>
      <c r="AM69">
        <f>IF(AM68=MiscData!$AB$91,1,AM68+1)</f>
        <v>68</v>
      </c>
    </row>
    <row r="70" spans="1:39">
      <c r="A70" s="7">
        <f t="shared" si="49"/>
        <v>69</v>
      </c>
      <c r="B70" s="13" t="str">
        <f t="shared" si="25"/>
        <v>Jan 2016</v>
      </c>
      <c r="C70" s="23" t="str">
        <f t="shared" si="26"/>
        <v>LS</v>
      </c>
      <c r="D70" s="23" t="str">
        <f t="shared" si="27"/>
        <v>KUUM_475</v>
      </c>
      <c r="E70" s="170">
        <f t="shared" si="28"/>
        <v>506</v>
      </c>
      <c r="F70" s="185"/>
      <c r="G70" s="170">
        <f t="shared" si="29"/>
        <v>0</v>
      </c>
      <c r="H70" s="170">
        <v>0</v>
      </c>
      <c r="I70" s="11">
        <f t="shared" si="30"/>
        <v>24.46</v>
      </c>
      <c r="J70" s="11">
        <f t="shared" si="31"/>
        <v>4.5300000000000011</v>
      </c>
      <c r="K70" s="416">
        <f t="shared" si="44"/>
        <v>12376.76</v>
      </c>
      <c r="L70" s="180"/>
      <c r="M70" s="180"/>
      <c r="N70" s="182">
        <f t="shared" si="32"/>
        <v>12376.76</v>
      </c>
      <c r="O70" s="29">
        <f t="shared" si="33"/>
        <v>0</v>
      </c>
      <c r="P70" s="181">
        <f t="shared" si="45"/>
        <v>0</v>
      </c>
      <c r="Q70" s="182">
        <f t="shared" si="34"/>
        <v>0</v>
      </c>
      <c r="R70" s="182">
        <f t="shared" si="35"/>
        <v>0</v>
      </c>
      <c r="S70" s="182">
        <f t="shared" si="36"/>
        <v>0</v>
      </c>
      <c r="T70" s="182">
        <f t="shared" si="37"/>
        <v>0</v>
      </c>
      <c r="U70" s="182">
        <f t="shared" si="38"/>
        <v>0</v>
      </c>
      <c r="V70" s="14">
        <f t="shared" si="39"/>
        <v>12376.76</v>
      </c>
      <c r="W70" s="14">
        <f t="shared" si="40"/>
        <v>-12376.76</v>
      </c>
      <c r="Y70" s="14">
        <f t="shared" si="46"/>
        <v>2292.1799999999998</v>
      </c>
      <c r="Z70" s="14">
        <f t="shared" si="47"/>
        <v>-2292.1799999999998</v>
      </c>
      <c r="AA70" s="11">
        <f t="shared" si="41"/>
        <v>0.79</v>
      </c>
      <c r="AB70" s="9">
        <f t="shared" si="48"/>
        <v>399.74</v>
      </c>
      <c r="AD70" s="13">
        <f>IF(AH70&gt;AH69,AD69,IF(AD69&lt;MiscData!$F$1,EOMONTH(AD69,1),EOMONTH(AD69,-11)))</f>
        <v>42400</v>
      </c>
      <c r="AE70" s="7" t="str">
        <f t="shared" si="42"/>
        <v>20140101KUUM_475</v>
      </c>
      <c r="AF70" s="12" t="str">
        <f t="shared" si="43"/>
        <v>20140101LS</v>
      </c>
      <c r="AG70" s="31"/>
      <c r="AH70">
        <f>IF(AH69=MiscData!$AB$91,1,AH69+1)</f>
        <v>69</v>
      </c>
      <c r="AI70">
        <f>IF(AD70&lt;=MiscData!$B$23,MiscData!$C$23,IF(AD70&lt;=MiscData!$B$24,MiscData!$C$24,MiscData!$C$25))</f>
        <v>20140101</v>
      </c>
      <c r="AK70" s="190" t="str">
        <f>VLOOKUP(AM70,MiscData!$AB$4:$ACB$113,2,FALSE)</f>
        <v>KUUM_475</v>
      </c>
      <c r="AL70" s="190" t="str">
        <f>VLOOKUP(AM70,MiscData!$AB$4:$AE$115,4,FALSE)</f>
        <v>LS</v>
      </c>
      <c r="AM70">
        <f>IF(AM69=MiscData!$AB$91,1,AM69+1)</f>
        <v>69</v>
      </c>
    </row>
    <row r="71" spans="1:39">
      <c r="A71" s="7">
        <f t="shared" si="49"/>
        <v>70</v>
      </c>
      <c r="B71" s="13" t="str">
        <f t="shared" si="25"/>
        <v>Jan 2016</v>
      </c>
      <c r="C71" s="23" t="str">
        <f t="shared" si="26"/>
        <v>LS</v>
      </c>
      <c r="D71" s="23" t="str">
        <f t="shared" si="27"/>
        <v>KUUM_476</v>
      </c>
      <c r="E71" s="170">
        <f t="shared" si="28"/>
        <v>4464</v>
      </c>
      <c r="F71" s="185"/>
      <c r="G71" s="170">
        <f t="shared" si="29"/>
        <v>0</v>
      </c>
      <c r="H71" s="170">
        <v>0</v>
      </c>
      <c r="I71" s="11">
        <f t="shared" si="30"/>
        <v>16.79</v>
      </c>
      <c r="J71" s="11">
        <f t="shared" si="31"/>
        <v>0.79999999999999893</v>
      </c>
      <c r="K71" s="416">
        <f t="shared" si="44"/>
        <v>74950.559999999998</v>
      </c>
      <c r="L71" s="180"/>
      <c r="M71" s="180"/>
      <c r="N71" s="182">
        <f t="shared" si="32"/>
        <v>74950.559999999998</v>
      </c>
      <c r="O71" s="29">
        <f t="shared" si="33"/>
        <v>0</v>
      </c>
      <c r="P71" s="181">
        <f t="shared" si="45"/>
        <v>0</v>
      </c>
      <c r="Q71" s="182">
        <f t="shared" si="34"/>
        <v>0</v>
      </c>
      <c r="R71" s="182">
        <f t="shared" si="35"/>
        <v>0</v>
      </c>
      <c r="S71" s="182">
        <f t="shared" si="36"/>
        <v>0</v>
      </c>
      <c r="T71" s="182">
        <f t="shared" si="37"/>
        <v>0</v>
      </c>
      <c r="U71" s="182">
        <f t="shared" si="38"/>
        <v>0</v>
      </c>
      <c r="V71" s="14">
        <f t="shared" si="39"/>
        <v>74950.559999999998</v>
      </c>
      <c r="W71" s="14">
        <f t="shared" si="40"/>
        <v>-74950.559999999998</v>
      </c>
      <c r="Y71" s="14">
        <f t="shared" si="46"/>
        <v>3571.2</v>
      </c>
      <c r="Z71" s="14">
        <f t="shared" si="47"/>
        <v>-3571.2</v>
      </c>
      <c r="AA71" s="11">
        <f t="shared" si="41"/>
        <v>0.43</v>
      </c>
      <c r="AB71" s="9">
        <f t="shared" si="48"/>
        <v>1919.52</v>
      </c>
      <c r="AD71" s="13">
        <f>IF(AH71&gt;AH70,AD70,IF(AD70&lt;MiscData!$F$1,EOMONTH(AD70,1),EOMONTH(AD70,-11)))</f>
        <v>42400</v>
      </c>
      <c r="AE71" s="7" t="str">
        <f t="shared" si="42"/>
        <v>20140101KUUM_476</v>
      </c>
      <c r="AF71" s="12" t="str">
        <f t="shared" si="43"/>
        <v>20140101LS</v>
      </c>
      <c r="AG71" s="31"/>
      <c r="AH71">
        <f>IF(AH70=MiscData!$AB$91,1,AH70+1)</f>
        <v>70</v>
      </c>
      <c r="AI71">
        <f>IF(AD71&lt;=MiscData!$B$23,MiscData!$C$23,IF(AD71&lt;=MiscData!$B$24,MiscData!$C$24,MiscData!$C$25))</f>
        <v>20140101</v>
      </c>
      <c r="AK71" s="190" t="str">
        <f>VLOOKUP(AM71,MiscData!$AB$4:$ACB$113,2,FALSE)</f>
        <v>KUUM_476</v>
      </c>
      <c r="AL71" s="190" t="str">
        <f>VLOOKUP(AM71,MiscData!$AB$4:$AE$115,4,FALSE)</f>
        <v>LS</v>
      </c>
      <c r="AM71">
        <f>IF(AM70=MiscData!$AB$91,1,AM70+1)</f>
        <v>70</v>
      </c>
    </row>
    <row r="72" spans="1:39">
      <c r="A72" s="7">
        <f t="shared" si="49"/>
        <v>71</v>
      </c>
      <c r="B72" s="13" t="str">
        <f t="shared" si="25"/>
        <v>Jan 2016</v>
      </c>
      <c r="C72" s="23" t="str">
        <f t="shared" si="26"/>
        <v>LS</v>
      </c>
      <c r="D72" s="23" t="str">
        <f t="shared" si="27"/>
        <v>KUUM_477</v>
      </c>
      <c r="E72" s="170">
        <f t="shared" si="28"/>
        <v>1061</v>
      </c>
      <c r="F72" s="185"/>
      <c r="G72" s="170">
        <f t="shared" si="29"/>
        <v>0</v>
      </c>
      <c r="H72" s="170">
        <v>0</v>
      </c>
      <c r="I72" s="11">
        <f t="shared" si="30"/>
        <v>20.97</v>
      </c>
      <c r="J72" s="11">
        <f t="shared" si="31"/>
        <v>1.129999999999999</v>
      </c>
      <c r="K72" s="416">
        <f t="shared" si="44"/>
        <v>22249.17</v>
      </c>
      <c r="L72" s="180"/>
      <c r="M72" s="180"/>
      <c r="N72" s="182">
        <f t="shared" si="32"/>
        <v>22249.17</v>
      </c>
      <c r="O72" s="29">
        <f t="shared" si="33"/>
        <v>0</v>
      </c>
      <c r="P72" s="181">
        <f t="shared" si="45"/>
        <v>0</v>
      </c>
      <c r="Q72" s="182">
        <f t="shared" si="34"/>
        <v>0</v>
      </c>
      <c r="R72" s="182">
        <f t="shared" si="35"/>
        <v>0</v>
      </c>
      <c r="S72" s="182">
        <f t="shared" si="36"/>
        <v>0</v>
      </c>
      <c r="T72" s="182">
        <f t="shared" si="37"/>
        <v>0</v>
      </c>
      <c r="U72" s="182">
        <f t="shared" si="38"/>
        <v>0</v>
      </c>
      <c r="V72" s="14">
        <f t="shared" si="39"/>
        <v>22249.17</v>
      </c>
      <c r="W72" s="14">
        <f t="shared" si="40"/>
        <v>-22249.17</v>
      </c>
      <c r="Y72" s="14">
        <f t="shared" si="46"/>
        <v>1198.93</v>
      </c>
      <c r="Z72" s="14">
        <f t="shared" si="47"/>
        <v>-1198.93</v>
      </c>
      <c r="AA72" s="11">
        <f t="shared" si="41"/>
        <v>0.34</v>
      </c>
      <c r="AB72" s="9">
        <f t="shared" si="48"/>
        <v>360.74</v>
      </c>
      <c r="AD72" s="13">
        <f>IF(AH72&gt;AH71,AD71,IF(AD71&lt;MiscData!$F$1,EOMONTH(AD71,1),EOMONTH(AD71,-11)))</f>
        <v>42400</v>
      </c>
      <c r="AE72" s="7" t="str">
        <f t="shared" si="42"/>
        <v>20140101KUUM_477</v>
      </c>
      <c r="AF72" s="12" t="str">
        <f t="shared" si="43"/>
        <v>20140101LS</v>
      </c>
      <c r="AG72" s="31"/>
      <c r="AH72">
        <f>IF(AH71=MiscData!$AB$91,1,AH71+1)</f>
        <v>71</v>
      </c>
      <c r="AI72">
        <f>IF(AD72&lt;=MiscData!$B$23,MiscData!$C$23,IF(AD72&lt;=MiscData!$B$24,MiscData!$C$24,MiscData!$C$25))</f>
        <v>20140101</v>
      </c>
      <c r="AK72" s="190" t="str">
        <f>VLOOKUP(AM72,MiscData!$AB$4:$ACB$113,2,FALSE)</f>
        <v>KUUM_477</v>
      </c>
      <c r="AL72" s="190" t="str">
        <f>VLOOKUP(AM72,MiscData!$AB$4:$AE$115,4,FALSE)</f>
        <v>LS</v>
      </c>
      <c r="AM72">
        <f>IF(AM71=MiscData!$AB$91,1,AM71+1)</f>
        <v>71</v>
      </c>
    </row>
    <row r="73" spans="1:39">
      <c r="A73" s="7">
        <f t="shared" si="49"/>
        <v>72</v>
      </c>
      <c r="B73" s="13" t="str">
        <f t="shared" si="25"/>
        <v>Jan 2016</v>
      </c>
      <c r="C73" s="23" t="str">
        <f t="shared" si="26"/>
        <v>LS</v>
      </c>
      <c r="D73" s="23" t="str">
        <f t="shared" si="27"/>
        <v>KUUM_478</v>
      </c>
      <c r="E73" s="170">
        <f t="shared" si="28"/>
        <v>1421</v>
      </c>
      <c r="F73" s="185"/>
      <c r="G73" s="170">
        <f t="shared" si="29"/>
        <v>0</v>
      </c>
      <c r="H73" s="170">
        <v>0</v>
      </c>
      <c r="I73" s="11">
        <f t="shared" si="30"/>
        <v>26.86</v>
      </c>
      <c r="J73" s="11">
        <f t="shared" si="31"/>
        <v>2.3299999999999983</v>
      </c>
      <c r="K73" s="416">
        <f t="shared" si="44"/>
        <v>38168.06</v>
      </c>
      <c r="L73" s="180"/>
      <c r="M73" s="180"/>
      <c r="N73" s="182">
        <f t="shared" si="32"/>
        <v>38168.06</v>
      </c>
      <c r="O73" s="29">
        <f t="shared" si="33"/>
        <v>0</v>
      </c>
      <c r="P73" s="181">
        <f t="shared" si="45"/>
        <v>0</v>
      </c>
      <c r="Q73" s="182">
        <f t="shared" si="34"/>
        <v>0</v>
      </c>
      <c r="R73" s="182">
        <f t="shared" si="35"/>
        <v>0</v>
      </c>
      <c r="S73" s="182">
        <f t="shared" si="36"/>
        <v>0</v>
      </c>
      <c r="T73" s="182">
        <f t="shared" si="37"/>
        <v>0</v>
      </c>
      <c r="U73" s="182">
        <f t="shared" si="38"/>
        <v>0</v>
      </c>
      <c r="V73" s="14">
        <f t="shared" si="39"/>
        <v>38168.06</v>
      </c>
      <c r="W73" s="14">
        <f t="shared" si="40"/>
        <v>-38168.06</v>
      </c>
      <c r="Y73" s="14">
        <f t="shared" si="46"/>
        <v>3310.93</v>
      </c>
      <c r="Z73" s="14">
        <f t="shared" si="47"/>
        <v>-3310.93</v>
      </c>
      <c r="AA73" s="11">
        <f t="shared" si="41"/>
        <v>0.57999999999999996</v>
      </c>
      <c r="AB73" s="9">
        <f t="shared" si="48"/>
        <v>824.18</v>
      </c>
      <c r="AD73" s="13">
        <f>IF(AH73&gt;AH72,AD72,IF(AD72&lt;MiscData!$F$1,EOMONTH(AD72,1),EOMONTH(AD72,-11)))</f>
        <v>42400</v>
      </c>
      <c r="AE73" s="7" t="str">
        <f t="shared" si="42"/>
        <v>20140101KUUM_478</v>
      </c>
      <c r="AF73" s="12" t="str">
        <f t="shared" si="43"/>
        <v>20140101LS</v>
      </c>
      <c r="AG73" s="31"/>
      <c r="AH73">
        <f>IF(AH72=MiscData!$AB$91,1,AH72+1)</f>
        <v>72</v>
      </c>
      <c r="AI73">
        <f>IF(AD73&lt;=MiscData!$B$23,MiscData!$C$23,IF(AD73&lt;=MiscData!$B$24,MiscData!$C$24,MiscData!$C$25))</f>
        <v>20140101</v>
      </c>
      <c r="AK73" s="190" t="str">
        <f>VLOOKUP(AM73,MiscData!$AB$4:$ACB$113,2,FALSE)</f>
        <v>KUUM_478</v>
      </c>
      <c r="AL73" s="190" t="str">
        <f>VLOOKUP(AM73,MiscData!$AB$4:$AE$115,4,FALSE)</f>
        <v>LS</v>
      </c>
      <c r="AM73">
        <f>IF(AM72=MiscData!$AB$91,1,AM72+1)</f>
        <v>72</v>
      </c>
    </row>
    <row r="74" spans="1:39">
      <c r="A74" s="7">
        <f t="shared" si="49"/>
        <v>73</v>
      </c>
      <c r="B74" s="13" t="str">
        <f t="shared" si="25"/>
        <v>Jan 2016</v>
      </c>
      <c r="C74" s="23" t="str">
        <f t="shared" si="26"/>
        <v>LS</v>
      </c>
      <c r="D74" s="23" t="str">
        <f t="shared" si="27"/>
        <v>KUUM_479</v>
      </c>
      <c r="E74" s="170">
        <f t="shared" si="28"/>
        <v>962</v>
      </c>
      <c r="F74" s="185"/>
      <c r="G74" s="170">
        <f t="shared" si="29"/>
        <v>0</v>
      </c>
      <c r="H74" s="170">
        <v>0</v>
      </c>
      <c r="I74" s="11">
        <f t="shared" si="30"/>
        <v>33.119999999999997</v>
      </c>
      <c r="J74" s="11">
        <f t="shared" si="31"/>
        <v>4.529999999999994</v>
      </c>
      <c r="K74" s="416">
        <f t="shared" si="44"/>
        <v>31861.439999999999</v>
      </c>
      <c r="L74" s="180"/>
      <c r="M74" s="180"/>
      <c r="N74" s="182">
        <f t="shared" si="32"/>
        <v>31861.439999999999</v>
      </c>
      <c r="O74" s="29">
        <f t="shared" si="33"/>
        <v>0</v>
      </c>
      <c r="P74" s="181">
        <f t="shared" si="45"/>
        <v>0</v>
      </c>
      <c r="Q74" s="182">
        <f t="shared" si="34"/>
        <v>0</v>
      </c>
      <c r="R74" s="182">
        <f t="shared" si="35"/>
        <v>0</v>
      </c>
      <c r="S74" s="182">
        <f t="shared" si="36"/>
        <v>0</v>
      </c>
      <c r="T74" s="182">
        <f t="shared" si="37"/>
        <v>0</v>
      </c>
      <c r="U74" s="182">
        <f t="shared" si="38"/>
        <v>0</v>
      </c>
      <c r="V74" s="14">
        <f t="shared" si="39"/>
        <v>31861.439999999999</v>
      </c>
      <c r="W74" s="14">
        <f t="shared" si="40"/>
        <v>-31861.439999999999</v>
      </c>
      <c r="Y74" s="14">
        <f t="shared" si="46"/>
        <v>4357.8599999999997</v>
      </c>
      <c r="Z74" s="14">
        <f t="shared" si="47"/>
        <v>-4357.8599999999997</v>
      </c>
      <c r="AA74" s="11">
        <f t="shared" si="41"/>
        <v>0.79</v>
      </c>
      <c r="AB74" s="9">
        <f t="shared" si="48"/>
        <v>759.98</v>
      </c>
      <c r="AD74" s="13">
        <f>IF(AH74&gt;AH73,AD73,IF(AD73&lt;MiscData!$F$1,EOMONTH(AD73,1),EOMONTH(AD73,-11)))</f>
        <v>42400</v>
      </c>
      <c r="AE74" s="7" t="str">
        <f t="shared" si="42"/>
        <v>20140101KUUM_479</v>
      </c>
      <c r="AF74" s="12" t="str">
        <f t="shared" si="43"/>
        <v>20140101LS</v>
      </c>
      <c r="AG74" s="31"/>
      <c r="AH74">
        <f>IF(AH73=MiscData!$AB$91,1,AH73+1)</f>
        <v>73</v>
      </c>
      <c r="AI74">
        <f>IF(AD74&lt;=MiscData!$B$23,MiscData!$C$23,IF(AD74&lt;=MiscData!$B$24,MiscData!$C$24,MiscData!$C$25))</f>
        <v>20140101</v>
      </c>
      <c r="AK74" s="190" t="str">
        <f>VLOOKUP(AM74,MiscData!$AB$4:$ACB$113,2,FALSE)</f>
        <v>KUUM_479</v>
      </c>
      <c r="AL74" s="190" t="str">
        <f>VLOOKUP(AM74,MiscData!$AB$4:$AE$115,4,FALSE)</f>
        <v>LS</v>
      </c>
      <c r="AM74">
        <f>IF(AM73=MiscData!$AB$91,1,AM73+1)</f>
        <v>73</v>
      </c>
    </row>
    <row r="75" spans="1:39">
      <c r="A75" s="7">
        <f t="shared" si="49"/>
        <v>74</v>
      </c>
      <c r="B75" s="13" t="str">
        <f t="shared" si="25"/>
        <v>Jan 2016</v>
      </c>
      <c r="C75" s="23" t="str">
        <f t="shared" si="26"/>
        <v>LS</v>
      </c>
      <c r="D75" s="23" t="str">
        <f t="shared" si="27"/>
        <v>KUUM_486</v>
      </c>
      <c r="E75" s="170">
        <f t="shared" si="28"/>
        <v>0</v>
      </c>
      <c r="F75" s="185"/>
      <c r="G75" s="170">
        <f t="shared" si="29"/>
        <v>0</v>
      </c>
      <c r="H75" s="170">
        <v>0</v>
      </c>
      <c r="I75" s="11">
        <f t="shared" si="30"/>
        <v>0</v>
      </c>
      <c r="J75" s="11">
        <f t="shared" si="31"/>
        <v>0</v>
      </c>
      <c r="K75" s="416">
        <f t="shared" si="44"/>
        <v>0</v>
      </c>
      <c r="L75" s="180"/>
      <c r="M75" s="180"/>
      <c r="N75" s="182">
        <f t="shared" si="32"/>
        <v>0</v>
      </c>
      <c r="O75" s="29">
        <f t="shared" si="33"/>
        <v>0</v>
      </c>
      <c r="P75" s="181">
        <f t="shared" si="45"/>
        <v>1</v>
      </c>
      <c r="Q75" s="182">
        <f t="shared" si="34"/>
        <v>0</v>
      </c>
      <c r="R75" s="182">
        <f t="shared" si="35"/>
        <v>0</v>
      </c>
      <c r="S75" s="182">
        <f t="shared" si="36"/>
        <v>0</v>
      </c>
      <c r="T75" s="182">
        <f t="shared" si="37"/>
        <v>0</v>
      </c>
      <c r="U75" s="182">
        <f t="shared" si="38"/>
        <v>0</v>
      </c>
      <c r="V75" s="14">
        <f t="shared" si="39"/>
        <v>0</v>
      </c>
      <c r="W75" s="14">
        <f t="shared" si="40"/>
        <v>0</v>
      </c>
      <c r="Y75" s="14">
        <f t="shared" si="46"/>
        <v>0</v>
      </c>
      <c r="Z75" s="14">
        <f t="shared" si="47"/>
        <v>0</v>
      </c>
      <c r="AA75" s="11">
        <f t="shared" si="41"/>
        <v>0</v>
      </c>
      <c r="AB75" s="9">
        <f t="shared" si="48"/>
        <v>0</v>
      </c>
      <c r="AD75" s="13">
        <f>IF(AH75&gt;AH74,AD74,IF(AD74&lt;MiscData!$F$1,EOMONTH(AD74,1),EOMONTH(AD74,-11)))</f>
        <v>42400</v>
      </c>
      <c r="AE75" s="7" t="str">
        <f t="shared" si="42"/>
        <v>20140101KUUM_486</v>
      </c>
      <c r="AF75" s="12" t="str">
        <f t="shared" si="43"/>
        <v>20140101LS</v>
      </c>
      <c r="AG75" s="31"/>
      <c r="AH75">
        <f>IF(AH74=MiscData!$AB$91,1,AH74+1)</f>
        <v>74</v>
      </c>
      <c r="AI75">
        <f>IF(AD75&lt;=MiscData!$B$23,MiscData!$C$23,IF(AD75&lt;=MiscData!$B$24,MiscData!$C$24,MiscData!$C$25))</f>
        <v>20140101</v>
      </c>
      <c r="AK75" s="190" t="str">
        <f>VLOOKUP(AM75,MiscData!$AB$4:$ACB$113,2,FALSE)</f>
        <v>KUUM_486</v>
      </c>
      <c r="AL75" s="190" t="str">
        <f>VLOOKUP(AM75,MiscData!$AB$4:$AE$115,4,FALSE)</f>
        <v>LS</v>
      </c>
      <c r="AM75">
        <f>IF(AM74=MiscData!$AB$91,1,AM74+1)</f>
        <v>74</v>
      </c>
    </row>
    <row r="76" spans="1:39">
      <c r="A76" s="7">
        <f t="shared" si="49"/>
        <v>75</v>
      </c>
      <c r="B76" s="13" t="str">
        <f t="shared" si="25"/>
        <v>Jan 2016</v>
      </c>
      <c r="C76" s="23" t="str">
        <f t="shared" si="26"/>
        <v>LS</v>
      </c>
      <c r="D76" s="23" t="str">
        <f t="shared" si="27"/>
        <v>KUUM_487</v>
      </c>
      <c r="E76" s="170">
        <f t="shared" si="28"/>
        <v>11100</v>
      </c>
      <c r="F76" s="185"/>
      <c r="G76" s="170">
        <f t="shared" si="29"/>
        <v>0</v>
      </c>
      <c r="H76" s="170">
        <v>0</v>
      </c>
      <c r="I76" s="11">
        <f t="shared" si="30"/>
        <v>9</v>
      </c>
      <c r="J76" s="11">
        <f t="shared" si="31"/>
        <v>1.1299999999999999</v>
      </c>
      <c r="K76" s="416">
        <f t="shared" si="44"/>
        <v>99900</v>
      </c>
      <c r="L76" s="180"/>
      <c r="M76" s="180"/>
      <c r="N76" s="182">
        <f t="shared" si="32"/>
        <v>99900</v>
      </c>
      <c r="O76" s="29">
        <f t="shared" si="33"/>
        <v>0</v>
      </c>
      <c r="P76" s="181">
        <f t="shared" si="45"/>
        <v>0</v>
      </c>
      <c r="Q76" s="182">
        <f t="shared" si="34"/>
        <v>0</v>
      </c>
      <c r="R76" s="182">
        <f t="shared" si="35"/>
        <v>0</v>
      </c>
      <c r="S76" s="182">
        <f t="shared" si="36"/>
        <v>0</v>
      </c>
      <c r="T76" s="182">
        <f t="shared" si="37"/>
        <v>0</v>
      </c>
      <c r="U76" s="182">
        <f t="shared" si="38"/>
        <v>0</v>
      </c>
      <c r="V76" s="14">
        <f t="shared" si="39"/>
        <v>99900</v>
      </c>
      <c r="W76" s="14">
        <f t="shared" si="40"/>
        <v>-99900</v>
      </c>
      <c r="Y76" s="14">
        <f t="shared" si="46"/>
        <v>12543</v>
      </c>
      <c r="Z76" s="14">
        <f t="shared" si="47"/>
        <v>-12543</v>
      </c>
      <c r="AA76" s="11">
        <f t="shared" si="41"/>
        <v>0.34</v>
      </c>
      <c r="AB76" s="9">
        <f t="shared" si="48"/>
        <v>3774.0000000000005</v>
      </c>
      <c r="AD76" s="13">
        <f>IF(AH76&gt;AH75,AD75,IF(AD75&lt;MiscData!$F$1,EOMONTH(AD75,1),EOMONTH(AD75,-11)))</f>
        <v>42400</v>
      </c>
      <c r="AE76" s="7" t="str">
        <f t="shared" si="42"/>
        <v>20140101KUUM_487</v>
      </c>
      <c r="AF76" s="12" t="str">
        <f t="shared" si="43"/>
        <v>20140101LS</v>
      </c>
      <c r="AG76" s="31"/>
      <c r="AH76">
        <f>IF(AH75=MiscData!$AB$91,1,AH75+1)</f>
        <v>75</v>
      </c>
      <c r="AI76">
        <f>IF(AD76&lt;=MiscData!$B$23,MiscData!$C$23,IF(AD76&lt;=MiscData!$B$24,MiscData!$C$24,MiscData!$C$25))</f>
        <v>20140101</v>
      </c>
      <c r="AK76" s="190" t="str">
        <f>VLOOKUP(AM76,MiscData!$AB$4:$ACB$113,2,FALSE)</f>
        <v>KUUM_487</v>
      </c>
      <c r="AL76" s="190" t="str">
        <f>VLOOKUP(AM76,MiscData!$AB$4:$AE$115,4,FALSE)</f>
        <v>LS</v>
      </c>
      <c r="AM76">
        <f>IF(AM75=MiscData!$AB$91,1,AM75+1)</f>
        <v>75</v>
      </c>
    </row>
    <row r="77" spans="1:39">
      <c r="A77" s="7">
        <f t="shared" si="49"/>
        <v>76</v>
      </c>
      <c r="B77" s="13" t="str">
        <f t="shared" si="25"/>
        <v>Jan 2016</v>
      </c>
      <c r="C77" s="23" t="str">
        <f t="shared" si="26"/>
        <v>LS</v>
      </c>
      <c r="D77" s="23" t="str">
        <f t="shared" si="27"/>
        <v>KUUM_488</v>
      </c>
      <c r="E77" s="170">
        <f t="shared" si="28"/>
        <v>6584</v>
      </c>
      <c r="F77" s="185"/>
      <c r="G77" s="170">
        <f t="shared" si="29"/>
        <v>0</v>
      </c>
      <c r="H77" s="170">
        <v>0</v>
      </c>
      <c r="I77" s="11">
        <f t="shared" si="30"/>
        <v>13.639999999999999</v>
      </c>
      <c r="J77" s="11">
        <f t="shared" si="31"/>
        <v>2.33</v>
      </c>
      <c r="K77" s="416">
        <f t="shared" si="44"/>
        <v>89805.759999999995</v>
      </c>
      <c r="L77" s="180"/>
      <c r="M77" s="180"/>
      <c r="N77" s="182">
        <f t="shared" si="32"/>
        <v>89805.759999999995</v>
      </c>
      <c r="O77" s="29">
        <f t="shared" si="33"/>
        <v>0</v>
      </c>
      <c r="P77" s="181">
        <f t="shared" si="45"/>
        <v>0</v>
      </c>
      <c r="Q77" s="182">
        <f t="shared" si="34"/>
        <v>0</v>
      </c>
      <c r="R77" s="182">
        <f t="shared" si="35"/>
        <v>0</v>
      </c>
      <c r="S77" s="182">
        <f t="shared" si="36"/>
        <v>0</v>
      </c>
      <c r="T77" s="182">
        <f t="shared" si="37"/>
        <v>0</v>
      </c>
      <c r="U77" s="182">
        <f t="shared" si="38"/>
        <v>0</v>
      </c>
      <c r="V77" s="14">
        <f t="shared" si="39"/>
        <v>89805.759999999995</v>
      </c>
      <c r="W77" s="14">
        <f t="shared" si="40"/>
        <v>-89805.759999999995</v>
      </c>
      <c r="Y77" s="14">
        <f t="shared" si="46"/>
        <v>15340.72</v>
      </c>
      <c r="Z77" s="14">
        <f t="shared" si="47"/>
        <v>-15340.72</v>
      </c>
      <c r="AA77" s="11">
        <f t="shared" si="41"/>
        <v>0.57999999999999996</v>
      </c>
      <c r="AB77" s="9">
        <f t="shared" si="48"/>
        <v>3818.72</v>
      </c>
      <c r="AD77" s="13">
        <f>IF(AH77&gt;AH76,AD76,IF(AD76&lt;MiscData!$F$1,EOMONTH(AD76,1),EOMONTH(AD76,-11)))</f>
        <v>42400</v>
      </c>
      <c r="AE77" s="7" t="str">
        <f t="shared" si="42"/>
        <v>20140101KUUM_488</v>
      </c>
      <c r="AF77" s="12" t="str">
        <f t="shared" si="43"/>
        <v>20140101LS</v>
      </c>
      <c r="AG77" s="31"/>
      <c r="AH77">
        <f>IF(AH76=MiscData!$AB$91,1,AH76+1)</f>
        <v>76</v>
      </c>
      <c r="AI77">
        <f>IF(AD77&lt;=MiscData!$B$23,MiscData!$C$23,IF(AD77&lt;=MiscData!$B$24,MiscData!$C$24,MiscData!$C$25))</f>
        <v>20140101</v>
      </c>
      <c r="AK77" s="190" t="str">
        <f>VLOOKUP(AM77,MiscData!$AB$4:$ACB$113,2,FALSE)</f>
        <v>KUUM_488</v>
      </c>
      <c r="AL77" s="190" t="str">
        <f>VLOOKUP(AM77,MiscData!$AB$4:$AE$115,4,FALSE)</f>
        <v>LS</v>
      </c>
      <c r="AM77">
        <f>IF(AM76=MiscData!$AB$91,1,AM76+1)</f>
        <v>76</v>
      </c>
    </row>
    <row r="78" spans="1:39">
      <c r="A78" s="7">
        <f t="shared" si="49"/>
        <v>77</v>
      </c>
      <c r="B78" s="13" t="str">
        <f t="shared" si="25"/>
        <v>Jan 2016</v>
      </c>
      <c r="C78" s="23" t="str">
        <f t="shared" si="26"/>
        <v>LS</v>
      </c>
      <c r="D78" s="23" t="str">
        <f t="shared" si="27"/>
        <v>KUUM_489</v>
      </c>
      <c r="E78" s="170">
        <f t="shared" si="28"/>
        <v>8363</v>
      </c>
      <c r="F78" s="185"/>
      <c r="G78" s="170">
        <f t="shared" si="29"/>
        <v>0</v>
      </c>
      <c r="H78" s="170">
        <v>0</v>
      </c>
      <c r="I78" s="11">
        <f t="shared" si="30"/>
        <v>19.46</v>
      </c>
      <c r="J78" s="11">
        <f t="shared" si="31"/>
        <v>4.5300000000000011</v>
      </c>
      <c r="K78" s="416">
        <f t="shared" si="44"/>
        <v>162743.98000000001</v>
      </c>
      <c r="L78" s="180"/>
      <c r="M78" s="180"/>
      <c r="N78" s="182">
        <f t="shared" si="32"/>
        <v>162743.98000000001</v>
      </c>
      <c r="O78" s="29">
        <f t="shared" si="33"/>
        <v>0</v>
      </c>
      <c r="P78" s="181">
        <f t="shared" si="45"/>
        <v>0</v>
      </c>
      <c r="Q78" s="182">
        <f t="shared" si="34"/>
        <v>0</v>
      </c>
      <c r="R78" s="182">
        <f t="shared" si="35"/>
        <v>0</v>
      </c>
      <c r="S78" s="182">
        <f t="shared" si="36"/>
        <v>0</v>
      </c>
      <c r="T78" s="182">
        <f t="shared" si="37"/>
        <v>0</v>
      </c>
      <c r="U78" s="182">
        <f t="shared" si="38"/>
        <v>0</v>
      </c>
      <c r="V78" s="14">
        <f t="shared" si="39"/>
        <v>162743.98000000001</v>
      </c>
      <c r="W78" s="14">
        <f t="shared" si="40"/>
        <v>-162743.98000000001</v>
      </c>
      <c r="Y78" s="14">
        <f t="shared" si="46"/>
        <v>37884.39</v>
      </c>
      <c r="Z78" s="14">
        <f t="shared" si="47"/>
        <v>-37884.39</v>
      </c>
      <c r="AA78" s="11">
        <f t="shared" si="41"/>
        <v>0.79</v>
      </c>
      <c r="AB78" s="9">
        <f t="shared" si="48"/>
        <v>6606.77</v>
      </c>
      <c r="AD78" s="13">
        <f>IF(AH78&gt;AH77,AD77,IF(AD77&lt;MiscData!$F$1,EOMONTH(AD77,1),EOMONTH(AD77,-11)))</f>
        <v>42400</v>
      </c>
      <c r="AE78" s="7" t="str">
        <f t="shared" si="42"/>
        <v>20140101KUUM_489</v>
      </c>
      <c r="AF78" s="12" t="str">
        <f t="shared" si="43"/>
        <v>20140101LS</v>
      </c>
      <c r="AG78" s="31"/>
      <c r="AH78">
        <f>IF(AH77=MiscData!$AB$91,1,AH77+1)</f>
        <v>77</v>
      </c>
      <c r="AI78">
        <f>IF(AD78&lt;=MiscData!$B$23,MiscData!$C$23,IF(AD78&lt;=MiscData!$B$24,MiscData!$C$24,MiscData!$C$25))</f>
        <v>20140101</v>
      </c>
      <c r="AK78" s="190" t="str">
        <f>VLOOKUP(AM78,MiscData!$AB$4:$ACB$113,2,FALSE)</f>
        <v>KUUM_489</v>
      </c>
      <c r="AL78" s="190" t="str">
        <f>VLOOKUP(AM78,MiscData!$AB$4:$AE$115,4,FALSE)</f>
        <v>LS</v>
      </c>
      <c r="AM78">
        <f>IF(AM77=MiscData!$AB$91,1,AM77+1)</f>
        <v>77</v>
      </c>
    </row>
    <row r="79" spans="1:39">
      <c r="A79" s="7">
        <f t="shared" si="49"/>
        <v>78</v>
      </c>
      <c r="B79" s="13" t="str">
        <f t="shared" si="25"/>
        <v>Jan 2016</v>
      </c>
      <c r="C79" s="23" t="str">
        <f t="shared" si="26"/>
        <v>LS</v>
      </c>
      <c r="D79" s="23" t="str">
        <f t="shared" si="27"/>
        <v>KUUM_490</v>
      </c>
      <c r="E79" s="170">
        <f t="shared" si="28"/>
        <v>58</v>
      </c>
      <c r="F79" s="185"/>
      <c r="G79" s="170">
        <f t="shared" si="29"/>
        <v>0</v>
      </c>
      <c r="H79" s="170">
        <v>0</v>
      </c>
      <c r="I79" s="11">
        <f t="shared" si="30"/>
        <v>15.47</v>
      </c>
      <c r="J79" s="11">
        <f t="shared" si="31"/>
        <v>1.9700000000000006</v>
      </c>
      <c r="K79" s="416">
        <f t="shared" si="44"/>
        <v>897.26</v>
      </c>
      <c r="L79" s="180"/>
      <c r="M79" s="180"/>
      <c r="N79" s="182">
        <f t="shared" si="32"/>
        <v>897.26</v>
      </c>
      <c r="O79" s="29">
        <f t="shared" si="33"/>
        <v>0</v>
      </c>
      <c r="P79" s="181">
        <f t="shared" si="45"/>
        <v>0</v>
      </c>
      <c r="Q79" s="182">
        <f t="shared" si="34"/>
        <v>0</v>
      </c>
      <c r="R79" s="182">
        <f t="shared" si="35"/>
        <v>0</v>
      </c>
      <c r="S79" s="182">
        <f t="shared" si="36"/>
        <v>0</v>
      </c>
      <c r="T79" s="182">
        <f t="shared" si="37"/>
        <v>0</v>
      </c>
      <c r="U79" s="182">
        <f t="shared" si="38"/>
        <v>0</v>
      </c>
      <c r="V79" s="14">
        <f t="shared" si="39"/>
        <v>897.26</v>
      </c>
      <c r="W79" s="14">
        <f t="shared" si="40"/>
        <v>-897.26</v>
      </c>
      <c r="Y79" s="14">
        <f t="shared" si="46"/>
        <v>114.26</v>
      </c>
      <c r="Z79" s="14">
        <f t="shared" si="47"/>
        <v>-114.26</v>
      </c>
      <c r="AA79" s="11">
        <f t="shared" si="41"/>
        <v>0.66</v>
      </c>
      <c r="AB79" s="9">
        <f t="shared" si="48"/>
        <v>38.28</v>
      </c>
      <c r="AD79" s="13">
        <f>IF(AH79&gt;AH78,AD78,IF(AD78&lt;MiscData!$F$1,EOMONTH(AD78,1),EOMONTH(AD78,-11)))</f>
        <v>42400</v>
      </c>
      <c r="AE79" s="7" t="str">
        <f t="shared" si="42"/>
        <v>20140101KUUM_490</v>
      </c>
      <c r="AF79" s="12" t="str">
        <f t="shared" si="43"/>
        <v>20140101LS</v>
      </c>
      <c r="AG79" s="31"/>
      <c r="AH79">
        <f>IF(AH78=MiscData!$AB$91,1,AH78+1)</f>
        <v>78</v>
      </c>
      <c r="AI79">
        <f>IF(AD79&lt;=MiscData!$B$23,MiscData!$C$23,IF(AD79&lt;=MiscData!$B$24,MiscData!$C$24,MiscData!$C$25))</f>
        <v>20140101</v>
      </c>
      <c r="AK79" s="190" t="str">
        <f>VLOOKUP(AM79,MiscData!$AB$4:$ACB$113,2,FALSE)</f>
        <v>KUUM_490</v>
      </c>
      <c r="AL79" s="190" t="str">
        <f>VLOOKUP(AM79,MiscData!$AB$4:$AE$115,4,FALSE)</f>
        <v>LS</v>
      </c>
      <c r="AM79">
        <f>IF(AM78=MiscData!$AB$91,1,AM78+1)</f>
        <v>78</v>
      </c>
    </row>
    <row r="80" spans="1:39">
      <c r="A80" s="7">
        <f t="shared" si="49"/>
        <v>79</v>
      </c>
      <c r="B80" s="13" t="str">
        <f t="shared" si="25"/>
        <v>Jan 2016</v>
      </c>
      <c r="C80" s="23" t="str">
        <f t="shared" si="26"/>
        <v>LS</v>
      </c>
      <c r="D80" s="23" t="str">
        <f t="shared" si="27"/>
        <v>KUUM_491</v>
      </c>
      <c r="E80" s="170">
        <f t="shared" si="28"/>
        <v>301</v>
      </c>
      <c r="F80" s="185"/>
      <c r="G80" s="170">
        <f t="shared" si="29"/>
        <v>0</v>
      </c>
      <c r="H80" s="170">
        <v>0</v>
      </c>
      <c r="I80" s="11">
        <f t="shared" si="30"/>
        <v>21.930000000000003</v>
      </c>
      <c r="J80" s="11">
        <f t="shared" si="31"/>
        <v>4.2900000000000027</v>
      </c>
      <c r="K80" s="416">
        <f t="shared" si="44"/>
        <v>6600.93</v>
      </c>
      <c r="L80" s="180"/>
      <c r="M80" s="180"/>
      <c r="N80" s="182">
        <f t="shared" si="32"/>
        <v>6600.93</v>
      </c>
      <c r="O80" s="29">
        <f t="shared" si="33"/>
        <v>0</v>
      </c>
      <c r="P80" s="181">
        <f t="shared" si="45"/>
        <v>0</v>
      </c>
      <c r="Q80" s="182">
        <f t="shared" si="34"/>
        <v>0</v>
      </c>
      <c r="R80" s="182">
        <f t="shared" si="35"/>
        <v>0</v>
      </c>
      <c r="S80" s="182">
        <f t="shared" si="36"/>
        <v>0</v>
      </c>
      <c r="T80" s="182">
        <f t="shared" si="37"/>
        <v>0</v>
      </c>
      <c r="U80" s="182">
        <f t="shared" si="38"/>
        <v>0</v>
      </c>
      <c r="V80" s="14">
        <f t="shared" si="39"/>
        <v>6600.93</v>
      </c>
      <c r="W80" s="14">
        <f t="shared" si="40"/>
        <v>-6600.93</v>
      </c>
      <c r="Y80" s="14">
        <f t="shared" si="46"/>
        <v>1291.29</v>
      </c>
      <c r="Z80" s="14">
        <f t="shared" si="47"/>
        <v>-1291.29</v>
      </c>
      <c r="AA80" s="11">
        <f t="shared" si="41"/>
        <v>0.84</v>
      </c>
      <c r="AB80" s="9">
        <f t="shared" si="48"/>
        <v>252.84</v>
      </c>
      <c r="AD80" s="13">
        <f>IF(AH80&gt;AH79,AD79,IF(AD79&lt;MiscData!$F$1,EOMONTH(AD79,1),EOMONTH(AD79,-11)))</f>
        <v>42400</v>
      </c>
      <c r="AE80" s="7" t="str">
        <f t="shared" si="42"/>
        <v>20140101KUUM_491</v>
      </c>
      <c r="AF80" s="12" t="str">
        <f t="shared" si="43"/>
        <v>20140101LS</v>
      </c>
      <c r="AG80" s="31"/>
      <c r="AH80">
        <f>IF(AH79=MiscData!$AB$91,1,AH79+1)</f>
        <v>79</v>
      </c>
      <c r="AI80">
        <f>IF(AD80&lt;=MiscData!$B$23,MiscData!$C$23,IF(AD80&lt;=MiscData!$B$24,MiscData!$C$24,MiscData!$C$25))</f>
        <v>20140101</v>
      </c>
      <c r="AK80" s="190" t="str">
        <f>VLOOKUP(AM80,MiscData!$AB$4:$ACB$113,2,FALSE)</f>
        <v>KUUM_491</v>
      </c>
      <c r="AL80" s="190" t="str">
        <f>VLOOKUP(AM80,MiscData!$AB$4:$AE$115,4,FALSE)</f>
        <v>LS</v>
      </c>
      <c r="AM80">
        <f>IF(AM79=MiscData!$AB$91,1,AM79+1)</f>
        <v>79</v>
      </c>
    </row>
    <row r="81" spans="1:39">
      <c r="A81" s="7">
        <f t="shared" si="49"/>
        <v>80</v>
      </c>
      <c r="B81" s="13" t="str">
        <f t="shared" si="25"/>
        <v>Jan 2016</v>
      </c>
      <c r="C81" s="23" t="str">
        <f t="shared" si="26"/>
        <v>LS</v>
      </c>
      <c r="D81" s="23" t="str">
        <f t="shared" si="27"/>
        <v>KUUM_492</v>
      </c>
      <c r="E81" s="170">
        <f t="shared" si="28"/>
        <v>2</v>
      </c>
      <c r="F81" s="185"/>
      <c r="G81" s="170">
        <f t="shared" si="29"/>
        <v>0</v>
      </c>
      <c r="H81" s="170">
        <v>0</v>
      </c>
      <c r="I81" s="11">
        <f t="shared" si="30"/>
        <v>15.370000000000001</v>
      </c>
      <c r="J81" s="11">
        <f t="shared" si="31"/>
        <v>0.80000000000000071</v>
      </c>
      <c r="K81" s="416">
        <f t="shared" si="44"/>
        <v>30.74</v>
      </c>
      <c r="L81" s="180"/>
      <c r="M81" s="180"/>
      <c r="N81" s="182">
        <f t="shared" si="32"/>
        <v>30.74</v>
      </c>
      <c r="O81" s="29">
        <f t="shared" si="33"/>
        <v>0</v>
      </c>
      <c r="P81" s="181">
        <f t="shared" si="45"/>
        <v>0</v>
      </c>
      <c r="Q81" s="182">
        <f t="shared" si="34"/>
        <v>0</v>
      </c>
      <c r="R81" s="182">
        <f t="shared" si="35"/>
        <v>0</v>
      </c>
      <c r="S81" s="182">
        <f t="shared" si="36"/>
        <v>0</v>
      </c>
      <c r="T81" s="182">
        <f t="shared" si="37"/>
        <v>0</v>
      </c>
      <c r="U81" s="182">
        <f t="shared" si="38"/>
        <v>0</v>
      </c>
      <c r="V81" s="14">
        <f t="shared" si="39"/>
        <v>30.74</v>
      </c>
      <c r="W81" s="14">
        <f t="shared" si="40"/>
        <v>-30.74</v>
      </c>
      <c r="Y81" s="14">
        <f t="shared" si="46"/>
        <v>1.6</v>
      </c>
      <c r="Z81" s="14">
        <f t="shared" si="47"/>
        <v>-1.6</v>
      </c>
      <c r="AA81" s="11">
        <f t="shared" si="41"/>
        <v>0.43</v>
      </c>
      <c r="AB81" s="9">
        <f t="shared" si="48"/>
        <v>0.86</v>
      </c>
      <c r="AD81" s="13">
        <f>IF(AH81&gt;AH80,AD80,IF(AD80&lt;MiscData!$F$1,EOMONTH(AD80,1),EOMONTH(AD80,-11)))</f>
        <v>42400</v>
      </c>
      <c r="AE81" s="7" t="str">
        <f t="shared" si="42"/>
        <v>20140101KUUM_492</v>
      </c>
      <c r="AF81" s="12" t="str">
        <f t="shared" si="43"/>
        <v>20140101LS</v>
      </c>
      <c r="AG81" s="31"/>
      <c r="AH81">
        <f>IF(AH80=MiscData!$AB$91,1,AH80+1)</f>
        <v>80</v>
      </c>
      <c r="AI81">
        <f>IF(AD81&lt;=MiscData!$B$23,MiscData!$C$23,IF(AD81&lt;=MiscData!$B$24,MiscData!$C$24,MiscData!$C$25))</f>
        <v>20140101</v>
      </c>
      <c r="AK81" s="190" t="str">
        <f>VLOOKUP(AM81,MiscData!$AB$4:$ACB$113,2,FALSE)</f>
        <v>KUUM_492</v>
      </c>
      <c r="AL81" s="190" t="str">
        <f>VLOOKUP(AM81,MiscData!$AB$4:$AE$115,4,FALSE)</f>
        <v>LS</v>
      </c>
      <c r="AM81">
        <f>IF(AM80=MiscData!$AB$91,1,AM80+1)</f>
        <v>80</v>
      </c>
    </row>
    <row r="82" spans="1:39">
      <c r="A82" s="7">
        <f t="shared" si="49"/>
        <v>81</v>
      </c>
      <c r="B82" s="13" t="str">
        <f t="shared" si="25"/>
        <v>Jan 2016</v>
      </c>
      <c r="C82" s="23" t="str">
        <f t="shared" si="26"/>
        <v>LS</v>
      </c>
      <c r="D82" s="23" t="str">
        <f t="shared" si="27"/>
        <v>KUUM_493</v>
      </c>
      <c r="E82" s="170">
        <f t="shared" si="28"/>
        <v>43</v>
      </c>
      <c r="F82" s="185"/>
      <c r="G82" s="170">
        <f t="shared" si="29"/>
        <v>0</v>
      </c>
      <c r="H82" s="170">
        <v>0</v>
      </c>
      <c r="I82" s="11">
        <f t="shared" si="30"/>
        <v>45.7</v>
      </c>
      <c r="J82" s="11">
        <f t="shared" si="31"/>
        <v>10.409999999999997</v>
      </c>
      <c r="K82" s="416">
        <f t="shared" si="44"/>
        <v>1965.1</v>
      </c>
      <c r="L82" s="180"/>
      <c r="M82" s="180"/>
      <c r="N82" s="182">
        <f t="shared" si="32"/>
        <v>1965.1</v>
      </c>
      <c r="O82" s="29">
        <f t="shared" si="33"/>
        <v>0</v>
      </c>
      <c r="P82" s="181">
        <f t="shared" si="45"/>
        <v>0</v>
      </c>
      <c r="Q82" s="182">
        <f t="shared" si="34"/>
        <v>0</v>
      </c>
      <c r="R82" s="182">
        <f t="shared" si="35"/>
        <v>0</v>
      </c>
      <c r="S82" s="182">
        <f t="shared" si="36"/>
        <v>0</v>
      </c>
      <c r="T82" s="182">
        <f t="shared" si="37"/>
        <v>0</v>
      </c>
      <c r="U82" s="182">
        <f t="shared" si="38"/>
        <v>0</v>
      </c>
      <c r="V82" s="14">
        <f t="shared" si="39"/>
        <v>1965.1</v>
      </c>
      <c r="W82" s="14">
        <f t="shared" si="40"/>
        <v>-1965.1</v>
      </c>
      <c r="Y82" s="14">
        <f t="shared" si="46"/>
        <v>447.63</v>
      </c>
      <c r="Z82" s="14">
        <f t="shared" si="47"/>
        <v>-447.63</v>
      </c>
      <c r="AA82" s="11">
        <f t="shared" si="41"/>
        <v>1.7</v>
      </c>
      <c r="AB82" s="9">
        <f t="shared" si="48"/>
        <v>73.099999999999994</v>
      </c>
      <c r="AD82" s="13">
        <f>IF(AH82&gt;AH81,AD81,IF(AD81&lt;MiscData!$F$1,EOMONTH(AD81,1),EOMONTH(AD81,-11)))</f>
        <v>42400</v>
      </c>
      <c r="AE82" s="7" t="str">
        <f t="shared" si="42"/>
        <v>20140101KUUM_493</v>
      </c>
      <c r="AF82" s="12" t="str">
        <f t="shared" si="43"/>
        <v>20140101LS</v>
      </c>
      <c r="AG82" s="31"/>
      <c r="AH82">
        <f>IF(AH81=MiscData!$AB$91,1,AH81+1)</f>
        <v>81</v>
      </c>
      <c r="AI82">
        <f>IF(AD82&lt;=MiscData!$B$23,MiscData!$C$23,IF(AD82&lt;=MiscData!$B$24,MiscData!$C$24,MiscData!$C$25))</f>
        <v>20140101</v>
      </c>
      <c r="AK82" s="190" t="str">
        <f>VLOOKUP(AM82,MiscData!$AB$4:$ACB$113,2,FALSE)</f>
        <v>KUUM_493</v>
      </c>
      <c r="AL82" s="190" t="str">
        <f>VLOOKUP(AM82,MiscData!$AB$4:$AE$115,4,FALSE)</f>
        <v>LS</v>
      </c>
      <c r="AM82">
        <f>IF(AM81=MiscData!$AB$91,1,AM81+1)</f>
        <v>81</v>
      </c>
    </row>
    <row r="83" spans="1:39">
      <c r="A83" s="7">
        <f t="shared" si="49"/>
        <v>82</v>
      </c>
      <c r="B83" s="13" t="str">
        <f t="shared" si="25"/>
        <v>Jan 2016</v>
      </c>
      <c r="C83" s="23" t="str">
        <f t="shared" si="26"/>
        <v>LS</v>
      </c>
      <c r="D83" s="23" t="str">
        <f t="shared" si="27"/>
        <v>KUUM_494</v>
      </c>
      <c r="E83" s="170">
        <f t="shared" si="28"/>
        <v>167</v>
      </c>
      <c r="F83" s="185"/>
      <c r="G83" s="170">
        <f t="shared" si="29"/>
        <v>0</v>
      </c>
      <c r="H83" s="170">
        <v>0</v>
      </c>
      <c r="I83" s="11">
        <f t="shared" si="30"/>
        <v>28.37</v>
      </c>
      <c r="J83" s="11">
        <f t="shared" si="31"/>
        <v>1.9699999999999989</v>
      </c>
      <c r="K83" s="416">
        <f t="shared" si="44"/>
        <v>4737.79</v>
      </c>
      <c r="L83" s="180"/>
      <c r="M83" s="180"/>
      <c r="N83" s="182">
        <f t="shared" si="32"/>
        <v>4737.79</v>
      </c>
      <c r="O83" s="29">
        <f t="shared" si="33"/>
        <v>0</v>
      </c>
      <c r="P83" s="181">
        <f t="shared" si="45"/>
        <v>0</v>
      </c>
      <c r="Q83" s="182">
        <f t="shared" si="34"/>
        <v>0</v>
      </c>
      <c r="R83" s="182">
        <f t="shared" si="35"/>
        <v>0</v>
      </c>
      <c r="S83" s="182">
        <f t="shared" si="36"/>
        <v>0</v>
      </c>
      <c r="T83" s="182">
        <f t="shared" si="37"/>
        <v>0</v>
      </c>
      <c r="U83" s="182">
        <f t="shared" si="38"/>
        <v>0</v>
      </c>
      <c r="V83" s="14">
        <f t="shared" si="39"/>
        <v>4737.79</v>
      </c>
      <c r="W83" s="14">
        <f t="shared" si="40"/>
        <v>-4737.79</v>
      </c>
      <c r="Y83" s="14">
        <f t="shared" si="46"/>
        <v>328.99</v>
      </c>
      <c r="Z83" s="14">
        <f t="shared" si="47"/>
        <v>-328.99</v>
      </c>
      <c r="AA83" s="11">
        <f t="shared" si="41"/>
        <v>0.66</v>
      </c>
      <c r="AB83" s="9">
        <f t="shared" si="48"/>
        <v>110.22</v>
      </c>
      <c r="AD83" s="13">
        <f>IF(AH83&gt;AH82,AD82,IF(AD82&lt;MiscData!$F$1,EOMONTH(AD82,1),EOMONTH(AD82,-11)))</f>
        <v>42400</v>
      </c>
      <c r="AE83" s="7" t="str">
        <f t="shared" si="42"/>
        <v>20140101KUUM_494</v>
      </c>
      <c r="AF83" s="12" t="str">
        <f t="shared" si="43"/>
        <v>20140101LS</v>
      </c>
      <c r="AG83" s="31"/>
      <c r="AH83">
        <f>IF(AH82=MiscData!$AB$91,1,AH82+1)</f>
        <v>82</v>
      </c>
      <c r="AI83">
        <f>IF(AD83&lt;=MiscData!$B$23,MiscData!$C$23,IF(AD83&lt;=MiscData!$B$24,MiscData!$C$24,MiscData!$C$25))</f>
        <v>20140101</v>
      </c>
      <c r="AK83" s="190" t="str">
        <f>VLOOKUP(AM83,MiscData!$AB$4:$ACB$113,2,FALSE)</f>
        <v>KUUM_494</v>
      </c>
      <c r="AL83" s="190" t="str">
        <f>VLOOKUP(AM83,MiscData!$AB$4:$AE$115,4,FALSE)</f>
        <v>LS</v>
      </c>
      <c r="AM83">
        <f>IF(AM82=MiscData!$AB$91,1,AM82+1)</f>
        <v>82</v>
      </c>
    </row>
    <row r="84" spans="1:39">
      <c r="A84" s="7">
        <f t="shared" si="49"/>
        <v>83</v>
      </c>
      <c r="B84" s="13" t="str">
        <f t="shared" si="25"/>
        <v>Jan 2016</v>
      </c>
      <c r="C84" s="23" t="str">
        <f t="shared" si="26"/>
        <v>LS</v>
      </c>
      <c r="D84" s="23" t="str">
        <f t="shared" si="27"/>
        <v>KUUM_495</v>
      </c>
      <c r="E84" s="170">
        <f t="shared" si="28"/>
        <v>617</v>
      </c>
      <c r="F84" s="185"/>
      <c r="G84" s="170">
        <f t="shared" si="29"/>
        <v>0</v>
      </c>
      <c r="H84" s="170">
        <v>0</v>
      </c>
      <c r="I84" s="11">
        <f t="shared" si="30"/>
        <v>34.830000000000005</v>
      </c>
      <c r="J84" s="11">
        <f t="shared" si="31"/>
        <v>4.2899999999999991</v>
      </c>
      <c r="K84" s="416">
        <f t="shared" si="44"/>
        <v>21490.11</v>
      </c>
      <c r="L84" s="180"/>
      <c r="M84" s="180"/>
      <c r="N84" s="182">
        <f t="shared" si="32"/>
        <v>21490.11</v>
      </c>
      <c r="O84" s="29">
        <f t="shared" si="33"/>
        <v>0</v>
      </c>
      <c r="P84" s="181">
        <f t="shared" si="45"/>
        <v>0</v>
      </c>
      <c r="Q84" s="182">
        <f t="shared" si="34"/>
        <v>0</v>
      </c>
      <c r="R84" s="182">
        <f t="shared" si="35"/>
        <v>0</v>
      </c>
      <c r="S84" s="182">
        <f t="shared" si="36"/>
        <v>0</v>
      </c>
      <c r="T84" s="182">
        <f t="shared" si="37"/>
        <v>0</v>
      </c>
      <c r="U84" s="182">
        <f t="shared" si="38"/>
        <v>0</v>
      </c>
      <c r="V84" s="14">
        <f t="shared" si="39"/>
        <v>21490.11</v>
      </c>
      <c r="W84" s="14">
        <f t="shared" si="40"/>
        <v>-21490.11</v>
      </c>
      <c r="Y84" s="14">
        <f t="shared" si="46"/>
        <v>2646.93</v>
      </c>
      <c r="Z84" s="14">
        <f t="shared" si="47"/>
        <v>-2646.93</v>
      </c>
      <c r="AA84" s="11">
        <f t="shared" si="41"/>
        <v>0.84</v>
      </c>
      <c r="AB84" s="9">
        <f t="shared" si="48"/>
        <v>518.28</v>
      </c>
      <c r="AD84" s="13">
        <f>IF(AH84&gt;AH83,AD83,IF(AD83&lt;MiscData!$F$1,EOMONTH(AD83,1),EOMONTH(AD83,-11)))</f>
        <v>42400</v>
      </c>
      <c r="AE84" s="7" t="str">
        <f t="shared" si="42"/>
        <v>20140101KUUM_495</v>
      </c>
      <c r="AF84" s="12" t="str">
        <f t="shared" si="43"/>
        <v>20140101LS</v>
      </c>
      <c r="AG84" s="31"/>
      <c r="AH84">
        <f>IF(AH83=MiscData!$AB$91,1,AH83+1)</f>
        <v>83</v>
      </c>
      <c r="AI84">
        <f>IF(AD84&lt;=MiscData!$B$23,MiscData!$C$23,IF(AD84&lt;=MiscData!$B$24,MiscData!$C$24,MiscData!$C$25))</f>
        <v>20140101</v>
      </c>
      <c r="AK84" s="190" t="str">
        <f>VLOOKUP(AM84,MiscData!$AB$4:$ACB$113,2,FALSE)</f>
        <v>KUUM_495</v>
      </c>
      <c r="AL84" s="190" t="str">
        <f>VLOOKUP(AM84,MiscData!$AB$4:$AE$115,4,FALSE)</f>
        <v>LS</v>
      </c>
      <c r="AM84">
        <f>IF(AM83=MiscData!$AB$91,1,AM83+1)</f>
        <v>83</v>
      </c>
    </row>
    <row r="85" spans="1:39">
      <c r="A85" s="7">
        <f t="shared" si="49"/>
        <v>84</v>
      </c>
      <c r="B85" s="13" t="str">
        <f t="shared" si="25"/>
        <v>Jan 2016</v>
      </c>
      <c r="C85" s="23" t="str">
        <f t="shared" si="26"/>
        <v>LS</v>
      </c>
      <c r="D85" s="23" t="str">
        <f t="shared" si="27"/>
        <v>KUUM_496</v>
      </c>
      <c r="E85" s="170">
        <f t="shared" si="28"/>
        <v>157</v>
      </c>
      <c r="F85" s="185"/>
      <c r="G85" s="170">
        <f t="shared" si="29"/>
        <v>0</v>
      </c>
      <c r="H85" s="170">
        <v>0</v>
      </c>
      <c r="I85" s="11">
        <f t="shared" si="30"/>
        <v>58.59</v>
      </c>
      <c r="J85" s="11">
        <f t="shared" si="31"/>
        <v>10.409999999999997</v>
      </c>
      <c r="K85" s="416">
        <f t="shared" si="44"/>
        <v>9198.6299999999992</v>
      </c>
      <c r="L85" s="180"/>
      <c r="M85" s="180"/>
      <c r="N85" s="182">
        <f t="shared" si="32"/>
        <v>9198.6299999999992</v>
      </c>
      <c r="O85" s="29">
        <f t="shared" si="33"/>
        <v>0</v>
      </c>
      <c r="P85" s="181">
        <f t="shared" si="45"/>
        <v>0</v>
      </c>
      <c r="Q85" s="182">
        <f t="shared" si="34"/>
        <v>0</v>
      </c>
      <c r="R85" s="182">
        <f t="shared" si="35"/>
        <v>0</v>
      </c>
      <c r="S85" s="182">
        <f t="shared" si="36"/>
        <v>0</v>
      </c>
      <c r="T85" s="182">
        <f t="shared" si="37"/>
        <v>0</v>
      </c>
      <c r="U85" s="182">
        <f t="shared" si="38"/>
        <v>0</v>
      </c>
      <c r="V85" s="14">
        <f t="shared" si="39"/>
        <v>9198.6299999999992</v>
      </c>
      <c r="W85" s="14">
        <f t="shared" si="40"/>
        <v>-9198.6299999999992</v>
      </c>
      <c r="Y85" s="14">
        <f t="shared" si="46"/>
        <v>1634.37</v>
      </c>
      <c r="Z85" s="14">
        <f t="shared" si="47"/>
        <v>-1634.37</v>
      </c>
      <c r="AA85" s="11">
        <f t="shared" si="41"/>
        <v>1.7</v>
      </c>
      <c r="AB85" s="9">
        <f t="shared" si="48"/>
        <v>266.89999999999998</v>
      </c>
      <c r="AD85" s="13">
        <f>IF(AH85&gt;AH84,AD84,IF(AD84&lt;MiscData!$F$1,EOMONTH(AD84,1),EOMONTH(AD84,-11)))</f>
        <v>42400</v>
      </c>
      <c r="AE85" s="7" t="str">
        <f t="shared" si="42"/>
        <v>20140101KUUM_496</v>
      </c>
      <c r="AF85" s="12" t="str">
        <f t="shared" si="43"/>
        <v>20140101LS</v>
      </c>
      <c r="AG85" s="31"/>
      <c r="AH85">
        <f>IF(AH84=MiscData!$AB$91,1,AH84+1)</f>
        <v>84</v>
      </c>
      <c r="AI85">
        <f>IF(AD85&lt;=MiscData!$B$23,MiscData!$C$23,IF(AD85&lt;=MiscData!$B$24,MiscData!$C$24,MiscData!$C$25))</f>
        <v>20140101</v>
      </c>
      <c r="AK85" s="190" t="str">
        <f>VLOOKUP(AM85,MiscData!$AB$4:$ACB$113,2,FALSE)</f>
        <v>KUUM_496</v>
      </c>
      <c r="AL85" s="190" t="str">
        <f>VLOOKUP(AM85,MiscData!$AB$4:$AE$115,4,FALSE)</f>
        <v>LS</v>
      </c>
      <c r="AM85">
        <f>IF(AM84=MiscData!$AB$91,1,AM84+1)</f>
        <v>84</v>
      </c>
    </row>
    <row r="86" spans="1:39">
      <c r="A86" s="7">
        <f t="shared" si="49"/>
        <v>85</v>
      </c>
      <c r="B86" s="13" t="str">
        <f t="shared" si="25"/>
        <v>Jan 2016</v>
      </c>
      <c r="C86" s="23" t="str">
        <f t="shared" si="26"/>
        <v>LS</v>
      </c>
      <c r="D86" s="23" t="str">
        <f t="shared" si="27"/>
        <v>KUUM_497</v>
      </c>
      <c r="E86" s="170">
        <f t="shared" si="28"/>
        <v>8</v>
      </c>
      <c r="F86" s="185"/>
      <c r="G86" s="170">
        <f t="shared" si="29"/>
        <v>0</v>
      </c>
      <c r="H86" s="170">
        <v>0</v>
      </c>
      <c r="I86" s="11">
        <f t="shared" si="30"/>
        <v>15.35</v>
      </c>
      <c r="J86" s="11">
        <f t="shared" si="31"/>
        <v>1.1300000000000008</v>
      </c>
      <c r="K86" s="416">
        <f t="shared" si="44"/>
        <v>122.8</v>
      </c>
      <c r="L86" s="180"/>
      <c r="M86" s="180"/>
      <c r="N86" s="182">
        <f t="shared" si="32"/>
        <v>122.8</v>
      </c>
      <c r="O86" s="29">
        <f t="shared" si="33"/>
        <v>0</v>
      </c>
      <c r="P86" s="181">
        <f t="shared" si="45"/>
        <v>0</v>
      </c>
      <c r="Q86" s="182">
        <f t="shared" si="34"/>
        <v>0</v>
      </c>
      <c r="R86" s="182">
        <f t="shared" si="35"/>
        <v>0</v>
      </c>
      <c r="S86" s="182">
        <f t="shared" si="36"/>
        <v>0</v>
      </c>
      <c r="T86" s="182">
        <f t="shared" si="37"/>
        <v>0</v>
      </c>
      <c r="U86" s="182">
        <f t="shared" si="38"/>
        <v>0</v>
      </c>
      <c r="V86" s="14">
        <f t="shared" si="39"/>
        <v>122.8</v>
      </c>
      <c r="W86" s="14">
        <f t="shared" si="40"/>
        <v>-122.8</v>
      </c>
      <c r="Y86" s="14">
        <f t="shared" si="46"/>
        <v>9.0399999999999991</v>
      </c>
      <c r="Z86" s="14">
        <f t="shared" si="47"/>
        <v>-9.0399999999999991</v>
      </c>
      <c r="AA86" s="11">
        <f t="shared" si="41"/>
        <v>0.34</v>
      </c>
      <c r="AB86" s="9">
        <f t="shared" si="48"/>
        <v>2.72</v>
      </c>
      <c r="AD86" s="13">
        <f>IF(AH86&gt;AH85,AD85,IF(AD85&lt;MiscData!$F$1,EOMONTH(AD85,1),EOMONTH(AD85,-11)))</f>
        <v>42400</v>
      </c>
      <c r="AE86" s="7" t="str">
        <f t="shared" si="42"/>
        <v>20140101KUUM_497</v>
      </c>
      <c r="AF86" s="12" t="str">
        <f t="shared" si="43"/>
        <v>20140101LS</v>
      </c>
      <c r="AG86" s="31"/>
      <c r="AH86">
        <f>IF(AH85=MiscData!$AB$91,1,AH85+1)</f>
        <v>85</v>
      </c>
      <c r="AI86">
        <f>IF(AD86&lt;=MiscData!$B$23,MiscData!$C$23,IF(AD86&lt;=MiscData!$B$24,MiscData!$C$24,MiscData!$C$25))</f>
        <v>20140101</v>
      </c>
      <c r="AK86" s="190" t="str">
        <f>VLOOKUP(AM86,MiscData!$AB$4:$ACB$113,2,FALSE)</f>
        <v>KUUM_497</v>
      </c>
      <c r="AL86" s="190" t="str">
        <f>VLOOKUP(AM86,MiscData!$AB$4:$AE$115,4,FALSE)</f>
        <v>LS</v>
      </c>
      <c r="AM86">
        <f>IF(AM85=MiscData!$AB$91,1,AM85+1)</f>
        <v>85</v>
      </c>
    </row>
    <row r="87" spans="1:39">
      <c r="A87" s="7">
        <f t="shared" si="49"/>
        <v>86</v>
      </c>
      <c r="B87" s="13" t="str">
        <f t="shared" si="25"/>
        <v>Jan 2016</v>
      </c>
      <c r="C87" s="23" t="str">
        <f t="shared" si="26"/>
        <v>LS</v>
      </c>
      <c r="D87" s="23" t="str">
        <f t="shared" si="27"/>
        <v>KUUM_498</v>
      </c>
      <c r="E87" s="170">
        <f t="shared" si="28"/>
        <v>24</v>
      </c>
      <c r="F87" s="185"/>
      <c r="G87" s="170">
        <f t="shared" si="29"/>
        <v>0</v>
      </c>
      <c r="H87" s="170">
        <v>0</v>
      </c>
      <c r="I87" s="11">
        <f t="shared" si="30"/>
        <v>17.72</v>
      </c>
      <c r="J87" s="11">
        <f t="shared" si="31"/>
        <v>2.33</v>
      </c>
      <c r="K87" s="416">
        <f t="shared" si="44"/>
        <v>425.28</v>
      </c>
      <c r="L87" s="180"/>
      <c r="M87" s="180"/>
      <c r="N87" s="182">
        <f t="shared" si="32"/>
        <v>425.28</v>
      </c>
      <c r="O87" s="29">
        <f t="shared" si="33"/>
        <v>0</v>
      </c>
      <c r="P87" s="181">
        <f t="shared" si="45"/>
        <v>0</v>
      </c>
      <c r="Q87" s="182">
        <f t="shared" si="34"/>
        <v>0</v>
      </c>
      <c r="R87" s="182">
        <f t="shared" si="35"/>
        <v>0</v>
      </c>
      <c r="S87" s="182">
        <f t="shared" si="36"/>
        <v>0</v>
      </c>
      <c r="T87" s="182">
        <f t="shared" si="37"/>
        <v>0</v>
      </c>
      <c r="U87" s="182">
        <f t="shared" si="38"/>
        <v>0</v>
      </c>
      <c r="V87" s="14">
        <f t="shared" si="39"/>
        <v>425.28</v>
      </c>
      <c r="W87" s="14">
        <f t="shared" si="40"/>
        <v>-425.28</v>
      </c>
      <c r="Y87" s="14">
        <f t="shared" si="46"/>
        <v>55.92</v>
      </c>
      <c r="Z87" s="14">
        <f t="shared" si="47"/>
        <v>-55.92</v>
      </c>
      <c r="AA87" s="11">
        <f t="shared" si="41"/>
        <v>0.57999999999999996</v>
      </c>
      <c r="AB87" s="9">
        <f t="shared" si="48"/>
        <v>13.919999999999998</v>
      </c>
      <c r="AD87" s="13">
        <f>IF(AH87&gt;AH86,AD86,IF(AD86&lt;MiscData!$F$1,EOMONTH(AD86,1),EOMONTH(AD86,-11)))</f>
        <v>42400</v>
      </c>
      <c r="AE87" s="7" t="str">
        <f t="shared" si="42"/>
        <v>20140101KUUM_498</v>
      </c>
      <c r="AF87" s="12" t="str">
        <f t="shared" si="43"/>
        <v>20140101LS</v>
      </c>
      <c r="AG87" s="31"/>
      <c r="AH87">
        <f>IF(AH86=MiscData!$AB$91,1,AH86+1)</f>
        <v>86</v>
      </c>
      <c r="AI87">
        <f>IF(AD87&lt;=MiscData!$B$23,MiscData!$C$23,IF(AD87&lt;=MiscData!$B$24,MiscData!$C$24,MiscData!$C$25))</f>
        <v>20140101</v>
      </c>
      <c r="AK87" s="190" t="str">
        <f>VLOOKUP(AM87,MiscData!$AB$4:$ACB$113,2,FALSE)</f>
        <v>KUUM_498</v>
      </c>
      <c r="AL87" s="190" t="str">
        <f>VLOOKUP(AM87,MiscData!$AB$4:$AE$115,4,FALSE)</f>
        <v>LS</v>
      </c>
      <c r="AM87">
        <f>IF(AM86=MiscData!$AB$91,1,AM86+1)</f>
        <v>86</v>
      </c>
    </row>
    <row r="88" spans="1:39">
      <c r="A88" s="7">
        <f t="shared" si="49"/>
        <v>87</v>
      </c>
      <c r="B88" s="13" t="str">
        <f t="shared" si="25"/>
        <v>Jan 2016</v>
      </c>
      <c r="C88" s="23" t="str">
        <f t="shared" si="26"/>
        <v>LS</v>
      </c>
      <c r="D88" s="23" t="str">
        <f t="shared" si="27"/>
        <v>KUUM_499</v>
      </c>
      <c r="E88" s="170">
        <f t="shared" si="28"/>
        <v>24</v>
      </c>
      <c r="F88" s="185"/>
      <c r="G88" s="170">
        <f t="shared" si="29"/>
        <v>0</v>
      </c>
      <c r="H88" s="170">
        <v>0</v>
      </c>
      <c r="I88" s="11">
        <f t="shared" si="30"/>
        <v>21.490000000000002</v>
      </c>
      <c r="J88" s="11">
        <f t="shared" si="31"/>
        <v>4.5300000000000011</v>
      </c>
      <c r="K88" s="416">
        <f t="shared" si="44"/>
        <v>515.76</v>
      </c>
      <c r="L88" s="180"/>
      <c r="M88" s="180"/>
      <c r="N88" s="182">
        <f t="shared" si="32"/>
        <v>515.76</v>
      </c>
      <c r="O88" s="29">
        <f t="shared" si="33"/>
        <v>0</v>
      </c>
      <c r="P88" s="181">
        <f t="shared" si="45"/>
        <v>0</v>
      </c>
      <c r="Q88" s="182">
        <f t="shared" si="34"/>
        <v>0</v>
      </c>
      <c r="R88" s="182">
        <f t="shared" si="35"/>
        <v>0</v>
      </c>
      <c r="S88" s="182">
        <f t="shared" si="36"/>
        <v>0</v>
      </c>
      <c r="T88" s="182">
        <f t="shared" si="37"/>
        <v>0</v>
      </c>
      <c r="U88" s="182">
        <f t="shared" si="38"/>
        <v>0</v>
      </c>
      <c r="V88" s="14">
        <f t="shared" si="39"/>
        <v>515.76</v>
      </c>
      <c r="W88" s="14">
        <f t="shared" si="40"/>
        <v>-515.76</v>
      </c>
      <c r="Y88" s="14">
        <f t="shared" si="46"/>
        <v>108.72</v>
      </c>
      <c r="Z88" s="14">
        <f t="shared" si="47"/>
        <v>-108.72</v>
      </c>
      <c r="AA88" s="11">
        <f t="shared" si="41"/>
        <v>0.79</v>
      </c>
      <c r="AB88" s="9">
        <f t="shared" si="48"/>
        <v>18.96</v>
      </c>
      <c r="AD88" s="13">
        <f>IF(AH88&gt;AH87,AD87,IF(AD87&lt;MiscData!$F$1,EOMONTH(AD87,1),EOMONTH(AD87,-11)))</f>
        <v>42400</v>
      </c>
      <c r="AE88" s="7" t="str">
        <f t="shared" si="42"/>
        <v>20140101KUUM_499</v>
      </c>
      <c r="AF88" s="12" t="str">
        <f t="shared" si="43"/>
        <v>20140101LS</v>
      </c>
      <c r="AG88" s="31"/>
      <c r="AH88">
        <f>IF(AH87=MiscData!$AB$91,1,AH87+1)</f>
        <v>87</v>
      </c>
      <c r="AI88">
        <f>IF(AD88&lt;=MiscData!$B$23,MiscData!$C$23,IF(AD88&lt;=MiscData!$B$24,MiscData!$C$24,MiscData!$C$25))</f>
        <v>20140101</v>
      </c>
      <c r="AK88" s="190" t="str">
        <f>VLOOKUP(AM88,MiscData!$AB$4:$ACB$113,2,FALSE)</f>
        <v>KUUM_499</v>
      </c>
      <c r="AL88" s="190" t="str">
        <f>VLOOKUP(AM88,MiscData!$AB$4:$AE$115,4,FALSE)</f>
        <v>LS</v>
      </c>
      <c r="AM88">
        <f>IF(AM87=MiscData!$AB$91,1,AM87+1)</f>
        <v>87</v>
      </c>
    </row>
    <row r="89" spans="1:39" s="41" customFormat="1">
      <c r="A89" s="414">
        <f t="shared" si="49"/>
        <v>88</v>
      </c>
      <c r="B89" s="427" t="str">
        <f t="shared" si="25"/>
        <v>Jan 2016</v>
      </c>
      <c r="C89" s="428" t="str">
        <f t="shared" si="26"/>
        <v>ODL</v>
      </c>
      <c r="D89" s="428" t="str">
        <f t="shared" si="27"/>
        <v>ODL</v>
      </c>
      <c r="E89" s="425">
        <f t="shared" si="28"/>
        <v>0</v>
      </c>
      <c r="F89" s="429"/>
      <c r="G89" s="425">
        <f t="shared" si="29"/>
        <v>12912242</v>
      </c>
      <c r="H89" s="425">
        <v>0</v>
      </c>
      <c r="I89" s="415">
        <f t="shared" si="30"/>
        <v>0</v>
      </c>
      <c r="J89" s="415">
        <f t="shared" si="31"/>
        <v>0</v>
      </c>
      <c r="K89" s="416">
        <f t="shared" si="44"/>
        <v>0</v>
      </c>
      <c r="L89" s="430"/>
      <c r="M89" s="430"/>
      <c r="N89" s="186">
        <f t="shared" si="32"/>
        <v>0</v>
      </c>
      <c r="O89" s="431">
        <f t="shared" si="33"/>
        <v>2133763</v>
      </c>
      <c r="P89" s="417">
        <f t="shared" si="45"/>
        <v>0</v>
      </c>
      <c r="Q89" s="186">
        <f t="shared" si="34"/>
        <v>40891</v>
      </c>
      <c r="R89" s="186">
        <f t="shared" si="35"/>
        <v>0</v>
      </c>
      <c r="S89" s="186">
        <f t="shared" si="36"/>
        <v>59289</v>
      </c>
      <c r="T89" s="186">
        <f t="shared" si="37"/>
        <v>0</v>
      </c>
      <c r="U89" s="186">
        <f t="shared" si="38"/>
        <v>2233943</v>
      </c>
      <c r="V89" s="418">
        <f t="shared" si="39"/>
        <v>100180</v>
      </c>
      <c r="W89" s="418">
        <f t="shared" si="40"/>
        <v>2133763</v>
      </c>
      <c r="Y89" s="418">
        <f t="shared" si="46"/>
        <v>0</v>
      </c>
      <c r="Z89" s="418">
        <f t="shared" si="47"/>
        <v>2133763</v>
      </c>
      <c r="AA89" s="11">
        <f t="shared" si="41"/>
        <v>0</v>
      </c>
      <c r="AB89" s="9">
        <f t="shared" si="48"/>
        <v>0</v>
      </c>
      <c r="AD89" s="427">
        <f>IF(AH89&gt;AH88,AD88,IF(AD88&lt;MiscData!$F$1,EOMONTH(AD88,1),EOMONTH(AD88,-11)))</f>
        <v>42400</v>
      </c>
      <c r="AE89" s="414" t="str">
        <f t="shared" si="42"/>
        <v>20140101ODL</v>
      </c>
      <c r="AF89" s="466" t="str">
        <f t="shared" si="43"/>
        <v>20140101ODL</v>
      </c>
      <c r="AG89" s="467"/>
      <c r="AH89" s="41">
        <f>IF(AH88=MiscData!$AB$91,1,AH88+1)</f>
        <v>88</v>
      </c>
      <c r="AI89" s="41">
        <f>IF(AD89&lt;=MiscData!$B$23,MiscData!$C$23,IF(AD89&lt;=MiscData!$B$24,MiscData!$C$24,MiscData!$C$25))</f>
        <v>20140101</v>
      </c>
      <c r="AK89" s="468" t="str">
        <f>VLOOKUP(AM89,MiscData!$AB$4:$ACB$113,2,FALSE)</f>
        <v>ODL</v>
      </c>
      <c r="AL89" s="468" t="str">
        <f>VLOOKUP(AM89,MiscData!$AB$4:$AE$115,4,FALSE)</f>
        <v>ODL</v>
      </c>
      <c r="AM89" s="41">
        <f>IF(AM88=MiscData!$AB$91,1,AM88+1)</f>
        <v>88</v>
      </c>
    </row>
    <row r="90" spans="1:39">
      <c r="A90" s="7">
        <f t="shared" si="49"/>
        <v>89</v>
      </c>
      <c r="B90" s="13" t="str">
        <f t="shared" si="25"/>
        <v>Feb 2016</v>
      </c>
      <c r="C90" s="23" t="str">
        <f t="shared" si="26"/>
        <v>LS</v>
      </c>
      <c r="D90" s="23" t="str">
        <f t="shared" si="27"/>
        <v>KUUM_300</v>
      </c>
      <c r="E90" s="170">
        <f t="shared" si="28"/>
        <v>0</v>
      </c>
      <c r="F90" s="185"/>
      <c r="G90" s="170">
        <f t="shared" si="29"/>
        <v>0</v>
      </c>
      <c r="H90" s="170">
        <v>0</v>
      </c>
      <c r="I90" s="11">
        <f t="shared" si="30"/>
        <v>22.49</v>
      </c>
      <c r="J90" s="11">
        <f t="shared" si="31"/>
        <v>0.58000000000000185</v>
      </c>
      <c r="K90" s="416">
        <f t="shared" si="44"/>
        <v>0</v>
      </c>
      <c r="L90" s="180"/>
      <c r="M90" s="180"/>
      <c r="N90" s="182">
        <f t="shared" si="32"/>
        <v>0</v>
      </c>
      <c r="O90" s="29">
        <f t="shared" si="33"/>
        <v>0</v>
      </c>
      <c r="P90" s="181">
        <f t="shared" si="45"/>
        <v>1</v>
      </c>
      <c r="Q90" s="182">
        <f t="shared" si="34"/>
        <v>0</v>
      </c>
      <c r="R90" s="182">
        <f t="shared" si="35"/>
        <v>0</v>
      </c>
      <c r="S90" s="182">
        <f t="shared" si="36"/>
        <v>0</v>
      </c>
      <c r="T90" s="182">
        <f t="shared" si="37"/>
        <v>0</v>
      </c>
      <c r="U90" s="182">
        <f t="shared" si="38"/>
        <v>0</v>
      </c>
      <c r="V90" s="14">
        <f t="shared" si="39"/>
        <v>0</v>
      </c>
      <c r="W90" s="14">
        <f t="shared" si="40"/>
        <v>0</v>
      </c>
      <c r="Y90" s="14">
        <f t="shared" si="46"/>
        <v>0</v>
      </c>
      <c r="Z90" s="14">
        <f t="shared" si="47"/>
        <v>0</v>
      </c>
      <c r="AA90" s="11">
        <f t="shared" si="41"/>
        <v>0.33</v>
      </c>
      <c r="AB90" s="9">
        <f t="shared" si="48"/>
        <v>0</v>
      </c>
      <c r="AD90" s="13">
        <f>IF(AH90&gt;AH89,AD89,IF(AD89&lt;MiscData!$F$1,EOMONTH(AD89,1),EOMONTH(AD89,-11)))</f>
        <v>42429</v>
      </c>
      <c r="AE90" s="7" t="str">
        <f t="shared" si="42"/>
        <v>20140101KUUM_300</v>
      </c>
      <c r="AF90" s="12" t="str">
        <f t="shared" si="43"/>
        <v>20140101LS</v>
      </c>
      <c r="AG90" s="31"/>
      <c r="AH90">
        <f>IF(AH89=MiscData!$AB$91,1,AH89+1)</f>
        <v>1</v>
      </c>
      <c r="AI90">
        <f>IF(AD90&lt;=MiscData!$B$23,MiscData!$C$23,IF(AD90&lt;=MiscData!$B$24,MiscData!$C$24,MiscData!$C$25))</f>
        <v>20140101</v>
      </c>
      <c r="AK90" s="190" t="str">
        <f>VLOOKUP(AM90,MiscData!$AB$4:$ACB$113,2,FALSE)</f>
        <v>KUUM_300</v>
      </c>
      <c r="AL90" s="190" t="str">
        <f>VLOOKUP(AM90,MiscData!$AB$4:$AE$115,4,FALSE)</f>
        <v>LS</v>
      </c>
      <c r="AM90">
        <f>IF(AM89=MiscData!$AB$91,1,AM89+1)</f>
        <v>1</v>
      </c>
    </row>
    <row r="91" spans="1:39">
      <c r="A91" s="7">
        <f t="shared" si="49"/>
        <v>90</v>
      </c>
      <c r="B91" s="13" t="str">
        <f t="shared" si="25"/>
        <v>Feb 2016</v>
      </c>
      <c r="C91" s="23" t="str">
        <f t="shared" si="26"/>
        <v>LS</v>
      </c>
      <c r="D91" s="23" t="str">
        <f t="shared" si="27"/>
        <v>KUUM_301</v>
      </c>
      <c r="E91" s="170">
        <f t="shared" si="28"/>
        <v>0</v>
      </c>
      <c r="F91" s="185"/>
      <c r="G91" s="170">
        <f t="shared" si="29"/>
        <v>0</v>
      </c>
      <c r="H91" s="170">
        <v>0</v>
      </c>
      <c r="I91" s="11">
        <f t="shared" si="30"/>
        <v>23.5</v>
      </c>
      <c r="J91" s="11">
        <f t="shared" si="31"/>
        <v>1.129999999999999</v>
      </c>
      <c r="K91" s="416">
        <f t="shared" si="44"/>
        <v>0</v>
      </c>
      <c r="L91" s="180"/>
      <c r="M91" s="180"/>
      <c r="N91" s="182">
        <f t="shared" si="32"/>
        <v>0</v>
      </c>
      <c r="O91" s="29">
        <f t="shared" si="33"/>
        <v>0</v>
      </c>
      <c r="P91" s="181">
        <f t="shared" si="45"/>
        <v>1</v>
      </c>
      <c r="Q91" s="182">
        <f t="shared" si="34"/>
        <v>0</v>
      </c>
      <c r="R91" s="182">
        <f t="shared" si="35"/>
        <v>0</v>
      </c>
      <c r="S91" s="182">
        <f t="shared" si="36"/>
        <v>0</v>
      </c>
      <c r="T91" s="182">
        <f t="shared" si="37"/>
        <v>0</v>
      </c>
      <c r="U91" s="182">
        <f t="shared" si="38"/>
        <v>0</v>
      </c>
      <c r="V91" s="14">
        <f t="shared" si="39"/>
        <v>0</v>
      </c>
      <c r="W91" s="14">
        <f t="shared" si="40"/>
        <v>0</v>
      </c>
      <c r="Y91" s="14">
        <f t="shared" si="46"/>
        <v>0</v>
      </c>
      <c r="Z91" s="14">
        <f t="shared" si="47"/>
        <v>0</v>
      </c>
      <c r="AA91" s="11">
        <f t="shared" si="41"/>
        <v>0.34</v>
      </c>
      <c r="AB91" s="9">
        <f t="shared" si="48"/>
        <v>0</v>
      </c>
      <c r="AD91" s="13">
        <f>IF(AH91&gt;AH90,AD90,IF(AD90&lt;MiscData!$F$1,EOMONTH(AD90,1),EOMONTH(AD90,-11)))</f>
        <v>42429</v>
      </c>
      <c r="AE91" s="7" t="str">
        <f t="shared" si="42"/>
        <v>20140101KUUM_301</v>
      </c>
      <c r="AF91" s="12" t="str">
        <f t="shared" si="43"/>
        <v>20140101LS</v>
      </c>
      <c r="AG91" s="31"/>
      <c r="AH91">
        <f>IF(AH90=MiscData!$AB$91,1,AH90+1)</f>
        <v>2</v>
      </c>
      <c r="AI91">
        <f>IF(AD91&lt;=MiscData!$B$23,MiscData!$C$23,IF(AD91&lt;=MiscData!$B$24,MiscData!$C$24,MiscData!$C$25))</f>
        <v>20140101</v>
      </c>
      <c r="AK91" s="190" t="str">
        <f>VLOOKUP(AM91,MiscData!$AB$4:$ACB$113,2,FALSE)</f>
        <v>KUUM_301</v>
      </c>
      <c r="AL91" s="190" t="str">
        <f>VLOOKUP(AM91,MiscData!$AB$4:$AE$115,4,FALSE)</f>
        <v>LS</v>
      </c>
      <c r="AM91">
        <f>IF(AM90=MiscData!$AB$91,1,AM90+1)</f>
        <v>2</v>
      </c>
    </row>
    <row r="92" spans="1:39">
      <c r="A92" s="7">
        <f t="shared" si="49"/>
        <v>91</v>
      </c>
      <c r="B92" s="13" t="str">
        <f t="shared" si="25"/>
        <v>Feb 2016</v>
      </c>
      <c r="C92" s="23" t="str">
        <f t="shared" si="26"/>
        <v>LS</v>
      </c>
      <c r="D92" s="23" t="str">
        <f t="shared" si="27"/>
        <v>KUUM_360</v>
      </c>
      <c r="E92" s="170">
        <f t="shared" si="28"/>
        <v>177</v>
      </c>
      <c r="F92" s="185"/>
      <c r="G92" s="170">
        <f t="shared" si="29"/>
        <v>0</v>
      </c>
      <c r="H92" s="170">
        <v>0</v>
      </c>
      <c r="I92" s="11">
        <f t="shared" si="30"/>
        <v>55.33</v>
      </c>
      <c r="J92" s="11">
        <f t="shared" si="31"/>
        <v>1.75</v>
      </c>
      <c r="K92" s="416">
        <f t="shared" si="44"/>
        <v>9793.41</v>
      </c>
      <c r="L92" s="180"/>
      <c r="M92" s="180"/>
      <c r="N92" s="182">
        <f t="shared" si="32"/>
        <v>9793.41</v>
      </c>
      <c r="O92" s="29">
        <f t="shared" si="33"/>
        <v>0</v>
      </c>
      <c r="P92" s="181">
        <f t="shared" si="45"/>
        <v>0</v>
      </c>
      <c r="Q92" s="182">
        <f t="shared" si="34"/>
        <v>0</v>
      </c>
      <c r="R92" s="182">
        <f t="shared" si="35"/>
        <v>0</v>
      </c>
      <c r="S92" s="182">
        <f t="shared" si="36"/>
        <v>0</v>
      </c>
      <c r="T92" s="182">
        <f t="shared" si="37"/>
        <v>0</v>
      </c>
      <c r="U92" s="182">
        <f t="shared" si="38"/>
        <v>0</v>
      </c>
      <c r="V92" s="14">
        <f t="shared" si="39"/>
        <v>9793.41</v>
      </c>
      <c r="W92" s="14">
        <f t="shared" si="40"/>
        <v>-9793.41</v>
      </c>
      <c r="Y92" s="14">
        <f t="shared" si="46"/>
        <v>309.75</v>
      </c>
      <c r="Z92" s="14">
        <f t="shared" si="47"/>
        <v>-309.75</v>
      </c>
      <c r="AA92" s="11">
        <f t="shared" si="41"/>
        <v>2.41</v>
      </c>
      <c r="AB92" s="9">
        <f t="shared" si="48"/>
        <v>426.57000000000005</v>
      </c>
      <c r="AD92" s="13">
        <f>IF(AH92&gt;AH91,AD91,IF(AD91&lt;MiscData!$F$1,EOMONTH(AD91,1),EOMONTH(AD91,-11)))</f>
        <v>42429</v>
      </c>
      <c r="AE92" s="7" t="str">
        <f t="shared" si="42"/>
        <v>20140101KUUM_360</v>
      </c>
      <c r="AF92" s="12" t="str">
        <f t="shared" si="43"/>
        <v>20140101LS</v>
      </c>
      <c r="AG92" s="31"/>
      <c r="AH92">
        <f>IF(AH91=MiscData!$AB$91,1,AH91+1)</f>
        <v>3</v>
      </c>
      <c r="AI92">
        <f>IF(AD92&lt;=MiscData!$B$23,MiscData!$C$23,IF(AD92&lt;=MiscData!$B$24,MiscData!$C$24,MiscData!$C$25))</f>
        <v>20140101</v>
      </c>
      <c r="AK92" s="190" t="str">
        <f>VLOOKUP(AM92,MiscData!$AB$4:$ACB$113,2,FALSE)</f>
        <v>KUUM_360</v>
      </c>
      <c r="AL92" s="190" t="str">
        <f>VLOOKUP(AM92,MiscData!$AB$4:$AE$115,4,FALSE)</f>
        <v>LS</v>
      </c>
      <c r="AM92">
        <f>IF(AM91=MiscData!$AB$91,1,AM91+1)</f>
        <v>3</v>
      </c>
    </row>
    <row r="93" spans="1:39">
      <c r="A93" s="7">
        <f t="shared" si="49"/>
        <v>92</v>
      </c>
      <c r="B93" s="13" t="str">
        <f t="shared" si="25"/>
        <v>Feb 2016</v>
      </c>
      <c r="C93" s="23" t="str">
        <f t="shared" si="26"/>
        <v>LS</v>
      </c>
      <c r="D93" s="23" t="str">
        <f t="shared" si="27"/>
        <v>KUUM_361</v>
      </c>
      <c r="E93" s="170">
        <f t="shared" si="28"/>
        <v>25</v>
      </c>
      <c r="F93" s="185"/>
      <c r="G93" s="170">
        <f t="shared" si="29"/>
        <v>0</v>
      </c>
      <c r="H93" s="170">
        <v>0</v>
      </c>
      <c r="I93" s="11">
        <f t="shared" si="30"/>
        <v>83.16</v>
      </c>
      <c r="J93" s="11">
        <f t="shared" si="31"/>
        <v>1.75</v>
      </c>
      <c r="K93" s="416">
        <f t="shared" si="44"/>
        <v>2079</v>
      </c>
      <c r="L93" s="180"/>
      <c r="M93" s="180"/>
      <c r="N93" s="182">
        <f t="shared" si="32"/>
        <v>2079</v>
      </c>
      <c r="O93" s="29">
        <f t="shared" si="33"/>
        <v>0</v>
      </c>
      <c r="P93" s="181">
        <f t="shared" si="45"/>
        <v>0</v>
      </c>
      <c r="Q93" s="182">
        <f t="shared" si="34"/>
        <v>0</v>
      </c>
      <c r="R93" s="182">
        <f t="shared" si="35"/>
        <v>0</v>
      </c>
      <c r="S93" s="182">
        <f t="shared" si="36"/>
        <v>0</v>
      </c>
      <c r="T93" s="182">
        <f t="shared" si="37"/>
        <v>0</v>
      </c>
      <c r="U93" s="182">
        <f t="shared" si="38"/>
        <v>0</v>
      </c>
      <c r="V93" s="14">
        <f t="shared" si="39"/>
        <v>2079</v>
      </c>
      <c r="W93" s="14">
        <f t="shared" si="40"/>
        <v>-2079</v>
      </c>
      <c r="Y93" s="14">
        <f t="shared" si="46"/>
        <v>43.75</v>
      </c>
      <c r="Z93" s="14">
        <f t="shared" si="47"/>
        <v>-43.75</v>
      </c>
      <c r="AA93" s="11">
        <f t="shared" si="41"/>
        <v>2.41</v>
      </c>
      <c r="AB93" s="9">
        <f t="shared" si="48"/>
        <v>60.25</v>
      </c>
      <c r="AD93" s="13">
        <f>IF(AH93&gt;AH92,AD92,IF(AD92&lt;MiscData!$F$1,EOMONTH(AD92,1),EOMONTH(AD92,-11)))</f>
        <v>42429</v>
      </c>
      <c r="AE93" s="7" t="str">
        <f t="shared" si="42"/>
        <v>20140101KUUM_361</v>
      </c>
      <c r="AF93" s="12" t="str">
        <f t="shared" si="43"/>
        <v>20140101LS</v>
      </c>
      <c r="AG93" s="31"/>
      <c r="AH93">
        <f>IF(AH92=MiscData!$AB$91,1,AH92+1)</f>
        <v>4</v>
      </c>
      <c r="AI93">
        <f>IF(AD93&lt;=MiscData!$B$23,MiscData!$C$23,IF(AD93&lt;=MiscData!$B$24,MiscData!$C$24,MiscData!$C$25))</f>
        <v>20140101</v>
      </c>
      <c r="AK93" s="190" t="str">
        <f>VLOOKUP(AM93,MiscData!$AB$4:$ACB$113,2,FALSE)</f>
        <v>KUUM_361</v>
      </c>
      <c r="AL93" s="190" t="str">
        <f>VLOOKUP(AM93,MiscData!$AB$4:$AE$115,4,FALSE)</f>
        <v>LS</v>
      </c>
      <c r="AM93">
        <f>IF(AM92=MiscData!$AB$91,1,AM92+1)</f>
        <v>4</v>
      </c>
    </row>
    <row r="94" spans="1:39">
      <c r="A94" s="7">
        <f t="shared" si="49"/>
        <v>93</v>
      </c>
      <c r="B94" s="13" t="str">
        <f t="shared" si="25"/>
        <v>Feb 2016</v>
      </c>
      <c r="C94" s="23" t="str">
        <f t="shared" si="26"/>
        <v>LS</v>
      </c>
      <c r="D94" s="23" t="str">
        <f t="shared" si="27"/>
        <v>KUUM_362</v>
      </c>
      <c r="E94" s="170">
        <f t="shared" si="28"/>
        <v>43</v>
      </c>
      <c r="F94" s="185"/>
      <c r="G94" s="170">
        <f t="shared" si="29"/>
        <v>0</v>
      </c>
      <c r="H94" s="170">
        <v>0</v>
      </c>
      <c r="I94" s="11">
        <f t="shared" si="30"/>
        <v>59.78</v>
      </c>
      <c r="J94" s="11">
        <f t="shared" si="31"/>
        <v>1.75</v>
      </c>
      <c r="K94" s="416">
        <f t="shared" si="44"/>
        <v>2570.54</v>
      </c>
      <c r="L94" s="180"/>
      <c r="M94" s="180"/>
      <c r="N94" s="182">
        <f t="shared" si="32"/>
        <v>2570.54</v>
      </c>
      <c r="O94" s="29">
        <f t="shared" si="33"/>
        <v>0</v>
      </c>
      <c r="P94" s="181">
        <f t="shared" si="45"/>
        <v>0</v>
      </c>
      <c r="Q94" s="182">
        <f t="shared" si="34"/>
        <v>0</v>
      </c>
      <c r="R94" s="182">
        <f t="shared" si="35"/>
        <v>0</v>
      </c>
      <c r="S94" s="182">
        <f t="shared" si="36"/>
        <v>0</v>
      </c>
      <c r="T94" s="182">
        <f t="shared" si="37"/>
        <v>0</v>
      </c>
      <c r="U94" s="182">
        <f t="shared" si="38"/>
        <v>0</v>
      </c>
      <c r="V94" s="14">
        <f t="shared" si="39"/>
        <v>2570.54</v>
      </c>
      <c r="W94" s="14">
        <f t="shared" si="40"/>
        <v>-2570.54</v>
      </c>
      <c r="Y94" s="14">
        <f t="shared" si="46"/>
        <v>75.25</v>
      </c>
      <c r="Z94" s="14">
        <f t="shared" si="47"/>
        <v>-75.25</v>
      </c>
      <c r="AA94" s="11">
        <f t="shared" si="41"/>
        <v>2.41</v>
      </c>
      <c r="AB94" s="9">
        <f t="shared" si="48"/>
        <v>103.63000000000001</v>
      </c>
      <c r="AD94" s="13">
        <f>IF(AH94&gt;AH93,AD93,IF(AD93&lt;MiscData!$F$1,EOMONTH(AD93,1),EOMONTH(AD93,-11)))</f>
        <v>42429</v>
      </c>
      <c r="AE94" s="7" t="str">
        <f t="shared" si="42"/>
        <v>20140101KUUM_362</v>
      </c>
      <c r="AF94" s="12" t="str">
        <f t="shared" si="43"/>
        <v>20140101LS</v>
      </c>
      <c r="AG94" s="31"/>
      <c r="AH94">
        <f>IF(AH93=MiscData!$AB$91,1,AH93+1)</f>
        <v>5</v>
      </c>
      <c r="AI94">
        <f>IF(AD94&lt;=MiscData!$B$23,MiscData!$C$23,IF(AD94&lt;=MiscData!$B$24,MiscData!$C$24,MiscData!$C$25))</f>
        <v>20140101</v>
      </c>
      <c r="AK94" s="190" t="str">
        <f>VLOOKUP(AM94,MiscData!$AB$4:$ACB$113,2,FALSE)</f>
        <v>KUUM_362</v>
      </c>
      <c r="AL94" s="190" t="str">
        <f>VLOOKUP(AM94,MiscData!$AB$4:$AE$115,4,FALSE)</f>
        <v>LS</v>
      </c>
      <c r="AM94">
        <f>IF(AM93=MiscData!$AB$91,1,AM93+1)</f>
        <v>5</v>
      </c>
    </row>
    <row r="95" spans="1:39">
      <c r="A95" s="7">
        <f t="shared" si="49"/>
        <v>94</v>
      </c>
      <c r="B95" s="13" t="str">
        <f t="shared" si="25"/>
        <v>Feb 2016</v>
      </c>
      <c r="C95" s="23" t="str">
        <f t="shared" si="26"/>
        <v>LS</v>
      </c>
      <c r="D95" s="23" t="str">
        <f t="shared" si="27"/>
        <v>KUUM_363</v>
      </c>
      <c r="E95" s="170">
        <f t="shared" si="28"/>
        <v>5</v>
      </c>
      <c r="F95" s="185"/>
      <c r="G95" s="170">
        <f t="shared" si="29"/>
        <v>0</v>
      </c>
      <c r="H95" s="170">
        <v>0</v>
      </c>
      <c r="I95" s="11">
        <f t="shared" si="30"/>
        <v>61.75</v>
      </c>
      <c r="J95" s="11">
        <f t="shared" si="31"/>
        <v>1.75</v>
      </c>
      <c r="K95" s="416">
        <f t="shared" si="44"/>
        <v>308.75</v>
      </c>
      <c r="L95" s="180"/>
      <c r="M95" s="180"/>
      <c r="N95" s="182">
        <f t="shared" si="32"/>
        <v>308.75</v>
      </c>
      <c r="O95" s="29">
        <f t="shared" si="33"/>
        <v>0</v>
      </c>
      <c r="P95" s="181">
        <f t="shared" si="45"/>
        <v>0</v>
      </c>
      <c r="Q95" s="182">
        <f t="shared" si="34"/>
        <v>0</v>
      </c>
      <c r="R95" s="182">
        <f t="shared" si="35"/>
        <v>0</v>
      </c>
      <c r="S95" s="182">
        <f t="shared" si="36"/>
        <v>0</v>
      </c>
      <c r="T95" s="182">
        <f t="shared" si="37"/>
        <v>0</v>
      </c>
      <c r="U95" s="182">
        <f t="shared" si="38"/>
        <v>0</v>
      </c>
      <c r="V95" s="14">
        <f t="shared" si="39"/>
        <v>308.75</v>
      </c>
      <c r="W95" s="14">
        <f t="shared" si="40"/>
        <v>-308.75</v>
      </c>
      <c r="Y95" s="14">
        <f t="shared" si="46"/>
        <v>8.75</v>
      </c>
      <c r="Z95" s="14">
        <f t="shared" si="47"/>
        <v>-8.75</v>
      </c>
      <c r="AA95" s="11">
        <f t="shared" si="41"/>
        <v>2.41</v>
      </c>
      <c r="AB95" s="9">
        <f t="shared" si="48"/>
        <v>12.05</v>
      </c>
      <c r="AD95" s="13">
        <f>IF(AH95&gt;AH94,AD94,IF(AD94&lt;MiscData!$F$1,EOMONTH(AD94,1),EOMONTH(AD94,-11)))</f>
        <v>42429</v>
      </c>
      <c r="AE95" s="7" t="str">
        <f t="shared" si="42"/>
        <v>20140101KUUM_363</v>
      </c>
      <c r="AF95" s="12" t="str">
        <f t="shared" si="43"/>
        <v>20140101LS</v>
      </c>
      <c r="AG95" s="31"/>
      <c r="AH95">
        <f>IF(AH94=MiscData!$AB$91,1,AH94+1)</f>
        <v>6</v>
      </c>
      <c r="AI95">
        <f>IF(AD95&lt;=MiscData!$B$23,MiscData!$C$23,IF(AD95&lt;=MiscData!$B$24,MiscData!$C$24,MiscData!$C$25))</f>
        <v>20140101</v>
      </c>
      <c r="AK95" s="190" t="str">
        <f>VLOOKUP(AM95,MiscData!$AB$4:$ACB$113,2,FALSE)</f>
        <v>KUUM_363</v>
      </c>
      <c r="AL95" s="190" t="str">
        <f>VLOOKUP(AM95,MiscData!$AB$4:$AE$115,4,FALSE)</f>
        <v>LS</v>
      </c>
      <c r="AM95">
        <f>IF(AM94=MiscData!$AB$91,1,AM94+1)</f>
        <v>6</v>
      </c>
    </row>
    <row r="96" spans="1:39">
      <c r="A96" s="7">
        <f t="shared" si="49"/>
        <v>95</v>
      </c>
      <c r="B96" s="13" t="str">
        <f t="shared" si="25"/>
        <v>Feb 2016</v>
      </c>
      <c r="C96" s="23" t="str">
        <f t="shared" si="26"/>
        <v>LS</v>
      </c>
      <c r="D96" s="23" t="str">
        <f t="shared" si="27"/>
        <v>KUUM_364</v>
      </c>
      <c r="E96" s="170">
        <f t="shared" si="28"/>
        <v>1</v>
      </c>
      <c r="F96" s="185"/>
      <c r="G96" s="170">
        <f t="shared" si="29"/>
        <v>0</v>
      </c>
      <c r="H96" s="170">
        <v>0</v>
      </c>
      <c r="I96" s="11">
        <f t="shared" si="30"/>
        <v>63.11</v>
      </c>
      <c r="J96" s="11">
        <f t="shared" si="31"/>
        <v>1.75</v>
      </c>
      <c r="K96" s="416">
        <f t="shared" si="44"/>
        <v>63.11</v>
      </c>
      <c r="L96" s="180"/>
      <c r="M96" s="180"/>
      <c r="N96" s="182">
        <f t="shared" si="32"/>
        <v>63.11</v>
      </c>
      <c r="O96" s="29">
        <f t="shared" si="33"/>
        <v>0</v>
      </c>
      <c r="P96" s="181">
        <f t="shared" si="45"/>
        <v>0</v>
      </c>
      <c r="Q96" s="182">
        <f t="shared" si="34"/>
        <v>0</v>
      </c>
      <c r="R96" s="182">
        <f t="shared" si="35"/>
        <v>0</v>
      </c>
      <c r="S96" s="182">
        <f t="shared" si="36"/>
        <v>0</v>
      </c>
      <c r="T96" s="182">
        <f t="shared" si="37"/>
        <v>0</v>
      </c>
      <c r="U96" s="182">
        <f t="shared" si="38"/>
        <v>0</v>
      </c>
      <c r="V96" s="14">
        <f t="shared" si="39"/>
        <v>63.11</v>
      </c>
      <c r="W96" s="14">
        <f t="shared" si="40"/>
        <v>-63.11</v>
      </c>
      <c r="Y96" s="14">
        <f t="shared" si="46"/>
        <v>1.75</v>
      </c>
      <c r="Z96" s="14">
        <f t="shared" si="47"/>
        <v>-1.75</v>
      </c>
      <c r="AA96" s="11">
        <f t="shared" si="41"/>
        <v>2.41</v>
      </c>
      <c r="AB96" s="9">
        <f t="shared" si="48"/>
        <v>2.41</v>
      </c>
      <c r="AD96" s="13">
        <f>IF(AH96&gt;AH95,AD95,IF(AD95&lt;MiscData!$F$1,EOMONTH(AD95,1),EOMONTH(AD95,-11)))</f>
        <v>42429</v>
      </c>
      <c r="AE96" s="7" t="str">
        <f t="shared" si="42"/>
        <v>20140101KUUM_364</v>
      </c>
      <c r="AF96" s="12" t="str">
        <f t="shared" si="43"/>
        <v>20140101LS</v>
      </c>
      <c r="AG96" s="31"/>
      <c r="AH96">
        <f>IF(AH95=MiscData!$AB$91,1,AH95+1)</f>
        <v>7</v>
      </c>
      <c r="AI96">
        <f>IF(AD96&lt;=MiscData!$B$23,MiscData!$C$23,IF(AD96&lt;=MiscData!$B$24,MiscData!$C$24,MiscData!$C$25))</f>
        <v>20140101</v>
      </c>
      <c r="AK96" s="190" t="str">
        <f>VLOOKUP(AM96,MiscData!$AB$4:$ACB$113,2,FALSE)</f>
        <v>KUUM_364</v>
      </c>
      <c r="AL96" s="190" t="str">
        <f>VLOOKUP(AM96,MiscData!$AB$4:$AE$115,4,FALSE)</f>
        <v>LS</v>
      </c>
      <c r="AM96">
        <f>IF(AM95=MiscData!$AB$91,1,AM95+1)</f>
        <v>7</v>
      </c>
    </row>
    <row r="97" spans="1:39">
      <c r="A97" s="7">
        <f t="shared" si="49"/>
        <v>96</v>
      </c>
      <c r="B97" s="13" t="str">
        <f t="shared" si="25"/>
        <v>Feb 2016</v>
      </c>
      <c r="C97" s="23" t="str">
        <f t="shared" si="26"/>
        <v>LS</v>
      </c>
      <c r="D97" s="23" t="str">
        <f t="shared" si="27"/>
        <v>KUUM_365</v>
      </c>
      <c r="E97" s="170">
        <f t="shared" si="28"/>
        <v>5</v>
      </c>
      <c r="F97" s="185"/>
      <c r="G97" s="170">
        <f t="shared" si="29"/>
        <v>0</v>
      </c>
      <c r="H97" s="170">
        <v>0</v>
      </c>
      <c r="I97" s="11">
        <f t="shared" si="30"/>
        <v>80.94</v>
      </c>
      <c r="J97" s="11">
        <f t="shared" si="31"/>
        <v>1.75</v>
      </c>
      <c r="K97" s="416">
        <f t="shared" si="44"/>
        <v>404.7</v>
      </c>
      <c r="L97" s="180"/>
      <c r="M97" s="180"/>
      <c r="N97" s="182">
        <f t="shared" si="32"/>
        <v>404.7</v>
      </c>
      <c r="O97" s="29">
        <f t="shared" si="33"/>
        <v>0</v>
      </c>
      <c r="P97" s="181">
        <f t="shared" si="45"/>
        <v>0</v>
      </c>
      <c r="Q97" s="182">
        <f t="shared" si="34"/>
        <v>0</v>
      </c>
      <c r="R97" s="182">
        <f t="shared" si="35"/>
        <v>0</v>
      </c>
      <c r="S97" s="182">
        <f t="shared" si="36"/>
        <v>0</v>
      </c>
      <c r="T97" s="182">
        <f t="shared" si="37"/>
        <v>0</v>
      </c>
      <c r="U97" s="182">
        <f t="shared" si="38"/>
        <v>0</v>
      </c>
      <c r="V97" s="14">
        <f t="shared" si="39"/>
        <v>404.7</v>
      </c>
      <c r="W97" s="14">
        <f t="shared" si="40"/>
        <v>-404.7</v>
      </c>
      <c r="Y97" s="14">
        <f t="shared" si="46"/>
        <v>8.75</v>
      </c>
      <c r="Z97" s="14">
        <f t="shared" si="47"/>
        <v>-8.75</v>
      </c>
      <c r="AA97" s="11">
        <f t="shared" si="41"/>
        <v>2.41</v>
      </c>
      <c r="AB97" s="9">
        <f t="shared" si="48"/>
        <v>12.05</v>
      </c>
      <c r="AD97" s="13">
        <f>IF(AH97&gt;AH96,AD96,IF(AD96&lt;MiscData!$F$1,EOMONTH(AD96,1),EOMONTH(AD96,-11)))</f>
        <v>42429</v>
      </c>
      <c r="AE97" s="7" t="str">
        <f>CONCATENATE(AI97&amp;AK97)</f>
        <v>20140101KUUM_365</v>
      </c>
      <c r="AF97" s="12" t="str">
        <f t="shared" si="43"/>
        <v>20140101LS</v>
      </c>
      <c r="AG97" s="31"/>
      <c r="AH97">
        <f>IF(AH96=MiscData!$AB$91,1,AH96+1)</f>
        <v>8</v>
      </c>
      <c r="AI97">
        <f>IF(AD97&lt;=MiscData!$B$23,MiscData!$C$23,IF(AD97&lt;=MiscData!$B$24,MiscData!$C$24,MiscData!$C$25))</f>
        <v>20140101</v>
      </c>
      <c r="AK97" s="190" t="str">
        <f>VLOOKUP(AM97,MiscData!$AB$4:$ACB$113,2,FALSE)</f>
        <v>KUUM_365</v>
      </c>
      <c r="AL97" s="190" t="str">
        <f>VLOOKUP(AM97,MiscData!$AB$4:$AE$115,4,FALSE)</f>
        <v>LS</v>
      </c>
      <c r="AM97">
        <f>IF(AM96=MiscData!$AB$91,1,AM96+1)</f>
        <v>8</v>
      </c>
    </row>
    <row r="98" spans="1:39">
      <c r="A98" s="7">
        <f t="shared" si="49"/>
        <v>97</v>
      </c>
      <c r="B98" s="13" t="str">
        <f t="shared" si="25"/>
        <v>Feb 2016</v>
      </c>
      <c r="C98" s="23" t="str">
        <f t="shared" si="26"/>
        <v>LS</v>
      </c>
      <c r="D98" s="23" t="str">
        <f t="shared" si="27"/>
        <v>KUUM_366</v>
      </c>
      <c r="E98" s="170">
        <f t="shared" si="28"/>
        <v>9</v>
      </c>
      <c r="F98" s="185"/>
      <c r="G98" s="170">
        <f t="shared" si="29"/>
        <v>0</v>
      </c>
      <c r="H98" s="170">
        <v>0</v>
      </c>
      <c r="I98" s="11">
        <f t="shared" si="30"/>
        <v>78.97</v>
      </c>
      <c r="J98" s="11">
        <f t="shared" si="31"/>
        <v>1.75</v>
      </c>
      <c r="K98" s="416">
        <f t="shared" si="44"/>
        <v>710.73</v>
      </c>
      <c r="L98" s="180"/>
      <c r="M98" s="180"/>
      <c r="N98" s="182">
        <f t="shared" si="32"/>
        <v>710.73</v>
      </c>
      <c r="O98" s="29">
        <f t="shared" si="33"/>
        <v>0</v>
      </c>
      <c r="P98" s="181">
        <f t="shared" si="45"/>
        <v>0</v>
      </c>
      <c r="Q98" s="182">
        <f t="shared" si="34"/>
        <v>0</v>
      </c>
      <c r="R98" s="182">
        <f t="shared" si="35"/>
        <v>0</v>
      </c>
      <c r="S98" s="182">
        <f t="shared" si="36"/>
        <v>0</v>
      </c>
      <c r="T98" s="182">
        <f t="shared" si="37"/>
        <v>0</v>
      </c>
      <c r="U98" s="182">
        <f t="shared" si="38"/>
        <v>0</v>
      </c>
      <c r="V98" s="14">
        <f t="shared" si="39"/>
        <v>710.73</v>
      </c>
      <c r="W98" s="14">
        <f t="shared" si="40"/>
        <v>-710.73</v>
      </c>
      <c r="Y98" s="14">
        <f t="shared" si="46"/>
        <v>15.75</v>
      </c>
      <c r="Z98" s="14">
        <f t="shared" si="47"/>
        <v>-15.75</v>
      </c>
      <c r="AA98" s="11">
        <f t="shared" si="41"/>
        <v>2.41</v>
      </c>
      <c r="AB98" s="9">
        <f t="shared" si="48"/>
        <v>21.69</v>
      </c>
      <c r="AD98" s="13">
        <f>IF(AH98&gt;AH97,AD97,IF(AD97&lt;MiscData!$F$1,EOMONTH(AD97,1),EOMONTH(AD97,-11)))</f>
        <v>42429</v>
      </c>
      <c r="AE98" s="7" t="str">
        <f t="shared" si="42"/>
        <v>20140101KUUM_366</v>
      </c>
      <c r="AF98" s="12" t="str">
        <f t="shared" si="43"/>
        <v>20140101LS</v>
      </c>
      <c r="AG98" s="31"/>
      <c r="AH98">
        <f>IF(AH97=MiscData!$AB$91,1,AH97+1)</f>
        <v>9</v>
      </c>
      <c r="AI98">
        <f>IF(AD98&lt;=MiscData!$B$23,MiscData!$C$23,IF(AD98&lt;=MiscData!$B$24,MiscData!$C$24,MiscData!$C$25))</f>
        <v>20140101</v>
      </c>
      <c r="AK98" s="190" t="str">
        <f>VLOOKUP(AM98,MiscData!$AB$4:$ACB$113,2,FALSE)</f>
        <v>KUUM_366</v>
      </c>
      <c r="AL98" s="190" t="str">
        <f>VLOOKUP(AM98,MiscData!$AB$4:$AE$115,4,FALSE)</f>
        <v>LS</v>
      </c>
      <c r="AM98">
        <f>IF(AM97=MiscData!$AB$91,1,AM97+1)</f>
        <v>9</v>
      </c>
    </row>
    <row r="99" spans="1:39">
      <c r="A99" s="7">
        <f t="shared" si="49"/>
        <v>98</v>
      </c>
      <c r="B99" s="13" t="str">
        <f t="shared" si="25"/>
        <v>Feb 2016</v>
      </c>
      <c r="C99" s="23" t="str">
        <f t="shared" si="26"/>
        <v>LS</v>
      </c>
      <c r="D99" s="23" t="str">
        <f t="shared" si="27"/>
        <v>KUUM_367</v>
      </c>
      <c r="E99" s="170">
        <f t="shared" si="28"/>
        <v>25</v>
      </c>
      <c r="F99" s="185"/>
      <c r="G99" s="170">
        <f t="shared" si="29"/>
        <v>0</v>
      </c>
      <c r="H99" s="170">
        <v>0</v>
      </c>
      <c r="I99" s="11">
        <f t="shared" si="30"/>
        <v>61.230000000000004</v>
      </c>
      <c r="J99" s="11">
        <f t="shared" si="31"/>
        <v>1.75</v>
      </c>
      <c r="K99" s="416">
        <f t="shared" si="44"/>
        <v>1530.75</v>
      </c>
      <c r="L99" s="180"/>
      <c r="M99" s="180"/>
      <c r="N99" s="182">
        <f t="shared" si="32"/>
        <v>1530.75</v>
      </c>
      <c r="O99" s="29">
        <f t="shared" si="33"/>
        <v>0</v>
      </c>
      <c r="P99" s="181">
        <f t="shared" si="45"/>
        <v>0</v>
      </c>
      <c r="Q99" s="182">
        <f t="shared" si="34"/>
        <v>0</v>
      </c>
      <c r="R99" s="182">
        <f t="shared" si="35"/>
        <v>0</v>
      </c>
      <c r="S99" s="182">
        <f t="shared" si="36"/>
        <v>0</v>
      </c>
      <c r="T99" s="182">
        <f t="shared" si="37"/>
        <v>0</v>
      </c>
      <c r="U99" s="182">
        <f t="shared" si="38"/>
        <v>0</v>
      </c>
      <c r="V99" s="14">
        <f t="shared" si="39"/>
        <v>1530.75</v>
      </c>
      <c r="W99" s="14">
        <f t="shared" si="40"/>
        <v>-1530.75</v>
      </c>
      <c r="Y99" s="14">
        <f t="shared" si="46"/>
        <v>43.75</v>
      </c>
      <c r="Z99" s="14">
        <f t="shared" si="47"/>
        <v>-43.75</v>
      </c>
      <c r="AA99" s="11">
        <f t="shared" si="41"/>
        <v>2.41</v>
      </c>
      <c r="AB99" s="9">
        <f t="shared" si="48"/>
        <v>60.25</v>
      </c>
      <c r="AD99" s="13">
        <f>IF(AH99&gt;AH98,AD98,IF(AD98&lt;MiscData!$F$1,EOMONTH(AD98,1),EOMONTH(AD98,-11)))</f>
        <v>42429</v>
      </c>
      <c r="AE99" s="7" t="str">
        <f t="shared" si="42"/>
        <v>20140101KUUM_367</v>
      </c>
      <c r="AF99" s="12" t="str">
        <f t="shared" si="43"/>
        <v>20140101LS</v>
      </c>
      <c r="AG99" s="31"/>
      <c r="AH99">
        <f>IF(AH98=MiscData!$AB$91,1,AH98+1)</f>
        <v>10</v>
      </c>
      <c r="AI99">
        <f>IF(AD99&lt;=MiscData!$B$23,MiscData!$C$23,IF(AD99&lt;=MiscData!$B$24,MiscData!$C$24,MiscData!$C$25))</f>
        <v>20140101</v>
      </c>
      <c r="AK99" s="190" t="str">
        <f>VLOOKUP(AM99,MiscData!$AB$4:$ACB$113,2,FALSE)</f>
        <v>KUUM_367</v>
      </c>
      <c r="AL99" s="190" t="str">
        <f>VLOOKUP(AM99,MiscData!$AB$4:$AE$115,4,FALSE)</f>
        <v>LS</v>
      </c>
      <c r="AM99">
        <f>IF(AM98=MiscData!$AB$91,1,AM98+1)</f>
        <v>10</v>
      </c>
    </row>
    <row r="100" spans="1:39">
      <c r="A100" s="7">
        <f t="shared" si="49"/>
        <v>99</v>
      </c>
      <c r="B100" s="13" t="str">
        <f t="shared" si="25"/>
        <v>Feb 2016</v>
      </c>
      <c r="C100" s="23" t="str">
        <f t="shared" si="26"/>
        <v>LS</v>
      </c>
      <c r="D100" s="23" t="str">
        <f t="shared" si="27"/>
        <v>KUUM_368</v>
      </c>
      <c r="E100" s="170">
        <f t="shared" si="28"/>
        <v>1</v>
      </c>
      <c r="F100" s="185"/>
      <c r="G100" s="170">
        <f t="shared" si="29"/>
        <v>0</v>
      </c>
      <c r="H100" s="170">
        <v>0</v>
      </c>
      <c r="I100" s="11">
        <f t="shared" si="30"/>
        <v>56.69</v>
      </c>
      <c r="J100" s="11">
        <f t="shared" si="31"/>
        <v>1.75</v>
      </c>
      <c r="K100" s="416">
        <f t="shared" si="44"/>
        <v>56.69</v>
      </c>
      <c r="L100" s="180"/>
      <c r="M100" s="180"/>
      <c r="N100" s="182">
        <f t="shared" si="32"/>
        <v>56.69</v>
      </c>
      <c r="O100" s="29">
        <f t="shared" si="33"/>
        <v>0</v>
      </c>
      <c r="P100" s="181">
        <f t="shared" si="45"/>
        <v>0</v>
      </c>
      <c r="Q100" s="182">
        <f t="shared" si="34"/>
        <v>0</v>
      </c>
      <c r="R100" s="182">
        <f t="shared" si="35"/>
        <v>0</v>
      </c>
      <c r="S100" s="182">
        <f t="shared" si="36"/>
        <v>0</v>
      </c>
      <c r="T100" s="182">
        <f t="shared" si="37"/>
        <v>0</v>
      </c>
      <c r="U100" s="182">
        <f t="shared" si="38"/>
        <v>0</v>
      </c>
      <c r="V100" s="14">
        <f t="shared" si="39"/>
        <v>56.69</v>
      </c>
      <c r="W100" s="14">
        <f t="shared" si="40"/>
        <v>-56.69</v>
      </c>
      <c r="Y100" s="14">
        <f t="shared" si="46"/>
        <v>1.75</v>
      </c>
      <c r="Z100" s="14">
        <f t="shared" si="47"/>
        <v>-1.75</v>
      </c>
      <c r="AA100" s="11">
        <f t="shared" si="41"/>
        <v>2.41</v>
      </c>
      <c r="AB100" s="9">
        <f t="shared" si="48"/>
        <v>2.41</v>
      </c>
      <c r="AD100" s="13">
        <f>IF(AH100&gt;AH99,AD99,IF(AD99&lt;MiscData!$F$1,EOMONTH(AD99,1),EOMONTH(AD99,-11)))</f>
        <v>42429</v>
      </c>
      <c r="AE100" s="7" t="str">
        <f t="shared" si="42"/>
        <v>20140101KUUM_368</v>
      </c>
      <c r="AF100" s="12" t="str">
        <f t="shared" si="43"/>
        <v>20140101LS</v>
      </c>
      <c r="AG100" s="31"/>
      <c r="AH100">
        <f>IF(AH99=MiscData!$AB$91,1,AH99+1)</f>
        <v>11</v>
      </c>
      <c r="AI100">
        <f>IF(AD100&lt;=MiscData!$B$23,MiscData!$C$23,IF(AD100&lt;=MiscData!$B$24,MiscData!$C$24,MiscData!$C$25))</f>
        <v>20140101</v>
      </c>
      <c r="AK100" s="190" t="str">
        <f>VLOOKUP(AM100,MiscData!$AB$4:$ACB$113,2,FALSE)</f>
        <v>KUUM_368</v>
      </c>
      <c r="AL100" s="190" t="str">
        <f>VLOOKUP(AM100,MiscData!$AB$4:$AE$115,4,FALSE)</f>
        <v>LS</v>
      </c>
      <c r="AM100">
        <f>IF(AM99=MiscData!$AB$91,1,AM99+1)</f>
        <v>11</v>
      </c>
    </row>
    <row r="101" spans="1:39">
      <c r="A101" s="7">
        <f t="shared" si="49"/>
        <v>100</v>
      </c>
      <c r="B101" s="13" t="str">
        <f t="shared" si="25"/>
        <v>Feb 2016</v>
      </c>
      <c r="C101" s="23" t="str">
        <f t="shared" si="26"/>
        <v>LS</v>
      </c>
      <c r="D101" s="23" t="str">
        <f t="shared" si="27"/>
        <v>KUUM_370</v>
      </c>
      <c r="E101" s="170">
        <f t="shared" si="28"/>
        <v>15</v>
      </c>
      <c r="F101" s="185"/>
      <c r="G101" s="170">
        <f t="shared" si="29"/>
        <v>0</v>
      </c>
      <c r="H101" s="170">
        <v>0</v>
      </c>
      <c r="I101" s="11">
        <f t="shared" si="30"/>
        <v>74.52</v>
      </c>
      <c r="J101" s="11">
        <f t="shared" si="31"/>
        <v>1.75</v>
      </c>
      <c r="K101" s="416">
        <f t="shared" si="44"/>
        <v>1117.8</v>
      </c>
      <c r="L101" s="180"/>
      <c r="M101" s="180"/>
      <c r="N101" s="182">
        <f t="shared" si="32"/>
        <v>1117.8</v>
      </c>
      <c r="O101" s="29">
        <f t="shared" si="33"/>
        <v>0</v>
      </c>
      <c r="P101" s="181">
        <f t="shared" si="45"/>
        <v>0</v>
      </c>
      <c r="Q101" s="182">
        <f t="shared" si="34"/>
        <v>0</v>
      </c>
      <c r="R101" s="182">
        <f t="shared" si="35"/>
        <v>0</v>
      </c>
      <c r="S101" s="182">
        <f t="shared" si="36"/>
        <v>0</v>
      </c>
      <c r="T101" s="182">
        <f t="shared" si="37"/>
        <v>0</v>
      </c>
      <c r="U101" s="182">
        <f t="shared" si="38"/>
        <v>0</v>
      </c>
      <c r="V101" s="14">
        <f t="shared" si="39"/>
        <v>1117.8</v>
      </c>
      <c r="W101" s="14">
        <f t="shared" si="40"/>
        <v>-1117.8</v>
      </c>
      <c r="Y101" s="14">
        <f t="shared" si="46"/>
        <v>26.25</v>
      </c>
      <c r="Z101" s="14">
        <f t="shared" si="47"/>
        <v>-26.25</v>
      </c>
      <c r="AA101" s="11">
        <f t="shared" si="41"/>
        <v>2.41</v>
      </c>
      <c r="AB101" s="9">
        <f t="shared" si="48"/>
        <v>36.150000000000006</v>
      </c>
      <c r="AD101" s="13">
        <f>IF(AH101&gt;AH100,AD100,IF(AD100&lt;MiscData!$F$1,EOMONTH(AD100,1),EOMONTH(AD100,-11)))</f>
        <v>42429</v>
      </c>
      <c r="AE101" s="7" t="str">
        <f t="shared" si="42"/>
        <v>20140101KUUM_370</v>
      </c>
      <c r="AF101" s="12" t="str">
        <f t="shared" si="43"/>
        <v>20140101LS</v>
      </c>
      <c r="AG101" s="31"/>
      <c r="AH101">
        <f>IF(AH100=MiscData!$AB$91,1,AH100+1)</f>
        <v>12</v>
      </c>
      <c r="AI101">
        <f>IF(AD101&lt;=MiscData!$B$23,MiscData!$C$23,IF(AD101&lt;=MiscData!$B$24,MiscData!$C$24,MiscData!$C$25))</f>
        <v>20140101</v>
      </c>
      <c r="AK101" s="190" t="str">
        <f>VLOOKUP(AM101,MiscData!$AB$4:$ACB$113,2,FALSE)</f>
        <v>KUUM_370</v>
      </c>
      <c r="AL101" s="190" t="str">
        <f>VLOOKUP(AM101,MiscData!$AB$4:$AE$115,4,FALSE)</f>
        <v>LS</v>
      </c>
      <c r="AM101">
        <f>IF(AM100=MiscData!$AB$91,1,AM100+1)</f>
        <v>12</v>
      </c>
    </row>
    <row r="102" spans="1:39">
      <c r="A102" s="7">
        <f t="shared" si="49"/>
        <v>101</v>
      </c>
      <c r="B102" s="13" t="str">
        <f t="shared" si="25"/>
        <v>Feb 2016</v>
      </c>
      <c r="C102" s="23" t="str">
        <f t="shared" si="26"/>
        <v>LS</v>
      </c>
      <c r="D102" s="23" t="str">
        <f t="shared" si="27"/>
        <v>KUUM_372</v>
      </c>
      <c r="E102" s="170">
        <f t="shared" si="28"/>
        <v>1</v>
      </c>
      <c r="F102" s="185"/>
      <c r="G102" s="170">
        <f t="shared" si="29"/>
        <v>0</v>
      </c>
      <c r="H102" s="170">
        <v>0</v>
      </c>
      <c r="I102" s="11">
        <f t="shared" si="30"/>
        <v>82.3</v>
      </c>
      <c r="J102" s="11">
        <f t="shared" si="31"/>
        <v>1.75</v>
      </c>
      <c r="K102" s="416">
        <f t="shared" si="44"/>
        <v>82.3</v>
      </c>
      <c r="L102" s="180"/>
      <c r="M102" s="180"/>
      <c r="N102" s="182">
        <f t="shared" si="32"/>
        <v>82.3</v>
      </c>
      <c r="O102" s="29">
        <f t="shared" si="33"/>
        <v>0</v>
      </c>
      <c r="P102" s="181">
        <f t="shared" si="45"/>
        <v>0</v>
      </c>
      <c r="Q102" s="182">
        <f t="shared" si="34"/>
        <v>0</v>
      </c>
      <c r="R102" s="182">
        <f t="shared" si="35"/>
        <v>0</v>
      </c>
      <c r="S102" s="182">
        <f t="shared" si="36"/>
        <v>0</v>
      </c>
      <c r="T102" s="182">
        <f t="shared" si="37"/>
        <v>0</v>
      </c>
      <c r="U102" s="182">
        <f t="shared" si="38"/>
        <v>0</v>
      </c>
      <c r="V102" s="14">
        <f t="shared" si="39"/>
        <v>82.3</v>
      </c>
      <c r="W102" s="14">
        <f t="shared" si="40"/>
        <v>-82.3</v>
      </c>
      <c r="Y102" s="14">
        <f t="shared" si="46"/>
        <v>1.75</v>
      </c>
      <c r="Z102" s="14">
        <f t="shared" si="47"/>
        <v>-1.75</v>
      </c>
      <c r="AA102" s="11">
        <f t="shared" si="41"/>
        <v>2.41</v>
      </c>
      <c r="AB102" s="9">
        <f t="shared" si="48"/>
        <v>2.41</v>
      </c>
      <c r="AD102" s="13">
        <f>IF(AH102&gt;AH101,AD101,IF(AD101&lt;MiscData!$F$1,EOMONTH(AD101,1),EOMONTH(AD101,-11)))</f>
        <v>42429</v>
      </c>
      <c r="AE102" s="7" t="str">
        <f t="shared" si="42"/>
        <v>20140101KUUM_372</v>
      </c>
      <c r="AF102" s="12" t="str">
        <f t="shared" si="43"/>
        <v>20140101LS</v>
      </c>
      <c r="AG102" s="31"/>
      <c r="AH102">
        <f>IF(AH101=MiscData!$AB$91,1,AH101+1)</f>
        <v>13</v>
      </c>
      <c r="AI102">
        <f>IF(AD102&lt;=MiscData!$B$23,MiscData!$C$23,IF(AD102&lt;=MiscData!$B$24,MiscData!$C$24,MiscData!$C$25))</f>
        <v>20140101</v>
      </c>
      <c r="AK102" s="190" t="str">
        <f>VLOOKUP(AM102,MiscData!$AB$4:$ACB$113,2,FALSE)</f>
        <v>KUUM_372</v>
      </c>
      <c r="AL102" s="190" t="str">
        <f>VLOOKUP(AM102,MiscData!$AB$4:$AE$115,4,FALSE)</f>
        <v>LS</v>
      </c>
      <c r="AM102">
        <f>IF(AM101=MiscData!$AB$91,1,AM101+1)</f>
        <v>13</v>
      </c>
    </row>
    <row r="103" spans="1:39">
      <c r="A103" s="7">
        <f t="shared" si="49"/>
        <v>102</v>
      </c>
      <c r="B103" s="13" t="str">
        <f t="shared" si="25"/>
        <v>Feb 2016</v>
      </c>
      <c r="C103" s="23" t="str">
        <f t="shared" si="26"/>
        <v>LS</v>
      </c>
      <c r="D103" s="23" t="str">
        <f t="shared" si="27"/>
        <v>KUUM_373</v>
      </c>
      <c r="E103" s="170">
        <f t="shared" si="28"/>
        <v>20</v>
      </c>
      <c r="F103" s="185"/>
      <c r="G103" s="170">
        <f t="shared" si="29"/>
        <v>0</v>
      </c>
      <c r="H103" s="170">
        <v>0</v>
      </c>
      <c r="I103" s="11">
        <f t="shared" si="30"/>
        <v>74.52</v>
      </c>
      <c r="J103" s="11">
        <f t="shared" si="31"/>
        <v>1.75</v>
      </c>
      <c r="K103" s="416">
        <f t="shared" si="44"/>
        <v>1490.4</v>
      </c>
      <c r="L103" s="180"/>
      <c r="M103" s="180"/>
      <c r="N103" s="182">
        <f t="shared" si="32"/>
        <v>1490.4</v>
      </c>
      <c r="O103" s="29">
        <f t="shared" si="33"/>
        <v>0</v>
      </c>
      <c r="P103" s="181">
        <f t="shared" si="45"/>
        <v>0</v>
      </c>
      <c r="Q103" s="182">
        <f t="shared" si="34"/>
        <v>0</v>
      </c>
      <c r="R103" s="182">
        <f t="shared" si="35"/>
        <v>0</v>
      </c>
      <c r="S103" s="182">
        <f t="shared" si="36"/>
        <v>0</v>
      </c>
      <c r="T103" s="182">
        <f t="shared" si="37"/>
        <v>0</v>
      </c>
      <c r="U103" s="182">
        <f t="shared" si="38"/>
        <v>0</v>
      </c>
      <c r="V103" s="14">
        <f t="shared" si="39"/>
        <v>1490.4</v>
      </c>
      <c r="W103" s="14">
        <f t="shared" si="40"/>
        <v>-1490.4</v>
      </c>
      <c r="Y103" s="14">
        <f t="shared" si="46"/>
        <v>35</v>
      </c>
      <c r="Z103" s="14">
        <f t="shared" si="47"/>
        <v>-35</v>
      </c>
      <c r="AA103" s="11">
        <f t="shared" si="41"/>
        <v>2.41</v>
      </c>
      <c r="AB103" s="9">
        <f t="shared" si="48"/>
        <v>48.2</v>
      </c>
      <c r="AD103" s="13">
        <f>IF(AH103&gt;AH102,AD102,IF(AD102&lt;MiscData!$F$1,EOMONTH(AD102,1),EOMONTH(AD102,-11)))</f>
        <v>42429</v>
      </c>
      <c r="AE103" s="7" t="str">
        <f t="shared" si="42"/>
        <v>20140101KUUM_373</v>
      </c>
      <c r="AF103" s="12" t="str">
        <f t="shared" si="43"/>
        <v>20140101LS</v>
      </c>
      <c r="AG103" s="31"/>
      <c r="AH103">
        <f>IF(AH102=MiscData!$AB$91,1,AH102+1)</f>
        <v>14</v>
      </c>
      <c r="AI103">
        <f>IF(AD103&lt;=MiscData!$B$23,MiscData!$C$23,IF(AD103&lt;=MiscData!$B$24,MiscData!$C$24,MiscData!$C$25))</f>
        <v>20140101</v>
      </c>
      <c r="AK103" s="190" t="str">
        <f>VLOOKUP(AM103,MiscData!$AB$4:$ACB$113,2,FALSE)</f>
        <v>KUUM_373</v>
      </c>
      <c r="AL103" s="190" t="str">
        <f>VLOOKUP(AM103,MiscData!$AB$4:$AE$115,4,FALSE)</f>
        <v>LS</v>
      </c>
      <c r="AM103">
        <f>IF(AM102=MiscData!$AB$91,1,AM102+1)</f>
        <v>14</v>
      </c>
    </row>
    <row r="104" spans="1:39">
      <c r="A104" s="7">
        <f t="shared" si="49"/>
        <v>103</v>
      </c>
      <c r="B104" s="13" t="str">
        <f t="shared" si="25"/>
        <v>Feb 2016</v>
      </c>
      <c r="C104" s="23" t="str">
        <f t="shared" si="26"/>
        <v>LS</v>
      </c>
      <c r="D104" s="23" t="str">
        <f t="shared" si="27"/>
        <v>KUUM_374</v>
      </c>
      <c r="E104" s="170">
        <f t="shared" si="28"/>
        <v>4</v>
      </c>
      <c r="F104" s="185"/>
      <c r="G104" s="170">
        <f t="shared" si="29"/>
        <v>0</v>
      </c>
      <c r="H104" s="170">
        <v>0</v>
      </c>
      <c r="I104" s="11">
        <f t="shared" si="30"/>
        <v>75.88</v>
      </c>
      <c r="J104" s="11">
        <f t="shared" si="31"/>
        <v>1.75</v>
      </c>
      <c r="K104" s="416">
        <f t="shared" si="44"/>
        <v>303.52</v>
      </c>
      <c r="L104" s="180"/>
      <c r="M104" s="180"/>
      <c r="N104" s="182">
        <f t="shared" si="32"/>
        <v>303.52</v>
      </c>
      <c r="O104" s="29">
        <f t="shared" si="33"/>
        <v>0</v>
      </c>
      <c r="P104" s="181">
        <f t="shared" si="45"/>
        <v>0</v>
      </c>
      <c r="Q104" s="182">
        <f t="shared" si="34"/>
        <v>0</v>
      </c>
      <c r="R104" s="182">
        <f t="shared" si="35"/>
        <v>0</v>
      </c>
      <c r="S104" s="182">
        <f t="shared" si="36"/>
        <v>0</v>
      </c>
      <c r="T104" s="182">
        <f t="shared" si="37"/>
        <v>0</v>
      </c>
      <c r="U104" s="182">
        <f t="shared" si="38"/>
        <v>0</v>
      </c>
      <c r="V104" s="14">
        <f t="shared" si="39"/>
        <v>303.52</v>
      </c>
      <c r="W104" s="14">
        <f t="shared" si="40"/>
        <v>-303.52</v>
      </c>
      <c r="Y104" s="14">
        <f t="shared" si="46"/>
        <v>7</v>
      </c>
      <c r="Z104" s="14">
        <f t="shared" si="47"/>
        <v>-7</v>
      </c>
      <c r="AA104" s="11">
        <f t="shared" si="41"/>
        <v>2.41</v>
      </c>
      <c r="AB104" s="9">
        <f t="shared" si="48"/>
        <v>9.64</v>
      </c>
      <c r="AD104" s="13">
        <f>IF(AH104&gt;AH103,AD103,IF(AD103&lt;MiscData!$F$1,EOMONTH(AD103,1),EOMONTH(AD103,-11)))</f>
        <v>42429</v>
      </c>
      <c r="AE104" s="7" t="str">
        <f t="shared" si="42"/>
        <v>20140101KUUM_374</v>
      </c>
      <c r="AF104" s="12" t="str">
        <f t="shared" si="43"/>
        <v>20140101LS</v>
      </c>
      <c r="AG104" s="31"/>
      <c r="AH104">
        <f>IF(AH103=MiscData!$AB$91,1,AH103+1)</f>
        <v>15</v>
      </c>
      <c r="AI104">
        <f>IF(AD104&lt;=MiscData!$B$23,MiscData!$C$23,IF(AD104&lt;=MiscData!$B$24,MiscData!$C$24,MiscData!$C$25))</f>
        <v>20140101</v>
      </c>
      <c r="AK104" s="190" t="str">
        <f>VLOOKUP(AM104,MiscData!$AB$4:$ACB$113,2,FALSE)</f>
        <v>KUUM_374</v>
      </c>
      <c r="AL104" s="190" t="str">
        <f>VLOOKUP(AM104,MiscData!$AB$4:$AE$115,4,FALSE)</f>
        <v>LS</v>
      </c>
      <c r="AM104">
        <f>IF(AM103=MiscData!$AB$91,1,AM103+1)</f>
        <v>15</v>
      </c>
    </row>
    <row r="105" spans="1:39">
      <c r="A105" s="7">
        <f t="shared" si="49"/>
        <v>104</v>
      </c>
      <c r="B105" s="13" t="str">
        <f t="shared" si="25"/>
        <v>Feb 2016</v>
      </c>
      <c r="C105" s="23" t="str">
        <f t="shared" si="26"/>
        <v>LS</v>
      </c>
      <c r="D105" s="23" t="str">
        <f t="shared" si="27"/>
        <v>KUUM_375</v>
      </c>
      <c r="E105" s="170">
        <f t="shared" si="28"/>
        <v>3</v>
      </c>
      <c r="F105" s="185"/>
      <c r="G105" s="170">
        <f t="shared" si="29"/>
        <v>0</v>
      </c>
      <c r="H105" s="170">
        <v>0</v>
      </c>
      <c r="I105" s="11">
        <f t="shared" si="30"/>
        <v>78.97</v>
      </c>
      <c r="J105" s="11">
        <f t="shared" si="31"/>
        <v>1.75</v>
      </c>
      <c r="K105" s="416">
        <f t="shared" si="44"/>
        <v>236.91</v>
      </c>
      <c r="L105" s="180"/>
      <c r="M105" s="180"/>
      <c r="N105" s="182">
        <f t="shared" si="32"/>
        <v>236.91</v>
      </c>
      <c r="O105" s="29">
        <f t="shared" si="33"/>
        <v>0</v>
      </c>
      <c r="P105" s="181">
        <f t="shared" si="45"/>
        <v>0</v>
      </c>
      <c r="Q105" s="182">
        <f t="shared" si="34"/>
        <v>0</v>
      </c>
      <c r="R105" s="182">
        <f t="shared" si="35"/>
        <v>0</v>
      </c>
      <c r="S105" s="182">
        <f t="shared" si="36"/>
        <v>0</v>
      </c>
      <c r="T105" s="182">
        <f t="shared" si="37"/>
        <v>0</v>
      </c>
      <c r="U105" s="182">
        <f t="shared" si="38"/>
        <v>0</v>
      </c>
      <c r="V105" s="14">
        <f t="shared" si="39"/>
        <v>236.91</v>
      </c>
      <c r="W105" s="14">
        <f t="shared" si="40"/>
        <v>-236.91</v>
      </c>
      <c r="Y105" s="14">
        <f t="shared" si="46"/>
        <v>5.25</v>
      </c>
      <c r="Z105" s="14">
        <f t="shared" si="47"/>
        <v>-5.25</v>
      </c>
      <c r="AA105" s="11">
        <f t="shared" si="41"/>
        <v>2.41</v>
      </c>
      <c r="AB105" s="9">
        <f t="shared" si="48"/>
        <v>7.23</v>
      </c>
      <c r="AD105" s="13">
        <f>IF(AH105&gt;AH104,AD104,IF(AD104&lt;MiscData!$F$1,EOMONTH(AD104,1),EOMONTH(AD104,-11)))</f>
        <v>42429</v>
      </c>
      <c r="AE105" s="7" t="str">
        <f t="shared" si="42"/>
        <v>20140101KUUM_375</v>
      </c>
      <c r="AF105" s="12" t="str">
        <f t="shared" si="43"/>
        <v>20140101LS</v>
      </c>
      <c r="AG105" s="31"/>
      <c r="AH105">
        <f>IF(AH104=MiscData!$AB$91,1,AH104+1)</f>
        <v>16</v>
      </c>
      <c r="AI105">
        <f>IF(AD105&lt;=MiscData!$B$23,MiscData!$C$23,IF(AD105&lt;=MiscData!$B$24,MiscData!$C$24,MiscData!$C$25))</f>
        <v>20140101</v>
      </c>
      <c r="AK105" s="190" t="str">
        <f>VLOOKUP(AM105,MiscData!$AB$4:$ACB$113,2,FALSE)</f>
        <v>KUUM_375</v>
      </c>
      <c r="AL105" s="190" t="str">
        <f>VLOOKUP(AM105,MiscData!$AB$4:$AE$115,4,FALSE)</f>
        <v>LS</v>
      </c>
      <c r="AM105">
        <f>IF(AM104=MiscData!$AB$91,1,AM104+1)</f>
        <v>16</v>
      </c>
    </row>
    <row r="106" spans="1:39">
      <c r="A106" s="7">
        <f t="shared" si="49"/>
        <v>105</v>
      </c>
      <c r="B106" s="13" t="str">
        <f t="shared" si="25"/>
        <v>Feb 2016</v>
      </c>
      <c r="C106" s="23" t="str">
        <f t="shared" si="26"/>
        <v>LS</v>
      </c>
      <c r="D106" s="23" t="str">
        <f t="shared" si="27"/>
        <v>KUUM_376</v>
      </c>
      <c r="E106" s="170">
        <f t="shared" si="28"/>
        <v>2</v>
      </c>
      <c r="F106" s="185"/>
      <c r="G106" s="170">
        <f t="shared" si="29"/>
        <v>0</v>
      </c>
      <c r="H106" s="170">
        <v>0</v>
      </c>
      <c r="I106" s="11">
        <f t="shared" si="30"/>
        <v>77.259999999999991</v>
      </c>
      <c r="J106" s="11">
        <f t="shared" si="31"/>
        <v>1.75</v>
      </c>
      <c r="K106" s="416">
        <f t="shared" si="44"/>
        <v>154.52000000000001</v>
      </c>
      <c r="L106" s="180"/>
      <c r="M106" s="180"/>
      <c r="N106" s="182">
        <f t="shared" si="32"/>
        <v>154.52000000000001</v>
      </c>
      <c r="O106" s="29">
        <f t="shared" si="33"/>
        <v>0</v>
      </c>
      <c r="P106" s="181">
        <f t="shared" si="45"/>
        <v>0</v>
      </c>
      <c r="Q106" s="182">
        <f t="shared" si="34"/>
        <v>0</v>
      </c>
      <c r="R106" s="182">
        <f t="shared" si="35"/>
        <v>0</v>
      </c>
      <c r="S106" s="182">
        <f t="shared" si="36"/>
        <v>0</v>
      </c>
      <c r="T106" s="182">
        <f t="shared" si="37"/>
        <v>0</v>
      </c>
      <c r="U106" s="182">
        <f t="shared" si="38"/>
        <v>0</v>
      </c>
      <c r="V106" s="14">
        <f t="shared" si="39"/>
        <v>154.52000000000001</v>
      </c>
      <c r="W106" s="14">
        <f t="shared" si="40"/>
        <v>-154.52000000000001</v>
      </c>
      <c r="Y106" s="14">
        <f t="shared" si="46"/>
        <v>3.5</v>
      </c>
      <c r="Z106" s="14">
        <f t="shared" si="47"/>
        <v>-3.5</v>
      </c>
      <c r="AA106" s="11">
        <f t="shared" si="41"/>
        <v>2.41</v>
      </c>
      <c r="AB106" s="9">
        <f t="shared" si="48"/>
        <v>4.82</v>
      </c>
      <c r="AD106" s="13">
        <f>IF(AH106&gt;AH105,AD105,IF(AD105&lt;MiscData!$F$1,EOMONTH(AD105,1),EOMONTH(AD105,-11)))</f>
        <v>42429</v>
      </c>
      <c r="AE106" s="7" t="str">
        <f t="shared" si="42"/>
        <v>20140101KUUM_376</v>
      </c>
      <c r="AF106" s="12" t="str">
        <f t="shared" si="43"/>
        <v>20140101LS</v>
      </c>
      <c r="AG106" s="31"/>
      <c r="AH106">
        <f>IF(AH105=MiscData!$AB$91,1,AH105+1)</f>
        <v>17</v>
      </c>
      <c r="AI106">
        <f>IF(AD106&lt;=MiscData!$B$23,MiscData!$C$23,IF(AD106&lt;=MiscData!$B$24,MiscData!$C$24,MiscData!$C$25))</f>
        <v>20140101</v>
      </c>
      <c r="AK106" s="190" t="str">
        <f>VLOOKUP(AM106,MiscData!$AB$4:$ACB$113,2,FALSE)</f>
        <v>KUUM_376</v>
      </c>
      <c r="AL106" s="190" t="str">
        <f>VLOOKUP(AM106,MiscData!$AB$4:$AE$115,4,FALSE)</f>
        <v>LS</v>
      </c>
      <c r="AM106">
        <f>IF(AM105=MiscData!$AB$91,1,AM105+1)</f>
        <v>17</v>
      </c>
    </row>
    <row r="107" spans="1:39">
      <c r="A107" s="7">
        <f t="shared" si="49"/>
        <v>106</v>
      </c>
      <c r="B107" s="13" t="str">
        <f t="shared" si="25"/>
        <v>Feb 2016</v>
      </c>
      <c r="C107" s="23" t="str">
        <f t="shared" si="26"/>
        <v>LS</v>
      </c>
      <c r="D107" s="23" t="str">
        <f t="shared" si="27"/>
        <v>KUUM_377</v>
      </c>
      <c r="E107" s="170">
        <f t="shared" si="28"/>
        <v>51</v>
      </c>
      <c r="F107" s="185"/>
      <c r="G107" s="170">
        <f t="shared" si="29"/>
        <v>0</v>
      </c>
      <c r="H107" s="170">
        <v>0</v>
      </c>
      <c r="I107" s="11">
        <f t="shared" si="30"/>
        <v>64.19</v>
      </c>
      <c r="J107" s="11">
        <f t="shared" si="31"/>
        <v>1.75</v>
      </c>
      <c r="K107" s="416">
        <f t="shared" si="44"/>
        <v>3273.69</v>
      </c>
      <c r="L107" s="180"/>
      <c r="M107" s="180"/>
      <c r="N107" s="182">
        <f t="shared" si="32"/>
        <v>3273.69</v>
      </c>
      <c r="O107" s="29">
        <f t="shared" si="33"/>
        <v>0</v>
      </c>
      <c r="P107" s="181">
        <f t="shared" si="45"/>
        <v>0</v>
      </c>
      <c r="Q107" s="182">
        <f t="shared" si="34"/>
        <v>0</v>
      </c>
      <c r="R107" s="182">
        <f t="shared" si="35"/>
        <v>0</v>
      </c>
      <c r="S107" s="182">
        <f t="shared" si="36"/>
        <v>0</v>
      </c>
      <c r="T107" s="182">
        <f t="shared" si="37"/>
        <v>0</v>
      </c>
      <c r="U107" s="182">
        <f t="shared" si="38"/>
        <v>0</v>
      </c>
      <c r="V107" s="14">
        <f t="shared" si="39"/>
        <v>3273.69</v>
      </c>
      <c r="W107" s="14">
        <f t="shared" si="40"/>
        <v>-3273.69</v>
      </c>
      <c r="Y107" s="14">
        <f t="shared" si="46"/>
        <v>89.25</v>
      </c>
      <c r="Z107" s="14">
        <f t="shared" si="47"/>
        <v>-89.25</v>
      </c>
      <c r="AA107" s="11">
        <f t="shared" si="41"/>
        <v>2.41</v>
      </c>
      <c r="AB107" s="9">
        <f t="shared" si="48"/>
        <v>122.91000000000001</v>
      </c>
      <c r="AD107" s="13">
        <f>IF(AH107&gt;AH106,AD106,IF(AD106&lt;MiscData!$F$1,EOMONTH(AD106,1),EOMONTH(AD106,-11)))</f>
        <v>42429</v>
      </c>
      <c r="AE107" s="7" t="str">
        <f t="shared" si="42"/>
        <v>20140101KUUM_377</v>
      </c>
      <c r="AF107" s="12" t="str">
        <f t="shared" si="43"/>
        <v>20140101LS</v>
      </c>
      <c r="AG107" s="31"/>
      <c r="AH107">
        <f>IF(AH106=MiscData!$AB$91,1,AH106+1)</f>
        <v>18</v>
      </c>
      <c r="AI107">
        <f>IF(AD107&lt;=MiscData!$B$23,MiscData!$C$23,IF(AD107&lt;=MiscData!$B$24,MiscData!$C$24,MiscData!$C$25))</f>
        <v>20140101</v>
      </c>
      <c r="AK107" s="190" t="str">
        <f>VLOOKUP(AM107,MiscData!$AB$4:$ACB$113,2,FALSE)</f>
        <v>KUUM_377</v>
      </c>
      <c r="AL107" s="190" t="str">
        <f>VLOOKUP(AM107,MiscData!$AB$4:$AE$115,4,FALSE)</f>
        <v>LS</v>
      </c>
      <c r="AM107">
        <f>IF(AM106=MiscData!$AB$91,1,AM106+1)</f>
        <v>18</v>
      </c>
    </row>
    <row r="108" spans="1:39">
      <c r="A108" s="7">
        <f t="shared" si="49"/>
        <v>107</v>
      </c>
      <c r="B108" s="13" t="str">
        <f t="shared" si="25"/>
        <v>Feb 2016</v>
      </c>
      <c r="C108" s="23" t="str">
        <f t="shared" si="26"/>
        <v>LS</v>
      </c>
      <c r="D108" s="23" t="str">
        <f t="shared" si="27"/>
        <v>KUUM_378</v>
      </c>
      <c r="E108" s="170">
        <f t="shared" si="28"/>
        <v>2</v>
      </c>
      <c r="F108" s="185"/>
      <c r="G108" s="170">
        <f t="shared" si="29"/>
        <v>0</v>
      </c>
      <c r="H108" s="170">
        <v>0</v>
      </c>
      <c r="I108" s="11">
        <f t="shared" si="30"/>
        <v>75.899999999999991</v>
      </c>
      <c r="J108" s="11">
        <f t="shared" si="31"/>
        <v>1.75</v>
      </c>
      <c r="K108" s="416">
        <f t="shared" si="44"/>
        <v>151.80000000000001</v>
      </c>
      <c r="L108" s="180"/>
      <c r="M108" s="180"/>
      <c r="N108" s="182">
        <f t="shared" si="32"/>
        <v>151.80000000000001</v>
      </c>
      <c r="O108" s="29">
        <f t="shared" si="33"/>
        <v>0</v>
      </c>
      <c r="P108" s="181">
        <f t="shared" si="45"/>
        <v>0</v>
      </c>
      <c r="Q108" s="182">
        <f t="shared" si="34"/>
        <v>0</v>
      </c>
      <c r="R108" s="182">
        <f t="shared" si="35"/>
        <v>0</v>
      </c>
      <c r="S108" s="182">
        <f t="shared" si="36"/>
        <v>0</v>
      </c>
      <c r="T108" s="182">
        <f t="shared" si="37"/>
        <v>0</v>
      </c>
      <c r="U108" s="182">
        <f t="shared" si="38"/>
        <v>0</v>
      </c>
      <c r="V108" s="14">
        <f t="shared" si="39"/>
        <v>151.80000000000001</v>
      </c>
      <c r="W108" s="14">
        <f t="shared" si="40"/>
        <v>-151.80000000000001</v>
      </c>
      <c r="Y108" s="14">
        <f t="shared" si="46"/>
        <v>3.5</v>
      </c>
      <c r="Z108" s="14">
        <f t="shared" si="47"/>
        <v>-3.5</v>
      </c>
      <c r="AA108" s="11">
        <f t="shared" si="41"/>
        <v>2.41</v>
      </c>
      <c r="AB108" s="9">
        <f t="shared" si="48"/>
        <v>4.82</v>
      </c>
      <c r="AD108" s="13">
        <f>IF(AH108&gt;AH107,AD107,IF(AD107&lt;MiscData!$F$1,EOMONTH(AD107,1),EOMONTH(AD107,-11)))</f>
        <v>42429</v>
      </c>
      <c r="AE108" s="7" t="str">
        <f t="shared" si="42"/>
        <v>20140101KUUM_378</v>
      </c>
      <c r="AF108" s="12" t="str">
        <f t="shared" si="43"/>
        <v>20140101LS</v>
      </c>
      <c r="AG108" s="31"/>
      <c r="AH108">
        <f>IF(AH107=MiscData!$AB$91,1,AH107+1)</f>
        <v>19</v>
      </c>
      <c r="AI108">
        <f>IF(AD108&lt;=MiscData!$B$23,MiscData!$C$23,IF(AD108&lt;=MiscData!$B$24,MiscData!$C$24,MiscData!$C$25))</f>
        <v>20140101</v>
      </c>
      <c r="AK108" s="190" t="str">
        <f>VLOOKUP(AM108,MiscData!$AB$4:$ACB$113,2,FALSE)</f>
        <v>KUUM_378</v>
      </c>
      <c r="AL108" s="190" t="str">
        <f>VLOOKUP(AM108,MiscData!$AB$4:$AE$115,4,FALSE)</f>
        <v>LS</v>
      </c>
      <c r="AM108">
        <f>IF(AM107=MiscData!$AB$91,1,AM107+1)</f>
        <v>19</v>
      </c>
    </row>
    <row r="109" spans="1:39">
      <c r="A109" s="7">
        <f t="shared" si="49"/>
        <v>108</v>
      </c>
      <c r="B109" s="13" t="str">
        <f t="shared" si="25"/>
        <v>Feb 2016</v>
      </c>
      <c r="C109" s="23" t="str">
        <f t="shared" si="26"/>
        <v>LS</v>
      </c>
      <c r="D109" s="23" t="str">
        <f t="shared" si="27"/>
        <v>KUUM_401</v>
      </c>
      <c r="E109" s="170">
        <f t="shared" si="28"/>
        <v>52</v>
      </c>
      <c r="F109" s="185"/>
      <c r="G109" s="170">
        <f t="shared" si="29"/>
        <v>0</v>
      </c>
      <c r="H109" s="170">
        <v>0</v>
      </c>
      <c r="I109" s="11">
        <f t="shared" si="30"/>
        <v>14.860000000000001</v>
      </c>
      <c r="J109" s="11">
        <f t="shared" si="31"/>
        <v>0.80000000000000071</v>
      </c>
      <c r="K109" s="416">
        <f t="shared" si="44"/>
        <v>772.72</v>
      </c>
      <c r="L109" s="180"/>
      <c r="M109" s="180"/>
      <c r="N109" s="182">
        <f t="shared" si="32"/>
        <v>772.72</v>
      </c>
      <c r="O109" s="29">
        <f t="shared" si="33"/>
        <v>0</v>
      </c>
      <c r="P109" s="181">
        <f t="shared" si="45"/>
        <v>0</v>
      </c>
      <c r="Q109" s="182">
        <f t="shared" si="34"/>
        <v>0</v>
      </c>
      <c r="R109" s="182">
        <f t="shared" si="35"/>
        <v>0</v>
      </c>
      <c r="S109" s="182">
        <f t="shared" si="36"/>
        <v>0</v>
      </c>
      <c r="T109" s="182">
        <f t="shared" si="37"/>
        <v>0</v>
      </c>
      <c r="U109" s="182">
        <f t="shared" si="38"/>
        <v>0</v>
      </c>
      <c r="V109" s="14">
        <f t="shared" si="39"/>
        <v>772.72</v>
      </c>
      <c r="W109" s="14">
        <f t="shared" si="40"/>
        <v>-772.72</v>
      </c>
      <c r="Y109" s="14">
        <f t="shared" si="46"/>
        <v>41.6</v>
      </c>
      <c r="Z109" s="14">
        <f t="shared" si="47"/>
        <v>-41.6</v>
      </c>
      <c r="AA109" s="11">
        <f t="shared" si="41"/>
        <v>0.43</v>
      </c>
      <c r="AB109" s="9">
        <f t="shared" si="48"/>
        <v>22.36</v>
      </c>
      <c r="AD109" s="13">
        <f>IF(AH109&gt;AH108,AD108,IF(AD108&lt;MiscData!$F$1,EOMONTH(AD108,1),EOMONTH(AD108,-11)))</f>
        <v>42429</v>
      </c>
      <c r="AE109" s="7" t="str">
        <f t="shared" si="42"/>
        <v>20140101KUUM_401</v>
      </c>
      <c r="AF109" s="12" t="str">
        <f t="shared" si="43"/>
        <v>20140101LS</v>
      </c>
      <c r="AG109" s="31"/>
      <c r="AH109">
        <f>IF(AH108=MiscData!$AB$91,1,AH108+1)</f>
        <v>20</v>
      </c>
      <c r="AI109">
        <f>IF(AD109&lt;=MiscData!$B$23,MiscData!$C$23,IF(AD109&lt;=MiscData!$B$24,MiscData!$C$24,MiscData!$C$25))</f>
        <v>20140101</v>
      </c>
      <c r="AK109" s="190" t="str">
        <f>VLOOKUP(AM109,MiscData!$AB$4:$ACB$113,2,FALSE)</f>
        <v>KUUM_401</v>
      </c>
      <c r="AL109" s="190" t="str">
        <f>VLOOKUP(AM109,MiscData!$AB$4:$AE$115,4,FALSE)</f>
        <v>LS</v>
      </c>
      <c r="AM109">
        <f>IF(AM108=MiscData!$AB$91,1,AM108+1)</f>
        <v>20</v>
      </c>
    </row>
    <row r="110" spans="1:39">
      <c r="A110" s="7">
        <f t="shared" si="49"/>
        <v>109</v>
      </c>
      <c r="B110" s="13" t="str">
        <f t="shared" si="25"/>
        <v>Feb 2016</v>
      </c>
      <c r="C110" s="23" t="str">
        <f t="shared" si="26"/>
        <v>RLS</v>
      </c>
      <c r="D110" s="23" t="str">
        <f t="shared" si="27"/>
        <v>KUUM_404</v>
      </c>
      <c r="E110" s="170">
        <f t="shared" si="28"/>
        <v>7337</v>
      </c>
      <c r="F110" s="185"/>
      <c r="G110" s="170">
        <f t="shared" si="29"/>
        <v>0</v>
      </c>
      <c r="H110" s="170">
        <v>0</v>
      </c>
      <c r="I110" s="11">
        <f t="shared" si="30"/>
        <v>10.570000000000002</v>
      </c>
      <c r="J110" s="11">
        <f t="shared" si="31"/>
        <v>1.9900000000000002</v>
      </c>
      <c r="K110" s="416">
        <f t="shared" si="44"/>
        <v>77552.09</v>
      </c>
      <c r="L110" s="180"/>
      <c r="M110" s="180"/>
      <c r="N110" s="182">
        <f t="shared" si="32"/>
        <v>77552.09</v>
      </c>
      <c r="O110" s="29">
        <f t="shared" si="33"/>
        <v>0</v>
      </c>
      <c r="P110" s="181">
        <f t="shared" si="45"/>
        <v>0</v>
      </c>
      <c r="Q110" s="182">
        <f t="shared" si="34"/>
        <v>0</v>
      </c>
      <c r="R110" s="182">
        <f t="shared" si="35"/>
        <v>0</v>
      </c>
      <c r="S110" s="182">
        <f t="shared" si="36"/>
        <v>0</v>
      </c>
      <c r="T110" s="182">
        <f t="shared" si="37"/>
        <v>0</v>
      </c>
      <c r="U110" s="182">
        <f t="shared" si="38"/>
        <v>0</v>
      </c>
      <c r="V110" s="14">
        <f t="shared" si="39"/>
        <v>77552.09</v>
      </c>
      <c r="W110" s="14">
        <f t="shared" si="40"/>
        <v>-77552.09</v>
      </c>
      <c r="Y110" s="14">
        <f t="shared" si="46"/>
        <v>14600.63</v>
      </c>
      <c r="Z110" s="14">
        <f t="shared" si="47"/>
        <v>-14600.63</v>
      </c>
      <c r="AA110" s="11">
        <f t="shared" si="41"/>
        <v>0.39</v>
      </c>
      <c r="AB110" s="9">
        <f t="shared" si="48"/>
        <v>2861.4300000000003</v>
      </c>
      <c r="AD110" s="13">
        <f>IF(AH110&gt;AH109,AD109,IF(AD109&lt;MiscData!$F$1,EOMONTH(AD109,1),EOMONTH(AD109,-11)))</f>
        <v>42429</v>
      </c>
      <c r="AE110" s="7" t="str">
        <f t="shared" si="42"/>
        <v>20140101KUUM_404</v>
      </c>
      <c r="AF110" s="12" t="str">
        <f t="shared" si="43"/>
        <v>20140101RLS</v>
      </c>
      <c r="AG110" s="31"/>
      <c r="AH110">
        <f>IF(AH109=MiscData!$AB$91,1,AH109+1)</f>
        <v>21</v>
      </c>
      <c r="AI110">
        <f>IF(AD110&lt;=MiscData!$B$23,MiscData!$C$23,IF(AD110&lt;=MiscData!$B$24,MiscData!$C$24,MiscData!$C$25))</f>
        <v>20140101</v>
      </c>
      <c r="AK110" s="190" t="str">
        <f>VLOOKUP(AM110,MiscData!$AB$4:$ACB$113,2,FALSE)</f>
        <v>KUUM_404</v>
      </c>
      <c r="AL110" s="190" t="str">
        <f>VLOOKUP(AM110,MiscData!$AB$4:$AE$115,4,FALSE)</f>
        <v>RLS</v>
      </c>
      <c r="AM110">
        <f>IF(AM109=MiscData!$AB$91,1,AM109+1)</f>
        <v>21</v>
      </c>
    </row>
    <row r="111" spans="1:39">
      <c r="A111" s="7">
        <f t="shared" si="49"/>
        <v>110</v>
      </c>
      <c r="B111" s="13" t="str">
        <f t="shared" si="25"/>
        <v>Feb 2016</v>
      </c>
      <c r="C111" s="23" t="str">
        <f t="shared" si="26"/>
        <v>RLS</v>
      </c>
      <c r="D111" s="23" t="str">
        <f t="shared" si="27"/>
        <v>KUUM_405</v>
      </c>
      <c r="E111" s="170">
        <f t="shared" si="28"/>
        <v>0</v>
      </c>
      <c r="F111" s="185"/>
      <c r="G111" s="170">
        <f t="shared" si="29"/>
        <v>0</v>
      </c>
      <c r="H111" s="170">
        <v>0</v>
      </c>
      <c r="I111" s="11">
        <f t="shared" si="30"/>
        <v>0</v>
      </c>
      <c r="J111" s="11">
        <f t="shared" si="31"/>
        <v>0</v>
      </c>
      <c r="K111" s="416">
        <f t="shared" si="44"/>
        <v>0</v>
      </c>
      <c r="L111" s="180"/>
      <c r="M111" s="180"/>
      <c r="N111" s="182">
        <f t="shared" si="32"/>
        <v>0</v>
      </c>
      <c r="O111" s="29">
        <f t="shared" si="33"/>
        <v>0</v>
      </c>
      <c r="P111" s="181">
        <f t="shared" si="45"/>
        <v>1</v>
      </c>
      <c r="Q111" s="182">
        <f t="shared" si="34"/>
        <v>0</v>
      </c>
      <c r="R111" s="182">
        <f t="shared" si="35"/>
        <v>0</v>
      </c>
      <c r="S111" s="182">
        <f t="shared" si="36"/>
        <v>0</v>
      </c>
      <c r="T111" s="182">
        <f t="shared" si="37"/>
        <v>0</v>
      </c>
      <c r="U111" s="182">
        <f t="shared" si="38"/>
        <v>0</v>
      </c>
      <c r="V111" s="14">
        <f t="shared" si="39"/>
        <v>0</v>
      </c>
      <c r="W111" s="14">
        <f t="shared" si="40"/>
        <v>0</v>
      </c>
      <c r="Y111" s="14">
        <f t="shared" si="46"/>
        <v>0</v>
      </c>
      <c r="Z111" s="14">
        <f t="shared" si="47"/>
        <v>0</v>
      </c>
      <c r="AA111" s="11">
        <f t="shared" si="41"/>
        <v>0</v>
      </c>
      <c r="AB111" s="9">
        <f t="shared" si="48"/>
        <v>0</v>
      </c>
      <c r="AD111" s="13">
        <f>IF(AH111&gt;AH110,AD110,IF(AD110&lt;MiscData!$F$1,EOMONTH(AD110,1),EOMONTH(AD110,-11)))</f>
        <v>42429</v>
      </c>
      <c r="AE111" s="7" t="str">
        <f t="shared" si="42"/>
        <v>20140101KUUM_405</v>
      </c>
      <c r="AF111" s="12" t="str">
        <f t="shared" si="43"/>
        <v>20140101RLS</v>
      </c>
      <c r="AG111" s="31"/>
      <c r="AH111">
        <f>IF(AH110=MiscData!$AB$91,1,AH110+1)</f>
        <v>22</v>
      </c>
      <c r="AI111">
        <f>IF(AD111&lt;=MiscData!$B$23,MiscData!$C$23,IF(AD111&lt;=MiscData!$B$24,MiscData!$C$24,MiscData!$C$25))</f>
        <v>20140101</v>
      </c>
      <c r="AK111" s="190" t="str">
        <f>VLOOKUP(AM111,MiscData!$AB$4:$ACB$113,2,FALSE)</f>
        <v>KUUM_405</v>
      </c>
      <c r="AL111" s="190" t="str">
        <f>VLOOKUP(AM111,MiscData!$AB$4:$AE$115,4,FALSE)</f>
        <v>RLS</v>
      </c>
      <c r="AM111">
        <f>IF(AM110=MiscData!$AB$91,1,AM110+1)</f>
        <v>22</v>
      </c>
    </row>
    <row r="112" spans="1:39">
      <c r="A112" s="7">
        <f t="shared" si="49"/>
        <v>111</v>
      </c>
      <c r="B112" s="13" t="str">
        <f t="shared" si="25"/>
        <v>Feb 2016</v>
      </c>
      <c r="C112" s="23" t="str">
        <f t="shared" si="26"/>
        <v>LS</v>
      </c>
      <c r="D112" s="23" t="str">
        <f t="shared" si="27"/>
        <v>KUUM_407</v>
      </c>
      <c r="E112" s="170">
        <f t="shared" si="28"/>
        <v>0</v>
      </c>
      <c r="F112" s="185"/>
      <c r="G112" s="170">
        <f t="shared" si="29"/>
        <v>0</v>
      </c>
      <c r="H112" s="170">
        <v>0</v>
      </c>
      <c r="I112" s="11">
        <f t="shared" si="30"/>
        <v>0</v>
      </c>
      <c r="J112" s="11">
        <f t="shared" si="31"/>
        <v>0</v>
      </c>
      <c r="K112" s="416">
        <f t="shared" si="44"/>
        <v>0</v>
      </c>
      <c r="L112" s="180"/>
      <c r="M112" s="180"/>
      <c r="N112" s="182">
        <f t="shared" si="32"/>
        <v>0</v>
      </c>
      <c r="O112" s="29">
        <f t="shared" si="33"/>
        <v>0</v>
      </c>
      <c r="P112" s="181">
        <f t="shared" si="45"/>
        <v>1</v>
      </c>
      <c r="Q112" s="182">
        <f t="shared" si="34"/>
        <v>0</v>
      </c>
      <c r="R112" s="182">
        <f t="shared" si="35"/>
        <v>0</v>
      </c>
      <c r="S112" s="182">
        <f t="shared" si="36"/>
        <v>0</v>
      </c>
      <c r="T112" s="182">
        <f t="shared" si="37"/>
        <v>0</v>
      </c>
      <c r="U112" s="182">
        <f t="shared" si="38"/>
        <v>0</v>
      </c>
      <c r="V112" s="14">
        <f t="shared" si="39"/>
        <v>0</v>
      </c>
      <c r="W112" s="14">
        <f t="shared" si="40"/>
        <v>0</v>
      </c>
      <c r="Y112" s="14">
        <f t="shared" si="46"/>
        <v>0</v>
      </c>
      <c r="Z112" s="14">
        <f t="shared" si="47"/>
        <v>0</v>
      </c>
      <c r="AA112" s="11">
        <f t="shared" si="41"/>
        <v>0</v>
      </c>
      <c r="AB112" s="9">
        <f t="shared" si="48"/>
        <v>0</v>
      </c>
      <c r="AD112" s="13">
        <f>IF(AH112&gt;AH111,AD111,IF(AD111&lt;MiscData!$F$1,EOMONTH(AD111,1),EOMONTH(AD111,-11)))</f>
        <v>42429</v>
      </c>
      <c r="AE112" s="7" t="str">
        <f t="shared" si="42"/>
        <v>20140101KUUM_407</v>
      </c>
      <c r="AF112" s="12" t="str">
        <f t="shared" si="43"/>
        <v>20140101LS</v>
      </c>
      <c r="AG112" s="31"/>
      <c r="AH112">
        <f>IF(AH111=MiscData!$AB$91,1,AH111+1)</f>
        <v>23</v>
      </c>
      <c r="AI112">
        <f>IF(AD112&lt;=MiscData!$B$23,MiscData!$C$23,IF(AD112&lt;=MiscData!$B$24,MiscData!$C$24,MiscData!$C$25))</f>
        <v>20140101</v>
      </c>
      <c r="AK112" s="190" t="str">
        <f>VLOOKUP(AM112,MiscData!$AB$4:$ACB$113,2,FALSE)</f>
        <v>KUUM_407</v>
      </c>
      <c r="AL112" s="190" t="str">
        <f>VLOOKUP(AM112,MiscData!$AB$4:$AE$115,4,FALSE)</f>
        <v>LS</v>
      </c>
      <c r="AM112">
        <f>IF(AM111=MiscData!$AB$91,1,AM111+1)</f>
        <v>23</v>
      </c>
    </row>
    <row r="113" spans="1:39">
      <c r="A113" s="7">
        <f t="shared" si="49"/>
        <v>112</v>
      </c>
      <c r="B113" s="13" t="str">
        <f t="shared" si="25"/>
        <v>Feb 2016</v>
      </c>
      <c r="C113" s="23" t="str">
        <f t="shared" si="26"/>
        <v>RLS</v>
      </c>
      <c r="D113" s="23" t="str">
        <f t="shared" si="27"/>
        <v>KUUM_409</v>
      </c>
      <c r="E113" s="170">
        <f t="shared" si="28"/>
        <v>136</v>
      </c>
      <c r="F113" s="185"/>
      <c r="G113" s="170">
        <f t="shared" si="29"/>
        <v>0</v>
      </c>
      <c r="H113" s="170">
        <v>0</v>
      </c>
      <c r="I113" s="11">
        <f t="shared" si="30"/>
        <v>11.71</v>
      </c>
      <c r="J113" s="11">
        <f t="shared" si="31"/>
        <v>4.5299999999999994</v>
      </c>
      <c r="K113" s="416">
        <f t="shared" si="44"/>
        <v>1592.56</v>
      </c>
      <c r="L113" s="180"/>
      <c r="M113" s="180"/>
      <c r="N113" s="182">
        <f t="shared" si="32"/>
        <v>1592.56</v>
      </c>
      <c r="O113" s="29">
        <f t="shared" si="33"/>
        <v>0</v>
      </c>
      <c r="P113" s="181">
        <f t="shared" si="45"/>
        <v>0</v>
      </c>
      <c r="Q113" s="182">
        <f t="shared" si="34"/>
        <v>0</v>
      </c>
      <c r="R113" s="182">
        <f t="shared" si="35"/>
        <v>0</v>
      </c>
      <c r="S113" s="182">
        <f t="shared" si="36"/>
        <v>0</v>
      </c>
      <c r="T113" s="182">
        <f t="shared" si="37"/>
        <v>0</v>
      </c>
      <c r="U113" s="182">
        <f t="shared" si="38"/>
        <v>0</v>
      </c>
      <c r="V113" s="14">
        <f t="shared" si="39"/>
        <v>1592.56</v>
      </c>
      <c r="W113" s="14">
        <f t="shared" si="40"/>
        <v>-1592.56</v>
      </c>
      <c r="Y113" s="14">
        <f t="shared" si="46"/>
        <v>616.08000000000004</v>
      </c>
      <c r="Z113" s="14">
        <f t="shared" si="47"/>
        <v>-616.08000000000004</v>
      </c>
      <c r="AA113" s="11">
        <f t="shared" si="41"/>
        <v>0.79</v>
      </c>
      <c r="AB113" s="9">
        <f t="shared" si="48"/>
        <v>107.44</v>
      </c>
      <c r="AD113" s="13">
        <f>IF(AH113&gt;AH112,AD112,IF(AD112&lt;MiscData!$F$1,EOMONTH(AD112,1),EOMONTH(AD112,-11)))</f>
        <v>42429</v>
      </c>
      <c r="AE113" s="7" t="str">
        <f t="shared" si="42"/>
        <v>20140101KUUM_409</v>
      </c>
      <c r="AF113" s="12" t="str">
        <f t="shared" si="43"/>
        <v>20140101RLS</v>
      </c>
      <c r="AG113" s="31"/>
      <c r="AH113">
        <f>IF(AH112=MiscData!$AB$91,1,AH112+1)</f>
        <v>24</v>
      </c>
      <c r="AI113">
        <f>IF(AD113&lt;=MiscData!$B$23,MiscData!$C$23,IF(AD113&lt;=MiscData!$B$24,MiscData!$C$24,MiscData!$C$25))</f>
        <v>20140101</v>
      </c>
      <c r="AK113" s="190" t="str">
        <f>VLOOKUP(AM113,MiscData!$AB$4:$ACB$113,2,FALSE)</f>
        <v>KUUM_409</v>
      </c>
      <c r="AL113" s="190" t="str">
        <f>VLOOKUP(AM113,MiscData!$AB$4:$AE$115,4,FALSE)</f>
        <v>RLS</v>
      </c>
      <c r="AM113">
        <f>IF(AM112=MiscData!$AB$91,1,AM112+1)</f>
        <v>24</v>
      </c>
    </row>
    <row r="114" spans="1:39">
      <c r="A114" s="7">
        <f t="shared" si="49"/>
        <v>113</v>
      </c>
      <c r="B114" s="13" t="str">
        <f t="shared" si="25"/>
        <v>Feb 2016</v>
      </c>
      <c r="C114" s="23" t="str">
        <f t="shared" si="26"/>
        <v>RLS</v>
      </c>
      <c r="D114" s="23" t="str">
        <f t="shared" si="27"/>
        <v>KUUM_410</v>
      </c>
      <c r="E114" s="170">
        <f t="shared" si="28"/>
        <v>239</v>
      </c>
      <c r="F114" s="185"/>
      <c r="G114" s="170">
        <f t="shared" si="29"/>
        <v>0</v>
      </c>
      <c r="H114" s="170">
        <v>0</v>
      </c>
      <c r="I114" s="11">
        <f t="shared" si="30"/>
        <v>20.259999999999998</v>
      </c>
      <c r="J114" s="11">
        <f t="shared" si="31"/>
        <v>0.57000000000000028</v>
      </c>
      <c r="K114" s="416">
        <f t="shared" si="44"/>
        <v>4842.1400000000003</v>
      </c>
      <c r="L114" s="180"/>
      <c r="M114" s="180"/>
      <c r="N114" s="182">
        <f t="shared" si="32"/>
        <v>4842.1400000000003</v>
      </c>
      <c r="O114" s="29">
        <f t="shared" si="33"/>
        <v>0</v>
      </c>
      <c r="P114" s="181">
        <f t="shared" si="45"/>
        <v>0</v>
      </c>
      <c r="Q114" s="182">
        <f t="shared" si="34"/>
        <v>0</v>
      </c>
      <c r="R114" s="182">
        <f t="shared" si="35"/>
        <v>0</v>
      </c>
      <c r="S114" s="182">
        <f t="shared" si="36"/>
        <v>0</v>
      </c>
      <c r="T114" s="182">
        <f t="shared" si="37"/>
        <v>0</v>
      </c>
      <c r="U114" s="182">
        <f t="shared" si="38"/>
        <v>0</v>
      </c>
      <c r="V114" s="14">
        <f t="shared" si="39"/>
        <v>4842.1400000000003</v>
      </c>
      <c r="W114" s="14">
        <f t="shared" si="40"/>
        <v>-4842.1400000000003</v>
      </c>
      <c r="Y114" s="14">
        <f t="shared" si="46"/>
        <v>136.22999999999999</v>
      </c>
      <c r="Z114" s="14">
        <f t="shared" si="47"/>
        <v>-136.22999999999999</v>
      </c>
      <c r="AA114" s="11">
        <f t="shared" si="41"/>
        <v>0.33</v>
      </c>
      <c r="AB114" s="9">
        <f t="shared" si="48"/>
        <v>78.87</v>
      </c>
      <c r="AD114" s="13">
        <f>IF(AH114&gt;AH113,AD113,IF(AD113&lt;MiscData!$F$1,EOMONTH(AD113,1),EOMONTH(AD113,-11)))</f>
        <v>42429</v>
      </c>
      <c r="AE114" s="7" t="str">
        <f t="shared" si="42"/>
        <v>20140101KUUM_410</v>
      </c>
      <c r="AF114" s="12" t="str">
        <f t="shared" si="43"/>
        <v>20140101RLS</v>
      </c>
      <c r="AG114" s="31"/>
      <c r="AH114">
        <f>IF(AH113=MiscData!$AB$91,1,AH113+1)</f>
        <v>25</v>
      </c>
      <c r="AI114">
        <f>IF(AD114&lt;=MiscData!$B$23,MiscData!$C$23,IF(AD114&lt;=MiscData!$B$24,MiscData!$C$24,MiscData!$C$25))</f>
        <v>20140101</v>
      </c>
      <c r="AK114" s="190" t="str">
        <f>VLOOKUP(AM114,MiscData!$AB$4:$ACB$113,2,FALSE)</f>
        <v>KUUM_410</v>
      </c>
      <c r="AL114" s="190" t="str">
        <f>VLOOKUP(AM114,MiscData!$AB$4:$AE$115,4,FALSE)</f>
        <v>RLS</v>
      </c>
      <c r="AM114">
        <f>IF(AM113=MiscData!$AB$91,1,AM113+1)</f>
        <v>25</v>
      </c>
    </row>
    <row r="115" spans="1:39">
      <c r="A115" s="7">
        <f t="shared" si="49"/>
        <v>114</v>
      </c>
      <c r="B115" s="13" t="str">
        <f t="shared" si="25"/>
        <v>Feb 2016</v>
      </c>
      <c r="C115" s="23" t="str">
        <f t="shared" si="26"/>
        <v>LS</v>
      </c>
      <c r="D115" s="23" t="str">
        <f t="shared" si="27"/>
        <v>KUUM_411</v>
      </c>
      <c r="E115" s="170">
        <f t="shared" si="28"/>
        <v>144</v>
      </c>
      <c r="F115" s="185"/>
      <c r="G115" s="170">
        <f t="shared" si="29"/>
        <v>0</v>
      </c>
      <c r="H115" s="170">
        <v>0</v>
      </c>
      <c r="I115" s="11">
        <f t="shared" si="30"/>
        <v>21.38</v>
      </c>
      <c r="J115" s="11">
        <f t="shared" si="31"/>
        <v>0.79999999999999716</v>
      </c>
      <c r="K115" s="416">
        <f t="shared" si="44"/>
        <v>3078.72</v>
      </c>
      <c r="L115" s="180"/>
      <c r="M115" s="180"/>
      <c r="N115" s="182">
        <f t="shared" si="32"/>
        <v>3078.72</v>
      </c>
      <c r="O115" s="29">
        <f t="shared" si="33"/>
        <v>0</v>
      </c>
      <c r="P115" s="181">
        <f t="shared" si="45"/>
        <v>0</v>
      </c>
      <c r="Q115" s="182">
        <f t="shared" si="34"/>
        <v>0</v>
      </c>
      <c r="R115" s="182">
        <f t="shared" si="35"/>
        <v>0</v>
      </c>
      <c r="S115" s="182">
        <f t="shared" si="36"/>
        <v>0</v>
      </c>
      <c r="T115" s="182">
        <f t="shared" si="37"/>
        <v>0</v>
      </c>
      <c r="U115" s="182">
        <f t="shared" si="38"/>
        <v>0</v>
      </c>
      <c r="V115" s="14">
        <f t="shared" si="39"/>
        <v>3078.72</v>
      </c>
      <c r="W115" s="14">
        <f t="shared" si="40"/>
        <v>-3078.72</v>
      </c>
      <c r="Y115" s="14">
        <f t="shared" si="46"/>
        <v>115.2</v>
      </c>
      <c r="Z115" s="14">
        <f t="shared" si="47"/>
        <v>-115.2</v>
      </c>
      <c r="AA115" s="11">
        <f t="shared" si="41"/>
        <v>0.43</v>
      </c>
      <c r="AB115" s="9">
        <f t="shared" si="48"/>
        <v>61.92</v>
      </c>
      <c r="AD115" s="13">
        <f>IF(AH115&gt;AH114,AD114,IF(AD114&lt;MiscData!$F$1,EOMONTH(AD114,1),EOMONTH(AD114,-11)))</f>
        <v>42429</v>
      </c>
      <c r="AE115" s="7" t="str">
        <f t="shared" si="42"/>
        <v>20140101KUUM_411</v>
      </c>
      <c r="AF115" s="12" t="str">
        <f t="shared" si="43"/>
        <v>20140101LS</v>
      </c>
      <c r="AG115" s="31"/>
      <c r="AH115">
        <f>IF(AH114=MiscData!$AB$91,1,AH114+1)</f>
        <v>26</v>
      </c>
      <c r="AI115">
        <f>IF(AD115&lt;=MiscData!$B$23,MiscData!$C$23,IF(AD115&lt;=MiscData!$B$24,MiscData!$C$24,MiscData!$C$25))</f>
        <v>20140101</v>
      </c>
      <c r="AK115" s="190" t="str">
        <f>VLOOKUP(AM115,MiscData!$AB$4:$ACB$113,2,FALSE)</f>
        <v>KUUM_411</v>
      </c>
      <c r="AL115" s="190" t="str">
        <f>VLOOKUP(AM115,MiscData!$AB$4:$AE$115,4,FALSE)</f>
        <v>LS</v>
      </c>
      <c r="AM115">
        <f>IF(AM114=MiscData!$AB$91,1,AM114+1)</f>
        <v>26</v>
      </c>
    </row>
    <row r="116" spans="1:39">
      <c r="A116" s="7">
        <f t="shared" si="49"/>
        <v>115</v>
      </c>
      <c r="B116" s="13" t="str">
        <f t="shared" si="25"/>
        <v>Feb 2016</v>
      </c>
      <c r="C116" s="23" t="str">
        <f t="shared" si="26"/>
        <v>RLS</v>
      </c>
      <c r="D116" s="23" t="str">
        <f t="shared" si="27"/>
        <v>KUUM_412</v>
      </c>
      <c r="E116" s="170">
        <f t="shared" si="28"/>
        <v>28</v>
      </c>
      <c r="F116" s="185"/>
      <c r="G116" s="170">
        <f t="shared" si="29"/>
        <v>0</v>
      </c>
      <c r="H116" s="170">
        <v>0</v>
      </c>
      <c r="I116" s="11">
        <f t="shared" si="30"/>
        <v>30.84</v>
      </c>
      <c r="J116" s="11">
        <f t="shared" si="31"/>
        <v>0.79999999999999716</v>
      </c>
      <c r="K116" s="416">
        <f t="shared" si="44"/>
        <v>863.52</v>
      </c>
      <c r="L116" s="180"/>
      <c r="M116" s="180"/>
      <c r="N116" s="182">
        <f t="shared" si="32"/>
        <v>863.52</v>
      </c>
      <c r="O116" s="29">
        <f t="shared" si="33"/>
        <v>0</v>
      </c>
      <c r="P116" s="181">
        <f t="shared" si="45"/>
        <v>0</v>
      </c>
      <c r="Q116" s="182">
        <f t="shared" si="34"/>
        <v>0</v>
      </c>
      <c r="R116" s="182">
        <f t="shared" si="35"/>
        <v>0</v>
      </c>
      <c r="S116" s="182">
        <f t="shared" si="36"/>
        <v>0</v>
      </c>
      <c r="T116" s="182">
        <f t="shared" si="37"/>
        <v>0</v>
      </c>
      <c r="U116" s="182">
        <f t="shared" si="38"/>
        <v>0</v>
      </c>
      <c r="V116" s="14">
        <f t="shared" si="39"/>
        <v>863.52</v>
      </c>
      <c r="W116" s="14">
        <f t="shared" si="40"/>
        <v>-863.52</v>
      </c>
      <c r="Y116" s="14">
        <f t="shared" si="46"/>
        <v>22.4</v>
      </c>
      <c r="Z116" s="14">
        <f t="shared" si="47"/>
        <v>-22.4</v>
      </c>
      <c r="AA116" s="11">
        <f t="shared" si="41"/>
        <v>0.43</v>
      </c>
      <c r="AB116" s="9">
        <f t="shared" si="48"/>
        <v>12.04</v>
      </c>
      <c r="AD116" s="13">
        <f>IF(AH116&gt;AH115,AD115,IF(AD115&lt;MiscData!$F$1,EOMONTH(AD115,1),EOMONTH(AD115,-11)))</f>
        <v>42429</v>
      </c>
      <c r="AE116" s="7" t="str">
        <f t="shared" si="42"/>
        <v>20140101KUUM_412</v>
      </c>
      <c r="AF116" s="12" t="str">
        <f t="shared" si="43"/>
        <v>20140101RLS</v>
      </c>
      <c r="AG116" s="31"/>
      <c r="AH116">
        <f>IF(AH115=MiscData!$AB$91,1,AH115+1)</f>
        <v>27</v>
      </c>
      <c r="AI116">
        <f>IF(AD116&lt;=MiscData!$B$23,MiscData!$C$23,IF(AD116&lt;=MiscData!$B$24,MiscData!$C$24,MiscData!$C$25))</f>
        <v>20140101</v>
      </c>
      <c r="AK116" s="190" t="str">
        <f>VLOOKUP(AM116,MiscData!$AB$4:$ACB$113,2,FALSE)</f>
        <v>KUUM_412</v>
      </c>
      <c r="AL116" s="190" t="str">
        <f>VLOOKUP(AM116,MiscData!$AB$4:$AE$115,4,FALSE)</f>
        <v>RLS</v>
      </c>
      <c r="AM116">
        <f>IF(AM115=MiscData!$AB$91,1,AM115+1)</f>
        <v>27</v>
      </c>
    </row>
    <row r="117" spans="1:39">
      <c r="A117" s="7">
        <f t="shared" si="49"/>
        <v>116</v>
      </c>
      <c r="B117" s="13" t="str">
        <f t="shared" si="25"/>
        <v>Feb 2016</v>
      </c>
      <c r="C117" s="23" t="str">
        <f t="shared" si="26"/>
        <v>RLS</v>
      </c>
      <c r="D117" s="23" t="str">
        <f t="shared" si="27"/>
        <v>KUUM_413</v>
      </c>
      <c r="E117" s="170">
        <f t="shared" si="28"/>
        <v>96</v>
      </c>
      <c r="F117" s="185"/>
      <c r="G117" s="170">
        <f t="shared" si="29"/>
        <v>0</v>
      </c>
      <c r="H117" s="170">
        <v>0</v>
      </c>
      <c r="I117" s="11">
        <f t="shared" si="30"/>
        <v>31.22</v>
      </c>
      <c r="J117" s="11">
        <f t="shared" si="31"/>
        <v>1.129999999999999</v>
      </c>
      <c r="K117" s="416">
        <f t="shared" si="44"/>
        <v>2997.12</v>
      </c>
      <c r="L117" s="180"/>
      <c r="M117" s="180"/>
      <c r="N117" s="182">
        <f t="shared" si="32"/>
        <v>2997.12</v>
      </c>
      <c r="O117" s="29">
        <f t="shared" si="33"/>
        <v>0</v>
      </c>
      <c r="P117" s="181">
        <f t="shared" si="45"/>
        <v>0</v>
      </c>
      <c r="Q117" s="182">
        <f t="shared" si="34"/>
        <v>0</v>
      </c>
      <c r="R117" s="182">
        <f t="shared" si="35"/>
        <v>0</v>
      </c>
      <c r="S117" s="182">
        <f t="shared" si="36"/>
        <v>0</v>
      </c>
      <c r="T117" s="182">
        <f t="shared" si="37"/>
        <v>0</v>
      </c>
      <c r="U117" s="182">
        <f t="shared" si="38"/>
        <v>0</v>
      </c>
      <c r="V117" s="14">
        <f t="shared" si="39"/>
        <v>2997.12</v>
      </c>
      <c r="W117" s="14">
        <f t="shared" si="40"/>
        <v>-2997.12</v>
      </c>
      <c r="Y117" s="14">
        <f t="shared" si="46"/>
        <v>108.48</v>
      </c>
      <c r="Z117" s="14">
        <f t="shared" si="47"/>
        <v>-108.48</v>
      </c>
      <c r="AA117" s="11">
        <f t="shared" si="41"/>
        <v>0.34</v>
      </c>
      <c r="AB117" s="9">
        <f t="shared" si="48"/>
        <v>32.64</v>
      </c>
      <c r="AD117" s="13">
        <f>IF(AH117&gt;AH116,AD116,IF(AD116&lt;MiscData!$F$1,EOMONTH(AD116,1),EOMONTH(AD116,-11)))</f>
        <v>42429</v>
      </c>
      <c r="AE117" s="7" t="str">
        <f t="shared" si="42"/>
        <v>20140101KUUM_413</v>
      </c>
      <c r="AF117" s="12" t="str">
        <f t="shared" si="43"/>
        <v>20140101RLS</v>
      </c>
      <c r="AG117" s="31"/>
      <c r="AH117">
        <f>IF(AH116=MiscData!$AB$91,1,AH116+1)</f>
        <v>28</v>
      </c>
      <c r="AI117">
        <f>IF(AD117&lt;=MiscData!$B$23,MiscData!$C$23,IF(AD117&lt;=MiscData!$B$24,MiscData!$C$24,MiscData!$C$25))</f>
        <v>20140101</v>
      </c>
      <c r="AK117" s="190" t="str">
        <f>VLOOKUP(AM117,MiscData!$AB$4:$ACB$113,2,FALSE)</f>
        <v>KUUM_413</v>
      </c>
      <c r="AL117" s="190" t="str">
        <f>VLOOKUP(AM117,MiscData!$AB$4:$AE$115,4,FALSE)</f>
        <v>RLS</v>
      </c>
      <c r="AM117">
        <f>IF(AM116=MiscData!$AB$91,1,AM116+1)</f>
        <v>28</v>
      </c>
    </row>
    <row r="118" spans="1:39">
      <c r="A118" s="7">
        <f t="shared" si="49"/>
        <v>117</v>
      </c>
      <c r="B118" s="13" t="str">
        <f t="shared" si="25"/>
        <v>Feb 2016</v>
      </c>
      <c r="C118" s="23" t="str">
        <f t="shared" si="26"/>
        <v>LS</v>
      </c>
      <c r="D118" s="23" t="str">
        <f t="shared" si="27"/>
        <v>KUUM_414</v>
      </c>
      <c r="E118" s="170">
        <f t="shared" si="28"/>
        <v>21</v>
      </c>
      <c r="F118" s="185"/>
      <c r="G118" s="170">
        <f t="shared" si="29"/>
        <v>0</v>
      </c>
      <c r="H118" s="170">
        <v>0</v>
      </c>
      <c r="I118" s="11">
        <f t="shared" si="30"/>
        <v>30.84</v>
      </c>
      <c r="J118" s="11">
        <f t="shared" si="31"/>
        <v>0.79999999999999716</v>
      </c>
      <c r="K118" s="416">
        <f t="shared" si="44"/>
        <v>647.64</v>
      </c>
      <c r="L118" s="180"/>
      <c r="M118" s="180"/>
      <c r="N118" s="182">
        <f t="shared" si="32"/>
        <v>647.64</v>
      </c>
      <c r="O118" s="29">
        <f t="shared" si="33"/>
        <v>0</v>
      </c>
      <c r="P118" s="181">
        <f t="shared" si="45"/>
        <v>0</v>
      </c>
      <c r="Q118" s="182">
        <f t="shared" si="34"/>
        <v>0</v>
      </c>
      <c r="R118" s="182">
        <f t="shared" si="35"/>
        <v>0</v>
      </c>
      <c r="S118" s="182">
        <f t="shared" si="36"/>
        <v>0</v>
      </c>
      <c r="T118" s="182">
        <f t="shared" si="37"/>
        <v>0</v>
      </c>
      <c r="U118" s="182">
        <f t="shared" si="38"/>
        <v>0</v>
      </c>
      <c r="V118" s="14">
        <f t="shared" si="39"/>
        <v>647.64</v>
      </c>
      <c r="W118" s="14">
        <f t="shared" si="40"/>
        <v>-647.64</v>
      </c>
      <c r="Y118" s="14">
        <f t="shared" si="46"/>
        <v>16.8</v>
      </c>
      <c r="Z118" s="14">
        <f t="shared" si="47"/>
        <v>-16.8</v>
      </c>
      <c r="AA118" s="11">
        <f t="shared" si="41"/>
        <v>0.43</v>
      </c>
      <c r="AB118" s="9">
        <f t="shared" si="48"/>
        <v>9.0299999999999994</v>
      </c>
      <c r="AD118" s="13">
        <f>IF(AH118&gt;AH117,AD117,IF(AD117&lt;MiscData!$F$1,EOMONTH(AD117,1),EOMONTH(AD117,-11)))</f>
        <v>42429</v>
      </c>
      <c r="AE118" s="7" t="str">
        <f t="shared" si="42"/>
        <v>20140101KUUM_414</v>
      </c>
      <c r="AF118" s="12" t="str">
        <f t="shared" si="43"/>
        <v>20140101LS</v>
      </c>
      <c r="AG118" s="31"/>
      <c r="AH118">
        <f>IF(AH117=MiscData!$AB$91,1,AH117+1)</f>
        <v>29</v>
      </c>
      <c r="AI118">
        <f>IF(AD118&lt;=MiscData!$B$23,MiscData!$C$23,IF(AD118&lt;=MiscData!$B$24,MiscData!$C$24,MiscData!$C$25))</f>
        <v>20140101</v>
      </c>
      <c r="AK118" s="190" t="str">
        <f>VLOOKUP(AM118,MiscData!$AB$4:$ACB$113,2,FALSE)</f>
        <v>KUUM_414</v>
      </c>
      <c r="AL118" s="190" t="str">
        <f>VLOOKUP(AM118,MiscData!$AB$4:$AE$115,4,FALSE)</f>
        <v>LS</v>
      </c>
      <c r="AM118">
        <f>IF(AM117=MiscData!$AB$91,1,AM117+1)</f>
        <v>29</v>
      </c>
    </row>
    <row r="119" spans="1:39">
      <c r="A119" s="7">
        <f t="shared" si="49"/>
        <v>118</v>
      </c>
      <c r="B119" s="13" t="str">
        <f t="shared" si="25"/>
        <v>Feb 2016</v>
      </c>
      <c r="C119" s="23" t="str">
        <f t="shared" si="26"/>
        <v>LS</v>
      </c>
      <c r="D119" s="23" t="str">
        <f t="shared" si="27"/>
        <v>KUUM_415</v>
      </c>
      <c r="E119" s="170">
        <f t="shared" si="28"/>
        <v>10</v>
      </c>
      <c r="F119" s="185"/>
      <c r="G119" s="170">
        <f t="shared" si="29"/>
        <v>0</v>
      </c>
      <c r="H119" s="170">
        <v>0</v>
      </c>
      <c r="I119" s="11">
        <f t="shared" si="30"/>
        <v>31.22</v>
      </c>
      <c r="J119" s="11">
        <f t="shared" si="31"/>
        <v>1.129999999999999</v>
      </c>
      <c r="K119" s="416">
        <f t="shared" si="44"/>
        <v>312.2</v>
      </c>
      <c r="L119" s="180"/>
      <c r="M119" s="180"/>
      <c r="N119" s="182">
        <f t="shared" si="32"/>
        <v>312.2</v>
      </c>
      <c r="O119" s="29">
        <f t="shared" si="33"/>
        <v>0</v>
      </c>
      <c r="P119" s="181">
        <f t="shared" si="45"/>
        <v>0</v>
      </c>
      <c r="Q119" s="182">
        <f t="shared" si="34"/>
        <v>0</v>
      </c>
      <c r="R119" s="182">
        <f t="shared" si="35"/>
        <v>0</v>
      </c>
      <c r="S119" s="182">
        <f t="shared" si="36"/>
        <v>0</v>
      </c>
      <c r="T119" s="182">
        <f t="shared" si="37"/>
        <v>0</v>
      </c>
      <c r="U119" s="182">
        <f t="shared" si="38"/>
        <v>0</v>
      </c>
      <c r="V119" s="14">
        <f t="shared" si="39"/>
        <v>312.2</v>
      </c>
      <c r="W119" s="14">
        <f t="shared" si="40"/>
        <v>-312.2</v>
      </c>
      <c r="Y119" s="14">
        <f t="shared" si="46"/>
        <v>11.3</v>
      </c>
      <c r="Z119" s="14">
        <f t="shared" si="47"/>
        <v>-11.3</v>
      </c>
      <c r="AA119" s="11">
        <f t="shared" si="41"/>
        <v>0.34</v>
      </c>
      <c r="AB119" s="9">
        <f t="shared" si="48"/>
        <v>3.4000000000000004</v>
      </c>
      <c r="AD119" s="13">
        <f>IF(AH119&gt;AH118,AD118,IF(AD118&lt;MiscData!$F$1,EOMONTH(AD118,1),EOMONTH(AD118,-11)))</f>
        <v>42429</v>
      </c>
      <c r="AE119" s="7" t="str">
        <f t="shared" si="42"/>
        <v>20140101KUUM_415</v>
      </c>
      <c r="AF119" s="12" t="str">
        <f t="shared" si="43"/>
        <v>20140101LS</v>
      </c>
      <c r="AG119" s="31"/>
      <c r="AH119">
        <f>IF(AH118=MiscData!$AB$91,1,AH118+1)</f>
        <v>30</v>
      </c>
      <c r="AI119">
        <f>IF(AD119&lt;=MiscData!$B$23,MiscData!$C$23,IF(AD119&lt;=MiscData!$B$24,MiscData!$C$24,MiscData!$C$25))</f>
        <v>20140101</v>
      </c>
      <c r="AK119" s="190" t="str">
        <f>VLOOKUP(AM119,MiscData!$AB$4:$ACB$113,2,FALSE)</f>
        <v>KUUM_415</v>
      </c>
      <c r="AL119" s="190" t="str">
        <f>VLOOKUP(AM119,MiscData!$AB$4:$AE$115,4,FALSE)</f>
        <v>LS</v>
      </c>
      <c r="AM119">
        <f>IF(AM118=MiscData!$AB$91,1,AM118+1)</f>
        <v>30</v>
      </c>
    </row>
    <row r="120" spans="1:39">
      <c r="A120" s="7">
        <f t="shared" si="49"/>
        <v>119</v>
      </c>
      <c r="B120" s="13" t="str">
        <f t="shared" si="25"/>
        <v>Feb 2016</v>
      </c>
      <c r="C120" s="23" t="str">
        <f t="shared" si="26"/>
        <v>LS</v>
      </c>
      <c r="D120" s="23" t="str">
        <f t="shared" si="27"/>
        <v>KUUM_420</v>
      </c>
      <c r="E120" s="170">
        <f t="shared" si="28"/>
        <v>462</v>
      </c>
      <c r="F120" s="185"/>
      <c r="G120" s="170">
        <f t="shared" si="29"/>
        <v>0</v>
      </c>
      <c r="H120" s="170">
        <v>0</v>
      </c>
      <c r="I120" s="11">
        <f t="shared" si="30"/>
        <v>15.360000000000001</v>
      </c>
      <c r="J120" s="11">
        <f t="shared" si="31"/>
        <v>1.1300000000000008</v>
      </c>
      <c r="K120" s="416">
        <f t="shared" si="44"/>
        <v>7096.32</v>
      </c>
      <c r="L120" s="180"/>
      <c r="M120" s="180"/>
      <c r="N120" s="182">
        <f t="shared" si="32"/>
        <v>7096.32</v>
      </c>
      <c r="O120" s="29">
        <f t="shared" si="33"/>
        <v>0</v>
      </c>
      <c r="P120" s="181">
        <f t="shared" si="45"/>
        <v>0</v>
      </c>
      <c r="Q120" s="182">
        <f t="shared" si="34"/>
        <v>0</v>
      </c>
      <c r="R120" s="182">
        <f t="shared" si="35"/>
        <v>0</v>
      </c>
      <c r="S120" s="182">
        <f t="shared" si="36"/>
        <v>0</v>
      </c>
      <c r="T120" s="182">
        <f t="shared" si="37"/>
        <v>0</v>
      </c>
      <c r="U120" s="182">
        <f t="shared" si="38"/>
        <v>0</v>
      </c>
      <c r="V120" s="14">
        <f t="shared" si="39"/>
        <v>7096.32</v>
      </c>
      <c r="W120" s="14">
        <f t="shared" si="40"/>
        <v>-7096.32</v>
      </c>
      <c r="Y120" s="14">
        <f t="shared" si="46"/>
        <v>522.05999999999995</v>
      </c>
      <c r="Z120" s="14">
        <f t="shared" si="47"/>
        <v>-522.05999999999995</v>
      </c>
      <c r="AA120" s="11">
        <f t="shared" si="41"/>
        <v>0.34</v>
      </c>
      <c r="AB120" s="9">
        <f t="shared" si="48"/>
        <v>157.08000000000001</v>
      </c>
      <c r="AD120" s="13">
        <f>IF(AH120&gt;AH119,AD119,IF(AD119&lt;MiscData!$F$1,EOMONTH(AD119,1),EOMONTH(AD119,-11)))</f>
        <v>42429</v>
      </c>
      <c r="AE120" s="7" t="str">
        <f t="shared" si="42"/>
        <v>20140101KUUM_420</v>
      </c>
      <c r="AF120" s="12" t="str">
        <f t="shared" si="43"/>
        <v>20140101LS</v>
      </c>
      <c r="AG120" s="31"/>
      <c r="AH120">
        <f>IF(AH119=MiscData!$AB$91,1,AH119+1)</f>
        <v>31</v>
      </c>
      <c r="AI120">
        <f>IF(AD120&lt;=MiscData!$B$23,MiscData!$C$23,IF(AD120&lt;=MiscData!$B$24,MiscData!$C$24,MiscData!$C$25))</f>
        <v>20140101</v>
      </c>
      <c r="AK120" s="190" t="str">
        <f>VLOOKUP(AM120,MiscData!$AB$4:$ACB$113,2,FALSE)</f>
        <v>KUUM_420</v>
      </c>
      <c r="AL120" s="190" t="str">
        <f>VLOOKUP(AM120,MiscData!$AB$4:$AE$115,4,FALSE)</f>
        <v>LS</v>
      </c>
      <c r="AM120">
        <f>IF(AM119=MiscData!$AB$91,1,AM119+1)</f>
        <v>31</v>
      </c>
    </row>
    <row r="121" spans="1:39">
      <c r="A121" s="7">
        <f t="shared" si="49"/>
        <v>120</v>
      </c>
      <c r="B121" s="13" t="str">
        <f t="shared" si="25"/>
        <v>Feb 2016</v>
      </c>
      <c r="C121" s="23" t="str">
        <f t="shared" si="26"/>
        <v>RLS</v>
      </c>
      <c r="D121" s="23" t="str">
        <f t="shared" si="27"/>
        <v>KUUM_421</v>
      </c>
      <c r="E121" s="170">
        <f t="shared" si="28"/>
        <v>5</v>
      </c>
      <c r="F121" s="185"/>
      <c r="G121" s="170">
        <f t="shared" si="29"/>
        <v>0</v>
      </c>
      <c r="H121" s="170">
        <v>0</v>
      </c>
      <c r="I121" s="11">
        <f t="shared" si="30"/>
        <v>3.39</v>
      </c>
      <c r="J121" s="11">
        <f t="shared" si="31"/>
        <v>0.98999999999999977</v>
      </c>
      <c r="K121" s="416">
        <f t="shared" si="44"/>
        <v>16.95</v>
      </c>
      <c r="L121" s="180"/>
      <c r="M121" s="180"/>
      <c r="N121" s="182">
        <f t="shared" si="32"/>
        <v>16.95</v>
      </c>
      <c r="O121" s="29">
        <f t="shared" si="33"/>
        <v>0</v>
      </c>
      <c r="P121" s="181">
        <f t="shared" si="45"/>
        <v>0</v>
      </c>
      <c r="Q121" s="182">
        <f t="shared" si="34"/>
        <v>0</v>
      </c>
      <c r="R121" s="182">
        <f t="shared" si="35"/>
        <v>0</v>
      </c>
      <c r="S121" s="182">
        <f t="shared" si="36"/>
        <v>0</v>
      </c>
      <c r="T121" s="182">
        <f t="shared" si="37"/>
        <v>0</v>
      </c>
      <c r="U121" s="182">
        <f t="shared" si="38"/>
        <v>0</v>
      </c>
      <c r="V121" s="14">
        <f t="shared" si="39"/>
        <v>16.95</v>
      </c>
      <c r="W121" s="14">
        <f t="shared" si="40"/>
        <v>-16.95</v>
      </c>
      <c r="Y121" s="14">
        <f t="shared" si="46"/>
        <v>4.95</v>
      </c>
      <c r="Z121" s="14">
        <f t="shared" si="47"/>
        <v>-4.95</v>
      </c>
      <c r="AA121" s="11">
        <f t="shared" si="41"/>
        <v>0.12</v>
      </c>
      <c r="AB121" s="9">
        <f t="shared" si="48"/>
        <v>0.6</v>
      </c>
      <c r="AD121" s="13">
        <f>IF(AH121&gt;AH120,AD120,IF(AD120&lt;MiscData!$F$1,EOMONTH(AD120,1),EOMONTH(AD120,-11)))</f>
        <v>42429</v>
      </c>
      <c r="AE121" s="7" t="str">
        <f t="shared" si="42"/>
        <v>20140101KUUM_421</v>
      </c>
      <c r="AF121" s="12" t="str">
        <f t="shared" si="43"/>
        <v>20140101RLS</v>
      </c>
      <c r="AG121" s="31"/>
      <c r="AH121">
        <f>IF(AH120=MiscData!$AB$91,1,AH120+1)</f>
        <v>32</v>
      </c>
      <c r="AI121">
        <f>IF(AD121&lt;=MiscData!$B$23,MiscData!$C$23,IF(AD121&lt;=MiscData!$B$24,MiscData!$C$24,MiscData!$C$25))</f>
        <v>20140101</v>
      </c>
      <c r="AK121" s="190" t="str">
        <f>VLOOKUP(AM121,MiscData!$AB$4:$ACB$113,2,FALSE)</f>
        <v>KUUM_421</v>
      </c>
      <c r="AL121" s="190" t="str">
        <f>VLOOKUP(AM121,MiscData!$AB$4:$AE$115,4,FALSE)</f>
        <v>RLS</v>
      </c>
      <c r="AM121">
        <f>IF(AM120=MiscData!$AB$91,1,AM120+1)</f>
        <v>32</v>
      </c>
    </row>
    <row r="122" spans="1:39">
      <c r="A122" s="7">
        <f t="shared" si="49"/>
        <v>121</v>
      </c>
      <c r="B122" s="13" t="str">
        <f t="shared" si="25"/>
        <v>Feb 2016</v>
      </c>
      <c r="C122" s="23" t="str">
        <f t="shared" si="26"/>
        <v>RLS</v>
      </c>
      <c r="D122" s="23" t="str">
        <f t="shared" si="27"/>
        <v>KUUM_422</v>
      </c>
      <c r="E122" s="170">
        <f t="shared" si="28"/>
        <v>686</v>
      </c>
      <c r="F122" s="185"/>
      <c r="G122" s="170">
        <f t="shared" si="29"/>
        <v>0</v>
      </c>
      <c r="H122" s="170">
        <v>0</v>
      </c>
      <c r="I122" s="11">
        <f t="shared" si="30"/>
        <v>4.5400000000000009</v>
      </c>
      <c r="J122" s="11">
        <f t="shared" si="31"/>
        <v>1.9400000000000004</v>
      </c>
      <c r="K122" s="416">
        <f t="shared" si="44"/>
        <v>3114.44</v>
      </c>
      <c r="L122" s="180"/>
      <c r="M122" s="180"/>
      <c r="N122" s="182">
        <f t="shared" si="32"/>
        <v>3114.44</v>
      </c>
      <c r="O122" s="29">
        <f t="shared" si="33"/>
        <v>0</v>
      </c>
      <c r="P122" s="181">
        <f t="shared" si="45"/>
        <v>0</v>
      </c>
      <c r="Q122" s="182">
        <f t="shared" si="34"/>
        <v>0</v>
      </c>
      <c r="R122" s="182">
        <f t="shared" si="35"/>
        <v>0</v>
      </c>
      <c r="S122" s="182">
        <f t="shared" si="36"/>
        <v>0</v>
      </c>
      <c r="T122" s="182">
        <f t="shared" si="37"/>
        <v>0</v>
      </c>
      <c r="U122" s="182">
        <f t="shared" si="38"/>
        <v>0</v>
      </c>
      <c r="V122" s="14">
        <f t="shared" si="39"/>
        <v>3114.44</v>
      </c>
      <c r="W122" s="14">
        <f t="shared" si="40"/>
        <v>-3114.44</v>
      </c>
      <c r="Y122" s="14">
        <f t="shared" si="46"/>
        <v>1330.84</v>
      </c>
      <c r="Z122" s="14">
        <f t="shared" si="47"/>
        <v>-1330.84</v>
      </c>
      <c r="AA122" s="11">
        <f t="shared" si="41"/>
        <v>0.16</v>
      </c>
      <c r="AB122" s="9">
        <f t="shared" si="48"/>
        <v>109.76</v>
      </c>
      <c r="AD122" s="13">
        <f>IF(AH122&gt;AH121,AD121,IF(AD121&lt;MiscData!$F$1,EOMONTH(AD121,1),EOMONTH(AD121,-11)))</f>
        <v>42429</v>
      </c>
      <c r="AE122" s="7" t="str">
        <f t="shared" si="42"/>
        <v>20140101KUUM_422</v>
      </c>
      <c r="AF122" s="12" t="str">
        <f t="shared" si="43"/>
        <v>20140101RLS</v>
      </c>
      <c r="AG122" s="31"/>
      <c r="AH122">
        <f>IF(AH121=MiscData!$AB$91,1,AH121+1)</f>
        <v>33</v>
      </c>
      <c r="AI122">
        <f>IF(AD122&lt;=MiscData!$B$23,MiscData!$C$23,IF(AD122&lt;=MiscData!$B$24,MiscData!$C$24,MiscData!$C$25))</f>
        <v>20140101</v>
      </c>
      <c r="AK122" s="190" t="str">
        <f>VLOOKUP(AM122,MiscData!$AB$4:$ACB$113,2,FALSE)</f>
        <v>KUUM_422</v>
      </c>
      <c r="AL122" s="190" t="str">
        <f>VLOOKUP(AM122,MiscData!$AB$4:$AE$115,4,FALSE)</f>
        <v>RLS</v>
      </c>
      <c r="AM122">
        <f>IF(AM121=MiscData!$AB$91,1,AM121+1)</f>
        <v>33</v>
      </c>
    </row>
    <row r="123" spans="1:39">
      <c r="A123" s="7">
        <f t="shared" si="49"/>
        <v>122</v>
      </c>
      <c r="B123" s="13" t="str">
        <f t="shared" si="25"/>
        <v>Feb 2016</v>
      </c>
      <c r="C123" s="23" t="str">
        <f t="shared" si="26"/>
        <v>RLS</v>
      </c>
      <c r="D123" s="23" t="str">
        <f t="shared" si="27"/>
        <v>KUUM_424</v>
      </c>
      <c r="E123" s="170">
        <f t="shared" si="28"/>
        <v>87</v>
      </c>
      <c r="F123" s="185"/>
      <c r="G123" s="170">
        <f t="shared" si="29"/>
        <v>0</v>
      </c>
      <c r="H123" s="170">
        <v>0</v>
      </c>
      <c r="I123" s="11">
        <f t="shared" si="30"/>
        <v>6.78</v>
      </c>
      <c r="J123" s="11">
        <f t="shared" si="31"/>
        <v>0.69999999999999929</v>
      </c>
      <c r="K123" s="416">
        <f t="shared" si="44"/>
        <v>589.86</v>
      </c>
      <c r="L123" s="180"/>
      <c r="M123" s="180"/>
      <c r="N123" s="182">
        <f t="shared" si="32"/>
        <v>589.86</v>
      </c>
      <c r="O123" s="29">
        <f t="shared" si="33"/>
        <v>0</v>
      </c>
      <c r="P123" s="181">
        <f t="shared" si="45"/>
        <v>0</v>
      </c>
      <c r="Q123" s="182">
        <f t="shared" si="34"/>
        <v>0</v>
      </c>
      <c r="R123" s="182">
        <f t="shared" si="35"/>
        <v>0</v>
      </c>
      <c r="S123" s="182">
        <f t="shared" si="36"/>
        <v>0</v>
      </c>
      <c r="T123" s="182">
        <f t="shared" si="37"/>
        <v>0</v>
      </c>
      <c r="U123" s="182">
        <f t="shared" si="38"/>
        <v>0</v>
      </c>
      <c r="V123" s="14">
        <f t="shared" si="39"/>
        <v>589.86</v>
      </c>
      <c r="W123" s="14">
        <f t="shared" si="40"/>
        <v>-589.86</v>
      </c>
      <c r="Y123" s="14">
        <f t="shared" si="46"/>
        <v>60.9</v>
      </c>
      <c r="Z123" s="14">
        <f t="shared" si="47"/>
        <v>-60.9</v>
      </c>
      <c r="AA123" s="11">
        <f t="shared" si="41"/>
        <v>0.24</v>
      </c>
      <c r="AB123" s="9">
        <f t="shared" si="48"/>
        <v>20.88</v>
      </c>
      <c r="AD123" s="13">
        <f>IF(AH123&gt;AH122,AD122,IF(AD122&lt;MiscData!$F$1,EOMONTH(AD122,1),EOMONTH(AD122,-11)))</f>
        <v>42429</v>
      </c>
      <c r="AE123" s="7" t="str">
        <f t="shared" si="42"/>
        <v>20140101KUUM_424</v>
      </c>
      <c r="AF123" s="12" t="str">
        <f t="shared" si="43"/>
        <v>20140101RLS</v>
      </c>
      <c r="AG123" s="31"/>
      <c r="AH123">
        <f>IF(AH122=MiscData!$AB$91,1,AH122+1)</f>
        <v>34</v>
      </c>
      <c r="AI123">
        <f>IF(AD123&lt;=MiscData!$B$23,MiscData!$C$23,IF(AD123&lt;=MiscData!$B$24,MiscData!$C$24,MiscData!$C$25))</f>
        <v>20140101</v>
      </c>
      <c r="AK123" s="190" t="str">
        <f>VLOOKUP(AM123,MiscData!$AB$4:$ACB$113,2,FALSE)</f>
        <v>KUUM_424</v>
      </c>
      <c r="AL123" s="190" t="str">
        <f>VLOOKUP(AM123,MiscData!$AB$4:$AE$115,4,FALSE)</f>
        <v>RLS</v>
      </c>
      <c r="AM123">
        <f>IF(AM122=MiscData!$AB$91,1,AM122+1)</f>
        <v>34</v>
      </c>
    </row>
    <row r="124" spans="1:39">
      <c r="A124" s="7">
        <f t="shared" si="49"/>
        <v>123</v>
      </c>
      <c r="B124" s="13" t="str">
        <f t="shared" si="25"/>
        <v>Feb 2016</v>
      </c>
      <c r="C124" s="23" t="str">
        <f t="shared" si="26"/>
        <v>RLS</v>
      </c>
      <c r="D124" s="23" t="str">
        <f t="shared" si="27"/>
        <v>KUUM_425</v>
      </c>
      <c r="E124" s="170">
        <f t="shared" si="28"/>
        <v>2</v>
      </c>
      <c r="F124" s="185"/>
      <c r="G124" s="170">
        <f t="shared" si="29"/>
        <v>0</v>
      </c>
      <c r="H124" s="170">
        <v>0</v>
      </c>
      <c r="I124" s="11">
        <f t="shared" si="30"/>
        <v>9.06</v>
      </c>
      <c r="J124" s="11">
        <f t="shared" si="31"/>
        <v>4.3000000000000007</v>
      </c>
      <c r="K124" s="416">
        <f t="shared" si="44"/>
        <v>18.12</v>
      </c>
      <c r="L124" s="180"/>
      <c r="M124" s="180"/>
      <c r="N124" s="182">
        <f t="shared" si="32"/>
        <v>18.12</v>
      </c>
      <c r="O124" s="29">
        <f t="shared" si="33"/>
        <v>0</v>
      </c>
      <c r="P124" s="181">
        <f t="shared" si="45"/>
        <v>0</v>
      </c>
      <c r="Q124" s="182">
        <f t="shared" si="34"/>
        <v>0</v>
      </c>
      <c r="R124" s="182">
        <f t="shared" si="35"/>
        <v>0</v>
      </c>
      <c r="S124" s="182">
        <f t="shared" si="36"/>
        <v>0</v>
      </c>
      <c r="T124" s="182">
        <f t="shared" si="37"/>
        <v>0</v>
      </c>
      <c r="U124" s="182">
        <f t="shared" si="38"/>
        <v>0</v>
      </c>
      <c r="V124" s="14">
        <f t="shared" si="39"/>
        <v>18.12</v>
      </c>
      <c r="W124" s="14">
        <f t="shared" si="40"/>
        <v>-18.12</v>
      </c>
      <c r="Y124" s="14">
        <f t="shared" si="46"/>
        <v>8.6</v>
      </c>
      <c r="Z124" s="14">
        <f t="shared" si="47"/>
        <v>-8.6</v>
      </c>
      <c r="AA124" s="11">
        <f t="shared" si="41"/>
        <v>0.33</v>
      </c>
      <c r="AB124" s="9">
        <f t="shared" si="48"/>
        <v>0.66</v>
      </c>
      <c r="AD124" s="13">
        <f>IF(AH124&gt;AH123,AD123,IF(AD123&lt;MiscData!$F$1,EOMONTH(AD123,1),EOMONTH(AD123,-11)))</f>
        <v>42429</v>
      </c>
      <c r="AE124" s="7" t="str">
        <f t="shared" si="42"/>
        <v>20140101KUUM_425</v>
      </c>
      <c r="AF124" s="12" t="str">
        <f t="shared" si="43"/>
        <v>20140101RLS</v>
      </c>
      <c r="AG124" s="31"/>
      <c r="AH124">
        <f>IF(AH123=MiscData!$AB$91,1,AH123+1)</f>
        <v>35</v>
      </c>
      <c r="AI124">
        <f>IF(AD124&lt;=MiscData!$B$23,MiscData!$C$23,IF(AD124&lt;=MiscData!$B$24,MiscData!$C$24,MiscData!$C$25))</f>
        <v>20140101</v>
      </c>
      <c r="AK124" s="190" t="str">
        <f>VLOOKUP(AM124,MiscData!$AB$4:$ACB$113,2,FALSE)</f>
        <v>KUUM_425</v>
      </c>
      <c r="AL124" s="190" t="str">
        <f>VLOOKUP(AM124,MiscData!$AB$4:$AE$115,4,FALSE)</f>
        <v>RLS</v>
      </c>
      <c r="AM124">
        <f>IF(AM123=MiscData!$AB$91,1,AM123+1)</f>
        <v>35</v>
      </c>
    </row>
    <row r="125" spans="1:39">
      <c r="A125" s="7">
        <f t="shared" si="49"/>
        <v>124</v>
      </c>
      <c r="B125" s="13" t="str">
        <f t="shared" si="25"/>
        <v>Feb 2016</v>
      </c>
      <c r="C125" s="23" t="str">
        <f t="shared" si="26"/>
        <v>RLS</v>
      </c>
      <c r="D125" s="23" t="str">
        <f t="shared" si="27"/>
        <v>KUUM_426</v>
      </c>
      <c r="E125" s="170">
        <f t="shared" si="28"/>
        <v>171</v>
      </c>
      <c r="F125" s="185"/>
      <c r="G125" s="170">
        <f t="shared" si="29"/>
        <v>0</v>
      </c>
      <c r="H125" s="170">
        <v>0</v>
      </c>
      <c r="I125" s="11">
        <f t="shared" si="30"/>
        <v>7.4399999999999995</v>
      </c>
      <c r="J125" s="11">
        <f t="shared" si="31"/>
        <v>0.79999999999999982</v>
      </c>
      <c r="K125" s="416">
        <f t="shared" si="44"/>
        <v>1272.24</v>
      </c>
      <c r="L125" s="180"/>
      <c r="M125" s="180"/>
      <c r="N125" s="182">
        <f t="shared" si="32"/>
        <v>1272.24</v>
      </c>
      <c r="O125" s="29">
        <f t="shared" si="33"/>
        <v>0</v>
      </c>
      <c r="P125" s="181">
        <f t="shared" si="45"/>
        <v>0</v>
      </c>
      <c r="Q125" s="182">
        <f t="shared" si="34"/>
        <v>0</v>
      </c>
      <c r="R125" s="182">
        <f t="shared" si="35"/>
        <v>0</v>
      </c>
      <c r="S125" s="182">
        <f t="shared" si="36"/>
        <v>0</v>
      </c>
      <c r="T125" s="182">
        <f t="shared" si="37"/>
        <v>0</v>
      </c>
      <c r="U125" s="182">
        <f t="shared" si="38"/>
        <v>0</v>
      </c>
      <c r="V125" s="14">
        <f t="shared" si="39"/>
        <v>1272.24</v>
      </c>
      <c r="W125" s="14">
        <f t="shared" si="40"/>
        <v>-1272.24</v>
      </c>
      <c r="Y125" s="14">
        <f t="shared" si="46"/>
        <v>136.80000000000001</v>
      </c>
      <c r="Z125" s="14">
        <f t="shared" si="47"/>
        <v>-136.80000000000001</v>
      </c>
      <c r="AA125" s="11">
        <f t="shared" si="41"/>
        <v>0.43</v>
      </c>
      <c r="AB125" s="9">
        <f t="shared" si="48"/>
        <v>73.53</v>
      </c>
      <c r="AD125" s="13">
        <f>IF(AH125&gt;AH124,AD124,IF(AD124&lt;MiscData!$F$1,EOMONTH(AD124,1),EOMONTH(AD124,-11)))</f>
        <v>42429</v>
      </c>
      <c r="AE125" s="7" t="str">
        <f t="shared" si="42"/>
        <v>20140101KUUM_426</v>
      </c>
      <c r="AF125" s="12" t="str">
        <f t="shared" si="43"/>
        <v>20140101RLS</v>
      </c>
      <c r="AG125" s="31"/>
      <c r="AH125">
        <f>IF(AH124=MiscData!$AB$91,1,AH124+1)</f>
        <v>36</v>
      </c>
      <c r="AI125">
        <f>IF(AD125&lt;=MiscData!$B$23,MiscData!$C$23,IF(AD125&lt;=MiscData!$B$24,MiscData!$C$24,MiscData!$C$25))</f>
        <v>20140101</v>
      </c>
      <c r="AK125" s="190" t="str">
        <f>VLOOKUP(AM125,MiscData!$AB$4:$ACB$113,2,FALSE)</f>
        <v>KUUM_426</v>
      </c>
      <c r="AL125" s="190" t="str">
        <f>VLOOKUP(AM125,MiscData!$AB$4:$AE$115,4,FALSE)</f>
        <v>RLS</v>
      </c>
      <c r="AM125">
        <f>IF(AM124=MiscData!$AB$91,1,AM124+1)</f>
        <v>36</v>
      </c>
    </row>
    <row r="126" spans="1:39">
      <c r="A126" s="7">
        <f t="shared" si="49"/>
        <v>125</v>
      </c>
      <c r="B126" s="13" t="str">
        <f t="shared" si="25"/>
        <v>Feb 2016</v>
      </c>
      <c r="C126" s="23" t="str">
        <f t="shared" si="26"/>
        <v>LS</v>
      </c>
      <c r="D126" s="23" t="str">
        <f t="shared" si="27"/>
        <v>KUUM_428</v>
      </c>
      <c r="E126" s="170">
        <f t="shared" si="28"/>
        <v>36624</v>
      </c>
      <c r="F126" s="185"/>
      <c r="G126" s="170">
        <f t="shared" si="29"/>
        <v>0</v>
      </c>
      <c r="H126" s="170">
        <v>0</v>
      </c>
      <c r="I126" s="11">
        <f t="shared" si="30"/>
        <v>7.84</v>
      </c>
      <c r="J126" s="11">
        <f t="shared" si="31"/>
        <v>1.1299999999999999</v>
      </c>
      <c r="K126" s="416">
        <f t="shared" si="44"/>
        <v>287132.15999999997</v>
      </c>
      <c r="L126" s="180"/>
      <c r="M126" s="180"/>
      <c r="N126" s="182">
        <f t="shared" si="32"/>
        <v>287132.15999999997</v>
      </c>
      <c r="O126" s="29">
        <f t="shared" si="33"/>
        <v>0</v>
      </c>
      <c r="P126" s="181">
        <f t="shared" si="45"/>
        <v>0</v>
      </c>
      <c r="Q126" s="182">
        <f t="shared" si="34"/>
        <v>0</v>
      </c>
      <c r="R126" s="182">
        <f t="shared" si="35"/>
        <v>0</v>
      </c>
      <c r="S126" s="182">
        <f t="shared" si="36"/>
        <v>0</v>
      </c>
      <c r="T126" s="182">
        <f t="shared" si="37"/>
        <v>0</v>
      </c>
      <c r="U126" s="182">
        <f t="shared" si="38"/>
        <v>0</v>
      </c>
      <c r="V126" s="14">
        <f t="shared" si="39"/>
        <v>287132.15999999997</v>
      </c>
      <c r="W126" s="14">
        <f t="shared" si="40"/>
        <v>-287132.15999999997</v>
      </c>
      <c r="Y126" s="14">
        <f t="shared" si="46"/>
        <v>41385.120000000003</v>
      </c>
      <c r="Z126" s="14">
        <f t="shared" si="47"/>
        <v>-41385.120000000003</v>
      </c>
      <c r="AA126" s="11">
        <f t="shared" si="41"/>
        <v>0.34</v>
      </c>
      <c r="AB126" s="9">
        <f t="shared" si="48"/>
        <v>12452.160000000002</v>
      </c>
      <c r="AD126" s="13">
        <f>IF(AH126&gt;AH125,AD125,IF(AD125&lt;MiscData!$F$1,EOMONTH(AD125,1),EOMONTH(AD125,-11)))</f>
        <v>42429</v>
      </c>
      <c r="AE126" s="7" t="str">
        <f t="shared" si="42"/>
        <v>20140101KUUM_428</v>
      </c>
      <c r="AF126" s="12" t="str">
        <f t="shared" si="43"/>
        <v>20140101LS</v>
      </c>
      <c r="AG126" s="31"/>
      <c r="AH126">
        <f>IF(AH125=MiscData!$AB$91,1,AH125+1)</f>
        <v>37</v>
      </c>
      <c r="AI126">
        <f>IF(AD126&lt;=MiscData!$B$23,MiscData!$C$23,IF(AD126&lt;=MiscData!$B$24,MiscData!$C$24,MiscData!$C$25))</f>
        <v>20140101</v>
      </c>
      <c r="AK126" s="190" t="str">
        <f>VLOOKUP(AM126,MiscData!$AB$4:$ACB$113,2,FALSE)</f>
        <v>KUUM_428</v>
      </c>
      <c r="AL126" s="190" t="str">
        <f>VLOOKUP(AM126,MiscData!$AB$4:$AE$115,4,FALSE)</f>
        <v>LS</v>
      </c>
      <c r="AM126">
        <f>IF(AM125=MiscData!$AB$91,1,AM125+1)</f>
        <v>37</v>
      </c>
    </row>
    <row r="127" spans="1:39">
      <c r="A127" s="7">
        <f t="shared" si="49"/>
        <v>126</v>
      </c>
      <c r="B127" s="13" t="str">
        <f t="shared" si="25"/>
        <v>Feb 2016</v>
      </c>
      <c r="C127" s="23" t="str">
        <f t="shared" si="26"/>
        <v>LS</v>
      </c>
      <c r="D127" s="23" t="str">
        <f t="shared" si="27"/>
        <v>KUUM_429</v>
      </c>
      <c r="E127" s="170">
        <f t="shared" si="28"/>
        <v>0</v>
      </c>
      <c r="F127" s="185"/>
      <c r="G127" s="170">
        <f t="shared" si="29"/>
        <v>0</v>
      </c>
      <c r="H127" s="170">
        <v>0</v>
      </c>
      <c r="I127" s="11">
        <f t="shared" si="30"/>
        <v>0</v>
      </c>
      <c r="J127" s="11">
        <f t="shared" si="31"/>
        <v>0</v>
      </c>
      <c r="K127" s="416">
        <f t="shared" si="44"/>
        <v>0</v>
      </c>
      <c r="L127" s="180"/>
      <c r="M127" s="180"/>
      <c r="N127" s="182">
        <f t="shared" si="32"/>
        <v>0</v>
      </c>
      <c r="O127" s="29">
        <f t="shared" si="33"/>
        <v>0</v>
      </c>
      <c r="P127" s="181">
        <f t="shared" si="45"/>
        <v>1</v>
      </c>
      <c r="Q127" s="182">
        <f t="shared" si="34"/>
        <v>0</v>
      </c>
      <c r="R127" s="182">
        <f t="shared" si="35"/>
        <v>0</v>
      </c>
      <c r="S127" s="182">
        <f t="shared" si="36"/>
        <v>0</v>
      </c>
      <c r="T127" s="182">
        <f t="shared" si="37"/>
        <v>0</v>
      </c>
      <c r="U127" s="182">
        <f t="shared" si="38"/>
        <v>0</v>
      </c>
      <c r="V127" s="14">
        <f t="shared" si="39"/>
        <v>0</v>
      </c>
      <c r="W127" s="14">
        <f t="shared" si="40"/>
        <v>0</v>
      </c>
      <c r="Y127" s="14">
        <f t="shared" si="46"/>
        <v>0</v>
      </c>
      <c r="Z127" s="14">
        <f t="shared" si="47"/>
        <v>0</v>
      </c>
      <c r="AA127" s="11">
        <f t="shared" si="41"/>
        <v>0</v>
      </c>
      <c r="AB127" s="9">
        <f t="shared" si="48"/>
        <v>0</v>
      </c>
      <c r="AD127" s="13">
        <f>IF(AH127&gt;AH126,AD126,IF(AD126&lt;MiscData!$F$1,EOMONTH(AD126,1),EOMONTH(AD126,-11)))</f>
        <v>42429</v>
      </c>
      <c r="AE127" s="7" t="str">
        <f t="shared" si="42"/>
        <v>20140101KUUM_429</v>
      </c>
      <c r="AF127" s="12" t="str">
        <f t="shared" si="43"/>
        <v>20140101LS</v>
      </c>
      <c r="AG127" s="31"/>
      <c r="AH127">
        <f>IF(AH126=MiscData!$AB$91,1,AH126+1)</f>
        <v>38</v>
      </c>
      <c r="AI127">
        <f>IF(AD127&lt;=MiscData!$B$23,MiscData!$C$23,IF(AD127&lt;=MiscData!$B$24,MiscData!$C$24,MiscData!$C$25))</f>
        <v>20140101</v>
      </c>
      <c r="AK127" s="190" t="str">
        <f>VLOOKUP(AM127,MiscData!$AB$4:$ACB$113,2,FALSE)</f>
        <v>KUUM_429</v>
      </c>
      <c r="AL127" s="190" t="str">
        <f>VLOOKUP(AM127,MiscData!$AB$4:$AE$115,4,FALSE)</f>
        <v>LS</v>
      </c>
      <c r="AM127">
        <f>IF(AM126=MiscData!$AB$91,1,AM126+1)</f>
        <v>38</v>
      </c>
    </row>
    <row r="128" spans="1:39">
      <c r="A128" s="7">
        <f t="shared" si="49"/>
        <v>127</v>
      </c>
      <c r="B128" s="13" t="str">
        <f t="shared" si="25"/>
        <v>Feb 2016</v>
      </c>
      <c r="C128" s="23" t="str">
        <f t="shared" si="26"/>
        <v>LS</v>
      </c>
      <c r="D128" s="23" t="str">
        <f t="shared" si="27"/>
        <v>KUUM_430</v>
      </c>
      <c r="E128" s="170">
        <f t="shared" si="28"/>
        <v>1149</v>
      </c>
      <c r="F128" s="185"/>
      <c r="G128" s="170">
        <f t="shared" si="29"/>
        <v>0</v>
      </c>
      <c r="H128" s="170">
        <v>0</v>
      </c>
      <c r="I128" s="11">
        <f t="shared" si="30"/>
        <v>22</v>
      </c>
      <c r="J128" s="11">
        <f t="shared" si="31"/>
        <v>1.129999999999999</v>
      </c>
      <c r="K128" s="416">
        <f t="shared" si="44"/>
        <v>25278</v>
      </c>
      <c r="L128" s="180"/>
      <c r="M128" s="180"/>
      <c r="N128" s="182">
        <f t="shared" si="32"/>
        <v>25278</v>
      </c>
      <c r="O128" s="29">
        <f t="shared" si="33"/>
        <v>0</v>
      </c>
      <c r="P128" s="181">
        <f t="shared" si="45"/>
        <v>0</v>
      </c>
      <c r="Q128" s="182">
        <f t="shared" si="34"/>
        <v>0</v>
      </c>
      <c r="R128" s="182">
        <f t="shared" si="35"/>
        <v>0</v>
      </c>
      <c r="S128" s="182">
        <f t="shared" si="36"/>
        <v>0</v>
      </c>
      <c r="T128" s="182">
        <f t="shared" si="37"/>
        <v>0</v>
      </c>
      <c r="U128" s="182">
        <f t="shared" si="38"/>
        <v>0</v>
      </c>
      <c r="V128" s="14">
        <f t="shared" si="39"/>
        <v>25278</v>
      </c>
      <c r="W128" s="14">
        <f t="shared" si="40"/>
        <v>-25278</v>
      </c>
      <c r="Y128" s="14">
        <f t="shared" si="46"/>
        <v>1298.3699999999999</v>
      </c>
      <c r="Z128" s="14">
        <f t="shared" si="47"/>
        <v>-1298.3699999999999</v>
      </c>
      <c r="AA128" s="11">
        <f t="shared" si="41"/>
        <v>0.34</v>
      </c>
      <c r="AB128" s="9">
        <f t="shared" si="48"/>
        <v>390.66</v>
      </c>
      <c r="AD128" s="13">
        <f>IF(AH128&gt;AH127,AD127,IF(AD127&lt;MiscData!$F$1,EOMONTH(AD127,1),EOMONTH(AD127,-11)))</f>
        <v>42429</v>
      </c>
      <c r="AE128" s="7" t="str">
        <f t="shared" si="42"/>
        <v>20140101KUUM_430</v>
      </c>
      <c r="AF128" s="12" t="str">
        <f t="shared" si="43"/>
        <v>20140101LS</v>
      </c>
      <c r="AG128" s="31"/>
      <c r="AH128">
        <f>IF(AH127=MiscData!$AB$91,1,AH127+1)</f>
        <v>39</v>
      </c>
      <c r="AI128">
        <f>IF(AD128&lt;=MiscData!$B$23,MiscData!$C$23,IF(AD128&lt;=MiscData!$B$24,MiscData!$C$24,MiscData!$C$25))</f>
        <v>20140101</v>
      </c>
      <c r="AK128" s="190" t="str">
        <f>VLOOKUP(AM128,MiscData!$AB$4:$ACB$113,2,FALSE)</f>
        <v>KUUM_430</v>
      </c>
      <c r="AL128" s="190" t="str">
        <f>VLOOKUP(AM128,MiscData!$AB$4:$AE$115,4,FALSE)</f>
        <v>LS</v>
      </c>
      <c r="AM128">
        <f>IF(AM127=MiscData!$AB$91,1,AM127+1)</f>
        <v>39</v>
      </c>
    </row>
    <row r="129" spans="1:39">
      <c r="A129" s="7">
        <f t="shared" si="49"/>
        <v>128</v>
      </c>
      <c r="B129" s="13" t="str">
        <f t="shared" si="25"/>
        <v>Feb 2016</v>
      </c>
      <c r="C129" s="23" t="str">
        <f t="shared" si="26"/>
        <v>RLS</v>
      </c>
      <c r="D129" s="23" t="str">
        <f t="shared" si="27"/>
        <v>KUUM_434</v>
      </c>
      <c r="E129" s="170">
        <f t="shared" si="28"/>
        <v>6</v>
      </c>
      <c r="F129" s="185"/>
      <c r="G129" s="170">
        <f t="shared" si="29"/>
        <v>0</v>
      </c>
      <c r="H129" s="170">
        <v>0</v>
      </c>
      <c r="I129" s="11">
        <f t="shared" si="30"/>
        <v>7.74</v>
      </c>
      <c r="J129" s="11">
        <f t="shared" si="31"/>
        <v>0.69999999999999929</v>
      </c>
      <c r="K129" s="416">
        <f t="shared" si="44"/>
        <v>46.44</v>
      </c>
      <c r="L129" s="180"/>
      <c r="M129" s="180"/>
      <c r="N129" s="182">
        <f t="shared" si="32"/>
        <v>46.44</v>
      </c>
      <c r="O129" s="29">
        <f t="shared" si="33"/>
        <v>0</v>
      </c>
      <c r="P129" s="181">
        <f t="shared" si="45"/>
        <v>0</v>
      </c>
      <c r="Q129" s="182">
        <f t="shared" si="34"/>
        <v>0</v>
      </c>
      <c r="R129" s="182">
        <f t="shared" si="35"/>
        <v>0</v>
      </c>
      <c r="S129" s="182">
        <f t="shared" si="36"/>
        <v>0</v>
      </c>
      <c r="T129" s="182">
        <f t="shared" si="37"/>
        <v>0</v>
      </c>
      <c r="U129" s="182">
        <f t="shared" si="38"/>
        <v>0</v>
      </c>
      <c r="V129" s="14">
        <f t="shared" si="39"/>
        <v>46.44</v>
      </c>
      <c r="W129" s="14">
        <f t="shared" si="40"/>
        <v>-46.44</v>
      </c>
      <c r="Y129" s="14">
        <f t="shared" si="46"/>
        <v>4.2</v>
      </c>
      <c r="Z129" s="14">
        <f t="shared" si="47"/>
        <v>-4.2</v>
      </c>
      <c r="AA129" s="11">
        <f t="shared" si="41"/>
        <v>0.24</v>
      </c>
      <c r="AB129" s="9">
        <f t="shared" si="48"/>
        <v>1.44</v>
      </c>
      <c r="AD129" s="13">
        <f>IF(AH129&gt;AH128,AD128,IF(AD128&lt;MiscData!$F$1,EOMONTH(AD128,1),EOMONTH(AD128,-11)))</f>
        <v>42429</v>
      </c>
      <c r="AE129" s="7" t="str">
        <f t="shared" si="42"/>
        <v>20140101KUUM_434</v>
      </c>
      <c r="AF129" s="12" t="str">
        <f t="shared" si="43"/>
        <v>20140101RLS</v>
      </c>
      <c r="AG129" s="31"/>
      <c r="AH129">
        <f>IF(AH128=MiscData!$AB$91,1,AH128+1)</f>
        <v>40</v>
      </c>
      <c r="AI129">
        <f>IF(AD129&lt;=MiscData!$B$23,MiscData!$C$23,IF(AD129&lt;=MiscData!$B$24,MiscData!$C$24,MiscData!$C$25))</f>
        <v>20140101</v>
      </c>
      <c r="AK129" s="190" t="str">
        <f>VLOOKUP(AM129,MiscData!$AB$4:$ACB$113,2,FALSE)</f>
        <v>KUUM_434</v>
      </c>
      <c r="AL129" s="190" t="str">
        <f>VLOOKUP(AM129,MiscData!$AB$4:$AE$115,4,FALSE)</f>
        <v>RLS</v>
      </c>
      <c r="AM129">
        <f>IF(AM128=MiscData!$AB$91,1,AM128+1)</f>
        <v>40</v>
      </c>
    </row>
    <row r="130" spans="1:39">
      <c r="A130" s="7">
        <f t="shared" si="49"/>
        <v>129</v>
      </c>
      <c r="B130" s="13" t="str">
        <f t="shared" ref="B130:B193" si="50">TEXT(AD130,"mmm yyyy")</f>
        <v>Feb 2016</v>
      </c>
      <c r="C130" s="23" t="str">
        <f t="shared" ref="C130:C193" si="51">AL130</f>
        <v>RLS</v>
      </c>
      <c r="D130" s="23" t="str">
        <f t="shared" ref="D130:D193" si="52">AK130</f>
        <v>KUUM_440</v>
      </c>
      <c r="E130" s="170">
        <f t="shared" ref="E130:E193" si="53">SUMIFS(_1055_Light_Count,_1055_RevMonth,$B130,_1055_RateCategory,$D130)</f>
        <v>2</v>
      </c>
      <c r="F130" s="185"/>
      <c r="G130" s="170">
        <f t="shared" ref="G130:G193" si="54">SUMIFS(_SBR_KWH,_SBR_Revenue_Month,$B130,_SBR_Rate_Category,$D130)</f>
        <v>0</v>
      </c>
      <c r="H130" s="170">
        <v>0</v>
      </c>
      <c r="I130" s="11">
        <f t="shared" ref="I130:I193" si="55">SUMIF(_Lights_Tariff_Category,$AE130,_Lights_Rates)</f>
        <v>13.610000000000001</v>
      </c>
      <c r="J130" s="11">
        <f t="shared" ref="J130:J193" si="56">SUMIF(_Lights_Tariff_Category,$AE130,_Rates_Lights_BaseFAC)</f>
        <v>0.57000000000000028</v>
      </c>
      <c r="K130" s="416">
        <f t="shared" si="44"/>
        <v>27.22</v>
      </c>
      <c r="L130" s="180"/>
      <c r="M130" s="180"/>
      <c r="N130" s="182">
        <f t="shared" ref="N130:N193" si="57">SUM(K130:M130)</f>
        <v>27.22</v>
      </c>
      <c r="O130" s="29">
        <f t="shared" ref="O130:O193" si="58">U130-SUM(Q130:T130)</f>
        <v>0</v>
      </c>
      <c r="P130" s="181">
        <f t="shared" si="45"/>
        <v>0</v>
      </c>
      <c r="Q130" s="182">
        <f t="shared" ref="Q130:Q193" si="59">SUMIFS(_SBR_FAC,_SBR_Revenue_Month,$B130,_SBR_Rate_Category,$D130)</f>
        <v>0</v>
      </c>
      <c r="R130" s="182">
        <f t="shared" ref="R130:R193" si="60">SUMIFS(_SBR_DSM,_SBR_Revenue_Month,$B130,_SBR_Rate_Category,$D130)</f>
        <v>0</v>
      </c>
      <c r="S130" s="182">
        <f t="shared" ref="S130:S193" si="61">SUMIFS(_SBR_ECR,_SBR_Revenue_Month,$B130,_SBR_Rate_Category,$D130)</f>
        <v>0</v>
      </c>
      <c r="T130" s="182">
        <f t="shared" ref="T130:T193" si="62">SUMIFS(_SBR_MSR,_SBR_Revenue_Month,$B130,_SBR_Rate_Category,$D130)</f>
        <v>0</v>
      </c>
      <c r="U130" s="182">
        <f t="shared" ref="U130:U193" si="63">SUMIFS(_SBR_Revenue_Actual,_SBR_Revenue_Month,$B130,_SBR_Rate_Category,$D130)</f>
        <v>0</v>
      </c>
      <c r="V130" s="14">
        <f t="shared" ref="V130:V193" si="64">SUM(N130,Q130:T130)</f>
        <v>27.22</v>
      </c>
      <c r="W130" s="14">
        <f t="shared" ref="W130:W193" si="65">U130-V130</f>
        <v>-27.22</v>
      </c>
      <c r="Y130" s="14">
        <f t="shared" si="46"/>
        <v>1.1399999999999999</v>
      </c>
      <c r="Z130" s="14">
        <f t="shared" si="47"/>
        <v>-1.1399999999999999</v>
      </c>
      <c r="AA130" s="11">
        <f t="shared" ref="AA130:AA193" si="66">SUMIF(_Lights_Tariff_Category,$AE130,_Rates_Lights_ECR)</f>
        <v>0.33</v>
      </c>
      <c r="AB130" s="9">
        <f t="shared" si="48"/>
        <v>0.66</v>
      </c>
      <c r="AD130" s="13">
        <f>IF(AH130&gt;AH129,AD129,IF(AD129&lt;MiscData!$F$1,EOMONTH(AD129,1),EOMONTH(AD129,-11)))</f>
        <v>42429</v>
      </c>
      <c r="AE130" s="7" t="str">
        <f t="shared" ref="AE130:AE193" si="67">CONCATENATE(AI130&amp;AK130)</f>
        <v>20140101KUUM_440</v>
      </c>
      <c r="AF130" s="12" t="str">
        <f t="shared" ref="AF130:AF193" si="68">CONCATENATE(AI130&amp;AL130)</f>
        <v>20140101RLS</v>
      </c>
      <c r="AG130" s="31"/>
      <c r="AH130">
        <f>IF(AH129=MiscData!$AB$91,1,AH129+1)</f>
        <v>41</v>
      </c>
      <c r="AI130">
        <f>IF(AD130&lt;=MiscData!$B$23,MiscData!$C$23,IF(AD130&lt;=MiscData!$B$24,MiscData!$C$24,MiscData!$C$25))</f>
        <v>20140101</v>
      </c>
      <c r="AK130" s="190" t="str">
        <f>VLOOKUP(AM130,MiscData!$AB$4:$ACB$113,2,FALSE)</f>
        <v>KUUM_440</v>
      </c>
      <c r="AL130" s="190" t="str">
        <f>VLOOKUP(AM130,MiscData!$AB$4:$AE$115,4,FALSE)</f>
        <v>RLS</v>
      </c>
      <c r="AM130">
        <f>IF(AM129=MiscData!$AB$91,1,AM129+1)</f>
        <v>41</v>
      </c>
    </row>
    <row r="131" spans="1:39">
      <c r="A131" s="7">
        <f t="shared" si="49"/>
        <v>130</v>
      </c>
      <c r="B131" s="13" t="str">
        <f t="shared" si="50"/>
        <v>Feb 2016</v>
      </c>
      <c r="C131" s="23" t="str">
        <f t="shared" si="51"/>
        <v>RLS</v>
      </c>
      <c r="D131" s="23" t="str">
        <f t="shared" si="52"/>
        <v>KUUM_446</v>
      </c>
      <c r="E131" s="170">
        <f t="shared" si="53"/>
        <v>1082</v>
      </c>
      <c r="F131" s="185"/>
      <c r="G131" s="170">
        <f t="shared" si="54"/>
        <v>0</v>
      </c>
      <c r="H131" s="170">
        <v>0</v>
      </c>
      <c r="I131" s="11">
        <f t="shared" si="55"/>
        <v>9.5600000000000023</v>
      </c>
      <c r="J131" s="11">
        <f t="shared" si="56"/>
        <v>1.9900000000000002</v>
      </c>
      <c r="K131" s="416">
        <f t="shared" ref="K131:K194" si="69">ROUND(($E131+$F131)*$I131,2)</f>
        <v>10343.92</v>
      </c>
      <c r="L131" s="180"/>
      <c r="M131" s="180"/>
      <c r="N131" s="182">
        <f t="shared" si="57"/>
        <v>10343.92</v>
      </c>
      <c r="O131" s="29">
        <f t="shared" si="58"/>
        <v>0</v>
      </c>
      <c r="P131" s="181">
        <f t="shared" ref="P131:P194" si="70">IF(AND(N131=0,O131=0),1,IF(N131=0,0,ROUND(O131/N131,6)))</f>
        <v>0</v>
      </c>
      <c r="Q131" s="182">
        <f t="shared" si="59"/>
        <v>0</v>
      </c>
      <c r="R131" s="182">
        <f t="shared" si="60"/>
        <v>0</v>
      </c>
      <c r="S131" s="182">
        <f t="shared" si="61"/>
        <v>0</v>
      </c>
      <c r="T131" s="182">
        <f t="shared" si="62"/>
        <v>0</v>
      </c>
      <c r="U131" s="182">
        <f t="shared" si="63"/>
        <v>0</v>
      </c>
      <c r="V131" s="14">
        <f t="shared" si="64"/>
        <v>10343.92</v>
      </c>
      <c r="W131" s="14">
        <f t="shared" si="65"/>
        <v>-10343.92</v>
      </c>
      <c r="Y131" s="14">
        <f t="shared" ref="Y131:Y194" si="71">ROUND(E131*J131,2)</f>
        <v>2153.1799999999998</v>
      </c>
      <c r="Z131" s="14">
        <f t="shared" ref="Z131:Z194" si="72">O131-Y131</f>
        <v>-2153.1799999999998</v>
      </c>
      <c r="AA131" s="11">
        <f t="shared" si="66"/>
        <v>0.39</v>
      </c>
      <c r="AB131" s="9">
        <f t="shared" ref="AB131:AB194" si="73">E131*AA131</f>
        <v>421.98</v>
      </c>
      <c r="AD131" s="13">
        <f>IF(AH131&gt;AH130,AD130,IF(AD130&lt;MiscData!$F$1,EOMONTH(AD130,1),EOMONTH(AD130,-11)))</f>
        <v>42429</v>
      </c>
      <c r="AE131" s="7" t="str">
        <f t="shared" si="67"/>
        <v>20140101KUUM_446</v>
      </c>
      <c r="AF131" s="12" t="str">
        <f t="shared" si="68"/>
        <v>20140101RLS</v>
      </c>
      <c r="AG131" s="31"/>
      <c r="AH131">
        <f>IF(AH130=MiscData!$AB$91,1,AH130+1)</f>
        <v>42</v>
      </c>
      <c r="AI131">
        <f>IF(AD131&lt;=MiscData!$B$23,MiscData!$C$23,IF(AD131&lt;=MiscData!$B$24,MiscData!$C$24,MiscData!$C$25))</f>
        <v>20140101</v>
      </c>
      <c r="AK131" s="190" t="str">
        <f>VLOOKUP(AM131,MiscData!$AB$4:$ACB$113,2,FALSE)</f>
        <v>KUUM_446</v>
      </c>
      <c r="AL131" s="190" t="str">
        <f>VLOOKUP(AM131,MiscData!$AB$4:$AE$115,4,FALSE)</f>
        <v>RLS</v>
      </c>
      <c r="AM131">
        <f>IF(AM130=MiscData!$AB$91,1,AM130+1)</f>
        <v>42</v>
      </c>
    </row>
    <row r="132" spans="1:39">
      <c r="A132" s="7">
        <f t="shared" ref="A132:A195" si="74">A131+1</f>
        <v>131</v>
      </c>
      <c r="B132" s="13" t="str">
        <f t="shared" si="50"/>
        <v>Feb 2016</v>
      </c>
      <c r="C132" s="23" t="str">
        <f t="shared" si="51"/>
        <v>RLS</v>
      </c>
      <c r="D132" s="23" t="str">
        <f t="shared" si="52"/>
        <v>KUUM_447</v>
      </c>
      <c r="E132" s="170">
        <f t="shared" si="53"/>
        <v>752</v>
      </c>
      <c r="F132" s="185"/>
      <c r="G132" s="170">
        <f t="shared" si="54"/>
        <v>0</v>
      </c>
      <c r="H132" s="170">
        <v>0</v>
      </c>
      <c r="I132" s="11">
        <f t="shared" si="55"/>
        <v>11.32</v>
      </c>
      <c r="J132" s="11">
        <f t="shared" si="56"/>
        <v>2.8400000000000016</v>
      </c>
      <c r="K132" s="416">
        <f t="shared" si="69"/>
        <v>8512.64</v>
      </c>
      <c r="L132" s="180"/>
      <c r="M132" s="180"/>
      <c r="N132" s="182">
        <f t="shared" si="57"/>
        <v>8512.64</v>
      </c>
      <c r="O132" s="29">
        <f t="shared" si="58"/>
        <v>0</v>
      </c>
      <c r="P132" s="181">
        <f t="shared" si="70"/>
        <v>0</v>
      </c>
      <c r="Q132" s="182">
        <f t="shared" si="59"/>
        <v>0</v>
      </c>
      <c r="R132" s="182">
        <f t="shared" si="60"/>
        <v>0</v>
      </c>
      <c r="S132" s="182">
        <f t="shared" si="61"/>
        <v>0</v>
      </c>
      <c r="T132" s="182">
        <f t="shared" si="62"/>
        <v>0</v>
      </c>
      <c r="U132" s="182">
        <f t="shared" si="63"/>
        <v>0</v>
      </c>
      <c r="V132" s="14">
        <f t="shared" si="64"/>
        <v>8512.64</v>
      </c>
      <c r="W132" s="14">
        <f t="shared" si="65"/>
        <v>-8512.64</v>
      </c>
      <c r="Y132" s="14">
        <f t="shared" si="71"/>
        <v>2135.6799999999998</v>
      </c>
      <c r="Z132" s="14">
        <f t="shared" si="72"/>
        <v>-2135.6799999999998</v>
      </c>
      <c r="AA132" s="11">
        <f t="shared" si="66"/>
        <v>0.44</v>
      </c>
      <c r="AB132" s="9">
        <f t="shared" si="73"/>
        <v>330.88</v>
      </c>
      <c r="AD132" s="13">
        <f>IF(AH132&gt;AH131,AD131,IF(AD131&lt;MiscData!$F$1,EOMONTH(AD131,1),EOMONTH(AD131,-11)))</f>
        <v>42429</v>
      </c>
      <c r="AE132" s="7" t="str">
        <f t="shared" si="67"/>
        <v>20140101KUUM_447</v>
      </c>
      <c r="AF132" s="12" t="str">
        <f t="shared" si="68"/>
        <v>20140101RLS</v>
      </c>
      <c r="AG132" s="31"/>
      <c r="AH132">
        <f>IF(AH131=MiscData!$AB$91,1,AH131+1)</f>
        <v>43</v>
      </c>
      <c r="AI132">
        <f>IF(AD132&lt;=MiscData!$B$23,MiscData!$C$23,IF(AD132&lt;=MiscData!$B$24,MiscData!$C$24,MiscData!$C$25))</f>
        <v>20140101</v>
      </c>
      <c r="AK132" s="190" t="str">
        <f>VLOOKUP(AM132,MiscData!$AB$4:$ACB$113,2,FALSE)</f>
        <v>KUUM_447</v>
      </c>
      <c r="AL132" s="190" t="str">
        <f>VLOOKUP(AM132,MiscData!$AB$4:$AE$115,4,FALSE)</f>
        <v>RLS</v>
      </c>
      <c r="AM132">
        <f>IF(AM131=MiscData!$AB$91,1,AM131+1)</f>
        <v>43</v>
      </c>
    </row>
    <row r="133" spans="1:39">
      <c r="A133" s="7">
        <f t="shared" si="74"/>
        <v>132</v>
      </c>
      <c r="B133" s="13" t="str">
        <f t="shared" si="50"/>
        <v>Feb 2016</v>
      </c>
      <c r="C133" s="23" t="str">
        <f t="shared" si="51"/>
        <v>RLS</v>
      </c>
      <c r="D133" s="23" t="str">
        <f t="shared" si="52"/>
        <v>KUUM_448</v>
      </c>
      <c r="E133" s="170">
        <f t="shared" si="53"/>
        <v>1493</v>
      </c>
      <c r="F133" s="185"/>
      <c r="G133" s="170">
        <f t="shared" si="54"/>
        <v>0</v>
      </c>
      <c r="H133" s="170">
        <v>0</v>
      </c>
      <c r="I133" s="11">
        <f t="shared" si="55"/>
        <v>12.809999999999999</v>
      </c>
      <c r="J133" s="11">
        <f t="shared" si="56"/>
        <v>4.37</v>
      </c>
      <c r="K133" s="416">
        <f t="shared" si="69"/>
        <v>19125.330000000002</v>
      </c>
      <c r="L133" s="180"/>
      <c r="M133" s="180"/>
      <c r="N133" s="182">
        <f t="shared" si="57"/>
        <v>19125.330000000002</v>
      </c>
      <c r="O133" s="29">
        <f t="shared" si="58"/>
        <v>0</v>
      </c>
      <c r="P133" s="181">
        <f t="shared" si="70"/>
        <v>0</v>
      </c>
      <c r="Q133" s="182">
        <f t="shared" si="59"/>
        <v>0</v>
      </c>
      <c r="R133" s="182">
        <f t="shared" si="60"/>
        <v>0</v>
      </c>
      <c r="S133" s="182">
        <f t="shared" si="61"/>
        <v>0</v>
      </c>
      <c r="T133" s="182">
        <f t="shared" si="62"/>
        <v>0</v>
      </c>
      <c r="U133" s="182">
        <f t="shared" si="63"/>
        <v>0</v>
      </c>
      <c r="V133" s="14">
        <f t="shared" si="64"/>
        <v>19125.330000000002</v>
      </c>
      <c r="W133" s="14">
        <f t="shared" si="65"/>
        <v>-19125.330000000002</v>
      </c>
      <c r="Y133" s="14">
        <f t="shared" si="71"/>
        <v>6524.41</v>
      </c>
      <c r="Z133" s="14">
        <f t="shared" si="72"/>
        <v>-6524.41</v>
      </c>
      <c r="AA133" s="11">
        <f t="shared" si="66"/>
        <v>0.51</v>
      </c>
      <c r="AB133" s="9">
        <f t="shared" si="73"/>
        <v>761.43000000000006</v>
      </c>
      <c r="AD133" s="13">
        <f>IF(AH133&gt;AH132,AD132,IF(AD132&lt;MiscData!$F$1,EOMONTH(AD132,1),EOMONTH(AD132,-11)))</f>
        <v>42429</v>
      </c>
      <c r="AE133" s="7" t="str">
        <f t="shared" si="67"/>
        <v>20140101KUUM_448</v>
      </c>
      <c r="AF133" s="12" t="str">
        <f t="shared" si="68"/>
        <v>20140101RLS</v>
      </c>
      <c r="AG133" s="31"/>
      <c r="AH133">
        <f>IF(AH132=MiscData!$AB$91,1,AH132+1)</f>
        <v>44</v>
      </c>
      <c r="AI133">
        <f>IF(AD133&lt;=MiscData!$B$23,MiscData!$C$23,IF(AD133&lt;=MiscData!$B$24,MiscData!$C$24,MiscData!$C$25))</f>
        <v>20140101</v>
      </c>
      <c r="AK133" s="190" t="str">
        <f>VLOOKUP(AM133,MiscData!$AB$4:$ACB$113,2,FALSE)</f>
        <v>KUUM_448</v>
      </c>
      <c r="AL133" s="190" t="str">
        <f>VLOOKUP(AM133,MiscData!$AB$4:$AE$115,4,FALSE)</f>
        <v>RLS</v>
      </c>
      <c r="AM133">
        <f>IF(AM132=MiscData!$AB$91,1,AM132+1)</f>
        <v>44</v>
      </c>
    </row>
    <row r="134" spans="1:39">
      <c r="A134" s="7">
        <f t="shared" si="74"/>
        <v>133</v>
      </c>
      <c r="B134" s="13" t="str">
        <f t="shared" si="50"/>
        <v>Feb 2016</v>
      </c>
      <c r="C134" s="23" t="str">
        <f t="shared" si="51"/>
        <v>LS</v>
      </c>
      <c r="D134" s="23" t="str">
        <f t="shared" si="52"/>
        <v>KUUM_450</v>
      </c>
      <c r="E134" s="170">
        <f t="shared" si="53"/>
        <v>660</v>
      </c>
      <c r="F134" s="185"/>
      <c r="G134" s="170">
        <f t="shared" si="54"/>
        <v>0</v>
      </c>
      <c r="H134" s="170">
        <v>0</v>
      </c>
      <c r="I134" s="11">
        <f t="shared" si="55"/>
        <v>14.25</v>
      </c>
      <c r="J134" s="11">
        <f t="shared" si="56"/>
        <v>1.9699999999999989</v>
      </c>
      <c r="K134" s="416">
        <f t="shared" si="69"/>
        <v>9405</v>
      </c>
      <c r="L134" s="180"/>
      <c r="M134" s="180"/>
      <c r="N134" s="182">
        <f t="shared" si="57"/>
        <v>9405</v>
      </c>
      <c r="O134" s="29">
        <f t="shared" si="58"/>
        <v>0</v>
      </c>
      <c r="P134" s="181">
        <f t="shared" si="70"/>
        <v>0</v>
      </c>
      <c r="Q134" s="182">
        <f t="shared" si="59"/>
        <v>0</v>
      </c>
      <c r="R134" s="182">
        <f t="shared" si="60"/>
        <v>0</v>
      </c>
      <c r="S134" s="182">
        <f t="shared" si="61"/>
        <v>0</v>
      </c>
      <c r="T134" s="182">
        <f t="shared" si="62"/>
        <v>0</v>
      </c>
      <c r="U134" s="182">
        <f t="shared" si="63"/>
        <v>0</v>
      </c>
      <c r="V134" s="14">
        <f t="shared" si="64"/>
        <v>9405</v>
      </c>
      <c r="W134" s="14">
        <f t="shared" si="65"/>
        <v>-9405</v>
      </c>
      <c r="Y134" s="14">
        <f t="shared" si="71"/>
        <v>1300.2</v>
      </c>
      <c r="Z134" s="14">
        <f t="shared" si="72"/>
        <v>-1300.2</v>
      </c>
      <c r="AA134" s="11">
        <f t="shared" si="66"/>
        <v>0.66</v>
      </c>
      <c r="AB134" s="9">
        <f t="shared" si="73"/>
        <v>435.6</v>
      </c>
      <c r="AD134" s="13">
        <f>IF(AH134&gt;AH133,AD133,IF(AD133&lt;MiscData!$F$1,EOMONTH(AD133,1),EOMONTH(AD133,-11)))</f>
        <v>42429</v>
      </c>
      <c r="AE134" s="7" t="str">
        <f t="shared" si="67"/>
        <v>20140101KUUM_450</v>
      </c>
      <c r="AF134" s="12" t="str">
        <f t="shared" si="68"/>
        <v>20140101LS</v>
      </c>
      <c r="AG134" s="31"/>
      <c r="AH134">
        <f>IF(AH133=MiscData!$AB$91,1,AH133+1)</f>
        <v>45</v>
      </c>
      <c r="AI134">
        <f>IF(AD134&lt;=MiscData!$B$23,MiscData!$C$23,IF(AD134&lt;=MiscData!$B$24,MiscData!$C$24,MiscData!$C$25))</f>
        <v>20140101</v>
      </c>
      <c r="AK134" s="190" t="str">
        <f>VLOOKUP(AM134,MiscData!$AB$4:$ACB$113,2,FALSE)</f>
        <v>KUUM_450</v>
      </c>
      <c r="AL134" s="190" t="str">
        <f>VLOOKUP(AM134,MiscData!$AB$4:$AE$115,4,FALSE)</f>
        <v>LS</v>
      </c>
      <c r="AM134">
        <f>IF(AM133=MiscData!$AB$91,1,AM133+1)</f>
        <v>45</v>
      </c>
    </row>
    <row r="135" spans="1:39">
      <c r="A135" s="7">
        <f t="shared" si="74"/>
        <v>134</v>
      </c>
      <c r="B135" s="13" t="str">
        <f t="shared" si="50"/>
        <v>Feb 2016</v>
      </c>
      <c r="C135" s="23" t="str">
        <f t="shared" si="51"/>
        <v>LS</v>
      </c>
      <c r="D135" s="23" t="str">
        <f t="shared" si="52"/>
        <v>KUUM_451</v>
      </c>
      <c r="E135" s="170">
        <f t="shared" si="53"/>
        <v>5069</v>
      </c>
      <c r="F135" s="185"/>
      <c r="G135" s="170">
        <f t="shared" si="54"/>
        <v>0</v>
      </c>
      <c r="H135" s="170">
        <v>0</v>
      </c>
      <c r="I135" s="11">
        <f t="shared" si="55"/>
        <v>20.200000000000003</v>
      </c>
      <c r="J135" s="11">
        <f t="shared" si="56"/>
        <v>4.2900000000000027</v>
      </c>
      <c r="K135" s="416">
        <f t="shared" si="69"/>
        <v>102393.8</v>
      </c>
      <c r="L135" s="180"/>
      <c r="M135" s="180"/>
      <c r="N135" s="182">
        <f t="shared" si="57"/>
        <v>102393.8</v>
      </c>
      <c r="O135" s="29">
        <f t="shared" si="58"/>
        <v>0</v>
      </c>
      <c r="P135" s="181">
        <f t="shared" si="70"/>
        <v>0</v>
      </c>
      <c r="Q135" s="182">
        <f t="shared" si="59"/>
        <v>0</v>
      </c>
      <c r="R135" s="182">
        <f t="shared" si="60"/>
        <v>0</v>
      </c>
      <c r="S135" s="182">
        <f t="shared" si="61"/>
        <v>0</v>
      </c>
      <c r="T135" s="182">
        <f t="shared" si="62"/>
        <v>0</v>
      </c>
      <c r="U135" s="182">
        <f t="shared" si="63"/>
        <v>0</v>
      </c>
      <c r="V135" s="14">
        <f t="shared" si="64"/>
        <v>102393.8</v>
      </c>
      <c r="W135" s="14">
        <f t="shared" si="65"/>
        <v>-102393.8</v>
      </c>
      <c r="Y135" s="14">
        <f t="shared" si="71"/>
        <v>21746.01</v>
      </c>
      <c r="Z135" s="14">
        <f t="shared" si="72"/>
        <v>-21746.01</v>
      </c>
      <c r="AA135" s="11">
        <f t="shared" si="66"/>
        <v>0.84</v>
      </c>
      <c r="AB135" s="9">
        <f t="shared" si="73"/>
        <v>4257.96</v>
      </c>
      <c r="AD135" s="13">
        <f>IF(AH135&gt;AH134,AD134,IF(AD134&lt;MiscData!$F$1,EOMONTH(AD134,1),EOMONTH(AD134,-11)))</f>
        <v>42429</v>
      </c>
      <c r="AE135" s="7" t="str">
        <f t="shared" si="67"/>
        <v>20140101KUUM_451</v>
      </c>
      <c r="AF135" s="12" t="str">
        <f t="shared" si="68"/>
        <v>20140101LS</v>
      </c>
      <c r="AG135" s="31"/>
      <c r="AH135">
        <f>IF(AH134=MiscData!$AB$91,1,AH134+1)</f>
        <v>46</v>
      </c>
      <c r="AI135">
        <f>IF(AD135&lt;=MiscData!$B$23,MiscData!$C$23,IF(AD135&lt;=MiscData!$B$24,MiscData!$C$24,MiscData!$C$25))</f>
        <v>20140101</v>
      </c>
      <c r="AK135" s="190" t="str">
        <f>VLOOKUP(AM135,MiscData!$AB$4:$ACB$113,2,FALSE)</f>
        <v>KUUM_451</v>
      </c>
      <c r="AL135" s="190" t="str">
        <f>VLOOKUP(AM135,MiscData!$AB$4:$AE$115,4,FALSE)</f>
        <v>LS</v>
      </c>
      <c r="AM135">
        <f>IF(AM134=MiscData!$AB$91,1,AM134+1)</f>
        <v>46</v>
      </c>
    </row>
    <row r="136" spans="1:39">
      <c r="A136" s="7">
        <f t="shared" si="74"/>
        <v>135</v>
      </c>
      <c r="B136" s="13" t="str">
        <f t="shared" si="50"/>
        <v>Feb 2016</v>
      </c>
      <c r="C136" s="23" t="str">
        <f t="shared" si="51"/>
        <v>LS</v>
      </c>
      <c r="D136" s="23" t="str">
        <f t="shared" si="52"/>
        <v>KUUM_452</v>
      </c>
      <c r="E136" s="170">
        <f t="shared" si="53"/>
        <v>1038</v>
      </c>
      <c r="F136" s="185"/>
      <c r="G136" s="170">
        <f t="shared" si="54"/>
        <v>0</v>
      </c>
      <c r="H136" s="170">
        <v>0</v>
      </c>
      <c r="I136" s="11">
        <f t="shared" si="55"/>
        <v>42.350000000000009</v>
      </c>
      <c r="J136" s="11">
        <f t="shared" si="56"/>
        <v>10.410000000000004</v>
      </c>
      <c r="K136" s="416">
        <f t="shared" si="69"/>
        <v>43959.3</v>
      </c>
      <c r="L136" s="180"/>
      <c r="M136" s="180"/>
      <c r="N136" s="182">
        <f t="shared" si="57"/>
        <v>43959.3</v>
      </c>
      <c r="O136" s="29">
        <f t="shared" si="58"/>
        <v>0</v>
      </c>
      <c r="P136" s="181">
        <f t="shared" si="70"/>
        <v>0</v>
      </c>
      <c r="Q136" s="182">
        <f t="shared" si="59"/>
        <v>0</v>
      </c>
      <c r="R136" s="182">
        <f t="shared" si="60"/>
        <v>0</v>
      </c>
      <c r="S136" s="182">
        <f t="shared" si="61"/>
        <v>0</v>
      </c>
      <c r="T136" s="182">
        <f t="shared" si="62"/>
        <v>0</v>
      </c>
      <c r="U136" s="182">
        <f t="shared" si="63"/>
        <v>0</v>
      </c>
      <c r="V136" s="14">
        <f t="shared" si="64"/>
        <v>43959.3</v>
      </c>
      <c r="W136" s="14">
        <f t="shared" si="65"/>
        <v>-43959.3</v>
      </c>
      <c r="Y136" s="14">
        <f t="shared" si="71"/>
        <v>10805.58</v>
      </c>
      <c r="Z136" s="14">
        <f t="shared" si="72"/>
        <v>-10805.58</v>
      </c>
      <c r="AA136" s="11">
        <f t="shared" si="66"/>
        <v>1.7</v>
      </c>
      <c r="AB136" s="9">
        <f t="shared" si="73"/>
        <v>1764.6</v>
      </c>
      <c r="AD136" s="13">
        <f>IF(AH136&gt;AH135,AD135,IF(AD135&lt;MiscData!$F$1,EOMONTH(AD135,1),EOMONTH(AD135,-11)))</f>
        <v>42429</v>
      </c>
      <c r="AE136" s="7" t="str">
        <f t="shared" si="67"/>
        <v>20140101KUUM_452</v>
      </c>
      <c r="AF136" s="12" t="str">
        <f t="shared" si="68"/>
        <v>20140101LS</v>
      </c>
      <c r="AG136" s="31"/>
      <c r="AH136">
        <f>IF(AH135=MiscData!$AB$91,1,AH135+1)</f>
        <v>47</v>
      </c>
      <c r="AI136">
        <f>IF(AD136&lt;=MiscData!$B$23,MiscData!$C$23,IF(AD136&lt;=MiscData!$B$24,MiscData!$C$24,MiscData!$C$25))</f>
        <v>20140101</v>
      </c>
      <c r="AK136" s="190" t="str">
        <f>VLOOKUP(AM136,MiscData!$AB$4:$ACB$113,2,FALSE)</f>
        <v>KUUM_452</v>
      </c>
      <c r="AL136" s="190" t="str">
        <f>VLOOKUP(AM136,MiscData!$AB$4:$AE$115,4,FALSE)</f>
        <v>LS</v>
      </c>
      <c r="AM136">
        <f>IF(AM135=MiscData!$AB$91,1,AM135+1)</f>
        <v>47</v>
      </c>
    </row>
    <row r="137" spans="1:39">
      <c r="A137" s="7">
        <f t="shared" si="74"/>
        <v>136</v>
      </c>
      <c r="B137" s="13" t="str">
        <f t="shared" si="50"/>
        <v>Feb 2016</v>
      </c>
      <c r="C137" s="23" t="str">
        <f t="shared" si="51"/>
        <v>RLS</v>
      </c>
      <c r="D137" s="23" t="str">
        <f t="shared" si="52"/>
        <v>KUUM_454</v>
      </c>
      <c r="E137" s="170">
        <f t="shared" si="53"/>
        <v>155</v>
      </c>
      <c r="F137" s="185"/>
      <c r="G137" s="170">
        <f t="shared" si="54"/>
        <v>0</v>
      </c>
      <c r="H137" s="170">
        <v>0</v>
      </c>
      <c r="I137" s="11">
        <f t="shared" si="55"/>
        <v>18.649999999999999</v>
      </c>
      <c r="J137" s="11">
        <f t="shared" si="56"/>
        <v>1.9699999999999989</v>
      </c>
      <c r="K137" s="416">
        <f t="shared" si="69"/>
        <v>2890.75</v>
      </c>
      <c r="L137" s="180"/>
      <c r="M137" s="180"/>
      <c r="N137" s="182">
        <f t="shared" si="57"/>
        <v>2890.75</v>
      </c>
      <c r="O137" s="29">
        <f t="shared" si="58"/>
        <v>0</v>
      </c>
      <c r="P137" s="181">
        <f t="shared" si="70"/>
        <v>0</v>
      </c>
      <c r="Q137" s="182">
        <f t="shared" si="59"/>
        <v>0</v>
      </c>
      <c r="R137" s="182">
        <f t="shared" si="60"/>
        <v>0</v>
      </c>
      <c r="S137" s="182">
        <f t="shared" si="61"/>
        <v>0</v>
      </c>
      <c r="T137" s="182">
        <f t="shared" si="62"/>
        <v>0</v>
      </c>
      <c r="U137" s="182">
        <f t="shared" si="63"/>
        <v>0</v>
      </c>
      <c r="V137" s="14">
        <f t="shared" si="64"/>
        <v>2890.75</v>
      </c>
      <c r="W137" s="14">
        <f t="shared" si="65"/>
        <v>-2890.75</v>
      </c>
      <c r="Y137" s="14">
        <f t="shared" si="71"/>
        <v>305.35000000000002</v>
      </c>
      <c r="Z137" s="14">
        <f t="shared" si="72"/>
        <v>-305.35000000000002</v>
      </c>
      <c r="AA137" s="11">
        <f t="shared" si="66"/>
        <v>0.66</v>
      </c>
      <c r="AB137" s="9">
        <f t="shared" si="73"/>
        <v>102.30000000000001</v>
      </c>
      <c r="AD137" s="13">
        <f>IF(AH137&gt;AH136,AD136,IF(AD136&lt;MiscData!$F$1,EOMONTH(AD136,1),EOMONTH(AD136,-11)))</f>
        <v>42429</v>
      </c>
      <c r="AE137" s="7" t="str">
        <f t="shared" si="67"/>
        <v>20140101KUUM_454</v>
      </c>
      <c r="AF137" s="12" t="str">
        <f t="shared" si="68"/>
        <v>20140101RLS</v>
      </c>
      <c r="AG137" s="31"/>
      <c r="AH137">
        <f>IF(AH136=MiscData!$AB$91,1,AH136+1)</f>
        <v>48</v>
      </c>
      <c r="AI137">
        <f>IF(AD137&lt;=MiscData!$B$23,MiscData!$C$23,IF(AD137&lt;=MiscData!$B$24,MiscData!$C$24,MiscData!$C$25))</f>
        <v>20140101</v>
      </c>
      <c r="AK137" s="190" t="str">
        <f>VLOOKUP(AM137,MiscData!$AB$4:$ACB$113,2,FALSE)</f>
        <v>KUUM_454</v>
      </c>
      <c r="AL137" s="190" t="str">
        <f>VLOOKUP(AM137,MiscData!$AB$4:$AE$115,4,FALSE)</f>
        <v>RLS</v>
      </c>
      <c r="AM137">
        <f>IF(AM136=MiscData!$AB$91,1,AM136+1)</f>
        <v>48</v>
      </c>
    </row>
    <row r="138" spans="1:39">
      <c r="A138" s="7">
        <f t="shared" si="74"/>
        <v>137</v>
      </c>
      <c r="B138" s="13" t="str">
        <f t="shared" si="50"/>
        <v>Feb 2016</v>
      </c>
      <c r="C138" s="23" t="str">
        <f t="shared" si="51"/>
        <v>RLS</v>
      </c>
      <c r="D138" s="23" t="str">
        <f t="shared" si="52"/>
        <v>KUUM_455</v>
      </c>
      <c r="E138" s="170">
        <f t="shared" si="53"/>
        <v>1014</v>
      </c>
      <c r="F138" s="185"/>
      <c r="G138" s="170">
        <f t="shared" si="54"/>
        <v>0</v>
      </c>
      <c r="H138" s="170">
        <v>0</v>
      </c>
      <c r="I138" s="11">
        <f t="shared" si="55"/>
        <v>24.59</v>
      </c>
      <c r="J138" s="11">
        <f t="shared" si="56"/>
        <v>4.2899999999999991</v>
      </c>
      <c r="K138" s="416">
        <f t="shared" si="69"/>
        <v>24934.26</v>
      </c>
      <c r="L138" s="180"/>
      <c r="M138" s="180"/>
      <c r="N138" s="182">
        <f t="shared" si="57"/>
        <v>24934.26</v>
      </c>
      <c r="O138" s="29">
        <f t="shared" si="58"/>
        <v>0</v>
      </c>
      <c r="P138" s="181">
        <f t="shared" si="70"/>
        <v>0</v>
      </c>
      <c r="Q138" s="182">
        <f t="shared" si="59"/>
        <v>0</v>
      </c>
      <c r="R138" s="182">
        <f t="shared" si="60"/>
        <v>0</v>
      </c>
      <c r="S138" s="182">
        <f t="shared" si="61"/>
        <v>0</v>
      </c>
      <c r="T138" s="182">
        <f t="shared" si="62"/>
        <v>0</v>
      </c>
      <c r="U138" s="182">
        <f t="shared" si="63"/>
        <v>0</v>
      </c>
      <c r="V138" s="14">
        <f t="shared" si="64"/>
        <v>24934.26</v>
      </c>
      <c r="W138" s="14">
        <f t="shared" si="65"/>
        <v>-24934.26</v>
      </c>
      <c r="Y138" s="14">
        <f t="shared" si="71"/>
        <v>4350.0600000000004</v>
      </c>
      <c r="Z138" s="14">
        <f t="shared" si="72"/>
        <v>-4350.0600000000004</v>
      </c>
      <c r="AA138" s="11">
        <f t="shared" si="66"/>
        <v>0.84</v>
      </c>
      <c r="AB138" s="9">
        <f t="shared" si="73"/>
        <v>851.76</v>
      </c>
      <c r="AD138" s="13">
        <f>IF(AH138&gt;AH137,AD137,IF(AD137&lt;MiscData!$F$1,EOMONTH(AD137,1),EOMONTH(AD137,-11)))</f>
        <v>42429</v>
      </c>
      <c r="AE138" s="7" t="str">
        <f t="shared" si="67"/>
        <v>20140101KUUM_455</v>
      </c>
      <c r="AF138" s="12" t="str">
        <f t="shared" si="68"/>
        <v>20140101RLS</v>
      </c>
      <c r="AG138" s="31"/>
      <c r="AH138">
        <f>IF(AH137=MiscData!$AB$91,1,AH137+1)</f>
        <v>49</v>
      </c>
      <c r="AI138">
        <f>IF(AD138&lt;=MiscData!$B$23,MiscData!$C$23,IF(AD138&lt;=MiscData!$B$24,MiscData!$C$24,MiscData!$C$25))</f>
        <v>20140101</v>
      </c>
      <c r="AK138" s="190" t="str">
        <f>VLOOKUP(AM138,MiscData!$AB$4:$ACB$113,2,FALSE)</f>
        <v>KUUM_455</v>
      </c>
      <c r="AL138" s="190" t="str">
        <f>VLOOKUP(AM138,MiscData!$AB$4:$AE$115,4,FALSE)</f>
        <v>RLS</v>
      </c>
      <c r="AM138">
        <f>IF(AM137=MiscData!$AB$91,1,AM137+1)</f>
        <v>49</v>
      </c>
    </row>
    <row r="139" spans="1:39">
      <c r="A139" s="7">
        <f t="shared" si="74"/>
        <v>138</v>
      </c>
      <c r="B139" s="13" t="str">
        <f t="shared" si="50"/>
        <v>Feb 2016</v>
      </c>
      <c r="C139" s="23" t="str">
        <f t="shared" si="51"/>
        <v>RLS</v>
      </c>
      <c r="D139" s="23" t="str">
        <f t="shared" si="52"/>
        <v>KUUM_456</v>
      </c>
      <c r="E139" s="170">
        <f t="shared" si="53"/>
        <v>139</v>
      </c>
      <c r="F139" s="185"/>
      <c r="G139" s="170">
        <f t="shared" si="54"/>
        <v>0</v>
      </c>
      <c r="H139" s="170">
        <v>0</v>
      </c>
      <c r="I139" s="11">
        <f t="shared" si="55"/>
        <v>11.870000000000001</v>
      </c>
      <c r="J139" s="11">
        <f t="shared" si="56"/>
        <v>1.9900000000000002</v>
      </c>
      <c r="K139" s="416">
        <f t="shared" si="69"/>
        <v>1649.93</v>
      </c>
      <c r="L139" s="180"/>
      <c r="M139" s="180"/>
      <c r="N139" s="182">
        <f t="shared" si="57"/>
        <v>1649.93</v>
      </c>
      <c r="O139" s="29">
        <f t="shared" si="58"/>
        <v>0</v>
      </c>
      <c r="P139" s="181">
        <f t="shared" si="70"/>
        <v>0</v>
      </c>
      <c r="Q139" s="182">
        <f t="shared" si="59"/>
        <v>0</v>
      </c>
      <c r="R139" s="182">
        <f t="shared" si="60"/>
        <v>0</v>
      </c>
      <c r="S139" s="182">
        <f t="shared" si="61"/>
        <v>0</v>
      </c>
      <c r="T139" s="182">
        <f t="shared" si="62"/>
        <v>0</v>
      </c>
      <c r="U139" s="182">
        <f t="shared" si="63"/>
        <v>0</v>
      </c>
      <c r="V139" s="14">
        <f t="shared" si="64"/>
        <v>1649.93</v>
      </c>
      <c r="W139" s="14">
        <f t="shared" si="65"/>
        <v>-1649.93</v>
      </c>
      <c r="Y139" s="14">
        <f t="shared" si="71"/>
        <v>276.61</v>
      </c>
      <c r="Z139" s="14">
        <f t="shared" si="72"/>
        <v>-276.61</v>
      </c>
      <c r="AA139" s="11">
        <f t="shared" si="66"/>
        <v>0.39</v>
      </c>
      <c r="AB139" s="9">
        <f t="shared" si="73"/>
        <v>54.21</v>
      </c>
      <c r="AD139" s="13">
        <f>IF(AH139&gt;AH138,AD138,IF(AD138&lt;MiscData!$F$1,EOMONTH(AD138,1),EOMONTH(AD138,-11)))</f>
        <v>42429</v>
      </c>
      <c r="AE139" s="7" t="str">
        <f t="shared" si="67"/>
        <v>20140101KUUM_456</v>
      </c>
      <c r="AF139" s="12" t="str">
        <f t="shared" si="68"/>
        <v>20140101RLS</v>
      </c>
      <c r="AG139" s="31"/>
      <c r="AH139">
        <f>IF(AH138=MiscData!$AB$91,1,AH138+1)</f>
        <v>50</v>
      </c>
      <c r="AI139">
        <f>IF(AD139&lt;=MiscData!$B$23,MiscData!$C$23,IF(AD139&lt;=MiscData!$B$24,MiscData!$C$24,MiscData!$C$25))</f>
        <v>20140101</v>
      </c>
      <c r="AK139" s="190" t="str">
        <f>VLOOKUP(AM139,MiscData!$AB$4:$ACB$113,2,FALSE)</f>
        <v>KUUM_456</v>
      </c>
      <c r="AL139" s="190" t="str">
        <f>VLOOKUP(AM139,MiscData!$AB$4:$AE$115,4,FALSE)</f>
        <v>RLS</v>
      </c>
      <c r="AM139">
        <f>IF(AM138=MiscData!$AB$91,1,AM138+1)</f>
        <v>50</v>
      </c>
    </row>
    <row r="140" spans="1:39">
      <c r="A140" s="7">
        <f t="shared" si="74"/>
        <v>139</v>
      </c>
      <c r="B140" s="13" t="str">
        <f t="shared" si="50"/>
        <v>Feb 2016</v>
      </c>
      <c r="C140" s="23" t="str">
        <f t="shared" si="51"/>
        <v>RLS</v>
      </c>
      <c r="D140" s="23" t="str">
        <f t="shared" si="52"/>
        <v>KUUM_457</v>
      </c>
      <c r="E140" s="170">
        <f t="shared" si="53"/>
        <v>451</v>
      </c>
      <c r="F140" s="185"/>
      <c r="G140" s="170">
        <f t="shared" si="54"/>
        <v>0</v>
      </c>
      <c r="H140" s="170">
        <v>0</v>
      </c>
      <c r="I140" s="11">
        <f t="shared" si="55"/>
        <v>13.360000000000001</v>
      </c>
      <c r="J140" s="11">
        <f t="shared" si="56"/>
        <v>2.84</v>
      </c>
      <c r="K140" s="416">
        <f t="shared" si="69"/>
        <v>6025.36</v>
      </c>
      <c r="L140" s="180"/>
      <c r="M140" s="180"/>
      <c r="N140" s="182">
        <f t="shared" si="57"/>
        <v>6025.36</v>
      </c>
      <c r="O140" s="29">
        <f t="shared" si="58"/>
        <v>0</v>
      </c>
      <c r="P140" s="181">
        <f t="shared" si="70"/>
        <v>0</v>
      </c>
      <c r="Q140" s="182">
        <f t="shared" si="59"/>
        <v>0</v>
      </c>
      <c r="R140" s="182">
        <f t="shared" si="60"/>
        <v>0</v>
      </c>
      <c r="S140" s="182">
        <f t="shared" si="61"/>
        <v>0</v>
      </c>
      <c r="T140" s="182">
        <f t="shared" si="62"/>
        <v>0</v>
      </c>
      <c r="U140" s="182">
        <f t="shared" si="63"/>
        <v>0</v>
      </c>
      <c r="V140" s="14">
        <f t="shared" si="64"/>
        <v>6025.36</v>
      </c>
      <c r="W140" s="14">
        <f t="shared" si="65"/>
        <v>-6025.36</v>
      </c>
      <c r="Y140" s="14">
        <f t="shared" si="71"/>
        <v>1280.8399999999999</v>
      </c>
      <c r="Z140" s="14">
        <f t="shared" si="72"/>
        <v>-1280.8399999999999</v>
      </c>
      <c r="AA140" s="11">
        <f t="shared" si="66"/>
        <v>0.44</v>
      </c>
      <c r="AB140" s="9">
        <f t="shared" si="73"/>
        <v>198.44</v>
      </c>
      <c r="AD140" s="13">
        <f>IF(AH140&gt;AH139,AD139,IF(AD139&lt;MiscData!$F$1,EOMONTH(AD139,1),EOMONTH(AD139,-11)))</f>
        <v>42429</v>
      </c>
      <c r="AE140" s="7" t="str">
        <f t="shared" si="67"/>
        <v>20140101KUUM_457</v>
      </c>
      <c r="AF140" s="12" t="str">
        <f t="shared" si="68"/>
        <v>20140101RLS</v>
      </c>
      <c r="AG140" s="31"/>
      <c r="AH140">
        <f>IF(AH139=MiscData!$AB$91,1,AH139+1)</f>
        <v>51</v>
      </c>
      <c r="AI140">
        <f>IF(AD140&lt;=MiscData!$B$23,MiscData!$C$23,IF(AD140&lt;=MiscData!$B$24,MiscData!$C$24,MiscData!$C$25))</f>
        <v>20140101</v>
      </c>
      <c r="AK140" s="190" t="str">
        <f>VLOOKUP(AM140,MiscData!$AB$4:$ACB$113,2,FALSE)</f>
        <v>KUUM_457</v>
      </c>
      <c r="AL140" s="190" t="str">
        <f>VLOOKUP(AM140,MiscData!$AB$4:$AE$115,4,FALSE)</f>
        <v>RLS</v>
      </c>
      <c r="AM140">
        <f>IF(AM139=MiscData!$AB$91,1,AM139+1)</f>
        <v>51</v>
      </c>
    </row>
    <row r="141" spans="1:39">
      <c r="A141" s="7">
        <f t="shared" si="74"/>
        <v>140</v>
      </c>
      <c r="B141" s="13" t="str">
        <f t="shared" si="50"/>
        <v>Feb 2016</v>
      </c>
      <c r="C141" s="23" t="str">
        <f t="shared" si="51"/>
        <v>RLS</v>
      </c>
      <c r="D141" s="23" t="str">
        <f t="shared" si="52"/>
        <v>KUUM_458</v>
      </c>
      <c r="E141" s="170">
        <f t="shared" si="53"/>
        <v>1458</v>
      </c>
      <c r="F141" s="185"/>
      <c r="G141" s="170">
        <f t="shared" si="54"/>
        <v>0</v>
      </c>
      <c r="H141" s="170">
        <v>0</v>
      </c>
      <c r="I141" s="11">
        <f t="shared" si="55"/>
        <v>15.079999999999998</v>
      </c>
      <c r="J141" s="11">
        <f t="shared" si="56"/>
        <v>4.3699999999999992</v>
      </c>
      <c r="K141" s="416">
        <f t="shared" si="69"/>
        <v>21986.639999999999</v>
      </c>
      <c r="L141" s="180"/>
      <c r="M141" s="180"/>
      <c r="N141" s="182">
        <f t="shared" si="57"/>
        <v>21986.639999999999</v>
      </c>
      <c r="O141" s="29">
        <f t="shared" si="58"/>
        <v>0</v>
      </c>
      <c r="P141" s="181">
        <f t="shared" si="70"/>
        <v>0</v>
      </c>
      <c r="Q141" s="182">
        <f t="shared" si="59"/>
        <v>0</v>
      </c>
      <c r="R141" s="182">
        <f t="shared" si="60"/>
        <v>0</v>
      </c>
      <c r="S141" s="182">
        <f t="shared" si="61"/>
        <v>0</v>
      </c>
      <c r="T141" s="182">
        <f t="shared" si="62"/>
        <v>0</v>
      </c>
      <c r="U141" s="182">
        <f t="shared" si="63"/>
        <v>0</v>
      </c>
      <c r="V141" s="14">
        <f t="shared" si="64"/>
        <v>21986.639999999999</v>
      </c>
      <c r="W141" s="14">
        <f t="shared" si="65"/>
        <v>-21986.639999999999</v>
      </c>
      <c r="Y141" s="14">
        <f t="shared" si="71"/>
        <v>6371.46</v>
      </c>
      <c r="Z141" s="14">
        <f t="shared" si="72"/>
        <v>-6371.46</v>
      </c>
      <c r="AA141" s="11">
        <f t="shared" si="66"/>
        <v>0.51</v>
      </c>
      <c r="AB141" s="9">
        <f t="shared" si="73"/>
        <v>743.58</v>
      </c>
      <c r="AD141" s="13">
        <f>IF(AH141&gt;AH140,AD140,IF(AD140&lt;MiscData!$F$1,EOMONTH(AD140,1),EOMONTH(AD140,-11)))</f>
        <v>42429</v>
      </c>
      <c r="AE141" s="7" t="str">
        <f t="shared" si="67"/>
        <v>20140101KUUM_458</v>
      </c>
      <c r="AF141" s="12" t="str">
        <f t="shared" si="68"/>
        <v>20140101RLS</v>
      </c>
      <c r="AG141" s="31"/>
      <c r="AH141">
        <f>IF(AH140=MiscData!$AB$91,1,AH140+1)</f>
        <v>52</v>
      </c>
      <c r="AI141">
        <f>IF(AD141&lt;=MiscData!$B$23,MiscData!$C$23,IF(AD141&lt;=MiscData!$B$24,MiscData!$C$24,MiscData!$C$25))</f>
        <v>20140101</v>
      </c>
      <c r="AK141" s="190" t="str">
        <f>VLOOKUP(AM141,MiscData!$AB$4:$ACB$113,2,FALSE)</f>
        <v>KUUM_458</v>
      </c>
      <c r="AL141" s="190" t="str">
        <f>VLOOKUP(AM141,MiscData!$AB$4:$AE$115,4,FALSE)</f>
        <v>RLS</v>
      </c>
      <c r="AM141">
        <f>IF(AM140=MiscData!$AB$91,1,AM140+1)</f>
        <v>52</v>
      </c>
    </row>
    <row r="142" spans="1:39">
      <c r="A142" s="7">
        <f t="shared" si="74"/>
        <v>141</v>
      </c>
      <c r="B142" s="13" t="str">
        <f t="shared" si="50"/>
        <v>Feb 2016</v>
      </c>
      <c r="C142" s="23" t="str">
        <f t="shared" si="51"/>
        <v>RLS</v>
      </c>
      <c r="D142" s="23" t="str">
        <f t="shared" si="52"/>
        <v>KUUM_459</v>
      </c>
      <c r="E142" s="170">
        <f t="shared" si="53"/>
        <v>227</v>
      </c>
      <c r="F142" s="185"/>
      <c r="G142" s="170">
        <f t="shared" si="54"/>
        <v>0</v>
      </c>
      <c r="H142" s="170">
        <v>0</v>
      </c>
      <c r="I142" s="11">
        <f t="shared" si="55"/>
        <v>46.740000000000009</v>
      </c>
      <c r="J142" s="11">
        <f t="shared" si="56"/>
        <v>10.410000000000004</v>
      </c>
      <c r="K142" s="416">
        <f t="shared" si="69"/>
        <v>10609.98</v>
      </c>
      <c r="L142" s="180"/>
      <c r="M142" s="180"/>
      <c r="N142" s="182">
        <f t="shared" si="57"/>
        <v>10609.98</v>
      </c>
      <c r="O142" s="29">
        <f t="shared" si="58"/>
        <v>0</v>
      </c>
      <c r="P142" s="181">
        <f t="shared" si="70"/>
        <v>0</v>
      </c>
      <c r="Q142" s="182">
        <f t="shared" si="59"/>
        <v>0</v>
      </c>
      <c r="R142" s="182">
        <f t="shared" si="60"/>
        <v>0</v>
      </c>
      <c r="S142" s="182">
        <f t="shared" si="61"/>
        <v>0</v>
      </c>
      <c r="T142" s="182">
        <f t="shared" si="62"/>
        <v>0</v>
      </c>
      <c r="U142" s="182">
        <f t="shared" si="63"/>
        <v>0</v>
      </c>
      <c r="V142" s="14">
        <f t="shared" si="64"/>
        <v>10609.98</v>
      </c>
      <c r="W142" s="14">
        <f t="shared" si="65"/>
        <v>-10609.98</v>
      </c>
      <c r="Y142" s="14">
        <f t="shared" si="71"/>
        <v>2363.0700000000002</v>
      </c>
      <c r="Z142" s="14">
        <f t="shared" si="72"/>
        <v>-2363.0700000000002</v>
      </c>
      <c r="AA142" s="11">
        <f t="shared" si="66"/>
        <v>1.7</v>
      </c>
      <c r="AB142" s="9">
        <f t="shared" si="73"/>
        <v>385.9</v>
      </c>
      <c r="AD142" s="13">
        <f>IF(AH142&gt;AH141,AD141,IF(AD141&lt;MiscData!$F$1,EOMONTH(AD141,1),EOMONTH(AD141,-11)))</f>
        <v>42429</v>
      </c>
      <c r="AE142" s="7" t="str">
        <f t="shared" si="67"/>
        <v>20140101KUUM_459</v>
      </c>
      <c r="AF142" s="12" t="str">
        <f t="shared" si="68"/>
        <v>20140101RLS</v>
      </c>
      <c r="AG142" s="31"/>
      <c r="AH142">
        <f>IF(AH141=MiscData!$AB$91,1,AH141+1)</f>
        <v>53</v>
      </c>
      <c r="AI142">
        <f>IF(AD142&lt;=MiscData!$B$23,MiscData!$C$23,IF(AD142&lt;=MiscData!$B$24,MiscData!$C$24,MiscData!$C$25))</f>
        <v>20140101</v>
      </c>
      <c r="AK142" s="190" t="str">
        <f>VLOOKUP(AM142,MiscData!$AB$4:$ACB$113,2,FALSE)</f>
        <v>KUUM_459</v>
      </c>
      <c r="AL142" s="190" t="str">
        <f>VLOOKUP(AM142,MiscData!$AB$4:$AE$115,4,FALSE)</f>
        <v>RLS</v>
      </c>
      <c r="AM142">
        <f>IF(AM141=MiscData!$AB$91,1,AM141+1)</f>
        <v>53</v>
      </c>
    </row>
    <row r="143" spans="1:39">
      <c r="A143" s="7">
        <f t="shared" si="74"/>
        <v>142</v>
      </c>
      <c r="B143" s="13" t="str">
        <f t="shared" si="50"/>
        <v>Feb 2016</v>
      </c>
      <c r="C143" s="23" t="str">
        <f t="shared" si="51"/>
        <v>RLS</v>
      </c>
      <c r="D143" s="23" t="str">
        <f t="shared" si="52"/>
        <v>KUUM_460</v>
      </c>
      <c r="E143" s="170">
        <f t="shared" si="53"/>
        <v>27</v>
      </c>
      <c r="F143" s="185"/>
      <c r="G143" s="170">
        <f t="shared" si="54"/>
        <v>0</v>
      </c>
      <c r="H143" s="170">
        <v>0</v>
      </c>
      <c r="I143" s="11">
        <f t="shared" si="55"/>
        <v>27.15</v>
      </c>
      <c r="J143" s="11">
        <f t="shared" si="56"/>
        <v>1.9699999999999989</v>
      </c>
      <c r="K143" s="416">
        <f t="shared" si="69"/>
        <v>733.05</v>
      </c>
      <c r="L143" s="180"/>
      <c r="M143" s="180"/>
      <c r="N143" s="182">
        <f t="shared" si="57"/>
        <v>733.05</v>
      </c>
      <c r="O143" s="29">
        <f t="shared" si="58"/>
        <v>0</v>
      </c>
      <c r="P143" s="181">
        <f t="shared" si="70"/>
        <v>0</v>
      </c>
      <c r="Q143" s="182">
        <f t="shared" si="59"/>
        <v>0</v>
      </c>
      <c r="R143" s="182">
        <f t="shared" si="60"/>
        <v>0</v>
      </c>
      <c r="S143" s="182">
        <f t="shared" si="61"/>
        <v>0</v>
      </c>
      <c r="T143" s="182">
        <f t="shared" si="62"/>
        <v>0</v>
      </c>
      <c r="U143" s="182">
        <f t="shared" si="63"/>
        <v>0</v>
      </c>
      <c r="V143" s="14">
        <f t="shared" si="64"/>
        <v>733.05</v>
      </c>
      <c r="W143" s="14">
        <f t="shared" si="65"/>
        <v>-733.05</v>
      </c>
      <c r="Y143" s="14">
        <f t="shared" si="71"/>
        <v>53.19</v>
      </c>
      <c r="Z143" s="14">
        <f t="shared" si="72"/>
        <v>-53.19</v>
      </c>
      <c r="AA143" s="11">
        <f t="shared" si="66"/>
        <v>0.66</v>
      </c>
      <c r="AB143" s="9">
        <f t="shared" si="73"/>
        <v>17.82</v>
      </c>
      <c r="AD143" s="13">
        <f>IF(AH143&gt;AH142,AD142,IF(AD142&lt;MiscData!$F$1,EOMONTH(AD142,1),EOMONTH(AD142,-11)))</f>
        <v>42429</v>
      </c>
      <c r="AE143" s="7" t="str">
        <f t="shared" si="67"/>
        <v>20140101KUUM_460</v>
      </c>
      <c r="AF143" s="12" t="str">
        <f t="shared" si="68"/>
        <v>20140101RLS</v>
      </c>
      <c r="AG143" s="31"/>
      <c r="AH143">
        <f>IF(AH142=MiscData!$AB$91,1,AH142+1)</f>
        <v>54</v>
      </c>
      <c r="AI143">
        <f>IF(AD143&lt;=MiscData!$B$23,MiscData!$C$23,IF(AD143&lt;=MiscData!$B$24,MiscData!$C$24,MiscData!$C$25))</f>
        <v>20140101</v>
      </c>
      <c r="AK143" s="190" t="str">
        <f>VLOOKUP(AM143,MiscData!$AB$4:$ACB$113,2,FALSE)</f>
        <v>KUUM_460</v>
      </c>
      <c r="AL143" s="190" t="str">
        <f>VLOOKUP(AM143,MiscData!$AB$4:$AE$115,4,FALSE)</f>
        <v>RLS</v>
      </c>
      <c r="AM143">
        <f>IF(AM142=MiscData!$AB$91,1,AM142+1)</f>
        <v>54</v>
      </c>
    </row>
    <row r="144" spans="1:39">
      <c r="A144" s="7">
        <f t="shared" si="74"/>
        <v>143</v>
      </c>
      <c r="B144" s="13" t="str">
        <f t="shared" si="50"/>
        <v>Feb 2016</v>
      </c>
      <c r="C144" s="23" t="str">
        <f t="shared" si="51"/>
        <v>RLS</v>
      </c>
      <c r="D144" s="23" t="str">
        <f t="shared" si="52"/>
        <v>KUUM_461</v>
      </c>
      <c r="E144" s="170">
        <f t="shared" si="53"/>
        <v>6486</v>
      </c>
      <c r="F144" s="185"/>
      <c r="G144" s="170">
        <f t="shared" si="54"/>
        <v>0</v>
      </c>
      <c r="H144" s="170">
        <v>0</v>
      </c>
      <c r="I144" s="11">
        <f t="shared" si="55"/>
        <v>7.54</v>
      </c>
      <c r="J144" s="11">
        <f t="shared" si="56"/>
        <v>0.57000000000000028</v>
      </c>
      <c r="K144" s="416">
        <f t="shared" si="69"/>
        <v>48904.44</v>
      </c>
      <c r="L144" s="180"/>
      <c r="M144" s="180"/>
      <c r="N144" s="182">
        <f t="shared" si="57"/>
        <v>48904.44</v>
      </c>
      <c r="O144" s="29">
        <f t="shared" si="58"/>
        <v>0</v>
      </c>
      <c r="P144" s="181">
        <f t="shared" si="70"/>
        <v>0</v>
      </c>
      <c r="Q144" s="182">
        <f t="shared" si="59"/>
        <v>0</v>
      </c>
      <c r="R144" s="182">
        <f t="shared" si="60"/>
        <v>0</v>
      </c>
      <c r="S144" s="182">
        <f t="shared" si="61"/>
        <v>0</v>
      </c>
      <c r="T144" s="182">
        <f t="shared" si="62"/>
        <v>0</v>
      </c>
      <c r="U144" s="182">
        <f t="shared" si="63"/>
        <v>0</v>
      </c>
      <c r="V144" s="14">
        <f t="shared" si="64"/>
        <v>48904.44</v>
      </c>
      <c r="W144" s="14">
        <f t="shared" si="65"/>
        <v>-48904.44</v>
      </c>
      <c r="Y144" s="14">
        <f t="shared" si="71"/>
        <v>3697.02</v>
      </c>
      <c r="Z144" s="14">
        <f t="shared" si="72"/>
        <v>-3697.02</v>
      </c>
      <c r="AA144" s="11">
        <f t="shared" si="66"/>
        <v>0.33</v>
      </c>
      <c r="AB144" s="9">
        <f t="shared" si="73"/>
        <v>2140.38</v>
      </c>
      <c r="AD144" s="13">
        <f>IF(AH144&gt;AH143,AD143,IF(AD143&lt;MiscData!$F$1,EOMONTH(AD143,1),EOMONTH(AD143,-11)))</f>
        <v>42429</v>
      </c>
      <c r="AE144" s="7" t="str">
        <f t="shared" si="67"/>
        <v>20140101KUUM_461</v>
      </c>
      <c r="AF144" s="12" t="str">
        <f t="shared" si="68"/>
        <v>20140101RLS</v>
      </c>
      <c r="AG144" s="31"/>
      <c r="AH144">
        <f>IF(AH143=MiscData!$AB$91,1,AH143+1)</f>
        <v>55</v>
      </c>
      <c r="AI144">
        <f>IF(AD144&lt;=MiscData!$B$23,MiscData!$C$23,IF(AD144&lt;=MiscData!$B$24,MiscData!$C$24,MiscData!$C$25))</f>
        <v>20140101</v>
      </c>
      <c r="AK144" s="190" t="str">
        <f>VLOOKUP(AM144,MiscData!$AB$4:$ACB$113,2,FALSE)</f>
        <v>KUUM_461</v>
      </c>
      <c r="AL144" s="190" t="str">
        <f>VLOOKUP(AM144,MiscData!$AB$4:$AE$115,4,FALSE)</f>
        <v>RLS</v>
      </c>
      <c r="AM144">
        <f>IF(AM143=MiscData!$AB$91,1,AM143+1)</f>
        <v>55</v>
      </c>
    </row>
    <row r="145" spans="1:39">
      <c r="A145" s="7">
        <f t="shared" si="74"/>
        <v>144</v>
      </c>
      <c r="B145" s="13" t="str">
        <f t="shared" si="50"/>
        <v>Feb 2016</v>
      </c>
      <c r="C145" s="23" t="str">
        <f t="shared" si="51"/>
        <v>LS</v>
      </c>
      <c r="D145" s="23" t="str">
        <f t="shared" si="52"/>
        <v>KUUM_462</v>
      </c>
      <c r="E145" s="170">
        <f t="shared" si="53"/>
        <v>8585</v>
      </c>
      <c r="F145" s="185"/>
      <c r="G145" s="170">
        <f t="shared" si="54"/>
        <v>0</v>
      </c>
      <c r="H145" s="170">
        <v>0</v>
      </c>
      <c r="I145" s="11">
        <f t="shared" si="55"/>
        <v>8.66</v>
      </c>
      <c r="J145" s="11">
        <f t="shared" si="56"/>
        <v>0.79999999999999893</v>
      </c>
      <c r="K145" s="416">
        <f t="shared" si="69"/>
        <v>74346.100000000006</v>
      </c>
      <c r="L145" s="180"/>
      <c r="M145" s="180"/>
      <c r="N145" s="182">
        <f t="shared" si="57"/>
        <v>74346.100000000006</v>
      </c>
      <c r="O145" s="29">
        <f t="shared" si="58"/>
        <v>0</v>
      </c>
      <c r="P145" s="181">
        <f t="shared" si="70"/>
        <v>0</v>
      </c>
      <c r="Q145" s="182">
        <f t="shared" si="59"/>
        <v>0</v>
      </c>
      <c r="R145" s="182">
        <f t="shared" si="60"/>
        <v>0</v>
      </c>
      <c r="S145" s="182">
        <f t="shared" si="61"/>
        <v>0</v>
      </c>
      <c r="T145" s="182">
        <f t="shared" si="62"/>
        <v>0</v>
      </c>
      <c r="U145" s="182">
        <f t="shared" si="63"/>
        <v>0</v>
      </c>
      <c r="V145" s="14">
        <f t="shared" si="64"/>
        <v>74346.100000000006</v>
      </c>
      <c r="W145" s="14">
        <f t="shared" si="65"/>
        <v>-74346.100000000006</v>
      </c>
      <c r="Y145" s="14">
        <f t="shared" si="71"/>
        <v>6868</v>
      </c>
      <c r="Z145" s="14">
        <f t="shared" si="72"/>
        <v>-6868</v>
      </c>
      <c r="AA145" s="11">
        <f t="shared" si="66"/>
        <v>0.43</v>
      </c>
      <c r="AB145" s="9">
        <f t="shared" si="73"/>
        <v>3691.5499999999997</v>
      </c>
      <c r="AD145" s="13">
        <f>IF(AH145&gt;AH144,AD144,IF(AD144&lt;MiscData!$F$1,EOMONTH(AD144,1),EOMONTH(AD144,-11)))</f>
        <v>42429</v>
      </c>
      <c r="AE145" s="7" t="str">
        <f t="shared" si="67"/>
        <v>20140101KUUM_462</v>
      </c>
      <c r="AF145" s="12" t="str">
        <f t="shared" si="68"/>
        <v>20140101LS</v>
      </c>
      <c r="AG145" s="31"/>
      <c r="AH145">
        <f>IF(AH144=MiscData!$AB$91,1,AH144+1)</f>
        <v>56</v>
      </c>
      <c r="AI145">
        <f>IF(AD145&lt;=MiscData!$B$23,MiscData!$C$23,IF(AD145&lt;=MiscData!$B$24,MiscData!$C$24,MiscData!$C$25))</f>
        <v>20140101</v>
      </c>
      <c r="AK145" s="190" t="str">
        <f>VLOOKUP(AM145,MiscData!$AB$4:$ACB$113,2,FALSE)</f>
        <v>KUUM_462</v>
      </c>
      <c r="AL145" s="190" t="str">
        <f>VLOOKUP(AM145,MiscData!$AB$4:$AE$115,4,FALSE)</f>
        <v>LS</v>
      </c>
      <c r="AM145">
        <f>IF(AM144=MiscData!$AB$91,1,AM144+1)</f>
        <v>56</v>
      </c>
    </row>
    <row r="146" spans="1:39">
      <c r="A146" s="7">
        <f t="shared" si="74"/>
        <v>145</v>
      </c>
      <c r="B146" s="13" t="str">
        <f t="shared" si="50"/>
        <v>Feb 2016</v>
      </c>
      <c r="C146" s="23" t="str">
        <f t="shared" si="51"/>
        <v>LS</v>
      </c>
      <c r="D146" s="23" t="str">
        <f t="shared" si="52"/>
        <v>KUUM_463</v>
      </c>
      <c r="E146" s="170">
        <f t="shared" si="53"/>
        <v>19533</v>
      </c>
      <c r="F146" s="185"/>
      <c r="G146" s="170">
        <f t="shared" si="54"/>
        <v>0</v>
      </c>
      <c r="H146" s="170">
        <v>0</v>
      </c>
      <c r="I146" s="11">
        <f t="shared" si="55"/>
        <v>9.14</v>
      </c>
      <c r="J146" s="11">
        <f t="shared" si="56"/>
        <v>1.1299999999999999</v>
      </c>
      <c r="K146" s="416">
        <f t="shared" si="69"/>
        <v>178531.62</v>
      </c>
      <c r="L146" s="180"/>
      <c r="M146" s="180"/>
      <c r="N146" s="182">
        <f t="shared" si="57"/>
        <v>178531.62</v>
      </c>
      <c r="O146" s="29">
        <f t="shared" si="58"/>
        <v>0</v>
      </c>
      <c r="P146" s="181">
        <f t="shared" si="70"/>
        <v>0</v>
      </c>
      <c r="Q146" s="182">
        <f t="shared" si="59"/>
        <v>0</v>
      </c>
      <c r="R146" s="182">
        <f t="shared" si="60"/>
        <v>0</v>
      </c>
      <c r="S146" s="182">
        <f t="shared" si="61"/>
        <v>0</v>
      </c>
      <c r="T146" s="182">
        <f t="shared" si="62"/>
        <v>0</v>
      </c>
      <c r="U146" s="182">
        <f t="shared" si="63"/>
        <v>0</v>
      </c>
      <c r="V146" s="14">
        <f t="shared" si="64"/>
        <v>178531.62</v>
      </c>
      <c r="W146" s="14">
        <f t="shared" si="65"/>
        <v>-178531.62</v>
      </c>
      <c r="Y146" s="14">
        <f t="shared" si="71"/>
        <v>22072.29</v>
      </c>
      <c r="Z146" s="14">
        <f t="shared" si="72"/>
        <v>-22072.29</v>
      </c>
      <c r="AA146" s="11">
        <f t="shared" si="66"/>
        <v>0.34</v>
      </c>
      <c r="AB146" s="9">
        <f t="shared" si="73"/>
        <v>6641.22</v>
      </c>
      <c r="AD146" s="13">
        <f>IF(AH146&gt;AH145,AD145,IF(AD145&lt;MiscData!$F$1,EOMONTH(AD145,1),EOMONTH(AD145,-11)))</f>
        <v>42429</v>
      </c>
      <c r="AE146" s="7" t="str">
        <f t="shared" si="67"/>
        <v>20140101KUUM_463</v>
      </c>
      <c r="AF146" s="12" t="str">
        <f t="shared" si="68"/>
        <v>20140101LS</v>
      </c>
      <c r="AG146" s="31"/>
      <c r="AH146">
        <f>IF(AH145=MiscData!$AB$91,1,AH145+1)</f>
        <v>57</v>
      </c>
      <c r="AI146">
        <f>IF(AD146&lt;=MiscData!$B$23,MiscData!$C$23,IF(AD146&lt;=MiscData!$B$24,MiscData!$C$24,MiscData!$C$25))</f>
        <v>20140101</v>
      </c>
      <c r="AK146" s="190" t="str">
        <f>VLOOKUP(AM146,MiscData!$AB$4:$ACB$113,2,FALSE)</f>
        <v>KUUM_463</v>
      </c>
      <c r="AL146" s="190" t="str">
        <f>VLOOKUP(AM146,MiscData!$AB$4:$AE$115,4,FALSE)</f>
        <v>LS</v>
      </c>
      <c r="AM146">
        <f>IF(AM145=MiscData!$AB$91,1,AM145+1)</f>
        <v>57</v>
      </c>
    </row>
    <row r="147" spans="1:39">
      <c r="A147" s="7">
        <f t="shared" si="74"/>
        <v>146</v>
      </c>
      <c r="B147" s="13" t="str">
        <f t="shared" si="50"/>
        <v>Feb 2016</v>
      </c>
      <c r="C147" s="23" t="str">
        <f t="shared" si="51"/>
        <v>LS</v>
      </c>
      <c r="D147" s="23" t="str">
        <f t="shared" si="52"/>
        <v>KUUM_464</v>
      </c>
      <c r="E147" s="170">
        <f t="shared" si="53"/>
        <v>7342</v>
      </c>
      <c r="F147" s="185"/>
      <c r="G147" s="170">
        <f t="shared" si="54"/>
        <v>0</v>
      </c>
      <c r="H147" s="170">
        <v>0</v>
      </c>
      <c r="I147" s="11">
        <f t="shared" si="55"/>
        <v>14.25</v>
      </c>
      <c r="J147" s="11">
        <f t="shared" si="56"/>
        <v>2.33</v>
      </c>
      <c r="K147" s="416">
        <f t="shared" si="69"/>
        <v>104623.5</v>
      </c>
      <c r="L147" s="180"/>
      <c r="M147" s="180"/>
      <c r="N147" s="182">
        <f t="shared" si="57"/>
        <v>104623.5</v>
      </c>
      <c r="O147" s="29">
        <f t="shared" si="58"/>
        <v>0</v>
      </c>
      <c r="P147" s="181">
        <f t="shared" si="70"/>
        <v>0</v>
      </c>
      <c r="Q147" s="182">
        <f t="shared" si="59"/>
        <v>0</v>
      </c>
      <c r="R147" s="182">
        <f t="shared" si="60"/>
        <v>0</v>
      </c>
      <c r="S147" s="182">
        <f t="shared" si="61"/>
        <v>0</v>
      </c>
      <c r="T147" s="182">
        <f t="shared" si="62"/>
        <v>0</v>
      </c>
      <c r="U147" s="182">
        <f t="shared" si="63"/>
        <v>0</v>
      </c>
      <c r="V147" s="14">
        <f t="shared" si="64"/>
        <v>104623.5</v>
      </c>
      <c r="W147" s="14">
        <f t="shared" si="65"/>
        <v>-104623.5</v>
      </c>
      <c r="Y147" s="14">
        <f t="shared" si="71"/>
        <v>17106.86</v>
      </c>
      <c r="Z147" s="14">
        <f t="shared" si="72"/>
        <v>-17106.86</v>
      </c>
      <c r="AA147" s="11">
        <f t="shared" si="66"/>
        <v>0.57999999999999996</v>
      </c>
      <c r="AB147" s="9">
        <f t="shared" si="73"/>
        <v>4258.3599999999997</v>
      </c>
      <c r="AD147" s="13">
        <f>IF(AH147&gt;AH146,AD146,IF(AD146&lt;MiscData!$F$1,EOMONTH(AD146,1),EOMONTH(AD146,-11)))</f>
        <v>42429</v>
      </c>
      <c r="AE147" s="7" t="str">
        <f t="shared" si="67"/>
        <v>20140101KUUM_464</v>
      </c>
      <c r="AF147" s="12" t="str">
        <f t="shared" si="68"/>
        <v>20140101LS</v>
      </c>
      <c r="AG147" s="31"/>
      <c r="AH147">
        <f>IF(AH146=MiscData!$AB$91,1,AH146+1)</f>
        <v>58</v>
      </c>
      <c r="AI147">
        <f>IF(AD147&lt;=MiscData!$B$23,MiscData!$C$23,IF(AD147&lt;=MiscData!$B$24,MiscData!$C$24,MiscData!$C$25))</f>
        <v>20140101</v>
      </c>
      <c r="AK147" s="190" t="str">
        <f>VLOOKUP(AM147,MiscData!$AB$4:$ACB$113,2,FALSE)</f>
        <v>KUUM_464</v>
      </c>
      <c r="AL147" s="190" t="str">
        <f>VLOOKUP(AM147,MiscData!$AB$4:$AE$115,4,FALSE)</f>
        <v>LS</v>
      </c>
      <c r="AM147">
        <f>IF(AM146=MiscData!$AB$91,1,AM146+1)</f>
        <v>58</v>
      </c>
    </row>
    <row r="148" spans="1:39">
      <c r="A148" s="7">
        <f t="shared" si="74"/>
        <v>147</v>
      </c>
      <c r="B148" s="13" t="str">
        <f t="shared" si="50"/>
        <v>Feb 2016</v>
      </c>
      <c r="C148" s="23" t="str">
        <f t="shared" si="51"/>
        <v>LS</v>
      </c>
      <c r="D148" s="23" t="str">
        <f t="shared" si="52"/>
        <v>KUUM_465</v>
      </c>
      <c r="E148" s="170">
        <f t="shared" si="53"/>
        <v>2710</v>
      </c>
      <c r="F148" s="185"/>
      <c r="G148" s="170">
        <f t="shared" si="54"/>
        <v>0</v>
      </c>
      <c r="H148" s="170">
        <v>0</v>
      </c>
      <c r="I148" s="11">
        <f t="shared" si="55"/>
        <v>22.84</v>
      </c>
      <c r="J148" s="11">
        <f t="shared" si="56"/>
        <v>4.5299999999999976</v>
      </c>
      <c r="K148" s="416">
        <f t="shared" si="69"/>
        <v>61896.4</v>
      </c>
      <c r="L148" s="180"/>
      <c r="M148" s="180"/>
      <c r="N148" s="182">
        <f t="shared" si="57"/>
        <v>61896.4</v>
      </c>
      <c r="O148" s="29">
        <f t="shared" si="58"/>
        <v>0</v>
      </c>
      <c r="P148" s="181">
        <f t="shared" si="70"/>
        <v>0</v>
      </c>
      <c r="Q148" s="182">
        <f t="shared" si="59"/>
        <v>0</v>
      </c>
      <c r="R148" s="182">
        <f t="shared" si="60"/>
        <v>0</v>
      </c>
      <c r="S148" s="182">
        <f t="shared" si="61"/>
        <v>0</v>
      </c>
      <c r="T148" s="182">
        <f t="shared" si="62"/>
        <v>0</v>
      </c>
      <c r="U148" s="182">
        <f t="shared" si="63"/>
        <v>0</v>
      </c>
      <c r="V148" s="14">
        <f t="shared" si="64"/>
        <v>61896.4</v>
      </c>
      <c r="W148" s="14">
        <f t="shared" si="65"/>
        <v>-61896.4</v>
      </c>
      <c r="Y148" s="14">
        <f t="shared" si="71"/>
        <v>12276.3</v>
      </c>
      <c r="Z148" s="14">
        <f t="shared" si="72"/>
        <v>-12276.3</v>
      </c>
      <c r="AA148" s="11">
        <f t="shared" si="66"/>
        <v>0.79</v>
      </c>
      <c r="AB148" s="9">
        <f t="shared" si="73"/>
        <v>2140.9</v>
      </c>
      <c r="AD148" s="13">
        <f>IF(AH148&gt;AH147,AD147,IF(AD147&lt;MiscData!$F$1,EOMONTH(AD147,1),EOMONTH(AD147,-11)))</f>
        <v>42429</v>
      </c>
      <c r="AE148" s="7" t="str">
        <f t="shared" si="67"/>
        <v>20140101KUUM_465</v>
      </c>
      <c r="AF148" s="12" t="str">
        <f t="shared" si="68"/>
        <v>20140101LS</v>
      </c>
      <c r="AG148" s="31"/>
      <c r="AH148">
        <f>IF(AH147=MiscData!$AB$91,1,AH147+1)</f>
        <v>59</v>
      </c>
      <c r="AI148">
        <f>IF(AD148&lt;=MiscData!$B$23,MiscData!$C$23,IF(AD148&lt;=MiscData!$B$24,MiscData!$C$24,MiscData!$C$25))</f>
        <v>20140101</v>
      </c>
      <c r="AK148" s="190" t="str">
        <f>VLOOKUP(AM148,MiscData!$AB$4:$ACB$113,2,FALSE)</f>
        <v>KUUM_465</v>
      </c>
      <c r="AL148" s="190" t="str">
        <f>VLOOKUP(AM148,MiscData!$AB$4:$AE$115,4,FALSE)</f>
        <v>LS</v>
      </c>
      <c r="AM148">
        <f>IF(AM147=MiscData!$AB$91,1,AM147+1)</f>
        <v>59</v>
      </c>
    </row>
    <row r="149" spans="1:39">
      <c r="A149" s="7">
        <f t="shared" si="74"/>
        <v>148</v>
      </c>
      <c r="B149" s="13" t="str">
        <f t="shared" si="50"/>
        <v>Feb 2016</v>
      </c>
      <c r="C149" s="23" t="str">
        <f t="shared" si="51"/>
        <v>RLS</v>
      </c>
      <c r="D149" s="23" t="str">
        <f t="shared" si="52"/>
        <v>KUUM_466</v>
      </c>
      <c r="E149" s="170">
        <f t="shared" si="53"/>
        <v>713</v>
      </c>
      <c r="F149" s="185"/>
      <c r="G149" s="170">
        <f t="shared" si="54"/>
        <v>0</v>
      </c>
      <c r="H149" s="170">
        <v>0</v>
      </c>
      <c r="I149" s="11">
        <f t="shared" si="55"/>
        <v>9.620000000000001</v>
      </c>
      <c r="J149" s="11">
        <f t="shared" si="56"/>
        <v>0.57000000000000028</v>
      </c>
      <c r="K149" s="416">
        <f t="shared" si="69"/>
        <v>6859.06</v>
      </c>
      <c r="L149" s="180"/>
      <c r="M149" s="180"/>
      <c r="N149" s="182">
        <f t="shared" si="57"/>
        <v>6859.06</v>
      </c>
      <c r="O149" s="29">
        <f t="shared" si="58"/>
        <v>0</v>
      </c>
      <c r="P149" s="181">
        <f t="shared" si="70"/>
        <v>0</v>
      </c>
      <c r="Q149" s="182">
        <f t="shared" si="59"/>
        <v>0</v>
      </c>
      <c r="R149" s="182">
        <f t="shared" si="60"/>
        <v>0</v>
      </c>
      <c r="S149" s="182">
        <f t="shared" si="61"/>
        <v>0</v>
      </c>
      <c r="T149" s="182">
        <f t="shared" si="62"/>
        <v>0</v>
      </c>
      <c r="U149" s="182">
        <f t="shared" si="63"/>
        <v>0</v>
      </c>
      <c r="V149" s="14">
        <f t="shared" si="64"/>
        <v>6859.06</v>
      </c>
      <c r="W149" s="14">
        <f t="shared" si="65"/>
        <v>-6859.06</v>
      </c>
      <c r="Y149" s="14">
        <f t="shared" si="71"/>
        <v>406.41</v>
      </c>
      <c r="Z149" s="14">
        <f t="shared" si="72"/>
        <v>-406.41</v>
      </c>
      <c r="AA149" s="11">
        <f t="shared" si="66"/>
        <v>0.33</v>
      </c>
      <c r="AB149" s="9">
        <f t="shared" si="73"/>
        <v>235.29000000000002</v>
      </c>
      <c r="AD149" s="13">
        <f>IF(AH149&gt;AH148,AD148,IF(AD148&lt;MiscData!$F$1,EOMONTH(AD148,1),EOMONTH(AD148,-11)))</f>
        <v>42429</v>
      </c>
      <c r="AE149" s="7" t="str">
        <f t="shared" si="67"/>
        <v>20140101KUUM_466</v>
      </c>
      <c r="AF149" s="12" t="str">
        <f t="shared" si="68"/>
        <v>20140101RLS</v>
      </c>
      <c r="AG149" s="31"/>
      <c r="AH149">
        <f>IF(AH148=MiscData!$AB$91,1,AH148+1)</f>
        <v>60</v>
      </c>
      <c r="AI149">
        <f>IF(AD149&lt;=MiscData!$B$23,MiscData!$C$23,IF(AD149&lt;=MiscData!$B$24,MiscData!$C$24,MiscData!$C$25))</f>
        <v>20140101</v>
      </c>
      <c r="AK149" s="190" t="str">
        <f>VLOOKUP(AM149,MiscData!$AB$4:$ACB$113,2,FALSE)</f>
        <v>KUUM_466</v>
      </c>
      <c r="AL149" s="190" t="str">
        <f>VLOOKUP(AM149,MiscData!$AB$4:$AE$115,4,FALSE)</f>
        <v>RLS</v>
      </c>
      <c r="AM149">
        <f>IF(AM148=MiscData!$AB$91,1,AM148+1)</f>
        <v>60</v>
      </c>
    </row>
    <row r="150" spans="1:39">
      <c r="A150" s="7">
        <f t="shared" si="74"/>
        <v>149</v>
      </c>
      <c r="B150" s="13" t="str">
        <f t="shared" si="50"/>
        <v>Feb 2016</v>
      </c>
      <c r="C150" s="23" t="str">
        <f t="shared" si="51"/>
        <v>LS</v>
      </c>
      <c r="D150" s="23" t="str">
        <f t="shared" si="52"/>
        <v>KUUM_467</v>
      </c>
      <c r="E150" s="170">
        <f t="shared" si="53"/>
        <v>1232</v>
      </c>
      <c r="F150" s="185"/>
      <c r="G150" s="170">
        <f t="shared" si="54"/>
        <v>0</v>
      </c>
      <c r="H150" s="170">
        <v>0</v>
      </c>
      <c r="I150" s="11">
        <f t="shared" si="55"/>
        <v>10.770000000000001</v>
      </c>
      <c r="J150" s="11">
        <f t="shared" si="56"/>
        <v>0.80000000000000071</v>
      </c>
      <c r="K150" s="416">
        <f t="shared" si="69"/>
        <v>13268.64</v>
      </c>
      <c r="L150" s="180"/>
      <c r="M150" s="180"/>
      <c r="N150" s="182">
        <f t="shared" si="57"/>
        <v>13268.64</v>
      </c>
      <c r="O150" s="29">
        <f t="shared" si="58"/>
        <v>0</v>
      </c>
      <c r="P150" s="181">
        <f t="shared" si="70"/>
        <v>0</v>
      </c>
      <c r="Q150" s="182">
        <f t="shared" si="59"/>
        <v>0</v>
      </c>
      <c r="R150" s="182">
        <f t="shared" si="60"/>
        <v>0</v>
      </c>
      <c r="S150" s="182">
        <f t="shared" si="61"/>
        <v>0</v>
      </c>
      <c r="T150" s="182">
        <f t="shared" si="62"/>
        <v>0</v>
      </c>
      <c r="U150" s="182">
        <f t="shared" si="63"/>
        <v>0</v>
      </c>
      <c r="V150" s="14">
        <f t="shared" si="64"/>
        <v>13268.64</v>
      </c>
      <c r="W150" s="14">
        <f t="shared" si="65"/>
        <v>-13268.64</v>
      </c>
      <c r="Y150" s="14">
        <f t="shared" si="71"/>
        <v>985.6</v>
      </c>
      <c r="Z150" s="14">
        <f t="shared" si="72"/>
        <v>-985.6</v>
      </c>
      <c r="AA150" s="11">
        <f t="shared" si="66"/>
        <v>0.43</v>
      </c>
      <c r="AB150" s="9">
        <f t="shared" si="73"/>
        <v>529.76</v>
      </c>
      <c r="AD150" s="13">
        <f>IF(AH150&gt;AH149,AD149,IF(AD149&lt;MiscData!$F$1,EOMONTH(AD149,1),EOMONTH(AD149,-11)))</f>
        <v>42429</v>
      </c>
      <c r="AE150" s="7" t="str">
        <f t="shared" si="67"/>
        <v>20140101KUUM_467</v>
      </c>
      <c r="AF150" s="12" t="str">
        <f t="shared" si="68"/>
        <v>20140101LS</v>
      </c>
      <c r="AG150" s="31"/>
      <c r="AH150">
        <f>IF(AH149=MiscData!$AB$91,1,AH149+1)</f>
        <v>61</v>
      </c>
      <c r="AI150">
        <f>IF(AD150&lt;=MiscData!$B$23,MiscData!$C$23,IF(AD150&lt;=MiscData!$B$24,MiscData!$C$24,MiscData!$C$25))</f>
        <v>20140101</v>
      </c>
      <c r="AK150" s="190" t="str">
        <f>VLOOKUP(AM150,MiscData!$AB$4:$ACB$113,2,FALSE)</f>
        <v>KUUM_467</v>
      </c>
      <c r="AL150" s="190" t="str">
        <f>VLOOKUP(AM150,MiscData!$AB$4:$AE$115,4,FALSE)</f>
        <v>LS</v>
      </c>
      <c r="AM150">
        <f>IF(AM149=MiscData!$AB$91,1,AM149+1)</f>
        <v>61</v>
      </c>
    </row>
    <row r="151" spans="1:39">
      <c r="A151" s="7">
        <f t="shared" si="74"/>
        <v>150</v>
      </c>
      <c r="B151" s="13" t="str">
        <f t="shared" si="50"/>
        <v>Feb 2016</v>
      </c>
      <c r="C151" s="23" t="str">
        <f t="shared" si="51"/>
        <v>LS</v>
      </c>
      <c r="D151" s="23" t="str">
        <f t="shared" si="52"/>
        <v>KUUM_468</v>
      </c>
      <c r="E151" s="170">
        <f t="shared" si="53"/>
        <v>3948</v>
      </c>
      <c r="F151" s="185"/>
      <c r="G151" s="170">
        <f t="shared" si="54"/>
        <v>0</v>
      </c>
      <c r="H151" s="170">
        <v>0</v>
      </c>
      <c r="I151" s="11">
        <f t="shared" si="55"/>
        <v>11.16</v>
      </c>
      <c r="J151" s="11">
        <f t="shared" si="56"/>
        <v>1.129999999999999</v>
      </c>
      <c r="K151" s="416">
        <f t="shared" si="69"/>
        <v>44059.68</v>
      </c>
      <c r="L151" s="180"/>
      <c r="M151" s="180"/>
      <c r="N151" s="182">
        <f t="shared" si="57"/>
        <v>44059.68</v>
      </c>
      <c r="O151" s="29">
        <f t="shared" si="58"/>
        <v>0</v>
      </c>
      <c r="P151" s="181">
        <f t="shared" si="70"/>
        <v>0</v>
      </c>
      <c r="Q151" s="182">
        <f t="shared" si="59"/>
        <v>0</v>
      </c>
      <c r="R151" s="182">
        <f t="shared" si="60"/>
        <v>0</v>
      </c>
      <c r="S151" s="182">
        <f t="shared" si="61"/>
        <v>0</v>
      </c>
      <c r="T151" s="182">
        <f t="shared" si="62"/>
        <v>0</v>
      </c>
      <c r="U151" s="182">
        <f t="shared" si="63"/>
        <v>0</v>
      </c>
      <c r="V151" s="14">
        <f t="shared" si="64"/>
        <v>44059.68</v>
      </c>
      <c r="W151" s="14">
        <f t="shared" si="65"/>
        <v>-44059.68</v>
      </c>
      <c r="Y151" s="14">
        <f t="shared" si="71"/>
        <v>4461.24</v>
      </c>
      <c r="Z151" s="14">
        <f t="shared" si="72"/>
        <v>-4461.24</v>
      </c>
      <c r="AA151" s="11">
        <f t="shared" si="66"/>
        <v>0.34</v>
      </c>
      <c r="AB151" s="9">
        <f t="shared" si="73"/>
        <v>1342.3200000000002</v>
      </c>
      <c r="AD151" s="13">
        <f>IF(AH151&gt;AH150,AD150,IF(AD150&lt;MiscData!$F$1,EOMONTH(AD150,1),EOMONTH(AD150,-11)))</f>
        <v>42429</v>
      </c>
      <c r="AE151" s="7" t="str">
        <f t="shared" si="67"/>
        <v>20140101KUUM_468</v>
      </c>
      <c r="AF151" s="12" t="str">
        <f t="shared" si="68"/>
        <v>20140101LS</v>
      </c>
      <c r="AG151" s="31"/>
      <c r="AH151">
        <f>IF(AH150=MiscData!$AB$91,1,AH150+1)</f>
        <v>62</v>
      </c>
      <c r="AI151">
        <f>IF(AD151&lt;=MiscData!$B$23,MiscData!$C$23,IF(AD151&lt;=MiscData!$B$24,MiscData!$C$24,MiscData!$C$25))</f>
        <v>20140101</v>
      </c>
      <c r="AK151" s="190" t="str">
        <f>VLOOKUP(AM151,MiscData!$AB$4:$ACB$113,2,FALSE)</f>
        <v>KUUM_468</v>
      </c>
      <c r="AL151" s="190" t="str">
        <f>VLOOKUP(AM151,MiscData!$AB$4:$AE$115,4,FALSE)</f>
        <v>LS</v>
      </c>
      <c r="AM151">
        <f>IF(AM150=MiscData!$AB$91,1,AM150+1)</f>
        <v>62</v>
      </c>
    </row>
    <row r="152" spans="1:39">
      <c r="A152" s="7">
        <f t="shared" si="74"/>
        <v>151</v>
      </c>
      <c r="B152" s="13" t="str">
        <f t="shared" si="50"/>
        <v>Feb 2016</v>
      </c>
      <c r="C152" s="23" t="str">
        <f t="shared" si="51"/>
        <v>RLS</v>
      </c>
      <c r="D152" s="23" t="str">
        <f t="shared" si="52"/>
        <v>KUUM_469</v>
      </c>
      <c r="E152" s="170">
        <f t="shared" si="53"/>
        <v>277</v>
      </c>
      <c r="F152" s="185"/>
      <c r="G152" s="170">
        <f t="shared" si="54"/>
        <v>0</v>
      </c>
      <c r="H152" s="170">
        <v>0</v>
      </c>
      <c r="I152" s="11">
        <f t="shared" si="55"/>
        <v>33.100000000000009</v>
      </c>
      <c r="J152" s="11">
        <f t="shared" si="56"/>
        <v>4.2900000000000063</v>
      </c>
      <c r="K152" s="416">
        <f t="shared" si="69"/>
        <v>9168.7000000000007</v>
      </c>
      <c r="L152" s="180"/>
      <c r="M152" s="180"/>
      <c r="N152" s="182">
        <f t="shared" si="57"/>
        <v>9168.7000000000007</v>
      </c>
      <c r="O152" s="29">
        <f t="shared" si="58"/>
        <v>0</v>
      </c>
      <c r="P152" s="181">
        <f t="shared" si="70"/>
        <v>0</v>
      </c>
      <c r="Q152" s="182">
        <f t="shared" si="59"/>
        <v>0</v>
      </c>
      <c r="R152" s="182">
        <f t="shared" si="60"/>
        <v>0</v>
      </c>
      <c r="S152" s="182">
        <f t="shared" si="61"/>
        <v>0</v>
      </c>
      <c r="T152" s="182">
        <f t="shared" si="62"/>
        <v>0</v>
      </c>
      <c r="U152" s="182">
        <f t="shared" si="63"/>
        <v>0</v>
      </c>
      <c r="V152" s="14">
        <f t="shared" si="64"/>
        <v>9168.7000000000007</v>
      </c>
      <c r="W152" s="14">
        <f t="shared" si="65"/>
        <v>-9168.7000000000007</v>
      </c>
      <c r="Y152" s="14">
        <f t="shared" si="71"/>
        <v>1188.33</v>
      </c>
      <c r="Z152" s="14">
        <f t="shared" si="72"/>
        <v>-1188.33</v>
      </c>
      <c r="AA152" s="11">
        <f t="shared" si="66"/>
        <v>0.84</v>
      </c>
      <c r="AB152" s="9">
        <f t="shared" si="73"/>
        <v>232.67999999999998</v>
      </c>
      <c r="AD152" s="13">
        <f>IF(AH152&gt;AH151,AD151,IF(AD151&lt;MiscData!$F$1,EOMONTH(AD151,1),EOMONTH(AD151,-11)))</f>
        <v>42429</v>
      </c>
      <c r="AE152" s="7" t="str">
        <f t="shared" si="67"/>
        <v>20140101KUUM_469</v>
      </c>
      <c r="AF152" s="12" t="str">
        <f t="shared" si="68"/>
        <v>20140101RLS</v>
      </c>
      <c r="AG152" s="31"/>
      <c r="AH152">
        <f>IF(AH151=MiscData!$AB$91,1,AH151+1)</f>
        <v>63</v>
      </c>
      <c r="AI152">
        <f>IF(AD152&lt;=MiscData!$B$23,MiscData!$C$23,IF(AD152&lt;=MiscData!$B$24,MiscData!$C$24,MiscData!$C$25))</f>
        <v>20140101</v>
      </c>
      <c r="AK152" s="190" t="str">
        <f>VLOOKUP(AM152,MiscData!$AB$4:$ACB$113,2,FALSE)</f>
        <v>KUUM_469</v>
      </c>
      <c r="AL152" s="190" t="str">
        <f>VLOOKUP(AM152,MiscData!$AB$4:$AE$115,4,FALSE)</f>
        <v>RLS</v>
      </c>
      <c r="AM152">
        <f>IF(AM151=MiscData!$AB$91,1,AM151+1)</f>
        <v>63</v>
      </c>
    </row>
    <row r="153" spans="1:39">
      <c r="A153" s="7">
        <f t="shared" si="74"/>
        <v>152</v>
      </c>
      <c r="B153" s="13" t="str">
        <f t="shared" si="50"/>
        <v>Feb 2016</v>
      </c>
      <c r="C153" s="23" t="str">
        <f t="shared" si="51"/>
        <v>RLS</v>
      </c>
      <c r="D153" s="23" t="str">
        <f t="shared" si="52"/>
        <v>KUUM_470</v>
      </c>
      <c r="E153" s="170">
        <f t="shared" si="53"/>
        <v>53</v>
      </c>
      <c r="F153" s="185"/>
      <c r="G153" s="170">
        <f t="shared" si="54"/>
        <v>0</v>
      </c>
      <c r="H153" s="170">
        <v>0</v>
      </c>
      <c r="I153" s="11">
        <f t="shared" si="55"/>
        <v>55.250000000000007</v>
      </c>
      <c r="J153" s="11">
        <f t="shared" si="56"/>
        <v>10.410000000000004</v>
      </c>
      <c r="K153" s="416">
        <f t="shared" si="69"/>
        <v>2928.25</v>
      </c>
      <c r="L153" s="180"/>
      <c r="M153" s="180"/>
      <c r="N153" s="182">
        <f t="shared" si="57"/>
        <v>2928.25</v>
      </c>
      <c r="O153" s="29">
        <f t="shared" si="58"/>
        <v>0</v>
      </c>
      <c r="P153" s="181">
        <f t="shared" si="70"/>
        <v>0</v>
      </c>
      <c r="Q153" s="182">
        <f t="shared" si="59"/>
        <v>0</v>
      </c>
      <c r="R153" s="182">
        <f t="shared" si="60"/>
        <v>0</v>
      </c>
      <c r="S153" s="182">
        <f t="shared" si="61"/>
        <v>0</v>
      </c>
      <c r="T153" s="182">
        <f t="shared" si="62"/>
        <v>0</v>
      </c>
      <c r="U153" s="182">
        <f t="shared" si="63"/>
        <v>0</v>
      </c>
      <c r="V153" s="14">
        <f t="shared" si="64"/>
        <v>2928.25</v>
      </c>
      <c r="W153" s="14">
        <f t="shared" si="65"/>
        <v>-2928.25</v>
      </c>
      <c r="Y153" s="14">
        <f t="shared" si="71"/>
        <v>551.73</v>
      </c>
      <c r="Z153" s="14">
        <f t="shared" si="72"/>
        <v>-551.73</v>
      </c>
      <c r="AA153" s="11">
        <f t="shared" si="66"/>
        <v>1.7</v>
      </c>
      <c r="AB153" s="9">
        <f t="shared" si="73"/>
        <v>90.1</v>
      </c>
      <c r="AD153" s="13">
        <f>IF(AH153&gt;AH152,AD152,IF(AD152&lt;MiscData!$F$1,EOMONTH(AD152,1),EOMONTH(AD152,-11)))</f>
        <v>42429</v>
      </c>
      <c r="AE153" s="7" t="str">
        <f t="shared" si="67"/>
        <v>20140101KUUM_470</v>
      </c>
      <c r="AF153" s="12" t="str">
        <f t="shared" si="68"/>
        <v>20140101RLS</v>
      </c>
      <c r="AG153" s="31"/>
      <c r="AH153">
        <f>IF(AH152=MiscData!$AB$91,1,AH152+1)</f>
        <v>64</v>
      </c>
      <c r="AI153">
        <f>IF(AD153&lt;=MiscData!$B$23,MiscData!$C$23,IF(AD153&lt;=MiscData!$B$24,MiscData!$C$24,MiscData!$C$25))</f>
        <v>20140101</v>
      </c>
      <c r="AK153" s="190" t="str">
        <f>VLOOKUP(AM153,MiscData!$AB$4:$ACB$113,2,FALSE)</f>
        <v>KUUM_470</v>
      </c>
      <c r="AL153" s="190" t="str">
        <f>VLOOKUP(AM153,MiscData!$AB$4:$AE$115,4,FALSE)</f>
        <v>RLS</v>
      </c>
      <c r="AM153">
        <f>IF(AM152=MiscData!$AB$91,1,AM152+1)</f>
        <v>64</v>
      </c>
    </row>
    <row r="154" spans="1:39">
      <c r="A154" s="7">
        <f t="shared" si="74"/>
        <v>153</v>
      </c>
      <c r="B154" s="13" t="str">
        <f t="shared" si="50"/>
        <v>Feb 2016</v>
      </c>
      <c r="C154" s="23" t="str">
        <f t="shared" si="51"/>
        <v>RLS</v>
      </c>
      <c r="D154" s="23" t="str">
        <f t="shared" si="52"/>
        <v>KUUM_471</v>
      </c>
      <c r="E154" s="170">
        <f t="shared" si="53"/>
        <v>3657</v>
      </c>
      <c r="F154" s="185"/>
      <c r="G154" s="170">
        <f t="shared" si="54"/>
        <v>0</v>
      </c>
      <c r="H154" s="170">
        <v>0</v>
      </c>
      <c r="I154" s="11">
        <f t="shared" si="55"/>
        <v>10.49</v>
      </c>
      <c r="J154" s="11">
        <f t="shared" si="56"/>
        <v>0.56999999999999851</v>
      </c>
      <c r="K154" s="416">
        <f t="shared" si="69"/>
        <v>38361.93</v>
      </c>
      <c r="L154" s="180"/>
      <c r="M154" s="180"/>
      <c r="N154" s="182">
        <f t="shared" si="57"/>
        <v>38361.93</v>
      </c>
      <c r="O154" s="29">
        <f t="shared" si="58"/>
        <v>0</v>
      </c>
      <c r="P154" s="181">
        <f t="shared" si="70"/>
        <v>0</v>
      </c>
      <c r="Q154" s="182">
        <f t="shared" si="59"/>
        <v>0</v>
      </c>
      <c r="R154" s="182">
        <f t="shared" si="60"/>
        <v>0</v>
      </c>
      <c r="S154" s="182">
        <f t="shared" si="61"/>
        <v>0</v>
      </c>
      <c r="T154" s="182">
        <f t="shared" si="62"/>
        <v>0</v>
      </c>
      <c r="U154" s="182">
        <f t="shared" si="63"/>
        <v>0</v>
      </c>
      <c r="V154" s="14">
        <f t="shared" si="64"/>
        <v>38361.93</v>
      </c>
      <c r="W154" s="14">
        <f t="shared" si="65"/>
        <v>-38361.93</v>
      </c>
      <c r="Y154" s="14">
        <f t="shared" si="71"/>
        <v>2084.4899999999998</v>
      </c>
      <c r="Z154" s="14">
        <f t="shared" si="72"/>
        <v>-2084.4899999999998</v>
      </c>
      <c r="AA154" s="11">
        <f t="shared" si="66"/>
        <v>0.33</v>
      </c>
      <c r="AB154" s="9">
        <f t="shared" si="73"/>
        <v>1206.81</v>
      </c>
      <c r="AD154" s="13">
        <f>IF(AH154&gt;AH153,AD153,IF(AD153&lt;MiscData!$F$1,EOMONTH(AD153,1),EOMONTH(AD153,-11)))</f>
        <v>42429</v>
      </c>
      <c r="AE154" s="7" t="str">
        <f t="shared" si="67"/>
        <v>20140101KUUM_471</v>
      </c>
      <c r="AF154" s="12" t="str">
        <f t="shared" si="68"/>
        <v>20140101RLS</v>
      </c>
      <c r="AG154" s="31"/>
      <c r="AH154">
        <f>IF(AH153=MiscData!$AB$91,1,AH153+1)</f>
        <v>65</v>
      </c>
      <c r="AI154">
        <f>IF(AD154&lt;=MiscData!$B$23,MiscData!$C$23,IF(AD154&lt;=MiscData!$B$24,MiscData!$C$24,MiscData!$C$25))</f>
        <v>20140101</v>
      </c>
      <c r="AK154" s="190" t="str">
        <f>VLOOKUP(AM154,MiscData!$AB$4:$ACB$113,2,FALSE)</f>
        <v>KUUM_471</v>
      </c>
      <c r="AL154" s="190" t="str">
        <f>VLOOKUP(AM154,MiscData!$AB$4:$AE$115,4,FALSE)</f>
        <v>RLS</v>
      </c>
      <c r="AM154">
        <f>IF(AM153=MiscData!$AB$91,1,AM153+1)</f>
        <v>65</v>
      </c>
    </row>
    <row r="155" spans="1:39">
      <c r="A155" s="7">
        <f t="shared" si="74"/>
        <v>154</v>
      </c>
      <c r="B155" s="13" t="str">
        <f t="shared" si="50"/>
        <v>Feb 2016</v>
      </c>
      <c r="C155" s="23" t="str">
        <f t="shared" si="51"/>
        <v>LS</v>
      </c>
      <c r="D155" s="23" t="str">
        <f t="shared" si="52"/>
        <v>KUUM_472</v>
      </c>
      <c r="E155" s="170">
        <f t="shared" si="53"/>
        <v>8690</v>
      </c>
      <c r="F155" s="185"/>
      <c r="G155" s="170">
        <f t="shared" si="54"/>
        <v>0</v>
      </c>
      <c r="H155" s="170">
        <v>0</v>
      </c>
      <c r="I155" s="11">
        <f t="shared" si="55"/>
        <v>11.600000000000001</v>
      </c>
      <c r="J155" s="11">
        <f t="shared" si="56"/>
        <v>0.80000000000000071</v>
      </c>
      <c r="K155" s="416">
        <f t="shared" si="69"/>
        <v>100804</v>
      </c>
      <c r="L155" s="180"/>
      <c r="M155" s="180"/>
      <c r="N155" s="182">
        <f t="shared" si="57"/>
        <v>100804</v>
      </c>
      <c r="O155" s="29">
        <f t="shared" si="58"/>
        <v>0</v>
      </c>
      <c r="P155" s="181">
        <f t="shared" si="70"/>
        <v>0</v>
      </c>
      <c r="Q155" s="182">
        <f t="shared" si="59"/>
        <v>0</v>
      </c>
      <c r="R155" s="182">
        <f t="shared" si="60"/>
        <v>0</v>
      </c>
      <c r="S155" s="182">
        <f t="shared" si="61"/>
        <v>0</v>
      </c>
      <c r="T155" s="182">
        <f t="shared" si="62"/>
        <v>0</v>
      </c>
      <c r="U155" s="182">
        <f t="shared" si="63"/>
        <v>0</v>
      </c>
      <c r="V155" s="14">
        <f t="shared" si="64"/>
        <v>100804</v>
      </c>
      <c r="W155" s="14">
        <f t="shared" si="65"/>
        <v>-100804</v>
      </c>
      <c r="Y155" s="14">
        <f t="shared" si="71"/>
        <v>6952</v>
      </c>
      <c r="Z155" s="14">
        <f t="shared" si="72"/>
        <v>-6952</v>
      </c>
      <c r="AA155" s="11">
        <f t="shared" si="66"/>
        <v>0.43</v>
      </c>
      <c r="AB155" s="9">
        <f t="shared" si="73"/>
        <v>3736.7</v>
      </c>
      <c r="AD155" s="13">
        <f>IF(AH155&gt;AH154,AD154,IF(AD154&lt;MiscData!$F$1,EOMONTH(AD154,1),EOMONTH(AD154,-11)))</f>
        <v>42429</v>
      </c>
      <c r="AE155" s="7" t="str">
        <f t="shared" si="67"/>
        <v>20140101KUUM_472</v>
      </c>
      <c r="AF155" s="12" t="str">
        <f t="shared" si="68"/>
        <v>20140101LS</v>
      </c>
      <c r="AG155" s="31"/>
      <c r="AH155">
        <f>IF(AH154=MiscData!$AB$91,1,AH154+1)</f>
        <v>66</v>
      </c>
      <c r="AI155">
        <f>IF(AD155&lt;=MiscData!$B$23,MiscData!$C$23,IF(AD155&lt;=MiscData!$B$24,MiscData!$C$24,MiscData!$C$25))</f>
        <v>20140101</v>
      </c>
      <c r="AK155" s="190" t="str">
        <f>VLOOKUP(AM155,MiscData!$AB$4:$ACB$113,2,FALSE)</f>
        <v>KUUM_472</v>
      </c>
      <c r="AL155" s="190" t="str">
        <f>VLOOKUP(AM155,MiscData!$AB$4:$AE$115,4,FALSE)</f>
        <v>LS</v>
      </c>
      <c r="AM155">
        <f>IF(AM154=MiscData!$AB$91,1,AM154+1)</f>
        <v>66</v>
      </c>
    </row>
    <row r="156" spans="1:39">
      <c r="A156" s="7">
        <f t="shared" si="74"/>
        <v>155</v>
      </c>
      <c r="B156" s="13" t="str">
        <f t="shared" si="50"/>
        <v>Feb 2016</v>
      </c>
      <c r="C156" s="23" t="str">
        <f t="shared" si="51"/>
        <v>LS</v>
      </c>
      <c r="D156" s="23" t="str">
        <f t="shared" si="52"/>
        <v>KUUM_473</v>
      </c>
      <c r="E156" s="170">
        <f t="shared" si="53"/>
        <v>3354</v>
      </c>
      <c r="F156" s="185"/>
      <c r="G156" s="170">
        <f t="shared" si="54"/>
        <v>0</v>
      </c>
      <c r="H156" s="170">
        <v>0</v>
      </c>
      <c r="I156" s="11">
        <f t="shared" si="55"/>
        <v>12.3</v>
      </c>
      <c r="J156" s="11">
        <f t="shared" si="56"/>
        <v>1.129999999999999</v>
      </c>
      <c r="K156" s="416">
        <f t="shared" si="69"/>
        <v>41254.199999999997</v>
      </c>
      <c r="L156" s="180"/>
      <c r="M156" s="180"/>
      <c r="N156" s="182">
        <f t="shared" si="57"/>
        <v>41254.199999999997</v>
      </c>
      <c r="O156" s="29">
        <f t="shared" si="58"/>
        <v>0</v>
      </c>
      <c r="P156" s="181">
        <f t="shared" si="70"/>
        <v>0</v>
      </c>
      <c r="Q156" s="182">
        <f t="shared" si="59"/>
        <v>0</v>
      </c>
      <c r="R156" s="182">
        <f t="shared" si="60"/>
        <v>0</v>
      </c>
      <c r="S156" s="182">
        <f t="shared" si="61"/>
        <v>0</v>
      </c>
      <c r="T156" s="182">
        <f t="shared" si="62"/>
        <v>0</v>
      </c>
      <c r="U156" s="182">
        <f t="shared" si="63"/>
        <v>0</v>
      </c>
      <c r="V156" s="14">
        <f t="shared" si="64"/>
        <v>41254.199999999997</v>
      </c>
      <c r="W156" s="14">
        <f t="shared" si="65"/>
        <v>-41254.199999999997</v>
      </c>
      <c r="Y156" s="14">
        <f t="shared" si="71"/>
        <v>3790.02</v>
      </c>
      <c r="Z156" s="14">
        <f t="shared" si="72"/>
        <v>-3790.02</v>
      </c>
      <c r="AA156" s="11">
        <f t="shared" si="66"/>
        <v>0.34</v>
      </c>
      <c r="AB156" s="9">
        <f t="shared" si="73"/>
        <v>1140.3600000000001</v>
      </c>
      <c r="AD156" s="13">
        <f>IF(AH156&gt;AH155,AD155,IF(AD155&lt;MiscData!$F$1,EOMONTH(AD155,1),EOMONTH(AD155,-11)))</f>
        <v>42429</v>
      </c>
      <c r="AE156" s="7" t="str">
        <f t="shared" si="67"/>
        <v>20140101KUUM_473</v>
      </c>
      <c r="AF156" s="12" t="str">
        <f t="shared" si="68"/>
        <v>20140101LS</v>
      </c>
      <c r="AG156" s="31"/>
      <c r="AH156">
        <f>IF(AH155=MiscData!$AB$91,1,AH155+1)</f>
        <v>67</v>
      </c>
      <c r="AI156">
        <f>IF(AD156&lt;=MiscData!$B$23,MiscData!$C$23,IF(AD156&lt;=MiscData!$B$24,MiscData!$C$24,MiscData!$C$25))</f>
        <v>20140101</v>
      </c>
      <c r="AK156" s="190" t="str">
        <f>VLOOKUP(AM156,MiscData!$AB$4:$ACB$113,2,FALSE)</f>
        <v>KUUM_473</v>
      </c>
      <c r="AL156" s="190" t="str">
        <f>VLOOKUP(AM156,MiscData!$AB$4:$AE$115,4,FALSE)</f>
        <v>LS</v>
      </c>
      <c r="AM156">
        <f>IF(AM155=MiscData!$AB$91,1,AM155+1)</f>
        <v>67</v>
      </c>
    </row>
    <row r="157" spans="1:39">
      <c r="A157" s="7">
        <f t="shared" si="74"/>
        <v>156</v>
      </c>
      <c r="B157" s="13" t="str">
        <f t="shared" si="50"/>
        <v>Feb 2016</v>
      </c>
      <c r="C157" s="23" t="str">
        <f t="shared" si="51"/>
        <v>LS</v>
      </c>
      <c r="D157" s="23" t="str">
        <f t="shared" si="52"/>
        <v>KUUM_474</v>
      </c>
      <c r="E157" s="170">
        <f t="shared" si="53"/>
        <v>5082</v>
      </c>
      <c r="F157" s="185"/>
      <c r="G157" s="170">
        <f t="shared" si="54"/>
        <v>0</v>
      </c>
      <c r="H157" s="170">
        <v>0</v>
      </c>
      <c r="I157" s="11">
        <f t="shared" si="55"/>
        <v>17.41</v>
      </c>
      <c r="J157" s="11">
        <f t="shared" si="56"/>
        <v>2.33</v>
      </c>
      <c r="K157" s="416">
        <f t="shared" si="69"/>
        <v>88477.62</v>
      </c>
      <c r="L157" s="180"/>
      <c r="M157" s="180"/>
      <c r="N157" s="182">
        <f t="shared" si="57"/>
        <v>88477.62</v>
      </c>
      <c r="O157" s="29">
        <f t="shared" si="58"/>
        <v>0</v>
      </c>
      <c r="P157" s="181">
        <f t="shared" si="70"/>
        <v>0</v>
      </c>
      <c r="Q157" s="182">
        <f t="shared" si="59"/>
        <v>0</v>
      </c>
      <c r="R157" s="182">
        <f t="shared" si="60"/>
        <v>0</v>
      </c>
      <c r="S157" s="182">
        <f t="shared" si="61"/>
        <v>0</v>
      </c>
      <c r="T157" s="182">
        <f t="shared" si="62"/>
        <v>0</v>
      </c>
      <c r="U157" s="182">
        <f t="shared" si="63"/>
        <v>0</v>
      </c>
      <c r="V157" s="14">
        <f t="shared" si="64"/>
        <v>88477.62</v>
      </c>
      <c r="W157" s="14">
        <f t="shared" si="65"/>
        <v>-88477.62</v>
      </c>
      <c r="Y157" s="14">
        <f t="shared" si="71"/>
        <v>11841.06</v>
      </c>
      <c r="Z157" s="14">
        <f t="shared" si="72"/>
        <v>-11841.06</v>
      </c>
      <c r="AA157" s="11">
        <f t="shared" si="66"/>
        <v>0.57999999999999996</v>
      </c>
      <c r="AB157" s="9">
        <f t="shared" si="73"/>
        <v>2947.56</v>
      </c>
      <c r="AD157" s="13">
        <f>IF(AH157&gt;AH156,AD156,IF(AD156&lt;MiscData!$F$1,EOMONTH(AD156,1),EOMONTH(AD156,-11)))</f>
        <v>42429</v>
      </c>
      <c r="AE157" s="7" t="str">
        <f t="shared" si="67"/>
        <v>20140101KUUM_474</v>
      </c>
      <c r="AF157" s="12" t="str">
        <f t="shared" si="68"/>
        <v>20140101LS</v>
      </c>
      <c r="AG157" s="31"/>
      <c r="AH157">
        <f>IF(AH156=MiscData!$AB$91,1,AH156+1)</f>
        <v>68</v>
      </c>
      <c r="AI157">
        <f>IF(AD157&lt;=MiscData!$B$23,MiscData!$C$23,IF(AD157&lt;=MiscData!$B$24,MiscData!$C$24,MiscData!$C$25))</f>
        <v>20140101</v>
      </c>
      <c r="AK157" s="190" t="str">
        <f>VLOOKUP(AM157,MiscData!$AB$4:$ACB$113,2,FALSE)</f>
        <v>KUUM_474</v>
      </c>
      <c r="AL157" s="190" t="str">
        <f>VLOOKUP(AM157,MiscData!$AB$4:$AE$115,4,FALSE)</f>
        <v>LS</v>
      </c>
      <c r="AM157">
        <f>IF(AM156=MiscData!$AB$91,1,AM156+1)</f>
        <v>68</v>
      </c>
    </row>
    <row r="158" spans="1:39">
      <c r="A158" s="7">
        <f t="shared" si="74"/>
        <v>157</v>
      </c>
      <c r="B158" s="13" t="str">
        <f t="shared" si="50"/>
        <v>Feb 2016</v>
      </c>
      <c r="C158" s="23" t="str">
        <f t="shared" si="51"/>
        <v>LS</v>
      </c>
      <c r="D158" s="23" t="str">
        <f t="shared" si="52"/>
        <v>KUUM_475</v>
      </c>
      <c r="E158" s="170">
        <f t="shared" si="53"/>
        <v>512</v>
      </c>
      <c r="F158" s="185"/>
      <c r="G158" s="170">
        <f t="shared" si="54"/>
        <v>0</v>
      </c>
      <c r="H158" s="170">
        <v>0</v>
      </c>
      <c r="I158" s="11">
        <f t="shared" si="55"/>
        <v>24.46</v>
      </c>
      <c r="J158" s="11">
        <f t="shared" si="56"/>
        <v>4.5300000000000011</v>
      </c>
      <c r="K158" s="416">
        <f t="shared" si="69"/>
        <v>12523.52</v>
      </c>
      <c r="L158" s="180"/>
      <c r="M158" s="180"/>
      <c r="N158" s="182">
        <f t="shared" si="57"/>
        <v>12523.52</v>
      </c>
      <c r="O158" s="29">
        <f t="shared" si="58"/>
        <v>0</v>
      </c>
      <c r="P158" s="181">
        <f t="shared" si="70"/>
        <v>0</v>
      </c>
      <c r="Q158" s="182">
        <f t="shared" si="59"/>
        <v>0</v>
      </c>
      <c r="R158" s="182">
        <f t="shared" si="60"/>
        <v>0</v>
      </c>
      <c r="S158" s="182">
        <f t="shared" si="61"/>
        <v>0</v>
      </c>
      <c r="T158" s="182">
        <f t="shared" si="62"/>
        <v>0</v>
      </c>
      <c r="U158" s="182">
        <f t="shared" si="63"/>
        <v>0</v>
      </c>
      <c r="V158" s="14">
        <f t="shared" si="64"/>
        <v>12523.52</v>
      </c>
      <c r="W158" s="14">
        <f t="shared" si="65"/>
        <v>-12523.52</v>
      </c>
      <c r="Y158" s="14">
        <f t="shared" si="71"/>
        <v>2319.36</v>
      </c>
      <c r="Z158" s="14">
        <f t="shared" si="72"/>
        <v>-2319.36</v>
      </c>
      <c r="AA158" s="11">
        <f t="shared" si="66"/>
        <v>0.79</v>
      </c>
      <c r="AB158" s="9">
        <f t="shared" si="73"/>
        <v>404.48</v>
      </c>
      <c r="AD158" s="13">
        <f>IF(AH158&gt;AH157,AD157,IF(AD157&lt;MiscData!$F$1,EOMONTH(AD157,1),EOMONTH(AD157,-11)))</f>
        <v>42429</v>
      </c>
      <c r="AE158" s="7" t="str">
        <f t="shared" si="67"/>
        <v>20140101KUUM_475</v>
      </c>
      <c r="AF158" s="12" t="str">
        <f t="shared" si="68"/>
        <v>20140101LS</v>
      </c>
      <c r="AG158" s="31"/>
      <c r="AH158">
        <f>IF(AH157=MiscData!$AB$91,1,AH157+1)</f>
        <v>69</v>
      </c>
      <c r="AI158">
        <f>IF(AD158&lt;=MiscData!$B$23,MiscData!$C$23,IF(AD158&lt;=MiscData!$B$24,MiscData!$C$24,MiscData!$C$25))</f>
        <v>20140101</v>
      </c>
      <c r="AK158" s="190" t="str">
        <f>VLOOKUP(AM158,MiscData!$AB$4:$ACB$113,2,FALSE)</f>
        <v>KUUM_475</v>
      </c>
      <c r="AL158" s="190" t="str">
        <f>VLOOKUP(AM158,MiscData!$AB$4:$AE$115,4,FALSE)</f>
        <v>LS</v>
      </c>
      <c r="AM158">
        <f>IF(AM157=MiscData!$AB$91,1,AM157+1)</f>
        <v>69</v>
      </c>
    </row>
    <row r="159" spans="1:39">
      <c r="A159" s="7">
        <f t="shared" si="74"/>
        <v>158</v>
      </c>
      <c r="B159" s="13" t="str">
        <f t="shared" si="50"/>
        <v>Feb 2016</v>
      </c>
      <c r="C159" s="23" t="str">
        <f t="shared" si="51"/>
        <v>LS</v>
      </c>
      <c r="D159" s="23" t="str">
        <f t="shared" si="52"/>
        <v>KUUM_476</v>
      </c>
      <c r="E159" s="170">
        <f t="shared" si="53"/>
        <v>4549</v>
      </c>
      <c r="F159" s="185"/>
      <c r="G159" s="170">
        <f t="shared" si="54"/>
        <v>0</v>
      </c>
      <c r="H159" s="170">
        <v>0</v>
      </c>
      <c r="I159" s="11">
        <f t="shared" si="55"/>
        <v>16.79</v>
      </c>
      <c r="J159" s="11">
        <f t="shared" si="56"/>
        <v>0.79999999999999893</v>
      </c>
      <c r="K159" s="416">
        <f t="shared" si="69"/>
        <v>76377.710000000006</v>
      </c>
      <c r="L159" s="180"/>
      <c r="M159" s="180"/>
      <c r="N159" s="182">
        <f t="shared" si="57"/>
        <v>76377.710000000006</v>
      </c>
      <c r="O159" s="29">
        <f t="shared" si="58"/>
        <v>0</v>
      </c>
      <c r="P159" s="181">
        <f t="shared" si="70"/>
        <v>0</v>
      </c>
      <c r="Q159" s="182">
        <f t="shared" si="59"/>
        <v>0</v>
      </c>
      <c r="R159" s="182">
        <f t="shared" si="60"/>
        <v>0</v>
      </c>
      <c r="S159" s="182">
        <f t="shared" si="61"/>
        <v>0</v>
      </c>
      <c r="T159" s="182">
        <f t="shared" si="62"/>
        <v>0</v>
      </c>
      <c r="U159" s="182">
        <f t="shared" si="63"/>
        <v>0</v>
      </c>
      <c r="V159" s="14">
        <f t="shared" si="64"/>
        <v>76377.710000000006</v>
      </c>
      <c r="W159" s="14">
        <f t="shared" si="65"/>
        <v>-76377.710000000006</v>
      </c>
      <c r="Y159" s="14">
        <f t="shared" si="71"/>
        <v>3639.2</v>
      </c>
      <c r="Z159" s="14">
        <f t="shared" si="72"/>
        <v>-3639.2</v>
      </c>
      <c r="AA159" s="11">
        <f t="shared" si="66"/>
        <v>0.43</v>
      </c>
      <c r="AB159" s="9">
        <f t="shared" si="73"/>
        <v>1956.07</v>
      </c>
      <c r="AD159" s="13">
        <f>IF(AH159&gt;AH158,AD158,IF(AD158&lt;MiscData!$F$1,EOMONTH(AD158,1),EOMONTH(AD158,-11)))</f>
        <v>42429</v>
      </c>
      <c r="AE159" s="7" t="str">
        <f t="shared" si="67"/>
        <v>20140101KUUM_476</v>
      </c>
      <c r="AF159" s="12" t="str">
        <f t="shared" si="68"/>
        <v>20140101LS</v>
      </c>
      <c r="AG159" s="31"/>
      <c r="AH159">
        <f>IF(AH158=MiscData!$AB$91,1,AH158+1)</f>
        <v>70</v>
      </c>
      <c r="AI159">
        <f>IF(AD159&lt;=MiscData!$B$23,MiscData!$C$23,IF(AD159&lt;=MiscData!$B$24,MiscData!$C$24,MiscData!$C$25))</f>
        <v>20140101</v>
      </c>
      <c r="AK159" s="190" t="str">
        <f>VLOOKUP(AM159,MiscData!$AB$4:$ACB$113,2,FALSE)</f>
        <v>KUUM_476</v>
      </c>
      <c r="AL159" s="190" t="str">
        <f>VLOOKUP(AM159,MiscData!$AB$4:$AE$115,4,FALSE)</f>
        <v>LS</v>
      </c>
      <c r="AM159">
        <f>IF(AM158=MiscData!$AB$91,1,AM158+1)</f>
        <v>70</v>
      </c>
    </row>
    <row r="160" spans="1:39">
      <c r="A160" s="7">
        <f t="shared" si="74"/>
        <v>159</v>
      </c>
      <c r="B160" s="13" t="str">
        <f t="shared" si="50"/>
        <v>Feb 2016</v>
      </c>
      <c r="C160" s="23" t="str">
        <f t="shared" si="51"/>
        <v>LS</v>
      </c>
      <c r="D160" s="23" t="str">
        <f t="shared" si="52"/>
        <v>KUUM_477</v>
      </c>
      <c r="E160" s="170">
        <f t="shared" si="53"/>
        <v>1057</v>
      </c>
      <c r="F160" s="185"/>
      <c r="G160" s="170">
        <f t="shared" si="54"/>
        <v>0</v>
      </c>
      <c r="H160" s="170">
        <v>0</v>
      </c>
      <c r="I160" s="11">
        <f t="shared" si="55"/>
        <v>20.97</v>
      </c>
      <c r="J160" s="11">
        <f t="shared" si="56"/>
        <v>1.129999999999999</v>
      </c>
      <c r="K160" s="416">
        <f t="shared" si="69"/>
        <v>22165.29</v>
      </c>
      <c r="L160" s="180"/>
      <c r="M160" s="180"/>
      <c r="N160" s="182">
        <f t="shared" si="57"/>
        <v>22165.29</v>
      </c>
      <c r="O160" s="29">
        <f t="shared" si="58"/>
        <v>0</v>
      </c>
      <c r="P160" s="181">
        <f t="shared" si="70"/>
        <v>0</v>
      </c>
      <c r="Q160" s="182">
        <f t="shared" si="59"/>
        <v>0</v>
      </c>
      <c r="R160" s="182">
        <f t="shared" si="60"/>
        <v>0</v>
      </c>
      <c r="S160" s="182">
        <f t="shared" si="61"/>
        <v>0</v>
      </c>
      <c r="T160" s="182">
        <f t="shared" si="62"/>
        <v>0</v>
      </c>
      <c r="U160" s="182">
        <f t="shared" si="63"/>
        <v>0</v>
      </c>
      <c r="V160" s="14">
        <f t="shared" si="64"/>
        <v>22165.29</v>
      </c>
      <c r="W160" s="14">
        <f t="shared" si="65"/>
        <v>-22165.29</v>
      </c>
      <c r="Y160" s="14">
        <f t="shared" si="71"/>
        <v>1194.4100000000001</v>
      </c>
      <c r="Z160" s="14">
        <f t="shared" si="72"/>
        <v>-1194.4100000000001</v>
      </c>
      <c r="AA160" s="11">
        <f t="shared" si="66"/>
        <v>0.34</v>
      </c>
      <c r="AB160" s="9">
        <f t="shared" si="73"/>
        <v>359.38000000000005</v>
      </c>
      <c r="AD160" s="13">
        <f>IF(AH160&gt;AH159,AD159,IF(AD159&lt;MiscData!$F$1,EOMONTH(AD159,1),EOMONTH(AD159,-11)))</f>
        <v>42429</v>
      </c>
      <c r="AE160" s="7" t="str">
        <f t="shared" si="67"/>
        <v>20140101KUUM_477</v>
      </c>
      <c r="AF160" s="12" t="str">
        <f t="shared" si="68"/>
        <v>20140101LS</v>
      </c>
      <c r="AG160" s="31"/>
      <c r="AH160">
        <f>IF(AH159=MiscData!$AB$91,1,AH159+1)</f>
        <v>71</v>
      </c>
      <c r="AI160">
        <f>IF(AD160&lt;=MiscData!$B$23,MiscData!$C$23,IF(AD160&lt;=MiscData!$B$24,MiscData!$C$24,MiscData!$C$25))</f>
        <v>20140101</v>
      </c>
      <c r="AK160" s="190" t="str">
        <f>VLOOKUP(AM160,MiscData!$AB$4:$ACB$113,2,FALSE)</f>
        <v>KUUM_477</v>
      </c>
      <c r="AL160" s="190" t="str">
        <f>VLOOKUP(AM160,MiscData!$AB$4:$AE$115,4,FALSE)</f>
        <v>LS</v>
      </c>
      <c r="AM160">
        <f>IF(AM159=MiscData!$AB$91,1,AM159+1)</f>
        <v>71</v>
      </c>
    </row>
    <row r="161" spans="1:39">
      <c r="A161" s="7">
        <f t="shared" si="74"/>
        <v>160</v>
      </c>
      <c r="B161" s="13" t="str">
        <f t="shared" si="50"/>
        <v>Feb 2016</v>
      </c>
      <c r="C161" s="23" t="str">
        <f t="shared" si="51"/>
        <v>LS</v>
      </c>
      <c r="D161" s="23" t="str">
        <f t="shared" si="52"/>
        <v>KUUM_478</v>
      </c>
      <c r="E161" s="170">
        <f t="shared" si="53"/>
        <v>1389</v>
      </c>
      <c r="F161" s="185"/>
      <c r="G161" s="170">
        <f t="shared" si="54"/>
        <v>0</v>
      </c>
      <c r="H161" s="170">
        <v>0</v>
      </c>
      <c r="I161" s="11">
        <f t="shared" si="55"/>
        <v>26.86</v>
      </c>
      <c r="J161" s="11">
        <f t="shared" si="56"/>
        <v>2.3299999999999983</v>
      </c>
      <c r="K161" s="416">
        <f t="shared" si="69"/>
        <v>37308.54</v>
      </c>
      <c r="L161" s="180"/>
      <c r="M161" s="180"/>
      <c r="N161" s="182">
        <f t="shared" si="57"/>
        <v>37308.54</v>
      </c>
      <c r="O161" s="29">
        <f t="shared" si="58"/>
        <v>0</v>
      </c>
      <c r="P161" s="181">
        <f t="shared" si="70"/>
        <v>0</v>
      </c>
      <c r="Q161" s="182">
        <f t="shared" si="59"/>
        <v>0</v>
      </c>
      <c r="R161" s="182">
        <f t="shared" si="60"/>
        <v>0</v>
      </c>
      <c r="S161" s="182">
        <f t="shared" si="61"/>
        <v>0</v>
      </c>
      <c r="T161" s="182">
        <f t="shared" si="62"/>
        <v>0</v>
      </c>
      <c r="U161" s="182">
        <f t="shared" si="63"/>
        <v>0</v>
      </c>
      <c r="V161" s="14">
        <f t="shared" si="64"/>
        <v>37308.54</v>
      </c>
      <c r="W161" s="14">
        <f t="shared" si="65"/>
        <v>-37308.54</v>
      </c>
      <c r="Y161" s="14">
        <f t="shared" si="71"/>
        <v>3236.37</v>
      </c>
      <c r="Z161" s="14">
        <f t="shared" si="72"/>
        <v>-3236.37</v>
      </c>
      <c r="AA161" s="11">
        <f t="shared" si="66"/>
        <v>0.57999999999999996</v>
      </c>
      <c r="AB161" s="9">
        <f t="shared" si="73"/>
        <v>805.61999999999989</v>
      </c>
      <c r="AD161" s="13">
        <f>IF(AH161&gt;AH160,AD160,IF(AD160&lt;MiscData!$F$1,EOMONTH(AD160,1),EOMONTH(AD160,-11)))</f>
        <v>42429</v>
      </c>
      <c r="AE161" s="7" t="str">
        <f t="shared" si="67"/>
        <v>20140101KUUM_478</v>
      </c>
      <c r="AF161" s="12" t="str">
        <f t="shared" si="68"/>
        <v>20140101LS</v>
      </c>
      <c r="AG161" s="31"/>
      <c r="AH161">
        <f>IF(AH160=MiscData!$AB$91,1,AH160+1)</f>
        <v>72</v>
      </c>
      <c r="AI161">
        <f>IF(AD161&lt;=MiscData!$B$23,MiscData!$C$23,IF(AD161&lt;=MiscData!$B$24,MiscData!$C$24,MiscData!$C$25))</f>
        <v>20140101</v>
      </c>
      <c r="AK161" s="190" t="str">
        <f>VLOOKUP(AM161,MiscData!$AB$4:$ACB$113,2,FALSE)</f>
        <v>KUUM_478</v>
      </c>
      <c r="AL161" s="190" t="str">
        <f>VLOOKUP(AM161,MiscData!$AB$4:$AE$115,4,FALSE)</f>
        <v>LS</v>
      </c>
      <c r="AM161">
        <f>IF(AM160=MiscData!$AB$91,1,AM160+1)</f>
        <v>72</v>
      </c>
    </row>
    <row r="162" spans="1:39">
      <c r="A162" s="7">
        <f t="shared" si="74"/>
        <v>161</v>
      </c>
      <c r="B162" s="13" t="str">
        <f t="shared" si="50"/>
        <v>Feb 2016</v>
      </c>
      <c r="C162" s="23" t="str">
        <f t="shared" si="51"/>
        <v>LS</v>
      </c>
      <c r="D162" s="23" t="str">
        <f t="shared" si="52"/>
        <v>KUUM_479</v>
      </c>
      <c r="E162" s="170">
        <f t="shared" si="53"/>
        <v>955</v>
      </c>
      <c r="F162" s="185"/>
      <c r="G162" s="170">
        <f t="shared" si="54"/>
        <v>0</v>
      </c>
      <c r="H162" s="170">
        <v>0</v>
      </c>
      <c r="I162" s="11">
        <f t="shared" si="55"/>
        <v>33.119999999999997</v>
      </c>
      <c r="J162" s="11">
        <f t="shared" si="56"/>
        <v>4.529999999999994</v>
      </c>
      <c r="K162" s="416">
        <f t="shared" si="69"/>
        <v>31629.599999999999</v>
      </c>
      <c r="L162" s="180"/>
      <c r="M162" s="180"/>
      <c r="N162" s="182">
        <f t="shared" si="57"/>
        <v>31629.599999999999</v>
      </c>
      <c r="O162" s="29">
        <f t="shared" si="58"/>
        <v>0</v>
      </c>
      <c r="P162" s="181">
        <f t="shared" si="70"/>
        <v>0</v>
      </c>
      <c r="Q162" s="182">
        <f t="shared" si="59"/>
        <v>0</v>
      </c>
      <c r="R162" s="182">
        <f t="shared" si="60"/>
        <v>0</v>
      </c>
      <c r="S162" s="182">
        <f t="shared" si="61"/>
        <v>0</v>
      </c>
      <c r="T162" s="182">
        <f t="shared" si="62"/>
        <v>0</v>
      </c>
      <c r="U162" s="182">
        <f t="shared" si="63"/>
        <v>0</v>
      </c>
      <c r="V162" s="14">
        <f t="shared" si="64"/>
        <v>31629.599999999999</v>
      </c>
      <c r="W162" s="14">
        <f t="shared" si="65"/>
        <v>-31629.599999999999</v>
      </c>
      <c r="Y162" s="14">
        <f t="shared" si="71"/>
        <v>4326.1499999999996</v>
      </c>
      <c r="Z162" s="14">
        <f t="shared" si="72"/>
        <v>-4326.1499999999996</v>
      </c>
      <c r="AA162" s="11">
        <f t="shared" si="66"/>
        <v>0.79</v>
      </c>
      <c r="AB162" s="9">
        <f t="shared" si="73"/>
        <v>754.45</v>
      </c>
      <c r="AD162" s="13">
        <f>IF(AH162&gt;AH161,AD161,IF(AD161&lt;MiscData!$F$1,EOMONTH(AD161,1),EOMONTH(AD161,-11)))</f>
        <v>42429</v>
      </c>
      <c r="AE162" s="7" t="str">
        <f t="shared" si="67"/>
        <v>20140101KUUM_479</v>
      </c>
      <c r="AF162" s="12" t="str">
        <f t="shared" si="68"/>
        <v>20140101LS</v>
      </c>
      <c r="AG162" s="31"/>
      <c r="AH162">
        <f>IF(AH161=MiscData!$AB$91,1,AH161+1)</f>
        <v>73</v>
      </c>
      <c r="AI162">
        <f>IF(AD162&lt;=MiscData!$B$23,MiscData!$C$23,IF(AD162&lt;=MiscData!$B$24,MiscData!$C$24,MiscData!$C$25))</f>
        <v>20140101</v>
      </c>
      <c r="AK162" s="190" t="str">
        <f>VLOOKUP(AM162,MiscData!$AB$4:$ACB$113,2,FALSE)</f>
        <v>KUUM_479</v>
      </c>
      <c r="AL162" s="190" t="str">
        <f>VLOOKUP(AM162,MiscData!$AB$4:$AE$115,4,FALSE)</f>
        <v>LS</v>
      </c>
      <c r="AM162">
        <f>IF(AM161=MiscData!$AB$91,1,AM161+1)</f>
        <v>73</v>
      </c>
    </row>
    <row r="163" spans="1:39">
      <c r="A163" s="7">
        <f t="shared" si="74"/>
        <v>162</v>
      </c>
      <c r="B163" s="13" t="str">
        <f t="shared" si="50"/>
        <v>Feb 2016</v>
      </c>
      <c r="C163" s="23" t="str">
        <f t="shared" si="51"/>
        <v>LS</v>
      </c>
      <c r="D163" s="23" t="str">
        <f t="shared" si="52"/>
        <v>KUUM_486</v>
      </c>
      <c r="E163" s="170">
        <f t="shared" si="53"/>
        <v>0</v>
      </c>
      <c r="F163" s="185"/>
      <c r="G163" s="170">
        <f t="shared" si="54"/>
        <v>0</v>
      </c>
      <c r="H163" s="170">
        <v>0</v>
      </c>
      <c r="I163" s="11">
        <f t="shared" si="55"/>
        <v>0</v>
      </c>
      <c r="J163" s="11">
        <f t="shared" si="56"/>
        <v>0</v>
      </c>
      <c r="K163" s="416">
        <f t="shared" si="69"/>
        <v>0</v>
      </c>
      <c r="L163" s="180"/>
      <c r="M163" s="180"/>
      <c r="N163" s="182">
        <f t="shared" si="57"/>
        <v>0</v>
      </c>
      <c r="O163" s="29">
        <f t="shared" si="58"/>
        <v>0</v>
      </c>
      <c r="P163" s="181">
        <f t="shared" si="70"/>
        <v>1</v>
      </c>
      <c r="Q163" s="182">
        <f t="shared" si="59"/>
        <v>0</v>
      </c>
      <c r="R163" s="182">
        <f t="shared" si="60"/>
        <v>0</v>
      </c>
      <c r="S163" s="182">
        <f t="shared" si="61"/>
        <v>0</v>
      </c>
      <c r="T163" s="182">
        <f t="shared" si="62"/>
        <v>0</v>
      </c>
      <c r="U163" s="182">
        <f t="shared" si="63"/>
        <v>0</v>
      </c>
      <c r="V163" s="14">
        <f t="shared" si="64"/>
        <v>0</v>
      </c>
      <c r="W163" s="14">
        <f t="shared" si="65"/>
        <v>0</v>
      </c>
      <c r="Y163" s="14">
        <f t="shared" si="71"/>
        <v>0</v>
      </c>
      <c r="Z163" s="14">
        <f t="shared" si="72"/>
        <v>0</v>
      </c>
      <c r="AA163" s="11">
        <f t="shared" si="66"/>
        <v>0</v>
      </c>
      <c r="AB163" s="9">
        <f t="shared" si="73"/>
        <v>0</v>
      </c>
      <c r="AD163" s="13">
        <f>IF(AH163&gt;AH162,AD162,IF(AD162&lt;MiscData!$F$1,EOMONTH(AD162,1),EOMONTH(AD162,-11)))</f>
        <v>42429</v>
      </c>
      <c r="AE163" s="7" t="str">
        <f t="shared" si="67"/>
        <v>20140101KUUM_486</v>
      </c>
      <c r="AF163" s="12" t="str">
        <f t="shared" si="68"/>
        <v>20140101LS</v>
      </c>
      <c r="AG163" s="31"/>
      <c r="AH163">
        <f>IF(AH162=MiscData!$AB$91,1,AH162+1)</f>
        <v>74</v>
      </c>
      <c r="AI163">
        <f>IF(AD163&lt;=MiscData!$B$23,MiscData!$C$23,IF(AD163&lt;=MiscData!$B$24,MiscData!$C$24,MiscData!$C$25))</f>
        <v>20140101</v>
      </c>
      <c r="AK163" s="190" t="str">
        <f>VLOOKUP(AM163,MiscData!$AB$4:$ACB$113,2,FALSE)</f>
        <v>KUUM_486</v>
      </c>
      <c r="AL163" s="190" t="str">
        <f>VLOOKUP(AM163,MiscData!$AB$4:$AE$115,4,FALSE)</f>
        <v>LS</v>
      </c>
      <c r="AM163">
        <f>IF(AM162=MiscData!$AB$91,1,AM162+1)</f>
        <v>74</v>
      </c>
    </row>
    <row r="164" spans="1:39">
      <c r="A164" s="7">
        <f t="shared" si="74"/>
        <v>163</v>
      </c>
      <c r="B164" s="13" t="str">
        <f t="shared" si="50"/>
        <v>Feb 2016</v>
      </c>
      <c r="C164" s="23" t="str">
        <f t="shared" si="51"/>
        <v>LS</v>
      </c>
      <c r="D164" s="23" t="str">
        <f t="shared" si="52"/>
        <v>KUUM_487</v>
      </c>
      <c r="E164" s="170">
        <f t="shared" si="53"/>
        <v>11150</v>
      </c>
      <c r="F164" s="185"/>
      <c r="G164" s="170">
        <f t="shared" si="54"/>
        <v>0</v>
      </c>
      <c r="H164" s="170">
        <v>0</v>
      </c>
      <c r="I164" s="11">
        <f t="shared" si="55"/>
        <v>9</v>
      </c>
      <c r="J164" s="11">
        <f t="shared" si="56"/>
        <v>1.1299999999999999</v>
      </c>
      <c r="K164" s="416">
        <f t="shared" si="69"/>
        <v>100350</v>
      </c>
      <c r="L164" s="180"/>
      <c r="M164" s="180"/>
      <c r="N164" s="182">
        <f t="shared" si="57"/>
        <v>100350</v>
      </c>
      <c r="O164" s="29">
        <f t="shared" si="58"/>
        <v>0</v>
      </c>
      <c r="P164" s="181">
        <f t="shared" si="70"/>
        <v>0</v>
      </c>
      <c r="Q164" s="182">
        <f t="shared" si="59"/>
        <v>0</v>
      </c>
      <c r="R164" s="182">
        <f t="shared" si="60"/>
        <v>0</v>
      </c>
      <c r="S164" s="182">
        <f t="shared" si="61"/>
        <v>0</v>
      </c>
      <c r="T164" s="182">
        <f t="shared" si="62"/>
        <v>0</v>
      </c>
      <c r="U164" s="182">
        <f t="shared" si="63"/>
        <v>0</v>
      </c>
      <c r="V164" s="14">
        <f t="shared" si="64"/>
        <v>100350</v>
      </c>
      <c r="W164" s="14">
        <f t="shared" si="65"/>
        <v>-100350</v>
      </c>
      <c r="Y164" s="14">
        <f t="shared" si="71"/>
        <v>12599.5</v>
      </c>
      <c r="Z164" s="14">
        <f t="shared" si="72"/>
        <v>-12599.5</v>
      </c>
      <c r="AA164" s="11">
        <f t="shared" si="66"/>
        <v>0.34</v>
      </c>
      <c r="AB164" s="9">
        <f t="shared" si="73"/>
        <v>3791.0000000000005</v>
      </c>
      <c r="AD164" s="13">
        <f>IF(AH164&gt;AH163,AD163,IF(AD163&lt;MiscData!$F$1,EOMONTH(AD163,1),EOMONTH(AD163,-11)))</f>
        <v>42429</v>
      </c>
      <c r="AE164" s="7" t="str">
        <f t="shared" si="67"/>
        <v>20140101KUUM_487</v>
      </c>
      <c r="AF164" s="12" t="str">
        <f t="shared" si="68"/>
        <v>20140101LS</v>
      </c>
      <c r="AG164" s="31"/>
      <c r="AH164">
        <f>IF(AH163=MiscData!$AB$91,1,AH163+1)</f>
        <v>75</v>
      </c>
      <c r="AI164">
        <f>IF(AD164&lt;=MiscData!$B$23,MiscData!$C$23,IF(AD164&lt;=MiscData!$B$24,MiscData!$C$24,MiscData!$C$25))</f>
        <v>20140101</v>
      </c>
      <c r="AK164" s="190" t="str">
        <f>VLOOKUP(AM164,MiscData!$AB$4:$ACB$113,2,FALSE)</f>
        <v>KUUM_487</v>
      </c>
      <c r="AL164" s="190" t="str">
        <f>VLOOKUP(AM164,MiscData!$AB$4:$AE$115,4,FALSE)</f>
        <v>LS</v>
      </c>
      <c r="AM164">
        <f>IF(AM163=MiscData!$AB$91,1,AM163+1)</f>
        <v>75</v>
      </c>
    </row>
    <row r="165" spans="1:39">
      <c r="A165" s="7">
        <f t="shared" si="74"/>
        <v>164</v>
      </c>
      <c r="B165" s="13" t="str">
        <f t="shared" si="50"/>
        <v>Feb 2016</v>
      </c>
      <c r="C165" s="23" t="str">
        <f t="shared" si="51"/>
        <v>LS</v>
      </c>
      <c r="D165" s="23" t="str">
        <f t="shared" si="52"/>
        <v>KUUM_488</v>
      </c>
      <c r="E165" s="170">
        <f t="shared" si="53"/>
        <v>6552</v>
      </c>
      <c r="F165" s="185"/>
      <c r="G165" s="170">
        <f t="shared" si="54"/>
        <v>0</v>
      </c>
      <c r="H165" s="170">
        <v>0</v>
      </c>
      <c r="I165" s="11">
        <f t="shared" si="55"/>
        <v>13.639999999999999</v>
      </c>
      <c r="J165" s="11">
        <f t="shared" si="56"/>
        <v>2.33</v>
      </c>
      <c r="K165" s="416">
        <f t="shared" si="69"/>
        <v>89369.279999999999</v>
      </c>
      <c r="L165" s="180"/>
      <c r="M165" s="180"/>
      <c r="N165" s="182">
        <f t="shared" si="57"/>
        <v>89369.279999999999</v>
      </c>
      <c r="O165" s="29">
        <f t="shared" si="58"/>
        <v>0</v>
      </c>
      <c r="P165" s="181">
        <f t="shared" si="70"/>
        <v>0</v>
      </c>
      <c r="Q165" s="182">
        <f t="shared" si="59"/>
        <v>0</v>
      </c>
      <c r="R165" s="182">
        <f t="shared" si="60"/>
        <v>0</v>
      </c>
      <c r="S165" s="182">
        <f t="shared" si="61"/>
        <v>0</v>
      </c>
      <c r="T165" s="182">
        <f t="shared" si="62"/>
        <v>0</v>
      </c>
      <c r="U165" s="182">
        <f t="shared" si="63"/>
        <v>0</v>
      </c>
      <c r="V165" s="14">
        <f t="shared" si="64"/>
        <v>89369.279999999999</v>
      </c>
      <c r="W165" s="14">
        <f t="shared" si="65"/>
        <v>-89369.279999999999</v>
      </c>
      <c r="Y165" s="14">
        <f t="shared" si="71"/>
        <v>15266.16</v>
      </c>
      <c r="Z165" s="14">
        <f t="shared" si="72"/>
        <v>-15266.16</v>
      </c>
      <c r="AA165" s="11">
        <f t="shared" si="66"/>
        <v>0.57999999999999996</v>
      </c>
      <c r="AB165" s="9">
        <f t="shared" si="73"/>
        <v>3800.16</v>
      </c>
      <c r="AD165" s="13">
        <f>IF(AH165&gt;AH164,AD164,IF(AD164&lt;MiscData!$F$1,EOMONTH(AD164,1),EOMONTH(AD164,-11)))</f>
        <v>42429</v>
      </c>
      <c r="AE165" s="7" t="str">
        <f t="shared" si="67"/>
        <v>20140101KUUM_488</v>
      </c>
      <c r="AF165" s="12" t="str">
        <f t="shared" si="68"/>
        <v>20140101LS</v>
      </c>
      <c r="AG165" s="31"/>
      <c r="AH165">
        <f>IF(AH164=MiscData!$AB$91,1,AH164+1)</f>
        <v>76</v>
      </c>
      <c r="AI165">
        <f>IF(AD165&lt;=MiscData!$B$23,MiscData!$C$23,IF(AD165&lt;=MiscData!$B$24,MiscData!$C$24,MiscData!$C$25))</f>
        <v>20140101</v>
      </c>
      <c r="AK165" s="190" t="str">
        <f>VLOOKUP(AM165,MiscData!$AB$4:$ACB$113,2,FALSE)</f>
        <v>KUUM_488</v>
      </c>
      <c r="AL165" s="190" t="str">
        <f>VLOOKUP(AM165,MiscData!$AB$4:$AE$115,4,FALSE)</f>
        <v>LS</v>
      </c>
      <c r="AM165">
        <f>IF(AM164=MiscData!$AB$91,1,AM164+1)</f>
        <v>76</v>
      </c>
    </row>
    <row r="166" spans="1:39">
      <c r="A166" s="7">
        <f t="shared" si="74"/>
        <v>165</v>
      </c>
      <c r="B166" s="13" t="str">
        <f t="shared" si="50"/>
        <v>Feb 2016</v>
      </c>
      <c r="C166" s="23" t="str">
        <f t="shared" si="51"/>
        <v>LS</v>
      </c>
      <c r="D166" s="23" t="str">
        <f t="shared" si="52"/>
        <v>KUUM_489</v>
      </c>
      <c r="E166" s="170">
        <f t="shared" si="53"/>
        <v>8281</v>
      </c>
      <c r="F166" s="185"/>
      <c r="G166" s="170">
        <f t="shared" si="54"/>
        <v>0</v>
      </c>
      <c r="H166" s="170">
        <v>0</v>
      </c>
      <c r="I166" s="11">
        <f t="shared" si="55"/>
        <v>19.46</v>
      </c>
      <c r="J166" s="11">
        <f t="shared" si="56"/>
        <v>4.5300000000000011</v>
      </c>
      <c r="K166" s="416">
        <f t="shared" si="69"/>
        <v>161148.26</v>
      </c>
      <c r="L166" s="180"/>
      <c r="M166" s="180"/>
      <c r="N166" s="182">
        <f t="shared" si="57"/>
        <v>161148.26</v>
      </c>
      <c r="O166" s="29">
        <f t="shared" si="58"/>
        <v>0</v>
      </c>
      <c r="P166" s="181">
        <f t="shared" si="70"/>
        <v>0</v>
      </c>
      <c r="Q166" s="182">
        <f t="shared" si="59"/>
        <v>0</v>
      </c>
      <c r="R166" s="182">
        <f t="shared" si="60"/>
        <v>0</v>
      </c>
      <c r="S166" s="182">
        <f t="shared" si="61"/>
        <v>0</v>
      </c>
      <c r="T166" s="182">
        <f t="shared" si="62"/>
        <v>0</v>
      </c>
      <c r="U166" s="182">
        <f t="shared" si="63"/>
        <v>0</v>
      </c>
      <c r="V166" s="14">
        <f t="shared" si="64"/>
        <v>161148.26</v>
      </c>
      <c r="W166" s="14">
        <f t="shared" si="65"/>
        <v>-161148.26</v>
      </c>
      <c r="Y166" s="14">
        <f t="shared" si="71"/>
        <v>37512.93</v>
      </c>
      <c r="Z166" s="14">
        <f t="shared" si="72"/>
        <v>-37512.93</v>
      </c>
      <c r="AA166" s="11">
        <f t="shared" si="66"/>
        <v>0.79</v>
      </c>
      <c r="AB166" s="9">
        <f t="shared" si="73"/>
        <v>6541.9900000000007</v>
      </c>
      <c r="AD166" s="13">
        <f>IF(AH166&gt;AH165,AD165,IF(AD165&lt;MiscData!$F$1,EOMONTH(AD165,1),EOMONTH(AD165,-11)))</f>
        <v>42429</v>
      </c>
      <c r="AE166" s="7" t="str">
        <f t="shared" si="67"/>
        <v>20140101KUUM_489</v>
      </c>
      <c r="AF166" s="12" t="str">
        <f t="shared" si="68"/>
        <v>20140101LS</v>
      </c>
      <c r="AG166" s="31"/>
      <c r="AH166">
        <f>IF(AH165=MiscData!$AB$91,1,AH165+1)</f>
        <v>77</v>
      </c>
      <c r="AI166">
        <f>IF(AD166&lt;=MiscData!$B$23,MiscData!$C$23,IF(AD166&lt;=MiscData!$B$24,MiscData!$C$24,MiscData!$C$25))</f>
        <v>20140101</v>
      </c>
      <c r="AK166" s="190" t="str">
        <f>VLOOKUP(AM166,MiscData!$AB$4:$ACB$113,2,FALSE)</f>
        <v>KUUM_489</v>
      </c>
      <c r="AL166" s="190" t="str">
        <f>VLOOKUP(AM166,MiscData!$AB$4:$AE$115,4,FALSE)</f>
        <v>LS</v>
      </c>
      <c r="AM166">
        <f>IF(AM165=MiscData!$AB$91,1,AM165+1)</f>
        <v>77</v>
      </c>
    </row>
    <row r="167" spans="1:39">
      <c r="A167" s="7">
        <f t="shared" si="74"/>
        <v>166</v>
      </c>
      <c r="B167" s="13" t="str">
        <f t="shared" si="50"/>
        <v>Feb 2016</v>
      </c>
      <c r="C167" s="23" t="str">
        <f t="shared" si="51"/>
        <v>LS</v>
      </c>
      <c r="D167" s="23" t="str">
        <f t="shared" si="52"/>
        <v>KUUM_490</v>
      </c>
      <c r="E167" s="170">
        <f t="shared" si="53"/>
        <v>60</v>
      </c>
      <c r="F167" s="185"/>
      <c r="G167" s="170">
        <f t="shared" si="54"/>
        <v>0</v>
      </c>
      <c r="H167" s="170">
        <v>0</v>
      </c>
      <c r="I167" s="11">
        <f t="shared" si="55"/>
        <v>15.47</v>
      </c>
      <c r="J167" s="11">
        <f t="shared" si="56"/>
        <v>1.9700000000000006</v>
      </c>
      <c r="K167" s="416">
        <f t="shared" si="69"/>
        <v>928.2</v>
      </c>
      <c r="L167" s="180"/>
      <c r="M167" s="180"/>
      <c r="N167" s="182">
        <f t="shared" si="57"/>
        <v>928.2</v>
      </c>
      <c r="O167" s="29">
        <f t="shared" si="58"/>
        <v>0</v>
      </c>
      <c r="P167" s="181">
        <f t="shared" si="70"/>
        <v>0</v>
      </c>
      <c r="Q167" s="182">
        <f t="shared" si="59"/>
        <v>0</v>
      </c>
      <c r="R167" s="182">
        <f t="shared" si="60"/>
        <v>0</v>
      </c>
      <c r="S167" s="182">
        <f t="shared" si="61"/>
        <v>0</v>
      </c>
      <c r="T167" s="182">
        <f t="shared" si="62"/>
        <v>0</v>
      </c>
      <c r="U167" s="182">
        <f t="shared" si="63"/>
        <v>0</v>
      </c>
      <c r="V167" s="14">
        <f t="shared" si="64"/>
        <v>928.2</v>
      </c>
      <c r="W167" s="14">
        <f t="shared" si="65"/>
        <v>-928.2</v>
      </c>
      <c r="Y167" s="14">
        <f t="shared" si="71"/>
        <v>118.2</v>
      </c>
      <c r="Z167" s="14">
        <f t="shared" si="72"/>
        <v>-118.2</v>
      </c>
      <c r="AA167" s="11">
        <f t="shared" si="66"/>
        <v>0.66</v>
      </c>
      <c r="AB167" s="9">
        <f t="shared" si="73"/>
        <v>39.6</v>
      </c>
      <c r="AD167" s="13">
        <f>IF(AH167&gt;AH166,AD166,IF(AD166&lt;MiscData!$F$1,EOMONTH(AD166,1),EOMONTH(AD166,-11)))</f>
        <v>42429</v>
      </c>
      <c r="AE167" s="7" t="str">
        <f t="shared" si="67"/>
        <v>20140101KUUM_490</v>
      </c>
      <c r="AF167" s="12" t="str">
        <f t="shared" si="68"/>
        <v>20140101LS</v>
      </c>
      <c r="AG167" s="31"/>
      <c r="AH167">
        <f>IF(AH166=MiscData!$AB$91,1,AH166+1)</f>
        <v>78</v>
      </c>
      <c r="AI167">
        <f>IF(AD167&lt;=MiscData!$B$23,MiscData!$C$23,IF(AD167&lt;=MiscData!$B$24,MiscData!$C$24,MiscData!$C$25))</f>
        <v>20140101</v>
      </c>
      <c r="AK167" s="190" t="str">
        <f>VLOOKUP(AM167,MiscData!$AB$4:$ACB$113,2,FALSE)</f>
        <v>KUUM_490</v>
      </c>
      <c r="AL167" s="190" t="str">
        <f>VLOOKUP(AM167,MiscData!$AB$4:$AE$115,4,FALSE)</f>
        <v>LS</v>
      </c>
      <c r="AM167">
        <f>IF(AM166=MiscData!$AB$91,1,AM166+1)</f>
        <v>78</v>
      </c>
    </row>
    <row r="168" spans="1:39">
      <c r="A168" s="7">
        <f t="shared" si="74"/>
        <v>167</v>
      </c>
      <c r="B168" s="13" t="str">
        <f t="shared" si="50"/>
        <v>Feb 2016</v>
      </c>
      <c r="C168" s="23" t="str">
        <f t="shared" si="51"/>
        <v>LS</v>
      </c>
      <c r="D168" s="23" t="str">
        <f t="shared" si="52"/>
        <v>KUUM_491</v>
      </c>
      <c r="E168" s="170">
        <f t="shared" si="53"/>
        <v>302</v>
      </c>
      <c r="F168" s="185"/>
      <c r="G168" s="170">
        <f t="shared" si="54"/>
        <v>0</v>
      </c>
      <c r="H168" s="170">
        <v>0</v>
      </c>
      <c r="I168" s="11">
        <f t="shared" si="55"/>
        <v>21.930000000000003</v>
      </c>
      <c r="J168" s="11">
        <f t="shared" si="56"/>
        <v>4.2900000000000027</v>
      </c>
      <c r="K168" s="416">
        <f t="shared" si="69"/>
        <v>6622.86</v>
      </c>
      <c r="L168" s="180"/>
      <c r="M168" s="180"/>
      <c r="N168" s="182">
        <f t="shared" si="57"/>
        <v>6622.86</v>
      </c>
      <c r="O168" s="29">
        <f t="shared" si="58"/>
        <v>0</v>
      </c>
      <c r="P168" s="181">
        <f t="shared" si="70"/>
        <v>0</v>
      </c>
      <c r="Q168" s="182">
        <f t="shared" si="59"/>
        <v>0</v>
      </c>
      <c r="R168" s="182">
        <f t="shared" si="60"/>
        <v>0</v>
      </c>
      <c r="S168" s="182">
        <f t="shared" si="61"/>
        <v>0</v>
      </c>
      <c r="T168" s="182">
        <f t="shared" si="62"/>
        <v>0</v>
      </c>
      <c r="U168" s="182">
        <f t="shared" si="63"/>
        <v>0</v>
      </c>
      <c r="V168" s="14">
        <f t="shared" si="64"/>
        <v>6622.86</v>
      </c>
      <c r="W168" s="14">
        <f t="shared" si="65"/>
        <v>-6622.86</v>
      </c>
      <c r="Y168" s="14">
        <f t="shared" si="71"/>
        <v>1295.58</v>
      </c>
      <c r="Z168" s="14">
        <f t="shared" si="72"/>
        <v>-1295.58</v>
      </c>
      <c r="AA168" s="11">
        <f t="shared" si="66"/>
        <v>0.84</v>
      </c>
      <c r="AB168" s="9">
        <f t="shared" si="73"/>
        <v>253.67999999999998</v>
      </c>
      <c r="AD168" s="13">
        <f>IF(AH168&gt;AH167,AD167,IF(AD167&lt;MiscData!$F$1,EOMONTH(AD167,1),EOMONTH(AD167,-11)))</f>
        <v>42429</v>
      </c>
      <c r="AE168" s="7" t="str">
        <f t="shared" si="67"/>
        <v>20140101KUUM_491</v>
      </c>
      <c r="AF168" s="12" t="str">
        <f t="shared" si="68"/>
        <v>20140101LS</v>
      </c>
      <c r="AG168" s="31"/>
      <c r="AH168">
        <f>IF(AH167=MiscData!$AB$91,1,AH167+1)</f>
        <v>79</v>
      </c>
      <c r="AI168">
        <f>IF(AD168&lt;=MiscData!$B$23,MiscData!$C$23,IF(AD168&lt;=MiscData!$B$24,MiscData!$C$24,MiscData!$C$25))</f>
        <v>20140101</v>
      </c>
      <c r="AK168" s="190" t="str">
        <f>VLOOKUP(AM168,MiscData!$AB$4:$ACB$113,2,FALSE)</f>
        <v>KUUM_491</v>
      </c>
      <c r="AL168" s="190" t="str">
        <f>VLOOKUP(AM168,MiscData!$AB$4:$AE$115,4,FALSE)</f>
        <v>LS</v>
      </c>
      <c r="AM168">
        <f>IF(AM167=MiscData!$AB$91,1,AM167+1)</f>
        <v>79</v>
      </c>
    </row>
    <row r="169" spans="1:39">
      <c r="A169" s="7">
        <f t="shared" si="74"/>
        <v>168</v>
      </c>
      <c r="B169" s="13" t="str">
        <f t="shared" si="50"/>
        <v>Feb 2016</v>
      </c>
      <c r="C169" s="23" t="str">
        <f t="shared" si="51"/>
        <v>LS</v>
      </c>
      <c r="D169" s="23" t="str">
        <f t="shared" si="52"/>
        <v>KUUM_492</v>
      </c>
      <c r="E169" s="170">
        <f t="shared" si="53"/>
        <v>2</v>
      </c>
      <c r="F169" s="185"/>
      <c r="G169" s="170">
        <f t="shared" si="54"/>
        <v>0</v>
      </c>
      <c r="H169" s="170">
        <v>0</v>
      </c>
      <c r="I169" s="11">
        <f t="shared" si="55"/>
        <v>15.370000000000001</v>
      </c>
      <c r="J169" s="11">
        <f t="shared" si="56"/>
        <v>0.80000000000000071</v>
      </c>
      <c r="K169" s="416">
        <f t="shared" si="69"/>
        <v>30.74</v>
      </c>
      <c r="L169" s="180"/>
      <c r="M169" s="180"/>
      <c r="N169" s="182">
        <f t="shared" si="57"/>
        <v>30.74</v>
      </c>
      <c r="O169" s="29">
        <f t="shared" si="58"/>
        <v>0</v>
      </c>
      <c r="P169" s="181">
        <f t="shared" si="70"/>
        <v>0</v>
      </c>
      <c r="Q169" s="182">
        <f t="shared" si="59"/>
        <v>0</v>
      </c>
      <c r="R169" s="182">
        <f t="shared" si="60"/>
        <v>0</v>
      </c>
      <c r="S169" s="182">
        <f t="shared" si="61"/>
        <v>0</v>
      </c>
      <c r="T169" s="182">
        <f t="shared" si="62"/>
        <v>0</v>
      </c>
      <c r="U169" s="182">
        <f t="shared" si="63"/>
        <v>0</v>
      </c>
      <c r="V169" s="14">
        <f t="shared" si="64"/>
        <v>30.74</v>
      </c>
      <c r="W169" s="14">
        <f t="shared" si="65"/>
        <v>-30.74</v>
      </c>
      <c r="Y169" s="14">
        <f t="shared" si="71"/>
        <v>1.6</v>
      </c>
      <c r="Z169" s="14">
        <f t="shared" si="72"/>
        <v>-1.6</v>
      </c>
      <c r="AA169" s="11">
        <f t="shared" si="66"/>
        <v>0.43</v>
      </c>
      <c r="AB169" s="9">
        <f t="shared" si="73"/>
        <v>0.86</v>
      </c>
      <c r="AD169" s="13">
        <f>IF(AH169&gt;AH168,AD168,IF(AD168&lt;MiscData!$F$1,EOMONTH(AD168,1),EOMONTH(AD168,-11)))</f>
        <v>42429</v>
      </c>
      <c r="AE169" s="7" t="str">
        <f t="shared" si="67"/>
        <v>20140101KUUM_492</v>
      </c>
      <c r="AF169" s="12" t="str">
        <f t="shared" si="68"/>
        <v>20140101LS</v>
      </c>
      <c r="AG169" s="31"/>
      <c r="AH169">
        <f>IF(AH168=MiscData!$AB$91,1,AH168+1)</f>
        <v>80</v>
      </c>
      <c r="AI169">
        <f>IF(AD169&lt;=MiscData!$B$23,MiscData!$C$23,IF(AD169&lt;=MiscData!$B$24,MiscData!$C$24,MiscData!$C$25))</f>
        <v>20140101</v>
      </c>
      <c r="AK169" s="190" t="str">
        <f>VLOOKUP(AM169,MiscData!$AB$4:$ACB$113,2,FALSE)</f>
        <v>KUUM_492</v>
      </c>
      <c r="AL169" s="190" t="str">
        <f>VLOOKUP(AM169,MiscData!$AB$4:$AE$115,4,FALSE)</f>
        <v>LS</v>
      </c>
      <c r="AM169">
        <f>IF(AM168=MiscData!$AB$91,1,AM168+1)</f>
        <v>80</v>
      </c>
    </row>
    <row r="170" spans="1:39">
      <c r="A170" s="7">
        <f t="shared" si="74"/>
        <v>169</v>
      </c>
      <c r="B170" s="13" t="str">
        <f t="shared" si="50"/>
        <v>Feb 2016</v>
      </c>
      <c r="C170" s="23" t="str">
        <f t="shared" si="51"/>
        <v>LS</v>
      </c>
      <c r="D170" s="23" t="str">
        <f t="shared" si="52"/>
        <v>KUUM_493</v>
      </c>
      <c r="E170" s="170">
        <f t="shared" si="53"/>
        <v>43</v>
      </c>
      <c r="F170" s="185"/>
      <c r="G170" s="170">
        <f t="shared" si="54"/>
        <v>0</v>
      </c>
      <c r="H170" s="170">
        <v>0</v>
      </c>
      <c r="I170" s="11">
        <f t="shared" si="55"/>
        <v>45.7</v>
      </c>
      <c r="J170" s="11">
        <f t="shared" si="56"/>
        <v>10.409999999999997</v>
      </c>
      <c r="K170" s="416">
        <f t="shared" si="69"/>
        <v>1965.1</v>
      </c>
      <c r="L170" s="180"/>
      <c r="M170" s="180"/>
      <c r="N170" s="182">
        <f t="shared" si="57"/>
        <v>1965.1</v>
      </c>
      <c r="O170" s="29">
        <f t="shared" si="58"/>
        <v>0</v>
      </c>
      <c r="P170" s="181">
        <f t="shared" si="70"/>
        <v>0</v>
      </c>
      <c r="Q170" s="182">
        <f t="shared" si="59"/>
        <v>0</v>
      </c>
      <c r="R170" s="182">
        <f t="shared" si="60"/>
        <v>0</v>
      </c>
      <c r="S170" s="182">
        <f t="shared" si="61"/>
        <v>0</v>
      </c>
      <c r="T170" s="182">
        <f t="shared" si="62"/>
        <v>0</v>
      </c>
      <c r="U170" s="182">
        <f t="shared" si="63"/>
        <v>0</v>
      </c>
      <c r="V170" s="14">
        <f t="shared" si="64"/>
        <v>1965.1</v>
      </c>
      <c r="W170" s="14">
        <f t="shared" si="65"/>
        <v>-1965.1</v>
      </c>
      <c r="Y170" s="14">
        <f t="shared" si="71"/>
        <v>447.63</v>
      </c>
      <c r="Z170" s="14">
        <f t="shared" si="72"/>
        <v>-447.63</v>
      </c>
      <c r="AA170" s="11">
        <f t="shared" si="66"/>
        <v>1.7</v>
      </c>
      <c r="AB170" s="9">
        <f t="shared" si="73"/>
        <v>73.099999999999994</v>
      </c>
      <c r="AD170" s="13">
        <f>IF(AH170&gt;AH169,AD169,IF(AD169&lt;MiscData!$F$1,EOMONTH(AD169,1),EOMONTH(AD169,-11)))</f>
        <v>42429</v>
      </c>
      <c r="AE170" s="7" t="str">
        <f t="shared" si="67"/>
        <v>20140101KUUM_493</v>
      </c>
      <c r="AF170" s="12" t="str">
        <f t="shared" si="68"/>
        <v>20140101LS</v>
      </c>
      <c r="AG170" s="31"/>
      <c r="AH170">
        <f>IF(AH169=MiscData!$AB$91,1,AH169+1)</f>
        <v>81</v>
      </c>
      <c r="AI170">
        <f>IF(AD170&lt;=MiscData!$B$23,MiscData!$C$23,IF(AD170&lt;=MiscData!$B$24,MiscData!$C$24,MiscData!$C$25))</f>
        <v>20140101</v>
      </c>
      <c r="AK170" s="190" t="str">
        <f>VLOOKUP(AM170,MiscData!$AB$4:$ACB$113,2,FALSE)</f>
        <v>KUUM_493</v>
      </c>
      <c r="AL170" s="190" t="str">
        <f>VLOOKUP(AM170,MiscData!$AB$4:$AE$115,4,FALSE)</f>
        <v>LS</v>
      </c>
      <c r="AM170">
        <f>IF(AM169=MiscData!$AB$91,1,AM169+1)</f>
        <v>81</v>
      </c>
    </row>
    <row r="171" spans="1:39">
      <c r="A171" s="7">
        <f t="shared" si="74"/>
        <v>170</v>
      </c>
      <c r="B171" s="13" t="str">
        <f t="shared" si="50"/>
        <v>Feb 2016</v>
      </c>
      <c r="C171" s="23" t="str">
        <f t="shared" si="51"/>
        <v>LS</v>
      </c>
      <c r="D171" s="23" t="str">
        <f t="shared" si="52"/>
        <v>KUUM_494</v>
      </c>
      <c r="E171" s="170">
        <f t="shared" si="53"/>
        <v>179</v>
      </c>
      <c r="F171" s="185"/>
      <c r="G171" s="170">
        <f t="shared" si="54"/>
        <v>0</v>
      </c>
      <c r="H171" s="170">
        <v>0</v>
      </c>
      <c r="I171" s="11">
        <f t="shared" si="55"/>
        <v>28.37</v>
      </c>
      <c r="J171" s="11">
        <f t="shared" si="56"/>
        <v>1.9699999999999989</v>
      </c>
      <c r="K171" s="416">
        <f t="shared" si="69"/>
        <v>5078.2299999999996</v>
      </c>
      <c r="L171" s="180"/>
      <c r="M171" s="180"/>
      <c r="N171" s="182">
        <f t="shared" si="57"/>
        <v>5078.2299999999996</v>
      </c>
      <c r="O171" s="29">
        <f t="shared" si="58"/>
        <v>0</v>
      </c>
      <c r="P171" s="181">
        <f t="shared" si="70"/>
        <v>0</v>
      </c>
      <c r="Q171" s="182">
        <f t="shared" si="59"/>
        <v>0</v>
      </c>
      <c r="R171" s="182">
        <f t="shared" si="60"/>
        <v>0</v>
      </c>
      <c r="S171" s="182">
        <f t="shared" si="61"/>
        <v>0</v>
      </c>
      <c r="T171" s="182">
        <f t="shared" si="62"/>
        <v>0</v>
      </c>
      <c r="U171" s="182">
        <f t="shared" si="63"/>
        <v>0</v>
      </c>
      <c r="V171" s="14">
        <f t="shared" si="64"/>
        <v>5078.2299999999996</v>
      </c>
      <c r="W171" s="14">
        <f t="shared" si="65"/>
        <v>-5078.2299999999996</v>
      </c>
      <c r="Y171" s="14">
        <f t="shared" si="71"/>
        <v>352.63</v>
      </c>
      <c r="Z171" s="14">
        <f t="shared" si="72"/>
        <v>-352.63</v>
      </c>
      <c r="AA171" s="11">
        <f t="shared" si="66"/>
        <v>0.66</v>
      </c>
      <c r="AB171" s="9">
        <f t="shared" si="73"/>
        <v>118.14</v>
      </c>
      <c r="AD171" s="13">
        <f>IF(AH171&gt;AH170,AD170,IF(AD170&lt;MiscData!$F$1,EOMONTH(AD170,1),EOMONTH(AD170,-11)))</f>
        <v>42429</v>
      </c>
      <c r="AE171" s="7" t="str">
        <f t="shared" si="67"/>
        <v>20140101KUUM_494</v>
      </c>
      <c r="AF171" s="12" t="str">
        <f t="shared" si="68"/>
        <v>20140101LS</v>
      </c>
      <c r="AG171" s="31"/>
      <c r="AH171">
        <f>IF(AH170=MiscData!$AB$91,1,AH170+1)</f>
        <v>82</v>
      </c>
      <c r="AI171">
        <f>IF(AD171&lt;=MiscData!$B$23,MiscData!$C$23,IF(AD171&lt;=MiscData!$B$24,MiscData!$C$24,MiscData!$C$25))</f>
        <v>20140101</v>
      </c>
      <c r="AK171" s="190" t="str">
        <f>VLOOKUP(AM171,MiscData!$AB$4:$ACB$113,2,FALSE)</f>
        <v>KUUM_494</v>
      </c>
      <c r="AL171" s="190" t="str">
        <f>VLOOKUP(AM171,MiscData!$AB$4:$AE$115,4,FALSE)</f>
        <v>LS</v>
      </c>
      <c r="AM171">
        <f>IF(AM170=MiscData!$AB$91,1,AM170+1)</f>
        <v>82</v>
      </c>
    </row>
    <row r="172" spans="1:39">
      <c r="A172" s="7">
        <f t="shared" si="74"/>
        <v>171</v>
      </c>
      <c r="B172" s="13" t="str">
        <f t="shared" si="50"/>
        <v>Feb 2016</v>
      </c>
      <c r="C172" s="23" t="str">
        <f t="shared" si="51"/>
        <v>LS</v>
      </c>
      <c r="D172" s="23" t="str">
        <f t="shared" si="52"/>
        <v>KUUM_495</v>
      </c>
      <c r="E172" s="170">
        <f t="shared" si="53"/>
        <v>624</v>
      </c>
      <c r="F172" s="185"/>
      <c r="G172" s="170">
        <f t="shared" si="54"/>
        <v>0</v>
      </c>
      <c r="H172" s="170">
        <v>0</v>
      </c>
      <c r="I172" s="11">
        <f t="shared" si="55"/>
        <v>34.830000000000005</v>
      </c>
      <c r="J172" s="11">
        <f t="shared" si="56"/>
        <v>4.2899999999999991</v>
      </c>
      <c r="K172" s="416">
        <f t="shared" si="69"/>
        <v>21733.919999999998</v>
      </c>
      <c r="L172" s="180"/>
      <c r="M172" s="180"/>
      <c r="N172" s="182">
        <f t="shared" si="57"/>
        <v>21733.919999999998</v>
      </c>
      <c r="O172" s="29">
        <f t="shared" si="58"/>
        <v>0</v>
      </c>
      <c r="P172" s="181">
        <f t="shared" si="70"/>
        <v>0</v>
      </c>
      <c r="Q172" s="182">
        <f t="shared" si="59"/>
        <v>0</v>
      </c>
      <c r="R172" s="182">
        <f t="shared" si="60"/>
        <v>0</v>
      </c>
      <c r="S172" s="182">
        <f t="shared" si="61"/>
        <v>0</v>
      </c>
      <c r="T172" s="182">
        <f t="shared" si="62"/>
        <v>0</v>
      </c>
      <c r="U172" s="182">
        <f t="shared" si="63"/>
        <v>0</v>
      </c>
      <c r="V172" s="14">
        <f t="shared" si="64"/>
        <v>21733.919999999998</v>
      </c>
      <c r="W172" s="14">
        <f t="shared" si="65"/>
        <v>-21733.919999999998</v>
      </c>
      <c r="Y172" s="14">
        <f t="shared" si="71"/>
        <v>2676.96</v>
      </c>
      <c r="Z172" s="14">
        <f t="shared" si="72"/>
        <v>-2676.96</v>
      </c>
      <c r="AA172" s="11">
        <f t="shared" si="66"/>
        <v>0.84</v>
      </c>
      <c r="AB172" s="9">
        <f t="shared" si="73"/>
        <v>524.16</v>
      </c>
      <c r="AD172" s="13">
        <f>IF(AH172&gt;AH171,AD171,IF(AD171&lt;MiscData!$F$1,EOMONTH(AD171,1),EOMONTH(AD171,-11)))</f>
        <v>42429</v>
      </c>
      <c r="AE172" s="7" t="str">
        <f t="shared" si="67"/>
        <v>20140101KUUM_495</v>
      </c>
      <c r="AF172" s="12" t="str">
        <f t="shared" si="68"/>
        <v>20140101LS</v>
      </c>
      <c r="AG172" s="31"/>
      <c r="AH172">
        <f>IF(AH171=MiscData!$AB$91,1,AH171+1)</f>
        <v>83</v>
      </c>
      <c r="AI172">
        <f>IF(AD172&lt;=MiscData!$B$23,MiscData!$C$23,IF(AD172&lt;=MiscData!$B$24,MiscData!$C$24,MiscData!$C$25))</f>
        <v>20140101</v>
      </c>
      <c r="AK172" s="190" t="str">
        <f>VLOOKUP(AM172,MiscData!$AB$4:$ACB$113,2,FALSE)</f>
        <v>KUUM_495</v>
      </c>
      <c r="AL172" s="190" t="str">
        <f>VLOOKUP(AM172,MiscData!$AB$4:$AE$115,4,FALSE)</f>
        <v>LS</v>
      </c>
      <c r="AM172">
        <f>IF(AM171=MiscData!$AB$91,1,AM171+1)</f>
        <v>83</v>
      </c>
    </row>
    <row r="173" spans="1:39">
      <c r="A173" s="7">
        <f t="shared" si="74"/>
        <v>172</v>
      </c>
      <c r="B173" s="13" t="str">
        <f t="shared" si="50"/>
        <v>Feb 2016</v>
      </c>
      <c r="C173" s="23" t="str">
        <f t="shared" si="51"/>
        <v>LS</v>
      </c>
      <c r="D173" s="23" t="str">
        <f t="shared" si="52"/>
        <v>KUUM_496</v>
      </c>
      <c r="E173" s="170">
        <f t="shared" si="53"/>
        <v>156</v>
      </c>
      <c r="F173" s="185"/>
      <c r="G173" s="170">
        <f t="shared" si="54"/>
        <v>0</v>
      </c>
      <c r="H173" s="170">
        <v>0</v>
      </c>
      <c r="I173" s="11">
        <f t="shared" si="55"/>
        <v>58.59</v>
      </c>
      <c r="J173" s="11">
        <f t="shared" si="56"/>
        <v>10.409999999999997</v>
      </c>
      <c r="K173" s="416">
        <f t="shared" si="69"/>
        <v>9140.0400000000009</v>
      </c>
      <c r="L173" s="180"/>
      <c r="M173" s="180"/>
      <c r="N173" s="182">
        <f t="shared" si="57"/>
        <v>9140.0400000000009</v>
      </c>
      <c r="O173" s="29">
        <f t="shared" si="58"/>
        <v>0</v>
      </c>
      <c r="P173" s="181">
        <f t="shared" si="70"/>
        <v>0</v>
      </c>
      <c r="Q173" s="182">
        <f t="shared" si="59"/>
        <v>0</v>
      </c>
      <c r="R173" s="182">
        <f t="shared" si="60"/>
        <v>0</v>
      </c>
      <c r="S173" s="182">
        <f t="shared" si="61"/>
        <v>0</v>
      </c>
      <c r="T173" s="182">
        <f t="shared" si="62"/>
        <v>0</v>
      </c>
      <c r="U173" s="182">
        <f t="shared" si="63"/>
        <v>0</v>
      </c>
      <c r="V173" s="14">
        <f t="shared" si="64"/>
        <v>9140.0400000000009</v>
      </c>
      <c r="W173" s="14">
        <f t="shared" si="65"/>
        <v>-9140.0400000000009</v>
      </c>
      <c r="Y173" s="14">
        <f t="shared" si="71"/>
        <v>1623.96</v>
      </c>
      <c r="Z173" s="14">
        <f t="shared" si="72"/>
        <v>-1623.96</v>
      </c>
      <c r="AA173" s="11">
        <f t="shared" si="66"/>
        <v>1.7</v>
      </c>
      <c r="AB173" s="9">
        <f t="shared" si="73"/>
        <v>265.2</v>
      </c>
      <c r="AD173" s="13">
        <f>IF(AH173&gt;AH172,AD172,IF(AD172&lt;MiscData!$F$1,EOMONTH(AD172,1),EOMONTH(AD172,-11)))</f>
        <v>42429</v>
      </c>
      <c r="AE173" s="7" t="str">
        <f t="shared" si="67"/>
        <v>20140101KUUM_496</v>
      </c>
      <c r="AF173" s="12" t="str">
        <f t="shared" si="68"/>
        <v>20140101LS</v>
      </c>
      <c r="AG173" s="31"/>
      <c r="AH173">
        <f>IF(AH172=MiscData!$AB$91,1,AH172+1)</f>
        <v>84</v>
      </c>
      <c r="AI173">
        <f>IF(AD173&lt;=MiscData!$B$23,MiscData!$C$23,IF(AD173&lt;=MiscData!$B$24,MiscData!$C$24,MiscData!$C$25))</f>
        <v>20140101</v>
      </c>
      <c r="AK173" s="190" t="str">
        <f>VLOOKUP(AM173,MiscData!$AB$4:$ACB$113,2,FALSE)</f>
        <v>KUUM_496</v>
      </c>
      <c r="AL173" s="190" t="str">
        <f>VLOOKUP(AM173,MiscData!$AB$4:$AE$115,4,FALSE)</f>
        <v>LS</v>
      </c>
      <c r="AM173">
        <f>IF(AM172=MiscData!$AB$91,1,AM172+1)</f>
        <v>84</v>
      </c>
    </row>
    <row r="174" spans="1:39">
      <c r="A174" s="7">
        <f t="shared" si="74"/>
        <v>173</v>
      </c>
      <c r="B174" s="13" t="str">
        <f t="shared" si="50"/>
        <v>Feb 2016</v>
      </c>
      <c r="C174" s="23" t="str">
        <f t="shared" si="51"/>
        <v>LS</v>
      </c>
      <c r="D174" s="23" t="str">
        <f t="shared" si="52"/>
        <v>KUUM_497</v>
      </c>
      <c r="E174" s="170">
        <f t="shared" si="53"/>
        <v>8</v>
      </c>
      <c r="F174" s="185"/>
      <c r="G174" s="170">
        <f t="shared" si="54"/>
        <v>0</v>
      </c>
      <c r="H174" s="170">
        <v>0</v>
      </c>
      <c r="I174" s="11">
        <f t="shared" si="55"/>
        <v>15.35</v>
      </c>
      <c r="J174" s="11">
        <f t="shared" si="56"/>
        <v>1.1300000000000008</v>
      </c>
      <c r="K174" s="416">
        <f t="shared" si="69"/>
        <v>122.8</v>
      </c>
      <c r="L174" s="180"/>
      <c r="M174" s="180"/>
      <c r="N174" s="182">
        <f t="shared" si="57"/>
        <v>122.8</v>
      </c>
      <c r="O174" s="29">
        <f t="shared" si="58"/>
        <v>0</v>
      </c>
      <c r="P174" s="181">
        <f t="shared" si="70"/>
        <v>0</v>
      </c>
      <c r="Q174" s="182">
        <f t="shared" si="59"/>
        <v>0</v>
      </c>
      <c r="R174" s="182">
        <f t="shared" si="60"/>
        <v>0</v>
      </c>
      <c r="S174" s="182">
        <f t="shared" si="61"/>
        <v>0</v>
      </c>
      <c r="T174" s="182">
        <f t="shared" si="62"/>
        <v>0</v>
      </c>
      <c r="U174" s="182">
        <f t="shared" si="63"/>
        <v>0</v>
      </c>
      <c r="V174" s="14">
        <f t="shared" si="64"/>
        <v>122.8</v>
      </c>
      <c r="W174" s="14">
        <f t="shared" si="65"/>
        <v>-122.8</v>
      </c>
      <c r="Y174" s="14">
        <f t="shared" si="71"/>
        <v>9.0399999999999991</v>
      </c>
      <c r="Z174" s="14">
        <f t="shared" si="72"/>
        <v>-9.0399999999999991</v>
      </c>
      <c r="AA174" s="11">
        <f t="shared" si="66"/>
        <v>0.34</v>
      </c>
      <c r="AB174" s="9">
        <f t="shared" si="73"/>
        <v>2.72</v>
      </c>
      <c r="AD174" s="13">
        <f>IF(AH174&gt;AH173,AD173,IF(AD173&lt;MiscData!$F$1,EOMONTH(AD173,1),EOMONTH(AD173,-11)))</f>
        <v>42429</v>
      </c>
      <c r="AE174" s="7" t="str">
        <f t="shared" si="67"/>
        <v>20140101KUUM_497</v>
      </c>
      <c r="AF174" s="12" t="str">
        <f t="shared" si="68"/>
        <v>20140101LS</v>
      </c>
      <c r="AG174" s="31"/>
      <c r="AH174">
        <f>IF(AH173=MiscData!$AB$91,1,AH173+1)</f>
        <v>85</v>
      </c>
      <c r="AI174">
        <f>IF(AD174&lt;=MiscData!$B$23,MiscData!$C$23,IF(AD174&lt;=MiscData!$B$24,MiscData!$C$24,MiscData!$C$25))</f>
        <v>20140101</v>
      </c>
      <c r="AK174" s="190" t="str">
        <f>VLOOKUP(AM174,MiscData!$AB$4:$ACB$113,2,FALSE)</f>
        <v>KUUM_497</v>
      </c>
      <c r="AL174" s="190" t="str">
        <f>VLOOKUP(AM174,MiscData!$AB$4:$AE$115,4,FALSE)</f>
        <v>LS</v>
      </c>
      <c r="AM174">
        <f>IF(AM173=MiscData!$AB$91,1,AM173+1)</f>
        <v>85</v>
      </c>
    </row>
    <row r="175" spans="1:39">
      <c r="A175" s="7">
        <f t="shared" si="74"/>
        <v>174</v>
      </c>
      <c r="B175" s="13" t="str">
        <f t="shared" si="50"/>
        <v>Feb 2016</v>
      </c>
      <c r="C175" s="23" t="str">
        <f t="shared" si="51"/>
        <v>LS</v>
      </c>
      <c r="D175" s="23" t="str">
        <f t="shared" si="52"/>
        <v>KUUM_498</v>
      </c>
      <c r="E175" s="170">
        <f t="shared" si="53"/>
        <v>30</v>
      </c>
      <c r="F175" s="185"/>
      <c r="G175" s="170">
        <f t="shared" si="54"/>
        <v>0</v>
      </c>
      <c r="H175" s="170">
        <v>0</v>
      </c>
      <c r="I175" s="11">
        <f t="shared" si="55"/>
        <v>17.72</v>
      </c>
      <c r="J175" s="11">
        <f t="shared" si="56"/>
        <v>2.33</v>
      </c>
      <c r="K175" s="416">
        <f t="shared" si="69"/>
        <v>531.6</v>
      </c>
      <c r="L175" s="180"/>
      <c r="M175" s="180"/>
      <c r="N175" s="182">
        <f t="shared" si="57"/>
        <v>531.6</v>
      </c>
      <c r="O175" s="29">
        <f t="shared" si="58"/>
        <v>0</v>
      </c>
      <c r="P175" s="181">
        <f t="shared" si="70"/>
        <v>0</v>
      </c>
      <c r="Q175" s="182">
        <f t="shared" si="59"/>
        <v>0</v>
      </c>
      <c r="R175" s="182">
        <f t="shared" si="60"/>
        <v>0</v>
      </c>
      <c r="S175" s="182">
        <f t="shared" si="61"/>
        <v>0</v>
      </c>
      <c r="T175" s="182">
        <f t="shared" si="62"/>
        <v>0</v>
      </c>
      <c r="U175" s="182">
        <f t="shared" si="63"/>
        <v>0</v>
      </c>
      <c r="V175" s="14">
        <f t="shared" si="64"/>
        <v>531.6</v>
      </c>
      <c r="W175" s="14">
        <f t="shared" si="65"/>
        <v>-531.6</v>
      </c>
      <c r="Y175" s="14">
        <f t="shared" si="71"/>
        <v>69.900000000000006</v>
      </c>
      <c r="Z175" s="14">
        <f t="shared" si="72"/>
        <v>-69.900000000000006</v>
      </c>
      <c r="AA175" s="11">
        <f t="shared" si="66"/>
        <v>0.57999999999999996</v>
      </c>
      <c r="AB175" s="9">
        <f t="shared" si="73"/>
        <v>17.399999999999999</v>
      </c>
      <c r="AD175" s="13">
        <f>IF(AH175&gt;AH174,AD174,IF(AD174&lt;MiscData!$F$1,EOMONTH(AD174,1),EOMONTH(AD174,-11)))</f>
        <v>42429</v>
      </c>
      <c r="AE175" s="7" t="str">
        <f t="shared" si="67"/>
        <v>20140101KUUM_498</v>
      </c>
      <c r="AF175" s="12" t="str">
        <f t="shared" si="68"/>
        <v>20140101LS</v>
      </c>
      <c r="AG175" s="31"/>
      <c r="AH175">
        <f>IF(AH174=MiscData!$AB$91,1,AH174+1)</f>
        <v>86</v>
      </c>
      <c r="AI175">
        <f>IF(AD175&lt;=MiscData!$B$23,MiscData!$C$23,IF(AD175&lt;=MiscData!$B$24,MiscData!$C$24,MiscData!$C$25))</f>
        <v>20140101</v>
      </c>
      <c r="AK175" s="190" t="str">
        <f>VLOOKUP(AM175,MiscData!$AB$4:$ACB$113,2,FALSE)</f>
        <v>KUUM_498</v>
      </c>
      <c r="AL175" s="190" t="str">
        <f>VLOOKUP(AM175,MiscData!$AB$4:$AE$115,4,FALSE)</f>
        <v>LS</v>
      </c>
      <c r="AM175">
        <f>IF(AM174=MiscData!$AB$91,1,AM174+1)</f>
        <v>86</v>
      </c>
    </row>
    <row r="176" spans="1:39">
      <c r="A176" s="7">
        <f t="shared" si="74"/>
        <v>175</v>
      </c>
      <c r="B176" s="13" t="str">
        <f t="shared" si="50"/>
        <v>Feb 2016</v>
      </c>
      <c r="C176" s="23" t="str">
        <f t="shared" si="51"/>
        <v>LS</v>
      </c>
      <c r="D176" s="23" t="str">
        <f t="shared" si="52"/>
        <v>KUUM_499</v>
      </c>
      <c r="E176" s="170">
        <f t="shared" si="53"/>
        <v>24</v>
      </c>
      <c r="F176" s="185"/>
      <c r="G176" s="170">
        <f t="shared" si="54"/>
        <v>0</v>
      </c>
      <c r="H176" s="170">
        <v>0</v>
      </c>
      <c r="I176" s="11">
        <f t="shared" si="55"/>
        <v>21.490000000000002</v>
      </c>
      <c r="J176" s="11">
        <f t="shared" si="56"/>
        <v>4.5300000000000011</v>
      </c>
      <c r="K176" s="416">
        <f t="shared" si="69"/>
        <v>515.76</v>
      </c>
      <c r="L176" s="180"/>
      <c r="M176" s="180"/>
      <c r="N176" s="182">
        <f t="shared" si="57"/>
        <v>515.76</v>
      </c>
      <c r="O176" s="29">
        <f t="shared" si="58"/>
        <v>0</v>
      </c>
      <c r="P176" s="181">
        <f t="shared" si="70"/>
        <v>0</v>
      </c>
      <c r="Q176" s="182">
        <f t="shared" si="59"/>
        <v>0</v>
      </c>
      <c r="R176" s="182">
        <f t="shared" si="60"/>
        <v>0</v>
      </c>
      <c r="S176" s="182">
        <f t="shared" si="61"/>
        <v>0</v>
      </c>
      <c r="T176" s="182">
        <f t="shared" si="62"/>
        <v>0</v>
      </c>
      <c r="U176" s="182">
        <f t="shared" si="63"/>
        <v>0</v>
      </c>
      <c r="V176" s="14">
        <f t="shared" si="64"/>
        <v>515.76</v>
      </c>
      <c r="W176" s="14">
        <f t="shared" si="65"/>
        <v>-515.76</v>
      </c>
      <c r="Y176" s="14">
        <f t="shared" si="71"/>
        <v>108.72</v>
      </c>
      <c r="Z176" s="14">
        <f t="shared" si="72"/>
        <v>-108.72</v>
      </c>
      <c r="AA176" s="11">
        <f t="shared" si="66"/>
        <v>0.79</v>
      </c>
      <c r="AB176" s="9">
        <f t="shared" si="73"/>
        <v>18.96</v>
      </c>
      <c r="AD176" s="13">
        <f>IF(AH176&gt;AH175,AD175,IF(AD175&lt;MiscData!$F$1,EOMONTH(AD175,1),EOMONTH(AD175,-11)))</f>
        <v>42429</v>
      </c>
      <c r="AE176" s="7" t="str">
        <f t="shared" si="67"/>
        <v>20140101KUUM_499</v>
      </c>
      <c r="AF176" s="12" t="str">
        <f t="shared" si="68"/>
        <v>20140101LS</v>
      </c>
      <c r="AG176" s="31"/>
      <c r="AH176">
        <f>IF(AH175=MiscData!$AB$91,1,AH175+1)</f>
        <v>87</v>
      </c>
      <c r="AI176">
        <f>IF(AD176&lt;=MiscData!$B$23,MiscData!$C$23,IF(AD176&lt;=MiscData!$B$24,MiscData!$C$24,MiscData!$C$25))</f>
        <v>20140101</v>
      </c>
      <c r="AK176" s="190" t="str">
        <f>VLOOKUP(AM176,MiscData!$AB$4:$ACB$113,2,FALSE)</f>
        <v>KUUM_499</v>
      </c>
      <c r="AL176" s="190" t="str">
        <f>VLOOKUP(AM176,MiscData!$AB$4:$AE$115,4,FALSE)</f>
        <v>LS</v>
      </c>
      <c r="AM176">
        <f>IF(AM175=MiscData!$AB$91,1,AM175+1)</f>
        <v>87</v>
      </c>
    </row>
    <row r="177" spans="1:39" s="41" customFormat="1">
      <c r="A177" s="414">
        <f t="shared" si="74"/>
        <v>176</v>
      </c>
      <c r="B177" s="427" t="str">
        <f t="shared" si="50"/>
        <v>Feb 2016</v>
      </c>
      <c r="C177" s="428" t="str">
        <f t="shared" si="51"/>
        <v>ODL</v>
      </c>
      <c r="D177" s="428" t="str">
        <f t="shared" si="52"/>
        <v>ODL</v>
      </c>
      <c r="E177" s="425">
        <f t="shared" si="53"/>
        <v>0</v>
      </c>
      <c r="F177" s="429"/>
      <c r="G177" s="425">
        <f t="shared" si="54"/>
        <v>9323849</v>
      </c>
      <c r="H177" s="425"/>
      <c r="I177" s="415">
        <f t="shared" si="55"/>
        <v>0</v>
      </c>
      <c r="J177" s="415">
        <f t="shared" si="56"/>
        <v>0</v>
      </c>
      <c r="K177" s="416">
        <f t="shared" si="69"/>
        <v>0</v>
      </c>
      <c r="L177" s="430"/>
      <c r="M177" s="430"/>
      <c r="N177" s="186">
        <f t="shared" si="57"/>
        <v>0</v>
      </c>
      <c r="O177" s="431">
        <f t="shared" si="58"/>
        <v>2106668</v>
      </c>
      <c r="P177" s="417">
        <f t="shared" si="70"/>
        <v>0</v>
      </c>
      <c r="Q177" s="186">
        <f t="shared" si="59"/>
        <v>40098</v>
      </c>
      <c r="R177" s="186">
        <f t="shared" si="60"/>
        <v>0</v>
      </c>
      <c r="S177" s="186">
        <f t="shared" si="61"/>
        <v>50583</v>
      </c>
      <c r="T177" s="186">
        <f t="shared" si="62"/>
        <v>0</v>
      </c>
      <c r="U177" s="186">
        <f t="shared" si="63"/>
        <v>2197349</v>
      </c>
      <c r="V177" s="418">
        <f t="shared" si="64"/>
        <v>90681</v>
      </c>
      <c r="W177" s="418">
        <f t="shared" si="65"/>
        <v>2106668</v>
      </c>
      <c r="Y177" s="418">
        <f t="shared" si="71"/>
        <v>0</v>
      </c>
      <c r="Z177" s="418">
        <f t="shared" si="72"/>
        <v>2106668</v>
      </c>
      <c r="AA177" s="11">
        <f t="shared" si="66"/>
        <v>0</v>
      </c>
      <c r="AB177" s="9">
        <f t="shared" si="73"/>
        <v>0</v>
      </c>
      <c r="AD177" s="427">
        <f>IF(AH177&gt;AH176,AD176,IF(AD176&lt;MiscData!$F$1,EOMONTH(AD176,1),EOMONTH(AD176,-11)))</f>
        <v>42429</v>
      </c>
      <c r="AE177" s="414" t="str">
        <f t="shared" si="67"/>
        <v>20140101ODL</v>
      </c>
      <c r="AF177" s="466" t="str">
        <f t="shared" si="68"/>
        <v>20140101ODL</v>
      </c>
      <c r="AG177" s="467"/>
      <c r="AH177" s="41">
        <f>IF(AH176=MiscData!$AB$91,1,AH176+1)</f>
        <v>88</v>
      </c>
      <c r="AI177" s="41">
        <f>IF(AD177&lt;=MiscData!$B$23,MiscData!$C$23,IF(AD177&lt;=MiscData!$B$24,MiscData!$C$24,MiscData!$C$25))</f>
        <v>20140101</v>
      </c>
      <c r="AK177" s="468" t="str">
        <f>VLOOKUP(AM177,MiscData!$AB$4:$ACB$113,2,FALSE)</f>
        <v>ODL</v>
      </c>
      <c r="AL177" s="468" t="str">
        <f>VLOOKUP(AM177,MiscData!$AB$4:$AE$115,4,FALSE)</f>
        <v>ODL</v>
      </c>
      <c r="AM177" s="41">
        <f>IF(AM176=MiscData!$AB$91,1,AM176+1)</f>
        <v>88</v>
      </c>
    </row>
    <row r="178" spans="1:39">
      <c r="A178" s="7">
        <f t="shared" si="74"/>
        <v>177</v>
      </c>
      <c r="B178" s="13" t="str">
        <f t="shared" si="50"/>
        <v>Mar 2016</v>
      </c>
      <c r="C178" s="23" t="str">
        <f t="shared" si="51"/>
        <v>LS</v>
      </c>
      <c r="D178" s="23" t="str">
        <f t="shared" si="52"/>
        <v>KUUM_300</v>
      </c>
      <c r="E178" s="170">
        <f t="shared" si="53"/>
        <v>0</v>
      </c>
      <c r="F178" s="185"/>
      <c r="G178" s="170">
        <f t="shared" si="54"/>
        <v>0</v>
      </c>
      <c r="H178" s="170">
        <v>0</v>
      </c>
      <c r="I178" s="11">
        <f t="shared" si="55"/>
        <v>22.49</v>
      </c>
      <c r="J178" s="11">
        <f t="shared" si="56"/>
        <v>0.58000000000000185</v>
      </c>
      <c r="K178" s="416">
        <f t="shared" si="69"/>
        <v>0</v>
      </c>
      <c r="L178" s="180"/>
      <c r="M178" s="180"/>
      <c r="N178" s="182">
        <f t="shared" si="57"/>
        <v>0</v>
      </c>
      <c r="O178" s="29">
        <f t="shared" si="58"/>
        <v>0</v>
      </c>
      <c r="P178" s="181">
        <f t="shared" si="70"/>
        <v>1</v>
      </c>
      <c r="Q178" s="182">
        <f t="shared" si="59"/>
        <v>0</v>
      </c>
      <c r="R178" s="182">
        <f t="shared" si="60"/>
        <v>0</v>
      </c>
      <c r="S178" s="182">
        <f t="shared" si="61"/>
        <v>0</v>
      </c>
      <c r="T178" s="182">
        <f t="shared" si="62"/>
        <v>0</v>
      </c>
      <c r="U178" s="182">
        <f t="shared" si="63"/>
        <v>0</v>
      </c>
      <c r="V178" s="14">
        <f t="shared" si="64"/>
        <v>0</v>
      </c>
      <c r="W178" s="14">
        <f t="shared" si="65"/>
        <v>0</v>
      </c>
      <c r="Y178" s="14">
        <f t="shared" si="71"/>
        <v>0</v>
      </c>
      <c r="Z178" s="14">
        <f t="shared" si="72"/>
        <v>0</v>
      </c>
      <c r="AA178" s="11">
        <f t="shared" si="66"/>
        <v>0.33</v>
      </c>
      <c r="AB178" s="9">
        <f t="shared" si="73"/>
        <v>0</v>
      </c>
      <c r="AD178" s="13">
        <f>IF(AH178&gt;AH177,AD177,IF(AD177&lt;MiscData!$F$1,EOMONTH(AD177,1),EOMONTH(AD177,-11)))</f>
        <v>42460</v>
      </c>
      <c r="AE178" s="7" t="str">
        <f t="shared" si="67"/>
        <v>20140101KUUM_300</v>
      </c>
      <c r="AF178" s="12" t="str">
        <f t="shared" si="68"/>
        <v>20140101LS</v>
      </c>
      <c r="AG178" s="31"/>
      <c r="AH178">
        <f>IF(AH177=MiscData!$AB$91,1,AH177+1)</f>
        <v>1</v>
      </c>
      <c r="AI178">
        <f>IF(AD178&lt;=MiscData!$B$23,MiscData!$C$23,IF(AD178&lt;=MiscData!$B$24,MiscData!$C$24,MiscData!$C$25))</f>
        <v>20140101</v>
      </c>
      <c r="AK178" s="190" t="str">
        <f>VLOOKUP(AM178,MiscData!$AB$4:$ACB$113,2,FALSE)</f>
        <v>KUUM_300</v>
      </c>
      <c r="AL178" s="190" t="str">
        <f>VLOOKUP(AM178,MiscData!$AB$4:$AE$115,4,FALSE)</f>
        <v>LS</v>
      </c>
      <c r="AM178">
        <f>IF(AM177=MiscData!$AB$91,1,AM177+1)</f>
        <v>1</v>
      </c>
    </row>
    <row r="179" spans="1:39">
      <c r="A179" s="7">
        <f t="shared" si="74"/>
        <v>178</v>
      </c>
      <c r="B179" s="13" t="str">
        <f t="shared" si="50"/>
        <v>Mar 2016</v>
      </c>
      <c r="C179" s="23" t="str">
        <f t="shared" si="51"/>
        <v>LS</v>
      </c>
      <c r="D179" s="23" t="str">
        <f t="shared" si="52"/>
        <v>KUUM_301</v>
      </c>
      <c r="E179" s="170">
        <f t="shared" si="53"/>
        <v>0</v>
      </c>
      <c r="F179" s="185"/>
      <c r="G179" s="170">
        <f t="shared" si="54"/>
        <v>0</v>
      </c>
      <c r="H179" s="170">
        <v>0</v>
      </c>
      <c r="I179" s="11">
        <f t="shared" si="55"/>
        <v>23.5</v>
      </c>
      <c r="J179" s="11">
        <f t="shared" si="56"/>
        <v>1.129999999999999</v>
      </c>
      <c r="K179" s="416">
        <f t="shared" si="69"/>
        <v>0</v>
      </c>
      <c r="L179" s="180"/>
      <c r="M179" s="180"/>
      <c r="N179" s="182">
        <f t="shared" si="57"/>
        <v>0</v>
      </c>
      <c r="O179" s="29">
        <f t="shared" si="58"/>
        <v>0</v>
      </c>
      <c r="P179" s="181">
        <f t="shared" si="70"/>
        <v>1</v>
      </c>
      <c r="Q179" s="182">
        <f t="shared" si="59"/>
        <v>0</v>
      </c>
      <c r="R179" s="182">
        <f t="shared" si="60"/>
        <v>0</v>
      </c>
      <c r="S179" s="182">
        <f t="shared" si="61"/>
        <v>0</v>
      </c>
      <c r="T179" s="182">
        <f t="shared" si="62"/>
        <v>0</v>
      </c>
      <c r="U179" s="182">
        <f t="shared" si="63"/>
        <v>0</v>
      </c>
      <c r="V179" s="14">
        <f t="shared" si="64"/>
        <v>0</v>
      </c>
      <c r="W179" s="14">
        <f t="shared" si="65"/>
        <v>0</v>
      </c>
      <c r="Y179" s="14">
        <f t="shared" si="71"/>
        <v>0</v>
      </c>
      <c r="Z179" s="14">
        <f t="shared" si="72"/>
        <v>0</v>
      </c>
      <c r="AA179" s="11">
        <f t="shared" si="66"/>
        <v>0.34</v>
      </c>
      <c r="AB179" s="9">
        <f t="shared" si="73"/>
        <v>0</v>
      </c>
      <c r="AD179" s="13">
        <f>IF(AH179&gt;AH178,AD178,IF(AD178&lt;MiscData!$F$1,EOMONTH(AD178,1),EOMONTH(AD178,-11)))</f>
        <v>42460</v>
      </c>
      <c r="AE179" s="7" t="str">
        <f t="shared" si="67"/>
        <v>20140101KUUM_301</v>
      </c>
      <c r="AF179" s="12" t="str">
        <f t="shared" si="68"/>
        <v>20140101LS</v>
      </c>
      <c r="AG179" s="31"/>
      <c r="AH179">
        <f>IF(AH178=MiscData!$AB$91,1,AH178+1)</f>
        <v>2</v>
      </c>
      <c r="AI179">
        <f>IF(AD179&lt;=MiscData!$B$23,MiscData!$C$23,IF(AD179&lt;=MiscData!$B$24,MiscData!$C$24,MiscData!$C$25))</f>
        <v>20140101</v>
      </c>
      <c r="AK179" s="190" t="str">
        <f>VLOOKUP(AM179,MiscData!$AB$4:$ACB$113,2,FALSE)</f>
        <v>KUUM_301</v>
      </c>
      <c r="AL179" s="190" t="str">
        <f>VLOOKUP(AM179,MiscData!$AB$4:$AE$115,4,FALSE)</f>
        <v>LS</v>
      </c>
      <c r="AM179">
        <f>IF(AM178=MiscData!$AB$91,1,AM178+1)</f>
        <v>2</v>
      </c>
    </row>
    <row r="180" spans="1:39">
      <c r="A180" s="7">
        <f t="shared" si="74"/>
        <v>179</v>
      </c>
      <c r="B180" s="13" t="str">
        <f t="shared" si="50"/>
        <v>Mar 2016</v>
      </c>
      <c r="C180" s="23" t="str">
        <f t="shared" si="51"/>
        <v>LS</v>
      </c>
      <c r="D180" s="23" t="str">
        <f t="shared" si="52"/>
        <v>KUUM_360</v>
      </c>
      <c r="E180" s="170">
        <f t="shared" si="53"/>
        <v>178</v>
      </c>
      <c r="F180" s="185"/>
      <c r="G180" s="170">
        <f t="shared" si="54"/>
        <v>0</v>
      </c>
      <c r="H180" s="170">
        <v>0</v>
      </c>
      <c r="I180" s="11">
        <f t="shared" si="55"/>
        <v>55.33</v>
      </c>
      <c r="J180" s="11">
        <f t="shared" si="56"/>
        <v>1.75</v>
      </c>
      <c r="K180" s="416">
        <f t="shared" si="69"/>
        <v>9848.74</v>
      </c>
      <c r="L180" s="180"/>
      <c r="M180" s="180"/>
      <c r="N180" s="182">
        <f t="shared" si="57"/>
        <v>9848.74</v>
      </c>
      <c r="O180" s="29">
        <f t="shared" si="58"/>
        <v>0</v>
      </c>
      <c r="P180" s="181">
        <f t="shared" si="70"/>
        <v>0</v>
      </c>
      <c r="Q180" s="182">
        <f t="shared" si="59"/>
        <v>0</v>
      </c>
      <c r="R180" s="182">
        <f t="shared" si="60"/>
        <v>0</v>
      </c>
      <c r="S180" s="182">
        <f t="shared" si="61"/>
        <v>0</v>
      </c>
      <c r="T180" s="182">
        <f t="shared" si="62"/>
        <v>0</v>
      </c>
      <c r="U180" s="182">
        <f t="shared" si="63"/>
        <v>0</v>
      </c>
      <c r="V180" s="14">
        <f t="shared" si="64"/>
        <v>9848.74</v>
      </c>
      <c r="W180" s="14">
        <f t="shared" si="65"/>
        <v>-9848.74</v>
      </c>
      <c r="Y180" s="14">
        <f t="shared" si="71"/>
        <v>311.5</v>
      </c>
      <c r="Z180" s="14">
        <f t="shared" si="72"/>
        <v>-311.5</v>
      </c>
      <c r="AA180" s="11">
        <f t="shared" si="66"/>
        <v>2.41</v>
      </c>
      <c r="AB180" s="9">
        <f t="shared" si="73"/>
        <v>428.98</v>
      </c>
      <c r="AD180" s="13">
        <f>IF(AH180&gt;AH179,AD179,IF(AD179&lt;MiscData!$F$1,EOMONTH(AD179,1),EOMONTH(AD179,-11)))</f>
        <v>42460</v>
      </c>
      <c r="AE180" s="7" t="str">
        <f t="shared" si="67"/>
        <v>20140101KUUM_360</v>
      </c>
      <c r="AF180" s="12" t="str">
        <f t="shared" si="68"/>
        <v>20140101LS</v>
      </c>
      <c r="AG180" s="31"/>
      <c r="AH180">
        <f>IF(AH179=MiscData!$AB$91,1,AH179+1)</f>
        <v>3</v>
      </c>
      <c r="AI180">
        <f>IF(AD180&lt;=MiscData!$B$23,MiscData!$C$23,IF(AD180&lt;=MiscData!$B$24,MiscData!$C$24,MiscData!$C$25))</f>
        <v>20140101</v>
      </c>
      <c r="AK180" s="190" t="str">
        <f>VLOOKUP(AM180,MiscData!$AB$4:$ACB$113,2,FALSE)</f>
        <v>KUUM_360</v>
      </c>
      <c r="AL180" s="190" t="str">
        <f>VLOOKUP(AM180,MiscData!$AB$4:$AE$115,4,FALSE)</f>
        <v>LS</v>
      </c>
      <c r="AM180">
        <f>IF(AM179=MiscData!$AB$91,1,AM179+1)</f>
        <v>3</v>
      </c>
    </row>
    <row r="181" spans="1:39">
      <c r="A181" s="7">
        <f t="shared" si="74"/>
        <v>180</v>
      </c>
      <c r="B181" s="13" t="str">
        <f t="shared" si="50"/>
        <v>Mar 2016</v>
      </c>
      <c r="C181" s="23" t="str">
        <f t="shared" si="51"/>
        <v>LS</v>
      </c>
      <c r="D181" s="23" t="str">
        <f t="shared" si="52"/>
        <v>KUUM_361</v>
      </c>
      <c r="E181" s="170">
        <f t="shared" si="53"/>
        <v>25</v>
      </c>
      <c r="F181" s="185"/>
      <c r="G181" s="170">
        <f t="shared" si="54"/>
        <v>0</v>
      </c>
      <c r="H181" s="170">
        <v>0</v>
      </c>
      <c r="I181" s="11">
        <f t="shared" si="55"/>
        <v>83.16</v>
      </c>
      <c r="J181" s="11">
        <f t="shared" si="56"/>
        <v>1.75</v>
      </c>
      <c r="K181" s="416">
        <f t="shared" si="69"/>
        <v>2079</v>
      </c>
      <c r="L181" s="180"/>
      <c r="M181" s="180"/>
      <c r="N181" s="182">
        <f t="shared" si="57"/>
        <v>2079</v>
      </c>
      <c r="O181" s="29">
        <f t="shared" si="58"/>
        <v>0</v>
      </c>
      <c r="P181" s="181">
        <f t="shared" si="70"/>
        <v>0</v>
      </c>
      <c r="Q181" s="182">
        <f t="shared" si="59"/>
        <v>0</v>
      </c>
      <c r="R181" s="182">
        <f t="shared" si="60"/>
        <v>0</v>
      </c>
      <c r="S181" s="182">
        <f t="shared" si="61"/>
        <v>0</v>
      </c>
      <c r="T181" s="182">
        <f t="shared" si="62"/>
        <v>0</v>
      </c>
      <c r="U181" s="182">
        <f t="shared" si="63"/>
        <v>0</v>
      </c>
      <c r="V181" s="14">
        <f t="shared" si="64"/>
        <v>2079</v>
      </c>
      <c r="W181" s="14">
        <f t="shared" si="65"/>
        <v>-2079</v>
      </c>
      <c r="Y181" s="14">
        <f t="shared" si="71"/>
        <v>43.75</v>
      </c>
      <c r="Z181" s="14">
        <f t="shared" si="72"/>
        <v>-43.75</v>
      </c>
      <c r="AA181" s="11">
        <f t="shared" si="66"/>
        <v>2.41</v>
      </c>
      <c r="AB181" s="9">
        <f t="shared" si="73"/>
        <v>60.25</v>
      </c>
      <c r="AD181" s="13">
        <f>IF(AH181&gt;AH180,AD180,IF(AD180&lt;MiscData!$F$1,EOMONTH(AD180,1),EOMONTH(AD180,-11)))</f>
        <v>42460</v>
      </c>
      <c r="AE181" s="7" t="str">
        <f t="shared" si="67"/>
        <v>20140101KUUM_361</v>
      </c>
      <c r="AF181" s="12" t="str">
        <f t="shared" si="68"/>
        <v>20140101LS</v>
      </c>
      <c r="AG181" s="31"/>
      <c r="AH181">
        <f>IF(AH180=MiscData!$AB$91,1,AH180+1)</f>
        <v>4</v>
      </c>
      <c r="AI181">
        <f>IF(AD181&lt;=MiscData!$B$23,MiscData!$C$23,IF(AD181&lt;=MiscData!$B$24,MiscData!$C$24,MiscData!$C$25))</f>
        <v>20140101</v>
      </c>
      <c r="AK181" s="190" t="str">
        <f>VLOOKUP(AM181,MiscData!$AB$4:$ACB$113,2,FALSE)</f>
        <v>KUUM_361</v>
      </c>
      <c r="AL181" s="190" t="str">
        <f>VLOOKUP(AM181,MiscData!$AB$4:$AE$115,4,FALSE)</f>
        <v>LS</v>
      </c>
      <c r="AM181">
        <f>IF(AM180=MiscData!$AB$91,1,AM180+1)</f>
        <v>4</v>
      </c>
    </row>
    <row r="182" spans="1:39">
      <c r="A182" s="7">
        <f t="shared" si="74"/>
        <v>181</v>
      </c>
      <c r="B182" s="13" t="str">
        <f t="shared" si="50"/>
        <v>Mar 2016</v>
      </c>
      <c r="C182" s="23" t="str">
        <f t="shared" si="51"/>
        <v>LS</v>
      </c>
      <c r="D182" s="23" t="str">
        <f t="shared" si="52"/>
        <v>KUUM_362</v>
      </c>
      <c r="E182" s="170">
        <f t="shared" si="53"/>
        <v>43</v>
      </c>
      <c r="F182" s="185"/>
      <c r="G182" s="170">
        <f t="shared" si="54"/>
        <v>0</v>
      </c>
      <c r="H182" s="170">
        <v>0</v>
      </c>
      <c r="I182" s="11">
        <f t="shared" si="55"/>
        <v>59.78</v>
      </c>
      <c r="J182" s="11">
        <f t="shared" si="56"/>
        <v>1.75</v>
      </c>
      <c r="K182" s="416">
        <f t="shared" si="69"/>
        <v>2570.54</v>
      </c>
      <c r="L182" s="180"/>
      <c r="M182" s="180"/>
      <c r="N182" s="182">
        <f t="shared" si="57"/>
        <v>2570.54</v>
      </c>
      <c r="O182" s="29">
        <f t="shared" si="58"/>
        <v>0</v>
      </c>
      <c r="P182" s="181">
        <f t="shared" si="70"/>
        <v>0</v>
      </c>
      <c r="Q182" s="182">
        <f t="shared" si="59"/>
        <v>0</v>
      </c>
      <c r="R182" s="182">
        <f t="shared" si="60"/>
        <v>0</v>
      </c>
      <c r="S182" s="182">
        <f t="shared" si="61"/>
        <v>0</v>
      </c>
      <c r="T182" s="182">
        <f t="shared" si="62"/>
        <v>0</v>
      </c>
      <c r="U182" s="182">
        <f t="shared" si="63"/>
        <v>0</v>
      </c>
      <c r="V182" s="14">
        <f t="shared" si="64"/>
        <v>2570.54</v>
      </c>
      <c r="W182" s="14">
        <f t="shared" si="65"/>
        <v>-2570.54</v>
      </c>
      <c r="Y182" s="14">
        <f t="shared" si="71"/>
        <v>75.25</v>
      </c>
      <c r="Z182" s="14">
        <f t="shared" si="72"/>
        <v>-75.25</v>
      </c>
      <c r="AA182" s="11">
        <f t="shared" si="66"/>
        <v>2.41</v>
      </c>
      <c r="AB182" s="9">
        <f t="shared" si="73"/>
        <v>103.63000000000001</v>
      </c>
      <c r="AD182" s="13">
        <f>IF(AH182&gt;AH181,AD181,IF(AD181&lt;MiscData!$F$1,EOMONTH(AD181,1),EOMONTH(AD181,-11)))</f>
        <v>42460</v>
      </c>
      <c r="AE182" s="7" t="str">
        <f t="shared" si="67"/>
        <v>20140101KUUM_362</v>
      </c>
      <c r="AF182" s="12" t="str">
        <f t="shared" si="68"/>
        <v>20140101LS</v>
      </c>
      <c r="AG182" s="31"/>
      <c r="AH182">
        <f>IF(AH181=MiscData!$AB$91,1,AH181+1)</f>
        <v>5</v>
      </c>
      <c r="AI182">
        <f>IF(AD182&lt;=MiscData!$B$23,MiscData!$C$23,IF(AD182&lt;=MiscData!$B$24,MiscData!$C$24,MiscData!$C$25))</f>
        <v>20140101</v>
      </c>
      <c r="AK182" s="190" t="str">
        <f>VLOOKUP(AM182,MiscData!$AB$4:$ACB$113,2,FALSE)</f>
        <v>KUUM_362</v>
      </c>
      <c r="AL182" s="190" t="str">
        <f>VLOOKUP(AM182,MiscData!$AB$4:$AE$115,4,FALSE)</f>
        <v>LS</v>
      </c>
      <c r="AM182">
        <f>IF(AM181=MiscData!$AB$91,1,AM181+1)</f>
        <v>5</v>
      </c>
    </row>
    <row r="183" spans="1:39">
      <c r="A183" s="7">
        <f t="shared" si="74"/>
        <v>182</v>
      </c>
      <c r="B183" s="13" t="str">
        <f t="shared" si="50"/>
        <v>Mar 2016</v>
      </c>
      <c r="C183" s="23" t="str">
        <f t="shared" si="51"/>
        <v>LS</v>
      </c>
      <c r="D183" s="23" t="str">
        <f t="shared" si="52"/>
        <v>KUUM_363</v>
      </c>
      <c r="E183" s="170">
        <f t="shared" si="53"/>
        <v>5</v>
      </c>
      <c r="F183" s="185"/>
      <c r="G183" s="170">
        <f t="shared" si="54"/>
        <v>0</v>
      </c>
      <c r="H183" s="170">
        <v>0</v>
      </c>
      <c r="I183" s="11">
        <f t="shared" si="55"/>
        <v>61.75</v>
      </c>
      <c r="J183" s="11">
        <f t="shared" si="56"/>
        <v>1.75</v>
      </c>
      <c r="K183" s="416">
        <f t="shared" si="69"/>
        <v>308.75</v>
      </c>
      <c r="L183" s="180"/>
      <c r="M183" s="180"/>
      <c r="N183" s="182">
        <f t="shared" si="57"/>
        <v>308.75</v>
      </c>
      <c r="O183" s="29">
        <f t="shared" si="58"/>
        <v>0</v>
      </c>
      <c r="P183" s="181">
        <f t="shared" si="70"/>
        <v>0</v>
      </c>
      <c r="Q183" s="182">
        <f t="shared" si="59"/>
        <v>0</v>
      </c>
      <c r="R183" s="182">
        <f t="shared" si="60"/>
        <v>0</v>
      </c>
      <c r="S183" s="182">
        <f t="shared" si="61"/>
        <v>0</v>
      </c>
      <c r="T183" s="182">
        <f t="shared" si="62"/>
        <v>0</v>
      </c>
      <c r="U183" s="182">
        <f t="shared" si="63"/>
        <v>0</v>
      </c>
      <c r="V183" s="14">
        <f t="shared" si="64"/>
        <v>308.75</v>
      </c>
      <c r="W183" s="14">
        <f t="shared" si="65"/>
        <v>-308.75</v>
      </c>
      <c r="Y183" s="14">
        <f t="shared" si="71"/>
        <v>8.75</v>
      </c>
      <c r="Z183" s="14">
        <f t="shared" si="72"/>
        <v>-8.75</v>
      </c>
      <c r="AA183" s="11">
        <f t="shared" si="66"/>
        <v>2.41</v>
      </c>
      <c r="AB183" s="9">
        <f t="shared" si="73"/>
        <v>12.05</v>
      </c>
      <c r="AD183" s="13">
        <f>IF(AH183&gt;AH182,AD182,IF(AD182&lt;MiscData!$F$1,EOMONTH(AD182,1),EOMONTH(AD182,-11)))</f>
        <v>42460</v>
      </c>
      <c r="AE183" s="7" t="str">
        <f t="shared" si="67"/>
        <v>20140101KUUM_363</v>
      </c>
      <c r="AF183" s="12" t="str">
        <f t="shared" si="68"/>
        <v>20140101LS</v>
      </c>
      <c r="AG183" s="31"/>
      <c r="AH183">
        <f>IF(AH182=MiscData!$AB$91,1,AH182+1)</f>
        <v>6</v>
      </c>
      <c r="AI183">
        <f>IF(AD183&lt;=MiscData!$B$23,MiscData!$C$23,IF(AD183&lt;=MiscData!$B$24,MiscData!$C$24,MiscData!$C$25))</f>
        <v>20140101</v>
      </c>
      <c r="AK183" s="190" t="str">
        <f>VLOOKUP(AM183,MiscData!$AB$4:$ACB$113,2,FALSE)</f>
        <v>KUUM_363</v>
      </c>
      <c r="AL183" s="190" t="str">
        <f>VLOOKUP(AM183,MiscData!$AB$4:$AE$115,4,FALSE)</f>
        <v>LS</v>
      </c>
      <c r="AM183">
        <f>IF(AM182=MiscData!$AB$91,1,AM182+1)</f>
        <v>6</v>
      </c>
    </row>
    <row r="184" spans="1:39">
      <c r="A184" s="7">
        <f t="shared" si="74"/>
        <v>183</v>
      </c>
      <c r="B184" s="13" t="str">
        <f t="shared" si="50"/>
        <v>Mar 2016</v>
      </c>
      <c r="C184" s="23" t="str">
        <f t="shared" si="51"/>
        <v>LS</v>
      </c>
      <c r="D184" s="23" t="str">
        <f t="shared" si="52"/>
        <v>KUUM_364</v>
      </c>
      <c r="E184" s="170">
        <f t="shared" si="53"/>
        <v>1</v>
      </c>
      <c r="F184" s="185"/>
      <c r="G184" s="170">
        <f t="shared" si="54"/>
        <v>0</v>
      </c>
      <c r="H184" s="170">
        <v>0</v>
      </c>
      <c r="I184" s="11">
        <f t="shared" si="55"/>
        <v>63.11</v>
      </c>
      <c r="J184" s="11">
        <f t="shared" si="56"/>
        <v>1.75</v>
      </c>
      <c r="K184" s="416">
        <f t="shared" si="69"/>
        <v>63.11</v>
      </c>
      <c r="L184" s="180"/>
      <c r="M184" s="180"/>
      <c r="N184" s="182">
        <f t="shared" si="57"/>
        <v>63.11</v>
      </c>
      <c r="O184" s="29">
        <f t="shared" si="58"/>
        <v>0</v>
      </c>
      <c r="P184" s="181">
        <f t="shared" si="70"/>
        <v>0</v>
      </c>
      <c r="Q184" s="182">
        <f t="shared" si="59"/>
        <v>0</v>
      </c>
      <c r="R184" s="182">
        <f t="shared" si="60"/>
        <v>0</v>
      </c>
      <c r="S184" s="182">
        <f t="shared" si="61"/>
        <v>0</v>
      </c>
      <c r="T184" s="182">
        <f t="shared" si="62"/>
        <v>0</v>
      </c>
      <c r="U184" s="182">
        <f t="shared" si="63"/>
        <v>0</v>
      </c>
      <c r="V184" s="14">
        <f t="shared" si="64"/>
        <v>63.11</v>
      </c>
      <c r="W184" s="14">
        <f t="shared" si="65"/>
        <v>-63.11</v>
      </c>
      <c r="Y184" s="14">
        <f t="shared" si="71"/>
        <v>1.75</v>
      </c>
      <c r="Z184" s="14">
        <f t="shared" si="72"/>
        <v>-1.75</v>
      </c>
      <c r="AA184" s="11">
        <f t="shared" si="66"/>
        <v>2.41</v>
      </c>
      <c r="AB184" s="9">
        <f t="shared" si="73"/>
        <v>2.41</v>
      </c>
      <c r="AD184" s="13">
        <f>IF(AH184&gt;AH183,AD183,IF(AD183&lt;MiscData!$F$1,EOMONTH(AD183,1),EOMONTH(AD183,-11)))</f>
        <v>42460</v>
      </c>
      <c r="AE184" s="7" t="str">
        <f t="shared" si="67"/>
        <v>20140101KUUM_364</v>
      </c>
      <c r="AF184" s="12" t="str">
        <f t="shared" si="68"/>
        <v>20140101LS</v>
      </c>
      <c r="AG184" s="31"/>
      <c r="AH184">
        <f>IF(AH183=MiscData!$AB$91,1,AH183+1)</f>
        <v>7</v>
      </c>
      <c r="AI184">
        <f>IF(AD184&lt;=MiscData!$B$23,MiscData!$C$23,IF(AD184&lt;=MiscData!$B$24,MiscData!$C$24,MiscData!$C$25))</f>
        <v>20140101</v>
      </c>
      <c r="AK184" s="190" t="str">
        <f>VLOOKUP(AM184,MiscData!$AB$4:$ACB$113,2,FALSE)</f>
        <v>KUUM_364</v>
      </c>
      <c r="AL184" s="190" t="str">
        <f>VLOOKUP(AM184,MiscData!$AB$4:$AE$115,4,FALSE)</f>
        <v>LS</v>
      </c>
      <c r="AM184">
        <f>IF(AM183=MiscData!$AB$91,1,AM183+1)</f>
        <v>7</v>
      </c>
    </row>
    <row r="185" spans="1:39">
      <c r="A185" s="7">
        <f t="shared" si="74"/>
        <v>184</v>
      </c>
      <c r="B185" s="13" t="str">
        <f t="shared" si="50"/>
        <v>Mar 2016</v>
      </c>
      <c r="C185" s="23" t="str">
        <f t="shared" si="51"/>
        <v>LS</v>
      </c>
      <c r="D185" s="23" t="str">
        <f t="shared" si="52"/>
        <v>KUUM_365</v>
      </c>
      <c r="E185" s="170">
        <f t="shared" si="53"/>
        <v>5</v>
      </c>
      <c r="F185" s="185"/>
      <c r="G185" s="170">
        <f t="shared" si="54"/>
        <v>0</v>
      </c>
      <c r="H185" s="170">
        <v>0</v>
      </c>
      <c r="I185" s="11">
        <f t="shared" si="55"/>
        <v>80.94</v>
      </c>
      <c r="J185" s="11">
        <f t="shared" si="56"/>
        <v>1.75</v>
      </c>
      <c r="K185" s="416">
        <f t="shared" si="69"/>
        <v>404.7</v>
      </c>
      <c r="L185" s="180"/>
      <c r="M185" s="180"/>
      <c r="N185" s="182">
        <f t="shared" si="57"/>
        <v>404.7</v>
      </c>
      <c r="O185" s="29">
        <f t="shared" si="58"/>
        <v>0</v>
      </c>
      <c r="P185" s="181">
        <f t="shared" si="70"/>
        <v>0</v>
      </c>
      <c r="Q185" s="182">
        <f t="shared" si="59"/>
        <v>0</v>
      </c>
      <c r="R185" s="182">
        <f t="shared" si="60"/>
        <v>0</v>
      </c>
      <c r="S185" s="182">
        <f t="shared" si="61"/>
        <v>0</v>
      </c>
      <c r="T185" s="182">
        <f t="shared" si="62"/>
        <v>0</v>
      </c>
      <c r="U185" s="182">
        <f t="shared" si="63"/>
        <v>0</v>
      </c>
      <c r="V185" s="14">
        <f t="shared" si="64"/>
        <v>404.7</v>
      </c>
      <c r="W185" s="14">
        <f t="shared" si="65"/>
        <v>-404.7</v>
      </c>
      <c r="Y185" s="14">
        <f t="shared" si="71"/>
        <v>8.75</v>
      </c>
      <c r="Z185" s="14">
        <f t="shared" si="72"/>
        <v>-8.75</v>
      </c>
      <c r="AA185" s="11">
        <f t="shared" si="66"/>
        <v>2.41</v>
      </c>
      <c r="AB185" s="9">
        <f t="shared" si="73"/>
        <v>12.05</v>
      </c>
      <c r="AD185" s="13">
        <f>IF(AH185&gt;AH184,AD184,IF(AD184&lt;MiscData!$F$1,EOMONTH(AD184,1),EOMONTH(AD184,-11)))</f>
        <v>42460</v>
      </c>
      <c r="AE185" s="7" t="str">
        <f t="shared" si="67"/>
        <v>20140101KUUM_365</v>
      </c>
      <c r="AF185" s="12" t="str">
        <f t="shared" si="68"/>
        <v>20140101LS</v>
      </c>
      <c r="AG185" s="31"/>
      <c r="AH185">
        <f>IF(AH184=MiscData!$AB$91,1,AH184+1)</f>
        <v>8</v>
      </c>
      <c r="AI185">
        <f>IF(AD185&lt;=MiscData!$B$23,MiscData!$C$23,IF(AD185&lt;=MiscData!$B$24,MiscData!$C$24,MiscData!$C$25))</f>
        <v>20140101</v>
      </c>
      <c r="AK185" s="190" t="str">
        <f>VLOOKUP(AM185,MiscData!$AB$4:$ACB$113,2,FALSE)</f>
        <v>KUUM_365</v>
      </c>
      <c r="AL185" s="190" t="str">
        <f>VLOOKUP(AM185,MiscData!$AB$4:$AE$115,4,FALSE)</f>
        <v>LS</v>
      </c>
      <c r="AM185">
        <f>IF(AM184=MiscData!$AB$91,1,AM184+1)</f>
        <v>8</v>
      </c>
    </row>
    <row r="186" spans="1:39">
      <c r="A186" s="7">
        <f t="shared" si="74"/>
        <v>185</v>
      </c>
      <c r="B186" s="13" t="str">
        <f t="shared" si="50"/>
        <v>Mar 2016</v>
      </c>
      <c r="C186" s="23" t="str">
        <f t="shared" si="51"/>
        <v>LS</v>
      </c>
      <c r="D186" s="23" t="str">
        <f t="shared" si="52"/>
        <v>KUUM_366</v>
      </c>
      <c r="E186" s="170">
        <f t="shared" si="53"/>
        <v>9</v>
      </c>
      <c r="F186" s="185"/>
      <c r="G186" s="170">
        <f t="shared" si="54"/>
        <v>0</v>
      </c>
      <c r="H186" s="170">
        <v>0</v>
      </c>
      <c r="I186" s="11">
        <f t="shared" si="55"/>
        <v>78.97</v>
      </c>
      <c r="J186" s="11">
        <f t="shared" si="56"/>
        <v>1.75</v>
      </c>
      <c r="K186" s="416">
        <f t="shared" si="69"/>
        <v>710.73</v>
      </c>
      <c r="L186" s="180"/>
      <c r="M186" s="180"/>
      <c r="N186" s="182">
        <f t="shared" si="57"/>
        <v>710.73</v>
      </c>
      <c r="O186" s="29">
        <f t="shared" si="58"/>
        <v>0</v>
      </c>
      <c r="P186" s="181">
        <f t="shared" si="70"/>
        <v>0</v>
      </c>
      <c r="Q186" s="182">
        <f t="shared" si="59"/>
        <v>0</v>
      </c>
      <c r="R186" s="182">
        <f t="shared" si="60"/>
        <v>0</v>
      </c>
      <c r="S186" s="182">
        <f t="shared" si="61"/>
        <v>0</v>
      </c>
      <c r="T186" s="182">
        <f t="shared" si="62"/>
        <v>0</v>
      </c>
      <c r="U186" s="182">
        <f t="shared" si="63"/>
        <v>0</v>
      </c>
      <c r="V186" s="14">
        <f t="shared" si="64"/>
        <v>710.73</v>
      </c>
      <c r="W186" s="14">
        <f t="shared" si="65"/>
        <v>-710.73</v>
      </c>
      <c r="Y186" s="14">
        <f t="shared" si="71"/>
        <v>15.75</v>
      </c>
      <c r="Z186" s="14">
        <f t="shared" si="72"/>
        <v>-15.75</v>
      </c>
      <c r="AA186" s="11">
        <f t="shared" si="66"/>
        <v>2.41</v>
      </c>
      <c r="AB186" s="9">
        <f t="shared" si="73"/>
        <v>21.69</v>
      </c>
      <c r="AD186" s="13">
        <f>IF(AH186&gt;AH185,AD185,IF(AD185&lt;MiscData!$F$1,EOMONTH(AD185,1),EOMONTH(AD185,-11)))</f>
        <v>42460</v>
      </c>
      <c r="AE186" s="7" t="str">
        <f t="shared" si="67"/>
        <v>20140101KUUM_366</v>
      </c>
      <c r="AF186" s="12" t="str">
        <f t="shared" si="68"/>
        <v>20140101LS</v>
      </c>
      <c r="AG186" s="31"/>
      <c r="AH186">
        <f>IF(AH185=MiscData!$AB$91,1,AH185+1)</f>
        <v>9</v>
      </c>
      <c r="AI186">
        <f>IF(AD186&lt;=MiscData!$B$23,MiscData!$C$23,IF(AD186&lt;=MiscData!$B$24,MiscData!$C$24,MiscData!$C$25))</f>
        <v>20140101</v>
      </c>
      <c r="AK186" s="190" t="str">
        <f>VLOOKUP(AM186,MiscData!$AB$4:$ACB$113,2,FALSE)</f>
        <v>KUUM_366</v>
      </c>
      <c r="AL186" s="190" t="str">
        <f>VLOOKUP(AM186,MiscData!$AB$4:$AE$115,4,FALSE)</f>
        <v>LS</v>
      </c>
      <c r="AM186">
        <f>IF(AM185=MiscData!$AB$91,1,AM185+1)</f>
        <v>9</v>
      </c>
    </row>
    <row r="187" spans="1:39">
      <c r="A187" s="7">
        <f t="shared" si="74"/>
        <v>186</v>
      </c>
      <c r="B187" s="13" t="str">
        <f t="shared" si="50"/>
        <v>Mar 2016</v>
      </c>
      <c r="C187" s="23" t="str">
        <f t="shared" si="51"/>
        <v>LS</v>
      </c>
      <c r="D187" s="23" t="str">
        <f t="shared" si="52"/>
        <v>KUUM_367</v>
      </c>
      <c r="E187" s="170">
        <f t="shared" si="53"/>
        <v>25</v>
      </c>
      <c r="F187" s="185"/>
      <c r="G187" s="170">
        <f t="shared" si="54"/>
        <v>0</v>
      </c>
      <c r="H187" s="170">
        <v>0</v>
      </c>
      <c r="I187" s="11">
        <f t="shared" si="55"/>
        <v>61.230000000000004</v>
      </c>
      <c r="J187" s="11">
        <f t="shared" si="56"/>
        <v>1.75</v>
      </c>
      <c r="K187" s="416">
        <f t="shared" si="69"/>
        <v>1530.75</v>
      </c>
      <c r="L187" s="180"/>
      <c r="M187" s="180"/>
      <c r="N187" s="182">
        <f t="shared" si="57"/>
        <v>1530.75</v>
      </c>
      <c r="O187" s="29">
        <f t="shared" si="58"/>
        <v>0</v>
      </c>
      <c r="P187" s="181">
        <f t="shared" si="70"/>
        <v>0</v>
      </c>
      <c r="Q187" s="182">
        <f t="shared" si="59"/>
        <v>0</v>
      </c>
      <c r="R187" s="182">
        <f t="shared" si="60"/>
        <v>0</v>
      </c>
      <c r="S187" s="182">
        <f t="shared" si="61"/>
        <v>0</v>
      </c>
      <c r="T187" s="182">
        <f t="shared" si="62"/>
        <v>0</v>
      </c>
      <c r="U187" s="182">
        <f t="shared" si="63"/>
        <v>0</v>
      </c>
      <c r="V187" s="14">
        <f t="shared" si="64"/>
        <v>1530.75</v>
      </c>
      <c r="W187" s="14">
        <f t="shared" si="65"/>
        <v>-1530.75</v>
      </c>
      <c r="Y187" s="14">
        <f t="shared" si="71"/>
        <v>43.75</v>
      </c>
      <c r="Z187" s="14">
        <f t="shared" si="72"/>
        <v>-43.75</v>
      </c>
      <c r="AA187" s="11">
        <f t="shared" si="66"/>
        <v>2.41</v>
      </c>
      <c r="AB187" s="9">
        <f t="shared" si="73"/>
        <v>60.25</v>
      </c>
      <c r="AD187" s="13">
        <f>IF(AH187&gt;AH186,AD186,IF(AD186&lt;MiscData!$F$1,EOMONTH(AD186,1),EOMONTH(AD186,-11)))</f>
        <v>42460</v>
      </c>
      <c r="AE187" s="7" t="str">
        <f t="shared" si="67"/>
        <v>20140101KUUM_367</v>
      </c>
      <c r="AF187" s="12" t="str">
        <f t="shared" si="68"/>
        <v>20140101LS</v>
      </c>
      <c r="AG187" s="31"/>
      <c r="AH187">
        <f>IF(AH186=MiscData!$AB$91,1,AH186+1)</f>
        <v>10</v>
      </c>
      <c r="AI187">
        <f>IF(AD187&lt;=MiscData!$B$23,MiscData!$C$23,IF(AD187&lt;=MiscData!$B$24,MiscData!$C$24,MiscData!$C$25))</f>
        <v>20140101</v>
      </c>
      <c r="AK187" s="190" t="str">
        <f>VLOOKUP(AM187,MiscData!$AB$4:$ACB$113,2,FALSE)</f>
        <v>KUUM_367</v>
      </c>
      <c r="AL187" s="190" t="str">
        <f>VLOOKUP(AM187,MiscData!$AB$4:$AE$115,4,FALSE)</f>
        <v>LS</v>
      </c>
      <c r="AM187">
        <f>IF(AM186=MiscData!$AB$91,1,AM186+1)</f>
        <v>10</v>
      </c>
    </row>
    <row r="188" spans="1:39">
      <c r="A188" s="7">
        <f t="shared" si="74"/>
        <v>187</v>
      </c>
      <c r="B188" s="13" t="str">
        <f t="shared" si="50"/>
        <v>Mar 2016</v>
      </c>
      <c r="C188" s="23" t="str">
        <f t="shared" si="51"/>
        <v>LS</v>
      </c>
      <c r="D188" s="23" t="str">
        <f t="shared" si="52"/>
        <v>KUUM_368</v>
      </c>
      <c r="E188" s="170">
        <f t="shared" si="53"/>
        <v>1</v>
      </c>
      <c r="F188" s="185"/>
      <c r="G188" s="170">
        <f t="shared" si="54"/>
        <v>0</v>
      </c>
      <c r="H188" s="170">
        <v>0</v>
      </c>
      <c r="I188" s="11">
        <f t="shared" si="55"/>
        <v>56.69</v>
      </c>
      <c r="J188" s="11">
        <f t="shared" si="56"/>
        <v>1.75</v>
      </c>
      <c r="K188" s="416">
        <f t="shared" si="69"/>
        <v>56.69</v>
      </c>
      <c r="L188" s="180"/>
      <c r="M188" s="180"/>
      <c r="N188" s="182">
        <f t="shared" si="57"/>
        <v>56.69</v>
      </c>
      <c r="O188" s="29">
        <f t="shared" si="58"/>
        <v>0</v>
      </c>
      <c r="P188" s="181">
        <f t="shared" si="70"/>
        <v>0</v>
      </c>
      <c r="Q188" s="182">
        <f t="shared" si="59"/>
        <v>0</v>
      </c>
      <c r="R188" s="182">
        <f t="shared" si="60"/>
        <v>0</v>
      </c>
      <c r="S188" s="182">
        <f t="shared" si="61"/>
        <v>0</v>
      </c>
      <c r="T188" s="182">
        <f t="shared" si="62"/>
        <v>0</v>
      </c>
      <c r="U188" s="182">
        <f t="shared" si="63"/>
        <v>0</v>
      </c>
      <c r="V188" s="14">
        <f t="shared" si="64"/>
        <v>56.69</v>
      </c>
      <c r="W188" s="14">
        <f t="shared" si="65"/>
        <v>-56.69</v>
      </c>
      <c r="Y188" s="14">
        <f t="shared" si="71"/>
        <v>1.75</v>
      </c>
      <c r="Z188" s="14">
        <f t="shared" si="72"/>
        <v>-1.75</v>
      </c>
      <c r="AA188" s="11">
        <f t="shared" si="66"/>
        <v>2.41</v>
      </c>
      <c r="AB188" s="9">
        <f t="shared" si="73"/>
        <v>2.41</v>
      </c>
      <c r="AD188" s="13">
        <f>IF(AH188&gt;AH187,AD187,IF(AD187&lt;MiscData!$F$1,EOMONTH(AD187,1),EOMONTH(AD187,-11)))</f>
        <v>42460</v>
      </c>
      <c r="AE188" s="7" t="str">
        <f t="shared" si="67"/>
        <v>20140101KUUM_368</v>
      </c>
      <c r="AF188" s="12" t="str">
        <f t="shared" si="68"/>
        <v>20140101LS</v>
      </c>
      <c r="AG188" s="31"/>
      <c r="AH188">
        <f>IF(AH187=MiscData!$AB$91,1,AH187+1)</f>
        <v>11</v>
      </c>
      <c r="AI188">
        <f>IF(AD188&lt;=MiscData!$B$23,MiscData!$C$23,IF(AD188&lt;=MiscData!$B$24,MiscData!$C$24,MiscData!$C$25))</f>
        <v>20140101</v>
      </c>
      <c r="AK188" s="190" t="str">
        <f>VLOOKUP(AM188,MiscData!$AB$4:$ACB$113,2,FALSE)</f>
        <v>KUUM_368</v>
      </c>
      <c r="AL188" s="190" t="str">
        <f>VLOOKUP(AM188,MiscData!$AB$4:$AE$115,4,FALSE)</f>
        <v>LS</v>
      </c>
      <c r="AM188">
        <f>IF(AM187=MiscData!$AB$91,1,AM187+1)</f>
        <v>11</v>
      </c>
    </row>
    <row r="189" spans="1:39">
      <c r="A189" s="7">
        <f t="shared" si="74"/>
        <v>188</v>
      </c>
      <c r="B189" s="13" t="str">
        <f t="shared" si="50"/>
        <v>Mar 2016</v>
      </c>
      <c r="C189" s="23" t="str">
        <f t="shared" si="51"/>
        <v>LS</v>
      </c>
      <c r="D189" s="23" t="str">
        <f t="shared" si="52"/>
        <v>KUUM_370</v>
      </c>
      <c r="E189" s="170">
        <f t="shared" si="53"/>
        <v>15</v>
      </c>
      <c r="F189" s="185"/>
      <c r="G189" s="170">
        <f t="shared" si="54"/>
        <v>0</v>
      </c>
      <c r="H189" s="170">
        <v>0</v>
      </c>
      <c r="I189" s="11">
        <f t="shared" si="55"/>
        <v>74.52</v>
      </c>
      <c r="J189" s="11">
        <f t="shared" si="56"/>
        <v>1.75</v>
      </c>
      <c r="K189" s="416">
        <f t="shared" si="69"/>
        <v>1117.8</v>
      </c>
      <c r="L189" s="180"/>
      <c r="M189" s="180"/>
      <c r="N189" s="182">
        <f t="shared" si="57"/>
        <v>1117.8</v>
      </c>
      <c r="O189" s="29">
        <f t="shared" si="58"/>
        <v>0</v>
      </c>
      <c r="P189" s="181">
        <f t="shared" si="70"/>
        <v>0</v>
      </c>
      <c r="Q189" s="182">
        <f t="shared" si="59"/>
        <v>0</v>
      </c>
      <c r="R189" s="182">
        <f t="shared" si="60"/>
        <v>0</v>
      </c>
      <c r="S189" s="182">
        <f t="shared" si="61"/>
        <v>0</v>
      </c>
      <c r="T189" s="182">
        <f t="shared" si="62"/>
        <v>0</v>
      </c>
      <c r="U189" s="182">
        <f t="shared" si="63"/>
        <v>0</v>
      </c>
      <c r="V189" s="14">
        <f t="shared" si="64"/>
        <v>1117.8</v>
      </c>
      <c r="W189" s="14">
        <f t="shared" si="65"/>
        <v>-1117.8</v>
      </c>
      <c r="Y189" s="14">
        <f t="shared" si="71"/>
        <v>26.25</v>
      </c>
      <c r="Z189" s="14">
        <f t="shared" si="72"/>
        <v>-26.25</v>
      </c>
      <c r="AA189" s="11">
        <f t="shared" si="66"/>
        <v>2.41</v>
      </c>
      <c r="AB189" s="9">
        <f t="shared" si="73"/>
        <v>36.150000000000006</v>
      </c>
      <c r="AD189" s="13">
        <f>IF(AH189&gt;AH188,AD188,IF(AD188&lt;MiscData!$F$1,EOMONTH(AD188,1),EOMONTH(AD188,-11)))</f>
        <v>42460</v>
      </c>
      <c r="AE189" s="7" t="str">
        <f t="shared" si="67"/>
        <v>20140101KUUM_370</v>
      </c>
      <c r="AF189" s="12" t="str">
        <f t="shared" si="68"/>
        <v>20140101LS</v>
      </c>
      <c r="AG189" s="31"/>
      <c r="AH189">
        <f>IF(AH188=MiscData!$AB$91,1,AH188+1)</f>
        <v>12</v>
      </c>
      <c r="AI189">
        <f>IF(AD189&lt;=MiscData!$B$23,MiscData!$C$23,IF(AD189&lt;=MiscData!$B$24,MiscData!$C$24,MiscData!$C$25))</f>
        <v>20140101</v>
      </c>
      <c r="AK189" s="190" t="str">
        <f>VLOOKUP(AM189,MiscData!$AB$4:$ACB$113,2,FALSE)</f>
        <v>KUUM_370</v>
      </c>
      <c r="AL189" s="190" t="str">
        <f>VLOOKUP(AM189,MiscData!$AB$4:$AE$115,4,FALSE)</f>
        <v>LS</v>
      </c>
      <c r="AM189">
        <f>IF(AM188=MiscData!$AB$91,1,AM188+1)</f>
        <v>12</v>
      </c>
    </row>
    <row r="190" spans="1:39">
      <c r="A190" s="7">
        <f t="shared" si="74"/>
        <v>189</v>
      </c>
      <c r="B190" s="13" t="str">
        <f t="shared" si="50"/>
        <v>Mar 2016</v>
      </c>
      <c r="C190" s="23" t="str">
        <f t="shared" si="51"/>
        <v>LS</v>
      </c>
      <c r="D190" s="23" t="str">
        <f t="shared" si="52"/>
        <v>KUUM_372</v>
      </c>
      <c r="E190" s="170">
        <f t="shared" si="53"/>
        <v>1</v>
      </c>
      <c r="F190" s="185"/>
      <c r="G190" s="170">
        <f t="shared" si="54"/>
        <v>0</v>
      </c>
      <c r="H190" s="170">
        <v>0</v>
      </c>
      <c r="I190" s="11">
        <f t="shared" si="55"/>
        <v>82.3</v>
      </c>
      <c r="J190" s="11">
        <f t="shared" si="56"/>
        <v>1.75</v>
      </c>
      <c r="K190" s="416">
        <f t="shared" si="69"/>
        <v>82.3</v>
      </c>
      <c r="L190" s="180"/>
      <c r="M190" s="180"/>
      <c r="N190" s="182">
        <f t="shared" si="57"/>
        <v>82.3</v>
      </c>
      <c r="O190" s="29">
        <f t="shared" si="58"/>
        <v>0</v>
      </c>
      <c r="P190" s="181">
        <f t="shared" si="70"/>
        <v>0</v>
      </c>
      <c r="Q190" s="182">
        <f t="shared" si="59"/>
        <v>0</v>
      </c>
      <c r="R190" s="182">
        <f t="shared" si="60"/>
        <v>0</v>
      </c>
      <c r="S190" s="182">
        <f t="shared" si="61"/>
        <v>0</v>
      </c>
      <c r="T190" s="182">
        <f t="shared" si="62"/>
        <v>0</v>
      </c>
      <c r="U190" s="182">
        <f t="shared" si="63"/>
        <v>0</v>
      </c>
      <c r="V190" s="14">
        <f t="shared" si="64"/>
        <v>82.3</v>
      </c>
      <c r="W190" s="14">
        <f t="shared" si="65"/>
        <v>-82.3</v>
      </c>
      <c r="Y190" s="14">
        <f t="shared" si="71"/>
        <v>1.75</v>
      </c>
      <c r="Z190" s="14">
        <f t="shared" si="72"/>
        <v>-1.75</v>
      </c>
      <c r="AA190" s="11">
        <f t="shared" si="66"/>
        <v>2.41</v>
      </c>
      <c r="AB190" s="9">
        <f t="shared" si="73"/>
        <v>2.41</v>
      </c>
      <c r="AD190" s="13">
        <f>IF(AH190&gt;AH189,AD189,IF(AD189&lt;MiscData!$F$1,EOMONTH(AD189,1),EOMONTH(AD189,-11)))</f>
        <v>42460</v>
      </c>
      <c r="AE190" s="7" t="str">
        <f t="shared" si="67"/>
        <v>20140101KUUM_372</v>
      </c>
      <c r="AF190" s="12" t="str">
        <f t="shared" si="68"/>
        <v>20140101LS</v>
      </c>
      <c r="AG190" s="31"/>
      <c r="AH190">
        <f>IF(AH189=MiscData!$AB$91,1,AH189+1)</f>
        <v>13</v>
      </c>
      <c r="AI190">
        <f>IF(AD190&lt;=MiscData!$B$23,MiscData!$C$23,IF(AD190&lt;=MiscData!$B$24,MiscData!$C$24,MiscData!$C$25))</f>
        <v>20140101</v>
      </c>
      <c r="AK190" s="190" t="str">
        <f>VLOOKUP(AM190,MiscData!$AB$4:$ACB$113,2,FALSE)</f>
        <v>KUUM_372</v>
      </c>
      <c r="AL190" s="190" t="str">
        <f>VLOOKUP(AM190,MiscData!$AB$4:$AE$115,4,FALSE)</f>
        <v>LS</v>
      </c>
      <c r="AM190">
        <f>IF(AM189=MiscData!$AB$91,1,AM189+1)</f>
        <v>13</v>
      </c>
    </row>
    <row r="191" spans="1:39">
      <c r="A191" s="7">
        <f t="shared" si="74"/>
        <v>190</v>
      </c>
      <c r="B191" s="13" t="str">
        <f t="shared" si="50"/>
        <v>Mar 2016</v>
      </c>
      <c r="C191" s="23" t="str">
        <f t="shared" si="51"/>
        <v>LS</v>
      </c>
      <c r="D191" s="23" t="str">
        <f t="shared" si="52"/>
        <v>KUUM_373</v>
      </c>
      <c r="E191" s="170">
        <f t="shared" si="53"/>
        <v>20</v>
      </c>
      <c r="F191" s="185"/>
      <c r="G191" s="170">
        <f t="shared" si="54"/>
        <v>0</v>
      </c>
      <c r="H191" s="170">
        <v>0</v>
      </c>
      <c r="I191" s="11">
        <f t="shared" si="55"/>
        <v>74.52</v>
      </c>
      <c r="J191" s="11">
        <f t="shared" si="56"/>
        <v>1.75</v>
      </c>
      <c r="K191" s="416">
        <f t="shared" si="69"/>
        <v>1490.4</v>
      </c>
      <c r="L191" s="180"/>
      <c r="M191" s="180"/>
      <c r="N191" s="182">
        <f t="shared" si="57"/>
        <v>1490.4</v>
      </c>
      <c r="O191" s="29">
        <f t="shared" si="58"/>
        <v>0</v>
      </c>
      <c r="P191" s="181">
        <f t="shared" si="70"/>
        <v>0</v>
      </c>
      <c r="Q191" s="182">
        <f t="shared" si="59"/>
        <v>0</v>
      </c>
      <c r="R191" s="182">
        <f t="shared" si="60"/>
        <v>0</v>
      </c>
      <c r="S191" s="182">
        <f t="shared" si="61"/>
        <v>0</v>
      </c>
      <c r="T191" s="182">
        <f t="shared" si="62"/>
        <v>0</v>
      </c>
      <c r="U191" s="182">
        <f t="shared" si="63"/>
        <v>0</v>
      </c>
      <c r="V191" s="14">
        <f t="shared" si="64"/>
        <v>1490.4</v>
      </c>
      <c r="W191" s="14">
        <f t="shared" si="65"/>
        <v>-1490.4</v>
      </c>
      <c r="Y191" s="14">
        <f t="shared" si="71"/>
        <v>35</v>
      </c>
      <c r="Z191" s="14">
        <f t="shared" si="72"/>
        <v>-35</v>
      </c>
      <c r="AA191" s="11">
        <f t="shared" si="66"/>
        <v>2.41</v>
      </c>
      <c r="AB191" s="9">
        <f t="shared" si="73"/>
        <v>48.2</v>
      </c>
      <c r="AD191" s="13">
        <f>IF(AH191&gt;AH190,AD190,IF(AD190&lt;MiscData!$F$1,EOMONTH(AD190,1),EOMONTH(AD190,-11)))</f>
        <v>42460</v>
      </c>
      <c r="AE191" s="7" t="str">
        <f t="shared" si="67"/>
        <v>20140101KUUM_373</v>
      </c>
      <c r="AF191" s="12" t="str">
        <f t="shared" si="68"/>
        <v>20140101LS</v>
      </c>
      <c r="AG191" s="31"/>
      <c r="AH191">
        <f>IF(AH190=MiscData!$AB$91,1,AH190+1)</f>
        <v>14</v>
      </c>
      <c r="AI191">
        <f>IF(AD191&lt;=MiscData!$B$23,MiscData!$C$23,IF(AD191&lt;=MiscData!$B$24,MiscData!$C$24,MiscData!$C$25))</f>
        <v>20140101</v>
      </c>
      <c r="AK191" s="190" t="str">
        <f>VLOOKUP(AM191,MiscData!$AB$4:$ACB$113,2,FALSE)</f>
        <v>KUUM_373</v>
      </c>
      <c r="AL191" s="190" t="str">
        <f>VLOOKUP(AM191,MiscData!$AB$4:$AE$115,4,FALSE)</f>
        <v>LS</v>
      </c>
      <c r="AM191">
        <f>IF(AM190=MiscData!$AB$91,1,AM190+1)</f>
        <v>14</v>
      </c>
    </row>
    <row r="192" spans="1:39">
      <c r="A192" s="7">
        <f t="shared" si="74"/>
        <v>191</v>
      </c>
      <c r="B192" s="13" t="str">
        <f t="shared" si="50"/>
        <v>Mar 2016</v>
      </c>
      <c r="C192" s="23" t="str">
        <f t="shared" si="51"/>
        <v>LS</v>
      </c>
      <c r="D192" s="23" t="str">
        <f t="shared" si="52"/>
        <v>KUUM_374</v>
      </c>
      <c r="E192" s="170">
        <f t="shared" si="53"/>
        <v>4</v>
      </c>
      <c r="F192" s="185"/>
      <c r="G192" s="170">
        <f t="shared" si="54"/>
        <v>0</v>
      </c>
      <c r="H192" s="170">
        <v>0</v>
      </c>
      <c r="I192" s="11">
        <f t="shared" si="55"/>
        <v>75.88</v>
      </c>
      <c r="J192" s="11">
        <f t="shared" si="56"/>
        <v>1.75</v>
      </c>
      <c r="K192" s="416">
        <f t="shared" si="69"/>
        <v>303.52</v>
      </c>
      <c r="L192" s="180"/>
      <c r="M192" s="180"/>
      <c r="N192" s="182">
        <f t="shared" si="57"/>
        <v>303.52</v>
      </c>
      <c r="O192" s="29">
        <f t="shared" si="58"/>
        <v>0</v>
      </c>
      <c r="P192" s="181">
        <f t="shared" si="70"/>
        <v>0</v>
      </c>
      <c r="Q192" s="182">
        <f t="shared" si="59"/>
        <v>0</v>
      </c>
      <c r="R192" s="182">
        <f t="shared" si="60"/>
        <v>0</v>
      </c>
      <c r="S192" s="182">
        <f t="shared" si="61"/>
        <v>0</v>
      </c>
      <c r="T192" s="182">
        <f t="shared" si="62"/>
        <v>0</v>
      </c>
      <c r="U192" s="182">
        <f t="shared" si="63"/>
        <v>0</v>
      </c>
      <c r="V192" s="14">
        <f t="shared" si="64"/>
        <v>303.52</v>
      </c>
      <c r="W192" s="14">
        <f t="shared" si="65"/>
        <v>-303.52</v>
      </c>
      <c r="Y192" s="14">
        <f t="shared" si="71"/>
        <v>7</v>
      </c>
      <c r="Z192" s="14">
        <f t="shared" si="72"/>
        <v>-7</v>
      </c>
      <c r="AA192" s="11">
        <f t="shared" si="66"/>
        <v>2.41</v>
      </c>
      <c r="AB192" s="9">
        <f t="shared" si="73"/>
        <v>9.64</v>
      </c>
      <c r="AD192" s="13">
        <f>IF(AH192&gt;AH191,AD191,IF(AD191&lt;MiscData!$F$1,EOMONTH(AD191,1),EOMONTH(AD191,-11)))</f>
        <v>42460</v>
      </c>
      <c r="AE192" s="7" t="str">
        <f t="shared" si="67"/>
        <v>20140101KUUM_374</v>
      </c>
      <c r="AF192" s="12" t="str">
        <f t="shared" si="68"/>
        <v>20140101LS</v>
      </c>
      <c r="AG192" s="31"/>
      <c r="AH192">
        <f>IF(AH191=MiscData!$AB$91,1,AH191+1)</f>
        <v>15</v>
      </c>
      <c r="AI192">
        <f>IF(AD192&lt;=MiscData!$B$23,MiscData!$C$23,IF(AD192&lt;=MiscData!$B$24,MiscData!$C$24,MiscData!$C$25))</f>
        <v>20140101</v>
      </c>
      <c r="AK192" s="190" t="str">
        <f>VLOOKUP(AM192,MiscData!$AB$4:$ACB$113,2,FALSE)</f>
        <v>KUUM_374</v>
      </c>
      <c r="AL192" s="190" t="str">
        <f>VLOOKUP(AM192,MiscData!$AB$4:$AE$115,4,FALSE)</f>
        <v>LS</v>
      </c>
      <c r="AM192">
        <f>IF(AM191=MiscData!$AB$91,1,AM191+1)</f>
        <v>15</v>
      </c>
    </row>
    <row r="193" spans="1:39">
      <c r="A193" s="7">
        <f t="shared" si="74"/>
        <v>192</v>
      </c>
      <c r="B193" s="13" t="str">
        <f t="shared" si="50"/>
        <v>Mar 2016</v>
      </c>
      <c r="C193" s="23" t="str">
        <f t="shared" si="51"/>
        <v>LS</v>
      </c>
      <c r="D193" s="23" t="str">
        <f t="shared" si="52"/>
        <v>KUUM_375</v>
      </c>
      <c r="E193" s="170">
        <f t="shared" si="53"/>
        <v>3</v>
      </c>
      <c r="F193" s="185"/>
      <c r="G193" s="170">
        <f t="shared" si="54"/>
        <v>0</v>
      </c>
      <c r="H193" s="170">
        <v>0</v>
      </c>
      <c r="I193" s="11">
        <f t="shared" si="55"/>
        <v>78.97</v>
      </c>
      <c r="J193" s="11">
        <f t="shared" si="56"/>
        <v>1.75</v>
      </c>
      <c r="K193" s="416">
        <f t="shared" si="69"/>
        <v>236.91</v>
      </c>
      <c r="L193" s="180"/>
      <c r="M193" s="180"/>
      <c r="N193" s="182">
        <f t="shared" si="57"/>
        <v>236.91</v>
      </c>
      <c r="O193" s="29">
        <f t="shared" si="58"/>
        <v>0</v>
      </c>
      <c r="P193" s="181">
        <f t="shared" si="70"/>
        <v>0</v>
      </c>
      <c r="Q193" s="182">
        <f t="shared" si="59"/>
        <v>0</v>
      </c>
      <c r="R193" s="182">
        <f t="shared" si="60"/>
        <v>0</v>
      </c>
      <c r="S193" s="182">
        <f t="shared" si="61"/>
        <v>0</v>
      </c>
      <c r="T193" s="182">
        <f t="shared" si="62"/>
        <v>0</v>
      </c>
      <c r="U193" s="182">
        <f t="shared" si="63"/>
        <v>0</v>
      </c>
      <c r="V193" s="14">
        <f t="shared" si="64"/>
        <v>236.91</v>
      </c>
      <c r="W193" s="14">
        <f t="shared" si="65"/>
        <v>-236.91</v>
      </c>
      <c r="Y193" s="14">
        <f t="shared" si="71"/>
        <v>5.25</v>
      </c>
      <c r="Z193" s="14">
        <f t="shared" si="72"/>
        <v>-5.25</v>
      </c>
      <c r="AA193" s="11">
        <f t="shared" si="66"/>
        <v>2.41</v>
      </c>
      <c r="AB193" s="9">
        <f t="shared" si="73"/>
        <v>7.23</v>
      </c>
      <c r="AD193" s="13">
        <f>IF(AH193&gt;AH192,AD192,IF(AD192&lt;MiscData!$F$1,EOMONTH(AD192,1),EOMONTH(AD192,-11)))</f>
        <v>42460</v>
      </c>
      <c r="AE193" s="7" t="str">
        <f t="shared" si="67"/>
        <v>20140101KUUM_375</v>
      </c>
      <c r="AF193" s="12" t="str">
        <f t="shared" si="68"/>
        <v>20140101LS</v>
      </c>
      <c r="AG193" s="31"/>
      <c r="AH193">
        <f>IF(AH192=MiscData!$AB$91,1,AH192+1)</f>
        <v>16</v>
      </c>
      <c r="AI193">
        <f>IF(AD193&lt;=MiscData!$B$23,MiscData!$C$23,IF(AD193&lt;=MiscData!$B$24,MiscData!$C$24,MiscData!$C$25))</f>
        <v>20140101</v>
      </c>
      <c r="AK193" s="190" t="str">
        <f>VLOOKUP(AM193,MiscData!$AB$4:$ACB$113,2,FALSE)</f>
        <v>KUUM_375</v>
      </c>
      <c r="AL193" s="190" t="str">
        <f>VLOOKUP(AM193,MiscData!$AB$4:$AE$115,4,FALSE)</f>
        <v>LS</v>
      </c>
      <c r="AM193">
        <f>IF(AM192=MiscData!$AB$91,1,AM192+1)</f>
        <v>16</v>
      </c>
    </row>
    <row r="194" spans="1:39">
      <c r="A194" s="7">
        <f t="shared" si="74"/>
        <v>193</v>
      </c>
      <c r="B194" s="13" t="str">
        <f t="shared" ref="B194:B257" si="75">TEXT(AD194,"mmm yyyy")</f>
        <v>Mar 2016</v>
      </c>
      <c r="C194" s="23" t="str">
        <f t="shared" ref="C194:C257" si="76">AL194</f>
        <v>LS</v>
      </c>
      <c r="D194" s="23" t="str">
        <f t="shared" ref="D194:D257" si="77">AK194</f>
        <v>KUUM_376</v>
      </c>
      <c r="E194" s="170">
        <f t="shared" ref="E194:E257" si="78">SUMIFS(_1055_Light_Count,_1055_RevMonth,$B194,_1055_RateCategory,$D194)</f>
        <v>2</v>
      </c>
      <c r="F194" s="185"/>
      <c r="G194" s="170">
        <f t="shared" ref="G194:G257" si="79">SUMIFS(_SBR_KWH,_SBR_Revenue_Month,$B194,_SBR_Rate_Category,$D194)</f>
        <v>0</v>
      </c>
      <c r="H194" s="170">
        <v>0</v>
      </c>
      <c r="I194" s="11">
        <f t="shared" ref="I194:I257" si="80">SUMIF(_Lights_Tariff_Category,$AE194,_Lights_Rates)</f>
        <v>77.259999999999991</v>
      </c>
      <c r="J194" s="11">
        <f t="shared" ref="J194:J257" si="81">SUMIF(_Lights_Tariff_Category,$AE194,_Rates_Lights_BaseFAC)</f>
        <v>1.75</v>
      </c>
      <c r="K194" s="416">
        <f t="shared" si="69"/>
        <v>154.52000000000001</v>
      </c>
      <c r="L194" s="180"/>
      <c r="M194" s="180"/>
      <c r="N194" s="182">
        <f t="shared" ref="N194:N257" si="82">SUM(K194:M194)</f>
        <v>154.52000000000001</v>
      </c>
      <c r="O194" s="29">
        <f t="shared" ref="O194:O257" si="83">U194-SUM(Q194:T194)</f>
        <v>0</v>
      </c>
      <c r="P194" s="181">
        <f t="shared" si="70"/>
        <v>0</v>
      </c>
      <c r="Q194" s="182">
        <f t="shared" ref="Q194:Q257" si="84">SUMIFS(_SBR_FAC,_SBR_Revenue_Month,$B194,_SBR_Rate_Category,$D194)</f>
        <v>0</v>
      </c>
      <c r="R194" s="182">
        <f t="shared" ref="R194:R257" si="85">SUMIFS(_SBR_DSM,_SBR_Revenue_Month,$B194,_SBR_Rate_Category,$D194)</f>
        <v>0</v>
      </c>
      <c r="S194" s="182">
        <f t="shared" ref="S194:S257" si="86">SUMIFS(_SBR_ECR,_SBR_Revenue_Month,$B194,_SBR_Rate_Category,$D194)</f>
        <v>0</v>
      </c>
      <c r="T194" s="182">
        <f t="shared" ref="T194:T257" si="87">SUMIFS(_SBR_MSR,_SBR_Revenue_Month,$B194,_SBR_Rate_Category,$D194)</f>
        <v>0</v>
      </c>
      <c r="U194" s="182">
        <f t="shared" ref="U194:U257" si="88">SUMIFS(_SBR_Revenue_Actual,_SBR_Revenue_Month,$B194,_SBR_Rate_Category,$D194)</f>
        <v>0</v>
      </c>
      <c r="V194" s="14">
        <f t="shared" ref="V194:V257" si="89">SUM(N194,Q194:T194)</f>
        <v>154.52000000000001</v>
      </c>
      <c r="W194" s="14">
        <f t="shared" ref="W194:W257" si="90">U194-V194</f>
        <v>-154.52000000000001</v>
      </c>
      <c r="Y194" s="14">
        <f t="shared" si="71"/>
        <v>3.5</v>
      </c>
      <c r="Z194" s="14">
        <f t="shared" si="72"/>
        <v>-3.5</v>
      </c>
      <c r="AA194" s="11">
        <f t="shared" ref="AA194:AA257" si="91">SUMIF(_Lights_Tariff_Category,$AE194,_Rates_Lights_ECR)</f>
        <v>2.41</v>
      </c>
      <c r="AB194" s="9">
        <f t="shared" si="73"/>
        <v>4.82</v>
      </c>
      <c r="AD194" s="13">
        <f>IF(AH194&gt;AH193,AD193,IF(AD193&lt;MiscData!$F$1,EOMONTH(AD193,1),EOMONTH(AD193,-11)))</f>
        <v>42460</v>
      </c>
      <c r="AE194" s="7" t="str">
        <f t="shared" ref="AE194:AE257" si="92">CONCATENATE(AI194&amp;AK194)</f>
        <v>20140101KUUM_376</v>
      </c>
      <c r="AF194" s="12" t="str">
        <f t="shared" ref="AF194:AF257" si="93">CONCATENATE(AI194&amp;AL194)</f>
        <v>20140101LS</v>
      </c>
      <c r="AG194" s="31"/>
      <c r="AH194">
        <f>IF(AH193=MiscData!$AB$91,1,AH193+1)</f>
        <v>17</v>
      </c>
      <c r="AI194">
        <f>IF(AD194&lt;=MiscData!$B$23,MiscData!$C$23,IF(AD194&lt;=MiscData!$B$24,MiscData!$C$24,MiscData!$C$25))</f>
        <v>20140101</v>
      </c>
      <c r="AK194" s="190" t="str">
        <f>VLOOKUP(AM194,MiscData!$AB$4:$ACB$113,2,FALSE)</f>
        <v>KUUM_376</v>
      </c>
      <c r="AL194" s="190" t="str">
        <f>VLOOKUP(AM194,MiscData!$AB$4:$AE$115,4,FALSE)</f>
        <v>LS</v>
      </c>
      <c r="AM194">
        <f>IF(AM193=MiscData!$AB$91,1,AM193+1)</f>
        <v>17</v>
      </c>
    </row>
    <row r="195" spans="1:39">
      <c r="A195" s="7">
        <f t="shared" si="74"/>
        <v>194</v>
      </c>
      <c r="B195" s="13" t="str">
        <f t="shared" si="75"/>
        <v>Mar 2016</v>
      </c>
      <c r="C195" s="23" t="str">
        <f t="shared" si="76"/>
        <v>LS</v>
      </c>
      <c r="D195" s="23" t="str">
        <f t="shared" si="77"/>
        <v>KUUM_377</v>
      </c>
      <c r="E195" s="170">
        <f t="shared" si="78"/>
        <v>51</v>
      </c>
      <c r="F195" s="185"/>
      <c r="G195" s="170">
        <f t="shared" si="79"/>
        <v>0</v>
      </c>
      <c r="H195" s="170">
        <v>0</v>
      </c>
      <c r="I195" s="11">
        <f t="shared" si="80"/>
        <v>64.19</v>
      </c>
      <c r="J195" s="11">
        <f t="shared" si="81"/>
        <v>1.75</v>
      </c>
      <c r="K195" s="416">
        <f t="shared" ref="K195:K258" si="94">ROUND(($E195+$F195)*$I195,2)</f>
        <v>3273.69</v>
      </c>
      <c r="L195" s="180"/>
      <c r="M195" s="180"/>
      <c r="N195" s="182">
        <f t="shared" si="82"/>
        <v>3273.69</v>
      </c>
      <c r="O195" s="29">
        <f t="shared" si="83"/>
        <v>0</v>
      </c>
      <c r="P195" s="181">
        <f t="shared" ref="P195:P258" si="95">IF(AND(N195=0,O195=0),1,IF(N195=0,0,ROUND(O195/N195,6)))</f>
        <v>0</v>
      </c>
      <c r="Q195" s="182">
        <f t="shared" si="84"/>
        <v>0</v>
      </c>
      <c r="R195" s="182">
        <f t="shared" si="85"/>
        <v>0</v>
      </c>
      <c r="S195" s="182">
        <f t="shared" si="86"/>
        <v>0</v>
      </c>
      <c r="T195" s="182">
        <f t="shared" si="87"/>
        <v>0</v>
      </c>
      <c r="U195" s="182">
        <f t="shared" si="88"/>
        <v>0</v>
      </c>
      <c r="V195" s="14">
        <f t="shared" si="89"/>
        <v>3273.69</v>
      </c>
      <c r="W195" s="14">
        <f t="shared" si="90"/>
        <v>-3273.69</v>
      </c>
      <c r="Y195" s="14">
        <f t="shared" ref="Y195:Y258" si="96">ROUND(E195*J195,2)</f>
        <v>89.25</v>
      </c>
      <c r="Z195" s="14">
        <f t="shared" ref="Z195:Z258" si="97">O195-Y195</f>
        <v>-89.25</v>
      </c>
      <c r="AA195" s="11">
        <f t="shared" si="91"/>
        <v>2.41</v>
      </c>
      <c r="AB195" s="9">
        <f t="shared" ref="AB195:AB258" si="98">E195*AA195</f>
        <v>122.91000000000001</v>
      </c>
      <c r="AD195" s="13">
        <f>IF(AH195&gt;AH194,AD194,IF(AD194&lt;MiscData!$F$1,EOMONTH(AD194,1),EOMONTH(AD194,-11)))</f>
        <v>42460</v>
      </c>
      <c r="AE195" s="7" t="str">
        <f t="shared" si="92"/>
        <v>20140101KUUM_377</v>
      </c>
      <c r="AF195" s="12" t="str">
        <f t="shared" si="93"/>
        <v>20140101LS</v>
      </c>
      <c r="AG195" s="31"/>
      <c r="AH195">
        <f>IF(AH194=MiscData!$AB$91,1,AH194+1)</f>
        <v>18</v>
      </c>
      <c r="AI195">
        <f>IF(AD195&lt;=MiscData!$B$23,MiscData!$C$23,IF(AD195&lt;=MiscData!$B$24,MiscData!$C$24,MiscData!$C$25))</f>
        <v>20140101</v>
      </c>
      <c r="AK195" s="190" t="str">
        <f>VLOOKUP(AM195,MiscData!$AB$4:$ACB$113,2,FALSE)</f>
        <v>KUUM_377</v>
      </c>
      <c r="AL195" s="190" t="str">
        <f>VLOOKUP(AM195,MiscData!$AB$4:$AE$115,4,FALSE)</f>
        <v>LS</v>
      </c>
      <c r="AM195">
        <f>IF(AM194=MiscData!$AB$91,1,AM194+1)</f>
        <v>18</v>
      </c>
    </row>
    <row r="196" spans="1:39">
      <c r="A196" s="7">
        <f t="shared" ref="A196:A259" si="99">A195+1</f>
        <v>195</v>
      </c>
      <c r="B196" s="13" t="str">
        <f t="shared" si="75"/>
        <v>Mar 2016</v>
      </c>
      <c r="C196" s="23" t="str">
        <f t="shared" si="76"/>
        <v>LS</v>
      </c>
      <c r="D196" s="23" t="str">
        <f t="shared" si="77"/>
        <v>KUUM_378</v>
      </c>
      <c r="E196" s="170">
        <f t="shared" si="78"/>
        <v>2</v>
      </c>
      <c r="F196" s="185"/>
      <c r="G196" s="170">
        <f t="shared" si="79"/>
        <v>0</v>
      </c>
      <c r="H196" s="170">
        <v>0</v>
      </c>
      <c r="I196" s="11">
        <f t="shared" si="80"/>
        <v>75.899999999999991</v>
      </c>
      <c r="J196" s="11">
        <f t="shared" si="81"/>
        <v>1.75</v>
      </c>
      <c r="K196" s="416">
        <f t="shared" si="94"/>
        <v>151.80000000000001</v>
      </c>
      <c r="L196" s="180"/>
      <c r="M196" s="180"/>
      <c r="N196" s="182">
        <f t="shared" si="82"/>
        <v>151.80000000000001</v>
      </c>
      <c r="O196" s="29">
        <f t="shared" si="83"/>
        <v>0</v>
      </c>
      <c r="P196" s="181">
        <f t="shared" si="95"/>
        <v>0</v>
      </c>
      <c r="Q196" s="182">
        <f t="shared" si="84"/>
        <v>0</v>
      </c>
      <c r="R196" s="182">
        <f t="shared" si="85"/>
        <v>0</v>
      </c>
      <c r="S196" s="182">
        <f t="shared" si="86"/>
        <v>0</v>
      </c>
      <c r="T196" s="182">
        <f t="shared" si="87"/>
        <v>0</v>
      </c>
      <c r="U196" s="182">
        <f t="shared" si="88"/>
        <v>0</v>
      </c>
      <c r="V196" s="14">
        <f t="shared" si="89"/>
        <v>151.80000000000001</v>
      </c>
      <c r="W196" s="14">
        <f t="shared" si="90"/>
        <v>-151.80000000000001</v>
      </c>
      <c r="Y196" s="14">
        <f t="shared" si="96"/>
        <v>3.5</v>
      </c>
      <c r="Z196" s="14">
        <f t="shared" si="97"/>
        <v>-3.5</v>
      </c>
      <c r="AA196" s="11">
        <f t="shared" si="91"/>
        <v>2.41</v>
      </c>
      <c r="AB196" s="9">
        <f t="shared" si="98"/>
        <v>4.82</v>
      </c>
      <c r="AD196" s="13">
        <f>IF(AH196&gt;AH195,AD195,IF(AD195&lt;MiscData!$F$1,EOMONTH(AD195,1),EOMONTH(AD195,-11)))</f>
        <v>42460</v>
      </c>
      <c r="AE196" s="7" t="str">
        <f t="shared" si="92"/>
        <v>20140101KUUM_378</v>
      </c>
      <c r="AF196" s="12" t="str">
        <f t="shared" si="93"/>
        <v>20140101LS</v>
      </c>
      <c r="AG196" s="31"/>
      <c r="AH196">
        <f>IF(AH195=MiscData!$AB$91,1,AH195+1)</f>
        <v>19</v>
      </c>
      <c r="AI196">
        <f>IF(AD196&lt;=MiscData!$B$23,MiscData!$C$23,IF(AD196&lt;=MiscData!$B$24,MiscData!$C$24,MiscData!$C$25))</f>
        <v>20140101</v>
      </c>
      <c r="AK196" s="190" t="str">
        <f>VLOOKUP(AM196,MiscData!$AB$4:$ACB$113,2,FALSE)</f>
        <v>KUUM_378</v>
      </c>
      <c r="AL196" s="190" t="str">
        <f>VLOOKUP(AM196,MiscData!$AB$4:$AE$115,4,FALSE)</f>
        <v>LS</v>
      </c>
      <c r="AM196">
        <f>IF(AM195=MiscData!$AB$91,1,AM195+1)</f>
        <v>19</v>
      </c>
    </row>
    <row r="197" spans="1:39">
      <c r="A197" s="7">
        <f t="shared" si="99"/>
        <v>196</v>
      </c>
      <c r="B197" s="13" t="str">
        <f t="shared" si="75"/>
        <v>Mar 2016</v>
      </c>
      <c r="C197" s="23" t="str">
        <f t="shared" si="76"/>
        <v>LS</v>
      </c>
      <c r="D197" s="23" t="str">
        <f t="shared" si="77"/>
        <v>KUUM_401</v>
      </c>
      <c r="E197" s="170">
        <f t="shared" si="78"/>
        <v>52</v>
      </c>
      <c r="F197" s="185"/>
      <c r="G197" s="170">
        <f t="shared" si="79"/>
        <v>0</v>
      </c>
      <c r="H197" s="170">
        <v>0</v>
      </c>
      <c r="I197" s="11">
        <f t="shared" si="80"/>
        <v>14.860000000000001</v>
      </c>
      <c r="J197" s="11">
        <f t="shared" si="81"/>
        <v>0.80000000000000071</v>
      </c>
      <c r="K197" s="416">
        <f t="shared" si="94"/>
        <v>772.72</v>
      </c>
      <c r="L197" s="180"/>
      <c r="M197" s="180"/>
      <c r="N197" s="182">
        <f t="shared" si="82"/>
        <v>772.72</v>
      </c>
      <c r="O197" s="29">
        <f t="shared" si="83"/>
        <v>0</v>
      </c>
      <c r="P197" s="181">
        <f t="shared" si="95"/>
        <v>0</v>
      </c>
      <c r="Q197" s="182">
        <f t="shared" si="84"/>
        <v>0</v>
      </c>
      <c r="R197" s="182">
        <f t="shared" si="85"/>
        <v>0</v>
      </c>
      <c r="S197" s="182">
        <f t="shared" si="86"/>
        <v>0</v>
      </c>
      <c r="T197" s="182">
        <f t="shared" si="87"/>
        <v>0</v>
      </c>
      <c r="U197" s="182">
        <f t="shared" si="88"/>
        <v>0</v>
      </c>
      <c r="V197" s="14">
        <f t="shared" si="89"/>
        <v>772.72</v>
      </c>
      <c r="W197" s="14">
        <f t="shared" si="90"/>
        <v>-772.72</v>
      </c>
      <c r="Y197" s="14">
        <f t="shared" si="96"/>
        <v>41.6</v>
      </c>
      <c r="Z197" s="14">
        <f t="shared" si="97"/>
        <v>-41.6</v>
      </c>
      <c r="AA197" s="11">
        <f t="shared" si="91"/>
        <v>0.43</v>
      </c>
      <c r="AB197" s="9">
        <f t="shared" si="98"/>
        <v>22.36</v>
      </c>
      <c r="AD197" s="13">
        <f>IF(AH197&gt;AH196,AD196,IF(AD196&lt;MiscData!$F$1,EOMONTH(AD196,1),EOMONTH(AD196,-11)))</f>
        <v>42460</v>
      </c>
      <c r="AE197" s="7" t="str">
        <f t="shared" si="92"/>
        <v>20140101KUUM_401</v>
      </c>
      <c r="AF197" s="12" t="str">
        <f t="shared" si="93"/>
        <v>20140101LS</v>
      </c>
      <c r="AG197" s="31"/>
      <c r="AH197">
        <f>IF(AH196=MiscData!$AB$91,1,AH196+1)</f>
        <v>20</v>
      </c>
      <c r="AI197">
        <f>IF(AD197&lt;=MiscData!$B$23,MiscData!$C$23,IF(AD197&lt;=MiscData!$B$24,MiscData!$C$24,MiscData!$C$25))</f>
        <v>20140101</v>
      </c>
      <c r="AK197" s="190" t="str">
        <f>VLOOKUP(AM197,MiscData!$AB$4:$ACB$113,2,FALSE)</f>
        <v>KUUM_401</v>
      </c>
      <c r="AL197" s="190" t="str">
        <f>VLOOKUP(AM197,MiscData!$AB$4:$AE$115,4,FALSE)</f>
        <v>LS</v>
      </c>
      <c r="AM197">
        <f>IF(AM196=MiscData!$AB$91,1,AM196+1)</f>
        <v>20</v>
      </c>
    </row>
    <row r="198" spans="1:39">
      <c r="A198" s="7">
        <f t="shared" si="99"/>
        <v>197</v>
      </c>
      <c r="B198" s="13" t="str">
        <f t="shared" si="75"/>
        <v>Mar 2016</v>
      </c>
      <c r="C198" s="23" t="str">
        <f t="shared" si="76"/>
        <v>RLS</v>
      </c>
      <c r="D198" s="23" t="str">
        <f t="shared" si="77"/>
        <v>KUUM_404</v>
      </c>
      <c r="E198" s="170">
        <f t="shared" si="78"/>
        <v>7279</v>
      </c>
      <c r="F198" s="185"/>
      <c r="G198" s="170">
        <f t="shared" si="79"/>
        <v>0</v>
      </c>
      <c r="H198" s="170">
        <v>0</v>
      </c>
      <c r="I198" s="11">
        <f t="shared" si="80"/>
        <v>10.570000000000002</v>
      </c>
      <c r="J198" s="11">
        <f t="shared" si="81"/>
        <v>1.9900000000000002</v>
      </c>
      <c r="K198" s="416">
        <f t="shared" si="94"/>
        <v>76939.03</v>
      </c>
      <c r="L198" s="180"/>
      <c r="M198" s="180"/>
      <c r="N198" s="182">
        <f t="shared" si="82"/>
        <v>76939.03</v>
      </c>
      <c r="O198" s="29">
        <f t="shared" si="83"/>
        <v>0</v>
      </c>
      <c r="P198" s="181">
        <f t="shared" si="95"/>
        <v>0</v>
      </c>
      <c r="Q198" s="182">
        <f t="shared" si="84"/>
        <v>0</v>
      </c>
      <c r="R198" s="182">
        <f t="shared" si="85"/>
        <v>0</v>
      </c>
      <c r="S198" s="182">
        <f t="shared" si="86"/>
        <v>0</v>
      </c>
      <c r="T198" s="182">
        <f t="shared" si="87"/>
        <v>0</v>
      </c>
      <c r="U198" s="182">
        <f t="shared" si="88"/>
        <v>0</v>
      </c>
      <c r="V198" s="14">
        <f t="shared" si="89"/>
        <v>76939.03</v>
      </c>
      <c r="W198" s="14">
        <f t="shared" si="90"/>
        <v>-76939.03</v>
      </c>
      <c r="Y198" s="14">
        <f t="shared" si="96"/>
        <v>14485.21</v>
      </c>
      <c r="Z198" s="14">
        <f t="shared" si="97"/>
        <v>-14485.21</v>
      </c>
      <c r="AA198" s="11">
        <f t="shared" si="91"/>
        <v>0.39</v>
      </c>
      <c r="AB198" s="9">
        <f t="shared" si="98"/>
        <v>2838.81</v>
      </c>
      <c r="AD198" s="13">
        <f>IF(AH198&gt;AH197,AD197,IF(AD197&lt;MiscData!$F$1,EOMONTH(AD197,1),EOMONTH(AD197,-11)))</f>
        <v>42460</v>
      </c>
      <c r="AE198" s="7" t="str">
        <f t="shared" si="92"/>
        <v>20140101KUUM_404</v>
      </c>
      <c r="AF198" s="12" t="str">
        <f t="shared" si="93"/>
        <v>20140101RLS</v>
      </c>
      <c r="AG198" s="31"/>
      <c r="AH198">
        <f>IF(AH197=MiscData!$AB$91,1,AH197+1)</f>
        <v>21</v>
      </c>
      <c r="AI198">
        <f>IF(AD198&lt;=MiscData!$B$23,MiscData!$C$23,IF(AD198&lt;=MiscData!$B$24,MiscData!$C$24,MiscData!$C$25))</f>
        <v>20140101</v>
      </c>
      <c r="AK198" s="190" t="str">
        <f>VLOOKUP(AM198,MiscData!$AB$4:$ACB$113,2,FALSE)</f>
        <v>KUUM_404</v>
      </c>
      <c r="AL198" s="190" t="str">
        <f>VLOOKUP(AM198,MiscData!$AB$4:$AE$115,4,FALSE)</f>
        <v>RLS</v>
      </c>
      <c r="AM198">
        <f>IF(AM197=MiscData!$AB$91,1,AM197+1)</f>
        <v>21</v>
      </c>
    </row>
    <row r="199" spans="1:39">
      <c r="A199" s="7">
        <f t="shared" si="99"/>
        <v>198</v>
      </c>
      <c r="B199" s="13" t="str">
        <f t="shared" si="75"/>
        <v>Mar 2016</v>
      </c>
      <c r="C199" s="23" t="str">
        <f t="shared" si="76"/>
        <v>RLS</v>
      </c>
      <c r="D199" s="23" t="str">
        <f t="shared" si="77"/>
        <v>KUUM_405</v>
      </c>
      <c r="E199" s="170">
        <f t="shared" si="78"/>
        <v>0</v>
      </c>
      <c r="F199" s="185"/>
      <c r="G199" s="170">
        <f t="shared" si="79"/>
        <v>0</v>
      </c>
      <c r="H199" s="170">
        <v>0</v>
      </c>
      <c r="I199" s="11">
        <f t="shared" si="80"/>
        <v>0</v>
      </c>
      <c r="J199" s="11">
        <f t="shared" si="81"/>
        <v>0</v>
      </c>
      <c r="K199" s="416">
        <f t="shared" si="94"/>
        <v>0</v>
      </c>
      <c r="L199" s="180"/>
      <c r="M199" s="180"/>
      <c r="N199" s="182">
        <f t="shared" si="82"/>
        <v>0</v>
      </c>
      <c r="O199" s="29">
        <f t="shared" si="83"/>
        <v>0</v>
      </c>
      <c r="P199" s="181">
        <f t="shared" si="95"/>
        <v>1</v>
      </c>
      <c r="Q199" s="182">
        <f t="shared" si="84"/>
        <v>0</v>
      </c>
      <c r="R199" s="182">
        <f t="shared" si="85"/>
        <v>0</v>
      </c>
      <c r="S199" s="182">
        <f t="shared" si="86"/>
        <v>0</v>
      </c>
      <c r="T199" s="182">
        <f t="shared" si="87"/>
        <v>0</v>
      </c>
      <c r="U199" s="182">
        <f t="shared" si="88"/>
        <v>0</v>
      </c>
      <c r="V199" s="14">
        <f t="shared" si="89"/>
        <v>0</v>
      </c>
      <c r="W199" s="14">
        <f t="shared" si="90"/>
        <v>0</v>
      </c>
      <c r="Y199" s="14">
        <f t="shared" si="96"/>
        <v>0</v>
      </c>
      <c r="Z199" s="14">
        <f t="shared" si="97"/>
        <v>0</v>
      </c>
      <c r="AA199" s="11">
        <f t="shared" si="91"/>
        <v>0</v>
      </c>
      <c r="AB199" s="9">
        <f t="shared" si="98"/>
        <v>0</v>
      </c>
      <c r="AD199" s="13">
        <f>IF(AH199&gt;AH198,AD198,IF(AD198&lt;MiscData!$F$1,EOMONTH(AD198,1),EOMONTH(AD198,-11)))</f>
        <v>42460</v>
      </c>
      <c r="AE199" s="7" t="str">
        <f t="shared" si="92"/>
        <v>20140101KUUM_405</v>
      </c>
      <c r="AF199" s="12" t="str">
        <f t="shared" si="93"/>
        <v>20140101RLS</v>
      </c>
      <c r="AG199" s="31"/>
      <c r="AH199">
        <f>IF(AH198=MiscData!$AB$91,1,AH198+1)</f>
        <v>22</v>
      </c>
      <c r="AI199">
        <f>IF(AD199&lt;=MiscData!$B$23,MiscData!$C$23,IF(AD199&lt;=MiscData!$B$24,MiscData!$C$24,MiscData!$C$25))</f>
        <v>20140101</v>
      </c>
      <c r="AK199" s="190" t="str">
        <f>VLOOKUP(AM199,MiscData!$AB$4:$ACB$113,2,FALSE)</f>
        <v>KUUM_405</v>
      </c>
      <c r="AL199" s="190" t="str">
        <f>VLOOKUP(AM199,MiscData!$AB$4:$AE$115,4,FALSE)</f>
        <v>RLS</v>
      </c>
      <c r="AM199">
        <f>IF(AM198=MiscData!$AB$91,1,AM198+1)</f>
        <v>22</v>
      </c>
    </row>
    <row r="200" spans="1:39">
      <c r="A200" s="7">
        <f t="shared" si="99"/>
        <v>199</v>
      </c>
      <c r="B200" s="13" t="str">
        <f t="shared" si="75"/>
        <v>Mar 2016</v>
      </c>
      <c r="C200" s="23" t="str">
        <f t="shared" si="76"/>
        <v>LS</v>
      </c>
      <c r="D200" s="23" t="str">
        <f t="shared" si="77"/>
        <v>KUUM_407</v>
      </c>
      <c r="E200" s="170">
        <f t="shared" si="78"/>
        <v>0</v>
      </c>
      <c r="F200" s="185"/>
      <c r="G200" s="170">
        <f t="shared" si="79"/>
        <v>0</v>
      </c>
      <c r="H200" s="170">
        <v>0</v>
      </c>
      <c r="I200" s="11">
        <f t="shared" si="80"/>
        <v>0</v>
      </c>
      <c r="J200" s="11">
        <f t="shared" si="81"/>
        <v>0</v>
      </c>
      <c r="K200" s="416">
        <f t="shared" si="94"/>
        <v>0</v>
      </c>
      <c r="L200" s="180"/>
      <c r="M200" s="180"/>
      <c r="N200" s="182">
        <f t="shared" si="82"/>
        <v>0</v>
      </c>
      <c r="O200" s="29">
        <f t="shared" si="83"/>
        <v>0</v>
      </c>
      <c r="P200" s="181">
        <f t="shared" si="95"/>
        <v>1</v>
      </c>
      <c r="Q200" s="182">
        <f t="shared" si="84"/>
        <v>0</v>
      </c>
      <c r="R200" s="182">
        <f t="shared" si="85"/>
        <v>0</v>
      </c>
      <c r="S200" s="182">
        <f t="shared" si="86"/>
        <v>0</v>
      </c>
      <c r="T200" s="182">
        <f t="shared" si="87"/>
        <v>0</v>
      </c>
      <c r="U200" s="182">
        <f t="shared" si="88"/>
        <v>0</v>
      </c>
      <c r="V200" s="14">
        <f t="shared" si="89"/>
        <v>0</v>
      </c>
      <c r="W200" s="14">
        <f t="shared" si="90"/>
        <v>0</v>
      </c>
      <c r="Y200" s="14">
        <f t="shared" si="96"/>
        <v>0</v>
      </c>
      <c r="Z200" s="14">
        <f t="shared" si="97"/>
        <v>0</v>
      </c>
      <c r="AA200" s="11">
        <f t="shared" si="91"/>
        <v>0</v>
      </c>
      <c r="AB200" s="9">
        <f t="shared" si="98"/>
        <v>0</v>
      </c>
      <c r="AD200" s="13">
        <f>IF(AH200&gt;AH199,AD199,IF(AD199&lt;MiscData!$F$1,EOMONTH(AD199,1),EOMONTH(AD199,-11)))</f>
        <v>42460</v>
      </c>
      <c r="AE200" s="7" t="str">
        <f t="shared" si="92"/>
        <v>20140101KUUM_407</v>
      </c>
      <c r="AF200" s="12" t="str">
        <f t="shared" si="93"/>
        <v>20140101LS</v>
      </c>
      <c r="AG200" s="31"/>
      <c r="AH200">
        <f>IF(AH199=MiscData!$AB$91,1,AH199+1)</f>
        <v>23</v>
      </c>
      <c r="AI200">
        <f>IF(AD200&lt;=MiscData!$B$23,MiscData!$C$23,IF(AD200&lt;=MiscData!$B$24,MiscData!$C$24,MiscData!$C$25))</f>
        <v>20140101</v>
      </c>
      <c r="AK200" s="190" t="str">
        <f>VLOOKUP(AM200,MiscData!$AB$4:$ACB$113,2,FALSE)</f>
        <v>KUUM_407</v>
      </c>
      <c r="AL200" s="190" t="str">
        <f>VLOOKUP(AM200,MiscData!$AB$4:$AE$115,4,FALSE)</f>
        <v>LS</v>
      </c>
      <c r="AM200">
        <f>IF(AM199=MiscData!$AB$91,1,AM199+1)</f>
        <v>23</v>
      </c>
    </row>
    <row r="201" spans="1:39">
      <c r="A201" s="7">
        <f t="shared" si="99"/>
        <v>200</v>
      </c>
      <c r="B201" s="13" t="str">
        <f t="shared" si="75"/>
        <v>Mar 2016</v>
      </c>
      <c r="C201" s="23" t="str">
        <f t="shared" si="76"/>
        <v>RLS</v>
      </c>
      <c r="D201" s="23" t="str">
        <f t="shared" si="77"/>
        <v>KUUM_409</v>
      </c>
      <c r="E201" s="170">
        <f t="shared" si="78"/>
        <v>143</v>
      </c>
      <c r="F201" s="185"/>
      <c r="G201" s="170">
        <f t="shared" si="79"/>
        <v>0</v>
      </c>
      <c r="H201" s="170">
        <v>0</v>
      </c>
      <c r="I201" s="11">
        <f t="shared" si="80"/>
        <v>11.71</v>
      </c>
      <c r="J201" s="11">
        <f t="shared" si="81"/>
        <v>4.5299999999999994</v>
      </c>
      <c r="K201" s="416">
        <f t="shared" si="94"/>
        <v>1674.53</v>
      </c>
      <c r="L201" s="180"/>
      <c r="M201" s="180"/>
      <c r="N201" s="182">
        <f t="shared" si="82"/>
        <v>1674.53</v>
      </c>
      <c r="O201" s="29">
        <f t="shared" si="83"/>
        <v>0</v>
      </c>
      <c r="P201" s="181">
        <f t="shared" si="95"/>
        <v>0</v>
      </c>
      <c r="Q201" s="182">
        <f t="shared" si="84"/>
        <v>0</v>
      </c>
      <c r="R201" s="182">
        <f t="shared" si="85"/>
        <v>0</v>
      </c>
      <c r="S201" s="182">
        <f t="shared" si="86"/>
        <v>0</v>
      </c>
      <c r="T201" s="182">
        <f t="shared" si="87"/>
        <v>0</v>
      </c>
      <c r="U201" s="182">
        <f t="shared" si="88"/>
        <v>0</v>
      </c>
      <c r="V201" s="14">
        <f t="shared" si="89"/>
        <v>1674.53</v>
      </c>
      <c r="W201" s="14">
        <f t="shared" si="90"/>
        <v>-1674.53</v>
      </c>
      <c r="Y201" s="14">
        <f t="shared" si="96"/>
        <v>647.79</v>
      </c>
      <c r="Z201" s="14">
        <f t="shared" si="97"/>
        <v>-647.79</v>
      </c>
      <c r="AA201" s="11">
        <f t="shared" si="91"/>
        <v>0.79</v>
      </c>
      <c r="AB201" s="9">
        <f t="shared" si="98"/>
        <v>112.97</v>
      </c>
      <c r="AD201" s="13">
        <f>IF(AH201&gt;AH200,AD200,IF(AD200&lt;MiscData!$F$1,EOMONTH(AD200,1),EOMONTH(AD200,-11)))</f>
        <v>42460</v>
      </c>
      <c r="AE201" s="7" t="str">
        <f t="shared" si="92"/>
        <v>20140101KUUM_409</v>
      </c>
      <c r="AF201" s="12" t="str">
        <f t="shared" si="93"/>
        <v>20140101RLS</v>
      </c>
      <c r="AG201" s="31"/>
      <c r="AH201">
        <f>IF(AH200=MiscData!$AB$91,1,AH200+1)</f>
        <v>24</v>
      </c>
      <c r="AI201">
        <f>IF(AD201&lt;=MiscData!$B$23,MiscData!$C$23,IF(AD201&lt;=MiscData!$B$24,MiscData!$C$24,MiscData!$C$25))</f>
        <v>20140101</v>
      </c>
      <c r="AK201" s="190" t="str">
        <f>VLOOKUP(AM201,MiscData!$AB$4:$ACB$113,2,FALSE)</f>
        <v>KUUM_409</v>
      </c>
      <c r="AL201" s="190" t="str">
        <f>VLOOKUP(AM201,MiscData!$AB$4:$AE$115,4,FALSE)</f>
        <v>RLS</v>
      </c>
      <c r="AM201">
        <f>IF(AM200=MiscData!$AB$91,1,AM200+1)</f>
        <v>24</v>
      </c>
    </row>
    <row r="202" spans="1:39">
      <c r="A202" s="7">
        <f t="shared" si="99"/>
        <v>201</v>
      </c>
      <c r="B202" s="13" t="str">
        <f t="shared" si="75"/>
        <v>Mar 2016</v>
      </c>
      <c r="C202" s="23" t="str">
        <f t="shared" si="76"/>
        <v>RLS</v>
      </c>
      <c r="D202" s="23" t="str">
        <f t="shared" si="77"/>
        <v>KUUM_410</v>
      </c>
      <c r="E202" s="170">
        <f t="shared" si="78"/>
        <v>240</v>
      </c>
      <c r="F202" s="185"/>
      <c r="G202" s="170">
        <f t="shared" si="79"/>
        <v>0</v>
      </c>
      <c r="H202" s="170">
        <v>0</v>
      </c>
      <c r="I202" s="11">
        <f t="shared" si="80"/>
        <v>20.259999999999998</v>
      </c>
      <c r="J202" s="11">
        <f t="shared" si="81"/>
        <v>0.57000000000000028</v>
      </c>
      <c r="K202" s="416">
        <f t="shared" si="94"/>
        <v>4862.3999999999996</v>
      </c>
      <c r="L202" s="180"/>
      <c r="M202" s="180"/>
      <c r="N202" s="182">
        <f t="shared" si="82"/>
        <v>4862.3999999999996</v>
      </c>
      <c r="O202" s="29">
        <f t="shared" si="83"/>
        <v>0</v>
      </c>
      <c r="P202" s="181">
        <f t="shared" si="95"/>
        <v>0</v>
      </c>
      <c r="Q202" s="182">
        <f t="shared" si="84"/>
        <v>0</v>
      </c>
      <c r="R202" s="182">
        <f t="shared" si="85"/>
        <v>0</v>
      </c>
      <c r="S202" s="182">
        <f t="shared" si="86"/>
        <v>0</v>
      </c>
      <c r="T202" s="182">
        <f t="shared" si="87"/>
        <v>0</v>
      </c>
      <c r="U202" s="182">
        <f t="shared" si="88"/>
        <v>0</v>
      </c>
      <c r="V202" s="14">
        <f t="shared" si="89"/>
        <v>4862.3999999999996</v>
      </c>
      <c r="W202" s="14">
        <f t="shared" si="90"/>
        <v>-4862.3999999999996</v>
      </c>
      <c r="Y202" s="14">
        <f t="shared" si="96"/>
        <v>136.80000000000001</v>
      </c>
      <c r="Z202" s="14">
        <f t="shared" si="97"/>
        <v>-136.80000000000001</v>
      </c>
      <c r="AA202" s="11">
        <f t="shared" si="91"/>
        <v>0.33</v>
      </c>
      <c r="AB202" s="9">
        <f t="shared" si="98"/>
        <v>79.2</v>
      </c>
      <c r="AD202" s="13">
        <f>IF(AH202&gt;AH201,AD201,IF(AD201&lt;MiscData!$F$1,EOMONTH(AD201,1),EOMONTH(AD201,-11)))</f>
        <v>42460</v>
      </c>
      <c r="AE202" s="7" t="str">
        <f t="shared" si="92"/>
        <v>20140101KUUM_410</v>
      </c>
      <c r="AF202" s="12" t="str">
        <f t="shared" si="93"/>
        <v>20140101RLS</v>
      </c>
      <c r="AG202" s="31"/>
      <c r="AH202">
        <f>IF(AH201=MiscData!$AB$91,1,AH201+1)</f>
        <v>25</v>
      </c>
      <c r="AI202">
        <f>IF(AD202&lt;=MiscData!$B$23,MiscData!$C$23,IF(AD202&lt;=MiscData!$B$24,MiscData!$C$24,MiscData!$C$25))</f>
        <v>20140101</v>
      </c>
      <c r="AK202" s="190" t="str">
        <f>VLOOKUP(AM202,MiscData!$AB$4:$ACB$113,2,FALSE)</f>
        <v>KUUM_410</v>
      </c>
      <c r="AL202" s="190" t="str">
        <f>VLOOKUP(AM202,MiscData!$AB$4:$AE$115,4,FALSE)</f>
        <v>RLS</v>
      </c>
      <c r="AM202">
        <f>IF(AM201=MiscData!$AB$91,1,AM201+1)</f>
        <v>25</v>
      </c>
    </row>
    <row r="203" spans="1:39">
      <c r="A203" s="7">
        <f t="shared" si="99"/>
        <v>202</v>
      </c>
      <c r="B203" s="13" t="str">
        <f t="shared" si="75"/>
        <v>Mar 2016</v>
      </c>
      <c r="C203" s="23" t="str">
        <f t="shared" si="76"/>
        <v>LS</v>
      </c>
      <c r="D203" s="23" t="str">
        <f t="shared" si="77"/>
        <v>KUUM_411</v>
      </c>
      <c r="E203" s="170">
        <f t="shared" si="78"/>
        <v>145</v>
      </c>
      <c r="F203" s="185"/>
      <c r="G203" s="170">
        <f t="shared" si="79"/>
        <v>0</v>
      </c>
      <c r="H203" s="170">
        <v>0</v>
      </c>
      <c r="I203" s="11">
        <f t="shared" si="80"/>
        <v>21.38</v>
      </c>
      <c r="J203" s="11">
        <f t="shared" si="81"/>
        <v>0.79999999999999716</v>
      </c>
      <c r="K203" s="416">
        <f t="shared" si="94"/>
        <v>3100.1</v>
      </c>
      <c r="L203" s="180"/>
      <c r="M203" s="180"/>
      <c r="N203" s="182">
        <f t="shared" si="82"/>
        <v>3100.1</v>
      </c>
      <c r="O203" s="29">
        <f t="shared" si="83"/>
        <v>0</v>
      </c>
      <c r="P203" s="181">
        <f t="shared" si="95"/>
        <v>0</v>
      </c>
      <c r="Q203" s="182">
        <f t="shared" si="84"/>
        <v>0</v>
      </c>
      <c r="R203" s="182">
        <f t="shared" si="85"/>
        <v>0</v>
      </c>
      <c r="S203" s="182">
        <f t="shared" si="86"/>
        <v>0</v>
      </c>
      <c r="T203" s="182">
        <f t="shared" si="87"/>
        <v>0</v>
      </c>
      <c r="U203" s="182">
        <f t="shared" si="88"/>
        <v>0</v>
      </c>
      <c r="V203" s="14">
        <f t="shared" si="89"/>
        <v>3100.1</v>
      </c>
      <c r="W203" s="14">
        <f t="shared" si="90"/>
        <v>-3100.1</v>
      </c>
      <c r="Y203" s="14">
        <f t="shared" si="96"/>
        <v>116</v>
      </c>
      <c r="Z203" s="14">
        <f t="shared" si="97"/>
        <v>-116</v>
      </c>
      <c r="AA203" s="11">
        <f t="shared" si="91"/>
        <v>0.43</v>
      </c>
      <c r="AB203" s="9">
        <f t="shared" si="98"/>
        <v>62.35</v>
      </c>
      <c r="AD203" s="13">
        <f>IF(AH203&gt;AH202,AD202,IF(AD202&lt;MiscData!$F$1,EOMONTH(AD202,1),EOMONTH(AD202,-11)))</f>
        <v>42460</v>
      </c>
      <c r="AE203" s="7" t="str">
        <f t="shared" si="92"/>
        <v>20140101KUUM_411</v>
      </c>
      <c r="AF203" s="12" t="str">
        <f t="shared" si="93"/>
        <v>20140101LS</v>
      </c>
      <c r="AG203" s="31"/>
      <c r="AH203">
        <f>IF(AH202=MiscData!$AB$91,1,AH202+1)</f>
        <v>26</v>
      </c>
      <c r="AI203">
        <f>IF(AD203&lt;=MiscData!$B$23,MiscData!$C$23,IF(AD203&lt;=MiscData!$B$24,MiscData!$C$24,MiscData!$C$25))</f>
        <v>20140101</v>
      </c>
      <c r="AK203" s="190" t="str">
        <f>VLOOKUP(AM203,MiscData!$AB$4:$ACB$113,2,FALSE)</f>
        <v>KUUM_411</v>
      </c>
      <c r="AL203" s="190" t="str">
        <f>VLOOKUP(AM203,MiscData!$AB$4:$AE$115,4,FALSE)</f>
        <v>LS</v>
      </c>
      <c r="AM203">
        <f>IF(AM202=MiscData!$AB$91,1,AM202+1)</f>
        <v>26</v>
      </c>
    </row>
    <row r="204" spans="1:39">
      <c r="A204" s="7">
        <f t="shared" si="99"/>
        <v>203</v>
      </c>
      <c r="B204" s="13" t="str">
        <f t="shared" si="75"/>
        <v>Mar 2016</v>
      </c>
      <c r="C204" s="23" t="str">
        <f t="shared" si="76"/>
        <v>RLS</v>
      </c>
      <c r="D204" s="23" t="str">
        <f t="shared" si="77"/>
        <v>KUUM_412</v>
      </c>
      <c r="E204" s="170">
        <f t="shared" si="78"/>
        <v>28</v>
      </c>
      <c r="F204" s="185"/>
      <c r="G204" s="170">
        <f t="shared" si="79"/>
        <v>0</v>
      </c>
      <c r="H204" s="170">
        <v>0</v>
      </c>
      <c r="I204" s="11">
        <f t="shared" si="80"/>
        <v>30.84</v>
      </c>
      <c r="J204" s="11">
        <f t="shared" si="81"/>
        <v>0.79999999999999716</v>
      </c>
      <c r="K204" s="416">
        <f t="shared" si="94"/>
        <v>863.52</v>
      </c>
      <c r="L204" s="180"/>
      <c r="M204" s="180"/>
      <c r="N204" s="182">
        <f t="shared" si="82"/>
        <v>863.52</v>
      </c>
      <c r="O204" s="29">
        <f t="shared" si="83"/>
        <v>0</v>
      </c>
      <c r="P204" s="181">
        <f t="shared" si="95"/>
        <v>0</v>
      </c>
      <c r="Q204" s="182">
        <f t="shared" si="84"/>
        <v>0</v>
      </c>
      <c r="R204" s="182">
        <f t="shared" si="85"/>
        <v>0</v>
      </c>
      <c r="S204" s="182">
        <f t="shared" si="86"/>
        <v>0</v>
      </c>
      <c r="T204" s="182">
        <f t="shared" si="87"/>
        <v>0</v>
      </c>
      <c r="U204" s="182">
        <f t="shared" si="88"/>
        <v>0</v>
      </c>
      <c r="V204" s="14">
        <f t="shared" si="89"/>
        <v>863.52</v>
      </c>
      <c r="W204" s="14">
        <f t="shared" si="90"/>
        <v>-863.52</v>
      </c>
      <c r="Y204" s="14">
        <f t="shared" si="96"/>
        <v>22.4</v>
      </c>
      <c r="Z204" s="14">
        <f t="shared" si="97"/>
        <v>-22.4</v>
      </c>
      <c r="AA204" s="11">
        <f t="shared" si="91"/>
        <v>0.43</v>
      </c>
      <c r="AB204" s="9">
        <f t="shared" si="98"/>
        <v>12.04</v>
      </c>
      <c r="AD204" s="13">
        <f>IF(AH204&gt;AH203,AD203,IF(AD203&lt;MiscData!$F$1,EOMONTH(AD203,1),EOMONTH(AD203,-11)))</f>
        <v>42460</v>
      </c>
      <c r="AE204" s="7" t="str">
        <f t="shared" si="92"/>
        <v>20140101KUUM_412</v>
      </c>
      <c r="AF204" s="12" t="str">
        <f t="shared" si="93"/>
        <v>20140101RLS</v>
      </c>
      <c r="AG204" s="31"/>
      <c r="AH204">
        <f>IF(AH203=MiscData!$AB$91,1,AH203+1)</f>
        <v>27</v>
      </c>
      <c r="AI204">
        <f>IF(AD204&lt;=MiscData!$B$23,MiscData!$C$23,IF(AD204&lt;=MiscData!$B$24,MiscData!$C$24,MiscData!$C$25))</f>
        <v>20140101</v>
      </c>
      <c r="AK204" s="190" t="str">
        <f>VLOOKUP(AM204,MiscData!$AB$4:$ACB$113,2,FALSE)</f>
        <v>KUUM_412</v>
      </c>
      <c r="AL204" s="190" t="str">
        <f>VLOOKUP(AM204,MiscData!$AB$4:$AE$115,4,FALSE)</f>
        <v>RLS</v>
      </c>
      <c r="AM204">
        <f>IF(AM203=MiscData!$AB$91,1,AM203+1)</f>
        <v>27</v>
      </c>
    </row>
    <row r="205" spans="1:39">
      <c r="A205" s="7">
        <f t="shared" si="99"/>
        <v>204</v>
      </c>
      <c r="B205" s="13" t="str">
        <f t="shared" si="75"/>
        <v>Mar 2016</v>
      </c>
      <c r="C205" s="23" t="str">
        <f t="shared" si="76"/>
        <v>RLS</v>
      </c>
      <c r="D205" s="23" t="str">
        <f t="shared" si="77"/>
        <v>KUUM_413</v>
      </c>
      <c r="E205" s="170">
        <f t="shared" si="78"/>
        <v>96</v>
      </c>
      <c r="F205" s="185"/>
      <c r="G205" s="170">
        <f t="shared" si="79"/>
        <v>0</v>
      </c>
      <c r="H205" s="170">
        <v>0</v>
      </c>
      <c r="I205" s="11">
        <f t="shared" si="80"/>
        <v>31.22</v>
      </c>
      <c r="J205" s="11">
        <f t="shared" si="81"/>
        <v>1.129999999999999</v>
      </c>
      <c r="K205" s="416">
        <f t="shared" si="94"/>
        <v>2997.12</v>
      </c>
      <c r="L205" s="180"/>
      <c r="M205" s="180"/>
      <c r="N205" s="182">
        <f t="shared" si="82"/>
        <v>2997.12</v>
      </c>
      <c r="O205" s="29">
        <f t="shared" si="83"/>
        <v>0</v>
      </c>
      <c r="P205" s="181">
        <f t="shared" si="95"/>
        <v>0</v>
      </c>
      <c r="Q205" s="182">
        <f t="shared" si="84"/>
        <v>0</v>
      </c>
      <c r="R205" s="182">
        <f t="shared" si="85"/>
        <v>0</v>
      </c>
      <c r="S205" s="182">
        <f t="shared" si="86"/>
        <v>0</v>
      </c>
      <c r="T205" s="182">
        <f t="shared" si="87"/>
        <v>0</v>
      </c>
      <c r="U205" s="182">
        <f t="shared" si="88"/>
        <v>0</v>
      </c>
      <c r="V205" s="14">
        <f t="shared" si="89"/>
        <v>2997.12</v>
      </c>
      <c r="W205" s="14">
        <f t="shared" si="90"/>
        <v>-2997.12</v>
      </c>
      <c r="Y205" s="14">
        <f t="shared" si="96"/>
        <v>108.48</v>
      </c>
      <c r="Z205" s="14">
        <f t="shared" si="97"/>
        <v>-108.48</v>
      </c>
      <c r="AA205" s="11">
        <f t="shared" si="91"/>
        <v>0.34</v>
      </c>
      <c r="AB205" s="9">
        <f t="shared" si="98"/>
        <v>32.64</v>
      </c>
      <c r="AD205" s="13">
        <f>IF(AH205&gt;AH204,AD204,IF(AD204&lt;MiscData!$F$1,EOMONTH(AD204,1),EOMONTH(AD204,-11)))</f>
        <v>42460</v>
      </c>
      <c r="AE205" s="7" t="str">
        <f t="shared" si="92"/>
        <v>20140101KUUM_413</v>
      </c>
      <c r="AF205" s="12" t="str">
        <f t="shared" si="93"/>
        <v>20140101RLS</v>
      </c>
      <c r="AG205" s="31"/>
      <c r="AH205">
        <f>IF(AH204=MiscData!$AB$91,1,AH204+1)</f>
        <v>28</v>
      </c>
      <c r="AI205">
        <f>IF(AD205&lt;=MiscData!$B$23,MiscData!$C$23,IF(AD205&lt;=MiscData!$B$24,MiscData!$C$24,MiscData!$C$25))</f>
        <v>20140101</v>
      </c>
      <c r="AK205" s="190" t="str">
        <f>VLOOKUP(AM205,MiscData!$AB$4:$ACB$113,2,FALSE)</f>
        <v>KUUM_413</v>
      </c>
      <c r="AL205" s="190" t="str">
        <f>VLOOKUP(AM205,MiscData!$AB$4:$AE$115,4,FALSE)</f>
        <v>RLS</v>
      </c>
      <c r="AM205">
        <f>IF(AM204=MiscData!$AB$91,1,AM204+1)</f>
        <v>28</v>
      </c>
    </row>
    <row r="206" spans="1:39">
      <c r="A206" s="7">
        <f t="shared" si="99"/>
        <v>205</v>
      </c>
      <c r="B206" s="13" t="str">
        <f t="shared" si="75"/>
        <v>Mar 2016</v>
      </c>
      <c r="C206" s="23" t="str">
        <f t="shared" si="76"/>
        <v>LS</v>
      </c>
      <c r="D206" s="23" t="str">
        <f t="shared" si="77"/>
        <v>KUUM_414</v>
      </c>
      <c r="E206" s="170">
        <f t="shared" si="78"/>
        <v>21</v>
      </c>
      <c r="F206" s="185"/>
      <c r="G206" s="170">
        <f t="shared" si="79"/>
        <v>0</v>
      </c>
      <c r="H206" s="170">
        <v>0</v>
      </c>
      <c r="I206" s="11">
        <f t="shared" si="80"/>
        <v>30.84</v>
      </c>
      <c r="J206" s="11">
        <f t="shared" si="81"/>
        <v>0.79999999999999716</v>
      </c>
      <c r="K206" s="416">
        <f t="shared" si="94"/>
        <v>647.64</v>
      </c>
      <c r="L206" s="180"/>
      <c r="M206" s="180"/>
      <c r="N206" s="182">
        <f t="shared" si="82"/>
        <v>647.64</v>
      </c>
      <c r="O206" s="29">
        <f t="shared" si="83"/>
        <v>0</v>
      </c>
      <c r="P206" s="181">
        <f t="shared" si="95"/>
        <v>0</v>
      </c>
      <c r="Q206" s="182">
        <f t="shared" si="84"/>
        <v>0</v>
      </c>
      <c r="R206" s="182">
        <f t="shared" si="85"/>
        <v>0</v>
      </c>
      <c r="S206" s="182">
        <f t="shared" si="86"/>
        <v>0</v>
      </c>
      <c r="T206" s="182">
        <f t="shared" si="87"/>
        <v>0</v>
      </c>
      <c r="U206" s="182">
        <f t="shared" si="88"/>
        <v>0</v>
      </c>
      <c r="V206" s="14">
        <f t="shared" si="89"/>
        <v>647.64</v>
      </c>
      <c r="W206" s="14">
        <f t="shared" si="90"/>
        <v>-647.64</v>
      </c>
      <c r="Y206" s="14">
        <f t="shared" si="96"/>
        <v>16.8</v>
      </c>
      <c r="Z206" s="14">
        <f t="shared" si="97"/>
        <v>-16.8</v>
      </c>
      <c r="AA206" s="11">
        <f t="shared" si="91"/>
        <v>0.43</v>
      </c>
      <c r="AB206" s="9">
        <f t="shared" si="98"/>
        <v>9.0299999999999994</v>
      </c>
      <c r="AD206" s="13">
        <f>IF(AH206&gt;AH205,AD205,IF(AD205&lt;MiscData!$F$1,EOMONTH(AD205,1),EOMONTH(AD205,-11)))</f>
        <v>42460</v>
      </c>
      <c r="AE206" s="7" t="str">
        <f t="shared" si="92"/>
        <v>20140101KUUM_414</v>
      </c>
      <c r="AF206" s="12" t="str">
        <f t="shared" si="93"/>
        <v>20140101LS</v>
      </c>
      <c r="AG206" s="31"/>
      <c r="AH206">
        <f>IF(AH205=MiscData!$AB$91,1,AH205+1)</f>
        <v>29</v>
      </c>
      <c r="AI206">
        <f>IF(AD206&lt;=MiscData!$B$23,MiscData!$C$23,IF(AD206&lt;=MiscData!$B$24,MiscData!$C$24,MiscData!$C$25))</f>
        <v>20140101</v>
      </c>
      <c r="AK206" s="190" t="str">
        <f>VLOOKUP(AM206,MiscData!$AB$4:$ACB$113,2,FALSE)</f>
        <v>KUUM_414</v>
      </c>
      <c r="AL206" s="190" t="str">
        <f>VLOOKUP(AM206,MiscData!$AB$4:$AE$115,4,FALSE)</f>
        <v>LS</v>
      </c>
      <c r="AM206">
        <f>IF(AM205=MiscData!$AB$91,1,AM205+1)</f>
        <v>29</v>
      </c>
    </row>
    <row r="207" spans="1:39">
      <c r="A207" s="7">
        <f t="shared" si="99"/>
        <v>206</v>
      </c>
      <c r="B207" s="13" t="str">
        <f t="shared" si="75"/>
        <v>Mar 2016</v>
      </c>
      <c r="C207" s="23" t="str">
        <f t="shared" si="76"/>
        <v>LS</v>
      </c>
      <c r="D207" s="23" t="str">
        <f t="shared" si="77"/>
        <v>KUUM_415</v>
      </c>
      <c r="E207" s="170">
        <f t="shared" si="78"/>
        <v>10</v>
      </c>
      <c r="F207" s="185"/>
      <c r="G207" s="170">
        <f t="shared" si="79"/>
        <v>0</v>
      </c>
      <c r="H207" s="170">
        <v>0</v>
      </c>
      <c r="I207" s="11">
        <f t="shared" si="80"/>
        <v>31.22</v>
      </c>
      <c r="J207" s="11">
        <f t="shared" si="81"/>
        <v>1.129999999999999</v>
      </c>
      <c r="K207" s="416">
        <f t="shared" si="94"/>
        <v>312.2</v>
      </c>
      <c r="L207" s="180"/>
      <c r="M207" s="180"/>
      <c r="N207" s="182">
        <f t="shared" si="82"/>
        <v>312.2</v>
      </c>
      <c r="O207" s="29">
        <f t="shared" si="83"/>
        <v>0</v>
      </c>
      <c r="P207" s="181">
        <f t="shared" si="95"/>
        <v>0</v>
      </c>
      <c r="Q207" s="182">
        <f t="shared" si="84"/>
        <v>0</v>
      </c>
      <c r="R207" s="182">
        <f t="shared" si="85"/>
        <v>0</v>
      </c>
      <c r="S207" s="182">
        <f t="shared" si="86"/>
        <v>0</v>
      </c>
      <c r="T207" s="182">
        <f t="shared" si="87"/>
        <v>0</v>
      </c>
      <c r="U207" s="182">
        <f t="shared" si="88"/>
        <v>0</v>
      </c>
      <c r="V207" s="14">
        <f t="shared" si="89"/>
        <v>312.2</v>
      </c>
      <c r="W207" s="14">
        <f t="shared" si="90"/>
        <v>-312.2</v>
      </c>
      <c r="Y207" s="14">
        <f t="shared" si="96"/>
        <v>11.3</v>
      </c>
      <c r="Z207" s="14">
        <f t="shared" si="97"/>
        <v>-11.3</v>
      </c>
      <c r="AA207" s="11">
        <f t="shared" si="91"/>
        <v>0.34</v>
      </c>
      <c r="AB207" s="9">
        <f t="shared" si="98"/>
        <v>3.4000000000000004</v>
      </c>
      <c r="AD207" s="13">
        <f>IF(AH207&gt;AH206,AD206,IF(AD206&lt;MiscData!$F$1,EOMONTH(AD206,1),EOMONTH(AD206,-11)))</f>
        <v>42460</v>
      </c>
      <c r="AE207" s="7" t="str">
        <f t="shared" si="92"/>
        <v>20140101KUUM_415</v>
      </c>
      <c r="AF207" s="12" t="str">
        <f t="shared" si="93"/>
        <v>20140101LS</v>
      </c>
      <c r="AG207" s="31"/>
      <c r="AH207">
        <f>IF(AH206=MiscData!$AB$91,1,AH206+1)</f>
        <v>30</v>
      </c>
      <c r="AI207">
        <f>IF(AD207&lt;=MiscData!$B$23,MiscData!$C$23,IF(AD207&lt;=MiscData!$B$24,MiscData!$C$24,MiscData!$C$25))</f>
        <v>20140101</v>
      </c>
      <c r="AK207" s="190" t="str">
        <f>VLOOKUP(AM207,MiscData!$AB$4:$ACB$113,2,FALSE)</f>
        <v>KUUM_415</v>
      </c>
      <c r="AL207" s="190" t="str">
        <f>VLOOKUP(AM207,MiscData!$AB$4:$AE$115,4,FALSE)</f>
        <v>LS</v>
      </c>
      <c r="AM207">
        <f>IF(AM206=MiscData!$AB$91,1,AM206+1)</f>
        <v>30</v>
      </c>
    </row>
    <row r="208" spans="1:39">
      <c r="A208" s="7">
        <f t="shared" si="99"/>
        <v>207</v>
      </c>
      <c r="B208" s="13" t="str">
        <f t="shared" si="75"/>
        <v>Mar 2016</v>
      </c>
      <c r="C208" s="23" t="str">
        <f t="shared" si="76"/>
        <v>LS</v>
      </c>
      <c r="D208" s="23" t="str">
        <f t="shared" si="77"/>
        <v>KUUM_420</v>
      </c>
      <c r="E208" s="170">
        <f t="shared" si="78"/>
        <v>466</v>
      </c>
      <c r="F208" s="185"/>
      <c r="G208" s="170">
        <f t="shared" si="79"/>
        <v>0</v>
      </c>
      <c r="H208" s="170">
        <v>0</v>
      </c>
      <c r="I208" s="11">
        <f t="shared" si="80"/>
        <v>15.360000000000001</v>
      </c>
      <c r="J208" s="11">
        <f t="shared" si="81"/>
        <v>1.1300000000000008</v>
      </c>
      <c r="K208" s="416">
        <f t="shared" si="94"/>
        <v>7157.76</v>
      </c>
      <c r="L208" s="180"/>
      <c r="M208" s="180"/>
      <c r="N208" s="182">
        <f t="shared" si="82"/>
        <v>7157.76</v>
      </c>
      <c r="O208" s="29">
        <f t="shared" si="83"/>
        <v>0</v>
      </c>
      <c r="P208" s="181">
        <f t="shared" si="95"/>
        <v>0</v>
      </c>
      <c r="Q208" s="182">
        <f t="shared" si="84"/>
        <v>0</v>
      </c>
      <c r="R208" s="182">
        <f t="shared" si="85"/>
        <v>0</v>
      </c>
      <c r="S208" s="182">
        <f t="shared" si="86"/>
        <v>0</v>
      </c>
      <c r="T208" s="182">
        <f t="shared" si="87"/>
        <v>0</v>
      </c>
      <c r="U208" s="182">
        <f t="shared" si="88"/>
        <v>0</v>
      </c>
      <c r="V208" s="14">
        <f t="shared" si="89"/>
        <v>7157.76</v>
      </c>
      <c r="W208" s="14">
        <f t="shared" si="90"/>
        <v>-7157.76</v>
      </c>
      <c r="Y208" s="14">
        <f t="shared" si="96"/>
        <v>526.58000000000004</v>
      </c>
      <c r="Z208" s="14">
        <f t="shared" si="97"/>
        <v>-526.58000000000004</v>
      </c>
      <c r="AA208" s="11">
        <f t="shared" si="91"/>
        <v>0.34</v>
      </c>
      <c r="AB208" s="9">
        <f t="shared" si="98"/>
        <v>158.44</v>
      </c>
      <c r="AD208" s="13">
        <f>IF(AH208&gt;AH207,AD207,IF(AD207&lt;MiscData!$F$1,EOMONTH(AD207,1),EOMONTH(AD207,-11)))</f>
        <v>42460</v>
      </c>
      <c r="AE208" s="7" t="str">
        <f t="shared" si="92"/>
        <v>20140101KUUM_420</v>
      </c>
      <c r="AF208" s="12" t="str">
        <f t="shared" si="93"/>
        <v>20140101LS</v>
      </c>
      <c r="AG208" s="31"/>
      <c r="AH208">
        <f>IF(AH207=MiscData!$AB$91,1,AH207+1)</f>
        <v>31</v>
      </c>
      <c r="AI208">
        <f>IF(AD208&lt;=MiscData!$B$23,MiscData!$C$23,IF(AD208&lt;=MiscData!$B$24,MiscData!$C$24,MiscData!$C$25))</f>
        <v>20140101</v>
      </c>
      <c r="AK208" s="190" t="str">
        <f>VLOOKUP(AM208,MiscData!$AB$4:$ACB$113,2,FALSE)</f>
        <v>KUUM_420</v>
      </c>
      <c r="AL208" s="190" t="str">
        <f>VLOOKUP(AM208,MiscData!$AB$4:$AE$115,4,FALSE)</f>
        <v>LS</v>
      </c>
      <c r="AM208">
        <f>IF(AM207=MiscData!$AB$91,1,AM207+1)</f>
        <v>31</v>
      </c>
    </row>
    <row r="209" spans="1:39">
      <c r="A209" s="7">
        <f t="shared" si="99"/>
        <v>208</v>
      </c>
      <c r="B209" s="13" t="str">
        <f t="shared" si="75"/>
        <v>Mar 2016</v>
      </c>
      <c r="C209" s="23" t="str">
        <f t="shared" si="76"/>
        <v>RLS</v>
      </c>
      <c r="D209" s="23" t="str">
        <f t="shared" si="77"/>
        <v>KUUM_421</v>
      </c>
      <c r="E209" s="170">
        <f t="shared" si="78"/>
        <v>5</v>
      </c>
      <c r="F209" s="185"/>
      <c r="G209" s="170">
        <f t="shared" si="79"/>
        <v>0</v>
      </c>
      <c r="H209" s="170">
        <v>0</v>
      </c>
      <c r="I209" s="11">
        <f t="shared" si="80"/>
        <v>3.39</v>
      </c>
      <c r="J209" s="11">
        <f t="shared" si="81"/>
        <v>0.98999999999999977</v>
      </c>
      <c r="K209" s="416">
        <f t="shared" si="94"/>
        <v>16.95</v>
      </c>
      <c r="L209" s="180"/>
      <c r="M209" s="180"/>
      <c r="N209" s="182">
        <f t="shared" si="82"/>
        <v>16.95</v>
      </c>
      <c r="O209" s="29">
        <f t="shared" si="83"/>
        <v>0</v>
      </c>
      <c r="P209" s="181">
        <f t="shared" si="95"/>
        <v>0</v>
      </c>
      <c r="Q209" s="182">
        <f t="shared" si="84"/>
        <v>0</v>
      </c>
      <c r="R209" s="182">
        <f t="shared" si="85"/>
        <v>0</v>
      </c>
      <c r="S209" s="182">
        <f t="shared" si="86"/>
        <v>0</v>
      </c>
      <c r="T209" s="182">
        <f t="shared" si="87"/>
        <v>0</v>
      </c>
      <c r="U209" s="182">
        <f t="shared" si="88"/>
        <v>0</v>
      </c>
      <c r="V209" s="14">
        <f t="shared" si="89"/>
        <v>16.95</v>
      </c>
      <c r="W209" s="14">
        <f t="shared" si="90"/>
        <v>-16.95</v>
      </c>
      <c r="Y209" s="14">
        <f t="shared" si="96"/>
        <v>4.95</v>
      </c>
      <c r="Z209" s="14">
        <f t="shared" si="97"/>
        <v>-4.95</v>
      </c>
      <c r="AA209" s="11">
        <f t="shared" si="91"/>
        <v>0.12</v>
      </c>
      <c r="AB209" s="9">
        <f t="shared" si="98"/>
        <v>0.6</v>
      </c>
      <c r="AD209" s="13">
        <f>IF(AH209&gt;AH208,AD208,IF(AD208&lt;MiscData!$F$1,EOMONTH(AD208,1),EOMONTH(AD208,-11)))</f>
        <v>42460</v>
      </c>
      <c r="AE209" s="7" t="str">
        <f t="shared" si="92"/>
        <v>20140101KUUM_421</v>
      </c>
      <c r="AF209" s="12" t="str">
        <f t="shared" si="93"/>
        <v>20140101RLS</v>
      </c>
      <c r="AG209" s="31"/>
      <c r="AH209">
        <f>IF(AH208=MiscData!$AB$91,1,AH208+1)</f>
        <v>32</v>
      </c>
      <c r="AI209">
        <f>IF(AD209&lt;=MiscData!$B$23,MiscData!$C$23,IF(AD209&lt;=MiscData!$B$24,MiscData!$C$24,MiscData!$C$25))</f>
        <v>20140101</v>
      </c>
      <c r="AK209" s="190" t="str">
        <f>VLOOKUP(AM209,MiscData!$AB$4:$ACB$113,2,FALSE)</f>
        <v>KUUM_421</v>
      </c>
      <c r="AL209" s="190" t="str">
        <f>VLOOKUP(AM209,MiscData!$AB$4:$AE$115,4,FALSE)</f>
        <v>RLS</v>
      </c>
      <c r="AM209">
        <f>IF(AM208=MiscData!$AB$91,1,AM208+1)</f>
        <v>32</v>
      </c>
    </row>
    <row r="210" spans="1:39">
      <c r="A210" s="7">
        <f t="shared" si="99"/>
        <v>209</v>
      </c>
      <c r="B210" s="13" t="str">
        <f t="shared" si="75"/>
        <v>Mar 2016</v>
      </c>
      <c r="C210" s="23" t="str">
        <f t="shared" si="76"/>
        <v>RLS</v>
      </c>
      <c r="D210" s="23" t="str">
        <f t="shared" si="77"/>
        <v>KUUM_422</v>
      </c>
      <c r="E210" s="170">
        <f t="shared" si="78"/>
        <v>678</v>
      </c>
      <c r="F210" s="185"/>
      <c r="G210" s="170">
        <f t="shared" si="79"/>
        <v>0</v>
      </c>
      <c r="H210" s="170">
        <v>0</v>
      </c>
      <c r="I210" s="11">
        <f t="shared" si="80"/>
        <v>4.5400000000000009</v>
      </c>
      <c r="J210" s="11">
        <f t="shared" si="81"/>
        <v>1.9400000000000004</v>
      </c>
      <c r="K210" s="416">
        <f t="shared" si="94"/>
        <v>3078.12</v>
      </c>
      <c r="L210" s="180"/>
      <c r="M210" s="180"/>
      <c r="N210" s="182">
        <f t="shared" si="82"/>
        <v>3078.12</v>
      </c>
      <c r="O210" s="29">
        <f t="shared" si="83"/>
        <v>0</v>
      </c>
      <c r="P210" s="181">
        <f t="shared" si="95"/>
        <v>0</v>
      </c>
      <c r="Q210" s="182">
        <f t="shared" si="84"/>
        <v>0</v>
      </c>
      <c r="R210" s="182">
        <f t="shared" si="85"/>
        <v>0</v>
      </c>
      <c r="S210" s="182">
        <f t="shared" si="86"/>
        <v>0</v>
      </c>
      <c r="T210" s="182">
        <f t="shared" si="87"/>
        <v>0</v>
      </c>
      <c r="U210" s="182">
        <f t="shared" si="88"/>
        <v>0</v>
      </c>
      <c r="V210" s="14">
        <f t="shared" si="89"/>
        <v>3078.12</v>
      </c>
      <c r="W210" s="14">
        <f t="shared" si="90"/>
        <v>-3078.12</v>
      </c>
      <c r="Y210" s="14">
        <f t="shared" si="96"/>
        <v>1315.32</v>
      </c>
      <c r="Z210" s="14">
        <f t="shared" si="97"/>
        <v>-1315.32</v>
      </c>
      <c r="AA210" s="11">
        <f t="shared" si="91"/>
        <v>0.16</v>
      </c>
      <c r="AB210" s="9">
        <f t="shared" si="98"/>
        <v>108.48</v>
      </c>
      <c r="AD210" s="13">
        <f>IF(AH210&gt;AH209,AD209,IF(AD209&lt;MiscData!$F$1,EOMONTH(AD209,1),EOMONTH(AD209,-11)))</f>
        <v>42460</v>
      </c>
      <c r="AE210" s="7" t="str">
        <f t="shared" si="92"/>
        <v>20140101KUUM_422</v>
      </c>
      <c r="AF210" s="12" t="str">
        <f t="shared" si="93"/>
        <v>20140101RLS</v>
      </c>
      <c r="AG210" s="31"/>
      <c r="AH210">
        <f>IF(AH209=MiscData!$AB$91,1,AH209+1)</f>
        <v>33</v>
      </c>
      <c r="AI210">
        <f>IF(AD210&lt;=MiscData!$B$23,MiscData!$C$23,IF(AD210&lt;=MiscData!$B$24,MiscData!$C$24,MiscData!$C$25))</f>
        <v>20140101</v>
      </c>
      <c r="AK210" s="190" t="str">
        <f>VLOOKUP(AM210,MiscData!$AB$4:$ACB$113,2,FALSE)</f>
        <v>KUUM_422</v>
      </c>
      <c r="AL210" s="190" t="str">
        <f>VLOOKUP(AM210,MiscData!$AB$4:$AE$115,4,FALSE)</f>
        <v>RLS</v>
      </c>
      <c r="AM210">
        <f>IF(AM209=MiscData!$AB$91,1,AM209+1)</f>
        <v>33</v>
      </c>
    </row>
    <row r="211" spans="1:39">
      <c r="A211" s="7">
        <f t="shared" si="99"/>
        <v>210</v>
      </c>
      <c r="B211" s="13" t="str">
        <f t="shared" si="75"/>
        <v>Mar 2016</v>
      </c>
      <c r="C211" s="23" t="str">
        <f t="shared" si="76"/>
        <v>RLS</v>
      </c>
      <c r="D211" s="23" t="str">
        <f t="shared" si="77"/>
        <v>KUUM_424</v>
      </c>
      <c r="E211" s="170">
        <f t="shared" si="78"/>
        <v>70</v>
      </c>
      <c r="F211" s="185"/>
      <c r="G211" s="170">
        <f t="shared" si="79"/>
        <v>0</v>
      </c>
      <c r="H211" s="170">
        <v>0</v>
      </c>
      <c r="I211" s="11">
        <f t="shared" si="80"/>
        <v>6.78</v>
      </c>
      <c r="J211" s="11">
        <f t="shared" si="81"/>
        <v>0.69999999999999929</v>
      </c>
      <c r="K211" s="416">
        <f t="shared" si="94"/>
        <v>474.6</v>
      </c>
      <c r="L211" s="180"/>
      <c r="M211" s="180"/>
      <c r="N211" s="182">
        <f t="shared" si="82"/>
        <v>474.6</v>
      </c>
      <c r="O211" s="29">
        <f t="shared" si="83"/>
        <v>0</v>
      </c>
      <c r="P211" s="181">
        <f t="shared" si="95"/>
        <v>0</v>
      </c>
      <c r="Q211" s="182">
        <f t="shared" si="84"/>
        <v>0</v>
      </c>
      <c r="R211" s="182">
        <f t="shared" si="85"/>
        <v>0</v>
      </c>
      <c r="S211" s="182">
        <f t="shared" si="86"/>
        <v>0</v>
      </c>
      <c r="T211" s="182">
        <f t="shared" si="87"/>
        <v>0</v>
      </c>
      <c r="U211" s="182">
        <f t="shared" si="88"/>
        <v>0</v>
      </c>
      <c r="V211" s="14">
        <f t="shared" si="89"/>
        <v>474.6</v>
      </c>
      <c r="W211" s="14">
        <f t="shared" si="90"/>
        <v>-474.6</v>
      </c>
      <c r="Y211" s="14">
        <f t="shared" si="96"/>
        <v>49</v>
      </c>
      <c r="Z211" s="14">
        <f t="shared" si="97"/>
        <v>-49</v>
      </c>
      <c r="AA211" s="11">
        <f t="shared" si="91"/>
        <v>0.24</v>
      </c>
      <c r="AB211" s="9">
        <f t="shared" si="98"/>
        <v>16.8</v>
      </c>
      <c r="AD211" s="13">
        <f>IF(AH211&gt;AH210,AD210,IF(AD210&lt;MiscData!$F$1,EOMONTH(AD210,1),EOMONTH(AD210,-11)))</f>
        <v>42460</v>
      </c>
      <c r="AE211" s="7" t="str">
        <f t="shared" si="92"/>
        <v>20140101KUUM_424</v>
      </c>
      <c r="AF211" s="12" t="str">
        <f t="shared" si="93"/>
        <v>20140101RLS</v>
      </c>
      <c r="AG211" s="31"/>
      <c r="AH211">
        <f>IF(AH210=MiscData!$AB$91,1,AH210+1)</f>
        <v>34</v>
      </c>
      <c r="AI211">
        <f>IF(AD211&lt;=MiscData!$B$23,MiscData!$C$23,IF(AD211&lt;=MiscData!$B$24,MiscData!$C$24,MiscData!$C$25))</f>
        <v>20140101</v>
      </c>
      <c r="AK211" s="190" t="str">
        <f>VLOOKUP(AM211,MiscData!$AB$4:$ACB$113,2,FALSE)</f>
        <v>KUUM_424</v>
      </c>
      <c r="AL211" s="190" t="str">
        <f>VLOOKUP(AM211,MiscData!$AB$4:$AE$115,4,FALSE)</f>
        <v>RLS</v>
      </c>
      <c r="AM211">
        <f>IF(AM210=MiscData!$AB$91,1,AM210+1)</f>
        <v>34</v>
      </c>
    </row>
    <row r="212" spans="1:39">
      <c r="A212" s="7">
        <f t="shared" si="99"/>
        <v>211</v>
      </c>
      <c r="B212" s="13" t="str">
        <f t="shared" si="75"/>
        <v>Mar 2016</v>
      </c>
      <c r="C212" s="23" t="str">
        <f t="shared" si="76"/>
        <v>RLS</v>
      </c>
      <c r="D212" s="23" t="str">
        <f t="shared" si="77"/>
        <v>KUUM_425</v>
      </c>
      <c r="E212" s="170">
        <f t="shared" si="78"/>
        <v>2</v>
      </c>
      <c r="F212" s="185"/>
      <c r="G212" s="170">
        <f t="shared" si="79"/>
        <v>0</v>
      </c>
      <c r="H212" s="170">
        <v>0</v>
      </c>
      <c r="I212" s="11">
        <f t="shared" si="80"/>
        <v>9.06</v>
      </c>
      <c r="J212" s="11">
        <f t="shared" si="81"/>
        <v>4.3000000000000007</v>
      </c>
      <c r="K212" s="416">
        <f t="shared" si="94"/>
        <v>18.12</v>
      </c>
      <c r="L212" s="180"/>
      <c r="M212" s="180"/>
      <c r="N212" s="182">
        <f t="shared" si="82"/>
        <v>18.12</v>
      </c>
      <c r="O212" s="29">
        <f t="shared" si="83"/>
        <v>0</v>
      </c>
      <c r="P212" s="181">
        <f t="shared" si="95"/>
        <v>0</v>
      </c>
      <c r="Q212" s="182">
        <f t="shared" si="84"/>
        <v>0</v>
      </c>
      <c r="R212" s="182">
        <f t="shared" si="85"/>
        <v>0</v>
      </c>
      <c r="S212" s="182">
        <f t="shared" si="86"/>
        <v>0</v>
      </c>
      <c r="T212" s="182">
        <f t="shared" si="87"/>
        <v>0</v>
      </c>
      <c r="U212" s="182">
        <f t="shared" si="88"/>
        <v>0</v>
      </c>
      <c r="V212" s="14">
        <f t="shared" si="89"/>
        <v>18.12</v>
      </c>
      <c r="W212" s="14">
        <f t="shared" si="90"/>
        <v>-18.12</v>
      </c>
      <c r="Y212" s="14">
        <f t="shared" si="96"/>
        <v>8.6</v>
      </c>
      <c r="Z212" s="14">
        <f t="shared" si="97"/>
        <v>-8.6</v>
      </c>
      <c r="AA212" s="11">
        <f t="shared" si="91"/>
        <v>0.33</v>
      </c>
      <c r="AB212" s="9">
        <f t="shared" si="98"/>
        <v>0.66</v>
      </c>
      <c r="AD212" s="13">
        <f>IF(AH212&gt;AH211,AD211,IF(AD211&lt;MiscData!$F$1,EOMONTH(AD211,1),EOMONTH(AD211,-11)))</f>
        <v>42460</v>
      </c>
      <c r="AE212" s="7" t="str">
        <f t="shared" si="92"/>
        <v>20140101KUUM_425</v>
      </c>
      <c r="AF212" s="12" t="str">
        <f t="shared" si="93"/>
        <v>20140101RLS</v>
      </c>
      <c r="AG212" s="31"/>
      <c r="AH212">
        <f>IF(AH211=MiscData!$AB$91,1,AH211+1)</f>
        <v>35</v>
      </c>
      <c r="AI212">
        <f>IF(AD212&lt;=MiscData!$B$23,MiscData!$C$23,IF(AD212&lt;=MiscData!$B$24,MiscData!$C$24,MiscData!$C$25))</f>
        <v>20140101</v>
      </c>
      <c r="AK212" s="190" t="str">
        <f>VLOOKUP(AM212,MiscData!$AB$4:$ACB$113,2,FALSE)</f>
        <v>KUUM_425</v>
      </c>
      <c r="AL212" s="190" t="str">
        <f>VLOOKUP(AM212,MiscData!$AB$4:$AE$115,4,FALSE)</f>
        <v>RLS</v>
      </c>
      <c r="AM212">
        <f>IF(AM211=MiscData!$AB$91,1,AM211+1)</f>
        <v>35</v>
      </c>
    </row>
    <row r="213" spans="1:39">
      <c r="A213" s="7">
        <f t="shared" si="99"/>
        <v>212</v>
      </c>
      <c r="B213" s="13" t="str">
        <f t="shared" si="75"/>
        <v>Mar 2016</v>
      </c>
      <c r="C213" s="23" t="str">
        <f t="shared" si="76"/>
        <v>RLS</v>
      </c>
      <c r="D213" s="23" t="str">
        <f t="shared" si="77"/>
        <v>KUUM_426</v>
      </c>
      <c r="E213" s="170">
        <f t="shared" si="78"/>
        <v>170</v>
      </c>
      <c r="F213" s="185"/>
      <c r="G213" s="170">
        <f t="shared" si="79"/>
        <v>0</v>
      </c>
      <c r="H213" s="170">
        <v>0</v>
      </c>
      <c r="I213" s="11">
        <f t="shared" si="80"/>
        <v>7.4399999999999995</v>
      </c>
      <c r="J213" s="11">
        <f t="shared" si="81"/>
        <v>0.79999999999999982</v>
      </c>
      <c r="K213" s="416">
        <f t="shared" si="94"/>
        <v>1264.8</v>
      </c>
      <c r="L213" s="180"/>
      <c r="M213" s="180"/>
      <c r="N213" s="182">
        <f t="shared" si="82"/>
        <v>1264.8</v>
      </c>
      <c r="O213" s="29">
        <f t="shared" si="83"/>
        <v>0</v>
      </c>
      <c r="P213" s="181">
        <f t="shared" si="95"/>
        <v>0</v>
      </c>
      <c r="Q213" s="182">
        <f t="shared" si="84"/>
        <v>0</v>
      </c>
      <c r="R213" s="182">
        <f t="shared" si="85"/>
        <v>0</v>
      </c>
      <c r="S213" s="182">
        <f t="shared" si="86"/>
        <v>0</v>
      </c>
      <c r="T213" s="182">
        <f t="shared" si="87"/>
        <v>0</v>
      </c>
      <c r="U213" s="182">
        <f t="shared" si="88"/>
        <v>0</v>
      </c>
      <c r="V213" s="14">
        <f t="shared" si="89"/>
        <v>1264.8</v>
      </c>
      <c r="W213" s="14">
        <f t="shared" si="90"/>
        <v>-1264.8</v>
      </c>
      <c r="Y213" s="14">
        <f t="shared" si="96"/>
        <v>136</v>
      </c>
      <c r="Z213" s="14">
        <f t="shared" si="97"/>
        <v>-136</v>
      </c>
      <c r="AA213" s="11">
        <f t="shared" si="91"/>
        <v>0.43</v>
      </c>
      <c r="AB213" s="9">
        <f t="shared" si="98"/>
        <v>73.099999999999994</v>
      </c>
      <c r="AD213" s="13">
        <f>IF(AH213&gt;AH212,AD212,IF(AD212&lt;MiscData!$F$1,EOMONTH(AD212,1),EOMONTH(AD212,-11)))</f>
        <v>42460</v>
      </c>
      <c r="AE213" s="7" t="str">
        <f t="shared" si="92"/>
        <v>20140101KUUM_426</v>
      </c>
      <c r="AF213" s="12" t="str">
        <f t="shared" si="93"/>
        <v>20140101RLS</v>
      </c>
      <c r="AG213" s="31"/>
      <c r="AH213">
        <f>IF(AH212=MiscData!$AB$91,1,AH212+1)</f>
        <v>36</v>
      </c>
      <c r="AI213">
        <f>IF(AD213&lt;=MiscData!$B$23,MiscData!$C$23,IF(AD213&lt;=MiscData!$B$24,MiscData!$C$24,MiscData!$C$25))</f>
        <v>20140101</v>
      </c>
      <c r="AK213" s="190" t="str">
        <f>VLOOKUP(AM213,MiscData!$AB$4:$ACB$113,2,FALSE)</f>
        <v>KUUM_426</v>
      </c>
      <c r="AL213" s="190" t="str">
        <f>VLOOKUP(AM213,MiscData!$AB$4:$AE$115,4,FALSE)</f>
        <v>RLS</v>
      </c>
      <c r="AM213">
        <f>IF(AM212=MiscData!$AB$91,1,AM212+1)</f>
        <v>36</v>
      </c>
    </row>
    <row r="214" spans="1:39">
      <c r="A214" s="7">
        <f t="shared" si="99"/>
        <v>213</v>
      </c>
      <c r="B214" s="13" t="str">
        <f t="shared" si="75"/>
        <v>Mar 2016</v>
      </c>
      <c r="C214" s="23" t="str">
        <f t="shared" si="76"/>
        <v>LS</v>
      </c>
      <c r="D214" s="23" t="str">
        <f t="shared" si="77"/>
        <v>KUUM_428</v>
      </c>
      <c r="E214" s="170">
        <f t="shared" si="78"/>
        <v>36727</v>
      </c>
      <c r="F214" s="185"/>
      <c r="G214" s="170">
        <f t="shared" si="79"/>
        <v>0</v>
      </c>
      <c r="H214" s="170">
        <v>408</v>
      </c>
      <c r="I214" s="11">
        <f t="shared" si="80"/>
        <v>7.84</v>
      </c>
      <c r="J214" s="11">
        <f t="shared" si="81"/>
        <v>1.1299999999999999</v>
      </c>
      <c r="K214" s="416">
        <f t="shared" si="94"/>
        <v>287939.68</v>
      </c>
      <c r="L214" s="180"/>
      <c r="M214" s="180"/>
      <c r="N214" s="182">
        <f t="shared" si="82"/>
        <v>287939.68</v>
      </c>
      <c r="O214" s="29">
        <f t="shared" si="83"/>
        <v>0</v>
      </c>
      <c r="P214" s="181">
        <f t="shared" si="95"/>
        <v>0</v>
      </c>
      <c r="Q214" s="182">
        <f t="shared" si="84"/>
        <v>0</v>
      </c>
      <c r="R214" s="182">
        <f t="shared" si="85"/>
        <v>0</v>
      </c>
      <c r="S214" s="182">
        <f t="shared" si="86"/>
        <v>0</v>
      </c>
      <c r="T214" s="182">
        <f t="shared" si="87"/>
        <v>0</v>
      </c>
      <c r="U214" s="182">
        <f t="shared" si="88"/>
        <v>0</v>
      </c>
      <c r="V214" s="14">
        <f t="shared" si="89"/>
        <v>287939.68</v>
      </c>
      <c r="W214" s="14">
        <f t="shared" si="90"/>
        <v>-287939.68</v>
      </c>
      <c r="Y214" s="14">
        <f t="shared" si="96"/>
        <v>41501.51</v>
      </c>
      <c r="Z214" s="14">
        <f t="shared" si="97"/>
        <v>-41501.51</v>
      </c>
      <c r="AA214" s="11">
        <f t="shared" si="91"/>
        <v>0.34</v>
      </c>
      <c r="AB214" s="9">
        <f t="shared" si="98"/>
        <v>12487.18</v>
      </c>
      <c r="AD214" s="13">
        <f>IF(AH214&gt;AH213,AD213,IF(AD213&lt;MiscData!$F$1,EOMONTH(AD213,1),EOMONTH(AD213,-11)))</f>
        <v>42460</v>
      </c>
      <c r="AE214" s="7" t="str">
        <f t="shared" si="92"/>
        <v>20140101KUUM_428</v>
      </c>
      <c r="AF214" s="12" t="str">
        <f t="shared" si="93"/>
        <v>20140101LS</v>
      </c>
      <c r="AG214" s="31"/>
      <c r="AH214">
        <f>IF(AH213=MiscData!$AB$91,1,AH213+1)</f>
        <v>37</v>
      </c>
      <c r="AI214">
        <f>IF(AD214&lt;=MiscData!$B$23,MiscData!$C$23,IF(AD214&lt;=MiscData!$B$24,MiscData!$C$24,MiscData!$C$25))</f>
        <v>20140101</v>
      </c>
      <c r="AK214" s="190" t="str">
        <f>VLOOKUP(AM214,MiscData!$AB$4:$ACB$113,2,FALSE)</f>
        <v>KUUM_428</v>
      </c>
      <c r="AL214" s="190" t="str">
        <f>VLOOKUP(AM214,MiscData!$AB$4:$AE$115,4,FALSE)</f>
        <v>LS</v>
      </c>
      <c r="AM214">
        <f>IF(AM213=MiscData!$AB$91,1,AM213+1)</f>
        <v>37</v>
      </c>
    </row>
    <row r="215" spans="1:39">
      <c r="A215" s="7">
        <f t="shared" si="99"/>
        <v>214</v>
      </c>
      <c r="B215" s="13" t="str">
        <f t="shared" si="75"/>
        <v>Mar 2016</v>
      </c>
      <c r="C215" s="23" t="str">
        <f t="shared" si="76"/>
        <v>LS</v>
      </c>
      <c r="D215" s="23" t="str">
        <f t="shared" si="77"/>
        <v>KUUM_429</v>
      </c>
      <c r="E215" s="170">
        <f t="shared" si="78"/>
        <v>0</v>
      </c>
      <c r="F215" s="185"/>
      <c r="G215" s="170">
        <f t="shared" si="79"/>
        <v>0</v>
      </c>
      <c r="H215" s="170">
        <v>0</v>
      </c>
      <c r="I215" s="11">
        <f t="shared" si="80"/>
        <v>0</v>
      </c>
      <c r="J215" s="11">
        <f t="shared" si="81"/>
        <v>0</v>
      </c>
      <c r="K215" s="416">
        <f t="shared" si="94"/>
        <v>0</v>
      </c>
      <c r="L215" s="180"/>
      <c r="M215" s="180"/>
      <c r="N215" s="182">
        <f t="shared" si="82"/>
        <v>0</v>
      </c>
      <c r="O215" s="29">
        <f t="shared" si="83"/>
        <v>0</v>
      </c>
      <c r="P215" s="181">
        <f t="shared" si="95"/>
        <v>1</v>
      </c>
      <c r="Q215" s="182">
        <f t="shared" si="84"/>
        <v>0</v>
      </c>
      <c r="R215" s="182">
        <f t="shared" si="85"/>
        <v>0</v>
      </c>
      <c r="S215" s="182">
        <f t="shared" si="86"/>
        <v>0</v>
      </c>
      <c r="T215" s="182">
        <f t="shared" si="87"/>
        <v>0</v>
      </c>
      <c r="U215" s="182">
        <f t="shared" si="88"/>
        <v>0</v>
      </c>
      <c r="V215" s="14">
        <f t="shared" si="89"/>
        <v>0</v>
      </c>
      <c r="W215" s="14">
        <f t="shared" si="90"/>
        <v>0</v>
      </c>
      <c r="Y215" s="14">
        <f t="shared" si="96"/>
        <v>0</v>
      </c>
      <c r="Z215" s="14">
        <f t="shared" si="97"/>
        <v>0</v>
      </c>
      <c r="AA215" s="11">
        <f t="shared" si="91"/>
        <v>0</v>
      </c>
      <c r="AB215" s="9">
        <f t="shared" si="98"/>
        <v>0</v>
      </c>
      <c r="AD215" s="13">
        <f>IF(AH215&gt;AH214,AD214,IF(AD214&lt;MiscData!$F$1,EOMONTH(AD214,1),EOMONTH(AD214,-11)))</f>
        <v>42460</v>
      </c>
      <c r="AE215" s="7" t="str">
        <f t="shared" si="92"/>
        <v>20140101KUUM_429</v>
      </c>
      <c r="AF215" s="12" t="str">
        <f t="shared" si="93"/>
        <v>20140101LS</v>
      </c>
      <c r="AG215" s="31"/>
      <c r="AH215">
        <f>IF(AH214=MiscData!$AB$91,1,AH214+1)</f>
        <v>38</v>
      </c>
      <c r="AI215">
        <f>IF(AD215&lt;=MiscData!$B$23,MiscData!$C$23,IF(AD215&lt;=MiscData!$B$24,MiscData!$C$24,MiscData!$C$25))</f>
        <v>20140101</v>
      </c>
      <c r="AK215" s="190" t="str">
        <f>VLOOKUP(AM215,MiscData!$AB$4:$ACB$113,2,FALSE)</f>
        <v>KUUM_429</v>
      </c>
      <c r="AL215" s="190" t="str">
        <f>VLOOKUP(AM215,MiscData!$AB$4:$AE$115,4,FALSE)</f>
        <v>LS</v>
      </c>
      <c r="AM215">
        <f>IF(AM214=MiscData!$AB$91,1,AM214+1)</f>
        <v>38</v>
      </c>
    </row>
    <row r="216" spans="1:39">
      <c r="A216" s="7">
        <f t="shared" si="99"/>
        <v>215</v>
      </c>
      <c r="B216" s="13" t="str">
        <f t="shared" si="75"/>
        <v>Mar 2016</v>
      </c>
      <c r="C216" s="23" t="str">
        <f t="shared" si="76"/>
        <v>LS</v>
      </c>
      <c r="D216" s="23" t="str">
        <f t="shared" si="77"/>
        <v>KUUM_430</v>
      </c>
      <c r="E216" s="170">
        <f t="shared" si="78"/>
        <v>1180</v>
      </c>
      <c r="F216" s="185"/>
      <c r="G216" s="170">
        <f t="shared" si="79"/>
        <v>0</v>
      </c>
      <c r="H216" s="170">
        <v>0</v>
      </c>
      <c r="I216" s="11">
        <f t="shared" si="80"/>
        <v>22</v>
      </c>
      <c r="J216" s="11">
        <f t="shared" si="81"/>
        <v>1.129999999999999</v>
      </c>
      <c r="K216" s="416">
        <f t="shared" si="94"/>
        <v>25960</v>
      </c>
      <c r="L216" s="180"/>
      <c r="M216" s="180"/>
      <c r="N216" s="182">
        <f t="shared" si="82"/>
        <v>25960</v>
      </c>
      <c r="O216" s="29">
        <f t="shared" si="83"/>
        <v>0</v>
      </c>
      <c r="P216" s="181">
        <f t="shared" si="95"/>
        <v>0</v>
      </c>
      <c r="Q216" s="182">
        <f t="shared" si="84"/>
        <v>0</v>
      </c>
      <c r="R216" s="182">
        <f t="shared" si="85"/>
        <v>0</v>
      </c>
      <c r="S216" s="182">
        <f t="shared" si="86"/>
        <v>0</v>
      </c>
      <c r="T216" s="182">
        <f t="shared" si="87"/>
        <v>0</v>
      </c>
      <c r="U216" s="182">
        <f t="shared" si="88"/>
        <v>0</v>
      </c>
      <c r="V216" s="14">
        <f t="shared" si="89"/>
        <v>25960</v>
      </c>
      <c r="W216" s="14">
        <f t="shared" si="90"/>
        <v>-25960</v>
      </c>
      <c r="Y216" s="14">
        <f t="shared" si="96"/>
        <v>1333.4</v>
      </c>
      <c r="Z216" s="14">
        <f t="shared" si="97"/>
        <v>-1333.4</v>
      </c>
      <c r="AA216" s="11">
        <f t="shared" si="91"/>
        <v>0.34</v>
      </c>
      <c r="AB216" s="9">
        <f t="shared" si="98"/>
        <v>401.20000000000005</v>
      </c>
      <c r="AD216" s="13">
        <f>IF(AH216&gt;AH215,AD215,IF(AD215&lt;MiscData!$F$1,EOMONTH(AD215,1),EOMONTH(AD215,-11)))</f>
        <v>42460</v>
      </c>
      <c r="AE216" s="7" t="str">
        <f t="shared" si="92"/>
        <v>20140101KUUM_430</v>
      </c>
      <c r="AF216" s="12" t="str">
        <f t="shared" si="93"/>
        <v>20140101LS</v>
      </c>
      <c r="AG216" s="31"/>
      <c r="AH216">
        <f>IF(AH215=MiscData!$AB$91,1,AH215+1)</f>
        <v>39</v>
      </c>
      <c r="AI216">
        <f>IF(AD216&lt;=MiscData!$B$23,MiscData!$C$23,IF(AD216&lt;=MiscData!$B$24,MiscData!$C$24,MiscData!$C$25))</f>
        <v>20140101</v>
      </c>
      <c r="AK216" s="190" t="str">
        <f>VLOOKUP(AM216,MiscData!$AB$4:$ACB$113,2,FALSE)</f>
        <v>KUUM_430</v>
      </c>
      <c r="AL216" s="190" t="str">
        <f>VLOOKUP(AM216,MiscData!$AB$4:$AE$115,4,FALSE)</f>
        <v>LS</v>
      </c>
      <c r="AM216">
        <f>IF(AM215=MiscData!$AB$91,1,AM215+1)</f>
        <v>39</v>
      </c>
    </row>
    <row r="217" spans="1:39">
      <c r="A217" s="7">
        <f t="shared" si="99"/>
        <v>216</v>
      </c>
      <c r="B217" s="13" t="str">
        <f t="shared" si="75"/>
        <v>Mar 2016</v>
      </c>
      <c r="C217" s="23" t="str">
        <f t="shared" si="76"/>
        <v>RLS</v>
      </c>
      <c r="D217" s="23" t="str">
        <f t="shared" si="77"/>
        <v>KUUM_434</v>
      </c>
      <c r="E217" s="170">
        <f t="shared" si="78"/>
        <v>5</v>
      </c>
      <c r="F217" s="185"/>
      <c r="G217" s="170">
        <f t="shared" si="79"/>
        <v>0</v>
      </c>
      <c r="H217" s="170">
        <v>0</v>
      </c>
      <c r="I217" s="11">
        <f t="shared" si="80"/>
        <v>7.74</v>
      </c>
      <c r="J217" s="11">
        <f t="shared" si="81"/>
        <v>0.69999999999999929</v>
      </c>
      <c r="K217" s="416">
        <f t="shared" si="94"/>
        <v>38.700000000000003</v>
      </c>
      <c r="L217" s="180"/>
      <c r="M217" s="180"/>
      <c r="N217" s="182">
        <f t="shared" si="82"/>
        <v>38.700000000000003</v>
      </c>
      <c r="O217" s="29">
        <f t="shared" si="83"/>
        <v>0</v>
      </c>
      <c r="P217" s="181">
        <f t="shared" si="95"/>
        <v>0</v>
      </c>
      <c r="Q217" s="182">
        <f t="shared" si="84"/>
        <v>0</v>
      </c>
      <c r="R217" s="182">
        <f t="shared" si="85"/>
        <v>0</v>
      </c>
      <c r="S217" s="182">
        <f t="shared" si="86"/>
        <v>0</v>
      </c>
      <c r="T217" s="182">
        <f t="shared" si="87"/>
        <v>0</v>
      </c>
      <c r="U217" s="182">
        <f t="shared" si="88"/>
        <v>0</v>
      </c>
      <c r="V217" s="14">
        <f t="shared" si="89"/>
        <v>38.700000000000003</v>
      </c>
      <c r="W217" s="14">
        <f t="shared" si="90"/>
        <v>-38.700000000000003</v>
      </c>
      <c r="Y217" s="14">
        <f t="shared" si="96"/>
        <v>3.5</v>
      </c>
      <c r="Z217" s="14">
        <f t="shared" si="97"/>
        <v>-3.5</v>
      </c>
      <c r="AA217" s="11">
        <f t="shared" si="91"/>
        <v>0.24</v>
      </c>
      <c r="AB217" s="9">
        <f t="shared" si="98"/>
        <v>1.2</v>
      </c>
      <c r="AD217" s="13">
        <f>IF(AH217&gt;AH216,AD216,IF(AD216&lt;MiscData!$F$1,EOMONTH(AD216,1),EOMONTH(AD216,-11)))</f>
        <v>42460</v>
      </c>
      <c r="AE217" s="7" t="str">
        <f t="shared" si="92"/>
        <v>20140101KUUM_434</v>
      </c>
      <c r="AF217" s="12" t="str">
        <f t="shared" si="93"/>
        <v>20140101RLS</v>
      </c>
      <c r="AG217" s="31"/>
      <c r="AH217">
        <f>IF(AH216=MiscData!$AB$91,1,AH216+1)</f>
        <v>40</v>
      </c>
      <c r="AI217">
        <f>IF(AD217&lt;=MiscData!$B$23,MiscData!$C$23,IF(AD217&lt;=MiscData!$B$24,MiscData!$C$24,MiscData!$C$25))</f>
        <v>20140101</v>
      </c>
      <c r="AK217" s="190" t="str">
        <f>VLOOKUP(AM217,MiscData!$AB$4:$ACB$113,2,FALSE)</f>
        <v>KUUM_434</v>
      </c>
      <c r="AL217" s="190" t="str">
        <f>VLOOKUP(AM217,MiscData!$AB$4:$AE$115,4,FALSE)</f>
        <v>RLS</v>
      </c>
      <c r="AM217">
        <f>IF(AM216=MiscData!$AB$91,1,AM216+1)</f>
        <v>40</v>
      </c>
    </row>
    <row r="218" spans="1:39">
      <c r="A218" s="7">
        <f t="shared" si="99"/>
        <v>217</v>
      </c>
      <c r="B218" s="13" t="str">
        <f t="shared" si="75"/>
        <v>Mar 2016</v>
      </c>
      <c r="C218" s="23" t="str">
        <f t="shared" si="76"/>
        <v>RLS</v>
      </c>
      <c r="D218" s="23" t="str">
        <f t="shared" si="77"/>
        <v>KUUM_440</v>
      </c>
      <c r="E218" s="170">
        <f t="shared" si="78"/>
        <v>2</v>
      </c>
      <c r="F218" s="185"/>
      <c r="G218" s="170">
        <f t="shared" si="79"/>
        <v>0</v>
      </c>
      <c r="H218" s="170">
        <v>0</v>
      </c>
      <c r="I218" s="11">
        <f t="shared" si="80"/>
        <v>13.610000000000001</v>
      </c>
      <c r="J218" s="11">
        <f t="shared" si="81"/>
        <v>0.57000000000000028</v>
      </c>
      <c r="K218" s="416">
        <f t="shared" si="94"/>
        <v>27.22</v>
      </c>
      <c r="L218" s="180"/>
      <c r="M218" s="180"/>
      <c r="N218" s="182">
        <f t="shared" si="82"/>
        <v>27.22</v>
      </c>
      <c r="O218" s="29">
        <f t="shared" si="83"/>
        <v>0</v>
      </c>
      <c r="P218" s="181">
        <f t="shared" si="95"/>
        <v>0</v>
      </c>
      <c r="Q218" s="182">
        <f t="shared" si="84"/>
        <v>0</v>
      </c>
      <c r="R218" s="182">
        <f t="shared" si="85"/>
        <v>0</v>
      </c>
      <c r="S218" s="182">
        <f t="shared" si="86"/>
        <v>0</v>
      </c>
      <c r="T218" s="182">
        <f t="shared" si="87"/>
        <v>0</v>
      </c>
      <c r="U218" s="182">
        <f t="shared" si="88"/>
        <v>0</v>
      </c>
      <c r="V218" s="14">
        <f t="shared" si="89"/>
        <v>27.22</v>
      </c>
      <c r="W218" s="14">
        <f t="shared" si="90"/>
        <v>-27.22</v>
      </c>
      <c r="Y218" s="14">
        <f t="shared" si="96"/>
        <v>1.1399999999999999</v>
      </c>
      <c r="Z218" s="14">
        <f t="shared" si="97"/>
        <v>-1.1399999999999999</v>
      </c>
      <c r="AA218" s="11">
        <f t="shared" si="91"/>
        <v>0.33</v>
      </c>
      <c r="AB218" s="9">
        <f t="shared" si="98"/>
        <v>0.66</v>
      </c>
      <c r="AD218" s="13">
        <f>IF(AH218&gt;AH217,AD217,IF(AD217&lt;MiscData!$F$1,EOMONTH(AD217,1),EOMONTH(AD217,-11)))</f>
        <v>42460</v>
      </c>
      <c r="AE218" s="7" t="str">
        <f t="shared" si="92"/>
        <v>20140101KUUM_440</v>
      </c>
      <c r="AF218" s="12" t="str">
        <f t="shared" si="93"/>
        <v>20140101RLS</v>
      </c>
      <c r="AG218" s="31"/>
      <c r="AH218">
        <f>IF(AH217=MiscData!$AB$91,1,AH217+1)</f>
        <v>41</v>
      </c>
      <c r="AI218">
        <f>IF(AD218&lt;=MiscData!$B$23,MiscData!$C$23,IF(AD218&lt;=MiscData!$B$24,MiscData!$C$24,MiscData!$C$25))</f>
        <v>20140101</v>
      </c>
      <c r="AK218" s="190" t="str">
        <f>VLOOKUP(AM218,MiscData!$AB$4:$ACB$113,2,FALSE)</f>
        <v>KUUM_440</v>
      </c>
      <c r="AL218" s="190" t="str">
        <f>VLOOKUP(AM218,MiscData!$AB$4:$AE$115,4,FALSE)</f>
        <v>RLS</v>
      </c>
      <c r="AM218">
        <f>IF(AM217=MiscData!$AB$91,1,AM217+1)</f>
        <v>41</v>
      </c>
    </row>
    <row r="219" spans="1:39">
      <c r="A219" s="7">
        <f t="shared" si="99"/>
        <v>218</v>
      </c>
      <c r="B219" s="13" t="str">
        <f t="shared" si="75"/>
        <v>Mar 2016</v>
      </c>
      <c r="C219" s="23" t="str">
        <f t="shared" si="76"/>
        <v>RLS</v>
      </c>
      <c r="D219" s="23" t="str">
        <f t="shared" si="77"/>
        <v>KUUM_446</v>
      </c>
      <c r="E219" s="170">
        <f t="shared" si="78"/>
        <v>1086</v>
      </c>
      <c r="F219" s="185"/>
      <c r="G219" s="170">
        <f t="shared" si="79"/>
        <v>0</v>
      </c>
      <c r="H219" s="170">
        <v>0</v>
      </c>
      <c r="I219" s="11">
        <f t="shared" si="80"/>
        <v>9.5600000000000023</v>
      </c>
      <c r="J219" s="11">
        <f t="shared" si="81"/>
        <v>1.9900000000000002</v>
      </c>
      <c r="K219" s="416">
        <f t="shared" si="94"/>
        <v>10382.16</v>
      </c>
      <c r="L219" s="180"/>
      <c r="M219" s="180"/>
      <c r="N219" s="182">
        <f t="shared" si="82"/>
        <v>10382.16</v>
      </c>
      <c r="O219" s="29">
        <f t="shared" si="83"/>
        <v>0</v>
      </c>
      <c r="P219" s="181">
        <f t="shared" si="95"/>
        <v>0</v>
      </c>
      <c r="Q219" s="182">
        <f t="shared" si="84"/>
        <v>0</v>
      </c>
      <c r="R219" s="182">
        <f t="shared" si="85"/>
        <v>0</v>
      </c>
      <c r="S219" s="182">
        <f t="shared" si="86"/>
        <v>0</v>
      </c>
      <c r="T219" s="182">
        <f t="shared" si="87"/>
        <v>0</v>
      </c>
      <c r="U219" s="182">
        <f t="shared" si="88"/>
        <v>0</v>
      </c>
      <c r="V219" s="14">
        <f t="shared" si="89"/>
        <v>10382.16</v>
      </c>
      <c r="W219" s="14">
        <f t="shared" si="90"/>
        <v>-10382.16</v>
      </c>
      <c r="Y219" s="14">
        <f t="shared" si="96"/>
        <v>2161.14</v>
      </c>
      <c r="Z219" s="14">
        <f t="shared" si="97"/>
        <v>-2161.14</v>
      </c>
      <c r="AA219" s="11">
        <f t="shared" si="91"/>
        <v>0.39</v>
      </c>
      <c r="AB219" s="9">
        <f t="shared" si="98"/>
        <v>423.54</v>
      </c>
      <c r="AD219" s="13">
        <f>IF(AH219&gt;AH218,AD218,IF(AD218&lt;MiscData!$F$1,EOMONTH(AD218,1),EOMONTH(AD218,-11)))</f>
        <v>42460</v>
      </c>
      <c r="AE219" s="7" t="str">
        <f t="shared" si="92"/>
        <v>20140101KUUM_446</v>
      </c>
      <c r="AF219" s="12" t="str">
        <f t="shared" si="93"/>
        <v>20140101RLS</v>
      </c>
      <c r="AG219" s="31"/>
      <c r="AH219">
        <f>IF(AH218=MiscData!$AB$91,1,AH218+1)</f>
        <v>42</v>
      </c>
      <c r="AI219">
        <f>IF(AD219&lt;=MiscData!$B$23,MiscData!$C$23,IF(AD219&lt;=MiscData!$B$24,MiscData!$C$24,MiscData!$C$25))</f>
        <v>20140101</v>
      </c>
      <c r="AK219" s="190" t="str">
        <f>VLOOKUP(AM219,MiscData!$AB$4:$ACB$113,2,FALSE)</f>
        <v>KUUM_446</v>
      </c>
      <c r="AL219" s="190" t="str">
        <f>VLOOKUP(AM219,MiscData!$AB$4:$AE$115,4,FALSE)</f>
        <v>RLS</v>
      </c>
      <c r="AM219">
        <f>IF(AM218=MiscData!$AB$91,1,AM218+1)</f>
        <v>42</v>
      </c>
    </row>
    <row r="220" spans="1:39">
      <c r="A220" s="7">
        <f t="shared" si="99"/>
        <v>219</v>
      </c>
      <c r="B220" s="13" t="str">
        <f t="shared" si="75"/>
        <v>Mar 2016</v>
      </c>
      <c r="C220" s="23" t="str">
        <f t="shared" si="76"/>
        <v>RLS</v>
      </c>
      <c r="D220" s="23" t="str">
        <f t="shared" si="77"/>
        <v>KUUM_447</v>
      </c>
      <c r="E220" s="170">
        <f t="shared" si="78"/>
        <v>743</v>
      </c>
      <c r="F220" s="185"/>
      <c r="G220" s="170">
        <f t="shared" si="79"/>
        <v>0</v>
      </c>
      <c r="H220" s="170">
        <v>0</v>
      </c>
      <c r="I220" s="11">
        <f t="shared" si="80"/>
        <v>11.32</v>
      </c>
      <c r="J220" s="11">
        <f t="shared" si="81"/>
        <v>2.8400000000000016</v>
      </c>
      <c r="K220" s="416">
        <f t="shared" si="94"/>
        <v>8410.76</v>
      </c>
      <c r="L220" s="180"/>
      <c r="M220" s="180"/>
      <c r="N220" s="182">
        <f t="shared" si="82"/>
        <v>8410.76</v>
      </c>
      <c r="O220" s="29">
        <f t="shared" si="83"/>
        <v>0</v>
      </c>
      <c r="P220" s="181">
        <f t="shared" si="95"/>
        <v>0</v>
      </c>
      <c r="Q220" s="182">
        <f t="shared" si="84"/>
        <v>0</v>
      </c>
      <c r="R220" s="182">
        <f t="shared" si="85"/>
        <v>0</v>
      </c>
      <c r="S220" s="182">
        <f t="shared" si="86"/>
        <v>0</v>
      </c>
      <c r="T220" s="182">
        <f t="shared" si="87"/>
        <v>0</v>
      </c>
      <c r="U220" s="182">
        <f t="shared" si="88"/>
        <v>0</v>
      </c>
      <c r="V220" s="14">
        <f t="shared" si="89"/>
        <v>8410.76</v>
      </c>
      <c r="W220" s="14">
        <f t="shared" si="90"/>
        <v>-8410.76</v>
      </c>
      <c r="Y220" s="14">
        <f t="shared" si="96"/>
        <v>2110.12</v>
      </c>
      <c r="Z220" s="14">
        <f t="shared" si="97"/>
        <v>-2110.12</v>
      </c>
      <c r="AA220" s="11">
        <f t="shared" si="91"/>
        <v>0.44</v>
      </c>
      <c r="AB220" s="9">
        <f t="shared" si="98"/>
        <v>326.92</v>
      </c>
      <c r="AD220" s="13">
        <f>IF(AH220&gt;AH219,AD219,IF(AD219&lt;MiscData!$F$1,EOMONTH(AD219,1),EOMONTH(AD219,-11)))</f>
        <v>42460</v>
      </c>
      <c r="AE220" s="7" t="str">
        <f t="shared" si="92"/>
        <v>20140101KUUM_447</v>
      </c>
      <c r="AF220" s="12" t="str">
        <f t="shared" si="93"/>
        <v>20140101RLS</v>
      </c>
      <c r="AG220" s="31"/>
      <c r="AH220">
        <f>IF(AH219=MiscData!$AB$91,1,AH219+1)</f>
        <v>43</v>
      </c>
      <c r="AI220">
        <f>IF(AD220&lt;=MiscData!$B$23,MiscData!$C$23,IF(AD220&lt;=MiscData!$B$24,MiscData!$C$24,MiscData!$C$25))</f>
        <v>20140101</v>
      </c>
      <c r="AK220" s="190" t="str">
        <f>VLOOKUP(AM220,MiscData!$AB$4:$ACB$113,2,FALSE)</f>
        <v>KUUM_447</v>
      </c>
      <c r="AL220" s="190" t="str">
        <f>VLOOKUP(AM220,MiscData!$AB$4:$AE$115,4,FALSE)</f>
        <v>RLS</v>
      </c>
      <c r="AM220">
        <f>IF(AM219=MiscData!$AB$91,1,AM219+1)</f>
        <v>43</v>
      </c>
    </row>
    <row r="221" spans="1:39">
      <c r="A221" s="7">
        <f t="shared" si="99"/>
        <v>220</v>
      </c>
      <c r="B221" s="13" t="str">
        <f t="shared" si="75"/>
        <v>Mar 2016</v>
      </c>
      <c r="C221" s="23" t="str">
        <f t="shared" si="76"/>
        <v>RLS</v>
      </c>
      <c r="D221" s="23" t="str">
        <f t="shared" si="77"/>
        <v>KUUM_448</v>
      </c>
      <c r="E221" s="170">
        <f t="shared" si="78"/>
        <v>1487</v>
      </c>
      <c r="F221" s="185"/>
      <c r="G221" s="170">
        <f t="shared" si="79"/>
        <v>0</v>
      </c>
      <c r="H221" s="170">
        <v>0</v>
      </c>
      <c r="I221" s="11">
        <f t="shared" si="80"/>
        <v>12.809999999999999</v>
      </c>
      <c r="J221" s="11">
        <f t="shared" si="81"/>
        <v>4.37</v>
      </c>
      <c r="K221" s="416">
        <f t="shared" si="94"/>
        <v>19048.47</v>
      </c>
      <c r="L221" s="180"/>
      <c r="M221" s="180"/>
      <c r="N221" s="182">
        <f t="shared" si="82"/>
        <v>19048.47</v>
      </c>
      <c r="O221" s="29">
        <f t="shared" si="83"/>
        <v>0</v>
      </c>
      <c r="P221" s="181">
        <f t="shared" si="95"/>
        <v>0</v>
      </c>
      <c r="Q221" s="182">
        <f t="shared" si="84"/>
        <v>0</v>
      </c>
      <c r="R221" s="182">
        <f t="shared" si="85"/>
        <v>0</v>
      </c>
      <c r="S221" s="182">
        <f t="shared" si="86"/>
        <v>0</v>
      </c>
      <c r="T221" s="182">
        <f t="shared" si="87"/>
        <v>0</v>
      </c>
      <c r="U221" s="182">
        <f t="shared" si="88"/>
        <v>0</v>
      </c>
      <c r="V221" s="14">
        <f t="shared" si="89"/>
        <v>19048.47</v>
      </c>
      <c r="W221" s="14">
        <f t="shared" si="90"/>
        <v>-19048.47</v>
      </c>
      <c r="Y221" s="14">
        <f t="shared" si="96"/>
        <v>6498.19</v>
      </c>
      <c r="Z221" s="14">
        <f t="shared" si="97"/>
        <v>-6498.19</v>
      </c>
      <c r="AA221" s="11">
        <f t="shared" si="91"/>
        <v>0.51</v>
      </c>
      <c r="AB221" s="9">
        <f t="shared" si="98"/>
        <v>758.37</v>
      </c>
      <c r="AD221" s="13">
        <f>IF(AH221&gt;AH220,AD220,IF(AD220&lt;MiscData!$F$1,EOMONTH(AD220,1),EOMONTH(AD220,-11)))</f>
        <v>42460</v>
      </c>
      <c r="AE221" s="7" t="str">
        <f t="shared" si="92"/>
        <v>20140101KUUM_448</v>
      </c>
      <c r="AF221" s="12" t="str">
        <f t="shared" si="93"/>
        <v>20140101RLS</v>
      </c>
      <c r="AG221" s="31"/>
      <c r="AH221">
        <f>IF(AH220=MiscData!$AB$91,1,AH220+1)</f>
        <v>44</v>
      </c>
      <c r="AI221">
        <f>IF(AD221&lt;=MiscData!$B$23,MiscData!$C$23,IF(AD221&lt;=MiscData!$B$24,MiscData!$C$24,MiscData!$C$25))</f>
        <v>20140101</v>
      </c>
      <c r="AK221" s="190" t="str">
        <f>VLOOKUP(AM221,MiscData!$AB$4:$ACB$113,2,FALSE)</f>
        <v>KUUM_448</v>
      </c>
      <c r="AL221" s="190" t="str">
        <f>VLOOKUP(AM221,MiscData!$AB$4:$AE$115,4,FALSE)</f>
        <v>RLS</v>
      </c>
      <c r="AM221">
        <f>IF(AM220=MiscData!$AB$91,1,AM220+1)</f>
        <v>44</v>
      </c>
    </row>
    <row r="222" spans="1:39">
      <c r="A222" s="7">
        <f t="shared" si="99"/>
        <v>221</v>
      </c>
      <c r="B222" s="13" t="str">
        <f t="shared" si="75"/>
        <v>Mar 2016</v>
      </c>
      <c r="C222" s="23" t="str">
        <f t="shared" si="76"/>
        <v>LS</v>
      </c>
      <c r="D222" s="23" t="str">
        <f t="shared" si="77"/>
        <v>KUUM_450</v>
      </c>
      <c r="E222" s="170">
        <f t="shared" si="78"/>
        <v>664</v>
      </c>
      <c r="F222" s="185"/>
      <c r="G222" s="170">
        <f t="shared" si="79"/>
        <v>0</v>
      </c>
      <c r="H222" s="170">
        <v>0</v>
      </c>
      <c r="I222" s="11">
        <f t="shared" si="80"/>
        <v>14.25</v>
      </c>
      <c r="J222" s="11">
        <f t="shared" si="81"/>
        <v>1.9699999999999989</v>
      </c>
      <c r="K222" s="416">
        <f t="shared" si="94"/>
        <v>9462</v>
      </c>
      <c r="L222" s="180"/>
      <c r="M222" s="180"/>
      <c r="N222" s="182">
        <f t="shared" si="82"/>
        <v>9462</v>
      </c>
      <c r="O222" s="29">
        <f t="shared" si="83"/>
        <v>0</v>
      </c>
      <c r="P222" s="181">
        <f t="shared" si="95"/>
        <v>0</v>
      </c>
      <c r="Q222" s="182">
        <f t="shared" si="84"/>
        <v>0</v>
      </c>
      <c r="R222" s="182">
        <f t="shared" si="85"/>
        <v>0</v>
      </c>
      <c r="S222" s="182">
        <f t="shared" si="86"/>
        <v>0</v>
      </c>
      <c r="T222" s="182">
        <f t="shared" si="87"/>
        <v>0</v>
      </c>
      <c r="U222" s="182">
        <f t="shared" si="88"/>
        <v>0</v>
      </c>
      <c r="V222" s="14">
        <f t="shared" si="89"/>
        <v>9462</v>
      </c>
      <c r="W222" s="14">
        <f t="shared" si="90"/>
        <v>-9462</v>
      </c>
      <c r="Y222" s="14">
        <f t="shared" si="96"/>
        <v>1308.08</v>
      </c>
      <c r="Z222" s="14">
        <f t="shared" si="97"/>
        <v>-1308.08</v>
      </c>
      <c r="AA222" s="11">
        <f t="shared" si="91"/>
        <v>0.66</v>
      </c>
      <c r="AB222" s="9">
        <f t="shared" si="98"/>
        <v>438.24</v>
      </c>
      <c r="AD222" s="13">
        <f>IF(AH222&gt;AH221,AD221,IF(AD221&lt;MiscData!$F$1,EOMONTH(AD221,1),EOMONTH(AD221,-11)))</f>
        <v>42460</v>
      </c>
      <c r="AE222" s="7" t="str">
        <f t="shared" si="92"/>
        <v>20140101KUUM_450</v>
      </c>
      <c r="AF222" s="12" t="str">
        <f t="shared" si="93"/>
        <v>20140101LS</v>
      </c>
      <c r="AG222" s="31"/>
      <c r="AH222">
        <f>IF(AH221=MiscData!$AB$91,1,AH221+1)</f>
        <v>45</v>
      </c>
      <c r="AI222">
        <f>IF(AD222&lt;=MiscData!$B$23,MiscData!$C$23,IF(AD222&lt;=MiscData!$B$24,MiscData!$C$24,MiscData!$C$25))</f>
        <v>20140101</v>
      </c>
      <c r="AK222" s="190" t="str">
        <f>VLOOKUP(AM222,MiscData!$AB$4:$ACB$113,2,FALSE)</f>
        <v>KUUM_450</v>
      </c>
      <c r="AL222" s="190" t="str">
        <f>VLOOKUP(AM222,MiscData!$AB$4:$AE$115,4,FALSE)</f>
        <v>LS</v>
      </c>
      <c r="AM222">
        <f>IF(AM221=MiscData!$AB$91,1,AM221+1)</f>
        <v>45</v>
      </c>
    </row>
    <row r="223" spans="1:39">
      <c r="A223" s="7">
        <f t="shared" si="99"/>
        <v>222</v>
      </c>
      <c r="B223" s="13" t="str">
        <f t="shared" si="75"/>
        <v>Mar 2016</v>
      </c>
      <c r="C223" s="23" t="str">
        <f t="shared" si="76"/>
        <v>LS</v>
      </c>
      <c r="D223" s="23" t="str">
        <f t="shared" si="77"/>
        <v>KUUM_451</v>
      </c>
      <c r="E223" s="170">
        <f t="shared" si="78"/>
        <v>5146</v>
      </c>
      <c r="F223" s="185"/>
      <c r="G223" s="170">
        <f t="shared" si="79"/>
        <v>0</v>
      </c>
      <c r="H223" s="170">
        <v>0</v>
      </c>
      <c r="I223" s="11">
        <f t="shared" si="80"/>
        <v>20.200000000000003</v>
      </c>
      <c r="J223" s="11">
        <f t="shared" si="81"/>
        <v>4.2900000000000027</v>
      </c>
      <c r="K223" s="416">
        <f t="shared" si="94"/>
        <v>103949.2</v>
      </c>
      <c r="L223" s="180"/>
      <c r="M223" s="180"/>
      <c r="N223" s="182">
        <f t="shared" si="82"/>
        <v>103949.2</v>
      </c>
      <c r="O223" s="29">
        <f t="shared" si="83"/>
        <v>0</v>
      </c>
      <c r="P223" s="181">
        <f t="shared" si="95"/>
        <v>0</v>
      </c>
      <c r="Q223" s="182">
        <f t="shared" si="84"/>
        <v>0</v>
      </c>
      <c r="R223" s="182">
        <f t="shared" si="85"/>
        <v>0</v>
      </c>
      <c r="S223" s="182">
        <f t="shared" si="86"/>
        <v>0</v>
      </c>
      <c r="T223" s="182">
        <f t="shared" si="87"/>
        <v>0</v>
      </c>
      <c r="U223" s="182">
        <f t="shared" si="88"/>
        <v>0</v>
      </c>
      <c r="V223" s="14">
        <f t="shared" si="89"/>
        <v>103949.2</v>
      </c>
      <c r="W223" s="14">
        <f t="shared" si="90"/>
        <v>-103949.2</v>
      </c>
      <c r="Y223" s="14">
        <f t="shared" si="96"/>
        <v>22076.34</v>
      </c>
      <c r="Z223" s="14">
        <f t="shared" si="97"/>
        <v>-22076.34</v>
      </c>
      <c r="AA223" s="11">
        <f t="shared" si="91"/>
        <v>0.84</v>
      </c>
      <c r="AB223" s="9">
        <f t="shared" si="98"/>
        <v>4322.6399999999994</v>
      </c>
      <c r="AD223" s="13">
        <f>IF(AH223&gt;AH222,AD222,IF(AD222&lt;MiscData!$F$1,EOMONTH(AD222,1),EOMONTH(AD222,-11)))</f>
        <v>42460</v>
      </c>
      <c r="AE223" s="7" t="str">
        <f t="shared" si="92"/>
        <v>20140101KUUM_451</v>
      </c>
      <c r="AF223" s="12" t="str">
        <f t="shared" si="93"/>
        <v>20140101LS</v>
      </c>
      <c r="AG223" s="31"/>
      <c r="AH223">
        <f>IF(AH222=MiscData!$AB$91,1,AH222+1)</f>
        <v>46</v>
      </c>
      <c r="AI223">
        <f>IF(AD223&lt;=MiscData!$B$23,MiscData!$C$23,IF(AD223&lt;=MiscData!$B$24,MiscData!$C$24,MiscData!$C$25))</f>
        <v>20140101</v>
      </c>
      <c r="AK223" s="190" t="str">
        <f>VLOOKUP(AM223,MiscData!$AB$4:$ACB$113,2,FALSE)</f>
        <v>KUUM_451</v>
      </c>
      <c r="AL223" s="190" t="str">
        <f>VLOOKUP(AM223,MiscData!$AB$4:$AE$115,4,FALSE)</f>
        <v>LS</v>
      </c>
      <c r="AM223">
        <f>IF(AM222=MiscData!$AB$91,1,AM222+1)</f>
        <v>46</v>
      </c>
    </row>
    <row r="224" spans="1:39">
      <c r="A224" s="7">
        <f t="shared" si="99"/>
        <v>223</v>
      </c>
      <c r="B224" s="13" t="str">
        <f t="shared" si="75"/>
        <v>Mar 2016</v>
      </c>
      <c r="C224" s="23" t="str">
        <f t="shared" si="76"/>
        <v>LS</v>
      </c>
      <c r="D224" s="23" t="str">
        <f t="shared" si="77"/>
        <v>KUUM_452</v>
      </c>
      <c r="E224" s="170">
        <f t="shared" si="78"/>
        <v>1044</v>
      </c>
      <c r="F224" s="185"/>
      <c r="G224" s="170">
        <f t="shared" si="79"/>
        <v>0</v>
      </c>
      <c r="H224" s="170">
        <v>0</v>
      </c>
      <c r="I224" s="11">
        <f t="shared" si="80"/>
        <v>42.350000000000009</v>
      </c>
      <c r="J224" s="11">
        <f t="shared" si="81"/>
        <v>10.410000000000004</v>
      </c>
      <c r="K224" s="416">
        <f t="shared" si="94"/>
        <v>44213.4</v>
      </c>
      <c r="L224" s="180"/>
      <c r="M224" s="180"/>
      <c r="N224" s="182">
        <f t="shared" si="82"/>
        <v>44213.4</v>
      </c>
      <c r="O224" s="29">
        <f t="shared" si="83"/>
        <v>0</v>
      </c>
      <c r="P224" s="181">
        <f t="shared" si="95"/>
        <v>0</v>
      </c>
      <c r="Q224" s="182">
        <f t="shared" si="84"/>
        <v>0</v>
      </c>
      <c r="R224" s="182">
        <f t="shared" si="85"/>
        <v>0</v>
      </c>
      <c r="S224" s="182">
        <f t="shared" si="86"/>
        <v>0</v>
      </c>
      <c r="T224" s="182">
        <f t="shared" si="87"/>
        <v>0</v>
      </c>
      <c r="U224" s="182">
        <f t="shared" si="88"/>
        <v>0</v>
      </c>
      <c r="V224" s="14">
        <f t="shared" si="89"/>
        <v>44213.4</v>
      </c>
      <c r="W224" s="14">
        <f t="shared" si="90"/>
        <v>-44213.4</v>
      </c>
      <c r="Y224" s="14">
        <f t="shared" si="96"/>
        <v>10868.04</v>
      </c>
      <c r="Z224" s="14">
        <f t="shared" si="97"/>
        <v>-10868.04</v>
      </c>
      <c r="AA224" s="11">
        <f t="shared" si="91"/>
        <v>1.7</v>
      </c>
      <c r="AB224" s="9">
        <f t="shared" si="98"/>
        <v>1774.8</v>
      </c>
      <c r="AD224" s="13">
        <f>IF(AH224&gt;AH223,AD223,IF(AD223&lt;MiscData!$F$1,EOMONTH(AD223,1),EOMONTH(AD223,-11)))</f>
        <v>42460</v>
      </c>
      <c r="AE224" s="7" t="str">
        <f t="shared" si="92"/>
        <v>20140101KUUM_452</v>
      </c>
      <c r="AF224" s="12" t="str">
        <f t="shared" si="93"/>
        <v>20140101LS</v>
      </c>
      <c r="AG224" s="31"/>
      <c r="AH224">
        <f>IF(AH223=MiscData!$AB$91,1,AH223+1)</f>
        <v>47</v>
      </c>
      <c r="AI224">
        <f>IF(AD224&lt;=MiscData!$B$23,MiscData!$C$23,IF(AD224&lt;=MiscData!$B$24,MiscData!$C$24,MiscData!$C$25))</f>
        <v>20140101</v>
      </c>
      <c r="AK224" s="190" t="str">
        <f>VLOOKUP(AM224,MiscData!$AB$4:$ACB$113,2,FALSE)</f>
        <v>KUUM_452</v>
      </c>
      <c r="AL224" s="190" t="str">
        <f>VLOOKUP(AM224,MiscData!$AB$4:$AE$115,4,FALSE)</f>
        <v>LS</v>
      </c>
      <c r="AM224">
        <f>IF(AM223=MiscData!$AB$91,1,AM223+1)</f>
        <v>47</v>
      </c>
    </row>
    <row r="225" spans="1:39">
      <c r="A225" s="7">
        <f t="shared" si="99"/>
        <v>224</v>
      </c>
      <c r="B225" s="13" t="str">
        <f t="shared" si="75"/>
        <v>Mar 2016</v>
      </c>
      <c r="C225" s="23" t="str">
        <f t="shared" si="76"/>
        <v>RLS</v>
      </c>
      <c r="D225" s="23" t="str">
        <f t="shared" si="77"/>
        <v>KUUM_454</v>
      </c>
      <c r="E225" s="170">
        <f t="shared" si="78"/>
        <v>151</v>
      </c>
      <c r="F225" s="185"/>
      <c r="G225" s="170">
        <f t="shared" si="79"/>
        <v>0</v>
      </c>
      <c r="H225" s="170">
        <v>0</v>
      </c>
      <c r="I225" s="11">
        <f t="shared" si="80"/>
        <v>18.649999999999999</v>
      </c>
      <c r="J225" s="11">
        <f t="shared" si="81"/>
        <v>1.9699999999999989</v>
      </c>
      <c r="K225" s="416">
        <f t="shared" si="94"/>
        <v>2816.15</v>
      </c>
      <c r="L225" s="180"/>
      <c r="M225" s="180"/>
      <c r="N225" s="182">
        <f t="shared" si="82"/>
        <v>2816.15</v>
      </c>
      <c r="O225" s="29">
        <f t="shared" si="83"/>
        <v>0</v>
      </c>
      <c r="P225" s="181">
        <f t="shared" si="95"/>
        <v>0</v>
      </c>
      <c r="Q225" s="182">
        <f t="shared" si="84"/>
        <v>0</v>
      </c>
      <c r="R225" s="182">
        <f t="shared" si="85"/>
        <v>0</v>
      </c>
      <c r="S225" s="182">
        <f t="shared" si="86"/>
        <v>0</v>
      </c>
      <c r="T225" s="182">
        <f t="shared" si="87"/>
        <v>0</v>
      </c>
      <c r="U225" s="182">
        <f t="shared" si="88"/>
        <v>0</v>
      </c>
      <c r="V225" s="14">
        <f t="shared" si="89"/>
        <v>2816.15</v>
      </c>
      <c r="W225" s="14">
        <f t="shared" si="90"/>
        <v>-2816.15</v>
      </c>
      <c r="Y225" s="14">
        <f t="shared" si="96"/>
        <v>297.47000000000003</v>
      </c>
      <c r="Z225" s="14">
        <f t="shared" si="97"/>
        <v>-297.47000000000003</v>
      </c>
      <c r="AA225" s="11">
        <f t="shared" si="91"/>
        <v>0.66</v>
      </c>
      <c r="AB225" s="9">
        <f t="shared" si="98"/>
        <v>99.660000000000011</v>
      </c>
      <c r="AD225" s="13">
        <f>IF(AH225&gt;AH224,AD224,IF(AD224&lt;MiscData!$F$1,EOMONTH(AD224,1),EOMONTH(AD224,-11)))</f>
        <v>42460</v>
      </c>
      <c r="AE225" s="7" t="str">
        <f t="shared" si="92"/>
        <v>20140101KUUM_454</v>
      </c>
      <c r="AF225" s="12" t="str">
        <f t="shared" si="93"/>
        <v>20140101RLS</v>
      </c>
      <c r="AG225" s="31"/>
      <c r="AH225">
        <f>IF(AH224=MiscData!$AB$91,1,AH224+1)</f>
        <v>48</v>
      </c>
      <c r="AI225">
        <f>IF(AD225&lt;=MiscData!$B$23,MiscData!$C$23,IF(AD225&lt;=MiscData!$B$24,MiscData!$C$24,MiscData!$C$25))</f>
        <v>20140101</v>
      </c>
      <c r="AK225" s="190" t="str">
        <f>VLOOKUP(AM225,MiscData!$AB$4:$ACB$113,2,FALSE)</f>
        <v>KUUM_454</v>
      </c>
      <c r="AL225" s="190" t="str">
        <f>VLOOKUP(AM225,MiscData!$AB$4:$AE$115,4,FALSE)</f>
        <v>RLS</v>
      </c>
      <c r="AM225">
        <f>IF(AM224=MiscData!$AB$91,1,AM224+1)</f>
        <v>48</v>
      </c>
    </row>
    <row r="226" spans="1:39">
      <c r="A226" s="7">
        <f t="shared" si="99"/>
        <v>225</v>
      </c>
      <c r="B226" s="13" t="str">
        <f t="shared" si="75"/>
        <v>Mar 2016</v>
      </c>
      <c r="C226" s="23" t="str">
        <f t="shared" si="76"/>
        <v>RLS</v>
      </c>
      <c r="D226" s="23" t="str">
        <f t="shared" si="77"/>
        <v>KUUM_455</v>
      </c>
      <c r="E226" s="170">
        <f t="shared" si="78"/>
        <v>1035</v>
      </c>
      <c r="F226" s="185"/>
      <c r="G226" s="170">
        <f t="shared" si="79"/>
        <v>0</v>
      </c>
      <c r="H226" s="170">
        <v>0</v>
      </c>
      <c r="I226" s="11">
        <f t="shared" si="80"/>
        <v>24.59</v>
      </c>
      <c r="J226" s="11">
        <f t="shared" si="81"/>
        <v>4.2899999999999991</v>
      </c>
      <c r="K226" s="416">
        <f t="shared" si="94"/>
        <v>25450.65</v>
      </c>
      <c r="L226" s="180"/>
      <c r="M226" s="180"/>
      <c r="N226" s="182">
        <f t="shared" si="82"/>
        <v>25450.65</v>
      </c>
      <c r="O226" s="29">
        <f t="shared" si="83"/>
        <v>0</v>
      </c>
      <c r="P226" s="181">
        <f t="shared" si="95"/>
        <v>0</v>
      </c>
      <c r="Q226" s="182">
        <f t="shared" si="84"/>
        <v>0</v>
      </c>
      <c r="R226" s="182">
        <f t="shared" si="85"/>
        <v>0</v>
      </c>
      <c r="S226" s="182">
        <f t="shared" si="86"/>
        <v>0</v>
      </c>
      <c r="T226" s="182">
        <f t="shared" si="87"/>
        <v>0</v>
      </c>
      <c r="U226" s="182">
        <f t="shared" si="88"/>
        <v>0</v>
      </c>
      <c r="V226" s="14">
        <f t="shared" si="89"/>
        <v>25450.65</v>
      </c>
      <c r="W226" s="14">
        <f t="shared" si="90"/>
        <v>-25450.65</v>
      </c>
      <c r="Y226" s="14">
        <f t="shared" si="96"/>
        <v>4440.1499999999996</v>
      </c>
      <c r="Z226" s="14">
        <f t="shared" si="97"/>
        <v>-4440.1499999999996</v>
      </c>
      <c r="AA226" s="11">
        <f t="shared" si="91"/>
        <v>0.84</v>
      </c>
      <c r="AB226" s="9">
        <f t="shared" si="98"/>
        <v>869.4</v>
      </c>
      <c r="AD226" s="13">
        <f>IF(AH226&gt;AH225,AD225,IF(AD225&lt;MiscData!$F$1,EOMONTH(AD225,1),EOMONTH(AD225,-11)))</f>
        <v>42460</v>
      </c>
      <c r="AE226" s="7" t="str">
        <f t="shared" si="92"/>
        <v>20140101KUUM_455</v>
      </c>
      <c r="AF226" s="12" t="str">
        <f t="shared" si="93"/>
        <v>20140101RLS</v>
      </c>
      <c r="AG226" s="31"/>
      <c r="AH226">
        <f>IF(AH225=MiscData!$AB$91,1,AH225+1)</f>
        <v>49</v>
      </c>
      <c r="AI226">
        <f>IF(AD226&lt;=MiscData!$B$23,MiscData!$C$23,IF(AD226&lt;=MiscData!$B$24,MiscData!$C$24,MiscData!$C$25))</f>
        <v>20140101</v>
      </c>
      <c r="AK226" s="190" t="str">
        <f>VLOOKUP(AM226,MiscData!$AB$4:$ACB$113,2,FALSE)</f>
        <v>KUUM_455</v>
      </c>
      <c r="AL226" s="190" t="str">
        <f>VLOOKUP(AM226,MiscData!$AB$4:$AE$115,4,FALSE)</f>
        <v>RLS</v>
      </c>
      <c r="AM226">
        <f>IF(AM225=MiscData!$AB$91,1,AM225+1)</f>
        <v>49</v>
      </c>
    </row>
    <row r="227" spans="1:39">
      <c r="A227" s="7">
        <f t="shared" si="99"/>
        <v>226</v>
      </c>
      <c r="B227" s="13" t="str">
        <f t="shared" si="75"/>
        <v>Mar 2016</v>
      </c>
      <c r="C227" s="23" t="str">
        <f t="shared" si="76"/>
        <v>RLS</v>
      </c>
      <c r="D227" s="23" t="str">
        <f t="shared" si="77"/>
        <v>KUUM_456</v>
      </c>
      <c r="E227" s="170">
        <f t="shared" si="78"/>
        <v>140</v>
      </c>
      <c r="F227" s="185"/>
      <c r="G227" s="170">
        <f t="shared" si="79"/>
        <v>0</v>
      </c>
      <c r="H227" s="170">
        <v>0</v>
      </c>
      <c r="I227" s="11">
        <f t="shared" si="80"/>
        <v>11.870000000000001</v>
      </c>
      <c r="J227" s="11">
        <f t="shared" si="81"/>
        <v>1.9900000000000002</v>
      </c>
      <c r="K227" s="416">
        <f t="shared" si="94"/>
        <v>1661.8</v>
      </c>
      <c r="L227" s="180"/>
      <c r="M227" s="180"/>
      <c r="N227" s="182">
        <f t="shared" si="82"/>
        <v>1661.8</v>
      </c>
      <c r="O227" s="29">
        <f t="shared" si="83"/>
        <v>0</v>
      </c>
      <c r="P227" s="181">
        <f t="shared" si="95"/>
        <v>0</v>
      </c>
      <c r="Q227" s="182">
        <f t="shared" si="84"/>
        <v>0</v>
      </c>
      <c r="R227" s="182">
        <f t="shared" si="85"/>
        <v>0</v>
      </c>
      <c r="S227" s="182">
        <f t="shared" si="86"/>
        <v>0</v>
      </c>
      <c r="T227" s="182">
        <f t="shared" si="87"/>
        <v>0</v>
      </c>
      <c r="U227" s="182">
        <f t="shared" si="88"/>
        <v>0</v>
      </c>
      <c r="V227" s="14">
        <f t="shared" si="89"/>
        <v>1661.8</v>
      </c>
      <c r="W227" s="14">
        <f t="shared" si="90"/>
        <v>-1661.8</v>
      </c>
      <c r="Y227" s="14">
        <f t="shared" si="96"/>
        <v>278.60000000000002</v>
      </c>
      <c r="Z227" s="14">
        <f t="shared" si="97"/>
        <v>-278.60000000000002</v>
      </c>
      <c r="AA227" s="11">
        <f t="shared" si="91"/>
        <v>0.39</v>
      </c>
      <c r="AB227" s="9">
        <f t="shared" si="98"/>
        <v>54.6</v>
      </c>
      <c r="AD227" s="13">
        <f>IF(AH227&gt;AH226,AD226,IF(AD226&lt;MiscData!$F$1,EOMONTH(AD226,1),EOMONTH(AD226,-11)))</f>
        <v>42460</v>
      </c>
      <c r="AE227" s="7" t="str">
        <f t="shared" si="92"/>
        <v>20140101KUUM_456</v>
      </c>
      <c r="AF227" s="12" t="str">
        <f t="shared" si="93"/>
        <v>20140101RLS</v>
      </c>
      <c r="AG227" s="31"/>
      <c r="AH227">
        <f>IF(AH226=MiscData!$AB$91,1,AH226+1)</f>
        <v>50</v>
      </c>
      <c r="AI227">
        <f>IF(AD227&lt;=MiscData!$B$23,MiscData!$C$23,IF(AD227&lt;=MiscData!$B$24,MiscData!$C$24,MiscData!$C$25))</f>
        <v>20140101</v>
      </c>
      <c r="AK227" s="190" t="str">
        <f>VLOOKUP(AM227,MiscData!$AB$4:$ACB$113,2,FALSE)</f>
        <v>KUUM_456</v>
      </c>
      <c r="AL227" s="190" t="str">
        <f>VLOOKUP(AM227,MiscData!$AB$4:$AE$115,4,FALSE)</f>
        <v>RLS</v>
      </c>
      <c r="AM227">
        <f>IF(AM226=MiscData!$AB$91,1,AM226+1)</f>
        <v>50</v>
      </c>
    </row>
    <row r="228" spans="1:39">
      <c r="A228" s="7">
        <f t="shared" si="99"/>
        <v>227</v>
      </c>
      <c r="B228" s="13" t="str">
        <f t="shared" si="75"/>
        <v>Mar 2016</v>
      </c>
      <c r="C228" s="23" t="str">
        <f t="shared" si="76"/>
        <v>RLS</v>
      </c>
      <c r="D228" s="23" t="str">
        <f t="shared" si="77"/>
        <v>KUUM_457</v>
      </c>
      <c r="E228" s="170">
        <f t="shared" si="78"/>
        <v>454</v>
      </c>
      <c r="F228" s="185"/>
      <c r="G228" s="170">
        <f t="shared" si="79"/>
        <v>0</v>
      </c>
      <c r="H228" s="170">
        <v>0</v>
      </c>
      <c r="I228" s="11">
        <f t="shared" si="80"/>
        <v>13.360000000000001</v>
      </c>
      <c r="J228" s="11">
        <f t="shared" si="81"/>
        <v>2.84</v>
      </c>
      <c r="K228" s="416">
        <f t="shared" si="94"/>
        <v>6065.44</v>
      </c>
      <c r="L228" s="180"/>
      <c r="M228" s="180"/>
      <c r="N228" s="182">
        <f t="shared" si="82"/>
        <v>6065.44</v>
      </c>
      <c r="O228" s="29">
        <f t="shared" si="83"/>
        <v>0</v>
      </c>
      <c r="P228" s="181">
        <f t="shared" si="95"/>
        <v>0</v>
      </c>
      <c r="Q228" s="182">
        <f t="shared" si="84"/>
        <v>0</v>
      </c>
      <c r="R228" s="182">
        <f t="shared" si="85"/>
        <v>0</v>
      </c>
      <c r="S228" s="182">
        <f t="shared" si="86"/>
        <v>0</v>
      </c>
      <c r="T228" s="182">
        <f t="shared" si="87"/>
        <v>0</v>
      </c>
      <c r="U228" s="182">
        <f t="shared" si="88"/>
        <v>0</v>
      </c>
      <c r="V228" s="14">
        <f t="shared" si="89"/>
        <v>6065.44</v>
      </c>
      <c r="W228" s="14">
        <f t="shared" si="90"/>
        <v>-6065.44</v>
      </c>
      <c r="Y228" s="14">
        <f t="shared" si="96"/>
        <v>1289.3599999999999</v>
      </c>
      <c r="Z228" s="14">
        <f t="shared" si="97"/>
        <v>-1289.3599999999999</v>
      </c>
      <c r="AA228" s="11">
        <f t="shared" si="91"/>
        <v>0.44</v>
      </c>
      <c r="AB228" s="9">
        <f t="shared" si="98"/>
        <v>199.76</v>
      </c>
      <c r="AD228" s="13">
        <f>IF(AH228&gt;AH227,AD227,IF(AD227&lt;MiscData!$F$1,EOMONTH(AD227,1),EOMONTH(AD227,-11)))</f>
        <v>42460</v>
      </c>
      <c r="AE228" s="7" t="str">
        <f t="shared" si="92"/>
        <v>20140101KUUM_457</v>
      </c>
      <c r="AF228" s="12" t="str">
        <f t="shared" si="93"/>
        <v>20140101RLS</v>
      </c>
      <c r="AG228" s="31"/>
      <c r="AH228">
        <f>IF(AH227=MiscData!$AB$91,1,AH227+1)</f>
        <v>51</v>
      </c>
      <c r="AI228">
        <f>IF(AD228&lt;=MiscData!$B$23,MiscData!$C$23,IF(AD228&lt;=MiscData!$B$24,MiscData!$C$24,MiscData!$C$25))</f>
        <v>20140101</v>
      </c>
      <c r="AK228" s="190" t="str">
        <f>VLOOKUP(AM228,MiscData!$AB$4:$ACB$113,2,FALSE)</f>
        <v>KUUM_457</v>
      </c>
      <c r="AL228" s="190" t="str">
        <f>VLOOKUP(AM228,MiscData!$AB$4:$AE$115,4,FALSE)</f>
        <v>RLS</v>
      </c>
      <c r="AM228">
        <f>IF(AM227=MiscData!$AB$91,1,AM227+1)</f>
        <v>51</v>
      </c>
    </row>
    <row r="229" spans="1:39">
      <c r="A229" s="7">
        <f t="shared" si="99"/>
        <v>228</v>
      </c>
      <c r="B229" s="13" t="str">
        <f t="shared" si="75"/>
        <v>Mar 2016</v>
      </c>
      <c r="C229" s="23" t="str">
        <f t="shared" si="76"/>
        <v>RLS</v>
      </c>
      <c r="D229" s="23" t="str">
        <f t="shared" si="77"/>
        <v>KUUM_458</v>
      </c>
      <c r="E229" s="170">
        <f t="shared" si="78"/>
        <v>1480</v>
      </c>
      <c r="F229" s="185"/>
      <c r="G229" s="170">
        <f t="shared" si="79"/>
        <v>0</v>
      </c>
      <c r="H229" s="170">
        <v>0</v>
      </c>
      <c r="I229" s="11">
        <f t="shared" si="80"/>
        <v>15.079999999999998</v>
      </c>
      <c r="J229" s="11">
        <f t="shared" si="81"/>
        <v>4.3699999999999992</v>
      </c>
      <c r="K229" s="416">
        <f t="shared" si="94"/>
        <v>22318.400000000001</v>
      </c>
      <c r="L229" s="180"/>
      <c r="M229" s="180"/>
      <c r="N229" s="182">
        <f t="shared" si="82"/>
        <v>22318.400000000001</v>
      </c>
      <c r="O229" s="29">
        <f t="shared" si="83"/>
        <v>0</v>
      </c>
      <c r="P229" s="181">
        <f t="shared" si="95"/>
        <v>0</v>
      </c>
      <c r="Q229" s="182">
        <f t="shared" si="84"/>
        <v>0</v>
      </c>
      <c r="R229" s="182">
        <f t="shared" si="85"/>
        <v>0</v>
      </c>
      <c r="S229" s="182">
        <f t="shared" si="86"/>
        <v>0</v>
      </c>
      <c r="T229" s="182">
        <f t="shared" si="87"/>
        <v>0</v>
      </c>
      <c r="U229" s="182">
        <f t="shared" si="88"/>
        <v>0</v>
      </c>
      <c r="V229" s="14">
        <f t="shared" si="89"/>
        <v>22318.400000000001</v>
      </c>
      <c r="W229" s="14">
        <f t="shared" si="90"/>
        <v>-22318.400000000001</v>
      </c>
      <c r="Y229" s="14">
        <f t="shared" si="96"/>
        <v>6467.6</v>
      </c>
      <c r="Z229" s="14">
        <f t="shared" si="97"/>
        <v>-6467.6</v>
      </c>
      <c r="AA229" s="11">
        <f t="shared" si="91"/>
        <v>0.51</v>
      </c>
      <c r="AB229" s="9">
        <f t="shared" si="98"/>
        <v>754.80000000000007</v>
      </c>
      <c r="AD229" s="13">
        <f>IF(AH229&gt;AH228,AD228,IF(AD228&lt;MiscData!$F$1,EOMONTH(AD228,1),EOMONTH(AD228,-11)))</f>
        <v>42460</v>
      </c>
      <c r="AE229" s="7" t="str">
        <f t="shared" si="92"/>
        <v>20140101KUUM_458</v>
      </c>
      <c r="AF229" s="12" t="str">
        <f t="shared" si="93"/>
        <v>20140101RLS</v>
      </c>
      <c r="AG229" s="31"/>
      <c r="AH229">
        <f>IF(AH228=MiscData!$AB$91,1,AH228+1)</f>
        <v>52</v>
      </c>
      <c r="AI229">
        <f>IF(AD229&lt;=MiscData!$B$23,MiscData!$C$23,IF(AD229&lt;=MiscData!$B$24,MiscData!$C$24,MiscData!$C$25))</f>
        <v>20140101</v>
      </c>
      <c r="AK229" s="190" t="str">
        <f>VLOOKUP(AM229,MiscData!$AB$4:$ACB$113,2,FALSE)</f>
        <v>KUUM_458</v>
      </c>
      <c r="AL229" s="190" t="str">
        <f>VLOOKUP(AM229,MiscData!$AB$4:$AE$115,4,FALSE)</f>
        <v>RLS</v>
      </c>
      <c r="AM229">
        <f>IF(AM228=MiscData!$AB$91,1,AM228+1)</f>
        <v>52</v>
      </c>
    </row>
    <row r="230" spans="1:39">
      <c r="A230" s="7">
        <f t="shared" si="99"/>
        <v>229</v>
      </c>
      <c r="B230" s="13" t="str">
        <f t="shared" si="75"/>
        <v>Mar 2016</v>
      </c>
      <c r="C230" s="23" t="str">
        <f t="shared" si="76"/>
        <v>RLS</v>
      </c>
      <c r="D230" s="23" t="str">
        <f t="shared" si="77"/>
        <v>KUUM_459</v>
      </c>
      <c r="E230" s="170">
        <f t="shared" si="78"/>
        <v>228</v>
      </c>
      <c r="F230" s="185"/>
      <c r="G230" s="170">
        <f t="shared" si="79"/>
        <v>0</v>
      </c>
      <c r="H230" s="170">
        <v>0</v>
      </c>
      <c r="I230" s="11">
        <f t="shared" si="80"/>
        <v>46.740000000000009</v>
      </c>
      <c r="J230" s="11">
        <f t="shared" si="81"/>
        <v>10.410000000000004</v>
      </c>
      <c r="K230" s="416">
        <f t="shared" si="94"/>
        <v>10656.72</v>
      </c>
      <c r="L230" s="180"/>
      <c r="M230" s="180"/>
      <c r="N230" s="182">
        <f t="shared" si="82"/>
        <v>10656.72</v>
      </c>
      <c r="O230" s="29">
        <f t="shared" si="83"/>
        <v>0</v>
      </c>
      <c r="P230" s="181">
        <f t="shared" si="95"/>
        <v>0</v>
      </c>
      <c r="Q230" s="182">
        <f t="shared" si="84"/>
        <v>0</v>
      </c>
      <c r="R230" s="182">
        <f t="shared" si="85"/>
        <v>0</v>
      </c>
      <c r="S230" s="182">
        <f t="shared" si="86"/>
        <v>0</v>
      </c>
      <c r="T230" s="182">
        <f t="shared" si="87"/>
        <v>0</v>
      </c>
      <c r="U230" s="182">
        <f t="shared" si="88"/>
        <v>0</v>
      </c>
      <c r="V230" s="14">
        <f t="shared" si="89"/>
        <v>10656.72</v>
      </c>
      <c r="W230" s="14">
        <f t="shared" si="90"/>
        <v>-10656.72</v>
      </c>
      <c r="Y230" s="14">
        <f t="shared" si="96"/>
        <v>2373.48</v>
      </c>
      <c r="Z230" s="14">
        <f t="shared" si="97"/>
        <v>-2373.48</v>
      </c>
      <c r="AA230" s="11">
        <f t="shared" si="91"/>
        <v>1.7</v>
      </c>
      <c r="AB230" s="9">
        <f t="shared" si="98"/>
        <v>387.59999999999997</v>
      </c>
      <c r="AD230" s="13">
        <f>IF(AH230&gt;AH229,AD229,IF(AD229&lt;MiscData!$F$1,EOMONTH(AD229,1),EOMONTH(AD229,-11)))</f>
        <v>42460</v>
      </c>
      <c r="AE230" s="7" t="str">
        <f t="shared" si="92"/>
        <v>20140101KUUM_459</v>
      </c>
      <c r="AF230" s="12" t="str">
        <f t="shared" si="93"/>
        <v>20140101RLS</v>
      </c>
      <c r="AG230" s="31"/>
      <c r="AH230">
        <f>IF(AH229=MiscData!$AB$91,1,AH229+1)</f>
        <v>53</v>
      </c>
      <c r="AI230">
        <f>IF(AD230&lt;=MiscData!$B$23,MiscData!$C$23,IF(AD230&lt;=MiscData!$B$24,MiscData!$C$24,MiscData!$C$25))</f>
        <v>20140101</v>
      </c>
      <c r="AK230" s="190" t="str">
        <f>VLOOKUP(AM230,MiscData!$AB$4:$ACB$113,2,FALSE)</f>
        <v>KUUM_459</v>
      </c>
      <c r="AL230" s="190" t="str">
        <f>VLOOKUP(AM230,MiscData!$AB$4:$AE$115,4,FALSE)</f>
        <v>RLS</v>
      </c>
      <c r="AM230">
        <f>IF(AM229=MiscData!$AB$91,1,AM229+1)</f>
        <v>53</v>
      </c>
    </row>
    <row r="231" spans="1:39">
      <c r="A231" s="7">
        <f t="shared" si="99"/>
        <v>230</v>
      </c>
      <c r="B231" s="13" t="str">
        <f t="shared" si="75"/>
        <v>Mar 2016</v>
      </c>
      <c r="C231" s="23" t="str">
        <f t="shared" si="76"/>
        <v>RLS</v>
      </c>
      <c r="D231" s="23" t="str">
        <f t="shared" si="77"/>
        <v>KUUM_460</v>
      </c>
      <c r="E231" s="170">
        <f t="shared" si="78"/>
        <v>27</v>
      </c>
      <c r="F231" s="185"/>
      <c r="G231" s="170">
        <f t="shared" si="79"/>
        <v>0</v>
      </c>
      <c r="H231" s="170">
        <v>0</v>
      </c>
      <c r="I231" s="11">
        <f t="shared" si="80"/>
        <v>27.15</v>
      </c>
      <c r="J231" s="11">
        <f t="shared" si="81"/>
        <v>1.9699999999999989</v>
      </c>
      <c r="K231" s="416">
        <f t="shared" si="94"/>
        <v>733.05</v>
      </c>
      <c r="L231" s="180"/>
      <c r="M231" s="180"/>
      <c r="N231" s="182">
        <f t="shared" si="82"/>
        <v>733.05</v>
      </c>
      <c r="O231" s="29">
        <f t="shared" si="83"/>
        <v>0</v>
      </c>
      <c r="P231" s="181">
        <f t="shared" si="95"/>
        <v>0</v>
      </c>
      <c r="Q231" s="182">
        <f t="shared" si="84"/>
        <v>0</v>
      </c>
      <c r="R231" s="182">
        <f t="shared" si="85"/>
        <v>0</v>
      </c>
      <c r="S231" s="182">
        <f t="shared" si="86"/>
        <v>0</v>
      </c>
      <c r="T231" s="182">
        <f t="shared" si="87"/>
        <v>0</v>
      </c>
      <c r="U231" s="182">
        <f t="shared" si="88"/>
        <v>0</v>
      </c>
      <c r="V231" s="14">
        <f t="shared" si="89"/>
        <v>733.05</v>
      </c>
      <c r="W231" s="14">
        <f t="shared" si="90"/>
        <v>-733.05</v>
      </c>
      <c r="Y231" s="14">
        <f t="shared" si="96"/>
        <v>53.19</v>
      </c>
      <c r="Z231" s="14">
        <f t="shared" si="97"/>
        <v>-53.19</v>
      </c>
      <c r="AA231" s="11">
        <f t="shared" si="91"/>
        <v>0.66</v>
      </c>
      <c r="AB231" s="9">
        <f t="shared" si="98"/>
        <v>17.82</v>
      </c>
      <c r="AD231" s="13">
        <f>IF(AH231&gt;AH230,AD230,IF(AD230&lt;MiscData!$F$1,EOMONTH(AD230,1),EOMONTH(AD230,-11)))</f>
        <v>42460</v>
      </c>
      <c r="AE231" s="7" t="str">
        <f t="shared" si="92"/>
        <v>20140101KUUM_460</v>
      </c>
      <c r="AF231" s="12" t="str">
        <f t="shared" si="93"/>
        <v>20140101RLS</v>
      </c>
      <c r="AG231" s="31"/>
      <c r="AH231">
        <f>IF(AH230=MiscData!$AB$91,1,AH230+1)</f>
        <v>54</v>
      </c>
      <c r="AI231">
        <f>IF(AD231&lt;=MiscData!$B$23,MiscData!$C$23,IF(AD231&lt;=MiscData!$B$24,MiscData!$C$24,MiscData!$C$25))</f>
        <v>20140101</v>
      </c>
      <c r="AK231" s="190" t="str">
        <f>VLOOKUP(AM231,MiscData!$AB$4:$ACB$113,2,FALSE)</f>
        <v>KUUM_460</v>
      </c>
      <c r="AL231" s="190" t="str">
        <f>VLOOKUP(AM231,MiscData!$AB$4:$AE$115,4,FALSE)</f>
        <v>RLS</v>
      </c>
      <c r="AM231">
        <f>IF(AM230=MiscData!$AB$91,1,AM230+1)</f>
        <v>54</v>
      </c>
    </row>
    <row r="232" spans="1:39">
      <c r="A232" s="7">
        <f t="shared" si="99"/>
        <v>231</v>
      </c>
      <c r="B232" s="13" t="str">
        <f t="shared" si="75"/>
        <v>Mar 2016</v>
      </c>
      <c r="C232" s="23" t="str">
        <f t="shared" si="76"/>
        <v>RLS</v>
      </c>
      <c r="D232" s="23" t="str">
        <f t="shared" si="77"/>
        <v>KUUM_461</v>
      </c>
      <c r="E232" s="170">
        <f t="shared" si="78"/>
        <v>6927</v>
      </c>
      <c r="F232" s="185"/>
      <c r="G232" s="170">
        <f t="shared" si="79"/>
        <v>0</v>
      </c>
      <c r="H232" s="170">
        <v>0</v>
      </c>
      <c r="I232" s="11">
        <f t="shared" si="80"/>
        <v>7.54</v>
      </c>
      <c r="J232" s="11">
        <f t="shared" si="81"/>
        <v>0.57000000000000028</v>
      </c>
      <c r="K232" s="416">
        <f t="shared" si="94"/>
        <v>52229.58</v>
      </c>
      <c r="L232" s="180"/>
      <c r="M232" s="180"/>
      <c r="N232" s="182">
        <f t="shared" si="82"/>
        <v>52229.58</v>
      </c>
      <c r="O232" s="29">
        <f t="shared" si="83"/>
        <v>0</v>
      </c>
      <c r="P232" s="181">
        <f t="shared" si="95"/>
        <v>0</v>
      </c>
      <c r="Q232" s="182">
        <f t="shared" si="84"/>
        <v>0</v>
      </c>
      <c r="R232" s="182">
        <f t="shared" si="85"/>
        <v>0</v>
      </c>
      <c r="S232" s="182">
        <f t="shared" si="86"/>
        <v>0</v>
      </c>
      <c r="T232" s="182">
        <f t="shared" si="87"/>
        <v>0</v>
      </c>
      <c r="U232" s="182">
        <f t="shared" si="88"/>
        <v>0</v>
      </c>
      <c r="V232" s="14">
        <f t="shared" si="89"/>
        <v>52229.58</v>
      </c>
      <c r="W232" s="14">
        <f t="shared" si="90"/>
        <v>-52229.58</v>
      </c>
      <c r="Y232" s="14">
        <f t="shared" si="96"/>
        <v>3948.39</v>
      </c>
      <c r="Z232" s="14">
        <f t="shared" si="97"/>
        <v>-3948.39</v>
      </c>
      <c r="AA232" s="11">
        <f t="shared" si="91"/>
        <v>0.33</v>
      </c>
      <c r="AB232" s="9">
        <f t="shared" si="98"/>
        <v>2285.9100000000003</v>
      </c>
      <c r="AD232" s="13">
        <f>IF(AH232&gt;AH231,AD231,IF(AD231&lt;MiscData!$F$1,EOMONTH(AD231,1),EOMONTH(AD231,-11)))</f>
        <v>42460</v>
      </c>
      <c r="AE232" s="7" t="str">
        <f t="shared" si="92"/>
        <v>20140101KUUM_461</v>
      </c>
      <c r="AF232" s="12" t="str">
        <f t="shared" si="93"/>
        <v>20140101RLS</v>
      </c>
      <c r="AG232" s="31"/>
      <c r="AH232">
        <f>IF(AH231=MiscData!$AB$91,1,AH231+1)</f>
        <v>55</v>
      </c>
      <c r="AI232">
        <f>IF(AD232&lt;=MiscData!$B$23,MiscData!$C$23,IF(AD232&lt;=MiscData!$B$24,MiscData!$C$24,MiscData!$C$25))</f>
        <v>20140101</v>
      </c>
      <c r="AK232" s="190" t="str">
        <f>VLOOKUP(AM232,MiscData!$AB$4:$ACB$113,2,FALSE)</f>
        <v>KUUM_461</v>
      </c>
      <c r="AL232" s="190" t="str">
        <f>VLOOKUP(AM232,MiscData!$AB$4:$AE$115,4,FALSE)</f>
        <v>RLS</v>
      </c>
      <c r="AM232">
        <f>IF(AM231=MiscData!$AB$91,1,AM231+1)</f>
        <v>55</v>
      </c>
    </row>
    <row r="233" spans="1:39">
      <c r="A233" s="7">
        <f t="shared" si="99"/>
        <v>232</v>
      </c>
      <c r="B233" s="13" t="str">
        <f t="shared" si="75"/>
        <v>Mar 2016</v>
      </c>
      <c r="C233" s="23" t="str">
        <f t="shared" si="76"/>
        <v>LS</v>
      </c>
      <c r="D233" s="23" t="str">
        <f t="shared" si="77"/>
        <v>KUUM_462</v>
      </c>
      <c r="E233" s="170">
        <f t="shared" si="78"/>
        <v>8846</v>
      </c>
      <c r="F233" s="185"/>
      <c r="G233" s="170">
        <f t="shared" si="79"/>
        <v>0</v>
      </c>
      <c r="H233" s="170">
        <v>0</v>
      </c>
      <c r="I233" s="11">
        <f t="shared" si="80"/>
        <v>8.66</v>
      </c>
      <c r="J233" s="11">
        <f t="shared" si="81"/>
        <v>0.79999999999999893</v>
      </c>
      <c r="K233" s="416">
        <f t="shared" si="94"/>
        <v>76606.36</v>
      </c>
      <c r="L233" s="180"/>
      <c r="M233" s="180"/>
      <c r="N233" s="182">
        <f t="shared" si="82"/>
        <v>76606.36</v>
      </c>
      <c r="O233" s="29">
        <f t="shared" si="83"/>
        <v>0</v>
      </c>
      <c r="P233" s="181">
        <f t="shared" si="95"/>
        <v>0</v>
      </c>
      <c r="Q233" s="182">
        <f t="shared" si="84"/>
        <v>0</v>
      </c>
      <c r="R233" s="182">
        <f t="shared" si="85"/>
        <v>0</v>
      </c>
      <c r="S233" s="182">
        <f t="shared" si="86"/>
        <v>0</v>
      </c>
      <c r="T233" s="182">
        <f t="shared" si="87"/>
        <v>0</v>
      </c>
      <c r="U233" s="182">
        <f t="shared" si="88"/>
        <v>0</v>
      </c>
      <c r="V233" s="14">
        <f t="shared" si="89"/>
        <v>76606.36</v>
      </c>
      <c r="W233" s="14">
        <f t="shared" si="90"/>
        <v>-76606.36</v>
      </c>
      <c r="Y233" s="14">
        <f t="shared" si="96"/>
        <v>7076.8</v>
      </c>
      <c r="Z233" s="14">
        <f t="shared" si="97"/>
        <v>-7076.8</v>
      </c>
      <c r="AA233" s="11">
        <f t="shared" si="91"/>
        <v>0.43</v>
      </c>
      <c r="AB233" s="9">
        <f t="shared" si="98"/>
        <v>3803.7799999999997</v>
      </c>
      <c r="AD233" s="13">
        <f>IF(AH233&gt;AH232,AD232,IF(AD232&lt;MiscData!$F$1,EOMONTH(AD232,1),EOMONTH(AD232,-11)))</f>
        <v>42460</v>
      </c>
      <c r="AE233" s="7" t="str">
        <f t="shared" si="92"/>
        <v>20140101KUUM_462</v>
      </c>
      <c r="AF233" s="12" t="str">
        <f t="shared" si="93"/>
        <v>20140101LS</v>
      </c>
      <c r="AG233" s="31"/>
      <c r="AH233">
        <f>IF(AH232=MiscData!$AB$91,1,AH232+1)</f>
        <v>56</v>
      </c>
      <c r="AI233">
        <f>IF(AD233&lt;=MiscData!$B$23,MiscData!$C$23,IF(AD233&lt;=MiscData!$B$24,MiscData!$C$24,MiscData!$C$25))</f>
        <v>20140101</v>
      </c>
      <c r="AK233" s="190" t="str">
        <f>VLOOKUP(AM233,MiscData!$AB$4:$ACB$113,2,FALSE)</f>
        <v>KUUM_462</v>
      </c>
      <c r="AL233" s="190" t="str">
        <f>VLOOKUP(AM233,MiscData!$AB$4:$AE$115,4,FALSE)</f>
        <v>LS</v>
      </c>
      <c r="AM233">
        <f>IF(AM232=MiscData!$AB$91,1,AM232+1)</f>
        <v>56</v>
      </c>
    </row>
    <row r="234" spans="1:39">
      <c r="A234" s="7">
        <f t="shared" si="99"/>
        <v>233</v>
      </c>
      <c r="B234" s="13" t="str">
        <f t="shared" si="75"/>
        <v>Mar 2016</v>
      </c>
      <c r="C234" s="23" t="str">
        <f t="shared" si="76"/>
        <v>LS</v>
      </c>
      <c r="D234" s="23" t="str">
        <f t="shared" si="77"/>
        <v>KUUM_463</v>
      </c>
      <c r="E234" s="170">
        <f t="shared" si="78"/>
        <v>20615</v>
      </c>
      <c r="F234" s="185"/>
      <c r="G234" s="170">
        <f t="shared" si="79"/>
        <v>0</v>
      </c>
      <c r="H234" s="170">
        <v>0</v>
      </c>
      <c r="I234" s="11">
        <f t="shared" si="80"/>
        <v>9.14</v>
      </c>
      <c r="J234" s="11">
        <f t="shared" si="81"/>
        <v>1.1299999999999999</v>
      </c>
      <c r="K234" s="416">
        <f t="shared" si="94"/>
        <v>188421.1</v>
      </c>
      <c r="L234" s="180"/>
      <c r="M234" s="180"/>
      <c r="N234" s="182">
        <f t="shared" si="82"/>
        <v>188421.1</v>
      </c>
      <c r="O234" s="29">
        <f t="shared" si="83"/>
        <v>0</v>
      </c>
      <c r="P234" s="181">
        <f t="shared" si="95"/>
        <v>0</v>
      </c>
      <c r="Q234" s="182">
        <f t="shared" si="84"/>
        <v>0</v>
      </c>
      <c r="R234" s="182">
        <f t="shared" si="85"/>
        <v>0</v>
      </c>
      <c r="S234" s="182">
        <f t="shared" si="86"/>
        <v>0</v>
      </c>
      <c r="T234" s="182">
        <f t="shared" si="87"/>
        <v>0</v>
      </c>
      <c r="U234" s="182">
        <f t="shared" si="88"/>
        <v>0</v>
      </c>
      <c r="V234" s="14">
        <f t="shared" si="89"/>
        <v>188421.1</v>
      </c>
      <c r="W234" s="14">
        <f t="shared" si="90"/>
        <v>-188421.1</v>
      </c>
      <c r="Y234" s="14">
        <f t="shared" si="96"/>
        <v>23294.95</v>
      </c>
      <c r="Z234" s="14">
        <f t="shared" si="97"/>
        <v>-23294.95</v>
      </c>
      <c r="AA234" s="11">
        <f t="shared" si="91"/>
        <v>0.34</v>
      </c>
      <c r="AB234" s="9">
        <f t="shared" si="98"/>
        <v>7009.1</v>
      </c>
      <c r="AD234" s="13">
        <f>IF(AH234&gt;AH233,AD233,IF(AD233&lt;MiscData!$F$1,EOMONTH(AD233,1),EOMONTH(AD233,-11)))</f>
        <v>42460</v>
      </c>
      <c r="AE234" s="7" t="str">
        <f t="shared" si="92"/>
        <v>20140101KUUM_463</v>
      </c>
      <c r="AF234" s="12" t="str">
        <f t="shared" si="93"/>
        <v>20140101LS</v>
      </c>
      <c r="AG234" s="31"/>
      <c r="AH234">
        <f>IF(AH233=MiscData!$AB$91,1,AH233+1)</f>
        <v>57</v>
      </c>
      <c r="AI234">
        <f>IF(AD234&lt;=MiscData!$B$23,MiscData!$C$23,IF(AD234&lt;=MiscData!$B$24,MiscData!$C$24,MiscData!$C$25))</f>
        <v>20140101</v>
      </c>
      <c r="AK234" s="190" t="str">
        <f>VLOOKUP(AM234,MiscData!$AB$4:$ACB$113,2,FALSE)</f>
        <v>KUUM_463</v>
      </c>
      <c r="AL234" s="190" t="str">
        <f>VLOOKUP(AM234,MiscData!$AB$4:$AE$115,4,FALSE)</f>
        <v>LS</v>
      </c>
      <c r="AM234">
        <f>IF(AM233=MiscData!$AB$91,1,AM233+1)</f>
        <v>57</v>
      </c>
    </row>
    <row r="235" spans="1:39">
      <c r="A235" s="7">
        <f t="shared" si="99"/>
        <v>234</v>
      </c>
      <c r="B235" s="13" t="str">
        <f t="shared" si="75"/>
        <v>Mar 2016</v>
      </c>
      <c r="C235" s="23" t="str">
        <f t="shared" si="76"/>
        <v>LS</v>
      </c>
      <c r="D235" s="23" t="str">
        <f t="shared" si="77"/>
        <v>KUUM_464</v>
      </c>
      <c r="E235" s="170">
        <f t="shared" si="78"/>
        <v>7599</v>
      </c>
      <c r="F235" s="185"/>
      <c r="G235" s="170">
        <f t="shared" si="79"/>
        <v>0</v>
      </c>
      <c r="H235" s="170">
        <v>0</v>
      </c>
      <c r="I235" s="11">
        <f t="shared" si="80"/>
        <v>14.25</v>
      </c>
      <c r="J235" s="11">
        <f t="shared" si="81"/>
        <v>2.33</v>
      </c>
      <c r="K235" s="416">
        <f t="shared" si="94"/>
        <v>108285.75</v>
      </c>
      <c r="L235" s="180"/>
      <c r="M235" s="180"/>
      <c r="N235" s="182">
        <f t="shared" si="82"/>
        <v>108285.75</v>
      </c>
      <c r="O235" s="29">
        <f t="shared" si="83"/>
        <v>0</v>
      </c>
      <c r="P235" s="181">
        <f t="shared" si="95"/>
        <v>0</v>
      </c>
      <c r="Q235" s="182">
        <f t="shared" si="84"/>
        <v>0</v>
      </c>
      <c r="R235" s="182">
        <f t="shared" si="85"/>
        <v>0</v>
      </c>
      <c r="S235" s="182">
        <f t="shared" si="86"/>
        <v>0</v>
      </c>
      <c r="T235" s="182">
        <f t="shared" si="87"/>
        <v>0</v>
      </c>
      <c r="U235" s="182">
        <f t="shared" si="88"/>
        <v>0</v>
      </c>
      <c r="V235" s="14">
        <f t="shared" si="89"/>
        <v>108285.75</v>
      </c>
      <c r="W235" s="14">
        <f t="shared" si="90"/>
        <v>-108285.75</v>
      </c>
      <c r="Y235" s="14">
        <f t="shared" si="96"/>
        <v>17705.669999999998</v>
      </c>
      <c r="Z235" s="14">
        <f t="shared" si="97"/>
        <v>-17705.669999999998</v>
      </c>
      <c r="AA235" s="11">
        <f t="shared" si="91"/>
        <v>0.57999999999999996</v>
      </c>
      <c r="AB235" s="9">
        <f t="shared" si="98"/>
        <v>4407.42</v>
      </c>
      <c r="AD235" s="13">
        <f>IF(AH235&gt;AH234,AD234,IF(AD234&lt;MiscData!$F$1,EOMONTH(AD234,1),EOMONTH(AD234,-11)))</f>
        <v>42460</v>
      </c>
      <c r="AE235" s="7" t="str">
        <f t="shared" si="92"/>
        <v>20140101KUUM_464</v>
      </c>
      <c r="AF235" s="12" t="str">
        <f t="shared" si="93"/>
        <v>20140101LS</v>
      </c>
      <c r="AG235" s="31"/>
      <c r="AH235">
        <f>IF(AH234=MiscData!$AB$91,1,AH234+1)</f>
        <v>58</v>
      </c>
      <c r="AI235">
        <f>IF(AD235&lt;=MiscData!$B$23,MiscData!$C$23,IF(AD235&lt;=MiscData!$B$24,MiscData!$C$24,MiscData!$C$25))</f>
        <v>20140101</v>
      </c>
      <c r="AK235" s="190" t="str">
        <f>VLOOKUP(AM235,MiscData!$AB$4:$ACB$113,2,FALSE)</f>
        <v>KUUM_464</v>
      </c>
      <c r="AL235" s="190" t="str">
        <f>VLOOKUP(AM235,MiscData!$AB$4:$AE$115,4,FALSE)</f>
        <v>LS</v>
      </c>
      <c r="AM235">
        <f>IF(AM234=MiscData!$AB$91,1,AM234+1)</f>
        <v>58</v>
      </c>
    </row>
    <row r="236" spans="1:39">
      <c r="A236" s="7">
        <f t="shared" si="99"/>
        <v>235</v>
      </c>
      <c r="B236" s="13" t="str">
        <f t="shared" si="75"/>
        <v>Mar 2016</v>
      </c>
      <c r="C236" s="23" t="str">
        <f t="shared" si="76"/>
        <v>LS</v>
      </c>
      <c r="D236" s="23" t="str">
        <f t="shared" si="77"/>
        <v>KUUM_465</v>
      </c>
      <c r="E236" s="170">
        <f t="shared" si="78"/>
        <v>2814</v>
      </c>
      <c r="F236" s="185"/>
      <c r="G236" s="170">
        <f t="shared" si="79"/>
        <v>0</v>
      </c>
      <c r="H236" s="170">
        <v>0</v>
      </c>
      <c r="I236" s="11">
        <f t="shared" si="80"/>
        <v>22.84</v>
      </c>
      <c r="J236" s="11">
        <f t="shared" si="81"/>
        <v>4.5299999999999976</v>
      </c>
      <c r="K236" s="416">
        <f t="shared" si="94"/>
        <v>64271.76</v>
      </c>
      <c r="L236" s="180"/>
      <c r="M236" s="180"/>
      <c r="N236" s="182">
        <f t="shared" si="82"/>
        <v>64271.76</v>
      </c>
      <c r="O236" s="29">
        <f t="shared" si="83"/>
        <v>0</v>
      </c>
      <c r="P236" s="181">
        <f t="shared" si="95"/>
        <v>0</v>
      </c>
      <c r="Q236" s="182">
        <f t="shared" si="84"/>
        <v>0</v>
      </c>
      <c r="R236" s="182">
        <f t="shared" si="85"/>
        <v>0</v>
      </c>
      <c r="S236" s="182">
        <f t="shared" si="86"/>
        <v>0</v>
      </c>
      <c r="T236" s="182">
        <f t="shared" si="87"/>
        <v>0</v>
      </c>
      <c r="U236" s="182">
        <f t="shared" si="88"/>
        <v>0</v>
      </c>
      <c r="V236" s="14">
        <f t="shared" si="89"/>
        <v>64271.76</v>
      </c>
      <c r="W236" s="14">
        <f t="shared" si="90"/>
        <v>-64271.76</v>
      </c>
      <c r="Y236" s="14">
        <f t="shared" si="96"/>
        <v>12747.42</v>
      </c>
      <c r="Z236" s="14">
        <f t="shared" si="97"/>
        <v>-12747.42</v>
      </c>
      <c r="AA236" s="11">
        <f t="shared" si="91"/>
        <v>0.79</v>
      </c>
      <c r="AB236" s="9">
        <f t="shared" si="98"/>
        <v>2223.06</v>
      </c>
      <c r="AD236" s="13">
        <f>IF(AH236&gt;AH235,AD235,IF(AD235&lt;MiscData!$F$1,EOMONTH(AD235,1),EOMONTH(AD235,-11)))</f>
        <v>42460</v>
      </c>
      <c r="AE236" s="7" t="str">
        <f t="shared" si="92"/>
        <v>20140101KUUM_465</v>
      </c>
      <c r="AF236" s="12" t="str">
        <f t="shared" si="93"/>
        <v>20140101LS</v>
      </c>
      <c r="AG236" s="31"/>
      <c r="AH236">
        <f>IF(AH235=MiscData!$AB$91,1,AH235+1)</f>
        <v>59</v>
      </c>
      <c r="AI236">
        <f>IF(AD236&lt;=MiscData!$B$23,MiscData!$C$23,IF(AD236&lt;=MiscData!$B$24,MiscData!$C$24,MiscData!$C$25))</f>
        <v>20140101</v>
      </c>
      <c r="AK236" s="190" t="str">
        <f>VLOOKUP(AM236,MiscData!$AB$4:$ACB$113,2,FALSE)</f>
        <v>KUUM_465</v>
      </c>
      <c r="AL236" s="190" t="str">
        <f>VLOOKUP(AM236,MiscData!$AB$4:$AE$115,4,FALSE)</f>
        <v>LS</v>
      </c>
      <c r="AM236">
        <f>IF(AM235=MiscData!$AB$91,1,AM235+1)</f>
        <v>59</v>
      </c>
    </row>
    <row r="237" spans="1:39">
      <c r="A237" s="7">
        <f t="shared" si="99"/>
        <v>236</v>
      </c>
      <c r="B237" s="13" t="str">
        <f t="shared" si="75"/>
        <v>Mar 2016</v>
      </c>
      <c r="C237" s="23" t="str">
        <f t="shared" si="76"/>
        <v>RLS</v>
      </c>
      <c r="D237" s="23" t="str">
        <f t="shared" si="77"/>
        <v>KUUM_466</v>
      </c>
      <c r="E237" s="170">
        <f t="shared" si="78"/>
        <v>858</v>
      </c>
      <c r="F237" s="185"/>
      <c r="G237" s="170">
        <f t="shared" si="79"/>
        <v>0</v>
      </c>
      <c r="H237" s="170">
        <v>0</v>
      </c>
      <c r="I237" s="11">
        <f t="shared" si="80"/>
        <v>9.620000000000001</v>
      </c>
      <c r="J237" s="11">
        <f t="shared" si="81"/>
        <v>0.57000000000000028</v>
      </c>
      <c r="K237" s="416">
        <f t="shared" si="94"/>
        <v>8253.9599999999991</v>
      </c>
      <c r="L237" s="180"/>
      <c r="M237" s="180"/>
      <c r="N237" s="182">
        <f t="shared" si="82"/>
        <v>8253.9599999999991</v>
      </c>
      <c r="O237" s="29">
        <f t="shared" si="83"/>
        <v>0</v>
      </c>
      <c r="P237" s="181">
        <f t="shared" si="95"/>
        <v>0</v>
      </c>
      <c r="Q237" s="182">
        <f t="shared" si="84"/>
        <v>0</v>
      </c>
      <c r="R237" s="182">
        <f t="shared" si="85"/>
        <v>0</v>
      </c>
      <c r="S237" s="182">
        <f t="shared" si="86"/>
        <v>0</v>
      </c>
      <c r="T237" s="182">
        <f t="shared" si="87"/>
        <v>0</v>
      </c>
      <c r="U237" s="182">
        <f t="shared" si="88"/>
        <v>0</v>
      </c>
      <c r="V237" s="14">
        <f t="shared" si="89"/>
        <v>8253.9599999999991</v>
      </c>
      <c r="W237" s="14">
        <f t="shared" si="90"/>
        <v>-8253.9599999999991</v>
      </c>
      <c r="Y237" s="14">
        <f t="shared" si="96"/>
        <v>489.06</v>
      </c>
      <c r="Z237" s="14">
        <f t="shared" si="97"/>
        <v>-489.06</v>
      </c>
      <c r="AA237" s="11">
        <f t="shared" si="91"/>
        <v>0.33</v>
      </c>
      <c r="AB237" s="9">
        <f t="shared" si="98"/>
        <v>283.14</v>
      </c>
      <c r="AD237" s="13">
        <f>IF(AH237&gt;AH236,AD236,IF(AD236&lt;MiscData!$F$1,EOMONTH(AD236,1),EOMONTH(AD236,-11)))</f>
        <v>42460</v>
      </c>
      <c r="AE237" s="7" t="str">
        <f t="shared" si="92"/>
        <v>20140101KUUM_466</v>
      </c>
      <c r="AF237" s="12" t="str">
        <f t="shared" si="93"/>
        <v>20140101RLS</v>
      </c>
      <c r="AG237" s="31"/>
      <c r="AH237">
        <f>IF(AH236=MiscData!$AB$91,1,AH236+1)</f>
        <v>60</v>
      </c>
      <c r="AI237">
        <f>IF(AD237&lt;=MiscData!$B$23,MiscData!$C$23,IF(AD237&lt;=MiscData!$B$24,MiscData!$C$24,MiscData!$C$25))</f>
        <v>20140101</v>
      </c>
      <c r="AK237" s="190" t="str">
        <f>VLOOKUP(AM237,MiscData!$AB$4:$ACB$113,2,FALSE)</f>
        <v>KUUM_466</v>
      </c>
      <c r="AL237" s="190" t="str">
        <f>VLOOKUP(AM237,MiscData!$AB$4:$AE$115,4,FALSE)</f>
        <v>RLS</v>
      </c>
      <c r="AM237">
        <f>IF(AM236=MiscData!$AB$91,1,AM236+1)</f>
        <v>60</v>
      </c>
    </row>
    <row r="238" spans="1:39">
      <c r="A238" s="7">
        <f t="shared" si="99"/>
        <v>237</v>
      </c>
      <c r="B238" s="13" t="str">
        <f t="shared" si="75"/>
        <v>Mar 2016</v>
      </c>
      <c r="C238" s="23" t="str">
        <f t="shared" si="76"/>
        <v>LS</v>
      </c>
      <c r="D238" s="23" t="str">
        <f t="shared" si="77"/>
        <v>KUUM_467</v>
      </c>
      <c r="E238" s="170">
        <f t="shared" si="78"/>
        <v>1355</v>
      </c>
      <c r="F238" s="185"/>
      <c r="G238" s="170">
        <f t="shared" si="79"/>
        <v>0</v>
      </c>
      <c r="H238" s="170">
        <v>0</v>
      </c>
      <c r="I238" s="11">
        <f t="shared" si="80"/>
        <v>10.770000000000001</v>
      </c>
      <c r="J238" s="11">
        <f t="shared" si="81"/>
        <v>0.80000000000000071</v>
      </c>
      <c r="K238" s="416">
        <f t="shared" si="94"/>
        <v>14593.35</v>
      </c>
      <c r="L238" s="180"/>
      <c r="M238" s="180"/>
      <c r="N238" s="182">
        <f t="shared" si="82"/>
        <v>14593.35</v>
      </c>
      <c r="O238" s="29">
        <f t="shared" si="83"/>
        <v>0</v>
      </c>
      <c r="P238" s="181">
        <f t="shared" si="95"/>
        <v>0</v>
      </c>
      <c r="Q238" s="182">
        <f t="shared" si="84"/>
        <v>0</v>
      </c>
      <c r="R238" s="182">
        <f t="shared" si="85"/>
        <v>0</v>
      </c>
      <c r="S238" s="182">
        <f t="shared" si="86"/>
        <v>0</v>
      </c>
      <c r="T238" s="182">
        <f t="shared" si="87"/>
        <v>0</v>
      </c>
      <c r="U238" s="182">
        <f t="shared" si="88"/>
        <v>0</v>
      </c>
      <c r="V238" s="14">
        <f t="shared" si="89"/>
        <v>14593.35</v>
      </c>
      <c r="W238" s="14">
        <f t="shared" si="90"/>
        <v>-14593.35</v>
      </c>
      <c r="Y238" s="14">
        <f t="shared" si="96"/>
        <v>1084</v>
      </c>
      <c r="Z238" s="14">
        <f t="shared" si="97"/>
        <v>-1084</v>
      </c>
      <c r="AA238" s="11">
        <f t="shared" si="91"/>
        <v>0.43</v>
      </c>
      <c r="AB238" s="9">
        <f t="shared" si="98"/>
        <v>582.65</v>
      </c>
      <c r="AD238" s="13">
        <f>IF(AH238&gt;AH237,AD237,IF(AD237&lt;MiscData!$F$1,EOMONTH(AD237,1),EOMONTH(AD237,-11)))</f>
        <v>42460</v>
      </c>
      <c r="AE238" s="7" t="str">
        <f t="shared" si="92"/>
        <v>20140101KUUM_467</v>
      </c>
      <c r="AF238" s="12" t="str">
        <f t="shared" si="93"/>
        <v>20140101LS</v>
      </c>
      <c r="AG238" s="31"/>
      <c r="AH238">
        <f>IF(AH237=MiscData!$AB$91,1,AH237+1)</f>
        <v>61</v>
      </c>
      <c r="AI238">
        <f>IF(AD238&lt;=MiscData!$B$23,MiscData!$C$23,IF(AD238&lt;=MiscData!$B$24,MiscData!$C$24,MiscData!$C$25))</f>
        <v>20140101</v>
      </c>
      <c r="AK238" s="190" t="str">
        <f>VLOOKUP(AM238,MiscData!$AB$4:$ACB$113,2,FALSE)</f>
        <v>KUUM_467</v>
      </c>
      <c r="AL238" s="190" t="str">
        <f>VLOOKUP(AM238,MiscData!$AB$4:$AE$115,4,FALSE)</f>
        <v>LS</v>
      </c>
      <c r="AM238">
        <f>IF(AM237=MiscData!$AB$91,1,AM237+1)</f>
        <v>61</v>
      </c>
    </row>
    <row r="239" spans="1:39">
      <c r="A239" s="7">
        <f t="shared" si="99"/>
        <v>238</v>
      </c>
      <c r="B239" s="13" t="str">
        <f t="shared" si="75"/>
        <v>Mar 2016</v>
      </c>
      <c r="C239" s="23" t="str">
        <f t="shared" si="76"/>
        <v>LS</v>
      </c>
      <c r="D239" s="23" t="str">
        <f t="shared" si="77"/>
        <v>KUUM_468</v>
      </c>
      <c r="E239" s="170">
        <f t="shared" si="78"/>
        <v>3987</v>
      </c>
      <c r="F239" s="185"/>
      <c r="G239" s="170">
        <f t="shared" si="79"/>
        <v>0</v>
      </c>
      <c r="H239" s="170">
        <v>0</v>
      </c>
      <c r="I239" s="11">
        <f t="shared" si="80"/>
        <v>11.16</v>
      </c>
      <c r="J239" s="11">
        <f t="shared" si="81"/>
        <v>1.129999999999999</v>
      </c>
      <c r="K239" s="416">
        <f t="shared" si="94"/>
        <v>44494.92</v>
      </c>
      <c r="L239" s="180"/>
      <c r="M239" s="180"/>
      <c r="N239" s="182">
        <f t="shared" si="82"/>
        <v>44494.92</v>
      </c>
      <c r="O239" s="29">
        <f t="shared" si="83"/>
        <v>0</v>
      </c>
      <c r="P239" s="181">
        <f t="shared" si="95"/>
        <v>0</v>
      </c>
      <c r="Q239" s="182">
        <f t="shared" si="84"/>
        <v>0</v>
      </c>
      <c r="R239" s="182">
        <f t="shared" si="85"/>
        <v>0</v>
      </c>
      <c r="S239" s="182">
        <f t="shared" si="86"/>
        <v>0</v>
      </c>
      <c r="T239" s="182">
        <f t="shared" si="87"/>
        <v>0</v>
      </c>
      <c r="U239" s="182">
        <f t="shared" si="88"/>
        <v>0</v>
      </c>
      <c r="V239" s="14">
        <f t="shared" si="89"/>
        <v>44494.92</v>
      </c>
      <c r="W239" s="14">
        <f t="shared" si="90"/>
        <v>-44494.92</v>
      </c>
      <c r="Y239" s="14">
        <f t="shared" si="96"/>
        <v>4505.3100000000004</v>
      </c>
      <c r="Z239" s="14">
        <f t="shared" si="97"/>
        <v>-4505.3100000000004</v>
      </c>
      <c r="AA239" s="11">
        <f t="shared" si="91"/>
        <v>0.34</v>
      </c>
      <c r="AB239" s="9">
        <f t="shared" si="98"/>
        <v>1355.5800000000002</v>
      </c>
      <c r="AD239" s="13">
        <f>IF(AH239&gt;AH238,AD238,IF(AD238&lt;MiscData!$F$1,EOMONTH(AD238,1),EOMONTH(AD238,-11)))</f>
        <v>42460</v>
      </c>
      <c r="AE239" s="7" t="str">
        <f t="shared" si="92"/>
        <v>20140101KUUM_468</v>
      </c>
      <c r="AF239" s="12" t="str">
        <f t="shared" si="93"/>
        <v>20140101LS</v>
      </c>
      <c r="AG239" s="31"/>
      <c r="AH239">
        <f>IF(AH238=MiscData!$AB$91,1,AH238+1)</f>
        <v>62</v>
      </c>
      <c r="AI239">
        <f>IF(AD239&lt;=MiscData!$B$23,MiscData!$C$23,IF(AD239&lt;=MiscData!$B$24,MiscData!$C$24,MiscData!$C$25))</f>
        <v>20140101</v>
      </c>
      <c r="AK239" s="190" t="str">
        <f>VLOOKUP(AM239,MiscData!$AB$4:$ACB$113,2,FALSE)</f>
        <v>KUUM_468</v>
      </c>
      <c r="AL239" s="190" t="str">
        <f>VLOOKUP(AM239,MiscData!$AB$4:$AE$115,4,FALSE)</f>
        <v>LS</v>
      </c>
      <c r="AM239">
        <f>IF(AM238=MiscData!$AB$91,1,AM238+1)</f>
        <v>62</v>
      </c>
    </row>
    <row r="240" spans="1:39">
      <c r="A240" s="7">
        <f t="shared" si="99"/>
        <v>239</v>
      </c>
      <c r="B240" s="13" t="str">
        <f t="shared" si="75"/>
        <v>Mar 2016</v>
      </c>
      <c r="C240" s="23" t="str">
        <f t="shared" si="76"/>
        <v>RLS</v>
      </c>
      <c r="D240" s="23" t="str">
        <f t="shared" si="77"/>
        <v>KUUM_469</v>
      </c>
      <c r="E240" s="170">
        <f t="shared" si="78"/>
        <v>292</v>
      </c>
      <c r="F240" s="185"/>
      <c r="G240" s="170">
        <f t="shared" si="79"/>
        <v>0</v>
      </c>
      <c r="H240" s="170">
        <v>0</v>
      </c>
      <c r="I240" s="11">
        <f t="shared" si="80"/>
        <v>33.100000000000009</v>
      </c>
      <c r="J240" s="11">
        <f t="shared" si="81"/>
        <v>4.2900000000000063</v>
      </c>
      <c r="K240" s="416">
        <f t="shared" si="94"/>
        <v>9665.2000000000007</v>
      </c>
      <c r="L240" s="180"/>
      <c r="M240" s="180"/>
      <c r="N240" s="182">
        <f t="shared" si="82"/>
        <v>9665.2000000000007</v>
      </c>
      <c r="O240" s="29">
        <f t="shared" si="83"/>
        <v>0</v>
      </c>
      <c r="P240" s="181">
        <f t="shared" si="95"/>
        <v>0</v>
      </c>
      <c r="Q240" s="182">
        <f t="shared" si="84"/>
        <v>0</v>
      </c>
      <c r="R240" s="182">
        <f t="shared" si="85"/>
        <v>0</v>
      </c>
      <c r="S240" s="182">
        <f t="shared" si="86"/>
        <v>0</v>
      </c>
      <c r="T240" s="182">
        <f t="shared" si="87"/>
        <v>0</v>
      </c>
      <c r="U240" s="182">
        <f t="shared" si="88"/>
        <v>0</v>
      </c>
      <c r="V240" s="14">
        <f t="shared" si="89"/>
        <v>9665.2000000000007</v>
      </c>
      <c r="W240" s="14">
        <f t="shared" si="90"/>
        <v>-9665.2000000000007</v>
      </c>
      <c r="Y240" s="14">
        <f t="shared" si="96"/>
        <v>1252.68</v>
      </c>
      <c r="Z240" s="14">
        <f t="shared" si="97"/>
        <v>-1252.68</v>
      </c>
      <c r="AA240" s="11">
        <f t="shared" si="91"/>
        <v>0.84</v>
      </c>
      <c r="AB240" s="9">
        <f t="shared" si="98"/>
        <v>245.28</v>
      </c>
      <c r="AD240" s="13">
        <f>IF(AH240&gt;AH239,AD239,IF(AD239&lt;MiscData!$F$1,EOMONTH(AD239,1),EOMONTH(AD239,-11)))</f>
        <v>42460</v>
      </c>
      <c r="AE240" s="7" t="str">
        <f t="shared" si="92"/>
        <v>20140101KUUM_469</v>
      </c>
      <c r="AF240" s="12" t="str">
        <f t="shared" si="93"/>
        <v>20140101RLS</v>
      </c>
      <c r="AG240" s="31"/>
      <c r="AH240">
        <f>IF(AH239=MiscData!$AB$91,1,AH239+1)</f>
        <v>63</v>
      </c>
      <c r="AI240">
        <f>IF(AD240&lt;=MiscData!$B$23,MiscData!$C$23,IF(AD240&lt;=MiscData!$B$24,MiscData!$C$24,MiscData!$C$25))</f>
        <v>20140101</v>
      </c>
      <c r="AK240" s="190" t="str">
        <f>VLOOKUP(AM240,MiscData!$AB$4:$ACB$113,2,FALSE)</f>
        <v>KUUM_469</v>
      </c>
      <c r="AL240" s="190" t="str">
        <f>VLOOKUP(AM240,MiscData!$AB$4:$AE$115,4,FALSE)</f>
        <v>RLS</v>
      </c>
      <c r="AM240">
        <f>IF(AM239=MiscData!$AB$91,1,AM239+1)</f>
        <v>63</v>
      </c>
    </row>
    <row r="241" spans="1:39">
      <c r="A241" s="7">
        <f t="shared" si="99"/>
        <v>240</v>
      </c>
      <c r="B241" s="13" t="str">
        <f t="shared" si="75"/>
        <v>Mar 2016</v>
      </c>
      <c r="C241" s="23" t="str">
        <f t="shared" si="76"/>
        <v>RLS</v>
      </c>
      <c r="D241" s="23" t="str">
        <f t="shared" si="77"/>
        <v>KUUM_470</v>
      </c>
      <c r="E241" s="170">
        <f t="shared" si="78"/>
        <v>61</v>
      </c>
      <c r="F241" s="185"/>
      <c r="G241" s="170">
        <f t="shared" si="79"/>
        <v>0</v>
      </c>
      <c r="H241" s="170">
        <v>0</v>
      </c>
      <c r="I241" s="11">
        <f t="shared" si="80"/>
        <v>55.250000000000007</v>
      </c>
      <c r="J241" s="11">
        <f t="shared" si="81"/>
        <v>10.410000000000004</v>
      </c>
      <c r="K241" s="416">
        <f t="shared" si="94"/>
        <v>3370.25</v>
      </c>
      <c r="L241" s="180"/>
      <c r="M241" s="180"/>
      <c r="N241" s="182">
        <f t="shared" si="82"/>
        <v>3370.25</v>
      </c>
      <c r="O241" s="29">
        <f t="shared" si="83"/>
        <v>0</v>
      </c>
      <c r="P241" s="181">
        <f t="shared" si="95"/>
        <v>0</v>
      </c>
      <c r="Q241" s="182">
        <f t="shared" si="84"/>
        <v>0</v>
      </c>
      <c r="R241" s="182">
        <f t="shared" si="85"/>
        <v>0</v>
      </c>
      <c r="S241" s="182">
        <f t="shared" si="86"/>
        <v>0</v>
      </c>
      <c r="T241" s="182">
        <f t="shared" si="87"/>
        <v>0</v>
      </c>
      <c r="U241" s="182">
        <f t="shared" si="88"/>
        <v>0</v>
      </c>
      <c r="V241" s="14">
        <f t="shared" si="89"/>
        <v>3370.25</v>
      </c>
      <c r="W241" s="14">
        <f t="shared" si="90"/>
        <v>-3370.25</v>
      </c>
      <c r="Y241" s="14">
        <f t="shared" si="96"/>
        <v>635.01</v>
      </c>
      <c r="Z241" s="14">
        <f t="shared" si="97"/>
        <v>-635.01</v>
      </c>
      <c r="AA241" s="11">
        <f t="shared" si="91"/>
        <v>1.7</v>
      </c>
      <c r="AB241" s="9">
        <f t="shared" si="98"/>
        <v>103.7</v>
      </c>
      <c r="AD241" s="13">
        <f>IF(AH241&gt;AH240,AD240,IF(AD240&lt;MiscData!$F$1,EOMONTH(AD240,1),EOMONTH(AD240,-11)))</f>
        <v>42460</v>
      </c>
      <c r="AE241" s="7" t="str">
        <f t="shared" si="92"/>
        <v>20140101KUUM_470</v>
      </c>
      <c r="AF241" s="12" t="str">
        <f t="shared" si="93"/>
        <v>20140101RLS</v>
      </c>
      <c r="AG241" s="31"/>
      <c r="AH241">
        <f>IF(AH240=MiscData!$AB$91,1,AH240+1)</f>
        <v>64</v>
      </c>
      <c r="AI241">
        <f>IF(AD241&lt;=MiscData!$B$23,MiscData!$C$23,IF(AD241&lt;=MiscData!$B$24,MiscData!$C$24,MiscData!$C$25))</f>
        <v>20140101</v>
      </c>
      <c r="AK241" s="190" t="str">
        <f>VLOOKUP(AM241,MiscData!$AB$4:$ACB$113,2,FALSE)</f>
        <v>KUUM_470</v>
      </c>
      <c r="AL241" s="190" t="str">
        <f>VLOOKUP(AM241,MiscData!$AB$4:$AE$115,4,FALSE)</f>
        <v>RLS</v>
      </c>
      <c r="AM241">
        <f>IF(AM240=MiscData!$AB$91,1,AM240+1)</f>
        <v>64</v>
      </c>
    </row>
    <row r="242" spans="1:39">
      <c r="A242" s="7">
        <f t="shared" si="99"/>
        <v>241</v>
      </c>
      <c r="B242" s="13" t="str">
        <f t="shared" si="75"/>
        <v>Mar 2016</v>
      </c>
      <c r="C242" s="23" t="str">
        <f t="shared" si="76"/>
        <v>RLS</v>
      </c>
      <c r="D242" s="23" t="str">
        <f t="shared" si="77"/>
        <v>KUUM_471</v>
      </c>
      <c r="E242" s="170">
        <f t="shared" si="78"/>
        <v>3672</v>
      </c>
      <c r="F242" s="185"/>
      <c r="G242" s="170">
        <f t="shared" si="79"/>
        <v>0</v>
      </c>
      <c r="H242" s="170">
        <v>0</v>
      </c>
      <c r="I242" s="11">
        <f t="shared" si="80"/>
        <v>10.49</v>
      </c>
      <c r="J242" s="11">
        <f t="shared" si="81"/>
        <v>0.56999999999999851</v>
      </c>
      <c r="K242" s="416">
        <f t="shared" si="94"/>
        <v>38519.279999999999</v>
      </c>
      <c r="L242" s="180"/>
      <c r="M242" s="180"/>
      <c r="N242" s="182">
        <f t="shared" si="82"/>
        <v>38519.279999999999</v>
      </c>
      <c r="O242" s="29">
        <f t="shared" si="83"/>
        <v>0</v>
      </c>
      <c r="P242" s="181">
        <f t="shared" si="95"/>
        <v>0</v>
      </c>
      <c r="Q242" s="182">
        <f t="shared" si="84"/>
        <v>0</v>
      </c>
      <c r="R242" s="182">
        <f t="shared" si="85"/>
        <v>0</v>
      </c>
      <c r="S242" s="182">
        <f t="shared" si="86"/>
        <v>0</v>
      </c>
      <c r="T242" s="182">
        <f t="shared" si="87"/>
        <v>0</v>
      </c>
      <c r="U242" s="182">
        <f t="shared" si="88"/>
        <v>0</v>
      </c>
      <c r="V242" s="14">
        <f t="shared" si="89"/>
        <v>38519.279999999999</v>
      </c>
      <c r="W242" s="14">
        <f t="shared" si="90"/>
        <v>-38519.279999999999</v>
      </c>
      <c r="Y242" s="14">
        <f t="shared" si="96"/>
        <v>2093.04</v>
      </c>
      <c r="Z242" s="14">
        <f t="shared" si="97"/>
        <v>-2093.04</v>
      </c>
      <c r="AA242" s="11">
        <f t="shared" si="91"/>
        <v>0.33</v>
      </c>
      <c r="AB242" s="9">
        <f t="shared" si="98"/>
        <v>1211.76</v>
      </c>
      <c r="AD242" s="13">
        <f>IF(AH242&gt;AH241,AD241,IF(AD241&lt;MiscData!$F$1,EOMONTH(AD241,1),EOMONTH(AD241,-11)))</f>
        <v>42460</v>
      </c>
      <c r="AE242" s="7" t="str">
        <f t="shared" si="92"/>
        <v>20140101KUUM_471</v>
      </c>
      <c r="AF242" s="12" t="str">
        <f t="shared" si="93"/>
        <v>20140101RLS</v>
      </c>
      <c r="AG242" s="31"/>
      <c r="AH242">
        <f>IF(AH241=MiscData!$AB$91,1,AH241+1)</f>
        <v>65</v>
      </c>
      <c r="AI242">
        <f>IF(AD242&lt;=MiscData!$B$23,MiscData!$C$23,IF(AD242&lt;=MiscData!$B$24,MiscData!$C$24,MiscData!$C$25))</f>
        <v>20140101</v>
      </c>
      <c r="AK242" s="190" t="str">
        <f>VLOOKUP(AM242,MiscData!$AB$4:$ACB$113,2,FALSE)</f>
        <v>KUUM_471</v>
      </c>
      <c r="AL242" s="190" t="str">
        <f>VLOOKUP(AM242,MiscData!$AB$4:$AE$115,4,FALSE)</f>
        <v>RLS</v>
      </c>
      <c r="AM242">
        <f>IF(AM241=MiscData!$AB$91,1,AM241+1)</f>
        <v>65</v>
      </c>
    </row>
    <row r="243" spans="1:39">
      <c r="A243" s="7">
        <f t="shared" si="99"/>
        <v>242</v>
      </c>
      <c r="B243" s="13" t="str">
        <f t="shared" si="75"/>
        <v>Mar 2016</v>
      </c>
      <c r="C243" s="23" t="str">
        <f t="shared" si="76"/>
        <v>LS</v>
      </c>
      <c r="D243" s="23" t="str">
        <f t="shared" si="77"/>
        <v>KUUM_472</v>
      </c>
      <c r="E243" s="170">
        <f t="shared" si="78"/>
        <v>8733</v>
      </c>
      <c r="F243" s="185"/>
      <c r="G243" s="170">
        <f t="shared" si="79"/>
        <v>0</v>
      </c>
      <c r="H243" s="170">
        <v>0</v>
      </c>
      <c r="I243" s="11">
        <f t="shared" si="80"/>
        <v>11.600000000000001</v>
      </c>
      <c r="J243" s="11">
        <f t="shared" si="81"/>
        <v>0.80000000000000071</v>
      </c>
      <c r="K243" s="416">
        <f t="shared" si="94"/>
        <v>101302.8</v>
      </c>
      <c r="L243" s="180"/>
      <c r="M243" s="180"/>
      <c r="N243" s="182">
        <f t="shared" si="82"/>
        <v>101302.8</v>
      </c>
      <c r="O243" s="29">
        <f t="shared" si="83"/>
        <v>0</v>
      </c>
      <c r="P243" s="181">
        <f t="shared" si="95"/>
        <v>0</v>
      </c>
      <c r="Q243" s="182">
        <f t="shared" si="84"/>
        <v>0</v>
      </c>
      <c r="R243" s="182">
        <f t="shared" si="85"/>
        <v>0</v>
      </c>
      <c r="S243" s="182">
        <f t="shared" si="86"/>
        <v>0</v>
      </c>
      <c r="T243" s="182">
        <f t="shared" si="87"/>
        <v>0</v>
      </c>
      <c r="U243" s="182">
        <f t="shared" si="88"/>
        <v>0</v>
      </c>
      <c r="V243" s="14">
        <f t="shared" si="89"/>
        <v>101302.8</v>
      </c>
      <c r="W243" s="14">
        <f t="shared" si="90"/>
        <v>-101302.8</v>
      </c>
      <c r="Y243" s="14">
        <f t="shared" si="96"/>
        <v>6986.4</v>
      </c>
      <c r="Z243" s="14">
        <f t="shared" si="97"/>
        <v>-6986.4</v>
      </c>
      <c r="AA243" s="11">
        <f t="shared" si="91"/>
        <v>0.43</v>
      </c>
      <c r="AB243" s="9">
        <f t="shared" si="98"/>
        <v>3755.19</v>
      </c>
      <c r="AD243" s="13">
        <f>IF(AH243&gt;AH242,AD242,IF(AD242&lt;MiscData!$F$1,EOMONTH(AD242,1),EOMONTH(AD242,-11)))</f>
        <v>42460</v>
      </c>
      <c r="AE243" s="7" t="str">
        <f t="shared" si="92"/>
        <v>20140101KUUM_472</v>
      </c>
      <c r="AF243" s="12" t="str">
        <f t="shared" si="93"/>
        <v>20140101LS</v>
      </c>
      <c r="AG243" s="31"/>
      <c r="AH243">
        <f>IF(AH242=MiscData!$AB$91,1,AH242+1)</f>
        <v>66</v>
      </c>
      <c r="AI243">
        <f>IF(AD243&lt;=MiscData!$B$23,MiscData!$C$23,IF(AD243&lt;=MiscData!$B$24,MiscData!$C$24,MiscData!$C$25))</f>
        <v>20140101</v>
      </c>
      <c r="AK243" s="190" t="str">
        <f>VLOOKUP(AM243,MiscData!$AB$4:$ACB$113,2,FALSE)</f>
        <v>KUUM_472</v>
      </c>
      <c r="AL243" s="190" t="str">
        <f>VLOOKUP(AM243,MiscData!$AB$4:$AE$115,4,FALSE)</f>
        <v>LS</v>
      </c>
      <c r="AM243">
        <f>IF(AM242=MiscData!$AB$91,1,AM242+1)</f>
        <v>66</v>
      </c>
    </row>
    <row r="244" spans="1:39">
      <c r="A244" s="7">
        <f t="shared" si="99"/>
        <v>243</v>
      </c>
      <c r="B244" s="13" t="str">
        <f t="shared" si="75"/>
        <v>Mar 2016</v>
      </c>
      <c r="C244" s="23" t="str">
        <f t="shared" si="76"/>
        <v>LS</v>
      </c>
      <c r="D244" s="23" t="str">
        <f t="shared" si="77"/>
        <v>KUUM_473</v>
      </c>
      <c r="E244" s="170">
        <f t="shared" si="78"/>
        <v>3397</v>
      </c>
      <c r="F244" s="185"/>
      <c r="G244" s="170">
        <f t="shared" si="79"/>
        <v>0</v>
      </c>
      <c r="H244" s="170">
        <v>0</v>
      </c>
      <c r="I244" s="11">
        <f t="shared" si="80"/>
        <v>12.3</v>
      </c>
      <c r="J244" s="11">
        <f t="shared" si="81"/>
        <v>1.129999999999999</v>
      </c>
      <c r="K244" s="416">
        <f t="shared" si="94"/>
        <v>41783.1</v>
      </c>
      <c r="L244" s="180"/>
      <c r="M244" s="180"/>
      <c r="N244" s="182">
        <f t="shared" si="82"/>
        <v>41783.1</v>
      </c>
      <c r="O244" s="29">
        <f t="shared" si="83"/>
        <v>0</v>
      </c>
      <c r="P244" s="181">
        <f t="shared" si="95"/>
        <v>0</v>
      </c>
      <c r="Q244" s="182">
        <f t="shared" si="84"/>
        <v>0</v>
      </c>
      <c r="R244" s="182">
        <f t="shared" si="85"/>
        <v>0</v>
      </c>
      <c r="S244" s="182">
        <f t="shared" si="86"/>
        <v>0</v>
      </c>
      <c r="T244" s="182">
        <f t="shared" si="87"/>
        <v>0</v>
      </c>
      <c r="U244" s="182">
        <f t="shared" si="88"/>
        <v>0</v>
      </c>
      <c r="V244" s="14">
        <f t="shared" si="89"/>
        <v>41783.1</v>
      </c>
      <c r="W244" s="14">
        <f t="shared" si="90"/>
        <v>-41783.1</v>
      </c>
      <c r="Y244" s="14">
        <f t="shared" si="96"/>
        <v>3838.61</v>
      </c>
      <c r="Z244" s="14">
        <f t="shared" si="97"/>
        <v>-3838.61</v>
      </c>
      <c r="AA244" s="11">
        <f t="shared" si="91"/>
        <v>0.34</v>
      </c>
      <c r="AB244" s="9">
        <f t="shared" si="98"/>
        <v>1154.98</v>
      </c>
      <c r="AD244" s="13">
        <f>IF(AH244&gt;AH243,AD243,IF(AD243&lt;MiscData!$F$1,EOMONTH(AD243,1),EOMONTH(AD243,-11)))</f>
        <v>42460</v>
      </c>
      <c r="AE244" s="7" t="str">
        <f t="shared" si="92"/>
        <v>20140101KUUM_473</v>
      </c>
      <c r="AF244" s="12" t="str">
        <f t="shared" si="93"/>
        <v>20140101LS</v>
      </c>
      <c r="AG244" s="31"/>
      <c r="AH244">
        <f>IF(AH243=MiscData!$AB$91,1,AH243+1)</f>
        <v>67</v>
      </c>
      <c r="AI244">
        <f>IF(AD244&lt;=MiscData!$B$23,MiscData!$C$23,IF(AD244&lt;=MiscData!$B$24,MiscData!$C$24,MiscData!$C$25))</f>
        <v>20140101</v>
      </c>
      <c r="AK244" s="190" t="str">
        <f>VLOOKUP(AM244,MiscData!$AB$4:$ACB$113,2,FALSE)</f>
        <v>KUUM_473</v>
      </c>
      <c r="AL244" s="190" t="str">
        <f>VLOOKUP(AM244,MiscData!$AB$4:$AE$115,4,FALSE)</f>
        <v>LS</v>
      </c>
      <c r="AM244">
        <f>IF(AM243=MiscData!$AB$91,1,AM243+1)</f>
        <v>67</v>
      </c>
    </row>
    <row r="245" spans="1:39">
      <c r="A245" s="7">
        <f t="shared" si="99"/>
        <v>244</v>
      </c>
      <c r="B245" s="13" t="str">
        <f t="shared" si="75"/>
        <v>Mar 2016</v>
      </c>
      <c r="C245" s="23" t="str">
        <f t="shared" si="76"/>
        <v>LS</v>
      </c>
      <c r="D245" s="23" t="str">
        <f t="shared" si="77"/>
        <v>KUUM_474</v>
      </c>
      <c r="E245" s="170">
        <f t="shared" si="78"/>
        <v>5157</v>
      </c>
      <c r="F245" s="185"/>
      <c r="G245" s="170">
        <f t="shared" si="79"/>
        <v>0</v>
      </c>
      <c r="H245" s="170">
        <v>0</v>
      </c>
      <c r="I245" s="11">
        <f t="shared" si="80"/>
        <v>17.41</v>
      </c>
      <c r="J245" s="11">
        <f t="shared" si="81"/>
        <v>2.33</v>
      </c>
      <c r="K245" s="416">
        <f t="shared" si="94"/>
        <v>89783.37</v>
      </c>
      <c r="L245" s="180"/>
      <c r="M245" s="180"/>
      <c r="N245" s="182">
        <f t="shared" si="82"/>
        <v>89783.37</v>
      </c>
      <c r="O245" s="29">
        <f t="shared" si="83"/>
        <v>0</v>
      </c>
      <c r="P245" s="181">
        <f t="shared" si="95"/>
        <v>0</v>
      </c>
      <c r="Q245" s="182">
        <f t="shared" si="84"/>
        <v>0</v>
      </c>
      <c r="R245" s="182">
        <f t="shared" si="85"/>
        <v>0</v>
      </c>
      <c r="S245" s="182">
        <f t="shared" si="86"/>
        <v>0</v>
      </c>
      <c r="T245" s="182">
        <f t="shared" si="87"/>
        <v>0</v>
      </c>
      <c r="U245" s="182">
        <f t="shared" si="88"/>
        <v>0</v>
      </c>
      <c r="V245" s="14">
        <f t="shared" si="89"/>
        <v>89783.37</v>
      </c>
      <c r="W245" s="14">
        <f t="shared" si="90"/>
        <v>-89783.37</v>
      </c>
      <c r="Y245" s="14">
        <f t="shared" si="96"/>
        <v>12015.81</v>
      </c>
      <c r="Z245" s="14">
        <f t="shared" si="97"/>
        <v>-12015.81</v>
      </c>
      <c r="AA245" s="11">
        <f t="shared" si="91"/>
        <v>0.57999999999999996</v>
      </c>
      <c r="AB245" s="9">
        <f t="shared" si="98"/>
        <v>2991.06</v>
      </c>
      <c r="AD245" s="13">
        <f>IF(AH245&gt;AH244,AD244,IF(AD244&lt;MiscData!$F$1,EOMONTH(AD244,1),EOMONTH(AD244,-11)))</f>
        <v>42460</v>
      </c>
      <c r="AE245" s="7" t="str">
        <f t="shared" si="92"/>
        <v>20140101KUUM_474</v>
      </c>
      <c r="AF245" s="12" t="str">
        <f t="shared" si="93"/>
        <v>20140101LS</v>
      </c>
      <c r="AG245" s="31"/>
      <c r="AH245">
        <f>IF(AH244=MiscData!$AB$91,1,AH244+1)</f>
        <v>68</v>
      </c>
      <c r="AI245">
        <f>IF(AD245&lt;=MiscData!$B$23,MiscData!$C$23,IF(AD245&lt;=MiscData!$B$24,MiscData!$C$24,MiscData!$C$25))</f>
        <v>20140101</v>
      </c>
      <c r="AK245" s="190" t="str">
        <f>VLOOKUP(AM245,MiscData!$AB$4:$ACB$113,2,FALSE)</f>
        <v>KUUM_474</v>
      </c>
      <c r="AL245" s="190" t="str">
        <f>VLOOKUP(AM245,MiscData!$AB$4:$AE$115,4,FALSE)</f>
        <v>LS</v>
      </c>
      <c r="AM245">
        <f>IF(AM244=MiscData!$AB$91,1,AM244+1)</f>
        <v>68</v>
      </c>
    </row>
    <row r="246" spans="1:39">
      <c r="A246" s="7">
        <f t="shared" si="99"/>
        <v>245</v>
      </c>
      <c r="B246" s="13" t="str">
        <f t="shared" si="75"/>
        <v>Mar 2016</v>
      </c>
      <c r="C246" s="23" t="str">
        <f t="shared" si="76"/>
        <v>LS</v>
      </c>
      <c r="D246" s="23" t="str">
        <f t="shared" si="77"/>
        <v>KUUM_475</v>
      </c>
      <c r="E246" s="170">
        <f t="shared" si="78"/>
        <v>514</v>
      </c>
      <c r="F246" s="185"/>
      <c r="G246" s="170">
        <f t="shared" si="79"/>
        <v>0</v>
      </c>
      <c r="H246" s="170">
        <v>0</v>
      </c>
      <c r="I246" s="11">
        <f t="shared" si="80"/>
        <v>24.46</v>
      </c>
      <c r="J246" s="11">
        <f t="shared" si="81"/>
        <v>4.5300000000000011</v>
      </c>
      <c r="K246" s="416">
        <f t="shared" si="94"/>
        <v>12572.44</v>
      </c>
      <c r="L246" s="180"/>
      <c r="M246" s="180"/>
      <c r="N246" s="182">
        <f t="shared" si="82"/>
        <v>12572.44</v>
      </c>
      <c r="O246" s="29">
        <f t="shared" si="83"/>
        <v>0</v>
      </c>
      <c r="P246" s="181">
        <f t="shared" si="95"/>
        <v>0</v>
      </c>
      <c r="Q246" s="182">
        <f t="shared" si="84"/>
        <v>0</v>
      </c>
      <c r="R246" s="182">
        <f t="shared" si="85"/>
        <v>0</v>
      </c>
      <c r="S246" s="182">
        <f t="shared" si="86"/>
        <v>0</v>
      </c>
      <c r="T246" s="182">
        <f t="shared" si="87"/>
        <v>0</v>
      </c>
      <c r="U246" s="182">
        <f t="shared" si="88"/>
        <v>0</v>
      </c>
      <c r="V246" s="14">
        <f t="shared" si="89"/>
        <v>12572.44</v>
      </c>
      <c r="W246" s="14">
        <f t="shared" si="90"/>
        <v>-12572.44</v>
      </c>
      <c r="Y246" s="14">
        <f t="shared" si="96"/>
        <v>2328.42</v>
      </c>
      <c r="Z246" s="14">
        <f t="shared" si="97"/>
        <v>-2328.42</v>
      </c>
      <c r="AA246" s="11">
        <f t="shared" si="91"/>
        <v>0.79</v>
      </c>
      <c r="AB246" s="9">
        <f t="shared" si="98"/>
        <v>406.06</v>
      </c>
      <c r="AD246" s="13">
        <f>IF(AH246&gt;AH245,AD245,IF(AD245&lt;MiscData!$F$1,EOMONTH(AD245,1),EOMONTH(AD245,-11)))</f>
        <v>42460</v>
      </c>
      <c r="AE246" s="7" t="str">
        <f t="shared" si="92"/>
        <v>20140101KUUM_475</v>
      </c>
      <c r="AF246" s="12" t="str">
        <f t="shared" si="93"/>
        <v>20140101LS</v>
      </c>
      <c r="AG246" s="31"/>
      <c r="AH246">
        <f>IF(AH245=MiscData!$AB$91,1,AH245+1)</f>
        <v>69</v>
      </c>
      <c r="AI246">
        <f>IF(AD246&lt;=MiscData!$B$23,MiscData!$C$23,IF(AD246&lt;=MiscData!$B$24,MiscData!$C$24,MiscData!$C$25))</f>
        <v>20140101</v>
      </c>
      <c r="AK246" s="190" t="str">
        <f>VLOOKUP(AM246,MiscData!$AB$4:$ACB$113,2,FALSE)</f>
        <v>KUUM_475</v>
      </c>
      <c r="AL246" s="190" t="str">
        <f>VLOOKUP(AM246,MiscData!$AB$4:$AE$115,4,FALSE)</f>
        <v>LS</v>
      </c>
      <c r="AM246">
        <f>IF(AM245=MiscData!$AB$91,1,AM245+1)</f>
        <v>69</v>
      </c>
    </row>
    <row r="247" spans="1:39">
      <c r="A247" s="7">
        <f t="shared" si="99"/>
        <v>246</v>
      </c>
      <c r="B247" s="13" t="str">
        <f t="shared" si="75"/>
        <v>Mar 2016</v>
      </c>
      <c r="C247" s="23" t="str">
        <f t="shared" si="76"/>
        <v>LS</v>
      </c>
      <c r="D247" s="23" t="str">
        <f t="shared" si="77"/>
        <v>KUUM_476</v>
      </c>
      <c r="E247" s="170">
        <f t="shared" si="78"/>
        <v>4568</v>
      </c>
      <c r="F247" s="185"/>
      <c r="G247" s="170">
        <f t="shared" si="79"/>
        <v>0</v>
      </c>
      <c r="H247" s="170">
        <v>0</v>
      </c>
      <c r="I247" s="11">
        <f t="shared" si="80"/>
        <v>16.79</v>
      </c>
      <c r="J247" s="11">
        <f t="shared" si="81"/>
        <v>0.79999999999999893</v>
      </c>
      <c r="K247" s="416">
        <f t="shared" si="94"/>
        <v>76696.72</v>
      </c>
      <c r="L247" s="180"/>
      <c r="M247" s="180"/>
      <c r="N247" s="182">
        <f t="shared" si="82"/>
        <v>76696.72</v>
      </c>
      <c r="O247" s="29">
        <f t="shared" si="83"/>
        <v>0</v>
      </c>
      <c r="P247" s="181">
        <f t="shared" si="95"/>
        <v>0</v>
      </c>
      <c r="Q247" s="182">
        <f t="shared" si="84"/>
        <v>0</v>
      </c>
      <c r="R247" s="182">
        <f t="shared" si="85"/>
        <v>0</v>
      </c>
      <c r="S247" s="182">
        <f t="shared" si="86"/>
        <v>0</v>
      </c>
      <c r="T247" s="182">
        <f t="shared" si="87"/>
        <v>0</v>
      </c>
      <c r="U247" s="182">
        <f t="shared" si="88"/>
        <v>0</v>
      </c>
      <c r="V247" s="14">
        <f t="shared" si="89"/>
        <v>76696.72</v>
      </c>
      <c r="W247" s="14">
        <f t="shared" si="90"/>
        <v>-76696.72</v>
      </c>
      <c r="Y247" s="14">
        <f t="shared" si="96"/>
        <v>3654.4</v>
      </c>
      <c r="Z247" s="14">
        <f t="shared" si="97"/>
        <v>-3654.4</v>
      </c>
      <c r="AA247" s="11">
        <f t="shared" si="91"/>
        <v>0.43</v>
      </c>
      <c r="AB247" s="9">
        <f t="shared" si="98"/>
        <v>1964.24</v>
      </c>
      <c r="AD247" s="13">
        <f>IF(AH247&gt;AH246,AD246,IF(AD246&lt;MiscData!$F$1,EOMONTH(AD246,1),EOMONTH(AD246,-11)))</f>
        <v>42460</v>
      </c>
      <c r="AE247" s="7" t="str">
        <f t="shared" si="92"/>
        <v>20140101KUUM_476</v>
      </c>
      <c r="AF247" s="12" t="str">
        <f t="shared" si="93"/>
        <v>20140101LS</v>
      </c>
      <c r="AG247" s="31"/>
      <c r="AH247">
        <f>IF(AH246=MiscData!$AB$91,1,AH246+1)</f>
        <v>70</v>
      </c>
      <c r="AI247">
        <f>IF(AD247&lt;=MiscData!$B$23,MiscData!$C$23,IF(AD247&lt;=MiscData!$B$24,MiscData!$C$24,MiscData!$C$25))</f>
        <v>20140101</v>
      </c>
      <c r="AK247" s="190" t="str">
        <f>VLOOKUP(AM247,MiscData!$AB$4:$ACB$113,2,FALSE)</f>
        <v>KUUM_476</v>
      </c>
      <c r="AL247" s="190" t="str">
        <f>VLOOKUP(AM247,MiscData!$AB$4:$AE$115,4,FALSE)</f>
        <v>LS</v>
      </c>
      <c r="AM247">
        <f>IF(AM246=MiscData!$AB$91,1,AM246+1)</f>
        <v>70</v>
      </c>
    </row>
    <row r="248" spans="1:39">
      <c r="A248" s="7">
        <f t="shared" si="99"/>
        <v>247</v>
      </c>
      <c r="B248" s="13" t="str">
        <f t="shared" si="75"/>
        <v>Mar 2016</v>
      </c>
      <c r="C248" s="23" t="str">
        <f t="shared" si="76"/>
        <v>LS</v>
      </c>
      <c r="D248" s="23" t="str">
        <f t="shared" si="77"/>
        <v>KUUM_477</v>
      </c>
      <c r="E248" s="170">
        <f t="shared" si="78"/>
        <v>1063</v>
      </c>
      <c r="F248" s="185"/>
      <c r="G248" s="170">
        <f t="shared" si="79"/>
        <v>0</v>
      </c>
      <c r="H248" s="170">
        <v>0</v>
      </c>
      <c r="I248" s="11">
        <f t="shared" si="80"/>
        <v>20.97</v>
      </c>
      <c r="J248" s="11">
        <f t="shared" si="81"/>
        <v>1.129999999999999</v>
      </c>
      <c r="K248" s="416">
        <f t="shared" si="94"/>
        <v>22291.11</v>
      </c>
      <c r="L248" s="180"/>
      <c r="M248" s="180"/>
      <c r="N248" s="182">
        <f t="shared" si="82"/>
        <v>22291.11</v>
      </c>
      <c r="O248" s="29">
        <f t="shared" si="83"/>
        <v>0</v>
      </c>
      <c r="P248" s="181">
        <f t="shared" si="95"/>
        <v>0</v>
      </c>
      <c r="Q248" s="182">
        <f t="shared" si="84"/>
        <v>0</v>
      </c>
      <c r="R248" s="182">
        <f t="shared" si="85"/>
        <v>0</v>
      </c>
      <c r="S248" s="182">
        <f t="shared" si="86"/>
        <v>0</v>
      </c>
      <c r="T248" s="182">
        <f t="shared" si="87"/>
        <v>0</v>
      </c>
      <c r="U248" s="182">
        <f t="shared" si="88"/>
        <v>0</v>
      </c>
      <c r="V248" s="14">
        <f t="shared" si="89"/>
        <v>22291.11</v>
      </c>
      <c r="W248" s="14">
        <f t="shared" si="90"/>
        <v>-22291.11</v>
      </c>
      <c r="Y248" s="14">
        <f t="shared" si="96"/>
        <v>1201.19</v>
      </c>
      <c r="Z248" s="14">
        <f t="shared" si="97"/>
        <v>-1201.19</v>
      </c>
      <c r="AA248" s="11">
        <f t="shared" si="91"/>
        <v>0.34</v>
      </c>
      <c r="AB248" s="9">
        <f t="shared" si="98"/>
        <v>361.42</v>
      </c>
      <c r="AD248" s="13">
        <f>IF(AH248&gt;AH247,AD247,IF(AD247&lt;MiscData!$F$1,EOMONTH(AD247,1),EOMONTH(AD247,-11)))</f>
        <v>42460</v>
      </c>
      <c r="AE248" s="7" t="str">
        <f t="shared" si="92"/>
        <v>20140101KUUM_477</v>
      </c>
      <c r="AF248" s="12" t="str">
        <f t="shared" si="93"/>
        <v>20140101LS</v>
      </c>
      <c r="AG248" s="31"/>
      <c r="AH248">
        <f>IF(AH247=MiscData!$AB$91,1,AH247+1)</f>
        <v>71</v>
      </c>
      <c r="AI248">
        <f>IF(AD248&lt;=MiscData!$B$23,MiscData!$C$23,IF(AD248&lt;=MiscData!$B$24,MiscData!$C$24,MiscData!$C$25))</f>
        <v>20140101</v>
      </c>
      <c r="AK248" s="190" t="str">
        <f>VLOOKUP(AM248,MiscData!$AB$4:$ACB$113,2,FALSE)</f>
        <v>KUUM_477</v>
      </c>
      <c r="AL248" s="190" t="str">
        <f>VLOOKUP(AM248,MiscData!$AB$4:$AE$115,4,FALSE)</f>
        <v>LS</v>
      </c>
      <c r="AM248">
        <f>IF(AM247=MiscData!$AB$91,1,AM247+1)</f>
        <v>71</v>
      </c>
    </row>
    <row r="249" spans="1:39">
      <c r="A249" s="7">
        <f t="shared" si="99"/>
        <v>248</v>
      </c>
      <c r="B249" s="13" t="str">
        <f t="shared" si="75"/>
        <v>Mar 2016</v>
      </c>
      <c r="C249" s="23" t="str">
        <f t="shared" si="76"/>
        <v>LS</v>
      </c>
      <c r="D249" s="23" t="str">
        <f t="shared" si="77"/>
        <v>KUUM_478</v>
      </c>
      <c r="E249" s="170">
        <f t="shared" si="78"/>
        <v>1419</v>
      </c>
      <c r="F249" s="185"/>
      <c r="G249" s="170">
        <f t="shared" si="79"/>
        <v>0</v>
      </c>
      <c r="H249" s="170">
        <v>0</v>
      </c>
      <c r="I249" s="11">
        <f t="shared" si="80"/>
        <v>26.86</v>
      </c>
      <c r="J249" s="11">
        <f t="shared" si="81"/>
        <v>2.3299999999999983</v>
      </c>
      <c r="K249" s="416">
        <f t="shared" si="94"/>
        <v>38114.339999999997</v>
      </c>
      <c r="L249" s="180"/>
      <c r="M249" s="180"/>
      <c r="N249" s="182">
        <f t="shared" si="82"/>
        <v>38114.339999999997</v>
      </c>
      <c r="O249" s="29">
        <f t="shared" si="83"/>
        <v>0</v>
      </c>
      <c r="P249" s="181">
        <f t="shared" si="95"/>
        <v>0</v>
      </c>
      <c r="Q249" s="182">
        <f t="shared" si="84"/>
        <v>0</v>
      </c>
      <c r="R249" s="182">
        <f t="shared" si="85"/>
        <v>0</v>
      </c>
      <c r="S249" s="182">
        <f t="shared" si="86"/>
        <v>0</v>
      </c>
      <c r="T249" s="182">
        <f t="shared" si="87"/>
        <v>0</v>
      </c>
      <c r="U249" s="182">
        <f t="shared" si="88"/>
        <v>0</v>
      </c>
      <c r="V249" s="14">
        <f t="shared" si="89"/>
        <v>38114.339999999997</v>
      </c>
      <c r="W249" s="14">
        <f t="shared" si="90"/>
        <v>-38114.339999999997</v>
      </c>
      <c r="Y249" s="14">
        <f t="shared" si="96"/>
        <v>3306.27</v>
      </c>
      <c r="Z249" s="14">
        <f t="shared" si="97"/>
        <v>-3306.27</v>
      </c>
      <c r="AA249" s="11">
        <f t="shared" si="91"/>
        <v>0.57999999999999996</v>
      </c>
      <c r="AB249" s="9">
        <f t="shared" si="98"/>
        <v>823.02</v>
      </c>
      <c r="AD249" s="13">
        <f>IF(AH249&gt;AH248,AD248,IF(AD248&lt;MiscData!$F$1,EOMONTH(AD248,1),EOMONTH(AD248,-11)))</f>
        <v>42460</v>
      </c>
      <c r="AE249" s="7" t="str">
        <f t="shared" si="92"/>
        <v>20140101KUUM_478</v>
      </c>
      <c r="AF249" s="12" t="str">
        <f t="shared" si="93"/>
        <v>20140101LS</v>
      </c>
      <c r="AG249" s="31"/>
      <c r="AH249">
        <f>IF(AH248=MiscData!$AB$91,1,AH248+1)</f>
        <v>72</v>
      </c>
      <c r="AI249">
        <f>IF(AD249&lt;=MiscData!$B$23,MiscData!$C$23,IF(AD249&lt;=MiscData!$B$24,MiscData!$C$24,MiscData!$C$25))</f>
        <v>20140101</v>
      </c>
      <c r="AK249" s="190" t="str">
        <f>VLOOKUP(AM249,MiscData!$AB$4:$ACB$113,2,FALSE)</f>
        <v>KUUM_478</v>
      </c>
      <c r="AL249" s="190" t="str">
        <f>VLOOKUP(AM249,MiscData!$AB$4:$AE$115,4,FALSE)</f>
        <v>LS</v>
      </c>
      <c r="AM249">
        <f>IF(AM248=MiscData!$AB$91,1,AM248+1)</f>
        <v>72</v>
      </c>
    </row>
    <row r="250" spans="1:39">
      <c r="A250" s="7">
        <f t="shared" si="99"/>
        <v>249</v>
      </c>
      <c r="B250" s="13" t="str">
        <f t="shared" si="75"/>
        <v>Mar 2016</v>
      </c>
      <c r="C250" s="23" t="str">
        <f t="shared" si="76"/>
        <v>LS</v>
      </c>
      <c r="D250" s="23" t="str">
        <f t="shared" si="77"/>
        <v>KUUM_479</v>
      </c>
      <c r="E250" s="170">
        <f t="shared" si="78"/>
        <v>961</v>
      </c>
      <c r="F250" s="185"/>
      <c r="G250" s="170">
        <f t="shared" si="79"/>
        <v>0</v>
      </c>
      <c r="H250" s="170">
        <v>0</v>
      </c>
      <c r="I250" s="11">
        <f t="shared" si="80"/>
        <v>33.119999999999997</v>
      </c>
      <c r="J250" s="11">
        <f t="shared" si="81"/>
        <v>4.529999999999994</v>
      </c>
      <c r="K250" s="416">
        <f t="shared" si="94"/>
        <v>31828.32</v>
      </c>
      <c r="L250" s="180"/>
      <c r="M250" s="180"/>
      <c r="N250" s="182">
        <f t="shared" si="82"/>
        <v>31828.32</v>
      </c>
      <c r="O250" s="29">
        <f t="shared" si="83"/>
        <v>0</v>
      </c>
      <c r="P250" s="181">
        <f t="shared" si="95"/>
        <v>0</v>
      </c>
      <c r="Q250" s="182">
        <f t="shared" si="84"/>
        <v>0</v>
      </c>
      <c r="R250" s="182">
        <f t="shared" si="85"/>
        <v>0</v>
      </c>
      <c r="S250" s="182">
        <f t="shared" si="86"/>
        <v>0</v>
      </c>
      <c r="T250" s="182">
        <f t="shared" si="87"/>
        <v>0</v>
      </c>
      <c r="U250" s="182">
        <f t="shared" si="88"/>
        <v>0</v>
      </c>
      <c r="V250" s="14">
        <f t="shared" si="89"/>
        <v>31828.32</v>
      </c>
      <c r="W250" s="14">
        <f t="shared" si="90"/>
        <v>-31828.32</v>
      </c>
      <c r="Y250" s="14">
        <f t="shared" si="96"/>
        <v>4353.33</v>
      </c>
      <c r="Z250" s="14">
        <f t="shared" si="97"/>
        <v>-4353.33</v>
      </c>
      <c r="AA250" s="11">
        <f t="shared" si="91"/>
        <v>0.79</v>
      </c>
      <c r="AB250" s="9">
        <f t="shared" si="98"/>
        <v>759.19</v>
      </c>
      <c r="AD250" s="13">
        <f>IF(AH250&gt;AH249,AD249,IF(AD249&lt;MiscData!$F$1,EOMONTH(AD249,1),EOMONTH(AD249,-11)))</f>
        <v>42460</v>
      </c>
      <c r="AE250" s="7" t="str">
        <f t="shared" si="92"/>
        <v>20140101KUUM_479</v>
      </c>
      <c r="AF250" s="12" t="str">
        <f t="shared" si="93"/>
        <v>20140101LS</v>
      </c>
      <c r="AG250" s="31"/>
      <c r="AH250">
        <f>IF(AH249=MiscData!$AB$91,1,AH249+1)</f>
        <v>73</v>
      </c>
      <c r="AI250">
        <f>IF(AD250&lt;=MiscData!$B$23,MiscData!$C$23,IF(AD250&lt;=MiscData!$B$24,MiscData!$C$24,MiscData!$C$25))</f>
        <v>20140101</v>
      </c>
      <c r="AK250" s="190" t="str">
        <f>VLOOKUP(AM250,MiscData!$AB$4:$ACB$113,2,FALSE)</f>
        <v>KUUM_479</v>
      </c>
      <c r="AL250" s="190" t="str">
        <f>VLOOKUP(AM250,MiscData!$AB$4:$AE$115,4,FALSE)</f>
        <v>LS</v>
      </c>
      <c r="AM250">
        <f>IF(AM249=MiscData!$AB$91,1,AM249+1)</f>
        <v>73</v>
      </c>
    </row>
    <row r="251" spans="1:39">
      <c r="A251" s="7">
        <f t="shared" si="99"/>
        <v>250</v>
      </c>
      <c r="B251" s="13" t="str">
        <f t="shared" si="75"/>
        <v>Mar 2016</v>
      </c>
      <c r="C251" s="23" t="str">
        <f t="shared" si="76"/>
        <v>LS</v>
      </c>
      <c r="D251" s="23" t="str">
        <f t="shared" si="77"/>
        <v>KUUM_486</v>
      </c>
      <c r="E251" s="170">
        <f t="shared" si="78"/>
        <v>0</v>
      </c>
      <c r="F251" s="185"/>
      <c r="G251" s="170">
        <f t="shared" si="79"/>
        <v>0</v>
      </c>
      <c r="H251" s="170">
        <v>0</v>
      </c>
      <c r="I251" s="11">
        <f t="shared" si="80"/>
        <v>0</v>
      </c>
      <c r="J251" s="11">
        <f t="shared" si="81"/>
        <v>0</v>
      </c>
      <c r="K251" s="416">
        <f t="shared" si="94"/>
        <v>0</v>
      </c>
      <c r="L251" s="180"/>
      <c r="M251" s="180"/>
      <c r="N251" s="182">
        <f t="shared" si="82"/>
        <v>0</v>
      </c>
      <c r="O251" s="29">
        <f t="shared" si="83"/>
        <v>0</v>
      </c>
      <c r="P251" s="181">
        <f t="shared" si="95"/>
        <v>1</v>
      </c>
      <c r="Q251" s="182">
        <f t="shared" si="84"/>
        <v>0</v>
      </c>
      <c r="R251" s="182">
        <f t="shared" si="85"/>
        <v>0</v>
      </c>
      <c r="S251" s="182">
        <f t="shared" si="86"/>
        <v>0</v>
      </c>
      <c r="T251" s="182">
        <f t="shared" si="87"/>
        <v>0</v>
      </c>
      <c r="U251" s="182">
        <f t="shared" si="88"/>
        <v>0</v>
      </c>
      <c r="V251" s="14">
        <f t="shared" si="89"/>
        <v>0</v>
      </c>
      <c r="W251" s="14">
        <f t="shared" si="90"/>
        <v>0</v>
      </c>
      <c r="Y251" s="14">
        <f t="shared" si="96"/>
        <v>0</v>
      </c>
      <c r="Z251" s="14">
        <f t="shared" si="97"/>
        <v>0</v>
      </c>
      <c r="AA251" s="11">
        <f t="shared" si="91"/>
        <v>0</v>
      </c>
      <c r="AB251" s="9">
        <f t="shared" si="98"/>
        <v>0</v>
      </c>
      <c r="AD251" s="13">
        <f>IF(AH251&gt;AH250,AD250,IF(AD250&lt;MiscData!$F$1,EOMONTH(AD250,1),EOMONTH(AD250,-11)))</f>
        <v>42460</v>
      </c>
      <c r="AE251" s="7" t="str">
        <f t="shared" si="92"/>
        <v>20140101KUUM_486</v>
      </c>
      <c r="AF251" s="12" t="str">
        <f t="shared" si="93"/>
        <v>20140101LS</v>
      </c>
      <c r="AG251" s="31"/>
      <c r="AH251">
        <f>IF(AH250=MiscData!$AB$91,1,AH250+1)</f>
        <v>74</v>
      </c>
      <c r="AI251">
        <f>IF(AD251&lt;=MiscData!$B$23,MiscData!$C$23,IF(AD251&lt;=MiscData!$B$24,MiscData!$C$24,MiscData!$C$25))</f>
        <v>20140101</v>
      </c>
      <c r="AK251" s="190" t="str">
        <f>VLOOKUP(AM251,MiscData!$AB$4:$ACB$113,2,FALSE)</f>
        <v>KUUM_486</v>
      </c>
      <c r="AL251" s="190" t="str">
        <f>VLOOKUP(AM251,MiscData!$AB$4:$AE$115,4,FALSE)</f>
        <v>LS</v>
      </c>
      <c r="AM251">
        <f>IF(AM250=MiscData!$AB$91,1,AM250+1)</f>
        <v>74</v>
      </c>
    </row>
    <row r="252" spans="1:39">
      <c r="A252" s="7">
        <f t="shared" si="99"/>
        <v>251</v>
      </c>
      <c r="B252" s="13" t="str">
        <f t="shared" si="75"/>
        <v>Mar 2016</v>
      </c>
      <c r="C252" s="23" t="str">
        <f t="shared" si="76"/>
        <v>LS</v>
      </c>
      <c r="D252" s="23" t="str">
        <f t="shared" si="77"/>
        <v>KUUM_487</v>
      </c>
      <c r="E252" s="170">
        <f t="shared" si="78"/>
        <v>11140</v>
      </c>
      <c r="F252" s="185"/>
      <c r="G252" s="170">
        <f t="shared" si="79"/>
        <v>0</v>
      </c>
      <c r="H252" s="170">
        <v>816</v>
      </c>
      <c r="I252" s="11">
        <f t="shared" si="80"/>
        <v>9</v>
      </c>
      <c r="J252" s="11">
        <f t="shared" si="81"/>
        <v>1.1299999999999999</v>
      </c>
      <c r="K252" s="416">
        <f t="shared" si="94"/>
        <v>100260</v>
      </c>
      <c r="L252" s="180"/>
      <c r="M252" s="180"/>
      <c r="N252" s="182">
        <f t="shared" si="82"/>
        <v>100260</v>
      </c>
      <c r="O252" s="29">
        <f t="shared" si="83"/>
        <v>0</v>
      </c>
      <c r="P252" s="181">
        <f t="shared" si="95"/>
        <v>0</v>
      </c>
      <c r="Q252" s="182">
        <f t="shared" si="84"/>
        <v>0</v>
      </c>
      <c r="R252" s="182">
        <f t="shared" si="85"/>
        <v>0</v>
      </c>
      <c r="S252" s="182">
        <f t="shared" si="86"/>
        <v>0</v>
      </c>
      <c r="T252" s="182">
        <f t="shared" si="87"/>
        <v>0</v>
      </c>
      <c r="U252" s="182">
        <f t="shared" si="88"/>
        <v>0</v>
      </c>
      <c r="V252" s="14">
        <f t="shared" si="89"/>
        <v>100260</v>
      </c>
      <c r="W252" s="14">
        <f t="shared" si="90"/>
        <v>-100260</v>
      </c>
      <c r="Y252" s="14">
        <f t="shared" si="96"/>
        <v>12588.2</v>
      </c>
      <c r="Z252" s="14">
        <f t="shared" si="97"/>
        <v>-12588.2</v>
      </c>
      <c r="AA252" s="11">
        <f t="shared" si="91"/>
        <v>0.34</v>
      </c>
      <c r="AB252" s="9">
        <f t="shared" si="98"/>
        <v>3787.6000000000004</v>
      </c>
      <c r="AD252" s="13">
        <f>IF(AH252&gt;AH251,AD251,IF(AD251&lt;MiscData!$F$1,EOMONTH(AD251,1),EOMONTH(AD251,-11)))</f>
        <v>42460</v>
      </c>
      <c r="AE252" s="7" t="str">
        <f t="shared" si="92"/>
        <v>20140101KUUM_487</v>
      </c>
      <c r="AF252" s="12" t="str">
        <f t="shared" si="93"/>
        <v>20140101LS</v>
      </c>
      <c r="AG252" s="31"/>
      <c r="AH252">
        <f>IF(AH251=MiscData!$AB$91,1,AH251+1)</f>
        <v>75</v>
      </c>
      <c r="AI252">
        <f>IF(AD252&lt;=MiscData!$B$23,MiscData!$C$23,IF(AD252&lt;=MiscData!$B$24,MiscData!$C$24,MiscData!$C$25))</f>
        <v>20140101</v>
      </c>
      <c r="AK252" s="190" t="str">
        <f>VLOOKUP(AM252,MiscData!$AB$4:$ACB$113,2,FALSE)</f>
        <v>KUUM_487</v>
      </c>
      <c r="AL252" s="190" t="str">
        <f>VLOOKUP(AM252,MiscData!$AB$4:$AE$115,4,FALSE)</f>
        <v>LS</v>
      </c>
      <c r="AM252">
        <f>IF(AM251=MiscData!$AB$91,1,AM251+1)</f>
        <v>75</v>
      </c>
    </row>
    <row r="253" spans="1:39">
      <c r="A253" s="7">
        <f t="shared" si="99"/>
        <v>252</v>
      </c>
      <c r="B253" s="13" t="str">
        <f t="shared" si="75"/>
        <v>Mar 2016</v>
      </c>
      <c r="C253" s="23" t="str">
        <f t="shared" si="76"/>
        <v>LS</v>
      </c>
      <c r="D253" s="23" t="str">
        <f t="shared" si="77"/>
        <v>KUUM_488</v>
      </c>
      <c r="E253" s="170">
        <f t="shared" si="78"/>
        <v>6428</v>
      </c>
      <c r="F253" s="185"/>
      <c r="G253" s="170">
        <f t="shared" si="79"/>
        <v>0</v>
      </c>
      <c r="H253" s="170">
        <v>-12265</v>
      </c>
      <c r="I253" s="11">
        <f t="shared" si="80"/>
        <v>13.639999999999999</v>
      </c>
      <c r="J253" s="11">
        <f t="shared" si="81"/>
        <v>2.33</v>
      </c>
      <c r="K253" s="416">
        <f t="shared" si="94"/>
        <v>87677.92</v>
      </c>
      <c r="L253" s="180"/>
      <c r="M253" s="180"/>
      <c r="N253" s="182">
        <f t="shared" si="82"/>
        <v>87677.92</v>
      </c>
      <c r="O253" s="29">
        <f t="shared" si="83"/>
        <v>0</v>
      </c>
      <c r="P253" s="181">
        <f t="shared" si="95"/>
        <v>0</v>
      </c>
      <c r="Q253" s="182">
        <f t="shared" si="84"/>
        <v>0</v>
      </c>
      <c r="R253" s="182">
        <f t="shared" si="85"/>
        <v>0</v>
      </c>
      <c r="S253" s="182">
        <f t="shared" si="86"/>
        <v>0</v>
      </c>
      <c r="T253" s="182">
        <f t="shared" si="87"/>
        <v>0</v>
      </c>
      <c r="U253" s="182">
        <f t="shared" si="88"/>
        <v>0</v>
      </c>
      <c r="V253" s="14">
        <f t="shared" si="89"/>
        <v>87677.92</v>
      </c>
      <c r="W253" s="14">
        <f t="shared" si="90"/>
        <v>-87677.92</v>
      </c>
      <c r="Y253" s="14">
        <f t="shared" si="96"/>
        <v>14977.24</v>
      </c>
      <c r="Z253" s="14">
        <f t="shared" si="97"/>
        <v>-14977.24</v>
      </c>
      <c r="AA253" s="11">
        <f t="shared" si="91"/>
        <v>0.57999999999999996</v>
      </c>
      <c r="AB253" s="9">
        <f t="shared" si="98"/>
        <v>3728.24</v>
      </c>
      <c r="AD253" s="13">
        <f>IF(AH253&gt;AH252,AD252,IF(AD252&lt;MiscData!$F$1,EOMONTH(AD252,1),EOMONTH(AD252,-11)))</f>
        <v>42460</v>
      </c>
      <c r="AE253" s="7" t="str">
        <f t="shared" si="92"/>
        <v>20140101KUUM_488</v>
      </c>
      <c r="AF253" s="12" t="str">
        <f t="shared" si="93"/>
        <v>20140101LS</v>
      </c>
      <c r="AG253" s="31"/>
      <c r="AH253">
        <f>IF(AH252=MiscData!$AB$91,1,AH252+1)</f>
        <v>76</v>
      </c>
      <c r="AI253">
        <f>IF(AD253&lt;=MiscData!$B$23,MiscData!$C$23,IF(AD253&lt;=MiscData!$B$24,MiscData!$C$24,MiscData!$C$25))</f>
        <v>20140101</v>
      </c>
      <c r="AK253" s="190" t="str">
        <f>VLOOKUP(AM253,MiscData!$AB$4:$ACB$113,2,FALSE)</f>
        <v>KUUM_488</v>
      </c>
      <c r="AL253" s="190" t="str">
        <f>VLOOKUP(AM253,MiscData!$AB$4:$AE$115,4,FALSE)</f>
        <v>LS</v>
      </c>
      <c r="AM253">
        <f>IF(AM252=MiscData!$AB$91,1,AM252+1)</f>
        <v>76</v>
      </c>
    </row>
    <row r="254" spans="1:39">
      <c r="A254" s="7">
        <f t="shared" si="99"/>
        <v>253</v>
      </c>
      <c r="B254" s="13" t="str">
        <f t="shared" si="75"/>
        <v>Mar 2016</v>
      </c>
      <c r="C254" s="23" t="str">
        <f t="shared" si="76"/>
        <v>LS</v>
      </c>
      <c r="D254" s="23" t="str">
        <f t="shared" si="77"/>
        <v>KUUM_489</v>
      </c>
      <c r="E254" s="170">
        <f t="shared" si="78"/>
        <v>8179</v>
      </c>
      <c r="F254" s="185"/>
      <c r="G254" s="170">
        <f t="shared" si="79"/>
        <v>0</v>
      </c>
      <c r="H254" s="170">
        <v>24093</v>
      </c>
      <c r="I254" s="11">
        <f t="shared" si="80"/>
        <v>19.46</v>
      </c>
      <c r="J254" s="11">
        <f t="shared" si="81"/>
        <v>4.5300000000000011</v>
      </c>
      <c r="K254" s="416">
        <f t="shared" si="94"/>
        <v>159163.34</v>
      </c>
      <c r="L254" s="180"/>
      <c r="M254" s="180"/>
      <c r="N254" s="182">
        <f t="shared" si="82"/>
        <v>159163.34</v>
      </c>
      <c r="O254" s="29">
        <f t="shared" si="83"/>
        <v>0</v>
      </c>
      <c r="P254" s="181">
        <f t="shared" si="95"/>
        <v>0</v>
      </c>
      <c r="Q254" s="182">
        <f t="shared" si="84"/>
        <v>0</v>
      </c>
      <c r="R254" s="182">
        <f t="shared" si="85"/>
        <v>0</v>
      </c>
      <c r="S254" s="182">
        <f t="shared" si="86"/>
        <v>0</v>
      </c>
      <c r="T254" s="182">
        <f t="shared" si="87"/>
        <v>0</v>
      </c>
      <c r="U254" s="182">
        <f t="shared" si="88"/>
        <v>0</v>
      </c>
      <c r="V254" s="14">
        <f t="shared" si="89"/>
        <v>159163.34</v>
      </c>
      <c r="W254" s="14">
        <f t="shared" si="90"/>
        <v>-159163.34</v>
      </c>
      <c r="Y254" s="14">
        <f t="shared" si="96"/>
        <v>37050.870000000003</v>
      </c>
      <c r="Z254" s="14">
        <f t="shared" si="97"/>
        <v>-37050.870000000003</v>
      </c>
      <c r="AA254" s="11">
        <f t="shared" si="91"/>
        <v>0.79</v>
      </c>
      <c r="AB254" s="9">
        <f t="shared" si="98"/>
        <v>6461.41</v>
      </c>
      <c r="AD254" s="13">
        <f>IF(AH254&gt;AH253,AD253,IF(AD253&lt;MiscData!$F$1,EOMONTH(AD253,1),EOMONTH(AD253,-11)))</f>
        <v>42460</v>
      </c>
      <c r="AE254" s="7" t="str">
        <f t="shared" si="92"/>
        <v>20140101KUUM_489</v>
      </c>
      <c r="AF254" s="12" t="str">
        <f t="shared" si="93"/>
        <v>20140101LS</v>
      </c>
      <c r="AG254" s="31"/>
      <c r="AH254">
        <f>IF(AH253=MiscData!$AB$91,1,AH253+1)</f>
        <v>77</v>
      </c>
      <c r="AI254">
        <f>IF(AD254&lt;=MiscData!$B$23,MiscData!$C$23,IF(AD254&lt;=MiscData!$B$24,MiscData!$C$24,MiscData!$C$25))</f>
        <v>20140101</v>
      </c>
      <c r="AK254" s="190" t="str">
        <f>VLOOKUP(AM254,MiscData!$AB$4:$ACB$113,2,FALSE)</f>
        <v>KUUM_489</v>
      </c>
      <c r="AL254" s="190" t="str">
        <f>VLOOKUP(AM254,MiscData!$AB$4:$AE$115,4,FALSE)</f>
        <v>LS</v>
      </c>
      <c r="AM254">
        <f>IF(AM253=MiscData!$AB$91,1,AM253+1)</f>
        <v>77</v>
      </c>
    </row>
    <row r="255" spans="1:39">
      <c r="A255" s="7">
        <f t="shared" si="99"/>
        <v>254</v>
      </c>
      <c r="B255" s="13" t="str">
        <f t="shared" si="75"/>
        <v>Mar 2016</v>
      </c>
      <c r="C255" s="23" t="str">
        <f t="shared" si="76"/>
        <v>LS</v>
      </c>
      <c r="D255" s="23" t="str">
        <f t="shared" si="77"/>
        <v>KUUM_490</v>
      </c>
      <c r="E255" s="170">
        <f t="shared" si="78"/>
        <v>58</v>
      </c>
      <c r="F255" s="185"/>
      <c r="G255" s="170">
        <f t="shared" si="79"/>
        <v>0</v>
      </c>
      <c r="H255" s="170">
        <v>0</v>
      </c>
      <c r="I255" s="11">
        <f t="shared" si="80"/>
        <v>15.47</v>
      </c>
      <c r="J255" s="11">
        <f t="shared" si="81"/>
        <v>1.9700000000000006</v>
      </c>
      <c r="K255" s="416">
        <f t="shared" si="94"/>
        <v>897.26</v>
      </c>
      <c r="L255" s="180"/>
      <c r="M255" s="180"/>
      <c r="N255" s="182">
        <f t="shared" si="82"/>
        <v>897.26</v>
      </c>
      <c r="O255" s="29">
        <f t="shared" si="83"/>
        <v>0</v>
      </c>
      <c r="P255" s="181">
        <f t="shared" si="95"/>
        <v>0</v>
      </c>
      <c r="Q255" s="182">
        <f t="shared" si="84"/>
        <v>0</v>
      </c>
      <c r="R255" s="182">
        <f t="shared" si="85"/>
        <v>0</v>
      </c>
      <c r="S255" s="182">
        <f t="shared" si="86"/>
        <v>0</v>
      </c>
      <c r="T255" s="182">
        <f t="shared" si="87"/>
        <v>0</v>
      </c>
      <c r="U255" s="182">
        <f t="shared" si="88"/>
        <v>0</v>
      </c>
      <c r="V255" s="14">
        <f t="shared" si="89"/>
        <v>897.26</v>
      </c>
      <c r="W255" s="14">
        <f t="shared" si="90"/>
        <v>-897.26</v>
      </c>
      <c r="Y255" s="14">
        <f t="shared" si="96"/>
        <v>114.26</v>
      </c>
      <c r="Z255" s="14">
        <f t="shared" si="97"/>
        <v>-114.26</v>
      </c>
      <c r="AA255" s="11">
        <f t="shared" si="91"/>
        <v>0.66</v>
      </c>
      <c r="AB255" s="9">
        <f t="shared" si="98"/>
        <v>38.28</v>
      </c>
      <c r="AD255" s="13">
        <f>IF(AH255&gt;AH254,AD254,IF(AD254&lt;MiscData!$F$1,EOMONTH(AD254,1),EOMONTH(AD254,-11)))</f>
        <v>42460</v>
      </c>
      <c r="AE255" s="7" t="str">
        <f t="shared" si="92"/>
        <v>20140101KUUM_490</v>
      </c>
      <c r="AF255" s="12" t="str">
        <f t="shared" si="93"/>
        <v>20140101LS</v>
      </c>
      <c r="AG255" s="31"/>
      <c r="AH255">
        <f>IF(AH254=MiscData!$AB$91,1,AH254+1)</f>
        <v>78</v>
      </c>
      <c r="AI255">
        <f>IF(AD255&lt;=MiscData!$B$23,MiscData!$C$23,IF(AD255&lt;=MiscData!$B$24,MiscData!$C$24,MiscData!$C$25))</f>
        <v>20140101</v>
      </c>
      <c r="AK255" s="190" t="str">
        <f>VLOOKUP(AM255,MiscData!$AB$4:$ACB$113,2,FALSE)</f>
        <v>KUUM_490</v>
      </c>
      <c r="AL255" s="190" t="str">
        <f>VLOOKUP(AM255,MiscData!$AB$4:$AE$115,4,FALSE)</f>
        <v>LS</v>
      </c>
      <c r="AM255">
        <f>IF(AM254=MiscData!$AB$91,1,AM254+1)</f>
        <v>78</v>
      </c>
    </row>
    <row r="256" spans="1:39">
      <c r="A256" s="7">
        <f t="shared" si="99"/>
        <v>255</v>
      </c>
      <c r="B256" s="13" t="str">
        <f t="shared" si="75"/>
        <v>Mar 2016</v>
      </c>
      <c r="C256" s="23" t="str">
        <f t="shared" si="76"/>
        <v>LS</v>
      </c>
      <c r="D256" s="23" t="str">
        <f t="shared" si="77"/>
        <v>KUUM_491</v>
      </c>
      <c r="E256" s="170">
        <f t="shared" si="78"/>
        <v>314</v>
      </c>
      <c r="F256" s="185"/>
      <c r="G256" s="170">
        <f t="shared" si="79"/>
        <v>0</v>
      </c>
      <c r="H256" s="170">
        <v>0</v>
      </c>
      <c r="I256" s="11">
        <f t="shared" si="80"/>
        <v>21.930000000000003</v>
      </c>
      <c r="J256" s="11">
        <f t="shared" si="81"/>
        <v>4.2900000000000027</v>
      </c>
      <c r="K256" s="416">
        <f t="shared" si="94"/>
        <v>6886.02</v>
      </c>
      <c r="L256" s="180"/>
      <c r="M256" s="180"/>
      <c r="N256" s="182">
        <f t="shared" si="82"/>
        <v>6886.02</v>
      </c>
      <c r="O256" s="29">
        <f t="shared" si="83"/>
        <v>0</v>
      </c>
      <c r="P256" s="181">
        <f t="shared" si="95"/>
        <v>0</v>
      </c>
      <c r="Q256" s="182">
        <f t="shared" si="84"/>
        <v>0</v>
      </c>
      <c r="R256" s="182">
        <f t="shared" si="85"/>
        <v>0</v>
      </c>
      <c r="S256" s="182">
        <f t="shared" si="86"/>
        <v>0</v>
      </c>
      <c r="T256" s="182">
        <f t="shared" si="87"/>
        <v>0</v>
      </c>
      <c r="U256" s="182">
        <f t="shared" si="88"/>
        <v>0</v>
      </c>
      <c r="V256" s="14">
        <f t="shared" si="89"/>
        <v>6886.02</v>
      </c>
      <c r="W256" s="14">
        <f t="shared" si="90"/>
        <v>-6886.02</v>
      </c>
      <c r="Y256" s="14">
        <f t="shared" si="96"/>
        <v>1347.06</v>
      </c>
      <c r="Z256" s="14">
        <f t="shared" si="97"/>
        <v>-1347.06</v>
      </c>
      <c r="AA256" s="11">
        <f t="shared" si="91"/>
        <v>0.84</v>
      </c>
      <c r="AB256" s="9">
        <f t="shared" si="98"/>
        <v>263.76</v>
      </c>
      <c r="AD256" s="13">
        <f>IF(AH256&gt;AH255,AD255,IF(AD255&lt;MiscData!$F$1,EOMONTH(AD255,1),EOMONTH(AD255,-11)))</f>
        <v>42460</v>
      </c>
      <c r="AE256" s="7" t="str">
        <f t="shared" si="92"/>
        <v>20140101KUUM_491</v>
      </c>
      <c r="AF256" s="12" t="str">
        <f t="shared" si="93"/>
        <v>20140101LS</v>
      </c>
      <c r="AG256" s="31"/>
      <c r="AH256">
        <f>IF(AH255=MiscData!$AB$91,1,AH255+1)</f>
        <v>79</v>
      </c>
      <c r="AI256">
        <f>IF(AD256&lt;=MiscData!$B$23,MiscData!$C$23,IF(AD256&lt;=MiscData!$B$24,MiscData!$C$24,MiscData!$C$25))</f>
        <v>20140101</v>
      </c>
      <c r="AK256" s="190" t="str">
        <f>VLOOKUP(AM256,MiscData!$AB$4:$ACB$113,2,FALSE)</f>
        <v>KUUM_491</v>
      </c>
      <c r="AL256" s="190" t="str">
        <f>VLOOKUP(AM256,MiscData!$AB$4:$AE$115,4,FALSE)</f>
        <v>LS</v>
      </c>
      <c r="AM256">
        <f>IF(AM255=MiscData!$AB$91,1,AM255+1)</f>
        <v>79</v>
      </c>
    </row>
    <row r="257" spans="1:39">
      <c r="A257" s="7">
        <f t="shared" si="99"/>
        <v>256</v>
      </c>
      <c r="B257" s="13" t="str">
        <f t="shared" si="75"/>
        <v>Mar 2016</v>
      </c>
      <c r="C257" s="23" t="str">
        <f t="shared" si="76"/>
        <v>LS</v>
      </c>
      <c r="D257" s="23" t="str">
        <f t="shared" si="77"/>
        <v>KUUM_492</v>
      </c>
      <c r="E257" s="170">
        <f t="shared" si="78"/>
        <v>2</v>
      </c>
      <c r="F257" s="185"/>
      <c r="G257" s="170">
        <f t="shared" si="79"/>
        <v>0</v>
      </c>
      <c r="H257" s="170">
        <v>0</v>
      </c>
      <c r="I257" s="11">
        <f t="shared" si="80"/>
        <v>15.370000000000001</v>
      </c>
      <c r="J257" s="11">
        <f t="shared" si="81"/>
        <v>0.80000000000000071</v>
      </c>
      <c r="K257" s="416">
        <f t="shared" si="94"/>
        <v>30.74</v>
      </c>
      <c r="L257" s="180"/>
      <c r="M257" s="180"/>
      <c r="N257" s="182">
        <f t="shared" si="82"/>
        <v>30.74</v>
      </c>
      <c r="O257" s="29">
        <f t="shared" si="83"/>
        <v>0</v>
      </c>
      <c r="P257" s="181">
        <f t="shared" si="95"/>
        <v>0</v>
      </c>
      <c r="Q257" s="182">
        <f t="shared" si="84"/>
        <v>0</v>
      </c>
      <c r="R257" s="182">
        <f t="shared" si="85"/>
        <v>0</v>
      </c>
      <c r="S257" s="182">
        <f t="shared" si="86"/>
        <v>0</v>
      </c>
      <c r="T257" s="182">
        <f t="shared" si="87"/>
        <v>0</v>
      </c>
      <c r="U257" s="182">
        <f t="shared" si="88"/>
        <v>0</v>
      </c>
      <c r="V257" s="14">
        <f t="shared" si="89"/>
        <v>30.74</v>
      </c>
      <c r="W257" s="14">
        <f t="shared" si="90"/>
        <v>-30.74</v>
      </c>
      <c r="Y257" s="14">
        <f t="shared" si="96"/>
        <v>1.6</v>
      </c>
      <c r="Z257" s="14">
        <f t="shared" si="97"/>
        <v>-1.6</v>
      </c>
      <c r="AA257" s="11">
        <f t="shared" si="91"/>
        <v>0.43</v>
      </c>
      <c r="AB257" s="9">
        <f t="shared" si="98"/>
        <v>0.86</v>
      </c>
      <c r="AD257" s="13">
        <f>IF(AH257&gt;AH256,AD256,IF(AD256&lt;MiscData!$F$1,EOMONTH(AD256,1),EOMONTH(AD256,-11)))</f>
        <v>42460</v>
      </c>
      <c r="AE257" s="7" t="str">
        <f t="shared" si="92"/>
        <v>20140101KUUM_492</v>
      </c>
      <c r="AF257" s="12" t="str">
        <f t="shared" si="93"/>
        <v>20140101LS</v>
      </c>
      <c r="AG257" s="31"/>
      <c r="AH257">
        <f>IF(AH256=MiscData!$AB$91,1,AH256+1)</f>
        <v>80</v>
      </c>
      <c r="AI257">
        <f>IF(AD257&lt;=MiscData!$B$23,MiscData!$C$23,IF(AD257&lt;=MiscData!$B$24,MiscData!$C$24,MiscData!$C$25))</f>
        <v>20140101</v>
      </c>
      <c r="AK257" s="190" t="str">
        <f>VLOOKUP(AM257,MiscData!$AB$4:$ACB$113,2,FALSE)</f>
        <v>KUUM_492</v>
      </c>
      <c r="AL257" s="190" t="str">
        <f>VLOOKUP(AM257,MiscData!$AB$4:$AE$115,4,FALSE)</f>
        <v>LS</v>
      </c>
      <c r="AM257">
        <f>IF(AM256=MiscData!$AB$91,1,AM256+1)</f>
        <v>80</v>
      </c>
    </row>
    <row r="258" spans="1:39">
      <c r="A258" s="7">
        <f t="shared" si="99"/>
        <v>257</v>
      </c>
      <c r="B258" s="13" t="str">
        <f t="shared" ref="B258:B289" si="100">TEXT(AD258,"mmm yyyy")</f>
        <v>Mar 2016</v>
      </c>
      <c r="C258" s="23" t="str">
        <f t="shared" ref="C258:C289" si="101">AL258</f>
        <v>LS</v>
      </c>
      <c r="D258" s="23" t="str">
        <f t="shared" ref="D258:D289" si="102">AK258</f>
        <v>KUUM_493</v>
      </c>
      <c r="E258" s="170">
        <f t="shared" ref="E258:E320" si="103">SUMIFS(_1055_Light_Count,_1055_RevMonth,$B258,_1055_RateCategory,$D258)</f>
        <v>43</v>
      </c>
      <c r="F258" s="185"/>
      <c r="G258" s="170">
        <f t="shared" ref="G258:G320" si="104">SUMIFS(_SBR_KWH,_SBR_Revenue_Month,$B258,_SBR_Rate_Category,$D258)</f>
        <v>0</v>
      </c>
      <c r="H258" s="170">
        <v>0</v>
      </c>
      <c r="I258" s="11">
        <f t="shared" ref="I258:I289" si="105">SUMIF(_Lights_Tariff_Category,$AE258,_Lights_Rates)</f>
        <v>45.7</v>
      </c>
      <c r="J258" s="11">
        <f t="shared" ref="J258:J289" si="106">SUMIF(_Lights_Tariff_Category,$AE258,_Rates_Lights_BaseFAC)</f>
        <v>10.409999999999997</v>
      </c>
      <c r="K258" s="416">
        <f t="shared" si="94"/>
        <v>1965.1</v>
      </c>
      <c r="L258" s="180"/>
      <c r="M258" s="180"/>
      <c r="N258" s="182">
        <f t="shared" ref="N258:N286" si="107">SUM(K258:M258)</f>
        <v>1965.1</v>
      </c>
      <c r="O258" s="29">
        <f t="shared" ref="O258:O320" si="108">U258-SUM(Q258:T258)</f>
        <v>0</v>
      </c>
      <c r="P258" s="181">
        <f t="shared" si="95"/>
        <v>0</v>
      </c>
      <c r="Q258" s="182">
        <f t="shared" ref="Q258:Q320" si="109">SUMIFS(_SBR_FAC,_SBR_Revenue_Month,$B258,_SBR_Rate_Category,$D258)</f>
        <v>0</v>
      </c>
      <c r="R258" s="182">
        <f t="shared" ref="R258:R320" si="110">SUMIFS(_SBR_DSM,_SBR_Revenue_Month,$B258,_SBR_Rate_Category,$D258)</f>
        <v>0</v>
      </c>
      <c r="S258" s="182">
        <f t="shared" ref="S258:S320" si="111">SUMIFS(_SBR_ECR,_SBR_Revenue_Month,$B258,_SBR_Rate_Category,$D258)</f>
        <v>0</v>
      </c>
      <c r="T258" s="182">
        <f t="shared" ref="T258:T320" si="112">SUMIFS(_SBR_MSR,_SBR_Revenue_Month,$B258,_SBR_Rate_Category,$D258)</f>
        <v>0</v>
      </c>
      <c r="U258" s="182">
        <f t="shared" ref="U258:U320" si="113">SUMIFS(_SBR_Revenue_Actual,_SBR_Revenue_Month,$B258,_SBR_Rate_Category,$D258)</f>
        <v>0</v>
      </c>
      <c r="V258" s="14">
        <f t="shared" ref="V258:V320" si="114">SUM(N258,Q258:T258)</f>
        <v>1965.1</v>
      </c>
      <c r="W258" s="14">
        <f t="shared" ref="W258:W320" si="115">U258-V258</f>
        <v>-1965.1</v>
      </c>
      <c r="Y258" s="14">
        <f t="shared" si="96"/>
        <v>447.63</v>
      </c>
      <c r="Z258" s="14">
        <f t="shared" si="97"/>
        <v>-447.63</v>
      </c>
      <c r="AA258" s="11">
        <f t="shared" ref="AA258:AA321" si="116">SUMIF(_Lights_Tariff_Category,$AE258,_Rates_Lights_ECR)</f>
        <v>1.7</v>
      </c>
      <c r="AB258" s="9">
        <f t="shared" si="98"/>
        <v>73.099999999999994</v>
      </c>
      <c r="AD258" s="13">
        <f>IF(AH258&gt;AH257,AD257,IF(AD257&lt;MiscData!$F$1,EOMONTH(AD257,1),EOMONTH(AD257,-11)))</f>
        <v>42460</v>
      </c>
      <c r="AE258" s="7" t="str">
        <f t="shared" ref="AE258:AE320" si="117">CONCATENATE(AI258&amp;AK258)</f>
        <v>20140101KUUM_493</v>
      </c>
      <c r="AF258" s="12" t="str">
        <f t="shared" ref="AF258:AF320" si="118">CONCATENATE(AI258&amp;AL258)</f>
        <v>20140101LS</v>
      </c>
      <c r="AG258" s="31"/>
      <c r="AH258">
        <f>IF(AH257=MiscData!$AB$91,1,AH257+1)</f>
        <v>81</v>
      </c>
      <c r="AI258">
        <f>IF(AD258&lt;=MiscData!$B$23,MiscData!$C$23,IF(AD258&lt;=MiscData!$B$24,MiscData!$C$24,MiscData!$C$25))</f>
        <v>20140101</v>
      </c>
      <c r="AK258" s="190" t="str">
        <f>VLOOKUP(AM258,MiscData!$AB$4:$ACB$113,2,FALSE)</f>
        <v>KUUM_493</v>
      </c>
      <c r="AL258" s="190" t="str">
        <f>VLOOKUP(AM258,MiscData!$AB$4:$AE$115,4,FALSE)</f>
        <v>LS</v>
      </c>
      <c r="AM258">
        <f>IF(AM257=MiscData!$AB$91,1,AM257+1)</f>
        <v>81</v>
      </c>
    </row>
    <row r="259" spans="1:39">
      <c r="A259" s="7">
        <f t="shared" si="99"/>
        <v>258</v>
      </c>
      <c r="B259" s="13" t="str">
        <f t="shared" si="100"/>
        <v>Mar 2016</v>
      </c>
      <c r="C259" s="23" t="str">
        <f t="shared" si="101"/>
        <v>LS</v>
      </c>
      <c r="D259" s="23" t="str">
        <f t="shared" si="102"/>
        <v>KUUM_494</v>
      </c>
      <c r="E259" s="170">
        <f t="shared" si="103"/>
        <v>168</v>
      </c>
      <c r="F259" s="185"/>
      <c r="G259" s="170">
        <f t="shared" si="104"/>
        <v>0</v>
      </c>
      <c r="H259" s="170">
        <v>0</v>
      </c>
      <c r="I259" s="11">
        <f t="shared" si="105"/>
        <v>28.37</v>
      </c>
      <c r="J259" s="11">
        <f t="shared" si="106"/>
        <v>1.9699999999999989</v>
      </c>
      <c r="K259" s="416">
        <f t="shared" ref="K259:K322" si="119">ROUND(($E259+$F259)*$I259,2)</f>
        <v>4766.16</v>
      </c>
      <c r="L259" s="180"/>
      <c r="M259" s="180"/>
      <c r="N259" s="182">
        <f t="shared" si="107"/>
        <v>4766.16</v>
      </c>
      <c r="O259" s="29">
        <f t="shared" si="108"/>
        <v>0</v>
      </c>
      <c r="P259" s="181">
        <f t="shared" ref="P259:P322" si="120">IF(AND(N259=0,O259=0),1,IF(N259=0,0,ROUND(O259/N259,6)))</f>
        <v>0</v>
      </c>
      <c r="Q259" s="182">
        <f t="shared" si="109"/>
        <v>0</v>
      </c>
      <c r="R259" s="182">
        <f t="shared" si="110"/>
        <v>0</v>
      </c>
      <c r="S259" s="182">
        <f t="shared" si="111"/>
        <v>0</v>
      </c>
      <c r="T259" s="182">
        <f t="shared" si="112"/>
        <v>0</v>
      </c>
      <c r="U259" s="182">
        <f t="shared" si="113"/>
        <v>0</v>
      </c>
      <c r="V259" s="14">
        <f t="shared" si="114"/>
        <v>4766.16</v>
      </c>
      <c r="W259" s="14">
        <f t="shared" si="115"/>
        <v>-4766.16</v>
      </c>
      <c r="Y259" s="14">
        <f t="shared" ref="Y259:Y290" si="121">ROUND(E259*J259,2)</f>
        <v>330.96</v>
      </c>
      <c r="Z259" s="14">
        <f t="shared" ref="Z259:Z321" si="122">O259-Y259</f>
        <v>-330.96</v>
      </c>
      <c r="AA259" s="11">
        <f t="shared" si="116"/>
        <v>0.66</v>
      </c>
      <c r="AB259" s="9">
        <f t="shared" ref="AB259:AB322" si="123">E259*AA259</f>
        <v>110.88000000000001</v>
      </c>
      <c r="AD259" s="13">
        <f>IF(AH259&gt;AH258,AD258,IF(AD258&lt;MiscData!$F$1,EOMONTH(AD258,1),EOMONTH(AD258,-11)))</f>
        <v>42460</v>
      </c>
      <c r="AE259" s="7" t="str">
        <f t="shared" si="117"/>
        <v>20140101KUUM_494</v>
      </c>
      <c r="AF259" s="12" t="str">
        <f t="shared" si="118"/>
        <v>20140101LS</v>
      </c>
      <c r="AG259" s="31"/>
      <c r="AH259">
        <f>IF(AH258=MiscData!$AB$91,1,AH258+1)</f>
        <v>82</v>
      </c>
      <c r="AI259">
        <f>IF(AD259&lt;=MiscData!$B$23,MiscData!$C$23,IF(AD259&lt;=MiscData!$B$24,MiscData!$C$24,MiscData!$C$25))</f>
        <v>20140101</v>
      </c>
      <c r="AK259" s="190" t="str">
        <f>VLOOKUP(AM259,MiscData!$AB$4:$ACB$113,2,FALSE)</f>
        <v>KUUM_494</v>
      </c>
      <c r="AL259" s="190" t="str">
        <f>VLOOKUP(AM259,MiscData!$AB$4:$AE$115,4,FALSE)</f>
        <v>LS</v>
      </c>
      <c r="AM259">
        <f>IF(AM258=MiscData!$AB$91,1,AM258+1)</f>
        <v>82</v>
      </c>
    </row>
    <row r="260" spans="1:39">
      <c r="A260" s="7">
        <f t="shared" ref="A260:A322" si="124">A259+1</f>
        <v>259</v>
      </c>
      <c r="B260" s="13" t="str">
        <f t="shared" si="100"/>
        <v>Mar 2016</v>
      </c>
      <c r="C260" s="23" t="str">
        <f t="shared" si="101"/>
        <v>LS</v>
      </c>
      <c r="D260" s="23" t="str">
        <f t="shared" si="102"/>
        <v>KUUM_495</v>
      </c>
      <c r="E260" s="170">
        <f t="shared" si="103"/>
        <v>626</v>
      </c>
      <c r="F260" s="185"/>
      <c r="G260" s="170">
        <f t="shared" si="104"/>
        <v>0</v>
      </c>
      <c r="H260" s="170">
        <v>0</v>
      </c>
      <c r="I260" s="11">
        <f t="shared" si="105"/>
        <v>34.830000000000005</v>
      </c>
      <c r="J260" s="11">
        <f t="shared" si="106"/>
        <v>4.2899999999999991</v>
      </c>
      <c r="K260" s="416">
        <f t="shared" si="119"/>
        <v>21803.58</v>
      </c>
      <c r="L260" s="180"/>
      <c r="M260" s="180"/>
      <c r="N260" s="182">
        <f t="shared" si="107"/>
        <v>21803.58</v>
      </c>
      <c r="O260" s="29">
        <f t="shared" si="108"/>
        <v>0</v>
      </c>
      <c r="P260" s="181">
        <f t="shared" si="120"/>
        <v>0</v>
      </c>
      <c r="Q260" s="182">
        <f t="shared" si="109"/>
        <v>0</v>
      </c>
      <c r="R260" s="182">
        <f t="shared" si="110"/>
        <v>0</v>
      </c>
      <c r="S260" s="182">
        <f t="shared" si="111"/>
        <v>0</v>
      </c>
      <c r="T260" s="182">
        <f t="shared" si="112"/>
        <v>0</v>
      </c>
      <c r="U260" s="182">
        <f t="shared" si="113"/>
        <v>0</v>
      </c>
      <c r="V260" s="14">
        <f t="shared" si="114"/>
        <v>21803.58</v>
      </c>
      <c r="W260" s="14">
        <f t="shared" si="115"/>
        <v>-21803.58</v>
      </c>
      <c r="Y260" s="14">
        <f t="shared" si="121"/>
        <v>2685.54</v>
      </c>
      <c r="Z260" s="14">
        <f t="shared" si="122"/>
        <v>-2685.54</v>
      </c>
      <c r="AA260" s="11">
        <f t="shared" si="116"/>
        <v>0.84</v>
      </c>
      <c r="AB260" s="9">
        <f t="shared" si="123"/>
        <v>525.84</v>
      </c>
      <c r="AD260" s="13">
        <f>IF(AH260&gt;AH259,AD259,IF(AD259&lt;MiscData!$F$1,EOMONTH(AD259,1),EOMONTH(AD259,-11)))</f>
        <v>42460</v>
      </c>
      <c r="AE260" s="7" t="str">
        <f t="shared" si="117"/>
        <v>20140101KUUM_495</v>
      </c>
      <c r="AF260" s="12" t="str">
        <f t="shared" si="118"/>
        <v>20140101LS</v>
      </c>
      <c r="AG260" s="31"/>
      <c r="AH260">
        <f>IF(AH259=MiscData!$AB$91,1,AH259+1)</f>
        <v>83</v>
      </c>
      <c r="AI260">
        <f>IF(AD260&lt;=MiscData!$B$23,MiscData!$C$23,IF(AD260&lt;=MiscData!$B$24,MiscData!$C$24,MiscData!$C$25))</f>
        <v>20140101</v>
      </c>
      <c r="AK260" s="190" t="str">
        <f>VLOOKUP(AM260,MiscData!$AB$4:$ACB$113,2,FALSE)</f>
        <v>KUUM_495</v>
      </c>
      <c r="AL260" s="190" t="str">
        <f>VLOOKUP(AM260,MiscData!$AB$4:$AE$115,4,FALSE)</f>
        <v>LS</v>
      </c>
      <c r="AM260">
        <f>IF(AM259=MiscData!$AB$91,1,AM259+1)</f>
        <v>83</v>
      </c>
    </row>
    <row r="261" spans="1:39">
      <c r="A261" s="7">
        <f t="shared" si="124"/>
        <v>260</v>
      </c>
      <c r="B261" s="13" t="str">
        <f t="shared" si="100"/>
        <v>Mar 2016</v>
      </c>
      <c r="C261" s="23" t="str">
        <f t="shared" si="101"/>
        <v>LS</v>
      </c>
      <c r="D261" s="23" t="str">
        <f t="shared" si="102"/>
        <v>KUUM_496</v>
      </c>
      <c r="E261" s="170">
        <f t="shared" si="103"/>
        <v>157</v>
      </c>
      <c r="F261" s="185"/>
      <c r="G261" s="170">
        <f t="shared" si="104"/>
        <v>0</v>
      </c>
      <c r="H261" s="170">
        <v>0</v>
      </c>
      <c r="I261" s="11">
        <f t="shared" si="105"/>
        <v>58.59</v>
      </c>
      <c r="J261" s="11">
        <f t="shared" si="106"/>
        <v>10.409999999999997</v>
      </c>
      <c r="K261" s="416">
        <f t="shared" si="119"/>
        <v>9198.6299999999992</v>
      </c>
      <c r="L261" s="180"/>
      <c r="M261" s="180"/>
      <c r="N261" s="182">
        <f t="shared" si="107"/>
        <v>9198.6299999999992</v>
      </c>
      <c r="O261" s="29">
        <f t="shared" si="108"/>
        <v>0</v>
      </c>
      <c r="P261" s="181">
        <f t="shared" si="120"/>
        <v>0</v>
      </c>
      <c r="Q261" s="182">
        <f t="shared" si="109"/>
        <v>0</v>
      </c>
      <c r="R261" s="182">
        <f t="shared" si="110"/>
        <v>0</v>
      </c>
      <c r="S261" s="182">
        <f t="shared" si="111"/>
        <v>0</v>
      </c>
      <c r="T261" s="182">
        <f t="shared" si="112"/>
        <v>0</v>
      </c>
      <c r="U261" s="182">
        <f t="shared" si="113"/>
        <v>0</v>
      </c>
      <c r="V261" s="14">
        <f t="shared" si="114"/>
        <v>9198.6299999999992</v>
      </c>
      <c r="W261" s="14">
        <f t="shared" si="115"/>
        <v>-9198.6299999999992</v>
      </c>
      <c r="Y261" s="14">
        <f t="shared" si="121"/>
        <v>1634.37</v>
      </c>
      <c r="Z261" s="14">
        <f t="shared" si="122"/>
        <v>-1634.37</v>
      </c>
      <c r="AA261" s="11">
        <f t="shared" si="116"/>
        <v>1.7</v>
      </c>
      <c r="AB261" s="9">
        <f t="shared" si="123"/>
        <v>266.89999999999998</v>
      </c>
      <c r="AD261" s="13">
        <f>IF(AH261&gt;AH260,AD260,IF(AD260&lt;MiscData!$F$1,EOMONTH(AD260,1),EOMONTH(AD260,-11)))</f>
        <v>42460</v>
      </c>
      <c r="AE261" s="7" t="str">
        <f t="shared" si="117"/>
        <v>20140101KUUM_496</v>
      </c>
      <c r="AF261" s="12" t="str">
        <f t="shared" si="118"/>
        <v>20140101LS</v>
      </c>
      <c r="AG261" s="31"/>
      <c r="AH261">
        <f>IF(AH260=MiscData!$AB$91,1,AH260+1)</f>
        <v>84</v>
      </c>
      <c r="AI261">
        <f>IF(AD261&lt;=MiscData!$B$23,MiscData!$C$23,IF(AD261&lt;=MiscData!$B$24,MiscData!$C$24,MiscData!$C$25))</f>
        <v>20140101</v>
      </c>
      <c r="AK261" s="190" t="str">
        <f>VLOOKUP(AM261,MiscData!$AB$4:$ACB$113,2,FALSE)</f>
        <v>KUUM_496</v>
      </c>
      <c r="AL261" s="190" t="str">
        <f>VLOOKUP(AM261,MiscData!$AB$4:$AE$115,4,FALSE)</f>
        <v>LS</v>
      </c>
      <c r="AM261">
        <f>IF(AM260=MiscData!$AB$91,1,AM260+1)</f>
        <v>84</v>
      </c>
    </row>
    <row r="262" spans="1:39" ht="12.75" thickBot="1">
      <c r="A262" s="420">
        <f t="shared" si="124"/>
        <v>261</v>
      </c>
      <c r="B262" s="470" t="str">
        <f t="shared" si="100"/>
        <v>Mar 2016</v>
      </c>
      <c r="C262" s="471" t="str">
        <f t="shared" si="101"/>
        <v>LS</v>
      </c>
      <c r="D262" s="471" t="str">
        <f t="shared" si="102"/>
        <v>KUUM_497</v>
      </c>
      <c r="E262" s="426">
        <f t="shared" si="103"/>
        <v>10</v>
      </c>
      <c r="F262" s="472"/>
      <c r="G262" s="426">
        <f t="shared" si="104"/>
        <v>0</v>
      </c>
      <c r="H262" s="426">
        <v>0</v>
      </c>
      <c r="I262" s="421">
        <f t="shared" si="105"/>
        <v>15.35</v>
      </c>
      <c r="J262" s="421">
        <f t="shared" si="106"/>
        <v>1.1300000000000008</v>
      </c>
      <c r="K262" s="529">
        <f t="shared" si="119"/>
        <v>153.5</v>
      </c>
      <c r="L262" s="473"/>
      <c r="M262" s="473"/>
      <c r="N262" s="423">
        <f t="shared" si="107"/>
        <v>153.5</v>
      </c>
      <c r="O262" s="474">
        <f t="shared" si="108"/>
        <v>0</v>
      </c>
      <c r="P262" s="422">
        <f t="shared" si="120"/>
        <v>0</v>
      </c>
      <c r="Q262" s="423">
        <f t="shared" si="109"/>
        <v>0</v>
      </c>
      <c r="R262" s="423">
        <f t="shared" si="110"/>
        <v>0</v>
      </c>
      <c r="S262" s="423">
        <f t="shared" si="111"/>
        <v>0</v>
      </c>
      <c r="T262" s="423">
        <f t="shared" si="112"/>
        <v>0</v>
      </c>
      <c r="U262" s="423">
        <f t="shared" si="113"/>
        <v>0</v>
      </c>
      <c r="V262" s="424">
        <f t="shared" si="114"/>
        <v>153.5</v>
      </c>
      <c r="W262" s="424">
        <f t="shared" si="115"/>
        <v>-153.5</v>
      </c>
      <c r="X262" s="475"/>
      <c r="Y262" s="424">
        <f t="shared" si="121"/>
        <v>11.3</v>
      </c>
      <c r="Z262" s="424">
        <f t="shared" si="122"/>
        <v>-11.3</v>
      </c>
      <c r="AA262" s="11">
        <f t="shared" si="116"/>
        <v>0.34</v>
      </c>
      <c r="AB262" s="9">
        <f t="shared" si="123"/>
        <v>3.4000000000000004</v>
      </c>
      <c r="AC262" s="475"/>
      <c r="AD262" s="470">
        <f>IF(AH262&gt;AH261,AD261,IF(AD261&lt;MiscData!$F$1,EOMONTH(AD261,1),EOMONTH(AD261,-11)))</f>
        <v>42460</v>
      </c>
      <c r="AE262" s="420" t="str">
        <f t="shared" si="117"/>
        <v>20140101KUUM_497</v>
      </c>
      <c r="AF262" s="476" t="str">
        <f t="shared" si="118"/>
        <v>20140101LS</v>
      </c>
      <c r="AG262" s="477"/>
      <c r="AH262" s="475">
        <f>IF(AH261=MiscData!$AB$91,1,AH261+1)</f>
        <v>85</v>
      </c>
      <c r="AI262" s="475">
        <f>IF(AD262&lt;=MiscData!$B$23,MiscData!$C$23,IF(AD262&lt;=MiscData!$B$24,MiscData!$C$24,MiscData!$C$25))</f>
        <v>20140101</v>
      </c>
      <c r="AJ262" s="475"/>
      <c r="AK262" s="478" t="str">
        <f>VLOOKUP(AM262,MiscData!$AB$4:$ACB$113,2,FALSE)</f>
        <v>KUUM_497</v>
      </c>
      <c r="AL262" s="478" t="str">
        <f>VLOOKUP(AM262,MiscData!$AB$4:$AE$115,4,FALSE)</f>
        <v>LS</v>
      </c>
      <c r="AM262" s="475">
        <f>IF(AM261=MiscData!$AB$91,1,AM261+1)</f>
        <v>85</v>
      </c>
    </row>
    <row r="263" spans="1:39">
      <c r="A263" s="7">
        <f t="shared" si="124"/>
        <v>262</v>
      </c>
      <c r="B263" s="13" t="str">
        <f t="shared" si="100"/>
        <v>Mar 2016</v>
      </c>
      <c r="C263" s="23" t="str">
        <f t="shared" si="101"/>
        <v>LS</v>
      </c>
      <c r="D263" s="23" t="str">
        <f t="shared" si="102"/>
        <v>KUUM_498</v>
      </c>
      <c r="E263" s="170">
        <f t="shared" si="103"/>
        <v>30</v>
      </c>
      <c r="F263" s="185"/>
      <c r="G263" s="170">
        <f t="shared" si="104"/>
        <v>0</v>
      </c>
      <c r="H263" s="170">
        <v>0</v>
      </c>
      <c r="I263" s="11">
        <f t="shared" si="105"/>
        <v>17.72</v>
      </c>
      <c r="J263" s="11">
        <f t="shared" si="106"/>
        <v>2.33</v>
      </c>
      <c r="K263" s="416">
        <f t="shared" si="119"/>
        <v>531.6</v>
      </c>
      <c r="L263" s="180"/>
      <c r="M263" s="180"/>
      <c r="N263" s="182">
        <f t="shared" si="107"/>
        <v>531.6</v>
      </c>
      <c r="O263" s="29">
        <f t="shared" si="108"/>
        <v>0</v>
      </c>
      <c r="P263" s="181">
        <f t="shared" si="120"/>
        <v>0</v>
      </c>
      <c r="Q263" s="182">
        <f t="shared" si="109"/>
        <v>0</v>
      </c>
      <c r="R263" s="182">
        <f t="shared" si="110"/>
        <v>0</v>
      </c>
      <c r="S263" s="182">
        <f t="shared" si="111"/>
        <v>0</v>
      </c>
      <c r="T263" s="182">
        <f t="shared" si="112"/>
        <v>0</v>
      </c>
      <c r="U263" s="182">
        <f t="shared" si="113"/>
        <v>0</v>
      </c>
      <c r="V263" s="14">
        <f t="shared" si="114"/>
        <v>531.6</v>
      </c>
      <c r="W263" s="14">
        <f t="shared" si="115"/>
        <v>-531.6</v>
      </c>
      <c r="Y263" s="14">
        <f t="shared" si="121"/>
        <v>69.900000000000006</v>
      </c>
      <c r="Z263" s="14">
        <f t="shared" si="122"/>
        <v>-69.900000000000006</v>
      </c>
      <c r="AA263" s="11">
        <f t="shared" si="116"/>
        <v>0.57999999999999996</v>
      </c>
      <c r="AB263" s="9">
        <f t="shared" si="123"/>
        <v>17.399999999999999</v>
      </c>
      <c r="AD263" s="13">
        <f>IF(AH263&gt;AH262,AD262,IF(AD262&lt;MiscData!$F$1,EOMONTH(AD262,1),EOMONTH(AD262,-11)))</f>
        <v>42460</v>
      </c>
      <c r="AE263" s="7" t="str">
        <f t="shared" si="117"/>
        <v>20140101KUUM_498</v>
      </c>
      <c r="AF263" s="12" t="str">
        <f t="shared" si="118"/>
        <v>20140101LS</v>
      </c>
      <c r="AG263" s="31"/>
      <c r="AH263">
        <f>IF(AH262=MiscData!$AB$91,1,AH262+1)</f>
        <v>86</v>
      </c>
      <c r="AI263">
        <f>IF(AD263&lt;=MiscData!$B$23,MiscData!$C$23,IF(AD263&lt;=MiscData!$B$24,MiscData!$C$24,MiscData!$C$25))</f>
        <v>20140101</v>
      </c>
      <c r="AK263" s="190" t="str">
        <f>VLOOKUP(AM263,MiscData!$AB$4:$ACB$113,2,FALSE)</f>
        <v>KUUM_498</v>
      </c>
      <c r="AL263" s="190" t="str">
        <f>VLOOKUP(AM263,MiscData!$AB$4:$AE$115,4,FALSE)</f>
        <v>LS</v>
      </c>
      <c r="AM263">
        <f>IF(AM262=MiscData!$AB$91,1,AM262+1)</f>
        <v>86</v>
      </c>
    </row>
    <row r="264" spans="1:39">
      <c r="A264" s="7">
        <f t="shared" si="124"/>
        <v>263</v>
      </c>
      <c r="B264" s="13" t="str">
        <f t="shared" si="100"/>
        <v>Mar 2016</v>
      </c>
      <c r="C264" s="23" t="str">
        <f t="shared" si="101"/>
        <v>LS</v>
      </c>
      <c r="D264" s="23" t="str">
        <f t="shared" si="102"/>
        <v>KUUM_499</v>
      </c>
      <c r="E264" s="170">
        <f t="shared" si="103"/>
        <v>24</v>
      </c>
      <c r="F264" s="185"/>
      <c r="G264" s="170">
        <f t="shared" si="104"/>
        <v>0</v>
      </c>
      <c r="H264" s="170">
        <v>0</v>
      </c>
      <c r="I264" s="11">
        <f t="shared" si="105"/>
        <v>21.490000000000002</v>
      </c>
      <c r="J264" s="11">
        <f t="shared" si="106"/>
        <v>4.5300000000000011</v>
      </c>
      <c r="K264" s="416">
        <f t="shared" si="119"/>
        <v>515.76</v>
      </c>
      <c r="L264" s="180"/>
      <c r="M264" s="180"/>
      <c r="N264" s="182">
        <f t="shared" si="107"/>
        <v>515.76</v>
      </c>
      <c r="O264" s="29">
        <f t="shared" si="108"/>
        <v>0</v>
      </c>
      <c r="P264" s="181">
        <f t="shared" si="120"/>
        <v>0</v>
      </c>
      <c r="Q264" s="182">
        <f t="shared" si="109"/>
        <v>0</v>
      </c>
      <c r="R264" s="182">
        <f t="shared" si="110"/>
        <v>0</v>
      </c>
      <c r="S264" s="182">
        <f t="shared" si="111"/>
        <v>0</v>
      </c>
      <c r="T264" s="182">
        <f t="shared" si="112"/>
        <v>0</v>
      </c>
      <c r="U264" s="182">
        <f t="shared" si="113"/>
        <v>0</v>
      </c>
      <c r="V264" s="14">
        <f t="shared" si="114"/>
        <v>515.76</v>
      </c>
      <c r="W264" s="14">
        <f t="shared" si="115"/>
        <v>-515.76</v>
      </c>
      <c r="Y264" s="14">
        <f t="shared" si="121"/>
        <v>108.72</v>
      </c>
      <c r="Z264" s="14">
        <f t="shared" si="122"/>
        <v>-108.72</v>
      </c>
      <c r="AA264" s="11">
        <f t="shared" si="116"/>
        <v>0.79</v>
      </c>
      <c r="AB264" s="9">
        <f t="shared" si="123"/>
        <v>18.96</v>
      </c>
      <c r="AD264" s="13">
        <f>IF(AH264&gt;AH263,AD263,IF(AD263&lt;MiscData!$F$1,EOMONTH(AD263,1),EOMONTH(AD263,-11)))</f>
        <v>42460</v>
      </c>
      <c r="AE264" s="7" t="str">
        <f t="shared" si="117"/>
        <v>20140101KUUM_499</v>
      </c>
      <c r="AF264" s="12" t="str">
        <f t="shared" si="118"/>
        <v>20140101LS</v>
      </c>
      <c r="AG264" s="31"/>
      <c r="AH264">
        <f>IF(AH263=MiscData!$AB$91,1,AH263+1)</f>
        <v>87</v>
      </c>
      <c r="AI264">
        <f>IF(AD264&lt;=MiscData!$B$23,MiscData!$C$23,IF(AD264&lt;=MiscData!$B$24,MiscData!$C$24,MiscData!$C$25))</f>
        <v>20140101</v>
      </c>
      <c r="AK264" s="190" t="str">
        <f>VLOOKUP(AM264,MiscData!$AB$4:$ACB$113,2,FALSE)</f>
        <v>KUUM_499</v>
      </c>
      <c r="AL264" s="190" t="str">
        <f>VLOOKUP(AM264,MiscData!$AB$4:$AE$115,4,FALSE)</f>
        <v>LS</v>
      </c>
      <c r="AM264">
        <f>IF(AM263=MiscData!$AB$91,1,AM263+1)</f>
        <v>87</v>
      </c>
    </row>
    <row r="265" spans="1:39">
      <c r="A265" s="414">
        <f t="shared" si="124"/>
        <v>264</v>
      </c>
      <c r="B265" s="427" t="str">
        <f t="shared" si="100"/>
        <v>Mar 2016</v>
      </c>
      <c r="C265" s="428" t="str">
        <f t="shared" si="101"/>
        <v>ODL</v>
      </c>
      <c r="D265" s="428" t="str">
        <f t="shared" si="102"/>
        <v>ODL</v>
      </c>
      <c r="E265" s="425">
        <f t="shared" si="103"/>
        <v>0</v>
      </c>
      <c r="F265" s="429"/>
      <c r="G265" s="425">
        <f t="shared" si="104"/>
        <v>9079099</v>
      </c>
      <c r="H265" s="425">
        <v>0</v>
      </c>
      <c r="I265" s="415">
        <f t="shared" si="105"/>
        <v>0</v>
      </c>
      <c r="J265" s="415">
        <f t="shared" si="106"/>
        <v>0</v>
      </c>
      <c r="K265" s="416">
        <f t="shared" si="119"/>
        <v>0</v>
      </c>
      <c r="L265" s="430"/>
      <c r="M265" s="430"/>
      <c r="N265" s="186">
        <f t="shared" si="107"/>
        <v>0</v>
      </c>
      <c r="O265" s="431">
        <f t="shared" si="108"/>
        <v>2136185</v>
      </c>
      <c r="P265" s="417">
        <f t="shared" si="120"/>
        <v>0</v>
      </c>
      <c r="Q265" s="186">
        <f t="shared" si="109"/>
        <v>22089</v>
      </c>
      <c r="R265" s="186">
        <f t="shared" si="110"/>
        <v>0</v>
      </c>
      <c r="S265" s="186">
        <f t="shared" si="111"/>
        <v>52323</v>
      </c>
      <c r="T265" s="186">
        <f t="shared" si="112"/>
        <v>0</v>
      </c>
      <c r="U265" s="186">
        <f t="shared" si="113"/>
        <v>2210597</v>
      </c>
      <c r="V265" s="418">
        <f t="shared" si="114"/>
        <v>74412</v>
      </c>
      <c r="W265" s="418">
        <f t="shared" si="115"/>
        <v>2136185</v>
      </c>
      <c r="X265" s="41"/>
      <c r="Y265" s="418">
        <f t="shared" si="121"/>
        <v>0</v>
      </c>
      <c r="Z265" s="418">
        <f t="shared" si="122"/>
        <v>2136185</v>
      </c>
      <c r="AA265" s="11">
        <f t="shared" si="116"/>
        <v>0</v>
      </c>
      <c r="AB265" s="9">
        <f t="shared" si="123"/>
        <v>0</v>
      </c>
      <c r="AC265" s="41"/>
      <c r="AD265" s="427">
        <f>IF(AH265&gt;AH264,AD264,IF(AD264&lt;MiscData!$F$1,EOMONTH(AD264,1),EOMONTH(AD264,-11)))</f>
        <v>42460</v>
      </c>
      <c r="AE265" s="414" t="str">
        <f t="shared" si="117"/>
        <v>20140101ODL</v>
      </c>
      <c r="AF265" s="466" t="str">
        <f t="shared" si="118"/>
        <v>20140101ODL</v>
      </c>
      <c r="AG265" s="467"/>
      <c r="AH265" s="41">
        <f>IF(AH264=MiscData!$AB$91,1,AH264+1)</f>
        <v>88</v>
      </c>
      <c r="AI265" s="41">
        <f>IF(AD265&lt;=MiscData!$B$23,MiscData!$C$23,IF(AD265&lt;=MiscData!$B$24,MiscData!$C$24,MiscData!$C$25))</f>
        <v>20140101</v>
      </c>
      <c r="AJ265" s="41"/>
      <c r="AK265" s="468" t="str">
        <f>VLOOKUP(AM265,MiscData!$AB$4:$ACB$113,2,FALSE)</f>
        <v>ODL</v>
      </c>
      <c r="AL265" s="468" t="str">
        <f>VLOOKUP(AM265,MiscData!$AB$4:$AE$115,4,FALSE)</f>
        <v>ODL</v>
      </c>
      <c r="AM265" s="41">
        <f>IF(AM264=MiscData!$AB$91,1,AM264+1)</f>
        <v>88</v>
      </c>
    </row>
    <row r="266" spans="1:39">
      <c r="A266" s="413">
        <f t="shared" si="124"/>
        <v>265</v>
      </c>
      <c r="B266" s="427" t="str">
        <f t="shared" si="100"/>
        <v>Apr 2016</v>
      </c>
      <c r="C266" s="428" t="str">
        <f t="shared" si="101"/>
        <v>LS</v>
      </c>
      <c r="D266" s="428" t="str">
        <f t="shared" si="102"/>
        <v>KUUM_300</v>
      </c>
      <c r="E266" s="425">
        <f t="shared" si="103"/>
        <v>0</v>
      </c>
      <c r="F266" s="429"/>
      <c r="G266" s="425">
        <f t="shared" si="104"/>
        <v>0</v>
      </c>
      <c r="H266" s="425">
        <v>0</v>
      </c>
      <c r="I266" s="415">
        <f t="shared" si="105"/>
        <v>22.49</v>
      </c>
      <c r="J266" s="415">
        <f t="shared" si="106"/>
        <v>0.58000000000000185</v>
      </c>
      <c r="K266" s="416">
        <f t="shared" si="119"/>
        <v>0</v>
      </c>
      <c r="L266" s="430"/>
      <c r="M266" s="430"/>
      <c r="N266" s="186">
        <f t="shared" si="107"/>
        <v>0</v>
      </c>
      <c r="O266" s="431">
        <f t="shared" si="108"/>
        <v>0</v>
      </c>
      <c r="P266" s="417">
        <f t="shared" si="120"/>
        <v>1</v>
      </c>
      <c r="Q266" s="186">
        <f t="shared" si="109"/>
        <v>0</v>
      </c>
      <c r="R266" s="186">
        <f t="shared" si="110"/>
        <v>0</v>
      </c>
      <c r="S266" s="186">
        <f t="shared" si="111"/>
        <v>0</v>
      </c>
      <c r="T266" s="186">
        <f t="shared" si="112"/>
        <v>0</v>
      </c>
      <c r="U266" s="186">
        <f t="shared" si="113"/>
        <v>0</v>
      </c>
      <c r="V266" s="418">
        <f t="shared" si="114"/>
        <v>0</v>
      </c>
      <c r="W266" s="418">
        <f t="shared" si="115"/>
        <v>0</v>
      </c>
      <c r="X266" s="41"/>
      <c r="Y266" s="418">
        <f t="shared" si="121"/>
        <v>0</v>
      </c>
      <c r="Z266" s="418">
        <f t="shared" si="122"/>
        <v>0</v>
      </c>
      <c r="AA266" s="11">
        <f t="shared" si="116"/>
        <v>0.33</v>
      </c>
      <c r="AB266" s="9">
        <f t="shared" si="123"/>
        <v>0</v>
      </c>
      <c r="AC266" s="41"/>
      <c r="AD266" s="427">
        <f>IF(AH266&gt;AH265,AD265,IF(AD265&lt;MiscData!$F$1,EOMONTH(AD265,1),EOMONTH(AD265,-11)))</f>
        <v>42490</v>
      </c>
      <c r="AE266" s="414" t="str">
        <f t="shared" si="117"/>
        <v>20140101KUUM_300</v>
      </c>
      <c r="AF266" s="466" t="str">
        <f t="shared" si="118"/>
        <v>20140101LS</v>
      </c>
      <c r="AG266" s="467"/>
      <c r="AH266" s="41">
        <f>IF(AH265=MiscData!$AB$91,1,AH265+1)</f>
        <v>1</v>
      </c>
      <c r="AI266">
        <f>IF(AD266&lt;=MiscData!$B$23,MiscData!$C$23,IF(AD266&lt;=MiscData!$B$24,MiscData!$C$24,MiscData!$C$25))</f>
        <v>20140101</v>
      </c>
      <c r="AJ266" s="41"/>
      <c r="AK266" s="468" t="str">
        <f>VLOOKUP(AM266,MiscData!$AB$4:$ACB$113,2,FALSE)</f>
        <v>KUUM_300</v>
      </c>
      <c r="AL266" s="468" t="str">
        <f>VLOOKUP(AM266,MiscData!$AB$4:$AE$115,4,FALSE)</f>
        <v>LS</v>
      </c>
      <c r="AM266" s="469">
        <f>IF(AM265=MiscData!$AB$91,1,AM265+1)</f>
        <v>1</v>
      </c>
    </row>
    <row r="267" spans="1:39">
      <c r="A267" s="413">
        <f t="shared" si="124"/>
        <v>266</v>
      </c>
      <c r="B267" s="427" t="str">
        <f t="shared" si="100"/>
        <v>Apr 2016</v>
      </c>
      <c r="C267" s="428" t="str">
        <f t="shared" si="101"/>
        <v>LS</v>
      </c>
      <c r="D267" s="428" t="str">
        <f t="shared" si="102"/>
        <v>KUUM_301</v>
      </c>
      <c r="E267" s="425">
        <f t="shared" si="103"/>
        <v>0</v>
      </c>
      <c r="F267" s="429"/>
      <c r="G267" s="425">
        <f t="shared" si="104"/>
        <v>0</v>
      </c>
      <c r="H267" s="425">
        <v>0</v>
      </c>
      <c r="I267" s="415">
        <f t="shared" si="105"/>
        <v>23.5</v>
      </c>
      <c r="J267" s="415">
        <f t="shared" si="106"/>
        <v>1.129999999999999</v>
      </c>
      <c r="K267" s="416">
        <f t="shared" si="119"/>
        <v>0</v>
      </c>
      <c r="L267" s="430"/>
      <c r="M267" s="430"/>
      <c r="N267" s="186">
        <f t="shared" si="107"/>
        <v>0</v>
      </c>
      <c r="O267" s="431">
        <f t="shared" si="108"/>
        <v>0</v>
      </c>
      <c r="P267" s="417">
        <f t="shared" si="120"/>
        <v>1</v>
      </c>
      <c r="Q267" s="186">
        <f t="shared" si="109"/>
        <v>0</v>
      </c>
      <c r="R267" s="186">
        <f t="shared" si="110"/>
        <v>0</v>
      </c>
      <c r="S267" s="186">
        <f t="shared" si="111"/>
        <v>0</v>
      </c>
      <c r="T267" s="186">
        <f t="shared" si="112"/>
        <v>0</v>
      </c>
      <c r="U267" s="186">
        <f t="shared" si="113"/>
        <v>0</v>
      </c>
      <c r="V267" s="418">
        <f t="shared" si="114"/>
        <v>0</v>
      </c>
      <c r="W267" s="418">
        <f t="shared" si="115"/>
        <v>0</v>
      </c>
      <c r="X267" s="41"/>
      <c r="Y267" s="418">
        <f t="shared" si="121"/>
        <v>0</v>
      </c>
      <c r="Z267" s="418">
        <f t="shared" si="122"/>
        <v>0</v>
      </c>
      <c r="AA267" s="11">
        <f t="shared" si="116"/>
        <v>0.34</v>
      </c>
      <c r="AB267" s="9">
        <f t="shared" si="123"/>
        <v>0</v>
      </c>
      <c r="AC267" s="41"/>
      <c r="AD267" s="427">
        <f>IF(AH267&gt;AH266,AD266,IF(AD266&lt;MiscData!$F$1,EOMONTH(AD266,1),EOMONTH(AD266,-11)))</f>
        <v>42490</v>
      </c>
      <c r="AE267" s="414" t="str">
        <f t="shared" si="117"/>
        <v>20140101KUUM_301</v>
      </c>
      <c r="AF267" s="466" t="str">
        <f t="shared" si="118"/>
        <v>20140101LS</v>
      </c>
      <c r="AG267" s="467"/>
      <c r="AH267" s="41">
        <f>IF(AH266=MiscData!$AB$91,1,AH266+1)</f>
        <v>2</v>
      </c>
      <c r="AI267">
        <f>IF(AD267&lt;=MiscData!$B$23,MiscData!$C$23,IF(AD267&lt;=MiscData!$B$24,MiscData!$C$24,MiscData!$C$25))</f>
        <v>20140101</v>
      </c>
      <c r="AJ267" s="41"/>
      <c r="AK267" s="468" t="str">
        <f>VLOOKUP(AM267,MiscData!$AB$4:$ACB$113,2,FALSE)</f>
        <v>KUUM_301</v>
      </c>
      <c r="AL267" s="468" t="str">
        <f>VLOOKUP(AM267,MiscData!$AB$4:$AE$115,4,FALSE)</f>
        <v>LS</v>
      </c>
      <c r="AM267" s="469">
        <f>IF(AM266=MiscData!$AB$91,1,AM266+1)</f>
        <v>2</v>
      </c>
    </row>
    <row r="268" spans="1:39">
      <c r="A268" s="413">
        <f t="shared" si="124"/>
        <v>267</v>
      </c>
      <c r="B268" s="427" t="str">
        <f t="shared" si="100"/>
        <v>Apr 2016</v>
      </c>
      <c r="C268" s="428" t="str">
        <f t="shared" si="101"/>
        <v>LS</v>
      </c>
      <c r="D268" s="428" t="str">
        <f t="shared" si="102"/>
        <v>KUUM_360</v>
      </c>
      <c r="E268" s="425">
        <f t="shared" si="103"/>
        <v>178</v>
      </c>
      <c r="F268" s="429"/>
      <c r="G268" s="425">
        <f t="shared" si="104"/>
        <v>0</v>
      </c>
      <c r="H268" s="425">
        <v>0</v>
      </c>
      <c r="I268" s="415">
        <f t="shared" si="105"/>
        <v>55.33</v>
      </c>
      <c r="J268" s="415">
        <f t="shared" si="106"/>
        <v>1.75</v>
      </c>
      <c r="K268" s="416">
        <f t="shared" si="119"/>
        <v>9848.74</v>
      </c>
      <c r="L268" s="430"/>
      <c r="M268" s="430"/>
      <c r="N268" s="186">
        <f>SUM(K268:M268)</f>
        <v>9848.74</v>
      </c>
      <c r="O268" s="431">
        <f t="shared" si="108"/>
        <v>0</v>
      </c>
      <c r="P268" s="417">
        <f t="shared" si="120"/>
        <v>0</v>
      </c>
      <c r="Q268" s="186">
        <f t="shared" si="109"/>
        <v>0</v>
      </c>
      <c r="R268" s="186">
        <f t="shared" si="110"/>
        <v>0</v>
      </c>
      <c r="S268" s="186">
        <f t="shared" si="111"/>
        <v>0</v>
      </c>
      <c r="T268" s="186">
        <f t="shared" si="112"/>
        <v>0</v>
      </c>
      <c r="U268" s="186">
        <f t="shared" si="113"/>
        <v>0</v>
      </c>
      <c r="V268" s="418">
        <f t="shared" si="114"/>
        <v>9848.74</v>
      </c>
      <c r="W268" s="418">
        <f t="shared" si="115"/>
        <v>-9848.74</v>
      </c>
      <c r="X268" s="41"/>
      <c r="Y268" s="418">
        <f t="shared" si="121"/>
        <v>311.5</v>
      </c>
      <c r="Z268" s="418">
        <f t="shared" si="122"/>
        <v>-311.5</v>
      </c>
      <c r="AA268" s="11">
        <f t="shared" si="116"/>
        <v>2.41</v>
      </c>
      <c r="AB268" s="9">
        <f t="shared" si="123"/>
        <v>428.98</v>
      </c>
      <c r="AC268" s="41"/>
      <c r="AD268" s="427">
        <f>IF(AH268&gt;AH267,AD267,IF(AD267&lt;MiscData!$F$1,EOMONTH(AD267,1),EOMONTH(AD267,-11)))</f>
        <v>42490</v>
      </c>
      <c r="AE268" s="414" t="str">
        <f t="shared" si="117"/>
        <v>20140101KUUM_360</v>
      </c>
      <c r="AF268" s="466" t="str">
        <f t="shared" si="118"/>
        <v>20140101LS</v>
      </c>
      <c r="AG268" s="467"/>
      <c r="AH268" s="41">
        <f>IF(AH267=MiscData!$AB$91,1,AH267+1)</f>
        <v>3</v>
      </c>
      <c r="AI268">
        <f>IF(AD268&lt;=MiscData!$B$23,MiscData!$C$23,IF(AD268&lt;=MiscData!$B$24,MiscData!$C$24,MiscData!$C$25))</f>
        <v>20140101</v>
      </c>
      <c r="AJ268" s="41"/>
      <c r="AK268" s="468" t="str">
        <f>VLOOKUP(AM268,MiscData!$AB$4:$ACB$113,2,FALSE)</f>
        <v>KUUM_360</v>
      </c>
      <c r="AL268" s="468" t="str">
        <f>VLOOKUP(AM268,MiscData!$AB$4:$AE$115,4,FALSE)</f>
        <v>LS</v>
      </c>
      <c r="AM268" s="469">
        <f>IF(AM267=MiscData!$AB$91,1,AM267+1)</f>
        <v>3</v>
      </c>
    </row>
    <row r="269" spans="1:39">
      <c r="A269" s="413">
        <f t="shared" si="124"/>
        <v>268</v>
      </c>
      <c r="B269" s="427" t="str">
        <f t="shared" si="100"/>
        <v>Apr 2016</v>
      </c>
      <c r="C269" s="428" t="str">
        <f t="shared" si="101"/>
        <v>LS</v>
      </c>
      <c r="D269" s="428" t="str">
        <f t="shared" si="102"/>
        <v>KUUM_361</v>
      </c>
      <c r="E269" s="425">
        <f t="shared" si="103"/>
        <v>25</v>
      </c>
      <c r="F269" s="429"/>
      <c r="G269" s="425">
        <f t="shared" si="104"/>
        <v>0</v>
      </c>
      <c r="H269" s="425">
        <v>0</v>
      </c>
      <c r="I269" s="415">
        <f t="shared" si="105"/>
        <v>83.16</v>
      </c>
      <c r="J269" s="415">
        <f t="shared" si="106"/>
        <v>1.75</v>
      </c>
      <c r="K269" s="416">
        <f t="shared" si="119"/>
        <v>2079</v>
      </c>
      <c r="L269" s="430"/>
      <c r="M269" s="430"/>
      <c r="N269" s="186">
        <f t="shared" si="107"/>
        <v>2079</v>
      </c>
      <c r="O269" s="431">
        <f t="shared" si="108"/>
        <v>0</v>
      </c>
      <c r="P269" s="417">
        <f t="shared" si="120"/>
        <v>0</v>
      </c>
      <c r="Q269" s="186">
        <f t="shared" si="109"/>
        <v>0</v>
      </c>
      <c r="R269" s="186">
        <f t="shared" si="110"/>
        <v>0</v>
      </c>
      <c r="S269" s="186">
        <f t="shared" si="111"/>
        <v>0</v>
      </c>
      <c r="T269" s="186">
        <f t="shared" si="112"/>
        <v>0</v>
      </c>
      <c r="U269" s="186">
        <f t="shared" si="113"/>
        <v>0</v>
      </c>
      <c r="V269" s="418">
        <f t="shared" si="114"/>
        <v>2079</v>
      </c>
      <c r="W269" s="418">
        <f t="shared" si="115"/>
        <v>-2079</v>
      </c>
      <c r="X269" s="41"/>
      <c r="Y269" s="418">
        <f t="shared" si="121"/>
        <v>43.75</v>
      </c>
      <c r="Z269" s="418">
        <f t="shared" si="122"/>
        <v>-43.75</v>
      </c>
      <c r="AA269" s="11">
        <f t="shared" si="116"/>
        <v>2.41</v>
      </c>
      <c r="AB269" s="9">
        <f t="shared" si="123"/>
        <v>60.25</v>
      </c>
      <c r="AC269" s="41"/>
      <c r="AD269" s="427">
        <f>IF(AH269&gt;AH268,AD268,IF(AD268&lt;MiscData!$F$1,EOMONTH(AD268,1),EOMONTH(AD268,-11)))</f>
        <v>42490</v>
      </c>
      <c r="AE269" s="414" t="str">
        <f t="shared" si="117"/>
        <v>20140101KUUM_361</v>
      </c>
      <c r="AF269" s="466" t="str">
        <f t="shared" si="118"/>
        <v>20140101LS</v>
      </c>
      <c r="AG269" s="467"/>
      <c r="AH269" s="41">
        <f>IF(AH268=MiscData!$AB$91,1,AH268+1)</f>
        <v>4</v>
      </c>
      <c r="AI269">
        <f>IF(AD269&lt;=MiscData!$B$23,MiscData!$C$23,IF(AD269&lt;=MiscData!$B$24,MiscData!$C$24,MiscData!$C$25))</f>
        <v>20140101</v>
      </c>
      <c r="AJ269" s="41"/>
      <c r="AK269" s="468" t="str">
        <f>VLOOKUP(AM269,MiscData!$AB$4:$ACB$113,2,FALSE)</f>
        <v>KUUM_361</v>
      </c>
      <c r="AL269" s="468" t="str">
        <f>VLOOKUP(AM269,MiscData!$AB$4:$AE$115,4,FALSE)</f>
        <v>LS</v>
      </c>
      <c r="AM269" s="469">
        <f>IF(AM268=MiscData!$AB$91,1,AM268+1)</f>
        <v>4</v>
      </c>
    </row>
    <row r="270" spans="1:39">
      <c r="A270" s="413">
        <f t="shared" si="124"/>
        <v>269</v>
      </c>
      <c r="B270" s="427" t="str">
        <f t="shared" si="100"/>
        <v>Apr 2016</v>
      </c>
      <c r="C270" s="428" t="str">
        <f t="shared" si="101"/>
        <v>LS</v>
      </c>
      <c r="D270" s="428" t="str">
        <f t="shared" si="102"/>
        <v>KUUM_362</v>
      </c>
      <c r="E270" s="425">
        <f t="shared" si="103"/>
        <v>43</v>
      </c>
      <c r="F270" s="429"/>
      <c r="G270" s="425">
        <f t="shared" si="104"/>
        <v>0</v>
      </c>
      <c r="H270" s="425">
        <v>0</v>
      </c>
      <c r="I270" s="415">
        <f t="shared" si="105"/>
        <v>59.78</v>
      </c>
      <c r="J270" s="415">
        <f t="shared" si="106"/>
        <v>1.75</v>
      </c>
      <c r="K270" s="416">
        <f t="shared" si="119"/>
        <v>2570.54</v>
      </c>
      <c r="L270" s="430"/>
      <c r="M270" s="430"/>
      <c r="N270" s="186">
        <f t="shared" si="107"/>
        <v>2570.54</v>
      </c>
      <c r="O270" s="431">
        <f t="shared" si="108"/>
        <v>0</v>
      </c>
      <c r="P270" s="417">
        <f t="shared" si="120"/>
        <v>0</v>
      </c>
      <c r="Q270" s="186">
        <f t="shared" si="109"/>
        <v>0</v>
      </c>
      <c r="R270" s="186">
        <f t="shared" si="110"/>
        <v>0</v>
      </c>
      <c r="S270" s="186">
        <f t="shared" si="111"/>
        <v>0</v>
      </c>
      <c r="T270" s="186">
        <f t="shared" si="112"/>
        <v>0</v>
      </c>
      <c r="U270" s="186">
        <f t="shared" si="113"/>
        <v>0</v>
      </c>
      <c r="V270" s="418">
        <f t="shared" si="114"/>
        <v>2570.54</v>
      </c>
      <c r="W270" s="418">
        <f t="shared" si="115"/>
        <v>-2570.54</v>
      </c>
      <c r="X270" s="41"/>
      <c r="Y270" s="418">
        <f t="shared" si="121"/>
        <v>75.25</v>
      </c>
      <c r="Z270" s="418">
        <f t="shared" si="122"/>
        <v>-75.25</v>
      </c>
      <c r="AA270" s="11">
        <f t="shared" si="116"/>
        <v>2.41</v>
      </c>
      <c r="AB270" s="9">
        <f t="shared" si="123"/>
        <v>103.63000000000001</v>
      </c>
      <c r="AC270" s="41"/>
      <c r="AD270" s="427">
        <f>IF(AH270&gt;AH269,AD269,IF(AD269&lt;MiscData!$F$1,EOMONTH(AD269,1),EOMONTH(AD269,-11)))</f>
        <v>42490</v>
      </c>
      <c r="AE270" s="414" t="str">
        <f t="shared" si="117"/>
        <v>20140101KUUM_362</v>
      </c>
      <c r="AF270" s="466" t="str">
        <f t="shared" si="118"/>
        <v>20140101LS</v>
      </c>
      <c r="AG270" s="467"/>
      <c r="AH270" s="41">
        <f>IF(AH269=MiscData!$AB$91,1,AH269+1)</f>
        <v>5</v>
      </c>
      <c r="AI270">
        <f>IF(AD270&lt;=MiscData!$B$23,MiscData!$C$23,IF(AD270&lt;=MiscData!$B$24,MiscData!$C$24,MiscData!$C$25))</f>
        <v>20140101</v>
      </c>
      <c r="AJ270" s="41"/>
      <c r="AK270" s="468" t="str">
        <f>VLOOKUP(AM270,MiscData!$AB$4:$ACB$113,2,FALSE)</f>
        <v>KUUM_362</v>
      </c>
      <c r="AL270" s="468" t="str">
        <f>VLOOKUP(AM270,MiscData!$AB$4:$AE$115,4,FALSE)</f>
        <v>LS</v>
      </c>
      <c r="AM270" s="469">
        <f>IF(AM269=MiscData!$AB$91,1,AM269+1)</f>
        <v>5</v>
      </c>
    </row>
    <row r="271" spans="1:39">
      <c r="A271" s="413">
        <f t="shared" si="124"/>
        <v>270</v>
      </c>
      <c r="B271" s="427" t="str">
        <f t="shared" si="100"/>
        <v>Apr 2016</v>
      </c>
      <c r="C271" s="428" t="str">
        <f t="shared" si="101"/>
        <v>LS</v>
      </c>
      <c r="D271" s="428" t="str">
        <f t="shared" si="102"/>
        <v>KUUM_363</v>
      </c>
      <c r="E271" s="425">
        <f t="shared" si="103"/>
        <v>5</v>
      </c>
      <c r="F271" s="429"/>
      <c r="G271" s="425">
        <f t="shared" si="104"/>
        <v>0</v>
      </c>
      <c r="H271" s="425">
        <v>0</v>
      </c>
      <c r="I271" s="415">
        <f t="shared" si="105"/>
        <v>61.75</v>
      </c>
      <c r="J271" s="415">
        <f t="shared" si="106"/>
        <v>1.75</v>
      </c>
      <c r="K271" s="416">
        <f t="shared" si="119"/>
        <v>308.75</v>
      </c>
      <c r="L271" s="430"/>
      <c r="M271" s="430"/>
      <c r="N271" s="186">
        <f t="shared" si="107"/>
        <v>308.75</v>
      </c>
      <c r="O271" s="431">
        <f t="shared" si="108"/>
        <v>0</v>
      </c>
      <c r="P271" s="417">
        <f t="shared" si="120"/>
        <v>0</v>
      </c>
      <c r="Q271" s="186">
        <f t="shared" si="109"/>
        <v>0</v>
      </c>
      <c r="R271" s="186">
        <f t="shared" si="110"/>
        <v>0</v>
      </c>
      <c r="S271" s="186">
        <f t="shared" si="111"/>
        <v>0</v>
      </c>
      <c r="T271" s="186">
        <f t="shared" si="112"/>
        <v>0</v>
      </c>
      <c r="U271" s="186">
        <f t="shared" si="113"/>
        <v>0</v>
      </c>
      <c r="V271" s="418">
        <f t="shared" si="114"/>
        <v>308.75</v>
      </c>
      <c r="W271" s="418">
        <f t="shared" si="115"/>
        <v>-308.75</v>
      </c>
      <c r="X271" s="41"/>
      <c r="Y271" s="418">
        <f t="shared" si="121"/>
        <v>8.75</v>
      </c>
      <c r="Z271" s="418">
        <f t="shared" si="122"/>
        <v>-8.75</v>
      </c>
      <c r="AA271" s="11">
        <f t="shared" si="116"/>
        <v>2.41</v>
      </c>
      <c r="AB271" s="9">
        <f t="shared" si="123"/>
        <v>12.05</v>
      </c>
      <c r="AC271" s="41"/>
      <c r="AD271" s="427">
        <f>IF(AH271&gt;AH270,AD270,IF(AD270&lt;MiscData!$F$1,EOMONTH(AD270,1),EOMONTH(AD270,-11)))</f>
        <v>42490</v>
      </c>
      <c r="AE271" s="414" t="str">
        <f t="shared" si="117"/>
        <v>20140101KUUM_363</v>
      </c>
      <c r="AF271" s="466" t="str">
        <f t="shared" si="118"/>
        <v>20140101LS</v>
      </c>
      <c r="AG271" s="467"/>
      <c r="AH271" s="41">
        <f>IF(AH270=MiscData!$AB$91,1,AH270+1)</f>
        <v>6</v>
      </c>
      <c r="AI271">
        <f>IF(AD271&lt;=MiscData!$B$23,MiscData!$C$23,IF(AD271&lt;=MiscData!$B$24,MiscData!$C$24,MiscData!$C$25))</f>
        <v>20140101</v>
      </c>
      <c r="AJ271" s="41"/>
      <c r="AK271" s="468" t="str">
        <f>VLOOKUP(AM271,MiscData!$AB$4:$ACB$113,2,FALSE)</f>
        <v>KUUM_363</v>
      </c>
      <c r="AL271" s="468" t="str">
        <f>VLOOKUP(AM271,MiscData!$AB$4:$AE$115,4,FALSE)</f>
        <v>LS</v>
      </c>
      <c r="AM271" s="469">
        <f>IF(AM270=MiscData!$AB$91,1,AM270+1)</f>
        <v>6</v>
      </c>
    </row>
    <row r="272" spans="1:39">
      <c r="A272" s="413">
        <f t="shared" si="124"/>
        <v>271</v>
      </c>
      <c r="B272" s="427" t="str">
        <f t="shared" si="100"/>
        <v>Apr 2016</v>
      </c>
      <c r="C272" s="428" t="str">
        <f t="shared" si="101"/>
        <v>LS</v>
      </c>
      <c r="D272" s="428" t="str">
        <f t="shared" si="102"/>
        <v>KUUM_364</v>
      </c>
      <c r="E272" s="425">
        <f t="shared" si="103"/>
        <v>1</v>
      </c>
      <c r="F272" s="429"/>
      <c r="G272" s="425">
        <f t="shared" si="104"/>
        <v>0</v>
      </c>
      <c r="H272" s="425">
        <v>0</v>
      </c>
      <c r="I272" s="415">
        <f t="shared" si="105"/>
        <v>63.11</v>
      </c>
      <c r="J272" s="415">
        <f t="shared" si="106"/>
        <v>1.75</v>
      </c>
      <c r="K272" s="416">
        <f t="shared" si="119"/>
        <v>63.11</v>
      </c>
      <c r="L272" s="430"/>
      <c r="M272" s="430"/>
      <c r="N272" s="186">
        <f t="shared" si="107"/>
        <v>63.11</v>
      </c>
      <c r="O272" s="431">
        <f t="shared" si="108"/>
        <v>0</v>
      </c>
      <c r="P272" s="417">
        <f t="shared" si="120"/>
        <v>0</v>
      </c>
      <c r="Q272" s="186">
        <f t="shared" si="109"/>
        <v>0</v>
      </c>
      <c r="R272" s="186">
        <f t="shared" si="110"/>
        <v>0</v>
      </c>
      <c r="S272" s="186">
        <f t="shared" si="111"/>
        <v>0</v>
      </c>
      <c r="T272" s="186">
        <f t="shared" si="112"/>
        <v>0</v>
      </c>
      <c r="U272" s="186">
        <f t="shared" si="113"/>
        <v>0</v>
      </c>
      <c r="V272" s="418">
        <f t="shared" si="114"/>
        <v>63.11</v>
      </c>
      <c r="W272" s="418">
        <f t="shared" si="115"/>
        <v>-63.11</v>
      </c>
      <c r="X272" s="41"/>
      <c r="Y272" s="418">
        <f t="shared" si="121"/>
        <v>1.75</v>
      </c>
      <c r="Z272" s="418">
        <f t="shared" si="122"/>
        <v>-1.75</v>
      </c>
      <c r="AA272" s="11">
        <f t="shared" si="116"/>
        <v>2.41</v>
      </c>
      <c r="AB272" s="9">
        <f t="shared" si="123"/>
        <v>2.41</v>
      </c>
      <c r="AC272" s="41"/>
      <c r="AD272" s="427">
        <f>IF(AH272&gt;AH271,AD271,IF(AD271&lt;MiscData!$F$1,EOMONTH(AD271,1),EOMONTH(AD271,-11)))</f>
        <v>42490</v>
      </c>
      <c r="AE272" s="414" t="str">
        <f t="shared" si="117"/>
        <v>20140101KUUM_364</v>
      </c>
      <c r="AF272" s="466" t="str">
        <f t="shared" si="118"/>
        <v>20140101LS</v>
      </c>
      <c r="AG272" s="467"/>
      <c r="AH272" s="41">
        <f>IF(AH271=MiscData!$AB$91,1,AH271+1)</f>
        <v>7</v>
      </c>
      <c r="AI272">
        <f>IF(AD272&lt;=MiscData!$B$23,MiscData!$C$23,IF(AD272&lt;=MiscData!$B$24,MiscData!$C$24,MiscData!$C$25))</f>
        <v>20140101</v>
      </c>
      <c r="AJ272" s="41"/>
      <c r="AK272" s="468" t="str">
        <f>VLOOKUP(AM272,MiscData!$AB$4:$ACB$113,2,FALSE)</f>
        <v>KUUM_364</v>
      </c>
      <c r="AL272" s="468" t="str">
        <f>VLOOKUP(AM272,MiscData!$AB$4:$AE$115,4,FALSE)</f>
        <v>LS</v>
      </c>
      <c r="AM272" s="469">
        <f>IF(AM271=MiscData!$AB$91,1,AM271+1)</f>
        <v>7</v>
      </c>
    </row>
    <row r="273" spans="1:39">
      <c r="A273" s="413">
        <f t="shared" si="124"/>
        <v>272</v>
      </c>
      <c r="B273" s="427" t="str">
        <f t="shared" si="100"/>
        <v>Apr 2016</v>
      </c>
      <c r="C273" s="428" t="str">
        <f t="shared" si="101"/>
        <v>LS</v>
      </c>
      <c r="D273" s="428" t="str">
        <f t="shared" si="102"/>
        <v>KUUM_365</v>
      </c>
      <c r="E273" s="425">
        <f t="shared" si="103"/>
        <v>5</v>
      </c>
      <c r="F273" s="429"/>
      <c r="G273" s="425">
        <f t="shared" si="104"/>
        <v>0</v>
      </c>
      <c r="H273" s="425">
        <v>0</v>
      </c>
      <c r="I273" s="415">
        <f t="shared" si="105"/>
        <v>80.94</v>
      </c>
      <c r="J273" s="415">
        <f t="shared" si="106"/>
        <v>1.75</v>
      </c>
      <c r="K273" s="416">
        <f t="shared" si="119"/>
        <v>404.7</v>
      </c>
      <c r="L273" s="430"/>
      <c r="M273" s="430"/>
      <c r="N273" s="186">
        <f t="shared" si="107"/>
        <v>404.7</v>
      </c>
      <c r="O273" s="431">
        <f t="shared" si="108"/>
        <v>0</v>
      </c>
      <c r="P273" s="417">
        <f t="shared" si="120"/>
        <v>0</v>
      </c>
      <c r="Q273" s="186">
        <f t="shared" si="109"/>
        <v>0</v>
      </c>
      <c r="R273" s="186">
        <f t="shared" si="110"/>
        <v>0</v>
      </c>
      <c r="S273" s="186">
        <f t="shared" si="111"/>
        <v>0</v>
      </c>
      <c r="T273" s="186">
        <f t="shared" si="112"/>
        <v>0</v>
      </c>
      <c r="U273" s="186">
        <f t="shared" si="113"/>
        <v>0</v>
      </c>
      <c r="V273" s="418">
        <f t="shared" si="114"/>
        <v>404.7</v>
      </c>
      <c r="W273" s="418">
        <f t="shared" si="115"/>
        <v>-404.7</v>
      </c>
      <c r="X273" s="41"/>
      <c r="Y273" s="418">
        <f t="shared" si="121"/>
        <v>8.75</v>
      </c>
      <c r="Z273" s="418">
        <f t="shared" si="122"/>
        <v>-8.75</v>
      </c>
      <c r="AA273" s="11">
        <f t="shared" si="116"/>
        <v>2.41</v>
      </c>
      <c r="AB273" s="9">
        <f t="shared" si="123"/>
        <v>12.05</v>
      </c>
      <c r="AC273" s="41"/>
      <c r="AD273" s="427">
        <f>IF(AH273&gt;AH272,AD272,IF(AD272&lt;MiscData!$F$1,EOMONTH(AD272,1),EOMONTH(AD272,-11)))</f>
        <v>42490</v>
      </c>
      <c r="AE273" s="414" t="str">
        <f t="shared" si="117"/>
        <v>20140101KUUM_365</v>
      </c>
      <c r="AF273" s="466" t="str">
        <f t="shared" si="118"/>
        <v>20140101LS</v>
      </c>
      <c r="AG273" s="467"/>
      <c r="AH273" s="41">
        <f>IF(AH272=MiscData!$AB$91,1,AH272+1)</f>
        <v>8</v>
      </c>
      <c r="AI273">
        <f>IF(AD273&lt;=MiscData!$B$23,MiscData!$C$23,IF(AD273&lt;=MiscData!$B$24,MiscData!$C$24,MiscData!$C$25))</f>
        <v>20140101</v>
      </c>
      <c r="AJ273" s="41"/>
      <c r="AK273" s="468" t="str">
        <f>VLOOKUP(AM273,MiscData!$AB$4:$ACB$113,2,FALSE)</f>
        <v>KUUM_365</v>
      </c>
      <c r="AL273" s="468" t="str">
        <f>VLOOKUP(AM273,MiscData!$AB$4:$AE$115,4,FALSE)</f>
        <v>LS</v>
      </c>
      <c r="AM273" s="469">
        <f>IF(AM272=MiscData!$AB$91,1,AM272+1)</f>
        <v>8</v>
      </c>
    </row>
    <row r="274" spans="1:39">
      <c r="A274" s="413">
        <f t="shared" si="124"/>
        <v>273</v>
      </c>
      <c r="B274" s="427" t="str">
        <f t="shared" si="100"/>
        <v>Apr 2016</v>
      </c>
      <c r="C274" s="428" t="str">
        <f t="shared" si="101"/>
        <v>LS</v>
      </c>
      <c r="D274" s="428" t="str">
        <f t="shared" si="102"/>
        <v>KUUM_366</v>
      </c>
      <c r="E274" s="425">
        <f t="shared" si="103"/>
        <v>9</v>
      </c>
      <c r="F274" s="429"/>
      <c r="G274" s="425">
        <f t="shared" si="104"/>
        <v>0</v>
      </c>
      <c r="H274" s="425">
        <v>0</v>
      </c>
      <c r="I274" s="415">
        <f t="shared" si="105"/>
        <v>78.97</v>
      </c>
      <c r="J274" s="415">
        <f t="shared" si="106"/>
        <v>1.75</v>
      </c>
      <c r="K274" s="416">
        <f t="shared" si="119"/>
        <v>710.73</v>
      </c>
      <c r="L274" s="430"/>
      <c r="M274" s="430"/>
      <c r="N274" s="186">
        <f t="shared" si="107"/>
        <v>710.73</v>
      </c>
      <c r="O274" s="431">
        <f t="shared" si="108"/>
        <v>0</v>
      </c>
      <c r="P274" s="417">
        <f t="shared" si="120"/>
        <v>0</v>
      </c>
      <c r="Q274" s="186">
        <f t="shared" si="109"/>
        <v>0</v>
      </c>
      <c r="R274" s="186">
        <f t="shared" si="110"/>
        <v>0</v>
      </c>
      <c r="S274" s="186">
        <f t="shared" si="111"/>
        <v>0</v>
      </c>
      <c r="T274" s="186">
        <f t="shared" si="112"/>
        <v>0</v>
      </c>
      <c r="U274" s="186">
        <f t="shared" si="113"/>
        <v>0</v>
      </c>
      <c r="V274" s="418">
        <f t="shared" si="114"/>
        <v>710.73</v>
      </c>
      <c r="W274" s="418">
        <f t="shared" si="115"/>
        <v>-710.73</v>
      </c>
      <c r="X274" s="41"/>
      <c r="Y274" s="418">
        <f t="shared" si="121"/>
        <v>15.75</v>
      </c>
      <c r="Z274" s="418">
        <f t="shared" si="122"/>
        <v>-15.75</v>
      </c>
      <c r="AA274" s="11">
        <f t="shared" si="116"/>
        <v>2.41</v>
      </c>
      <c r="AB274" s="9">
        <f t="shared" si="123"/>
        <v>21.69</v>
      </c>
      <c r="AC274" s="41"/>
      <c r="AD274" s="427">
        <f>IF(AH274&gt;AH273,AD273,IF(AD273&lt;MiscData!$F$1,EOMONTH(AD273,1),EOMONTH(AD273,-11)))</f>
        <v>42490</v>
      </c>
      <c r="AE274" s="414" t="str">
        <f t="shared" si="117"/>
        <v>20140101KUUM_366</v>
      </c>
      <c r="AF274" s="466" t="str">
        <f t="shared" si="118"/>
        <v>20140101LS</v>
      </c>
      <c r="AG274" s="467"/>
      <c r="AH274" s="41">
        <f>IF(AH273=MiscData!$AB$91,1,AH273+1)</f>
        <v>9</v>
      </c>
      <c r="AI274">
        <f>IF(AD274&lt;=MiscData!$B$23,MiscData!$C$23,IF(AD274&lt;=MiscData!$B$24,MiscData!$C$24,MiscData!$C$25))</f>
        <v>20140101</v>
      </c>
      <c r="AJ274" s="41"/>
      <c r="AK274" s="468" t="str">
        <f>VLOOKUP(AM274,MiscData!$AB$4:$ACB$113,2,FALSE)</f>
        <v>KUUM_366</v>
      </c>
      <c r="AL274" s="468" t="str">
        <f>VLOOKUP(AM274,MiscData!$AB$4:$AE$115,4,FALSE)</f>
        <v>LS</v>
      </c>
      <c r="AM274" s="469">
        <f>IF(AM273=MiscData!$AB$91,1,AM273+1)</f>
        <v>9</v>
      </c>
    </row>
    <row r="275" spans="1:39">
      <c r="A275" s="413">
        <f t="shared" si="124"/>
        <v>274</v>
      </c>
      <c r="B275" s="427" t="str">
        <f t="shared" si="100"/>
        <v>Apr 2016</v>
      </c>
      <c r="C275" s="428" t="str">
        <f t="shared" si="101"/>
        <v>LS</v>
      </c>
      <c r="D275" s="428" t="str">
        <f t="shared" si="102"/>
        <v>KUUM_367</v>
      </c>
      <c r="E275" s="425">
        <f t="shared" si="103"/>
        <v>25</v>
      </c>
      <c r="F275" s="429"/>
      <c r="G275" s="425">
        <f t="shared" si="104"/>
        <v>0</v>
      </c>
      <c r="H275" s="425">
        <v>0</v>
      </c>
      <c r="I275" s="415">
        <f t="shared" si="105"/>
        <v>61.230000000000004</v>
      </c>
      <c r="J275" s="415">
        <f t="shared" si="106"/>
        <v>1.75</v>
      </c>
      <c r="K275" s="416">
        <f t="shared" si="119"/>
        <v>1530.75</v>
      </c>
      <c r="L275" s="430"/>
      <c r="M275" s="430"/>
      <c r="N275" s="186">
        <f t="shared" si="107"/>
        <v>1530.75</v>
      </c>
      <c r="O275" s="431">
        <f t="shared" si="108"/>
        <v>0</v>
      </c>
      <c r="P275" s="417">
        <f t="shared" si="120"/>
        <v>0</v>
      </c>
      <c r="Q275" s="186">
        <f t="shared" si="109"/>
        <v>0</v>
      </c>
      <c r="R275" s="186">
        <f t="shared" si="110"/>
        <v>0</v>
      </c>
      <c r="S275" s="186">
        <f t="shared" si="111"/>
        <v>0</v>
      </c>
      <c r="T275" s="186">
        <f t="shared" si="112"/>
        <v>0</v>
      </c>
      <c r="U275" s="186">
        <f t="shared" si="113"/>
        <v>0</v>
      </c>
      <c r="V275" s="418">
        <f t="shared" si="114"/>
        <v>1530.75</v>
      </c>
      <c r="W275" s="418">
        <f t="shared" si="115"/>
        <v>-1530.75</v>
      </c>
      <c r="X275" s="41"/>
      <c r="Y275" s="418">
        <f t="shared" si="121"/>
        <v>43.75</v>
      </c>
      <c r="Z275" s="418">
        <f t="shared" si="122"/>
        <v>-43.75</v>
      </c>
      <c r="AA275" s="11">
        <f t="shared" si="116"/>
        <v>2.41</v>
      </c>
      <c r="AB275" s="9">
        <f t="shared" si="123"/>
        <v>60.25</v>
      </c>
      <c r="AC275" s="41"/>
      <c r="AD275" s="427">
        <f>IF(AH275&gt;AH274,AD274,IF(AD274&lt;MiscData!$F$1,EOMONTH(AD274,1),EOMONTH(AD274,-11)))</f>
        <v>42490</v>
      </c>
      <c r="AE275" s="414" t="str">
        <f t="shared" si="117"/>
        <v>20140101KUUM_367</v>
      </c>
      <c r="AF275" s="466" t="str">
        <f t="shared" si="118"/>
        <v>20140101LS</v>
      </c>
      <c r="AG275" s="467"/>
      <c r="AH275" s="41">
        <f>IF(AH274=MiscData!$AB$91,1,AH274+1)</f>
        <v>10</v>
      </c>
      <c r="AI275">
        <f>IF(AD275&lt;=MiscData!$B$23,MiscData!$C$23,IF(AD275&lt;=MiscData!$B$24,MiscData!$C$24,MiscData!$C$25))</f>
        <v>20140101</v>
      </c>
      <c r="AJ275" s="41"/>
      <c r="AK275" s="468" t="str">
        <f>VLOOKUP(AM275,MiscData!$AB$4:$ACB$113,2,FALSE)</f>
        <v>KUUM_367</v>
      </c>
      <c r="AL275" s="468" t="str">
        <f>VLOOKUP(AM275,MiscData!$AB$4:$AE$115,4,FALSE)</f>
        <v>LS</v>
      </c>
      <c r="AM275" s="469">
        <f>IF(AM274=MiscData!$AB$91,1,AM274+1)</f>
        <v>10</v>
      </c>
    </row>
    <row r="276" spans="1:39">
      <c r="A276" s="413">
        <f t="shared" si="124"/>
        <v>275</v>
      </c>
      <c r="B276" s="427" t="str">
        <f t="shared" si="100"/>
        <v>Apr 2016</v>
      </c>
      <c r="C276" s="428" t="str">
        <f t="shared" si="101"/>
        <v>LS</v>
      </c>
      <c r="D276" s="428" t="str">
        <f t="shared" si="102"/>
        <v>KUUM_368</v>
      </c>
      <c r="E276" s="425">
        <f t="shared" si="103"/>
        <v>1</v>
      </c>
      <c r="F276" s="429"/>
      <c r="G276" s="425">
        <f t="shared" si="104"/>
        <v>0</v>
      </c>
      <c r="H276" s="425">
        <v>0</v>
      </c>
      <c r="I276" s="415">
        <f t="shared" si="105"/>
        <v>56.69</v>
      </c>
      <c r="J276" s="415">
        <f t="shared" si="106"/>
        <v>1.75</v>
      </c>
      <c r="K276" s="416">
        <f t="shared" si="119"/>
        <v>56.69</v>
      </c>
      <c r="L276" s="430"/>
      <c r="M276" s="430"/>
      <c r="N276" s="186">
        <f t="shared" si="107"/>
        <v>56.69</v>
      </c>
      <c r="O276" s="431">
        <f t="shared" si="108"/>
        <v>0</v>
      </c>
      <c r="P276" s="417">
        <f t="shared" si="120"/>
        <v>0</v>
      </c>
      <c r="Q276" s="186">
        <f t="shared" si="109"/>
        <v>0</v>
      </c>
      <c r="R276" s="186">
        <f t="shared" si="110"/>
        <v>0</v>
      </c>
      <c r="S276" s="186">
        <f t="shared" si="111"/>
        <v>0</v>
      </c>
      <c r="T276" s="186">
        <f t="shared" si="112"/>
        <v>0</v>
      </c>
      <c r="U276" s="186">
        <f t="shared" si="113"/>
        <v>0</v>
      </c>
      <c r="V276" s="418">
        <f t="shared" si="114"/>
        <v>56.69</v>
      </c>
      <c r="W276" s="418">
        <f t="shared" si="115"/>
        <v>-56.69</v>
      </c>
      <c r="X276" s="41"/>
      <c r="Y276" s="418">
        <f t="shared" si="121"/>
        <v>1.75</v>
      </c>
      <c r="Z276" s="418">
        <f t="shared" si="122"/>
        <v>-1.75</v>
      </c>
      <c r="AA276" s="11">
        <f t="shared" si="116"/>
        <v>2.41</v>
      </c>
      <c r="AB276" s="9">
        <f t="shared" si="123"/>
        <v>2.41</v>
      </c>
      <c r="AC276" s="41"/>
      <c r="AD276" s="427">
        <f>IF(AH276&gt;AH275,AD275,IF(AD275&lt;MiscData!$F$1,EOMONTH(AD275,1),EOMONTH(AD275,-11)))</f>
        <v>42490</v>
      </c>
      <c r="AE276" s="414" t="str">
        <f t="shared" si="117"/>
        <v>20140101KUUM_368</v>
      </c>
      <c r="AF276" s="466" t="str">
        <f t="shared" si="118"/>
        <v>20140101LS</v>
      </c>
      <c r="AG276" s="467"/>
      <c r="AH276" s="41">
        <f>IF(AH275=MiscData!$AB$91,1,AH275+1)</f>
        <v>11</v>
      </c>
      <c r="AI276">
        <f>IF(AD276&lt;=MiscData!$B$23,MiscData!$C$23,IF(AD276&lt;=MiscData!$B$24,MiscData!$C$24,MiscData!$C$25))</f>
        <v>20140101</v>
      </c>
      <c r="AJ276" s="41"/>
      <c r="AK276" s="468" t="str">
        <f>VLOOKUP(AM276,MiscData!$AB$4:$ACB$113,2,FALSE)</f>
        <v>KUUM_368</v>
      </c>
      <c r="AL276" s="468" t="str">
        <f>VLOOKUP(AM276,MiscData!$AB$4:$AE$115,4,FALSE)</f>
        <v>LS</v>
      </c>
      <c r="AM276" s="469">
        <f>IF(AM275=MiscData!$AB$91,1,AM275+1)</f>
        <v>11</v>
      </c>
    </row>
    <row r="277" spans="1:39">
      <c r="A277" s="413">
        <f t="shared" si="124"/>
        <v>276</v>
      </c>
      <c r="B277" s="427" t="str">
        <f t="shared" si="100"/>
        <v>Apr 2016</v>
      </c>
      <c r="C277" s="428" t="str">
        <f t="shared" si="101"/>
        <v>LS</v>
      </c>
      <c r="D277" s="428" t="str">
        <f t="shared" si="102"/>
        <v>KUUM_370</v>
      </c>
      <c r="E277" s="425">
        <f t="shared" si="103"/>
        <v>15</v>
      </c>
      <c r="F277" s="429"/>
      <c r="G277" s="425">
        <f t="shared" si="104"/>
        <v>0</v>
      </c>
      <c r="H277" s="425">
        <v>0</v>
      </c>
      <c r="I277" s="415">
        <f t="shared" si="105"/>
        <v>74.52</v>
      </c>
      <c r="J277" s="415">
        <f t="shared" si="106"/>
        <v>1.75</v>
      </c>
      <c r="K277" s="416">
        <f t="shared" si="119"/>
        <v>1117.8</v>
      </c>
      <c r="L277" s="430"/>
      <c r="M277" s="430"/>
      <c r="N277" s="186">
        <f t="shared" si="107"/>
        <v>1117.8</v>
      </c>
      <c r="O277" s="431">
        <f t="shared" si="108"/>
        <v>0</v>
      </c>
      <c r="P277" s="417">
        <f t="shared" si="120"/>
        <v>0</v>
      </c>
      <c r="Q277" s="186">
        <f t="shared" si="109"/>
        <v>0</v>
      </c>
      <c r="R277" s="186">
        <f t="shared" si="110"/>
        <v>0</v>
      </c>
      <c r="S277" s="186">
        <f t="shared" si="111"/>
        <v>0</v>
      </c>
      <c r="T277" s="186">
        <f t="shared" si="112"/>
        <v>0</v>
      </c>
      <c r="U277" s="186">
        <f t="shared" si="113"/>
        <v>0</v>
      </c>
      <c r="V277" s="418">
        <f t="shared" si="114"/>
        <v>1117.8</v>
      </c>
      <c r="W277" s="418">
        <f t="shared" si="115"/>
        <v>-1117.8</v>
      </c>
      <c r="X277" s="41"/>
      <c r="Y277" s="418">
        <f t="shared" si="121"/>
        <v>26.25</v>
      </c>
      <c r="Z277" s="418">
        <f t="shared" si="122"/>
        <v>-26.25</v>
      </c>
      <c r="AA277" s="11">
        <f t="shared" si="116"/>
        <v>2.41</v>
      </c>
      <c r="AB277" s="9">
        <f t="shared" si="123"/>
        <v>36.150000000000006</v>
      </c>
      <c r="AC277" s="41"/>
      <c r="AD277" s="427">
        <f>IF(AH277&gt;AH276,AD276,IF(AD276&lt;MiscData!$F$1,EOMONTH(AD276,1),EOMONTH(AD276,-11)))</f>
        <v>42490</v>
      </c>
      <c r="AE277" s="414" t="str">
        <f t="shared" si="117"/>
        <v>20140101KUUM_370</v>
      </c>
      <c r="AF277" s="466" t="str">
        <f t="shared" si="118"/>
        <v>20140101LS</v>
      </c>
      <c r="AG277" s="467"/>
      <c r="AH277" s="41">
        <f>IF(AH276=MiscData!$AB$91,1,AH276+1)</f>
        <v>12</v>
      </c>
      <c r="AI277">
        <f>IF(AD277&lt;=MiscData!$B$23,MiscData!$C$23,IF(AD277&lt;=MiscData!$B$24,MiscData!$C$24,MiscData!$C$25))</f>
        <v>20140101</v>
      </c>
      <c r="AJ277" s="41"/>
      <c r="AK277" s="468" t="str">
        <f>VLOOKUP(AM277,MiscData!$AB$4:$ACB$113,2,FALSE)</f>
        <v>KUUM_370</v>
      </c>
      <c r="AL277" s="468" t="str">
        <f>VLOOKUP(AM277,MiscData!$AB$4:$AE$115,4,FALSE)</f>
        <v>LS</v>
      </c>
      <c r="AM277" s="469">
        <f>IF(AM276=MiscData!$AB$91,1,AM276+1)</f>
        <v>12</v>
      </c>
    </row>
    <row r="278" spans="1:39">
      <c r="A278" s="413">
        <f t="shared" si="124"/>
        <v>277</v>
      </c>
      <c r="B278" s="427" t="str">
        <f t="shared" si="100"/>
        <v>Apr 2016</v>
      </c>
      <c r="C278" s="428" t="str">
        <f t="shared" si="101"/>
        <v>LS</v>
      </c>
      <c r="D278" s="428" t="str">
        <f t="shared" si="102"/>
        <v>KUUM_372</v>
      </c>
      <c r="E278" s="425">
        <f t="shared" si="103"/>
        <v>1</v>
      </c>
      <c r="F278" s="429"/>
      <c r="G278" s="425">
        <f t="shared" si="104"/>
        <v>0</v>
      </c>
      <c r="H278" s="425">
        <v>0</v>
      </c>
      <c r="I278" s="415">
        <f t="shared" si="105"/>
        <v>82.3</v>
      </c>
      <c r="J278" s="415">
        <f t="shared" si="106"/>
        <v>1.75</v>
      </c>
      <c r="K278" s="416">
        <f t="shared" si="119"/>
        <v>82.3</v>
      </c>
      <c r="L278" s="430"/>
      <c r="M278" s="430"/>
      <c r="N278" s="186">
        <f t="shared" si="107"/>
        <v>82.3</v>
      </c>
      <c r="O278" s="431">
        <f t="shared" si="108"/>
        <v>0</v>
      </c>
      <c r="P278" s="417">
        <f t="shared" si="120"/>
        <v>0</v>
      </c>
      <c r="Q278" s="186">
        <f t="shared" si="109"/>
        <v>0</v>
      </c>
      <c r="R278" s="186">
        <f t="shared" si="110"/>
        <v>0</v>
      </c>
      <c r="S278" s="186">
        <f t="shared" si="111"/>
        <v>0</v>
      </c>
      <c r="T278" s="186">
        <f t="shared" si="112"/>
        <v>0</v>
      </c>
      <c r="U278" s="186">
        <f t="shared" si="113"/>
        <v>0</v>
      </c>
      <c r="V278" s="418">
        <f t="shared" si="114"/>
        <v>82.3</v>
      </c>
      <c r="W278" s="418">
        <f t="shared" si="115"/>
        <v>-82.3</v>
      </c>
      <c r="X278" s="41"/>
      <c r="Y278" s="418">
        <f t="shared" si="121"/>
        <v>1.75</v>
      </c>
      <c r="Z278" s="418">
        <f t="shared" si="122"/>
        <v>-1.75</v>
      </c>
      <c r="AA278" s="11">
        <f t="shared" si="116"/>
        <v>2.41</v>
      </c>
      <c r="AB278" s="9">
        <f t="shared" si="123"/>
        <v>2.41</v>
      </c>
      <c r="AC278" s="41"/>
      <c r="AD278" s="427">
        <f>IF(AH278&gt;AH277,AD277,IF(AD277&lt;MiscData!$F$1,EOMONTH(AD277,1),EOMONTH(AD277,-11)))</f>
        <v>42490</v>
      </c>
      <c r="AE278" s="414" t="str">
        <f t="shared" si="117"/>
        <v>20140101KUUM_372</v>
      </c>
      <c r="AF278" s="466" t="str">
        <f t="shared" si="118"/>
        <v>20140101LS</v>
      </c>
      <c r="AG278" s="467"/>
      <c r="AH278" s="41">
        <f>IF(AH277=MiscData!$AB$91,1,AH277+1)</f>
        <v>13</v>
      </c>
      <c r="AI278">
        <f>IF(AD278&lt;=MiscData!$B$23,MiscData!$C$23,IF(AD278&lt;=MiscData!$B$24,MiscData!$C$24,MiscData!$C$25))</f>
        <v>20140101</v>
      </c>
      <c r="AJ278" s="41"/>
      <c r="AK278" s="468" t="str">
        <f>VLOOKUP(AM278,MiscData!$AB$4:$ACB$113,2,FALSE)</f>
        <v>KUUM_372</v>
      </c>
      <c r="AL278" s="468" t="str">
        <f>VLOOKUP(AM278,MiscData!$AB$4:$AE$115,4,FALSE)</f>
        <v>LS</v>
      </c>
      <c r="AM278" s="469">
        <f>IF(AM277=MiscData!$AB$91,1,AM277+1)</f>
        <v>13</v>
      </c>
    </row>
    <row r="279" spans="1:39">
      <c r="A279" s="413">
        <f t="shared" si="124"/>
        <v>278</v>
      </c>
      <c r="B279" s="427" t="str">
        <f t="shared" si="100"/>
        <v>Apr 2016</v>
      </c>
      <c r="C279" s="428" t="str">
        <f t="shared" si="101"/>
        <v>LS</v>
      </c>
      <c r="D279" s="428" t="str">
        <f t="shared" si="102"/>
        <v>KUUM_373</v>
      </c>
      <c r="E279" s="425">
        <f t="shared" si="103"/>
        <v>20</v>
      </c>
      <c r="F279" s="429"/>
      <c r="G279" s="425">
        <f t="shared" si="104"/>
        <v>0</v>
      </c>
      <c r="H279" s="425">
        <v>0</v>
      </c>
      <c r="I279" s="415">
        <f t="shared" si="105"/>
        <v>74.52</v>
      </c>
      <c r="J279" s="415">
        <f t="shared" si="106"/>
        <v>1.75</v>
      </c>
      <c r="K279" s="416">
        <f t="shared" si="119"/>
        <v>1490.4</v>
      </c>
      <c r="L279" s="430"/>
      <c r="M279" s="430"/>
      <c r="N279" s="186">
        <f t="shared" si="107"/>
        <v>1490.4</v>
      </c>
      <c r="O279" s="431">
        <f t="shared" si="108"/>
        <v>0</v>
      </c>
      <c r="P279" s="417">
        <f t="shared" si="120"/>
        <v>0</v>
      </c>
      <c r="Q279" s="186">
        <f t="shared" si="109"/>
        <v>0</v>
      </c>
      <c r="R279" s="186">
        <f t="shared" si="110"/>
        <v>0</v>
      </c>
      <c r="S279" s="186">
        <f t="shared" si="111"/>
        <v>0</v>
      </c>
      <c r="T279" s="186">
        <f t="shared" si="112"/>
        <v>0</v>
      </c>
      <c r="U279" s="186">
        <f t="shared" si="113"/>
        <v>0</v>
      </c>
      <c r="V279" s="418">
        <f t="shared" si="114"/>
        <v>1490.4</v>
      </c>
      <c r="W279" s="418">
        <f t="shared" si="115"/>
        <v>-1490.4</v>
      </c>
      <c r="X279" s="41"/>
      <c r="Y279" s="418">
        <f t="shared" si="121"/>
        <v>35</v>
      </c>
      <c r="Z279" s="418">
        <f t="shared" si="122"/>
        <v>-35</v>
      </c>
      <c r="AA279" s="11">
        <f t="shared" si="116"/>
        <v>2.41</v>
      </c>
      <c r="AB279" s="9">
        <f t="shared" si="123"/>
        <v>48.2</v>
      </c>
      <c r="AC279" s="41"/>
      <c r="AD279" s="427">
        <f>IF(AH279&gt;AH278,AD278,IF(AD278&lt;MiscData!$F$1,EOMONTH(AD278,1),EOMONTH(AD278,-11)))</f>
        <v>42490</v>
      </c>
      <c r="AE279" s="414" t="str">
        <f t="shared" si="117"/>
        <v>20140101KUUM_373</v>
      </c>
      <c r="AF279" s="466" t="str">
        <f t="shared" si="118"/>
        <v>20140101LS</v>
      </c>
      <c r="AG279" s="467"/>
      <c r="AH279" s="41">
        <f>IF(AH278=MiscData!$AB$91,1,AH278+1)</f>
        <v>14</v>
      </c>
      <c r="AI279">
        <f>IF(AD279&lt;=MiscData!$B$23,MiscData!$C$23,IF(AD279&lt;=MiscData!$B$24,MiscData!$C$24,MiscData!$C$25))</f>
        <v>20140101</v>
      </c>
      <c r="AJ279" s="41"/>
      <c r="AK279" s="468" t="str">
        <f>VLOOKUP(AM279,MiscData!$AB$4:$ACB$113,2,FALSE)</f>
        <v>KUUM_373</v>
      </c>
      <c r="AL279" s="468" t="str">
        <f>VLOOKUP(AM279,MiscData!$AB$4:$AE$115,4,FALSE)</f>
        <v>LS</v>
      </c>
      <c r="AM279" s="469">
        <f>IF(AM278=MiscData!$AB$91,1,AM278+1)</f>
        <v>14</v>
      </c>
    </row>
    <row r="280" spans="1:39">
      <c r="A280" s="413">
        <f t="shared" si="124"/>
        <v>279</v>
      </c>
      <c r="B280" s="427" t="str">
        <f t="shared" si="100"/>
        <v>Apr 2016</v>
      </c>
      <c r="C280" s="428" t="str">
        <f t="shared" si="101"/>
        <v>LS</v>
      </c>
      <c r="D280" s="428" t="str">
        <f t="shared" si="102"/>
        <v>KUUM_374</v>
      </c>
      <c r="E280" s="425">
        <f t="shared" si="103"/>
        <v>4</v>
      </c>
      <c r="F280" s="429"/>
      <c r="G280" s="425">
        <f t="shared" si="104"/>
        <v>0</v>
      </c>
      <c r="H280" s="425">
        <v>0</v>
      </c>
      <c r="I280" s="415">
        <f t="shared" si="105"/>
        <v>75.88</v>
      </c>
      <c r="J280" s="415">
        <f t="shared" si="106"/>
        <v>1.75</v>
      </c>
      <c r="K280" s="416">
        <f t="shared" si="119"/>
        <v>303.52</v>
      </c>
      <c r="L280" s="430"/>
      <c r="M280" s="430"/>
      <c r="N280" s="186">
        <f t="shared" si="107"/>
        <v>303.52</v>
      </c>
      <c r="O280" s="431">
        <f t="shared" si="108"/>
        <v>0</v>
      </c>
      <c r="P280" s="417">
        <f t="shared" si="120"/>
        <v>0</v>
      </c>
      <c r="Q280" s="186">
        <f t="shared" si="109"/>
        <v>0</v>
      </c>
      <c r="R280" s="186">
        <f t="shared" si="110"/>
        <v>0</v>
      </c>
      <c r="S280" s="186">
        <f t="shared" si="111"/>
        <v>0</v>
      </c>
      <c r="T280" s="186">
        <f t="shared" si="112"/>
        <v>0</v>
      </c>
      <c r="U280" s="186">
        <f t="shared" si="113"/>
        <v>0</v>
      </c>
      <c r="V280" s="418">
        <f t="shared" si="114"/>
        <v>303.52</v>
      </c>
      <c r="W280" s="418">
        <f t="shared" si="115"/>
        <v>-303.52</v>
      </c>
      <c r="X280" s="41"/>
      <c r="Y280" s="418">
        <f t="shared" si="121"/>
        <v>7</v>
      </c>
      <c r="Z280" s="418">
        <f t="shared" si="122"/>
        <v>-7</v>
      </c>
      <c r="AA280" s="11">
        <f t="shared" si="116"/>
        <v>2.41</v>
      </c>
      <c r="AB280" s="9">
        <f t="shared" si="123"/>
        <v>9.64</v>
      </c>
      <c r="AC280" s="41"/>
      <c r="AD280" s="427">
        <f>IF(AH280&gt;AH279,AD279,IF(AD279&lt;MiscData!$F$1,EOMONTH(AD279,1),EOMONTH(AD279,-11)))</f>
        <v>42490</v>
      </c>
      <c r="AE280" s="414" t="str">
        <f t="shared" si="117"/>
        <v>20140101KUUM_374</v>
      </c>
      <c r="AF280" s="466" t="str">
        <f t="shared" si="118"/>
        <v>20140101LS</v>
      </c>
      <c r="AG280" s="467"/>
      <c r="AH280" s="41">
        <f>IF(AH279=MiscData!$AB$91,1,AH279+1)</f>
        <v>15</v>
      </c>
      <c r="AI280">
        <f>IF(AD280&lt;=MiscData!$B$23,MiscData!$C$23,IF(AD280&lt;=MiscData!$B$24,MiscData!$C$24,MiscData!$C$25))</f>
        <v>20140101</v>
      </c>
      <c r="AJ280" s="41"/>
      <c r="AK280" s="468" t="str">
        <f>VLOOKUP(AM280,MiscData!$AB$4:$ACB$113,2,FALSE)</f>
        <v>KUUM_374</v>
      </c>
      <c r="AL280" s="468" t="str">
        <f>VLOOKUP(AM280,MiscData!$AB$4:$AE$115,4,FALSE)</f>
        <v>LS</v>
      </c>
      <c r="AM280" s="469">
        <f>IF(AM279=MiscData!$AB$91,1,AM279+1)</f>
        <v>15</v>
      </c>
    </row>
    <row r="281" spans="1:39">
      <c r="A281" s="413">
        <f t="shared" si="124"/>
        <v>280</v>
      </c>
      <c r="B281" s="427" t="str">
        <f t="shared" si="100"/>
        <v>Apr 2016</v>
      </c>
      <c r="C281" s="428" t="str">
        <f t="shared" si="101"/>
        <v>LS</v>
      </c>
      <c r="D281" s="428" t="str">
        <f t="shared" si="102"/>
        <v>KUUM_375</v>
      </c>
      <c r="E281" s="425">
        <f t="shared" si="103"/>
        <v>3</v>
      </c>
      <c r="F281" s="429"/>
      <c r="G281" s="425">
        <f t="shared" si="104"/>
        <v>0</v>
      </c>
      <c r="H281" s="425">
        <v>0</v>
      </c>
      <c r="I281" s="415">
        <f t="shared" si="105"/>
        <v>78.97</v>
      </c>
      <c r="J281" s="415">
        <f t="shared" si="106"/>
        <v>1.75</v>
      </c>
      <c r="K281" s="416">
        <f t="shared" si="119"/>
        <v>236.91</v>
      </c>
      <c r="L281" s="430"/>
      <c r="M281" s="430"/>
      <c r="N281" s="186">
        <f t="shared" si="107"/>
        <v>236.91</v>
      </c>
      <c r="O281" s="431">
        <f t="shared" si="108"/>
        <v>0</v>
      </c>
      <c r="P281" s="417">
        <f t="shared" si="120"/>
        <v>0</v>
      </c>
      <c r="Q281" s="186">
        <f t="shared" si="109"/>
        <v>0</v>
      </c>
      <c r="R281" s="186">
        <f t="shared" si="110"/>
        <v>0</v>
      </c>
      <c r="S281" s="186">
        <f t="shared" si="111"/>
        <v>0</v>
      </c>
      <c r="T281" s="186">
        <f t="shared" si="112"/>
        <v>0</v>
      </c>
      <c r="U281" s="186">
        <f t="shared" si="113"/>
        <v>0</v>
      </c>
      <c r="V281" s="418">
        <f t="shared" si="114"/>
        <v>236.91</v>
      </c>
      <c r="W281" s="418">
        <f t="shared" si="115"/>
        <v>-236.91</v>
      </c>
      <c r="X281" s="41"/>
      <c r="Y281" s="418">
        <f t="shared" si="121"/>
        <v>5.25</v>
      </c>
      <c r="Z281" s="418">
        <f t="shared" si="122"/>
        <v>-5.25</v>
      </c>
      <c r="AA281" s="11">
        <f t="shared" si="116"/>
        <v>2.41</v>
      </c>
      <c r="AB281" s="9">
        <f t="shared" si="123"/>
        <v>7.23</v>
      </c>
      <c r="AC281" s="41"/>
      <c r="AD281" s="427">
        <f>IF(AH281&gt;AH280,AD280,IF(AD280&lt;MiscData!$F$1,EOMONTH(AD280,1),EOMONTH(AD280,-11)))</f>
        <v>42490</v>
      </c>
      <c r="AE281" s="414" t="str">
        <f t="shared" si="117"/>
        <v>20140101KUUM_375</v>
      </c>
      <c r="AF281" s="466" t="str">
        <f t="shared" si="118"/>
        <v>20140101LS</v>
      </c>
      <c r="AG281" s="467"/>
      <c r="AH281" s="41">
        <f>IF(AH280=MiscData!$AB$91,1,AH280+1)</f>
        <v>16</v>
      </c>
      <c r="AI281">
        <f>IF(AD281&lt;=MiscData!$B$23,MiscData!$C$23,IF(AD281&lt;=MiscData!$B$24,MiscData!$C$24,MiscData!$C$25))</f>
        <v>20140101</v>
      </c>
      <c r="AJ281" s="41"/>
      <c r="AK281" s="468" t="str">
        <f>VLOOKUP(AM281,MiscData!$AB$4:$ACB$113,2,FALSE)</f>
        <v>KUUM_375</v>
      </c>
      <c r="AL281" s="468" t="str">
        <f>VLOOKUP(AM281,MiscData!$AB$4:$AE$115,4,FALSE)</f>
        <v>LS</v>
      </c>
      <c r="AM281" s="469">
        <f>IF(AM280=MiscData!$AB$91,1,AM280+1)</f>
        <v>16</v>
      </c>
    </row>
    <row r="282" spans="1:39">
      <c r="A282" s="413">
        <f t="shared" si="124"/>
        <v>281</v>
      </c>
      <c r="B282" s="427" t="str">
        <f t="shared" si="100"/>
        <v>Apr 2016</v>
      </c>
      <c r="C282" s="428" t="str">
        <f t="shared" si="101"/>
        <v>LS</v>
      </c>
      <c r="D282" s="428" t="str">
        <f t="shared" si="102"/>
        <v>KUUM_376</v>
      </c>
      <c r="E282" s="425">
        <f t="shared" si="103"/>
        <v>2</v>
      </c>
      <c r="F282" s="429"/>
      <c r="G282" s="425">
        <f t="shared" si="104"/>
        <v>0</v>
      </c>
      <c r="H282" s="425">
        <v>0</v>
      </c>
      <c r="I282" s="415">
        <f t="shared" si="105"/>
        <v>77.259999999999991</v>
      </c>
      <c r="J282" s="415">
        <f t="shared" si="106"/>
        <v>1.75</v>
      </c>
      <c r="K282" s="416">
        <f t="shared" si="119"/>
        <v>154.52000000000001</v>
      </c>
      <c r="L282" s="430"/>
      <c r="M282" s="430"/>
      <c r="N282" s="186">
        <f t="shared" si="107"/>
        <v>154.52000000000001</v>
      </c>
      <c r="O282" s="431">
        <f t="shared" si="108"/>
        <v>0</v>
      </c>
      <c r="P282" s="417">
        <f t="shared" si="120"/>
        <v>0</v>
      </c>
      <c r="Q282" s="186">
        <f t="shared" si="109"/>
        <v>0</v>
      </c>
      <c r="R282" s="186">
        <f t="shared" si="110"/>
        <v>0</v>
      </c>
      <c r="S282" s="186">
        <f t="shared" si="111"/>
        <v>0</v>
      </c>
      <c r="T282" s="186">
        <f t="shared" si="112"/>
        <v>0</v>
      </c>
      <c r="U282" s="186">
        <f t="shared" si="113"/>
        <v>0</v>
      </c>
      <c r="V282" s="418">
        <f t="shared" si="114"/>
        <v>154.52000000000001</v>
      </c>
      <c r="W282" s="418">
        <f t="shared" si="115"/>
        <v>-154.52000000000001</v>
      </c>
      <c r="X282" s="41"/>
      <c r="Y282" s="418">
        <f t="shared" si="121"/>
        <v>3.5</v>
      </c>
      <c r="Z282" s="418">
        <f t="shared" si="122"/>
        <v>-3.5</v>
      </c>
      <c r="AA282" s="11">
        <f t="shared" si="116"/>
        <v>2.41</v>
      </c>
      <c r="AB282" s="9">
        <f t="shared" si="123"/>
        <v>4.82</v>
      </c>
      <c r="AC282" s="41"/>
      <c r="AD282" s="427">
        <f>IF(AH282&gt;AH281,AD281,IF(AD281&lt;MiscData!$F$1,EOMONTH(AD281,1),EOMONTH(AD281,-11)))</f>
        <v>42490</v>
      </c>
      <c r="AE282" s="414" t="str">
        <f t="shared" si="117"/>
        <v>20140101KUUM_376</v>
      </c>
      <c r="AF282" s="466" t="str">
        <f t="shared" si="118"/>
        <v>20140101LS</v>
      </c>
      <c r="AG282" s="467"/>
      <c r="AH282" s="41">
        <f>IF(AH281=MiscData!$AB$91,1,AH281+1)</f>
        <v>17</v>
      </c>
      <c r="AI282">
        <f>IF(AD282&lt;=MiscData!$B$23,MiscData!$C$23,IF(AD282&lt;=MiscData!$B$24,MiscData!$C$24,MiscData!$C$25))</f>
        <v>20140101</v>
      </c>
      <c r="AJ282" s="41"/>
      <c r="AK282" s="468" t="str">
        <f>VLOOKUP(AM282,MiscData!$AB$4:$ACB$113,2,FALSE)</f>
        <v>KUUM_376</v>
      </c>
      <c r="AL282" s="468" t="str">
        <f>VLOOKUP(AM282,MiscData!$AB$4:$AE$115,4,FALSE)</f>
        <v>LS</v>
      </c>
      <c r="AM282" s="469">
        <f>IF(AM281=MiscData!$AB$91,1,AM281+1)</f>
        <v>17</v>
      </c>
    </row>
    <row r="283" spans="1:39">
      <c r="A283" s="413">
        <f t="shared" si="124"/>
        <v>282</v>
      </c>
      <c r="B283" s="427" t="str">
        <f t="shared" si="100"/>
        <v>Apr 2016</v>
      </c>
      <c r="C283" s="428" t="str">
        <f t="shared" si="101"/>
        <v>LS</v>
      </c>
      <c r="D283" s="428" t="str">
        <f t="shared" si="102"/>
        <v>KUUM_377</v>
      </c>
      <c r="E283" s="425">
        <f t="shared" si="103"/>
        <v>51</v>
      </c>
      <c r="F283" s="429"/>
      <c r="G283" s="425">
        <f t="shared" si="104"/>
        <v>0</v>
      </c>
      <c r="H283" s="425">
        <v>58</v>
      </c>
      <c r="I283" s="415">
        <f t="shared" si="105"/>
        <v>64.19</v>
      </c>
      <c r="J283" s="415">
        <f t="shared" si="106"/>
        <v>1.75</v>
      </c>
      <c r="K283" s="416">
        <f t="shared" si="119"/>
        <v>3273.69</v>
      </c>
      <c r="L283" s="430"/>
      <c r="M283" s="430"/>
      <c r="N283" s="186">
        <f t="shared" si="107"/>
        <v>3273.69</v>
      </c>
      <c r="O283" s="431">
        <f t="shared" si="108"/>
        <v>0</v>
      </c>
      <c r="P283" s="417">
        <f t="shared" si="120"/>
        <v>0</v>
      </c>
      <c r="Q283" s="186">
        <f t="shared" si="109"/>
        <v>0</v>
      </c>
      <c r="R283" s="186">
        <f t="shared" si="110"/>
        <v>0</v>
      </c>
      <c r="S283" s="186">
        <f t="shared" si="111"/>
        <v>0</v>
      </c>
      <c r="T283" s="186">
        <f t="shared" si="112"/>
        <v>0</v>
      </c>
      <c r="U283" s="186">
        <f t="shared" si="113"/>
        <v>0</v>
      </c>
      <c r="V283" s="418">
        <f t="shared" si="114"/>
        <v>3273.69</v>
      </c>
      <c r="W283" s="418">
        <f t="shared" si="115"/>
        <v>-3273.69</v>
      </c>
      <c r="X283" s="41"/>
      <c r="Y283" s="418">
        <f t="shared" si="121"/>
        <v>89.25</v>
      </c>
      <c r="Z283" s="418">
        <f t="shared" si="122"/>
        <v>-89.25</v>
      </c>
      <c r="AA283" s="11">
        <f t="shared" si="116"/>
        <v>2.41</v>
      </c>
      <c r="AB283" s="9">
        <f t="shared" si="123"/>
        <v>122.91000000000001</v>
      </c>
      <c r="AC283" s="41"/>
      <c r="AD283" s="427">
        <f>IF(AH283&gt;AH282,AD282,IF(AD282&lt;MiscData!$F$1,EOMONTH(AD282,1),EOMONTH(AD282,-11)))</f>
        <v>42490</v>
      </c>
      <c r="AE283" s="414" t="str">
        <f t="shared" si="117"/>
        <v>20140101KUUM_377</v>
      </c>
      <c r="AF283" s="466" t="str">
        <f t="shared" si="118"/>
        <v>20140101LS</v>
      </c>
      <c r="AG283" s="467"/>
      <c r="AH283" s="41">
        <f>IF(AH282=MiscData!$AB$91,1,AH282+1)</f>
        <v>18</v>
      </c>
      <c r="AI283">
        <f>IF(AD283&lt;=MiscData!$B$23,MiscData!$C$23,IF(AD283&lt;=MiscData!$B$24,MiscData!$C$24,MiscData!$C$25))</f>
        <v>20140101</v>
      </c>
      <c r="AJ283" s="41"/>
      <c r="AK283" s="468" t="str">
        <f>VLOOKUP(AM283,MiscData!$AB$4:$ACB$113,2,FALSE)</f>
        <v>KUUM_377</v>
      </c>
      <c r="AL283" s="468" t="str">
        <f>VLOOKUP(AM283,MiscData!$AB$4:$AE$115,4,FALSE)</f>
        <v>LS</v>
      </c>
      <c r="AM283" s="469">
        <f>IF(AM282=MiscData!$AB$91,1,AM282+1)</f>
        <v>18</v>
      </c>
    </row>
    <row r="284" spans="1:39">
      <c r="A284" s="413">
        <f t="shared" si="124"/>
        <v>283</v>
      </c>
      <c r="B284" s="427" t="str">
        <f t="shared" si="100"/>
        <v>Apr 2016</v>
      </c>
      <c r="C284" s="428" t="str">
        <f t="shared" si="101"/>
        <v>LS</v>
      </c>
      <c r="D284" s="428" t="str">
        <f t="shared" si="102"/>
        <v>KUUM_378</v>
      </c>
      <c r="E284" s="425">
        <f t="shared" si="103"/>
        <v>2</v>
      </c>
      <c r="F284" s="429"/>
      <c r="G284" s="425">
        <f t="shared" si="104"/>
        <v>0</v>
      </c>
      <c r="H284" s="425">
        <v>0</v>
      </c>
      <c r="I284" s="415">
        <f t="shared" si="105"/>
        <v>75.899999999999991</v>
      </c>
      <c r="J284" s="415">
        <f t="shared" si="106"/>
        <v>1.75</v>
      </c>
      <c r="K284" s="416">
        <f t="shared" si="119"/>
        <v>151.80000000000001</v>
      </c>
      <c r="L284" s="430"/>
      <c r="M284" s="430"/>
      <c r="N284" s="186">
        <f t="shared" si="107"/>
        <v>151.80000000000001</v>
      </c>
      <c r="O284" s="431">
        <f t="shared" si="108"/>
        <v>0</v>
      </c>
      <c r="P284" s="417">
        <f t="shared" si="120"/>
        <v>0</v>
      </c>
      <c r="Q284" s="186">
        <f t="shared" si="109"/>
        <v>0</v>
      </c>
      <c r="R284" s="186">
        <f t="shared" si="110"/>
        <v>0</v>
      </c>
      <c r="S284" s="186">
        <f t="shared" si="111"/>
        <v>0</v>
      </c>
      <c r="T284" s="186">
        <f t="shared" si="112"/>
        <v>0</v>
      </c>
      <c r="U284" s="186">
        <f t="shared" si="113"/>
        <v>0</v>
      </c>
      <c r="V284" s="418">
        <f t="shared" si="114"/>
        <v>151.80000000000001</v>
      </c>
      <c r="W284" s="418">
        <f t="shared" si="115"/>
        <v>-151.80000000000001</v>
      </c>
      <c r="X284" s="41"/>
      <c r="Y284" s="418">
        <f t="shared" si="121"/>
        <v>3.5</v>
      </c>
      <c r="Z284" s="418">
        <f t="shared" si="122"/>
        <v>-3.5</v>
      </c>
      <c r="AA284" s="11">
        <f t="shared" si="116"/>
        <v>2.41</v>
      </c>
      <c r="AB284" s="9">
        <f t="shared" si="123"/>
        <v>4.82</v>
      </c>
      <c r="AC284" s="41"/>
      <c r="AD284" s="427">
        <f>IF(AH284&gt;AH283,AD283,IF(AD283&lt;MiscData!$F$1,EOMONTH(AD283,1),EOMONTH(AD283,-11)))</f>
        <v>42490</v>
      </c>
      <c r="AE284" s="414" t="str">
        <f t="shared" si="117"/>
        <v>20140101KUUM_378</v>
      </c>
      <c r="AF284" s="466" t="str">
        <f t="shared" si="118"/>
        <v>20140101LS</v>
      </c>
      <c r="AG284" s="467"/>
      <c r="AH284" s="41">
        <f>IF(AH283=MiscData!$AB$91,1,AH283+1)</f>
        <v>19</v>
      </c>
      <c r="AI284">
        <f>IF(AD284&lt;=MiscData!$B$23,MiscData!$C$23,IF(AD284&lt;=MiscData!$B$24,MiscData!$C$24,MiscData!$C$25))</f>
        <v>20140101</v>
      </c>
      <c r="AJ284" s="41"/>
      <c r="AK284" s="468" t="str">
        <f>VLOOKUP(AM284,MiscData!$AB$4:$ACB$113,2,FALSE)</f>
        <v>KUUM_378</v>
      </c>
      <c r="AL284" s="468" t="str">
        <f>VLOOKUP(AM284,MiscData!$AB$4:$AE$115,4,FALSE)</f>
        <v>LS</v>
      </c>
      <c r="AM284" s="469">
        <f>IF(AM283=MiscData!$AB$91,1,AM283+1)</f>
        <v>19</v>
      </c>
    </row>
    <row r="285" spans="1:39">
      <c r="A285" s="413">
        <f t="shared" si="124"/>
        <v>284</v>
      </c>
      <c r="B285" s="427" t="str">
        <f t="shared" si="100"/>
        <v>Apr 2016</v>
      </c>
      <c r="C285" s="428" t="str">
        <f t="shared" si="101"/>
        <v>LS</v>
      </c>
      <c r="D285" s="428" t="str">
        <f t="shared" si="102"/>
        <v>KUUM_401</v>
      </c>
      <c r="E285" s="425">
        <f t="shared" si="103"/>
        <v>52</v>
      </c>
      <c r="F285" s="429"/>
      <c r="G285" s="425">
        <f t="shared" si="104"/>
        <v>0</v>
      </c>
      <c r="H285" s="425">
        <v>0</v>
      </c>
      <c r="I285" s="415">
        <f t="shared" si="105"/>
        <v>14.860000000000001</v>
      </c>
      <c r="J285" s="415">
        <f t="shared" si="106"/>
        <v>0.80000000000000071</v>
      </c>
      <c r="K285" s="416">
        <f t="shared" si="119"/>
        <v>772.72</v>
      </c>
      <c r="L285" s="430"/>
      <c r="M285" s="430"/>
      <c r="N285" s="186">
        <f t="shared" si="107"/>
        <v>772.72</v>
      </c>
      <c r="O285" s="431">
        <f t="shared" si="108"/>
        <v>0</v>
      </c>
      <c r="P285" s="417">
        <f t="shared" si="120"/>
        <v>0</v>
      </c>
      <c r="Q285" s="186">
        <f t="shared" si="109"/>
        <v>0</v>
      </c>
      <c r="R285" s="186">
        <f t="shared" si="110"/>
        <v>0</v>
      </c>
      <c r="S285" s="186">
        <f t="shared" si="111"/>
        <v>0</v>
      </c>
      <c r="T285" s="186">
        <f t="shared" si="112"/>
        <v>0</v>
      </c>
      <c r="U285" s="186">
        <f t="shared" si="113"/>
        <v>0</v>
      </c>
      <c r="V285" s="418">
        <f t="shared" si="114"/>
        <v>772.72</v>
      </c>
      <c r="W285" s="418">
        <f t="shared" si="115"/>
        <v>-772.72</v>
      </c>
      <c r="X285" s="41"/>
      <c r="Y285" s="418">
        <f t="shared" si="121"/>
        <v>41.6</v>
      </c>
      <c r="Z285" s="418">
        <f t="shared" si="122"/>
        <v>-41.6</v>
      </c>
      <c r="AA285" s="11">
        <f t="shared" si="116"/>
        <v>0.43</v>
      </c>
      <c r="AB285" s="9">
        <f t="shared" si="123"/>
        <v>22.36</v>
      </c>
      <c r="AC285" s="41"/>
      <c r="AD285" s="427">
        <f>IF(AH285&gt;AH284,AD284,IF(AD284&lt;MiscData!$F$1,EOMONTH(AD284,1),EOMONTH(AD284,-11)))</f>
        <v>42490</v>
      </c>
      <c r="AE285" s="414" t="str">
        <f t="shared" si="117"/>
        <v>20140101KUUM_401</v>
      </c>
      <c r="AF285" s="466" t="str">
        <f t="shared" si="118"/>
        <v>20140101LS</v>
      </c>
      <c r="AG285" s="467"/>
      <c r="AH285" s="41">
        <f>IF(AH284=MiscData!$AB$91,1,AH284+1)</f>
        <v>20</v>
      </c>
      <c r="AI285">
        <f>IF(AD285&lt;=MiscData!$B$23,MiscData!$C$23,IF(AD285&lt;=MiscData!$B$24,MiscData!$C$24,MiscData!$C$25))</f>
        <v>20140101</v>
      </c>
      <c r="AJ285" s="41"/>
      <c r="AK285" s="468" t="str">
        <f>VLOOKUP(AM285,MiscData!$AB$4:$ACB$113,2,FALSE)</f>
        <v>KUUM_401</v>
      </c>
      <c r="AL285" s="468" t="str">
        <f>VLOOKUP(AM285,MiscData!$AB$4:$AE$115,4,FALSE)</f>
        <v>LS</v>
      </c>
      <c r="AM285" s="469">
        <f>IF(AM284=MiscData!$AB$91,1,AM284+1)</f>
        <v>20</v>
      </c>
    </row>
    <row r="286" spans="1:39">
      <c r="A286" s="413">
        <f t="shared" si="124"/>
        <v>285</v>
      </c>
      <c r="B286" s="427" t="str">
        <f t="shared" si="100"/>
        <v>Apr 2016</v>
      </c>
      <c r="C286" s="428" t="str">
        <f t="shared" si="101"/>
        <v>RLS</v>
      </c>
      <c r="D286" s="428" t="str">
        <f t="shared" si="102"/>
        <v>KUUM_404</v>
      </c>
      <c r="E286" s="425">
        <f t="shared" si="103"/>
        <v>7208</v>
      </c>
      <c r="F286" s="429"/>
      <c r="G286" s="425">
        <f t="shared" si="104"/>
        <v>0</v>
      </c>
      <c r="H286" s="425">
        <v>0</v>
      </c>
      <c r="I286" s="415">
        <f t="shared" si="105"/>
        <v>10.570000000000002</v>
      </c>
      <c r="J286" s="415">
        <f t="shared" si="106"/>
        <v>1.9900000000000002</v>
      </c>
      <c r="K286" s="416">
        <f t="shared" si="119"/>
        <v>76188.56</v>
      </c>
      <c r="L286" s="430"/>
      <c r="M286" s="430"/>
      <c r="N286" s="186">
        <f t="shared" si="107"/>
        <v>76188.56</v>
      </c>
      <c r="O286" s="431">
        <f t="shared" si="108"/>
        <v>0</v>
      </c>
      <c r="P286" s="417">
        <f t="shared" si="120"/>
        <v>0</v>
      </c>
      <c r="Q286" s="186">
        <f t="shared" si="109"/>
        <v>0</v>
      </c>
      <c r="R286" s="186">
        <f t="shared" si="110"/>
        <v>0</v>
      </c>
      <c r="S286" s="186">
        <f t="shared" si="111"/>
        <v>0</v>
      </c>
      <c r="T286" s="186">
        <f t="shared" si="112"/>
        <v>0</v>
      </c>
      <c r="U286" s="186">
        <f t="shared" si="113"/>
        <v>0</v>
      </c>
      <c r="V286" s="418">
        <f t="shared" si="114"/>
        <v>76188.56</v>
      </c>
      <c r="W286" s="418">
        <f t="shared" si="115"/>
        <v>-76188.56</v>
      </c>
      <c r="X286" s="41"/>
      <c r="Y286" s="418">
        <f t="shared" si="121"/>
        <v>14343.92</v>
      </c>
      <c r="Z286" s="418">
        <f t="shared" si="122"/>
        <v>-14343.92</v>
      </c>
      <c r="AA286" s="11">
        <f t="shared" si="116"/>
        <v>0.39</v>
      </c>
      <c r="AB286" s="9">
        <f t="shared" si="123"/>
        <v>2811.12</v>
      </c>
      <c r="AC286" s="41"/>
      <c r="AD286" s="427">
        <f>IF(AH286&gt;AH285,AD285,IF(AD285&lt;MiscData!$F$1,EOMONTH(AD285,1),EOMONTH(AD285,-11)))</f>
        <v>42490</v>
      </c>
      <c r="AE286" s="414" t="str">
        <f t="shared" si="117"/>
        <v>20140101KUUM_404</v>
      </c>
      <c r="AF286" s="466" t="str">
        <f t="shared" si="118"/>
        <v>20140101RLS</v>
      </c>
      <c r="AG286" s="467"/>
      <c r="AH286" s="41">
        <f>IF(AH285=MiscData!$AB$91,1,AH285+1)</f>
        <v>21</v>
      </c>
      <c r="AI286">
        <f>IF(AD286&lt;=MiscData!$B$23,MiscData!$C$23,IF(AD286&lt;=MiscData!$B$24,MiscData!$C$24,MiscData!$C$25))</f>
        <v>20140101</v>
      </c>
      <c r="AJ286" s="41"/>
      <c r="AK286" s="468" t="str">
        <f>VLOOKUP(AM286,MiscData!$AB$4:$ACB$113,2,FALSE)</f>
        <v>KUUM_404</v>
      </c>
      <c r="AL286" s="468" t="str">
        <f>VLOOKUP(AM286,MiscData!$AB$4:$AE$115,4,FALSE)</f>
        <v>RLS</v>
      </c>
      <c r="AM286" s="469">
        <f>IF(AM285=MiscData!$AB$91,1,AM285+1)</f>
        <v>21</v>
      </c>
    </row>
    <row r="287" spans="1:39">
      <c r="A287" s="413">
        <f t="shared" si="124"/>
        <v>286</v>
      </c>
      <c r="B287" s="427" t="str">
        <f t="shared" si="100"/>
        <v>Apr 2016</v>
      </c>
      <c r="C287" s="428" t="str">
        <f t="shared" si="101"/>
        <v>RLS</v>
      </c>
      <c r="D287" s="428" t="str">
        <f t="shared" si="102"/>
        <v>KUUM_405</v>
      </c>
      <c r="E287" s="425">
        <f t="shared" si="103"/>
        <v>0</v>
      </c>
      <c r="F287" s="429"/>
      <c r="G287" s="425">
        <f t="shared" si="104"/>
        <v>0</v>
      </c>
      <c r="H287" s="425">
        <v>0</v>
      </c>
      <c r="I287" s="415">
        <f t="shared" si="105"/>
        <v>0</v>
      </c>
      <c r="J287" s="415">
        <f t="shared" si="106"/>
        <v>0</v>
      </c>
      <c r="K287" s="416">
        <f t="shared" si="119"/>
        <v>0</v>
      </c>
      <c r="L287" s="430"/>
      <c r="M287" s="430"/>
      <c r="N287" s="186">
        <f>SUM(K287:M287)</f>
        <v>0</v>
      </c>
      <c r="O287" s="431">
        <f t="shared" si="108"/>
        <v>0</v>
      </c>
      <c r="P287" s="417">
        <f t="shared" si="120"/>
        <v>1</v>
      </c>
      <c r="Q287" s="186">
        <f t="shared" si="109"/>
        <v>0</v>
      </c>
      <c r="R287" s="186">
        <f t="shared" si="110"/>
        <v>0</v>
      </c>
      <c r="S287" s="186">
        <f t="shared" si="111"/>
        <v>0</v>
      </c>
      <c r="T287" s="186">
        <f t="shared" si="112"/>
        <v>0</v>
      </c>
      <c r="U287" s="186">
        <f t="shared" si="113"/>
        <v>0</v>
      </c>
      <c r="V287" s="418">
        <f t="shared" si="114"/>
        <v>0</v>
      </c>
      <c r="W287" s="418">
        <f t="shared" si="115"/>
        <v>0</v>
      </c>
      <c r="X287" s="41"/>
      <c r="Y287" s="418">
        <f t="shared" si="121"/>
        <v>0</v>
      </c>
      <c r="Z287" s="418">
        <f t="shared" si="122"/>
        <v>0</v>
      </c>
      <c r="AA287" s="11">
        <f t="shared" si="116"/>
        <v>0</v>
      </c>
      <c r="AB287" s="9">
        <f t="shared" si="123"/>
        <v>0</v>
      </c>
      <c r="AC287" s="41"/>
      <c r="AD287" s="427">
        <f>IF(AH287&gt;AH286,AD286,IF(AD286&lt;MiscData!$F$1,EOMONTH(AD286,1),EOMONTH(AD286,-11)))</f>
        <v>42490</v>
      </c>
      <c r="AE287" s="414" t="str">
        <f t="shared" si="117"/>
        <v>20140101KUUM_405</v>
      </c>
      <c r="AF287" s="466" t="str">
        <f t="shared" si="118"/>
        <v>20140101RLS</v>
      </c>
      <c r="AG287" s="467"/>
      <c r="AH287" s="41">
        <f>IF(AH286=MiscData!$AB$91,1,AH286+1)</f>
        <v>22</v>
      </c>
      <c r="AI287">
        <f>IF(AD287&lt;=MiscData!$B$23,MiscData!$C$23,IF(AD287&lt;=MiscData!$B$24,MiscData!$C$24,MiscData!$C$25))</f>
        <v>20140101</v>
      </c>
      <c r="AJ287" s="41"/>
      <c r="AK287" s="468" t="str">
        <f>VLOOKUP(AM287,MiscData!$AB$4:$ACB$113,2,FALSE)</f>
        <v>KUUM_405</v>
      </c>
      <c r="AL287" s="468" t="str">
        <f>VLOOKUP(AM287,MiscData!$AB$4:$AE$115,4,FALSE)</f>
        <v>RLS</v>
      </c>
      <c r="AM287" s="469">
        <f>IF(AM286=MiscData!$AB$91,1,AM286+1)</f>
        <v>22</v>
      </c>
    </row>
    <row r="288" spans="1:39">
      <c r="A288" s="413">
        <f t="shared" si="124"/>
        <v>287</v>
      </c>
      <c r="B288" s="427" t="str">
        <f t="shared" si="100"/>
        <v>Apr 2016</v>
      </c>
      <c r="C288" s="428" t="str">
        <f t="shared" si="101"/>
        <v>LS</v>
      </c>
      <c r="D288" s="428" t="str">
        <f t="shared" si="102"/>
        <v>KUUM_407</v>
      </c>
      <c r="E288" s="425">
        <f t="shared" si="103"/>
        <v>0</v>
      </c>
      <c r="F288" s="429"/>
      <c r="G288" s="425">
        <f t="shared" si="104"/>
        <v>0</v>
      </c>
      <c r="H288" s="425">
        <v>0</v>
      </c>
      <c r="I288" s="415">
        <f t="shared" si="105"/>
        <v>0</v>
      </c>
      <c r="J288" s="415">
        <f t="shared" si="106"/>
        <v>0</v>
      </c>
      <c r="K288" s="416">
        <f t="shared" si="119"/>
        <v>0</v>
      </c>
      <c r="L288" s="430"/>
      <c r="M288" s="430"/>
      <c r="N288" s="186">
        <f t="shared" ref="N288:N351" si="125">SUM(K288:M288)</f>
        <v>0</v>
      </c>
      <c r="O288" s="431">
        <f t="shared" si="108"/>
        <v>0</v>
      </c>
      <c r="P288" s="417">
        <f t="shared" si="120"/>
        <v>1</v>
      </c>
      <c r="Q288" s="186">
        <f t="shared" si="109"/>
        <v>0</v>
      </c>
      <c r="R288" s="186">
        <f t="shared" si="110"/>
        <v>0</v>
      </c>
      <c r="S288" s="186">
        <f t="shared" si="111"/>
        <v>0</v>
      </c>
      <c r="T288" s="186">
        <f t="shared" si="112"/>
        <v>0</v>
      </c>
      <c r="U288" s="186">
        <f t="shared" si="113"/>
        <v>0</v>
      </c>
      <c r="V288" s="418">
        <f t="shared" si="114"/>
        <v>0</v>
      </c>
      <c r="W288" s="418">
        <f t="shared" si="115"/>
        <v>0</v>
      </c>
      <c r="X288" s="41"/>
      <c r="Y288" s="418">
        <f t="shared" si="121"/>
        <v>0</v>
      </c>
      <c r="Z288" s="418">
        <f t="shared" si="122"/>
        <v>0</v>
      </c>
      <c r="AA288" s="11">
        <f t="shared" si="116"/>
        <v>0</v>
      </c>
      <c r="AB288" s="9">
        <f t="shared" si="123"/>
        <v>0</v>
      </c>
      <c r="AC288" s="41"/>
      <c r="AD288" s="427">
        <f>IF(AH288&gt;AH287,AD287,IF(AD287&lt;MiscData!$F$1,EOMONTH(AD287,1),EOMONTH(AD287,-11)))</f>
        <v>42490</v>
      </c>
      <c r="AE288" s="414" t="str">
        <f t="shared" si="117"/>
        <v>20140101KUUM_407</v>
      </c>
      <c r="AF288" s="466" t="str">
        <f t="shared" si="118"/>
        <v>20140101LS</v>
      </c>
      <c r="AG288" s="467"/>
      <c r="AH288" s="41">
        <f>IF(AH287=MiscData!$AB$91,1,AH287+1)</f>
        <v>23</v>
      </c>
      <c r="AI288">
        <f>IF(AD288&lt;=MiscData!$B$23,MiscData!$C$23,IF(AD288&lt;=MiscData!$B$24,MiscData!$C$24,MiscData!$C$25))</f>
        <v>20140101</v>
      </c>
      <c r="AJ288" s="41"/>
      <c r="AK288" s="468" t="str">
        <f>VLOOKUP(AM288,MiscData!$AB$4:$ACB$113,2,FALSE)</f>
        <v>KUUM_407</v>
      </c>
      <c r="AL288" s="468" t="str">
        <f>VLOOKUP(AM288,MiscData!$AB$4:$AE$115,4,FALSE)</f>
        <v>LS</v>
      </c>
      <c r="AM288" s="469">
        <f>IF(AM287=MiscData!$AB$91,1,AM287+1)</f>
        <v>23</v>
      </c>
    </row>
    <row r="289" spans="1:39">
      <c r="A289" s="413">
        <f t="shared" si="124"/>
        <v>288</v>
      </c>
      <c r="B289" s="427" t="str">
        <f t="shared" si="100"/>
        <v>Apr 2016</v>
      </c>
      <c r="C289" s="428" t="str">
        <f t="shared" si="101"/>
        <v>RLS</v>
      </c>
      <c r="D289" s="428" t="str">
        <f t="shared" si="102"/>
        <v>KUUM_409</v>
      </c>
      <c r="E289" s="425">
        <f t="shared" si="103"/>
        <v>141</v>
      </c>
      <c r="F289" s="429"/>
      <c r="G289" s="425">
        <f t="shared" si="104"/>
        <v>0</v>
      </c>
      <c r="H289" s="425">
        <v>0</v>
      </c>
      <c r="I289" s="415">
        <f t="shared" si="105"/>
        <v>11.71</v>
      </c>
      <c r="J289" s="415">
        <f t="shared" si="106"/>
        <v>4.5299999999999994</v>
      </c>
      <c r="K289" s="416">
        <f t="shared" si="119"/>
        <v>1651.11</v>
      </c>
      <c r="L289" s="430"/>
      <c r="M289" s="430"/>
      <c r="N289" s="186">
        <f t="shared" si="125"/>
        <v>1651.11</v>
      </c>
      <c r="O289" s="431">
        <f t="shared" si="108"/>
        <v>0</v>
      </c>
      <c r="P289" s="417">
        <f t="shared" si="120"/>
        <v>0</v>
      </c>
      <c r="Q289" s="186">
        <f t="shared" si="109"/>
        <v>0</v>
      </c>
      <c r="R289" s="186">
        <f t="shared" si="110"/>
        <v>0</v>
      </c>
      <c r="S289" s="186">
        <f t="shared" si="111"/>
        <v>0</v>
      </c>
      <c r="T289" s="186">
        <f t="shared" si="112"/>
        <v>0</v>
      </c>
      <c r="U289" s="186">
        <f t="shared" si="113"/>
        <v>0</v>
      </c>
      <c r="V289" s="418">
        <f t="shared" si="114"/>
        <v>1651.11</v>
      </c>
      <c r="W289" s="418">
        <f t="shared" si="115"/>
        <v>-1651.11</v>
      </c>
      <c r="X289" s="41"/>
      <c r="Y289" s="418">
        <f t="shared" si="121"/>
        <v>638.73</v>
      </c>
      <c r="Z289" s="418">
        <f t="shared" si="122"/>
        <v>-638.73</v>
      </c>
      <c r="AA289" s="11">
        <f t="shared" si="116"/>
        <v>0.79</v>
      </c>
      <c r="AB289" s="9">
        <f t="shared" si="123"/>
        <v>111.39</v>
      </c>
      <c r="AC289" s="41"/>
      <c r="AD289" s="427">
        <f>IF(AH289&gt;AH288,AD288,IF(AD288&lt;MiscData!$F$1,EOMONTH(AD288,1),EOMONTH(AD288,-11)))</f>
        <v>42490</v>
      </c>
      <c r="AE289" s="414" t="str">
        <f t="shared" si="117"/>
        <v>20140101KUUM_409</v>
      </c>
      <c r="AF289" s="466" t="str">
        <f t="shared" si="118"/>
        <v>20140101RLS</v>
      </c>
      <c r="AG289" s="467"/>
      <c r="AH289" s="41">
        <f>IF(AH288=MiscData!$AB$91,1,AH288+1)</f>
        <v>24</v>
      </c>
      <c r="AI289">
        <f>IF(AD289&lt;=MiscData!$B$23,MiscData!$C$23,IF(AD289&lt;=MiscData!$B$24,MiscData!$C$24,MiscData!$C$25))</f>
        <v>20140101</v>
      </c>
      <c r="AJ289" s="41"/>
      <c r="AK289" s="468" t="str">
        <f>VLOOKUP(AM289,MiscData!$AB$4:$ACB$113,2,FALSE)</f>
        <v>KUUM_409</v>
      </c>
      <c r="AL289" s="468" t="str">
        <f>VLOOKUP(AM289,MiscData!$AB$4:$AE$115,4,FALSE)</f>
        <v>RLS</v>
      </c>
      <c r="AM289" s="469">
        <f>IF(AM288=MiscData!$AB$91,1,AM288+1)</f>
        <v>24</v>
      </c>
    </row>
    <row r="290" spans="1:39">
      <c r="A290" s="413">
        <f t="shared" si="124"/>
        <v>289</v>
      </c>
      <c r="B290" s="427" t="str">
        <f t="shared" ref="B290:B321" si="126">TEXT(AD290,"mmm yyyy")</f>
        <v>Apr 2016</v>
      </c>
      <c r="C290" s="428" t="str">
        <f t="shared" ref="C290:C321" si="127">AL290</f>
        <v>RLS</v>
      </c>
      <c r="D290" s="428" t="str">
        <f t="shared" ref="D290:D321" si="128">AK290</f>
        <v>KUUM_410</v>
      </c>
      <c r="E290" s="425">
        <f t="shared" si="103"/>
        <v>240</v>
      </c>
      <c r="F290" s="429"/>
      <c r="G290" s="425">
        <f t="shared" si="104"/>
        <v>0</v>
      </c>
      <c r="H290" s="425">
        <v>0</v>
      </c>
      <c r="I290" s="415">
        <f t="shared" ref="I290:I321" si="129">SUMIF(_Lights_Tariff_Category,$AE290,_Lights_Rates)</f>
        <v>20.259999999999998</v>
      </c>
      <c r="J290" s="415">
        <f t="shared" ref="J290:J321" si="130">SUMIF(_Lights_Tariff_Category,$AE290,_Rates_Lights_BaseFAC)</f>
        <v>0.57000000000000028</v>
      </c>
      <c r="K290" s="416">
        <f t="shared" si="119"/>
        <v>4862.3999999999996</v>
      </c>
      <c r="L290" s="430"/>
      <c r="M290" s="430"/>
      <c r="N290" s="186">
        <f t="shared" si="125"/>
        <v>4862.3999999999996</v>
      </c>
      <c r="O290" s="431">
        <f t="shared" si="108"/>
        <v>0</v>
      </c>
      <c r="P290" s="417">
        <f t="shared" si="120"/>
        <v>0</v>
      </c>
      <c r="Q290" s="186">
        <f t="shared" si="109"/>
        <v>0</v>
      </c>
      <c r="R290" s="186">
        <f t="shared" si="110"/>
        <v>0</v>
      </c>
      <c r="S290" s="186">
        <f t="shared" si="111"/>
        <v>0</v>
      </c>
      <c r="T290" s="186">
        <f t="shared" si="112"/>
        <v>0</v>
      </c>
      <c r="U290" s="186">
        <f t="shared" si="113"/>
        <v>0</v>
      </c>
      <c r="V290" s="418">
        <f t="shared" si="114"/>
        <v>4862.3999999999996</v>
      </c>
      <c r="W290" s="418">
        <f t="shared" si="115"/>
        <v>-4862.3999999999996</v>
      </c>
      <c r="X290" s="41"/>
      <c r="Y290" s="418">
        <f t="shared" si="121"/>
        <v>136.80000000000001</v>
      </c>
      <c r="Z290" s="418">
        <f t="shared" si="122"/>
        <v>-136.80000000000001</v>
      </c>
      <c r="AA290" s="11">
        <f t="shared" si="116"/>
        <v>0.33</v>
      </c>
      <c r="AB290" s="9">
        <f t="shared" si="123"/>
        <v>79.2</v>
      </c>
      <c r="AC290" s="41"/>
      <c r="AD290" s="427">
        <f>IF(AH290&gt;AH289,AD289,IF(AD289&lt;MiscData!$F$1,EOMONTH(AD289,1),EOMONTH(AD289,-11)))</f>
        <v>42490</v>
      </c>
      <c r="AE290" s="414" t="str">
        <f t="shared" si="117"/>
        <v>20140101KUUM_410</v>
      </c>
      <c r="AF290" s="466" t="str">
        <f t="shared" si="118"/>
        <v>20140101RLS</v>
      </c>
      <c r="AG290" s="467"/>
      <c r="AH290" s="41">
        <f>IF(AH289=MiscData!$AB$91,1,AH289+1)</f>
        <v>25</v>
      </c>
      <c r="AI290">
        <f>IF(AD290&lt;=MiscData!$B$23,MiscData!$C$23,IF(AD290&lt;=MiscData!$B$24,MiscData!$C$24,MiscData!$C$25))</f>
        <v>20140101</v>
      </c>
      <c r="AJ290" s="41"/>
      <c r="AK290" s="468" t="str">
        <f>VLOOKUP(AM290,MiscData!$AB$4:$ACB$113,2,FALSE)</f>
        <v>KUUM_410</v>
      </c>
      <c r="AL290" s="468" t="str">
        <f>VLOOKUP(AM290,MiscData!$AB$4:$AE$115,4,FALSE)</f>
        <v>RLS</v>
      </c>
      <c r="AM290" s="469">
        <f>IF(AM289=MiscData!$AB$91,1,AM289+1)</f>
        <v>25</v>
      </c>
    </row>
    <row r="291" spans="1:39">
      <c r="A291" s="413">
        <f t="shared" si="124"/>
        <v>290</v>
      </c>
      <c r="B291" s="427" t="str">
        <f t="shared" si="126"/>
        <v>Apr 2016</v>
      </c>
      <c r="C291" s="428" t="str">
        <f t="shared" si="127"/>
        <v>LS</v>
      </c>
      <c r="D291" s="428" t="str">
        <f t="shared" si="128"/>
        <v>KUUM_411</v>
      </c>
      <c r="E291" s="425">
        <f t="shared" si="103"/>
        <v>150</v>
      </c>
      <c r="F291" s="429"/>
      <c r="G291" s="425">
        <f t="shared" si="104"/>
        <v>0</v>
      </c>
      <c r="H291" s="425">
        <v>0</v>
      </c>
      <c r="I291" s="415">
        <f t="shared" si="129"/>
        <v>21.38</v>
      </c>
      <c r="J291" s="415">
        <f t="shared" si="130"/>
        <v>0.79999999999999716</v>
      </c>
      <c r="K291" s="416">
        <f t="shared" si="119"/>
        <v>3207</v>
      </c>
      <c r="L291" s="430"/>
      <c r="M291" s="430"/>
      <c r="N291" s="186">
        <f t="shared" si="125"/>
        <v>3207</v>
      </c>
      <c r="O291" s="431">
        <f t="shared" si="108"/>
        <v>0</v>
      </c>
      <c r="P291" s="417">
        <f t="shared" si="120"/>
        <v>0</v>
      </c>
      <c r="Q291" s="186">
        <f t="shared" si="109"/>
        <v>0</v>
      </c>
      <c r="R291" s="186">
        <f t="shared" si="110"/>
        <v>0</v>
      </c>
      <c r="S291" s="186">
        <f t="shared" si="111"/>
        <v>0</v>
      </c>
      <c r="T291" s="186">
        <f t="shared" si="112"/>
        <v>0</v>
      </c>
      <c r="U291" s="186">
        <f t="shared" si="113"/>
        <v>0</v>
      </c>
      <c r="V291" s="418">
        <f t="shared" si="114"/>
        <v>3207</v>
      </c>
      <c r="W291" s="418">
        <f t="shared" si="115"/>
        <v>-3207</v>
      </c>
      <c r="X291" s="41"/>
      <c r="Y291" s="418">
        <f t="shared" ref="Y291:Y322" si="131">ROUND(E291*J291,2)</f>
        <v>120</v>
      </c>
      <c r="Z291" s="418">
        <f t="shared" si="122"/>
        <v>-120</v>
      </c>
      <c r="AA291" s="11">
        <f t="shared" si="116"/>
        <v>0.43</v>
      </c>
      <c r="AB291" s="9">
        <f t="shared" si="123"/>
        <v>64.5</v>
      </c>
      <c r="AC291" s="41"/>
      <c r="AD291" s="427">
        <f>IF(AH291&gt;AH290,AD290,IF(AD290&lt;MiscData!$F$1,EOMONTH(AD290,1),EOMONTH(AD290,-11)))</f>
        <v>42490</v>
      </c>
      <c r="AE291" s="414" t="str">
        <f t="shared" si="117"/>
        <v>20140101KUUM_411</v>
      </c>
      <c r="AF291" s="466" t="str">
        <f t="shared" si="118"/>
        <v>20140101LS</v>
      </c>
      <c r="AG291" s="467"/>
      <c r="AH291" s="41">
        <f>IF(AH290=MiscData!$AB$91,1,AH290+1)</f>
        <v>26</v>
      </c>
      <c r="AI291">
        <f>IF(AD291&lt;=MiscData!$B$23,MiscData!$C$23,IF(AD291&lt;=MiscData!$B$24,MiscData!$C$24,MiscData!$C$25))</f>
        <v>20140101</v>
      </c>
      <c r="AJ291" s="41"/>
      <c r="AK291" s="468" t="str">
        <f>VLOOKUP(AM291,MiscData!$AB$4:$ACB$113,2,FALSE)</f>
        <v>KUUM_411</v>
      </c>
      <c r="AL291" s="468" t="str">
        <f>VLOOKUP(AM291,MiscData!$AB$4:$AE$115,4,FALSE)</f>
        <v>LS</v>
      </c>
      <c r="AM291" s="469">
        <f>IF(AM290=MiscData!$AB$91,1,AM290+1)</f>
        <v>26</v>
      </c>
    </row>
    <row r="292" spans="1:39">
      <c r="A292" s="413">
        <f t="shared" si="124"/>
        <v>291</v>
      </c>
      <c r="B292" s="427" t="str">
        <f t="shared" si="126"/>
        <v>Apr 2016</v>
      </c>
      <c r="C292" s="428" t="str">
        <f t="shared" si="127"/>
        <v>RLS</v>
      </c>
      <c r="D292" s="428" t="str">
        <f t="shared" si="128"/>
        <v>KUUM_412</v>
      </c>
      <c r="E292" s="425">
        <f t="shared" si="103"/>
        <v>28</v>
      </c>
      <c r="F292" s="429"/>
      <c r="G292" s="425">
        <f t="shared" si="104"/>
        <v>0</v>
      </c>
      <c r="H292" s="425">
        <v>0</v>
      </c>
      <c r="I292" s="415">
        <f t="shared" si="129"/>
        <v>30.84</v>
      </c>
      <c r="J292" s="415">
        <f t="shared" si="130"/>
        <v>0.79999999999999716</v>
      </c>
      <c r="K292" s="416">
        <f t="shared" si="119"/>
        <v>863.52</v>
      </c>
      <c r="L292" s="430"/>
      <c r="M292" s="430"/>
      <c r="N292" s="186">
        <f t="shared" si="125"/>
        <v>863.52</v>
      </c>
      <c r="O292" s="431">
        <f t="shared" si="108"/>
        <v>0</v>
      </c>
      <c r="P292" s="417">
        <f t="shared" si="120"/>
        <v>0</v>
      </c>
      <c r="Q292" s="186">
        <f t="shared" si="109"/>
        <v>0</v>
      </c>
      <c r="R292" s="186">
        <f t="shared" si="110"/>
        <v>0</v>
      </c>
      <c r="S292" s="186">
        <f t="shared" si="111"/>
        <v>0</v>
      </c>
      <c r="T292" s="186">
        <f t="shared" si="112"/>
        <v>0</v>
      </c>
      <c r="U292" s="186">
        <f t="shared" si="113"/>
        <v>0</v>
      </c>
      <c r="V292" s="418">
        <f t="shared" si="114"/>
        <v>863.52</v>
      </c>
      <c r="W292" s="418">
        <f t="shared" si="115"/>
        <v>-863.52</v>
      </c>
      <c r="X292" s="41"/>
      <c r="Y292" s="418">
        <f t="shared" si="131"/>
        <v>22.4</v>
      </c>
      <c r="Z292" s="418">
        <f t="shared" si="122"/>
        <v>-22.4</v>
      </c>
      <c r="AA292" s="11">
        <f t="shared" si="116"/>
        <v>0.43</v>
      </c>
      <c r="AB292" s="9">
        <f t="shared" si="123"/>
        <v>12.04</v>
      </c>
      <c r="AC292" s="41"/>
      <c r="AD292" s="427">
        <f>IF(AH292&gt;AH291,AD291,IF(AD291&lt;MiscData!$F$1,EOMONTH(AD291,1),EOMONTH(AD291,-11)))</f>
        <v>42490</v>
      </c>
      <c r="AE292" s="414" t="str">
        <f t="shared" si="117"/>
        <v>20140101KUUM_412</v>
      </c>
      <c r="AF292" s="466" t="str">
        <f t="shared" si="118"/>
        <v>20140101RLS</v>
      </c>
      <c r="AG292" s="467"/>
      <c r="AH292" s="41">
        <f>IF(AH291=MiscData!$AB$91,1,AH291+1)</f>
        <v>27</v>
      </c>
      <c r="AI292">
        <f>IF(AD292&lt;=MiscData!$B$23,MiscData!$C$23,IF(AD292&lt;=MiscData!$B$24,MiscData!$C$24,MiscData!$C$25))</f>
        <v>20140101</v>
      </c>
      <c r="AJ292" s="41"/>
      <c r="AK292" s="468" t="str">
        <f>VLOOKUP(AM292,MiscData!$AB$4:$ACB$113,2,FALSE)</f>
        <v>KUUM_412</v>
      </c>
      <c r="AL292" s="468" t="str">
        <f>VLOOKUP(AM292,MiscData!$AB$4:$AE$115,4,FALSE)</f>
        <v>RLS</v>
      </c>
      <c r="AM292" s="469">
        <f>IF(AM291=MiscData!$AB$91,1,AM291+1)</f>
        <v>27</v>
      </c>
    </row>
    <row r="293" spans="1:39">
      <c r="A293" s="413">
        <f t="shared" si="124"/>
        <v>292</v>
      </c>
      <c r="B293" s="427" t="str">
        <f t="shared" si="126"/>
        <v>Apr 2016</v>
      </c>
      <c r="C293" s="428" t="str">
        <f t="shared" si="127"/>
        <v>RLS</v>
      </c>
      <c r="D293" s="428" t="str">
        <f t="shared" si="128"/>
        <v>KUUM_413</v>
      </c>
      <c r="E293" s="425">
        <f t="shared" si="103"/>
        <v>96</v>
      </c>
      <c r="F293" s="429"/>
      <c r="G293" s="425">
        <f t="shared" si="104"/>
        <v>0</v>
      </c>
      <c r="H293" s="425">
        <v>0</v>
      </c>
      <c r="I293" s="415">
        <f t="shared" si="129"/>
        <v>31.22</v>
      </c>
      <c r="J293" s="415">
        <f t="shared" si="130"/>
        <v>1.129999999999999</v>
      </c>
      <c r="K293" s="416">
        <f t="shared" si="119"/>
        <v>2997.12</v>
      </c>
      <c r="L293" s="430"/>
      <c r="M293" s="430"/>
      <c r="N293" s="186">
        <f t="shared" si="125"/>
        <v>2997.12</v>
      </c>
      <c r="O293" s="431">
        <f t="shared" si="108"/>
        <v>0</v>
      </c>
      <c r="P293" s="417">
        <f t="shared" si="120"/>
        <v>0</v>
      </c>
      <c r="Q293" s="186">
        <f t="shared" si="109"/>
        <v>0</v>
      </c>
      <c r="R293" s="186">
        <f t="shared" si="110"/>
        <v>0</v>
      </c>
      <c r="S293" s="186">
        <f t="shared" si="111"/>
        <v>0</v>
      </c>
      <c r="T293" s="186">
        <f t="shared" si="112"/>
        <v>0</v>
      </c>
      <c r="U293" s="186">
        <f t="shared" si="113"/>
        <v>0</v>
      </c>
      <c r="V293" s="418">
        <f t="shared" si="114"/>
        <v>2997.12</v>
      </c>
      <c r="W293" s="418">
        <f t="shared" si="115"/>
        <v>-2997.12</v>
      </c>
      <c r="X293" s="41"/>
      <c r="Y293" s="418">
        <f t="shared" si="131"/>
        <v>108.48</v>
      </c>
      <c r="Z293" s="418">
        <f t="shared" si="122"/>
        <v>-108.48</v>
      </c>
      <c r="AA293" s="11">
        <f t="shared" si="116"/>
        <v>0.34</v>
      </c>
      <c r="AB293" s="9">
        <f t="shared" si="123"/>
        <v>32.64</v>
      </c>
      <c r="AC293" s="41"/>
      <c r="AD293" s="427">
        <f>IF(AH293&gt;AH292,AD292,IF(AD292&lt;MiscData!$F$1,EOMONTH(AD292,1),EOMONTH(AD292,-11)))</f>
        <v>42490</v>
      </c>
      <c r="AE293" s="414" t="str">
        <f t="shared" si="117"/>
        <v>20140101KUUM_413</v>
      </c>
      <c r="AF293" s="466" t="str">
        <f t="shared" si="118"/>
        <v>20140101RLS</v>
      </c>
      <c r="AG293" s="467"/>
      <c r="AH293" s="41">
        <f>IF(AH292=MiscData!$AB$91,1,AH292+1)</f>
        <v>28</v>
      </c>
      <c r="AI293">
        <f>IF(AD293&lt;=MiscData!$B$23,MiscData!$C$23,IF(AD293&lt;=MiscData!$B$24,MiscData!$C$24,MiscData!$C$25))</f>
        <v>20140101</v>
      </c>
      <c r="AJ293" s="41"/>
      <c r="AK293" s="468" t="str">
        <f>VLOOKUP(AM293,MiscData!$AB$4:$ACB$113,2,FALSE)</f>
        <v>KUUM_413</v>
      </c>
      <c r="AL293" s="468" t="str">
        <f>VLOOKUP(AM293,MiscData!$AB$4:$AE$115,4,FALSE)</f>
        <v>RLS</v>
      </c>
      <c r="AM293" s="469">
        <f>IF(AM292=MiscData!$AB$91,1,AM292+1)</f>
        <v>28</v>
      </c>
    </row>
    <row r="294" spans="1:39">
      <c r="A294" s="413">
        <f t="shared" si="124"/>
        <v>293</v>
      </c>
      <c r="B294" s="427" t="str">
        <f t="shared" si="126"/>
        <v>Apr 2016</v>
      </c>
      <c r="C294" s="428" t="str">
        <f t="shared" si="127"/>
        <v>LS</v>
      </c>
      <c r="D294" s="428" t="str">
        <f t="shared" si="128"/>
        <v>KUUM_414</v>
      </c>
      <c r="E294" s="425">
        <f t="shared" si="103"/>
        <v>21</v>
      </c>
      <c r="F294" s="429"/>
      <c r="G294" s="425">
        <f t="shared" si="104"/>
        <v>0</v>
      </c>
      <c r="H294" s="425">
        <v>0</v>
      </c>
      <c r="I294" s="415">
        <f t="shared" si="129"/>
        <v>30.84</v>
      </c>
      <c r="J294" s="415">
        <f t="shared" si="130"/>
        <v>0.79999999999999716</v>
      </c>
      <c r="K294" s="416">
        <f t="shared" si="119"/>
        <v>647.64</v>
      </c>
      <c r="L294" s="430"/>
      <c r="M294" s="430"/>
      <c r="N294" s="186">
        <f t="shared" si="125"/>
        <v>647.64</v>
      </c>
      <c r="O294" s="431">
        <f t="shared" si="108"/>
        <v>0</v>
      </c>
      <c r="P294" s="417">
        <f t="shared" si="120"/>
        <v>0</v>
      </c>
      <c r="Q294" s="186">
        <f t="shared" si="109"/>
        <v>0</v>
      </c>
      <c r="R294" s="186">
        <f t="shared" si="110"/>
        <v>0</v>
      </c>
      <c r="S294" s="186">
        <f t="shared" si="111"/>
        <v>0</v>
      </c>
      <c r="T294" s="186">
        <f t="shared" si="112"/>
        <v>0</v>
      </c>
      <c r="U294" s="186">
        <f t="shared" si="113"/>
        <v>0</v>
      </c>
      <c r="V294" s="418">
        <f t="shared" si="114"/>
        <v>647.64</v>
      </c>
      <c r="W294" s="418">
        <f t="shared" si="115"/>
        <v>-647.64</v>
      </c>
      <c r="X294" s="41"/>
      <c r="Y294" s="418">
        <f t="shared" si="131"/>
        <v>16.8</v>
      </c>
      <c r="Z294" s="418">
        <f t="shared" si="122"/>
        <v>-16.8</v>
      </c>
      <c r="AA294" s="11">
        <f t="shared" si="116"/>
        <v>0.43</v>
      </c>
      <c r="AB294" s="9">
        <f t="shared" si="123"/>
        <v>9.0299999999999994</v>
      </c>
      <c r="AC294" s="41"/>
      <c r="AD294" s="427">
        <f>IF(AH294&gt;AH293,AD293,IF(AD293&lt;MiscData!$F$1,EOMONTH(AD293,1),EOMONTH(AD293,-11)))</f>
        <v>42490</v>
      </c>
      <c r="AE294" s="414" t="str">
        <f t="shared" si="117"/>
        <v>20140101KUUM_414</v>
      </c>
      <c r="AF294" s="466" t="str">
        <f t="shared" si="118"/>
        <v>20140101LS</v>
      </c>
      <c r="AG294" s="467"/>
      <c r="AH294" s="41">
        <f>IF(AH293=MiscData!$AB$91,1,AH293+1)</f>
        <v>29</v>
      </c>
      <c r="AI294">
        <f>IF(AD294&lt;=MiscData!$B$23,MiscData!$C$23,IF(AD294&lt;=MiscData!$B$24,MiscData!$C$24,MiscData!$C$25))</f>
        <v>20140101</v>
      </c>
      <c r="AJ294" s="41"/>
      <c r="AK294" s="468" t="str">
        <f>VLOOKUP(AM294,MiscData!$AB$4:$ACB$113,2,FALSE)</f>
        <v>KUUM_414</v>
      </c>
      <c r="AL294" s="468" t="str">
        <f>VLOOKUP(AM294,MiscData!$AB$4:$AE$115,4,FALSE)</f>
        <v>LS</v>
      </c>
      <c r="AM294" s="469">
        <f>IF(AM293=MiscData!$AB$91,1,AM293+1)</f>
        <v>29</v>
      </c>
    </row>
    <row r="295" spans="1:39">
      <c r="A295" s="413">
        <f t="shared" si="124"/>
        <v>294</v>
      </c>
      <c r="B295" s="427" t="str">
        <f t="shared" si="126"/>
        <v>Apr 2016</v>
      </c>
      <c r="C295" s="428" t="str">
        <f t="shared" si="127"/>
        <v>LS</v>
      </c>
      <c r="D295" s="428" t="str">
        <f t="shared" si="128"/>
        <v>KUUM_415</v>
      </c>
      <c r="E295" s="425">
        <f t="shared" si="103"/>
        <v>10</v>
      </c>
      <c r="F295" s="429"/>
      <c r="G295" s="425">
        <f t="shared" si="104"/>
        <v>0</v>
      </c>
      <c r="H295" s="425">
        <v>0</v>
      </c>
      <c r="I295" s="415">
        <f t="shared" si="129"/>
        <v>31.22</v>
      </c>
      <c r="J295" s="415">
        <f t="shared" si="130"/>
        <v>1.129999999999999</v>
      </c>
      <c r="K295" s="416">
        <f t="shared" si="119"/>
        <v>312.2</v>
      </c>
      <c r="L295" s="430"/>
      <c r="M295" s="430"/>
      <c r="N295" s="186">
        <f t="shared" si="125"/>
        <v>312.2</v>
      </c>
      <c r="O295" s="431">
        <f t="shared" si="108"/>
        <v>0</v>
      </c>
      <c r="P295" s="417">
        <f t="shared" si="120"/>
        <v>0</v>
      </c>
      <c r="Q295" s="186">
        <f t="shared" si="109"/>
        <v>0</v>
      </c>
      <c r="R295" s="186">
        <f t="shared" si="110"/>
        <v>0</v>
      </c>
      <c r="S295" s="186">
        <f t="shared" si="111"/>
        <v>0</v>
      </c>
      <c r="T295" s="186">
        <f t="shared" si="112"/>
        <v>0</v>
      </c>
      <c r="U295" s="186">
        <f t="shared" si="113"/>
        <v>0</v>
      </c>
      <c r="V295" s="418">
        <f t="shared" si="114"/>
        <v>312.2</v>
      </c>
      <c r="W295" s="418">
        <f t="shared" si="115"/>
        <v>-312.2</v>
      </c>
      <c r="X295" s="41"/>
      <c r="Y295" s="418">
        <f t="shared" si="131"/>
        <v>11.3</v>
      </c>
      <c r="Z295" s="418">
        <f t="shared" si="122"/>
        <v>-11.3</v>
      </c>
      <c r="AA295" s="11">
        <f t="shared" si="116"/>
        <v>0.34</v>
      </c>
      <c r="AB295" s="9">
        <f t="shared" si="123"/>
        <v>3.4000000000000004</v>
      </c>
      <c r="AC295" s="41"/>
      <c r="AD295" s="427">
        <f>IF(AH295&gt;AH294,AD294,IF(AD294&lt;MiscData!$F$1,EOMONTH(AD294,1),EOMONTH(AD294,-11)))</f>
        <v>42490</v>
      </c>
      <c r="AE295" s="414" t="str">
        <f t="shared" si="117"/>
        <v>20140101KUUM_415</v>
      </c>
      <c r="AF295" s="466" t="str">
        <f t="shared" si="118"/>
        <v>20140101LS</v>
      </c>
      <c r="AG295" s="467"/>
      <c r="AH295" s="41">
        <f>IF(AH294=MiscData!$AB$91,1,AH294+1)</f>
        <v>30</v>
      </c>
      <c r="AI295">
        <f>IF(AD295&lt;=MiscData!$B$23,MiscData!$C$23,IF(AD295&lt;=MiscData!$B$24,MiscData!$C$24,MiscData!$C$25))</f>
        <v>20140101</v>
      </c>
      <c r="AJ295" s="41"/>
      <c r="AK295" s="468" t="str">
        <f>VLOOKUP(AM295,MiscData!$AB$4:$ACB$113,2,FALSE)</f>
        <v>KUUM_415</v>
      </c>
      <c r="AL295" s="468" t="str">
        <f>VLOOKUP(AM295,MiscData!$AB$4:$AE$115,4,FALSE)</f>
        <v>LS</v>
      </c>
      <c r="AM295" s="469">
        <f>IF(AM294=MiscData!$AB$91,1,AM294+1)</f>
        <v>30</v>
      </c>
    </row>
    <row r="296" spans="1:39">
      <c r="A296" s="413">
        <f t="shared" si="124"/>
        <v>295</v>
      </c>
      <c r="B296" s="427" t="str">
        <f t="shared" si="126"/>
        <v>Apr 2016</v>
      </c>
      <c r="C296" s="428" t="str">
        <f t="shared" si="127"/>
        <v>LS</v>
      </c>
      <c r="D296" s="428" t="str">
        <f t="shared" si="128"/>
        <v>KUUM_420</v>
      </c>
      <c r="E296" s="425">
        <f t="shared" si="103"/>
        <v>465</v>
      </c>
      <c r="F296" s="429"/>
      <c r="G296" s="425">
        <f t="shared" si="104"/>
        <v>0</v>
      </c>
      <c r="H296" s="425">
        <v>0</v>
      </c>
      <c r="I296" s="415">
        <f t="shared" si="129"/>
        <v>15.360000000000001</v>
      </c>
      <c r="J296" s="415">
        <f t="shared" si="130"/>
        <v>1.1300000000000008</v>
      </c>
      <c r="K296" s="416">
        <f t="shared" si="119"/>
        <v>7142.4</v>
      </c>
      <c r="L296" s="430"/>
      <c r="M296" s="430"/>
      <c r="N296" s="186">
        <f t="shared" si="125"/>
        <v>7142.4</v>
      </c>
      <c r="O296" s="431">
        <f t="shared" si="108"/>
        <v>0</v>
      </c>
      <c r="P296" s="417">
        <f t="shared" si="120"/>
        <v>0</v>
      </c>
      <c r="Q296" s="186">
        <f t="shared" si="109"/>
        <v>0</v>
      </c>
      <c r="R296" s="186">
        <f t="shared" si="110"/>
        <v>0</v>
      </c>
      <c r="S296" s="186">
        <f t="shared" si="111"/>
        <v>0</v>
      </c>
      <c r="T296" s="186">
        <f t="shared" si="112"/>
        <v>0</v>
      </c>
      <c r="U296" s="186">
        <f t="shared" si="113"/>
        <v>0</v>
      </c>
      <c r="V296" s="418">
        <f t="shared" si="114"/>
        <v>7142.4</v>
      </c>
      <c r="W296" s="418">
        <f t="shared" si="115"/>
        <v>-7142.4</v>
      </c>
      <c r="X296" s="41"/>
      <c r="Y296" s="418">
        <f t="shared" si="131"/>
        <v>525.45000000000005</v>
      </c>
      <c r="Z296" s="418">
        <f t="shared" si="122"/>
        <v>-525.45000000000005</v>
      </c>
      <c r="AA296" s="11">
        <f t="shared" si="116"/>
        <v>0.34</v>
      </c>
      <c r="AB296" s="9">
        <f t="shared" si="123"/>
        <v>158.10000000000002</v>
      </c>
      <c r="AC296" s="41"/>
      <c r="AD296" s="427">
        <f>IF(AH296&gt;AH295,AD295,IF(AD295&lt;MiscData!$F$1,EOMONTH(AD295,1),EOMONTH(AD295,-11)))</f>
        <v>42490</v>
      </c>
      <c r="AE296" s="414" t="str">
        <f t="shared" si="117"/>
        <v>20140101KUUM_420</v>
      </c>
      <c r="AF296" s="466" t="str">
        <f t="shared" si="118"/>
        <v>20140101LS</v>
      </c>
      <c r="AG296" s="467"/>
      <c r="AH296" s="41">
        <f>IF(AH295=MiscData!$AB$91,1,AH295+1)</f>
        <v>31</v>
      </c>
      <c r="AI296">
        <f>IF(AD296&lt;=MiscData!$B$23,MiscData!$C$23,IF(AD296&lt;=MiscData!$B$24,MiscData!$C$24,MiscData!$C$25))</f>
        <v>20140101</v>
      </c>
      <c r="AJ296" s="41"/>
      <c r="AK296" s="468" t="str">
        <f>VLOOKUP(AM296,MiscData!$AB$4:$ACB$113,2,FALSE)</f>
        <v>KUUM_420</v>
      </c>
      <c r="AL296" s="468" t="str">
        <f>VLOOKUP(AM296,MiscData!$AB$4:$AE$115,4,FALSE)</f>
        <v>LS</v>
      </c>
      <c r="AM296" s="469">
        <f>IF(AM295=MiscData!$AB$91,1,AM295+1)</f>
        <v>31</v>
      </c>
    </row>
    <row r="297" spans="1:39">
      <c r="A297" s="413">
        <f t="shared" si="124"/>
        <v>296</v>
      </c>
      <c r="B297" s="427" t="str">
        <f t="shared" si="126"/>
        <v>Apr 2016</v>
      </c>
      <c r="C297" s="428" t="str">
        <f t="shared" si="127"/>
        <v>RLS</v>
      </c>
      <c r="D297" s="428" t="str">
        <f t="shared" si="128"/>
        <v>KUUM_421</v>
      </c>
      <c r="E297" s="425">
        <f t="shared" si="103"/>
        <v>5</v>
      </c>
      <c r="F297" s="429"/>
      <c r="G297" s="425">
        <f t="shared" si="104"/>
        <v>0</v>
      </c>
      <c r="H297" s="425">
        <v>0</v>
      </c>
      <c r="I297" s="415">
        <f t="shared" si="129"/>
        <v>3.39</v>
      </c>
      <c r="J297" s="415">
        <f t="shared" si="130"/>
        <v>0.98999999999999977</v>
      </c>
      <c r="K297" s="416">
        <f t="shared" si="119"/>
        <v>16.95</v>
      </c>
      <c r="L297" s="430"/>
      <c r="M297" s="430"/>
      <c r="N297" s="186">
        <f t="shared" si="125"/>
        <v>16.95</v>
      </c>
      <c r="O297" s="431">
        <f t="shared" si="108"/>
        <v>0</v>
      </c>
      <c r="P297" s="417">
        <f t="shared" si="120"/>
        <v>0</v>
      </c>
      <c r="Q297" s="186">
        <f t="shared" si="109"/>
        <v>0</v>
      </c>
      <c r="R297" s="186">
        <f t="shared" si="110"/>
        <v>0</v>
      </c>
      <c r="S297" s="186">
        <f t="shared" si="111"/>
        <v>0</v>
      </c>
      <c r="T297" s="186">
        <f t="shared" si="112"/>
        <v>0</v>
      </c>
      <c r="U297" s="186">
        <f t="shared" si="113"/>
        <v>0</v>
      </c>
      <c r="V297" s="418">
        <f t="shared" si="114"/>
        <v>16.95</v>
      </c>
      <c r="W297" s="418">
        <f t="shared" si="115"/>
        <v>-16.95</v>
      </c>
      <c r="X297" s="41"/>
      <c r="Y297" s="418">
        <f t="shared" si="131"/>
        <v>4.95</v>
      </c>
      <c r="Z297" s="418">
        <f t="shared" si="122"/>
        <v>-4.95</v>
      </c>
      <c r="AA297" s="11">
        <f t="shared" si="116"/>
        <v>0.12</v>
      </c>
      <c r="AB297" s="9">
        <f t="shared" si="123"/>
        <v>0.6</v>
      </c>
      <c r="AC297" s="41"/>
      <c r="AD297" s="427">
        <f>IF(AH297&gt;AH296,AD296,IF(AD296&lt;MiscData!$F$1,EOMONTH(AD296,1),EOMONTH(AD296,-11)))</f>
        <v>42490</v>
      </c>
      <c r="AE297" s="414" t="str">
        <f t="shared" si="117"/>
        <v>20140101KUUM_421</v>
      </c>
      <c r="AF297" s="466" t="str">
        <f t="shared" si="118"/>
        <v>20140101RLS</v>
      </c>
      <c r="AG297" s="467"/>
      <c r="AH297" s="41">
        <f>IF(AH296=MiscData!$AB$91,1,AH296+1)</f>
        <v>32</v>
      </c>
      <c r="AI297">
        <f>IF(AD297&lt;=MiscData!$B$23,MiscData!$C$23,IF(AD297&lt;=MiscData!$B$24,MiscData!$C$24,MiscData!$C$25))</f>
        <v>20140101</v>
      </c>
      <c r="AJ297" s="41"/>
      <c r="AK297" s="468" t="str">
        <f>VLOOKUP(AM297,MiscData!$AB$4:$ACB$113,2,FALSE)</f>
        <v>KUUM_421</v>
      </c>
      <c r="AL297" s="468" t="str">
        <f>VLOOKUP(AM297,MiscData!$AB$4:$AE$115,4,FALSE)</f>
        <v>RLS</v>
      </c>
      <c r="AM297" s="469">
        <f>IF(AM296=MiscData!$AB$91,1,AM296+1)</f>
        <v>32</v>
      </c>
    </row>
    <row r="298" spans="1:39">
      <c r="A298" s="413">
        <f t="shared" si="124"/>
        <v>297</v>
      </c>
      <c r="B298" s="427" t="str">
        <f t="shared" si="126"/>
        <v>Apr 2016</v>
      </c>
      <c r="C298" s="428" t="str">
        <f t="shared" si="127"/>
        <v>RLS</v>
      </c>
      <c r="D298" s="428" t="str">
        <f t="shared" si="128"/>
        <v>KUUM_422</v>
      </c>
      <c r="E298" s="425">
        <f t="shared" si="103"/>
        <v>676</v>
      </c>
      <c r="F298" s="429"/>
      <c r="G298" s="425">
        <f t="shared" si="104"/>
        <v>0</v>
      </c>
      <c r="H298" s="425">
        <v>0</v>
      </c>
      <c r="I298" s="415">
        <f t="shared" si="129"/>
        <v>4.5400000000000009</v>
      </c>
      <c r="J298" s="415">
        <f t="shared" si="130"/>
        <v>1.9400000000000004</v>
      </c>
      <c r="K298" s="416">
        <f t="shared" si="119"/>
        <v>3069.04</v>
      </c>
      <c r="L298" s="430"/>
      <c r="M298" s="430"/>
      <c r="N298" s="186">
        <f t="shared" si="125"/>
        <v>3069.04</v>
      </c>
      <c r="O298" s="431">
        <f t="shared" si="108"/>
        <v>0</v>
      </c>
      <c r="P298" s="417">
        <f t="shared" si="120"/>
        <v>0</v>
      </c>
      <c r="Q298" s="186">
        <f t="shared" si="109"/>
        <v>0</v>
      </c>
      <c r="R298" s="186">
        <f t="shared" si="110"/>
        <v>0</v>
      </c>
      <c r="S298" s="186">
        <f t="shared" si="111"/>
        <v>0</v>
      </c>
      <c r="T298" s="186">
        <f t="shared" si="112"/>
        <v>0</v>
      </c>
      <c r="U298" s="186">
        <f t="shared" si="113"/>
        <v>0</v>
      </c>
      <c r="V298" s="418">
        <f t="shared" si="114"/>
        <v>3069.04</v>
      </c>
      <c r="W298" s="418">
        <f t="shared" si="115"/>
        <v>-3069.04</v>
      </c>
      <c r="X298" s="41"/>
      <c r="Y298" s="418">
        <f t="shared" si="131"/>
        <v>1311.44</v>
      </c>
      <c r="Z298" s="418">
        <f t="shared" si="122"/>
        <v>-1311.44</v>
      </c>
      <c r="AA298" s="11">
        <f t="shared" si="116"/>
        <v>0.16</v>
      </c>
      <c r="AB298" s="9">
        <f t="shared" si="123"/>
        <v>108.16</v>
      </c>
      <c r="AC298" s="41"/>
      <c r="AD298" s="427">
        <f>IF(AH298&gt;AH297,AD297,IF(AD297&lt;MiscData!$F$1,EOMONTH(AD297,1),EOMONTH(AD297,-11)))</f>
        <v>42490</v>
      </c>
      <c r="AE298" s="414" t="str">
        <f t="shared" si="117"/>
        <v>20140101KUUM_422</v>
      </c>
      <c r="AF298" s="466" t="str">
        <f t="shared" si="118"/>
        <v>20140101RLS</v>
      </c>
      <c r="AG298" s="467"/>
      <c r="AH298" s="41">
        <f>IF(AH297=MiscData!$AB$91,1,AH297+1)</f>
        <v>33</v>
      </c>
      <c r="AI298">
        <f>IF(AD298&lt;=MiscData!$B$23,MiscData!$C$23,IF(AD298&lt;=MiscData!$B$24,MiscData!$C$24,MiscData!$C$25))</f>
        <v>20140101</v>
      </c>
      <c r="AJ298" s="41"/>
      <c r="AK298" s="468" t="str">
        <f>VLOOKUP(AM298,MiscData!$AB$4:$ACB$113,2,FALSE)</f>
        <v>KUUM_422</v>
      </c>
      <c r="AL298" s="468" t="str">
        <f>VLOOKUP(AM298,MiscData!$AB$4:$AE$115,4,FALSE)</f>
        <v>RLS</v>
      </c>
      <c r="AM298" s="469">
        <f>IF(AM297=MiscData!$AB$91,1,AM297+1)</f>
        <v>33</v>
      </c>
    </row>
    <row r="299" spans="1:39">
      <c r="A299" s="413">
        <f t="shared" si="124"/>
        <v>298</v>
      </c>
      <c r="B299" s="427" t="str">
        <f t="shared" si="126"/>
        <v>Apr 2016</v>
      </c>
      <c r="C299" s="428" t="str">
        <f t="shared" si="127"/>
        <v>RLS</v>
      </c>
      <c r="D299" s="428" t="str">
        <f t="shared" si="128"/>
        <v>KUUM_424</v>
      </c>
      <c r="E299" s="425">
        <f t="shared" si="103"/>
        <v>65</v>
      </c>
      <c r="F299" s="429"/>
      <c r="G299" s="425">
        <f t="shared" si="104"/>
        <v>0</v>
      </c>
      <c r="H299" s="425">
        <v>123</v>
      </c>
      <c r="I299" s="415">
        <f t="shared" si="129"/>
        <v>6.78</v>
      </c>
      <c r="J299" s="415">
        <f t="shared" si="130"/>
        <v>0.69999999999999929</v>
      </c>
      <c r="K299" s="416">
        <f t="shared" si="119"/>
        <v>440.7</v>
      </c>
      <c r="L299" s="430"/>
      <c r="M299" s="430"/>
      <c r="N299" s="186">
        <f t="shared" si="125"/>
        <v>440.7</v>
      </c>
      <c r="O299" s="431">
        <f t="shared" si="108"/>
        <v>0</v>
      </c>
      <c r="P299" s="417">
        <f t="shared" si="120"/>
        <v>0</v>
      </c>
      <c r="Q299" s="186">
        <f t="shared" si="109"/>
        <v>0</v>
      </c>
      <c r="R299" s="186">
        <f t="shared" si="110"/>
        <v>0</v>
      </c>
      <c r="S299" s="186">
        <f t="shared" si="111"/>
        <v>0</v>
      </c>
      <c r="T299" s="186">
        <f t="shared" si="112"/>
        <v>0</v>
      </c>
      <c r="U299" s="186">
        <f t="shared" si="113"/>
        <v>0</v>
      </c>
      <c r="V299" s="418">
        <f t="shared" si="114"/>
        <v>440.7</v>
      </c>
      <c r="W299" s="418">
        <f t="shared" si="115"/>
        <v>-440.7</v>
      </c>
      <c r="X299" s="41"/>
      <c r="Y299" s="418">
        <f t="shared" si="131"/>
        <v>45.5</v>
      </c>
      <c r="Z299" s="418">
        <f t="shared" si="122"/>
        <v>-45.5</v>
      </c>
      <c r="AA299" s="11">
        <f t="shared" si="116"/>
        <v>0.24</v>
      </c>
      <c r="AB299" s="9">
        <f t="shared" si="123"/>
        <v>15.6</v>
      </c>
      <c r="AC299" s="41"/>
      <c r="AD299" s="427">
        <f>IF(AH299&gt;AH298,AD298,IF(AD298&lt;MiscData!$F$1,EOMONTH(AD298,1),EOMONTH(AD298,-11)))</f>
        <v>42490</v>
      </c>
      <c r="AE299" s="414" t="str">
        <f t="shared" si="117"/>
        <v>20140101KUUM_424</v>
      </c>
      <c r="AF299" s="466" t="str">
        <f t="shared" si="118"/>
        <v>20140101RLS</v>
      </c>
      <c r="AG299" s="467"/>
      <c r="AH299" s="41">
        <f>IF(AH298=MiscData!$AB$91,1,AH298+1)</f>
        <v>34</v>
      </c>
      <c r="AI299">
        <f>IF(AD299&lt;=MiscData!$B$23,MiscData!$C$23,IF(AD299&lt;=MiscData!$B$24,MiscData!$C$24,MiscData!$C$25))</f>
        <v>20140101</v>
      </c>
      <c r="AJ299" s="41"/>
      <c r="AK299" s="468" t="str">
        <f>VLOOKUP(AM299,MiscData!$AB$4:$ACB$113,2,FALSE)</f>
        <v>KUUM_424</v>
      </c>
      <c r="AL299" s="468" t="str">
        <f>VLOOKUP(AM299,MiscData!$AB$4:$AE$115,4,FALSE)</f>
        <v>RLS</v>
      </c>
      <c r="AM299" s="469">
        <f>IF(AM298=MiscData!$AB$91,1,AM298+1)</f>
        <v>34</v>
      </c>
    </row>
    <row r="300" spans="1:39">
      <c r="A300" s="413">
        <f t="shared" si="124"/>
        <v>299</v>
      </c>
      <c r="B300" s="427" t="str">
        <f t="shared" si="126"/>
        <v>Apr 2016</v>
      </c>
      <c r="C300" s="428" t="str">
        <f t="shared" si="127"/>
        <v>RLS</v>
      </c>
      <c r="D300" s="428" t="str">
        <f t="shared" si="128"/>
        <v>KUUM_425</v>
      </c>
      <c r="E300" s="425">
        <f t="shared" si="103"/>
        <v>2</v>
      </c>
      <c r="F300" s="429"/>
      <c r="G300" s="425">
        <f t="shared" si="104"/>
        <v>0</v>
      </c>
      <c r="H300" s="425">
        <v>0</v>
      </c>
      <c r="I300" s="415">
        <f t="shared" si="129"/>
        <v>9.06</v>
      </c>
      <c r="J300" s="415">
        <f t="shared" si="130"/>
        <v>4.3000000000000007</v>
      </c>
      <c r="K300" s="416">
        <f t="shared" si="119"/>
        <v>18.12</v>
      </c>
      <c r="L300" s="430"/>
      <c r="M300" s="430"/>
      <c r="N300" s="186">
        <f t="shared" si="125"/>
        <v>18.12</v>
      </c>
      <c r="O300" s="431">
        <f t="shared" si="108"/>
        <v>0</v>
      </c>
      <c r="P300" s="417">
        <f t="shared" si="120"/>
        <v>0</v>
      </c>
      <c r="Q300" s="186">
        <f t="shared" si="109"/>
        <v>0</v>
      </c>
      <c r="R300" s="186">
        <f t="shared" si="110"/>
        <v>0</v>
      </c>
      <c r="S300" s="186">
        <f t="shared" si="111"/>
        <v>0</v>
      </c>
      <c r="T300" s="186">
        <f t="shared" si="112"/>
        <v>0</v>
      </c>
      <c r="U300" s="186">
        <f t="shared" si="113"/>
        <v>0</v>
      </c>
      <c r="V300" s="418">
        <f t="shared" si="114"/>
        <v>18.12</v>
      </c>
      <c r="W300" s="418">
        <f t="shared" si="115"/>
        <v>-18.12</v>
      </c>
      <c r="X300" s="41"/>
      <c r="Y300" s="418">
        <f t="shared" si="131"/>
        <v>8.6</v>
      </c>
      <c r="Z300" s="418">
        <f t="shared" si="122"/>
        <v>-8.6</v>
      </c>
      <c r="AA300" s="11">
        <f t="shared" si="116"/>
        <v>0.33</v>
      </c>
      <c r="AB300" s="9">
        <f t="shared" si="123"/>
        <v>0.66</v>
      </c>
      <c r="AC300" s="41"/>
      <c r="AD300" s="427">
        <f>IF(AH300&gt;AH299,AD299,IF(AD299&lt;MiscData!$F$1,EOMONTH(AD299,1),EOMONTH(AD299,-11)))</f>
        <v>42490</v>
      </c>
      <c r="AE300" s="414" t="str">
        <f t="shared" si="117"/>
        <v>20140101KUUM_425</v>
      </c>
      <c r="AF300" s="466" t="str">
        <f t="shared" si="118"/>
        <v>20140101RLS</v>
      </c>
      <c r="AG300" s="467"/>
      <c r="AH300" s="41">
        <f>IF(AH299=MiscData!$AB$91,1,AH299+1)</f>
        <v>35</v>
      </c>
      <c r="AI300">
        <f>IF(AD300&lt;=MiscData!$B$23,MiscData!$C$23,IF(AD300&lt;=MiscData!$B$24,MiscData!$C$24,MiscData!$C$25))</f>
        <v>20140101</v>
      </c>
      <c r="AJ300" s="41"/>
      <c r="AK300" s="468" t="str">
        <f>VLOOKUP(AM300,MiscData!$AB$4:$ACB$113,2,FALSE)</f>
        <v>KUUM_425</v>
      </c>
      <c r="AL300" s="468" t="str">
        <f>VLOOKUP(AM300,MiscData!$AB$4:$AE$115,4,FALSE)</f>
        <v>RLS</v>
      </c>
      <c r="AM300" s="469">
        <f>IF(AM299=MiscData!$AB$91,1,AM299+1)</f>
        <v>35</v>
      </c>
    </row>
    <row r="301" spans="1:39">
      <c r="A301" s="413">
        <f t="shared" si="124"/>
        <v>300</v>
      </c>
      <c r="B301" s="427" t="str">
        <f t="shared" si="126"/>
        <v>Apr 2016</v>
      </c>
      <c r="C301" s="428" t="str">
        <f t="shared" si="127"/>
        <v>RLS</v>
      </c>
      <c r="D301" s="428" t="str">
        <f t="shared" si="128"/>
        <v>KUUM_426</v>
      </c>
      <c r="E301" s="425">
        <f t="shared" si="103"/>
        <v>172</v>
      </c>
      <c r="F301" s="429"/>
      <c r="G301" s="425">
        <f t="shared" si="104"/>
        <v>0</v>
      </c>
      <c r="H301" s="425">
        <v>0</v>
      </c>
      <c r="I301" s="415">
        <f t="shared" si="129"/>
        <v>7.4399999999999995</v>
      </c>
      <c r="J301" s="415">
        <f t="shared" si="130"/>
        <v>0.79999999999999982</v>
      </c>
      <c r="K301" s="416">
        <f t="shared" si="119"/>
        <v>1279.68</v>
      </c>
      <c r="L301" s="430"/>
      <c r="M301" s="430"/>
      <c r="N301" s="186">
        <f t="shared" si="125"/>
        <v>1279.68</v>
      </c>
      <c r="O301" s="431">
        <f t="shared" si="108"/>
        <v>0</v>
      </c>
      <c r="P301" s="417">
        <f t="shared" si="120"/>
        <v>0</v>
      </c>
      <c r="Q301" s="186">
        <f t="shared" si="109"/>
        <v>0</v>
      </c>
      <c r="R301" s="186">
        <f t="shared" si="110"/>
        <v>0</v>
      </c>
      <c r="S301" s="186">
        <f t="shared" si="111"/>
        <v>0</v>
      </c>
      <c r="T301" s="186">
        <f t="shared" si="112"/>
        <v>0</v>
      </c>
      <c r="U301" s="186">
        <f t="shared" si="113"/>
        <v>0</v>
      </c>
      <c r="V301" s="418">
        <f t="shared" si="114"/>
        <v>1279.68</v>
      </c>
      <c r="W301" s="418">
        <f t="shared" si="115"/>
        <v>-1279.68</v>
      </c>
      <c r="X301" s="41"/>
      <c r="Y301" s="418">
        <f t="shared" si="131"/>
        <v>137.6</v>
      </c>
      <c r="Z301" s="418">
        <f t="shared" si="122"/>
        <v>-137.6</v>
      </c>
      <c r="AA301" s="11">
        <f t="shared" si="116"/>
        <v>0.43</v>
      </c>
      <c r="AB301" s="9">
        <f t="shared" si="123"/>
        <v>73.959999999999994</v>
      </c>
      <c r="AC301" s="41"/>
      <c r="AD301" s="427">
        <f>IF(AH301&gt;AH300,AD300,IF(AD300&lt;MiscData!$F$1,EOMONTH(AD300,1),EOMONTH(AD300,-11)))</f>
        <v>42490</v>
      </c>
      <c r="AE301" s="414" t="str">
        <f t="shared" si="117"/>
        <v>20140101KUUM_426</v>
      </c>
      <c r="AF301" s="466" t="str">
        <f t="shared" si="118"/>
        <v>20140101RLS</v>
      </c>
      <c r="AG301" s="467"/>
      <c r="AH301" s="41">
        <f>IF(AH300=MiscData!$AB$91,1,AH300+1)</f>
        <v>36</v>
      </c>
      <c r="AI301">
        <f>IF(AD301&lt;=MiscData!$B$23,MiscData!$C$23,IF(AD301&lt;=MiscData!$B$24,MiscData!$C$24,MiscData!$C$25))</f>
        <v>20140101</v>
      </c>
      <c r="AJ301" s="41"/>
      <c r="AK301" s="468" t="str">
        <f>VLOOKUP(AM301,MiscData!$AB$4:$ACB$113,2,FALSE)</f>
        <v>KUUM_426</v>
      </c>
      <c r="AL301" s="468" t="str">
        <f>VLOOKUP(AM301,MiscData!$AB$4:$AE$115,4,FALSE)</f>
        <v>RLS</v>
      </c>
      <c r="AM301" s="469">
        <f>IF(AM300=MiscData!$AB$91,1,AM300+1)</f>
        <v>36</v>
      </c>
    </row>
    <row r="302" spans="1:39">
      <c r="A302" s="413">
        <f t="shared" si="124"/>
        <v>301</v>
      </c>
      <c r="B302" s="427" t="str">
        <f t="shared" si="126"/>
        <v>Apr 2016</v>
      </c>
      <c r="C302" s="428" t="str">
        <f t="shared" si="127"/>
        <v>LS</v>
      </c>
      <c r="D302" s="428" t="str">
        <f t="shared" si="128"/>
        <v>KUUM_428</v>
      </c>
      <c r="E302" s="425">
        <f t="shared" si="103"/>
        <v>36659</v>
      </c>
      <c r="F302" s="429"/>
      <c r="G302" s="425">
        <f t="shared" si="104"/>
        <v>0</v>
      </c>
      <c r="H302" s="425">
        <v>0</v>
      </c>
      <c r="I302" s="415">
        <f t="shared" si="129"/>
        <v>7.84</v>
      </c>
      <c r="J302" s="415">
        <f t="shared" si="130"/>
        <v>1.1299999999999999</v>
      </c>
      <c r="K302" s="416">
        <f t="shared" si="119"/>
        <v>287406.56</v>
      </c>
      <c r="L302" s="430"/>
      <c r="M302" s="430"/>
      <c r="N302" s="186">
        <f t="shared" si="125"/>
        <v>287406.56</v>
      </c>
      <c r="O302" s="431">
        <f t="shared" si="108"/>
        <v>0</v>
      </c>
      <c r="P302" s="417">
        <f t="shared" si="120"/>
        <v>0</v>
      </c>
      <c r="Q302" s="186">
        <f t="shared" si="109"/>
        <v>0</v>
      </c>
      <c r="R302" s="186">
        <f t="shared" si="110"/>
        <v>0</v>
      </c>
      <c r="S302" s="186">
        <f t="shared" si="111"/>
        <v>0</v>
      </c>
      <c r="T302" s="186">
        <f t="shared" si="112"/>
        <v>0</v>
      </c>
      <c r="U302" s="186">
        <f t="shared" si="113"/>
        <v>0</v>
      </c>
      <c r="V302" s="418">
        <f t="shared" si="114"/>
        <v>287406.56</v>
      </c>
      <c r="W302" s="418">
        <f t="shared" si="115"/>
        <v>-287406.56</v>
      </c>
      <c r="X302" s="41"/>
      <c r="Y302" s="418">
        <f t="shared" si="131"/>
        <v>41424.67</v>
      </c>
      <c r="Z302" s="418">
        <f t="shared" si="122"/>
        <v>-41424.67</v>
      </c>
      <c r="AA302" s="11">
        <f t="shared" si="116"/>
        <v>0.34</v>
      </c>
      <c r="AB302" s="9">
        <f t="shared" si="123"/>
        <v>12464.060000000001</v>
      </c>
      <c r="AC302" s="41"/>
      <c r="AD302" s="427">
        <f>IF(AH302&gt;AH301,AD301,IF(AD301&lt;MiscData!$F$1,EOMONTH(AD301,1),EOMONTH(AD301,-11)))</f>
        <v>42490</v>
      </c>
      <c r="AE302" s="414" t="str">
        <f t="shared" si="117"/>
        <v>20140101KUUM_428</v>
      </c>
      <c r="AF302" s="466" t="str">
        <f t="shared" si="118"/>
        <v>20140101LS</v>
      </c>
      <c r="AG302" s="467"/>
      <c r="AH302" s="41">
        <f>IF(AH301=MiscData!$AB$91,1,AH301+1)</f>
        <v>37</v>
      </c>
      <c r="AI302">
        <f>IF(AD302&lt;=MiscData!$B$23,MiscData!$C$23,IF(AD302&lt;=MiscData!$B$24,MiscData!$C$24,MiscData!$C$25))</f>
        <v>20140101</v>
      </c>
      <c r="AJ302" s="41"/>
      <c r="AK302" s="468" t="str">
        <f>VLOOKUP(AM302,MiscData!$AB$4:$ACB$113,2,FALSE)</f>
        <v>KUUM_428</v>
      </c>
      <c r="AL302" s="468" t="str">
        <f>VLOOKUP(AM302,MiscData!$AB$4:$AE$115,4,FALSE)</f>
        <v>LS</v>
      </c>
      <c r="AM302" s="469">
        <f>IF(AM301=MiscData!$AB$91,1,AM301+1)</f>
        <v>37</v>
      </c>
    </row>
    <row r="303" spans="1:39">
      <c r="A303" s="413">
        <f t="shared" si="124"/>
        <v>302</v>
      </c>
      <c r="B303" s="427" t="str">
        <f t="shared" si="126"/>
        <v>Apr 2016</v>
      </c>
      <c r="C303" s="428" t="str">
        <f t="shared" si="127"/>
        <v>LS</v>
      </c>
      <c r="D303" s="428" t="str">
        <f t="shared" si="128"/>
        <v>KUUM_429</v>
      </c>
      <c r="E303" s="425">
        <f t="shared" si="103"/>
        <v>0</v>
      </c>
      <c r="F303" s="429"/>
      <c r="G303" s="425">
        <f t="shared" si="104"/>
        <v>0</v>
      </c>
      <c r="H303" s="425">
        <v>0</v>
      </c>
      <c r="I303" s="415">
        <f t="shared" si="129"/>
        <v>0</v>
      </c>
      <c r="J303" s="415">
        <f t="shared" si="130"/>
        <v>0</v>
      </c>
      <c r="K303" s="416">
        <f t="shared" si="119"/>
        <v>0</v>
      </c>
      <c r="L303" s="430"/>
      <c r="M303" s="430"/>
      <c r="N303" s="186">
        <f t="shared" si="125"/>
        <v>0</v>
      </c>
      <c r="O303" s="431">
        <f t="shared" si="108"/>
        <v>0</v>
      </c>
      <c r="P303" s="417">
        <f t="shared" si="120"/>
        <v>1</v>
      </c>
      <c r="Q303" s="186">
        <f t="shared" si="109"/>
        <v>0</v>
      </c>
      <c r="R303" s="186">
        <f t="shared" si="110"/>
        <v>0</v>
      </c>
      <c r="S303" s="186">
        <f t="shared" si="111"/>
        <v>0</v>
      </c>
      <c r="T303" s="186">
        <f t="shared" si="112"/>
        <v>0</v>
      </c>
      <c r="U303" s="186">
        <f t="shared" si="113"/>
        <v>0</v>
      </c>
      <c r="V303" s="418">
        <f t="shared" si="114"/>
        <v>0</v>
      </c>
      <c r="W303" s="418">
        <f t="shared" si="115"/>
        <v>0</v>
      </c>
      <c r="X303" s="41"/>
      <c r="Y303" s="418">
        <f t="shared" si="131"/>
        <v>0</v>
      </c>
      <c r="Z303" s="418">
        <f t="shared" si="122"/>
        <v>0</v>
      </c>
      <c r="AA303" s="11">
        <f t="shared" si="116"/>
        <v>0</v>
      </c>
      <c r="AB303" s="9">
        <f t="shared" si="123"/>
        <v>0</v>
      </c>
      <c r="AC303" s="41"/>
      <c r="AD303" s="427">
        <f>IF(AH303&gt;AH302,AD302,IF(AD302&lt;MiscData!$F$1,EOMONTH(AD302,1),EOMONTH(AD302,-11)))</f>
        <v>42490</v>
      </c>
      <c r="AE303" s="414" t="str">
        <f t="shared" si="117"/>
        <v>20140101KUUM_429</v>
      </c>
      <c r="AF303" s="466" t="str">
        <f t="shared" si="118"/>
        <v>20140101LS</v>
      </c>
      <c r="AG303" s="467"/>
      <c r="AH303" s="41">
        <f>IF(AH302=MiscData!$AB$91,1,AH302+1)</f>
        <v>38</v>
      </c>
      <c r="AI303">
        <f>IF(AD303&lt;=MiscData!$B$23,MiscData!$C$23,IF(AD303&lt;=MiscData!$B$24,MiscData!$C$24,MiscData!$C$25))</f>
        <v>20140101</v>
      </c>
      <c r="AJ303" s="41"/>
      <c r="AK303" s="468" t="str">
        <f>VLOOKUP(AM303,MiscData!$AB$4:$ACB$113,2,FALSE)</f>
        <v>KUUM_429</v>
      </c>
      <c r="AL303" s="468" t="str">
        <f>VLOOKUP(AM303,MiscData!$AB$4:$AE$115,4,FALSE)</f>
        <v>LS</v>
      </c>
      <c r="AM303" s="469">
        <f>IF(AM302=MiscData!$AB$91,1,AM302+1)</f>
        <v>38</v>
      </c>
    </row>
    <row r="304" spans="1:39">
      <c r="A304" s="413">
        <f t="shared" si="124"/>
        <v>303</v>
      </c>
      <c r="B304" s="427" t="str">
        <f t="shared" si="126"/>
        <v>Apr 2016</v>
      </c>
      <c r="C304" s="428" t="str">
        <f t="shared" si="127"/>
        <v>LS</v>
      </c>
      <c r="D304" s="428" t="str">
        <f t="shared" si="128"/>
        <v>KUUM_430</v>
      </c>
      <c r="E304" s="425">
        <f t="shared" si="103"/>
        <v>1180</v>
      </c>
      <c r="F304" s="429"/>
      <c r="G304" s="425">
        <f t="shared" si="104"/>
        <v>0</v>
      </c>
      <c r="H304" s="425">
        <v>0</v>
      </c>
      <c r="I304" s="415">
        <f t="shared" si="129"/>
        <v>22</v>
      </c>
      <c r="J304" s="415">
        <f t="shared" si="130"/>
        <v>1.129999999999999</v>
      </c>
      <c r="K304" s="416">
        <f t="shared" si="119"/>
        <v>25960</v>
      </c>
      <c r="L304" s="430"/>
      <c r="M304" s="430"/>
      <c r="N304" s="186">
        <f t="shared" si="125"/>
        <v>25960</v>
      </c>
      <c r="O304" s="431">
        <f t="shared" si="108"/>
        <v>0</v>
      </c>
      <c r="P304" s="417">
        <f t="shared" si="120"/>
        <v>0</v>
      </c>
      <c r="Q304" s="186">
        <f t="shared" si="109"/>
        <v>0</v>
      </c>
      <c r="R304" s="186">
        <f t="shared" si="110"/>
        <v>0</v>
      </c>
      <c r="S304" s="186">
        <f t="shared" si="111"/>
        <v>0</v>
      </c>
      <c r="T304" s="186">
        <f t="shared" si="112"/>
        <v>0</v>
      </c>
      <c r="U304" s="186">
        <f t="shared" si="113"/>
        <v>0</v>
      </c>
      <c r="V304" s="418">
        <f t="shared" si="114"/>
        <v>25960</v>
      </c>
      <c r="W304" s="418">
        <f t="shared" si="115"/>
        <v>-25960</v>
      </c>
      <c r="X304" s="41"/>
      <c r="Y304" s="418">
        <f t="shared" si="131"/>
        <v>1333.4</v>
      </c>
      <c r="Z304" s="418">
        <f t="shared" si="122"/>
        <v>-1333.4</v>
      </c>
      <c r="AA304" s="11">
        <f t="shared" si="116"/>
        <v>0.34</v>
      </c>
      <c r="AB304" s="9">
        <f t="shared" si="123"/>
        <v>401.20000000000005</v>
      </c>
      <c r="AC304" s="41"/>
      <c r="AD304" s="427">
        <f>IF(AH304&gt;AH303,AD303,IF(AD303&lt;MiscData!$F$1,EOMONTH(AD303,1),EOMONTH(AD303,-11)))</f>
        <v>42490</v>
      </c>
      <c r="AE304" s="414" t="str">
        <f t="shared" si="117"/>
        <v>20140101KUUM_430</v>
      </c>
      <c r="AF304" s="466" t="str">
        <f t="shared" si="118"/>
        <v>20140101LS</v>
      </c>
      <c r="AG304" s="467"/>
      <c r="AH304" s="41">
        <f>IF(AH303=MiscData!$AB$91,1,AH303+1)</f>
        <v>39</v>
      </c>
      <c r="AI304">
        <f>IF(AD304&lt;=MiscData!$B$23,MiscData!$C$23,IF(AD304&lt;=MiscData!$B$24,MiscData!$C$24,MiscData!$C$25))</f>
        <v>20140101</v>
      </c>
      <c r="AJ304" s="41"/>
      <c r="AK304" s="468" t="str">
        <f>VLOOKUP(AM304,MiscData!$AB$4:$ACB$113,2,FALSE)</f>
        <v>KUUM_430</v>
      </c>
      <c r="AL304" s="468" t="str">
        <f>VLOOKUP(AM304,MiscData!$AB$4:$AE$115,4,FALSE)</f>
        <v>LS</v>
      </c>
      <c r="AM304" s="469">
        <f>IF(AM303=MiscData!$AB$91,1,AM303+1)</f>
        <v>39</v>
      </c>
    </row>
    <row r="305" spans="1:39">
      <c r="A305" s="413">
        <f t="shared" si="124"/>
        <v>304</v>
      </c>
      <c r="B305" s="427" t="str">
        <f t="shared" si="126"/>
        <v>Apr 2016</v>
      </c>
      <c r="C305" s="428" t="str">
        <f t="shared" si="127"/>
        <v>RLS</v>
      </c>
      <c r="D305" s="428" t="str">
        <f t="shared" si="128"/>
        <v>KUUM_434</v>
      </c>
      <c r="E305" s="425">
        <f t="shared" si="103"/>
        <v>5</v>
      </c>
      <c r="F305" s="429"/>
      <c r="G305" s="425">
        <f t="shared" si="104"/>
        <v>0</v>
      </c>
      <c r="H305" s="425">
        <v>0</v>
      </c>
      <c r="I305" s="415">
        <f t="shared" si="129"/>
        <v>7.74</v>
      </c>
      <c r="J305" s="415">
        <f t="shared" si="130"/>
        <v>0.69999999999999929</v>
      </c>
      <c r="K305" s="416">
        <f t="shared" si="119"/>
        <v>38.700000000000003</v>
      </c>
      <c r="L305" s="430"/>
      <c r="M305" s="430"/>
      <c r="N305" s="186">
        <f t="shared" si="125"/>
        <v>38.700000000000003</v>
      </c>
      <c r="O305" s="431">
        <f t="shared" si="108"/>
        <v>0</v>
      </c>
      <c r="P305" s="417">
        <f t="shared" si="120"/>
        <v>0</v>
      </c>
      <c r="Q305" s="186">
        <f t="shared" si="109"/>
        <v>0</v>
      </c>
      <c r="R305" s="186">
        <f t="shared" si="110"/>
        <v>0</v>
      </c>
      <c r="S305" s="186">
        <f t="shared" si="111"/>
        <v>0</v>
      </c>
      <c r="T305" s="186">
        <f t="shared" si="112"/>
        <v>0</v>
      </c>
      <c r="U305" s="186">
        <f t="shared" si="113"/>
        <v>0</v>
      </c>
      <c r="V305" s="418">
        <f t="shared" si="114"/>
        <v>38.700000000000003</v>
      </c>
      <c r="W305" s="418">
        <f t="shared" si="115"/>
        <v>-38.700000000000003</v>
      </c>
      <c r="X305" s="41"/>
      <c r="Y305" s="418">
        <f t="shared" si="131"/>
        <v>3.5</v>
      </c>
      <c r="Z305" s="418">
        <f t="shared" si="122"/>
        <v>-3.5</v>
      </c>
      <c r="AA305" s="11">
        <f t="shared" si="116"/>
        <v>0.24</v>
      </c>
      <c r="AB305" s="9">
        <f t="shared" si="123"/>
        <v>1.2</v>
      </c>
      <c r="AC305" s="41"/>
      <c r="AD305" s="427">
        <f>IF(AH305&gt;AH304,AD304,IF(AD304&lt;MiscData!$F$1,EOMONTH(AD304,1),EOMONTH(AD304,-11)))</f>
        <v>42490</v>
      </c>
      <c r="AE305" s="414" t="str">
        <f t="shared" si="117"/>
        <v>20140101KUUM_434</v>
      </c>
      <c r="AF305" s="466" t="str">
        <f t="shared" si="118"/>
        <v>20140101RLS</v>
      </c>
      <c r="AG305" s="467"/>
      <c r="AH305" s="41">
        <f>IF(AH304=MiscData!$AB$91,1,AH304+1)</f>
        <v>40</v>
      </c>
      <c r="AI305">
        <f>IF(AD305&lt;=MiscData!$B$23,MiscData!$C$23,IF(AD305&lt;=MiscData!$B$24,MiscData!$C$24,MiscData!$C$25))</f>
        <v>20140101</v>
      </c>
      <c r="AJ305" s="41"/>
      <c r="AK305" s="468" t="str">
        <f>VLOOKUP(AM305,MiscData!$AB$4:$ACB$113,2,FALSE)</f>
        <v>KUUM_434</v>
      </c>
      <c r="AL305" s="468" t="str">
        <f>VLOOKUP(AM305,MiscData!$AB$4:$AE$115,4,FALSE)</f>
        <v>RLS</v>
      </c>
      <c r="AM305" s="469">
        <f>IF(AM304=MiscData!$AB$91,1,AM304+1)</f>
        <v>40</v>
      </c>
    </row>
    <row r="306" spans="1:39">
      <c r="A306" s="413">
        <f t="shared" si="124"/>
        <v>305</v>
      </c>
      <c r="B306" s="427" t="str">
        <f t="shared" si="126"/>
        <v>Apr 2016</v>
      </c>
      <c r="C306" s="428" t="str">
        <f t="shared" si="127"/>
        <v>RLS</v>
      </c>
      <c r="D306" s="428" t="str">
        <f t="shared" si="128"/>
        <v>KUUM_440</v>
      </c>
      <c r="E306" s="425">
        <f t="shared" si="103"/>
        <v>2</v>
      </c>
      <c r="F306" s="429"/>
      <c r="G306" s="425">
        <f t="shared" si="104"/>
        <v>0</v>
      </c>
      <c r="H306" s="425">
        <v>0</v>
      </c>
      <c r="I306" s="415">
        <f t="shared" si="129"/>
        <v>13.610000000000001</v>
      </c>
      <c r="J306" s="415">
        <f t="shared" si="130"/>
        <v>0.57000000000000028</v>
      </c>
      <c r="K306" s="416">
        <f t="shared" si="119"/>
        <v>27.22</v>
      </c>
      <c r="L306" s="430"/>
      <c r="M306" s="430"/>
      <c r="N306" s="186">
        <f t="shared" si="125"/>
        <v>27.22</v>
      </c>
      <c r="O306" s="431">
        <f t="shared" si="108"/>
        <v>0</v>
      </c>
      <c r="P306" s="417">
        <f t="shared" si="120"/>
        <v>0</v>
      </c>
      <c r="Q306" s="186">
        <f t="shared" si="109"/>
        <v>0</v>
      </c>
      <c r="R306" s="186">
        <f t="shared" si="110"/>
        <v>0</v>
      </c>
      <c r="S306" s="186">
        <f t="shared" si="111"/>
        <v>0</v>
      </c>
      <c r="T306" s="186">
        <f t="shared" si="112"/>
        <v>0</v>
      </c>
      <c r="U306" s="186">
        <f t="shared" si="113"/>
        <v>0</v>
      </c>
      <c r="V306" s="418">
        <f t="shared" si="114"/>
        <v>27.22</v>
      </c>
      <c r="W306" s="418">
        <f t="shared" si="115"/>
        <v>-27.22</v>
      </c>
      <c r="X306" s="41"/>
      <c r="Y306" s="418">
        <f t="shared" si="131"/>
        <v>1.1399999999999999</v>
      </c>
      <c r="Z306" s="418">
        <f t="shared" si="122"/>
        <v>-1.1399999999999999</v>
      </c>
      <c r="AA306" s="11">
        <f t="shared" si="116"/>
        <v>0.33</v>
      </c>
      <c r="AB306" s="9">
        <f t="shared" si="123"/>
        <v>0.66</v>
      </c>
      <c r="AC306" s="41"/>
      <c r="AD306" s="427">
        <f>IF(AH306&gt;AH305,AD305,IF(AD305&lt;MiscData!$F$1,EOMONTH(AD305,1),EOMONTH(AD305,-11)))</f>
        <v>42490</v>
      </c>
      <c r="AE306" s="414" t="str">
        <f t="shared" si="117"/>
        <v>20140101KUUM_440</v>
      </c>
      <c r="AF306" s="466" t="str">
        <f t="shared" si="118"/>
        <v>20140101RLS</v>
      </c>
      <c r="AG306" s="467"/>
      <c r="AH306" s="41">
        <f>IF(AH305=MiscData!$AB$91,1,AH305+1)</f>
        <v>41</v>
      </c>
      <c r="AI306">
        <f>IF(AD306&lt;=MiscData!$B$23,MiscData!$C$23,IF(AD306&lt;=MiscData!$B$24,MiscData!$C$24,MiscData!$C$25))</f>
        <v>20140101</v>
      </c>
      <c r="AJ306" s="41"/>
      <c r="AK306" s="468" t="str">
        <f>VLOOKUP(AM306,MiscData!$AB$4:$ACB$113,2,FALSE)</f>
        <v>KUUM_440</v>
      </c>
      <c r="AL306" s="468" t="str">
        <f>VLOOKUP(AM306,MiscData!$AB$4:$AE$115,4,FALSE)</f>
        <v>RLS</v>
      </c>
      <c r="AM306" s="469">
        <f>IF(AM305=MiscData!$AB$91,1,AM305+1)</f>
        <v>41</v>
      </c>
    </row>
    <row r="307" spans="1:39">
      <c r="A307" s="413">
        <f t="shared" si="124"/>
        <v>306</v>
      </c>
      <c r="B307" s="427" t="str">
        <f t="shared" si="126"/>
        <v>Apr 2016</v>
      </c>
      <c r="C307" s="428" t="str">
        <f t="shared" si="127"/>
        <v>RLS</v>
      </c>
      <c r="D307" s="428" t="str">
        <f t="shared" si="128"/>
        <v>KUUM_446</v>
      </c>
      <c r="E307" s="425">
        <f t="shared" si="103"/>
        <v>1081</v>
      </c>
      <c r="F307" s="429"/>
      <c r="G307" s="425">
        <f t="shared" si="104"/>
        <v>0</v>
      </c>
      <c r="H307" s="425">
        <v>0</v>
      </c>
      <c r="I307" s="415">
        <f t="shared" si="129"/>
        <v>9.5600000000000023</v>
      </c>
      <c r="J307" s="415">
        <f t="shared" si="130"/>
        <v>1.9900000000000002</v>
      </c>
      <c r="K307" s="416">
        <f t="shared" si="119"/>
        <v>10334.36</v>
      </c>
      <c r="L307" s="430"/>
      <c r="M307" s="430"/>
      <c r="N307" s="186">
        <f t="shared" si="125"/>
        <v>10334.36</v>
      </c>
      <c r="O307" s="431">
        <f t="shared" si="108"/>
        <v>0</v>
      </c>
      <c r="P307" s="417">
        <f t="shared" si="120"/>
        <v>0</v>
      </c>
      <c r="Q307" s="186">
        <f t="shared" si="109"/>
        <v>0</v>
      </c>
      <c r="R307" s="186">
        <f t="shared" si="110"/>
        <v>0</v>
      </c>
      <c r="S307" s="186">
        <f t="shared" si="111"/>
        <v>0</v>
      </c>
      <c r="T307" s="186">
        <f t="shared" si="112"/>
        <v>0</v>
      </c>
      <c r="U307" s="186">
        <f t="shared" si="113"/>
        <v>0</v>
      </c>
      <c r="V307" s="418">
        <f t="shared" si="114"/>
        <v>10334.36</v>
      </c>
      <c r="W307" s="418">
        <f t="shared" si="115"/>
        <v>-10334.36</v>
      </c>
      <c r="X307" s="41"/>
      <c r="Y307" s="418">
        <f t="shared" si="131"/>
        <v>2151.19</v>
      </c>
      <c r="Z307" s="418">
        <f t="shared" si="122"/>
        <v>-2151.19</v>
      </c>
      <c r="AA307" s="11">
        <f t="shared" si="116"/>
        <v>0.39</v>
      </c>
      <c r="AB307" s="9">
        <f t="shared" si="123"/>
        <v>421.59000000000003</v>
      </c>
      <c r="AC307" s="41"/>
      <c r="AD307" s="427">
        <f>IF(AH307&gt;AH306,AD306,IF(AD306&lt;MiscData!$F$1,EOMONTH(AD306,1),EOMONTH(AD306,-11)))</f>
        <v>42490</v>
      </c>
      <c r="AE307" s="414" t="str">
        <f t="shared" si="117"/>
        <v>20140101KUUM_446</v>
      </c>
      <c r="AF307" s="466" t="str">
        <f t="shared" si="118"/>
        <v>20140101RLS</v>
      </c>
      <c r="AG307" s="467"/>
      <c r="AH307" s="41">
        <f>IF(AH306=MiscData!$AB$91,1,AH306+1)</f>
        <v>42</v>
      </c>
      <c r="AI307">
        <f>IF(AD307&lt;=MiscData!$B$23,MiscData!$C$23,IF(AD307&lt;=MiscData!$B$24,MiscData!$C$24,MiscData!$C$25))</f>
        <v>20140101</v>
      </c>
      <c r="AJ307" s="41"/>
      <c r="AK307" s="468" t="str">
        <f>VLOOKUP(AM307,MiscData!$AB$4:$ACB$113,2,FALSE)</f>
        <v>KUUM_446</v>
      </c>
      <c r="AL307" s="468" t="str">
        <f>VLOOKUP(AM307,MiscData!$AB$4:$AE$115,4,FALSE)</f>
        <v>RLS</v>
      </c>
      <c r="AM307" s="469">
        <f>IF(AM306=MiscData!$AB$91,1,AM306+1)</f>
        <v>42</v>
      </c>
    </row>
    <row r="308" spans="1:39">
      <c r="A308" s="413">
        <f t="shared" si="124"/>
        <v>307</v>
      </c>
      <c r="B308" s="427" t="str">
        <f t="shared" si="126"/>
        <v>Apr 2016</v>
      </c>
      <c r="C308" s="428" t="str">
        <f t="shared" si="127"/>
        <v>RLS</v>
      </c>
      <c r="D308" s="428" t="str">
        <f t="shared" si="128"/>
        <v>KUUM_447</v>
      </c>
      <c r="E308" s="425">
        <f t="shared" si="103"/>
        <v>742</v>
      </c>
      <c r="F308" s="429"/>
      <c r="G308" s="425">
        <f t="shared" si="104"/>
        <v>0</v>
      </c>
      <c r="H308" s="425">
        <v>0</v>
      </c>
      <c r="I308" s="415">
        <f t="shared" si="129"/>
        <v>11.32</v>
      </c>
      <c r="J308" s="415">
        <f t="shared" si="130"/>
        <v>2.8400000000000016</v>
      </c>
      <c r="K308" s="416">
        <f t="shared" si="119"/>
        <v>8399.44</v>
      </c>
      <c r="L308" s="430"/>
      <c r="M308" s="430"/>
      <c r="N308" s="186">
        <f t="shared" si="125"/>
        <v>8399.44</v>
      </c>
      <c r="O308" s="431">
        <f t="shared" si="108"/>
        <v>0</v>
      </c>
      <c r="P308" s="417">
        <f t="shared" si="120"/>
        <v>0</v>
      </c>
      <c r="Q308" s="186">
        <f t="shared" si="109"/>
        <v>0</v>
      </c>
      <c r="R308" s="186">
        <f t="shared" si="110"/>
        <v>0</v>
      </c>
      <c r="S308" s="186">
        <f t="shared" si="111"/>
        <v>0</v>
      </c>
      <c r="T308" s="186">
        <f t="shared" si="112"/>
        <v>0</v>
      </c>
      <c r="U308" s="186">
        <f t="shared" si="113"/>
        <v>0</v>
      </c>
      <c r="V308" s="418">
        <f t="shared" si="114"/>
        <v>8399.44</v>
      </c>
      <c r="W308" s="418">
        <f t="shared" si="115"/>
        <v>-8399.44</v>
      </c>
      <c r="X308" s="41"/>
      <c r="Y308" s="418">
        <f t="shared" si="131"/>
        <v>2107.2800000000002</v>
      </c>
      <c r="Z308" s="418">
        <f t="shared" si="122"/>
        <v>-2107.2800000000002</v>
      </c>
      <c r="AA308" s="11">
        <f t="shared" si="116"/>
        <v>0.44</v>
      </c>
      <c r="AB308" s="9">
        <f t="shared" si="123"/>
        <v>326.48</v>
      </c>
      <c r="AC308" s="41"/>
      <c r="AD308" s="427">
        <f>IF(AH308&gt;AH307,AD307,IF(AD307&lt;MiscData!$F$1,EOMONTH(AD307,1),EOMONTH(AD307,-11)))</f>
        <v>42490</v>
      </c>
      <c r="AE308" s="414" t="str">
        <f t="shared" si="117"/>
        <v>20140101KUUM_447</v>
      </c>
      <c r="AF308" s="466" t="str">
        <f t="shared" si="118"/>
        <v>20140101RLS</v>
      </c>
      <c r="AG308" s="467"/>
      <c r="AH308" s="41">
        <f>IF(AH307=MiscData!$AB$91,1,AH307+1)</f>
        <v>43</v>
      </c>
      <c r="AI308">
        <f>IF(AD308&lt;=MiscData!$B$23,MiscData!$C$23,IF(AD308&lt;=MiscData!$B$24,MiscData!$C$24,MiscData!$C$25))</f>
        <v>20140101</v>
      </c>
      <c r="AJ308" s="41"/>
      <c r="AK308" s="468" t="str">
        <f>VLOOKUP(AM308,MiscData!$AB$4:$ACB$113,2,FALSE)</f>
        <v>KUUM_447</v>
      </c>
      <c r="AL308" s="468" t="str">
        <f>VLOOKUP(AM308,MiscData!$AB$4:$AE$115,4,FALSE)</f>
        <v>RLS</v>
      </c>
      <c r="AM308" s="469">
        <f>IF(AM307=MiscData!$AB$91,1,AM307+1)</f>
        <v>43</v>
      </c>
    </row>
    <row r="309" spans="1:39">
      <c r="A309" s="413">
        <f t="shared" si="124"/>
        <v>308</v>
      </c>
      <c r="B309" s="427" t="str">
        <f t="shared" si="126"/>
        <v>Apr 2016</v>
      </c>
      <c r="C309" s="428" t="str">
        <f t="shared" si="127"/>
        <v>RLS</v>
      </c>
      <c r="D309" s="428" t="str">
        <f t="shared" si="128"/>
        <v>KUUM_448</v>
      </c>
      <c r="E309" s="425">
        <f t="shared" si="103"/>
        <v>1480</v>
      </c>
      <c r="F309" s="429"/>
      <c r="G309" s="425">
        <f t="shared" si="104"/>
        <v>0</v>
      </c>
      <c r="H309" s="425">
        <v>0</v>
      </c>
      <c r="I309" s="415">
        <f t="shared" si="129"/>
        <v>12.809999999999999</v>
      </c>
      <c r="J309" s="415">
        <f t="shared" si="130"/>
        <v>4.37</v>
      </c>
      <c r="K309" s="416">
        <f t="shared" si="119"/>
        <v>18958.8</v>
      </c>
      <c r="L309" s="430"/>
      <c r="M309" s="430"/>
      <c r="N309" s="186">
        <f t="shared" si="125"/>
        <v>18958.8</v>
      </c>
      <c r="O309" s="431">
        <f t="shared" si="108"/>
        <v>0</v>
      </c>
      <c r="P309" s="417">
        <f t="shared" si="120"/>
        <v>0</v>
      </c>
      <c r="Q309" s="186">
        <f t="shared" si="109"/>
        <v>0</v>
      </c>
      <c r="R309" s="186">
        <f t="shared" si="110"/>
        <v>0</v>
      </c>
      <c r="S309" s="186">
        <f t="shared" si="111"/>
        <v>0</v>
      </c>
      <c r="T309" s="186">
        <f t="shared" si="112"/>
        <v>0</v>
      </c>
      <c r="U309" s="186">
        <f t="shared" si="113"/>
        <v>0</v>
      </c>
      <c r="V309" s="418">
        <f t="shared" si="114"/>
        <v>18958.8</v>
      </c>
      <c r="W309" s="418">
        <f t="shared" si="115"/>
        <v>-18958.8</v>
      </c>
      <c r="X309" s="41"/>
      <c r="Y309" s="418">
        <f t="shared" si="131"/>
        <v>6467.6</v>
      </c>
      <c r="Z309" s="418">
        <f t="shared" si="122"/>
        <v>-6467.6</v>
      </c>
      <c r="AA309" s="11">
        <f t="shared" si="116"/>
        <v>0.51</v>
      </c>
      <c r="AB309" s="9">
        <f t="shared" si="123"/>
        <v>754.80000000000007</v>
      </c>
      <c r="AC309" s="41"/>
      <c r="AD309" s="427">
        <f>IF(AH309&gt;AH308,AD308,IF(AD308&lt;MiscData!$F$1,EOMONTH(AD308,1),EOMONTH(AD308,-11)))</f>
        <v>42490</v>
      </c>
      <c r="AE309" s="414" t="str">
        <f t="shared" si="117"/>
        <v>20140101KUUM_448</v>
      </c>
      <c r="AF309" s="466" t="str">
        <f t="shared" si="118"/>
        <v>20140101RLS</v>
      </c>
      <c r="AG309" s="467"/>
      <c r="AH309" s="41">
        <f>IF(AH308=MiscData!$AB$91,1,AH308+1)</f>
        <v>44</v>
      </c>
      <c r="AI309">
        <f>IF(AD309&lt;=MiscData!$B$23,MiscData!$C$23,IF(AD309&lt;=MiscData!$B$24,MiscData!$C$24,MiscData!$C$25))</f>
        <v>20140101</v>
      </c>
      <c r="AJ309" s="41"/>
      <c r="AK309" s="468" t="str">
        <f>VLOOKUP(AM309,MiscData!$AB$4:$ACB$113,2,FALSE)</f>
        <v>KUUM_448</v>
      </c>
      <c r="AL309" s="468" t="str">
        <f>VLOOKUP(AM309,MiscData!$AB$4:$AE$115,4,FALSE)</f>
        <v>RLS</v>
      </c>
      <c r="AM309" s="469">
        <f>IF(AM308=MiscData!$AB$91,1,AM308+1)</f>
        <v>44</v>
      </c>
    </row>
    <row r="310" spans="1:39">
      <c r="A310" s="413">
        <f t="shared" si="124"/>
        <v>309</v>
      </c>
      <c r="B310" s="427" t="str">
        <f t="shared" si="126"/>
        <v>Apr 2016</v>
      </c>
      <c r="C310" s="428" t="str">
        <f t="shared" si="127"/>
        <v>LS</v>
      </c>
      <c r="D310" s="428" t="str">
        <f t="shared" si="128"/>
        <v>KUUM_450</v>
      </c>
      <c r="E310" s="425">
        <f t="shared" si="103"/>
        <v>660</v>
      </c>
      <c r="F310" s="429"/>
      <c r="G310" s="425">
        <f t="shared" si="104"/>
        <v>0</v>
      </c>
      <c r="H310" s="425">
        <v>0</v>
      </c>
      <c r="I310" s="415">
        <f t="shared" si="129"/>
        <v>14.25</v>
      </c>
      <c r="J310" s="415">
        <f t="shared" si="130"/>
        <v>1.9699999999999989</v>
      </c>
      <c r="K310" s="416">
        <f t="shared" si="119"/>
        <v>9405</v>
      </c>
      <c r="L310" s="430"/>
      <c r="M310" s="430"/>
      <c r="N310" s="186">
        <f t="shared" si="125"/>
        <v>9405</v>
      </c>
      <c r="O310" s="431">
        <f t="shared" si="108"/>
        <v>0</v>
      </c>
      <c r="P310" s="417">
        <f t="shared" si="120"/>
        <v>0</v>
      </c>
      <c r="Q310" s="186">
        <f t="shared" si="109"/>
        <v>0</v>
      </c>
      <c r="R310" s="186">
        <f t="shared" si="110"/>
        <v>0</v>
      </c>
      <c r="S310" s="186">
        <f t="shared" si="111"/>
        <v>0</v>
      </c>
      <c r="T310" s="186">
        <f t="shared" si="112"/>
        <v>0</v>
      </c>
      <c r="U310" s="186">
        <f t="shared" si="113"/>
        <v>0</v>
      </c>
      <c r="V310" s="418">
        <f t="shared" si="114"/>
        <v>9405</v>
      </c>
      <c r="W310" s="418">
        <f t="shared" si="115"/>
        <v>-9405</v>
      </c>
      <c r="X310" s="41"/>
      <c r="Y310" s="418">
        <f t="shared" si="131"/>
        <v>1300.2</v>
      </c>
      <c r="Z310" s="418">
        <f t="shared" si="122"/>
        <v>-1300.2</v>
      </c>
      <c r="AA310" s="11">
        <f t="shared" si="116"/>
        <v>0.66</v>
      </c>
      <c r="AB310" s="9">
        <f t="shared" si="123"/>
        <v>435.6</v>
      </c>
      <c r="AC310" s="41"/>
      <c r="AD310" s="427">
        <f>IF(AH310&gt;AH309,AD309,IF(AD309&lt;MiscData!$F$1,EOMONTH(AD309,1),EOMONTH(AD309,-11)))</f>
        <v>42490</v>
      </c>
      <c r="AE310" s="414" t="str">
        <f t="shared" si="117"/>
        <v>20140101KUUM_450</v>
      </c>
      <c r="AF310" s="466" t="str">
        <f t="shared" si="118"/>
        <v>20140101LS</v>
      </c>
      <c r="AG310" s="467"/>
      <c r="AH310" s="41">
        <f>IF(AH309=MiscData!$AB$91,1,AH309+1)</f>
        <v>45</v>
      </c>
      <c r="AI310">
        <f>IF(AD310&lt;=MiscData!$B$23,MiscData!$C$23,IF(AD310&lt;=MiscData!$B$24,MiscData!$C$24,MiscData!$C$25))</f>
        <v>20140101</v>
      </c>
      <c r="AJ310" s="41"/>
      <c r="AK310" s="468" t="str">
        <f>VLOOKUP(AM310,MiscData!$AB$4:$ACB$113,2,FALSE)</f>
        <v>KUUM_450</v>
      </c>
      <c r="AL310" s="468" t="str">
        <f>VLOOKUP(AM310,MiscData!$AB$4:$AE$115,4,FALSE)</f>
        <v>LS</v>
      </c>
      <c r="AM310" s="469">
        <f>IF(AM309=MiscData!$AB$91,1,AM309+1)</f>
        <v>45</v>
      </c>
    </row>
    <row r="311" spans="1:39">
      <c r="A311" s="413">
        <f t="shared" si="124"/>
        <v>310</v>
      </c>
      <c r="B311" s="427" t="str">
        <f t="shared" si="126"/>
        <v>Apr 2016</v>
      </c>
      <c r="C311" s="428" t="str">
        <f t="shared" si="127"/>
        <v>LS</v>
      </c>
      <c r="D311" s="428" t="str">
        <f t="shared" si="128"/>
        <v>KUUM_451</v>
      </c>
      <c r="E311" s="425">
        <f t="shared" si="103"/>
        <v>5129</v>
      </c>
      <c r="F311" s="429"/>
      <c r="G311" s="425">
        <f t="shared" si="104"/>
        <v>0</v>
      </c>
      <c r="H311" s="425">
        <v>0</v>
      </c>
      <c r="I311" s="415">
        <f t="shared" si="129"/>
        <v>20.200000000000003</v>
      </c>
      <c r="J311" s="415">
        <f t="shared" si="130"/>
        <v>4.2900000000000027</v>
      </c>
      <c r="K311" s="416">
        <f t="shared" si="119"/>
        <v>103605.8</v>
      </c>
      <c r="L311" s="430"/>
      <c r="M311" s="430"/>
      <c r="N311" s="186">
        <f t="shared" si="125"/>
        <v>103605.8</v>
      </c>
      <c r="O311" s="431">
        <f t="shared" si="108"/>
        <v>0</v>
      </c>
      <c r="P311" s="417">
        <f t="shared" si="120"/>
        <v>0</v>
      </c>
      <c r="Q311" s="186">
        <f t="shared" si="109"/>
        <v>0</v>
      </c>
      <c r="R311" s="186">
        <f t="shared" si="110"/>
        <v>0</v>
      </c>
      <c r="S311" s="186">
        <f t="shared" si="111"/>
        <v>0</v>
      </c>
      <c r="T311" s="186">
        <f t="shared" si="112"/>
        <v>0</v>
      </c>
      <c r="U311" s="186">
        <f t="shared" si="113"/>
        <v>0</v>
      </c>
      <c r="V311" s="418">
        <f t="shared" si="114"/>
        <v>103605.8</v>
      </c>
      <c r="W311" s="418">
        <f t="shared" si="115"/>
        <v>-103605.8</v>
      </c>
      <c r="X311" s="41"/>
      <c r="Y311" s="418">
        <f t="shared" si="131"/>
        <v>22003.41</v>
      </c>
      <c r="Z311" s="418">
        <f t="shared" si="122"/>
        <v>-22003.41</v>
      </c>
      <c r="AA311" s="11">
        <f t="shared" si="116"/>
        <v>0.84</v>
      </c>
      <c r="AB311" s="9">
        <f t="shared" si="123"/>
        <v>4308.3599999999997</v>
      </c>
      <c r="AC311" s="41"/>
      <c r="AD311" s="427">
        <f>IF(AH311&gt;AH310,AD310,IF(AD310&lt;MiscData!$F$1,EOMONTH(AD310,1),EOMONTH(AD310,-11)))</f>
        <v>42490</v>
      </c>
      <c r="AE311" s="414" t="str">
        <f t="shared" si="117"/>
        <v>20140101KUUM_451</v>
      </c>
      <c r="AF311" s="466" t="str">
        <f t="shared" si="118"/>
        <v>20140101LS</v>
      </c>
      <c r="AG311" s="467"/>
      <c r="AH311" s="41">
        <f>IF(AH310=MiscData!$AB$91,1,AH310+1)</f>
        <v>46</v>
      </c>
      <c r="AI311">
        <f>IF(AD311&lt;=MiscData!$B$23,MiscData!$C$23,IF(AD311&lt;=MiscData!$B$24,MiscData!$C$24,MiscData!$C$25))</f>
        <v>20140101</v>
      </c>
      <c r="AJ311" s="41"/>
      <c r="AK311" s="468" t="str">
        <f>VLOOKUP(AM311,MiscData!$AB$4:$ACB$113,2,FALSE)</f>
        <v>KUUM_451</v>
      </c>
      <c r="AL311" s="468" t="str">
        <f>VLOOKUP(AM311,MiscData!$AB$4:$AE$115,4,FALSE)</f>
        <v>LS</v>
      </c>
      <c r="AM311" s="469">
        <f>IF(AM310=MiscData!$AB$91,1,AM310+1)</f>
        <v>46</v>
      </c>
    </row>
    <row r="312" spans="1:39">
      <c r="A312" s="413">
        <f t="shared" si="124"/>
        <v>311</v>
      </c>
      <c r="B312" s="427" t="str">
        <f t="shared" si="126"/>
        <v>Apr 2016</v>
      </c>
      <c r="C312" s="428" t="str">
        <f t="shared" si="127"/>
        <v>LS</v>
      </c>
      <c r="D312" s="428" t="str">
        <f t="shared" si="128"/>
        <v>KUUM_452</v>
      </c>
      <c r="E312" s="425">
        <f t="shared" si="103"/>
        <v>1045</v>
      </c>
      <c r="F312" s="429"/>
      <c r="G312" s="425">
        <f t="shared" si="104"/>
        <v>0</v>
      </c>
      <c r="H312" s="425">
        <v>0</v>
      </c>
      <c r="I312" s="415">
        <f t="shared" si="129"/>
        <v>42.350000000000009</v>
      </c>
      <c r="J312" s="415">
        <f t="shared" si="130"/>
        <v>10.410000000000004</v>
      </c>
      <c r="K312" s="416">
        <f t="shared" si="119"/>
        <v>44255.75</v>
      </c>
      <c r="L312" s="430"/>
      <c r="M312" s="430"/>
      <c r="N312" s="186">
        <f t="shared" si="125"/>
        <v>44255.75</v>
      </c>
      <c r="O312" s="431">
        <f t="shared" si="108"/>
        <v>0</v>
      </c>
      <c r="P312" s="417">
        <f t="shared" si="120"/>
        <v>0</v>
      </c>
      <c r="Q312" s="186">
        <f t="shared" si="109"/>
        <v>0</v>
      </c>
      <c r="R312" s="186">
        <f t="shared" si="110"/>
        <v>0</v>
      </c>
      <c r="S312" s="186">
        <f t="shared" si="111"/>
        <v>0</v>
      </c>
      <c r="T312" s="186">
        <f t="shared" si="112"/>
        <v>0</v>
      </c>
      <c r="U312" s="186">
        <f t="shared" si="113"/>
        <v>0</v>
      </c>
      <c r="V312" s="418">
        <f t="shared" si="114"/>
        <v>44255.75</v>
      </c>
      <c r="W312" s="418">
        <f t="shared" si="115"/>
        <v>-44255.75</v>
      </c>
      <c r="X312" s="41"/>
      <c r="Y312" s="418">
        <f t="shared" si="131"/>
        <v>10878.45</v>
      </c>
      <c r="Z312" s="418">
        <f t="shared" si="122"/>
        <v>-10878.45</v>
      </c>
      <c r="AA312" s="11">
        <f t="shared" si="116"/>
        <v>1.7</v>
      </c>
      <c r="AB312" s="9">
        <f t="shared" si="123"/>
        <v>1776.5</v>
      </c>
      <c r="AC312" s="41"/>
      <c r="AD312" s="427">
        <f>IF(AH312&gt;AH311,AD311,IF(AD311&lt;MiscData!$F$1,EOMONTH(AD311,1),EOMONTH(AD311,-11)))</f>
        <v>42490</v>
      </c>
      <c r="AE312" s="414" t="str">
        <f t="shared" si="117"/>
        <v>20140101KUUM_452</v>
      </c>
      <c r="AF312" s="466" t="str">
        <f t="shared" si="118"/>
        <v>20140101LS</v>
      </c>
      <c r="AG312" s="467"/>
      <c r="AH312" s="41">
        <f>IF(AH311=MiscData!$AB$91,1,AH311+1)</f>
        <v>47</v>
      </c>
      <c r="AI312">
        <f>IF(AD312&lt;=MiscData!$B$23,MiscData!$C$23,IF(AD312&lt;=MiscData!$B$24,MiscData!$C$24,MiscData!$C$25))</f>
        <v>20140101</v>
      </c>
      <c r="AJ312" s="41"/>
      <c r="AK312" s="468" t="str">
        <f>VLOOKUP(AM312,MiscData!$AB$4:$ACB$113,2,FALSE)</f>
        <v>KUUM_452</v>
      </c>
      <c r="AL312" s="468" t="str">
        <f>VLOOKUP(AM312,MiscData!$AB$4:$AE$115,4,FALSE)</f>
        <v>LS</v>
      </c>
      <c r="AM312" s="469">
        <f>IF(AM311=MiscData!$AB$91,1,AM311+1)</f>
        <v>47</v>
      </c>
    </row>
    <row r="313" spans="1:39">
      <c r="A313" s="413">
        <f t="shared" si="124"/>
        <v>312</v>
      </c>
      <c r="B313" s="427" t="str">
        <f t="shared" si="126"/>
        <v>Apr 2016</v>
      </c>
      <c r="C313" s="428" t="str">
        <f t="shared" si="127"/>
        <v>RLS</v>
      </c>
      <c r="D313" s="428" t="str">
        <f t="shared" si="128"/>
        <v>KUUM_454</v>
      </c>
      <c r="E313" s="425">
        <f t="shared" si="103"/>
        <v>150</v>
      </c>
      <c r="F313" s="429"/>
      <c r="G313" s="425">
        <f t="shared" si="104"/>
        <v>0</v>
      </c>
      <c r="H313" s="425">
        <v>0</v>
      </c>
      <c r="I313" s="415">
        <f t="shared" si="129"/>
        <v>18.649999999999999</v>
      </c>
      <c r="J313" s="415">
        <f t="shared" si="130"/>
        <v>1.9699999999999989</v>
      </c>
      <c r="K313" s="416">
        <f t="shared" si="119"/>
        <v>2797.5</v>
      </c>
      <c r="L313" s="430"/>
      <c r="M313" s="430"/>
      <c r="N313" s="186">
        <f t="shared" si="125"/>
        <v>2797.5</v>
      </c>
      <c r="O313" s="431">
        <f t="shared" si="108"/>
        <v>0</v>
      </c>
      <c r="P313" s="417">
        <f t="shared" si="120"/>
        <v>0</v>
      </c>
      <c r="Q313" s="186">
        <f t="shared" si="109"/>
        <v>0</v>
      </c>
      <c r="R313" s="186">
        <f t="shared" si="110"/>
        <v>0</v>
      </c>
      <c r="S313" s="186">
        <f t="shared" si="111"/>
        <v>0</v>
      </c>
      <c r="T313" s="186">
        <f t="shared" si="112"/>
        <v>0</v>
      </c>
      <c r="U313" s="186">
        <f t="shared" si="113"/>
        <v>0</v>
      </c>
      <c r="V313" s="418">
        <f t="shared" si="114"/>
        <v>2797.5</v>
      </c>
      <c r="W313" s="418">
        <f t="shared" si="115"/>
        <v>-2797.5</v>
      </c>
      <c r="X313" s="41"/>
      <c r="Y313" s="418">
        <f t="shared" si="131"/>
        <v>295.5</v>
      </c>
      <c r="Z313" s="418">
        <f t="shared" si="122"/>
        <v>-295.5</v>
      </c>
      <c r="AA313" s="11">
        <f t="shared" si="116"/>
        <v>0.66</v>
      </c>
      <c r="AB313" s="9">
        <f t="shared" si="123"/>
        <v>99</v>
      </c>
      <c r="AC313" s="41"/>
      <c r="AD313" s="427">
        <f>IF(AH313&gt;AH312,AD312,IF(AD312&lt;MiscData!$F$1,EOMONTH(AD312,1),EOMONTH(AD312,-11)))</f>
        <v>42490</v>
      </c>
      <c r="AE313" s="414" t="str">
        <f t="shared" si="117"/>
        <v>20140101KUUM_454</v>
      </c>
      <c r="AF313" s="466" t="str">
        <f t="shared" si="118"/>
        <v>20140101RLS</v>
      </c>
      <c r="AG313" s="467"/>
      <c r="AH313" s="41">
        <f>IF(AH312=MiscData!$AB$91,1,AH312+1)</f>
        <v>48</v>
      </c>
      <c r="AI313">
        <f>IF(AD313&lt;=MiscData!$B$23,MiscData!$C$23,IF(AD313&lt;=MiscData!$B$24,MiscData!$C$24,MiscData!$C$25))</f>
        <v>20140101</v>
      </c>
      <c r="AJ313" s="41"/>
      <c r="AK313" s="468" t="str">
        <f>VLOOKUP(AM313,MiscData!$AB$4:$ACB$113,2,FALSE)</f>
        <v>KUUM_454</v>
      </c>
      <c r="AL313" s="468" t="str">
        <f>VLOOKUP(AM313,MiscData!$AB$4:$AE$115,4,FALSE)</f>
        <v>RLS</v>
      </c>
      <c r="AM313" s="469">
        <f>IF(AM312=MiscData!$AB$91,1,AM312+1)</f>
        <v>48</v>
      </c>
    </row>
    <row r="314" spans="1:39">
      <c r="A314" s="413">
        <f t="shared" si="124"/>
        <v>313</v>
      </c>
      <c r="B314" s="427" t="str">
        <f t="shared" si="126"/>
        <v>Apr 2016</v>
      </c>
      <c r="C314" s="428" t="str">
        <f t="shared" si="127"/>
        <v>RLS</v>
      </c>
      <c r="D314" s="428" t="str">
        <f t="shared" si="128"/>
        <v>KUUM_455</v>
      </c>
      <c r="E314" s="425">
        <f t="shared" si="103"/>
        <v>1022</v>
      </c>
      <c r="F314" s="429"/>
      <c r="G314" s="425">
        <f t="shared" si="104"/>
        <v>0</v>
      </c>
      <c r="H314" s="425">
        <v>0</v>
      </c>
      <c r="I314" s="415">
        <f t="shared" si="129"/>
        <v>24.59</v>
      </c>
      <c r="J314" s="415">
        <f t="shared" si="130"/>
        <v>4.2899999999999991</v>
      </c>
      <c r="K314" s="416">
        <f t="shared" si="119"/>
        <v>25130.98</v>
      </c>
      <c r="L314" s="430"/>
      <c r="M314" s="430"/>
      <c r="N314" s="186">
        <f t="shared" si="125"/>
        <v>25130.98</v>
      </c>
      <c r="O314" s="431">
        <f t="shared" si="108"/>
        <v>0</v>
      </c>
      <c r="P314" s="417">
        <f t="shared" si="120"/>
        <v>0</v>
      </c>
      <c r="Q314" s="186">
        <f t="shared" si="109"/>
        <v>0</v>
      </c>
      <c r="R314" s="186">
        <f t="shared" si="110"/>
        <v>0</v>
      </c>
      <c r="S314" s="186">
        <f t="shared" si="111"/>
        <v>0</v>
      </c>
      <c r="T314" s="186">
        <f t="shared" si="112"/>
        <v>0</v>
      </c>
      <c r="U314" s="186">
        <f t="shared" si="113"/>
        <v>0</v>
      </c>
      <c r="V314" s="418">
        <f t="shared" si="114"/>
        <v>25130.98</v>
      </c>
      <c r="W314" s="418">
        <f t="shared" si="115"/>
        <v>-25130.98</v>
      </c>
      <c r="X314" s="41"/>
      <c r="Y314" s="418">
        <f t="shared" si="131"/>
        <v>4384.38</v>
      </c>
      <c r="Z314" s="418">
        <f t="shared" si="122"/>
        <v>-4384.38</v>
      </c>
      <c r="AA314" s="11">
        <f t="shared" si="116"/>
        <v>0.84</v>
      </c>
      <c r="AB314" s="9">
        <f t="shared" si="123"/>
        <v>858.48</v>
      </c>
      <c r="AC314" s="41"/>
      <c r="AD314" s="427">
        <f>IF(AH314&gt;AH313,AD313,IF(AD313&lt;MiscData!$F$1,EOMONTH(AD313,1),EOMONTH(AD313,-11)))</f>
        <v>42490</v>
      </c>
      <c r="AE314" s="414" t="str">
        <f t="shared" si="117"/>
        <v>20140101KUUM_455</v>
      </c>
      <c r="AF314" s="466" t="str">
        <f t="shared" si="118"/>
        <v>20140101RLS</v>
      </c>
      <c r="AG314" s="467"/>
      <c r="AH314" s="41">
        <f>IF(AH313=MiscData!$AB$91,1,AH313+1)</f>
        <v>49</v>
      </c>
      <c r="AI314">
        <f>IF(AD314&lt;=MiscData!$B$23,MiscData!$C$23,IF(AD314&lt;=MiscData!$B$24,MiscData!$C$24,MiscData!$C$25))</f>
        <v>20140101</v>
      </c>
      <c r="AJ314" s="41"/>
      <c r="AK314" s="468" t="str">
        <f>VLOOKUP(AM314,MiscData!$AB$4:$ACB$113,2,FALSE)</f>
        <v>KUUM_455</v>
      </c>
      <c r="AL314" s="468" t="str">
        <f>VLOOKUP(AM314,MiscData!$AB$4:$AE$115,4,FALSE)</f>
        <v>RLS</v>
      </c>
      <c r="AM314" s="469">
        <f>IF(AM313=MiscData!$AB$91,1,AM313+1)</f>
        <v>49</v>
      </c>
    </row>
    <row r="315" spans="1:39">
      <c r="A315" s="413">
        <f t="shared" si="124"/>
        <v>314</v>
      </c>
      <c r="B315" s="427" t="str">
        <f t="shared" si="126"/>
        <v>Apr 2016</v>
      </c>
      <c r="C315" s="428" t="str">
        <f t="shared" si="127"/>
        <v>RLS</v>
      </c>
      <c r="D315" s="428" t="str">
        <f t="shared" si="128"/>
        <v>KUUM_456</v>
      </c>
      <c r="E315" s="425">
        <f t="shared" si="103"/>
        <v>142</v>
      </c>
      <c r="F315" s="429"/>
      <c r="G315" s="425">
        <f t="shared" si="104"/>
        <v>0</v>
      </c>
      <c r="H315" s="425">
        <v>0</v>
      </c>
      <c r="I315" s="415">
        <f t="shared" si="129"/>
        <v>11.870000000000001</v>
      </c>
      <c r="J315" s="415">
        <f t="shared" si="130"/>
        <v>1.9900000000000002</v>
      </c>
      <c r="K315" s="416">
        <f t="shared" si="119"/>
        <v>1685.54</v>
      </c>
      <c r="L315" s="430"/>
      <c r="M315" s="430"/>
      <c r="N315" s="186">
        <f t="shared" si="125"/>
        <v>1685.54</v>
      </c>
      <c r="O315" s="431">
        <f t="shared" si="108"/>
        <v>0</v>
      </c>
      <c r="P315" s="417">
        <f t="shared" si="120"/>
        <v>0</v>
      </c>
      <c r="Q315" s="186">
        <f t="shared" si="109"/>
        <v>0</v>
      </c>
      <c r="R315" s="186">
        <f t="shared" si="110"/>
        <v>0</v>
      </c>
      <c r="S315" s="186">
        <f t="shared" si="111"/>
        <v>0</v>
      </c>
      <c r="T315" s="186">
        <f t="shared" si="112"/>
        <v>0</v>
      </c>
      <c r="U315" s="186">
        <f t="shared" si="113"/>
        <v>0</v>
      </c>
      <c r="V315" s="418">
        <f t="shared" si="114"/>
        <v>1685.54</v>
      </c>
      <c r="W315" s="418">
        <f t="shared" si="115"/>
        <v>-1685.54</v>
      </c>
      <c r="X315" s="41"/>
      <c r="Y315" s="418">
        <f t="shared" si="131"/>
        <v>282.58</v>
      </c>
      <c r="Z315" s="418">
        <f t="shared" si="122"/>
        <v>-282.58</v>
      </c>
      <c r="AA315" s="11">
        <f t="shared" si="116"/>
        <v>0.39</v>
      </c>
      <c r="AB315" s="9">
        <f t="shared" si="123"/>
        <v>55.38</v>
      </c>
      <c r="AC315" s="41"/>
      <c r="AD315" s="427">
        <f>IF(AH315&gt;AH314,AD314,IF(AD314&lt;MiscData!$F$1,EOMONTH(AD314,1),EOMONTH(AD314,-11)))</f>
        <v>42490</v>
      </c>
      <c r="AE315" s="414" t="str">
        <f t="shared" si="117"/>
        <v>20140101KUUM_456</v>
      </c>
      <c r="AF315" s="466" t="str">
        <f t="shared" si="118"/>
        <v>20140101RLS</v>
      </c>
      <c r="AG315" s="467"/>
      <c r="AH315" s="41">
        <f>IF(AH314=MiscData!$AB$91,1,AH314+1)</f>
        <v>50</v>
      </c>
      <c r="AI315">
        <f>IF(AD315&lt;=MiscData!$B$23,MiscData!$C$23,IF(AD315&lt;=MiscData!$B$24,MiscData!$C$24,MiscData!$C$25))</f>
        <v>20140101</v>
      </c>
      <c r="AJ315" s="41"/>
      <c r="AK315" s="468" t="str">
        <f>VLOOKUP(AM315,MiscData!$AB$4:$ACB$113,2,FALSE)</f>
        <v>KUUM_456</v>
      </c>
      <c r="AL315" s="468" t="str">
        <f>VLOOKUP(AM315,MiscData!$AB$4:$AE$115,4,FALSE)</f>
        <v>RLS</v>
      </c>
      <c r="AM315" s="469">
        <f>IF(AM314=MiscData!$AB$91,1,AM314+1)</f>
        <v>50</v>
      </c>
    </row>
    <row r="316" spans="1:39">
      <c r="A316" s="413">
        <f t="shared" si="124"/>
        <v>315</v>
      </c>
      <c r="B316" s="427" t="str">
        <f t="shared" si="126"/>
        <v>Apr 2016</v>
      </c>
      <c r="C316" s="428" t="str">
        <f t="shared" si="127"/>
        <v>RLS</v>
      </c>
      <c r="D316" s="428" t="str">
        <f t="shared" si="128"/>
        <v>KUUM_457</v>
      </c>
      <c r="E316" s="425">
        <f t="shared" si="103"/>
        <v>453</v>
      </c>
      <c r="F316" s="429"/>
      <c r="G316" s="425">
        <f t="shared" si="104"/>
        <v>0</v>
      </c>
      <c r="H316" s="425">
        <v>0</v>
      </c>
      <c r="I316" s="415">
        <f t="shared" si="129"/>
        <v>13.360000000000001</v>
      </c>
      <c r="J316" s="415">
        <f t="shared" si="130"/>
        <v>2.84</v>
      </c>
      <c r="K316" s="416">
        <f t="shared" si="119"/>
        <v>6052.08</v>
      </c>
      <c r="L316" s="430"/>
      <c r="M316" s="430"/>
      <c r="N316" s="186">
        <f t="shared" si="125"/>
        <v>6052.08</v>
      </c>
      <c r="O316" s="431">
        <f t="shared" si="108"/>
        <v>0</v>
      </c>
      <c r="P316" s="417">
        <f t="shared" si="120"/>
        <v>0</v>
      </c>
      <c r="Q316" s="186">
        <f t="shared" si="109"/>
        <v>0</v>
      </c>
      <c r="R316" s="186">
        <f t="shared" si="110"/>
        <v>0</v>
      </c>
      <c r="S316" s="186">
        <f t="shared" si="111"/>
        <v>0</v>
      </c>
      <c r="T316" s="186">
        <f t="shared" si="112"/>
        <v>0</v>
      </c>
      <c r="U316" s="186">
        <f t="shared" si="113"/>
        <v>0</v>
      </c>
      <c r="V316" s="418">
        <f t="shared" si="114"/>
        <v>6052.08</v>
      </c>
      <c r="W316" s="418">
        <f t="shared" si="115"/>
        <v>-6052.08</v>
      </c>
      <c r="X316" s="41"/>
      <c r="Y316" s="418">
        <f t="shared" si="131"/>
        <v>1286.52</v>
      </c>
      <c r="Z316" s="418">
        <f t="shared" si="122"/>
        <v>-1286.52</v>
      </c>
      <c r="AA316" s="11">
        <f t="shared" si="116"/>
        <v>0.44</v>
      </c>
      <c r="AB316" s="9">
        <f t="shared" si="123"/>
        <v>199.32</v>
      </c>
      <c r="AC316" s="41"/>
      <c r="AD316" s="427">
        <f>IF(AH316&gt;AH315,AD315,IF(AD315&lt;MiscData!$F$1,EOMONTH(AD315,1),EOMONTH(AD315,-11)))</f>
        <v>42490</v>
      </c>
      <c r="AE316" s="414" t="str">
        <f t="shared" si="117"/>
        <v>20140101KUUM_457</v>
      </c>
      <c r="AF316" s="466" t="str">
        <f t="shared" si="118"/>
        <v>20140101RLS</v>
      </c>
      <c r="AG316" s="467"/>
      <c r="AH316" s="41">
        <f>IF(AH315=MiscData!$AB$91,1,AH315+1)</f>
        <v>51</v>
      </c>
      <c r="AI316">
        <f>IF(AD316&lt;=MiscData!$B$23,MiscData!$C$23,IF(AD316&lt;=MiscData!$B$24,MiscData!$C$24,MiscData!$C$25))</f>
        <v>20140101</v>
      </c>
      <c r="AJ316" s="41"/>
      <c r="AK316" s="468" t="str">
        <f>VLOOKUP(AM316,MiscData!$AB$4:$ACB$113,2,FALSE)</f>
        <v>KUUM_457</v>
      </c>
      <c r="AL316" s="468" t="str">
        <f>VLOOKUP(AM316,MiscData!$AB$4:$AE$115,4,FALSE)</f>
        <v>RLS</v>
      </c>
      <c r="AM316" s="469">
        <f>IF(AM315=MiscData!$AB$91,1,AM315+1)</f>
        <v>51</v>
      </c>
    </row>
    <row r="317" spans="1:39">
      <c r="A317" s="413">
        <f t="shared" si="124"/>
        <v>316</v>
      </c>
      <c r="B317" s="427" t="str">
        <f t="shared" si="126"/>
        <v>Apr 2016</v>
      </c>
      <c r="C317" s="428" t="str">
        <f t="shared" si="127"/>
        <v>RLS</v>
      </c>
      <c r="D317" s="428" t="str">
        <f t="shared" si="128"/>
        <v>KUUM_458</v>
      </c>
      <c r="E317" s="425">
        <f t="shared" si="103"/>
        <v>1479</v>
      </c>
      <c r="F317" s="429"/>
      <c r="G317" s="425">
        <f t="shared" si="104"/>
        <v>0</v>
      </c>
      <c r="H317" s="425">
        <v>0</v>
      </c>
      <c r="I317" s="415">
        <f t="shared" si="129"/>
        <v>15.079999999999998</v>
      </c>
      <c r="J317" s="415">
        <f t="shared" si="130"/>
        <v>4.3699999999999992</v>
      </c>
      <c r="K317" s="416">
        <f t="shared" si="119"/>
        <v>22303.32</v>
      </c>
      <c r="L317" s="430"/>
      <c r="M317" s="430"/>
      <c r="N317" s="186">
        <f t="shared" si="125"/>
        <v>22303.32</v>
      </c>
      <c r="O317" s="431">
        <f t="shared" si="108"/>
        <v>0</v>
      </c>
      <c r="P317" s="417">
        <f t="shared" si="120"/>
        <v>0</v>
      </c>
      <c r="Q317" s="186">
        <f t="shared" si="109"/>
        <v>0</v>
      </c>
      <c r="R317" s="186">
        <f t="shared" si="110"/>
        <v>0</v>
      </c>
      <c r="S317" s="186">
        <f t="shared" si="111"/>
        <v>0</v>
      </c>
      <c r="T317" s="186">
        <f t="shared" si="112"/>
        <v>0</v>
      </c>
      <c r="U317" s="186">
        <f t="shared" si="113"/>
        <v>0</v>
      </c>
      <c r="V317" s="418">
        <f t="shared" si="114"/>
        <v>22303.32</v>
      </c>
      <c r="W317" s="418">
        <f t="shared" si="115"/>
        <v>-22303.32</v>
      </c>
      <c r="X317" s="41"/>
      <c r="Y317" s="418">
        <f t="shared" si="131"/>
        <v>6463.23</v>
      </c>
      <c r="Z317" s="418">
        <f t="shared" si="122"/>
        <v>-6463.23</v>
      </c>
      <c r="AA317" s="11">
        <f t="shared" si="116"/>
        <v>0.51</v>
      </c>
      <c r="AB317" s="9">
        <f t="shared" si="123"/>
        <v>754.29</v>
      </c>
      <c r="AC317" s="41"/>
      <c r="AD317" s="427">
        <f>IF(AH317&gt;AH316,AD316,IF(AD316&lt;MiscData!$F$1,EOMONTH(AD316,1),EOMONTH(AD316,-11)))</f>
        <v>42490</v>
      </c>
      <c r="AE317" s="414" t="str">
        <f t="shared" si="117"/>
        <v>20140101KUUM_458</v>
      </c>
      <c r="AF317" s="466" t="str">
        <f t="shared" si="118"/>
        <v>20140101RLS</v>
      </c>
      <c r="AG317" s="467"/>
      <c r="AH317" s="41">
        <f>IF(AH316=MiscData!$AB$91,1,AH316+1)</f>
        <v>52</v>
      </c>
      <c r="AI317">
        <f>IF(AD317&lt;=MiscData!$B$23,MiscData!$C$23,IF(AD317&lt;=MiscData!$B$24,MiscData!$C$24,MiscData!$C$25))</f>
        <v>20140101</v>
      </c>
      <c r="AJ317" s="41"/>
      <c r="AK317" s="468" t="str">
        <f>VLOOKUP(AM317,MiscData!$AB$4:$ACB$113,2,FALSE)</f>
        <v>KUUM_458</v>
      </c>
      <c r="AL317" s="468" t="str">
        <f>VLOOKUP(AM317,MiscData!$AB$4:$AE$115,4,FALSE)</f>
        <v>RLS</v>
      </c>
      <c r="AM317" s="469">
        <f>IF(AM316=MiscData!$AB$91,1,AM316+1)</f>
        <v>52</v>
      </c>
    </row>
    <row r="318" spans="1:39">
      <c r="A318" s="413">
        <f t="shared" si="124"/>
        <v>317</v>
      </c>
      <c r="B318" s="427" t="str">
        <f t="shared" si="126"/>
        <v>Apr 2016</v>
      </c>
      <c r="C318" s="428" t="str">
        <f t="shared" si="127"/>
        <v>RLS</v>
      </c>
      <c r="D318" s="428" t="str">
        <f t="shared" si="128"/>
        <v>KUUM_459</v>
      </c>
      <c r="E318" s="425">
        <f t="shared" si="103"/>
        <v>224</v>
      </c>
      <c r="F318" s="429"/>
      <c r="G318" s="425">
        <f t="shared" si="104"/>
        <v>0</v>
      </c>
      <c r="H318" s="425">
        <v>0</v>
      </c>
      <c r="I318" s="415">
        <f t="shared" si="129"/>
        <v>46.740000000000009</v>
      </c>
      <c r="J318" s="415">
        <f t="shared" si="130"/>
        <v>10.410000000000004</v>
      </c>
      <c r="K318" s="416">
        <f t="shared" si="119"/>
        <v>10469.76</v>
      </c>
      <c r="L318" s="430"/>
      <c r="M318" s="430"/>
      <c r="N318" s="186">
        <f t="shared" si="125"/>
        <v>10469.76</v>
      </c>
      <c r="O318" s="431">
        <f t="shared" si="108"/>
        <v>0</v>
      </c>
      <c r="P318" s="417">
        <f t="shared" si="120"/>
        <v>0</v>
      </c>
      <c r="Q318" s="186">
        <f t="shared" si="109"/>
        <v>0</v>
      </c>
      <c r="R318" s="186">
        <f t="shared" si="110"/>
        <v>0</v>
      </c>
      <c r="S318" s="186">
        <f t="shared" si="111"/>
        <v>0</v>
      </c>
      <c r="T318" s="186">
        <f t="shared" si="112"/>
        <v>0</v>
      </c>
      <c r="U318" s="186">
        <f t="shared" si="113"/>
        <v>0</v>
      </c>
      <c r="V318" s="418">
        <f t="shared" si="114"/>
        <v>10469.76</v>
      </c>
      <c r="W318" s="418">
        <f t="shared" si="115"/>
        <v>-10469.76</v>
      </c>
      <c r="X318" s="41"/>
      <c r="Y318" s="418">
        <f t="shared" si="131"/>
        <v>2331.84</v>
      </c>
      <c r="Z318" s="418">
        <f t="shared" si="122"/>
        <v>-2331.84</v>
      </c>
      <c r="AA318" s="11">
        <f t="shared" si="116"/>
        <v>1.7</v>
      </c>
      <c r="AB318" s="9">
        <f t="shared" si="123"/>
        <v>380.8</v>
      </c>
      <c r="AC318" s="41"/>
      <c r="AD318" s="427">
        <f>IF(AH318&gt;AH317,AD317,IF(AD317&lt;MiscData!$F$1,EOMONTH(AD317,1),EOMONTH(AD317,-11)))</f>
        <v>42490</v>
      </c>
      <c r="AE318" s="414" t="str">
        <f t="shared" si="117"/>
        <v>20140101KUUM_459</v>
      </c>
      <c r="AF318" s="466" t="str">
        <f t="shared" si="118"/>
        <v>20140101RLS</v>
      </c>
      <c r="AG318" s="467"/>
      <c r="AH318" s="41">
        <f>IF(AH317=MiscData!$AB$91,1,AH317+1)</f>
        <v>53</v>
      </c>
      <c r="AI318">
        <f>IF(AD318&lt;=MiscData!$B$23,MiscData!$C$23,IF(AD318&lt;=MiscData!$B$24,MiscData!$C$24,MiscData!$C$25))</f>
        <v>20140101</v>
      </c>
      <c r="AJ318" s="41"/>
      <c r="AK318" s="468" t="str">
        <f>VLOOKUP(AM318,MiscData!$AB$4:$ACB$113,2,FALSE)</f>
        <v>KUUM_459</v>
      </c>
      <c r="AL318" s="468" t="str">
        <f>VLOOKUP(AM318,MiscData!$AB$4:$AE$115,4,FALSE)</f>
        <v>RLS</v>
      </c>
      <c r="AM318" s="469">
        <f>IF(AM317=MiscData!$AB$91,1,AM317+1)</f>
        <v>53</v>
      </c>
    </row>
    <row r="319" spans="1:39">
      <c r="A319" s="413">
        <f t="shared" si="124"/>
        <v>318</v>
      </c>
      <c r="B319" s="427" t="str">
        <f t="shared" si="126"/>
        <v>Apr 2016</v>
      </c>
      <c r="C319" s="428" t="str">
        <f t="shared" si="127"/>
        <v>RLS</v>
      </c>
      <c r="D319" s="428" t="str">
        <f t="shared" si="128"/>
        <v>KUUM_460</v>
      </c>
      <c r="E319" s="425">
        <f t="shared" si="103"/>
        <v>26</v>
      </c>
      <c r="F319" s="429"/>
      <c r="G319" s="425">
        <f t="shared" si="104"/>
        <v>0</v>
      </c>
      <c r="H319" s="425">
        <v>1869</v>
      </c>
      <c r="I319" s="415">
        <f t="shared" si="129"/>
        <v>27.15</v>
      </c>
      <c r="J319" s="415">
        <f t="shared" si="130"/>
        <v>1.9699999999999989</v>
      </c>
      <c r="K319" s="416">
        <f t="shared" si="119"/>
        <v>705.9</v>
      </c>
      <c r="L319" s="430"/>
      <c r="M319" s="430"/>
      <c r="N319" s="186">
        <f t="shared" si="125"/>
        <v>705.9</v>
      </c>
      <c r="O319" s="431">
        <f t="shared" si="108"/>
        <v>0</v>
      </c>
      <c r="P319" s="417">
        <f t="shared" si="120"/>
        <v>0</v>
      </c>
      <c r="Q319" s="186">
        <f t="shared" si="109"/>
        <v>0</v>
      </c>
      <c r="R319" s="186">
        <f t="shared" si="110"/>
        <v>0</v>
      </c>
      <c r="S319" s="186">
        <f t="shared" si="111"/>
        <v>0</v>
      </c>
      <c r="T319" s="186">
        <f t="shared" si="112"/>
        <v>0</v>
      </c>
      <c r="U319" s="186">
        <f t="shared" si="113"/>
        <v>0</v>
      </c>
      <c r="V319" s="418">
        <f t="shared" si="114"/>
        <v>705.9</v>
      </c>
      <c r="W319" s="418">
        <f t="shared" si="115"/>
        <v>-705.9</v>
      </c>
      <c r="X319" s="41"/>
      <c r="Y319" s="418">
        <f t="shared" si="131"/>
        <v>51.22</v>
      </c>
      <c r="Z319" s="418">
        <f t="shared" si="122"/>
        <v>-51.22</v>
      </c>
      <c r="AA319" s="11">
        <f t="shared" si="116"/>
        <v>0.66</v>
      </c>
      <c r="AB319" s="9">
        <f t="shared" si="123"/>
        <v>17.16</v>
      </c>
      <c r="AC319" s="41"/>
      <c r="AD319" s="427">
        <f>IF(AH319&gt;AH318,AD318,IF(AD318&lt;MiscData!$F$1,EOMONTH(AD318,1),EOMONTH(AD318,-11)))</f>
        <v>42490</v>
      </c>
      <c r="AE319" s="414" t="str">
        <f t="shared" si="117"/>
        <v>20140101KUUM_460</v>
      </c>
      <c r="AF319" s="466" t="str">
        <f t="shared" si="118"/>
        <v>20140101RLS</v>
      </c>
      <c r="AG319" s="467"/>
      <c r="AH319" s="41">
        <f>IF(AH318=MiscData!$AB$91,1,AH318+1)</f>
        <v>54</v>
      </c>
      <c r="AI319">
        <f>IF(AD319&lt;=MiscData!$B$23,MiscData!$C$23,IF(AD319&lt;=MiscData!$B$24,MiscData!$C$24,MiscData!$C$25))</f>
        <v>20140101</v>
      </c>
      <c r="AJ319" s="41"/>
      <c r="AK319" s="468" t="str">
        <f>VLOOKUP(AM319,MiscData!$AB$4:$ACB$113,2,FALSE)</f>
        <v>KUUM_460</v>
      </c>
      <c r="AL319" s="468" t="str">
        <f>VLOOKUP(AM319,MiscData!$AB$4:$AE$115,4,FALSE)</f>
        <v>RLS</v>
      </c>
      <c r="AM319" s="469">
        <f>IF(AM318=MiscData!$AB$91,1,AM318+1)</f>
        <v>54</v>
      </c>
    </row>
    <row r="320" spans="1:39">
      <c r="A320" s="413">
        <f t="shared" si="124"/>
        <v>319</v>
      </c>
      <c r="B320" s="427" t="str">
        <f t="shared" si="126"/>
        <v>Apr 2016</v>
      </c>
      <c r="C320" s="428" t="str">
        <f t="shared" si="127"/>
        <v>RLS</v>
      </c>
      <c r="D320" s="428" t="str">
        <f t="shared" si="128"/>
        <v>KUUM_461</v>
      </c>
      <c r="E320" s="425">
        <f t="shared" si="103"/>
        <v>6932</v>
      </c>
      <c r="F320" s="429"/>
      <c r="G320" s="425">
        <f t="shared" si="104"/>
        <v>0</v>
      </c>
      <c r="H320" s="425">
        <v>0</v>
      </c>
      <c r="I320" s="415">
        <f t="shared" si="129"/>
        <v>7.54</v>
      </c>
      <c r="J320" s="415">
        <f t="shared" si="130"/>
        <v>0.57000000000000028</v>
      </c>
      <c r="K320" s="416">
        <f t="shared" si="119"/>
        <v>52267.28</v>
      </c>
      <c r="L320" s="430"/>
      <c r="M320" s="430"/>
      <c r="N320" s="186">
        <f t="shared" si="125"/>
        <v>52267.28</v>
      </c>
      <c r="O320" s="431">
        <f t="shared" si="108"/>
        <v>0</v>
      </c>
      <c r="P320" s="417">
        <f t="shared" si="120"/>
        <v>0</v>
      </c>
      <c r="Q320" s="186">
        <f t="shared" si="109"/>
        <v>0</v>
      </c>
      <c r="R320" s="186">
        <f t="shared" si="110"/>
        <v>0</v>
      </c>
      <c r="S320" s="186">
        <f t="shared" si="111"/>
        <v>0</v>
      </c>
      <c r="T320" s="186">
        <f t="shared" si="112"/>
        <v>0</v>
      </c>
      <c r="U320" s="186">
        <f t="shared" si="113"/>
        <v>0</v>
      </c>
      <c r="V320" s="418">
        <f t="shared" si="114"/>
        <v>52267.28</v>
      </c>
      <c r="W320" s="418">
        <f t="shared" si="115"/>
        <v>-52267.28</v>
      </c>
      <c r="X320" s="41"/>
      <c r="Y320" s="418">
        <f t="shared" si="131"/>
        <v>3951.24</v>
      </c>
      <c r="Z320" s="418">
        <f t="shared" si="122"/>
        <v>-3951.24</v>
      </c>
      <c r="AA320" s="11">
        <f t="shared" si="116"/>
        <v>0.33</v>
      </c>
      <c r="AB320" s="9">
        <f t="shared" si="123"/>
        <v>2287.56</v>
      </c>
      <c r="AC320" s="41"/>
      <c r="AD320" s="427">
        <f>IF(AH320&gt;AH319,AD319,IF(AD319&lt;MiscData!$F$1,EOMONTH(AD319,1),EOMONTH(AD319,-11)))</f>
        <v>42490</v>
      </c>
      <c r="AE320" s="414" t="str">
        <f t="shared" si="117"/>
        <v>20140101KUUM_461</v>
      </c>
      <c r="AF320" s="466" t="str">
        <f t="shared" si="118"/>
        <v>20140101RLS</v>
      </c>
      <c r="AG320" s="467"/>
      <c r="AH320" s="41">
        <f>IF(AH319=MiscData!$AB$91,1,AH319+1)</f>
        <v>55</v>
      </c>
      <c r="AI320">
        <f>IF(AD320&lt;=MiscData!$B$23,MiscData!$C$23,IF(AD320&lt;=MiscData!$B$24,MiscData!$C$24,MiscData!$C$25))</f>
        <v>20140101</v>
      </c>
      <c r="AJ320" s="41"/>
      <c r="AK320" s="468" t="str">
        <f>VLOOKUP(AM320,MiscData!$AB$4:$ACB$113,2,FALSE)</f>
        <v>KUUM_461</v>
      </c>
      <c r="AL320" s="468" t="str">
        <f>VLOOKUP(AM320,MiscData!$AB$4:$AE$115,4,FALSE)</f>
        <v>RLS</v>
      </c>
      <c r="AM320" s="469">
        <f>IF(AM319=MiscData!$AB$91,1,AM319+1)</f>
        <v>55</v>
      </c>
    </row>
    <row r="321" spans="1:39">
      <c r="A321" s="413">
        <f t="shared" si="124"/>
        <v>320</v>
      </c>
      <c r="B321" s="427" t="str">
        <f t="shared" si="126"/>
        <v>Apr 2016</v>
      </c>
      <c r="C321" s="428" t="str">
        <f t="shared" si="127"/>
        <v>LS</v>
      </c>
      <c r="D321" s="428" t="str">
        <f t="shared" si="128"/>
        <v>KUUM_462</v>
      </c>
      <c r="E321" s="425">
        <f t="shared" ref="E321:E377" si="132">SUMIFS(_1055_Light_Count,_1055_RevMonth,$B321,_1055_RateCategory,$D321)</f>
        <v>8852</v>
      </c>
      <c r="F321" s="429"/>
      <c r="G321" s="425">
        <f t="shared" ref="G321:G377" si="133">SUMIFS(_SBR_KWH,_SBR_Revenue_Month,$B321,_SBR_Rate_Category,$D321)</f>
        <v>0</v>
      </c>
      <c r="H321" s="425">
        <v>0</v>
      </c>
      <c r="I321" s="415">
        <f t="shared" si="129"/>
        <v>8.66</v>
      </c>
      <c r="J321" s="415">
        <f t="shared" si="130"/>
        <v>0.79999999999999893</v>
      </c>
      <c r="K321" s="416">
        <f t="shared" si="119"/>
        <v>76658.320000000007</v>
      </c>
      <c r="L321" s="430"/>
      <c r="M321" s="430"/>
      <c r="N321" s="186">
        <f t="shared" si="125"/>
        <v>76658.320000000007</v>
      </c>
      <c r="O321" s="431">
        <f t="shared" ref="O321:O377" si="134">U321-SUM(Q321:T321)</f>
        <v>0</v>
      </c>
      <c r="P321" s="417">
        <f t="shared" si="120"/>
        <v>0</v>
      </c>
      <c r="Q321" s="186">
        <f t="shared" ref="Q321:Q377" si="135">SUMIFS(_SBR_FAC,_SBR_Revenue_Month,$B321,_SBR_Rate_Category,$D321)</f>
        <v>0</v>
      </c>
      <c r="R321" s="186">
        <f t="shared" ref="R321:R377" si="136">SUMIFS(_SBR_DSM,_SBR_Revenue_Month,$B321,_SBR_Rate_Category,$D321)</f>
        <v>0</v>
      </c>
      <c r="S321" s="186">
        <f t="shared" ref="S321:S377" si="137">SUMIFS(_SBR_ECR,_SBR_Revenue_Month,$B321,_SBR_Rate_Category,$D321)</f>
        <v>0</v>
      </c>
      <c r="T321" s="186">
        <f t="shared" ref="T321:T377" si="138">SUMIFS(_SBR_MSR,_SBR_Revenue_Month,$B321,_SBR_Rate_Category,$D321)</f>
        <v>0</v>
      </c>
      <c r="U321" s="186">
        <f t="shared" ref="U321:U377" si="139">SUMIFS(_SBR_Revenue_Actual,_SBR_Revenue_Month,$B321,_SBR_Rate_Category,$D321)</f>
        <v>0</v>
      </c>
      <c r="V321" s="418">
        <f t="shared" ref="V321:V377" si="140">SUM(N321,Q321:T321)</f>
        <v>76658.320000000007</v>
      </c>
      <c r="W321" s="418">
        <f t="shared" ref="W321:W377" si="141">U321-V321</f>
        <v>-76658.320000000007</v>
      </c>
      <c r="X321" s="41"/>
      <c r="Y321" s="418">
        <f t="shared" si="131"/>
        <v>7081.6</v>
      </c>
      <c r="Z321" s="418">
        <f t="shared" si="122"/>
        <v>-7081.6</v>
      </c>
      <c r="AA321" s="11">
        <f t="shared" si="116"/>
        <v>0.43</v>
      </c>
      <c r="AB321" s="9">
        <f t="shared" si="123"/>
        <v>3806.36</v>
      </c>
      <c r="AC321" s="41"/>
      <c r="AD321" s="427">
        <f>IF(AH321&gt;AH320,AD320,IF(AD320&lt;MiscData!$F$1,EOMONTH(AD320,1),EOMONTH(AD320,-11)))</f>
        <v>42490</v>
      </c>
      <c r="AE321" s="414" t="str">
        <f t="shared" ref="AE321:AE377" si="142">CONCATENATE(AI321&amp;AK321)</f>
        <v>20140101KUUM_462</v>
      </c>
      <c r="AF321" s="466" t="str">
        <f t="shared" ref="AF321:AF377" si="143">CONCATENATE(AI321&amp;AL321)</f>
        <v>20140101LS</v>
      </c>
      <c r="AG321" s="467"/>
      <c r="AH321" s="41">
        <f>IF(AH320=MiscData!$AB$91,1,AH320+1)</f>
        <v>56</v>
      </c>
      <c r="AI321">
        <f>IF(AD321&lt;=MiscData!$B$23,MiscData!$C$23,IF(AD321&lt;=MiscData!$B$24,MiscData!$C$24,MiscData!$C$25))</f>
        <v>20140101</v>
      </c>
      <c r="AJ321" s="41"/>
      <c r="AK321" s="468" t="str">
        <f>VLOOKUP(AM321,MiscData!$AB$4:$ACB$113,2,FALSE)</f>
        <v>KUUM_462</v>
      </c>
      <c r="AL321" s="468" t="str">
        <f>VLOOKUP(AM321,MiscData!$AB$4:$AE$115,4,FALSE)</f>
        <v>LS</v>
      </c>
      <c r="AM321" s="469">
        <f>IF(AM320=MiscData!$AB$91,1,AM320+1)</f>
        <v>56</v>
      </c>
    </row>
    <row r="322" spans="1:39">
      <c r="A322" s="413">
        <f t="shared" si="124"/>
        <v>321</v>
      </c>
      <c r="B322" s="427" t="str">
        <f t="shared" ref="B322:B353" si="144">TEXT(AD322,"mmm yyyy")</f>
        <v>Apr 2016</v>
      </c>
      <c r="C322" s="428" t="str">
        <f t="shared" ref="C322:C353" si="145">AL322</f>
        <v>LS</v>
      </c>
      <c r="D322" s="428" t="str">
        <f t="shared" ref="D322:D353" si="146">AK322</f>
        <v>KUUM_463</v>
      </c>
      <c r="E322" s="425">
        <f t="shared" si="132"/>
        <v>19948</v>
      </c>
      <c r="F322" s="429"/>
      <c r="G322" s="425">
        <f t="shared" si="133"/>
        <v>0</v>
      </c>
      <c r="H322" s="425">
        <v>0</v>
      </c>
      <c r="I322" s="415">
        <f t="shared" ref="I322:I353" si="147">SUMIF(_Lights_Tariff_Category,$AE322,_Lights_Rates)</f>
        <v>9.14</v>
      </c>
      <c r="J322" s="415">
        <f t="shared" ref="J322:J353" si="148">SUMIF(_Lights_Tariff_Category,$AE322,_Rates_Lights_BaseFAC)</f>
        <v>1.1299999999999999</v>
      </c>
      <c r="K322" s="416">
        <f t="shared" si="119"/>
        <v>182324.72</v>
      </c>
      <c r="L322" s="430"/>
      <c r="M322" s="430"/>
      <c r="N322" s="186">
        <f t="shared" si="125"/>
        <v>182324.72</v>
      </c>
      <c r="O322" s="431">
        <f t="shared" si="134"/>
        <v>0</v>
      </c>
      <c r="P322" s="417">
        <f t="shared" si="120"/>
        <v>0</v>
      </c>
      <c r="Q322" s="186">
        <f t="shared" si="135"/>
        <v>0</v>
      </c>
      <c r="R322" s="186">
        <f t="shared" si="136"/>
        <v>0</v>
      </c>
      <c r="S322" s="186">
        <f t="shared" si="137"/>
        <v>0</v>
      </c>
      <c r="T322" s="186">
        <f t="shared" si="138"/>
        <v>0</v>
      </c>
      <c r="U322" s="186">
        <f t="shared" si="139"/>
        <v>0</v>
      </c>
      <c r="V322" s="418">
        <f t="shared" si="140"/>
        <v>182324.72</v>
      </c>
      <c r="W322" s="418">
        <f t="shared" si="141"/>
        <v>-182324.72</v>
      </c>
      <c r="X322" s="41"/>
      <c r="Y322" s="418">
        <f t="shared" si="131"/>
        <v>22541.24</v>
      </c>
      <c r="Z322" s="418">
        <f t="shared" ref="Z322:Z378" si="149">O322-Y322</f>
        <v>-22541.24</v>
      </c>
      <c r="AA322" s="11">
        <f t="shared" ref="AA322:AA385" si="150">SUMIF(_Lights_Tariff_Category,$AE322,_Rates_Lights_ECR)</f>
        <v>0.34</v>
      </c>
      <c r="AB322" s="9">
        <f t="shared" si="123"/>
        <v>6782.3200000000006</v>
      </c>
      <c r="AC322" s="41"/>
      <c r="AD322" s="427">
        <f>IF(AH322&gt;AH321,AD321,IF(AD321&lt;MiscData!$F$1,EOMONTH(AD321,1),EOMONTH(AD321,-11)))</f>
        <v>42490</v>
      </c>
      <c r="AE322" s="414" t="str">
        <f t="shared" si="142"/>
        <v>20140101KUUM_463</v>
      </c>
      <c r="AF322" s="466" t="str">
        <f t="shared" si="143"/>
        <v>20140101LS</v>
      </c>
      <c r="AG322" s="467"/>
      <c r="AH322" s="41">
        <f>IF(AH321=MiscData!$AB$91,1,AH321+1)</f>
        <v>57</v>
      </c>
      <c r="AI322">
        <f>IF(AD322&lt;=MiscData!$B$23,MiscData!$C$23,IF(AD322&lt;=MiscData!$B$24,MiscData!$C$24,MiscData!$C$25))</f>
        <v>20140101</v>
      </c>
      <c r="AJ322" s="41"/>
      <c r="AK322" s="468" t="str">
        <f>VLOOKUP(AM322,MiscData!$AB$4:$ACB$113,2,FALSE)</f>
        <v>KUUM_463</v>
      </c>
      <c r="AL322" s="468" t="str">
        <f>VLOOKUP(AM322,MiscData!$AB$4:$AE$115,4,FALSE)</f>
        <v>LS</v>
      </c>
      <c r="AM322" s="469">
        <f>IF(AM321=MiscData!$AB$91,1,AM321+1)</f>
        <v>57</v>
      </c>
    </row>
    <row r="323" spans="1:39">
      <c r="A323" s="413">
        <f t="shared" ref="A323:A379" si="151">A322+1</f>
        <v>322</v>
      </c>
      <c r="B323" s="427" t="str">
        <f t="shared" si="144"/>
        <v>Apr 2016</v>
      </c>
      <c r="C323" s="428" t="str">
        <f t="shared" si="145"/>
        <v>LS</v>
      </c>
      <c r="D323" s="428" t="str">
        <f t="shared" si="146"/>
        <v>KUUM_464</v>
      </c>
      <c r="E323" s="425">
        <f t="shared" si="132"/>
        <v>7558</v>
      </c>
      <c r="F323" s="429"/>
      <c r="G323" s="425">
        <f t="shared" si="133"/>
        <v>0</v>
      </c>
      <c r="H323" s="425">
        <v>0</v>
      </c>
      <c r="I323" s="415">
        <f t="shared" si="147"/>
        <v>14.25</v>
      </c>
      <c r="J323" s="415">
        <f t="shared" si="148"/>
        <v>2.33</v>
      </c>
      <c r="K323" s="416">
        <f t="shared" ref="K323:K386" si="152">ROUND(($E323+$F323)*$I323,2)</f>
        <v>107701.5</v>
      </c>
      <c r="L323" s="430"/>
      <c r="M323" s="430"/>
      <c r="N323" s="186">
        <f t="shared" si="125"/>
        <v>107701.5</v>
      </c>
      <c r="O323" s="431">
        <f t="shared" si="134"/>
        <v>0</v>
      </c>
      <c r="P323" s="417">
        <f t="shared" ref="P323:P386" si="153">IF(AND(N323=0,O323=0),1,IF(N323=0,0,ROUND(O323/N323,6)))</f>
        <v>0</v>
      </c>
      <c r="Q323" s="186">
        <f t="shared" si="135"/>
        <v>0</v>
      </c>
      <c r="R323" s="186">
        <f t="shared" si="136"/>
        <v>0</v>
      </c>
      <c r="S323" s="186">
        <f t="shared" si="137"/>
        <v>0</v>
      </c>
      <c r="T323" s="186">
        <f t="shared" si="138"/>
        <v>0</v>
      </c>
      <c r="U323" s="186">
        <f t="shared" si="139"/>
        <v>0</v>
      </c>
      <c r="V323" s="418">
        <f t="shared" si="140"/>
        <v>107701.5</v>
      </c>
      <c r="W323" s="418">
        <f t="shared" si="141"/>
        <v>-107701.5</v>
      </c>
      <c r="X323" s="41"/>
      <c r="Y323" s="418">
        <f t="shared" ref="Y323:Y354" si="154">ROUND(E323*J323,2)</f>
        <v>17610.14</v>
      </c>
      <c r="Z323" s="418">
        <f t="shared" si="149"/>
        <v>-17610.14</v>
      </c>
      <c r="AA323" s="11">
        <f t="shared" si="150"/>
        <v>0.57999999999999996</v>
      </c>
      <c r="AB323" s="9">
        <f t="shared" ref="AB323:AB386" si="155">E323*AA323</f>
        <v>4383.6399999999994</v>
      </c>
      <c r="AC323" s="41"/>
      <c r="AD323" s="427">
        <f>IF(AH323&gt;AH322,AD322,IF(AD322&lt;MiscData!$F$1,EOMONTH(AD322,1),EOMONTH(AD322,-11)))</f>
        <v>42490</v>
      </c>
      <c r="AE323" s="414" t="str">
        <f t="shared" si="142"/>
        <v>20140101KUUM_464</v>
      </c>
      <c r="AF323" s="466" t="str">
        <f t="shared" si="143"/>
        <v>20140101LS</v>
      </c>
      <c r="AG323" s="467"/>
      <c r="AH323" s="41">
        <f>IF(AH322=MiscData!$AB$91,1,AH322+1)</f>
        <v>58</v>
      </c>
      <c r="AI323">
        <f>IF(AD323&lt;=MiscData!$B$23,MiscData!$C$23,IF(AD323&lt;=MiscData!$B$24,MiscData!$C$24,MiscData!$C$25))</f>
        <v>20140101</v>
      </c>
      <c r="AJ323" s="41"/>
      <c r="AK323" s="468" t="str">
        <f>VLOOKUP(AM323,MiscData!$AB$4:$ACB$113,2,FALSE)</f>
        <v>KUUM_464</v>
      </c>
      <c r="AL323" s="468" t="str">
        <f>VLOOKUP(AM323,MiscData!$AB$4:$AE$115,4,FALSE)</f>
        <v>LS</v>
      </c>
      <c r="AM323" s="469">
        <f>IF(AM322=MiscData!$AB$91,1,AM322+1)</f>
        <v>58</v>
      </c>
    </row>
    <row r="324" spans="1:39">
      <c r="A324" s="413">
        <f t="shared" si="151"/>
        <v>323</v>
      </c>
      <c r="B324" s="427" t="str">
        <f t="shared" si="144"/>
        <v>Apr 2016</v>
      </c>
      <c r="C324" s="428" t="str">
        <f t="shared" si="145"/>
        <v>LS</v>
      </c>
      <c r="D324" s="428" t="str">
        <f t="shared" si="146"/>
        <v>KUUM_465</v>
      </c>
      <c r="E324" s="425">
        <f t="shared" si="132"/>
        <v>2807</v>
      </c>
      <c r="F324" s="429"/>
      <c r="G324" s="425">
        <f t="shared" si="133"/>
        <v>0</v>
      </c>
      <c r="H324" s="425">
        <v>0</v>
      </c>
      <c r="I324" s="415">
        <f t="shared" si="147"/>
        <v>22.84</v>
      </c>
      <c r="J324" s="415">
        <f t="shared" si="148"/>
        <v>4.5299999999999976</v>
      </c>
      <c r="K324" s="416">
        <f t="shared" si="152"/>
        <v>64111.88</v>
      </c>
      <c r="L324" s="430"/>
      <c r="M324" s="430"/>
      <c r="N324" s="186">
        <f t="shared" si="125"/>
        <v>64111.88</v>
      </c>
      <c r="O324" s="431">
        <f t="shared" si="134"/>
        <v>0</v>
      </c>
      <c r="P324" s="417">
        <f t="shared" si="153"/>
        <v>0</v>
      </c>
      <c r="Q324" s="186">
        <f t="shared" si="135"/>
        <v>0</v>
      </c>
      <c r="R324" s="186">
        <f t="shared" si="136"/>
        <v>0</v>
      </c>
      <c r="S324" s="186">
        <f t="shared" si="137"/>
        <v>0</v>
      </c>
      <c r="T324" s="186">
        <f t="shared" si="138"/>
        <v>0</v>
      </c>
      <c r="U324" s="186">
        <f t="shared" si="139"/>
        <v>0</v>
      </c>
      <c r="V324" s="418">
        <f t="shared" si="140"/>
        <v>64111.88</v>
      </c>
      <c r="W324" s="418">
        <f t="shared" si="141"/>
        <v>-64111.88</v>
      </c>
      <c r="X324" s="41"/>
      <c r="Y324" s="418">
        <f t="shared" si="154"/>
        <v>12715.71</v>
      </c>
      <c r="Z324" s="418">
        <f t="shared" si="149"/>
        <v>-12715.71</v>
      </c>
      <c r="AA324" s="11">
        <f t="shared" si="150"/>
        <v>0.79</v>
      </c>
      <c r="AB324" s="9">
        <f t="shared" si="155"/>
        <v>2217.5300000000002</v>
      </c>
      <c r="AC324" s="41"/>
      <c r="AD324" s="427">
        <f>IF(AH324&gt;AH323,AD323,IF(AD323&lt;MiscData!$F$1,EOMONTH(AD323,1),EOMONTH(AD323,-11)))</f>
        <v>42490</v>
      </c>
      <c r="AE324" s="414" t="str">
        <f t="shared" si="142"/>
        <v>20140101KUUM_465</v>
      </c>
      <c r="AF324" s="466" t="str">
        <f t="shared" si="143"/>
        <v>20140101LS</v>
      </c>
      <c r="AG324" s="467"/>
      <c r="AH324" s="41">
        <f>IF(AH323=MiscData!$AB$91,1,AH323+1)</f>
        <v>59</v>
      </c>
      <c r="AI324">
        <f>IF(AD324&lt;=MiscData!$B$23,MiscData!$C$23,IF(AD324&lt;=MiscData!$B$24,MiscData!$C$24,MiscData!$C$25))</f>
        <v>20140101</v>
      </c>
      <c r="AJ324" s="41"/>
      <c r="AK324" s="468" t="str">
        <f>VLOOKUP(AM324,MiscData!$AB$4:$ACB$113,2,FALSE)</f>
        <v>KUUM_465</v>
      </c>
      <c r="AL324" s="468" t="str">
        <f>VLOOKUP(AM324,MiscData!$AB$4:$AE$115,4,FALSE)</f>
        <v>LS</v>
      </c>
      <c r="AM324" s="469">
        <f>IF(AM323=MiscData!$AB$91,1,AM323+1)</f>
        <v>59</v>
      </c>
    </row>
    <row r="325" spans="1:39">
      <c r="A325" s="413">
        <f t="shared" si="151"/>
        <v>324</v>
      </c>
      <c r="B325" s="427" t="str">
        <f t="shared" si="144"/>
        <v>Apr 2016</v>
      </c>
      <c r="C325" s="428" t="str">
        <f t="shared" si="145"/>
        <v>RLS</v>
      </c>
      <c r="D325" s="428" t="str">
        <f t="shared" si="146"/>
        <v>KUUM_466</v>
      </c>
      <c r="E325" s="425">
        <f t="shared" si="132"/>
        <v>854</v>
      </c>
      <c r="F325" s="429"/>
      <c r="G325" s="425">
        <f t="shared" si="133"/>
        <v>0</v>
      </c>
      <c r="H325" s="425">
        <v>0</v>
      </c>
      <c r="I325" s="415">
        <f t="shared" si="147"/>
        <v>9.620000000000001</v>
      </c>
      <c r="J325" s="415">
        <f t="shared" si="148"/>
        <v>0.57000000000000028</v>
      </c>
      <c r="K325" s="416">
        <f t="shared" si="152"/>
        <v>8215.48</v>
      </c>
      <c r="L325" s="430"/>
      <c r="M325" s="430"/>
      <c r="N325" s="186">
        <f t="shared" si="125"/>
        <v>8215.48</v>
      </c>
      <c r="O325" s="431">
        <f t="shared" si="134"/>
        <v>0</v>
      </c>
      <c r="P325" s="417">
        <f t="shared" si="153"/>
        <v>0</v>
      </c>
      <c r="Q325" s="186">
        <f t="shared" si="135"/>
        <v>0</v>
      </c>
      <c r="R325" s="186">
        <f t="shared" si="136"/>
        <v>0</v>
      </c>
      <c r="S325" s="186">
        <f t="shared" si="137"/>
        <v>0</v>
      </c>
      <c r="T325" s="186">
        <f t="shared" si="138"/>
        <v>0</v>
      </c>
      <c r="U325" s="186">
        <f t="shared" si="139"/>
        <v>0</v>
      </c>
      <c r="V325" s="418">
        <f t="shared" si="140"/>
        <v>8215.48</v>
      </c>
      <c r="W325" s="418">
        <f t="shared" si="141"/>
        <v>-8215.48</v>
      </c>
      <c r="X325" s="41"/>
      <c r="Y325" s="418">
        <f t="shared" si="154"/>
        <v>486.78</v>
      </c>
      <c r="Z325" s="418">
        <f t="shared" si="149"/>
        <v>-486.78</v>
      </c>
      <c r="AA325" s="11">
        <f t="shared" si="150"/>
        <v>0.33</v>
      </c>
      <c r="AB325" s="9">
        <f t="shared" si="155"/>
        <v>281.82</v>
      </c>
      <c r="AC325" s="41"/>
      <c r="AD325" s="427">
        <f>IF(AH325&gt;AH324,AD324,IF(AD324&lt;MiscData!$F$1,EOMONTH(AD324,1),EOMONTH(AD324,-11)))</f>
        <v>42490</v>
      </c>
      <c r="AE325" s="414" t="str">
        <f t="shared" si="142"/>
        <v>20140101KUUM_466</v>
      </c>
      <c r="AF325" s="466" t="str">
        <f t="shared" si="143"/>
        <v>20140101RLS</v>
      </c>
      <c r="AG325" s="467"/>
      <c r="AH325" s="41">
        <f>IF(AH324=MiscData!$AB$91,1,AH324+1)</f>
        <v>60</v>
      </c>
      <c r="AI325">
        <f>IF(AD325&lt;=MiscData!$B$23,MiscData!$C$23,IF(AD325&lt;=MiscData!$B$24,MiscData!$C$24,MiscData!$C$25))</f>
        <v>20140101</v>
      </c>
      <c r="AJ325" s="41"/>
      <c r="AK325" s="468" t="str">
        <f>VLOOKUP(AM325,MiscData!$AB$4:$ACB$113,2,FALSE)</f>
        <v>KUUM_466</v>
      </c>
      <c r="AL325" s="468" t="str">
        <f>VLOOKUP(AM325,MiscData!$AB$4:$AE$115,4,FALSE)</f>
        <v>RLS</v>
      </c>
      <c r="AM325" s="469">
        <f>IF(AM324=MiscData!$AB$91,1,AM324+1)</f>
        <v>60</v>
      </c>
    </row>
    <row r="326" spans="1:39">
      <c r="A326" s="413">
        <f t="shared" si="151"/>
        <v>325</v>
      </c>
      <c r="B326" s="427" t="str">
        <f t="shared" si="144"/>
        <v>Apr 2016</v>
      </c>
      <c r="C326" s="428" t="str">
        <f t="shared" si="145"/>
        <v>LS</v>
      </c>
      <c r="D326" s="428" t="str">
        <f t="shared" si="146"/>
        <v>KUUM_467</v>
      </c>
      <c r="E326" s="425">
        <f t="shared" si="132"/>
        <v>1355</v>
      </c>
      <c r="F326" s="429"/>
      <c r="G326" s="425">
        <f t="shared" si="133"/>
        <v>0</v>
      </c>
      <c r="H326" s="425">
        <v>0</v>
      </c>
      <c r="I326" s="415">
        <f t="shared" si="147"/>
        <v>10.770000000000001</v>
      </c>
      <c r="J326" s="415">
        <f t="shared" si="148"/>
        <v>0.80000000000000071</v>
      </c>
      <c r="K326" s="416">
        <f t="shared" si="152"/>
        <v>14593.35</v>
      </c>
      <c r="L326" s="430"/>
      <c r="M326" s="430"/>
      <c r="N326" s="186">
        <f t="shared" si="125"/>
        <v>14593.35</v>
      </c>
      <c r="O326" s="431">
        <f t="shared" si="134"/>
        <v>0</v>
      </c>
      <c r="P326" s="417">
        <f t="shared" si="153"/>
        <v>0</v>
      </c>
      <c r="Q326" s="186">
        <f t="shared" si="135"/>
        <v>0</v>
      </c>
      <c r="R326" s="186">
        <f t="shared" si="136"/>
        <v>0</v>
      </c>
      <c r="S326" s="186">
        <f t="shared" si="137"/>
        <v>0</v>
      </c>
      <c r="T326" s="186">
        <f t="shared" si="138"/>
        <v>0</v>
      </c>
      <c r="U326" s="186">
        <f t="shared" si="139"/>
        <v>0</v>
      </c>
      <c r="V326" s="418">
        <f t="shared" si="140"/>
        <v>14593.35</v>
      </c>
      <c r="W326" s="418">
        <f t="shared" si="141"/>
        <v>-14593.35</v>
      </c>
      <c r="X326" s="41"/>
      <c r="Y326" s="418">
        <f t="shared" si="154"/>
        <v>1084</v>
      </c>
      <c r="Z326" s="418">
        <f t="shared" si="149"/>
        <v>-1084</v>
      </c>
      <c r="AA326" s="11">
        <f t="shared" si="150"/>
        <v>0.43</v>
      </c>
      <c r="AB326" s="9">
        <f t="shared" si="155"/>
        <v>582.65</v>
      </c>
      <c r="AC326" s="41"/>
      <c r="AD326" s="427">
        <f>IF(AH326&gt;AH325,AD325,IF(AD325&lt;MiscData!$F$1,EOMONTH(AD325,1),EOMONTH(AD325,-11)))</f>
        <v>42490</v>
      </c>
      <c r="AE326" s="414" t="str">
        <f t="shared" si="142"/>
        <v>20140101KUUM_467</v>
      </c>
      <c r="AF326" s="466" t="str">
        <f t="shared" si="143"/>
        <v>20140101LS</v>
      </c>
      <c r="AG326" s="467"/>
      <c r="AH326" s="41">
        <f>IF(AH325=MiscData!$AB$91,1,AH325+1)</f>
        <v>61</v>
      </c>
      <c r="AI326">
        <f>IF(AD326&lt;=MiscData!$B$23,MiscData!$C$23,IF(AD326&lt;=MiscData!$B$24,MiscData!$C$24,MiscData!$C$25))</f>
        <v>20140101</v>
      </c>
      <c r="AJ326" s="41"/>
      <c r="AK326" s="468" t="str">
        <f>VLOOKUP(AM326,MiscData!$AB$4:$ACB$113,2,FALSE)</f>
        <v>KUUM_467</v>
      </c>
      <c r="AL326" s="468" t="str">
        <f>VLOOKUP(AM326,MiscData!$AB$4:$AE$115,4,FALSE)</f>
        <v>LS</v>
      </c>
      <c r="AM326" s="469">
        <f>IF(AM325=MiscData!$AB$91,1,AM325+1)</f>
        <v>61</v>
      </c>
    </row>
    <row r="327" spans="1:39">
      <c r="A327" s="413">
        <f t="shared" si="151"/>
        <v>326</v>
      </c>
      <c r="B327" s="427" t="str">
        <f t="shared" si="144"/>
        <v>Apr 2016</v>
      </c>
      <c r="C327" s="428" t="str">
        <f t="shared" si="145"/>
        <v>LS</v>
      </c>
      <c r="D327" s="428" t="str">
        <f t="shared" si="146"/>
        <v>KUUM_468</v>
      </c>
      <c r="E327" s="425">
        <f t="shared" si="132"/>
        <v>4026</v>
      </c>
      <c r="F327" s="429"/>
      <c r="G327" s="425">
        <f t="shared" si="133"/>
        <v>0</v>
      </c>
      <c r="H327" s="425">
        <v>0</v>
      </c>
      <c r="I327" s="415">
        <f t="shared" si="147"/>
        <v>11.16</v>
      </c>
      <c r="J327" s="415">
        <f t="shared" si="148"/>
        <v>1.129999999999999</v>
      </c>
      <c r="K327" s="416">
        <f t="shared" si="152"/>
        <v>44930.16</v>
      </c>
      <c r="L327" s="430"/>
      <c r="M327" s="430"/>
      <c r="N327" s="186">
        <f t="shared" si="125"/>
        <v>44930.16</v>
      </c>
      <c r="O327" s="431">
        <f t="shared" si="134"/>
        <v>0</v>
      </c>
      <c r="P327" s="417">
        <f t="shared" si="153"/>
        <v>0</v>
      </c>
      <c r="Q327" s="186">
        <f t="shared" si="135"/>
        <v>0</v>
      </c>
      <c r="R327" s="186">
        <f t="shared" si="136"/>
        <v>0</v>
      </c>
      <c r="S327" s="186">
        <f t="shared" si="137"/>
        <v>0</v>
      </c>
      <c r="T327" s="186">
        <f t="shared" si="138"/>
        <v>0</v>
      </c>
      <c r="U327" s="186">
        <f t="shared" si="139"/>
        <v>0</v>
      </c>
      <c r="V327" s="418">
        <f t="shared" si="140"/>
        <v>44930.16</v>
      </c>
      <c r="W327" s="418">
        <f t="shared" si="141"/>
        <v>-44930.16</v>
      </c>
      <c r="X327" s="41"/>
      <c r="Y327" s="418">
        <f t="shared" si="154"/>
        <v>4549.38</v>
      </c>
      <c r="Z327" s="418">
        <f t="shared" si="149"/>
        <v>-4549.38</v>
      </c>
      <c r="AA327" s="11">
        <f t="shared" si="150"/>
        <v>0.34</v>
      </c>
      <c r="AB327" s="9">
        <f t="shared" si="155"/>
        <v>1368.8400000000001</v>
      </c>
      <c r="AC327" s="41"/>
      <c r="AD327" s="427">
        <f>IF(AH327&gt;AH326,AD326,IF(AD326&lt;MiscData!$F$1,EOMONTH(AD326,1),EOMONTH(AD326,-11)))</f>
        <v>42490</v>
      </c>
      <c r="AE327" s="414" t="str">
        <f t="shared" si="142"/>
        <v>20140101KUUM_468</v>
      </c>
      <c r="AF327" s="466" t="str">
        <f t="shared" si="143"/>
        <v>20140101LS</v>
      </c>
      <c r="AG327" s="467"/>
      <c r="AH327" s="41">
        <f>IF(AH326=MiscData!$AB$91,1,AH326+1)</f>
        <v>62</v>
      </c>
      <c r="AI327">
        <f>IF(AD327&lt;=MiscData!$B$23,MiscData!$C$23,IF(AD327&lt;=MiscData!$B$24,MiscData!$C$24,MiscData!$C$25))</f>
        <v>20140101</v>
      </c>
      <c r="AJ327" s="41"/>
      <c r="AK327" s="468" t="str">
        <f>VLOOKUP(AM327,MiscData!$AB$4:$ACB$113,2,FALSE)</f>
        <v>KUUM_468</v>
      </c>
      <c r="AL327" s="468" t="str">
        <f>VLOOKUP(AM327,MiscData!$AB$4:$AE$115,4,FALSE)</f>
        <v>LS</v>
      </c>
      <c r="AM327" s="469">
        <f>IF(AM326=MiscData!$AB$91,1,AM326+1)</f>
        <v>62</v>
      </c>
    </row>
    <row r="328" spans="1:39">
      <c r="A328" s="413">
        <f t="shared" si="151"/>
        <v>327</v>
      </c>
      <c r="B328" s="427" t="str">
        <f t="shared" si="144"/>
        <v>Apr 2016</v>
      </c>
      <c r="C328" s="428" t="str">
        <f t="shared" si="145"/>
        <v>RLS</v>
      </c>
      <c r="D328" s="428" t="str">
        <f t="shared" si="146"/>
        <v>KUUM_469</v>
      </c>
      <c r="E328" s="425">
        <f t="shared" si="132"/>
        <v>294</v>
      </c>
      <c r="F328" s="429"/>
      <c r="G328" s="425">
        <f t="shared" si="133"/>
        <v>0</v>
      </c>
      <c r="H328" s="425">
        <v>0</v>
      </c>
      <c r="I328" s="415">
        <f t="shared" si="147"/>
        <v>33.100000000000009</v>
      </c>
      <c r="J328" s="415">
        <f t="shared" si="148"/>
        <v>4.2900000000000063</v>
      </c>
      <c r="K328" s="416">
        <f t="shared" si="152"/>
        <v>9731.4</v>
      </c>
      <c r="L328" s="430"/>
      <c r="M328" s="430"/>
      <c r="N328" s="186">
        <f t="shared" si="125"/>
        <v>9731.4</v>
      </c>
      <c r="O328" s="431">
        <f t="shared" si="134"/>
        <v>0</v>
      </c>
      <c r="P328" s="417">
        <f t="shared" si="153"/>
        <v>0</v>
      </c>
      <c r="Q328" s="186">
        <f t="shared" si="135"/>
        <v>0</v>
      </c>
      <c r="R328" s="186">
        <f t="shared" si="136"/>
        <v>0</v>
      </c>
      <c r="S328" s="186">
        <f t="shared" si="137"/>
        <v>0</v>
      </c>
      <c r="T328" s="186">
        <f t="shared" si="138"/>
        <v>0</v>
      </c>
      <c r="U328" s="186">
        <f t="shared" si="139"/>
        <v>0</v>
      </c>
      <c r="V328" s="418">
        <f t="shared" si="140"/>
        <v>9731.4</v>
      </c>
      <c r="W328" s="418">
        <f t="shared" si="141"/>
        <v>-9731.4</v>
      </c>
      <c r="X328" s="41"/>
      <c r="Y328" s="418">
        <f t="shared" si="154"/>
        <v>1261.26</v>
      </c>
      <c r="Z328" s="418">
        <f t="shared" si="149"/>
        <v>-1261.26</v>
      </c>
      <c r="AA328" s="11">
        <f t="shared" si="150"/>
        <v>0.84</v>
      </c>
      <c r="AB328" s="9">
        <f t="shared" si="155"/>
        <v>246.95999999999998</v>
      </c>
      <c r="AC328" s="41"/>
      <c r="AD328" s="427">
        <f>IF(AH328&gt;AH327,AD327,IF(AD327&lt;MiscData!$F$1,EOMONTH(AD327,1),EOMONTH(AD327,-11)))</f>
        <v>42490</v>
      </c>
      <c r="AE328" s="414" t="str">
        <f t="shared" si="142"/>
        <v>20140101KUUM_469</v>
      </c>
      <c r="AF328" s="466" t="str">
        <f t="shared" si="143"/>
        <v>20140101RLS</v>
      </c>
      <c r="AG328" s="467"/>
      <c r="AH328" s="41">
        <f>IF(AH327=MiscData!$AB$91,1,AH327+1)</f>
        <v>63</v>
      </c>
      <c r="AI328">
        <f>IF(AD328&lt;=MiscData!$B$23,MiscData!$C$23,IF(AD328&lt;=MiscData!$B$24,MiscData!$C$24,MiscData!$C$25))</f>
        <v>20140101</v>
      </c>
      <c r="AJ328" s="41"/>
      <c r="AK328" s="468" t="str">
        <f>VLOOKUP(AM328,MiscData!$AB$4:$ACB$113,2,FALSE)</f>
        <v>KUUM_469</v>
      </c>
      <c r="AL328" s="468" t="str">
        <f>VLOOKUP(AM328,MiscData!$AB$4:$AE$115,4,FALSE)</f>
        <v>RLS</v>
      </c>
      <c r="AM328" s="469">
        <f>IF(AM327=MiscData!$AB$91,1,AM327+1)</f>
        <v>63</v>
      </c>
    </row>
    <row r="329" spans="1:39">
      <c r="A329" s="413">
        <f t="shared" si="151"/>
        <v>328</v>
      </c>
      <c r="B329" s="427" t="str">
        <f t="shared" si="144"/>
        <v>Apr 2016</v>
      </c>
      <c r="C329" s="428" t="str">
        <f t="shared" si="145"/>
        <v>RLS</v>
      </c>
      <c r="D329" s="428" t="str">
        <f t="shared" si="146"/>
        <v>KUUM_470</v>
      </c>
      <c r="E329" s="425">
        <f t="shared" si="132"/>
        <v>61</v>
      </c>
      <c r="F329" s="429"/>
      <c r="G329" s="425">
        <f t="shared" si="133"/>
        <v>0</v>
      </c>
      <c r="H329" s="425">
        <v>0</v>
      </c>
      <c r="I329" s="415">
        <f t="shared" si="147"/>
        <v>55.250000000000007</v>
      </c>
      <c r="J329" s="415">
        <f t="shared" si="148"/>
        <v>10.410000000000004</v>
      </c>
      <c r="K329" s="416">
        <f t="shared" si="152"/>
        <v>3370.25</v>
      </c>
      <c r="L329" s="430"/>
      <c r="M329" s="430"/>
      <c r="N329" s="186">
        <f t="shared" si="125"/>
        <v>3370.25</v>
      </c>
      <c r="O329" s="431">
        <f t="shared" si="134"/>
        <v>0</v>
      </c>
      <c r="P329" s="417">
        <f t="shared" si="153"/>
        <v>0</v>
      </c>
      <c r="Q329" s="186">
        <f t="shared" si="135"/>
        <v>0</v>
      </c>
      <c r="R329" s="186">
        <f t="shared" si="136"/>
        <v>0</v>
      </c>
      <c r="S329" s="186">
        <f t="shared" si="137"/>
        <v>0</v>
      </c>
      <c r="T329" s="186">
        <f t="shared" si="138"/>
        <v>0</v>
      </c>
      <c r="U329" s="186">
        <f t="shared" si="139"/>
        <v>0</v>
      </c>
      <c r="V329" s="418">
        <f t="shared" si="140"/>
        <v>3370.25</v>
      </c>
      <c r="W329" s="418">
        <f t="shared" si="141"/>
        <v>-3370.25</v>
      </c>
      <c r="X329" s="41"/>
      <c r="Y329" s="418">
        <f t="shared" si="154"/>
        <v>635.01</v>
      </c>
      <c r="Z329" s="418">
        <f t="shared" si="149"/>
        <v>-635.01</v>
      </c>
      <c r="AA329" s="11">
        <f t="shared" si="150"/>
        <v>1.7</v>
      </c>
      <c r="AB329" s="9">
        <f t="shared" si="155"/>
        <v>103.7</v>
      </c>
      <c r="AC329" s="41"/>
      <c r="AD329" s="427">
        <f>IF(AH329&gt;AH328,AD328,IF(AD328&lt;MiscData!$F$1,EOMONTH(AD328,1),EOMONTH(AD328,-11)))</f>
        <v>42490</v>
      </c>
      <c r="AE329" s="414" t="str">
        <f t="shared" si="142"/>
        <v>20140101KUUM_470</v>
      </c>
      <c r="AF329" s="466" t="str">
        <f t="shared" si="143"/>
        <v>20140101RLS</v>
      </c>
      <c r="AG329" s="467"/>
      <c r="AH329" s="41">
        <f>IF(AH328=MiscData!$AB$91,1,AH328+1)</f>
        <v>64</v>
      </c>
      <c r="AI329">
        <f>IF(AD329&lt;=MiscData!$B$23,MiscData!$C$23,IF(AD329&lt;=MiscData!$B$24,MiscData!$C$24,MiscData!$C$25))</f>
        <v>20140101</v>
      </c>
      <c r="AJ329" s="41"/>
      <c r="AK329" s="468" t="str">
        <f>VLOOKUP(AM329,MiscData!$AB$4:$ACB$113,2,FALSE)</f>
        <v>KUUM_470</v>
      </c>
      <c r="AL329" s="468" t="str">
        <f>VLOOKUP(AM329,MiscData!$AB$4:$AE$115,4,FALSE)</f>
        <v>RLS</v>
      </c>
      <c r="AM329" s="469">
        <f>IF(AM328=MiscData!$AB$91,1,AM328+1)</f>
        <v>64</v>
      </c>
    </row>
    <row r="330" spans="1:39">
      <c r="A330" s="413">
        <f t="shared" si="151"/>
        <v>329</v>
      </c>
      <c r="B330" s="427" t="str">
        <f t="shared" si="144"/>
        <v>Apr 2016</v>
      </c>
      <c r="C330" s="428" t="str">
        <f t="shared" si="145"/>
        <v>RLS</v>
      </c>
      <c r="D330" s="428" t="str">
        <f t="shared" si="146"/>
        <v>KUUM_471</v>
      </c>
      <c r="E330" s="425">
        <f t="shared" si="132"/>
        <v>3667</v>
      </c>
      <c r="F330" s="429"/>
      <c r="G330" s="425">
        <f t="shared" si="133"/>
        <v>0</v>
      </c>
      <c r="H330" s="425">
        <v>0</v>
      </c>
      <c r="I330" s="415">
        <f t="shared" si="147"/>
        <v>10.49</v>
      </c>
      <c r="J330" s="415">
        <f t="shared" si="148"/>
        <v>0.56999999999999851</v>
      </c>
      <c r="K330" s="416">
        <f t="shared" si="152"/>
        <v>38466.83</v>
      </c>
      <c r="L330" s="430"/>
      <c r="M330" s="430"/>
      <c r="N330" s="186">
        <f t="shared" si="125"/>
        <v>38466.83</v>
      </c>
      <c r="O330" s="431">
        <f t="shared" si="134"/>
        <v>0</v>
      </c>
      <c r="P330" s="417">
        <f t="shared" si="153"/>
        <v>0</v>
      </c>
      <c r="Q330" s="186">
        <f t="shared" si="135"/>
        <v>0</v>
      </c>
      <c r="R330" s="186">
        <f t="shared" si="136"/>
        <v>0</v>
      </c>
      <c r="S330" s="186">
        <f t="shared" si="137"/>
        <v>0</v>
      </c>
      <c r="T330" s="186">
        <f t="shared" si="138"/>
        <v>0</v>
      </c>
      <c r="U330" s="186">
        <f t="shared" si="139"/>
        <v>0</v>
      </c>
      <c r="V330" s="418">
        <f t="shared" si="140"/>
        <v>38466.83</v>
      </c>
      <c r="W330" s="418">
        <f t="shared" si="141"/>
        <v>-38466.83</v>
      </c>
      <c r="X330" s="41"/>
      <c r="Y330" s="418">
        <f t="shared" si="154"/>
        <v>2090.19</v>
      </c>
      <c r="Z330" s="418">
        <f t="shared" si="149"/>
        <v>-2090.19</v>
      </c>
      <c r="AA330" s="11">
        <f t="shared" si="150"/>
        <v>0.33</v>
      </c>
      <c r="AB330" s="9">
        <f t="shared" si="155"/>
        <v>1210.1100000000001</v>
      </c>
      <c r="AC330" s="41"/>
      <c r="AD330" s="427">
        <f>IF(AH330&gt;AH329,AD329,IF(AD329&lt;MiscData!$F$1,EOMONTH(AD329,1),EOMONTH(AD329,-11)))</f>
        <v>42490</v>
      </c>
      <c r="AE330" s="414" t="str">
        <f t="shared" si="142"/>
        <v>20140101KUUM_471</v>
      </c>
      <c r="AF330" s="466" t="str">
        <f t="shared" si="143"/>
        <v>20140101RLS</v>
      </c>
      <c r="AG330" s="467"/>
      <c r="AH330" s="41">
        <f>IF(AH329=MiscData!$AB$91,1,AH329+1)</f>
        <v>65</v>
      </c>
      <c r="AI330">
        <f>IF(AD330&lt;=MiscData!$B$23,MiscData!$C$23,IF(AD330&lt;=MiscData!$B$24,MiscData!$C$24,MiscData!$C$25))</f>
        <v>20140101</v>
      </c>
      <c r="AJ330" s="41"/>
      <c r="AK330" s="468" t="str">
        <f>VLOOKUP(AM330,MiscData!$AB$4:$ACB$113,2,FALSE)</f>
        <v>KUUM_471</v>
      </c>
      <c r="AL330" s="468" t="str">
        <f>VLOOKUP(AM330,MiscData!$AB$4:$AE$115,4,FALSE)</f>
        <v>RLS</v>
      </c>
      <c r="AM330" s="469">
        <f>IF(AM329=MiscData!$AB$91,1,AM329+1)</f>
        <v>65</v>
      </c>
    </row>
    <row r="331" spans="1:39">
      <c r="A331" s="413">
        <f t="shared" si="151"/>
        <v>330</v>
      </c>
      <c r="B331" s="427" t="str">
        <f t="shared" si="144"/>
        <v>Apr 2016</v>
      </c>
      <c r="C331" s="428" t="str">
        <f t="shared" si="145"/>
        <v>LS</v>
      </c>
      <c r="D331" s="428" t="str">
        <f t="shared" si="146"/>
        <v>KUUM_472</v>
      </c>
      <c r="E331" s="425">
        <f t="shared" si="132"/>
        <v>8745</v>
      </c>
      <c r="F331" s="429"/>
      <c r="G331" s="425">
        <f t="shared" si="133"/>
        <v>0</v>
      </c>
      <c r="H331" s="425">
        <v>0</v>
      </c>
      <c r="I331" s="415">
        <f t="shared" si="147"/>
        <v>11.600000000000001</v>
      </c>
      <c r="J331" s="415">
        <f t="shared" si="148"/>
        <v>0.80000000000000071</v>
      </c>
      <c r="K331" s="416">
        <f t="shared" si="152"/>
        <v>101442</v>
      </c>
      <c r="L331" s="430"/>
      <c r="M331" s="430"/>
      <c r="N331" s="186">
        <f t="shared" si="125"/>
        <v>101442</v>
      </c>
      <c r="O331" s="431">
        <f t="shared" si="134"/>
        <v>0</v>
      </c>
      <c r="P331" s="417">
        <f t="shared" si="153"/>
        <v>0</v>
      </c>
      <c r="Q331" s="186">
        <f t="shared" si="135"/>
        <v>0</v>
      </c>
      <c r="R331" s="186">
        <f t="shared" si="136"/>
        <v>0</v>
      </c>
      <c r="S331" s="186">
        <f t="shared" si="137"/>
        <v>0</v>
      </c>
      <c r="T331" s="186">
        <f t="shared" si="138"/>
        <v>0</v>
      </c>
      <c r="U331" s="186">
        <f t="shared" si="139"/>
        <v>0</v>
      </c>
      <c r="V331" s="418">
        <f t="shared" si="140"/>
        <v>101442</v>
      </c>
      <c r="W331" s="418">
        <f t="shared" si="141"/>
        <v>-101442</v>
      </c>
      <c r="X331" s="41"/>
      <c r="Y331" s="418">
        <f t="shared" si="154"/>
        <v>6996</v>
      </c>
      <c r="Z331" s="418">
        <f t="shared" si="149"/>
        <v>-6996</v>
      </c>
      <c r="AA331" s="11">
        <f t="shared" si="150"/>
        <v>0.43</v>
      </c>
      <c r="AB331" s="9">
        <f t="shared" si="155"/>
        <v>3760.35</v>
      </c>
      <c r="AC331" s="41"/>
      <c r="AD331" s="427">
        <f>IF(AH331&gt;AH330,AD330,IF(AD330&lt;MiscData!$F$1,EOMONTH(AD330,1),EOMONTH(AD330,-11)))</f>
        <v>42490</v>
      </c>
      <c r="AE331" s="414" t="str">
        <f t="shared" si="142"/>
        <v>20140101KUUM_472</v>
      </c>
      <c r="AF331" s="466" t="str">
        <f t="shared" si="143"/>
        <v>20140101LS</v>
      </c>
      <c r="AG331" s="467"/>
      <c r="AH331" s="41">
        <f>IF(AH330=MiscData!$AB$91,1,AH330+1)</f>
        <v>66</v>
      </c>
      <c r="AI331">
        <f>IF(AD331&lt;=MiscData!$B$23,MiscData!$C$23,IF(AD331&lt;=MiscData!$B$24,MiscData!$C$24,MiscData!$C$25))</f>
        <v>20140101</v>
      </c>
      <c r="AJ331" s="41"/>
      <c r="AK331" s="468" t="str">
        <f>VLOOKUP(AM331,MiscData!$AB$4:$ACB$113,2,FALSE)</f>
        <v>KUUM_472</v>
      </c>
      <c r="AL331" s="468" t="str">
        <f>VLOOKUP(AM331,MiscData!$AB$4:$AE$115,4,FALSE)</f>
        <v>LS</v>
      </c>
      <c r="AM331" s="469">
        <f>IF(AM330=MiscData!$AB$91,1,AM330+1)</f>
        <v>66</v>
      </c>
    </row>
    <row r="332" spans="1:39">
      <c r="A332" s="413">
        <f t="shared" si="151"/>
        <v>331</v>
      </c>
      <c r="B332" s="427" t="str">
        <f t="shared" si="144"/>
        <v>Apr 2016</v>
      </c>
      <c r="C332" s="428" t="str">
        <f t="shared" si="145"/>
        <v>LS</v>
      </c>
      <c r="D332" s="428" t="str">
        <f t="shared" si="146"/>
        <v>KUUM_473</v>
      </c>
      <c r="E332" s="425">
        <f t="shared" si="132"/>
        <v>3397</v>
      </c>
      <c r="F332" s="429"/>
      <c r="G332" s="425">
        <f t="shared" si="133"/>
        <v>0</v>
      </c>
      <c r="H332" s="425">
        <v>0</v>
      </c>
      <c r="I332" s="415">
        <f t="shared" si="147"/>
        <v>12.3</v>
      </c>
      <c r="J332" s="415">
        <f t="shared" si="148"/>
        <v>1.129999999999999</v>
      </c>
      <c r="K332" s="416">
        <f t="shared" si="152"/>
        <v>41783.1</v>
      </c>
      <c r="L332" s="430"/>
      <c r="M332" s="430"/>
      <c r="N332" s="186">
        <f t="shared" si="125"/>
        <v>41783.1</v>
      </c>
      <c r="O332" s="431">
        <f t="shared" si="134"/>
        <v>0</v>
      </c>
      <c r="P332" s="417">
        <f t="shared" si="153"/>
        <v>0</v>
      </c>
      <c r="Q332" s="186">
        <f t="shared" si="135"/>
        <v>0</v>
      </c>
      <c r="R332" s="186">
        <f t="shared" si="136"/>
        <v>0</v>
      </c>
      <c r="S332" s="186">
        <f t="shared" si="137"/>
        <v>0</v>
      </c>
      <c r="T332" s="186">
        <f t="shared" si="138"/>
        <v>0</v>
      </c>
      <c r="U332" s="186">
        <f t="shared" si="139"/>
        <v>0</v>
      </c>
      <c r="V332" s="418">
        <f t="shared" si="140"/>
        <v>41783.1</v>
      </c>
      <c r="W332" s="418">
        <f t="shared" si="141"/>
        <v>-41783.1</v>
      </c>
      <c r="X332" s="41"/>
      <c r="Y332" s="418">
        <f t="shared" si="154"/>
        <v>3838.61</v>
      </c>
      <c r="Z332" s="418">
        <f t="shared" si="149"/>
        <v>-3838.61</v>
      </c>
      <c r="AA332" s="11">
        <f t="shared" si="150"/>
        <v>0.34</v>
      </c>
      <c r="AB332" s="9">
        <f t="shared" si="155"/>
        <v>1154.98</v>
      </c>
      <c r="AC332" s="41"/>
      <c r="AD332" s="427">
        <f>IF(AH332&gt;AH331,AD331,IF(AD331&lt;MiscData!$F$1,EOMONTH(AD331,1),EOMONTH(AD331,-11)))</f>
        <v>42490</v>
      </c>
      <c r="AE332" s="414" t="str">
        <f t="shared" si="142"/>
        <v>20140101KUUM_473</v>
      </c>
      <c r="AF332" s="466" t="str">
        <f t="shared" si="143"/>
        <v>20140101LS</v>
      </c>
      <c r="AG332" s="467"/>
      <c r="AH332" s="41">
        <f>IF(AH331=MiscData!$AB$91,1,AH331+1)</f>
        <v>67</v>
      </c>
      <c r="AI332">
        <f>IF(AD332&lt;=MiscData!$B$23,MiscData!$C$23,IF(AD332&lt;=MiscData!$B$24,MiscData!$C$24,MiscData!$C$25))</f>
        <v>20140101</v>
      </c>
      <c r="AJ332" s="41"/>
      <c r="AK332" s="468" t="str">
        <f>VLOOKUP(AM332,MiscData!$AB$4:$ACB$113,2,FALSE)</f>
        <v>KUUM_473</v>
      </c>
      <c r="AL332" s="468" t="str">
        <f>VLOOKUP(AM332,MiscData!$AB$4:$AE$115,4,FALSE)</f>
        <v>LS</v>
      </c>
      <c r="AM332" s="469">
        <f>IF(AM331=MiscData!$AB$91,1,AM331+1)</f>
        <v>67</v>
      </c>
    </row>
    <row r="333" spans="1:39">
      <c r="A333" s="413">
        <f t="shared" si="151"/>
        <v>332</v>
      </c>
      <c r="B333" s="427" t="str">
        <f t="shared" si="144"/>
        <v>Apr 2016</v>
      </c>
      <c r="C333" s="428" t="str">
        <f t="shared" si="145"/>
        <v>LS</v>
      </c>
      <c r="D333" s="428" t="str">
        <f t="shared" si="146"/>
        <v>KUUM_474</v>
      </c>
      <c r="E333" s="425">
        <f t="shared" si="132"/>
        <v>5168</v>
      </c>
      <c r="F333" s="429"/>
      <c r="G333" s="425">
        <f t="shared" si="133"/>
        <v>0</v>
      </c>
      <c r="H333" s="425">
        <v>0</v>
      </c>
      <c r="I333" s="415">
        <f t="shared" si="147"/>
        <v>17.41</v>
      </c>
      <c r="J333" s="415">
        <f t="shared" si="148"/>
        <v>2.33</v>
      </c>
      <c r="K333" s="416">
        <f t="shared" si="152"/>
        <v>89974.88</v>
      </c>
      <c r="L333" s="430"/>
      <c r="M333" s="430"/>
      <c r="N333" s="186">
        <f t="shared" si="125"/>
        <v>89974.88</v>
      </c>
      <c r="O333" s="431">
        <f t="shared" si="134"/>
        <v>0</v>
      </c>
      <c r="P333" s="417">
        <f t="shared" si="153"/>
        <v>0</v>
      </c>
      <c r="Q333" s="186">
        <f t="shared" si="135"/>
        <v>0</v>
      </c>
      <c r="R333" s="186">
        <f t="shared" si="136"/>
        <v>0</v>
      </c>
      <c r="S333" s="186">
        <f t="shared" si="137"/>
        <v>0</v>
      </c>
      <c r="T333" s="186">
        <f t="shared" si="138"/>
        <v>0</v>
      </c>
      <c r="U333" s="186">
        <f t="shared" si="139"/>
        <v>0</v>
      </c>
      <c r="V333" s="418">
        <f t="shared" si="140"/>
        <v>89974.88</v>
      </c>
      <c r="W333" s="418">
        <f t="shared" si="141"/>
        <v>-89974.88</v>
      </c>
      <c r="X333" s="41"/>
      <c r="Y333" s="418">
        <f t="shared" si="154"/>
        <v>12041.44</v>
      </c>
      <c r="Z333" s="418">
        <f t="shared" si="149"/>
        <v>-12041.44</v>
      </c>
      <c r="AA333" s="11">
        <f t="shared" si="150"/>
        <v>0.57999999999999996</v>
      </c>
      <c r="AB333" s="9">
        <f t="shared" si="155"/>
        <v>2997.4399999999996</v>
      </c>
      <c r="AC333" s="41"/>
      <c r="AD333" s="427">
        <f>IF(AH333&gt;AH332,AD332,IF(AD332&lt;MiscData!$F$1,EOMONTH(AD332,1),EOMONTH(AD332,-11)))</f>
        <v>42490</v>
      </c>
      <c r="AE333" s="414" t="str">
        <f t="shared" si="142"/>
        <v>20140101KUUM_474</v>
      </c>
      <c r="AF333" s="466" t="str">
        <f t="shared" si="143"/>
        <v>20140101LS</v>
      </c>
      <c r="AG333" s="467"/>
      <c r="AH333" s="41">
        <f>IF(AH332=MiscData!$AB$91,1,AH332+1)</f>
        <v>68</v>
      </c>
      <c r="AI333">
        <f>IF(AD333&lt;=MiscData!$B$23,MiscData!$C$23,IF(AD333&lt;=MiscData!$B$24,MiscData!$C$24,MiscData!$C$25))</f>
        <v>20140101</v>
      </c>
      <c r="AJ333" s="41"/>
      <c r="AK333" s="468" t="str">
        <f>VLOOKUP(AM333,MiscData!$AB$4:$ACB$113,2,FALSE)</f>
        <v>KUUM_474</v>
      </c>
      <c r="AL333" s="468" t="str">
        <f>VLOOKUP(AM333,MiscData!$AB$4:$AE$115,4,FALSE)</f>
        <v>LS</v>
      </c>
      <c r="AM333" s="469">
        <f>IF(AM332=MiscData!$AB$91,1,AM332+1)</f>
        <v>68</v>
      </c>
    </row>
    <row r="334" spans="1:39">
      <c r="A334" s="413">
        <f t="shared" si="151"/>
        <v>333</v>
      </c>
      <c r="B334" s="427" t="str">
        <f t="shared" si="144"/>
        <v>Apr 2016</v>
      </c>
      <c r="C334" s="428" t="str">
        <f t="shared" si="145"/>
        <v>LS</v>
      </c>
      <c r="D334" s="428" t="str">
        <f t="shared" si="146"/>
        <v>KUUM_475</v>
      </c>
      <c r="E334" s="425">
        <f t="shared" si="132"/>
        <v>515</v>
      </c>
      <c r="F334" s="429"/>
      <c r="G334" s="425">
        <f t="shared" si="133"/>
        <v>0</v>
      </c>
      <c r="H334" s="425">
        <v>0</v>
      </c>
      <c r="I334" s="415">
        <f t="shared" si="147"/>
        <v>24.46</v>
      </c>
      <c r="J334" s="415">
        <f t="shared" si="148"/>
        <v>4.5300000000000011</v>
      </c>
      <c r="K334" s="416">
        <f t="shared" si="152"/>
        <v>12596.9</v>
      </c>
      <c r="L334" s="430"/>
      <c r="M334" s="430"/>
      <c r="N334" s="186">
        <f t="shared" si="125"/>
        <v>12596.9</v>
      </c>
      <c r="O334" s="431">
        <f t="shared" si="134"/>
        <v>0</v>
      </c>
      <c r="P334" s="417">
        <f t="shared" si="153"/>
        <v>0</v>
      </c>
      <c r="Q334" s="186">
        <f t="shared" si="135"/>
        <v>0</v>
      </c>
      <c r="R334" s="186">
        <f t="shared" si="136"/>
        <v>0</v>
      </c>
      <c r="S334" s="186">
        <f t="shared" si="137"/>
        <v>0</v>
      </c>
      <c r="T334" s="186">
        <f t="shared" si="138"/>
        <v>0</v>
      </c>
      <c r="U334" s="186">
        <f t="shared" si="139"/>
        <v>0</v>
      </c>
      <c r="V334" s="418">
        <f t="shared" si="140"/>
        <v>12596.9</v>
      </c>
      <c r="W334" s="418">
        <f t="shared" si="141"/>
        <v>-12596.9</v>
      </c>
      <c r="X334" s="41"/>
      <c r="Y334" s="418">
        <f t="shared" si="154"/>
        <v>2332.9499999999998</v>
      </c>
      <c r="Z334" s="418">
        <f t="shared" si="149"/>
        <v>-2332.9499999999998</v>
      </c>
      <c r="AA334" s="11">
        <f t="shared" si="150"/>
        <v>0.79</v>
      </c>
      <c r="AB334" s="9">
        <f t="shared" si="155"/>
        <v>406.85</v>
      </c>
      <c r="AC334" s="41"/>
      <c r="AD334" s="427">
        <f>IF(AH334&gt;AH333,AD333,IF(AD333&lt;MiscData!$F$1,EOMONTH(AD333,1),EOMONTH(AD333,-11)))</f>
        <v>42490</v>
      </c>
      <c r="AE334" s="414" t="str">
        <f t="shared" si="142"/>
        <v>20140101KUUM_475</v>
      </c>
      <c r="AF334" s="466" t="str">
        <f t="shared" si="143"/>
        <v>20140101LS</v>
      </c>
      <c r="AG334" s="467"/>
      <c r="AH334" s="41">
        <f>IF(AH333=MiscData!$AB$91,1,AH333+1)</f>
        <v>69</v>
      </c>
      <c r="AI334">
        <f>IF(AD334&lt;=MiscData!$B$23,MiscData!$C$23,IF(AD334&lt;=MiscData!$B$24,MiscData!$C$24,MiscData!$C$25))</f>
        <v>20140101</v>
      </c>
      <c r="AJ334" s="41"/>
      <c r="AK334" s="468" t="str">
        <f>VLOOKUP(AM334,MiscData!$AB$4:$ACB$113,2,FALSE)</f>
        <v>KUUM_475</v>
      </c>
      <c r="AL334" s="468" t="str">
        <f>VLOOKUP(AM334,MiscData!$AB$4:$AE$115,4,FALSE)</f>
        <v>LS</v>
      </c>
      <c r="AM334" s="469">
        <f>IF(AM333=MiscData!$AB$91,1,AM333+1)</f>
        <v>69</v>
      </c>
    </row>
    <row r="335" spans="1:39">
      <c r="A335" s="413">
        <f t="shared" si="151"/>
        <v>334</v>
      </c>
      <c r="B335" s="427" t="str">
        <f t="shared" si="144"/>
        <v>Apr 2016</v>
      </c>
      <c r="C335" s="428" t="str">
        <f t="shared" si="145"/>
        <v>LS</v>
      </c>
      <c r="D335" s="428" t="str">
        <f t="shared" si="146"/>
        <v>KUUM_476</v>
      </c>
      <c r="E335" s="425">
        <f t="shared" si="132"/>
        <v>4570</v>
      </c>
      <c r="F335" s="429"/>
      <c r="G335" s="425">
        <f t="shared" si="133"/>
        <v>0</v>
      </c>
      <c r="H335" s="425">
        <v>0</v>
      </c>
      <c r="I335" s="415">
        <f t="shared" si="147"/>
        <v>16.79</v>
      </c>
      <c r="J335" s="415">
        <f t="shared" si="148"/>
        <v>0.79999999999999893</v>
      </c>
      <c r="K335" s="416">
        <f t="shared" si="152"/>
        <v>76730.3</v>
      </c>
      <c r="L335" s="430"/>
      <c r="M335" s="430"/>
      <c r="N335" s="186">
        <f t="shared" si="125"/>
        <v>76730.3</v>
      </c>
      <c r="O335" s="431">
        <f t="shared" si="134"/>
        <v>0</v>
      </c>
      <c r="P335" s="417">
        <f t="shared" si="153"/>
        <v>0</v>
      </c>
      <c r="Q335" s="186">
        <f t="shared" si="135"/>
        <v>0</v>
      </c>
      <c r="R335" s="186">
        <f t="shared" si="136"/>
        <v>0</v>
      </c>
      <c r="S335" s="186">
        <f t="shared" si="137"/>
        <v>0</v>
      </c>
      <c r="T335" s="186">
        <f t="shared" si="138"/>
        <v>0</v>
      </c>
      <c r="U335" s="186">
        <f t="shared" si="139"/>
        <v>0</v>
      </c>
      <c r="V335" s="418">
        <f t="shared" si="140"/>
        <v>76730.3</v>
      </c>
      <c r="W335" s="418">
        <f t="shared" si="141"/>
        <v>-76730.3</v>
      </c>
      <c r="X335" s="41"/>
      <c r="Y335" s="418">
        <f t="shared" si="154"/>
        <v>3656</v>
      </c>
      <c r="Z335" s="418">
        <f t="shared" si="149"/>
        <v>-3656</v>
      </c>
      <c r="AA335" s="11">
        <f t="shared" si="150"/>
        <v>0.43</v>
      </c>
      <c r="AB335" s="9">
        <f t="shared" si="155"/>
        <v>1965.1</v>
      </c>
      <c r="AC335" s="41"/>
      <c r="AD335" s="427">
        <f>IF(AH335&gt;AH334,AD334,IF(AD334&lt;MiscData!$F$1,EOMONTH(AD334,1),EOMONTH(AD334,-11)))</f>
        <v>42490</v>
      </c>
      <c r="AE335" s="414" t="str">
        <f t="shared" si="142"/>
        <v>20140101KUUM_476</v>
      </c>
      <c r="AF335" s="466" t="str">
        <f t="shared" si="143"/>
        <v>20140101LS</v>
      </c>
      <c r="AG335" s="467"/>
      <c r="AH335" s="41">
        <f>IF(AH334=MiscData!$AB$91,1,AH334+1)</f>
        <v>70</v>
      </c>
      <c r="AI335">
        <f>IF(AD335&lt;=MiscData!$B$23,MiscData!$C$23,IF(AD335&lt;=MiscData!$B$24,MiscData!$C$24,MiscData!$C$25))</f>
        <v>20140101</v>
      </c>
      <c r="AJ335" s="41"/>
      <c r="AK335" s="468" t="str">
        <f>VLOOKUP(AM335,MiscData!$AB$4:$ACB$113,2,FALSE)</f>
        <v>KUUM_476</v>
      </c>
      <c r="AL335" s="468" t="str">
        <f>VLOOKUP(AM335,MiscData!$AB$4:$AE$115,4,FALSE)</f>
        <v>LS</v>
      </c>
      <c r="AM335" s="469">
        <f>IF(AM334=MiscData!$AB$91,1,AM334+1)</f>
        <v>70</v>
      </c>
    </row>
    <row r="336" spans="1:39">
      <c r="A336" s="413">
        <f t="shared" si="151"/>
        <v>335</v>
      </c>
      <c r="B336" s="427" t="str">
        <f t="shared" si="144"/>
        <v>Apr 2016</v>
      </c>
      <c r="C336" s="428" t="str">
        <f t="shared" si="145"/>
        <v>LS</v>
      </c>
      <c r="D336" s="428" t="str">
        <f t="shared" si="146"/>
        <v>KUUM_477</v>
      </c>
      <c r="E336" s="425">
        <f t="shared" si="132"/>
        <v>1063</v>
      </c>
      <c r="F336" s="429"/>
      <c r="G336" s="425">
        <f t="shared" si="133"/>
        <v>0</v>
      </c>
      <c r="H336" s="425">
        <v>0</v>
      </c>
      <c r="I336" s="415">
        <f t="shared" si="147"/>
        <v>20.97</v>
      </c>
      <c r="J336" s="415">
        <f t="shared" si="148"/>
        <v>1.129999999999999</v>
      </c>
      <c r="K336" s="416">
        <f t="shared" si="152"/>
        <v>22291.11</v>
      </c>
      <c r="L336" s="430"/>
      <c r="M336" s="430"/>
      <c r="N336" s="186">
        <f t="shared" si="125"/>
        <v>22291.11</v>
      </c>
      <c r="O336" s="431">
        <f t="shared" si="134"/>
        <v>0</v>
      </c>
      <c r="P336" s="417">
        <f t="shared" si="153"/>
        <v>0</v>
      </c>
      <c r="Q336" s="186">
        <f t="shared" si="135"/>
        <v>0</v>
      </c>
      <c r="R336" s="186">
        <f t="shared" si="136"/>
        <v>0</v>
      </c>
      <c r="S336" s="186">
        <f t="shared" si="137"/>
        <v>0</v>
      </c>
      <c r="T336" s="186">
        <f t="shared" si="138"/>
        <v>0</v>
      </c>
      <c r="U336" s="186">
        <f t="shared" si="139"/>
        <v>0</v>
      </c>
      <c r="V336" s="418">
        <f t="shared" si="140"/>
        <v>22291.11</v>
      </c>
      <c r="W336" s="418">
        <f t="shared" si="141"/>
        <v>-22291.11</v>
      </c>
      <c r="X336" s="41"/>
      <c r="Y336" s="418">
        <f t="shared" si="154"/>
        <v>1201.19</v>
      </c>
      <c r="Z336" s="418">
        <f t="shared" si="149"/>
        <v>-1201.19</v>
      </c>
      <c r="AA336" s="11">
        <f t="shared" si="150"/>
        <v>0.34</v>
      </c>
      <c r="AB336" s="9">
        <f t="shared" si="155"/>
        <v>361.42</v>
      </c>
      <c r="AC336" s="41"/>
      <c r="AD336" s="427">
        <f>IF(AH336&gt;AH335,AD335,IF(AD335&lt;MiscData!$F$1,EOMONTH(AD335,1),EOMONTH(AD335,-11)))</f>
        <v>42490</v>
      </c>
      <c r="AE336" s="414" t="str">
        <f t="shared" si="142"/>
        <v>20140101KUUM_477</v>
      </c>
      <c r="AF336" s="466" t="str">
        <f t="shared" si="143"/>
        <v>20140101LS</v>
      </c>
      <c r="AG336" s="467"/>
      <c r="AH336" s="41">
        <f>IF(AH335=MiscData!$AB$91,1,AH335+1)</f>
        <v>71</v>
      </c>
      <c r="AI336">
        <f>IF(AD336&lt;=MiscData!$B$23,MiscData!$C$23,IF(AD336&lt;=MiscData!$B$24,MiscData!$C$24,MiscData!$C$25))</f>
        <v>20140101</v>
      </c>
      <c r="AJ336" s="41"/>
      <c r="AK336" s="468" t="str">
        <f>VLOOKUP(AM336,MiscData!$AB$4:$ACB$113,2,FALSE)</f>
        <v>KUUM_477</v>
      </c>
      <c r="AL336" s="468" t="str">
        <f>VLOOKUP(AM336,MiscData!$AB$4:$AE$115,4,FALSE)</f>
        <v>LS</v>
      </c>
      <c r="AM336" s="469">
        <f>IF(AM335=MiscData!$AB$91,1,AM335+1)</f>
        <v>71</v>
      </c>
    </row>
    <row r="337" spans="1:39">
      <c r="A337" s="413">
        <f t="shared" si="151"/>
        <v>336</v>
      </c>
      <c r="B337" s="427" t="str">
        <f t="shared" si="144"/>
        <v>Apr 2016</v>
      </c>
      <c r="C337" s="428" t="str">
        <f t="shared" si="145"/>
        <v>LS</v>
      </c>
      <c r="D337" s="428" t="str">
        <f t="shared" si="146"/>
        <v>KUUM_478</v>
      </c>
      <c r="E337" s="425">
        <f t="shared" si="132"/>
        <v>1411</v>
      </c>
      <c r="F337" s="429"/>
      <c r="G337" s="425">
        <f t="shared" si="133"/>
        <v>0</v>
      </c>
      <c r="H337" s="425">
        <v>24</v>
      </c>
      <c r="I337" s="415">
        <f t="shared" si="147"/>
        <v>26.86</v>
      </c>
      <c r="J337" s="415">
        <f t="shared" si="148"/>
        <v>2.3299999999999983</v>
      </c>
      <c r="K337" s="416">
        <f t="shared" si="152"/>
        <v>37899.46</v>
      </c>
      <c r="L337" s="430"/>
      <c r="M337" s="430"/>
      <c r="N337" s="186">
        <f t="shared" si="125"/>
        <v>37899.46</v>
      </c>
      <c r="O337" s="431">
        <f t="shared" si="134"/>
        <v>0</v>
      </c>
      <c r="P337" s="417">
        <f t="shared" si="153"/>
        <v>0</v>
      </c>
      <c r="Q337" s="186">
        <f t="shared" si="135"/>
        <v>0</v>
      </c>
      <c r="R337" s="186">
        <f t="shared" si="136"/>
        <v>0</v>
      </c>
      <c r="S337" s="186">
        <f t="shared" si="137"/>
        <v>0</v>
      </c>
      <c r="T337" s="186">
        <f t="shared" si="138"/>
        <v>0</v>
      </c>
      <c r="U337" s="186">
        <f t="shared" si="139"/>
        <v>0</v>
      </c>
      <c r="V337" s="418">
        <f t="shared" si="140"/>
        <v>37899.46</v>
      </c>
      <c r="W337" s="418">
        <f t="shared" si="141"/>
        <v>-37899.46</v>
      </c>
      <c r="X337" s="41"/>
      <c r="Y337" s="418">
        <f t="shared" si="154"/>
        <v>3287.63</v>
      </c>
      <c r="Z337" s="418">
        <f t="shared" si="149"/>
        <v>-3287.63</v>
      </c>
      <c r="AA337" s="11">
        <f t="shared" si="150"/>
        <v>0.57999999999999996</v>
      </c>
      <c r="AB337" s="9">
        <f t="shared" si="155"/>
        <v>818.38</v>
      </c>
      <c r="AC337" s="41"/>
      <c r="AD337" s="427">
        <f>IF(AH337&gt;AH336,AD336,IF(AD336&lt;MiscData!$F$1,EOMONTH(AD336,1),EOMONTH(AD336,-11)))</f>
        <v>42490</v>
      </c>
      <c r="AE337" s="414" t="str">
        <f t="shared" si="142"/>
        <v>20140101KUUM_478</v>
      </c>
      <c r="AF337" s="466" t="str">
        <f t="shared" si="143"/>
        <v>20140101LS</v>
      </c>
      <c r="AG337" s="467"/>
      <c r="AH337" s="41">
        <f>IF(AH336=MiscData!$AB$91,1,AH336+1)</f>
        <v>72</v>
      </c>
      <c r="AI337">
        <f>IF(AD337&lt;=MiscData!$B$23,MiscData!$C$23,IF(AD337&lt;=MiscData!$B$24,MiscData!$C$24,MiscData!$C$25))</f>
        <v>20140101</v>
      </c>
      <c r="AJ337" s="41"/>
      <c r="AK337" s="468" t="str">
        <f>VLOOKUP(AM337,MiscData!$AB$4:$ACB$113,2,FALSE)</f>
        <v>KUUM_478</v>
      </c>
      <c r="AL337" s="468" t="str">
        <f>VLOOKUP(AM337,MiscData!$AB$4:$AE$115,4,FALSE)</f>
        <v>LS</v>
      </c>
      <c r="AM337" s="469">
        <f>IF(AM336=MiscData!$AB$91,1,AM336+1)</f>
        <v>72</v>
      </c>
    </row>
    <row r="338" spans="1:39">
      <c r="A338" s="413">
        <f t="shared" si="151"/>
        <v>337</v>
      </c>
      <c r="B338" s="427" t="str">
        <f t="shared" si="144"/>
        <v>Apr 2016</v>
      </c>
      <c r="C338" s="428" t="str">
        <f t="shared" si="145"/>
        <v>LS</v>
      </c>
      <c r="D338" s="428" t="str">
        <f t="shared" si="146"/>
        <v>KUUM_479</v>
      </c>
      <c r="E338" s="425">
        <f t="shared" si="132"/>
        <v>951</v>
      </c>
      <c r="F338" s="429"/>
      <c r="G338" s="425">
        <f t="shared" si="133"/>
        <v>0</v>
      </c>
      <c r="H338" s="425">
        <v>-1313</v>
      </c>
      <c r="I338" s="415">
        <f t="shared" si="147"/>
        <v>33.119999999999997</v>
      </c>
      <c r="J338" s="415">
        <f t="shared" si="148"/>
        <v>4.529999999999994</v>
      </c>
      <c r="K338" s="416">
        <f t="shared" si="152"/>
        <v>31497.119999999999</v>
      </c>
      <c r="L338" s="430"/>
      <c r="M338" s="430"/>
      <c r="N338" s="186">
        <f t="shared" si="125"/>
        <v>31497.119999999999</v>
      </c>
      <c r="O338" s="431">
        <f t="shared" si="134"/>
        <v>0</v>
      </c>
      <c r="P338" s="417">
        <f t="shared" si="153"/>
        <v>0</v>
      </c>
      <c r="Q338" s="186">
        <f t="shared" si="135"/>
        <v>0</v>
      </c>
      <c r="R338" s="186">
        <f t="shared" si="136"/>
        <v>0</v>
      </c>
      <c r="S338" s="186">
        <f t="shared" si="137"/>
        <v>0</v>
      </c>
      <c r="T338" s="186">
        <f t="shared" si="138"/>
        <v>0</v>
      </c>
      <c r="U338" s="186">
        <f t="shared" si="139"/>
        <v>0</v>
      </c>
      <c r="V338" s="418">
        <f t="shared" si="140"/>
        <v>31497.119999999999</v>
      </c>
      <c r="W338" s="418">
        <f t="shared" si="141"/>
        <v>-31497.119999999999</v>
      </c>
      <c r="X338" s="41"/>
      <c r="Y338" s="418">
        <f t="shared" si="154"/>
        <v>4308.03</v>
      </c>
      <c r="Z338" s="418">
        <f t="shared" si="149"/>
        <v>-4308.03</v>
      </c>
      <c r="AA338" s="11">
        <f t="shared" si="150"/>
        <v>0.79</v>
      </c>
      <c r="AB338" s="9">
        <f t="shared" si="155"/>
        <v>751.29000000000008</v>
      </c>
      <c r="AC338" s="41"/>
      <c r="AD338" s="427">
        <f>IF(AH338&gt;AH337,AD337,IF(AD337&lt;MiscData!$F$1,EOMONTH(AD337,1),EOMONTH(AD337,-11)))</f>
        <v>42490</v>
      </c>
      <c r="AE338" s="414" t="str">
        <f t="shared" si="142"/>
        <v>20140101KUUM_479</v>
      </c>
      <c r="AF338" s="466" t="str">
        <f t="shared" si="143"/>
        <v>20140101LS</v>
      </c>
      <c r="AG338" s="467"/>
      <c r="AH338" s="41">
        <f>IF(AH337=MiscData!$AB$91,1,AH337+1)</f>
        <v>73</v>
      </c>
      <c r="AI338">
        <f>IF(AD338&lt;=MiscData!$B$23,MiscData!$C$23,IF(AD338&lt;=MiscData!$B$24,MiscData!$C$24,MiscData!$C$25))</f>
        <v>20140101</v>
      </c>
      <c r="AJ338" s="41"/>
      <c r="AK338" s="468" t="str">
        <f>VLOOKUP(AM338,MiscData!$AB$4:$ACB$113,2,FALSE)</f>
        <v>KUUM_479</v>
      </c>
      <c r="AL338" s="468" t="str">
        <f>VLOOKUP(AM338,MiscData!$AB$4:$AE$115,4,FALSE)</f>
        <v>LS</v>
      </c>
      <c r="AM338" s="469">
        <f>IF(AM337=MiscData!$AB$91,1,AM337+1)</f>
        <v>73</v>
      </c>
    </row>
    <row r="339" spans="1:39">
      <c r="A339" s="413">
        <f t="shared" si="151"/>
        <v>338</v>
      </c>
      <c r="B339" s="427" t="str">
        <f t="shared" si="144"/>
        <v>Apr 2016</v>
      </c>
      <c r="C339" s="428" t="str">
        <f t="shared" si="145"/>
        <v>LS</v>
      </c>
      <c r="D339" s="428" t="str">
        <f t="shared" si="146"/>
        <v>KUUM_486</v>
      </c>
      <c r="E339" s="425">
        <f t="shared" si="132"/>
        <v>0</v>
      </c>
      <c r="F339" s="429"/>
      <c r="G339" s="425">
        <f t="shared" si="133"/>
        <v>0</v>
      </c>
      <c r="H339" s="425">
        <v>2841</v>
      </c>
      <c r="I339" s="415">
        <f t="shared" si="147"/>
        <v>0</v>
      </c>
      <c r="J339" s="415">
        <f t="shared" si="148"/>
        <v>0</v>
      </c>
      <c r="K339" s="416">
        <f t="shared" si="152"/>
        <v>0</v>
      </c>
      <c r="L339" s="430"/>
      <c r="M339" s="430"/>
      <c r="N339" s="186">
        <f t="shared" si="125"/>
        <v>0</v>
      </c>
      <c r="O339" s="431">
        <f t="shared" si="134"/>
        <v>0</v>
      </c>
      <c r="P339" s="417">
        <f t="shared" si="153"/>
        <v>1</v>
      </c>
      <c r="Q339" s="186">
        <f t="shared" si="135"/>
        <v>0</v>
      </c>
      <c r="R339" s="186">
        <f t="shared" si="136"/>
        <v>0</v>
      </c>
      <c r="S339" s="186">
        <f t="shared" si="137"/>
        <v>0</v>
      </c>
      <c r="T339" s="186">
        <f t="shared" si="138"/>
        <v>0</v>
      </c>
      <c r="U339" s="186">
        <f t="shared" si="139"/>
        <v>0</v>
      </c>
      <c r="V339" s="418">
        <f t="shared" si="140"/>
        <v>0</v>
      </c>
      <c r="W339" s="418">
        <f t="shared" si="141"/>
        <v>0</v>
      </c>
      <c r="X339" s="41"/>
      <c r="Y339" s="418">
        <f t="shared" si="154"/>
        <v>0</v>
      </c>
      <c r="Z339" s="418">
        <f t="shared" si="149"/>
        <v>0</v>
      </c>
      <c r="AA339" s="11">
        <f t="shared" si="150"/>
        <v>0</v>
      </c>
      <c r="AB339" s="9">
        <f t="shared" si="155"/>
        <v>0</v>
      </c>
      <c r="AC339" s="41"/>
      <c r="AD339" s="427">
        <f>IF(AH339&gt;AH338,AD338,IF(AD338&lt;MiscData!$F$1,EOMONTH(AD338,1),EOMONTH(AD338,-11)))</f>
        <v>42490</v>
      </c>
      <c r="AE339" s="414" t="str">
        <f t="shared" si="142"/>
        <v>20140101KUUM_486</v>
      </c>
      <c r="AF339" s="466" t="str">
        <f t="shared" si="143"/>
        <v>20140101LS</v>
      </c>
      <c r="AG339" s="467"/>
      <c r="AH339" s="41">
        <f>IF(AH338=MiscData!$AB$91,1,AH338+1)</f>
        <v>74</v>
      </c>
      <c r="AI339">
        <f>IF(AD339&lt;=MiscData!$B$23,MiscData!$C$23,IF(AD339&lt;=MiscData!$B$24,MiscData!$C$24,MiscData!$C$25))</f>
        <v>20140101</v>
      </c>
      <c r="AJ339" s="41"/>
      <c r="AK339" s="468" t="str">
        <f>VLOOKUP(AM339,MiscData!$AB$4:$ACB$113,2,FALSE)</f>
        <v>KUUM_486</v>
      </c>
      <c r="AL339" s="468" t="str">
        <f>VLOOKUP(AM339,MiscData!$AB$4:$AE$115,4,FALSE)</f>
        <v>LS</v>
      </c>
      <c r="AM339" s="469">
        <f>IF(AM338=MiscData!$AB$91,1,AM338+1)</f>
        <v>74</v>
      </c>
    </row>
    <row r="340" spans="1:39">
      <c r="A340" s="413">
        <f t="shared" si="151"/>
        <v>339</v>
      </c>
      <c r="B340" s="427" t="str">
        <f t="shared" si="144"/>
        <v>Apr 2016</v>
      </c>
      <c r="C340" s="428" t="str">
        <f t="shared" si="145"/>
        <v>LS</v>
      </c>
      <c r="D340" s="428" t="str">
        <f t="shared" si="146"/>
        <v>KUUM_487</v>
      </c>
      <c r="E340" s="425">
        <f t="shared" si="132"/>
        <v>11151</v>
      </c>
      <c r="F340" s="429"/>
      <c r="G340" s="425">
        <f t="shared" si="133"/>
        <v>0</v>
      </c>
      <c r="H340" s="425">
        <v>0</v>
      </c>
      <c r="I340" s="415">
        <f t="shared" si="147"/>
        <v>9</v>
      </c>
      <c r="J340" s="415">
        <f t="shared" si="148"/>
        <v>1.1299999999999999</v>
      </c>
      <c r="K340" s="416">
        <f t="shared" si="152"/>
        <v>100359</v>
      </c>
      <c r="L340" s="430"/>
      <c r="M340" s="430"/>
      <c r="N340" s="186">
        <f t="shared" si="125"/>
        <v>100359</v>
      </c>
      <c r="O340" s="431">
        <f t="shared" si="134"/>
        <v>0</v>
      </c>
      <c r="P340" s="417">
        <f t="shared" si="153"/>
        <v>0</v>
      </c>
      <c r="Q340" s="186">
        <f t="shared" si="135"/>
        <v>0</v>
      </c>
      <c r="R340" s="186">
        <f t="shared" si="136"/>
        <v>0</v>
      </c>
      <c r="S340" s="186">
        <f t="shared" si="137"/>
        <v>0</v>
      </c>
      <c r="T340" s="186">
        <f t="shared" si="138"/>
        <v>0</v>
      </c>
      <c r="U340" s="186">
        <f t="shared" si="139"/>
        <v>0</v>
      </c>
      <c r="V340" s="418">
        <f t="shared" si="140"/>
        <v>100359</v>
      </c>
      <c r="W340" s="418">
        <f t="shared" si="141"/>
        <v>-100359</v>
      </c>
      <c r="X340" s="41"/>
      <c r="Y340" s="418">
        <f t="shared" si="154"/>
        <v>12600.63</v>
      </c>
      <c r="Z340" s="418">
        <f t="shared" si="149"/>
        <v>-12600.63</v>
      </c>
      <c r="AA340" s="11">
        <f t="shared" si="150"/>
        <v>0.34</v>
      </c>
      <c r="AB340" s="9">
        <f t="shared" si="155"/>
        <v>3791.34</v>
      </c>
      <c r="AC340" s="41"/>
      <c r="AD340" s="427">
        <f>IF(AH340&gt;AH339,AD339,IF(AD339&lt;MiscData!$F$1,EOMONTH(AD339,1),EOMONTH(AD339,-11)))</f>
        <v>42490</v>
      </c>
      <c r="AE340" s="414" t="str">
        <f t="shared" si="142"/>
        <v>20140101KUUM_487</v>
      </c>
      <c r="AF340" s="466" t="str">
        <f t="shared" si="143"/>
        <v>20140101LS</v>
      </c>
      <c r="AG340" s="467"/>
      <c r="AH340" s="41">
        <f>IF(AH339=MiscData!$AB$91,1,AH339+1)</f>
        <v>75</v>
      </c>
      <c r="AI340">
        <f>IF(AD340&lt;=MiscData!$B$23,MiscData!$C$23,IF(AD340&lt;=MiscData!$B$24,MiscData!$C$24,MiscData!$C$25))</f>
        <v>20140101</v>
      </c>
      <c r="AJ340" s="41"/>
      <c r="AK340" s="468" t="str">
        <f>VLOOKUP(AM340,MiscData!$AB$4:$ACB$113,2,FALSE)</f>
        <v>KUUM_487</v>
      </c>
      <c r="AL340" s="468" t="str">
        <f>VLOOKUP(AM340,MiscData!$AB$4:$AE$115,4,FALSE)</f>
        <v>LS</v>
      </c>
      <c r="AM340" s="469">
        <f>IF(AM339=MiscData!$AB$91,1,AM339+1)</f>
        <v>75</v>
      </c>
    </row>
    <row r="341" spans="1:39">
      <c r="A341" s="413">
        <f t="shared" si="151"/>
        <v>340</v>
      </c>
      <c r="B341" s="427" t="str">
        <f t="shared" si="144"/>
        <v>Apr 2016</v>
      </c>
      <c r="C341" s="428" t="str">
        <f t="shared" si="145"/>
        <v>LS</v>
      </c>
      <c r="D341" s="428" t="str">
        <f t="shared" si="146"/>
        <v>KUUM_488</v>
      </c>
      <c r="E341" s="425">
        <f t="shared" si="132"/>
        <v>6634</v>
      </c>
      <c r="F341" s="429"/>
      <c r="G341" s="425">
        <f t="shared" si="133"/>
        <v>0</v>
      </c>
      <c r="H341" s="425">
        <v>0</v>
      </c>
      <c r="I341" s="415">
        <f t="shared" si="147"/>
        <v>13.639999999999999</v>
      </c>
      <c r="J341" s="415">
        <f t="shared" si="148"/>
        <v>2.33</v>
      </c>
      <c r="K341" s="416">
        <f t="shared" si="152"/>
        <v>90487.76</v>
      </c>
      <c r="L341" s="430"/>
      <c r="M341" s="430"/>
      <c r="N341" s="186">
        <f t="shared" si="125"/>
        <v>90487.76</v>
      </c>
      <c r="O341" s="431">
        <f t="shared" si="134"/>
        <v>0</v>
      </c>
      <c r="P341" s="417">
        <f t="shared" si="153"/>
        <v>0</v>
      </c>
      <c r="Q341" s="186">
        <f t="shared" si="135"/>
        <v>0</v>
      </c>
      <c r="R341" s="186">
        <f t="shared" si="136"/>
        <v>0</v>
      </c>
      <c r="S341" s="186">
        <f t="shared" si="137"/>
        <v>0</v>
      </c>
      <c r="T341" s="186">
        <f t="shared" si="138"/>
        <v>0</v>
      </c>
      <c r="U341" s="186">
        <f t="shared" si="139"/>
        <v>0</v>
      </c>
      <c r="V341" s="418">
        <f t="shared" si="140"/>
        <v>90487.76</v>
      </c>
      <c r="W341" s="418">
        <f t="shared" si="141"/>
        <v>-90487.76</v>
      </c>
      <c r="X341" s="41"/>
      <c r="Y341" s="418">
        <f t="shared" si="154"/>
        <v>15457.22</v>
      </c>
      <c r="Z341" s="418">
        <f t="shared" si="149"/>
        <v>-15457.22</v>
      </c>
      <c r="AA341" s="11">
        <f t="shared" si="150"/>
        <v>0.57999999999999996</v>
      </c>
      <c r="AB341" s="9">
        <f t="shared" si="155"/>
        <v>3847.72</v>
      </c>
      <c r="AC341" s="41"/>
      <c r="AD341" s="427">
        <f>IF(AH341&gt;AH340,AD340,IF(AD340&lt;MiscData!$F$1,EOMONTH(AD340,1),EOMONTH(AD340,-11)))</f>
        <v>42490</v>
      </c>
      <c r="AE341" s="414" t="str">
        <f t="shared" si="142"/>
        <v>20140101KUUM_488</v>
      </c>
      <c r="AF341" s="466" t="str">
        <f t="shared" si="143"/>
        <v>20140101LS</v>
      </c>
      <c r="AG341" s="467"/>
      <c r="AH341" s="41">
        <f>IF(AH340=MiscData!$AB$91,1,AH340+1)</f>
        <v>76</v>
      </c>
      <c r="AI341">
        <f>IF(AD341&lt;=MiscData!$B$23,MiscData!$C$23,IF(AD341&lt;=MiscData!$B$24,MiscData!$C$24,MiscData!$C$25))</f>
        <v>20140101</v>
      </c>
      <c r="AJ341" s="41"/>
      <c r="AK341" s="468" t="str">
        <f>VLOOKUP(AM341,MiscData!$AB$4:$ACB$113,2,FALSE)</f>
        <v>KUUM_488</v>
      </c>
      <c r="AL341" s="468" t="str">
        <f>VLOOKUP(AM341,MiscData!$AB$4:$AE$115,4,FALSE)</f>
        <v>LS</v>
      </c>
      <c r="AM341" s="469">
        <f>IF(AM340=MiscData!$AB$91,1,AM340+1)</f>
        <v>76</v>
      </c>
    </row>
    <row r="342" spans="1:39">
      <c r="A342" s="413">
        <f t="shared" si="151"/>
        <v>341</v>
      </c>
      <c r="B342" s="427" t="str">
        <f t="shared" si="144"/>
        <v>Apr 2016</v>
      </c>
      <c r="C342" s="428" t="str">
        <f t="shared" si="145"/>
        <v>LS</v>
      </c>
      <c r="D342" s="428" t="str">
        <f t="shared" si="146"/>
        <v>KUUM_489</v>
      </c>
      <c r="E342" s="425">
        <f t="shared" si="132"/>
        <v>8349</v>
      </c>
      <c r="F342" s="429"/>
      <c r="G342" s="425">
        <f t="shared" si="133"/>
        <v>0</v>
      </c>
      <c r="H342" s="425">
        <v>0</v>
      </c>
      <c r="I342" s="415">
        <f t="shared" si="147"/>
        <v>19.46</v>
      </c>
      <c r="J342" s="415">
        <f t="shared" si="148"/>
        <v>4.5300000000000011</v>
      </c>
      <c r="K342" s="416">
        <f t="shared" si="152"/>
        <v>162471.54</v>
      </c>
      <c r="L342" s="430"/>
      <c r="M342" s="430"/>
      <c r="N342" s="186">
        <f t="shared" si="125"/>
        <v>162471.54</v>
      </c>
      <c r="O342" s="431">
        <f t="shared" si="134"/>
        <v>0</v>
      </c>
      <c r="P342" s="417">
        <f t="shared" si="153"/>
        <v>0</v>
      </c>
      <c r="Q342" s="186">
        <f t="shared" si="135"/>
        <v>0</v>
      </c>
      <c r="R342" s="186">
        <f t="shared" si="136"/>
        <v>0</v>
      </c>
      <c r="S342" s="186">
        <f t="shared" si="137"/>
        <v>0</v>
      </c>
      <c r="T342" s="186">
        <f t="shared" si="138"/>
        <v>0</v>
      </c>
      <c r="U342" s="186">
        <f t="shared" si="139"/>
        <v>0</v>
      </c>
      <c r="V342" s="418">
        <f t="shared" si="140"/>
        <v>162471.54</v>
      </c>
      <c r="W342" s="418">
        <f t="shared" si="141"/>
        <v>-162471.54</v>
      </c>
      <c r="X342" s="41"/>
      <c r="Y342" s="418">
        <f t="shared" si="154"/>
        <v>37820.97</v>
      </c>
      <c r="Z342" s="418">
        <f t="shared" si="149"/>
        <v>-37820.97</v>
      </c>
      <c r="AA342" s="11">
        <f t="shared" si="150"/>
        <v>0.79</v>
      </c>
      <c r="AB342" s="9">
        <f t="shared" si="155"/>
        <v>6595.71</v>
      </c>
      <c r="AC342" s="41"/>
      <c r="AD342" s="427">
        <f>IF(AH342&gt;AH341,AD341,IF(AD341&lt;MiscData!$F$1,EOMONTH(AD341,1),EOMONTH(AD341,-11)))</f>
        <v>42490</v>
      </c>
      <c r="AE342" s="414" t="str">
        <f t="shared" si="142"/>
        <v>20140101KUUM_489</v>
      </c>
      <c r="AF342" s="466" t="str">
        <f t="shared" si="143"/>
        <v>20140101LS</v>
      </c>
      <c r="AG342" s="467"/>
      <c r="AH342" s="41">
        <f>IF(AH341=MiscData!$AB$91,1,AH341+1)</f>
        <v>77</v>
      </c>
      <c r="AI342">
        <f>IF(AD342&lt;=MiscData!$B$23,MiscData!$C$23,IF(AD342&lt;=MiscData!$B$24,MiscData!$C$24,MiscData!$C$25))</f>
        <v>20140101</v>
      </c>
      <c r="AJ342" s="41"/>
      <c r="AK342" s="468" t="str">
        <f>VLOOKUP(AM342,MiscData!$AB$4:$ACB$113,2,FALSE)</f>
        <v>KUUM_489</v>
      </c>
      <c r="AL342" s="468" t="str">
        <f>VLOOKUP(AM342,MiscData!$AB$4:$AE$115,4,FALSE)</f>
        <v>LS</v>
      </c>
      <c r="AM342" s="469">
        <f>IF(AM341=MiscData!$AB$91,1,AM341+1)</f>
        <v>77</v>
      </c>
    </row>
    <row r="343" spans="1:39">
      <c r="A343" s="413">
        <f t="shared" si="151"/>
        <v>342</v>
      </c>
      <c r="B343" s="427" t="str">
        <f t="shared" si="144"/>
        <v>Apr 2016</v>
      </c>
      <c r="C343" s="428" t="str">
        <f t="shared" si="145"/>
        <v>LS</v>
      </c>
      <c r="D343" s="428" t="str">
        <f t="shared" si="146"/>
        <v>KUUM_490</v>
      </c>
      <c r="E343" s="425">
        <f t="shared" si="132"/>
        <v>58</v>
      </c>
      <c r="F343" s="429"/>
      <c r="G343" s="425">
        <f t="shared" si="133"/>
        <v>0</v>
      </c>
      <c r="H343" s="425">
        <v>0</v>
      </c>
      <c r="I343" s="415">
        <f t="shared" si="147"/>
        <v>15.47</v>
      </c>
      <c r="J343" s="415">
        <f t="shared" si="148"/>
        <v>1.9700000000000006</v>
      </c>
      <c r="K343" s="416">
        <f t="shared" si="152"/>
        <v>897.26</v>
      </c>
      <c r="L343" s="430"/>
      <c r="M343" s="430"/>
      <c r="N343" s="186">
        <f t="shared" si="125"/>
        <v>897.26</v>
      </c>
      <c r="O343" s="431">
        <f t="shared" si="134"/>
        <v>0</v>
      </c>
      <c r="P343" s="417">
        <f t="shared" si="153"/>
        <v>0</v>
      </c>
      <c r="Q343" s="186">
        <f t="shared" si="135"/>
        <v>0</v>
      </c>
      <c r="R343" s="186">
        <f t="shared" si="136"/>
        <v>0</v>
      </c>
      <c r="S343" s="186">
        <f t="shared" si="137"/>
        <v>0</v>
      </c>
      <c r="T343" s="186">
        <f t="shared" si="138"/>
        <v>0</v>
      </c>
      <c r="U343" s="186">
        <f t="shared" si="139"/>
        <v>0</v>
      </c>
      <c r="V343" s="418">
        <f t="shared" si="140"/>
        <v>897.26</v>
      </c>
      <c r="W343" s="418">
        <f t="shared" si="141"/>
        <v>-897.26</v>
      </c>
      <c r="X343" s="41"/>
      <c r="Y343" s="418">
        <f t="shared" si="154"/>
        <v>114.26</v>
      </c>
      <c r="Z343" s="418">
        <f t="shared" si="149"/>
        <v>-114.26</v>
      </c>
      <c r="AA343" s="11">
        <f t="shared" si="150"/>
        <v>0.66</v>
      </c>
      <c r="AB343" s="9">
        <f t="shared" si="155"/>
        <v>38.28</v>
      </c>
      <c r="AC343" s="41"/>
      <c r="AD343" s="427">
        <f>IF(AH343&gt;AH342,AD342,IF(AD342&lt;MiscData!$F$1,EOMONTH(AD342,1),EOMONTH(AD342,-11)))</f>
        <v>42490</v>
      </c>
      <c r="AE343" s="414" t="str">
        <f t="shared" si="142"/>
        <v>20140101KUUM_490</v>
      </c>
      <c r="AF343" s="466" t="str">
        <f t="shared" si="143"/>
        <v>20140101LS</v>
      </c>
      <c r="AG343" s="467"/>
      <c r="AH343" s="41">
        <f>IF(AH342=MiscData!$AB$91,1,AH342+1)</f>
        <v>78</v>
      </c>
      <c r="AI343">
        <f>IF(AD343&lt;=MiscData!$B$23,MiscData!$C$23,IF(AD343&lt;=MiscData!$B$24,MiscData!$C$24,MiscData!$C$25))</f>
        <v>20140101</v>
      </c>
      <c r="AJ343" s="41"/>
      <c r="AK343" s="468" t="str">
        <f>VLOOKUP(AM343,MiscData!$AB$4:$ACB$113,2,FALSE)</f>
        <v>KUUM_490</v>
      </c>
      <c r="AL343" s="468" t="str">
        <f>VLOOKUP(AM343,MiscData!$AB$4:$AE$115,4,FALSE)</f>
        <v>LS</v>
      </c>
      <c r="AM343" s="469">
        <f>IF(AM342=MiscData!$AB$91,1,AM342+1)</f>
        <v>78</v>
      </c>
    </row>
    <row r="344" spans="1:39">
      <c r="A344" s="413">
        <f t="shared" si="151"/>
        <v>343</v>
      </c>
      <c r="B344" s="427" t="str">
        <f t="shared" si="144"/>
        <v>Apr 2016</v>
      </c>
      <c r="C344" s="428" t="str">
        <f t="shared" si="145"/>
        <v>LS</v>
      </c>
      <c r="D344" s="428" t="str">
        <f t="shared" si="146"/>
        <v>KUUM_491</v>
      </c>
      <c r="E344" s="425">
        <f t="shared" si="132"/>
        <v>301</v>
      </c>
      <c r="F344" s="429"/>
      <c r="G344" s="425">
        <f t="shared" si="133"/>
        <v>0</v>
      </c>
      <c r="H344" s="425">
        <v>0</v>
      </c>
      <c r="I344" s="415">
        <f t="shared" si="147"/>
        <v>21.930000000000003</v>
      </c>
      <c r="J344" s="415">
        <f t="shared" si="148"/>
        <v>4.2900000000000027</v>
      </c>
      <c r="K344" s="416">
        <f t="shared" si="152"/>
        <v>6600.93</v>
      </c>
      <c r="L344" s="430"/>
      <c r="M344" s="430"/>
      <c r="N344" s="186">
        <f t="shared" si="125"/>
        <v>6600.93</v>
      </c>
      <c r="O344" s="431">
        <f t="shared" si="134"/>
        <v>0</v>
      </c>
      <c r="P344" s="417">
        <f t="shared" si="153"/>
        <v>0</v>
      </c>
      <c r="Q344" s="186">
        <f t="shared" si="135"/>
        <v>0</v>
      </c>
      <c r="R344" s="186">
        <f t="shared" si="136"/>
        <v>0</v>
      </c>
      <c r="S344" s="186">
        <f t="shared" si="137"/>
        <v>0</v>
      </c>
      <c r="T344" s="186">
        <f t="shared" si="138"/>
        <v>0</v>
      </c>
      <c r="U344" s="186">
        <f t="shared" si="139"/>
        <v>0</v>
      </c>
      <c r="V344" s="418">
        <f t="shared" si="140"/>
        <v>6600.93</v>
      </c>
      <c r="W344" s="418">
        <f t="shared" si="141"/>
        <v>-6600.93</v>
      </c>
      <c r="X344" s="41"/>
      <c r="Y344" s="418">
        <f t="shared" si="154"/>
        <v>1291.29</v>
      </c>
      <c r="Z344" s="418">
        <f t="shared" si="149"/>
        <v>-1291.29</v>
      </c>
      <c r="AA344" s="11">
        <f t="shared" si="150"/>
        <v>0.84</v>
      </c>
      <c r="AB344" s="9">
        <f t="shared" si="155"/>
        <v>252.84</v>
      </c>
      <c r="AC344" s="41"/>
      <c r="AD344" s="427">
        <f>IF(AH344&gt;AH343,AD343,IF(AD343&lt;MiscData!$F$1,EOMONTH(AD343,1),EOMONTH(AD343,-11)))</f>
        <v>42490</v>
      </c>
      <c r="AE344" s="414" t="str">
        <f t="shared" si="142"/>
        <v>20140101KUUM_491</v>
      </c>
      <c r="AF344" s="466" t="str">
        <f t="shared" si="143"/>
        <v>20140101LS</v>
      </c>
      <c r="AG344" s="467"/>
      <c r="AH344" s="41">
        <f>IF(AH343=MiscData!$AB$91,1,AH343+1)</f>
        <v>79</v>
      </c>
      <c r="AI344">
        <f>IF(AD344&lt;=MiscData!$B$23,MiscData!$C$23,IF(AD344&lt;=MiscData!$B$24,MiscData!$C$24,MiscData!$C$25))</f>
        <v>20140101</v>
      </c>
      <c r="AJ344" s="41"/>
      <c r="AK344" s="468" t="str">
        <f>VLOOKUP(AM344,MiscData!$AB$4:$ACB$113,2,FALSE)</f>
        <v>KUUM_491</v>
      </c>
      <c r="AL344" s="468" t="str">
        <f>VLOOKUP(AM344,MiscData!$AB$4:$AE$115,4,FALSE)</f>
        <v>LS</v>
      </c>
      <c r="AM344" s="469">
        <f>IF(AM343=MiscData!$AB$91,1,AM343+1)</f>
        <v>79</v>
      </c>
    </row>
    <row r="345" spans="1:39">
      <c r="A345" s="413">
        <f t="shared" si="151"/>
        <v>344</v>
      </c>
      <c r="B345" s="427" t="str">
        <f t="shared" si="144"/>
        <v>Apr 2016</v>
      </c>
      <c r="C345" s="428" t="str">
        <f t="shared" si="145"/>
        <v>LS</v>
      </c>
      <c r="D345" s="428" t="str">
        <f t="shared" si="146"/>
        <v>KUUM_492</v>
      </c>
      <c r="E345" s="425">
        <f t="shared" si="132"/>
        <v>2</v>
      </c>
      <c r="F345" s="429"/>
      <c r="G345" s="425">
        <f t="shared" si="133"/>
        <v>0</v>
      </c>
      <c r="H345" s="425">
        <v>0</v>
      </c>
      <c r="I345" s="415">
        <f t="shared" si="147"/>
        <v>15.370000000000001</v>
      </c>
      <c r="J345" s="415">
        <f t="shared" si="148"/>
        <v>0.80000000000000071</v>
      </c>
      <c r="K345" s="416">
        <f t="shared" si="152"/>
        <v>30.74</v>
      </c>
      <c r="L345" s="430"/>
      <c r="M345" s="430"/>
      <c r="N345" s="186">
        <f t="shared" si="125"/>
        <v>30.74</v>
      </c>
      <c r="O345" s="431">
        <f t="shared" si="134"/>
        <v>0</v>
      </c>
      <c r="P345" s="417">
        <f t="shared" si="153"/>
        <v>0</v>
      </c>
      <c r="Q345" s="186">
        <f t="shared" si="135"/>
        <v>0</v>
      </c>
      <c r="R345" s="186">
        <f t="shared" si="136"/>
        <v>0</v>
      </c>
      <c r="S345" s="186">
        <f t="shared" si="137"/>
        <v>0</v>
      </c>
      <c r="T345" s="186">
        <f t="shared" si="138"/>
        <v>0</v>
      </c>
      <c r="U345" s="186">
        <f t="shared" si="139"/>
        <v>0</v>
      </c>
      <c r="V345" s="418">
        <f t="shared" si="140"/>
        <v>30.74</v>
      </c>
      <c r="W345" s="418">
        <f t="shared" si="141"/>
        <v>-30.74</v>
      </c>
      <c r="X345" s="41"/>
      <c r="Y345" s="418">
        <f t="shared" si="154"/>
        <v>1.6</v>
      </c>
      <c r="Z345" s="418">
        <f t="shared" si="149"/>
        <v>-1.6</v>
      </c>
      <c r="AA345" s="11">
        <f t="shared" si="150"/>
        <v>0.43</v>
      </c>
      <c r="AB345" s="9">
        <f t="shared" si="155"/>
        <v>0.86</v>
      </c>
      <c r="AC345" s="41"/>
      <c r="AD345" s="427">
        <f>IF(AH345&gt;AH344,AD344,IF(AD344&lt;MiscData!$F$1,EOMONTH(AD344,1),EOMONTH(AD344,-11)))</f>
        <v>42490</v>
      </c>
      <c r="AE345" s="414" t="str">
        <f t="shared" si="142"/>
        <v>20140101KUUM_492</v>
      </c>
      <c r="AF345" s="466" t="str">
        <f t="shared" si="143"/>
        <v>20140101LS</v>
      </c>
      <c r="AG345" s="467"/>
      <c r="AH345" s="41">
        <f>IF(AH344=MiscData!$AB$91,1,AH344+1)</f>
        <v>80</v>
      </c>
      <c r="AI345">
        <f>IF(AD345&lt;=MiscData!$B$23,MiscData!$C$23,IF(AD345&lt;=MiscData!$B$24,MiscData!$C$24,MiscData!$C$25))</f>
        <v>20140101</v>
      </c>
      <c r="AJ345" s="41"/>
      <c r="AK345" s="468" t="str">
        <f>VLOOKUP(AM345,MiscData!$AB$4:$ACB$113,2,FALSE)</f>
        <v>KUUM_492</v>
      </c>
      <c r="AL345" s="468" t="str">
        <f>VLOOKUP(AM345,MiscData!$AB$4:$AE$115,4,FALSE)</f>
        <v>LS</v>
      </c>
      <c r="AM345" s="469">
        <f>IF(AM344=MiscData!$AB$91,1,AM344+1)</f>
        <v>80</v>
      </c>
    </row>
    <row r="346" spans="1:39">
      <c r="A346" s="413">
        <f t="shared" si="151"/>
        <v>345</v>
      </c>
      <c r="B346" s="427" t="str">
        <f t="shared" si="144"/>
        <v>Apr 2016</v>
      </c>
      <c r="C346" s="428" t="str">
        <f t="shared" si="145"/>
        <v>LS</v>
      </c>
      <c r="D346" s="428" t="str">
        <f t="shared" si="146"/>
        <v>KUUM_493</v>
      </c>
      <c r="E346" s="425">
        <f t="shared" si="132"/>
        <v>43</v>
      </c>
      <c r="F346" s="429"/>
      <c r="G346" s="425">
        <f t="shared" si="133"/>
        <v>0</v>
      </c>
      <c r="H346" s="425">
        <v>0</v>
      </c>
      <c r="I346" s="415">
        <f t="shared" si="147"/>
        <v>45.7</v>
      </c>
      <c r="J346" s="415">
        <f t="shared" si="148"/>
        <v>10.409999999999997</v>
      </c>
      <c r="K346" s="416">
        <f t="shared" si="152"/>
        <v>1965.1</v>
      </c>
      <c r="L346" s="430"/>
      <c r="M346" s="430"/>
      <c r="N346" s="186">
        <f t="shared" si="125"/>
        <v>1965.1</v>
      </c>
      <c r="O346" s="431">
        <f t="shared" si="134"/>
        <v>0</v>
      </c>
      <c r="P346" s="417">
        <f t="shared" si="153"/>
        <v>0</v>
      </c>
      <c r="Q346" s="186">
        <f t="shared" si="135"/>
        <v>0</v>
      </c>
      <c r="R346" s="186">
        <f t="shared" si="136"/>
        <v>0</v>
      </c>
      <c r="S346" s="186">
        <f t="shared" si="137"/>
        <v>0</v>
      </c>
      <c r="T346" s="186">
        <f t="shared" si="138"/>
        <v>0</v>
      </c>
      <c r="U346" s="186">
        <f t="shared" si="139"/>
        <v>0</v>
      </c>
      <c r="V346" s="418">
        <f t="shared" si="140"/>
        <v>1965.1</v>
      </c>
      <c r="W346" s="418">
        <f t="shared" si="141"/>
        <v>-1965.1</v>
      </c>
      <c r="X346" s="41"/>
      <c r="Y346" s="418">
        <f t="shared" si="154"/>
        <v>447.63</v>
      </c>
      <c r="Z346" s="418">
        <f t="shared" si="149"/>
        <v>-447.63</v>
      </c>
      <c r="AA346" s="11">
        <f t="shared" si="150"/>
        <v>1.7</v>
      </c>
      <c r="AB346" s="9">
        <f t="shared" si="155"/>
        <v>73.099999999999994</v>
      </c>
      <c r="AC346" s="41"/>
      <c r="AD346" s="427">
        <f>IF(AH346&gt;AH345,AD345,IF(AD345&lt;MiscData!$F$1,EOMONTH(AD345,1),EOMONTH(AD345,-11)))</f>
        <v>42490</v>
      </c>
      <c r="AE346" s="414" t="str">
        <f t="shared" si="142"/>
        <v>20140101KUUM_493</v>
      </c>
      <c r="AF346" s="466" t="str">
        <f t="shared" si="143"/>
        <v>20140101LS</v>
      </c>
      <c r="AG346" s="467"/>
      <c r="AH346" s="41">
        <f>IF(AH345=MiscData!$AB$91,1,AH345+1)</f>
        <v>81</v>
      </c>
      <c r="AI346">
        <f>IF(AD346&lt;=MiscData!$B$23,MiscData!$C$23,IF(AD346&lt;=MiscData!$B$24,MiscData!$C$24,MiscData!$C$25))</f>
        <v>20140101</v>
      </c>
      <c r="AJ346" s="41"/>
      <c r="AK346" s="468" t="str">
        <f>VLOOKUP(AM346,MiscData!$AB$4:$ACB$113,2,FALSE)</f>
        <v>KUUM_493</v>
      </c>
      <c r="AL346" s="468" t="str">
        <f>VLOOKUP(AM346,MiscData!$AB$4:$AE$115,4,FALSE)</f>
        <v>LS</v>
      </c>
      <c r="AM346" s="469">
        <f>IF(AM345=MiscData!$AB$91,1,AM345+1)</f>
        <v>81</v>
      </c>
    </row>
    <row r="347" spans="1:39">
      <c r="A347" s="413">
        <f t="shared" si="151"/>
        <v>346</v>
      </c>
      <c r="B347" s="427" t="str">
        <f t="shared" si="144"/>
        <v>Apr 2016</v>
      </c>
      <c r="C347" s="428" t="str">
        <f t="shared" si="145"/>
        <v>LS</v>
      </c>
      <c r="D347" s="428" t="str">
        <f t="shared" si="146"/>
        <v>KUUM_494</v>
      </c>
      <c r="E347" s="425">
        <f t="shared" si="132"/>
        <v>168</v>
      </c>
      <c r="F347" s="429"/>
      <c r="G347" s="425">
        <f t="shared" si="133"/>
        <v>0</v>
      </c>
      <c r="H347" s="425">
        <v>0</v>
      </c>
      <c r="I347" s="415">
        <f t="shared" si="147"/>
        <v>28.37</v>
      </c>
      <c r="J347" s="415">
        <f t="shared" si="148"/>
        <v>1.9699999999999989</v>
      </c>
      <c r="K347" s="416">
        <f t="shared" si="152"/>
        <v>4766.16</v>
      </c>
      <c r="L347" s="430"/>
      <c r="M347" s="430"/>
      <c r="N347" s="186">
        <f t="shared" si="125"/>
        <v>4766.16</v>
      </c>
      <c r="O347" s="431">
        <f t="shared" si="134"/>
        <v>0</v>
      </c>
      <c r="P347" s="417">
        <f t="shared" si="153"/>
        <v>0</v>
      </c>
      <c r="Q347" s="186">
        <f t="shared" si="135"/>
        <v>0</v>
      </c>
      <c r="R347" s="186">
        <f t="shared" si="136"/>
        <v>0</v>
      </c>
      <c r="S347" s="186">
        <f t="shared" si="137"/>
        <v>0</v>
      </c>
      <c r="T347" s="186">
        <f t="shared" si="138"/>
        <v>0</v>
      </c>
      <c r="U347" s="186">
        <f t="shared" si="139"/>
        <v>0</v>
      </c>
      <c r="V347" s="418">
        <f t="shared" si="140"/>
        <v>4766.16</v>
      </c>
      <c r="W347" s="418">
        <f t="shared" si="141"/>
        <v>-4766.16</v>
      </c>
      <c r="X347" s="41"/>
      <c r="Y347" s="418">
        <f t="shared" si="154"/>
        <v>330.96</v>
      </c>
      <c r="Z347" s="418">
        <f t="shared" si="149"/>
        <v>-330.96</v>
      </c>
      <c r="AA347" s="11">
        <f t="shared" si="150"/>
        <v>0.66</v>
      </c>
      <c r="AB347" s="9">
        <f t="shared" si="155"/>
        <v>110.88000000000001</v>
      </c>
      <c r="AC347" s="41"/>
      <c r="AD347" s="427">
        <f>IF(AH347&gt;AH346,AD346,IF(AD346&lt;MiscData!$F$1,EOMONTH(AD346,1),EOMONTH(AD346,-11)))</f>
        <v>42490</v>
      </c>
      <c r="AE347" s="414" t="str">
        <f t="shared" si="142"/>
        <v>20140101KUUM_494</v>
      </c>
      <c r="AF347" s="466" t="str">
        <f t="shared" si="143"/>
        <v>20140101LS</v>
      </c>
      <c r="AG347" s="467"/>
      <c r="AH347" s="41">
        <f>IF(AH346=MiscData!$AB$91,1,AH346+1)</f>
        <v>82</v>
      </c>
      <c r="AI347">
        <f>IF(AD347&lt;=MiscData!$B$23,MiscData!$C$23,IF(AD347&lt;=MiscData!$B$24,MiscData!$C$24,MiscData!$C$25))</f>
        <v>20140101</v>
      </c>
      <c r="AJ347" s="41"/>
      <c r="AK347" s="468" t="str">
        <f>VLOOKUP(AM347,MiscData!$AB$4:$ACB$113,2,FALSE)</f>
        <v>KUUM_494</v>
      </c>
      <c r="AL347" s="468" t="str">
        <f>VLOOKUP(AM347,MiscData!$AB$4:$AE$115,4,FALSE)</f>
        <v>LS</v>
      </c>
      <c r="AM347" s="469">
        <f>IF(AM346=MiscData!$AB$91,1,AM346+1)</f>
        <v>82</v>
      </c>
    </row>
    <row r="348" spans="1:39">
      <c r="A348" s="413">
        <f t="shared" si="151"/>
        <v>347</v>
      </c>
      <c r="B348" s="427" t="str">
        <f t="shared" si="144"/>
        <v>Apr 2016</v>
      </c>
      <c r="C348" s="428" t="str">
        <f t="shared" si="145"/>
        <v>LS</v>
      </c>
      <c r="D348" s="428" t="str">
        <f t="shared" si="146"/>
        <v>KUUM_495</v>
      </c>
      <c r="E348" s="425">
        <f t="shared" si="132"/>
        <v>620</v>
      </c>
      <c r="F348" s="429"/>
      <c r="G348" s="425">
        <f t="shared" si="133"/>
        <v>0</v>
      </c>
      <c r="H348" s="425">
        <v>0</v>
      </c>
      <c r="I348" s="415">
        <f t="shared" si="147"/>
        <v>34.830000000000005</v>
      </c>
      <c r="J348" s="415">
        <f t="shared" si="148"/>
        <v>4.2899999999999991</v>
      </c>
      <c r="K348" s="416">
        <f t="shared" si="152"/>
        <v>21594.6</v>
      </c>
      <c r="L348" s="430"/>
      <c r="M348" s="430"/>
      <c r="N348" s="186">
        <f t="shared" si="125"/>
        <v>21594.6</v>
      </c>
      <c r="O348" s="431">
        <f t="shared" si="134"/>
        <v>0</v>
      </c>
      <c r="P348" s="417">
        <f t="shared" si="153"/>
        <v>0</v>
      </c>
      <c r="Q348" s="186">
        <f t="shared" si="135"/>
        <v>0</v>
      </c>
      <c r="R348" s="186">
        <f t="shared" si="136"/>
        <v>0</v>
      </c>
      <c r="S348" s="186">
        <f t="shared" si="137"/>
        <v>0</v>
      </c>
      <c r="T348" s="186">
        <f t="shared" si="138"/>
        <v>0</v>
      </c>
      <c r="U348" s="186">
        <f t="shared" si="139"/>
        <v>0</v>
      </c>
      <c r="V348" s="418">
        <f t="shared" si="140"/>
        <v>21594.6</v>
      </c>
      <c r="W348" s="418">
        <f t="shared" si="141"/>
        <v>-21594.6</v>
      </c>
      <c r="X348" s="41"/>
      <c r="Y348" s="418">
        <f t="shared" si="154"/>
        <v>2659.8</v>
      </c>
      <c r="Z348" s="418">
        <f t="shared" si="149"/>
        <v>-2659.8</v>
      </c>
      <c r="AA348" s="11">
        <f t="shared" si="150"/>
        <v>0.84</v>
      </c>
      <c r="AB348" s="9">
        <f t="shared" si="155"/>
        <v>520.79999999999995</v>
      </c>
      <c r="AC348" s="41"/>
      <c r="AD348" s="427">
        <f>IF(AH348&gt;AH347,AD347,IF(AD347&lt;MiscData!$F$1,EOMONTH(AD347,1),EOMONTH(AD347,-11)))</f>
        <v>42490</v>
      </c>
      <c r="AE348" s="414" t="str">
        <f t="shared" si="142"/>
        <v>20140101KUUM_495</v>
      </c>
      <c r="AF348" s="466" t="str">
        <f t="shared" si="143"/>
        <v>20140101LS</v>
      </c>
      <c r="AG348" s="467"/>
      <c r="AH348" s="41">
        <f>IF(AH347=MiscData!$AB$91,1,AH347+1)</f>
        <v>83</v>
      </c>
      <c r="AI348">
        <f>IF(AD348&lt;=MiscData!$B$23,MiscData!$C$23,IF(AD348&lt;=MiscData!$B$24,MiscData!$C$24,MiscData!$C$25))</f>
        <v>20140101</v>
      </c>
      <c r="AJ348" s="41"/>
      <c r="AK348" s="468" t="str">
        <f>VLOOKUP(AM348,MiscData!$AB$4:$ACB$113,2,FALSE)</f>
        <v>KUUM_495</v>
      </c>
      <c r="AL348" s="468" t="str">
        <f>VLOOKUP(AM348,MiscData!$AB$4:$AE$115,4,FALSE)</f>
        <v>LS</v>
      </c>
      <c r="AM348" s="469">
        <f>IF(AM347=MiscData!$AB$91,1,AM347+1)</f>
        <v>83</v>
      </c>
    </row>
    <row r="349" spans="1:39" ht="12.75" thickBot="1">
      <c r="A349" s="419">
        <f t="shared" si="151"/>
        <v>348</v>
      </c>
      <c r="B349" s="470" t="str">
        <f t="shared" si="144"/>
        <v>Apr 2016</v>
      </c>
      <c r="C349" s="471" t="str">
        <f t="shared" si="145"/>
        <v>LS</v>
      </c>
      <c r="D349" s="471" t="str">
        <f t="shared" si="146"/>
        <v>KUUM_496</v>
      </c>
      <c r="E349" s="426">
        <f t="shared" si="132"/>
        <v>157</v>
      </c>
      <c r="F349" s="472"/>
      <c r="G349" s="426">
        <f t="shared" si="133"/>
        <v>0</v>
      </c>
      <c r="H349" s="426">
        <v>0</v>
      </c>
      <c r="I349" s="421">
        <f t="shared" si="147"/>
        <v>58.59</v>
      </c>
      <c r="J349" s="421">
        <f t="shared" si="148"/>
        <v>10.409999999999997</v>
      </c>
      <c r="K349" s="529">
        <f t="shared" si="152"/>
        <v>9198.6299999999992</v>
      </c>
      <c r="L349" s="473"/>
      <c r="M349" s="473"/>
      <c r="N349" s="423">
        <f t="shared" si="125"/>
        <v>9198.6299999999992</v>
      </c>
      <c r="O349" s="474">
        <f t="shared" si="134"/>
        <v>0</v>
      </c>
      <c r="P349" s="422">
        <f t="shared" si="153"/>
        <v>0</v>
      </c>
      <c r="Q349" s="423">
        <f t="shared" si="135"/>
        <v>0</v>
      </c>
      <c r="R349" s="423">
        <f t="shared" si="136"/>
        <v>0</v>
      </c>
      <c r="S349" s="423">
        <f t="shared" si="137"/>
        <v>0</v>
      </c>
      <c r="T349" s="423">
        <f t="shared" si="138"/>
        <v>0</v>
      </c>
      <c r="U349" s="423">
        <f t="shared" si="139"/>
        <v>0</v>
      </c>
      <c r="V349" s="424">
        <f t="shared" si="140"/>
        <v>9198.6299999999992</v>
      </c>
      <c r="W349" s="424">
        <f t="shared" si="141"/>
        <v>-9198.6299999999992</v>
      </c>
      <c r="X349" s="475"/>
      <c r="Y349" s="424">
        <f t="shared" si="154"/>
        <v>1634.37</v>
      </c>
      <c r="Z349" s="424">
        <f t="shared" si="149"/>
        <v>-1634.37</v>
      </c>
      <c r="AA349" s="11">
        <f t="shared" si="150"/>
        <v>1.7</v>
      </c>
      <c r="AB349" s="9">
        <f t="shared" si="155"/>
        <v>266.89999999999998</v>
      </c>
      <c r="AC349" s="475"/>
      <c r="AD349" s="470">
        <f>IF(AH349&gt;AH348,AD348,IF(AD348&lt;MiscData!$F$1,EOMONTH(AD348,1),EOMONTH(AD348,-11)))</f>
        <v>42490</v>
      </c>
      <c r="AE349" s="420" t="str">
        <f t="shared" si="142"/>
        <v>20140101KUUM_496</v>
      </c>
      <c r="AF349" s="476" t="str">
        <f t="shared" si="143"/>
        <v>20140101LS</v>
      </c>
      <c r="AG349" s="477"/>
      <c r="AH349" s="475">
        <f>IF(AH348=MiscData!$AB$91,1,AH348+1)</f>
        <v>84</v>
      </c>
      <c r="AI349" s="475">
        <f>IF(AD349&lt;=MiscData!$B$23,MiscData!$C$23,IF(AD349&lt;=MiscData!$B$24,MiscData!$C$24,MiscData!$C$25))</f>
        <v>20140101</v>
      </c>
      <c r="AJ349" s="475"/>
      <c r="AK349" s="478" t="str">
        <f>VLOOKUP(AM349,MiscData!$AB$4:$ACB$113,2,FALSE)</f>
        <v>KUUM_496</v>
      </c>
      <c r="AL349" s="478" t="str">
        <f>VLOOKUP(AM349,MiscData!$AB$4:$AE$115,4,FALSE)</f>
        <v>LS</v>
      </c>
      <c r="AM349" s="604">
        <f>IF(AM348=MiscData!$AB$91,1,AM348+1)</f>
        <v>84</v>
      </c>
    </row>
    <row r="350" spans="1:39">
      <c r="A350" s="413">
        <f t="shared" si="151"/>
        <v>349</v>
      </c>
      <c r="B350" s="427" t="str">
        <f t="shared" si="144"/>
        <v>Apr 2016</v>
      </c>
      <c r="C350" s="428" t="str">
        <f t="shared" si="145"/>
        <v>LS</v>
      </c>
      <c r="D350" s="428" t="str">
        <f t="shared" si="146"/>
        <v>KUUM_497</v>
      </c>
      <c r="E350" s="425">
        <f t="shared" si="132"/>
        <v>10</v>
      </c>
      <c r="F350" s="429"/>
      <c r="G350" s="425">
        <f t="shared" si="133"/>
        <v>0</v>
      </c>
      <c r="H350" s="425">
        <v>0</v>
      </c>
      <c r="I350" s="415">
        <f t="shared" si="147"/>
        <v>15.35</v>
      </c>
      <c r="J350" s="415">
        <f t="shared" si="148"/>
        <v>1.1300000000000008</v>
      </c>
      <c r="K350" s="416">
        <f t="shared" si="152"/>
        <v>153.5</v>
      </c>
      <c r="L350" s="430"/>
      <c r="M350" s="430"/>
      <c r="N350" s="186">
        <f t="shared" si="125"/>
        <v>153.5</v>
      </c>
      <c r="O350" s="431">
        <f t="shared" si="134"/>
        <v>0</v>
      </c>
      <c r="P350" s="417">
        <f t="shared" si="153"/>
        <v>0</v>
      </c>
      <c r="Q350" s="186">
        <f t="shared" si="135"/>
        <v>0</v>
      </c>
      <c r="R350" s="186">
        <f t="shared" si="136"/>
        <v>0</v>
      </c>
      <c r="S350" s="186">
        <f t="shared" si="137"/>
        <v>0</v>
      </c>
      <c r="T350" s="186">
        <f t="shared" si="138"/>
        <v>0</v>
      </c>
      <c r="U350" s="186">
        <f t="shared" si="139"/>
        <v>0</v>
      </c>
      <c r="V350" s="418">
        <f t="shared" si="140"/>
        <v>153.5</v>
      </c>
      <c r="W350" s="418">
        <f t="shared" si="141"/>
        <v>-153.5</v>
      </c>
      <c r="X350" s="41"/>
      <c r="Y350" s="418">
        <f t="shared" si="154"/>
        <v>11.3</v>
      </c>
      <c r="Z350" s="418">
        <f t="shared" si="149"/>
        <v>-11.3</v>
      </c>
      <c r="AA350" s="11">
        <f t="shared" si="150"/>
        <v>0.34</v>
      </c>
      <c r="AB350" s="9">
        <f t="shared" si="155"/>
        <v>3.4000000000000004</v>
      </c>
      <c r="AC350" s="41"/>
      <c r="AD350" s="427">
        <f>IF(AH350&gt;AH349,AD349,IF(AD349&lt;MiscData!$F$1,EOMONTH(AD349,1),EOMONTH(AD349,-11)))</f>
        <v>42490</v>
      </c>
      <c r="AE350" s="414" t="str">
        <f t="shared" si="142"/>
        <v>20140101KUUM_497</v>
      </c>
      <c r="AF350" s="466" t="str">
        <f t="shared" si="143"/>
        <v>20140101LS</v>
      </c>
      <c r="AG350" s="467"/>
      <c r="AH350" s="41">
        <f>IF(AH349=MiscData!$AB$91,1,AH349+1)</f>
        <v>85</v>
      </c>
      <c r="AI350">
        <f>IF(AD350&lt;=MiscData!$B$23,MiscData!$C$23,IF(AD350&lt;=MiscData!$B$24,MiscData!$C$24,MiscData!$C$25))</f>
        <v>20140101</v>
      </c>
      <c r="AJ350" s="41"/>
      <c r="AK350" s="468" t="str">
        <f>VLOOKUP(AM350,MiscData!$AB$4:$ACB$113,2,FALSE)</f>
        <v>KUUM_497</v>
      </c>
      <c r="AL350" s="468" t="str">
        <f>VLOOKUP(AM350,MiscData!$AB$4:$AE$115,4,FALSE)</f>
        <v>LS</v>
      </c>
      <c r="AM350" s="469">
        <f>IF(AM349=MiscData!$AB$91,1,AM349+1)</f>
        <v>85</v>
      </c>
    </row>
    <row r="351" spans="1:39">
      <c r="A351" s="413">
        <f t="shared" si="151"/>
        <v>350</v>
      </c>
      <c r="B351" s="427" t="str">
        <f t="shared" si="144"/>
        <v>Apr 2016</v>
      </c>
      <c r="C351" s="428" t="str">
        <f t="shared" si="145"/>
        <v>LS</v>
      </c>
      <c r="D351" s="428" t="str">
        <f t="shared" si="146"/>
        <v>KUUM_498</v>
      </c>
      <c r="E351" s="425">
        <f t="shared" si="132"/>
        <v>12</v>
      </c>
      <c r="F351" s="429"/>
      <c r="G351" s="425">
        <f t="shared" si="133"/>
        <v>0</v>
      </c>
      <c r="H351" s="425">
        <v>0</v>
      </c>
      <c r="I351" s="415">
        <f t="shared" si="147"/>
        <v>17.72</v>
      </c>
      <c r="J351" s="415">
        <f t="shared" si="148"/>
        <v>2.33</v>
      </c>
      <c r="K351" s="416">
        <f t="shared" si="152"/>
        <v>212.64</v>
      </c>
      <c r="L351" s="430"/>
      <c r="M351" s="430"/>
      <c r="N351" s="186">
        <f t="shared" si="125"/>
        <v>212.64</v>
      </c>
      <c r="O351" s="431">
        <f t="shared" si="134"/>
        <v>0</v>
      </c>
      <c r="P351" s="417">
        <f t="shared" si="153"/>
        <v>0</v>
      </c>
      <c r="Q351" s="186">
        <f t="shared" si="135"/>
        <v>0</v>
      </c>
      <c r="R351" s="186">
        <f t="shared" si="136"/>
        <v>0</v>
      </c>
      <c r="S351" s="186">
        <f t="shared" si="137"/>
        <v>0</v>
      </c>
      <c r="T351" s="186">
        <f t="shared" si="138"/>
        <v>0</v>
      </c>
      <c r="U351" s="186">
        <f t="shared" si="139"/>
        <v>0</v>
      </c>
      <c r="V351" s="418">
        <f t="shared" si="140"/>
        <v>212.64</v>
      </c>
      <c r="W351" s="418">
        <f t="shared" si="141"/>
        <v>-212.64</v>
      </c>
      <c r="X351" s="41"/>
      <c r="Y351" s="418">
        <f t="shared" si="154"/>
        <v>27.96</v>
      </c>
      <c r="Z351" s="418">
        <f t="shared" si="149"/>
        <v>-27.96</v>
      </c>
      <c r="AA351" s="11">
        <f t="shared" si="150"/>
        <v>0.57999999999999996</v>
      </c>
      <c r="AB351" s="9">
        <f t="shared" si="155"/>
        <v>6.9599999999999991</v>
      </c>
      <c r="AC351" s="41"/>
      <c r="AD351" s="427">
        <f>IF(AH351&gt;AH350,AD350,IF(AD350&lt;MiscData!$F$1,EOMONTH(AD350,1),EOMONTH(AD350,-11)))</f>
        <v>42490</v>
      </c>
      <c r="AE351" s="414" t="str">
        <f t="shared" si="142"/>
        <v>20140101KUUM_498</v>
      </c>
      <c r="AF351" s="466" t="str">
        <f t="shared" si="143"/>
        <v>20140101LS</v>
      </c>
      <c r="AG351" s="467"/>
      <c r="AH351" s="41">
        <f>IF(AH350=MiscData!$AB$91,1,AH350+1)</f>
        <v>86</v>
      </c>
      <c r="AI351">
        <f>IF(AD351&lt;=MiscData!$B$23,MiscData!$C$23,IF(AD351&lt;=MiscData!$B$24,MiscData!$C$24,MiscData!$C$25))</f>
        <v>20140101</v>
      </c>
      <c r="AJ351" s="41"/>
      <c r="AK351" s="468" t="str">
        <f>VLOOKUP(AM351,MiscData!$AB$4:$ACB$113,2,FALSE)</f>
        <v>KUUM_498</v>
      </c>
      <c r="AL351" s="468" t="str">
        <f>VLOOKUP(AM351,MiscData!$AB$4:$AE$115,4,FALSE)</f>
        <v>LS</v>
      </c>
      <c r="AM351" s="469">
        <f>IF(AM350=MiscData!$AB$91,1,AM350+1)</f>
        <v>86</v>
      </c>
    </row>
    <row r="352" spans="1:39">
      <c r="A352" s="413">
        <f t="shared" si="151"/>
        <v>351</v>
      </c>
      <c r="B352" s="427" t="str">
        <f t="shared" si="144"/>
        <v>Apr 2016</v>
      </c>
      <c r="C352" s="428" t="str">
        <f t="shared" si="145"/>
        <v>LS</v>
      </c>
      <c r="D352" s="428" t="str">
        <f t="shared" si="146"/>
        <v>KUUM_499</v>
      </c>
      <c r="E352" s="425">
        <f t="shared" si="132"/>
        <v>24</v>
      </c>
      <c r="F352" s="429"/>
      <c r="G352" s="425">
        <f t="shared" si="133"/>
        <v>0</v>
      </c>
      <c r="H352" s="425">
        <v>0</v>
      </c>
      <c r="I352" s="415">
        <f t="shared" si="147"/>
        <v>21.490000000000002</v>
      </c>
      <c r="J352" s="415">
        <f t="shared" si="148"/>
        <v>4.5300000000000011</v>
      </c>
      <c r="K352" s="416">
        <f t="shared" si="152"/>
        <v>515.76</v>
      </c>
      <c r="L352" s="430"/>
      <c r="M352" s="430"/>
      <c r="N352" s="186">
        <f t="shared" ref="N352:N374" si="156">SUM(K352:M352)</f>
        <v>515.76</v>
      </c>
      <c r="O352" s="431">
        <f t="shared" si="134"/>
        <v>0</v>
      </c>
      <c r="P352" s="417">
        <f t="shared" si="153"/>
        <v>0</v>
      </c>
      <c r="Q352" s="186">
        <f t="shared" si="135"/>
        <v>0</v>
      </c>
      <c r="R352" s="186">
        <f t="shared" si="136"/>
        <v>0</v>
      </c>
      <c r="S352" s="186">
        <f t="shared" si="137"/>
        <v>0</v>
      </c>
      <c r="T352" s="186">
        <f t="shared" si="138"/>
        <v>0</v>
      </c>
      <c r="U352" s="186">
        <f t="shared" si="139"/>
        <v>0</v>
      </c>
      <c r="V352" s="418">
        <f t="shared" si="140"/>
        <v>515.76</v>
      </c>
      <c r="W352" s="418">
        <f t="shared" si="141"/>
        <v>-515.76</v>
      </c>
      <c r="X352" s="41"/>
      <c r="Y352" s="418">
        <f t="shared" si="154"/>
        <v>108.72</v>
      </c>
      <c r="Z352" s="418">
        <f t="shared" si="149"/>
        <v>-108.72</v>
      </c>
      <c r="AA352" s="11">
        <f t="shared" si="150"/>
        <v>0.79</v>
      </c>
      <c r="AB352" s="9">
        <f t="shared" si="155"/>
        <v>18.96</v>
      </c>
      <c r="AC352" s="41"/>
      <c r="AD352" s="427">
        <f>IF(AH352&gt;AH351,AD351,IF(AD351&lt;MiscData!$F$1,EOMONTH(AD351,1),EOMONTH(AD351,-11)))</f>
        <v>42490</v>
      </c>
      <c r="AE352" s="414" t="str">
        <f t="shared" si="142"/>
        <v>20140101KUUM_499</v>
      </c>
      <c r="AF352" s="466" t="str">
        <f t="shared" si="143"/>
        <v>20140101LS</v>
      </c>
      <c r="AG352" s="467"/>
      <c r="AH352" s="41">
        <f>IF(AH351=MiscData!$AB$91,1,AH351+1)</f>
        <v>87</v>
      </c>
      <c r="AI352">
        <f>IF(AD352&lt;=MiscData!$B$23,MiscData!$C$23,IF(AD352&lt;=MiscData!$B$24,MiscData!$C$24,MiscData!$C$25))</f>
        <v>20140101</v>
      </c>
      <c r="AJ352" s="41"/>
      <c r="AK352" s="468" t="str">
        <f>VLOOKUP(AM352,MiscData!$AB$4:$ACB$113,2,FALSE)</f>
        <v>KUUM_499</v>
      </c>
      <c r="AL352" s="468" t="str">
        <f>VLOOKUP(AM352,MiscData!$AB$4:$AE$115,4,FALSE)</f>
        <v>LS</v>
      </c>
      <c r="AM352" s="469">
        <f>IF(AM351=MiscData!$AB$91,1,AM351+1)</f>
        <v>87</v>
      </c>
    </row>
    <row r="353" spans="1:39">
      <c r="A353" s="414">
        <f t="shared" si="151"/>
        <v>352</v>
      </c>
      <c r="B353" s="427" t="str">
        <f t="shared" si="144"/>
        <v>Apr 2016</v>
      </c>
      <c r="C353" s="428" t="str">
        <f t="shared" si="145"/>
        <v>ODL</v>
      </c>
      <c r="D353" s="428" t="str">
        <f t="shared" si="146"/>
        <v>ODL</v>
      </c>
      <c r="E353" s="425">
        <f t="shared" si="132"/>
        <v>0</v>
      </c>
      <c r="F353" s="429"/>
      <c r="G353" s="425">
        <f t="shared" si="133"/>
        <v>8978325</v>
      </c>
      <c r="H353" s="425">
        <v>0</v>
      </c>
      <c r="I353" s="415">
        <f t="shared" si="147"/>
        <v>0</v>
      </c>
      <c r="J353" s="415">
        <f t="shared" si="148"/>
        <v>0</v>
      </c>
      <c r="K353" s="416">
        <f t="shared" si="152"/>
        <v>0</v>
      </c>
      <c r="L353" s="430"/>
      <c r="M353" s="430"/>
      <c r="N353" s="186">
        <f t="shared" si="156"/>
        <v>0</v>
      </c>
      <c r="O353" s="431">
        <f t="shared" si="134"/>
        <v>2131619</v>
      </c>
      <c r="P353" s="417">
        <f t="shared" si="153"/>
        <v>0</v>
      </c>
      <c r="Q353" s="186">
        <f t="shared" si="135"/>
        <v>34795</v>
      </c>
      <c r="R353" s="186">
        <f t="shared" si="136"/>
        <v>0</v>
      </c>
      <c r="S353" s="186">
        <f t="shared" si="137"/>
        <v>67369</v>
      </c>
      <c r="T353" s="186">
        <f t="shared" si="138"/>
        <v>0</v>
      </c>
      <c r="U353" s="186">
        <f t="shared" si="139"/>
        <v>2233783</v>
      </c>
      <c r="V353" s="418">
        <f t="shared" si="140"/>
        <v>102164</v>
      </c>
      <c r="W353" s="418">
        <f t="shared" si="141"/>
        <v>2131619</v>
      </c>
      <c r="X353" s="41"/>
      <c r="Y353" s="418">
        <f t="shared" si="154"/>
        <v>0</v>
      </c>
      <c r="Z353" s="418">
        <f t="shared" si="149"/>
        <v>2131619</v>
      </c>
      <c r="AA353" s="11">
        <f t="shared" si="150"/>
        <v>0</v>
      </c>
      <c r="AB353" s="9">
        <f t="shared" si="155"/>
        <v>0</v>
      </c>
      <c r="AC353" s="41"/>
      <c r="AD353" s="427">
        <f>IF(AH353&gt;AH352,AD352,IF(AD352&lt;MiscData!$F$1,EOMONTH(AD352,1),EOMONTH(AD352,-11)))</f>
        <v>42490</v>
      </c>
      <c r="AE353" s="414" t="str">
        <f t="shared" si="142"/>
        <v>20140101ODL</v>
      </c>
      <c r="AF353" s="466" t="str">
        <f t="shared" si="143"/>
        <v>20140101ODL</v>
      </c>
      <c r="AG353" s="467"/>
      <c r="AH353" s="41">
        <f>IF(AH352=MiscData!$AB$91,1,AH352+1)</f>
        <v>88</v>
      </c>
      <c r="AI353" s="41">
        <f>IF(AD353&lt;=MiscData!$B$23,MiscData!$C$23,IF(AD353&lt;=MiscData!$B$24,MiscData!$C$24,MiscData!$C$25))</f>
        <v>20140101</v>
      </c>
      <c r="AJ353" s="41"/>
      <c r="AK353" s="468" t="str">
        <f>VLOOKUP(AM353,MiscData!$AB$4:$ACB$113,2,FALSE)</f>
        <v>ODL</v>
      </c>
      <c r="AL353" s="468" t="str">
        <f>VLOOKUP(AM353,MiscData!$AB$4:$AE$115,4,FALSE)</f>
        <v>ODL</v>
      </c>
      <c r="AM353" s="41">
        <f>IF(AM352=MiscData!$AB$91,1,AM352+1)</f>
        <v>88</v>
      </c>
    </row>
    <row r="354" spans="1:39">
      <c r="A354" s="413">
        <f t="shared" si="151"/>
        <v>353</v>
      </c>
      <c r="B354" s="427" t="str">
        <f t="shared" ref="B354:B377" si="157">TEXT(AD354,"mmm yyyy")</f>
        <v>May 2016</v>
      </c>
      <c r="C354" s="428" t="str">
        <f t="shared" ref="C354:C377" si="158">AL354</f>
        <v>LS</v>
      </c>
      <c r="D354" s="428" t="str">
        <f t="shared" ref="D354:D377" si="159">AK354</f>
        <v>KUUM_300</v>
      </c>
      <c r="E354" s="425">
        <f t="shared" si="132"/>
        <v>0</v>
      </c>
      <c r="F354" s="429"/>
      <c r="G354" s="425">
        <f t="shared" si="133"/>
        <v>0</v>
      </c>
      <c r="H354" s="425"/>
      <c r="I354" s="415">
        <f t="shared" ref="I354:I377" si="160">SUMIF(_Lights_Tariff_Category,$AE354,_Lights_Rates)</f>
        <v>22.49</v>
      </c>
      <c r="J354" s="415">
        <f t="shared" ref="J354:J377" si="161">SUMIF(_Lights_Tariff_Category,$AE354,_Rates_Lights_BaseFAC)</f>
        <v>0.58000000000000185</v>
      </c>
      <c r="K354" s="416">
        <f t="shared" si="152"/>
        <v>0</v>
      </c>
      <c r="L354" s="430"/>
      <c r="M354" s="430"/>
      <c r="N354" s="186">
        <f t="shared" si="156"/>
        <v>0</v>
      </c>
      <c r="O354" s="431">
        <f t="shared" si="134"/>
        <v>0</v>
      </c>
      <c r="P354" s="417">
        <f t="shared" si="153"/>
        <v>1</v>
      </c>
      <c r="Q354" s="186">
        <f t="shared" si="135"/>
        <v>0</v>
      </c>
      <c r="R354" s="186">
        <f t="shared" si="136"/>
        <v>0</v>
      </c>
      <c r="S354" s="186">
        <f t="shared" si="137"/>
        <v>0</v>
      </c>
      <c r="T354" s="186">
        <f t="shared" si="138"/>
        <v>0</v>
      </c>
      <c r="U354" s="186">
        <f t="shared" si="139"/>
        <v>0</v>
      </c>
      <c r="V354" s="418">
        <f t="shared" si="140"/>
        <v>0</v>
      </c>
      <c r="W354" s="418">
        <f t="shared" si="141"/>
        <v>0</v>
      </c>
      <c r="X354" s="41"/>
      <c r="Y354" s="418">
        <f t="shared" si="154"/>
        <v>0</v>
      </c>
      <c r="Z354" s="418">
        <f t="shared" si="149"/>
        <v>0</v>
      </c>
      <c r="AA354" s="11">
        <f t="shared" si="150"/>
        <v>0.33</v>
      </c>
      <c r="AB354" s="9">
        <f t="shared" si="155"/>
        <v>0</v>
      </c>
      <c r="AC354" s="41"/>
      <c r="AD354" s="427">
        <f>IF(AH354&gt;AH353,AD353,IF(AD353&lt;MiscData!$F$1,EOMONTH(AD353,1),EOMONTH(AD353,-11)))</f>
        <v>42521</v>
      </c>
      <c r="AE354" s="414" t="str">
        <f t="shared" si="142"/>
        <v>20140101KUUM_300</v>
      </c>
      <c r="AF354" s="466" t="str">
        <f t="shared" si="143"/>
        <v>20140101LS</v>
      </c>
      <c r="AG354" s="467"/>
      <c r="AH354" s="41">
        <f>IF(AH353=MiscData!$AB$91,1,AH353+1)</f>
        <v>1</v>
      </c>
      <c r="AI354">
        <f>IF(AD354&lt;=MiscData!$B$23,MiscData!$C$23,IF(AD354&lt;=MiscData!$B$24,MiscData!$C$24,MiscData!$C$25))</f>
        <v>20140101</v>
      </c>
      <c r="AJ354" s="41"/>
      <c r="AK354" s="468" t="str">
        <f>VLOOKUP(AM354,MiscData!$AB$4:$ACB$113,2,FALSE)</f>
        <v>KUUM_300</v>
      </c>
      <c r="AL354" s="468" t="str">
        <f>VLOOKUP(AM354,MiscData!$AB$4:$AE$115,4,FALSE)</f>
        <v>LS</v>
      </c>
      <c r="AM354" s="469">
        <f>IF(AM353=MiscData!$AB$91,1,AM353+1)</f>
        <v>1</v>
      </c>
    </row>
    <row r="355" spans="1:39">
      <c r="A355" s="413">
        <f t="shared" si="151"/>
        <v>354</v>
      </c>
      <c r="B355" s="427" t="str">
        <f t="shared" si="157"/>
        <v>May 2016</v>
      </c>
      <c r="C355" s="428" t="str">
        <f t="shared" si="158"/>
        <v>LS</v>
      </c>
      <c r="D355" s="428" t="str">
        <f t="shared" si="159"/>
        <v>KUUM_301</v>
      </c>
      <c r="E355" s="425">
        <f t="shared" si="132"/>
        <v>0</v>
      </c>
      <c r="F355" s="429"/>
      <c r="G355" s="425">
        <f t="shared" si="133"/>
        <v>0</v>
      </c>
      <c r="H355" s="425"/>
      <c r="I355" s="415">
        <f t="shared" si="160"/>
        <v>23.5</v>
      </c>
      <c r="J355" s="415">
        <f t="shared" si="161"/>
        <v>1.129999999999999</v>
      </c>
      <c r="K355" s="416">
        <f t="shared" si="152"/>
        <v>0</v>
      </c>
      <c r="L355" s="430"/>
      <c r="M355" s="430"/>
      <c r="N355" s="186">
        <f t="shared" si="156"/>
        <v>0</v>
      </c>
      <c r="O355" s="431">
        <f t="shared" si="134"/>
        <v>0</v>
      </c>
      <c r="P355" s="417">
        <f t="shared" si="153"/>
        <v>1</v>
      </c>
      <c r="Q355" s="186">
        <f t="shared" si="135"/>
        <v>0</v>
      </c>
      <c r="R355" s="186">
        <f t="shared" si="136"/>
        <v>0</v>
      </c>
      <c r="S355" s="186">
        <f t="shared" si="137"/>
        <v>0</v>
      </c>
      <c r="T355" s="186">
        <f t="shared" si="138"/>
        <v>0</v>
      </c>
      <c r="U355" s="186">
        <f t="shared" si="139"/>
        <v>0</v>
      </c>
      <c r="V355" s="418">
        <f t="shared" si="140"/>
        <v>0</v>
      </c>
      <c r="W355" s="418">
        <f t="shared" si="141"/>
        <v>0</v>
      </c>
      <c r="X355" s="41"/>
      <c r="Y355" s="418">
        <f t="shared" ref="Y355:Y378" si="162">ROUND(E355*J355,2)</f>
        <v>0</v>
      </c>
      <c r="Z355" s="418">
        <f t="shared" si="149"/>
        <v>0</v>
      </c>
      <c r="AA355" s="11">
        <f t="shared" si="150"/>
        <v>0.34</v>
      </c>
      <c r="AB355" s="9">
        <f t="shared" si="155"/>
        <v>0</v>
      </c>
      <c r="AC355" s="41"/>
      <c r="AD355" s="427">
        <f>IF(AH355&gt;AH354,AD354,IF(AD354&lt;MiscData!$F$1,EOMONTH(AD354,1),EOMONTH(AD354,-11)))</f>
        <v>42521</v>
      </c>
      <c r="AE355" s="414" t="str">
        <f t="shared" si="142"/>
        <v>20140101KUUM_301</v>
      </c>
      <c r="AF355" s="466" t="str">
        <f t="shared" si="143"/>
        <v>20140101LS</v>
      </c>
      <c r="AG355" s="467"/>
      <c r="AH355" s="41">
        <f>IF(AH354=MiscData!$AB$91,1,AH354+1)</f>
        <v>2</v>
      </c>
      <c r="AI355">
        <f>IF(AD355&lt;=MiscData!$B$23,MiscData!$C$23,IF(AD355&lt;=MiscData!$B$24,MiscData!$C$24,MiscData!$C$25))</f>
        <v>20140101</v>
      </c>
      <c r="AJ355" s="41"/>
      <c r="AK355" s="468" t="str">
        <f>VLOOKUP(AM355,MiscData!$AB$4:$ACB$113,2,FALSE)</f>
        <v>KUUM_301</v>
      </c>
      <c r="AL355" s="468" t="str">
        <f>VLOOKUP(AM355,MiscData!$AB$4:$AE$115,4,FALSE)</f>
        <v>LS</v>
      </c>
      <c r="AM355" s="469">
        <f>IF(AM354=MiscData!$AB$91,1,AM354+1)</f>
        <v>2</v>
      </c>
    </row>
    <row r="356" spans="1:39">
      <c r="A356" s="413">
        <f t="shared" si="151"/>
        <v>355</v>
      </c>
      <c r="B356" s="427" t="str">
        <f t="shared" si="157"/>
        <v>May 2016</v>
      </c>
      <c r="C356" s="428" t="str">
        <f t="shared" si="158"/>
        <v>LS</v>
      </c>
      <c r="D356" s="428" t="str">
        <f t="shared" si="159"/>
        <v>KUUM_360</v>
      </c>
      <c r="E356" s="425">
        <f t="shared" si="132"/>
        <v>179</v>
      </c>
      <c r="F356" s="429"/>
      <c r="G356" s="425">
        <f t="shared" si="133"/>
        <v>0</v>
      </c>
      <c r="H356" s="425">
        <v>0</v>
      </c>
      <c r="I356" s="415">
        <f t="shared" si="160"/>
        <v>55.33</v>
      </c>
      <c r="J356" s="415">
        <f t="shared" si="161"/>
        <v>1.75</v>
      </c>
      <c r="K356" s="416">
        <f t="shared" si="152"/>
        <v>9904.07</v>
      </c>
      <c r="L356" s="430"/>
      <c r="M356" s="430"/>
      <c r="N356" s="186">
        <f t="shared" si="156"/>
        <v>9904.07</v>
      </c>
      <c r="O356" s="431">
        <f t="shared" si="134"/>
        <v>0</v>
      </c>
      <c r="P356" s="417">
        <f t="shared" si="153"/>
        <v>0</v>
      </c>
      <c r="Q356" s="186">
        <f t="shared" si="135"/>
        <v>0</v>
      </c>
      <c r="R356" s="186">
        <f t="shared" si="136"/>
        <v>0</v>
      </c>
      <c r="S356" s="186">
        <f t="shared" si="137"/>
        <v>0</v>
      </c>
      <c r="T356" s="186">
        <f t="shared" si="138"/>
        <v>0</v>
      </c>
      <c r="U356" s="186">
        <f t="shared" si="139"/>
        <v>0</v>
      </c>
      <c r="V356" s="418">
        <f t="shared" si="140"/>
        <v>9904.07</v>
      </c>
      <c r="W356" s="418">
        <f t="shared" si="141"/>
        <v>-9904.07</v>
      </c>
      <c r="X356" s="41"/>
      <c r="Y356" s="418">
        <f t="shared" si="162"/>
        <v>313.25</v>
      </c>
      <c r="Z356" s="418">
        <f t="shared" si="149"/>
        <v>-313.25</v>
      </c>
      <c r="AA356" s="11">
        <f t="shared" si="150"/>
        <v>2.41</v>
      </c>
      <c r="AB356" s="9">
        <f t="shared" si="155"/>
        <v>431.39000000000004</v>
      </c>
      <c r="AC356" s="41"/>
      <c r="AD356" s="427">
        <f>IF(AH356&gt;AH355,AD355,IF(AD355&lt;MiscData!$F$1,EOMONTH(AD355,1),EOMONTH(AD355,-11)))</f>
        <v>42521</v>
      </c>
      <c r="AE356" s="414" t="str">
        <f t="shared" si="142"/>
        <v>20140101KUUM_360</v>
      </c>
      <c r="AF356" s="466" t="str">
        <f t="shared" si="143"/>
        <v>20140101LS</v>
      </c>
      <c r="AG356" s="467"/>
      <c r="AH356" s="41">
        <f>IF(AH355=MiscData!$AB$91,1,AH355+1)</f>
        <v>3</v>
      </c>
      <c r="AI356">
        <f>IF(AD356&lt;=MiscData!$B$23,MiscData!$C$23,IF(AD356&lt;=MiscData!$B$24,MiscData!$C$24,MiscData!$C$25))</f>
        <v>20140101</v>
      </c>
      <c r="AJ356" s="41"/>
      <c r="AK356" s="468" t="str">
        <f>VLOOKUP(AM356,MiscData!$AB$4:$ACB$113,2,FALSE)</f>
        <v>KUUM_360</v>
      </c>
      <c r="AL356" s="468" t="str">
        <f>VLOOKUP(AM356,MiscData!$AB$4:$AE$115,4,FALSE)</f>
        <v>LS</v>
      </c>
      <c r="AM356" s="469">
        <f>IF(AM355=MiscData!$AB$91,1,AM355+1)</f>
        <v>3</v>
      </c>
    </row>
    <row r="357" spans="1:39">
      <c r="A357" s="413">
        <f t="shared" si="151"/>
        <v>356</v>
      </c>
      <c r="B357" s="427" t="str">
        <f t="shared" si="157"/>
        <v>May 2016</v>
      </c>
      <c r="C357" s="428" t="str">
        <f t="shared" si="158"/>
        <v>LS</v>
      </c>
      <c r="D357" s="428" t="str">
        <f t="shared" si="159"/>
        <v>KUUM_361</v>
      </c>
      <c r="E357" s="425">
        <f t="shared" si="132"/>
        <v>25</v>
      </c>
      <c r="F357" s="429"/>
      <c r="G357" s="425">
        <f t="shared" si="133"/>
        <v>0</v>
      </c>
      <c r="H357" s="425">
        <v>0</v>
      </c>
      <c r="I357" s="415">
        <f t="shared" si="160"/>
        <v>83.16</v>
      </c>
      <c r="J357" s="415">
        <f t="shared" si="161"/>
        <v>1.75</v>
      </c>
      <c r="K357" s="416">
        <f t="shared" si="152"/>
        <v>2079</v>
      </c>
      <c r="L357" s="430"/>
      <c r="M357" s="430"/>
      <c r="N357" s="186">
        <f t="shared" si="156"/>
        <v>2079</v>
      </c>
      <c r="O357" s="431">
        <f t="shared" si="134"/>
        <v>0</v>
      </c>
      <c r="P357" s="417">
        <f t="shared" si="153"/>
        <v>0</v>
      </c>
      <c r="Q357" s="186">
        <f t="shared" si="135"/>
        <v>0</v>
      </c>
      <c r="R357" s="186">
        <f t="shared" si="136"/>
        <v>0</v>
      </c>
      <c r="S357" s="186">
        <f t="shared" si="137"/>
        <v>0</v>
      </c>
      <c r="T357" s="186">
        <f t="shared" si="138"/>
        <v>0</v>
      </c>
      <c r="U357" s="186">
        <f t="shared" si="139"/>
        <v>0</v>
      </c>
      <c r="V357" s="418">
        <f t="shared" si="140"/>
        <v>2079</v>
      </c>
      <c r="W357" s="418">
        <f t="shared" si="141"/>
        <v>-2079</v>
      </c>
      <c r="X357" s="41"/>
      <c r="Y357" s="418">
        <f t="shared" si="162"/>
        <v>43.75</v>
      </c>
      <c r="Z357" s="418">
        <f t="shared" si="149"/>
        <v>-43.75</v>
      </c>
      <c r="AA357" s="11">
        <f t="shared" si="150"/>
        <v>2.41</v>
      </c>
      <c r="AB357" s="9">
        <f t="shared" si="155"/>
        <v>60.25</v>
      </c>
      <c r="AC357" s="41"/>
      <c r="AD357" s="427">
        <f>IF(AH357&gt;AH356,AD356,IF(AD356&lt;MiscData!$F$1,EOMONTH(AD356,1),EOMONTH(AD356,-11)))</f>
        <v>42521</v>
      </c>
      <c r="AE357" s="414" t="str">
        <f t="shared" si="142"/>
        <v>20140101KUUM_361</v>
      </c>
      <c r="AF357" s="466" t="str">
        <f t="shared" si="143"/>
        <v>20140101LS</v>
      </c>
      <c r="AG357" s="467"/>
      <c r="AH357" s="41">
        <f>IF(AH356=MiscData!$AB$91,1,AH356+1)</f>
        <v>4</v>
      </c>
      <c r="AI357">
        <f>IF(AD357&lt;=MiscData!$B$23,MiscData!$C$23,IF(AD357&lt;=MiscData!$B$24,MiscData!$C$24,MiscData!$C$25))</f>
        <v>20140101</v>
      </c>
      <c r="AJ357" s="41"/>
      <c r="AK357" s="468" t="str">
        <f>VLOOKUP(AM357,MiscData!$AB$4:$ACB$113,2,FALSE)</f>
        <v>KUUM_361</v>
      </c>
      <c r="AL357" s="468" t="str">
        <f>VLOOKUP(AM357,MiscData!$AB$4:$AE$115,4,FALSE)</f>
        <v>LS</v>
      </c>
      <c r="AM357" s="469">
        <f>IF(AM356=MiscData!$AB$91,1,AM356+1)</f>
        <v>4</v>
      </c>
    </row>
    <row r="358" spans="1:39">
      <c r="A358" s="413">
        <f t="shared" si="151"/>
        <v>357</v>
      </c>
      <c r="B358" s="427" t="str">
        <f t="shared" si="157"/>
        <v>May 2016</v>
      </c>
      <c r="C358" s="428" t="str">
        <f t="shared" si="158"/>
        <v>LS</v>
      </c>
      <c r="D358" s="428" t="str">
        <f t="shared" si="159"/>
        <v>KUUM_362</v>
      </c>
      <c r="E358" s="425">
        <f t="shared" si="132"/>
        <v>43</v>
      </c>
      <c r="F358" s="429"/>
      <c r="G358" s="425">
        <f t="shared" si="133"/>
        <v>0</v>
      </c>
      <c r="H358" s="425">
        <v>0</v>
      </c>
      <c r="I358" s="415">
        <f t="shared" si="160"/>
        <v>59.78</v>
      </c>
      <c r="J358" s="415">
        <f t="shared" si="161"/>
        <v>1.75</v>
      </c>
      <c r="K358" s="416">
        <f t="shared" si="152"/>
        <v>2570.54</v>
      </c>
      <c r="L358" s="430"/>
      <c r="M358" s="430"/>
      <c r="N358" s="186">
        <f t="shared" si="156"/>
        <v>2570.54</v>
      </c>
      <c r="O358" s="431">
        <f t="shared" si="134"/>
        <v>0</v>
      </c>
      <c r="P358" s="417">
        <f t="shared" si="153"/>
        <v>0</v>
      </c>
      <c r="Q358" s="186">
        <f t="shared" si="135"/>
        <v>0</v>
      </c>
      <c r="R358" s="186">
        <f t="shared" si="136"/>
        <v>0</v>
      </c>
      <c r="S358" s="186">
        <f t="shared" si="137"/>
        <v>0</v>
      </c>
      <c r="T358" s="186">
        <f t="shared" si="138"/>
        <v>0</v>
      </c>
      <c r="U358" s="186">
        <f t="shared" si="139"/>
        <v>0</v>
      </c>
      <c r="V358" s="418">
        <f t="shared" si="140"/>
        <v>2570.54</v>
      </c>
      <c r="W358" s="418">
        <f t="shared" si="141"/>
        <v>-2570.54</v>
      </c>
      <c r="X358" s="41"/>
      <c r="Y358" s="418">
        <f t="shared" si="162"/>
        <v>75.25</v>
      </c>
      <c r="Z358" s="418">
        <f t="shared" si="149"/>
        <v>-75.25</v>
      </c>
      <c r="AA358" s="11">
        <f t="shared" si="150"/>
        <v>2.41</v>
      </c>
      <c r="AB358" s="9">
        <f t="shared" si="155"/>
        <v>103.63000000000001</v>
      </c>
      <c r="AC358" s="41"/>
      <c r="AD358" s="427">
        <f>IF(AH358&gt;AH357,AD357,IF(AD357&lt;MiscData!$F$1,EOMONTH(AD357,1),EOMONTH(AD357,-11)))</f>
        <v>42521</v>
      </c>
      <c r="AE358" s="414" t="str">
        <f t="shared" si="142"/>
        <v>20140101KUUM_362</v>
      </c>
      <c r="AF358" s="466" t="str">
        <f t="shared" si="143"/>
        <v>20140101LS</v>
      </c>
      <c r="AG358" s="467"/>
      <c r="AH358" s="41">
        <f>IF(AH357=MiscData!$AB$91,1,AH357+1)</f>
        <v>5</v>
      </c>
      <c r="AI358">
        <f>IF(AD358&lt;=MiscData!$B$23,MiscData!$C$23,IF(AD358&lt;=MiscData!$B$24,MiscData!$C$24,MiscData!$C$25))</f>
        <v>20140101</v>
      </c>
      <c r="AJ358" s="41"/>
      <c r="AK358" s="468" t="str">
        <f>VLOOKUP(AM358,MiscData!$AB$4:$ACB$113,2,FALSE)</f>
        <v>KUUM_362</v>
      </c>
      <c r="AL358" s="468" t="str">
        <f>VLOOKUP(AM358,MiscData!$AB$4:$AE$115,4,FALSE)</f>
        <v>LS</v>
      </c>
      <c r="AM358" s="469">
        <f>IF(AM357=MiscData!$AB$91,1,AM357+1)</f>
        <v>5</v>
      </c>
    </row>
    <row r="359" spans="1:39">
      <c r="A359" s="413">
        <f t="shared" si="151"/>
        <v>358</v>
      </c>
      <c r="B359" s="427" t="str">
        <f t="shared" si="157"/>
        <v>May 2016</v>
      </c>
      <c r="C359" s="428" t="str">
        <f t="shared" si="158"/>
        <v>LS</v>
      </c>
      <c r="D359" s="428" t="str">
        <f t="shared" si="159"/>
        <v>KUUM_363</v>
      </c>
      <c r="E359" s="425">
        <f t="shared" si="132"/>
        <v>5</v>
      </c>
      <c r="F359" s="429"/>
      <c r="G359" s="425">
        <f t="shared" si="133"/>
        <v>0</v>
      </c>
      <c r="H359" s="425">
        <v>0</v>
      </c>
      <c r="I359" s="415">
        <f t="shared" si="160"/>
        <v>61.75</v>
      </c>
      <c r="J359" s="415">
        <f t="shared" si="161"/>
        <v>1.75</v>
      </c>
      <c r="K359" s="416">
        <f t="shared" si="152"/>
        <v>308.75</v>
      </c>
      <c r="L359" s="430"/>
      <c r="M359" s="430"/>
      <c r="N359" s="186">
        <f t="shared" si="156"/>
        <v>308.75</v>
      </c>
      <c r="O359" s="431">
        <f t="shared" si="134"/>
        <v>0</v>
      </c>
      <c r="P359" s="417">
        <f t="shared" si="153"/>
        <v>0</v>
      </c>
      <c r="Q359" s="186">
        <f t="shared" si="135"/>
        <v>0</v>
      </c>
      <c r="R359" s="186">
        <f t="shared" si="136"/>
        <v>0</v>
      </c>
      <c r="S359" s="186">
        <f t="shared" si="137"/>
        <v>0</v>
      </c>
      <c r="T359" s="186">
        <f t="shared" si="138"/>
        <v>0</v>
      </c>
      <c r="U359" s="186">
        <f t="shared" si="139"/>
        <v>0</v>
      </c>
      <c r="V359" s="418">
        <f t="shared" si="140"/>
        <v>308.75</v>
      </c>
      <c r="W359" s="418">
        <f t="shared" si="141"/>
        <v>-308.75</v>
      </c>
      <c r="X359" s="41"/>
      <c r="Y359" s="418">
        <f t="shared" si="162"/>
        <v>8.75</v>
      </c>
      <c r="Z359" s="418">
        <f t="shared" si="149"/>
        <v>-8.75</v>
      </c>
      <c r="AA359" s="11">
        <f t="shared" si="150"/>
        <v>2.41</v>
      </c>
      <c r="AB359" s="9">
        <f t="shared" si="155"/>
        <v>12.05</v>
      </c>
      <c r="AC359" s="41"/>
      <c r="AD359" s="427">
        <f>IF(AH359&gt;AH358,AD358,IF(AD358&lt;MiscData!$F$1,EOMONTH(AD358,1),EOMONTH(AD358,-11)))</f>
        <v>42521</v>
      </c>
      <c r="AE359" s="414" t="str">
        <f t="shared" si="142"/>
        <v>20140101KUUM_363</v>
      </c>
      <c r="AF359" s="466" t="str">
        <f t="shared" si="143"/>
        <v>20140101LS</v>
      </c>
      <c r="AG359" s="467"/>
      <c r="AH359" s="41">
        <f>IF(AH358=MiscData!$AB$91,1,AH358+1)</f>
        <v>6</v>
      </c>
      <c r="AI359">
        <f>IF(AD359&lt;=MiscData!$B$23,MiscData!$C$23,IF(AD359&lt;=MiscData!$B$24,MiscData!$C$24,MiscData!$C$25))</f>
        <v>20140101</v>
      </c>
      <c r="AJ359" s="41"/>
      <c r="AK359" s="468" t="str">
        <f>VLOOKUP(AM359,MiscData!$AB$4:$ACB$113,2,FALSE)</f>
        <v>KUUM_363</v>
      </c>
      <c r="AL359" s="468" t="str">
        <f>VLOOKUP(AM359,MiscData!$AB$4:$AE$115,4,FALSE)</f>
        <v>LS</v>
      </c>
      <c r="AM359" s="469">
        <f>IF(AM358=MiscData!$AB$91,1,AM358+1)</f>
        <v>6</v>
      </c>
    </row>
    <row r="360" spans="1:39">
      <c r="A360" s="413">
        <f t="shared" si="151"/>
        <v>359</v>
      </c>
      <c r="B360" s="427" t="str">
        <f t="shared" si="157"/>
        <v>May 2016</v>
      </c>
      <c r="C360" s="428" t="str">
        <f t="shared" si="158"/>
        <v>LS</v>
      </c>
      <c r="D360" s="428" t="str">
        <f t="shared" si="159"/>
        <v>KUUM_364</v>
      </c>
      <c r="E360" s="425">
        <f t="shared" si="132"/>
        <v>1</v>
      </c>
      <c r="F360" s="429"/>
      <c r="G360" s="425">
        <f t="shared" si="133"/>
        <v>0</v>
      </c>
      <c r="H360" s="425">
        <v>0</v>
      </c>
      <c r="I360" s="415">
        <f t="shared" si="160"/>
        <v>63.11</v>
      </c>
      <c r="J360" s="415">
        <f t="shared" si="161"/>
        <v>1.75</v>
      </c>
      <c r="K360" s="416">
        <f t="shared" si="152"/>
        <v>63.11</v>
      </c>
      <c r="L360" s="430"/>
      <c r="M360" s="430"/>
      <c r="N360" s="186">
        <f t="shared" si="156"/>
        <v>63.11</v>
      </c>
      <c r="O360" s="431">
        <f t="shared" si="134"/>
        <v>0</v>
      </c>
      <c r="P360" s="417">
        <f t="shared" si="153"/>
        <v>0</v>
      </c>
      <c r="Q360" s="186">
        <f t="shared" si="135"/>
        <v>0</v>
      </c>
      <c r="R360" s="186">
        <f t="shared" si="136"/>
        <v>0</v>
      </c>
      <c r="S360" s="186">
        <f t="shared" si="137"/>
        <v>0</v>
      </c>
      <c r="T360" s="186">
        <f t="shared" si="138"/>
        <v>0</v>
      </c>
      <c r="U360" s="186">
        <f t="shared" si="139"/>
        <v>0</v>
      </c>
      <c r="V360" s="418">
        <f t="shared" si="140"/>
        <v>63.11</v>
      </c>
      <c r="W360" s="418">
        <f t="shared" si="141"/>
        <v>-63.11</v>
      </c>
      <c r="X360" s="41"/>
      <c r="Y360" s="418">
        <f t="shared" si="162"/>
        <v>1.75</v>
      </c>
      <c r="Z360" s="418">
        <f t="shared" si="149"/>
        <v>-1.75</v>
      </c>
      <c r="AA360" s="11">
        <f t="shared" si="150"/>
        <v>2.41</v>
      </c>
      <c r="AB360" s="9">
        <f t="shared" si="155"/>
        <v>2.41</v>
      </c>
      <c r="AC360" s="41"/>
      <c r="AD360" s="427">
        <f>IF(AH360&gt;AH359,AD359,IF(AD359&lt;MiscData!$F$1,EOMONTH(AD359,1),EOMONTH(AD359,-11)))</f>
        <v>42521</v>
      </c>
      <c r="AE360" s="414" t="str">
        <f t="shared" si="142"/>
        <v>20140101KUUM_364</v>
      </c>
      <c r="AF360" s="466" t="str">
        <f t="shared" si="143"/>
        <v>20140101LS</v>
      </c>
      <c r="AG360" s="467"/>
      <c r="AH360" s="41">
        <f>IF(AH359=MiscData!$AB$91,1,AH359+1)</f>
        <v>7</v>
      </c>
      <c r="AI360">
        <f>IF(AD360&lt;=MiscData!$B$23,MiscData!$C$23,IF(AD360&lt;=MiscData!$B$24,MiscData!$C$24,MiscData!$C$25))</f>
        <v>20140101</v>
      </c>
      <c r="AJ360" s="41"/>
      <c r="AK360" s="468" t="str">
        <f>VLOOKUP(AM360,MiscData!$AB$4:$ACB$113,2,FALSE)</f>
        <v>KUUM_364</v>
      </c>
      <c r="AL360" s="468" t="str">
        <f>VLOOKUP(AM360,MiscData!$AB$4:$AE$115,4,FALSE)</f>
        <v>LS</v>
      </c>
      <c r="AM360" s="469">
        <f>IF(AM359=MiscData!$AB$91,1,AM359+1)</f>
        <v>7</v>
      </c>
    </row>
    <row r="361" spans="1:39">
      <c r="A361" s="413">
        <f t="shared" si="151"/>
        <v>360</v>
      </c>
      <c r="B361" s="427" t="str">
        <f t="shared" si="157"/>
        <v>May 2016</v>
      </c>
      <c r="C361" s="428" t="str">
        <f t="shared" si="158"/>
        <v>LS</v>
      </c>
      <c r="D361" s="428" t="str">
        <f t="shared" si="159"/>
        <v>KUUM_365</v>
      </c>
      <c r="E361" s="425">
        <f t="shared" si="132"/>
        <v>5</v>
      </c>
      <c r="F361" s="429"/>
      <c r="G361" s="425">
        <f t="shared" si="133"/>
        <v>0</v>
      </c>
      <c r="H361" s="425">
        <v>0</v>
      </c>
      <c r="I361" s="415">
        <f t="shared" si="160"/>
        <v>80.94</v>
      </c>
      <c r="J361" s="415">
        <f t="shared" si="161"/>
        <v>1.75</v>
      </c>
      <c r="K361" s="416">
        <f t="shared" si="152"/>
        <v>404.7</v>
      </c>
      <c r="L361" s="430"/>
      <c r="M361" s="430"/>
      <c r="N361" s="186">
        <f t="shared" si="156"/>
        <v>404.7</v>
      </c>
      <c r="O361" s="431">
        <f t="shared" si="134"/>
        <v>0</v>
      </c>
      <c r="P361" s="417">
        <f t="shared" si="153"/>
        <v>0</v>
      </c>
      <c r="Q361" s="186">
        <f t="shared" si="135"/>
        <v>0</v>
      </c>
      <c r="R361" s="186">
        <f t="shared" si="136"/>
        <v>0</v>
      </c>
      <c r="S361" s="186">
        <f t="shared" si="137"/>
        <v>0</v>
      </c>
      <c r="T361" s="186">
        <f t="shared" si="138"/>
        <v>0</v>
      </c>
      <c r="U361" s="186">
        <f t="shared" si="139"/>
        <v>0</v>
      </c>
      <c r="V361" s="418">
        <f t="shared" si="140"/>
        <v>404.7</v>
      </c>
      <c r="W361" s="418">
        <f t="shared" si="141"/>
        <v>-404.7</v>
      </c>
      <c r="X361" s="41"/>
      <c r="Y361" s="418">
        <f t="shared" si="162"/>
        <v>8.75</v>
      </c>
      <c r="Z361" s="418">
        <f t="shared" si="149"/>
        <v>-8.75</v>
      </c>
      <c r="AA361" s="11">
        <f t="shared" si="150"/>
        <v>2.41</v>
      </c>
      <c r="AB361" s="9">
        <f t="shared" si="155"/>
        <v>12.05</v>
      </c>
      <c r="AC361" s="41"/>
      <c r="AD361" s="427">
        <f>IF(AH361&gt;AH360,AD360,IF(AD360&lt;MiscData!$F$1,EOMONTH(AD360,1),EOMONTH(AD360,-11)))</f>
        <v>42521</v>
      </c>
      <c r="AE361" s="414" t="str">
        <f t="shared" si="142"/>
        <v>20140101KUUM_365</v>
      </c>
      <c r="AF361" s="466" t="str">
        <f t="shared" si="143"/>
        <v>20140101LS</v>
      </c>
      <c r="AG361" s="467"/>
      <c r="AH361" s="41">
        <f>IF(AH360=MiscData!$AB$91,1,AH360+1)</f>
        <v>8</v>
      </c>
      <c r="AI361">
        <f>IF(AD361&lt;=MiscData!$B$23,MiscData!$C$23,IF(AD361&lt;=MiscData!$B$24,MiscData!$C$24,MiscData!$C$25))</f>
        <v>20140101</v>
      </c>
      <c r="AJ361" s="41"/>
      <c r="AK361" s="468" t="str">
        <f>VLOOKUP(AM361,MiscData!$AB$4:$ACB$113,2,FALSE)</f>
        <v>KUUM_365</v>
      </c>
      <c r="AL361" s="468" t="str">
        <f>VLOOKUP(AM361,MiscData!$AB$4:$AE$115,4,FALSE)</f>
        <v>LS</v>
      </c>
      <c r="AM361" s="469">
        <f>IF(AM360=MiscData!$AB$91,1,AM360+1)</f>
        <v>8</v>
      </c>
    </row>
    <row r="362" spans="1:39">
      <c r="A362" s="413">
        <f t="shared" si="151"/>
        <v>361</v>
      </c>
      <c r="B362" s="427" t="str">
        <f t="shared" si="157"/>
        <v>May 2016</v>
      </c>
      <c r="C362" s="428" t="str">
        <f t="shared" si="158"/>
        <v>LS</v>
      </c>
      <c r="D362" s="428" t="str">
        <f t="shared" si="159"/>
        <v>KUUM_366</v>
      </c>
      <c r="E362" s="425">
        <f t="shared" si="132"/>
        <v>9</v>
      </c>
      <c r="F362" s="429"/>
      <c r="G362" s="425">
        <f t="shared" si="133"/>
        <v>0</v>
      </c>
      <c r="H362" s="425">
        <v>0</v>
      </c>
      <c r="I362" s="415">
        <f t="shared" si="160"/>
        <v>78.97</v>
      </c>
      <c r="J362" s="415">
        <f t="shared" si="161"/>
        <v>1.75</v>
      </c>
      <c r="K362" s="416">
        <f t="shared" si="152"/>
        <v>710.73</v>
      </c>
      <c r="L362" s="430"/>
      <c r="M362" s="430"/>
      <c r="N362" s="186">
        <f t="shared" si="156"/>
        <v>710.73</v>
      </c>
      <c r="O362" s="431">
        <f t="shared" si="134"/>
        <v>0</v>
      </c>
      <c r="P362" s="417">
        <f t="shared" si="153"/>
        <v>0</v>
      </c>
      <c r="Q362" s="186">
        <f t="shared" si="135"/>
        <v>0</v>
      </c>
      <c r="R362" s="186">
        <f t="shared" si="136"/>
        <v>0</v>
      </c>
      <c r="S362" s="186">
        <f t="shared" si="137"/>
        <v>0</v>
      </c>
      <c r="T362" s="186">
        <f t="shared" si="138"/>
        <v>0</v>
      </c>
      <c r="U362" s="186">
        <f t="shared" si="139"/>
        <v>0</v>
      </c>
      <c r="V362" s="418">
        <f t="shared" si="140"/>
        <v>710.73</v>
      </c>
      <c r="W362" s="418">
        <f t="shared" si="141"/>
        <v>-710.73</v>
      </c>
      <c r="X362" s="41"/>
      <c r="Y362" s="418">
        <f t="shared" si="162"/>
        <v>15.75</v>
      </c>
      <c r="Z362" s="418">
        <f t="shared" si="149"/>
        <v>-15.75</v>
      </c>
      <c r="AA362" s="11">
        <f t="shared" si="150"/>
        <v>2.41</v>
      </c>
      <c r="AB362" s="9">
        <f t="shared" si="155"/>
        <v>21.69</v>
      </c>
      <c r="AC362" s="41"/>
      <c r="AD362" s="427">
        <f>IF(AH362&gt;AH361,AD361,IF(AD361&lt;MiscData!$F$1,EOMONTH(AD361,1),EOMONTH(AD361,-11)))</f>
        <v>42521</v>
      </c>
      <c r="AE362" s="414" t="str">
        <f t="shared" si="142"/>
        <v>20140101KUUM_366</v>
      </c>
      <c r="AF362" s="466" t="str">
        <f t="shared" si="143"/>
        <v>20140101LS</v>
      </c>
      <c r="AG362" s="467"/>
      <c r="AH362" s="41">
        <f>IF(AH361=MiscData!$AB$91,1,AH361+1)</f>
        <v>9</v>
      </c>
      <c r="AI362">
        <f>IF(AD362&lt;=MiscData!$B$23,MiscData!$C$23,IF(AD362&lt;=MiscData!$B$24,MiscData!$C$24,MiscData!$C$25))</f>
        <v>20140101</v>
      </c>
      <c r="AJ362" s="41"/>
      <c r="AK362" s="468" t="str">
        <f>VLOOKUP(AM362,MiscData!$AB$4:$ACB$113,2,FALSE)</f>
        <v>KUUM_366</v>
      </c>
      <c r="AL362" s="468" t="str">
        <f>VLOOKUP(AM362,MiscData!$AB$4:$AE$115,4,FALSE)</f>
        <v>LS</v>
      </c>
      <c r="AM362" s="469">
        <f>IF(AM361=MiscData!$AB$91,1,AM361+1)</f>
        <v>9</v>
      </c>
    </row>
    <row r="363" spans="1:39">
      <c r="A363" s="413">
        <f t="shared" si="151"/>
        <v>362</v>
      </c>
      <c r="B363" s="427" t="str">
        <f t="shared" si="157"/>
        <v>May 2016</v>
      </c>
      <c r="C363" s="428" t="str">
        <f t="shared" si="158"/>
        <v>LS</v>
      </c>
      <c r="D363" s="428" t="str">
        <f t="shared" si="159"/>
        <v>KUUM_367</v>
      </c>
      <c r="E363" s="425">
        <f t="shared" si="132"/>
        <v>25</v>
      </c>
      <c r="F363" s="429"/>
      <c r="G363" s="425">
        <f t="shared" si="133"/>
        <v>0</v>
      </c>
      <c r="H363" s="425">
        <v>0</v>
      </c>
      <c r="I363" s="415">
        <f t="shared" si="160"/>
        <v>61.230000000000004</v>
      </c>
      <c r="J363" s="415">
        <f t="shared" si="161"/>
        <v>1.75</v>
      </c>
      <c r="K363" s="416">
        <f t="shared" si="152"/>
        <v>1530.75</v>
      </c>
      <c r="L363" s="430"/>
      <c r="M363" s="430"/>
      <c r="N363" s="186">
        <f t="shared" si="156"/>
        <v>1530.75</v>
      </c>
      <c r="O363" s="431">
        <f t="shared" si="134"/>
        <v>0</v>
      </c>
      <c r="P363" s="417">
        <f t="shared" si="153"/>
        <v>0</v>
      </c>
      <c r="Q363" s="186">
        <f t="shared" si="135"/>
        <v>0</v>
      </c>
      <c r="R363" s="186">
        <f t="shared" si="136"/>
        <v>0</v>
      </c>
      <c r="S363" s="186">
        <f t="shared" si="137"/>
        <v>0</v>
      </c>
      <c r="T363" s="186">
        <f t="shared" si="138"/>
        <v>0</v>
      </c>
      <c r="U363" s="186">
        <f t="shared" si="139"/>
        <v>0</v>
      </c>
      <c r="V363" s="418">
        <f t="shared" si="140"/>
        <v>1530.75</v>
      </c>
      <c r="W363" s="418">
        <f t="shared" si="141"/>
        <v>-1530.75</v>
      </c>
      <c r="X363" s="41"/>
      <c r="Y363" s="418">
        <f t="shared" si="162"/>
        <v>43.75</v>
      </c>
      <c r="Z363" s="418">
        <f t="shared" si="149"/>
        <v>-43.75</v>
      </c>
      <c r="AA363" s="11">
        <f t="shared" si="150"/>
        <v>2.41</v>
      </c>
      <c r="AB363" s="9">
        <f t="shared" si="155"/>
        <v>60.25</v>
      </c>
      <c r="AC363" s="41"/>
      <c r="AD363" s="427">
        <f>IF(AH363&gt;AH362,AD362,IF(AD362&lt;MiscData!$F$1,EOMONTH(AD362,1),EOMONTH(AD362,-11)))</f>
        <v>42521</v>
      </c>
      <c r="AE363" s="414" t="str">
        <f t="shared" si="142"/>
        <v>20140101KUUM_367</v>
      </c>
      <c r="AF363" s="466" t="str">
        <f t="shared" si="143"/>
        <v>20140101LS</v>
      </c>
      <c r="AG363" s="467"/>
      <c r="AH363" s="41">
        <f>IF(AH362=MiscData!$AB$91,1,AH362+1)</f>
        <v>10</v>
      </c>
      <c r="AI363">
        <f>IF(AD363&lt;=MiscData!$B$23,MiscData!$C$23,IF(AD363&lt;=MiscData!$B$24,MiscData!$C$24,MiscData!$C$25))</f>
        <v>20140101</v>
      </c>
      <c r="AJ363" s="41"/>
      <c r="AK363" s="468" t="str">
        <f>VLOOKUP(AM363,MiscData!$AB$4:$ACB$113,2,FALSE)</f>
        <v>KUUM_367</v>
      </c>
      <c r="AL363" s="468" t="str">
        <f>VLOOKUP(AM363,MiscData!$AB$4:$AE$115,4,FALSE)</f>
        <v>LS</v>
      </c>
      <c r="AM363" s="469">
        <f>IF(AM362=MiscData!$AB$91,1,AM362+1)</f>
        <v>10</v>
      </c>
    </row>
    <row r="364" spans="1:39">
      <c r="A364" s="413">
        <f t="shared" si="151"/>
        <v>363</v>
      </c>
      <c r="B364" s="427" t="str">
        <f t="shared" si="157"/>
        <v>May 2016</v>
      </c>
      <c r="C364" s="428" t="str">
        <f t="shared" si="158"/>
        <v>LS</v>
      </c>
      <c r="D364" s="428" t="str">
        <f t="shared" si="159"/>
        <v>KUUM_368</v>
      </c>
      <c r="E364" s="425">
        <f t="shared" si="132"/>
        <v>1</v>
      </c>
      <c r="F364" s="429"/>
      <c r="G364" s="425">
        <f t="shared" si="133"/>
        <v>0</v>
      </c>
      <c r="H364" s="425">
        <v>0</v>
      </c>
      <c r="I364" s="415">
        <f t="shared" si="160"/>
        <v>56.69</v>
      </c>
      <c r="J364" s="415">
        <f t="shared" si="161"/>
        <v>1.75</v>
      </c>
      <c r="K364" s="416">
        <f t="shared" si="152"/>
        <v>56.69</v>
      </c>
      <c r="L364" s="430"/>
      <c r="M364" s="430"/>
      <c r="N364" s="186">
        <f t="shared" si="156"/>
        <v>56.69</v>
      </c>
      <c r="O364" s="431">
        <f t="shared" si="134"/>
        <v>0</v>
      </c>
      <c r="P364" s="417">
        <f t="shared" si="153"/>
        <v>0</v>
      </c>
      <c r="Q364" s="186">
        <f t="shared" si="135"/>
        <v>0</v>
      </c>
      <c r="R364" s="186">
        <f t="shared" si="136"/>
        <v>0</v>
      </c>
      <c r="S364" s="186">
        <f t="shared" si="137"/>
        <v>0</v>
      </c>
      <c r="T364" s="186">
        <f t="shared" si="138"/>
        <v>0</v>
      </c>
      <c r="U364" s="186">
        <f t="shared" si="139"/>
        <v>0</v>
      </c>
      <c r="V364" s="418">
        <f t="shared" si="140"/>
        <v>56.69</v>
      </c>
      <c r="W364" s="418">
        <f t="shared" si="141"/>
        <v>-56.69</v>
      </c>
      <c r="X364" s="41"/>
      <c r="Y364" s="418">
        <f t="shared" si="162"/>
        <v>1.75</v>
      </c>
      <c r="Z364" s="418">
        <f t="shared" si="149"/>
        <v>-1.75</v>
      </c>
      <c r="AA364" s="11">
        <f t="shared" si="150"/>
        <v>2.41</v>
      </c>
      <c r="AB364" s="9">
        <f t="shared" si="155"/>
        <v>2.41</v>
      </c>
      <c r="AC364" s="41"/>
      <c r="AD364" s="427">
        <f>IF(AH364&gt;AH363,AD363,IF(AD363&lt;MiscData!$F$1,EOMONTH(AD363,1),EOMONTH(AD363,-11)))</f>
        <v>42521</v>
      </c>
      <c r="AE364" s="414" t="str">
        <f t="shared" si="142"/>
        <v>20140101KUUM_368</v>
      </c>
      <c r="AF364" s="466" t="str">
        <f t="shared" si="143"/>
        <v>20140101LS</v>
      </c>
      <c r="AG364" s="467"/>
      <c r="AH364" s="41">
        <f>IF(AH363=MiscData!$AB$91,1,AH363+1)</f>
        <v>11</v>
      </c>
      <c r="AI364">
        <f>IF(AD364&lt;=MiscData!$B$23,MiscData!$C$23,IF(AD364&lt;=MiscData!$B$24,MiscData!$C$24,MiscData!$C$25))</f>
        <v>20140101</v>
      </c>
      <c r="AJ364" s="41"/>
      <c r="AK364" s="468" t="str">
        <f>VLOOKUP(AM364,MiscData!$AB$4:$ACB$113,2,FALSE)</f>
        <v>KUUM_368</v>
      </c>
      <c r="AL364" s="468" t="str">
        <f>VLOOKUP(AM364,MiscData!$AB$4:$AE$115,4,FALSE)</f>
        <v>LS</v>
      </c>
      <c r="AM364" s="469">
        <f>IF(AM363=MiscData!$AB$91,1,AM363+1)</f>
        <v>11</v>
      </c>
    </row>
    <row r="365" spans="1:39">
      <c r="A365" s="413">
        <f t="shared" si="151"/>
        <v>364</v>
      </c>
      <c r="B365" s="427" t="str">
        <f t="shared" si="157"/>
        <v>May 2016</v>
      </c>
      <c r="C365" s="428" t="str">
        <f t="shared" si="158"/>
        <v>LS</v>
      </c>
      <c r="D365" s="428" t="str">
        <f t="shared" si="159"/>
        <v>KUUM_370</v>
      </c>
      <c r="E365" s="425">
        <f t="shared" si="132"/>
        <v>15</v>
      </c>
      <c r="F365" s="429"/>
      <c r="G365" s="425">
        <f t="shared" si="133"/>
        <v>0</v>
      </c>
      <c r="H365" s="425">
        <v>0</v>
      </c>
      <c r="I365" s="415">
        <f t="shared" si="160"/>
        <v>74.52</v>
      </c>
      <c r="J365" s="415">
        <f t="shared" si="161"/>
        <v>1.75</v>
      </c>
      <c r="K365" s="416">
        <f t="shared" si="152"/>
        <v>1117.8</v>
      </c>
      <c r="L365" s="430"/>
      <c r="M365" s="430"/>
      <c r="N365" s="186">
        <f t="shared" si="156"/>
        <v>1117.8</v>
      </c>
      <c r="O365" s="431">
        <f t="shared" si="134"/>
        <v>0</v>
      </c>
      <c r="P365" s="417">
        <f t="shared" si="153"/>
        <v>0</v>
      </c>
      <c r="Q365" s="186">
        <f t="shared" si="135"/>
        <v>0</v>
      </c>
      <c r="R365" s="186">
        <f t="shared" si="136"/>
        <v>0</v>
      </c>
      <c r="S365" s="186">
        <f t="shared" si="137"/>
        <v>0</v>
      </c>
      <c r="T365" s="186">
        <f t="shared" si="138"/>
        <v>0</v>
      </c>
      <c r="U365" s="186">
        <f t="shared" si="139"/>
        <v>0</v>
      </c>
      <c r="V365" s="418">
        <f t="shared" si="140"/>
        <v>1117.8</v>
      </c>
      <c r="W365" s="418">
        <f t="shared" si="141"/>
        <v>-1117.8</v>
      </c>
      <c r="X365" s="41"/>
      <c r="Y365" s="418">
        <f t="shared" si="162"/>
        <v>26.25</v>
      </c>
      <c r="Z365" s="418">
        <f t="shared" si="149"/>
        <v>-26.25</v>
      </c>
      <c r="AA365" s="11">
        <f t="shared" si="150"/>
        <v>2.41</v>
      </c>
      <c r="AB365" s="9">
        <f t="shared" si="155"/>
        <v>36.150000000000006</v>
      </c>
      <c r="AC365" s="41"/>
      <c r="AD365" s="427">
        <f>IF(AH365&gt;AH364,AD364,IF(AD364&lt;MiscData!$F$1,EOMONTH(AD364,1),EOMONTH(AD364,-11)))</f>
        <v>42521</v>
      </c>
      <c r="AE365" s="414" t="str">
        <f t="shared" si="142"/>
        <v>20140101KUUM_370</v>
      </c>
      <c r="AF365" s="466" t="str">
        <f t="shared" si="143"/>
        <v>20140101LS</v>
      </c>
      <c r="AG365" s="467"/>
      <c r="AH365" s="41">
        <f>IF(AH364=MiscData!$AB$91,1,AH364+1)</f>
        <v>12</v>
      </c>
      <c r="AI365">
        <f>IF(AD365&lt;=MiscData!$B$23,MiscData!$C$23,IF(AD365&lt;=MiscData!$B$24,MiscData!$C$24,MiscData!$C$25))</f>
        <v>20140101</v>
      </c>
      <c r="AJ365" s="41"/>
      <c r="AK365" s="468" t="str">
        <f>VLOOKUP(AM365,MiscData!$AB$4:$ACB$113,2,FALSE)</f>
        <v>KUUM_370</v>
      </c>
      <c r="AL365" s="468" t="str">
        <f>VLOOKUP(AM365,MiscData!$AB$4:$AE$115,4,FALSE)</f>
        <v>LS</v>
      </c>
      <c r="AM365" s="469">
        <f>IF(AM364=MiscData!$AB$91,1,AM364+1)</f>
        <v>12</v>
      </c>
    </row>
    <row r="366" spans="1:39">
      <c r="A366" s="413">
        <f t="shared" si="151"/>
        <v>365</v>
      </c>
      <c r="B366" s="427" t="str">
        <f t="shared" si="157"/>
        <v>May 2016</v>
      </c>
      <c r="C366" s="428" t="str">
        <f t="shared" si="158"/>
        <v>LS</v>
      </c>
      <c r="D366" s="428" t="str">
        <f t="shared" si="159"/>
        <v>KUUM_372</v>
      </c>
      <c r="E366" s="425">
        <f t="shared" si="132"/>
        <v>1</v>
      </c>
      <c r="F366" s="429"/>
      <c r="G366" s="425">
        <f t="shared" si="133"/>
        <v>0</v>
      </c>
      <c r="H366" s="425">
        <v>0</v>
      </c>
      <c r="I366" s="415">
        <f t="shared" si="160"/>
        <v>82.3</v>
      </c>
      <c r="J366" s="415">
        <f t="shared" si="161"/>
        <v>1.75</v>
      </c>
      <c r="K366" s="416">
        <f t="shared" si="152"/>
        <v>82.3</v>
      </c>
      <c r="L366" s="430"/>
      <c r="M366" s="430"/>
      <c r="N366" s="186">
        <f t="shared" si="156"/>
        <v>82.3</v>
      </c>
      <c r="O366" s="431">
        <f t="shared" si="134"/>
        <v>0</v>
      </c>
      <c r="P366" s="417">
        <f t="shared" si="153"/>
        <v>0</v>
      </c>
      <c r="Q366" s="186">
        <f t="shared" si="135"/>
        <v>0</v>
      </c>
      <c r="R366" s="186">
        <f t="shared" si="136"/>
        <v>0</v>
      </c>
      <c r="S366" s="186">
        <f t="shared" si="137"/>
        <v>0</v>
      </c>
      <c r="T366" s="186">
        <f t="shared" si="138"/>
        <v>0</v>
      </c>
      <c r="U366" s="186">
        <f t="shared" si="139"/>
        <v>0</v>
      </c>
      <c r="V366" s="418">
        <f t="shared" si="140"/>
        <v>82.3</v>
      </c>
      <c r="W366" s="418">
        <f t="shared" si="141"/>
        <v>-82.3</v>
      </c>
      <c r="X366" s="41"/>
      <c r="Y366" s="418">
        <f t="shared" si="162"/>
        <v>1.75</v>
      </c>
      <c r="Z366" s="418">
        <f t="shared" si="149"/>
        <v>-1.75</v>
      </c>
      <c r="AA366" s="11">
        <f t="shared" si="150"/>
        <v>2.41</v>
      </c>
      <c r="AB366" s="9">
        <f t="shared" si="155"/>
        <v>2.41</v>
      </c>
      <c r="AC366" s="41"/>
      <c r="AD366" s="427">
        <f>IF(AH366&gt;AH365,AD365,IF(AD365&lt;MiscData!$F$1,EOMONTH(AD365,1),EOMONTH(AD365,-11)))</f>
        <v>42521</v>
      </c>
      <c r="AE366" s="414" t="str">
        <f t="shared" si="142"/>
        <v>20140101KUUM_372</v>
      </c>
      <c r="AF366" s="466" t="str">
        <f t="shared" si="143"/>
        <v>20140101LS</v>
      </c>
      <c r="AG366" s="467"/>
      <c r="AH366" s="41">
        <f>IF(AH365=MiscData!$AB$91,1,AH365+1)</f>
        <v>13</v>
      </c>
      <c r="AI366">
        <f>IF(AD366&lt;=MiscData!$B$23,MiscData!$C$23,IF(AD366&lt;=MiscData!$B$24,MiscData!$C$24,MiscData!$C$25))</f>
        <v>20140101</v>
      </c>
      <c r="AJ366" s="41"/>
      <c r="AK366" s="468" t="str">
        <f>VLOOKUP(AM366,MiscData!$AB$4:$ACB$113,2,FALSE)</f>
        <v>KUUM_372</v>
      </c>
      <c r="AL366" s="468" t="str">
        <f>VLOOKUP(AM366,MiscData!$AB$4:$AE$115,4,FALSE)</f>
        <v>LS</v>
      </c>
      <c r="AM366" s="469">
        <f>IF(AM365=MiscData!$AB$91,1,AM365+1)</f>
        <v>13</v>
      </c>
    </row>
    <row r="367" spans="1:39">
      <c r="A367" s="413">
        <f t="shared" si="151"/>
        <v>366</v>
      </c>
      <c r="B367" s="427" t="str">
        <f t="shared" si="157"/>
        <v>May 2016</v>
      </c>
      <c r="C367" s="428" t="str">
        <f t="shared" si="158"/>
        <v>LS</v>
      </c>
      <c r="D367" s="428" t="str">
        <f t="shared" si="159"/>
        <v>KUUM_373</v>
      </c>
      <c r="E367" s="425">
        <f t="shared" si="132"/>
        <v>20</v>
      </c>
      <c r="F367" s="429"/>
      <c r="G367" s="425">
        <f t="shared" si="133"/>
        <v>0</v>
      </c>
      <c r="H367" s="425">
        <v>0</v>
      </c>
      <c r="I367" s="415">
        <f t="shared" si="160"/>
        <v>74.52</v>
      </c>
      <c r="J367" s="415">
        <f t="shared" si="161"/>
        <v>1.75</v>
      </c>
      <c r="K367" s="416">
        <f t="shared" si="152"/>
        <v>1490.4</v>
      </c>
      <c r="L367" s="430"/>
      <c r="M367" s="430"/>
      <c r="N367" s="186">
        <f t="shared" si="156"/>
        <v>1490.4</v>
      </c>
      <c r="O367" s="431">
        <f t="shared" si="134"/>
        <v>0</v>
      </c>
      <c r="P367" s="417">
        <f t="shared" si="153"/>
        <v>0</v>
      </c>
      <c r="Q367" s="186">
        <f t="shared" si="135"/>
        <v>0</v>
      </c>
      <c r="R367" s="186">
        <f t="shared" si="136"/>
        <v>0</v>
      </c>
      <c r="S367" s="186">
        <f t="shared" si="137"/>
        <v>0</v>
      </c>
      <c r="T367" s="186">
        <f t="shared" si="138"/>
        <v>0</v>
      </c>
      <c r="U367" s="186">
        <f t="shared" si="139"/>
        <v>0</v>
      </c>
      <c r="V367" s="418">
        <f t="shared" si="140"/>
        <v>1490.4</v>
      </c>
      <c r="W367" s="418">
        <f t="shared" si="141"/>
        <v>-1490.4</v>
      </c>
      <c r="X367" s="41"/>
      <c r="Y367" s="418">
        <f t="shared" si="162"/>
        <v>35</v>
      </c>
      <c r="Z367" s="418">
        <f t="shared" si="149"/>
        <v>-35</v>
      </c>
      <c r="AA367" s="11">
        <f t="shared" si="150"/>
        <v>2.41</v>
      </c>
      <c r="AB367" s="9">
        <f t="shared" si="155"/>
        <v>48.2</v>
      </c>
      <c r="AC367" s="41"/>
      <c r="AD367" s="427">
        <f>IF(AH367&gt;AH366,AD366,IF(AD366&lt;MiscData!$F$1,EOMONTH(AD366,1),EOMONTH(AD366,-11)))</f>
        <v>42521</v>
      </c>
      <c r="AE367" s="414" t="str">
        <f t="shared" si="142"/>
        <v>20140101KUUM_373</v>
      </c>
      <c r="AF367" s="466" t="str">
        <f t="shared" si="143"/>
        <v>20140101LS</v>
      </c>
      <c r="AG367" s="467"/>
      <c r="AH367" s="41">
        <f>IF(AH366=MiscData!$AB$91,1,AH366+1)</f>
        <v>14</v>
      </c>
      <c r="AI367">
        <f>IF(AD367&lt;=MiscData!$B$23,MiscData!$C$23,IF(AD367&lt;=MiscData!$B$24,MiscData!$C$24,MiscData!$C$25))</f>
        <v>20140101</v>
      </c>
      <c r="AJ367" s="41"/>
      <c r="AK367" s="468" t="str">
        <f>VLOOKUP(AM367,MiscData!$AB$4:$ACB$113,2,FALSE)</f>
        <v>KUUM_373</v>
      </c>
      <c r="AL367" s="468" t="str">
        <f>VLOOKUP(AM367,MiscData!$AB$4:$AE$115,4,FALSE)</f>
        <v>LS</v>
      </c>
      <c r="AM367" s="469">
        <f>IF(AM366=MiscData!$AB$91,1,AM366+1)</f>
        <v>14</v>
      </c>
    </row>
    <row r="368" spans="1:39">
      <c r="A368" s="413">
        <f t="shared" si="151"/>
        <v>367</v>
      </c>
      <c r="B368" s="427" t="str">
        <f t="shared" si="157"/>
        <v>May 2016</v>
      </c>
      <c r="C368" s="428" t="str">
        <f t="shared" si="158"/>
        <v>LS</v>
      </c>
      <c r="D368" s="428" t="str">
        <f t="shared" si="159"/>
        <v>KUUM_374</v>
      </c>
      <c r="E368" s="425">
        <f t="shared" si="132"/>
        <v>4</v>
      </c>
      <c r="F368" s="429"/>
      <c r="G368" s="425">
        <f t="shared" si="133"/>
        <v>0</v>
      </c>
      <c r="H368" s="425">
        <v>0</v>
      </c>
      <c r="I368" s="415">
        <f t="shared" si="160"/>
        <v>75.88</v>
      </c>
      <c r="J368" s="415">
        <f t="shared" si="161"/>
        <v>1.75</v>
      </c>
      <c r="K368" s="416">
        <f t="shared" si="152"/>
        <v>303.52</v>
      </c>
      <c r="L368" s="430"/>
      <c r="M368" s="430"/>
      <c r="N368" s="186">
        <f t="shared" si="156"/>
        <v>303.52</v>
      </c>
      <c r="O368" s="431">
        <f t="shared" si="134"/>
        <v>0</v>
      </c>
      <c r="P368" s="417">
        <f t="shared" si="153"/>
        <v>0</v>
      </c>
      <c r="Q368" s="186">
        <f t="shared" si="135"/>
        <v>0</v>
      </c>
      <c r="R368" s="186">
        <f t="shared" si="136"/>
        <v>0</v>
      </c>
      <c r="S368" s="186">
        <f t="shared" si="137"/>
        <v>0</v>
      </c>
      <c r="T368" s="186">
        <f t="shared" si="138"/>
        <v>0</v>
      </c>
      <c r="U368" s="186">
        <f t="shared" si="139"/>
        <v>0</v>
      </c>
      <c r="V368" s="418">
        <f t="shared" si="140"/>
        <v>303.52</v>
      </c>
      <c r="W368" s="418">
        <f t="shared" si="141"/>
        <v>-303.52</v>
      </c>
      <c r="X368" s="41"/>
      <c r="Y368" s="418">
        <f t="shared" si="162"/>
        <v>7</v>
      </c>
      <c r="Z368" s="418">
        <f t="shared" si="149"/>
        <v>-7</v>
      </c>
      <c r="AA368" s="11">
        <f t="shared" si="150"/>
        <v>2.41</v>
      </c>
      <c r="AB368" s="9">
        <f t="shared" si="155"/>
        <v>9.64</v>
      </c>
      <c r="AC368" s="41"/>
      <c r="AD368" s="427">
        <f>IF(AH368&gt;AH367,AD367,IF(AD367&lt;MiscData!$F$1,EOMONTH(AD367,1),EOMONTH(AD367,-11)))</f>
        <v>42521</v>
      </c>
      <c r="AE368" s="414" t="str">
        <f t="shared" si="142"/>
        <v>20140101KUUM_374</v>
      </c>
      <c r="AF368" s="466" t="str">
        <f t="shared" si="143"/>
        <v>20140101LS</v>
      </c>
      <c r="AG368" s="467"/>
      <c r="AH368" s="41">
        <f>IF(AH367=MiscData!$AB$91,1,AH367+1)</f>
        <v>15</v>
      </c>
      <c r="AI368">
        <f>IF(AD368&lt;=MiscData!$B$23,MiscData!$C$23,IF(AD368&lt;=MiscData!$B$24,MiscData!$C$24,MiscData!$C$25))</f>
        <v>20140101</v>
      </c>
      <c r="AJ368" s="41"/>
      <c r="AK368" s="468" t="str">
        <f>VLOOKUP(AM368,MiscData!$AB$4:$ACB$113,2,FALSE)</f>
        <v>KUUM_374</v>
      </c>
      <c r="AL368" s="468" t="str">
        <f>VLOOKUP(AM368,MiscData!$AB$4:$AE$115,4,FALSE)</f>
        <v>LS</v>
      </c>
      <c r="AM368" s="469">
        <f>IF(AM367=MiscData!$AB$91,1,AM367+1)</f>
        <v>15</v>
      </c>
    </row>
    <row r="369" spans="1:39">
      <c r="A369" s="413">
        <f t="shared" si="151"/>
        <v>368</v>
      </c>
      <c r="B369" s="427" t="str">
        <f t="shared" si="157"/>
        <v>May 2016</v>
      </c>
      <c r="C369" s="428" t="str">
        <f t="shared" si="158"/>
        <v>LS</v>
      </c>
      <c r="D369" s="428" t="str">
        <f t="shared" si="159"/>
        <v>KUUM_375</v>
      </c>
      <c r="E369" s="425">
        <f t="shared" si="132"/>
        <v>3</v>
      </c>
      <c r="F369" s="429"/>
      <c r="G369" s="425">
        <f t="shared" si="133"/>
        <v>0</v>
      </c>
      <c r="H369" s="425">
        <v>0</v>
      </c>
      <c r="I369" s="415">
        <f t="shared" si="160"/>
        <v>78.97</v>
      </c>
      <c r="J369" s="415">
        <f t="shared" si="161"/>
        <v>1.75</v>
      </c>
      <c r="K369" s="416">
        <f t="shared" si="152"/>
        <v>236.91</v>
      </c>
      <c r="L369" s="430"/>
      <c r="M369" s="430"/>
      <c r="N369" s="186">
        <f t="shared" si="156"/>
        <v>236.91</v>
      </c>
      <c r="O369" s="431">
        <f t="shared" si="134"/>
        <v>0</v>
      </c>
      <c r="P369" s="417">
        <f t="shared" si="153"/>
        <v>0</v>
      </c>
      <c r="Q369" s="186">
        <f t="shared" si="135"/>
        <v>0</v>
      </c>
      <c r="R369" s="186">
        <f t="shared" si="136"/>
        <v>0</v>
      </c>
      <c r="S369" s="186">
        <f t="shared" si="137"/>
        <v>0</v>
      </c>
      <c r="T369" s="186">
        <f t="shared" si="138"/>
        <v>0</v>
      </c>
      <c r="U369" s="186">
        <f t="shared" si="139"/>
        <v>0</v>
      </c>
      <c r="V369" s="418">
        <f t="shared" si="140"/>
        <v>236.91</v>
      </c>
      <c r="W369" s="418">
        <f t="shared" si="141"/>
        <v>-236.91</v>
      </c>
      <c r="X369" s="41"/>
      <c r="Y369" s="418">
        <f t="shared" si="162"/>
        <v>5.25</v>
      </c>
      <c r="Z369" s="418">
        <f t="shared" si="149"/>
        <v>-5.25</v>
      </c>
      <c r="AA369" s="11">
        <f t="shared" si="150"/>
        <v>2.41</v>
      </c>
      <c r="AB369" s="9">
        <f t="shared" si="155"/>
        <v>7.23</v>
      </c>
      <c r="AC369" s="41"/>
      <c r="AD369" s="427">
        <f>IF(AH369&gt;AH368,AD368,IF(AD368&lt;MiscData!$F$1,EOMONTH(AD368,1),EOMONTH(AD368,-11)))</f>
        <v>42521</v>
      </c>
      <c r="AE369" s="414" t="str">
        <f t="shared" si="142"/>
        <v>20140101KUUM_375</v>
      </c>
      <c r="AF369" s="466" t="str">
        <f t="shared" si="143"/>
        <v>20140101LS</v>
      </c>
      <c r="AG369" s="467"/>
      <c r="AH369" s="41">
        <f>IF(AH368=MiscData!$AB$91,1,AH368+1)</f>
        <v>16</v>
      </c>
      <c r="AI369">
        <f>IF(AD369&lt;=MiscData!$B$23,MiscData!$C$23,IF(AD369&lt;=MiscData!$B$24,MiscData!$C$24,MiscData!$C$25))</f>
        <v>20140101</v>
      </c>
      <c r="AJ369" s="41"/>
      <c r="AK369" s="468" t="str">
        <f>VLOOKUP(AM369,MiscData!$AB$4:$ACB$113,2,FALSE)</f>
        <v>KUUM_375</v>
      </c>
      <c r="AL369" s="468" t="str">
        <f>VLOOKUP(AM369,MiscData!$AB$4:$AE$115,4,FALSE)</f>
        <v>LS</v>
      </c>
      <c r="AM369" s="469">
        <f>IF(AM368=MiscData!$AB$91,1,AM368+1)</f>
        <v>16</v>
      </c>
    </row>
    <row r="370" spans="1:39">
      <c r="A370" s="413">
        <f t="shared" si="151"/>
        <v>369</v>
      </c>
      <c r="B370" s="427" t="str">
        <f t="shared" si="157"/>
        <v>May 2016</v>
      </c>
      <c r="C370" s="428" t="str">
        <f t="shared" si="158"/>
        <v>LS</v>
      </c>
      <c r="D370" s="428" t="str">
        <f t="shared" si="159"/>
        <v>KUUM_376</v>
      </c>
      <c r="E370" s="425">
        <f t="shared" si="132"/>
        <v>2</v>
      </c>
      <c r="F370" s="429"/>
      <c r="G370" s="425">
        <f t="shared" si="133"/>
        <v>0</v>
      </c>
      <c r="H370" s="425">
        <v>3355</v>
      </c>
      <c r="I370" s="415">
        <f t="shared" si="160"/>
        <v>77.259999999999991</v>
      </c>
      <c r="J370" s="415">
        <f t="shared" si="161"/>
        <v>1.75</v>
      </c>
      <c r="K370" s="416">
        <f t="shared" si="152"/>
        <v>154.52000000000001</v>
      </c>
      <c r="L370" s="430"/>
      <c r="M370" s="430"/>
      <c r="N370" s="186">
        <f t="shared" si="156"/>
        <v>154.52000000000001</v>
      </c>
      <c r="O370" s="431">
        <f t="shared" si="134"/>
        <v>0</v>
      </c>
      <c r="P370" s="417">
        <f t="shared" si="153"/>
        <v>0</v>
      </c>
      <c r="Q370" s="186">
        <f t="shared" si="135"/>
        <v>0</v>
      </c>
      <c r="R370" s="186">
        <f t="shared" si="136"/>
        <v>0</v>
      </c>
      <c r="S370" s="186">
        <f t="shared" si="137"/>
        <v>0</v>
      </c>
      <c r="T370" s="186">
        <f t="shared" si="138"/>
        <v>0</v>
      </c>
      <c r="U370" s="186">
        <f t="shared" si="139"/>
        <v>0</v>
      </c>
      <c r="V370" s="418">
        <f t="shared" si="140"/>
        <v>154.52000000000001</v>
      </c>
      <c r="W370" s="418">
        <f t="shared" si="141"/>
        <v>-154.52000000000001</v>
      </c>
      <c r="X370" s="41"/>
      <c r="Y370" s="418">
        <f t="shared" si="162"/>
        <v>3.5</v>
      </c>
      <c r="Z370" s="418">
        <f t="shared" si="149"/>
        <v>-3.5</v>
      </c>
      <c r="AA370" s="11">
        <f t="shared" si="150"/>
        <v>2.41</v>
      </c>
      <c r="AB370" s="9">
        <f t="shared" si="155"/>
        <v>4.82</v>
      </c>
      <c r="AC370" s="41"/>
      <c r="AD370" s="427">
        <f>IF(AH370&gt;AH369,AD369,IF(AD369&lt;MiscData!$F$1,EOMONTH(AD369,1),EOMONTH(AD369,-11)))</f>
        <v>42521</v>
      </c>
      <c r="AE370" s="414" t="str">
        <f t="shared" si="142"/>
        <v>20140101KUUM_376</v>
      </c>
      <c r="AF370" s="466" t="str">
        <f t="shared" si="143"/>
        <v>20140101LS</v>
      </c>
      <c r="AG370" s="467"/>
      <c r="AH370" s="41">
        <f>IF(AH369=MiscData!$AB$91,1,AH369+1)</f>
        <v>17</v>
      </c>
      <c r="AI370">
        <f>IF(AD370&lt;=MiscData!$B$23,MiscData!$C$23,IF(AD370&lt;=MiscData!$B$24,MiscData!$C$24,MiscData!$C$25))</f>
        <v>20140101</v>
      </c>
      <c r="AJ370" s="41"/>
      <c r="AK370" s="468" t="str">
        <f>VLOOKUP(AM370,MiscData!$AB$4:$ACB$113,2,FALSE)</f>
        <v>KUUM_376</v>
      </c>
      <c r="AL370" s="468" t="str">
        <f>VLOOKUP(AM370,MiscData!$AB$4:$AE$115,4,FALSE)</f>
        <v>LS</v>
      </c>
      <c r="AM370" s="469">
        <f>IF(AM369=MiscData!$AB$91,1,AM369+1)</f>
        <v>17</v>
      </c>
    </row>
    <row r="371" spans="1:39">
      <c r="A371" s="413">
        <f t="shared" si="151"/>
        <v>370</v>
      </c>
      <c r="B371" s="427" t="str">
        <f t="shared" si="157"/>
        <v>May 2016</v>
      </c>
      <c r="C371" s="428" t="str">
        <f t="shared" si="158"/>
        <v>LS</v>
      </c>
      <c r="D371" s="428" t="str">
        <f t="shared" si="159"/>
        <v>KUUM_377</v>
      </c>
      <c r="E371" s="425">
        <f t="shared" si="132"/>
        <v>51</v>
      </c>
      <c r="F371" s="429"/>
      <c r="G371" s="425">
        <f t="shared" si="133"/>
        <v>0</v>
      </c>
      <c r="H371" s="425">
        <v>0</v>
      </c>
      <c r="I371" s="415">
        <f t="shared" si="160"/>
        <v>64.19</v>
      </c>
      <c r="J371" s="415">
        <f t="shared" si="161"/>
        <v>1.75</v>
      </c>
      <c r="K371" s="416">
        <f t="shared" si="152"/>
        <v>3273.69</v>
      </c>
      <c r="L371" s="430"/>
      <c r="M371" s="430"/>
      <c r="N371" s="186">
        <f t="shared" si="156"/>
        <v>3273.69</v>
      </c>
      <c r="O371" s="431">
        <f t="shared" si="134"/>
        <v>0</v>
      </c>
      <c r="P371" s="417">
        <f t="shared" si="153"/>
        <v>0</v>
      </c>
      <c r="Q371" s="186">
        <f t="shared" si="135"/>
        <v>0</v>
      </c>
      <c r="R371" s="186">
        <f t="shared" si="136"/>
        <v>0</v>
      </c>
      <c r="S371" s="186">
        <f t="shared" si="137"/>
        <v>0</v>
      </c>
      <c r="T371" s="186">
        <f t="shared" si="138"/>
        <v>0</v>
      </c>
      <c r="U371" s="186">
        <f t="shared" si="139"/>
        <v>0</v>
      </c>
      <c r="V371" s="418">
        <f t="shared" si="140"/>
        <v>3273.69</v>
      </c>
      <c r="W371" s="418">
        <f t="shared" si="141"/>
        <v>-3273.69</v>
      </c>
      <c r="X371" s="41"/>
      <c r="Y371" s="418">
        <f t="shared" si="162"/>
        <v>89.25</v>
      </c>
      <c r="Z371" s="418">
        <f t="shared" si="149"/>
        <v>-89.25</v>
      </c>
      <c r="AA371" s="11">
        <f t="shared" si="150"/>
        <v>2.41</v>
      </c>
      <c r="AB371" s="9">
        <f t="shared" si="155"/>
        <v>122.91000000000001</v>
      </c>
      <c r="AC371" s="41"/>
      <c r="AD371" s="427">
        <f>IF(AH371&gt;AH370,AD370,IF(AD370&lt;MiscData!$F$1,EOMONTH(AD370,1),EOMONTH(AD370,-11)))</f>
        <v>42521</v>
      </c>
      <c r="AE371" s="414" t="str">
        <f t="shared" si="142"/>
        <v>20140101KUUM_377</v>
      </c>
      <c r="AF371" s="466" t="str">
        <f t="shared" si="143"/>
        <v>20140101LS</v>
      </c>
      <c r="AG371" s="467"/>
      <c r="AH371" s="41">
        <f>IF(AH370=MiscData!$AB$91,1,AH370+1)</f>
        <v>18</v>
      </c>
      <c r="AI371">
        <f>IF(AD371&lt;=MiscData!$B$23,MiscData!$C$23,IF(AD371&lt;=MiscData!$B$24,MiscData!$C$24,MiscData!$C$25))</f>
        <v>20140101</v>
      </c>
      <c r="AJ371" s="41"/>
      <c r="AK371" s="468" t="str">
        <f>VLOOKUP(AM371,MiscData!$AB$4:$ACB$113,2,FALSE)</f>
        <v>KUUM_377</v>
      </c>
      <c r="AL371" s="468" t="str">
        <f>VLOOKUP(AM371,MiscData!$AB$4:$AE$115,4,FALSE)</f>
        <v>LS</v>
      </c>
      <c r="AM371" s="469">
        <f>IF(AM370=MiscData!$AB$91,1,AM370+1)</f>
        <v>18</v>
      </c>
    </row>
    <row r="372" spans="1:39">
      <c r="A372" s="413">
        <f t="shared" si="151"/>
        <v>371</v>
      </c>
      <c r="B372" s="427" t="str">
        <f t="shared" si="157"/>
        <v>May 2016</v>
      </c>
      <c r="C372" s="428" t="str">
        <f t="shared" si="158"/>
        <v>LS</v>
      </c>
      <c r="D372" s="428" t="str">
        <f t="shared" si="159"/>
        <v>KUUM_378</v>
      </c>
      <c r="E372" s="425">
        <f t="shared" si="132"/>
        <v>2</v>
      </c>
      <c r="F372" s="429"/>
      <c r="G372" s="425">
        <f t="shared" si="133"/>
        <v>0</v>
      </c>
      <c r="H372" s="425">
        <v>0</v>
      </c>
      <c r="I372" s="415">
        <f t="shared" si="160"/>
        <v>75.899999999999991</v>
      </c>
      <c r="J372" s="415">
        <f t="shared" si="161"/>
        <v>1.75</v>
      </c>
      <c r="K372" s="416">
        <f t="shared" si="152"/>
        <v>151.80000000000001</v>
      </c>
      <c r="L372" s="430"/>
      <c r="M372" s="430"/>
      <c r="N372" s="186">
        <f t="shared" si="156"/>
        <v>151.80000000000001</v>
      </c>
      <c r="O372" s="431">
        <f t="shared" si="134"/>
        <v>0</v>
      </c>
      <c r="P372" s="417">
        <f t="shared" si="153"/>
        <v>0</v>
      </c>
      <c r="Q372" s="186">
        <f t="shared" si="135"/>
        <v>0</v>
      </c>
      <c r="R372" s="186">
        <f t="shared" si="136"/>
        <v>0</v>
      </c>
      <c r="S372" s="186">
        <f t="shared" si="137"/>
        <v>0</v>
      </c>
      <c r="T372" s="186">
        <f t="shared" si="138"/>
        <v>0</v>
      </c>
      <c r="U372" s="186">
        <f t="shared" si="139"/>
        <v>0</v>
      </c>
      <c r="V372" s="418">
        <f t="shared" si="140"/>
        <v>151.80000000000001</v>
      </c>
      <c r="W372" s="418">
        <f t="shared" si="141"/>
        <v>-151.80000000000001</v>
      </c>
      <c r="X372" s="41"/>
      <c r="Y372" s="418">
        <f t="shared" si="162"/>
        <v>3.5</v>
      </c>
      <c r="Z372" s="418">
        <f t="shared" si="149"/>
        <v>-3.5</v>
      </c>
      <c r="AA372" s="11">
        <f t="shared" si="150"/>
        <v>2.41</v>
      </c>
      <c r="AB372" s="9">
        <f t="shared" si="155"/>
        <v>4.82</v>
      </c>
      <c r="AC372" s="41"/>
      <c r="AD372" s="427">
        <f>IF(AH372&gt;AH371,AD371,IF(AD371&lt;MiscData!$F$1,EOMONTH(AD371,1),EOMONTH(AD371,-11)))</f>
        <v>42521</v>
      </c>
      <c r="AE372" s="414" t="str">
        <f t="shared" si="142"/>
        <v>20140101KUUM_378</v>
      </c>
      <c r="AF372" s="466" t="str">
        <f t="shared" si="143"/>
        <v>20140101LS</v>
      </c>
      <c r="AG372" s="467"/>
      <c r="AH372" s="41">
        <f>IF(AH371=MiscData!$AB$91,1,AH371+1)</f>
        <v>19</v>
      </c>
      <c r="AI372">
        <f>IF(AD372&lt;=MiscData!$B$23,MiscData!$C$23,IF(AD372&lt;=MiscData!$B$24,MiscData!$C$24,MiscData!$C$25))</f>
        <v>20140101</v>
      </c>
      <c r="AJ372" s="41"/>
      <c r="AK372" s="468" t="str">
        <f>VLOOKUP(AM372,MiscData!$AB$4:$ACB$113,2,FALSE)</f>
        <v>KUUM_378</v>
      </c>
      <c r="AL372" s="468" t="str">
        <f>VLOOKUP(AM372,MiscData!$AB$4:$AE$115,4,FALSE)</f>
        <v>LS</v>
      </c>
      <c r="AM372" s="469">
        <f>IF(AM371=MiscData!$AB$91,1,AM371+1)</f>
        <v>19</v>
      </c>
    </row>
    <row r="373" spans="1:39">
      <c r="A373" s="413">
        <f t="shared" si="151"/>
        <v>372</v>
      </c>
      <c r="B373" s="427" t="str">
        <f t="shared" si="157"/>
        <v>May 2016</v>
      </c>
      <c r="C373" s="428" t="str">
        <f t="shared" si="158"/>
        <v>LS</v>
      </c>
      <c r="D373" s="428" t="str">
        <f t="shared" si="159"/>
        <v>KUUM_401</v>
      </c>
      <c r="E373" s="425">
        <f t="shared" si="132"/>
        <v>52</v>
      </c>
      <c r="F373" s="429"/>
      <c r="G373" s="425">
        <f t="shared" si="133"/>
        <v>0</v>
      </c>
      <c r="H373" s="425">
        <v>0</v>
      </c>
      <c r="I373" s="415">
        <f t="shared" si="160"/>
        <v>14.860000000000001</v>
      </c>
      <c r="J373" s="415">
        <f t="shared" si="161"/>
        <v>0.80000000000000071</v>
      </c>
      <c r="K373" s="416">
        <f t="shared" si="152"/>
        <v>772.72</v>
      </c>
      <c r="L373" s="430"/>
      <c r="M373" s="430"/>
      <c r="N373" s="186">
        <f t="shared" si="156"/>
        <v>772.72</v>
      </c>
      <c r="O373" s="431">
        <f t="shared" si="134"/>
        <v>0</v>
      </c>
      <c r="P373" s="417">
        <f t="shared" si="153"/>
        <v>0</v>
      </c>
      <c r="Q373" s="186">
        <f t="shared" si="135"/>
        <v>0</v>
      </c>
      <c r="R373" s="186">
        <f t="shared" si="136"/>
        <v>0</v>
      </c>
      <c r="S373" s="186">
        <f t="shared" si="137"/>
        <v>0</v>
      </c>
      <c r="T373" s="186">
        <f t="shared" si="138"/>
        <v>0</v>
      </c>
      <c r="U373" s="186">
        <f t="shared" si="139"/>
        <v>0</v>
      </c>
      <c r="V373" s="418">
        <f t="shared" si="140"/>
        <v>772.72</v>
      </c>
      <c r="W373" s="418">
        <f t="shared" si="141"/>
        <v>-772.72</v>
      </c>
      <c r="X373" s="41"/>
      <c r="Y373" s="418">
        <f t="shared" si="162"/>
        <v>41.6</v>
      </c>
      <c r="Z373" s="418">
        <f t="shared" si="149"/>
        <v>-41.6</v>
      </c>
      <c r="AA373" s="11">
        <f t="shared" si="150"/>
        <v>0.43</v>
      </c>
      <c r="AB373" s="9">
        <f t="shared" si="155"/>
        <v>22.36</v>
      </c>
      <c r="AC373" s="41"/>
      <c r="AD373" s="427">
        <f>IF(AH373&gt;AH372,AD372,IF(AD372&lt;MiscData!$F$1,EOMONTH(AD372,1),EOMONTH(AD372,-11)))</f>
        <v>42521</v>
      </c>
      <c r="AE373" s="414" t="str">
        <f t="shared" si="142"/>
        <v>20140101KUUM_401</v>
      </c>
      <c r="AF373" s="466" t="str">
        <f t="shared" si="143"/>
        <v>20140101LS</v>
      </c>
      <c r="AG373" s="467"/>
      <c r="AH373" s="41">
        <f>IF(AH372=MiscData!$AB$91,1,AH372+1)</f>
        <v>20</v>
      </c>
      <c r="AI373">
        <f>IF(AD373&lt;=MiscData!$B$23,MiscData!$C$23,IF(AD373&lt;=MiscData!$B$24,MiscData!$C$24,MiscData!$C$25))</f>
        <v>20140101</v>
      </c>
      <c r="AJ373" s="41"/>
      <c r="AK373" s="468" t="str">
        <f>VLOOKUP(AM373,MiscData!$AB$4:$ACB$113,2,FALSE)</f>
        <v>KUUM_401</v>
      </c>
      <c r="AL373" s="468" t="str">
        <f>VLOOKUP(AM373,MiscData!$AB$4:$AE$115,4,FALSE)</f>
        <v>LS</v>
      </c>
      <c r="AM373" s="469">
        <f>IF(AM372=MiscData!$AB$91,1,AM372+1)</f>
        <v>20</v>
      </c>
    </row>
    <row r="374" spans="1:39">
      <c r="A374" s="413">
        <f t="shared" si="151"/>
        <v>373</v>
      </c>
      <c r="B374" s="427" t="str">
        <f t="shared" si="157"/>
        <v>May 2016</v>
      </c>
      <c r="C374" s="428" t="str">
        <f t="shared" si="158"/>
        <v>RLS</v>
      </c>
      <c r="D374" s="428" t="str">
        <f t="shared" si="159"/>
        <v>KUUM_404</v>
      </c>
      <c r="E374" s="425">
        <f t="shared" si="132"/>
        <v>7158</v>
      </c>
      <c r="F374" s="429"/>
      <c r="G374" s="425">
        <f t="shared" si="133"/>
        <v>0</v>
      </c>
      <c r="H374" s="425">
        <v>0</v>
      </c>
      <c r="I374" s="415">
        <f t="shared" si="160"/>
        <v>10.570000000000002</v>
      </c>
      <c r="J374" s="415">
        <f t="shared" si="161"/>
        <v>1.9900000000000002</v>
      </c>
      <c r="K374" s="416">
        <f t="shared" si="152"/>
        <v>75660.06</v>
      </c>
      <c r="L374" s="430"/>
      <c r="M374" s="430"/>
      <c r="N374" s="186">
        <f t="shared" si="156"/>
        <v>75660.06</v>
      </c>
      <c r="O374" s="431">
        <f t="shared" si="134"/>
        <v>0</v>
      </c>
      <c r="P374" s="417">
        <f t="shared" si="153"/>
        <v>0</v>
      </c>
      <c r="Q374" s="186">
        <f t="shared" si="135"/>
        <v>0</v>
      </c>
      <c r="R374" s="186">
        <f t="shared" si="136"/>
        <v>0</v>
      </c>
      <c r="S374" s="186">
        <f t="shared" si="137"/>
        <v>0</v>
      </c>
      <c r="T374" s="186">
        <f t="shared" si="138"/>
        <v>0</v>
      </c>
      <c r="U374" s="186">
        <f t="shared" si="139"/>
        <v>0</v>
      </c>
      <c r="V374" s="418">
        <f t="shared" si="140"/>
        <v>75660.06</v>
      </c>
      <c r="W374" s="418">
        <f t="shared" si="141"/>
        <v>-75660.06</v>
      </c>
      <c r="X374" s="41"/>
      <c r="Y374" s="418">
        <f t="shared" si="162"/>
        <v>14244.42</v>
      </c>
      <c r="Z374" s="418">
        <f t="shared" si="149"/>
        <v>-14244.42</v>
      </c>
      <c r="AA374" s="11">
        <f t="shared" si="150"/>
        <v>0.39</v>
      </c>
      <c r="AB374" s="9">
        <f t="shared" si="155"/>
        <v>2791.62</v>
      </c>
      <c r="AC374" s="41"/>
      <c r="AD374" s="427">
        <f>IF(AH374&gt;AH373,AD373,IF(AD373&lt;MiscData!$F$1,EOMONTH(AD373,1),EOMONTH(AD373,-11)))</f>
        <v>42521</v>
      </c>
      <c r="AE374" s="414" t="str">
        <f t="shared" si="142"/>
        <v>20140101KUUM_404</v>
      </c>
      <c r="AF374" s="466" t="str">
        <f t="shared" si="143"/>
        <v>20140101RLS</v>
      </c>
      <c r="AG374" s="467"/>
      <c r="AH374" s="41">
        <f>IF(AH373=MiscData!$AB$91,1,AH373+1)</f>
        <v>21</v>
      </c>
      <c r="AI374">
        <f>IF(AD374&lt;=MiscData!$B$23,MiscData!$C$23,IF(AD374&lt;=MiscData!$B$24,MiscData!$C$24,MiscData!$C$25))</f>
        <v>20140101</v>
      </c>
      <c r="AJ374" s="41"/>
      <c r="AK374" s="468" t="str">
        <f>VLOOKUP(AM374,MiscData!$AB$4:$ACB$113,2,FALSE)</f>
        <v>KUUM_404</v>
      </c>
      <c r="AL374" s="468" t="str">
        <f>VLOOKUP(AM374,MiscData!$AB$4:$AE$115,4,FALSE)</f>
        <v>RLS</v>
      </c>
      <c r="AM374" s="469">
        <f>IF(AM373=MiscData!$AB$91,1,AM373+1)</f>
        <v>21</v>
      </c>
    </row>
    <row r="375" spans="1:39">
      <c r="A375" s="413">
        <f t="shared" si="151"/>
        <v>374</v>
      </c>
      <c r="B375" s="427" t="str">
        <f t="shared" si="157"/>
        <v>May 2016</v>
      </c>
      <c r="C375" s="428" t="str">
        <f t="shared" si="158"/>
        <v>RLS</v>
      </c>
      <c r="D375" s="428" t="str">
        <f t="shared" si="159"/>
        <v>KUUM_405</v>
      </c>
      <c r="E375" s="425">
        <f t="shared" si="132"/>
        <v>0</v>
      </c>
      <c r="F375" s="429"/>
      <c r="G375" s="425">
        <f t="shared" si="133"/>
        <v>0</v>
      </c>
      <c r="H375" s="425">
        <v>0</v>
      </c>
      <c r="I375" s="415">
        <f t="shared" si="160"/>
        <v>0</v>
      </c>
      <c r="J375" s="415">
        <f t="shared" si="161"/>
        <v>0</v>
      </c>
      <c r="K375" s="416">
        <f t="shared" si="152"/>
        <v>0</v>
      </c>
      <c r="L375" s="430"/>
      <c r="M375" s="430"/>
      <c r="N375" s="186">
        <f>SUM(K375:M375)</f>
        <v>0</v>
      </c>
      <c r="O375" s="431">
        <f t="shared" si="134"/>
        <v>0</v>
      </c>
      <c r="P375" s="417">
        <f t="shared" si="153"/>
        <v>1</v>
      </c>
      <c r="Q375" s="186">
        <f t="shared" si="135"/>
        <v>0</v>
      </c>
      <c r="R375" s="186">
        <f t="shared" si="136"/>
        <v>0</v>
      </c>
      <c r="S375" s="186">
        <f t="shared" si="137"/>
        <v>0</v>
      </c>
      <c r="T375" s="186">
        <f t="shared" si="138"/>
        <v>0</v>
      </c>
      <c r="U375" s="186">
        <f t="shared" si="139"/>
        <v>0</v>
      </c>
      <c r="V375" s="418">
        <f t="shared" si="140"/>
        <v>0</v>
      </c>
      <c r="W375" s="418">
        <f t="shared" si="141"/>
        <v>0</v>
      </c>
      <c r="X375" s="41"/>
      <c r="Y375" s="418">
        <f t="shared" si="162"/>
        <v>0</v>
      </c>
      <c r="Z375" s="418">
        <f t="shared" si="149"/>
        <v>0</v>
      </c>
      <c r="AA375" s="11">
        <f t="shared" si="150"/>
        <v>0</v>
      </c>
      <c r="AB375" s="9">
        <f t="shared" si="155"/>
        <v>0</v>
      </c>
      <c r="AC375" s="41"/>
      <c r="AD375" s="427">
        <f>IF(AH375&gt;AH374,AD374,IF(AD374&lt;MiscData!$F$1,EOMONTH(AD374,1),EOMONTH(AD374,-11)))</f>
        <v>42521</v>
      </c>
      <c r="AE375" s="414" t="str">
        <f t="shared" si="142"/>
        <v>20140101KUUM_405</v>
      </c>
      <c r="AF375" s="466" t="str">
        <f t="shared" si="143"/>
        <v>20140101RLS</v>
      </c>
      <c r="AG375" s="467"/>
      <c r="AH375" s="41">
        <f>IF(AH374=MiscData!$AB$91,1,AH374+1)</f>
        <v>22</v>
      </c>
      <c r="AI375">
        <f>IF(AD375&lt;=MiscData!$B$23,MiscData!$C$23,IF(AD375&lt;=MiscData!$B$24,MiscData!$C$24,MiscData!$C$25))</f>
        <v>20140101</v>
      </c>
      <c r="AJ375" s="41"/>
      <c r="AK375" s="468" t="str">
        <f>VLOOKUP(AM375,MiscData!$AB$4:$ACB$113,2,FALSE)</f>
        <v>KUUM_405</v>
      </c>
      <c r="AL375" s="468" t="str">
        <f>VLOOKUP(AM375,MiscData!$AB$4:$AE$115,4,FALSE)</f>
        <v>RLS</v>
      </c>
      <c r="AM375" s="469">
        <f>IF(AM374=MiscData!$AB$91,1,AM374+1)</f>
        <v>22</v>
      </c>
    </row>
    <row r="376" spans="1:39">
      <c r="A376" s="413">
        <f t="shared" si="151"/>
        <v>375</v>
      </c>
      <c r="B376" s="427" t="str">
        <f t="shared" si="157"/>
        <v>May 2016</v>
      </c>
      <c r="C376" s="428" t="str">
        <f t="shared" si="158"/>
        <v>LS</v>
      </c>
      <c r="D376" s="428" t="str">
        <f t="shared" si="159"/>
        <v>KUUM_407</v>
      </c>
      <c r="E376" s="425">
        <f t="shared" si="132"/>
        <v>0</v>
      </c>
      <c r="F376" s="429"/>
      <c r="G376" s="425">
        <f t="shared" si="133"/>
        <v>0</v>
      </c>
      <c r="H376" s="425">
        <v>0</v>
      </c>
      <c r="I376" s="415">
        <f t="shared" si="160"/>
        <v>0</v>
      </c>
      <c r="J376" s="415">
        <f t="shared" si="161"/>
        <v>0</v>
      </c>
      <c r="K376" s="416">
        <f t="shared" si="152"/>
        <v>0</v>
      </c>
      <c r="L376" s="430"/>
      <c r="M376" s="430"/>
      <c r="N376" s="186">
        <f t="shared" ref="N376:N439" si="163">SUM(K376:M376)</f>
        <v>0</v>
      </c>
      <c r="O376" s="431">
        <f t="shared" si="134"/>
        <v>0</v>
      </c>
      <c r="P376" s="417">
        <f t="shared" si="153"/>
        <v>1</v>
      </c>
      <c r="Q376" s="186">
        <f t="shared" si="135"/>
        <v>0</v>
      </c>
      <c r="R376" s="186">
        <f t="shared" si="136"/>
        <v>0</v>
      </c>
      <c r="S376" s="186">
        <f t="shared" si="137"/>
        <v>0</v>
      </c>
      <c r="T376" s="186">
        <f t="shared" si="138"/>
        <v>0</v>
      </c>
      <c r="U376" s="186">
        <f t="shared" si="139"/>
        <v>0</v>
      </c>
      <c r="V376" s="418">
        <f t="shared" si="140"/>
        <v>0</v>
      </c>
      <c r="W376" s="418">
        <f t="shared" si="141"/>
        <v>0</v>
      </c>
      <c r="X376" s="41"/>
      <c r="Y376" s="418">
        <f t="shared" si="162"/>
        <v>0</v>
      </c>
      <c r="Z376" s="418">
        <f t="shared" si="149"/>
        <v>0</v>
      </c>
      <c r="AA376" s="11">
        <f t="shared" si="150"/>
        <v>0</v>
      </c>
      <c r="AB376" s="9">
        <f t="shared" si="155"/>
        <v>0</v>
      </c>
      <c r="AC376" s="41"/>
      <c r="AD376" s="427">
        <f>IF(AH376&gt;AH375,AD375,IF(AD375&lt;MiscData!$F$1,EOMONTH(AD375,1),EOMONTH(AD375,-11)))</f>
        <v>42521</v>
      </c>
      <c r="AE376" s="414" t="str">
        <f t="shared" si="142"/>
        <v>20140101KUUM_407</v>
      </c>
      <c r="AF376" s="466" t="str">
        <f t="shared" si="143"/>
        <v>20140101LS</v>
      </c>
      <c r="AG376" s="467"/>
      <c r="AH376" s="41">
        <f>IF(AH375=MiscData!$AB$91,1,AH375+1)</f>
        <v>23</v>
      </c>
      <c r="AI376">
        <f>IF(AD376&lt;=MiscData!$B$23,MiscData!$C$23,IF(AD376&lt;=MiscData!$B$24,MiscData!$C$24,MiscData!$C$25))</f>
        <v>20140101</v>
      </c>
      <c r="AJ376" s="41"/>
      <c r="AK376" s="468" t="str">
        <f>VLOOKUP(AM376,MiscData!$AB$4:$ACB$113,2,FALSE)</f>
        <v>KUUM_407</v>
      </c>
      <c r="AL376" s="468" t="str">
        <f>VLOOKUP(AM376,MiscData!$AB$4:$AE$115,4,FALSE)</f>
        <v>LS</v>
      </c>
      <c r="AM376" s="469">
        <f>IF(AM375=MiscData!$AB$91,1,AM375+1)</f>
        <v>23</v>
      </c>
    </row>
    <row r="377" spans="1:39">
      <c r="A377" s="413">
        <f t="shared" si="151"/>
        <v>376</v>
      </c>
      <c r="B377" s="427" t="str">
        <f t="shared" si="157"/>
        <v>May 2016</v>
      </c>
      <c r="C377" s="428" t="str">
        <f t="shared" si="158"/>
        <v>RLS</v>
      </c>
      <c r="D377" s="428" t="str">
        <f t="shared" si="159"/>
        <v>KUUM_409</v>
      </c>
      <c r="E377" s="425">
        <f t="shared" si="132"/>
        <v>142</v>
      </c>
      <c r="F377" s="429"/>
      <c r="G377" s="425">
        <f t="shared" si="133"/>
        <v>0</v>
      </c>
      <c r="H377" s="425">
        <v>0</v>
      </c>
      <c r="I377" s="415">
        <f t="shared" si="160"/>
        <v>11.71</v>
      </c>
      <c r="J377" s="415">
        <f t="shared" si="161"/>
        <v>4.5299999999999994</v>
      </c>
      <c r="K377" s="416">
        <f t="shared" si="152"/>
        <v>1662.82</v>
      </c>
      <c r="L377" s="430"/>
      <c r="M377" s="430"/>
      <c r="N377" s="186">
        <f t="shared" si="163"/>
        <v>1662.82</v>
      </c>
      <c r="O377" s="431">
        <f t="shared" si="134"/>
        <v>0</v>
      </c>
      <c r="P377" s="417">
        <f t="shared" si="153"/>
        <v>0</v>
      </c>
      <c r="Q377" s="186">
        <f t="shared" si="135"/>
        <v>0</v>
      </c>
      <c r="R377" s="186">
        <f t="shared" si="136"/>
        <v>0</v>
      </c>
      <c r="S377" s="186">
        <f t="shared" si="137"/>
        <v>0</v>
      </c>
      <c r="T377" s="186">
        <f t="shared" si="138"/>
        <v>0</v>
      </c>
      <c r="U377" s="186">
        <f t="shared" si="139"/>
        <v>0</v>
      </c>
      <c r="V377" s="418">
        <f t="shared" si="140"/>
        <v>1662.82</v>
      </c>
      <c r="W377" s="418">
        <f t="shared" si="141"/>
        <v>-1662.82</v>
      </c>
      <c r="X377" s="41"/>
      <c r="Y377" s="418">
        <f t="shared" si="162"/>
        <v>643.26</v>
      </c>
      <c r="Z377" s="418">
        <f t="shared" si="149"/>
        <v>-643.26</v>
      </c>
      <c r="AA377" s="11">
        <f t="shared" si="150"/>
        <v>0.79</v>
      </c>
      <c r="AB377" s="9">
        <f t="shared" si="155"/>
        <v>112.18</v>
      </c>
      <c r="AC377" s="41"/>
      <c r="AD377" s="427">
        <f>IF(AH377&gt;AH376,AD376,IF(AD376&lt;MiscData!$F$1,EOMONTH(AD376,1),EOMONTH(AD376,-11)))</f>
        <v>42521</v>
      </c>
      <c r="AE377" s="414" t="str">
        <f t="shared" si="142"/>
        <v>20140101KUUM_409</v>
      </c>
      <c r="AF377" s="466" t="str">
        <f t="shared" si="143"/>
        <v>20140101RLS</v>
      </c>
      <c r="AG377" s="467"/>
      <c r="AH377" s="41">
        <f>IF(AH376=MiscData!$AB$91,1,AH376+1)</f>
        <v>24</v>
      </c>
      <c r="AI377">
        <f>IF(AD377&lt;=MiscData!$B$23,MiscData!$C$23,IF(AD377&lt;=MiscData!$B$24,MiscData!$C$24,MiscData!$C$25))</f>
        <v>20140101</v>
      </c>
      <c r="AJ377" s="41"/>
      <c r="AK377" s="468" t="str">
        <f>VLOOKUP(AM377,MiscData!$AB$4:$ACB$113,2,FALSE)</f>
        <v>KUUM_409</v>
      </c>
      <c r="AL377" s="468" t="str">
        <f>VLOOKUP(AM377,MiscData!$AB$4:$AE$115,4,FALSE)</f>
        <v>RLS</v>
      </c>
      <c r="AM377" s="469">
        <f>IF(AM376=MiscData!$AB$91,1,AM376+1)</f>
        <v>24</v>
      </c>
    </row>
    <row r="378" spans="1:39">
      <c r="A378" s="413">
        <f t="shared" si="151"/>
        <v>377</v>
      </c>
      <c r="B378" s="427" t="str">
        <f t="shared" ref="B378:B441" si="164">TEXT(AD378,"mmm yyyy")</f>
        <v>May 2016</v>
      </c>
      <c r="C378" s="428" t="str">
        <f t="shared" ref="C378:C441" si="165">AL378</f>
        <v>RLS</v>
      </c>
      <c r="D378" s="428" t="str">
        <f t="shared" ref="D378:D441" si="166">AK378</f>
        <v>KUUM_410</v>
      </c>
      <c r="E378" s="425">
        <f t="shared" ref="E378:E441" si="167">SUMIFS(_1055_Light_Count,_1055_RevMonth,$B378,_1055_RateCategory,$D378)</f>
        <v>242</v>
      </c>
      <c r="F378" s="429"/>
      <c r="G378" s="425">
        <f t="shared" ref="G378:G441" si="168">SUMIFS(_SBR_KWH,_SBR_Revenue_Month,$B378,_SBR_Rate_Category,$D378)</f>
        <v>0</v>
      </c>
      <c r="H378" s="425">
        <v>0</v>
      </c>
      <c r="I378" s="415">
        <f t="shared" ref="I378:I441" si="169">SUMIF(_Lights_Tariff_Category,$AE378,_Lights_Rates)</f>
        <v>20.259999999999998</v>
      </c>
      <c r="J378" s="415">
        <f t="shared" ref="J378:J441" si="170">SUMIF(_Lights_Tariff_Category,$AE378,_Rates_Lights_BaseFAC)</f>
        <v>0.57000000000000028</v>
      </c>
      <c r="K378" s="416">
        <f t="shared" si="152"/>
        <v>4902.92</v>
      </c>
      <c r="L378" s="430"/>
      <c r="M378" s="430"/>
      <c r="N378" s="186">
        <f t="shared" si="163"/>
        <v>4902.92</v>
      </c>
      <c r="O378" s="431">
        <f t="shared" ref="O378:O441" si="171">U378-SUM(Q378:T378)</f>
        <v>0</v>
      </c>
      <c r="P378" s="417">
        <f t="shared" si="153"/>
        <v>0</v>
      </c>
      <c r="Q378" s="186">
        <f t="shared" ref="Q378:Q441" si="172">SUMIFS(_SBR_FAC,_SBR_Revenue_Month,$B378,_SBR_Rate_Category,$D378)</f>
        <v>0</v>
      </c>
      <c r="R378" s="186">
        <f t="shared" ref="R378:R441" si="173">SUMIFS(_SBR_DSM,_SBR_Revenue_Month,$B378,_SBR_Rate_Category,$D378)</f>
        <v>0</v>
      </c>
      <c r="S378" s="186">
        <f t="shared" ref="S378:S441" si="174">SUMIFS(_SBR_ECR,_SBR_Revenue_Month,$B378,_SBR_Rate_Category,$D378)</f>
        <v>0</v>
      </c>
      <c r="T378" s="186">
        <f t="shared" ref="T378:T441" si="175">SUMIFS(_SBR_MSR,_SBR_Revenue_Month,$B378,_SBR_Rate_Category,$D378)</f>
        <v>0</v>
      </c>
      <c r="U378" s="186">
        <f t="shared" ref="U378:U441" si="176">SUMIFS(_SBR_Revenue_Actual,_SBR_Revenue_Month,$B378,_SBR_Rate_Category,$D378)</f>
        <v>0</v>
      </c>
      <c r="V378" s="418">
        <f t="shared" ref="V378:V441" si="177">SUM(N378,Q378:T378)</f>
        <v>4902.92</v>
      </c>
      <c r="W378" s="418">
        <f t="shared" ref="W378:W441" si="178">U378-V378</f>
        <v>-4902.92</v>
      </c>
      <c r="X378" s="41"/>
      <c r="Y378" s="418">
        <f t="shared" si="162"/>
        <v>137.94</v>
      </c>
      <c r="Z378" s="418">
        <f t="shared" si="149"/>
        <v>-137.94</v>
      </c>
      <c r="AA378" s="11">
        <f t="shared" si="150"/>
        <v>0.33</v>
      </c>
      <c r="AB378" s="9">
        <f t="shared" si="155"/>
        <v>79.86</v>
      </c>
      <c r="AC378" s="41"/>
      <c r="AD378" s="427">
        <f>IF(AH378&gt;AH377,AD377,IF(AD377&lt;MiscData!$F$1,EOMONTH(AD377,1),EOMONTH(AD377,-11)))</f>
        <v>42521</v>
      </c>
      <c r="AE378" s="414" t="str">
        <f t="shared" ref="AE378:AE441" si="179">CONCATENATE(AI378&amp;AK378)</f>
        <v>20140101KUUM_410</v>
      </c>
      <c r="AF378" s="466" t="str">
        <f t="shared" ref="AF378:AF441" si="180">CONCATENATE(AI378&amp;AL378)</f>
        <v>20140101RLS</v>
      </c>
      <c r="AG378" s="467"/>
      <c r="AH378" s="41">
        <f>IF(AH377=MiscData!$AB$91,1,AH377+1)</f>
        <v>25</v>
      </c>
      <c r="AI378">
        <f>IF(AD378&lt;=MiscData!$B$23,MiscData!$C$23,IF(AD378&lt;=MiscData!$B$24,MiscData!$C$24,MiscData!$C$25))</f>
        <v>20140101</v>
      </c>
      <c r="AJ378" s="41"/>
      <c r="AK378" s="468" t="str">
        <f>VLOOKUP(AM378,MiscData!$AB$4:$ACB$113,2,FALSE)</f>
        <v>KUUM_410</v>
      </c>
      <c r="AL378" s="468" t="str">
        <f>VLOOKUP(AM378,MiscData!$AB$4:$AE$115,4,FALSE)</f>
        <v>RLS</v>
      </c>
      <c r="AM378" s="469">
        <f>IF(AM377=MiscData!$AB$91,1,AM377+1)</f>
        <v>25</v>
      </c>
    </row>
    <row r="379" spans="1:39">
      <c r="A379" s="413">
        <f t="shared" si="151"/>
        <v>378</v>
      </c>
      <c r="B379" s="427" t="str">
        <f t="shared" si="164"/>
        <v>May 2016</v>
      </c>
      <c r="C379" s="428" t="str">
        <f t="shared" si="165"/>
        <v>LS</v>
      </c>
      <c r="D379" s="428" t="str">
        <f t="shared" si="166"/>
        <v>KUUM_411</v>
      </c>
      <c r="E379" s="425">
        <f t="shared" si="167"/>
        <v>151</v>
      </c>
      <c r="F379" s="429"/>
      <c r="G379" s="425">
        <f t="shared" si="168"/>
        <v>0</v>
      </c>
      <c r="H379" s="425">
        <v>0</v>
      </c>
      <c r="I379" s="415">
        <f t="shared" si="169"/>
        <v>21.38</v>
      </c>
      <c r="J379" s="415">
        <f t="shared" si="170"/>
        <v>0.79999999999999716</v>
      </c>
      <c r="K379" s="416">
        <f t="shared" si="152"/>
        <v>3228.38</v>
      </c>
      <c r="L379" s="430"/>
      <c r="M379" s="430"/>
      <c r="N379" s="186">
        <f t="shared" si="163"/>
        <v>3228.38</v>
      </c>
      <c r="O379" s="431">
        <f t="shared" si="171"/>
        <v>0</v>
      </c>
      <c r="P379" s="417">
        <f t="shared" si="153"/>
        <v>0</v>
      </c>
      <c r="Q379" s="186">
        <f t="shared" si="172"/>
        <v>0</v>
      </c>
      <c r="R379" s="186">
        <f t="shared" si="173"/>
        <v>0</v>
      </c>
      <c r="S379" s="186">
        <f t="shared" si="174"/>
        <v>0</v>
      </c>
      <c r="T379" s="186">
        <f t="shared" si="175"/>
        <v>0</v>
      </c>
      <c r="U379" s="186">
        <f t="shared" si="176"/>
        <v>0</v>
      </c>
      <c r="V379" s="418">
        <f t="shared" si="177"/>
        <v>3228.38</v>
      </c>
      <c r="W379" s="418">
        <f t="shared" si="178"/>
        <v>-3228.38</v>
      </c>
      <c r="X379" s="41"/>
      <c r="Y379" s="418">
        <f t="shared" ref="Y379:Y442" si="181">ROUND(E379*J379,2)</f>
        <v>120.8</v>
      </c>
      <c r="Z379" s="418">
        <f t="shared" ref="Z379:Z442" si="182">O379-Y379</f>
        <v>-120.8</v>
      </c>
      <c r="AA379" s="11">
        <f t="shared" si="150"/>
        <v>0.43</v>
      </c>
      <c r="AB379" s="9">
        <f t="shared" si="155"/>
        <v>64.929999999999993</v>
      </c>
      <c r="AC379" s="41"/>
      <c r="AD379" s="427">
        <f>IF(AH379&gt;AH378,AD378,IF(AD378&lt;MiscData!$F$1,EOMONTH(AD378,1),EOMONTH(AD378,-11)))</f>
        <v>42521</v>
      </c>
      <c r="AE379" s="414" t="str">
        <f t="shared" si="179"/>
        <v>20140101KUUM_411</v>
      </c>
      <c r="AF379" s="466" t="str">
        <f t="shared" si="180"/>
        <v>20140101LS</v>
      </c>
      <c r="AG379" s="467"/>
      <c r="AH379" s="41">
        <f>IF(AH378=MiscData!$AB$91,1,AH378+1)</f>
        <v>26</v>
      </c>
      <c r="AI379">
        <f>IF(AD379&lt;=MiscData!$B$23,MiscData!$C$23,IF(AD379&lt;=MiscData!$B$24,MiscData!$C$24,MiscData!$C$25))</f>
        <v>20140101</v>
      </c>
      <c r="AJ379" s="41"/>
      <c r="AK379" s="468" t="str">
        <f>VLOOKUP(AM379,MiscData!$AB$4:$ACB$113,2,FALSE)</f>
        <v>KUUM_411</v>
      </c>
      <c r="AL379" s="468" t="str">
        <f>VLOOKUP(AM379,MiscData!$AB$4:$AE$115,4,FALSE)</f>
        <v>LS</v>
      </c>
      <c r="AM379" s="469">
        <f>IF(AM378=MiscData!$AB$91,1,AM378+1)</f>
        <v>26</v>
      </c>
    </row>
    <row r="380" spans="1:39">
      <c r="A380" s="413">
        <f t="shared" ref="A380:A443" si="183">A379+1</f>
        <v>379</v>
      </c>
      <c r="B380" s="427" t="str">
        <f t="shared" si="164"/>
        <v>May 2016</v>
      </c>
      <c r="C380" s="428" t="str">
        <f t="shared" si="165"/>
        <v>RLS</v>
      </c>
      <c r="D380" s="428" t="str">
        <f t="shared" si="166"/>
        <v>KUUM_412</v>
      </c>
      <c r="E380" s="425">
        <f t="shared" si="167"/>
        <v>28</v>
      </c>
      <c r="F380" s="429"/>
      <c r="G380" s="425">
        <f t="shared" si="168"/>
        <v>0</v>
      </c>
      <c r="H380" s="425">
        <v>0</v>
      </c>
      <c r="I380" s="415">
        <f t="shared" si="169"/>
        <v>30.84</v>
      </c>
      <c r="J380" s="415">
        <f t="shared" si="170"/>
        <v>0.79999999999999716</v>
      </c>
      <c r="K380" s="416">
        <f t="shared" si="152"/>
        <v>863.52</v>
      </c>
      <c r="L380" s="430"/>
      <c r="M380" s="430"/>
      <c r="N380" s="186">
        <f t="shared" si="163"/>
        <v>863.52</v>
      </c>
      <c r="O380" s="431">
        <f t="shared" si="171"/>
        <v>0</v>
      </c>
      <c r="P380" s="417">
        <f t="shared" si="153"/>
        <v>0</v>
      </c>
      <c r="Q380" s="186">
        <f t="shared" si="172"/>
        <v>0</v>
      </c>
      <c r="R380" s="186">
        <f t="shared" si="173"/>
        <v>0</v>
      </c>
      <c r="S380" s="186">
        <f t="shared" si="174"/>
        <v>0</v>
      </c>
      <c r="T380" s="186">
        <f t="shared" si="175"/>
        <v>0</v>
      </c>
      <c r="U380" s="186">
        <f t="shared" si="176"/>
        <v>0</v>
      </c>
      <c r="V380" s="418">
        <f t="shared" si="177"/>
        <v>863.52</v>
      </c>
      <c r="W380" s="418">
        <f t="shared" si="178"/>
        <v>-863.52</v>
      </c>
      <c r="X380" s="41"/>
      <c r="Y380" s="418">
        <f t="shared" si="181"/>
        <v>22.4</v>
      </c>
      <c r="Z380" s="418">
        <f t="shared" si="182"/>
        <v>-22.4</v>
      </c>
      <c r="AA380" s="11">
        <f t="shared" si="150"/>
        <v>0.43</v>
      </c>
      <c r="AB380" s="9">
        <f t="shared" si="155"/>
        <v>12.04</v>
      </c>
      <c r="AC380" s="41"/>
      <c r="AD380" s="427">
        <f>IF(AH380&gt;AH379,AD379,IF(AD379&lt;MiscData!$F$1,EOMONTH(AD379,1),EOMONTH(AD379,-11)))</f>
        <v>42521</v>
      </c>
      <c r="AE380" s="414" t="str">
        <f t="shared" si="179"/>
        <v>20140101KUUM_412</v>
      </c>
      <c r="AF380" s="466" t="str">
        <f t="shared" si="180"/>
        <v>20140101RLS</v>
      </c>
      <c r="AG380" s="467"/>
      <c r="AH380" s="41">
        <f>IF(AH379=MiscData!$AB$91,1,AH379+1)</f>
        <v>27</v>
      </c>
      <c r="AI380">
        <f>IF(AD380&lt;=MiscData!$B$23,MiscData!$C$23,IF(AD380&lt;=MiscData!$B$24,MiscData!$C$24,MiscData!$C$25))</f>
        <v>20140101</v>
      </c>
      <c r="AJ380" s="41"/>
      <c r="AK380" s="468" t="str">
        <f>VLOOKUP(AM380,MiscData!$AB$4:$ACB$113,2,FALSE)</f>
        <v>KUUM_412</v>
      </c>
      <c r="AL380" s="468" t="str">
        <f>VLOOKUP(AM380,MiscData!$AB$4:$AE$115,4,FALSE)</f>
        <v>RLS</v>
      </c>
      <c r="AM380" s="469">
        <f>IF(AM379=MiscData!$AB$91,1,AM379+1)</f>
        <v>27</v>
      </c>
    </row>
    <row r="381" spans="1:39">
      <c r="A381" s="413">
        <f t="shared" si="183"/>
        <v>380</v>
      </c>
      <c r="B381" s="427" t="str">
        <f t="shared" si="164"/>
        <v>May 2016</v>
      </c>
      <c r="C381" s="428" t="str">
        <f t="shared" si="165"/>
        <v>RLS</v>
      </c>
      <c r="D381" s="428" t="str">
        <f t="shared" si="166"/>
        <v>KUUM_413</v>
      </c>
      <c r="E381" s="425">
        <f t="shared" si="167"/>
        <v>97</v>
      </c>
      <c r="F381" s="429"/>
      <c r="G381" s="425">
        <f t="shared" si="168"/>
        <v>0</v>
      </c>
      <c r="H381" s="425">
        <v>0</v>
      </c>
      <c r="I381" s="415">
        <f t="shared" si="169"/>
        <v>31.22</v>
      </c>
      <c r="J381" s="415">
        <f t="shared" si="170"/>
        <v>1.129999999999999</v>
      </c>
      <c r="K381" s="416">
        <f t="shared" si="152"/>
        <v>3028.34</v>
      </c>
      <c r="L381" s="430"/>
      <c r="M381" s="430"/>
      <c r="N381" s="186">
        <f t="shared" si="163"/>
        <v>3028.34</v>
      </c>
      <c r="O381" s="431">
        <f t="shared" si="171"/>
        <v>0</v>
      </c>
      <c r="P381" s="417">
        <f t="shared" si="153"/>
        <v>0</v>
      </c>
      <c r="Q381" s="186">
        <f t="shared" si="172"/>
        <v>0</v>
      </c>
      <c r="R381" s="186">
        <f t="shared" si="173"/>
        <v>0</v>
      </c>
      <c r="S381" s="186">
        <f t="shared" si="174"/>
        <v>0</v>
      </c>
      <c r="T381" s="186">
        <f t="shared" si="175"/>
        <v>0</v>
      </c>
      <c r="U381" s="186">
        <f t="shared" si="176"/>
        <v>0</v>
      </c>
      <c r="V381" s="418">
        <f t="shared" si="177"/>
        <v>3028.34</v>
      </c>
      <c r="W381" s="418">
        <f t="shared" si="178"/>
        <v>-3028.34</v>
      </c>
      <c r="X381" s="41"/>
      <c r="Y381" s="418">
        <f t="shared" si="181"/>
        <v>109.61</v>
      </c>
      <c r="Z381" s="418">
        <f t="shared" si="182"/>
        <v>-109.61</v>
      </c>
      <c r="AA381" s="11">
        <f t="shared" si="150"/>
        <v>0.34</v>
      </c>
      <c r="AB381" s="9">
        <f t="shared" si="155"/>
        <v>32.980000000000004</v>
      </c>
      <c r="AC381" s="41"/>
      <c r="AD381" s="427">
        <f>IF(AH381&gt;AH380,AD380,IF(AD380&lt;MiscData!$F$1,EOMONTH(AD380,1),EOMONTH(AD380,-11)))</f>
        <v>42521</v>
      </c>
      <c r="AE381" s="414" t="str">
        <f t="shared" si="179"/>
        <v>20140101KUUM_413</v>
      </c>
      <c r="AF381" s="466" t="str">
        <f t="shared" si="180"/>
        <v>20140101RLS</v>
      </c>
      <c r="AG381" s="467"/>
      <c r="AH381" s="41">
        <f>IF(AH380=MiscData!$AB$91,1,AH380+1)</f>
        <v>28</v>
      </c>
      <c r="AI381">
        <f>IF(AD381&lt;=MiscData!$B$23,MiscData!$C$23,IF(AD381&lt;=MiscData!$B$24,MiscData!$C$24,MiscData!$C$25))</f>
        <v>20140101</v>
      </c>
      <c r="AJ381" s="41"/>
      <c r="AK381" s="468" t="str">
        <f>VLOOKUP(AM381,MiscData!$AB$4:$ACB$113,2,FALSE)</f>
        <v>KUUM_413</v>
      </c>
      <c r="AL381" s="468" t="str">
        <f>VLOOKUP(AM381,MiscData!$AB$4:$AE$115,4,FALSE)</f>
        <v>RLS</v>
      </c>
      <c r="AM381" s="469">
        <f>IF(AM380=MiscData!$AB$91,1,AM380+1)</f>
        <v>28</v>
      </c>
    </row>
    <row r="382" spans="1:39">
      <c r="A382" s="413">
        <f t="shared" si="183"/>
        <v>381</v>
      </c>
      <c r="B382" s="427" t="str">
        <f t="shared" si="164"/>
        <v>May 2016</v>
      </c>
      <c r="C382" s="428" t="str">
        <f t="shared" si="165"/>
        <v>LS</v>
      </c>
      <c r="D382" s="428" t="str">
        <f t="shared" si="166"/>
        <v>KUUM_414</v>
      </c>
      <c r="E382" s="425">
        <f t="shared" si="167"/>
        <v>21</v>
      </c>
      <c r="F382" s="429"/>
      <c r="G382" s="425">
        <f t="shared" si="168"/>
        <v>0</v>
      </c>
      <c r="H382" s="425">
        <v>0</v>
      </c>
      <c r="I382" s="415">
        <f t="shared" si="169"/>
        <v>30.84</v>
      </c>
      <c r="J382" s="415">
        <f t="shared" si="170"/>
        <v>0.79999999999999716</v>
      </c>
      <c r="K382" s="416">
        <f t="shared" si="152"/>
        <v>647.64</v>
      </c>
      <c r="L382" s="430"/>
      <c r="M382" s="430"/>
      <c r="N382" s="186">
        <f t="shared" si="163"/>
        <v>647.64</v>
      </c>
      <c r="O382" s="431">
        <f t="shared" si="171"/>
        <v>0</v>
      </c>
      <c r="P382" s="417">
        <f t="shared" si="153"/>
        <v>0</v>
      </c>
      <c r="Q382" s="186">
        <f t="shared" si="172"/>
        <v>0</v>
      </c>
      <c r="R382" s="186">
        <f t="shared" si="173"/>
        <v>0</v>
      </c>
      <c r="S382" s="186">
        <f t="shared" si="174"/>
        <v>0</v>
      </c>
      <c r="T382" s="186">
        <f t="shared" si="175"/>
        <v>0</v>
      </c>
      <c r="U382" s="186">
        <f t="shared" si="176"/>
        <v>0</v>
      </c>
      <c r="V382" s="418">
        <f t="shared" si="177"/>
        <v>647.64</v>
      </c>
      <c r="W382" s="418">
        <f t="shared" si="178"/>
        <v>-647.64</v>
      </c>
      <c r="X382" s="41"/>
      <c r="Y382" s="418">
        <f t="shared" si="181"/>
        <v>16.8</v>
      </c>
      <c r="Z382" s="418">
        <f t="shared" si="182"/>
        <v>-16.8</v>
      </c>
      <c r="AA382" s="11">
        <f t="shared" si="150"/>
        <v>0.43</v>
      </c>
      <c r="AB382" s="9">
        <f t="shared" si="155"/>
        <v>9.0299999999999994</v>
      </c>
      <c r="AC382" s="41"/>
      <c r="AD382" s="427">
        <f>IF(AH382&gt;AH381,AD381,IF(AD381&lt;MiscData!$F$1,EOMONTH(AD381,1),EOMONTH(AD381,-11)))</f>
        <v>42521</v>
      </c>
      <c r="AE382" s="414" t="str">
        <f t="shared" si="179"/>
        <v>20140101KUUM_414</v>
      </c>
      <c r="AF382" s="466" t="str">
        <f t="shared" si="180"/>
        <v>20140101LS</v>
      </c>
      <c r="AG382" s="467"/>
      <c r="AH382" s="41">
        <f>IF(AH381=MiscData!$AB$91,1,AH381+1)</f>
        <v>29</v>
      </c>
      <c r="AI382">
        <f>IF(AD382&lt;=MiscData!$B$23,MiscData!$C$23,IF(AD382&lt;=MiscData!$B$24,MiscData!$C$24,MiscData!$C$25))</f>
        <v>20140101</v>
      </c>
      <c r="AJ382" s="41"/>
      <c r="AK382" s="468" t="str">
        <f>VLOOKUP(AM382,MiscData!$AB$4:$ACB$113,2,FALSE)</f>
        <v>KUUM_414</v>
      </c>
      <c r="AL382" s="468" t="str">
        <f>VLOOKUP(AM382,MiscData!$AB$4:$AE$115,4,FALSE)</f>
        <v>LS</v>
      </c>
      <c r="AM382" s="469">
        <f>IF(AM381=MiscData!$AB$91,1,AM381+1)</f>
        <v>29</v>
      </c>
    </row>
    <row r="383" spans="1:39">
      <c r="A383" s="413">
        <f t="shared" si="183"/>
        <v>382</v>
      </c>
      <c r="B383" s="427" t="str">
        <f t="shared" si="164"/>
        <v>May 2016</v>
      </c>
      <c r="C383" s="428" t="str">
        <f t="shared" si="165"/>
        <v>LS</v>
      </c>
      <c r="D383" s="428" t="str">
        <f t="shared" si="166"/>
        <v>KUUM_415</v>
      </c>
      <c r="E383" s="425">
        <f t="shared" si="167"/>
        <v>10</v>
      </c>
      <c r="F383" s="429"/>
      <c r="G383" s="425">
        <f t="shared" si="168"/>
        <v>0</v>
      </c>
      <c r="H383" s="425">
        <v>0</v>
      </c>
      <c r="I383" s="415">
        <f t="shared" si="169"/>
        <v>31.22</v>
      </c>
      <c r="J383" s="415">
        <f t="shared" si="170"/>
        <v>1.129999999999999</v>
      </c>
      <c r="K383" s="416">
        <f t="shared" si="152"/>
        <v>312.2</v>
      </c>
      <c r="L383" s="430"/>
      <c r="M383" s="430"/>
      <c r="N383" s="186">
        <f t="shared" si="163"/>
        <v>312.2</v>
      </c>
      <c r="O383" s="431">
        <f t="shared" si="171"/>
        <v>0</v>
      </c>
      <c r="P383" s="417">
        <f t="shared" si="153"/>
        <v>0</v>
      </c>
      <c r="Q383" s="186">
        <f t="shared" si="172"/>
        <v>0</v>
      </c>
      <c r="R383" s="186">
        <f t="shared" si="173"/>
        <v>0</v>
      </c>
      <c r="S383" s="186">
        <f t="shared" si="174"/>
        <v>0</v>
      </c>
      <c r="T383" s="186">
        <f t="shared" si="175"/>
        <v>0</v>
      </c>
      <c r="U383" s="186">
        <f t="shared" si="176"/>
        <v>0</v>
      </c>
      <c r="V383" s="418">
        <f t="shared" si="177"/>
        <v>312.2</v>
      </c>
      <c r="W383" s="418">
        <f t="shared" si="178"/>
        <v>-312.2</v>
      </c>
      <c r="X383" s="41"/>
      <c r="Y383" s="418">
        <f t="shared" si="181"/>
        <v>11.3</v>
      </c>
      <c r="Z383" s="418">
        <f t="shared" si="182"/>
        <v>-11.3</v>
      </c>
      <c r="AA383" s="11">
        <f t="shared" si="150"/>
        <v>0.34</v>
      </c>
      <c r="AB383" s="9">
        <f t="shared" si="155"/>
        <v>3.4000000000000004</v>
      </c>
      <c r="AC383" s="41"/>
      <c r="AD383" s="427">
        <f>IF(AH383&gt;AH382,AD382,IF(AD382&lt;MiscData!$F$1,EOMONTH(AD382,1),EOMONTH(AD382,-11)))</f>
        <v>42521</v>
      </c>
      <c r="AE383" s="414" t="str">
        <f t="shared" si="179"/>
        <v>20140101KUUM_415</v>
      </c>
      <c r="AF383" s="466" t="str">
        <f t="shared" si="180"/>
        <v>20140101LS</v>
      </c>
      <c r="AG383" s="467"/>
      <c r="AH383" s="41">
        <f>IF(AH382=MiscData!$AB$91,1,AH382+1)</f>
        <v>30</v>
      </c>
      <c r="AI383">
        <f>IF(AD383&lt;=MiscData!$B$23,MiscData!$C$23,IF(AD383&lt;=MiscData!$B$24,MiscData!$C$24,MiscData!$C$25))</f>
        <v>20140101</v>
      </c>
      <c r="AJ383" s="41"/>
      <c r="AK383" s="468" t="str">
        <f>VLOOKUP(AM383,MiscData!$AB$4:$ACB$113,2,FALSE)</f>
        <v>KUUM_415</v>
      </c>
      <c r="AL383" s="468" t="str">
        <f>VLOOKUP(AM383,MiscData!$AB$4:$AE$115,4,FALSE)</f>
        <v>LS</v>
      </c>
      <c r="AM383" s="469">
        <f>IF(AM382=MiscData!$AB$91,1,AM382+1)</f>
        <v>30</v>
      </c>
    </row>
    <row r="384" spans="1:39">
      <c r="A384" s="413">
        <f t="shared" si="183"/>
        <v>383</v>
      </c>
      <c r="B384" s="427" t="str">
        <f t="shared" si="164"/>
        <v>May 2016</v>
      </c>
      <c r="C384" s="428" t="str">
        <f t="shared" si="165"/>
        <v>LS</v>
      </c>
      <c r="D384" s="428" t="str">
        <f t="shared" si="166"/>
        <v>KUUM_420</v>
      </c>
      <c r="E384" s="425">
        <f t="shared" si="167"/>
        <v>470</v>
      </c>
      <c r="F384" s="429"/>
      <c r="G384" s="425">
        <f t="shared" si="168"/>
        <v>0</v>
      </c>
      <c r="H384" s="425">
        <v>0</v>
      </c>
      <c r="I384" s="415">
        <f t="shared" si="169"/>
        <v>15.360000000000001</v>
      </c>
      <c r="J384" s="415">
        <f t="shared" si="170"/>
        <v>1.1300000000000008</v>
      </c>
      <c r="K384" s="416">
        <f t="shared" si="152"/>
        <v>7219.2</v>
      </c>
      <c r="L384" s="430"/>
      <c r="M384" s="430"/>
      <c r="N384" s="186">
        <f t="shared" si="163"/>
        <v>7219.2</v>
      </c>
      <c r="O384" s="431">
        <f t="shared" si="171"/>
        <v>0</v>
      </c>
      <c r="P384" s="417">
        <f t="shared" si="153"/>
        <v>0</v>
      </c>
      <c r="Q384" s="186">
        <f t="shared" si="172"/>
        <v>0</v>
      </c>
      <c r="R384" s="186">
        <f t="shared" si="173"/>
        <v>0</v>
      </c>
      <c r="S384" s="186">
        <f t="shared" si="174"/>
        <v>0</v>
      </c>
      <c r="T384" s="186">
        <f t="shared" si="175"/>
        <v>0</v>
      </c>
      <c r="U384" s="186">
        <f t="shared" si="176"/>
        <v>0</v>
      </c>
      <c r="V384" s="418">
        <f t="shared" si="177"/>
        <v>7219.2</v>
      </c>
      <c r="W384" s="418">
        <f t="shared" si="178"/>
        <v>-7219.2</v>
      </c>
      <c r="X384" s="41"/>
      <c r="Y384" s="418">
        <f t="shared" si="181"/>
        <v>531.1</v>
      </c>
      <c r="Z384" s="418">
        <f t="shared" si="182"/>
        <v>-531.1</v>
      </c>
      <c r="AA384" s="11">
        <f t="shared" si="150"/>
        <v>0.34</v>
      </c>
      <c r="AB384" s="9">
        <f t="shared" si="155"/>
        <v>159.80000000000001</v>
      </c>
      <c r="AC384" s="41"/>
      <c r="AD384" s="427">
        <f>IF(AH384&gt;AH383,AD383,IF(AD383&lt;MiscData!$F$1,EOMONTH(AD383,1),EOMONTH(AD383,-11)))</f>
        <v>42521</v>
      </c>
      <c r="AE384" s="414" t="str">
        <f t="shared" si="179"/>
        <v>20140101KUUM_420</v>
      </c>
      <c r="AF384" s="466" t="str">
        <f t="shared" si="180"/>
        <v>20140101LS</v>
      </c>
      <c r="AG384" s="467"/>
      <c r="AH384" s="41">
        <f>IF(AH383=MiscData!$AB$91,1,AH383+1)</f>
        <v>31</v>
      </c>
      <c r="AI384">
        <f>IF(AD384&lt;=MiscData!$B$23,MiscData!$C$23,IF(AD384&lt;=MiscData!$B$24,MiscData!$C$24,MiscData!$C$25))</f>
        <v>20140101</v>
      </c>
      <c r="AJ384" s="41"/>
      <c r="AK384" s="468" t="str">
        <f>VLOOKUP(AM384,MiscData!$AB$4:$ACB$113,2,FALSE)</f>
        <v>KUUM_420</v>
      </c>
      <c r="AL384" s="468" t="str">
        <f>VLOOKUP(AM384,MiscData!$AB$4:$AE$115,4,FALSE)</f>
        <v>LS</v>
      </c>
      <c r="AM384" s="469">
        <f>IF(AM383=MiscData!$AB$91,1,AM383+1)</f>
        <v>31</v>
      </c>
    </row>
    <row r="385" spans="1:39">
      <c r="A385" s="413">
        <f t="shared" si="183"/>
        <v>384</v>
      </c>
      <c r="B385" s="427" t="str">
        <f t="shared" si="164"/>
        <v>May 2016</v>
      </c>
      <c r="C385" s="428" t="str">
        <f t="shared" si="165"/>
        <v>RLS</v>
      </c>
      <c r="D385" s="428" t="str">
        <f t="shared" si="166"/>
        <v>KUUM_421</v>
      </c>
      <c r="E385" s="425">
        <f t="shared" si="167"/>
        <v>5</v>
      </c>
      <c r="F385" s="429"/>
      <c r="G385" s="425">
        <f t="shared" si="168"/>
        <v>0</v>
      </c>
      <c r="H385" s="425">
        <v>0</v>
      </c>
      <c r="I385" s="415">
        <f t="shared" si="169"/>
        <v>3.39</v>
      </c>
      <c r="J385" s="415">
        <f t="shared" si="170"/>
        <v>0.98999999999999977</v>
      </c>
      <c r="K385" s="416">
        <f t="shared" si="152"/>
        <v>16.95</v>
      </c>
      <c r="L385" s="430"/>
      <c r="M385" s="430"/>
      <c r="N385" s="186">
        <f t="shared" si="163"/>
        <v>16.95</v>
      </c>
      <c r="O385" s="431">
        <f t="shared" si="171"/>
        <v>0</v>
      </c>
      <c r="P385" s="417">
        <f t="shared" si="153"/>
        <v>0</v>
      </c>
      <c r="Q385" s="186">
        <f t="shared" si="172"/>
        <v>0</v>
      </c>
      <c r="R385" s="186">
        <f t="shared" si="173"/>
        <v>0</v>
      </c>
      <c r="S385" s="186">
        <f t="shared" si="174"/>
        <v>0</v>
      </c>
      <c r="T385" s="186">
        <f t="shared" si="175"/>
        <v>0</v>
      </c>
      <c r="U385" s="186">
        <f t="shared" si="176"/>
        <v>0</v>
      </c>
      <c r="V385" s="418">
        <f t="shared" si="177"/>
        <v>16.95</v>
      </c>
      <c r="W385" s="418">
        <f t="shared" si="178"/>
        <v>-16.95</v>
      </c>
      <c r="X385" s="41"/>
      <c r="Y385" s="418">
        <f t="shared" si="181"/>
        <v>4.95</v>
      </c>
      <c r="Z385" s="418">
        <f t="shared" si="182"/>
        <v>-4.95</v>
      </c>
      <c r="AA385" s="11">
        <f t="shared" si="150"/>
        <v>0.12</v>
      </c>
      <c r="AB385" s="9">
        <f t="shared" si="155"/>
        <v>0.6</v>
      </c>
      <c r="AC385" s="41"/>
      <c r="AD385" s="427">
        <f>IF(AH385&gt;AH384,AD384,IF(AD384&lt;MiscData!$F$1,EOMONTH(AD384,1),EOMONTH(AD384,-11)))</f>
        <v>42521</v>
      </c>
      <c r="AE385" s="414" t="str">
        <f t="shared" si="179"/>
        <v>20140101KUUM_421</v>
      </c>
      <c r="AF385" s="466" t="str">
        <f t="shared" si="180"/>
        <v>20140101RLS</v>
      </c>
      <c r="AG385" s="467"/>
      <c r="AH385" s="41">
        <f>IF(AH384=MiscData!$AB$91,1,AH384+1)</f>
        <v>32</v>
      </c>
      <c r="AI385">
        <f>IF(AD385&lt;=MiscData!$B$23,MiscData!$C$23,IF(AD385&lt;=MiscData!$B$24,MiscData!$C$24,MiscData!$C$25))</f>
        <v>20140101</v>
      </c>
      <c r="AJ385" s="41"/>
      <c r="AK385" s="468" t="str">
        <f>VLOOKUP(AM385,MiscData!$AB$4:$ACB$113,2,FALSE)</f>
        <v>KUUM_421</v>
      </c>
      <c r="AL385" s="468" t="str">
        <f>VLOOKUP(AM385,MiscData!$AB$4:$AE$115,4,FALSE)</f>
        <v>RLS</v>
      </c>
      <c r="AM385" s="469">
        <f>IF(AM384=MiscData!$AB$91,1,AM384+1)</f>
        <v>32</v>
      </c>
    </row>
    <row r="386" spans="1:39">
      <c r="A386" s="413">
        <f t="shared" si="183"/>
        <v>385</v>
      </c>
      <c r="B386" s="427" t="str">
        <f t="shared" si="164"/>
        <v>May 2016</v>
      </c>
      <c r="C386" s="428" t="str">
        <f t="shared" si="165"/>
        <v>RLS</v>
      </c>
      <c r="D386" s="428" t="str">
        <f t="shared" si="166"/>
        <v>KUUM_422</v>
      </c>
      <c r="E386" s="425">
        <f t="shared" si="167"/>
        <v>679</v>
      </c>
      <c r="F386" s="429"/>
      <c r="G386" s="425">
        <f t="shared" si="168"/>
        <v>0</v>
      </c>
      <c r="H386" s="425">
        <v>1275</v>
      </c>
      <c r="I386" s="415">
        <f t="shared" si="169"/>
        <v>4.5400000000000009</v>
      </c>
      <c r="J386" s="415">
        <f t="shared" si="170"/>
        <v>1.9400000000000004</v>
      </c>
      <c r="K386" s="416">
        <f t="shared" si="152"/>
        <v>3082.66</v>
      </c>
      <c r="L386" s="430"/>
      <c r="M386" s="430"/>
      <c r="N386" s="186">
        <f t="shared" si="163"/>
        <v>3082.66</v>
      </c>
      <c r="O386" s="431">
        <f t="shared" si="171"/>
        <v>0</v>
      </c>
      <c r="P386" s="417">
        <f t="shared" si="153"/>
        <v>0</v>
      </c>
      <c r="Q386" s="186">
        <f t="shared" si="172"/>
        <v>0</v>
      </c>
      <c r="R386" s="186">
        <f t="shared" si="173"/>
        <v>0</v>
      </c>
      <c r="S386" s="186">
        <f t="shared" si="174"/>
        <v>0</v>
      </c>
      <c r="T386" s="186">
        <f t="shared" si="175"/>
        <v>0</v>
      </c>
      <c r="U386" s="186">
        <f t="shared" si="176"/>
        <v>0</v>
      </c>
      <c r="V386" s="418">
        <f t="shared" si="177"/>
        <v>3082.66</v>
      </c>
      <c r="W386" s="418">
        <f t="shared" si="178"/>
        <v>-3082.66</v>
      </c>
      <c r="X386" s="41"/>
      <c r="Y386" s="418">
        <f t="shared" si="181"/>
        <v>1317.26</v>
      </c>
      <c r="Z386" s="418">
        <f t="shared" si="182"/>
        <v>-1317.26</v>
      </c>
      <c r="AA386" s="11">
        <f t="shared" ref="AA386:AA449" si="184">SUMIF(_Lights_Tariff_Category,$AE386,_Rates_Lights_ECR)</f>
        <v>0.16</v>
      </c>
      <c r="AB386" s="9">
        <f t="shared" si="155"/>
        <v>108.64</v>
      </c>
      <c r="AC386" s="41"/>
      <c r="AD386" s="427">
        <f>IF(AH386&gt;AH385,AD385,IF(AD385&lt;MiscData!$F$1,EOMONTH(AD385,1),EOMONTH(AD385,-11)))</f>
        <v>42521</v>
      </c>
      <c r="AE386" s="414" t="str">
        <f t="shared" si="179"/>
        <v>20140101KUUM_422</v>
      </c>
      <c r="AF386" s="466" t="str">
        <f t="shared" si="180"/>
        <v>20140101RLS</v>
      </c>
      <c r="AG386" s="467"/>
      <c r="AH386" s="41">
        <f>IF(AH385=MiscData!$AB$91,1,AH385+1)</f>
        <v>33</v>
      </c>
      <c r="AI386">
        <f>IF(AD386&lt;=MiscData!$B$23,MiscData!$C$23,IF(AD386&lt;=MiscData!$B$24,MiscData!$C$24,MiscData!$C$25))</f>
        <v>20140101</v>
      </c>
      <c r="AJ386" s="41"/>
      <c r="AK386" s="468" t="str">
        <f>VLOOKUP(AM386,MiscData!$AB$4:$ACB$113,2,FALSE)</f>
        <v>KUUM_422</v>
      </c>
      <c r="AL386" s="468" t="str">
        <f>VLOOKUP(AM386,MiscData!$AB$4:$AE$115,4,FALSE)</f>
        <v>RLS</v>
      </c>
      <c r="AM386" s="469">
        <f>IF(AM385=MiscData!$AB$91,1,AM385+1)</f>
        <v>33</v>
      </c>
    </row>
    <row r="387" spans="1:39">
      <c r="A387" s="413">
        <f t="shared" si="183"/>
        <v>386</v>
      </c>
      <c r="B387" s="427" t="str">
        <f t="shared" si="164"/>
        <v>May 2016</v>
      </c>
      <c r="C387" s="428" t="str">
        <f t="shared" si="165"/>
        <v>RLS</v>
      </c>
      <c r="D387" s="428" t="str">
        <f t="shared" si="166"/>
        <v>KUUM_424</v>
      </c>
      <c r="E387" s="425">
        <f t="shared" si="167"/>
        <v>47</v>
      </c>
      <c r="F387" s="429"/>
      <c r="G387" s="425">
        <f t="shared" si="168"/>
        <v>0</v>
      </c>
      <c r="H387" s="425">
        <v>0</v>
      </c>
      <c r="I387" s="415">
        <f t="shared" si="169"/>
        <v>6.78</v>
      </c>
      <c r="J387" s="415">
        <f t="shared" si="170"/>
        <v>0.69999999999999929</v>
      </c>
      <c r="K387" s="416">
        <f t="shared" ref="K387:K450" si="185">ROUND(($E387+$F387)*$I387,2)</f>
        <v>318.66000000000003</v>
      </c>
      <c r="L387" s="430"/>
      <c r="M387" s="430"/>
      <c r="N387" s="186">
        <f t="shared" si="163"/>
        <v>318.66000000000003</v>
      </c>
      <c r="O387" s="431">
        <f t="shared" si="171"/>
        <v>0</v>
      </c>
      <c r="P387" s="417">
        <f t="shared" ref="P387:P450" si="186">IF(AND(N387=0,O387=0),1,IF(N387=0,0,ROUND(O387/N387,6)))</f>
        <v>0</v>
      </c>
      <c r="Q387" s="186">
        <f t="shared" si="172"/>
        <v>0</v>
      </c>
      <c r="R387" s="186">
        <f t="shared" si="173"/>
        <v>0</v>
      </c>
      <c r="S387" s="186">
        <f t="shared" si="174"/>
        <v>0</v>
      </c>
      <c r="T387" s="186">
        <f t="shared" si="175"/>
        <v>0</v>
      </c>
      <c r="U387" s="186">
        <f t="shared" si="176"/>
        <v>0</v>
      </c>
      <c r="V387" s="418">
        <f t="shared" si="177"/>
        <v>318.66000000000003</v>
      </c>
      <c r="W387" s="418">
        <f t="shared" si="178"/>
        <v>-318.66000000000003</v>
      </c>
      <c r="X387" s="41"/>
      <c r="Y387" s="418">
        <f t="shared" si="181"/>
        <v>32.9</v>
      </c>
      <c r="Z387" s="418">
        <f t="shared" si="182"/>
        <v>-32.9</v>
      </c>
      <c r="AA387" s="11">
        <f t="shared" si="184"/>
        <v>0.24</v>
      </c>
      <c r="AB387" s="9">
        <f t="shared" ref="AB387:AB450" si="187">E387*AA387</f>
        <v>11.28</v>
      </c>
      <c r="AC387" s="41"/>
      <c r="AD387" s="427">
        <f>IF(AH387&gt;AH386,AD386,IF(AD386&lt;MiscData!$F$1,EOMONTH(AD386,1),EOMONTH(AD386,-11)))</f>
        <v>42521</v>
      </c>
      <c r="AE387" s="414" t="str">
        <f t="shared" si="179"/>
        <v>20140101KUUM_424</v>
      </c>
      <c r="AF387" s="466" t="str">
        <f t="shared" si="180"/>
        <v>20140101RLS</v>
      </c>
      <c r="AG387" s="467"/>
      <c r="AH387" s="41">
        <f>IF(AH386=MiscData!$AB$91,1,AH386+1)</f>
        <v>34</v>
      </c>
      <c r="AI387">
        <f>IF(AD387&lt;=MiscData!$B$23,MiscData!$C$23,IF(AD387&lt;=MiscData!$B$24,MiscData!$C$24,MiscData!$C$25))</f>
        <v>20140101</v>
      </c>
      <c r="AJ387" s="41"/>
      <c r="AK387" s="468" t="str">
        <f>VLOOKUP(AM387,MiscData!$AB$4:$ACB$113,2,FALSE)</f>
        <v>KUUM_424</v>
      </c>
      <c r="AL387" s="468" t="str">
        <f>VLOOKUP(AM387,MiscData!$AB$4:$AE$115,4,FALSE)</f>
        <v>RLS</v>
      </c>
      <c r="AM387" s="469">
        <f>IF(AM386=MiscData!$AB$91,1,AM386+1)</f>
        <v>34</v>
      </c>
    </row>
    <row r="388" spans="1:39">
      <c r="A388" s="413">
        <f t="shared" si="183"/>
        <v>387</v>
      </c>
      <c r="B388" s="427" t="str">
        <f t="shared" si="164"/>
        <v>May 2016</v>
      </c>
      <c r="C388" s="428" t="str">
        <f t="shared" si="165"/>
        <v>RLS</v>
      </c>
      <c r="D388" s="428" t="str">
        <f t="shared" si="166"/>
        <v>KUUM_425</v>
      </c>
      <c r="E388" s="425">
        <f t="shared" si="167"/>
        <v>2</v>
      </c>
      <c r="F388" s="429"/>
      <c r="G388" s="425">
        <f t="shared" si="168"/>
        <v>0</v>
      </c>
      <c r="H388" s="425">
        <v>0</v>
      </c>
      <c r="I388" s="415">
        <f t="shared" si="169"/>
        <v>9.06</v>
      </c>
      <c r="J388" s="415">
        <f t="shared" si="170"/>
        <v>4.3000000000000007</v>
      </c>
      <c r="K388" s="416">
        <f t="shared" si="185"/>
        <v>18.12</v>
      </c>
      <c r="L388" s="430"/>
      <c r="M388" s="430"/>
      <c r="N388" s="186">
        <f t="shared" si="163"/>
        <v>18.12</v>
      </c>
      <c r="O388" s="431">
        <f t="shared" si="171"/>
        <v>0</v>
      </c>
      <c r="P388" s="417">
        <f t="shared" si="186"/>
        <v>0</v>
      </c>
      <c r="Q388" s="186">
        <f t="shared" si="172"/>
        <v>0</v>
      </c>
      <c r="R388" s="186">
        <f t="shared" si="173"/>
        <v>0</v>
      </c>
      <c r="S388" s="186">
        <f t="shared" si="174"/>
        <v>0</v>
      </c>
      <c r="T388" s="186">
        <f t="shared" si="175"/>
        <v>0</v>
      </c>
      <c r="U388" s="186">
        <f t="shared" si="176"/>
        <v>0</v>
      </c>
      <c r="V388" s="418">
        <f t="shared" si="177"/>
        <v>18.12</v>
      </c>
      <c r="W388" s="418">
        <f t="shared" si="178"/>
        <v>-18.12</v>
      </c>
      <c r="X388" s="41"/>
      <c r="Y388" s="418">
        <f t="shared" si="181"/>
        <v>8.6</v>
      </c>
      <c r="Z388" s="418">
        <f t="shared" si="182"/>
        <v>-8.6</v>
      </c>
      <c r="AA388" s="11">
        <f t="shared" si="184"/>
        <v>0.33</v>
      </c>
      <c r="AB388" s="9">
        <f t="shared" si="187"/>
        <v>0.66</v>
      </c>
      <c r="AC388" s="41"/>
      <c r="AD388" s="427">
        <f>IF(AH388&gt;AH387,AD387,IF(AD387&lt;MiscData!$F$1,EOMONTH(AD387,1),EOMONTH(AD387,-11)))</f>
        <v>42521</v>
      </c>
      <c r="AE388" s="414" t="str">
        <f t="shared" si="179"/>
        <v>20140101KUUM_425</v>
      </c>
      <c r="AF388" s="466" t="str">
        <f t="shared" si="180"/>
        <v>20140101RLS</v>
      </c>
      <c r="AG388" s="467"/>
      <c r="AH388" s="41">
        <f>IF(AH387=MiscData!$AB$91,1,AH387+1)</f>
        <v>35</v>
      </c>
      <c r="AI388">
        <f>IF(AD388&lt;=MiscData!$B$23,MiscData!$C$23,IF(AD388&lt;=MiscData!$B$24,MiscData!$C$24,MiscData!$C$25))</f>
        <v>20140101</v>
      </c>
      <c r="AJ388" s="41"/>
      <c r="AK388" s="468" t="str">
        <f>VLOOKUP(AM388,MiscData!$AB$4:$ACB$113,2,FALSE)</f>
        <v>KUUM_425</v>
      </c>
      <c r="AL388" s="468" t="str">
        <f>VLOOKUP(AM388,MiscData!$AB$4:$AE$115,4,FALSE)</f>
        <v>RLS</v>
      </c>
      <c r="AM388" s="469">
        <f>IF(AM387=MiscData!$AB$91,1,AM387+1)</f>
        <v>35</v>
      </c>
    </row>
    <row r="389" spans="1:39">
      <c r="A389" s="413">
        <f t="shared" si="183"/>
        <v>388</v>
      </c>
      <c r="B389" s="427" t="str">
        <f t="shared" si="164"/>
        <v>May 2016</v>
      </c>
      <c r="C389" s="428" t="str">
        <f t="shared" si="165"/>
        <v>RLS</v>
      </c>
      <c r="D389" s="428" t="str">
        <f t="shared" si="166"/>
        <v>KUUM_426</v>
      </c>
      <c r="E389" s="425">
        <f t="shared" si="167"/>
        <v>171</v>
      </c>
      <c r="F389" s="429"/>
      <c r="G389" s="425">
        <f t="shared" si="168"/>
        <v>0</v>
      </c>
      <c r="H389" s="425">
        <v>0</v>
      </c>
      <c r="I389" s="415">
        <f t="shared" si="169"/>
        <v>7.4399999999999995</v>
      </c>
      <c r="J389" s="415">
        <f t="shared" si="170"/>
        <v>0.79999999999999982</v>
      </c>
      <c r="K389" s="416">
        <f t="shared" si="185"/>
        <v>1272.24</v>
      </c>
      <c r="L389" s="430"/>
      <c r="M389" s="430"/>
      <c r="N389" s="186">
        <f t="shared" si="163"/>
        <v>1272.24</v>
      </c>
      <c r="O389" s="431">
        <f t="shared" si="171"/>
        <v>0</v>
      </c>
      <c r="P389" s="417">
        <f t="shared" si="186"/>
        <v>0</v>
      </c>
      <c r="Q389" s="186">
        <f t="shared" si="172"/>
        <v>0</v>
      </c>
      <c r="R389" s="186">
        <f t="shared" si="173"/>
        <v>0</v>
      </c>
      <c r="S389" s="186">
        <f t="shared" si="174"/>
        <v>0</v>
      </c>
      <c r="T389" s="186">
        <f t="shared" si="175"/>
        <v>0</v>
      </c>
      <c r="U389" s="186">
        <f t="shared" si="176"/>
        <v>0</v>
      </c>
      <c r="V389" s="418">
        <f t="shared" si="177"/>
        <v>1272.24</v>
      </c>
      <c r="W389" s="418">
        <f t="shared" si="178"/>
        <v>-1272.24</v>
      </c>
      <c r="X389" s="41"/>
      <c r="Y389" s="418">
        <f t="shared" si="181"/>
        <v>136.80000000000001</v>
      </c>
      <c r="Z389" s="418">
        <f t="shared" si="182"/>
        <v>-136.80000000000001</v>
      </c>
      <c r="AA389" s="11">
        <f t="shared" si="184"/>
        <v>0.43</v>
      </c>
      <c r="AB389" s="9">
        <f t="shared" si="187"/>
        <v>73.53</v>
      </c>
      <c r="AC389" s="41"/>
      <c r="AD389" s="427">
        <f>IF(AH389&gt;AH388,AD388,IF(AD388&lt;MiscData!$F$1,EOMONTH(AD388,1),EOMONTH(AD388,-11)))</f>
        <v>42521</v>
      </c>
      <c r="AE389" s="414" t="str">
        <f t="shared" si="179"/>
        <v>20140101KUUM_426</v>
      </c>
      <c r="AF389" s="466" t="str">
        <f t="shared" si="180"/>
        <v>20140101RLS</v>
      </c>
      <c r="AG389" s="467"/>
      <c r="AH389" s="41">
        <f>IF(AH388=MiscData!$AB$91,1,AH388+1)</f>
        <v>36</v>
      </c>
      <c r="AI389">
        <f>IF(AD389&lt;=MiscData!$B$23,MiscData!$C$23,IF(AD389&lt;=MiscData!$B$24,MiscData!$C$24,MiscData!$C$25))</f>
        <v>20140101</v>
      </c>
      <c r="AJ389" s="41"/>
      <c r="AK389" s="468" t="str">
        <f>VLOOKUP(AM389,MiscData!$AB$4:$ACB$113,2,FALSE)</f>
        <v>KUUM_426</v>
      </c>
      <c r="AL389" s="468" t="str">
        <f>VLOOKUP(AM389,MiscData!$AB$4:$AE$115,4,FALSE)</f>
        <v>RLS</v>
      </c>
      <c r="AM389" s="469">
        <f>IF(AM388=MiscData!$AB$91,1,AM388+1)</f>
        <v>36</v>
      </c>
    </row>
    <row r="390" spans="1:39">
      <c r="A390" s="413">
        <f t="shared" si="183"/>
        <v>389</v>
      </c>
      <c r="B390" s="427" t="str">
        <f t="shared" si="164"/>
        <v>May 2016</v>
      </c>
      <c r="C390" s="428" t="str">
        <f t="shared" si="165"/>
        <v>LS</v>
      </c>
      <c r="D390" s="428" t="str">
        <f t="shared" si="166"/>
        <v>KUUM_428</v>
      </c>
      <c r="E390" s="425">
        <f t="shared" si="167"/>
        <v>36951</v>
      </c>
      <c r="F390" s="429"/>
      <c r="G390" s="425">
        <f t="shared" si="168"/>
        <v>0</v>
      </c>
      <c r="H390" s="425">
        <v>0</v>
      </c>
      <c r="I390" s="415">
        <f t="shared" si="169"/>
        <v>7.84</v>
      </c>
      <c r="J390" s="415">
        <f t="shared" si="170"/>
        <v>1.1299999999999999</v>
      </c>
      <c r="K390" s="416">
        <f t="shared" si="185"/>
        <v>289695.84000000003</v>
      </c>
      <c r="L390" s="430"/>
      <c r="M390" s="430"/>
      <c r="N390" s="186">
        <f t="shared" si="163"/>
        <v>289695.84000000003</v>
      </c>
      <c r="O390" s="431">
        <f t="shared" si="171"/>
        <v>0</v>
      </c>
      <c r="P390" s="417">
        <f t="shared" si="186"/>
        <v>0</v>
      </c>
      <c r="Q390" s="186">
        <f t="shared" si="172"/>
        <v>0</v>
      </c>
      <c r="R390" s="186">
        <f t="shared" si="173"/>
        <v>0</v>
      </c>
      <c r="S390" s="186">
        <f t="shared" si="174"/>
        <v>0</v>
      </c>
      <c r="T390" s="186">
        <f t="shared" si="175"/>
        <v>0</v>
      </c>
      <c r="U390" s="186">
        <f t="shared" si="176"/>
        <v>0</v>
      </c>
      <c r="V390" s="418">
        <f t="shared" si="177"/>
        <v>289695.84000000003</v>
      </c>
      <c r="W390" s="418">
        <f t="shared" si="178"/>
        <v>-289695.84000000003</v>
      </c>
      <c r="X390" s="41"/>
      <c r="Y390" s="418">
        <f t="shared" si="181"/>
        <v>41754.629999999997</v>
      </c>
      <c r="Z390" s="418">
        <f t="shared" si="182"/>
        <v>-41754.629999999997</v>
      </c>
      <c r="AA390" s="11">
        <f t="shared" si="184"/>
        <v>0.34</v>
      </c>
      <c r="AB390" s="9">
        <f t="shared" si="187"/>
        <v>12563.34</v>
      </c>
      <c r="AC390" s="41"/>
      <c r="AD390" s="427">
        <f>IF(AH390&gt;AH389,AD389,IF(AD389&lt;MiscData!$F$1,EOMONTH(AD389,1),EOMONTH(AD389,-11)))</f>
        <v>42521</v>
      </c>
      <c r="AE390" s="414" t="str">
        <f t="shared" si="179"/>
        <v>20140101KUUM_428</v>
      </c>
      <c r="AF390" s="466" t="str">
        <f t="shared" si="180"/>
        <v>20140101LS</v>
      </c>
      <c r="AG390" s="467"/>
      <c r="AH390" s="41">
        <f>IF(AH389=MiscData!$AB$91,1,AH389+1)</f>
        <v>37</v>
      </c>
      <c r="AI390">
        <f>IF(AD390&lt;=MiscData!$B$23,MiscData!$C$23,IF(AD390&lt;=MiscData!$B$24,MiscData!$C$24,MiscData!$C$25))</f>
        <v>20140101</v>
      </c>
      <c r="AJ390" s="41"/>
      <c r="AK390" s="468" t="str">
        <f>VLOOKUP(AM390,MiscData!$AB$4:$ACB$113,2,FALSE)</f>
        <v>KUUM_428</v>
      </c>
      <c r="AL390" s="468" t="str">
        <f>VLOOKUP(AM390,MiscData!$AB$4:$AE$115,4,FALSE)</f>
        <v>LS</v>
      </c>
      <c r="AM390" s="469">
        <f>IF(AM389=MiscData!$AB$91,1,AM389+1)</f>
        <v>37</v>
      </c>
    </row>
    <row r="391" spans="1:39">
      <c r="A391" s="413">
        <f t="shared" si="183"/>
        <v>390</v>
      </c>
      <c r="B391" s="427" t="str">
        <f t="shared" si="164"/>
        <v>May 2016</v>
      </c>
      <c r="C391" s="428" t="str">
        <f t="shared" si="165"/>
        <v>LS</v>
      </c>
      <c r="D391" s="428" t="str">
        <f t="shared" si="166"/>
        <v>KUUM_429</v>
      </c>
      <c r="E391" s="425">
        <f t="shared" si="167"/>
        <v>0</v>
      </c>
      <c r="F391" s="429"/>
      <c r="G391" s="425">
        <f t="shared" si="168"/>
        <v>0</v>
      </c>
      <c r="H391" s="425">
        <v>0</v>
      </c>
      <c r="I391" s="415">
        <f t="shared" si="169"/>
        <v>0</v>
      </c>
      <c r="J391" s="415">
        <f t="shared" si="170"/>
        <v>0</v>
      </c>
      <c r="K391" s="416">
        <f t="shared" si="185"/>
        <v>0</v>
      </c>
      <c r="L391" s="430"/>
      <c r="M391" s="430"/>
      <c r="N391" s="186">
        <f t="shared" si="163"/>
        <v>0</v>
      </c>
      <c r="O391" s="431">
        <f t="shared" si="171"/>
        <v>0</v>
      </c>
      <c r="P391" s="417">
        <f t="shared" si="186"/>
        <v>1</v>
      </c>
      <c r="Q391" s="186">
        <f t="shared" si="172"/>
        <v>0</v>
      </c>
      <c r="R391" s="186">
        <f t="shared" si="173"/>
        <v>0</v>
      </c>
      <c r="S391" s="186">
        <f t="shared" si="174"/>
        <v>0</v>
      </c>
      <c r="T391" s="186">
        <f t="shared" si="175"/>
        <v>0</v>
      </c>
      <c r="U391" s="186">
        <f t="shared" si="176"/>
        <v>0</v>
      </c>
      <c r="V391" s="418">
        <f t="shared" si="177"/>
        <v>0</v>
      </c>
      <c r="W391" s="418">
        <f t="shared" si="178"/>
        <v>0</v>
      </c>
      <c r="X391" s="41"/>
      <c r="Y391" s="418">
        <f t="shared" si="181"/>
        <v>0</v>
      </c>
      <c r="Z391" s="418">
        <f t="shared" si="182"/>
        <v>0</v>
      </c>
      <c r="AA391" s="11">
        <f t="shared" si="184"/>
        <v>0</v>
      </c>
      <c r="AB391" s="9">
        <f t="shared" si="187"/>
        <v>0</v>
      </c>
      <c r="AC391" s="41"/>
      <c r="AD391" s="427">
        <f>IF(AH391&gt;AH390,AD390,IF(AD390&lt;MiscData!$F$1,EOMONTH(AD390,1),EOMONTH(AD390,-11)))</f>
        <v>42521</v>
      </c>
      <c r="AE391" s="414" t="str">
        <f t="shared" si="179"/>
        <v>20140101KUUM_429</v>
      </c>
      <c r="AF391" s="466" t="str">
        <f t="shared" si="180"/>
        <v>20140101LS</v>
      </c>
      <c r="AG391" s="467"/>
      <c r="AH391" s="41">
        <f>IF(AH390=MiscData!$AB$91,1,AH390+1)</f>
        <v>38</v>
      </c>
      <c r="AI391">
        <f>IF(AD391&lt;=MiscData!$B$23,MiscData!$C$23,IF(AD391&lt;=MiscData!$B$24,MiscData!$C$24,MiscData!$C$25))</f>
        <v>20140101</v>
      </c>
      <c r="AJ391" s="41"/>
      <c r="AK391" s="468" t="str">
        <f>VLOOKUP(AM391,MiscData!$AB$4:$ACB$113,2,FALSE)</f>
        <v>KUUM_429</v>
      </c>
      <c r="AL391" s="468" t="str">
        <f>VLOOKUP(AM391,MiscData!$AB$4:$AE$115,4,FALSE)</f>
        <v>LS</v>
      </c>
      <c r="AM391" s="469">
        <f>IF(AM390=MiscData!$AB$91,1,AM390+1)</f>
        <v>38</v>
      </c>
    </row>
    <row r="392" spans="1:39">
      <c r="A392" s="413">
        <f t="shared" si="183"/>
        <v>391</v>
      </c>
      <c r="B392" s="427" t="str">
        <f t="shared" si="164"/>
        <v>May 2016</v>
      </c>
      <c r="C392" s="428" t="str">
        <f t="shared" si="165"/>
        <v>LS</v>
      </c>
      <c r="D392" s="428" t="str">
        <f t="shared" si="166"/>
        <v>KUUM_430</v>
      </c>
      <c r="E392" s="425">
        <f t="shared" si="167"/>
        <v>1194</v>
      </c>
      <c r="F392" s="429"/>
      <c r="G392" s="425">
        <f t="shared" si="168"/>
        <v>0</v>
      </c>
      <c r="H392" s="425">
        <v>0</v>
      </c>
      <c r="I392" s="415">
        <f t="shared" si="169"/>
        <v>22</v>
      </c>
      <c r="J392" s="415">
        <f t="shared" si="170"/>
        <v>1.129999999999999</v>
      </c>
      <c r="K392" s="416">
        <f t="shared" si="185"/>
        <v>26268</v>
      </c>
      <c r="L392" s="430"/>
      <c r="M392" s="430"/>
      <c r="N392" s="186">
        <f t="shared" si="163"/>
        <v>26268</v>
      </c>
      <c r="O392" s="431">
        <f t="shared" si="171"/>
        <v>0</v>
      </c>
      <c r="P392" s="417">
        <f t="shared" si="186"/>
        <v>0</v>
      </c>
      <c r="Q392" s="186">
        <f t="shared" si="172"/>
        <v>0</v>
      </c>
      <c r="R392" s="186">
        <f t="shared" si="173"/>
        <v>0</v>
      </c>
      <c r="S392" s="186">
        <f t="shared" si="174"/>
        <v>0</v>
      </c>
      <c r="T392" s="186">
        <f t="shared" si="175"/>
        <v>0</v>
      </c>
      <c r="U392" s="186">
        <f t="shared" si="176"/>
        <v>0</v>
      </c>
      <c r="V392" s="418">
        <f t="shared" si="177"/>
        <v>26268</v>
      </c>
      <c r="W392" s="418">
        <f t="shared" si="178"/>
        <v>-26268</v>
      </c>
      <c r="X392" s="41"/>
      <c r="Y392" s="418">
        <f t="shared" si="181"/>
        <v>1349.22</v>
      </c>
      <c r="Z392" s="418">
        <f t="shared" si="182"/>
        <v>-1349.22</v>
      </c>
      <c r="AA392" s="11">
        <f t="shared" si="184"/>
        <v>0.34</v>
      </c>
      <c r="AB392" s="9">
        <f t="shared" si="187"/>
        <v>405.96000000000004</v>
      </c>
      <c r="AC392" s="41"/>
      <c r="AD392" s="427">
        <f>IF(AH392&gt;AH391,AD391,IF(AD391&lt;MiscData!$F$1,EOMONTH(AD391,1),EOMONTH(AD391,-11)))</f>
        <v>42521</v>
      </c>
      <c r="AE392" s="414" t="str">
        <f t="shared" si="179"/>
        <v>20140101KUUM_430</v>
      </c>
      <c r="AF392" s="466" t="str">
        <f t="shared" si="180"/>
        <v>20140101LS</v>
      </c>
      <c r="AG392" s="467"/>
      <c r="AH392" s="41">
        <f>IF(AH391=MiscData!$AB$91,1,AH391+1)</f>
        <v>39</v>
      </c>
      <c r="AI392">
        <f>IF(AD392&lt;=MiscData!$B$23,MiscData!$C$23,IF(AD392&lt;=MiscData!$B$24,MiscData!$C$24,MiscData!$C$25))</f>
        <v>20140101</v>
      </c>
      <c r="AJ392" s="41"/>
      <c r="AK392" s="468" t="str">
        <f>VLOOKUP(AM392,MiscData!$AB$4:$ACB$113,2,FALSE)</f>
        <v>KUUM_430</v>
      </c>
      <c r="AL392" s="468" t="str">
        <f>VLOOKUP(AM392,MiscData!$AB$4:$AE$115,4,FALSE)</f>
        <v>LS</v>
      </c>
      <c r="AM392" s="469">
        <f>IF(AM391=MiscData!$AB$91,1,AM391+1)</f>
        <v>39</v>
      </c>
    </row>
    <row r="393" spans="1:39">
      <c r="A393" s="413">
        <f t="shared" si="183"/>
        <v>392</v>
      </c>
      <c r="B393" s="427" t="str">
        <f t="shared" si="164"/>
        <v>May 2016</v>
      </c>
      <c r="C393" s="428" t="str">
        <f t="shared" si="165"/>
        <v>RLS</v>
      </c>
      <c r="D393" s="428" t="str">
        <f t="shared" si="166"/>
        <v>KUUM_434</v>
      </c>
      <c r="E393" s="425">
        <f t="shared" si="167"/>
        <v>3</v>
      </c>
      <c r="F393" s="429"/>
      <c r="G393" s="425">
        <f t="shared" si="168"/>
        <v>0</v>
      </c>
      <c r="H393" s="425">
        <v>0</v>
      </c>
      <c r="I393" s="415">
        <f t="shared" si="169"/>
        <v>7.74</v>
      </c>
      <c r="J393" s="415">
        <f t="shared" si="170"/>
        <v>0.69999999999999929</v>
      </c>
      <c r="K393" s="416">
        <f t="shared" si="185"/>
        <v>23.22</v>
      </c>
      <c r="L393" s="430"/>
      <c r="M393" s="430"/>
      <c r="N393" s="186">
        <f t="shared" si="163"/>
        <v>23.22</v>
      </c>
      <c r="O393" s="431">
        <f t="shared" si="171"/>
        <v>0</v>
      </c>
      <c r="P393" s="417">
        <f t="shared" si="186"/>
        <v>0</v>
      </c>
      <c r="Q393" s="186">
        <f t="shared" si="172"/>
        <v>0</v>
      </c>
      <c r="R393" s="186">
        <f t="shared" si="173"/>
        <v>0</v>
      </c>
      <c r="S393" s="186">
        <f t="shared" si="174"/>
        <v>0</v>
      </c>
      <c r="T393" s="186">
        <f t="shared" si="175"/>
        <v>0</v>
      </c>
      <c r="U393" s="186">
        <f t="shared" si="176"/>
        <v>0</v>
      </c>
      <c r="V393" s="418">
        <f t="shared" si="177"/>
        <v>23.22</v>
      </c>
      <c r="W393" s="418">
        <f t="shared" si="178"/>
        <v>-23.22</v>
      </c>
      <c r="X393" s="41"/>
      <c r="Y393" s="418">
        <f t="shared" si="181"/>
        <v>2.1</v>
      </c>
      <c r="Z393" s="418">
        <f t="shared" si="182"/>
        <v>-2.1</v>
      </c>
      <c r="AA393" s="11">
        <f t="shared" si="184"/>
        <v>0.24</v>
      </c>
      <c r="AB393" s="9">
        <f t="shared" si="187"/>
        <v>0.72</v>
      </c>
      <c r="AC393" s="41"/>
      <c r="AD393" s="427">
        <f>IF(AH393&gt;AH392,AD392,IF(AD392&lt;MiscData!$F$1,EOMONTH(AD392,1),EOMONTH(AD392,-11)))</f>
        <v>42521</v>
      </c>
      <c r="AE393" s="414" t="str">
        <f t="shared" si="179"/>
        <v>20140101KUUM_434</v>
      </c>
      <c r="AF393" s="466" t="str">
        <f t="shared" si="180"/>
        <v>20140101RLS</v>
      </c>
      <c r="AG393" s="467"/>
      <c r="AH393" s="41">
        <f>IF(AH392=MiscData!$AB$91,1,AH392+1)</f>
        <v>40</v>
      </c>
      <c r="AI393">
        <f>IF(AD393&lt;=MiscData!$B$23,MiscData!$C$23,IF(AD393&lt;=MiscData!$B$24,MiscData!$C$24,MiscData!$C$25))</f>
        <v>20140101</v>
      </c>
      <c r="AJ393" s="41"/>
      <c r="AK393" s="468" t="str">
        <f>VLOOKUP(AM393,MiscData!$AB$4:$ACB$113,2,FALSE)</f>
        <v>KUUM_434</v>
      </c>
      <c r="AL393" s="468" t="str">
        <f>VLOOKUP(AM393,MiscData!$AB$4:$AE$115,4,FALSE)</f>
        <v>RLS</v>
      </c>
      <c r="AM393" s="469">
        <f>IF(AM392=MiscData!$AB$91,1,AM392+1)</f>
        <v>40</v>
      </c>
    </row>
    <row r="394" spans="1:39">
      <c r="A394" s="413">
        <f t="shared" si="183"/>
        <v>393</v>
      </c>
      <c r="B394" s="427" t="str">
        <f t="shared" si="164"/>
        <v>May 2016</v>
      </c>
      <c r="C394" s="428" t="str">
        <f t="shared" si="165"/>
        <v>RLS</v>
      </c>
      <c r="D394" s="428" t="str">
        <f t="shared" si="166"/>
        <v>KUUM_440</v>
      </c>
      <c r="E394" s="425">
        <f t="shared" si="167"/>
        <v>2</v>
      </c>
      <c r="F394" s="429"/>
      <c r="G394" s="425">
        <f t="shared" si="168"/>
        <v>0</v>
      </c>
      <c r="H394" s="425">
        <v>0</v>
      </c>
      <c r="I394" s="415">
        <f t="shared" si="169"/>
        <v>13.610000000000001</v>
      </c>
      <c r="J394" s="415">
        <f t="shared" si="170"/>
        <v>0.57000000000000028</v>
      </c>
      <c r="K394" s="416">
        <f t="shared" si="185"/>
        <v>27.22</v>
      </c>
      <c r="L394" s="430"/>
      <c r="M394" s="430"/>
      <c r="N394" s="186">
        <f t="shared" si="163"/>
        <v>27.22</v>
      </c>
      <c r="O394" s="431">
        <f t="shared" si="171"/>
        <v>0</v>
      </c>
      <c r="P394" s="417">
        <f t="shared" si="186"/>
        <v>0</v>
      </c>
      <c r="Q394" s="186">
        <f t="shared" si="172"/>
        <v>0</v>
      </c>
      <c r="R394" s="186">
        <f t="shared" si="173"/>
        <v>0</v>
      </c>
      <c r="S394" s="186">
        <f t="shared" si="174"/>
        <v>0</v>
      </c>
      <c r="T394" s="186">
        <f t="shared" si="175"/>
        <v>0</v>
      </c>
      <c r="U394" s="186">
        <f t="shared" si="176"/>
        <v>0</v>
      </c>
      <c r="V394" s="418">
        <f t="shared" si="177"/>
        <v>27.22</v>
      </c>
      <c r="W394" s="418">
        <f t="shared" si="178"/>
        <v>-27.22</v>
      </c>
      <c r="X394" s="41"/>
      <c r="Y394" s="418">
        <f t="shared" si="181"/>
        <v>1.1399999999999999</v>
      </c>
      <c r="Z394" s="418">
        <f t="shared" si="182"/>
        <v>-1.1399999999999999</v>
      </c>
      <c r="AA394" s="11">
        <f t="shared" si="184"/>
        <v>0.33</v>
      </c>
      <c r="AB394" s="9">
        <f t="shared" si="187"/>
        <v>0.66</v>
      </c>
      <c r="AC394" s="41"/>
      <c r="AD394" s="427">
        <f>IF(AH394&gt;AH393,AD393,IF(AD393&lt;MiscData!$F$1,EOMONTH(AD393,1),EOMONTH(AD393,-11)))</f>
        <v>42521</v>
      </c>
      <c r="AE394" s="414" t="str">
        <f t="shared" si="179"/>
        <v>20140101KUUM_440</v>
      </c>
      <c r="AF394" s="466" t="str">
        <f t="shared" si="180"/>
        <v>20140101RLS</v>
      </c>
      <c r="AG394" s="467"/>
      <c r="AH394" s="41">
        <f>IF(AH393=MiscData!$AB$91,1,AH393+1)</f>
        <v>41</v>
      </c>
      <c r="AI394">
        <f>IF(AD394&lt;=MiscData!$B$23,MiscData!$C$23,IF(AD394&lt;=MiscData!$B$24,MiscData!$C$24,MiscData!$C$25))</f>
        <v>20140101</v>
      </c>
      <c r="AJ394" s="41"/>
      <c r="AK394" s="468" t="str">
        <f>VLOOKUP(AM394,MiscData!$AB$4:$ACB$113,2,FALSE)</f>
        <v>KUUM_440</v>
      </c>
      <c r="AL394" s="468" t="str">
        <f>VLOOKUP(AM394,MiscData!$AB$4:$AE$115,4,FALSE)</f>
        <v>RLS</v>
      </c>
      <c r="AM394" s="469">
        <f>IF(AM393=MiscData!$AB$91,1,AM393+1)</f>
        <v>41</v>
      </c>
    </row>
    <row r="395" spans="1:39">
      <c r="A395" s="413">
        <f t="shared" si="183"/>
        <v>394</v>
      </c>
      <c r="B395" s="427" t="str">
        <f t="shared" si="164"/>
        <v>May 2016</v>
      </c>
      <c r="C395" s="428" t="str">
        <f t="shared" si="165"/>
        <v>RLS</v>
      </c>
      <c r="D395" s="428" t="str">
        <f t="shared" si="166"/>
        <v>KUUM_446</v>
      </c>
      <c r="E395" s="425">
        <f t="shared" si="167"/>
        <v>1088</v>
      </c>
      <c r="F395" s="429"/>
      <c r="G395" s="425">
        <f t="shared" si="168"/>
        <v>0</v>
      </c>
      <c r="H395" s="425">
        <v>0</v>
      </c>
      <c r="I395" s="415">
        <f t="shared" si="169"/>
        <v>9.5600000000000023</v>
      </c>
      <c r="J395" s="415">
        <f t="shared" si="170"/>
        <v>1.9900000000000002</v>
      </c>
      <c r="K395" s="416">
        <f t="shared" si="185"/>
        <v>10401.280000000001</v>
      </c>
      <c r="L395" s="430"/>
      <c r="M395" s="430"/>
      <c r="N395" s="186">
        <f t="shared" si="163"/>
        <v>10401.280000000001</v>
      </c>
      <c r="O395" s="431">
        <f t="shared" si="171"/>
        <v>0</v>
      </c>
      <c r="P395" s="417">
        <f t="shared" si="186"/>
        <v>0</v>
      </c>
      <c r="Q395" s="186">
        <f t="shared" si="172"/>
        <v>0</v>
      </c>
      <c r="R395" s="186">
        <f t="shared" si="173"/>
        <v>0</v>
      </c>
      <c r="S395" s="186">
        <f t="shared" si="174"/>
        <v>0</v>
      </c>
      <c r="T395" s="186">
        <f t="shared" si="175"/>
        <v>0</v>
      </c>
      <c r="U395" s="186">
        <f t="shared" si="176"/>
        <v>0</v>
      </c>
      <c r="V395" s="418">
        <f t="shared" si="177"/>
        <v>10401.280000000001</v>
      </c>
      <c r="W395" s="418">
        <f t="shared" si="178"/>
        <v>-10401.280000000001</v>
      </c>
      <c r="X395" s="41"/>
      <c r="Y395" s="418">
        <f t="shared" si="181"/>
        <v>2165.12</v>
      </c>
      <c r="Z395" s="418">
        <f t="shared" si="182"/>
        <v>-2165.12</v>
      </c>
      <c r="AA395" s="11">
        <f t="shared" si="184"/>
        <v>0.39</v>
      </c>
      <c r="AB395" s="9">
        <f t="shared" si="187"/>
        <v>424.32</v>
      </c>
      <c r="AC395" s="41"/>
      <c r="AD395" s="427">
        <f>IF(AH395&gt;AH394,AD394,IF(AD394&lt;MiscData!$F$1,EOMONTH(AD394,1),EOMONTH(AD394,-11)))</f>
        <v>42521</v>
      </c>
      <c r="AE395" s="414" t="str">
        <f t="shared" si="179"/>
        <v>20140101KUUM_446</v>
      </c>
      <c r="AF395" s="466" t="str">
        <f t="shared" si="180"/>
        <v>20140101RLS</v>
      </c>
      <c r="AG395" s="467"/>
      <c r="AH395" s="41">
        <f>IF(AH394=MiscData!$AB$91,1,AH394+1)</f>
        <v>42</v>
      </c>
      <c r="AI395">
        <f>IF(AD395&lt;=MiscData!$B$23,MiscData!$C$23,IF(AD395&lt;=MiscData!$B$24,MiscData!$C$24,MiscData!$C$25))</f>
        <v>20140101</v>
      </c>
      <c r="AJ395" s="41"/>
      <c r="AK395" s="468" t="str">
        <f>VLOOKUP(AM395,MiscData!$AB$4:$ACB$113,2,FALSE)</f>
        <v>KUUM_446</v>
      </c>
      <c r="AL395" s="468" t="str">
        <f>VLOOKUP(AM395,MiscData!$AB$4:$AE$115,4,FALSE)</f>
        <v>RLS</v>
      </c>
      <c r="AM395" s="469">
        <f>IF(AM394=MiscData!$AB$91,1,AM394+1)</f>
        <v>42</v>
      </c>
    </row>
    <row r="396" spans="1:39">
      <c r="A396" s="413">
        <f t="shared" si="183"/>
        <v>395</v>
      </c>
      <c r="B396" s="427" t="str">
        <f t="shared" si="164"/>
        <v>May 2016</v>
      </c>
      <c r="C396" s="428" t="str">
        <f t="shared" si="165"/>
        <v>RLS</v>
      </c>
      <c r="D396" s="428" t="str">
        <f t="shared" si="166"/>
        <v>KUUM_447</v>
      </c>
      <c r="E396" s="425">
        <f t="shared" si="167"/>
        <v>748</v>
      </c>
      <c r="F396" s="429"/>
      <c r="G396" s="425">
        <f t="shared" si="168"/>
        <v>0</v>
      </c>
      <c r="H396" s="425">
        <v>0</v>
      </c>
      <c r="I396" s="415">
        <f t="shared" si="169"/>
        <v>11.32</v>
      </c>
      <c r="J396" s="415">
        <f t="shared" si="170"/>
        <v>2.8400000000000016</v>
      </c>
      <c r="K396" s="416">
        <f t="shared" si="185"/>
        <v>8467.36</v>
      </c>
      <c r="L396" s="430"/>
      <c r="M396" s="430"/>
      <c r="N396" s="186">
        <f t="shared" si="163"/>
        <v>8467.36</v>
      </c>
      <c r="O396" s="431">
        <f t="shared" si="171"/>
        <v>0</v>
      </c>
      <c r="P396" s="417">
        <f t="shared" si="186"/>
        <v>0</v>
      </c>
      <c r="Q396" s="186">
        <f t="shared" si="172"/>
        <v>0</v>
      </c>
      <c r="R396" s="186">
        <f t="shared" si="173"/>
        <v>0</v>
      </c>
      <c r="S396" s="186">
        <f t="shared" si="174"/>
        <v>0</v>
      </c>
      <c r="T396" s="186">
        <f t="shared" si="175"/>
        <v>0</v>
      </c>
      <c r="U396" s="186">
        <f t="shared" si="176"/>
        <v>0</v>
      </c>
      <c r="V396" s="418">
        <f t="shared" si="177"/>
        <v>8467.36</v>
      </c>
      <c r="W396" s="418">
        <f t="shared" si="178"/>
        <v>-8467.36</v>
      </c>
      <c r="X396" s="41"/>
      <c r="Y396" s="418">
        <f t="shared" si="181"/>
        <v>2124.3200000000002</v>
      </c>
      <c r="Z396" s="418">
        <f t="shared" si="182"/>
        <v>-2124.3200000000002</v>
      </c>
      <c r="AA396" s="11">
        <f t="shared" si="184"/>
        <v>0.44</v>
      </c>
      <c r="AB396" s="9">
        <f t="shared" si="187"/>
        <v>329.12</v>
      </c>
      <c r="AC396" s="41"/>
      <c r="AD396" s="427">
        <f>IF(AH396&gt;AH395,AD395,IF(AD395&lt;MiscData!$F$1,EOMONTH(AD395,1),EOMONTH(AD395,-11)))</f>
        <v>42521</v>
      </c>
      <c r="AE396" s="414" t="str">
        <f t="shared" si="179"/>
        <v>20140101KUUM_447</v>
      </c>
      <c r="AF396" s="466" t="str">
        <f t="shared" si="180"/>
        <v>20140101RLS</v>
      </c>
      <c r="AG396" s="467"/>
      <c r="AH396" s="41">
        <f>IF(AH395=MiscData!$AB$91,1,AH395+1)</f>
        <v>43</v>
      </c>
      <c r="AI396">
        <f>IF(AD396&lt;=MiscData!$B$23,MiscData!$C$23,IF(AD396&lt;=MiscData!$B$24,MiscData!$C$24,MiscData!$C$25))</f>
        <v>20140101</v>
      </c>
      <c r="AJ396" s="41"/>
      <c r="AK396" s="468" t="str">
        <f>VLOOKUP(AM396,MiscData!$AB$4:$ACB$113,2,FALSE)</f>
        <v>KUUM_447</v>
      </c>
      <c r="AL396" s="468" t="str">
        <f>VLOOKUP(AM396,MiscData!$AB$4:$AE$115,4,FALSE)</f>
        <v>RLS</v>
      </c>
      <c r="AM396" s="469">
        <f>IF(AM395=MiscData!$AB$91,1,AM395+1)</f>
        <v>43</v>
      </c>
    </row>
    <row r="397" spans="1:39">
      <c r="A397" s="413">
        <f t="shared" si="183"/>
        <v>396</v>
      </c>
      <c r="B397" s="427" t="str">
        <f t="shared" si="164"/>
        <v>May 2016</v>
      </c>
      <c r="C397" s="428" t="str">
        <f t="shared" si="165"/>
        <v>RLS</v>
      </c>
      <c r="D397" s="428" t="str">
        <f t="shared" si="166"/>
        <v>KUUM_448</v>
      </c>
      <c r="E397" s="425">
        <f t="shared" si="167"/>
        <v>1489</v>
      </c>
      <c r="F397" s="429"/>
      <c r="G397" s="425">
        <f t="shared" si="168"/>
        <v>0</v>
      </c>
      <c r="H397" s="425">
        <v>0</v>
      </c>
      <c r="I397" s="415">
        <f t="shared" si="169"/>
        <v>12.809999999999999</v>
      </c>
      <c r="J397" s="415">
        <f t="shared" si="170"/>
        <v>4.37</v>
      </c>
      <c r="K397" s="416">
        <f t="shared" si="185"/>
        <v>19074.09</v>
      </c>
      <c r="L397" s="430"/>
      <c r="M397" s="430"/>
      <c r="N397" s="186">
        <f t="shared" si="163"/>
        <v>19074.09</v>
      </c>
      <c r="O397" s="431">
        <f t="shared" si="171"/>
        <v>0</v>
      </c>
      <c r="P397" s="417">
        <f t="shared" si="186"/>
        <v>0</v>
      </c>
      <c r="Q397" s="186">
        <f t="shared" si="172"/>
        <v>0</v>
      </c>
      <c r="R397" s="186">
        <f t="shared" si="173"/>
        <v>0</v>
      </c>
      <c r="S397" s="186">
        <f t="shared" si="174"/>
        <v>0</v>
      </c>
      <c r="T397" s="186">
        <f t="shared" si="175"/>
        <v>0</v>
      </c>
      <c r="U397" s="186">
        <f t="shared" si="176"/>
        <v>0</v>
      </c>
      <c r="V397" s="418">
        <f t="shared" si="177"/>
        <v>19074.09</v>
      </c>
      <c r="W397" s="418">
        <f t="shared" si="178"/>
        <v>-19074.09</v>
      </c>
      <c r="X397" s="41"/>
      <c r="Y397" s="418">
        <f t="shared" si="181"/>
        <v>6506.93</v>
      </c>
      <c r="Z397" s="418">
        <f t="shared" si="182"/>
        <v>-6506.93</v>
      </c>
      <c r="AA397" s="11">
        <f t="shared" si="184"/>
        <v>0.51</v>
      </c>
      <c r="AB397" s="9">
        <f t="shared" si="187"/>
        <v>759.39</v>
      </c>
      <c r="AC397" s="41"/>
      <c r="AD397" s="427">
        <f>IF(AH397&gt;AH396,AD396,IF(AD396&lt;MiscData!$F$1,EOMONTH(AD396,1),EOMONTH(AD396,-11)))</f>
        <v>42521</v>
      </c>
      <c r="AE397" s="414" t="str">
        <f t="shared" si="179"/>
        <v>20140101KUUM_448</v>
      </c>
      <c r="AF397" s="466" t="str">
        <f t="shared" si="180"/>
        <v>20140101RLS</v>
      </c>
      <c r="AG397" s="467"/>
      <c r="AH397" s="41">
        <f>IF(AH396=MiscData!$AB$91,1,AH396+1)</f>
        <v>44</v>
      </c>
      <c r="AI397">
        <f>IF(AD397&lt;=MiscData!$B$23,MiscData!$C$23,IF(AD397&lt;=MiscData!$B$24,MiscData!$C$24,MiscData!$C$25))</f>
        <v>20140101</v>
      </c>
      <c r="AJ397" s="41"/>
      <c r="AK397" s="468" t="str">
        <f>VLOOKUP(AM397,MiscData!$AB$4:$ACB$113,2,FALSE)</f>
        <v>KUUM_448</v>
      </c>
      <c r="AL397" s="468" t="str">
        <f>VLOOKUP(AM397,MiscData!$AB$4:$AE$115,4,FALSE)</f>
        <v>RLS</v>
      </c>
      <c r="AM397" s="469">
        <f>IF(AM396=MiscData!$AB$91,1,AM396+1)</f>
        <v>44</v>
      </c>
    </row>
    <row r="398" spans="1:39">
      <c r="A398" s="413">
        <f t="shared" si="183"/>
        <v>397</v>
      </c>
      <c r="B398" s="427" t="str">
        <f t="shared" si="164"/>
        <v>May 2016</v>
      </c>
      <c r="C398" s="428" t="str">
        <f t="shared" si="165"/>
        <v>LS</v>
      </c>
      <c r="D398" s="428" t="str">
        <f t="shared" si="166"/>
        <v>KUUM_450</v>
      </c>
      <c r="E398" s="425">
        <f t="shared" si="167"/>
        <v>674</v>
      </c>
      <c r="F398" s="429"/>
      <c r="G398" s="425">
        <f t="shared" si="168"/>
        <v>0</v>
      </c>
      <c r="H398" s="425">
        <v>0</v>
      </c>
      <c r="I398" s="415">
        <f t="shared" si="169"/>
        <v>14.25</v>
      </c>
      <c r="J398" s="415">
        <f t="shared" si="170"/>
        <v>1.9699999999999989</v>
      </c>
      <c r="K398" s="416">
        <f t="shared" si="185"/>
        <v>9604.5</v>
      </c>
      <c r="L398" s="430"/>
      <c r="M398" s="430"/>
      <c r="N398" s="186">
        <f t="shared" si="163"/>
        <v>9604.5</v>
      </c>
      <c r="O398" s="431">
        <f t="shared" si="171"/>
        <v>0</v>
      </c>
      <c r="P398" s="417">
        <f t="shared" si="186"/>
        <v>0</v>
      </c>
      <c r="Q398" s="186">
        <f t="shared" si="172"/>
        <v>0</v>
      </c>
      <c r="R398" s="186">
        <f t="shared" si="173"/>
        <v>0</v>
      </c>
      <c r="S398" s="186">
        <f t="shared" si="174"/>
        <v>0</v>
      </c>
      <c r="T398" s="186">
        <f t="shared" si="175"/>
        <v>0</v>
      </c>
      <c r="U398" s="186">
        <f t="shared" si="176"/>
        <v>0</v>
      </c>
      <c r="V398" s="418">
        <f t="shared" si="177"/>
        <v>9604.5</v>
      </c>
      <c r="W398" s="418">
        <f t="shared" si="178"/>
        <v>-9604.5</v>
      </c>
      <c r="X398" s="41"/>
      <c r="Y398" s="418">
        <f t="shared" si="181"/>
        <v>1327.78</v>
      </c>
      <c r="Z398" s="418">
        <f t="shared" si="182"/>
        <v>-1327.78</v>
      </c>
      <c r="AA398" s="11">
        <f t="shared" si="184"/>
        <v>0.66</v>
      </c>
      <c r="AB398" s="9">
        <f t="shared" si="187"/>
        <v>444.84000000000003</v>
      </c>
      <c r="AC398" s="41"/>
      <c r="AD398" s="427">
        <f>IF(AH398&gt;AH397,AD397,IF(AD397&lt;MiscData!$F$1,EOMONTH(AD397,1),EOMONTH(AD397,-11)))</f>
        <v>42521</v>
      </c>
      <c r="AE398" s="414" t="str">
        <f t="shared" si="179"/>
        <v>20140101KUUM_450</v>
      </c>
      <c r="AF398" s="466" t="str">
        <f t="shared" si="180"/>
        <v>20140101LS</v>
      </c>
      <c r="AG398" s="467"/>
      <c r="AH398" s="41">
        <f>IF(AH397=MiscData!$AB$91,1,AH397+1)</f>
        <v>45</v>
      </c>
      <c r="AI398">
        <f>IF(AD398&lt;=MiscData!$B$23,MiscData!$C$23,IF(AD398&lt;=MiscData!$B$24,MiscData!$C$24,MiscData!$C$25))</f>
        <v>20140101</v>
      </c>
      <c r="AJ398" s="41"/>
      <c r="AK398" s="468" t="str">
        <f>VLOOKUP(AM398,MiscData!$AB$4:$ACB$113,2,FALSE)</f>
        <v>KUUM_450</v>
      </c>
      <c r="AL398" s="468" t="str">
        <f>VLOOKUP(AM398,MiscData!$AB$4:$AE$115,4,FALSE)</f>
        <v>LS</v>
      </c>
      <c r="AM398" s="469">
        <f>IF(AM397=MiscData!$AB$91,1,AM397+1)</f>
        <v>45</v>
      </c>
    </row>
    <row r="399" spans="1:39">
      <c r="A399" s="413">
        <f t="shared" si="183"/>
        <v>398</v>
      </c>
      <c r="B399" s="427" t="str">
        <f t="shared" si="164"/>
        <v>May 2016</v>
      </c>
      <c r="C399" s="428" t="str">
        <f t="shared" si="165"/>
        <v>LS</v>
      </c>
      <c r="D399" s="428" t="str">
        <f t="shared" si="166"/>
        <v>KUUM_451</v>
      </c>
      <c r="E399" s="425">
        <f t="shared" si="167"/>
        <v>5222</v>
      </c>
      <c r="F399" s="429"/>
      <c r="G399" s="425">
        <f t="shared" si="168"/>
        <v>0</v>
      </c>
      <c r="H399" s="425">
        <v>0</v>
      </c>
      <c r="I399" s="415">
        <f t="shared" si="169"/>
        <v>20.200000000000003</v>
      </c>
      <c r="J399" s="415">
        <f t="shared" si="170"/>
        <v>4.2900000000000027</v>
      </c>
      <c r="K399" s="416">
        <f t="shared" si="185"/>
        <v>105484.4</v>
      </c>
      <c r="L399" s="430"/>
      <c r="M399" s="430"/>
      <c r="N399" s="186">
        <f t="shared" si="163"/>
        <v>105484.4</v>
      </c>
      <c r="O399" s="431">
        <f t="shared" si="171"/>
        <v>0</v>
      </c>
      <c r="P399" s="417">
        <f t="shared" si="186"/>
        <v>0</v>
      </c>
      <c r="Q399" s="186">
        <f t="shared" si="172"/>
        <v>0</v>
      </c>
      <c r="R399" s="186">
        <f t="shared" si="173"/>
        <v>0</v>
      </c>
      <c r="S399" s="186">
        <f t="shared" si="174"/>
        <v>0</v>
      </c>
      <c r="T399" s="186">
        <f t="shared" si="175"/>
        <v>0</v>
      </c>
      <c r="U399" s="186">
        <f t="shared" si="176"/>
        <v>0</v>
      </c>
      <c r="V399" s="418">
        <f t="shared" si="177"/>
        <v>105484.4</v>
      </c>
      <c r="W399" s="418">
        <f t="shared" si="178"/>
        <v>-105484.4</v>
      </c>
      <c r="X399" s="41"/>
      <c r="Y399" s="418">
        <f t="shared" si="181"/>
        <v>22402.38</v>
      </c>
      <c r="Z399" s="418">
        <f t="shared" si="182"/>
        <v>-22402.38</v>
      </c>
      <c r="AA399" s="11">
        <f t="shared" si="184"/>
        <v>0.84</v>
      </c>
      <c r="AB399" s="9">
        <f t="shared" si="187"/>
        <v>4386.4799999999996</v>
      </c>
      <c r="AC399" s="41"/>
      <c r="AD399" s="427">
        <f>IF(AH399&gt;AH398,AD398,IF(AD398&lt;MiscData!$F$1,EOMONTH(AD398,1),EOMONTH(AD398,-11)))</f>
        <v>42521</v>
      </c>
      <c r="AE399" s="414" t="str">
        <f t="shared" si="179"/>
        <v>20140101KUUM_451</v>
      </c>
      <c r="AF399" s="466" t="str">
        <f t="shared" si="180"/>
        <v>20140101LS</v>
      </c>
      <c r="AG399" s="467"/>
      <c r="AH399" s="41">
        <f>IF(AH398=MiscData!$AB$91,1,AH398+1)</f>
        <v>46</v>
      </c>
      <c r="AI399">
        <f>IF(AD399&lt;=MiscData!$B$23,MiscData!$C$23,IF(AD399&lt;=MiscData!$B$24,MiscData!$C$24,MiscData!$C$25))</f>
        <v>20140101</v>
      </c>
      <c r="AJ399" s="41"/>
      <c r="AK399" s="468" t="str">
        <f>VLOOKUP(AM399,MiscData!$AB$4:$ACB$113,2,FALSE)</f>
        <v>KUUM_451</v>
      </c>
      <c r="AL399" s="468" t="str">
        <f>VLOOKUP(AM399,MiscData!$AB$4:$AE$115,4,FALSE)</f>
        <v>LS</v>
      </c>
      <c r="AM399" s="469">
        <f>IF(AM398=MiscData!$AB$91,1,AM398+1)</f>
        <v>46</v>
      </c>
    </row>
    <row r="400" spans="1:39">
      <c r="A400" s="413">
        <f t="shared" si="183"/>
        <v>399</v>
      </c>
      <c r="B400" s="427" t="str">
        <f t="shared" si="164"/>
        <v>May 2016</v>
      </c>
      <c r="C400" s="428" t="str">
        <f t="shared" si="165"/>
        <v>LS</v>
      </c>
      <c r="D400" s="428" t="str">
        <f t="shared" si="166"/>
        <v>KUUM_452</v>
      </c>
      <c r="E400" s="425">
        <f t="shared" si="167"/>
        <v>1046</v>
      </c>
      <c r="F400" s="429"/>
      <c r="G400" s="425">
        <f t="shared" si="168"/>
        <v>0</v>
      </c>
      <c r="H400" s="425">
        <v>0</v>
      </c>
      <c r="I400" s="415">
        <f t="shared" si="169"/>
        <v>42.350000000000009</v>
      </c>
      <c r="J400" s="415">
        <f t="shared" si="170"/>
        <v>10.410000000000004</v>
      </c>
      <c r="K400" s="416">
        <f t="shared" si="185"/>
        <v>44298.1</v>
      </c>
      <c r="L400" s="430"/>
      <c r="M400" s="430"/>
      <c r="N400" s="186">
        <f t="shared" si="163"/>
        <v>44298.1</v>
      </c>
      <c r="O400" s="431">
        <f t="shared" si="171"/>
        <v>0</v>
      </c>
      <c r="P400" s="417">
        <f t="shared" si="186"/>
        <v>0</v>
      </c>
      <c r="Q400" s="186">
        <f t="shared" si="172"/>
        <v>0</v>
      </c>
      <c r="R400" s="186">
        <f t="shared" si="173"/>
        <v>0</v>
      </c>
      <c r="S400" s="186">
        <f t="shared" si="174"/>
        <v>0</v>
      </c>
      <c r="T400" s="186">
        <f t="shared" si="175"/>
        <v>0</v>
      </c>
      <c r="U400" s="186">
        <f t="shared" si="176"/>
        <v>0</v>
      </c>
      <c r="V400" s="418">
        <f t="shared" si="177"/>
        <v>44298.1</v>
      </c>
      <c r="W400" s="418">
        <f t="shared" si="178"/>
        <v>-44298.1</v>
      </c>
      <c r="X400" s="41"/>
      <c r="Y400" s="418">
        <f t="shared" si="181"/>
        <v>10888.86</v>
      </c>
      <c r="Z400" s="418">
        <f t="shared" si="182"/>
        <v>-10888.86</v>
      </c>
      <c r="AA400" s="11">
        <f t="shared" si="184"/>
        <v>1.7</v>
      </c>
      <c r="AB400" s="9">
        <f t="shared" si="187"/>
        <v>1778.2</v>
      </c>
      <c r="AC400" s="41"/>
      <c r="AD400" s="427">
        <f>IF(AH400&gt;AH399,AD399,IF(AD399&lt;MiscData!$F$1,EOMONTH(AD399,1),EOMONTH(AD399,-11)))</f>
        <v>42521</v>
      </c>
      <c r="AE400" s="414" t="str">
        <f t="shared" si="179"/>
        <v>20140101KUUM_452</v>
      </c>
      <c r="AF400" s="466" t="str">
        <f t="shared" si="180"/>
        <v>20140101LS</v>
      </c>
      <c r="AG400" s="467"/>
      <c r="AH400" s="41">
        <f>IF(AH399=MiscData!$AB$91,1,AH399+1)</f>
        <v>47</v>
      </c>
      <c r="AI400">
        <f>IF(AD400&lt;=MiscData!$B$23,MiscData!$C$23,IF(AD400&lt;=MiscData!$B$24,MiscData!$C$24,MiscData!$C$25))</f>
        <v>20140101</v>
      </c>
      <c r="AJ400" s="41"/>
      <c r="AK400" s="468" t="str">
        <f>VLOOKUP(AM400,MiscData!$AB$4:$ACB$113,2,FALSE)</f>
        <v>KUUM_452</v>
      </c>
      <c r="AL400" s="468" t="str">
        <f>VLOOKUP(AM400,MiscData!$AB$4:$AE$115,4,FALSE)</f>
        <v>LS</v>
      </c>
      <c r="AM400" s="469">
        <f>IF(AM399=MiscData!$AB$91,1,AM399+1)</f>
        <v>47</v>
      </c>
    </row>
    <row r="401" spans="1:39">
      <c r="A401" s="413">
        <f t="shared" si="183"/>
        <v>400</v>
      </c>
      <c r="B401" s="427" t="str">
        <f t="shared" si="164"/>
        <v>May 2016</v>
      </c>
      <c r="C401" s="428" t="str">
        <f t="shared" si="165"/>
        <v>RLS</v>
      </c>
      <c r="D401" s="428" t="str">
        <f t="shared" si="166"/>
        <v>KUUM_454</v>
      </c>
      <c r="E401" s="425">
        <f t="shared" si="167"/>
        <v>152</v>
      </c>
      <c r="F401" s="429"/>
      <c r="G401" s="425">
        <f t="shared" si="168"/>
        <v>0</v>
      </c>
      <c r="H401" s="425">
        <v>0</v>
      </c>
      <c r="I401" s="415">
        <f t="shared" si="169"/>
        <v>18.649999999999999</v>
      </c>
      <c r="J401" s="415">
        <f t="shared" si="170"/>
        <v>1.9699999999999989</v>
      </c>
      <c r="K401" s="416">
        <f t="shared" si="185"/>
        <v>2834.8</v>
      </c>
      <c r="L401" s="430"/>
      <c r="M401" s="430"/>
      <c r="N401" s="186">
        <f t="shared" si="163"/>
        <v>2834.8</v>
      </c>
      <c r="O401" s="431">
        <f t="shared" si="171"/>
        <v>0</v>
      </c>
      <c r="P401" s="417">
        <f t="shared" si="186"/>
        <v>0</v>
      </c>
      <c r="Q401" s="186">
        <f t="shared" si="172"/>
        <v>0</v>
      </c>
      <c r="R401" s="186">
        <f t="shared" si="173"/>
        <v>0</v>
      </c>
      <c r="S401" s="186">
        <f t="shared" si="174"/>
        <v>0</v>
      </c>
      <c r="T401" s="186">
        <f t="shared" si="175"/>
        <v>0</v>
      </c>
      <c r="U401" s="186">
        <f t="shared" si="176"/>
        <v>0</v>
      </c>
      <c r="V401" s="418">
        <f t="shared" si="177"/>
        <v>2834.8</v>
      </c>
      <c r="W401" s="418">
        <f t="shared" si="178"/>
        <v>-2834.8</v>
      </c>
      <c r="X401" s="41"/>
      <c r="Y401" s="418">
        <f t="shared" si="181"/>
        <v>299.44</v>
      </c>
      <c r="Z401" s="418">
        <f t="shared" si="182"/>
        <v>-299.44</v>
      </c>
      <c r="AA401" s="11">
        <f t="shared" si="184"/>
        <v>0.66</v>
      </c>
      <c r="AB401" s="9">
        <f t="shared" si="187"/>
        <v>100.32000000000001</v>
      </c>
      <c r="AC401" s="41"/>
      <c r="AD401" s="427">
        <f>IF(AH401&gt;AH400,AD400,IF(AD400&lt;MiscData!$F$1,EOMONTH(AD400,1),EOMONTH(AD400,-11)))</f>
        <v>42521</v>
      </c>
      <c r="AE401" s="414" t="str">
        <f t="shared" si="179"/>
        <v>20140101KUUM_454</v>
      </c>
      <c r="AF401" s="466" t="str">
        <f t="shared" si="180"/>
        <v>20140101RLS</v>
      </c>
      <c r="AG401" s="467"/>
      <c r="AH401" s="41">
        <f>IF(AH400=MiscData!$AB$91,1,AH400+1)</f>
        <v>48</v>
      </c>
      <c r="AI401">
        <f>IF(AD401&lt;=MiscData!$B$23,MiscData!$C$23,IF(AD401&lt;=MiscData!$B$24,MiscData!$C$24,MiscData!$C$25))</f>
        <v>20140101</v>
      </c>
      <c r="AJ401" s="41"/>
      <c r="AK401" s="468" t="str">
        <f>VLOOKUP(AM401,MiscData!$AB$4:$ACB$113,2,FALSE)</f>
        <v>KUUM_454</v>
      </c>
      <c r="AL401" s="468" t="str">
        <f>VLOOKUP(AM401,MiscData!$AB$4:$AE$115,4,FALSE)</f>
        <v>RLS</v>
      </c>
      <c r="AM401" s="469">
        <f>IF(AM400=MiscData!$AB$91,1,AM400+1)</f>
        <v>48</v>
      </c>
    </row>
    <row r="402" spans="1:39">
      <c r="A402" s="413">
        <f t="shared" si="183"/>
        <v>401</v>
      </c>
      <c r="B402" s="427" t="str">
        <f t="shared" si="164"/>
        <v>May 2016</v>
      </c>
      <c r="C402" s="428" t="str">
        <f t="shared" si="165"/>
        <v>RLS</v>
      </c>
      <c r="D402" s="428" t="str">
        <f t="shared" si="166"/>
        <v>KUUM_455</v>
      </c>
      <c r="E402" s="425">
        <f t="shared" si="167"/>
        <v>1059</v>
      </c>
      <c r="F402" s="429"/>
      <c r="G402" s="425">
        <f t="shared" si="168"/>
        <v>0</v>
      </c>
      <c r="H402" s="425">
        <v>0</v>
      </c>
      <c r="I402" s="415">
        <f t="shared" si="169"/>
        <v>24.59</v>
      </c>
      <c r="J402" s="415">
        <f t="shared" si="170"/>
        <v>4.2899999999999991</v>
      </c>
      <c r="K402" s="416">
        <f t="shared" si="185"/>
        <v>26040.81</v>
      </c>
      <c r="L402" s="430"/>
      <c r="M402" s="430"/>
      <c r="N402" s="186">
        <f t="shared" si="163"/>
        <v>26040.81</v>
      </c>
      <c r="O402" s="431">
        <f t="shared" si="171"/>
        <v>0</v>
      </c>
      <c r="P402" s="417">
        <f t="shared" si="186"/>
        <v>0</v>
      </c>
      <c r="Q402" s="186">
        <f t="shared" si="172"/>
        <v>0</v>
      </c>
      <c r="R402" s="186">
        <f t="shared" si="173"/>
        <v>0</v>
      </c>
      <c r="S402" s="186">
        <f t="shared" si="174"/>
        <v>0</v>
      </c>
      <c r="T402" s="186">
        <f t="shared" si="175"/>
        <v>0</v>
      </c>
      <c r="U402" s="186">
        <f t="shared" si="176"/>
        <v>0</v>
      </c>
      <c r="V402" s="418">
        <f t="shared" si="177"/>
        <v>26040.81</v>
      </c>
      <c r="W402" s="418">
        <f t="shared" si="178"/>
        <v>-26040.81</v>
      </c>
      <c r="X402" s="41"/>
      <c r="Y402" s="418">
        <f t="shared" si="181"/>
        <v>4543.1099999999997</v>
      </c>
      <c r="Z402" s="418">
        <f t="shared" si="182"/>
        <v>-4543.1099999999997</v>
      </c>
      <c r="AA402" s="11">
        <f t="shared" si="184"/>
        <v>0.84</v>
      </c>
      <c r="AB402" s="9">
        <f t="shared" si="187"/>
        <v>889.56</v>
      </c>
      <c r="AC402" s="41"/>
      <c r="AD402" s="427">
        <f>IF(AH402&gt;AH401,AD401,IF(AD401&lt;MiscData!$F$1,EOMONTH(AD401,1),EOMONTH(AD401,-11)))</f>
        <v>42521</v>
      </c>
      <c r="AE402" s="414" t="str">
        <f t="shared" si="179"/>
        <v>20140101KUUM_455</v>
      </c>
      <c r="AF402" s="466" t="str">
        <f t="shared" si="180"/>
        <v>20140101RLS</v>
      </c>
      <c r="AG402" s="467"/>
      <c r="AH402" s="41">
        <f>IF(AH401=MiscData!$AB$91,1,AH401+1)</f>
        <v>49</v>
      </c>
      <c r="AI402">
        <f>IF(AD402&lt;=MiscData!$B$23,MiscData!$C$23,IF(AD402&lt;=MiscData!$B$24,MiscData!$C$24,MiscData!$C$25))</f>
        <v>20140101</v>
      </c>
      <c r="AJ402" s="41"/>
      <c r="AK402" s="468" t="str">
        <f>VLOOKUP(AM402,MiscData!$AB$4:$ACB$113,2,FALSE)</f>
        <v>KUUM_455</v>
      </c>
      <c r="AL402" s="468" t="str">
        <f>VLOOKUP(AM402,MiscData!$AB$4:$AE$115,4,FALSE)</f>
        <v>RLS</v>
      </c>
      <c r="AM402" s="469">
        <f>IF(AM401=MiscData!$AB$91,1,AM401+1)</f>
        <v>49</v>
      </c>
    </row>
    <row r="403" spans="1:39">
      <c r="A403" s="413">
        <f t="shared" si="183"/>
        <v>402</v>
      </c>
      <c r="B403" s="427" t="str">
        <f t="shared" si="164"/>
        <v>May 2016</v>
      </c>
      <c r="C403" s="428" t="str">
        <f t="shared" si="165"/>
        <v>RLS</v>
      </c>
      <c r="D403" s="428" t="str">
        <f t="shared" si="166"/>
        <v>KUUM_456</v>
      </c>
      <c r="E403" s="425">
        <f t="shared" si="167"/>
        <v>141</v>
      </c>
      <c r="F403" s="429"/>
      <c r="G403" s="425">
        <f t="shared" si="168"/>
        <v>0</v>
      </c>
      <c r="H403" s="425">
        <v>0</v>
      </c>
      <c r="I403" s="415">
        <f t="shared" si="169"/>
        <v>11.870000000000001</v>
      </c>
      <c r="J403" s="415">
        <f t="shared" si="170"/>
        <v>1.9900000000000002</v>
      </c>
      <c r="K403" s="416">
        <f t="shared" si="185"/>
        <v>1673.67</v>
      </c>
      <c r="L403" s="430"/>
      <c r="M403" s="430"/>
      <c r="N403" s="186">
        <f t="shared" si="163"/>
        <v>1673.67</v>
      </c>
      <c r="O403" s="431">
        <f t="shared" si="171"/>
        <v>0</v>
      </c>
      <c r="P403" s="417">
        <f t="shared" si="186"/>
        <v>0</v>
      </c>
      <c r="Q403" s="186">
        <f t="shared" si="172"/>
        <v>0</v>
      </c>
      <c r="R403" s="186">
        <f t="shared" si="173"/>
        <v>0</v>
      </c>
      <c r="S403" s="186">
        <f t="shared" si="174"/>
        <v>0</v>
      </c>
      <c r="T403" s="186">
        <f t="shared" si="175"/>
        <v>0</v>
      </c>
      <c r="U403" s="186">
        <f t="shared" si="176"/>
        <v>0</v>
      </c>
      <c r="V403" s="418">
        <f t="shared" si="177"/>
        <v>1673.67</v>
      </c>
      <c r="W403" s="418">
        <f t="shared" si="178"/>
        <v>-1673.67</v>
      </c>
      <c r="X403" s="41"/>
      <c r="Y403" s="418">
        <f t="shared" si="181"/>
        <v>280.58999999999997</v>
      </c>
      <c r="Z403" s="418">
        <f t="shared" si="182"/>
        <v>-280.58999999999997</v>
      </c>
      <c r="AA403" s="11">
        <f t="shared" si="184"/>
        <v>0.39</v>
      </c>
      <c r="AB403" s="9">
        <f t="shared" si="187"/>
        <v>54.99</v>
      </c>
      <c r="AC403" s="41"/>
      <c r="AD403" s="427">
        <f>IF(AH403&gt;AH402,AD402,IF(AD402&lt;MiscData!$F$1,EOMONTH(AD402,1),EOMONTH(AD402,-11)))</f>
        <v>42521</v>
      </c>
      <c r="AE403" s="414" t="str">
        <f t="shared" si="179"/>
        <v>20140101KUUM_456</v>
      </c>
      <c r="AF403" s="466" t="str">
        <f t="shared" si="180"/>
        <v>20140101RLS</v>
      </c>
      <c r="AG403" s="467"/>
      <c r="AH403" s="41">
        <f>IF(AH402=MiscData!$AB$91,1,AH402+1)</f>
        <v>50</v>
      </c>
      <c r="AI403">
        <f>IF(AD403&lt;=MiscData!$B$23,MiscData!$C$23,IF(AD403&lt;=MiscData!$B$24,MiscData!$C$24,MiscData!$C$25))</f>
        <v>20140101</v>
      </c>
      <c r="AJ403" s="41"/>
      <c r="AK403" s="468" t="str">
        <f>VLOOKUP(AM403,MiscData!$AB$4:$ACB$113,2,FALSE)</f>
        <v>KUUM_456</v>
      </c>
      <c r="AL403" s="468" t="str">
        <f>VLOOKUP(AM403,MiscData!$AB$4:$AE$115,4,FALSE)</f>
        <v>RLS</v>
      </c>
      <c r="AM403" s="469">
        <f>IF(AM402=MiscData!$AB$91,1,AM402+1)</f>
        <v>50</v>
      </c>
    </row>
    <row r="404" spans="1:39">
      <c r="A404" s="413">
        <f t="shared" si="183"/>
        <v>403</v>
      </c>
      <c r="B404" s="427" t="str">
        <f t="shared" si="164"/>
        <v>May 2016</v>
      </c>
      <c r="C404" s="428" t="str">
        <f t="shared" si="165"/>
        <v>RLS</v>
      </c>
      <c r="D404" s="428" t="str">
        <f t="shared" si="166"/>
        <v>KUUM_457</v>
      </c>
      <c r="E404" s="425">
        <f t="shared" si="167"/>
        <v>457</v>
      </c>
      <c r="F404" s="429"/>
      <c r="G404" s="425">
        <f t="shared" si="168"/>
        <v>0</v>
      </c>
      <c r="H404" s="425">
        <v>0</v>
      </c>
      <c r="I404" s="415">
        <f t="shared" si="169"/>
        <v>13.360000000000001</v>
      </c>
      <c r="J404" s="415">
        <f t="shared" si="170"/>
        <v>2.84</v>
      </c>
      <c r="K404" s="416">
        <f t="shared" si="185"/>
        <v>6105.52</v>
      </c>
      <c r="L404" s="430"/>
      <c r="M404" s="430"/>
      <c r="N404" s="186">
        <f t="shared" si="163"/>
        <v>6105.52</v>
      </c>
      <c r="O404" s="431">
        <f t="shared" si="171"/>
        <v>0</v>
      </c>
      <c r="P404" s="417">
        <f t="shared" si="186"/>
        <v>0</v>
      </c>
      <c r="Q404" s="186">
        <f t="shared" si="172"/>
        <v>0</v>
      </c>
      <c r="R404" s="186">
        <f t="shared" si="173"/>
        <v>0</v>
      </c>
      <c r="S404" s="186">
        <f t="shared" si="174"/>
        <v>0</v>
      </c>
      <c r="T404" s="186">
        <f t="shared" si="175"/>
        <v>0</v>
      </c>
      <c r="U404" s="186">
        <f t="shared" si="176"/>
        <v>0</v>
      </c>
      <c r="V404" s="418">
        <f t="shared" si="177"/>
        <v>6105.52</v>
      </c>
      <c r="W404" s="418">
        <f t="shared" si="178"/>
        <v>-6105.52</v>
      </c>
      <c r="X404" s="41"/>
      <c r="Y404" s="418">
        <f t="shared" si="181"/>
        <v>1297.8800000000001</v>
      </c>
      <c r="Z404" s="418">
        <f t="shared" si="182"/>
        <v>-1297.8800000000001</v>
      </c>
      <c r="AA404" s="11">
        <f t="shared" si="184"/>
        <v>0.44</v>
      </c>
      <c r="AB404" s="9">
        <f t="shared" si="187"/>
        <v>201.08</v>
      </c>
      <c r="AC404" s="41"/>
      <c r="AD404" s="427">
        <f>IF(AH404&gt;AH403,AD403,IF(AD403&lt;MiscData!$F$1,EOMONTH(AD403,1),EOMONTH(AD403,-11)))</f>
        <v>42521</v>
      </c>
      <c r="AE404" s="414" t="str">
        <f t="shared" si="179"/>
        <v>20140101KUUM_457</v>
      </c>
      <c r="AF404" s="466" t="str">
        <f t="shared" si="180"/>
        <v>20140101RLS</v>
      </c>
      <c r="AG404" s="467"/>
      <c r="AH404" s="41">
        <f>IF(AH403=MiscData!$AB$91,1,AH403+1)</f>
        <v>51</v>
      </c>
      <c r="AI404">
        <f>IF(AD404&lt;=MiscData!$B$23,MiscData!$C$23,IF(AD404&lt;=MiscData!$B$24,MiscData!$C$24,MiscData!$C$25))</f>
        <v>20140101</v>
      </c>
      <c r="AJ404" s="41"/>
      <c r="AK404" s="468" t="str">
        <f>VLOOKUP(AM404,MiscData!$AB$4:$ACB$113,2,FALSE)</f>
        <v>KUUM_457</v>
      </c>
      <c r="AL404" s="468" t="str">
        <f>VLOOKUP(AM404,MiscData!$AB$4:$AE$115,4,FALSE)</f>
        <v>RLS</v>
      </c>
      <c r="AM404" s="469">
        <f>IF(AM403=MiscData!$AB$91,1,AM403+1)</f>
        <v>51</v>
      </c>
    </row>
    <row r="405" spans="1:39">
      <c r="A405" s="413">
        <f t="shared" si="183"/>
        <v>404</v>
      </c>
      <c r="B405" s="427" t="str">
        <f t="shared" si="164"/>
        <v>May 2016</v>
      </c>
      <c r="C405" s="428" t="str">
        <f t="shared" si="165"/>
        <v>RLS</v>
      </c>
      <c r="D405" s="428" t="str">
        <f t="shared" si="166"/>
        <v>KUUM_458</v>
      </c>
      <c r="E405" s="425">
        <f t="shared" si="167"/>
        <v>1485</v>
      </c>
      <c r="F405" s="429"/>
      <c r="G405" s="425">
        <f t="shared" si="168"/>
        <v>0</v>
      </c>
      <c r="H405" s="425">
        <v>0</v>
      </c>
      <c r="I405" s="415">
        <f t="shared" si="169"/>
        <v>15.079999999999998</v>
      </c>
      <c r="J405" s="415">
        <f t="shared" si="170"/>
        <v>4.3699999999999992</v>
      </c>
      <c r="K405" s="416">
        <f t="shared" si="185"/>
        <v>22393.8</v>
      </c>
      <c r="L405" s="430"/>
      <c r="M405" s="430"/>
      <c r="N405" s="186">
        <f t="shared" si="163"/>
        <v>22393.8</v>
      </c>
      <c r="O405" s="431">
        <f t="shared" si="171"/>
        <v>0</v>
      </c>
      <c r="P405" s="417">
        <f t="shared" si="186"/>
        <v>0</v>
      </c>
      <c r="Q405" s="186">
        <f t="shared" si="172"/>
        <v>0</v>
      </c>
      <c r="R405" s="186">
        <f t="shared" si="173"/>
        <v>0</v>
      </c>
      <c r="S405" s="186">
        <f t="shared" si="174"/>
        <v>0</v>
      </c>
      <c r="T405" s="186">
        <f t="shared" si="175"/>
        <v>0</v>
      </c>
      <c r="U405" s="186">
        <f t="shared" si="176"/>
        <v>0</v>
      </c>
      <c r="V405" s="418">
        <f t="shared" si="177"/>
        <v>22393.8</v>
      </c>
      <c r="W405" s="418">
        <f t="shared" si="178"/>
        <v>-22393.8</v>
      </c>
      <c r="X405" s="41"/>
      <c r="Y405" s="418">
        <f t="shared" si="181"/>
        <v>6489.45</v>
      </c>
      <c r="Z405" s="418">
        <f t="shared" si="182"/>
        <v>-6489.45</v>
      </c>
      <c r="AA405" s="11">
        <f t="shared" si="184"/>
        <v>0.51</v>
      </c>
      <c r="AB405" s="9">
        <f t="shared" si="187"/>
        <v>757.35</v>
      </c>
      <c r="AC405" s="41"/>
      <c r="AD405" s="427">
        <f>IF(AH405&gt;AH404,AD404,IF(AD404&lt;MiscData!$F$1,EOMONTH(AD404,1),EOMONTH(AD404,-11)))</f>
        <v>42521</v>
      </c>
      <c r="AE405" s="414" t="str">
        <f t="shared" si="179"/>
        <v>20140101KUUM_458</v>
      </c>
      <c r="AF405" s="466" t="str">
        <f t="shared" si="180"/>
        <v>20140101RLS</v>
      </c>
      <c r="AG405" s="467"/>
      <c r="AH405" s="41">
        <f>IF(AH404=MiscData!$AB$91,1,AH404+1)</f>
        <v>52</v>
      </c>
      <c r="AI405">
        <f>IF(AD405&lt;=MiscData!$B$23,MiscData!$C$23,IF(AD405&lt;=MiscData!$B$24,MiscData!$C$24,MiscData!$C$25))</f>
        <v>20140101</v>
      </c>
      <c r="AJ405" s="41"/>
      <c r="AK405" s="468" t="str">
        <f>VLOOKUP(AM405,MiscData!$AB$4:$ACB$113,2,FALSE)</f>
        <v>KUUM_458</v>
      </c>
      <c r="AL405" s="468" t="str">
        <f>VLOOKUP(AM405,MiscData!$AB$4:$AE$115,4,FALSE)</f>
        <v>RLS</v>
      </c>
      <c r="AM405" s="469">
        <f>IF(AM404=MiscData!$AB$91,1,AM404+1)</f>
        <v>52</v>
      </c>
    </row>
    <row r="406" spans="1:39">
      <c r="A406" s="413">
        <f t="shared" si="183"/>
        <v>405</v>
      </c>
      <c r="B406" s="427" t="str">
        <f t="shared" si="164"/>
        <v>May 2016</v>
      </c>
      <c r="C406" s="428" t="str">
        <f t="shared" si="165"/>
        <v>RLS</v>
      </c>
      <c r="D406" s="428" t="str">
        <f t="shared" si="166"/>
        <v>KUUM_459</v>
      </c>
      <c r="E406" s="425">
        <f t="shared" si="167"/>
        <v>225</v>
      </c>
      <c r="F406" s="429"/>
      <c r="G406" s="425">
        <f t="shared" si="168"/>
        <v>0</v>
      </c>
      <c r="H406" s="425">
        <v>0</v>
      </c>
      <c r="I406" s="415">
        <f t="shared" si="169"/>
        <v>46.740000000000009</v>
      </c>
      <c r="J406" s="415">
        <f t="shared" si="170"/>
        <v>10.410000000000004</v>
      </c>
      <c r="K406" s="416">
        <f t="shared" si="185"/>
        <v>10516.5</v>
      </c>
      <c r="L406" s="430"/>
      <c r="M406" s="430"/>
      <c r="N406" s="186">
        <f t="shared" si="163"/>
        <v>10516.5</v>
      </c>
      <c r="O406" s="431">
        <f t="shared" si="171"/>
        <v>0</v>
      </c>
      <c r="P406" s="417">
        <f t="shared" si="186"/>
        <v>0</v>
      </c>
      <c r="Q406" s="186">
        <f t="shared" si="172"/>
        <v>0</v>
      </c>
      <c r="R406" s="186">
        <f t="shared" si="173"/>
        <v>0</v>
      </c>
      <c r="S406" s="186">
        <f t="shared" si="174"/>
        <v>0</v>
      </c>
      <c r="T406" s="186">
        <f t="shared" si="175"/>
        <v>0</v>
      </c>
      <c r="U406" s="186">
        <f t="shared" si="176"/>
        <v>0</v>
      </c>
      <c r="V406" s="418">
        <f t="shared" si="177"/>
        <v>10516.5</v>
      </c>
      <c r="W406" s="418">
        <f t="shared" si="178"/>
        <v>-10516.5</v>
      </c>
      <c r="X406" s="41"/>
      <c r="Y406" s="418">
        <f t="shared" si="181"/>
        <v>2342.25</v>
      </c>
      <c r="Z406" s="418">
        <f t="shared" si="182"/>
        <v>-2342.25</v>
      </c>
      <c r="AA406" s="11">
        <f t="shared" si="184"/>
        <v>1.7</v>
      </c>
      <c r="AB406" s="9">
        <f t="shared" si="187"/>
        <v>382.5</v>
      </c>
      <c r="AC406" s="41"/>
      <c r="AD406" s="427">
        <f>IF(AH406&gt;AH405,AD405,IF(AD405&lt;MiscData!$F$1,EOMONTH(AD405,1),EOMONTH(AD405,-11)))</f>
        <v>42521</v>
      </c>
      <c r="AE406" s="414" t="str">
        <f t="shared" si="179"/>
        <v>20140101KUUM_459</v>
      </c>
      <c r="AF406" s="466" t="str">
        <f t="shared" si="180"/>
        <v>20140101RLS</v>
      </c>
      <c r="AG406" s="467"/>
      <c r="AH406" s="41">
        <f>IF(AH405=MiscData!$AB$91,1,AH405+1)</f>
        <v>53</v>
      </c>
      <c r="AI406">
        <f>IF(AD406&lt;=MiscData!$B$23,MiscData!$C$23,IF(AD406&lt;=MiscData!$B$24,MiscData!$C$24,MiscData!$C$25))</f>
        <v>20140101</v>
      </c>
      <c r="AJ406" s="41"/>
      <c r="AK406" s="468" t="str">
        <f>VLOOKUP(AM406,MiscData!$AB$4:$ACB$113,2,FALSE)</f>
        <v>KUUM_459</v>
      </c>
      <c r="AL406" s="468" t="str">
        <f>VLOOKUP(AM406,MiscData!$AB$4:$AE$115,4,FALSE)</f>
        <v>RLS</v>
      </c>
      <c r="AM406" s="469">
        <f>IF(AM405=MiscData!$AB$91,1,AM405+1)</f>
        <v>53</v>
      </c>
    </row>
    <row r="407" spans="1:39">
      <c r="A407" s="413">
        <f t="shared" si="183"/>
        <v>406</v>
      </c>
      <c r="B407" s="427" t="str">
        <f t="shared" si="164"/>
        <v>May 2016</v>
      </c>
      <c r="C407" s="428" t="str">
        <f t="shared" si="165"/>
        <v>RLS</v>
      </c>
      <c r="D407" s="428" t="str">
        <f t="shared" si="166"/>
        <v>KUUM_460</v>
      </c>
      <c r="E407" s="425">
        <f t="shared" si="167"/>
        <v>26</v>
      </c>
      <c r="F407" s="429"/>
      <c r="G407" s="425">
        <f t="shared" si="168"/>
        <v>0</v>
      </c>
      <c r="H407" s="425">
        <v>0</v>
      </c>
      <c r="I407" s="415">
        <f t="shared" si="169"/>
        <v>27.15</v>
      </c>
      <c r="J407" s="415">
        <f t="shared" si="170"/>
        <v>1.9699999999999989</v>
      </c>
      <c r="K407" s="416">
        <f t="shared" si="185"/>
        <v>705.9</v>
      </c>
      <c r="L407" s="430"/>
      <c r="M407" s="430"/>
      <c r="N407" s="186">
        <f t="shared" si="163"/>
        <v>705.9</v>
      </c>
      <c r="O407" s="431">
        <f t="shared" si="171"/>
        <v>0</v>
      </c>
      <c r="P407" s="417">
        <f t="shared" si="186"/>
        <v>0</v>
      </c>
      <c r="Q407" s="186">
        <f t="shared" si="172"/>
        <v>0</v>
      </c>
      <c r="R407" s="186">
        <f t="shared" si="173"/>
        <v>0</v>
      </c>
      <c r="S407" s="186">
        <f t="shared" si="174"/>
        <v>0</v>
      </c>
      <c r="T407" s="186">
        <f t="shared" si="175"/>
        <v>0</v>
      </c>
      <c r="U407" s="186">
        <f t="shared" si="176"/>
        <v>0</v>
      </c>
      <c r="V407" s="418">
        <f t="shared" si="177"/>
        <v>705.9</v>
      </c>
      <c r="W407" s="418">
        <f t="shared" si="178"/>
        <v>-705.9</v>
      </c>
      <c r="X407" s="41"/>
      <c r="Y407" s="418">
        <f t="shared" si="181"/>
        <v>51.22</v>
      </c>
      <c r="Z407" s="418">
        <f t="shared" si="182"/>
        <v>-51.22</v>
      </c>
      <c r="AA407" s="11">
        <f t="shared" si="184"/>
        <v>0.66</v>
      </c>
      <c r="AB407" s="9">
        <f t="shared" si="187"/>
        <v>17.16</v>
      </c>
      <c r="AC407" s="41"/>
      <c r="AD407" s="427">
        <f>IF(AH407&gt;AH406,AD406,IF(AD406&lt;MiscData!$F$1,EOMONTH(AD406,1),EOMONTH(AD406,-11)))</f>
        <v>42521</v>
      </c>
      <c r="AE407" s="414" t="str">
        <f t="shared" si="179"/>
        <v>20140101KUUM_460</v>
      </c>
      <c r="AF407" s="466" t="str">
        <f t="shared" si="180"/>
        <v>20140101RLS</v>
      </c>
      <c r="AG407" s="467"/>
      <c r="AH407" s="41">
        <f>IF(AH406=MiscData!$AB$91,1,AH406+1)</f>
        <v>54</v>
      </c>
      <c r="AI407">
        <f>IF(AD407&lt;=MiscData!$B$23,MiscData!$C$23,IF(AD407&lt;=MiscData!$B$24,MiscData!$C$24,MiscData!$C$25))</f>
        <v>20140101</v>
      </c>
      <c r="AJ407" s="41"/>
      <c r="AK407" s="468" t="str">
        <f>VLOOKUP(AM407,MiscData!$AB$4:$ACB$113,2,FALSE)</f>
        <v>KUUM_460</v>
      </c>
      <c r="AL407" s="468" t="str">
        <f>VLOOKUP(AM407,MiscData!$AB$4:$AE$115,4,FALSE)</f>
        <v>RLS</v>
      </c>
      <c r="AM407" s="469">
        <f>IF(AM406=MiscData!$AB$91,1,AM406+1)</f>
        <v>54</v>
      </c>
    </row>
    <row r="408" spans="1:39">
      <c r="A408" s="413">
        <f t="shared" si="183"/>
        <v>407</v>
      </c>
      <c r="B408" s="427" t="str">
        <f t="shared" si="164"/>
        <v>May 2016</v>
      </c>
      <c r="C408" s="428" t="str">
        <f t="shared" si="165"/>
        <v>RLS</v>
      </c>
      <c r="D408" s="428" t="str">
        <f t="shared" si="166"/>
        <v>KUUM_461</v>
      </c>
      <c r="E408" s="425">
        <f t="shared" si="167"/>
        <v>4404</v>
      </c>
      <c r="F408" s="429"/>
      <c r="G408" s="425">
        <f t="shared" si="168"/>
        <v>0</v>
      </c>
      <c r="H408" s="425">
        <v>0</v>
      </c>
      <c r="I408" s="415">
        <f t="shared" si="169"/>
        <v>7.54</v>
      </c>
      <c r="J408" s="415">
        <f t="shared" si="170"/>
        <v>0.57000000000000028</v>
      </c>
      <c r="K408" s="416">
        <f t="shared" si="185"/>
        <v>33206.160000000003</v>
      </c>
      <c r="L408" s="430"/>
      <c r="M408" s="430"/>
      <c r="N408" s="186">
        <f t="shared" si="163"/>
        <v>33206.160000000003</v>
      </c>
      <c r="O408" s="431">
        <f t="shared" si="171"/>
        <v>0</v>
      </c>
      <c r="P408" s="417">
        <f t="shared" si="186"/>
        <v>0</v>
      </c>
      <c r="Q408" s="186">
        <f t="shared" si="172"/>
        <v>0</v>
      </c>
      <c r="R408" s="186">
        <f t="shared" si="173"/>
        <v>0</v>
      </c>
      <c r="S408" s="186">
        <f t="shared" si="174"/>
        <v>0</v>
      </c>
      <c r="T408" s="186">
        <f t="shared" si="175"/>
        <v>0</v>
      </c>
      <c r="U408" s="186">
        <f t="shared" si="176"/>
        <v>0</v>
      </c>
      <c r="V408" s="418">
        <f t="shared" si="177"/>
        <v>33206.160000000003</v>
      </c>
      <c r="W408" s="418">
        <f t="shared" si="178"/>
        <v>-33206.160000000003</v>
      </c>
      <c r="X408" s="41"/>
      <c r="Y408" s="418">
        <f t="shared" si="181"/>
        <v>2510.2800000000002</v>
      </c>
      <c r="Z408" s="418">
        <f t="shared" si="182"/>
        <v>-2510.2800000000002</v>
      </c>
      <c r="AA408" s="11">
        <f t="shared" si="184"/>
        <v>0.33</v>
      </c>
      <c r="AB408" s="9">
        <f t="shared" si="187"/>
        <v>1453.3200000000002</v>
      </c>
      <c r="AC408" s="41"/>
      <c r="AD408" s="427">
        <f>IF(AH408&gt;AH407,AD407,IF(AD407&lt;MiscData!$F$1,EOMONTH(AD407,1),EOMONTH(AD407,-11)))</f>
        <v>42521</v>
      </c>
      <c r="AE408" s="414" t="str">
        <f t="shared" si="179"/>
        <v>20140101KUUM_461</v>
      </c>
      <c r="AF408" s="466" t="str">
        <f t="shared" si="180"/>
        <v>20140101RLS</v>
      </c>
      <c r="AG408" s="467"/>
      <c r="AH408" s="41">
        <f>IF(AH407=MiscData!$AB$91,1,AH407+1)</f>
        <v>55</v>
      </c>
      <c r="AI408">
        <f>IF(AD408&lt;=MiscData!$B$23,MiscData!$C$23,IF(AD408&lt;=MiscData!$B$24,MiscData!$C$24,MiscData!$C$25))</f>
        <v>20140101</v>
      </c>
      <c r="AJ408" s="41"/>
      <c r="AK408" s="468" t="str">
        <f>VLOOKUP(AM408,MiscData!$AB$4:$ACB$113,2,FALSE)</f>
        <v>KUUM_461</v>
      </c>
      <c r="AL408" s="468" t="str">
        <f>VLOOKUP(AM408,MiscData!$AB$4:$AE$115,4,FALSE)</f>
        <v>RLS</v>
      </c>
      <c r="AM408" s="469">
        <f>IF(AM407=MiscData!$AB$91,1,AM407+1)</f>
        <v>55</v>
      </c>
    </row>
    <row r="409" spans="1:39">
      <c r="A409" s="413">
        <f t="shared" si="183"/>
        <v>408</v>
      </c>
      <c r="B409" s="427" t="str">
        <f t="shared" si="164"/>
        <v>May 2016</v>
      </c>
      <c r="C409" s="428" t="str">
        <f t="shared" si="165"/>
        <v>LS</v>
      </c>
      <c r="D409" s="428" t="str">
        <f t="shared" si="166"/>
        <v>KUUM_462</v>
      </c>
      <c r="E409" s="425">
        <f t="shared" si="167"/>
        <v>8921</v>
      </c>
      <c r="F409" s="429"/>
      <c r="G409" s="425">
        <f t="shared" si="168"/>
        <v>0</v>
      </c>
      <c r="H409" s="425">
        <v>0</v>
      </c>
      <c r="I409" s="415">
        <f t="shared" si="169"/>
        <v>8.66</v>
      </c>
      <c r="J409" s="415">
        <f t="shared" si="170"/>
        <v>0.79999999999999893</v>
      </c>
      <c r="K409" s="416">
        <f t="shared" si="185"/>
        <v>77255.86</v>
      </c>
      <c r="L409" s="430"/>
      <c r="M409" s="430"/>
      <c r="N409" s="186">
        <f t="shared" si="163"/>
        <v>77255.86</v>
      </c>
      <c r="O409" s="431">
        <f t="shared" si="171"/>
        <v>0</v>
      </c>
      <c r="P409" s="417">
        <f t="shared" si="186"/>
        <v>0</v>
      </c>
      <c r="Q409" s="186">
        <f t="shared" si="172"/>
        <v>0</v>
      </c>
      <c r="R409" s="186">
        <f t="shared" si="173"/>
        <v>0</v>
      </c>
      <c r="S409" s="186">
        <f t="shared" si="174"/>
        <v>0</v>
      </c>
      <c r="T409" s="186">
        <f t="shared" si="175"/>
        <v>0</v>
      </c>
      <c r="U409" s="186">
        <f t="shared" si="176"/>
        <v>0</v>
      </c>
      <c r="V409" s="418">
        <f t="shared" si="177"/>
        <v>77255.86</v>
      </c>
      <c r="W409" s="418">
        <f t="shared" si="178"/>
        <v>-77255.86</v>
      </c>
      <c r="X409" s="41"/>
      <c r="Y409" s="418">
        <f t="shared" si="181"/>
        <v>7136.8</v>
      </c>
      <c r="Z409" s="418">
        <f t="shared" si="182"/>
        <v>-7136.8</v>
      </c>
      <c r="AA409" s="11">
        <f t="shared" si="184"/>
        <v>0.43</v>
      </c>
      <c r="AB409" s="9">
        <f t="shared" si="187"/>
        <v>3836.0299999999997</v>
      </c>
      <c r="AC409" s="41"/>
      <c r="AD409" s="427">
        <f>IF(AH409&gt;AH408,AD408,IF(AD408&lt;MiscData!$F$1,EOMONTH(AD408,1),EOMONTH(AD408,-11)))</f>
        <v>42521</v>
      </c>
      <c r="AE409" s="414" t="str">
        <f t="shared" si="179"/>
        <v>20140101KUUM_462</v>
      </c>
      <c r="AF409" s="466" t="str">
        <f t="shared" si="180"/>
        <v>20140101LS</v>
      </c>
      <c r="AG409" s="467"/>
      <c r="AH409" s="41">
        <f>IF(AH408=MiscData!$AB$91,1,AH408+1)</f>
        <v>56</v>
      </c>
      <c r="AI409">
        <f>IF(AD409&lt;=MiscData!$B$23,MiscData!$C$23,IF(AD409&lt;=MiscData!$B$24,MiscData!$C$24,MiscData!$C$25))</f>
        <v>20140101</v>
      </c>
      <c r="AJ409" s="41"/>
      <c r="AK409" s="468" t="str">
        <f>VLOOKUP(AM409,MiscData!$AB$4:$ACB$113,2,FALSE)</f>
        <v>KUUM_462</v>
      </c>
      <c r="AL409" s="468" t="str">
        <f>VLOOKUP(AM409,MiscData!$AB$4:$AE$115,4,FALSE)</f>
        <v>LS</v>
      </c>
      <c r="AM409" s="469">
        <f>IF(AM408=MiscData!$AB$91,1,AM408+1)</f>
        <v>56</v>
      </c>
    </row>
    <row r="410" spans="1:39">
      <c r="A410" s="413">
        <f t="shared" si="183"/>
        <v>409</v>
      </c>
      <c r="B410" s="427" t="str">
        <f t="shared" si="164"/>
        <v>May 2016</v>
      </c>
      <c r="C410" s="428" t="str">
        <f t="shared" si="165"/>
        <v>LS</v>
      </c>
      <c r="D410" s="428" t="str">
        <f t="shared" si="166"/>
        <v>KUUM_463</v>
      </c>
      <c r="E410" s="425">
        <f t="shared" si="167"/>
        <v>20402</v>
      </c>
      <c r="F410" s="429"/>
      <c r="G410" s="425">
        <f t="shared" si="168"/>
        <v>0</v>
      </c>
      <c r="H410" s="425">
        <v>0</v>
      </c>
      <c r="I410" s="415">
        <f t="shared" si="169"/>
        <v>9.14</v>
      </c>
      <c r="J410" s="415">
        <f t="shared" si="170"/>
        <v>1.1299999999999999</v>
      </c>
      <c r="K410" s="416">
        <f t="shared" si="185"/>
        <v>186474.28</v>
      </c>
      <c r="L410" s="430"/>
      <c r="M410" s="430"/>
      <c r="N410" s="186">
        <f t="shared" si="163"/>
        <v>186474.28</v>
      </c>
      <c r="O410" s="431">
        <f t="shared" si="171"/>
        <v>0</v>
      </c>
      <c r="P410" s="417">
        <f t="shared" si="186"/>
        <v>0</v>
      </c>
      <c r="Q410" s="186">
        <f t="shared" si="172"/>
        <v>0</v>
      </c>
      <c r="R410" s="186">
        <f t="shared" si="173"/>
        <v>0</v>
      </c>
      <c r="S410" s="186">
        <f t="shared" si="174"/>
        <v>0</v>
      </c>
      <c r="T410" s="186">
        <f t="shared" si="175"/>
        <v>0</v>
      </c>
      <c r="U410" s="186">
        <f t="shared" si="176"/>
        <v>0</v>
      </c>
      <c r="V410" s="418">
        <f t="shared" si="177"/>
        <v>186474.28</v>
      </c>
      <c r="W410" s="418">
        <f t="shared" si="178"/>
        <v>-186474.28</v>
      </c>
      <c r="X410" s="41"/>
      <c r="Y410" s="418">
        <f t="shared" si="181"/>
        <v>23054.26</v>
      </c>
      <c r="Z410" s="418">
        <f t="shared" si="182"/>
        <v>-23054.26</v>
      </c>
      <c r="AA410" s="11">
        <f t="shared" si="184"/>
        <v>0.34</v>
      </c>
      <c r="AB410" s="9">
        <f t="shared" si="187"/>
        <v>6936.68</v>
      </c>
      <c r="AC410" s="41"/>
      <c r="AD410" s="427">
        <f>IF(AH410&gt;AH409,AD409,IF(AD409&lt;MiscData!$F$1,EOMONTH(AD409,1),EOMONTH(AD409,-11)))</f>
        <v>42521</v>
      </c>
      <c r="AE410" s="414" t="str">
        <f t="shared" si="179"/>
        <v>20140101KUUM_463</v>
      </c>
      <c r="AF410" s="466" t="str">
        <f t="shared" si="180"/>
        <v>20140101LS</v>
      </c>
      <c r="AG410" s="467"/>
      <c r="AH410" s="41">
        <f>IF(AH409=MiscData!$AB$91,1,AH409+1)</f>
        <v>57</v>
      </c>
      <c r="AI410">
        <f>IF(AD410&lt;=MiscData!$B$23,MiscData!$C$23,IF(AD410&lt;=MiscData!$B$24,MiscData!$C$24,MiscData!$C$25))</f>
        <v>20140101</v>
      </c>
      <c r="AJ410" s="41"/>
      <c r="AK410" s="468" t="str">
        <f>VLOOKUP(AM410,MiscData!$AB$4:$ACB$113,2,FALSE)</f>
        <v>KUUM_463</v>
      </c>
      <c r="AL410" s="468" t="str">
        <f>VLOOKUP(AM410,MiscData!$AB$4:$AE$115,4,FALSE)</f>
        <v>LS</v>
      </c>
      <c r="AM410" s="469">
        <f>IF(AM409=MiscData!$AB$91,1,AM409+1)</f>
        <v>57</v>
      </c>
    </row>
    <row r="411" spans="1:39">
      <c r="A411" s="413">
        <f t="shared" si="183"/>
        <v>410</v>
      </c>
      <c r="B411" s="427" t="str">
        <f t="shared" si="164"/>
        <v>May 2016</v>
      </c>
      <c r="C411" s="428" t="str">
        <f t="shared" si="165"/>
        <v>LS</v>
      </c>
      <c r="D411" s="428" t="str">
        <f t="shared" si="166"/>
        <v>KUUM_464</v>
      </c>
      <c r="E411" s="425">
        <f t="shared" si="167"/>
        <v>7454</v>
      </c>
      <c r="F411" s="429"/>
      <c r="G411" s="425">
        <f t="shared" si="168"/>
        <v>0</v>
      </c>
      <c r="H411" s="425">
        <v>0</v>
      </c>
      <c r="I411" s="415">
        <f t="shared" si="169"/>
        <v>14.25</v>
      </c>
      <c r="J411" s="415">
        <f t="shared" si="170"/>
        <v>2.33</v>
      </c>
      <c r="K411" s="416">
        <f t="shared" si="185"/>
        <v>106219.5</v>
      </c>
      <c r="L411" s="430"/>
      <c r="M411" s="430"/>
      <c r="N411" s="186">
        <f t="shared" si="163"/>
        <v>106219.5</v>
      </c>
      <c r="O411" s="431">
        <f t="shared" si="171"/>
        <v>0</v>
      </c>
      <c r="P411" s="417">
        <f t="shared" si="186"/>
        <v>0</v>
      </c>
      <c r="Q411" s="186">
        <f t="shared" si="172"/>
        <v>0</v>
      </c>
      <c r="R411" s="186">
        <f t="shared" si="173"/>
        <v>0</v>
      </c>
      <c r="S411" s="186">
        <f t="shared" si="174"/>
        <v>0</v>
      </c>
      <c r="T411" s="186">
        <f t="shared" si="175"/>
        <v>0</v>
      </c>
      <c r="U411" s="186">
        <f t="shared" si="176"/>
        <v>0</v>
      </c>
      <c r="V411" s="418">
        <f t="shared" si="177"/>
        <v>106219.5</v>
      </c>
      <c r="W411" s="418">
        <f t="shared" si="178"/>
        <v>-106219.5</v>
      </c>
      <c r="X411" s="41"/>
      <c r="Y411" s="418">
        <f t="shared" si="181"/>
        <v>17367.82</v>
      </c>
      <c r="Z411" s="418">
        <f t="shared" si="182"/>
        <v>-17367.82</v>
      </c>
      <c r="AA411" s="11">
        <f t="shared" si="184"/>
        <v>0.57999999999999996</v>
      </c>
      <c r="AB411" s="9">
        <f t="shared" si="187"/>
        <v>4323.32</v>
      </c>
      <c r="AC411" s="41"/>
      <c r="AD411" s="427">
        <f>IF(AH411&gt;AH410,AD410,IF(AD410&lt;MiscData!$F$1,EOMONTH(AD410,1),EOMONTH(AD410,-11)))</f>
        <v>42521</v>
      </c>
      <c r="AE411" s="414" t="str">
        <f t="shared" si="179"/>
        <v>20140101KUUM_464</v>
      </c>
      <c r="AF411" s="466" t="str">
        <f t="shared" si="180"/>
        <v>20140101LS</v>
      </c>
      <c r="AG411" s="467"/>
      <c r="AH411" s="41">
        <f>IF(AH410=MiscData!$AB$91,1,AH410+1)</f>
        <v>58</v>
      </c>
      <c r="AI411">
        <f>IF(AD411&lt;=MiscData!$B$23,MiscData!$C$23,IF(AD411&lt;=MiscData!$B$24,MiscData!$C$24,MiscData!$C$25))</f>
        <v>20140101</v>
      </c>
      <c r="AJ411" s="41"/>
      <c r="AK411" s="468" t="str">
        <f>VLOOKUP(AM411,MiscData!$AB$4:$ACB$113,2,FALSE)</f>
        <v>KUUM_464</v>
      </c>
      <c r="AL411" s="468" t="str">
        <f>VLOOKUP(AM411,MiscData!$AB$4:$AE$115,4,FALSE)</f>
        <v>LS</v>
      </c>
      <c r="AM411" s="469">
        <f>IF(AM410=MiscData!$AB$91,1,AM410+1)</f>
        <v>58</v>
      </c>
    </row>
    <row r="412" spans="1:39">
      <c r="A412" s="413">
        <f t="shared" si="183"/>
        <v>411</v>
      </c>
      <c r="B412" s="427" t="str">
        <f t="shared" si="164"/>
        <v>May 2016</v>
      </c>
      <c r="C412" s="428" t="str">
        <f t="shared" si="165"/>
        <v>LS</v>
      </c>
      <c r="D412" s="428" t="str">
        <f t="shared" si="166"/>
        <v>KUUM_465</v>
      </c>
      <c r="E412" s="425">
        <f t="shared" si="167"/>
        <v>2835</v>
      </c>
      <c r="F412" s="429"/>
      <c r="G412" s="425">
        <f t="shared" si="168"/>
        <v>0</v>
      </c>
      <c r="H412" s="425">
        <v>0</v>
      </c>
      <c r="I412" s="415">
        <f t="shared" si="169"/>
        <v>22.84</v>
      </c>
      <c r="J412" s="415">
        <f t="shared" si="170"/>
        <v>4.5299999999999976</v>
      </c>
      <c r="K412" s="416">
        <f t="shared" si="185"/>
        <v>64751.4</v>
      </c>
      <c r="L412" s="430"/>
      <c r="M412" s="430"/>
      <c r="N412" s="186">
        <f t="shared" si="163"/>
        <v>64751.4</v>
      </c>
      <c r="O412" s="431">
        <f t="shared" si="171"/>
        <v>0</v>
      </c>
      <c r="P412" s="417">
        <f t="shared" si="186"/>
        <v>0</v>
      </c>
      <c r="Q412" s="186">
        <f t="shared" si="172"/>
        <v>0</v>
      </c>
      <c r="R412" s="186">
        <f t="shared" si="173"/>
        <v>0</v>
      </c>
      <c r="S412" s="186">
        <f t="shared" si="174"/>
        <v>0</v>
      </c>
      <c r="T412" s="186">
        <f t="shared" si="175"/>
        <v>0</v>
      </c>
      <c r="U412" s="186">
        <f t="shared" si="176"/>
        <v>0</v>
      </c>
      <c r="V412" s="418">
        <f t="shared" si="177"/>
        <v>64751.4</v>
      </c>
      <c r="W412" s="418">
        <f t="shared" si="178"/>
        <v>-64751.4</v>
      </c>
      <c r="X412" s="41"/>
      <c r="Y412" s="418">
        <f t="shared" si="181"/>
        <v>12842.55</v>
      </c>
      <c r="Z412" s="418">
        <f t="shared" si="182"/>
        <v>-12842.55</v>
      </c>
      <c r="AA412" s="11">
        <f t="shared" si="184"/>
        <v>0.79</v>
      </c>
      <c r="AB412" s="9">
        <f t="shared" si="187"/>
        <v>2239.65</v>
      </c>
      <c r="AC412" s="41"/>
      <c r="AD412" s="427">
        <f>IF(AH412&gt;AH411,AD411,IF(AD411&lt;MiscData!$F$1,EOMONTH(AD411,1),EOMONTH(AD411,-11)))</f>
        <v>42521</v>
      </c>
      <c r="AE412" s="414" t="str">
        <f t="shared" si="179"/>
        <v>20140101KUUM_465</v>
      </c>
      <c r="AF412" s="466" t="str">
        <f t="shared" si="180"/>
        <v>20140101LS</v>
      </c>
      <c r="AG412" s="467"/>
      <c r="AH412" s="41">
        <f>IF(AH411=MiscData!$AB$91,1,AH411+1)</f>
        <v>59</v>
      </c>
      <c r="AI412">
        <f>IF(AD412&lt;=MiscData!$B$23,MiscData!$C$23,IF(AD412&lt;=MiscData!$B$24,MiscData!$C$24,MiscData!$C$25))</f>
        <v>20140101</v>
      </c>
      <c r="AJ412" s="41"/>
      <c r="AK412" s="468" t="str">
        <f>VLOOKUP(AM412,MiscData!$AB$4:$ACB$113,2,FALSE)</f>
        <v>KUUM_465</v>
      </c>
      <c r="AL412" s="468" t="str">
        <f>VLOOKUP(AM412,MiscData!$AB$4:$AE$115,4,FALSE)</f>
        <v>LS</v>
      </c>
      <c r="AM412" s="469">
        <f>IF(AM411=MiscData!$AB$91,1,AM411+1)</f>
        <v>59</v>
      </c>
    </row>
    <row r="413" spans="1:39">
      <c r="A413" s="413">
        <f t="shared" si="183"/>
        <v>412</v>
      </c>
      <c r="B413" s="427" t="str">
        <f t="shared" si="164"/>
        <v>May 2016</v>
      </c>
      <c r="C413" s="428" t="str">
        <f t="shared" si="165"/>
        <v>RLS</v>
      </c>
      <c r="D413" s="428" t="str">
        <f t="shared" si="166"/>
        <v>KUUM_466</v>
      </c>
      <c r="E413" s="425">
        <f t="shared" si="167"/>
        <v>865</v>
      </c>
      <c r="F413" s="429"/>
      <c r="G413" s="425">
        <f t="shared" si="168"/>
        <v>0</v>
      </c>
      <c r="H413" s="425">
        <v>0</v>
      </c>
      <c r="I413" s="415">
        <f t="shared" si="169"/>
        <v>9.620000000000001</v>
      </c>
      <c r="J413" s="415">
        <f t="shared" si="170"/>
        <v>0.57000000000000028</v>
      </c>
      <c r="K413" s="416">
        <f t="shared" si="185"/>
        <v>8321.2999999999993</v>
      </c>
      <c r="L413" s="430"/>
      <c r="M413" s="430"/>
      <c r="N413" s="186">
        <f t="shared" si="163"/>
        <v>8321.2999999999993</v>
      </c>
      <c r="O413" s="431">
        <f t="shared" si="171"/>
        <v>0</v>
      </c>
      <c r="P413" s="417">
        <f t="shared" si="186"/>
        <v>0</v>
      </c>
      <c r="Q413" s="186">
        <f t="shared" si="172"/>
        <v>0</v>
      </c>
      <c r="R413" s="186">
        <f t="shared" si="173"/>
        <v>0</v>
      </c>
      <c r="S413" s="186">
        <f t="shared" si="174"/>
        <v>0</v>
      </c>
      <c r="T413" s="186">
        <f t="shared" si="175"/>
        <v>0</v>
      </c>
      <c r="U413" s="186">
        <f t="shared" si="176"/>
        <v>0</v>
      </c>
      <c r="V413" s="418">
        <f t="shared" si="177"/>
        <v>8321.2999999999993</v>
      </c>
      <c r="W413" s="418">
        <f t="shared" si="178"/>
        <v>-8321.2999999999993</v>
      </c>
      <c r="X413" s="41"/>
      <c r="Y413" s="418">
        <f t="shared" si="181"/>
        <v>493.05</v>
      </c>
      <c r="Z413" s="418">
        <f t="shared" si="182"/>
        <v>-493.05</v>
      </c>
      <c r="AA413" s="11">
        <f t="shared" si="184"/>
        <v>0.33</v>
      </c>
      <c r="AB413" s="9">
        <f t="shared" si="187"/>
        <v>285.45</v>
      </c>
      <c r="AC413" s="41"/>
      <c r="AD413" s="427">
        <f>IF(AH413&gt;AH412,AD412,IF(AD412&lt;MiscData!$F$1,EOMONTH(AD412,1),EOMONTH(AD412,-11)))</f>
        <v>42521</v>
      </c>
      <c r="AE413" s="414" t="str">
        <f t="shared" si="179"/>
        <v>20140101KUUM_466</v>
      </c>
      <c r="AF413" s="466" t="str">
        <f t="shared" si="180"/>
        <v>20140101RLS</v>
      </c>
      <c r="AG413" s="467"/>
      <c r="AH413" s="41">
        <f>IF(AH412=MiscData!$AB$91,1,AH412+1)</f>
        <v>60</v>
      </c>
      <c r="AI413">
        <f>IF(AD413&lt;=MiscData!$B$23,MiscData!$C$23,IF(AD413&lt;=MiscData!$B$24,MiscData!$C$24,MiscData!$C$25))</f>
        <v>20140101</v>
      </c>
      <c r="AJ413" s="41"/>
      <c r="AK413" s="468" t="str">
        <f>VLOOKUP(AM413,MiscData!$AB$4:$ACB$113,2,FALSE)</f>
        <v>KUUM_466</v>
      </c>
      <c r="AL413" s="468" t="str">
        <f>VLOOKUP(AM413,MiscData!$AB$4:$AE$115,4,FALSE)</f>
        <v>RLS</v>
      </c>
      <c r="AM413" s="469">
        <f>IF(AM412=MiscData!$AB$91,1,AM412+1)</f>
        <v>60</v>
      </c>
    </row>
    <row r="414" spans="1:39">
      <c r="A414" s="413">
        <f t="shared" si="183"/>
        <v>413</v>
      </c>
      <c r="B414" s="427" t="str">
        <f t="shared" si="164"/>
        <v>May 2016</v>
      </c>
      <c r="C414" s="428" t="str">
        <f t="shared" si="165"/>
        <v>LS</v>
      </c>
      <c r="D414" s="428" t="str">
        <f t="shared" si="166"/>
        <v>KUUM_467</v>
      </c>
      <c r="E414" s="425">
        <f t="shared" si="167"/>
        <v>1370</v>
      </c>
      <c r="F414" s="429"/>
      <c r="G414" s="425">
        <f t="shared" si="168"/>
        <v>0</v>
      </c>
      <c r="H414" s="425">
        <v>0</v>
      </c>
      <c r="I414" s="415">
        <f t="shared" si="169"/>
        <v>10.770000000000001</v>
      </c>
      <c r="J414" s="415">
        <f t="shared" si="170"/>
        <v>0.80000000000000071</v>
      </c>
      <c r="K414" s="416">
        <f t="shared" si="185"/>
        <v>14754.9</v>
      </c>
      <c r="L414" s="430"/>
      <c r="M414" s="430"/>
      <c r="N414" s="186">
        <f t="shared" si="163"/>
        <v>14754.9</v>
      </c>
      <c r="O414" s="431">
        <f t="shared" si="171"/>
        <v>0</v>
      </c>
      <c r="P414" s="417">
        <f t="shared" si="186"/>
        <v>0</v>
      </c>
      <c r="Q414" s="186">
        <f t="shared" si="172"/>
        <v>0</v>
      </c>
      <c r="R414" s="186">
        <f t="shared" si="173"/>
        <v>0</v>
      </c>
      <c r="S414" s="186">
        <f t="shared" si="174"/>
        <v>0</v>
      </c>
      <c r="T414" s="186">
        <f t="shared" si="175"/>
        <v>0</v>
      </c>
      <c r="U414" s="186">
        <f t="shared" si="176"/>
        <v>0</v>
      </c>
      <c r="V414" s="418">
        <f t="shared" si="177"/>
        <v>14754.9</v>
      </c>
      <c r="W414" s="418">
        <f t="shared" si="178"/>
        <v>-14754.9</v>
      </c>
      <c r="X414" s="41"/>
      <c r="Y414" s="418">
        <f t="shared" si="181"/>
        <v>1096</v>
      </c>
      <c r="Z414" s="418">
        <f t="shared" si="182"/>
        <v>-1096</v>
      </c>
      <c r="AA414" s="11">
        <f t="shared" si="184"/>
        <v>0.43</v>
      </c>
      <c r="AB414" s="9">
        <f t="shared" si="187"/>
        <v>589.1</v>
      </c>
      <c r="AC414" s="41"/>
      <c r="AD414" s="427">
        <f>IF(AH414&gt;AH413,AD413,IF(AD413&lt;MiscData!$F$1,EOMONTH(AD413,1),EOMONTH(AD413,-11)))</f>
        <v>42521</v>
      </c>
      <c r="AE414" s="414" t="str">
        <f t="shared" si="179"/>
        <v>20140101KUUM_467</v>
      </c>
      <c r="AF414" s="466" t="str">
        <f t="shared" si="180"/>
        <v>20140101LS</v>
      </c>
      <c r="AG414" s="467"/>
      <c r="AH414" s="41">
        <f>IF(AH413=MiscData!$AB$91,1,AH413+1)</f>
        <v>61</v>
      </c>
      <c r="AI414">
        <f>IF(AD414&lt;=MiscData!$B$23,MiscData!$C$23,IF(AD414&lt;=MiscData!$B$24,MiscData!$C$24,MiscData!$C$25))</f>
        <v>20140101</v>
      </c>
      <c r="AJ414" s="41"/>
      <c r="AK414" s="468" t="str">
        <f>VLOOKUP(AM414,MiscData!$AB$4:$ACB$113,2,FALSE)</f>
        <v>KUUM_467</v>
      </c>
      <c r="AL414" s="468" t="str">
        <f>VLOOKUP(AM414,MiscData!$AB$4:$AE$115,4,FALSE)</f>
        <v>LS</v>
      </c>
      <c r="AM414" s="469">
        <f>IF(AM413=MiscData!$AB$91,1,AM413+1)</f>
        <v>61</v>
      </c>
    </row>
    <row r="415" spans="1:39">
      <c r="A415" s="413">
        <f t="shared" si="183"/>
        <v>414</v>
      </c>
      <c r="B415" s="427" t="str">
        <f t="shared" si="164"/>
        <v>May 2016</v>
      </c>
      <c r="C415" s="428" t="str">
        <f t="shared" si="165"/>
        <v>LS</v>
      </c>
      <c r="D415" s="428" t="str">
        <f t="shared" si="166"/>
        <v>KUUM_468</v>
      </c>
      <c r="E415" s="425">
        <f t="shared" si="167"/>
        <v>4061</v>
      </c>
      <c r="F415" s="429"/>
      <c r="G415" s="425">
        <f t="shared" si="168"/>
        <v>0</v>
      </c>
      <c r="H415" s="425">
        <v>0</v>
      </c>
      <c r="I415" s="415">
        <f t="shared" si="169"/>
        <v>11.16</v>
      </c>
      <c r="J415" s="415">
        <f t="shared" si="170"/>
        <v>1.129999999999999</v>
      </c>
      <c r="K415" s="416">
        <f t="shared" si="185"/>
        <v>45320.76</v>
      </c>
      <c r="L415" s="430"/>
      <c r="M415" s="430"/>
      <c r="N415" s="186">
        <f t="shared" si="163"/>
        <v>45320.76</v>
      </c>
      <c r="O415" s="431">
        <f t="shared" si="171"/>
        <v>0</v>
      </c>
      <c r="P415" s="417">
        <f t="shared" si="186"/>
        <v>0</v>
      </c>
      <c r="Q415" s="186">
        <f t="shared" si="172"/>
        <v>0</v>
      </c>
      <c r="R415" s="186">
        <f t="shared" si="173"/>
        <v>0</v>
      </c>
      <c r="S415" s="186">
        <f t="shared" si="174"/>
        <v>0</v>
      </c>
      <c r="T415" s="186">
        <f t="shared" si="175"/>
        <v>0</v>
      </c>
      <c r="U415" s="186">
        <f t="shared" si="176"/>
        <v>0</v>
      </c>
      <c r="V415" s="418">
        <f t="shared" si="177"/>
        <v>45320.76</v>
      </c>
      <c r="W415" s="418">
        <f t="shared" si="178"/>
        <v>-45320.76</v>
      </c>
      <c r="X415" s="41"/>
      <c r="Y415" s="418">
        <f t="shared" si="181"/>
        <v>4588.93</v>
      </c>
      <c r="Z415" s="418">
        <f t="shared" si="182"/>
        <v>-4588.93</v>
      </c>
      <c r="AA415" s="11">
        <f t="shared" si="184"/>
        <v>0.34</v>
      </c>
      <c r="AB415" s="9">
        <f t="shared" si="187"/>
        <v>1380.74</v>
      </c>
      <c r="AC415" s="41"/>
      <c r="AD415" s="427">
        <f>IF(AH415&gt;AH414,AD414,IF(AD414&lt;MiscData!$F$1,EOMONTH(AD414,1),EOMONTH(AD414,-11)))</f>
        <v>42521</v>
      </c>
      <c r="AE415" s="414" t="str">
        <f t="shared" si="179"/>
        <v>20140101KUUM_468</v>
      </c>
      <c r="AF415" s="466" t="str">
        <f t="shared" si="180"/>
        <v>20140101LS</v>
      </c>
      <c r="AG415" s="467"/>
      <c r="AH415" s="41">
        <f>IF(AH414=MiscData!$AB$91,1,AH414+1)</f>
        <v>62</v>
      </c>
      <c r="AI415">
        <f>IF(AD415&lt;=MiscData!$B$23,MiscData!$C$23,IF(AD415&lt;=MiscData!$B$24,MiscData!$C$24,MiscData!$C$25))</f>
        <v>20140101</v>
      </c>
      <c r="AJ415" s="41"/>
      <c r="AK415" s="468" t="str">
        <f>VLOOKUP(AM415,MiscData!$AB$4:$ACB$113,2,FALSE)</f>
        <v>KUUM_468</v>
      </c>
      <c r="AL415" s="468" t="str">
        <f>VLOOKUP(AM415,MiscData!$AB$4:$AE$115,4,FALSE)</f>
        <v>LS</v>
      </c>
      <c r="AM415" s="469">
        <f>IF(AM414=MiscData!$AB$91,1,AM414+1)</f>
        <v>62</v>
      </c>
    </row>
    <row r="416" spans="1:39">
      <c r="A416" s="413">
        <f t="shared" si="183"/>
        <v>415</v>
      </c>
      <c r="B416" s="427" t="str">
        <f t="shared" si="164"/>
        <v>May 2016</v>
      </c>
      <c r="C416" s="428" t="str">
        <f t="shared" si="165"/>
        <v>RLS</v>
      </c>
      <c r="D416" s="428" t="str">
        <f t="shared" si="166"/>
        <v>KUUM_469</v>
      </c>
      <c r="E416" s="425">
        <f t="shared" si="167"/>
        <v>296</v>
      </c>
      <c r="F416" s="429"/>
      <c r="G416" s="425">
        <f t="shared" si="168"/>
        <v>0</v>
      </c>
      <c r="H416" s="425">
        <v>0</v>
      </c>
      <c r="I416" s="415">
        <f t="shared" si="169"/>
        <v>33.100000000000009</v>
      </c>
      <c r="J416" s="415">
        <f t="shared" si="170"/>
        <v>4.2900000000000063</v>
      </c>
      <c r="K416" s="416">
        <f t="shared" si="185"/>
        <v>9797.6</v>
      </c>
      <c r="L416" s="430"/>
      <c r="M416" s="430"/>
      <c r="N416" s="186">
        <f t="shared" si="163"/>
        <v>9797.6</v>
      </c>
      <c r="O416" s="431">
        <f t="shared" si="171"/>
        <v>0</v>
      </c>
      <c r="P416" s="417">
        <f t="shared" si="186"/>
        <v>0</v>
      </c>
      <c r="Q416" s="186">
        <f t="shared" si="172"/>
        <v>0</v>
      </c>
      <c r="R416" s="186">
        <f t="shared" si="173"/>
        <v>0</v>
      </c>
      <c r="S416" s="186">
        <f t="shared" si="174"/>
        <v>0</v>
      </c>
      <c r="T416" s="186">
        <f t="shared" si="175"/>
        <v>0</v>
      </c>
      <c r="U416" s="186">
        <f t="shared" si="176"/>
        <v>0</v>
      </c>
      <c r="V416" s="418">
        <f t="shared" si="177"/>
        <v>9797.6</v>
      </c>
      <c r="W416" s="418">
        <f t="shared" si="178"/>
        <v>-9797.6</v>
      </c>
      <c r="X416" s="41"/>
      <c r="Y416" s="418">
        <f t="shared" si="181"/>
        <v>1269.8399999999999</v>
      </c>
      <c r="Z416" s="418">
        <f t="shared" si="182"/>
        <v>-1269.8399999999999</v>
      </c>
      <c r="AA416" s="11">
        <f t="shared" si="184"/>
        <v>0.84</v>
      </c>
      <c r="AB416" s="9">
        <f t="shared" si="187"/>
        <v>248.64</v>
      </c>
      <c r="AC416" s="41"/>
      <c r="AD416" s="427">
        <f>IF(AH416&gt;AH415,AD415,IF(AD415&lt;MiscData!$F$1,EOMONTH(AD415,1),EOMONTH(AD415,-11)))</f>
        <v>42521</v>
      </c>
      <c r="AE416" s="414" t="str">
        <f t="shared" si="179"/>
        <v>20140101KUUM_469</v>
      </c>
      <c r="AF416" s="466" t="str">
        <f t="shared" si="180"/>
        <v>20140101RLS</v>
      </c>
      <c r="AG416" s="467"/>
      <c r="AH416" s="41">
        <f>IF(AH415=MiscData!$AB$91,1,AH415+1)</f>
        <v>63</v>
      </c>
      <c r="AI416">
        <f>IF(AD416&lt;=MiscData!$B$23,MiscData!$C$23,IF(AD416&lt;=MiscData!$B$24,MiscData!$C$24,MiscData!$C$25))</f>
        <v>20140101</v>
      </c>
      <c r="AJ416" s="41"/>
      <c r="AK416" s="468" t="str">
        <f>VLOOKUP(AM416,MiscData!$AB$4:$ACB$113,2,FALSE)</f>
        <v>KUUM_469</v>
      </c>
      <c r="AL416" s="468" t="str">
        <f>VLOOKUP(AM416,MiscData!$AB$4:$AE$115,4,FALSE)</f>
        <v>RLS</v>
      </c>
      <c r="AM416" s="469">
        <f>IF(AM415=MiscData!$AB$91,1,AM415+1)</f>
        <v>63</v>
      </c>
    </row>
    <row r="417" spans="1:39">
      <c r="A417" s="413">
        <f t="shared" si="183"/>
        <v>416</v>
      </c>
      <c r="B417" s="427" t="str">
        <f t="shared" si="164"/>
        <v>May 2016</v>
      </c>
      <c r="C417" s="428" t="str">
        <f t="shared" si="165"/>
        <v>RLS</v>
      </c>
      <c r="D417" s="428" t="str">
        <f t="shared" si="166"/>
        <v>KUUM_470</v>
      </c>
      <c r="E417" s="425">
        <f t="shared" si="167"/>
        <v>61</v>
      </c>
      <c r="F417" s="429"/>
      <c r="G417" s="425">
        <f t="shared" si="168"/>
        <v>0</v>
      </c>
      <c r="H417" s="425">
        <v>0</v>
      </c>
      <c r="I417" s="415">
        <f t="shared" si="169"/>
        <v>55.250000000000007</v>
      </c>
      <c r="J417" s="415">
        <f t="shared" si="170"/>
        <v>10.410000000000004</v>
      </c>
      <c r="K417" s="416">
        <f t="shared" si="185"/>
        <v>3370.25</v>
      </c>
      <c r="L417" s="430"/>
      <c r="M417" s="430"/>
      <c r="N417" s="186">
        <f t="shared" si="163"/>
        <v>3370.25</v>
      </c>
      <c r="O417" s="431">
        <f t="shared" si="171"/>
        <v>0</v>
      </c>
      <c r="P417" s="417">
        <f t="shared" si="186"/>
        <v>0</v>
      </c>
      <c r="Q417" s="186">
        <f t="shared" si="172"/>
        <v>0</v>
      </c>
      <c r="R417" s="186">
        <f t="shared" si="173"/>
        <v>0</v>
      </c>
      <c r="S417" s="186">
        <f t="shared" si="174"/>
        <v>0</v>
      </c>
      <c r="T417" s="186">
        <f t="shared" si="175"/>
        <v>0</v>
      </c>
      <c r="U417" s="186">
        <f t="shared" si="176"/>
        <v>0</v>
      </c>
      <c r="V417" s="418">
        <f t="shared" si="177"/>
        <v>3370.25</v>
      </c>
      <c r="W417" s="418">
        <f t="shared" si="178"/>
        <v>-3370.25</v>
      </c>
      <c r="X417" s="41"/>
      <c r="Y417" s="418">
        <f t="shared" si="181"/>
        <v>635.01</v>
      </c>
      <c r="Z417" s="418">
        <f t="shared" si="182"/>
        <v>-635.01</v>
      </c>
      <c r="AA417" s="11">
        <f t="shared" si="184"/>
        <v>1.7</v>
      </c>
      <c r="AB417" s="9">
        <f t="shared" si="187"/>
        <v>103.7</v>
      </c>
      <c r="AC417" s="41"/>
      <c r="AD417" s="427">
        <f>IF(AH417&gt;AH416,AD416,IF(AD416&lt;MiscData!$F$1,EOMONTH(AD416,1),EOMONTH(AD416,-11)))</f>
        <v>42521</v>
      </c>
      <c r="AE417" s="414" t="str">
        <f t="shared" si="179"/>
        <v>20140101KUUM_470</v>
      </c>
      <c r="AF417" s="466" t="str">
        <f t="shared" si="180"/>
        <v>20140101RLS</v>
      </c>
      <c r="AG417" s="467"/>
      <c r="AH417" s="41">
        <f>IF(AH416=MiscData!$AB$91,1,AH416+1)</f>
        <v>64</v>
      </c>
      <c r="AI417">
        <f>IF(AD417&lt;=MiscData!$B$23,MiscData!$C$23,IF(AD417&lt;=MiscData!$B$24,MiscData!$C$24,MiscData!$C$25))</f>
        <v>20140101</v>
      </c>
      <c r="AJ417" s="41"/>
      <c r="AK417" s="468" t="str">
        <f>VLOOKUP(AM417,MiscData!$AB$4:$ACB$113,2,FALSE)</f>
        <v>KUUM_470</v>
      </c>
      <c r="AL417" s="468" t="str">
        <f>VLOOKUP(AM417,MiscData!$AB$4:$AE$115,4,FALSE)</f>
        <v>RLS</v>
      </c>
      <c r="AM417" s="469">
        <f>IF(AM416=MiscData!$AB$91,1,AM416+1)</f>
        <v>64</v>
      </c>
    </row>
    <row r="418" spans="1:39">
      <c r="A418" s="413">
        <f t="shared" si="183"/>
        <v>417</v>
      </c>
      <c r="B418" s="427" t="str">
        <f t="shared" si="164"/>
        <v>May 2016</v>
      </c>
      <c r="C418" s="428" t="str">
        <f t="shared" si="165"/>
        <v>RLS</v>
      </c>
      <c r="D418" s="428" t="str">
        <f t="shared" si="166"/>
        <v>KUUM_471</v>
      </c>
      <c r="E418" s="425">
        <f t="shared" si="167"/>
        <v>3695</v>
      </c>
      <c r="F418" s="429"/>
      <c r="G418" s="425">
        <f t="shared" si="168"/>
        <v>0</v>
      </c>
      <c r="H418" s="425">
        <v>0</v>
      </c>
      <c r="I418" s="415">
        <f t="shared" si="169"/>
        <v>10.49</v>
      </c>
      <c r="J418" s="415">
        <f t="shared" si="170"/>
        <v>0.56999999999999851</v>
      </c>
      <c r="K418" s="416">
        <f t="shared" si="185"/>
        <v>38760.550000000003</v>
      </c>
      <c r="L418" s="430"/>
      <c r="M418" s="430"/>
      <c r="N418" s="186">
        <f t="shared" si="163"/>
        <v>38760.550000000003</v>
      </c>
      <c r="O418" s="431">
        <f t="shared" si="171"/>
        <v>0</v>
      </c>
      <c r="P418" s="417">
        <f t="shared" si="186"/>
        <v>0</v>
      </c>
      <c r="Q418" s="186">
        <f t="shared" si="172"/>
        <v>0</v>
      </c>
      <c r="R418" s="186">
        <f t="shared" si="173"/>
        <v>0</v>
      </c>
      <c r="S418" s="186">
        <f t="shared" si="174"/>
        <v>0</v>
      </c>
      <c r="T418" s="186">
        <f t="shared" si="175"/>
        <v>0</v>
      </c>
      <c r="U418" s="186">
        <f t="shared" si="176"/>
        <v>0</v>
      </c>
      <c r="V418" s="418">
        <f t="shared" si="177"/>
        <v>38760.550000000003</v>
      </c>
      <c r="W418" s="418">
        <f t="shared" si="178"/>
        <v>-38760.550000000003</v>
      </c>
      <c r="X418" s="41"/>
      <c r="Y418" s="418">
        <f t="shared" si="181"/>
        <v>2106.15</v>
      </c>
      <c r="Z418" s="418">
        <f t="shared" si="182"/>
        <v>-2106.15</v>
      </c>
      <c r="AA418" s="11">
        <f t="shared" si="184"/>
        <v>0.33</v>
      </c>
      <c r="AB418" s="9">
        <f t="shared" si="187"/>
        <v>1219.3500000000001</v>
      </c>
      <c r="AC418" s="41"/>
      <c r="AD418" s="427">
        <f>IF(AH418&gt;AH417,AD417,IF(AD417&lt;MiscData!$F$1,EOMONTH(AD417,1),EOMONTH(AD417,-11)))</f>
        <v>42521</v>
      </c>
      <c r="AE418" s="414" t="str">
        <f t="shared" si="179"/>
        <v>20140101KUUM_471</v>
      </c>
      <c r="AF418" s="466" t="str">
        <f t="shared" si="180"/>
        <v>20140101RLS</v>
      </c>
      <c r="AG418" s="467"/>
      <c r="AH418" s="41">
        <f>IF(AH417=MiscData!$AB$91,1,AH417+1)</f>
        <v>65</v>
      </c>
      <c r="AI418">
        <f>IF(AD418&lt;=MiscData!$B$23,MiscData!$C$23,IF(AD418&lt;=MiscData!$B$24,MiscData!$C$24,MiscData!$C$25))</f>
        <v>20140101</v>
      </c>
      <c r="AJ418" s="41"/>
      <c r="AK418" s="468" t="str">
        <f>VLOOKUP(AM418,MiscData!$AB$4:$ACB$113,2,FALSE)</f>
        <v>KUUM_471</v>
      </c>
      <c r="AL418" s="468" t="str">
        <f>VLOOKUP(AM418,MiscData!$AB$4:$AE$115,4,FALSE)</f>
        <v>RLS</v>
      </c>
      <c r="AM418" s="469">
        <f>IF(AM417=MiscData!$AB$91,1,AM417+1)</f>
        <v>65</v>
      </c>
    </row>
    <row r="419" spans="1:39">
      <c r="A419" s="413">
        <f t="shared" si="183"/>
        <v>418</v>
      </c>
      <c r="B419" s="427" t="str">
        <f t="shared" si="164"/>
        <v>May 2016</v>
      </c>
      <c r="C419" s="428" t="str">
        <f t="shared" si="165"/>
        <v>LS</v>
      </c>
      <c r="D419" s="428" t="str">
        <f t="shared" si="166"/>
        <v>KUUM_472</v>
      </c>
      <c r="E419" s="425">
        <f t="shared" si="167"/>
        <v>8811</v>
      </c>
      <c r="F419" s="429"/>
      <c r="G419" s="425">
        <f t="shared" si="168"/>
        <v>0</v>
      </c>
      <c r="H419" s="425">
        <v>0</v>
      </c>
      <c r="I419" s="415">
        <f t="shared" si="169"/>
        <v>11.600000000000001</v>
      </c>
      <c r="J419" s="415">
        <f t="shared" si="170"/>
        <v>0.80000000000000071</v>
      </c>
      <c r="K419" s="416">
        <f t="shared" si="185"/>
        <v>102207.6</v>
      </c>
      <c r="L419" s="430"/>
      <c r="M419" s="430"/>
      <c r="N419" s="186">
        <f t="shared" si="163"/>
        <v>102207.6</v>
      </c>
      <c r="O419" s="431">
        <f t="shared" si="171"/>
        <v>0</v>
      </c>
      <c r="P419" s="417">
        <f t="shared" si="186"/>
        <v>0</v>
      </c>
      <c r="Q419" s="186">
        <f t="shared" si="172"/>
        <v>0</v>
      </c>
      <c r="R419" s="186">
        <f t="shared" si="173"/>
        <v>0</v>
      </c>
      <c r="S419" s="186">
        <f t="shared" si="174"/>
        <v>0</v>
      </c>
      <c r="T419" s="186">
        <f t="shared" si="175"/>
        <v>0</v>
      </c>
      <c r="U419" s="186">
        <f t="shared" si="176"/>
        <v>0</v>
      </c>
      <c r="V419" s="418">
        <f t="shared" si="177"/>
        <v>102207.6</v>
      </c>
      <c r="W419" s="418">
        <f t="shared" si="178"/>
        <v>-102207.6</v>
      </c>
      <c r="X419" s="41"/>
      <c r="Y419" s="418">
        <f t="shared" si="181"/>
        <v>7048.8</v>
      </c>
      <c r="Z419" s="418">
        <f t="shared" si="182"/>
        <v>-7048.8</v>
      </c>
      <c r="AA419" s="11">
        <f t="shared" si="184"/>
        <v>0.43</v>
      </c>
      <c r="AB419" s="9">
        <f t="shared" si="187"/>
        <v>3788.73</v>
      </c>
      <c r="AC419" s="41"/>
      <c r="AD419" s="427">
        <f>IF(AH419&gt;AH418,AD418,IF(AD418&lt;MiscData!$F$1,EOMONTH(AD418,1),EOMONTH(AD418,-11)))</f>
        <v>42521</v>
      </c>
      <c r="AE419" s="414" t="str">
        <f t="shared" si="179"/>
        <v>20140101KUUM_472</v>
      </c>
      <c r="AF419" s="466" t="str">
        <f t="shared" si="180"/>
        <v>20140101LS</v>
      </c>
      <c r="AG419" s="467"/>
      <c r="AH419" s="41">
        <f>IF(AH418=MiscData!$AB$91,1,AH418+1)</f>
        <v>66</v>
      </c>
      <c r="AI419">
        <f>IF(AD419&lt;=MiscData!$B$23,MiscData!$C$23,IF(AD419&lt;=MiscData!$B$24,MiscData!$C$24,MiscData!$C$25))</f>
        <v>20140101</v>
      </c>
      <c r="AJ419" s="41"/>
      <c r="AK419" s="468" t="str">
        <f>VLOOKUP(AM419,MiscData!$AB$4:$ACB$113,2,FALSE)</f>
        <v>KUUM_472</v>
      </c>
      <c r="AL419" s="468" t="str">
        <f>VLOOKUP(AM419,MiscData!$AB$4:$AE$115,4,FALSE)</f>
        <v>LS</v>
      </c>
      <c r="AM419" s="469">
        <f>IF(AM418=MiscData!$AB$91,1,AM418+1)</f>
        <v>66</v>
      </c>
    </row>
    <row r="420" spans="1:39">
      <c r="A420" s="413">
        <f t="shared" si="183"/>
        <v>419</v>
      </c>
      <c r="B420" s="427" t="str">
        <f t="shared" si="164"/>
        <v>May 2016</v>
      </c>
      <c r="C420" s="428" t="str">
        <f t="shared" si="165"/>
        <v>LS</v>
      </c>
      <c r="D420" s="428" t="str">
        <f t="shared" si="166"/>
        <v>KUUM_473</v>
      </c>
      <c r="E420" s="425">
        <f t="shared" si="167"/>
        <v>3418</v>
      </c>
      <c r="F420" s="429"/>
      <c r="G420" s="425">
        <f t="shared" si="168"/>
        <v>0</v>
      </c>
      <c r="H420" s="425">
        <v>0</v>
      </c>
      <c r="I420" s="415">
        <f t="shared" si="169"/>
        <v>12.3</v>
      </c>
      <c r="J420" s="415">
        <f t="shared" si="170"/>
        <v>1.129999999999999</v>
      </c>
      <c r="K420" s="416">
        <f t="shared" si="185"/>
        <v>42041.4</v>
      </c>
      <c r="L420" s="430"/>
      <c r="M420" s="430"/>
      <c r="N420" s="186">
        <f t="shared" si="163"/>
        <v>42041.4</v>
      </c>
      <c r="O420" s="431">
        <f t="shared" si="171"/>
        <v>0</v>
      </c>
      <c r="P420" s="417">
        <f t="shared" si="186"/>
        <v>0</v>
      </c>
      <c r="Q420" s="186">
        <f t="shared" si="172"/>
        <v>0</v>
      </c>
      <c r="R420" s="186">
        <f t="shared" si="173"/>
        <v>0</v>
      </c>
      <c r="S420" s="186">
        <f t="shared" si="174"/>
        <v>0</v>
      </c>
      <c r="T420" s="186">
        <f t="shared" si="175"/>
        <v>0</v>
      </c>
      <c r="U420" s="186">
        <f t="shared" si="176"/>
        <v>0</v>
      </c>
      <c r="V420" s="418">
        <f t="shared" si="177"/>
        <v>42041.4</v>
      </c>
      <c r="W420" s="418">
        <f t="shared" si="178"/>
        <v>-42041.4</v>
      </c>
      <c r="X420" s="41"/>
      <c r="Y420" s="418">
        <f t="shared" si="181"/>
        <v>3862.34</v>
      </c>
      <c r="Z420" s="418">
        <f t="shared" si="182"/>
        <v>-3862.34</v>
      </c>
      <c r="AA420" s="11">
        <f t="shared" si="184"/>
        <v>0.34</v>
      </c>
      <c r="AB420" s="9">
        <f t="shared" si="187"/>
        <v>1162.1200000000001</v>
      </c>
      <c r="AC420" s="41"/>
      <c r="AD420" s="427">
        <f>IF(AH420&gt;AH419,AD419,IF(AD419&lt;MiscData!$F$1,EOMONTH(AD419,1),EOMONTH(AD419,-11)))</f>
        <v>42521</v>
      </c>
      <c r="AE420" s="414" t="str">
        <f t="shared" si="179"/>
        <v>20140101KUUM_473</v>
      </c>
      <c r="AF420" s="466" t="str">
        <f t="shared" si="180"/>
        <v>20140101LS</v>
      </c>
      <c r="AG420" s="467"/>
      <c r="AH420" s="41">
        <f>IF(AH419=MiscData!$AB$91,1,AH419+1)</f>
        <v>67</v>
      </c>
      <c r="AI420">
        <f>IF(AD420&lt;=MiscData!$B$23,MiscData!$C$23,IF(AD420&lt;=MiscData!$B$24,MiscData!$C$24,MiscData!$C$25))</f>
        <v>20140101</v>
      </c>
      <c r="AJ420" s="41"/>
      <c r="AK420" s="468" t="str">
        <f>VLOOKUP(AM420,MiscData!$AB$4:$ACB$113,2,FALSE)</f>
        <v>KUUM_473</v>
      </c>
      <c r="AL420" s="468" t="str">
        <f>VLOOKUP(AM420,MiscData!$AB$4:$AE$115,4,FALSE)</f>
        <v>LS</v>
      </c>
      <c r="AM420" s="469">
        <f>IF(AM419=MiscData!$AB$91,1,AM419+1)</f>
        <v>67</v>
      </c>
    </row>
    <row r="421" spans="1:39">
      <c r="A421" s="413">
        <f t="shared" si="183"/>
        <v>420</v>
      </c>
      <c r="B421" s="427" t="str">
        <f t="shared" si="164"/>
        <v>May 2016</v>
      </c>
      <c r="C421" s="428" t="str">
        <f t="shared" si="165"/>
        <v>LS</v>
      </c>
      <c r="D421" s="428" t="str">
        <f t="shared" si="166"/>
        <v>KUUM_474</v>
      </c>
      <c r="E421" s="425">
        <f t="shared" si="167"/>
        <v>5209</v>
      </c>
      <c r="F421" s="429"/>
      <c r="G421" s="425">
        <f t="shared" si="168"/>
        <v>0</v>
      </c>
      <c r="H421" s="425">
        <v>0</v>
      </c>
      <c r="I421" s="415">
        <f t="shared" si="169"/>
        <v>17.41</v>
      </c>
      <c r="J421" s="415">
        <f t="shared" si="170"/>
        <v>2.33</v>
      </c>
      <c r="K421" s="416">
        <f t="shared" si="185"/>
        <v>90688.69</v>
      </c>
      <c r="L421" s="430"/>
      <c r="M421" s="430"/>
      <c r="N421" s="186">
        <f t="shared" si="163"/>
        <v>90688.69</v>
      </c>
      <c r="O421" s="431">
        <f t="shared" si="171"/>
        <v>0</v>
      </c>
      <c r="P421" s="417">
        <f t="shared" si="186"/>
        <v>0</v>
      </c>
      <c r="Q421" s="186">
        <f t="shared" si="172"/>
        <v>0</v>
      </c>
      <c r="R421" s="186">
        <f t="shared" si="173"/>
        <v>0</v>
      </c>
      <c r="S421" s="186">
        <f t="shared" si="174"/>
        <v>0</v>
      </c>
      <c r="T421" s="186">
        <f t="shared" si="175"/>
        <v>0</v>
      </c>
      <c r="U421" s="186">
        <f t="shared" si="176"/>
        <v>0</v>
      </c>
      <c r="V421" s="418">
        <f t="shared" si="177"/>
        <v>90688.69</v>
      </c>
      <c r="W421" s="418">
        <f t="shared" si="178"/>
        <v>-90688.69</v>
      </c>
      <c r="X421" s="41"/>
      <c r="Y421" s="418">
        <f t="shared" si="181"/>
        <v>12136.97</v>
      </c>
      <c r="Z421" s="418">
        <f t="shared" si="182"/>
        <v>-12136.97</v>
      </c>
      <c r="AA421" s="11">
        <f t="shared" si="184"/>
        <v>0.57999999999999996</v>
      </c>
      <c r="AB421" s="9">
        <f t="shared" si="187"/>
        <v>3021.22</v>
      </c>
      <c r="AC421" s="41"/>
      <c r="AD421" s="427">
        <f>IF(AH421&gt;AH420,AD420,IF(AD420&lt;MiscData!$F$1,EOMONTH(AD420,1),EOMONTH(AD420,-11)))</f>
        <v>42521</v>
      </c>
      <c r="AE421" s="414" t="str">
        <f t="shared" si="179"/>
        <v>20140101KUUM_474</v>
      </c>
      <c r="AF421" s="466" t="str">
        <f t="shared" si="180"/>
        <v>20140101LS</v>
      </c>
      <c r="AG421" s="467"/>
      <c r="AH421" s="41">
        <f>IF(AH420=MiscData!$AB$91,1,AH420+1)</f>
        <v>68</v>
      </c>
      <c r="AI421">
        <f>IF(AD421&lt;=MiscData!$B$23,MiscData!$C$23,IF(AD421&lt;=MiscData!$B$24,MiscData!$C$24,MiscData!$C$25))</f>
        <v>20140101</v>
      </c>
      <c r="AJ421" s="41"/>
      <c r="AK421" s="468" t="str">
        <f>VLOOKUP(AM421,MiscData!$AB$4:$ACB$113,2,FALSE)</f>
        <v>KUUM_474</v>
      </c>
      <c r="AL421" s="468" t="str">
        <f>VLOOKUP(AM421,MiscData!$AB$4:$AE$115,4,FALSE)</f>
        <v>LS</v>
      </c>
      <c r="AM421" s="469">
        <f>IF(AM420=MiscData!$AB$91,1,AM420+1)</f>
        <v>68</v>
      </c>
    </row>
    <row r="422" spans="1:39">
      <c r="A422" s="413">
        <f t="shared" si="183"/>
        <v>421</v>
      </c>
      <c r="B422" s="427" t="str">
        <f t="shared" si="164"/>
        <v>May 2016</v>
      </c>
      <c r="C422" s="428" t="str">
        <f t="shared" si="165"/>
        <v>LS</v>
      </c>
      <c r="D422" s="428" t="str">
        <f t="shared" si="166"/>
        <v>KUUM_475</v>
      </c>
      <c r="E422" s="425">
        <f t="shared" si="167"/>
        <v>519</v>
      </c>
      <c r="F422" s="429"/>
      <c r="G422" s="425">
        <f t="shared" si="168"/>
        <v>0</v>
      </c>
      <c r="H422" s="425">
        <v>0</v>
      </c>
      <c r="I422" s="415">
        <f t="shared" si="169"/>
        <v>24.46</v>
      </c>
      <c r="J422" s="415">
        <f t="shared" si="170"/>
        <v>4.5300000000000011</v>
      </c>
      <c r="K422" s="416">
        <f t="shared" si="185"/>
        <v>12694.74</v>
      </c>
      <c r="L422" s="430"/>
      <c r="M422" s="430"/>
      <c r="N422" s="186">
        <f t="shared" si="163"/>
        <v>12694.74</v>
      </c>
      <c r="O422" s="431">
        <f t="shared" si="171"/>
        <v>0</v>
      </c>
      <c r="P422" s="417">
        <f t="shared" si="186"/>
        <v>0</v>
      </c>
      <c r="Q422" s="186">
        <f t="shared" si="172"/>
        <v>0</v>
      </c>
      <c r="R422" s="186">
        <f t="shared" si="173"/>
        <v>0</v>
      </c>
      <c r="S422" s="186">
        <f t="shared" si="174"/>
        <v>0</v>
      </c>
      <c r="T422" s="186">
        <f t="shared" si="175"/>
        <v>0</v>
      </c>
      <c r="U422" s="186">
        <f t="shared" si="176"/>
        <v>0</v>
      </c>
      <c r="V422" s="418">
        <f t="shared" si="177"/>
        <v>12694.74</v>
      </c>
      <c r="W422" s="418">
        <f t="shared" si="178"/>
        <v>-12694.74</v>
      </c>
      <c r="X422" s="41"/>
      <c r="Y422" s="418">
        <f t="shared" si="181"/>
        <v>2351.0700000000002</v>
      </c>
      <c r="Z422" s="418">
        <f t="shared" si="182"/>
        <v>-2351.0700000000002</v>
      </c>
      <c r="AA422" s="11">
        <f t="shared" si="184"/>
        <v>0.79</v>
      </c>
      <c r="AB422" s="9">
        <f t="shared" si="187"/>
        <v>410.01</v>
      </c>
      <c r="AC422" s="41"/>
      <c r="AD422" s="427">
        <f>IF(AH422&gt;AH421,AD421,IF(AD421&lt;MiscData!$F$1,EOMONTH(AD421,1),EOMONTH(AD421,-11)))</f>
        <v>42521</v>
      </c>
      <c r="AE422" s="414" t="str">
        <f t="shared" si="179"/>
        <v>20140101KUUM_475</v>
      </c>
      <c r="AF422" s="466" t="str">
        <f t="shared" si="180"/>
        <v>20140101LS</v>
      </c>
      <c r="AG422" s="467"/>
      <c r="AH422" s="41">
        <f>IF(AH421=MiscData!$AB$91,1,AH421+1)</f>
        <v>69</v>
      </c>
      <c r="AI422">
        <f>IF(AD422&lt;=MiscData!$B$23,MiscData!$C$23,IF(AD422&lt;=MiscData!$B$24,MiscData!$C$24,MiscData!$C$25))</f>
        <v>20140101</v>
      </c>
      <c r="AJ422" s="41"/>
      <c r="AK422" s="468" t="str">
        <f>VLOOKUP(AM422,MiscData!$AB$4:$ACB$113,2,FALSE)</f>
        <v>KUUM_475</v>
      </c>
      <c r="AL422" s="468" t="str">
        <f>VLOOKUP(AM422,MiscData!$AB$4:$AE$115,4,FALSE)</f>
        <v>LS</v>
      </c>
      <c r="AM422" s="469">
        <f>IF(AM421=MiscData!$AB$91,1,AM421+1)</f>
        <v>69</v>
      </c>
    </row>
    <row r="423" spans="1:39">
      <c r="A423" s="413">
        <f t="shared" si="183"/>
        <v>422</v>
      </c>
      <c r="B423" s="427" t="str">
        <f t="shared" si="164"/>
        <v>May 2016</v>
      </c>
      <c r="C423" s="428" t="str">
        <f t="shared" si="165"/>
        <v>LS</v>
      </c>
      <c r="D423" s="428" t="str">
        <f t="shared" si="166"/>
        <v>KUUM_476</v>
      </c>
      <c r="E423" s="425">
        <f t="shared" si="167"/>
        <v>4601</v>
      </c>
      <c r="F423" s="429"/>
      <c r="G423" s="425">
        <f t="shared" si="168"/>
        <v>0</v>
      </c>
      <c r="H423" s="425">
        <v>0</v>
      </c>
      <c r="I423" s="415">
        <f t="shared" si="169"/>
        <v>16.79</v>
      </c>
      <c r="J423" s="415">
        <f t="shared" si="170"/>
        <v>0.79999999999999893</v>
      </c>
      <c r="K423" s="416">
        <f t="shared" si="185"/>
        <v>77250.789999999994</v>
      </c>
      <c r="L423" s="430"/>
      <c r="M423" s="430"/>
      <c r="N423" s="186">
        <f t="shared" si="163"/>
        <v>77250.789999999994</v>
      </c>
      <c r="O423" s="431">
        <f t="shared" si="171"/>
        <v>0</v>
      </c>
      <c r="P423" s="417">
        <f t="shared" si="186"/>
        <v>0</v>
      </c>
      <c r="Q423" s="186">
        <f t="shared" si="172"/>
        <v>0</v>
      </c>
      <c r="R423" s="186">
        <f t="shared" si="173"/>
        <v>0</v>
      </c>
      <c r="S423" s="186">
        <f t="shared" si="174"/>
        <v>0</v>
      </c>
      <c r="T423" s="186">
        <f t="shared" si="175"/>
        <v>0</v>
      </c>
      <c r="U423" s="186">
        <f t="shared" si="176"/>
        <v>0</v>
      </c>
      <c r="V423" s="418">
        <f t="shared" si="177"/>
        <v>77250.789999999994</v>
      </c>
      <c r="W423" s="418">
        <f t="shared" si="178"/>
        <v>-77250.789999999994</v>
      </c>
      <c r="X423" s="41"/>
      <c r="Y423" s="418">
        <f t="shared" si="181"/>
        <v>3680.8</v>
      </c>
      <c r="Z423" s="418">
        <f t="shared" si="182"/>
        <v>-3680.8</v>
      </c>
      <c r="AA423" s="11">
        <f t="shared" si="184"/>
        <v>0.43</v>
      </c>
      <c r="AB423" s="9">
        <f t="shared" si="187"/>
        <v>1978.43</v>
      </c>
      <c r="AC423" s="41"/>
      <c r="AD423" s="427">
        <f>IF(AH423&gt;AH422,AD422,IF(AD422&lt;MiscData!$F$1,EOMONTH(AD422,1),EOMONTH(AD422,-11)))</f>
        <v>42521</v>
      </c>
      <c r="AE423" s="414" t="str">
        <f t="shared" si="179"/>
        <v>20140101KUUM_476</v>
      </c>
      <c r="AF423" s="466" t="str">
        <f t="shared" si="180"/>
        <v>20140101LS</v>
      </c>
      <c r="AG423" s="467"/>
      <c r="AH423" s="41">
        <f>IF(AH422=MiscData!$AB$91,1,AH422+1)</f>
        <v>70</v>
      </c>
      <c r="AI423">
        <f>IF(AD423&lt;=MiscData!$B$23,MiscData!$C$23,IF(AD423&lt;=MiscData!$B$24,MiscData!$C$24,MiscData!$C$25))</f>
        <v>20140101</v>
      </c>
      <c r="AJ423" s="41"/>
      <c r="AK423" s="468" t="str">
        <f>VLOOKUP(AM423,MiscData!$AB$4:$ACB$113,2,FALSE)</f>
        <v>KUUM_476</v>
      </c>
      <c r="AL423" s="468" t="str">
        <f>VLOOKUP(AM423,MiscData!$AB$4:$AE$115,4,FALSE)</f>
        <v>LS</v>
      </c>
      <c r="AM423" s="469">
        <f>IF(AM422=MiscData!$AB$91,1,AM422+1)</f>
        <v>70</v>
      </c>
    </row>
    <row r="424" spans="1:39">
      <c r="A424" s="413">
        <f t="shared" si="183"/>
        <v>423</v>
      </c>
      <c r="B424" s="427" t="str">
        <f t="shared" si="164"/>
        <v>May 2016</v>
      </c>
      <c r="C424" s="428" t="str">
        <f t="shared" si="165"/>
        <v>LS</v>
      </c>
      <c r="D424" s="428" t="str">
        <f t="shared" si="166"/>
        <v>KUUM_477</v>
      </c>
      <c r="E424" s="425">
        <f t="shared" si="167"/>
        <v>1060</v>
      </c>
      <c r="F424" s="429"/>
      <c r="G424" s="425">
        <f t="shared" si="168"/>
        <v>0</v>
      </c>
      <c r="H424" s="425">
        <v>-50</v>
      </c>
      <c r="I424" s="415">
        <f t="shared" si="169"/>
        <v>20.97</v>
      </c>
      <c r="J424" s="415">
        <f t="shared" si="170"/>
        <v>1.129999999999999</v>
      </c>
      <c r="K424" s="416">
        <f t="shared" si="185"/>
        <v>22228.2</v>
      </c>
      <c r="L424" s="430"/>
      <c r="M424" s="430"/>
      <c r="N424" s="186">
        <f t="shared" si="163"/>
        <v>22228.2</v>
      </c>
      <c r="O424" s="431">
        <f t="shared" si="171"/>
        <v>0</v>
      </c>
      <c r="P424" s="417">
        <f t="shared" si="186"/>
        <v>0</v>
      </c>
      <c r="Q424" s="186">
        <f t="shared" si="172"/>
        <v>0</v>
      </c>
      <c r="R424" s="186">
        <f t="shared" si="173"/>
        <v>0</v>
      </c>
      <c r="S424" s="186">
        <f t="shared" si="174"/>
        <v>0</v>
      </c>
      <c r="T424" s="186">
        <f t="shared" si="175"/>
        <v>0</v>
      </c>
      <c r="U424" s="186">
        <f t="shared" si="176"/>
        <v>0</v>
      </c>
      <c r="V424" s="418">
        <f t="shared" si="177"/>
        <v>22228.2</v>
      </c>
      <c r="W424" s="418">
        <f t="shared" si="178"/>
        <v>-22228.2</v>
      </c>
      <c r="X424" s="41"/>
      <c r="Y424" s="418">
        <f t="shared" si="181"/>
        <v>1197.8</v>
      </c>
      <c r="Z424" s="418">
        <f t="shared" si="182"/>
        <v>-1197.8</v>
      </c>
      <c r="AA424" s="11">
        <f t="shared" si="184"/>
        <v>0.34</v>
      </c>
      <c r="AB424" s="9">
        <f t="shared" si="187"/>
        <v>360.40000000000003</v>
      </c>
      <c r="AC424" s="41"/>
      <c r="AD424" s="427">
        <f>IF(AH424&gt;AH423,AD423,IF(AD423&lt;MiscData!$F$1,EOMONTH(AD423,1),EOMONTH(AD423,-11)))</f>
        <v>42521</v>
      </c>
      <c r="AE424" s="414" t="str">
        <f t="shared" si="179"/>
        <v>20140101KUUM_477</v>
      </c>
      <c r="AF424" s="466" t="str">
        <f t="shared" si="180"/>
        <v>20140101LS</v>
      </c>
      <c r="AG424" s="467"/>
      <c r="AH424" s="41">
        <f>IF(AH423=MiscData!$AB$91,1,AH423+1)</f>
        <v>71</v>
      </c>
      <c r="AI424">
        <f>IF(AD424&lt;=MiscData!$B$23,MiscData!$C$23,IF(AD424&lt;=MiscData!$B$24,MiscData!$C$24,MiscData!$C$25))</f>
        <v>20140101</v>
      </c>
      <c r="AJ424" s="41"/>
      <c r="AK424" s="468" t="str">
        <f>VLOOKUP(AM424,MiscData!$AB$4:$ACB$113,2,FALSE)</f>
        <v>KUUM_477</v>
      </c>
      <c r="AL424" s="468" t="str">
        <f>VLOOKUP(AM424,MiscData!$AB$4:$AE$115,4,FALSE)</f>
        <v>LS</v>
      </c>
      <c r="AM424" s="469">
        <f>IF(AM423=MiscData!$AB$91,1,AM423+1)</f>
        <v>71</v>
      </c>
    </row>
    <row r="425" spans="1:39">
      <c r="A425" s="413">
        <f t="shared" si="183"/>
        <v>424</v>
      </c>
      <c r="B425" s="427" t="str">
        <f t="shared" si="164"/>
        <v>May 2016</v>
      </c>
      <c r="C425" s="428" t="str">
        <f t="shared" si="165"/>
        <v>LS</v>
      </c>
      <c r="D425" s="428" t="str">
        <f t="shared" si="166"/>
        <v>KUUM_478</v>
      </c>
      <c r="E425" s="425">
        <f t="shared" si="167"/>
        <v>1423</v>
      </c>
      <c r="F425" s="429"/>
      <c r="G425" s="425">
        <f t="shared" si="168"/>
        <v>0</v>
      </c>
      <c r="H425" s="425">
        <v>0</v>
      </c>
      <c r="I425" s="415">
        <f t="shared" si="169"/>
        <v>26.86</v>
      </c>
      <c r="J425" s="415">
        <f t="shared" si="170"/>
        <v>2.3299999999999983</v>
      </c>
      <c r="K425" s="416">
        <f t="shared" si="185"/>
        <v>38221.78</v>
      </c>
      <c r="L425" s="430"/>
      <c r="M425" s="430"/>
      <c r="N425" s="186">
        <f t="shared" si="163"/>
        <v>38221.78</v>
      </c>
      <c r="O425" s="431">
        <f t="shared" si="171"/>
        <v>0</v>
      </c>
      <c r="P425" s="417">
        <f t="shared" si="186"/>
        <v>0</v>
      </c>
      <c r="Q425" s="186">
        <f t="shared" si="172"/>
        <v>0</v>
      </c>
      <c r="R425" s="186">
        <f t="shared" si="173"/>
        <v>0</v>
      </c>
      <c r="S425" s="186">
        <f t="shared" si="174"/>
        <v>0</v>
      </c>
      <c r="T425" s="186">
        <f t="shared" si="175"/>
        <v>0</v>
      </c>
      <c r="U425" s="186">
        <f t="shared" si="176"/>
        <v>0</v>
      </c>
      <c r="V425" s="418">
        <f t="shared" si="177"/>
        <v>38221.78</v>
      </c>
      <c r="W425" s="418">
        <f t="shared" si="178"/>
        <v>-38221.78</v>
      </c>
      <c r="X425" s="41"/>
      <c r="Y425" s="418">
        <f t="shared" si="181"/>
        <v>3315.59</v>
      </c>
      <c r="Z425" s="418">
        <f t="shared" si="182"/>
        <v>-3315.59</v>
      </c>
      <c r="AA425" s="11">
        <f t="shared" si="184"/>
        <v>0.57999999999999996</v>
      </c>
      <c r="AB425" s="9">
        <f t="shared" si="187"/>
        <v>825.33999999999992</v>
      </c>
      <c r="AC425" s="41"/>
      <c r="AD425" s="427">
        <f>IF(AH425&gt;AH424,AD424,IF(AD424&lt;MiscData!$F$1,EOMONTH(AD424,1),EOMONTH(AD424,-11)))</f>
        <v>42521</v>
      </c>
      <c r="AE425" s="414" t="str">
        <f t="shared" si="179"/>
        <v>20140101KUUM_478</v>
      </c>
      <c r="AF425" s="466" t="str">
        <f t="shared" si="180"/>
        <v>20140101LS</v>
      </c>
      <c r="AG425" s="467"/>
      <c r="AH425" s="41">
        <f>IF(AH424=MiscData!$AB$91,1,AH424+1)</f>
        <v>72</v>
      </c>
      <c r="AI425">
        <f>IF(AD425&lt;=MiscData!$B$23,MiscData!$C$23,IF(AD425&lt;=MiscData!$B$24,MiscData!$C$24,MiscData!$C$25))</f>
        <v>20140101</v>
      </c>
      <c r="AJ425" s="41"/>
      <c r="AK425" s="468" t="str">
        <f>VLOOKUP(AM425,MiscData!$AB$4:$ACB$113,2,FALSE)</f>
        <v>KUUM_478</v>
      </c>
      <c r="AL425" s="468" t="str">
        <f>VLOOKUP(AM425,MiscData!$AB$4:$AE$115,4,FALSE)</f>
        <v>LS</v>
      </c>
      <c r="AM425" s="469">
        <f>IF(AM424=MiscData!$AB$91,1,AM424+1)</f>
        <v>72</v>
      </c>
    </row>
    <row r="426" spans="1:39">
      <c r="A426" s="413">
        <f t="shared" si="183"/>
        <v>425</v>
      </c>
      <c r="B426" s="427" t="str">
        <f t="shared" si="164"/>
        <v>May 2016</v>
      </c>
      <c r="C426" s="428" t="str">
        <f t="shared" si="165"/>
        <v>LS</v>
      </c>
      <c r="D426" s="428" t="str">
        <f t="shared" si="166"/>
        <v>KUUM_479</v>
      </c>
      <c r="E426" s="425">
        <f t="shared" si="167"/>
        <v>956</v>
      </c>
      <c r="F426" s="429"/>
      <c r="G426" s="425">
        <f t="shared" si="168"/>
        <v>0</v>
      </c>
      <c r="H426" s="425">
        <v>0</v>
      </c>
      <c r="I426" s="415">
        <f t="shared" si="169"/>
        <v>33.119999999999997</v>
      </c>
      <c r="J426" s="415">
        <f t="shared" si="170"/>
        <v>4.529999999999994</v>
      </c>
      <c r="K426" s="416">
        <f t="shared" si="185"/>
        <v>31662.720000000001</v>
      </c>
      <c r="L426" s="430"/>
      <c r="M426" s="430"/>
      <c r="N426" s="186">
        <f t="shared" si="163"/>
        <v>31662.720000000001</v>
      </c>
      <c r="O426" s="431">
        <f t="shared" si="171"/>
        <v>0</v>
      </c>
      <c r="P426" s="417">
        <f t="shared" si="186"/>
        <v>0</v>
      </c>
      <c r="Q426" s="186">
        <f t="shared" si="172"/>
        <v>0</v>
      </c>
      <c r="R426" s="186">
        <f t="shared" si="173"/>
        <v>0</v>
      </c>
      <c r="S426" s="186">
        <f t="shared" si="174"/>
        <v>0</v>
      </c>
      <c r="T426" s="186">
        <f t="shared" si="175"/>
        <v>0</v>
      </c>
      <c r="U426" s="186">
        <f t="shared" si="176"/>
        <v>0</v>
      </c>
      <c r="V426" s="418">
        <f t="shared" si="177"/>
        <v>31662.720000000001</v>
      </c>
      <c r="W426" s="418">
        <f t="shared" si="178"/>
        <v>-31662.720000000001</v>
      </c>
      <c r="X426" s="41"/>
      <c r="Y426" s="418">
        <f t="shared" si="181"/>
        <v>4330.68</v>
      </c>
      <c r="Z426" s="418">
        <f t="shared" si="182"/>
        <v>-4330.68</v>
      </c>
      <c r="AA426" s="11">
        <f t="shared" si="184"/>
        <v>0.79</v>
      </c>
      <c r="AB426" s="9">
        <f t="shared" si="187"/>
        <v>755.24</v>
      </c>
      <c r="AC426" s="41"/>
      <c r="AD426" s="427">
        <f>IF(AH426&gt;AH425,AD425,IF(AD425&lt;MiscData!$F$1,EOMONTH(AD425,1),EOMONTH(AD425,-11)))</f>
        <v>42521</v>
      </c>
      <c r="AE426" s="414" t="str">
        <f t="shared" si="179"/>
        <v>20140101KUUM_479</v>
      </c>
      <c r="AF426" s="466" t="str">
        <f t="shared" si="180"/>
        <v>20140101LS</v>
      </c>
      <c r="AG426" s="467"/>
      <c r="AH426" s="41">
        <f>IF(AH425=MiscData!$AB$91,1,AH425+1)</f>
        <v>73</v>
      </c>
      <c r="AI426">
        <f>IF(AD426&lt;=MiscData!$B$23,MiscData!$C$23,IF(AD426&lt;=MiscData!$B$24,MiscData!$C$24,MiscData!$C$25))</f>
        <v>20140101</v>
      </c>
      <c r="AJ426" s="41"/>
      <c r="AK426" s="468" t="str">
        <f>VLOOKUP(AM426,MiscData!$AB$4:$ACB$113,2,FALSE)</f>
        <v>KUUM_479</v>
      </c>
      <c r="AL426" s="468" t="str">
        <f>VLOOKUP(AM426,MiscData!$AB$4:$AE$115,4,FALSE)</f>
        <v>LS</v>
      </c>
      <c r="AM426" s="469">
        <f>IF(AM425=MiscData!$AB$91,1,AM425+1)</f>
        <v>73</v>
      </c>
    </row>
    <row r="427" spans="1:39">
      <c r="A427" s="413">
        <f t="shared" si="183"/>
        <v>426</v>
      </c>
      <c r="B427" s="427" t="str">
        <f t="shared" si="164"/>
        <v>May 2016</v>
      </c>
      <c r="C427" s="428" t="str">
        <f t="shared" si="165"/>
        <v>LS</v>
      </c>
      <c r="D427" s="428" t="str">
        <f t="shared" si="166"/>
        <v>KUUM_486</v>
      </c>
      <c r="E427" s="425">
        <f t="shared" si="167"/>
        <v>0</v>
      </c>
      <c r="F427" s="429"/>
      <c r="G427" s="425">
        <f t="shared" si="168"/>
        <v>0</v>
      </c>
      <c r="H427" s="425">
        <v>0</v>
      </c>
      <c r="I427" s="415">
        <f t="shared" si="169"/>
        <v>0</v>
      </c>
      <c r="J427" s="415">
        <f t="shared" si="170"/>
        <v>0</v>
      </c>
      <c r="K427" s="416">
        <f t="shared" si="185"/>
        <v>0</v>
      </c>
      <c r="L427" s="430"/>
      <c r="M427" s="430"/>
      <c r="N427" s="186">
        <f t="shared" si="163"/>
        <v>0</v>
      </c>
      <c r="O427" s="431">
        <f t="shared" si="171"/>
        <v>0</v>
      </c>
      <c r="P427" s="417">
        <f t="shared" si="186"/>
        <v>1</v>
      </c>
      <c r="Q427" s="186">
        <f t="shared" si="172"/>
        <v>0</v>
      </c>
      <c r="R427" s="186">
        <f t="shared" si="173"/>
        <v>0</v>
      </c>
      <c r="S427" s="186">
        <f t="shared" si="174"/>
        <v>0</v>
      </c>
      <c r="T427" s="186">
        <f t="shared" si="175"/>
        <v>0</v>
      </c>
      <c r="U427" s="186">
        <f t="shared" si="176"/>
        <v>0</v>
      </c>
      <c r="V427" s="418">
        <f t="shared" si="177"/>
        <v>0</v>
      </c>
      <c r="W427" s="418">
        <f t="shared" si="178"/>
        <v>0</v>
      </c>
      <c r="X427" s="41"/>
      <c r="Y427" s="418">
        <f t="shared" si="181"/>
        <v>0</v>
      </c>
      <c r="Z427" s="418">
        <f t="shared" si="182"/>
        <v>0</v>
      </c>
      <c r="AA427" s="11">
        <f t="shared" si="184"/>
        <v>0</v>
      </c>
      <c r="AB427" s="9">
        <f t="shared" si="187"/>
        <v>0</v>
      </c>
      <c r="AC427" s="41"/>
      <c r="AD427" s="427">
        <f>IF(AH427&gt;AH426,AD426,IF(AD426&lt;MiscData!$F$1,EOMONTH(AD426,1),EOMONTH(AD426,-11)))</f>
        <v>42521</v>
      </c>
      <c r="AE427" s="414" t="str">
        <f t="shared" si="179"/>
        <v>20140101KUUM_486</v>
      </c>
      <c r="AF427" s="466" t="str">
        <f t="shared" si="180"/>
        <v>20140101LS</v>
      </c>
      <c r="AG427" s="467"/>
      <c r="AH427" s="41">
        <f>IF(AH426=MiscData!$AB$91,1,AH426+1)</f>
        <v>74</v>
      </c>
      <c r="AI427">
        <f>IF(AD427&lt;=MiscData!$B$23,MiscData!$C$23,IF(AD427&lt;=MiscData!$B$24,MiscData!$C$24,MiscData!$C$25))</f>
        <v>20140101</v>
      </c>
      <c r="AJ427" s="41"/>
      <c r="AK427" s="468" t="str">
        <f>VLOOKUP(AM427,MiscData!$AB$4:$ACB$113,2,FALSE)</f>
        <v>KUUM_486</v>
      </c>
      <c r="AL427" s="468" t="str">
        <f>VLOOKUP(AM427,MiscData!$AB$4:$AE$115,4,FALSE)</f>
        <v>LS</v>
      </c>
      <c r="AM427" s="469">
        <f>IF(AM426=MiscData!$AB$91,1,AM426+1)</f>
        <v>74</v>
      </c>
    </row>
    <row r="428" spans="1:39">
      <c r="A428" s="413">
        <f t="shared" si="183"/>
        <v>427</v>
      </c>
      <c r="B428" s="427" t="str">
        <f t="shared" si="164"/>
        <v>May 2016</v>
      </c>
      <c r="C428" s="428" t="str">
        <f t="shared" si="165"/>
        <v>LS</v>
      </c>
      <c r="D428" s="428" t="str">
        <f t="shared" si="166"/>
        <v>KUUM_487</v>
      </c>
      <c r="E428" s="425">
        <f t="shared" si="167"/>
        <v>11252</v>
      </c>
      <c r="F428" s="429"/>
      <c r="G428" s="425">
        <f t="shared" si="168"/>
        <v>0</v>
      </c>
      <c r="H428" s="425">
        <v>0</v>
      </c>
      <c r="I428" s="415">
        <f t="shared" si="169"/>
        <v>9</v>
      </c>
      <c r="J428" s="415">
        <f t="shared" si="170"/>
        <v>1.1299999999999999</v>
      </c>
      <c r="K428" s="416">
        <f t="shared" si="185"/>
        <v>101268</v>
      </c>
      <c r="L428" s="430"/>
      <c r="M428" s="430"/>
      <c r="N428" s="186">
        <f t="shared" si="163"/>
        <v>101268</v>
      </c>
      <c r="O428" s="431">
        <f t="shared" si="171"/>
        <v>0</v>
      </c>
      <c r="P428" s="417">
        <f t="shared" si="186"/>
        <v>0</v>
      </c>
      <c r="Q428" s="186">
        <f t="shared" si="172"/>
        <v>0</v>
      </c>
      <c r="R428" s="186">
        <f t="shared" si="173"/>
        <v>0</v>
      </c>
      <c r="S428" s="186">
        <f t="shared" si="174"/>
        <v>0</v>
      </c>
      <c r="T428" s="186">
        <f t="shared" si="175"/>
        <v>0</v>
      </c>
      <c r="U428" s="186">
        <f t="shared" si="176"/>
        <v>0</v>
      </c>
      <c r="V428" s="418">
        <f t="shared" si="177"/>
        <v>101268</v>
      </c>
      <c r="W428" s="418">
        <f t="shared" si="178"/>
        <v>-101268</v>
      </c>
      <c r="X428" s="41"/>
      <c r="Y428" s="418">
        <f t="shared" si="181"/>
        <v>12714.76</v>
      </c>
      <c r="Z428" s="418">
        <f t="shared" si="182"/>
        <v>-12714.76</v>
      </c>
      <c r="AA428" s="11">
        <f t="shared" si="184"/>
        <v>0.34</v>
      </c>
      <c r="AB428" s="9">
        <f t="shared" si="187"/>
        <v>3825.6800000000003</v>
      </c>
      <c r="AC428" s="41"/>
      <c r="AD428" s="427">
        <f>IF(AH428&gt;AH427,AD427,IF(AD427&lt;MiscData!$F$1,EOMONTH(AD427,1),EOMONTH(AD427,-11)))</f>
        <v>42521</v>
      </c>
      <c r="AE428" s="414" t="str">
        <f t="shared" si="179"/>
        <v>20140101KUUM_487</v>
      </c>
      <c r="AF428" s="466" t="str">
        <f t="shared" si="180"/>
        <v>20140101LS</v>
      </c>
      <c r="AG428" s="467"/>
      <c r="AH428" s="41">
        <f>IF(AH427=MiscData!$AB$91,1,AH427+1)</f>
        <v>75</v>
      </c>
      <c r="AI428">
        <f>IF(AD428&lt;=MiscData!$B$23,MiscData!$C$23,IF(AD428&lt;=MiscData!$B$24,MiscData!$C$24,MiscData!$C$25))</f>
        <v>20140101</v>
      </c>
      <c r="AJ428" s="41"/>
      <c r="AK428" s="468" t="str">
        <f>VLOOKUP(AM428,MiscData!$AB$4:$ACB$113,2,FALSE)</f>
        <v>KUUM_487</v>
      </c>
      <c r="AL428" s="468" t="str">
        <f>VLOOKUP(AM428,MiscData!$AB$4:$AE$115,4,FALSE)</f>
        <v>LS</v>
      </c>
      <c r="AM428" s="469">
        <f>IF(AM427=MiscData!$AB$91,1,AM427+1)</f>
        <v>75</v>
      </c>
    </row>
    <row r="429" spans="1:39">
      <c r="A429" s="413">
        <f t="shared" si="183"/>
        <v>428</v>
      </c>
      <c r="B429" s="427" t="str">
        <f t="shared" si="164"/>
        <v>May 2016</v>
      </c>
      <c r="C429" s="428" t="str">
        <f t="shared" si="165"/>
        <v>LS</v>
      </c>
      <c r="D429" s="428" t="str">
        <f t="shared" si="166"/>
        <v>KUUM_488</v>
      </c>
      <c r="E429" s="425">
        <f t="shared" si="167"/>
        <v>6689</v>
      </c>
      <c r="F429" s="429"/>
      <c r="G429" s="425">
        <f t="shared" si="168"/>
        <v>0</v>
      </c>
      <c r="H429" s="425">
        <v>0</v>
      </c>
      <c r="I429" s="415">
        <f t="shared" si="169"/>
        <v>13.639999999999999</v>
      </c>
      <c r="J429" s="415">
        <f t="shared" si="170"/>
        <v>2.33</v>
      </c>
      <c r="K429" s="416">
        <f t="shared" si="185"/>
        <v>91237.96</v>
      </c>
      <c r="L429" s="430"/>
      <c r="M429" s="430"/>
      <c r="N429" s="186">
        <f t="shared" si="163"/>
        <v>91237.96</v>
      </c>
      <c r="O429" s="431">
        <f t="shared" si="171"/>
        <v>0</v>
      </c>
      <c r="P429" s="417">
        <f t="shared" si="186"/>
        <v>0</v>
      </c>
      <c r="Q429" s="186">
        <f t="shared" si="172"/>
        <v>0</v>
      </c>
      <c r="R429" s="186">
        <f t="shared" si="173"/>
        <v>0</v>
      </c>
      <c r="S429" s="186">
        <f t="shared" si="174"/>
        <v>0</v>
      </c>
      <c r="T429" s="186">
        <f t="shared" si="175"/>
        <v>0</v>
      </c>
      <c r="U429" s="186">
        <f t="shared" si="176"/>
        <v>0</v>
      </c>
      <c r="V429" s="418">
        <f t="shared" si="177"/>
        <v>91237.96</v>
      </c>
      <c r="W429" s="418">
        <f t="shared" si="178"/>
        <v>-91237.96</v>
      </c>
      <c r="X429" s="41"/>
      <c r="Y429" s="418">
        <f t="shared" si="181"/>
        <v>15585.37</v>
      </c>
      <c r="Z429" s="418">
        <f t="shared" si="182"/>
        <v>-15585.37</v>
      </c>
      <c r="AA429" s="11">
        <f t="shared" si="184"/>
        <v>0.57999999999999996</v>
      </c>
      <c r="AB429" s="9">
        <f t="shared" si="187"/>
        <v>3879.62</v>
      </c>
      <c r="AC429" s="41"/>
      <c r="AD429" s="427">
        <f>IF(AH429&gt;AH428,AD428,IF(AD428&lt;MiscData!$F$1,EOMONTH(AD428,1),EOMONTH(AD428,-11)))</f>
        <v>42521</v>
      </c>
      <c r="AE429" s="414" t="str">
        <f t="shared" si="179"/>
        <v>20140101KUUM_488</v>
      </c>
      <c r="AF429" s="466" t="str">
        <f t="shared" si="180"/>
        <v>20140101LS</v>
      </c>
      <c r="AG429" s="467"/>
      <c r="AH429" s="41">
        <f>IF(AH428=MiscData!$AB$91,1,AH428+1)</f>
        <v>76</v>
      </c>
      <c r="AI429">
        <f>IF(AD429&lt;=MiscData!$B$23,MiscData!$C$23,IF(AD429&lt;=MiscData!$B$24,MiscData!$C$24,MiscData!$C$25))</f>
        <v>20140101</v>
      </c>
      <c r="AJ429" s="41"/>
      <c r="AK429" s="468" t="str">
        <f>VLOOKUP(AM429,MiscData!$AB$4:$ACB$113,2,FALSE)</f>
        <v>KUUM_488</v>
      </c>
      <c r="AL429" s="468" t="str">
        <f>VLOOKUP(AM429,MiscData!$AB$4:$AE$115,4,FALSE)</f>
        <v>LS</v>
      </c>
      <c r="AM429" s="469">
        <f>IF(AM428=MiscData!$AB$91,1,AM428+1)</f>
        <v>76</v>
      </c>
    </row>
    <row r="430" spans="1:39">
      <c r="A430" s="413">
        <f t="shared" si="183"/>
        <v>429</v>
      </c>
      <c r="B430" s="427" t="str">
        <f t="shared" si="164"/>
        <v>May 2016</v>
      </c>
      <c r="C430" s="428" t="str">
        <f t="shared" si="165"/>
        <v>LS</v>
      </c>
      <c r="D430" s="428" t="str">
        <f t="shared" si="166"/>
        <v>KUUM_489</v>
      </c>
      <c r="E430" s="425">
        <f t="shared" si="167"/>
        <v>8376</v>
      </c>
      <c r="F430" s="429"/>
      <c r="G430" s="425">
        <f t="shared" si="168"/>
        <v>0</v>
      </c>
      <c r="H430" s="425">
        <v>0</v>
      </c>
      <c r="I430" s="415">
        <f t="shared" si="169"/>
        <v>19.46</v>
      </c>
      <c r="J430" s="415">
        <f t="shared" si="170"/>
        <v>4.5300000000000011</v>
      </c>
      <c r="K430" s="416">
        <f t="shared" si="185"/>
        <v>162996.96</v>
      </c>
      <c r="L430" s="430"/>
      <c r="M430" s="430"/>
      <c r="N430" s="186">
        <f t="shared" si="163"/>
        <v>162996.96</v>
      </c>
      <c r="O430" s="431">
        <f t="shared" si="171"/>
        <v>0</v>
      </c>
      <c r="P430" s="417">
        <f t="shared" si="186"/>
        <v>0</v>
      </c>
      <c r="Q430" s="186">
        <f t="shared" si="172"/>
        <v>0</v>
      </c>
      <c r="R430" s="186">
        <f t="shared" si="173"/>
        <v>0</v>
      </c>
      <c r="S430" s="186">
        <f t="shared" si="174"/>
        <v>0</v>
      </c>
      <c r="T430" s="186">
        <f t="shared" si="175"/>
        <v>0</v>
      </c>
      <c r="U430" s="186">
        <f t="shared" si="176"/>
        <v>0</v>
      </c>
      <c r="V430" s="418">
        <f t="shared" si="177"/>
        <v>162996.96</v>
      </c>
      <c r="W430" s="418">
        <f t="shared" si="178"/>
        <v>-162996.96</v>
      </c>
      <c r="X430" s="41"/>
      <c r="Y430" s="418">
        <f t="shared" si="181"/>
        <v>37943.279999999999</v>
      </c>
      <c r="Z430" s="418">
        <f t="shared" si="182"/>
        <v>-37943.279999999999</v>
      </c>
      <c r="AA430" s="11">
        <f t="shared" si="184"/>
        <v>0.79</v>
      </c>
      <c r="AB430" s="9">
        <f t="shared" si="187"/>
        <v>6617.04</v>
      </c>
      <c r="AC430" s="41"/>
      <c r="AD430" s="427">
        <f>IF(AH430&gt;AH429,AD429,IF(AD429&lt;MiscData!$F$1,EOMONTH(AD429,1),EOMONTH(AD429,-11)))</f>
        <v>42521</v>
      </c>
      <c r="AE430" s="414" t="str">
        <f t="shared" si="179"/>
        <v>20140101KUUM_489</v>
      </c>
      <c r="AF430" s="466" t="str">
        <f t="shared" si="180"/>
        <v>20140101LS</v>
      </c>
      <c r="AG430" s="467"/>
      <c r="AH430" s="41">
        <f>IF(AH429=MiscData!$AB$91,1,AH429+1)</f>
        <v>77</v>
      </c>
      <c r="AI430">
        <f>IF(AD430&lt;=MiscData!$B$23,MiscData!$C$23,IF(AD430&lt;=MiscData!$B$24,MiscData!$C$24,MiscData!$C$25))</f>
        <v>20140101</v>
      </c>
      <c r="AJ430" s="41"/>
      <c r="AK430" s="468" t="str">
        <f>VLOOKUP(AM430,MiscData!$AB$4:$ACB$113,2,FALSE)</f>
        <v>KUUM_489</v>
      </c>
      <c r="AL430" s="468" t="str">
        <f>VLOOKUP(AM430,MiscData!$AB$4:$AE$115,4,FALSE)</f>
        <v>LS</v>
      </c>
      <c r="AM430" s="469">
        <f>IF(AM429=MiscData!$AB$91,1,AM429+1)</f>
        <v>77</v>
      </c>
    </row>
    <row r="431" spans="1:39">
      <c r="A431" s="413">
        <f t="shared" si="183"/>
        <v>430</v>
      </c>
      <c r="B431" s="427" t="str">
        <f t="shared" si="164"/>
        <v>May 2016</v>
      </c>
      <c r="C431" s="428" t="str">
        <f t="shared" si="165"/>
        <v>LS</v>
      </c>
      <c r="D431" s="428" t="str">
        <f t="shared" si="166"/>
        <v>KUUM_490</v>
      </c>
      <c r="E431" s="425">
        <f t="shared" si="167"/>
        <v>58</v>
      </c>
      <c r="F431" s="429"/>
      <c r="G431" s="425">
        <f t="shared" si="168"/>
        <v>0</v>
      </c>
      <c r="H431" s="425">
        <v>0</v>
      </c>
      <c r="I431" s="415">
        <f t="shared" si="169"/>
        <v>15.47</v>
      </c>
      <c r="J431" s="415">
        <f t="shared" si="170"/>
        <v>1.9700000000000006</v>
      </c>
      <c r="K431" s="416">
        <f t="shared" si="185"/>
        <v>897.26</v>
      </c>
      <c r="L431" s="430"/>
      <c r="M431" s="430"/>
      <c r="N431" s="186">
        <f t="shared" si="163"/>
        <v>897.26</v>
      </c>
      <c r="O431" s="431">
        <f t="shared" si="171"/>
        <v>0</v>
      </c>
      <c r="P431" s="417">
        <f t="shared" si="186"/>
        <v>0</v>
      </c>
      <c r="Q431" s="186">
        <f t="shared" si="172"/>
        <v>0</v>
      </c>
      <c r="R431" s="186">
        <f t="shared" si="173"/>
        <v>0</v>
      </c>
      <c r="S431" s="186">
        <f t="shared" si="174"/>
        <v>0</v>
      </c>
      <c r="T431" s="186">
        <f t="shared" si="175"/>
        <v>0</v>
      </c>
      <c r="U431" s="186">
        <f t="shared" si="176"/>
        <v>0</v>
      </c>
      <c r="V431" s="418">
        <f t="shared" si="177"/>
        <v>897.26</v>
      </c>
      <c r="W431" s="418">
        <f t="shared" si="178"/>
        <v>-897.26</v>
      </c>
      <c r="X431" s="41"/>
      <c r="Y431" s="418">
        <f t="shared" si="181"/>
        <v>114.26</v>
      </c>
      <c r="Z431" s="418">
        <f t="shared" si="182"/>
        <v>-114.26</v>
      </c>
      <c r="AA431" s="11">
        <f t="shared" si="184"/>
        <v>0.66</v>
      </c>
      <c r="AB431" s="9">
        <f t="shared" si="187"/>
        <v>38.28</v>
      </c>
      <c r="AC431" s="41"/>
      <c r="AD431" s="427">
        <f>IF(AH431&gt;AH430,AD430,IF(AD430&lt;MiscData!$F$1,EOMONTH(AD430,1),EOMONTH(AD430,-11)))</f>
        <v>42521</v>
      </c>
      <c r="AE431" s="414" t="str">
        <f t="shared" si="179"/>
        <v>20140101KUUM_490</v>
      </c>
      <c r="AF431" s="466" t="str">
        <f t="shared" si="180"/>
        <v>20140101LS</v>
      </c>
      <c r="AG431" s="467"/>
      <c r="AH431" s="41">
        <f>IF(AH430=MiscData!$AB$91,1,AH430+1)</f>
        <v>78</v>
      </c>
      <c r="AI431">
        <f>IF(AD431&lt;=MiscData!$B$23,MiscData!$C$23,IF(AD431&lt;=MiscData!$B$24,MiscData!$C$24,MiscData!$C$25))</f>
        <v>20140101</v>
      </c>
      <c r="AJ431" s="41"/>
      <c r="AK431" s="468" t="str">
        <f>VLOOKUP(AM431,MiscData!$AB$4:$ACB$113,2,FALSE)</f>
        <v>KUUM_490</v>
      </c>
      <c r="AL431" s="468" t="str">
        <f>VLOOKUP(AM431,MiscData!$AB$4:$AE$115,4,FALSE)</f>
        <v>LS</v>
      </c>
      <c r="AM431" s="469">
        <f>IF(AM430=MiscData!$AB$91,1,AM430+1)</f>
        <v>78</v>
      </c>
    </row>
    <row r="432" spans="1:39">
      <c r="A432" s="413">
        <f t="shared" si="183"/>
        <v>431</v>
      </c>
      <c r="B432" s="427" t="str">
        <f t="shared" si="164"/>
        <v>May 2016</v>
      </c>
      <c r="C432" s="428" t="str">
        <f t="shared" si="165"/>
        <v>LS</v>
      </c>
      <c r="D432" s="428" t="str">
        <f t="shared" si="166"/>
        <v>KUUM_491</v>
      </c>
      <c r="E432" s="425">
        <f t="shared" si="167"/>
        <v>297</v>
      </c>
      <c r="F432" s="429"/>
      <c r="G432" s="425">
        <f t="shared" si="168"/>
        <v>0</v>
      </c>
      <c r="H432" s="425">
        <v>0</v>
      </c>
      <c r="I432" s="415">
        <f t="shared" si="169"/>
        <v>21.930000000000003</v>
      </c>
      <c r="J432" s="415">
        <f t="shared" si="170"/>
        <v>4.2900000000000027</v>
      </c>
      <c r="K432" s="416">
        <f t="shared" si="185"/>
        <v>6513.21</v>
      </c>
      <c r="L432" s="430"/>
      <c r="M432" s="430"/>
      <c r="N432" s="186">
        <f t="shared" si="163"/>
        <v>6513.21</v>
      </c>
      <c r="O432" s="431">
        <f t="shared" si="171"/>
        <v>0</v>
      </c>
      <c r="P432" s="417">
        <f t="shared" si="186"/>
        <v>0</v>
      </c>
      <c r="Q432" s="186">
        <f t="shared" si="172"/>
        <v>0</v>
      </c>
      <c r="R432" s="186">
        <f t="shared" si="173"/>
        <v>0</v>
      </c>
      <c r="S432" s="186">
        <f t="shared" si="174"/>
        <v>0</v>
      </c>
      <c r="T432" s="186">
        <f t="shared" si="175"/>
        <v>0</v>
      </c>
      <c r="U432" s="186">
        <f t="shared" si="176"/>
        <v>0</v>
      </c>
      <c r="V432" s="418">
        <f t="shared" si="177"/>
        <v>6513.21</v>
      </c>
      <c r="W432" s="418">
        <f t="shared" si="178"/>
        <v>-6513.21</v>
      </c>
      <c r="X432" s="41"/>
      <c r="Y432" s="418">
        <f t="shared" si="181"/>
        <v>1274.1300000000001</v>
      </c>
      <c r="Z432" s="418">
        <f t="shared" si="182"/>
        <v>-1274.1300000000001</v>
      </c>
      <c r="AA432" s="11">
        <f t="shared" si="184"/>
        <v>0.84</v>
      </c>
      <c r="AB432" s="9">
        <f t="shared" si="187"/>
        <v>249.48</v>
      </c>
      <c r="AC432" s="41"/>
      <c r="AD432" s="427">
        <f>IF(AH432&gt;AH431,AD431,IF(AD431&lt;MiscData!$F$1,EOMONTH(AD431,1),EOMONTH(AD431,-11)))</f>
        <v>42521</v>
      </c>
      <c r="AE432" s="414" t="str">
        <f t="shared" si="179"/>
        <v>20140101KUUM_491</v>
      </c>
      <c r="AF432" s="466" t="str">
        <f t="shared" si="180"/>
        <v>20140101LS</v>
      </c>
      <c r="AG432" s="467"/>
      <c r="AH432" s="41">
        <f>IF(AH431=MiscData!$AB$91,1,AH431+1)</f>
        <v>79</v>
      </c>
      <c r="AI432">
        <f>IF(AD432&lt;=MiscData!$B$23,MiscData!$C$23,IF(AD432&lt;=MiscData!$B$24,MiscData!$C$24,MiscData!$C$25))</f>
        <v>20140101</v>
      </c>
      <c r="AJ432" s="41"/>
      <c r="AK432" s="468" t="str">
        <f>VLOOKUP(AM432,MiscData!$AB$4:$ACB$113,2,FALSE)</f>
        <v>KUUM_491</v>
      </c>
      <c r="AL432" s="468" t="str">
        <f>VLOOKUP(AM432,MiscData!$AB$4:$AE$115,4,FALSE)</f>
        <v>LS</v>
      </c>
      <c r="AM432" s="469">
        <f>IF(AM431=MiscData!$AB$91,1,AM431+1)</f>
        <v>79</v>
      </c>
    </row>
    <row r="433" spans="1:39">
      <c r="A433" s="413">
        <f t="shared" si="183"/>
        <v>432</v>
      </c>
      <c r="B433" s="427" t="str">
        <f t="shared" si="164"/>
        <v>May 2016</v>
      </c>
      <c r="C433" s="428" t="str">
        <f t="shared" si="165"/>
        <v>LS</v>
      </c>
      <c r="D433" s="428" t="str">
        <f t="shared" si="166"/>
        <v>KUUM_492</v>
      </c>
      <c r="E433" s="425">
        <f t="shared" si="167"/>
        <v>2</v>
      </c>
      <c r="F433" s="429"/>
      <c r="G433" s="425">
        <f t="shared" si="168"/>
        <v>0</v>
      </c>
      <c r="H433" s="425">
        <v>0</v>
      </c>
      <c r="I433" s="415">
        <f t="shared" si="169"/>
        <v>15.370000000000001</v>
      </c>
      <c r="J433" s="415">
        <f t="shared" si="170"/>
        <v>0.80000000000000071</v>
      </c>
      <c r="K433" s="416">
        <f t="shared" si="185"/>
        <v>30.74</v>
      </c>
      <c r="L433" s="430"/>
      <c r="M433" s="430"/>
      <c r="N433" s="186">
        <f t="shared" si="163"/>
        <v>30.74</v>
      </c>
      <c r="O433" s="431">
        <f t="shared" si="171"/>
        <v>0</v>
      </c>
      <c r="P433" s="417">
        <f t="shared" si="186"/>
        <v>0</v>
      </c>
      <c r="Q433" s="186">
        <f t="shared" si="172"/>
        <v>0</v>
      </c>
      <c r="R433" s="186">
        <f t="shared" si="173"/>
        <v>0</v>
      </c>
      <c r="S433" s="186">
        <f t="shared" si="174"/>
        <v>0</v>
      </c>
      <c r="T433" s="186">
        <f t="shared" si="175"/>
        <v>0</v>
      </c>
      <c r="U433" s="186">
        <f t="shared" si="176"/>
        <v>0</v>
      </c>
      <c r="V433" s="418">
        <f t="shared" si="177"/>
        <v>30.74</v>
      </c>
      <c r="W433" s="418">
        <f t="shared" si="178"/>
        <v>-30.74</v>
      </c>
      <c r="X433" s="41"/>
      <c r="Y433" s="418">
        <f t="shared" si="181"/>
        <v>1.6</v>
      </c>
      <c r="Z433" s="418">
        <f t="shared" si="182"/>
        <v>-1.6</v>
      </c>
      <c r="AA433" s="11">
        <f t="shared" si="184"/>
        <v>0.43</v>
      </c>
      <c r="AB433" s="9">
        <f t="shared" si="187"/>
        <v>0.86</v>
      </c>
      <c r="AC433" s="41"/>
      <c r="AD433" s="427">
        <f>IF(AH433&gt;AH432,AD432,IF(AD432&lt;MiscData!$F$1,EOMONTH(AD432,1),EOMONTH(AD432,-11)))</f>
        <v>42521</v>
      </c>
      <c r="AE433" s="414" t="str">
        <f t="shared" si="179"/>
        <v>20140101KUUM_492</v>
      </c>
      <c r="AF433" s="466" t="str">
        <f t="shared" si="180"/>
        <v>20140101LS</v>
      </c>
      <c r="AG433" s="467"/>
      <c r="AH433" s="41">
        <f>IF(AH432=MiscData!$AB$91,1,AH432+1)</f>
        <v>80</v>
      </c>
      <c r="AI433">
        <f>IF(AD433&lt;=MiscData!$B$23,MiscData!$C$23,IF(AD433&lt;=MiscData!$B$24,MiscData!$C$24,MiscData!$C$25))</f>
        <v>20140101</v>
      </c>
      <c r="AJ433" s="41"/>
      <c r="AK433" s="468" t="str">
        <f>VLOOKUP(AM433,MiscData!$AB$4:$ACB$113,2,FALSE)</f>
        <v>KUUM_492</v>
      </c>
      <c r="AL433" s="468" t="str">
        <f>VLOOKUP(AM433,MiscData!$AB$4:$AE$115,4,FALSE)</f>
        <v>LS</v>
      </c>
      <c r="AM433" s="469">
        <f>IF(AM432=MiscData!$AB$91,1,AM432+1)</f>
        <v>80</v>
      </c>
    </row>
    <row r="434" spans="1:39">
      <c r="A434" s="413">
        <f t="shared" si="183"/>
        <v>433</v>
      </c>
      <c r="B434" s="427" t="str">
        <f t="shared" si="164"/>
        <v>May 2016</v>
      </c>
      <c r="C434" s="428" t="str">
        <f t="shared" si="165"/>
        <v>LS</v>
      </c>
      <c r="D434" s="428" t="str">
        <f t="shared" si="166"/>
        <v>KUUM_493</v>
      </c>
      <c r="E434" s="425">
        <f t="shared" si="167"/>
        <v>43</v>
      </c>
      <c r="F434" s="429"/>
      <c r="G434" s="425">
        <f t="shared" si="168"/>
        <v>0</v>
      </c>
      <c r="H434" s="425">
        <v>0</v>
      </c>
      <c r="I434" s="415">
        <f t="shared" si="169"/>
        <v>45.7</v>
      </c>
      <c r="J434" s="415">
        <f t="shared" si="170"/>
        <v>10.409999999999997</v>
      </c>
      <c r="K434" s="416">
        <f t="shared" si="185"/>
        <v>1965.1</v>
      </c>
      <c r="L434" s="430"/>
      <c r="M434" s="430"/>
      <c r="N434" s="186">
        <f t="shared" si="163"/>
        <v>1965.1</v>
      </c>
      <c r="O434" s="431">
        <f t="shared" si="171"/>
        <v>0</v>
      </c>
      <c r="P434" s="417">
        <f t="shared" si="186"/>
        <v>0</v>
      </c>
      <c r="Q434" s="186">
        <f t="shared" si="172"/>
        <v>0</v>
      </c>
      <c r="R434" s="186">
        <f t="shared" si="173"/>
        <v>0</v>
      </c>
      <c r="S434" s="186">
        <f t="shared" si="174"/>
        <v>0</v>
      </c>
      <c r="T434" s="186">
        <f t="shared" si="175"/>
        <v>0</v>
      </c>
      <c r="U434" s="186">
        <f t="shared" si="176"/>
        <v>0</v>
      </c>
      <c r="V434" s="418">
        <f t="shared" si="177"/>
        <v>1965.1</v>
      </c>
      <c r="W434" s="418">
        <f t="shared" si="178"/>
        <v>-1965.1</v>
      </c>
      <c r="X434" s="41"/>
      <c r="Y434" s="418">
        <f t="shared" si="181"/>
        <v>447.63</v>
      </c>
      <c r="Z434" s="418">
        <f t="shared" si="182"/>
        <v>-447.63</v>
      </c>
      <c r="AA434" s="11">
        <f t="shared" si="184"/>
        <v>1.7</v>
      </c>
      <c r="AB434" s="9">
        <f t="shared" si="187"/>
        <v>73.099999999999994</v>
      </c>
      <c r="AC434" s="41"/>
      <c r="AD434" s="427">
        <f>IF(AH434&gt;AH433,AD433,IF(AD433&lt;MiscData!$F$1,EOMONTH(AD433,1),EOMONTH(AD433,-11)))</f>
        <v>42521</v>
      </c>
      <c r="AE434" s="414" t="str">
        <f t="shared" si="179"/>
        <v>20140101KUUM_493</v>
      </c>
      <c r="AF434" s="466" t="str">
        <f t="shared" si="180"/>
        <v>20140101LS</v>
      </c>
      <c r="AG434" s="467"/>
      <c r="AH434" s="41">
        <f>IF(AH433=MiscData!$AB$91,1,AH433+1)</f>
        <v>81</v>
      </c>
      <c r="AI434">
        <f>IF(AD434&lt;=MiscData!$B$23,MiscData!$C$23,IF(AD434&lt;=MiscData!$B$24,MiscData!$C$24,MiscData!$C$25))</f>
        <v>20140101</v>
      </c>
      <c r="AJ434" s="41"/>
      <c r="AK434" s="468" t="str">
        <f>VLOOKUP(AM434,MiscData!$AB$4:$ACB$113,2,FALSE)</f>
        <v>KUUM_493</v>
      </c>
      <c r="AL434" s="468" t="str">
        <f>VLOOKUP(AM434,MiscData!$AB$4:$AE$115,4,FALSE)</f>
        <v>LS</v>
      </c>
      <c r="AM434" s="469">
        <f>IF(AM433=MiscData!$AB$91,1,AM433+1)</f>
        <v>81</v>
      </c>
    </row>
    <row r="435" spans="1:39">
      <c r="A435" s="413">
        <f t="shared" si="183"/>
        <v>434</v>
      </c>
      <c r="B435" s="427" t="str">
        <f t="shared" si="164"/>
        <v>May 2016</v>
      </c>
      <c r="C435" s="428" t="str">
        <f t="shared" si="165"/>
        <v>LS</v>
      </c>
      <c r="D435" s="428" t="str">
        <f t="shared" si="166"/>
        <v>KUUM_494</v>
      </c>
      <c r="E435" s="425">
        <f t="shared" si="167"/>
        <v>170</v>
      </c>
      <c r="F435" s="429"/>
      <c r="G435" s="425">
        <f t="shared" si="168"/>
        <v>0</v>
      </c>
      <c r="H435" s="425">
        <v>0</v>
      </c>
      <c r="I435" s="415">
        <f t="shared" si="169"/>
        <v>28.37</v>
      </c>
      <c r="J435" s="415">
        <f t="shared" si="170"/>
        <v>1.9699999999999989</v>
      </c>
      <c r="K435" s="416">
        <f t="shared" si="185"/>
        <v>4822.8999999999996</v>
      </c>
      <c r="L435" s="430"/>
      <c r="M435" s="430"/>
      <c r="N435" s="186">
        <f t="shared" si="163"/>
        <v>4822.8999999999996</v>
      </c>
      <c r="O435" s="431">
        <f t="shared" si="171"/>
        <v>0</v>
      </c>
      <c r="P435" s="417">
        <f t="shared" si="186"/>
        <v>0</v>
      </c>
      <c r="Q435" s="186">
        <f t="shared" si="172"/>
        <v>0</v>
      </c>
      <c r="R435" s="186">
        <f t="shared" si="173"/>
        <v>0</v>
      </c>
      <c r="S435" s="186">
        <f t="shared" si="174"/>
        <v>0</v>
      </c>
      <c r="T435" s="186">
        <f t="shared" si="175"/>
        <v>0</v>
      </c>
      <c r="U435" s="186">
        <f t="shared" si="176"/>
        <v>0</v>
      </c>
      <c r="V435" s="418">
        <f t="shared" si="177"/>
        <v>4822.8999999999996</v>
      </c>
      <c r="W435" s="418">
        <f t="shared" si="178"/>
        <v>-4822.8999999999996</v>
      </c>
      <c r="X435" s="41"/>
      <c r="Y435" s="418">
        <f t="shared" si="181"/>
        <v>334.9</v>
      </c>
      <c r="Z435" s="418">
        <f t="shared" si="182"/>
        <v>-334.9</v>
      </c>
      <c r="AA435" s="11">
        <f t="shared" si="184"/>
        <v>0.66</v>
      </c>
      <c r="AB435" s="9">
        <f t="shared" si="187"/>
        <v>112.2</v>
      </c>
      <c r="AC435" s="41"/>
      <c r="AD435" s="427">
        <f>IF(AH435&gt;AH434,AD434,IF(AD434&lt;MiscData!$F$1,EOMONTH(AD434,1),EOMONTH(AD434,-11)))</f>
        <v>42521</v>
      </c>
      <c r="AE435" s="414" t="str">
        <f t="shared" si="179"/>
        <v>20140101KUUM_494</v>
      </c>
      <c r="AF435" s="466" t="str">
        <f t="shared" si="180"/>
        <v>20140101LS</v>
      </c>
      <c r="AG435" s="467"/>
      <c r="AH435" s="41">
        <f>IF(AH434=MiscData!$AB$91,1,AH434+1)</f>
        <v>82</v>
      </c>
      <c r="AI435">
        <f>IF(AD435&lt;=MiscData!$B$23,MiscData!$C$23,IF(AD435&lt;=MiscData!$B$24,MiscData!$C$24,MiscData!$C$25))</f>
        <v>20140101</v>
      </c>
      <c r="AJ435" s="41"/>
      <c r="AK435" s="468" t="str">
        <f>VLOOKUP(AM435,MiscData!$AB$4:$ACB$113,2,FALSE)</f>
        <v>KUUM_494</v>
      </c>
      <c r="AL435" s="468" t="str">
        <f>VLOOKUP(AM435,MiscData!$AB$4:$AE$115,4,FALSE)</f>
        <v>LS</v>
      </c>
      <c r="AM435" s="469">
        <f>IF(AM434=MiscData!$AB$91,1,AM434+1)</f>
        <v>82</v>
      </c>
    </row>
    <row r="436" spans="1:39" ht="12.75" thickBot="1">
      <c r="A436" s="419">
        <f t="shared" si="183"/>
        <v>435</v>
      </c>
      <c r="B436" s="470" t="str">
        <f t="shared" si="164"/>
        <v>May 2016</v>
      </c>
      <c r="C436" s="471" t="str">
        <f t="shared" si="165"/>
        <v>LS</v>
      </c>
      <c r="D436" s="471" t="str">
        <f t="shared" si="166"/>
        <v>KUUM_495</v>
      </c>
      <c r="E436" s="426">
        <f t="shared" si="167"/>
        <v>626</v>
      </c>
      <c r="F436" s="472"/>
      <c r="G436" s="426">
        <f t="shared" si="168"/>
        <v>0</v>
      </c>
      <c r="H436" s="426">
        <v>0</v>
      </c>
      <c r="I436" s="421">
        <f t="shared" si="169"/>
        <v>34.830000000000005</v>
      </c>
      <c r="J436" s="421">
        <f t="shared" si="170"/>
        <v>4.2899999999999991</v>
      </c>
      <c r="K436" s="529">
        <f t="shared" si="185"/>
        <v>21803.58</v>
      </c>
      <c r="L436" s="473"/>
      <c r="M436" s="473"/>
      <c r="N436" s="423">
        <f t="shared" si="163"/>
        <v>21803.58</v>
      </c>
      <c r="O436" s="474">
        <f t="shared" si="171"/>
        <v>0</v>
      </c>
      <c r="P436" s="422">
        <f t="shared" si="186"/>
        <v>0</v>
      </c>
      <c r="Q436" s="423">
        <f t="shared" si="172"/>
        <v>0</v>
      </c>
      <c r="R436" s="423">
        <f t="shared" si="173"/>
        <v>0</v>
      </c>
      <c r="S436" s="423">
        <f t="shared" si="174"/>
        <v>0</v>
      </c>
      <c r="T436" s="423">
        <f t="shared" si="175"/>
        <v>0</v>
      </c>
      <c r="U436" s="423">
        <f t="shared" si="176"/>
        <v>0</v>
      </c>
      <c r="V436" s="424">
        <f t="shared" si="177"/>
        <v>21803.58</v>
      </c>
      <c r="W436" s="424">
        <f t="shared" si="178"/>
        <v>-21803.58</v>
      </c>
      <c r="X436" s="475"/>
      <c r="Y436" s="424">
        <f t="shared" si="181"/>
        <v>2685.54</v>
      </c>
      <c r="Z436" s="424">
        <f t="shared" si="182"/>
        <v>-2685.54</v>
      </c>
      <c r="AA436" s="11">
        <f t="shared" si="184"/>
        <v>0.84</v>
      </c>
      <c r="AB436" s="9">
        <f t="shared" si="187"/>
        <v>525.84</v>
      </c>
      <c r="AC436" s="475"/>
      <c r="AD436" s="470">
        <f>IF(AH436&gt;AH435,AD435,IF(AD435&lt;MiscData!$F$1,EOMONTH(AD435,1),EOMONTH(AD435,-11)))</f>
        <v>42521</v>
      </c>
      <c r="AE436" s="420" t="str">
        <f t="shared" si="179"/>
        <v>20140101KUUM_495</v>
      </c>
      <c r="AF436" s="476" t="str">
        <f t="shared" si="180"/>
        <v>20140101LS</v>
      </c>
      <c r="AG436" s="477"/>
      <c r="AH436" s="475">
        <f>IF(AH435=MiscData!$AB$91,1,AH435+1)</f>
        <v>83</v>
      </c>
      <c r="AI436" s="475">
        <f>IF(AD436&lt;=MiscData!$B$23,MiscData!$C$23,IF(AD436&lt;=MiscData!$B$24,MiscData!$C$24,MiscData!$C$25))</f>
        <v>20140101</v>
      </c>
      <c r="AJ436" s="475"/>
      <c r="AK436" s="478" t="str">
        <f>VLOOKUP(AM436,MiscData!$AB$4:$ACB$113,2,FALSE)</f>
        <v>KUUM_495</v>
      </c>
      <c r="AL436" s="478" t="str">
        <f>VLOOKUP(AM436,MiscData!$AB$4:$AE$115,4,FALSE)</f>
        <v>LS</v>
      </c>
      <c r="AM436" s="604">
        <f>IF(AM435=MiscData!$AB$91,1,AM435+1)</f>
        <v>83</v>
      </c>
    </row>
    <row r="437" spans="1:39">
      <c r="A437" s="413">
        <f t="shared" si="183"/>
        <v>436</v>
      </c>
      <c r="B437" s="427" t="str">
        <f t="shared" si="164"/>
        <v>May 2016</v>
      </c>
      <c r="C437" s="428" t="str">
        <f t="shared" si="165"/>
        <v>LS</v>
      </c>
      <c r="D437" s="428" t="str">
        <f t="shared" si="166"/>
        <v>KUUM_496</v>
      </c>
      <c r="E437" s="425">
        <f t="shared" si="167"/>
        <v>155</v>
      </c>
      <c r="F437" s="429"/>
      <c r="G437" s="425">
        <f t="shared" si="168"/>
        <v>0</v>
      </c>
      <c r="H437" s="425">
        <v>0</v>
      </c>
      <c r="I437" s="415">
        <f t="shared" si="169"/>
        <v>58.59</v>
      </c>
      <c r="J437" s="415">
        <f t="shared" si="170"/>
        <v>10.409999999999997</v>
      </c>
      <c r="K437" s="416">
        <f t="shared" si="185"/>
        <v>9081.4500000000007</v>
      </c>
      <c r="L437" s="430"/>
      <c r="M437" s="430"/>
      <c r="N437" s="186">
        <f t="shared" si="163"/>
        <v>9081.4500000000007</v>
      </c>
      <c r="O437" s="431">
        <f t="shared" si="171"/>
        <v>0</v>
      </c>
      <c r="P437" s="417">
        <f t="shared" si="186"/>
        <v>0</v>
      </c>
      <c r="Q437" s="186">
        <f t="shared" si="172"/>
        <v>0</v>
      </c>
      <c r="R437" s="186">
        <f t="shared" si="173"/>
        <v>0</v>
      </c>
      <c r="S437" s="186">
        <f t="shared" si="174"/>
        <v>0</v>
      </c>
      <c r="T437" s="186">
        <f t="shared" si="175"/>
        <v>0</v>
      </c>
      <c r="U437" s="186">
        <f t="shared" si="176"/>
        <v>0</v>
      </c>
      <c r="V437" s="418">
        <f t="shared" si="177"/>
        <v>9081.4500000000007</v>
      </c>
      <c r="W437" s="418">
        <f t="shared" si="178"/>
        <v>-9081.4500000000007</v>
      </c>
      <c r="X437" s="41"/>
      <c r="Y437" s="418">
        <f t="shared" si="181"/>
        <v>1613.55</v>
      </c>
      <c r="Z437" s="418">
        <f t="shared" si="182"/>
        <v>-1613.55</v>
      </c>
      <c r="AA437" s="11">
        <f t="shared" si="184"/>
        <v>1.7</v>
      </c>
      <c r="AB437" s="9">
        <f t="shared" si="187"/>
        <v>263.5</v>
      </c>
      <c r="AC437" s="41"/>
      <c r="AD437" s="427">
        <f>IF(AH437&gt;AH436,AD436,IF(AD436&lt;MiscData!$F$1,EOMONTH(AD436,1),EOMONTH(AD436,-11)))</f>
        <v>42521</v>
      </c>
      <c r="AE437" s="414" t="str">
        <f t="shared" si="179"/>
        <v>20140101KUUM_496</v>
      </c>
      <c r="AF437" s="466" t="str">
        <f t="shared" si="180"/>
        <v>20140101LS</v>
      </c>
      <c r="AG437" s="467"/>
      <c r="AH437" s="41">
        <f>IF(AH436=MiscData!$AB$91,1,AH436+1)</f>
        <v>84</v>
      </c>
      <c r="AI437">
        <f>IF(AD437&lt;=MiscData!$B$23,MiscData!$C$23,IF(AD437&lt;=MiscData!$B$24,MiscData!$C$24,MiscData!$C$25))</f>
        <v>20140101</v>
      </c>
      <c r="AJ437" s="41"/>
      <c r="AK437" s="468" t="str">
        <f>VLOOKUP(AM437,MiscData!$AB$4:$ACB$113,2,FALSE)</f>
        <v>KUUM_496</v>
      </c>
      <c r="AL437" s="468" t="str">
        <f>VLOOKUP(AM437,MiscData!$AB$4:$AE$115,4,FALSE)</f>
        <v>LS</v>
      </c>
      <c r="AM437" s="469">
        <f>IF(AM436=MiscData!$AB$91,1,AM436+1)</f>
        <v>84</v>
      </c>
    </row>
    <row r="438" spans="1:39">
      <c r="A438" s="413">
        <f t="shared" si="183"/>
        <v>437</v>
      </c>
      <c r="B438" s="427" t="str">
        <f t="shared" si="164"/>
        <v>May 2016</v>
      </c>
      <c r="C438" s="428" t="str">
        <f t="shared" si="165"/>
        <v>LS</v>
      </c>
      <c r="D438" s="428" t="str">
        <f t="shared" si="166"/>
        <v>KUUM_497</v>
      </c>
      <c r="E438" s="425">
        <f t="shared" si="167"/>
        <v>10</v>
      </c>
      <c r="F438" s="429"/>
      <c r="G438" s="425">
        <f t="shared" si="168"/>
        <v>0</v>
      </c>
      <c r="H438" s="425">
        <v>0</v>
      </c>
      <c r="I438" s="415">
        <f t="shared" si="169"/>
        <v>15.35</v>
      </c>
      <c r="J438" s="415">
        <f t="shared" si="170"/>
        <v>1.1300000000000008</v>
      </c>
      <c r="K438" s="416">
        <f t="shared" si="185"/>
        <v>153.5</v>
      </c>
      <c r="L438" s="430"/>
      <c r="M438" s="430"/>
      <c r="N438" s="186">
        <f t="shared" si="163"/>
        <v>153.5</v>
      </c>
      <c r="O438" s="431">
        <f t="shared" si="171"/>
        <v>0</v>
      </c>
      <c r="P438" s="417">
        <f t="shared" si="186"/>
        <v>0</v>
      </c>
      <c r="Q438" s="186">
        <f t="shared" si="172"/>
        <v>0</v>
      </c>
      <c r="R438" s="186">
        <f t="shared" si="173"/>
        <v>0</v>
      </c>
      <c r="S438" s="186">
        <f t="shared" si="174"/>
        <v>0</v>
      </c>
      <c r="T438" s="186">
        <f t="shared" si="175"/>
        <v>0</v>
      </c>
      <c r="U438" s="186">
        <f t="shared" si="176"/>
        <v>0</v>
      </c>
      <c r="V438" s="418">
        <f t="shared" si="177"/>
        <v>153.5</v>
      </c>
      <c r="W438" s="418">
        <f t="shared" si="178"/>
        <v>-153.5</v>
      </c>
      <c r="X438" s="41"/>
      <c r="Y438" s="418">
        <f t="shared" si="181"/>
        <v>11.3</v>
      </c>
      <c r="Z438" s="418">
        <f t="shared" si="182"/>
        <v>-11.3</v>
      </c>
      <c r="AA438" s="11">
        <f t="shared" si="184"/>
        <v>0.34</v>
      </c>
      <c r="AB438" s="9">
        <f t="shared" si="187"/>
        <v>3.4000000000000004</v>
      </c>
      <c r="AC438" s="41"/>
      <c r="AD438" s="427">
        <f>IF(AH438&gt;AH437,AD437,IF(AD437&lt;MiscData!$F$1,EOMONTH(AD437,1),EOMONTH(AD437,-11)))</f>
        <v>42521</v>
      </c>
      <c r="AE438" s="414" t="str">
        <f t="shared" si="179"/>
        <v>20140101KUUM_497</v>
      </c>
      <c r="AF438" s="466" t="str">
        <f t="shared" si="180"/>
        <v>20140101LS</v>
      </c>
      <c r="AG438" s="467"/>
      <c r="AH438" s="41">
        <f>IF(AH437=MiscData!$AB$91,1,AH437+1)</f>
        <v>85</v>
      </c>
      <c r="AI438">
        <f>IF(AD438&lt;=MiscData!$B$23,MiscData!$C$23,IF(AD438&lt;=MiscData!$B$24,MiscData!$C$24,MiscData!$C$25))</f>
        <v>20140101</v>
      </c>
      <c r="AJ438" s="41"/>
      <c r="AK438" s="468" t="str">
        <f>VLOOKUP(AM438,MiscData!$AB$4:$ACB$113,2,FALSE)</f>
        <v>KUUM_497</v>
      </c>
      <c r="AL438" s="468" t="str">
        <f>VLOOKUP(AM438,MiscData!$AB$4:$AE$115,4,FALSE)</f>
        <v>LS</v>
      </c>
      <c r="AM438" s="469">
        <f>IF(AM437=MiscData!$AB$91,1,AM437+1)</f>
        <v>85</v>
      </c>
    </row>
    <row r="439" spans="1:39">
      <c r="A439" s="413">
        <f t="shared" si="183"/>
        <v>438</v>
      </c>
      <c r="B439" s="427" t="str">
        <f t="shared" si="164"/>
        <v>May 2016</v>
      </c>
      <c r="C439" s="428" t="str">
        <f t="shared" si="165"/>
        <v>LS</v>
      </c>
      <c r="D439" s="428" t="str">
        <f t="shared" si="166"/>
        <v>KUUM_498</v>
      </c>
      <c r="E439" s="425">
        <f t="shared" si="167"/>
        <v>24</v>
      </c>
      <c r="F439" s="429"/>
      <c r="G439" s="425">
        <f t="shared" si="168"/>
        <v>0</v>
      </c>
      <c r="H439" s="425">
        <v>0</v>
      </c>
      <c r="I439" s="415">
        <f t="shared" si="169"/>
        <v>17.72</v>
      </c>
      <c r="J439" s="415">
        <f t="shared" si="170"/>
        <v>2.33</v>
      </c>
      <c r="K439" s="416">
        <f t="shared" si="185"/>
        <v>425.28</v>
      </c>
      <c r="L439" s="430"/>
      <c r="M439" s="430"/>
      <c r="N439" s="186">
        <f t="shared" si="163"/>
        <v>425.28</v>
      </c>
      <c r="O439" s="431">
        <f t="shared" si="171"/>
        <v>0</v>
      </c>
      <c r="P439" s="417">
        <f t="shared" si="186"/>
        <v>0</v>
      </c>
      <c r="Q439" s="186">
        <f t="shared" si="172"/>
        <v>0</v>
      </c>
      <c r="R439" s="186">
        <f t="shared" si="173"/>
        <v>0</v>
      </c>
      <c r="S439" s="186">
        <f t="shared" si="174"/>
        <v>0</v>
      </c>
      <c r="T439" s="186">
        <f t="shared" si="175"/>
        <v>0</v>
      </c>
      <c r="U439" s="186">
        <f t="shared" si="176"/>
        <v>0</v>
      </c>
      <c r="V439" s="418">
        <f t="shared" si="177"/>
        <v>425.28</v>
      </c>
      <c r="W439" s="418">
        <f t="shared" si="178"/>
        <v>-425.28</v>
      </c>
      <c r="X439" s="41"/>
      <c r="Y439" s="418">
        <f t="shared" si="181"/>
        <v>55.92</v>
      </c>
      <c r="Z439" s="418">
        <f t="shared" si="182"/>
        <v>-55.92</v>
      </c>
      <c r="AA439" s="11">
        <f t="shared" si="184"/>
        <v>0.57999999999999996</v>
      </c>
      <c r="AB439" s="9">
        <f t="shared" si="187"/>
        <v>13.919999999999998</v>
      </c>
      <c r="AC439" s="41"/>
      <c r="AD439" s="427">
        <f>IF(AH439&gt;AH438,AD438,IF(AD438&lt;MiscData!$F$1,EOMONTH(AD438,1),EOMONTH(AD438,-11)))</f>
        <v>42521</v>
      </c>
      <c r="AE439" s="414" t="str">
        <f t="shared" si="179"/>
        <v>20140101KUUM_498</v>
      </c>
      <c r="AF439" s="466" t="str">
        <f t="shared" si="180"/>
        <v>20140101LS</v>
      </c>
      <c r="AG439" s="467"/>
      <c r="AH439" s="41">
        <f>IF(AH438=MiscData!$AB$91,1,AH438+1)</f>
        <v>86</v>
      </c>
      <c r="AI439">
        <f>IF(AD439&lt;=MiscData!$B$23,MiscData!$C$23,IF(AD439&lt;=MiscData!$B$24,MiscData!$C$24,MiscData!$C$25))</f>
        <v>20140101</v>
      </c>
      <c r="AJ439" s="41"/>
      <c r="AK439" s="468" t="str">
        <f>VLOOKUP(AM439,MiscData!$AB$4:$ACB$113,2,FALSE)</f>
        <v>KUUM_498</v>
      </c>
      <c r="AL439" s="468" t="str">
        <f>VLOOKUP(AM439,MiscData!$AB$4:$AE$115,4,FALSE)</f>
        <v>LS</v>
      </c>
      <c r="AM439" s="469">
        <f>IF(AM438=MiscData!$AB$91,1,AM438+1)</f>
        <v>86</v>
      </c>
    </row>
    <row r="440" spans="1:39">
      <c r="A440" s="413">
        <f t="shared" si="183"/>
        <v>439</v>
      </c>
      <c r="B440" s="427" t="str">
        <f t="shared" si="164"/>
        <v>May 2016</v>
      </c>
      <c r="C440" s="428" t="str">
        <f t="shared" si="165"/>
        <v>LS</v>
      </c>
      <c r="D440" s="428" t="str">
        <f t="shared" si="166"/>
        <v>KUUM_499</v>
      </c>
      <c r="E440" s="425">
        <f t="shared" si="167"/>
        <v>24</v>
      </c>
      <c r="F440" s="429"/>
      <c r="G440" s="425">
        <f t="shared" si="168"/>
        <v>0</v>
      </c>
      <c r="H440" s="425">
        <v>0</v>
      </c>
      <c r="I440" s="415">
        <f t="shared" si="169"/>
        <v>21.490000000000002</v>
      </c>
      <c r="J440" s="415">
        <f t="shared" si="170"/>
        <v>4.5300000000000011</v>
      </c>
      <c r="K440" s="416">
        <f t="shared" si="185"/>
        <v>515.76</v>
      </c>
      <c r="L440" s="430"/>
      <c r="M440" s="430"/>
      <c r="N440" s="186">
        <f t="shared" ref="N440:N503" si="188">SUM(K440:M440)</f>
        <v>515.76</v>
      </c>
      <c r="O440" s="431">
        <f t="shared" si="171"/>
        <v>0</v>
      </c>
      <c r="P440" s="417">
        <f t="shared" si="186"/>
        <v>0</v>
      </c>
      <c r="Q440" s="186">
        <f t="shared" si="172"/>
        <v>0</v>
      </c>
      <c r="R440" s="186">
        <f t="shared" si="173"/>
        <v>0</v>
      </c>
      <c r="S440" s="186">
        <f t="shared" si="174"/>
        <v>0</v>
      </c>
      <c r="T440" s="186">
        <f t="shared" si="175"/>
        <v>0</v>
      </c>
      <c r="U440" s="186">
        <f t="shared" si="176"/>
        <v>0</v>
      </c>
      <c r="V440" s="418">
        <f t="shared" si="177"/>
        <v>515.76</v>
      </c>
      <c r="W440" s="418">
        <f t="shared" si="178"/>
        <v>-515.76</v>
      </c>
      <c r="X440" s="41"/>
      <c r="Y440" s="418">
        <f t="shared" si="181"/>
        <v>108.72</v>
      </c>
      <c r="Z440" s="418">
        <f t="shared" si="182"/>
        <v>-108.72</v>
      </c>
      <c r="AA440" s="11">
        <f t="shared" si="184"/>
        <v>0.79</v>
      </c>
      <c r="AB440" s="9">
        <f t="shared" si="187"/>
        <v>18.96</v>
      </c>
      <c r="AC440" s="41"/>
      <c r="AD440" s="427">
        <f>IF(AH440&gt;AH439,AD439,IF(AD439&lt;MiscData!$F$1,EOMONTH(AD439,1),EOMONTH(AD439,-11)))</f>
        <v>42521</v>
      </c>
      <c r="AE440" s="414" t="str">
        <f t="shared" si="179"/>
        <v>20140101KUUM_499</v>
      </c>
      <c r="AF440" s="466" t="str">
        <f t="shared" si="180"/>
        <v>20140101LS</v>
      </c>
      <c r="AG440" s="467"/>
      <c r="AH440" s="41">
        <f>IF(AH439=MiscData!$AB$91,1,AH439+1)</f>
        <v>87</v>
      </c>
      <c r="AI440">
        <f>IF(AD440&lt;=MiscData!$B$23,MiscData!$C$23,IF(AD440&lt;=MiscData!$B$24,MiscData!$C$24,MiscData!$C$25))</f>
        <v>20140101</v>
      </c>
      <c r="AJ440" s="41"/>
      <c r="AK440" s="468" t="str">
        <f>VLOOKUP(AM440,MiscData!$AB$4:$ACB$113,2,FALSE)</f>
        <v>KUUM_499</v>
      </c>
      <c r="AL440" s="468" t="str">
        <f>VLOOKUP(AM440,MiscData!$AB$4:$AE$115,4,FALSE)</f>
        <v>LS</v>
      </c>
      <c r="AM440" s="469">
        <f>IF(AM439=MiscData!$AB$91,1,AM439+1)</f>
        <v>87</v>
      </c>
    </row>
    <row r="441" spans="1:39">
      <c r="A441" s="413">
        <f t="shared" si="183"/>
        <v>440</v>
      </c>
      <c r="B441" s="427" t="str">
        <f t="shared" si="164"/>
        <v>May 2016</v>
      </c>
      <c r="C441" s="428" t="str">
        <f t="shared" si="165"/>
        <v>ODL</v>
      </c>
      <c r="D441" s="428" t="str">
        <f t="shared" si="166"/>
        <v>ODL</v>
      </c>
      <c r="E441" s="425">
        <f t="shared" si="167"/>
        <v>0</v>
      </c>
      <c r="F441" s="429"/>
      <c r="G441" s="425">
        <f t="shared" si="168"/>
        <v>9612592</v>
      </c>
      <c r="H441" s="425">
        <v>0</v>
      </c>
      <c r="I441" s="415">
        <f t="shared" si="169"/>
        <v>0</v>
      </c>
      <c r="J441" s="415">
        <f t="shared" si="170"/>
        <v>0</v>
      </c>
      <c r="K441" s="416">
        <f t="shared" si="185"/>
        <v>0</v>
      </c>
      <c r="L441" s="430"/>
      <c r="M441" s="430"/>
      <c r="N441" s="186">
        <f t="shared" si="188"/>
        <v>0</v>
      </c>
      <c r="O441" s="431">
        <f t="shared" si="171"/>
        <v>2129635</v>
      </c>
      <c r="P441" s="417">
        <f t="shared" si="186"/>
        <v>0</v>
      </c>
      <c r="Q441" s="186">
        <f t="shared" si="172"/>
        <v>8675</v>
      </c>
      <c r="R441" s="186">
        <f t="shared" si="173"/>
        <v>0</v>
      </c>
      <c r="S441" s="186">
        <f t="shared" si="174"/>
        <v>65195</v>
      </c>
      <c r="T441" s="186">
        <f t="shared" si="175"/>
        <v>0</v>
      </c>
      <c r="U441" s="186">
        <f t="shared" si="176"/>
        <v>2203505</v>
      </c>
      <c r="V441" s="418">
        <f t="shared" si="177"/>
        <v>73870</v>
      </c>
      <c r="W441" s="418">
        <f t="shared" si="178"/>
        <v>2129635</v>
      </c>
      <c r="X441" s="41"/>
      <c r="Y441" s="418">
        <f t="shared" si="181"/>
        <v>0</v>
      </c>
      <c r="Z441" s="418">
        <f t="shared" si="182"/>
        <v>2129635</v>
      </c>
      <c r="AA441" s="11">
        <f t="shared" si="184"/>
        <v>0</v>
      </c>
      <c r="AB441" s="9">
        <f t="shared" si="187"/>
        <v>0</v>
      </c>
      <c r="AC441" s="41"/>
      <c r="AD441" s="427">
        <f>IF(AH441&gt;AH440,AD440,IF(AD440&lt;MiscData!$F$1,EOMONTH(AD440,1),EOMONTH(AD440,-11)))</f>
        <v>42521</v>
      </c>
      <c r="AE441" s="414" t="str">
        <f t="shared" si="179"/>
        <v>20140101ODL</v>
      </c>
      <c r="AF441" s="466" t="str">
        <f t="shared" si="180"/>
        <v>20140101ODL</v>
      </c>
      <c r="AG441" s="467"/>
      <c r="AH441" s="41">
        <f>IF(AH440=MiscData!$AB$91,1,AH440+1)</f>
        <v>88</v>
      </c>
      <c r="AI441" s="41">
        <f>IF(AD441&lt;=MiscData!$B$23,MiscData!$C$23,IF(AD441&lt;=MiscData!$B$24,MiscData!$C$24,MiscData!$C$25))</f>
        <v>20140101</v>
      </c>
      <c r="AJ441" s="41"/>
      <c r="AK441" s="468" t="str">
        <f>VLOOKUP(AM441,MiscData!$AB$4:$ACB$113,2,FALSE)</f>
        <v>ODL</v>
      </c>
      <c r="AL441" s="468" t="str">
        <f>VLOOKUP(AM441,MiscData!$AB$4:$AE$115,4,FALSE)</f>
        <v>ODL</v>
      </c>
      <c r="AM441" s="469">
        <f>IF(AM440=MiscData!$AB$91,1,AM440+1)</f>
        <v>88</v>
      </c>
    </row>
    <row r="442" spans="1:39">
      <c r="A442" s="7">
        <f t="shared" si="183"/>
        <v>441</v>
      </c>
      <c r="B442" s="13" t="str">
        <f t="shared" ref="B442:B505" si="189">TEXT(AD442,"mmm yyyy")</f>
        <v>Jun 2016</v>
      </c>
      <c r="C442" s="23" t="str">
        <f t="shared" ref="C442:C505" si="190">AL442</f>
        <v>LS</v>
      </c>
      <c r="D442" s="23" t="str">
        <f t="shared" ref="D442:D505" si="191">AK442</f>
        <v>KUUM_300</v>
      </c>
      <c r="E442" s="170">
        <f t="shared" ref="E442:E505" si="192">SUMIFS(_1055_Light_Count,_1055_RevMonth,$B442,_1055_RateCategory,$D442)</f>
        <v>0</v>
      </c>
      <c r="F442" s="185"/>
      <c r="G442" s="170">
        <f t="shared" ref="G442:G505" si="193">SUMIFS(_SBR_KWH,_SBR_Revenue_Month,$B442,_SBR_Rate_Category,$D442)</f>
        <v>0</v>
      </c>
      <c r="H442" s="170"/>
      <c r="I442" s="11">
        <f t="shared" ref="I442:I505" si="194">SUMIF(_Lights_Tariff_Category,$AE442,_Lights_Rates)</f>
        <v>22.49</v>
      </c>
      <c r="J442" s="11">
        <f t="shared" ref="J442:J505" si="195">SUMIF(_Lights_Tariff_Category,$AE442,_Rates_Lights_BaseFAC)</f>
        <v>0.58000000000000185</v>
      </c>
      <c r="K442" s="416">
        <f t="shared" si="185"/>
        <v>0</v>
      </c>
      <c r="L442" s="180"/>
      <c r="M442" s="180"/>
      <c r="N442" s="186">
        <f t="shared" si="188"/>
        <v>0</v>
      </c>
      <c r="O442" s="29">
        <f t="shared" ref="O442:O505" si="196">U442-SUM(Q442:T442)</f>
        <v>0</v>
      </c>
      <c r="P442" s="181">
        <f t="shared" si="186"/>
        <v>1</v>
      </c>
      <c r="Q442" s="182">
        <f t="shared" ref="Q442:Q505" si="197">SUMIFS(_SBR_FAC,_SBR_Revenue_Month,$B442,_SBR_Rate_Category,$D442)</f>
        <v>0</v>
      </c>
      <c r="R442" s="182">
        <f t="shared" ref="R442:R505" si="198">SUMIFS(_SBR_DSM,_SBR_Revenue_Month,$B442,_SBR_Rate_Category,$D442)</f>
        <v>0</v>
      </c>
      <c r="S442" s="182">
        <f t="shared" ref="S442:S505" si="199">SUMIFS(_SBR_ECR,_SBR_Revenue_Month,$B442,_SBR_Rate_Category,$D442)</f>
        <v>0</v>
      </c>
      <c r="T442" s="182">
        <f t="shared" ref="T442:T505" si="200">SUMIFS(_SBR_MSR,_SBR_Revenue_Month,$B442,_SBR_Rate_Category,$D442)</f>
        <v>0</v>
      </c>
      <c r="U442" s="182">
        <f t="shared" ref="U442:U505" si="201">SUMIFS(_SBR_Revenue_Actual,_SBR_Revenue_Month,$B442,_SBR_Rate_Category,$D442)</f>
        <v>0</v>
      </c>
      <c r="V442" s="14">
        <f t="shared" ref="V442:V505" si="202">SUM(N442,Q442:T442)</f>
        <v>0</v>
      </c>
      <c r="W442" s="14">
        <f t="shared" ref="W442:W505" si="203">U442-V442</f>
        <v>0</v>
      </c>
      <c r="Y442" s="14">
        <f t="shared" si="181"/>
        <v>0</v>
      </c>
      <c r="Z442" s="14">
        <f t="shared" si="182"/>
        <v>0</v>
      </c>
      <c r="AA442" s="11">
        <f t="shared" si="184"/>
        <v>0.33</v>
      </c>
      <c r="AB442" s="9">
        <f t="shared" si="187"/>
        <v>0</v>
      </c>
      <c r="AD442" s="13">
        <f>IF(AH442&gt;AH441,AD441,IF(AD441&lt;MiscData!$F$1,EOMONTH(AD441,1),EOMONTH(AD441,-11)))</f>
        <v>42551</v>
      </c>
      <c r="AE442" s="7" t="str">
        <f t="shared" ref="AE442:AE505" si="204">CONCATENATE(AI442&amp;AK442)</f>
        <v>20140101KUUM_300</v>
      </c>
      <c r="AF442" s="12" t="str">
        <f t="shared" ref="AF442:AF505" si="205">CONCATENATE(AI442&amp;AL442)</f>
        <v>20140101LS</v>
      </c>
      <c r="AG442" s="31"/>
      <c r="AH442">
        <f>IF(AH441=MiscData!$AB$91,1,AH441+1)</f>
        <v>1</v>
      </c>
      <c r="AI442">
        <f>IF(AD442&lt;=MiscData!$B$23,MiscData!$C$23,IF(AD442&lt;=MiscData!$B$24,MiscData!$C$24,MiscData!$C$25))</f>
        <v>20140101</v>
      </c>
      <c r="AK442" s="190" t="str">
        <f>VLOOKUP(AM442,MiscData!$AB$4:$ACB$113,2,FALSE)</f>
        <v>KUUM_300</v>
      </c>
      <c r="AL442" s="190" t="str">
        <f>VLOOKUP(AM442,MiscData!$AB$4:$AE$115,4,FALSE)</f>
        <v>LS</v>
      </c>
      <c r="AM442">
        <f>IF(AM441=MiscData!$AB$91,1,AM441+1)</f>
        <v>1</v>
      </c>
    </row>
    <row r="443" spans="1:39">
      <c r="A443" s="7">
        <f t="shared" si="183"/>
        <v>442</v>
      </c>
      <c r="B443" s="13" t="str">
        <f t="shared" si="189"/>
        <v>Jun 2016</v>
      </c>
      <c r="C443" s="23" t="str">
        <f t="shared" si="190"/>
        <v>LS</v>
      </c>
      <c r="D443" s="23" t="str">
        <f t="shared" si="191"/>
        <v>KUUM_301</v>
      </c>
      <c r="E443" s="170">
        <f t="shared" si="192"/>
        <v>0</v>
      </c>
      <c r="F443" s="185"/>
      <c r="G443" s="170">
        <f t="shared" si="193"/>
        <v>0</v>
      </c>
      <c r="H443" s="170"/>
      <c r="I443" s="11">
        <f t="shared" si="194"/>
        <v>23.5</v>
      </c>
      <c r="J443" s="11">
        <f t="shared" si="195"/>
        <v>1.129999999999999</v>
      </c>
      <c r="K443" s="416">
        <f t="shared" si="185"/>
        <v>0</v>
      </c>
      <c r="L443" s="180"/>
      <c r="M443" s="180"/>
      <c r="N443" s="186">
        <f t="shared" si="188"/>
        <v>0</v>
      </c>
      <c r="O443" s="29">
        <f t="shared" si="196"/>
        <v>0</v>
      </c>
      <c r="P443" s="181">
        <f t="shared" si="186"/>
        <v>1</v>
      </c>
      <c r="Q443" s="182">
        <f t="shared" si="197"/>
        <v>0</v>
      </c>
      <c r="R443" s="182">
        <f t="shared" si="198"/>
        <v>0</v>
      </c>
      <c r="S443" s="182">
        <f t="shared" si="199"/>
        <v>0</v>
      </c>
      <c r="T443" s="182">
        <f t="shared" si="200"/>
        <v>0</v>
      </c>
      <c r="U443" s="182">
        <f t="shared" si="201"/>
        <v>0</v>
      </c>
      <c r="V443" s="14">
        <f t="shared" si="202"/>
        <v>0</v>
      </c>
      <c r="W443" s="14">
        <f t="shared" si="203"/>
        <v>0</v>
      </c>
      <c r="Y443" s="14">
        <f t="shared" ref="Y443:Y506" si="206">ROUND(E443*J443,2)</f>
        <v>0</v>
      </c>
      <c r="Z443" s="14">
        <f t="shared" ref="Z443:Z506" si="207">O443-Y443</f>
        <v>0</v>
      </c>
      <c r="AA443" s="11">
        <f t="shared" si="184"/>
        <v>0.34</v>
      </c>
      <c r="AB443" s="9">
        <f t="shared" si="187"/>
        <v>0</v>
      </c>
      <c r="AD443" s="13">
        <f>IF(AH443&gt;AH442,AD442,IF(AD442&lt;MiscData!$F$1,EOMONTH(AD442,1),EOMONTH(AD442,-11)))</f>
        <v>42551</v>
      </c>
      <c r="AE443" s="7" t="str">
        <f t="shared" si="204"/>
        <v>20140101KUUM_301</v>
      </c>
      <c r="AF443" s="12" t="str">
        <f t="shared" si="205"/>
        <v>20140101LS</v>
      </c>
      <c r="AG443" s="31"/>
      <c r="AH443">
        <f>IF(AH442=MiscData!$AB$91,1,AH442+1)</f>
        <v>2</v>
      </c>
      <c r="AI443">
        <f>IF(AD443&lt;=MiscData!$B$23,MiscData!$C$23,IF(AD443&lt;=MiscData!$B$24,MiscData!$C$24,MiscData!$C$25))</f>
        <v>20140101</v>
      </c>
      <c r="AK443" s="190" t="str">
        <f>VLOOKUP(AM443,MiscData!$AB$4:$ACB$113,2,FALSE)</f>
        <v>KUUM_301</v>
      </c>
      <c r="AL443" s="190" t="str">
        <f>VLOOKUP(AM443,MiscData!$AB$4:$AE$115,4,FALSE)</f>
        <v>LS</v>
      </c>
      <c r="AM443">
        <f>IF(AM442=MiscData!$AB$91,1,AM442+1)</f>
        <v>2</v>
      </c>
    </row>
    <row r="444" spans="1:39">
      <c r="A444" s="7">
        <f t="shared" ref="A444:A507" si="208">A443+1</f>
        <v>443</v>
      </c>
      <c r="B444" s="13" t="str">
        <f t="shared" si="189"/>
        <v>Jun 2016</v>
      </c>
      <c r="C444" s="23" t="str">
        <f t="shared" si="190"/>
        <v>LS</v>
      </c>
      <c r="D444" s="23" t="str">
        <f t="shared" si="191"/>
        <v>KUUM_360</v>
      </c>
      <c r="E444" s="170">
        <f t="shared" si="192"/>
        <v>178</v>
      </c>
      <c r="F444" s="185"/>
      <c r="G444" s="170">
        <f t="shared" si="193"/>
        <v>0</v>
      </c>
      <c r="H444" s="170"/>
      <c r="I444" s="11">
        <f t="shared" si="194"/>
        <v>55.33</v>
      </c>
      <c r="J444" s="11">
        <f t="shared" si="195"/>
        <v>1.75</v>
      </c>
      <c r="K444" s="416">
        <f t="shared" si="185"/>
        <v>9848.74</v>
      </c>
      <c r="L444" s="180"/>
      <c r="M444" s="180"/>
      <c r="N444" s="186">
        <f t="shared" si="188"/>
        <v>9848.74</v>
      </c>
      <c r="O444" s="29">
        <f t="shared" si="196"/>
        <v>0</v>
      </c>
      <c r="P444" s="181">
        <f t="shared" si="186"/>
        <v>0</v>
      </c>
      <c r="Q444" s="182">
        <f t="shared" si="197"/>
        <v>0</v>
      </c>
      <c r="R444" s="182">
        <f t="shared" si="198"/>
        <v>0</v>
      </c>
      <c r="S444" s="182">
        <f t="shared" si="199"/>
        <v>0</v>
      </c>
      <c r="T444" s="182">
        <f t="shared" si="200"/>
        <v>0</v>
      </c>
      <c r="U444" s="182">
        <f t="shared" si="201"/>
        <v>0</v>
      </c>
      <c r="V444" s="14">
        <f t="shared" si="202"/>
        <v>9848.74</v>
      </c>
      <c r="W444" s="14">
        <f t="shared" si="203"/>
        <v>-9848.74</v>
      </c>
      <c r="Y444" s="14">
        <f t="shared" si="206"/>
        <v>311.5</v>
      </c>
      <c r="Z444" s="14">
        <f t="shared" si="207"/>
        <v>-311.5</v>
      </c>
      <c r="AA444" s="11">
        <f t="shared" si="184"/>
        <v>2.41</v>
      </c>
      <c r="AB444" s="9">
        <f t="shared" si="187"/>
        <v>428.98</v>
      </c>
      <c r="AD444" s="13">
        <f>IF(AH444&gt;AH443,AD443,IF(AD443&lt;MiscData!$F$1,EOMONTH(AD443,1),EOMONTH(AD443,-11)))</f>
        <v>42551</v>
      </c>
      <c r="AE444" s="7" t="str">
        <f t="shared" si="204"/>
        <v>20140101KUUM_360</v>
      </c>
      <c r="AF444" s="12" t="str">
        <f t="shared" si="205"/>
        <v>20140101LS</v>
      </c>
      <c r="AG444" s="31"/>
      <c r="AH444">
        <f>IF(AH443=MiscData!$AB$91,1,AH443+1)</f>
        <v>3</v>
      </c>
      <c r="AI444">
        <f>IF(AD444&lt;=MiscData!$B$23,MiscData!$C$23,IF(AD444&lt;=MiscData!$B$24,MiscData!$C$24,MiscData!$C$25))</f>
        <v>20140101</v>
      </c>
      <c r="AK444" s="190" t="str">
        <f>VLOOKUP(AM444,MiscData!$AB$4:$ACB$113,2,FALSE)</f>
        <v>KUUM_360</v>
      </c>
      <c r="AL444" s="190" t="str">
        <f>VLOOKUP(AM444,MiscData!$AB$4:$AE$115,4,FALSE)</f>
        <v>LS</v>
      </c>
      <c r="AM444">
        <f>IF(AM443=MiscData!$AB$91,1,AM443+1)</f>
        <v>3</v>
      </c>
    </row>
    <row r="445" spans="1:39">
      <c r="A445" s="7">
        <f t="shared" si="208"/>
        <v>444</v>
      </c>
      <c r="B445" s="13" t="str">
        <f t="shared" si="189"/>
        <v>Jun 2016</v>
      </c>
      <c r="C445" s="23" t="str">
        <f t="shared" si="190"/>
        <v>LS</v>
      </c>
      <c r="D445" s="23" t="str">
        <f t="shared" si="191"/>
        <v>KUUM_361</v>
      </c>
      <c r="E445" s="170">
        <f t="shared" si="192"/>
        <v>25</v>
      </c>
      <c r="F445" s="185"/>
      <c r="G445" s="170">
        <f t="shared" si="193"/>
        <v>0</v>
      </c>
      <c r="H445" s="170"/>
      <c r="I445" s="11">
        <f t="shared" si="194"/>
        <v>83.16</v>
      </c>
      <c r="J445" s="11">
        <f t="shared" si="195"/>
        <v>1.75</v>
      </c>
      <c r="K445" s="416">
        <f t="shared" si="185"/>
        <v>2079</v>
      </c>
      <c r="L445" s="180"/>
      <c r="M445" s="180"/>
      <c r="N445" s="186">
        <f t="shared" si="188"/>
        <v>2079</v>
      </c>
      <c r="O445" s="29">
        <f t="shared" si="196"/>
        <v>0</v>
      </c>
      <c r="P445" s="181">
        <f t="shared" si="186"/>
        <v>0</v>
      </c>
      <c r="Q445" s="182">
        <f t="shared" si="197"/>
        <v>0</v>
      </c>
      <c r="R445" s="182">
        <f t="shared" si="198"/>
        <v>0</v>
      </c>
      <c r="S445" s="182">
        <f t="shared" si="199"/>
        <v>0</v>
      </c>
      <c r="T445" s="182">
        <f t="shared" si="200"/>
        <v>0</v>
      </c>
      <c r="U445" s="182">
        <f t="shared" si="201"/>
        <v>0</v>
      </c>
      <c r="V445" s="14">
        <f t="shared" si="202"/>
        <v>2079</v>
      </c>
      <c r="W445" s="14">
        <f t="shared" si="203"/>
        <v>-2079</v>
      </c>
      <c r="Y445" s="14">
        <f t="shared" si="206"/>
        <v>43.75</v>
      </c>
      <c r="Z445" s="14">
        <f t="shared" si="207"/>
        <v>-43.75</v>
      </c>
      <c r="AA445" s="11">
        <f t="shared" si="184"/>
        <v>2.41</v>
      </c>
      <c r="AB445" s="9">
        <f t="shared" si="187"/>
        <v>60.25</v>
      </c>
      <c r="AD445" s="13">
        <f>IF(AH445&gt;AH444,AD444,IF(AD444&lt;MiscData!$F$1,EOMONTH(AD444,1),EOMONTH(AD444,-11)))</f>
        <v>42551</v>
      </c>
      <c r="AE445" s="7" t="str">
        <f t="shared" si="204"/>
        <v>20140101KUUM_361</v>
      </c>
      <c r="AF445" s="12" t="str">
        <f t="shared" si="205"/>
        <v>20140101LS</v>
      </c>
      <c r="AG445" s="31"/>
      <c r="AH445">
        <f>IF(AH444=MiscData!$AB$91,1,AH444+1)</f>
        <v>4</v>
      </c>
      <c r="AI445">
        <f>IF(AD445&lt;=MiscData!$B$23,MiscData!$C$23,IF(AD445&lt;=MiscData!$B$24,MiscData!$C$24,MiscData!$C$25))</f>
        <v>20140101</v>
      </c>
      <c r="AK445" s="190" t="str">
        <f>VLOOKUP(AM445,MiscData!$AB$4:$ACB$113,2,FALSE)</f>
        <v>KUUM_361</v>
      </c>
      <c r="AL445" s="190" t="str">
        <f>VLOOKUP(AM445,MiscData!$AB$4:$AE$115,4,FALSE)</f>
        <v>LS</v>
      </c>
      <c r="AM445">
        <f>IF(AM444=MiscData!$AB$91,1,AM444+1)</f>
        <v>4</v>
      </c>
    </row>
    <row r="446" spans="1:39">
      <c r="A446" s="7">
        <f t="shared" si="208"/>
        <v>445</v>
      </c>
      <c r="B446" s="13" t="str">
        <f t="shared" si="189"/>
        <v>Jun 2016</v>
      </c>
      <c r="C446" s="23" t="str">
        <f t="shared" si="190"/>
        <v>LS</v>
      </c>
      <c r="D446" s="23" t="str">
        <f t="shared" si="191"/>
        <v>KUUM_362</v>
      </c>
      <c r="E446" s="170">
        <f t="shared" si="192"/>
        <v>43</v>
      </c>
      <c r="F446" s="185"/>
      <c r="G446" s="170">
        <f t="shared" si="193"/>
        <v>0</v>
      </c>
      <c r="H446" s="170"/>
      <c r="I446" s="11">
        <f t="shared" si="194"/>
        <v>59.78</v>
      </c>
      <c r="J446" s="11">
        <f t="shared" si="195"/>
        <v>1.75</v>
      </c>
      <c r="K446" s="416">
        <f t="shared" si="185"/>
        <v>2570.54</v>
      </c>
      <c r="L446" s="180"/>
      <c r="M446" s="180"/>
      <c r="N446" s="186">
        <f t="shared" si="188"/>
        <v>2570.54</v>
      </c>
      <c r="O446" s="29">
        <f t="shared" si="196"/>
        <v>0</v>
      </c>
      <c r="P446" s="181">
        <f t="shared" si="186"/>
        <v>0</v>
      </c>
      <c r="Q446" s="182">
        <f t="shared" si="197"/>
        <v>0</v>
      </c>
      <c r="R446" s="182">
        <f t="shared" si="198"/>
        <v>0</v>
      </c>
      <c r="S446" s="182">
        <f t="shared" si="199"/>
        <v>0</v>
      </c>
      <c r="T446" s="182">
        <f t="shared" si="200"/>
        <v>0</v>
      </c>
      <c r="U446" s="182">
        <f t="shared" si="201"/>
        <v>0</v>
      </c>
      <c r="V446" s="14">
        <f t="shared" si="202"/>
        <v>2570.54</v>
      </c>
      <c r="W446" s="14">
        <f t="shared" si="203"/>
        <v>-2570.54</v>
      </c>
      <c r="Y446" s="14">
        <f t="shared" si="206"/>
        <v>75.25</v>
      </c>
      <c r="Z446" s="14">
        <f t="shared" si="207"/>
        <v>-75.25</v>
      </c>
      <c r="AA446" s="11">
        <f t="shared" si="184"/>
        <v>2.41</v>
      </c>
      <c r="AB446" s="9">
        <f t="shared" si="187"/>
        <v>103.63000000000001</v>
      </c>
      <c r="AD446" s="13">
        <f>IF(AH446&gt;AH445,AD445,IF(AD445&lt;MiscData!$F$1,EOMONTH(AD445,1),EOMONTH(AD445,-11)))</f>
        <v>42551</v>
      </c>
      <c r="AE446" s="7" t="str">
        <f t="shared" si="204"/>
        <v>20140101KUUM_362</v>
      </c>
      <c r="AF446" s="12" t="str">
        <f t="shared" si="205"/>
        <v>20140101LS</v>
      </c>
      <c r="AG446" s="31"/>
      <c r="AH446">
        <f>IF(AH445=MiscData!$AB$91,1,AH445+1)</f>
        <v>5</v>
      </c>
      <c r="AI446">
        <f>IF(AD446&lt;=MiscData!$B$23,MiscData!$C$23,IF(AD446&lt;=MiscData!$B$24,MiscData!$C$24,MiscData!$C$25))</f>
        <v>20140101</v>
      </c>
      <c r="AK446" s="190" t="str">
        <f>VLOOKUP(AM446,MiscData!$AB$4:$ACB$113,2,FALSE)</f>
        <v>KUUM_362</v>
      </c>
      <c r="AL446" s="190" t="str">
        <f>VLOOKUP(AM446,MiscData!$AB$4:$AE$115,4,FALSE)</f>
        <v>LS</v>
      </c>
      <c r="AM446">
        <f>IF(AM445=MiscData!$AB$91,1,AM445+1)</f>
        <v>5</v>
      </c>
    </row>
    <row r="447" spans="1:39">
      <c r="A447" s="7">
        <f t="shared" si="208"/>
        <v>446</v>
      </c>
      <c r="B447" s="13" t="str">
        <f t="shared" si="189"/>
        <v>Jun 2016</v>
      </c>
      <c r="C447" s="23" t="str">
        <f t="shared" si="190"/>
        <v>LS</v>
      </c>
      <c r="D447" s="23" t="str">
        <f t="shared" si="191"/>
        <v>KUUM_363</v>
      </c>
      <c r="E447" s="170">
        <f t="shared" si="192"/>
        <v>5</v>
      </c>
      <c r="F447" s="185"/>
      <c r="G447" s="170">
        <f t="shared" si="193"/>
        <v>0</v>
      </c>
      <c r="H447" s="170"/>
      <c r="I447" s="11">
        <f t="shared" si="194"/>
        <v>61.75</v>
      </c>
      <c r="J447" s="11">
        <f t="shared" si="195"/>
        <v>1.75</v>
      </c>
      <c r="K447" s="416">
        <f t="shared" si="185"/>
        <v>308.75</v>
      </c>
      <c r="L447" s="180"/>
      <c r="M447" s="180"/>
      <c r="N447" s="186">
        <f t="shared" si="188"/>
        <v>308.75</v>
      </c>
      <c r="O447" s="29">
        <f t="shared" si="196"/>
        <v>0</v>
      </c>
      <c r="P447" s="181">
        <f t="shared" si="186"/>
        <v>0</v>
      </c>
      <c r="Q447" s="182">
        <f t="shared" si="197"/>
        <v>0</v>
      </c>
      <c r="R447" s="182">
        <f t="shared" si="198"/>
        <v>0</v>
      </c>
      <c r="S447" s="182">
        <f t="shared" si="199"/>
        <v>0</v>
      </c>
      <c r="T447" s="182">
        <f t="shared" si="200"/>
        <v>0</v>
      </c>
      <c r="U447" s="182">
        <f t="shared" si="201"/>
        <v>0</v>
      </c>
      <c r="V447" s="14">
        <f t="shared" si="202"/>
        <v>308.75</v>
      </c>
      <c r="W447" s="14">
        <f t="shared" si="203"/>
        <v>-308.75</v>
      </c>
      <c r="Y447" s="14">
        <f t="shared" si="206"/>
        <v>8.75</v>
      </c>
      <c r="Z447" s="14">
        <f t="shared" si="207"/>
        <v>-8.75</v>
      </c>
      <c r="AA447" s="11">
        <f t="shared" si="184"/>
        <v>2.41</v>
      </c>
      <c r="AB447" s="9">
        <f t="shared" si="187"/>
        <v>12.05</v>
      </c>
      <c r="AD447" s="13">
        <f>IF(AH447&gt;AH446,AD446,IF(AD446&lt;MiscData!$F$1,EOMONTH(AD446,1),EOMONTH(AD446,-11)))</f>
        <v>42551</v>
      </c>
      <c r="AE447" s="7" t="str">
        <f t="shared" si="204"/>
        <v>20140101KUUM_363</v>
      </c>
      <c r="AF447" s="12" t="str">
        <f t="shared" si="205"/>
        <v>20140101LS</v>
      </c>
      <c r="AG447" s="31"/>
      <c r="AH447">
        <f>IF(AH446=MiscData!$AB$91,1,AH446+1)</f>
        <v>6</v>
      </c>
      <c r="AI447">
        <f>IF(AD447&lt;=MiscData!$B$23,MiscData!$C$23,IF(AD447&lt;=MiscData!$B$24,MiscData!$C$24,MiscData!$C$25))</f>
        <v>20140101</v>
      </c>
      <c r="AK447" s="190" t="str">
        <f>VLOOKUP(AM447,MiscData!$AB$4:$ACB$113,2,FALSE)</f>
        <v>KUUM_363</v>
      </c>
      <c r="AL447" s="190" t="str">
        <f>VLOOKUP(AM447,MiscData!$AB$4:$AE$115,4,FALSE)</f>
        <v>LS</v>
      </c>
      <c r="AM447">
        <f>IF(AM446=MiscData!$AB$91,1,AM446+1)</f>
        <v>6</v>
      </c>
    </row>
    <row r="448" spans="1:39">
      <c r="A448" s="7">
        <f t="shared" si="208"/>
        <v>447</v>
      </c>
      <c r="B448" s="13" t="str">
        <f t="shared" si="189"/>
        <v>Jun 2016</v>
      </c>
      <c r="C448" s="23" t="str">
        <f t="shared" si="190"/>
        <v>LS</v>
      </c>
      <c r="D448" s="23" t="str">
        <f t="shared" si="191"/>
        <v>KUUM_364</v>
      </c>
      <c r="E448" s="170">
        <f t="shared" si="192"/>
        <v>1</v>
      </c>
      <c r="F448" s="185"/>
      <c r="G448" s="170">
        <f t="shared" si="193"/>
        <v>0</v>
      </c>
      <c r="H448" s="170"/>
      <c r="I448" s="11">
        <f t="shared" si="194"/>
        <v>63.11</v>
      </c>
      <c r="J448" s="11">
        <f t="shared" si="195"/>
        <v>1.75</v>
      </c>
      <c r="K448" s="416">
        <f t="shared" si="185"/>
        <v>63.11</v>
      </c>
      <c r="L448" s="180"/>
      <c r="M448" s="180"/>
      <c r="N448" s="186">
        <f t="shared" si="188"/>
        <v>63.11</v>
      </c>
      <c r="O448" s="29">
        <f t="shared" si="196"/>
        <v>0</v>
      </c>
      <c r="P448" s="181">
        <f t="shared" si="186"/>
        <v>0</v>
      </c>
      <c r="Q448" s="182">
        <f t="shared" si="197"/>
        <v>0</v>
      </c>
      <c r="R448" s="182">
        <f t="shared" si="198"/>
        <v>0</v>
      </c>
      <c r="S448" s="182">
        <f t="shared" si="199"/>
        <v>0</v>
      </c>
      <c r="T448" s="182">
        <f t="shared" si="200"/>
        <v>0</v>
      </c>
      <c r="U448" s="182">
        <f t="shared" si="201"/>
        <v>0</v>
      </c>
      <c r="V448" s="14">
        <f t="shared" si="202"/>
        <v>63.11</v>
      </c>
      <c r="W448" s="14">
        <f t="shared" si="203"/>
        <v>-63.11</v>
      </c>
      <c r="Y448" s="14">
        <f t="shared" si="206"/>
        <v>1.75</v>
      </c>
      <c r="Z448" s="14">
        <f t="shared" si="207"/>
        <v>-1.75</v>
      </c>
      <c r="AA448" s="11">
        <f t="shared" si="184"/>
        <v>2.41</v>
      </c>
      <c r="AB448" s="9">
        <f t="shared" si="187"/>
        <v>2.41</v>
      </c>
      <c r="AD448" s="13">
        <f>IF(AH448&gt;AH447,AD447,IF(AD447&lt;MiscData!$F$1,EOMONTH(AD447,1),EOMONTH(AD447,-11)))</f>
        <v>42551</v>
      </c>
      <c r="AE448" s="7" t="str">
        <f t="shared" si="204"/>
        <v>20140101KUUM_364</v>
      </c>
      <c r="AF448" s="12" t="str">
        <f t="shared" si="205"/>
        <v>20140101LS</v>
      </c>
      <c r="AG448" s="31"/>
      <c r="AH448">
        <f>IF(AH447=MiscData!$AB$91,1,AH447+1)</f>
        <v>7</v>
      </c>
      <c r="AI448">
        <f>IF(AD448&lt;=MiscData!$B$23,MiscData!$C$23,IF(AD448&lt;=MiscData!$B$24,MiscData!$C$24,MiscData!$C$25))</f>
        <v>20140101</v>
      </c>
      <c r="AK448" s="190" t="str">
        <f>VLOOKUP(AM448,MiscData!$AB$4:$ACB$113,2,FALSE)</f>
        <v>KUUM_364</v>
      </c>
      <c r="AL448" s="190" t="str">
        <f>VLOOKUP(AM448,MiscData!$AB$4:$AE$115,4,FALSE)</f>
        <v>LS</v>
      </c>
      <c r="AM448">
        <f>IF(AM447=MiscData!$AB$91,1,AM447+1)</f>
        <v>7</v>
      </c>
    </row>
    <row r="449" spans="1:39">
      <c r="A449" s="7">
        <f t="shared" si="208"/>
        <v>448</v>
      </c>
      <c r="B449" s="13" t="str">
        <f t="shared" si="189"/>
        <v>Jun 2016</v>
      </c>
      <c r="C449" s="23" t="str">
        <f t="shared" si="190"/>
        <v>LS</v>
      </c>
      <c r="D449" s="23" t="str">
        <f t="shared" si="191"/>
        <v>KUUM_365</v>
      </c>
      <c r="E449" s="170">
        <f t="shared" si="192"/>
        <v>5</v>
      </c>
      <c r="F449" s="185"/>
      <c r="G449" s="170">
        <f t="shared" si="193"/>
        <v>0</v>
      </c>
      <c r="H449" s="170"/>
      <c r="I449" s="11">
        <f t="shared" si="194"/>
        <v>80.94</v>
      </c>
      <c r="J449" s="11">
        <f t="shared" si="195"/>
        <v>1.75</v>
      </c>
      <c r="K449" s="416">
        <f t="shared" si="185"/>
        <v>404.7</v>
      </c>
      <c r="L449" s="180"/>
      <c r="M449" s="180"/>
      <c r="N449" s="186">
        <f t="shared" si="188"/>
        <v>404.7</v>
      </c>
      <c r="O449" s="29">
        <f t="shared" si="196"/>
        <v>0</v>
      </c>
      <c r="P449" s="181">
        <f t="shared" si="186"/>
        <v>0</v>
      </c>
      <c r="Q449" s="182">
        <f t="shared" si="197"/>
        <v>0</v>
      </c>
      <c r="R449" s="182">
        <f t="shared" si="198"/>
        <v>0</v>
      </c>
      <c r="S449" s="182">
        <f t="shared" si="199"/>
        <v>0</v>
      </c>
      <c r="T449" s="182">
        <f t="shared" si="200"/>
        <v>0</v>
      </c>
      <c r="U449" s="182">
        <f t="shared" si="201"/>
        <v>0</v>
      </c>
      <c r="V449" s="14">
        <f t="shared" si="202"/>
        <v>404.7</v>
      </c>
      <c r="W449" s="14">
        <f t="shared" si="203"/>
        <v>-404.7</v>
      </c>
      <c r="Y449" s="14">
        <f t="shared" si="206"/>
        <v>8.75</v>
      </c>
      <c r="Z449" s="14">
        <f t="shared" si="207"/>
        <v>-8.75</v>
      </c>
      <c r="AA449" s="11">
        <f t="shared" si="184"/>
        <v>2.41</v>
      </c>
      <c r="AB449" s="9">
        <f t="shared" si="187"/>
        <v>12.05</v>
      </c>
      <c r="AD449" s="13">
        <f>IF(AH449&gt;AH448,AD448,IF(AD448&lt;MiscData!$F$1,EOMONTH(AD448,1),EOMONTH(AD448,-11)))</f>
        <v>42551</v>
      </c>
      <c r="AE449" s="7" t="str">
        <f t="shared" si="204"/>
        <v>20140101KUUM_365</v>
      </c>
      <c r="AF449" s="12" t="str">
        <f t="shared" si="205"/>
        <v>20140101LS</v>
      </c>
      <c r="AG449" s="31"/>
      <c r="AH449">
        <f>IF(AH448=MiscData!$AB$91,1,AH448+1)</f>
        <v>8</v>
      </c>
      <c r="AI449">
        <f>IF(AD449&lt;=MiscData!$B$23,MiscData!$C$23,IF(AD449&lt;=MiscData!$B$24,MiscData!$C$24,MiscData!$C$25))</f>
        <v>20140101</v>
      </c>
      <c r="AK449" s="190" t="str">
        <f>VLOOKUP(AM449,MiscData!$AB$4:$ACB$113,2,FALSE)</f>
        <v>KUUM_365</v>
      </c>
      <c r="AL449" s="190" t="str">
        <f>VLOOKUP(AM449,MiscData!$AB$4:$AE$115,4,FALSE)</f>
        <v>LS</v>
      </c>
      <c r="AM449">
        <f>IF(AM448=MiscData!$AB$91,1,AM448+1)</f>
        <v>8</v>
      </c>
    </row>
    <row r="450" spans="1:39">
      <c r="A450" s="7">
        <f t="shared" si="208"/>
        <v>449</v>
      </c>
      <c r="B450" s="13" t="str">
        <f t="shared" si="189"/>
        <v>Jun 2016</v>
      </c>
      <c r="C450" s="23" t="str">
        <f t="shared" si="190"/>
        <v>LS</v>
      </c>
      <c r="D450" s="23" t="str">
        <f t="shared" si="191"/>
        <v>KUUM_366</v>
      </c>
      <c r="E450" s="170">
        <f t="shared" si="192"/>
        <v>9</v>
      </c>
      <c r="F450" s="185"/>
      <c r="G450" s="170">
        <f t="shared" si="193"/>
        <v>0</v>
      </c>
      <c r="H450" s="170"/>
      <c r="I450" s="11">
        <f t="shared" si="194"/>
        <v>78.97</v>
      </c>
      <c r="J450" s="11">
        <f t="shared" si="195"/>
        <v>1.75</v>
      </c>
      <c r="K450" s="416">
        <f t="shared" si="185"/>
        <v>710.73</v>
      </c>
      <c r="L450" s="180"/>
      <c r="M450" s="180"/>
      <c r="N450" s="186">
        <f t="shared" si="188"/>
        <v>710.73</v>
      </c>
      <c r="O450" s="29">
        <f t="shared" si="196"/>
        <v>0</v>
      </c>
      <c r="P450" s="181">
        <f t="shared" si="186"/>
        <v>0</v>
      </c>
      <c r="Q450" s="182">
        <f t="shared" si="197"/>
        <v>0</v>
      </c>
      <c r="R450" s="182">
        <f t="shared" si="198"/>
        <v>0</v>
      </c>
      <c r="S450" s="182">
        <f t="shared" si="199"/>
        <v>0</v>
      </c>
      <c r="T450" s="182">
        <f t="shared" si="200"/>
        <v>0</v>
      </c>
      <c r="U450" s="182">
        <f t="shared" si="201"/>
        <v>0</v>
      </c>
      <c r="V450" s="14">
        <f t="shared" si="202"/>
        <v>710.73</v>
      </c>
      <c r="W450" s="14">
        <f t="shared" si="203"/>
        <v>-710.73</v>
      </c>
      <c r="Y450" s="14">
        <f t="shared" si="206"/>
        <v>15.75</v>
      </c>
      <c r="Z450" s="14">
        <f t="shared" si="207"/>
        <v>-15.75</v>
      </c>
      <c r="AA450" s="11">
        <f t="shared" ref="AA450:AA513" si="209">SUMIF(_Lights_Tariff_Category,$AE450,_Rates_Lights_ECR)</f>
        <v>2.41</v>
      </c>
      <c r="AB450" s="9">
        <f t="shared" si="187"/>
        <v>21.69</v>
      </c>
      <c r="AD450" s="13">
        <f>IF(AH450&gt;AH449,AD449,IF(AD449&lt;MiscData!$F$1,EOMONTH(AD449,1),EOMONTH(AD449,-11)))</f>
        <v>42551</v>
      </c>
      <c r="AE450" s="7" t="str">
        <f t="shared" si="204"/>
        <v>20140101KUUM_366</v>
      </c>
      <c r="AF450" s="12" t="str">
        <f t="shared" si="205"/>
        <v>20140101LS</v>
      </c>
      <c r="AG450" s="31"/>
      <c r="AH450">
        <f>IF(AH449=MiscData!$AB$91,1,AH449+1)</f>
        <v>9</v>
      </c>
      <c r="AI450">
        <f>IF(AD450&lt;=MiscData!$B$23,MiscData!$C$23,IF(AD450&lt;=MiscData!$B$24,MiscData!$C$24,MiscData!$C$25))</f>
        <v>20140101</v>
      </c>
      <c r="AK450" s="190" t="str">
        <f>VLOOKUP(AM450,MiscData!$AB$4:$ACB$113,2,FALSE)</f>
        <v>KUUM_366</v>
      </c>
      <c r="AL450" s="190" t="str">
        <f>VLOOKUP(AM450,MiscData!$AB$4:$AE$115,4,FALSE)</f>
        <v>LS</v>
      </c>
      <c r="AM450">
        <f>IF(AM449=MiscData!$AB$91,1,AM449+1)</f>
        <v>9</v>
      </c>
    </row>
    <row r="451" spans="1:39">
      <c r="A451" s="7">
        <f t="shared" si="208"/>
        <v>450</v>
      </c>
      <c r="B451" s="13" t="str">
        <f t="shared" si="189"/>
        <v>Jun 2016</v>
      </c>
      <c r="C451" s="23" t="str">
        <f t="shared" si="190"/>
        <v>LS</v>
      </c>
      <c r="D451" s="23" t="str">
        <f t="shared" si="191"/>
        <v>KUUM_367</v>
      </c>
      <c r="E451" s="170">
        <f t="shared" si="192"/>
        <v>25</v>
      </c>
      <c r="F451" s="185"/>
      <c r="G451" s="170">
        <f t="shared" si="193"/>
        <v>0</v>
      </c>
      <c r="H451" s="170"/>
      <c r="I451" s="11">
        <f t="shared" si="194"/>
        <v>61.230000000000004</v>
      </c>
      <c r="J451" s="11">
        <f t="shared" si="195"/>
        <v>1.75</v>
      </c>
      <c r="K451" s="416">
        <f t="shared" ref="K451:K514" si="210">ROUND(($E451+$F451)*$I451,2)</f>
        <v>1530.75</v>
      </c>
      <c r="L451" s="180"/>
      <c r="M451" s="180"/>
      <c r="N451" s="186">
        <f t="shared" si="188"/>
        <v>1530.75</v>
      </c>
      <c r="O451" s="29">
        <f t="shared" si="196"/>
        <v>0</v>
      </c>
      <c r="P451" s="181">
        <f t="shared" ref="P451:P514" si="211">IF(AND(N451=0,O451=0),1,IF(N451=0,0,ROUND(O451/N451,6)))</f>
        <v>0</v>
      </c>
      <c r="Q451" s="182">
        <f t="shared" si="197"/>
        <v>0</v>
      </c>
      <c r="R451" s="182">
        <f t="shared" si="198"/>
        <v>0</v>
      </c>
      <c r="S451" s="182">
        <f t="shared" si="199"/>
        <v>0</v>
      </c>
      <c r="T451" s="182">
        <f t="shared" si="200"/>
        <v>0</v>
      </c>
      <c r="U451" s="182">
        <f t="shared" si="201"/>
        <v>0</v>
      </c>
      <c r="V451" s="14">
        <f t="shared" si="202"/>
        <v>1530.75</v>
      </c>
      <c r="W451" s="14">
        <f t="shared" si="203"/>
        <v>-1530.75</v>
      </c>
      <c r="Y451" s="14">
        <f t="shared" si="206"/>
        <v>43.75</v>
      </c>
      <c r="Z451" s="14">
        <f t="shared" si="207"/>
        <v>-43.75</v>
      </c>
      <c r="AA451" s="11">
        <f t="shared" si="209"/>
        <v>2.41</v>
      </c>
      <c r="AB451" s="9">
        <f t="shared" ref="AB451:AB514" si="212">E451*AA451</f>
        <v>60.25</v>
      </c>
      <c r="AD451" s="13">
        <f>IF(AH451&gt;AH450,AD450,IF(AD450&lt;MiscData!$F$1,EOMONTH(AD450,1),EOMONTH(AD450,-11)))</f>
        <v>42551</v>
      </c>
      <c r="AE451" s="7" t="str">
        <f t="shared" si="204"/>
        <v>20140101KUUM_367</v>
      </c>
      <c r="AF451" s="12" t="str">
        <f t="shared" si="205"/>
        <v>20140101LS</v>
      </c>
      <c r="AG451" s="31"/>
      <c r="AH451">
        <f>IF(AH450=MiscData!$AB$91,1,AH450+1)</f>
        <v>10</v>
      </c>
      <c r="AI451">
        <f>IF(AD451&lt;=MiscData!$B$23,MiscData!$C$23,IF(AD451&lt;=MiscData!$B$24,MiscData!$C$24,MiscData!$C$25))</f>
        <v>20140101</v>
      </c>
      <c r="AK451" s="190" t="str">
        <f>VLOOKUP(AM451,MiscData!$AB$4:$ACB$113,2,FALSE)</f>
        <v>KUUM_367</v>
      </c>
      <c r="AL451" s="190" t="str">
        <f>VLOOKUP(AM451,MiscData!$AB$4:$AE$115,4,FALSE)</f>
        <v>LS</v>
      </c>
      <c r="AM451">
        <f>IF(AM450=MiscData!$AB$91,1,AM450+1)</f>
        <v>10</v>
      </c>
    </row>
    <row r="452" spans="1:39">
      <c r="A452" s="7">
        <f t="shared" si="208"/>
        <v>451</v>
      </c>
      <c r="B452" s="13" t="str">
        <f t="shared" si="189"/>
        <v>Jun 2016</v>
      </c>
      <c r="C452" s="23" t="str">
        <f t="shared" si="190"/>
        <v>LS</v>
      </c>
      <c r="D452" s="23" t="str">
        <f t="shared" si="191"/>
        <v>KUUM_368</v>
      </c>
      <c r="E452" s="170">
        <f t="shared" si="192"/>
        <v>1</v>
      </c>
      <c r="F452" s="185"/>
      <c r="G452" s="170">
        <f t="shared" si="193"/>
        <v>0</v>
      </c>
      <c r="H452" s="170"/>
      <c r="I452" s="11">
        <f t="shared" si="194"/>
        <v>56.69</v>
      </c>
      <c r="J452" s="11">
        <f t="shared" si="195"/>
        <v>1.75</v>
      </c>
      <c r="K452" s="416">
        <f t="shared" si="210"/>
        <v>56.69</v>
      </c>
      <c r="L452" s="180"/>
      <c r="M452" s="180"/>
      <c r="N452" s="186">
        <f t="shared" si="188"/>
        <v>56.69</v>
      </c>
      <c r="O452" s="29">
        <f t="shared" si="196"/>
        <v>0</v>
      </c>
      <c r="P452" s="181">
        <f t="shared" si="211"/>
        <v>0</v>
      </c>
      <c r="Q452" s="182">
        <f t="shared" si="197"/>
        <v>0</v>
      </c>
      <c r="R452" s="182">
        <f t="shared" si="198"/>
        <v>0</v>
      </c>
      <c r="S452" s="182">
        <f t="shared" si="199"/>
        <v>0</v>
      </c>
      <c r="T452" s="182">
        <f t="shared" si="200"/>
        <v>0</v>
      </c>
      <c r="U452" s="182">
        <f t="shared" si="201"/>
        <v>0</v>
      </c>
      <c r="V452" s="14">
        <f t="shared" si="202"/>
        <v>56.69</v>
      </c>
      <c r="W452" s="14">
        <f t="shared" si="203"/>
        <v>-56.69</v>
      </c>
      <c r="Y452" s="14">
        <f t="shared" si="206"/>
        <v>1.75</v>
      </c>
      <c r="Z452" s="14">
        <f t="shared" si="207"/>
        <v>-1.75</v>
      </c>
      <c r="AA452" s="11">
        <f t="shared" si="209"/>
        <v>2.41</v>
      </c>
      <c r="AB452" s="9">
        <f t="shared" si="212"/>
        <v>2.41</v>
      </c>
      <c r="AD452" s="13">
        <f>IF(AH452&gt;AH451,AD451,IF(AD451&lt;MiscData!$F$1,EOMONTH(AD451,1),EOMONTH(AD451,-11)))</f>
        <v>42551</v>
      </c>
      <c r="AE452" s="7" t="str">
        <f t="shared" si="204"/>
        <v>20140101KUUM_368</v>
      </c>
      <c r="AF452" s="12" t="str">
        <f t="shared" si="205"/>
        <v>20140101LS</v>
      </c>
      <c r="AG452" s="31"/>
      <c r="AH452">
        <f>IF(AH451=MiscData!$AB$91,1,AH451+1)</f>
        <v>11</v>
      </c>
      <c r="AI452">
        <f>IF(AD452&lt;=MiscData!$B$23,MiscData!$C$23,IF(AD452&lt;=MiscData!$B$24,MiscData!$C$24,MiscData!$C$25))</f>
        <v>20140101</v>
      </c>
      <c r="AK452" s="190" t="str">
        <f>VLOOKUP(AM452,MiscData!$AB$4:$ACB$113,2,FALSE)</f>
        <v>KUUM_368</v>
      </c>
      <c r="AL452" s="190" t="str">
        <f>VLOOKUP(AM452,MiscData!$AB$4:$AE$115,4,FALSE)</f>
        <v>LS</v>
      </c>
      <c r="AM452">
        <f>IF(AM451=MiscData!$AB$91,1,AM451+1)</f>
        <v>11</v>
      </c>
    </row>
    <row r="453" spans="1:39">
      <c r="A453" s="7">
        <f t="shared" si="208"/>
        <v>452</v>
      </c>
      <c r="B453" s="13" t="str">
        <f t="shared" si="189"/>
        <v>Jun 2016</v>
      </c>
      <c r="C453" s="23" t="str">
        <f t="shared" si="190"/>
        <v>LS</v>
      </c>
      <c r="D453" s="23" t="str">
        <f t="shared" si="191"/>
        <v>KUUM_370</v>
      </c>
      <c r="E453" s="170">
        <f t="shared" si="192"/>
        <v>15</v>
      </c>
      <c r="F453" s="185"/>
      <c r="G453" s="170">
        <f t="shared" si="193"/>
        <v>0</v>
      </c>
      <c r="H453" s="170"/>
      <c r="I453" s="11">
        <f t="shared" si="194"/>
        <v>74.52</v>
      </c>
      <c r="J453" s="11">
        <f t="shared" si="195"/>
        <v>1.75</v>
      </c>
      <c r="K453" s="416">
        <f t="shared" si="210"/>
        <v>1117.8</v>
      </c>
      <c r="L453" s="180"/>
      <c r="M453" s="180"/>
      <c r="N453" s="186">
        <f t="shared" si="188"/>
        <v>1117.8</v>
      </c>
      <c r="O453" s="29">
        <f t="shared" si="196"/>
        <v>0</v>
      </c>
      <c r="P453" s="181">
        <f t="shared" si="211"/>
        <v>0</v>
      </c>
      <c r="Q453" s="182">
        <f t="shared" si="197"/>
        <v>0</v>
      </c>
      <c r="R453" s="182">
        <f t="shared" si="198"/>
        <v>0</v>
      </c>
      <c r="S453" s="182">
        <f t="shared" si="199"/>
        <v>0</v>
      </c>
      <c r="T453" s="182">
        <f t="shared" si="200"/>
        <v>0</v>
      </c>
      <c r="U453" s="182">
        <f t="shared" si="201"/>
        <v>0</v>
      </c>
      <c r="V453" s="14">
        <f t="shared" si="202"/>
        <v>1117.8</v>
      </c>
      <c r="W453" s="14">
        <f t="shared" si="203"/>
        <v>-1117.8</v>
      </c>
      <c r="Y453" s="14">
        <f t="shared" si="206"/>
        <v>26.25</v>
      </c>
      <c r="Z453" s="14">
        <f t="shared" si="207"/>
        <v>-26.25</v>
      </c>
      <c r="AA453" s="11">
        <f t="shared" si="209"/>
        <v>2.41</v>
      </c>
      <c r="AB453" s="9">
        <f t="shared" si="212"/>
        <v>36.150000000000006</v>
      </c>
      <c r="AD453" s="13">
        <f>IF(AH453&gt;AH452,AD452,IF(AD452&lt;MiscData!$F$1,EOMONTH(AD452,1),EOMONTH(AD452,-11)))</f>
        <v>42551</v>
      </c>
      <c r="AE453" s="7" t="str">
        <f t="shared" si="204"/>
        <v>20140101KUUM_370</v>
      </c>
      <c r="AF453" s="12" t="str">
        <f t="shared" si="205"/>
        <v>20140101LS</v>
      </c>
      <c r="AG453" s="31"/>
      <c r="AH453">
        <f>IF(AH452=MiscData!$AB$91,1,AH452+1)</f>
        <v>12</v>
      </c>
      <c r="AI453">
        <f>IF(AD453&lt;=MiscData!$B$23,MiscData!$C$23,IF(AD453&lt;=MiscData!$B$24,MiscData!$C$24,MiscData!$C$25))</f>
        <v>20140101</v>
      </c>
      <c r="AK453" s="190" t="str">
        <f>VLOOKUP(AM453,MiscData!$AB$4:$ACB$113,2,FALSE)</f>
        <v>KUUM_370</v>
      </c>
      <c r="AL453" s="190" t="str">
        <f>VLOOKUP(AM453,MiscData!$AB$4:$AE$115,4,FALSE)</f>
        <v>LS</v>
      </c>
      <c r="AM453">
        <f>IF(AM452=MiscData!$AB$91,1,AM452+1)</f>
        <v>12</v>
      </c>
    </row>
    <row r="454" spans="1:39">
      <c r="A454" s="7">
        <f t="shared" si="208"/>
        <v>453</v>
      </c>
      <c r="B454" s="13" t="str">
        <f t="shared" si="189"/>
        <v>Jun 2016</v>
      </c>
      <c r="C454" s="23" t="str">
        <f t="shared" si="190"/>
        <v>LS</v>
      </c>
      <c r="D454" s="23" t="str">
        <f t="shared" si="191"/>
        <v>KUUM_372</v>
      </c>
      <c r="E454" s="170">
        <f t="shared" si="192"/>
        <v>1</v>
      </c>
      <c r="F454" s="185"/>
      <c r="G454" s="170">
        <f t="shared" si="193"/>
        <v>0</v>
      </c>
      <c r="H454" s="170"/>
      <c r="I454" s="11">
        <f t="shared" si="194"/>
        <v>82.3</v>
      </c>
      <c r="J454" s="11">
        <f t="shared" si="195"/>
        <v>1.75</v>
      </c>
      <c r="K454" s="416">
        <f t="shared" si="210"/>
        <v>82.3</v>
      </c>
      <c r="L454" s="180"/>
      <c r="M454" s="180"/>
      <c r="N454" s="186">
        <f t="shared" si="188"/>
        <v>82.3</v>
      </c>
      <c r="O454" s="29">
        <f t="shared" si="196"/>
        <v>0</v>
      </c>
      <c r="P454" s="181">
        <f t="shared" si="211"/>
        <v>0</v>
      </c>
      <c r="Q454" s="182">
        <f t="shared" si="197"/>
        <v>0</v>
      </c>
      <c r="R454" s="182">
        <f t="shared" si="198"/>
        <v>0</v>
      </c>
      <c r="S454" s="182">
        <f t="shared" si="199"/>
        <v>0</v>
      </c>
      <c r="T454" s="182">
        <f t="shared" si="200"/>
        <v>0</v>
      </c>
      <c r="U454" s="182">
        <f t="shared" si="201"/>
        <v>0</v>
      </c>
      <c r="V454" s="14">
        <f t="shared" si="202"/>
        <v>82.3</v>
      </c>
      <c r="W454" s="14">
        <f t="shared" si="203"/>
        <v>-82.3</v>
      </c>
      <c r="Y454" s="14">
        <f t="shared" si="206"/>
        <v>1.75</v>
      </c>
      <c r="Z454" s="14">
        <f t="shared" si="207"/>
        <v>-1.75</v>
      </c>
      <c r="AA454" s="11">
        <f t="shared" si="209"/>
        <v>2.41</v>
      </c>
      <c r="AB454" s="9">
        <f t="shared" si="212"/>
        <v>2.41</v>
      </c>
      <c r="AD454" s="13">
        <f>IF(AH454&gt;AH453,AD453,IF(AD453&lt;MiscData!$F$1,EOMONTH(AD453,1),EOMONTH(AD453,-11)))</f>
        <v>42551</v>
      </c>
      <c r="AE454" s="7" t="str">
        <f t="shared" si="204"/>
        <v>20140101KUUM_372</v>
      </c>
      <c r="AF454" s="12" t="str">
        <f t="shared" si="205"/>
        <v>20140101LS</v>
      </c>
      <c r="AG454" s="31"/>
      <c r="AH454">
        <f>IF(AH453=MiscData!$AB$91,1,AH453+1)</f>
        <v>13</v>
      </c>
      <c r="AI454">
        <f>IF(AD454&lt;=MiscData!$B$23,MiscData!$C$23,IF(AD454&lt;=MiscData!$B$24,MiscData!$C$24,MiscData!$C$25))</f>
        <v>20140101</v>
      </c>
      <c r="AK454" s="190" t="str">
        <f>VLOOKUP(AM454,MiscData!$AB$4:$ACB$113,2,FALSE)</f>
        <v>KUUM_372</v>
      </c>
      <c r="AL454" s="190" t="str">
        <f>VLOOKUP(AM454,MiscData!$AB$4:$AE$115,4,FALSE)</f>
        <v>LS</v>
      </c>
      <c r="AM454">
        <f>IF(AM453=MiscData!$AB$91,1,AM453+1)</f>
        <v>13</v>
      </c>
    </row>
    <row r="455" spans="1:39">
      <c r="A455" s="7">
        <f t="shared" si="208"/>
        <v>454</v>
      </c>
      <c r="B455" s="13" t="str">
        <f t="shared" si="189"/>
        <v>Jun 2016</v>
      </c>
      <c r="C455" s="23" t="str">
        <f t="shared" si="190"/>
        <v>LS</v>
      </c>
      <c r="D455" s="23" t="str">
        <f t="shared" si="191"/>
        <v>KUUM_373</v>
      </c>
      <c r="E455" s="170">
        <f t="shared" si="192"/>
        <v>20</v>
      </c>
      <c r="F455" s="185"/>
      <c r="G455" s="170">
        <f t="shared" si="193"/>
        <v>0</v>
      </c>
      <c r="H455" s="170"/>
      <c r="I455" s="11">
        <f t="shared" si="194"/>
        <v>74.52</v>
      </c>
      <c r="J455" s="11">
        <f t="shared" si="195"/>
        <v>1.75</v>
      </c>
      <c r="K455" s="416">
        <f t="shared" si="210"/>
        <v>1490.4</v>
      </c>
      <c r="L455" s="180"/>
      <c r="M455" s="180"/>
      <c r="N455" s="186">
        <f t="shared" si="188"/>
        <v>1490.4</v>
      </c>
      <c r="O455" s="29">
        <f t="shared" si="196"/>
        <v>0</v>
      </c>
      <c r="P455" s="181">
        <f t="shared" si="211"/>
        <v>0</v>
      </c>
      <c r="Q455" s="182">
        <f t="shared" si="197"/>
        <v>0</v>
      </c>
      <c r="R455" s="182">
        <f t="shared" si="198"/>
        <v>0</v>
      </c>
      <c r="S455" s="182">
        <f t="shared" si="199"/>
        <v>0</v>
      </c>
      <c r="T455" s="182">
        <f t="shared" si="200"/>
        <v>0</v>
      </c>
      <c r="U455" s="182">
        <f t="shared" si="201"/>
        <v>0</v>
      </c>
      <c r="V455" s="14">
        <f t="shared" si="202"/>
        <v>1490.4</v>
      </c>
      <c r="W455" s="14">
        <f t="shared" si="203"/>
        <v>-1490.4</v>
      </c>
      <c r="Y455" s="14">
        <f t="shared" si="206"/>
        <v>35</v>
      </c>
      <c r="Z455" s="14">
        <f t="shared" si="207"/>
        <v>-35</v>
      </c>
      <c r="AA455" s="11">
        <f t="shared" si="209"/>
        <v>2.41</v>
      </c>
      <c r="AB455" s="9">
        <f t="shared" si="212"/>
        <v>48.2</v>
      </c>
      <c r="AD455" s="13">
        <f>IF(AH455&gt;AH454,AD454,IF(AD454&lt;MiscData!$F$1,EOMONTH(AD454,1),EOMONTH(AD454,-11)))</f>
        <v>42551</v>
      </c>
      <c r="AE455" s="7" t="str">
        <f t="shared" si="204"/>
        <v>20140101KUUM_373</v>
      </c>
      <c r="AF455" s="12" t="str">
        <f t="shared" si="205"/>
        <v>20140101LS</v>
      </c>
      <c r="AG455" s="31"/>
      <c r="AH455">
        <f>IF(AH454=MiscData!$AB$91,1,AH454+1)</f>
        <v>14</v>
      </c>
      <c r="AI455">
        <f>IF(AD455&lt;=MiscData!$B$23,MiscData!$C$23,IF(AD455&lt;=MiscData!$B$24,MiscData!$C$24,MiscData!$C$25))</f>
        <v>20140101</v>
      </c>
      <c r="AK455" s="190" t="str">
        <f>VLOOKUP(AM455,MiscData!$AB$4:$ACB$113,2,FALSE)</f>
        <v>KUUM_373</v>
      </c>
      <c r="AL455" s="190" t="str">
        <f>VLOOKUP(AM455,MiscData!$AB$4:$AE$115,4,FALSE)</f>
        <v>LS</v>
      </c>
      <c r="AM455">
        <f>IF(AM454=MiscData!$AB$91,1,AM454+1)</f>
        <v>14</v>
      </c>
    </row>
    <row r="456" spans="1:39">
      <c r="A456" s="7">
        <f t="shared" si="208"/>
        <v>455</v>
      </c>
      <c r="B456" s="13" t="str">
        <f t="shared" si="189"/>
        <v>Jun 2016</v>
      </c>
      <c r="C456" s="23" t="str">
        <f t="shared" si="190"/>
        <v>LS</v>
      </c>
      <c r="D456" s="23" t="str">
        <f t="shared" si="191"/>
        <v>KUUM_374</v>
      </c>
      <c r="E456" s="170">
        <f t="shared" si="192"/>
        <v>4</v>
      </c>
      <c r="F456" s="185"/>
      <c r="G456" s="170">
        <f t="shared" si="193"/>
        <v>0</v>
      </c>
      <c r="H456" s="170"/>
      <c r="I456" s="11">
        <f t="shared" si="194"/>
        <v>75.88</v>
      </c>
      <c r="J456" s="11">
        <f t="shared" si="195"/>
        <v>1.75</v>
      </c>
      <c r="K456" s="416">
        <f t="shared" si="210"/>
        <v>303.52</v>
      </c>
      <c r="L456" s="180"/>
      <c r="M456" s="180"/>
      <c r="N456" s="186">
        <f t="shared" si="188"/>
        <v>303.52</v>
      </c>
      <c r="O456" s="29">
        <f t="shared" si="196"/>
        <v>0</v>
      </c>
      <c r="P456" s="181">
        <f t="shared" si="211"/>
        <v>0</v>
      </c>
      <c r="Q456" s="182">
        <f t="shared" si="197"/>
        <v>0</v>
      </c>
      <c r="R456" s="182">
        <f t="shared" si="198"/>
        <v>0</v>
      </c>
      <c r="S456" s="182">
        <f t="shared" si="199"/>
        <v>0</v>
      </c>
      <c r="T456" s="182">
        <f t="shared" si="200"/>
        <v>0</v>
      </c>
      <c r="U456" s="182">
        <f t="shared" si="201"/>
        <v>0</v>
      </c>
      <c r="V456" s="14">
        <f t="shared" si="202"/>
        <v>303.52</v>
      </c>
      <c r="W456" s="14">
        <f t="shared" si="203"/>
        <v>-303.52</v>
      </c>
      <c r="Y456" s="14">
        <f t="shared" si="206"/>
        <v>7</v>
      </c>
      <c r="Z456" s="14">
        <f t="shared" si="207"/>
        <v>-7</v>
      </c>
      <c r="AA456" s="11">
        <f t="shared" si="209"/>
        <v>2.41</v>
      </c>
      <c r="AB456" s="9">
        <f t="shared" si="212"/>
        <v>9.64</v>
      </c>
      <c r="AD456" s="13">
        <f>IF(AH456&gt;AH455,AD455,IF(AD455&lt;MiscData!$F$1,EOMONTH(AD455,1),EOMONTH(AD455,-11)))</f>
        <v>42551</v>
      </c>
      <c r="AE456" s="7" t="str">
        <f t="shared" si="204"/>
        <v>20140101KUUM_374</v>
      </c>
      <c r="AF456" s="12" t="str">
        <f t="shared" si="205"/>
        <v>20140101LS</v>
      </c>
      <c r="AG456" s="31"/>
      <c r="AH456">
        <f>IF(AH455=MiscData!$AB$91,1,AH455+1)</f>
        <v>15</v>
      </c>
      <c r="AI456">
        <f>IF(AD456&lt;=MiscData!$B$23,MiscData!$C$23,IF(AD456&lt;=MiscData!$B$24,MiscData!$C$24,MiscData!$C$25))</f>
        <v>20140101</v>
      </c>
      <c r="AK456" s="190" t="str">
        <f>VLOOKUP(AM456,MiscData!$AB$4:$ACB$113,2,FALSE)</f>
        <v>KUUM_374</v>
      </c>
      <c r="AL456" s="190" t="str">
        <f>VLOOKUP(AM456,MiscData!$AB$4:$AE$115,4,FALSE)</f>
        <v>LS</v>
      </c>
      <c r="AM456">
        <f>IF(AM455=MiscData!$AB$91,1,AM455+1)</f>
        <v>15</v>
      </c>
    </row>
    <row r="457" spans="1:39">
      <c r="A457" s="7">
        <f t="shared" si="208"/>
        <v>456</v>
      </c>
      <c r="B457" s="13" t="str">
        <f t="shared" si="189"/>
        <v>Jun 2016</v>
      </c>
      <c r="C457" s="23" t="str">
        <f t="shared" si="190"/>
        <v>LS</v>
      </c>
      <c r="D457" s="23" t="str">
        <f t="shared" si="191"/>
        <v>KUUM_375</v>
      </c>
      <c r="E457" s="170">
        <f t="shared" si="192"/>
        <v>3</v>
      </c>
      <c r="F457" s="185"/>
      <c r="G457" s="170">
        <f t="shared" si="193"/>
        <v>0</v>
      </c>
      <c r="H457" s="170"/>
      <c r="I457" s="11">
        <f t="shared" si="194"/>
        <v>78.97</v>
      </c>
      <c r="J457" s="11">
        <f t="shared" si="195"/>
        <v>1.75</v>
      </c>
      <c r="K457" s="416">
        <f t="shared" si="210"/>
        <v>236.91</v>
      </c>
      <c r="L457" s="180"/>
      <c r="M457" s="180"/>
      <c r="N457" s="186">
        <f t="shared" si="188"/>
        <v>236.91</v>
      </c>
      <c r="O457" s="29">
        <f t="shared" si="196"/>
        <v>0</v>
      </c>
      <c r="P457" s="181">
        <f t="shared" si="211"/>
        <v>0</v>
      </c>
      <c r="Q457" s="182">
        <f t="shared" si="197"/>
        <v>0</v>
      </c>
      <c r="R457" s="182">
        <f t="shared" si="198"/>
        <v>0</v>
      </c>
      <c r="S457" s="182">
        <f t="shared" si="199"/>
        <v>0</v>
      </c>
      <c r="T457" s="182">
        <f t="shared" si="200"/>
        <v>0</v>
      </c>
      <c r="U457" s="182">
        <f t="shared" si="201"/>
        <v>0</v>
      </c>
      <c r="V457" s="14">
        <f t="shared" si="202"/>
        <v>236.91</v>
      </c>
      <c r="W457" s="14">
        <f t="shared" si="203"/>
        <v>-236.91</v>
      </c>
      <c r="Y457" s="14">
        <f t="shared" si="206"/>
        <v>5.25</v>
      </c>
      <c r="Z457" s="14">
        <f t="shared" si="207"/>
        <v>-5.25</v>
      </c>
      <c r="AA457" s="11">
        <f t="shared" si="209"/>
        <v>2.41</v>
      </c>
      <c r="AB457" s="9">
        <f t="shared" si="212"/>
        <v>7.23</v>
      </c>
      <c r="AD457" s="13">
        <f>IF(AH457&gt;AH456,AD456,IF(AD456&lt;MiscData!$F$1,EOMONTH(AD456,1),EOMONTH(AD456,-11)))</f>
        <v>42551</v>
      </c>
      <c r="AE457" s="7" t="str">
        <f t="shared" si="204"/>
        <v>20140101KUUM_375</v>
      </c>
      <c r="AF457" s="12" t="str">
        <f t="shared" si="205"/>
        <v>20140101LS</v>
      </c>
      <c r="AG457" s="31"/>
      <c r="AH457">
        <f>IF(AH456=MiscData!$AB$91,1,AH456+1)</f>
        <v>16</v>
      </c>
      <c r="AI457">
        <f>IF(AD457&lt;=MiscData!$B$23,MiscData!$C$23,IF(AD457&lt;=MiscData!$B$24,MiscData!$C$24,MiscData!$C$25))</f>
        <v>20140101</v>
      </c>
      <c r="AK457" s="190" t="str">
        <f>VLOOKUP(AM457,MiscData!$AB$4:$ACB$113,2,FALSE)</f>
        <v>KUUM_375</v>
      </c>
      <c r="AL457" s="190" t="str">
        <f>VLOOKUP(AM457,MiscData!$AB$4:$AE$115,4,FALSE)</f>
        <v>LS</v>
      </c>
      <c r="AM457">
        <f>IF(AM456=MiscData!$AB$91,1,AM456+1)</f>
        <v>16</v>
      </c>
    </row>
    <row r="458" spans="1:39">
      <c r="A458" s="7">
        <f t="shared" si="208"/>
        <v>457</v>
      </c>
      <c r="B458" s="13" t="str">
        <f t="shared" si="189"/>
        <v>Jun 2016</v>
      </c>
      <c r="C458" s="23" t="str">
        <f t="shared" si="190"/>
        <v>LS</v>
      </c>
      <c r="D458" s="23" t="str">
        <f t="shared" si="191"/>
        <v>KUUM_376</v>
      </c>
      <c r="E458" s="170">
        <f t="shared" si="192"/>
        <v>2</v>
      </c>
      <c r="F458" s="185"/>
      <c r="G458" s="170">
        <f t="shared" si="193"/>
        <v>0</v>
      </c>
      <c r="H458" s="170"/>
      <c r="I458" s="11">
        <f t="shared" si="194"/>
        <v>77.259999999999991</v>
      </c>
      <c r="J458" s="11">
        <f t="shared" si="195"/>
        <v>1.75</v>
      </c>
      <c r="K458" s="416">
        <f t="shared" si="210"/>
        <v>154.52000000000001</v>
      </c>
      <c r="L458" s="180"/>
      <c r="M458" s="180"/>
      <c r="N458" s="186">
        <f t="shared" si="188"/>
        <v>154.52000000000001</v>
      </c>
      <c r="O458" s="29">
        <f t="shared" si="196"/>
        <v>0</v>
      </c>
      <c r="P458" s="181">
        <f t="shared" si="211"/>
        <v>0</v>
      </c>
      <c r="Q458" s="182">
        <f t="shared" si="197"/>
        <v>0</v>
      </c>
      <c r="R458" s="182">
        <f t="shared" si="198"/>
        <v>0</v>
      </c>
      <c r="S458" s="182">
        <f t="shared" si="199"/>
        <v>0</v>
      </c>
      <c r="T458" s="182">
        <f t="shared" si="200"/>
        <v>0</v>
      </c>
      <c r="U458" s="182">
        <f t="shared" si="201"/>
        <v>0</v>
      </c>
      <c r="V458" s="14">
        <f t="shared" si="202"/>
        <v>154.52000000000001</v>
      </c>
      <c r="W458" s="14">
        <f t="shared" si="203"/>
        <v>-154.52000000000001</v>
      </c>
      <c r="Y458" s="14">
        <f t="shared" si="206"/>
        <v>3.5</v>
      </c>
      <c r="Z458" s="14">
        <f t="shared" si="207"/>
        <v>-3.5</v>
      </c>
      <c r="AA458" s="11">
        <f t="shared" si="209"/>
        <v>2.41</v>
      </c>
      <c r="AB458" s="9">
        <f t="shared" si="212"/>
        <v>4.82</v>
      </c>
      <c r="AD458" s="13">
        <f>IF(AH458&gt;AH457,AD457,IF(AD457&lt;MiscData!$F$1,EOMONTH(AD457,1),EOMONTH(AD457,-11)))</f>
        <v>42551</v>
      </c>
      <c r="AE458" s="7" t="str">
        <f t="shared" si="204"/>
        <v>20140101KUUM_376</v>
      </c>
      <c r="AF458" s="12" t="str">
        <f t="shared" si="205"/>
        <v>20140101LS</v>
      </c>
      <c r="AG458" s="31"/>
      <c r="AH458">
        <f>IF(AH457=MiscData!$AB$91,1,AH457+1)</f>
        <v>17</v>
      </c>
      <c r="AI458">
        <f>IF(AD458&lt;=MiscData!$B$23,MiscData!$C$23,IF(AD458&lt;=MiscData!$B$24,MiscData!$C$24,MiscData!$C$25))</f>
        <v>20140101</v>
      </c>
      <c r="AK458" s="190" t="str">
        <f>VLOOKUP(AM458,MiscData!$AB$4:$ACB$113,2,FALSE)</f>
        <v>KUUM_376</v>
      </c>
      <c r="AL458" s="190" t="str">
        <f>VLOOKUP(AM458,MiscData!$AB$4:$AE$115,4,FALSE)</f>
        <v>LS</v>
      </c>
      <c r="AM458">
        <f>IF(AM457=MiscData!$AB$91,1,AM457+1)</f>
        <v>17</v>
      </c>
    </row>
    <row r="459" spans="1:39">
      <c r="A459" s="7">
        <f t="shared" si="208"/>
        <v>458</v>
      </c>
      <c r="B459" s="13" t="str">
        <f t="shared" si="189"/>
        <v>Jun 2016</v>
      </c>
      <c r="C459" s="23" t="str">
        <f t="shared" si="190"/>
        <v>LS</v>
      </c>
      <c r="D459" s="23" t="str">
        <f t="shared" si="191"/>
        <v>KUUM_377</v>
      </c>
      <c r="E459" s="170">
        <f t="shared" si="192"/>
        <v>51</v>
      </c>
      <c r="F459" s="185"/>
      <c r="G459" s="170">
        <f t="shared" si="193"/>
        <v>0</v>
      </c>
      <c r="H459" s="170"/>
      <c r="I459" s="11">
        <f t="shared" si="194"/>
        <v>64.19</v>
      </c>
      <c r="J459" s="11">
        <f t="shared" si="195"/>
        <v>1.75</v>
      </c>
      <c r="K459" s="416">
        <f t="shared" si="210"/>
        <v>3273.69</v>
      </c>
      <c r="L459" s="180"/>
      <c r="M459" s="180"/>
      <c r="N459" s="186">
        <f t="shared" si="188"/>
        <v>3273.69</v>
      </c>
      <c r="O459" s="29">
        <f t="shared" si="196"/>
        <v>0</v>
      </c>
      <c r="P459" s="181">
        <f t="shared" si="211"/>
        <v>0</v>
      </c>
      <c r="Q459" s="182">
        <f t="shared" si="197"/>
        <v>0</v>
      </c>
      <c r="R459" s="182">
        <f t="shared" si="198"/>
        <v>0</v>
      </c>
      <c r="S459" s="182">
        <f t="shared" si="199"/>
        <v>0</v>
      </c>
      <c r="T459" s="182">
        <f t="shared" si="200"/>
        <v>0</v>
      </c>
      <c r="U459" s="182">
        <f t="shared" si="201"/>
        <v>0</v>
      </c>
      <c r="V459" s="14">
        <f t="shared" si="202"/>
        <v>3273.69</v>
      </c>
      <c r="W459" s="14">
        <f t="shared" si="203"/>
        <v>-3273.69</v>
      </c>
      <c r="Y459" s="14">
        <f t="shared" si="206"/>
        <v>89.25</v>
      </c>
      <c r="Z459" s="14">
        <f t="shared" si="207"/>
        <v>-89.25</v>
      </c>
      <c r="AA459" s="11">
        <f t="shared" si="209"/>
        <v>2.41</v>
      </c>
      <c r="AB459" s="9">
        <f t="shared" si="212"/>
        <v>122.91000000000001</v>
      </c>
      <c r="AD459" s="13">
        <f>IF(AH459&gt;AH458,AD458,IF(AD458&lt;MiscData!$F$1,EOMONTH(AD458,1),EOMONTH(AD458,-11)))</f>
        <v>42551</v>
      </c>
      <c r="AE459" s="7" t="str">
        <f t="shared" si="204"/>
        <v>20140101KUUM_377</v>
      </c>
      <c r="AF459" s="12" t="str">
        <f t="shared" si="205"/>
        <v>20140101LS</v>
      </c>
      <c r="AG459" s="31"/>
      <c r="AH459">
        <f>IF(AH458=MiscData!$AB$91,1,AH458+1)</f>
        <v>18</v>
      </c>
      <c r="AI459">
        <f>IF(AD459&lt;=MiscData!$B$23,MiscData!$C$23,IF(AD459&lt;=MiscData!$B$24,MiscData!$C$24,MiscData!$C$25))</f>
        <v>20140101</v>
      </c>
      <c r="AK459" s="190" t="str">
        <f>VLOOKUP(AM459,MiscData!$AB$4:$ACB$113,2,FALSE)</f>
        <v>KUUM_377</v>
      </c>
      <c r="AL459" s="190" t="str">
        <f>VLOOKUP(AM459,MiscData!$AB$4:$AE$115,4,FALSE)</f>
        <v>LS</v>
      </c>
      <c r="AM459">
        <f>IF(AM458=MiscData!$AB$91,1,AM458+1)</f>
        <v>18</v>
      </c>
    </row>
    <row r="460" spans="1:39">
      <c r="A460" s="7">
        <f t="shared" si="208"/>
        <v>459</v>
      </c>
      <c r="B460" s="13" t="str">
        <f t="shared" si="189"/>
        <v>Jun 2016</v>
      </c>
      <c r="C460" s="23" t="str">
        <f t="shared" si="190"/>
        <v>LS</v>
      </c>
      <c r="D460" s="23" t="str">
        <f t="shared" si="191"/>
        <v>KUUM_378</v>
      </c>
      <c r="E460" s="170">
        <f t="shared" si="192"/>
        <v>2</v>
      </c>
      <c r="F460" s="185"/>
      <c r="G460" s="170">
        <f t="shared" si="193"/>
        <v>0</v>
      </c>
      <c r="H460" s="170"/>
      <c r="I460" s="11">
        <f t="shared" si="194"/>
        <v>75.899999999999991</v>
      </c>
      <c r="J460" s="11">
        <f t="shared" si="195"/>
        <v>1.75</v>
      </c>
      <c r="K460" s="416">
        <f t="shared" si="210"/>
        <v>151.80000000000001</v>
      </c>
      <c r="L460" s="180"/>
      <c r="M460" s="180"/>
      <c r="N460" s="186">
        <f t="shared" si="188"/>
        <v>151.80000000000001</v>
      </c>
      <c r="O460" s="29">
        <f t="shared" si="196"/>
        <v>0</v>
      </c>
      <c r="P460" s="181">
        <f t="shared" si="211"/>
        <v>0</v>
      </c>
      <c r="Q460" s="182">
        <f t="shared" si="197"/>
        <v>0</v>
      </c>
      <c r="R460" s="182">
        <f t="shared" si="198"/>
        <v>0</v>
      </c>
      <c r="S460" s="182">
        <f t="shared" si="199"/>
        <v>0</v>
      </c>
      <c r="T460" s="182">
        <f t="shared" si="200"/>
        <v>0</v>
      </c>
      <c r="U460" s="182">
        <f t="shared" si="201"/>
        <v>0</v>
      </c>
      <c r="V460" s="14">
        <f t="shared" si="202"/>
        <v>151.80000000000001</v>
      </c>
      <c r="W460" s="14">
        <f t="shared" si="203"/>
        <v>-151.80000000000001</v>
      </c>
      <c r="Y460" s="14">
        <f t="shared" si="206"/>
        <v>3.5</v>
      </c>
      <c r="Z460" s="14">
        <f t="shared" si="207"/>
        <v>-3.5</v>
      </c>
      <c r="AA460" s="11">
        <f t="shared" si="209"/>
        <v>2.41</v>
      </c>
      <c r="AB460" s="9">
        <f t="shared" si="212"/>
        <v>4.82</v>
      </c>
      <c r="AD460" s="13">
        <f>IF(AH460&gt;AH459,AD459,IF(AD459&lt;MiscData!$F$1,EOMONTH(AD459,1),EOMONTH(AD459,-11)))</f>
        <v>42551</v>
      </c>
      <c r="AE460" s="7" t="str">
        <f t="shared" si="204"/>
        <v>20140101KUUM_378</v>
      </c>
      <c r="AF460" s="12" t="str">
        <f t="shared" si="205"/>
        <v>20140101LS</v>
      </c>
      <c r="AG460" s="31"/>
      <c r="AH460">
        <f>IF(AH459=MiscData!$AB$91,1,AH459+1)</f>
        <v>19</v>
      </c>
      <c r="AI460">
        <f>IF(AD460&lt;=MiscData!$B$23,MiscData!$C$23,IF(AD460&lt;=MiscData!$B$24,MiscData!$C$24,MiscData!$C$25))</f>
        <v>20140101</v>
      </c>
      <c r="AK460" s="190" t="str">
        <f>VLOOKUP(AM460,MiscData!$AB$4:$ACB$113,2,FALSE)</f>
        <v>KUUM_378</v>
      </c>
      <c r="AL460" s="190" t="str">
        <f>VLOOKUP(AM460,MiscData!$AB$4:$AE$115,4,FALSE)</f>
        <v>LS</v>
      </c>
      <c r="AM460">
        <f>IF(AM459=MiscData!$AB$91,1,AM459+1)</f>
        <v>19</v>
      </c>
    </row>
    <row r="461" spans="1:39">
      <c r="A461" s="7">
        <f t="shared" si="208"/>
        <v>460</v>
      </c>
      <c r="B461" s="13" t="str">
        <f t="shared" si="189"/>
        <v>Jun 2016</v>
      </c>
      <c r="C461" s="23" t="str">
        <f t="shared" si="190"/>
        <v>LS</v>
      </c>
      <c r="D461" s="23" t="str">
        <f t="shared" si="191"/>
        <v>KUUM_401</v>
      </c>
      <c r="E461" s="170">
        <f t="shared" si="192"/>
        <v>52</v>
      </c>
      <c r="F461" s="185"/>
      <c r="G461" s="170">
        <f t="shared" si="193"/>
        <v>0</v>
      </c>
      <c r="H461" s="170"/>
      <c r="I461" s="11">
        <f t="shared" si="194"/>
        <v>14.860000000000001</v>
      </c>
      <c r="J461" s="11">
        <f t="shared" si="195"/>
        <v>0.80000000000000071</v>
      </c>
      <c r="K461" s="416">
        <f t="shared" si="210"/>
        <v>772.72</v>
      </c>
      <c r="L461" s="180"/>
      <c r="M461" s="180"/>
      <c r="N461" s="186">
        <f t="shared" si="188"/>
        <v>772.72</v>
      </c>
      <c r="O461" s="29">
        <f t="shared" si="196"/>
        <v>0</v>
      </c>
      <c r="P461" s="181">
        <f t="shared" si="211"/>
        <v>0</v>
      </c>
      <c r="Q461" s="182">
        <f t="shared" si="197"/>
        <v>0</v>
      </c>
      <c r="R461" s="182">
        <f t="shared" si="198"/>
        <v>0</v>
      </c>
      <c r="S461" s="182">
        <f t="shared" si="199"/>
        <v>0</v>
      </c>
      <c r="T461" s="182">
        <f t="shared" si="200"/>
        <v>0</v>
      </c>
      <c r="U461" s="182">
        <f t="shared" si="201"/>
        <v>0</v>
      </c>
      <c r="V461" s="14">
        <f t="shared" si="202"/>
        <v>772.72</v>
      </c>
      <c r="W461" s="14">
        <f t="shared" si="203"/>
        <v>-772.72</v>
      </c>
      <c r="Y461" s="14">
        <f t="shared" si="206"/>
        <v>41.6</v>
      </c>
      <c r="Z461" s="14">
        <f t="shared" si="207"/>
        <v>-41.6</v>
      </c>
      <c r="AA461" s="11">
        <f t="shared" si="209"/>
        <v>0.43</v>
      </c>
      <c r="AB461" s="9">
        <f t="shared" si="212"/>
        <v>22.36</v>
      </c>
      <c r="AD461" s="13">
        <f>IF(AH461&gt;AH460,AD460,IF(AD460&lt;MiscData!$F$1,EOMONTH(AD460,1),EOMONTH(AD460,-11)))</f>
        <v>42551</v>
      </c>
      <c r="AE461" s="7" t="str">
        <f t="shared" si="204"/>
        <v>20140101KUUM_401</v>
      </c>
      <c r="AF461" s="12" t="str">
        <f t="shared" si="205"/>
        <v>20140101LS</v>
      </c>
      <c r="AG461" s="31"/>
      <c r="AH461">
        <f>IF(AH460=MiscData!$AB$91,1,AH460+1)</f>
        <v>20</v>
      </c>
      <c r="AI461">
        <f>IF(AD461&lt;=MiscData!$B$23,MiscData!$C$23,IF(AD461&lt;=MiscData!$B$24,MiscData!$C$24,MiscData!$C$25))</f>
        <v>20140101</v>
      </c>
      <c r="AK461" s="190" t="str">
        <f>VLOOKUP(AM461,MiscData!$AB$4:$ACB$113,2,FALSE)</f>
        <v>KUUM_401</v>
      </c>
      <c r="AL461" s="190" t="str">
        <f>VLOOKUP(AM461,MiscData!$AB$4:$AE$115,4,FALSE)</f>
        <v>LS</v>
      </c>
      <c r="AM461">
        <f>IF(AM460=MiscData!$AB$91,1,AM460+1)</f>
        <v>20</v>
      </c>
    </row>
    <row r="462" spans="1:39">
      <c r="A462" s="7">
        <f t="shared" si="208"/>
        <v>461</v>
      </c>
      <c r="B462" s="13" t="str">
        <f t="shared" si="189"/>
        <v>Jun 2016</v>
      </c>
      <c r="C462" s="23" t="str">
        <f t="shared" si="190"/>
        <v>RLS</v>
      </c>
      <c r="D462" s="23" t="str">
        <f t="shared" si="191"/>
        <v>KUUM_404</v>
      </c>
      <c r="E462" s="170">
        <f t="shared" si="192"/>
        <v>7151</v>
      </c>
      <c r="F462" s="185"/>
      <c r="G462" s="170">
        <f t="shared" si="193"/>
        <v>0</v>
      </c>
      <c r="H462" s="170"/>
      <c r="I462" s="11">
        <f t="shared" si="194"/>
        <v>10.570000000000002</v>
      </c>
      <c r="J462" s="11">
        <f t="shared" si="195"/>
        <v>1.9900000000000002</v>
      </c>
      <c r="K462" s="416">
        <f t="shared" si="210"/>
        <v>75586.070000000007</v>
      </c>
      <c r="L462" s="180"/>
      <c r="M462" s="180"/>
      <c r="N462" s="186">
        <f t="shared" si="188"/>
        <v>75586.070000000007</v>
      </c>
      <c r="O462" s="29">
        <f t="shared" si="196"/>
        <v>0</v>
      </c>
      <c r="P462" s="181">
        <f t="shared" si="211"/>
        <v>0</v>
      </c>
      <c r="Q462" s="182">
        <f t="shared" si="197"/>
        <v>0</v>
      </c>
      <c r="R462" s="182">
        <f t="shared" si="198"/>
        <v>0</v>
      </c>
      <c r="S462" s="182">
        <f t="shared" si="199"/>
        <v>0</v>
      </c>
      <c r="T462" s="182">
        <f t="shared" si="200"/>
        <v>0</v>
      </c>
      <c r="U462" s="182">
        <f t="shared" si="201"/>
        <v>0</v>
      </c>
      <c r="V462" s="14">
        <f t="shared" si="202"/>
        <v>75586.070000000007</v>
      </c>
      <c r="W462" s="14">
        <f t="shared" si="203"/>
        <v>-75586.070000000007</v>
      </c>
      <c r="Y462" s="14">
        <f t="shared" si="206"/>
        <v>14230.49</v>
      </c>
      <c r="Z462" s="14">
        <f t="shared" si="207"/>
        <v>-14230.49</v>
      </c>
      <c r="AA462" s="11">
        <f t="shared" si="209"/>
        <v>0.39</v>
      </c>
      <c r="AB462" s="9">
        <f t="shared" si="212"/>
        <v>2788.89</v>
      </c>
      <c r="AD462" s="13">
        <f>IF(AH462&gt;AH461,AD461,IF(AD461&lt;MiscData!$F$1,EOMONTH(AD461,1),EOMONTH(AD461,-11)))</f>
        <v>42551</v>
      </c>
      <c r="AE462" s="7" t="str">
        <f t="shared" si="204"/>
        <v>20140101KUUM_404</v>
      </c>
      <c r="AF462" s="12" t="str">
        <f t="shared" si="205"/>
        <v>20140101RLS</v>
      </c>
      <c r="AG462" s="31"/>
      <c r="AH462">
        <f>IF(AH461=MiscData!$AB$91,1,AH461+1)</f>
        <v>21</v>
      </c>
      <c r="AI462">
        <f>IF(AD462&lt;=MiscData!$B$23,MiscData!$C$23,IF(AD462&lt;=MiscData!$B$24,MiscData!$C$24,MiscData!$C$25))</f>
        <v>20140101</v>
      </c>
      <c r="AK462" s="190" t="str">
        <f>VLOOKUP(AM462,MiscData!$AB$4:$ACB$113,2,FALSE)</f>
        <v>KUUM_404</v>
      </c>
      <c r="AL462" s="190" t="str">
        <f>VLOOKUP(AM462,MiscData!$AB$4:$AE$115,4,FALSE)</f>
        <v>RLS</v>
      </c>
      <c r="AM462">
        <f>IF(AM461=MiscData!$AB$91,1,AM461+1)</f>
        <v>21</v>
      </c>
    </row>
    <row r="463" spans="1:39">
      <c r="A463" s="7">
        <f t="shared" si="208"/>
        <v>462</v>
      </c>
      <c r="B463" s="13" t="str">
        <f t="shared" si="189"/>
        <v>Jun 2016</v>
      </c>
      <c r="C463" s="23" t="str">
        <f t="shared" si="190"/>
        <v>RLS</v>
      </c>
      <c r="D463" s="23" t="str">
        <f t="shared" si="191"/>
        <v>KUUM_405</v>
      </c>
      <c r="E463" s="170">
        <f t="shared" si="192"/>
        <v>0</v>
      </c>
      <c r="F463" s="185"/>
      <c r="G463" s="170">
        <f t="shared" si="193"/>
        <v>0</v>
      </c>
      <c r="H463" s="170"/>
      <c r="I463" s="11">
        <f t="shared" si="194"/>
        <v>0</v>
      </c>
      <c r="J463" s="11">
        <f t="shared" si="195"/>
        <v>0</v>
      </c>
      <c r="K463" s="416">
        <f t="shared" si="210"/>
        <v>0</v>
      </c>
      <c r="L463" s="180"/>
      <c r="M463" s="180"/>
      <c r="N463" s="186">
        <f t="shared" si="188"/>
        <v>0</v>
      </c>
      <c r="O463" s="29">
        <f t="shared" si="196"/>
        <v>0</v>
      </c>
      <c r="P463" s="181">
        <f t="shared" si="211"/>
        <v>1</v>
      </c>
      <c r="Q463" s="182">
        <f t="shared" si="197"/>
        <v>0</v>
      </c>
      <c r="R463" s="182">
        <f t="shared" si="198"/>
        <v>0</v>
      </c>
      <c r="S463" s="182">
        <f t="shared" si="199"/>
        <v>0</v>
      </c>
      <c r="T463" s="182">
        <f t="shared" si="200"/>
        <v>0</v>
      </c>
      <c r="U463" s="182">
        <f t="shared" si="201"/>
        <v>0</v>
      </c>
      <c r="V463" s="14">
        <f t="shared" si="202"/>
        <v>0</v>
      </c>
      <c r="W463" s="14">
        <f t="shared" si="203"/>
        <v>0</v>
      </c>
      <c r="Y463" s="14">
        <f t="shared" si="206"/>
        <v>0</v>
      </c>
      <c r="Z463" s="14">
        <f t="shared" si="207"/>
        <v>0</v>
      </c>
      <c r="AA463" s="11">
        <f t="shared" si="209"/>
        <v>0</v>
      </c>
      <c r="AB463" s="9">
        <f t="shared" si="212"/>
        <v>0</v>
      </c>
      <c r="AD463" s="13">
        <f>IF(AH463&gt;AH462,AD462,IF(AD462&lt;MiscData!$F$1,EOMONTH(AD462,1),EOMONTH(AD462,-11)))</f>
        <v>42551</v>
      </c>
      <c r="AE463" s="7" t="str">
        <f t="shared" si="204"/>
        <v>20140101KUUM_405</v>
      </c>
      <c r="AF463" s="12" t="str">
        <f t="shared" si="205"/>
        <v>20140101RLS</v>
      </c>
      <c r="AG463" s="31"/>
      <c r="AH463">
        <f>IF(AH462=MiscData!$AB$91,1,AH462+1)</f>
        <v>22</v>
      </c>
      <c r="AI463">
        <f>IF(AD463&lt;=MiscData!$B$23,MiscData!$C$23,IF(AD463&lt;=MiscData!$B$24,MiscData!$C$24,MiscData!$C$25))</f>
        <v>20140101</v>
      </c>
      <c r="AK463" s="190" t="str">
        <f>VLOOKUP(AM463,MiscData!$AB$4:$ACB$113,2,FALSE)</f>
        <v>KUUM_405</v>
      </c>
      <c r="AL463" s="190" t="str">
        <f>VLOOKUP(AM463,MiscData!$AB$4:$AE$115,4,FALSE)</f>
        <v>RLS</v>
      </c>
      <c r="AM463">
        <f>IF(AM462=MiscData!$AB$91,1,AM462+1)</f>
        <v>22</v>
      </c>
    </row>
    <row r="464" spans="1:39">
      <c r="A464" s="7">
        <f t="shared" si="208"/>
        <v>463</v>
      </c>
      <c r="B464" s="13" t="str">
        <f t="shared" si="189"/>
        <v>Jun 2016</v>
      </c>
      <c r="C464" s="23" t="str">
        <f t="shared" si="190"/>
        <v>LS</v>
      </c>
      <c r="D464" s="23" t="str">
        <f t="shared" si="191"/>
        <v>KUUM_407</v>
      </c>
      <c r="E464" s="170">
        <f t="shared" si="192"/>
        <v>0</v>
      </c>
      <c r="F464" s="185"/>
      <c r="G464" s="170">
        <f t="shared" si="193"/>
        <v>0</v>
      </c>
      <c r="H464" s="170"/>
      <c r="I464" s="11">
        <f t="shared" si="194"/>
        <v>0</v>
      </c>
      <c r="J464" s="11">
        <f t="shared" si="195"/>
        <v>0</v>
      </c>
      <c r="K464" s="416">
        <f t="shared" si="210"/>
        <v>0</v>
      </c>
      <c r="L464" s="180"/>
      <c r="M464" s="180"/>
      <c r="N464" s="186">
        <f t="shared" si="188"/>
        <v>0</v>
      </c>
      <c r="O464" s="29">
        <f t="shared" si="196"/>
        <v>0</v>
      </c>
      <c r="P464" s="181">
        <f t="shared" si="211"/>
        <v>1</v>
      </c>
      <c r="Q464" s="182">
        <f t="shared" si="197"/>
        <v>0</v>
      </c>
      <c r="R464" s="182">
        <f t="shared" si="198"/>
        <v>0</v>
      </c>
      <c r="S464" s="182">
        <f t="shared" si="199"/>
        <v>0</v>
      </c>
      <c r="T464" s="182">
        <f t="shared" si="200"/>
        <v>0</v>
      </c>
      <c r="U464" s="182">
        <f t="shared" si="201"/>
        <v>0</v>
      </c>
      <c r="V464" s="14">
        <f t="shared" si="202"/>
        <v>0</v>
      </c>
      <c r="W464" s="14">
        <f t="shared" si="203"/>
        <v>0</v>
      </c>
      <c r="Y464" s="14">
        <f t="shared" si="206"/>
        <v>0</v>
      </c>
      <c r="Z464" s="14">
        <f t="shared" si="207"/>
        <v>0</v>
      </c>
      <c r="AA464" s="11">
        <f t="shared" si="209"/>
        <v>0</v>
      </c>
      <c r="AB464" s="9">
        <f t="shared" si="212"/>
        <v>0</v>
      </c>
      <c r="AD464" s="13">
        <f>IF(AH464&gt;AH463,AD463,IF(AD463&lt;MiscData!$F$1,EOMONTH(AD463,1),EOMONTH(AD463,-11)))</f>
        <v>42551</v>
      </c>
      <c r="AE464" s="7" t="str">
        <f t="shared" si="204"/>
        <v>20140101KUUM_407</v>
      </c>
      <c r="AF464" s="12" t="str">
        <f t="shared" si="205"/>
        <v>20140101LS</v>
      </c>
      <c r="AG464" s="31"/>
      <c r="AH464">
        <f>IF(AH463=MiscData!$AB$91,1,AH463+1)</f>
        <v>23</v>
      </c>
      <c r="AI464">
        <f>IF(AD464&lt;=MiscData!$B$23,MiscData!$C$23,IF(AD464&lt;=MiscData!$B$24,MiscData!$C$24,MiscData!$C$25))</f>
        <v>20140101</v>
      </c>
      <c r="AK464" s="190" t="str">
        <f>VLOOKUP(AM464,MiscData!$AB$4:$ACB$113,2,FALSE)</f>
        <v>KUUM_407</v>
      </c>
      <c r="AL464" s="190" t="str">
        <f>VLOOKUP(AM464,MiscData!$AB$4:$AE$115,4,FALSE)</f>
        <v>LS</v>
      </c>
      <c r="AM464">
        <f>IF(AM463=MiscData!$AB$91,1,AM463+1)</f>
        <v>23</v>
      </c>
    </row>
    <row r="465" spans="1:39">
      <c r="A465" s="7">
        <f t="shared" si="208"/>
        <v>464</v>
      </c>
      <c r="B465" s="13" t="str">
        <f t="shared" si="189"/>
        <v>Jun 2016</v>
      </c>
      <c r="C465" s="23" t="str">
        <f t="shared" si="190"/>
        <v>RLS</v>
      </c>
      <c r="D465" s="23" t="str">
        <f t="shared" si="191"/>
        <v>KUUM_409</v>
      </c>
      <c r="E465" s="170">
        <f t="shared" si="192"/>
        <v>141</v>
      </c>
      <c r="F465" s="185"/>
      <c r="G465" s="170">
        <f t="shared" si="193"/>
        <v>0</v>
      </c>
      <c r="H465" s="170"/>
      <c r="I465" s="11">
        <f t="shared" si="194"/>
        <v>11.71</v>
      </c>
      <c r="J465" s="11">
        <f t="shared" si="195"/>
        <v>4.5299999999999994</v>
      </c>
      <c r="K465" s="416">
        <f t="shared" si="210"/>
        <v>1651.11</v>
      </c>
      <c r="L465" s="180"/>
      <c r="M465" s="180"/>
      <c r="N465" s="186">
        <f t="shared" si="188"/>
        <v>1651.11</v>
      </c>
      <c r="O465" s="29">
        <f t="shared" si="196"/>
        <v>0</v>
      </c>
      <c r="P465" s="181">
        <f t="shared" si="211"/>
        <v>0</v>
      </c>
      <c r="Q465" s="182">
        <f t="shared" si="197"/>
        <v>0</v>
      </c>
      <c r="R465" s="182">
        <f t="shared" si="198"/>
        <v>0</v>
      </c>
      <c r="S465" s="182">
        <f t="shared" si="199"/>
        <v>0</v>
      </c>
      <c r="T465" s="182">
        <f t="shared" si="200"/>
        <v>0</v>
      </c>
      <c r="U465" s="182">
        <f t="shared" si="201"/>
        <v>0</v>
      </c>
      <c r="V465" s="14">
        <f t="shared" si="202"/>
        <v>1651.11</v>
      </c>
      <c r="W465" s="14">
        <f t="shared" si="203"/>
        <v>-1651.11</v>
      </c>
      <c r="Y465" s="14">
        <f t="shared" si="206"/>
        <v>638.73</v>
      </c>
      <c r="Z465" s="14">
        <f t="shared" si="207"/>
        <v>-638.73</v>
      </c>
      <c r="AA465" s="11">
        <f t="shared" si="209"/>
        <v>0.79</v>
      </c>
      <c r="AB465" s="9">
        <f t="shared" si="212"/>
        <v>111.39</v>
      </c>
      <c r="AD465" s="13">
        <f>IF(AH465&gt;AH464,AD464,IF(AD464&lt;MiscData!$F$1,EOMONTH(AD464,1),EOMONTH(AD464,-11)))</f>
        <v>42551</v>
      </c>
      <c r="AE465" s="7" t="str">
        <f t="shared" si="204"/>
        <v>20140101KUUM_409</v>
      </c>
      <c r="AF465" s="12" t="str">
        <f t="shared" si="205"/>
        <v>20140101RLS</v>
      </c>
      <c r="AG465" s="31"/>
      <c r="AH465">
        <f>IF(AH464=MiscData!$AB$91,1,AH464+1)</f>
        <v>24</v>
      </c>
      <c r="AI465">
        <f>IF(AD465&lt;=MiscData!$B$23,MiscData!$C$23,IF(AD465&lt;=MiscData!$B$24,MiscData!$C$24,MiscData!$C$25))</f>
        <v>20140101</v>
      </c>
      <c r="AK465" s="190" t="str">
        <f>VLOOKUP(AM465,MiscData!$AB$4:$ACB$113,2,FALSE)</f>
        <v>KUUM_409</v>
      </c>
      <c r="AL465" s="190" t="str">
        <f>VLOOKUP(AM465,MiscData!$AB$4:$AE$115,4,FALSE)</f>
        <v>RLS</v>
      </c>
      <c r="AM465">
        <f>IF(AM464=MiscData!$AB$91,1,AM464+1)</f>
        <v>24</v>
      </c>
    </row>
    <row r="466" spans="1:39">
      <c r="A466" s="7">
        <f t="shared" si="208"/>
        <v>465</v>
      </c>
      <c r="B466" s="13" t="str">
        <f t="shared" si="189"/>
        <v>Jun 2016</v>
      </c>
      <c r="C466" s="23" t="str">
        <f t="shared" si="190"/>
        <v>RLS</v>
      </c>
      <c r="D466" s="23" t="str">
        <f t="shared" si="191"/>
        <v>KUUM_410</v>
      </c>
      <c r="E466" s="170">
        <f t="shared" si="192"/>
        <v>241</v>
      </c>
      <c r="F466" s="185"/>
      <c r="G466" s="170">
        <f t="shared" si="193"/>
        <v>0</v>
      </c>
      <c r="H466" s="170"/>
      <c r="I466" s="11">
        <f t="shared" si="194"/>
        <v>20.259999999999998</v>
      </c>
      <c r="J466" s="11">
        <f t="shared" si="195"/>
        <v>0.57000000000000028</v>
      </c>
      <c r="K466" s="416">
        <f t="shared" si="210"/>
        <v>4882.66</v>
      </c>
      <c r="L466" s="180"/>
      <c r="M466" s="180"/>
      <c r="N466" s="186">
        <f t="shared" si="188"/>
        <v>4882.66</v>
      </c>
      <c r="O466" s="29">
        <f t="shared" si="196"/>
        <v>0</v>
      </c>
      <c r="P466" s="181">
        <f t="shared" si="211"/>
        <v>0</v>
      </c>
      <c r="Q466" s="182">
        <f t="shared" si="197"/>
        <v>0</v>
      </c>
      <c r="R466" s="182">
        <f t="shared" si="198"/>
        <v>0</v>
      </c>
      <c r="S466" s="182">
        <f t="shared" si="199"/>
        <v>0</v>
      </c>
      <c r="T466" s="182">
        <f t="shared" si="200"/>
        <v>0</v>
      </c>
      <c r="U466" s="182">
        <f t="shared" si="201"/>
        <v>0</v>
      </c>
      <c r="V466" s="14">
        <f t="shared" si="202"/>
        <v>4882.66</v>
      </c>
      <c r="W466" s="14">
        <f t="shared" si="203"/>
        <v>-4882.66</v>
      </c>
      <c r="Y466" s="14">
        <f t="shared" si="206"/>
        <v>137.37</v>
      </c>
      <c r="Z466" s="14">
        <f t="shared" si="207"/>
        <v>-137.37</v>
      </c>
      <c r="AA466" s="11">
        <f t="shared" si="209"/>
        <v>0.33</v>
      </c>
      <c r="AB466" s="9">
        <f t="shared" si="212"/>
        <v>79.53</v>
      </c>
      <c r="AD466" s="13">
        <f>IF(AH466&gt;AH465,AD465,IF(AD465&lt;MiscData!$F$1,EOMONTH(AD465,1),EOMONTH(AD465,-11)))</f>
        <v>42551</v>
      </c>
      <c r="AE466" s="7" t="str">
        <f t="shared" si="204"/>
        <v>20140101KUUM_410</v>
      </c>
      <c r="AF466" s="12" t="str">
        <f t="shared" si="205"/>
        <v>20140101RLS</v>
      </c>
      <c r="AG466" s="31"/>
      <c r="AH466">
        <f>IF(AH465=MiscData!$AB$91,1,AH465+1)</f>
        <v>25</v>
      </c>
      <c r="AI466">
        <f>IF(AD466&lt;=MiscData!$B$23,MiscData!$C$23,IF(AD466&lt;=MiscData!$B$24,MiscData!$C$24,MiscData!$C$25))</f>
        <v>20140101</v>
      </c>
      <c r="AK466" s="190" t="str">
        <f>VLOOKUP(AM466,MiscData!$AB$4:$ACB$113,2,FALSE)</f>
        <v>KUUM_410</v>
      </c>
      <c r="AL466" s="190" t="str">
        <f>VLOOKUP(AM466,MiscData!$AB$4:$AE$115,4,FALSE)</f>
        <v>RLS</v>
      </c>
      <c r="AM466">
        <f>IF(AM465=MiscData!$AB$91,1,AM465+1)</f>
        <v>25</v>
      </c>
    </row>
    <row r="467" spans="1:39">
      <c r="A467" s="7">
        <f t="shared" si="208"/>
        <v>466</v>
      </c>
      <c r="B467" s="13" t="str">
        <f t="shared" si="189"/>
        <v>Jun 2016</v>
      </c>
      <c r="C467" s="23" t="str">
        <f t="shared" si="190"/>
        <v>LS</v>
      </c>
      <c r="D467" s="23" t="str">
        <f t="shared" si="191"/>
        <v>KUUM_411</v>
      </c>
      <c r="E467" s="170">
        <f t="shared" si="192"/>
        <v>150</v>
      </c>
      <c r="F467" s="185"/>
      <c r="G467" s="170">
        <f t="shared" si="193"/>
        <v>0</v>
      </c>
      <c r="H467" s="170"/>
      <c r="I467" s="11">
        <f t="shared" si="194"/>
        <v>21.38</v>
      </c>
      <c r="J467" s="11">
        <f t="shared" si="195"/>
        <v>0.79999999999999716</v>
      </c>
      <c r="K467" s="416">
        <f t="shared" si="210"/>
        <v>3207</v>
      </c>
      <c r="L467" s="180"/>
      <c r="M467" s="180"/>
      <c r="N467" s="186">
        <f t="shared" si="188"/>
        <v>3207</v>
      </c>
      <c r="O467" s="29">
        <f t="shared" si="196"/>
        <v>0</v>
      </c>
      <c r="P467" s="181">
        <f t="shared" si="211"/>
        <v>0</v>
      </c>
      <c r="Q467" s="182">
        <f t="shared" si="197"/>
        <v>0</v>
      </c>
      <c r="R467" s="182">
        <f t="shared" si="198"/>
        <v>0</v>
      </c>
      <c r="S467" s="182">
        <f t="shared" si="199"/>
        <v>0</v>
      </c>
      <c r="T467" s="182">
        <f t="shared" si="200"/>
        <v>0</v>
      </c>
      <c r="U467" s="182">
        <f t="shared" si="201"/>
        <v>0</v>
      </c>
      <c r="V467" s="14">
        <f t="shared" si="202"/>
        <v>3207</v>
      </c>
      <c r="W467" s="14">
        <f t="shared" si="203"/>
        <v>-3207</v>
      </c>
      <c r="Y467" s="14">
        <f t="shared" si="206"/>
        <v>120</v>
      </c>
      <c r="Z467" s="14">
        <f t="shared" si="207"/>
        <v>-120</v>
      </c>
      <c r="AA467" s="11">
        <f t="shared" si="209"/>
        <v>0.43</v>
      </c>
      <c r="AB467" s="9">
        <f t="shared" si="212"/>
        <v>64.5</v>
      </c>
      <c r="AD467" s="13">
        <f>IF(AH467&gt;AH466,AD466,IF(AD466&lt;MiscData!$F$1,EOMONTH(AD466,1),EOMONTH(AD466,-11)))</f>
        <v>42551</v>
      </c>
      <c r="AE467" s="7" t="str">
        <f t="shared" si="204"/>
        <v>20140101KUUM_411</v>
      </c>
      <c r="AF467" s="12" t="str">
        <f t="shared" si="205"/>
        <v>20140101LS</v>
      </c>
      <c r="AG467" s="31"/>
      <c r="AH467">
        <f>IF(AH466=MiscData!$AB$91,1,AH466+1)</f>
        <v>26</v>
      </c>
      <c r="AI467">
        <f>IF(AD467&lt;=MiscData!$B$23,MiscData!$C$23,IF(AD467&lt;=MiscData!$B$24,MiscData!$C$24,MiscData!$C$25))</f>
        <v>20140101</v>
      </c>
      <c r="AK467" s="190" t="str">
        <f>VLOOKUP(AM467,MiscData!$AB$4:$ACB$113,2,FALSE)</f>
        <v>KUUM_411</v>
      </c>
      <c r="AL467" s="190" t="str">
        <f>VLOOKUP(AM467,MiscData!$AB$4:$AE$115,4,FALSE)</f>
        <v>LS</v>
      </c>
      <c r="AM467">
        <f>IF(AM466=MiscData!$AB$91,1,AM466+1)</f>
        <v>26</v>
      </c>
    </row>
    <row r="468" spans="1:39">
      <c r="A468" s="7">
        <f t="shared" si="208"/>
        <v>467</v>
      </c>
      <c r="B468" s="13" t="str">
        <f t="shared" si="189"/>
        <v>Jun 2016</v>
      </c>
      <c r="C468" s="23" t="str">
        <f t="shared" si="190"/>
        <v>RLS</v>
      </c>
      <c r="D468" s="23" t="str">
        <f t="shared" si="191"/>
        <v>KUUM_412</v>
      </c>
      <c r="E468" s="170">
        <f t="shared" si="192"/>
        <v>28</v>
      </c>
      <c r="F468" s="185"/>
      <c r="G468" s="170">
        <f t="shared" si="193"/>
        <v>0</v>
      </c>
      <c r="H468" s="170"/>
      <c r="I468" s="11">
        <f t="shared" si="194"/>
        <v>30.84</v>
      </c>
      <c r="J468" s="11">
        <f t="shared" si="195"/>
        <v>0.79999999999999716</v>
      </c>
      <c r="K468" s="416">
        <f t="shared" si="210"/>
        <v>863.52</v>
      </c>
      <c r="L468" s="180"/>
      <c r="M468" s="180"/>
      <c r="N468" s="186">
        <f t="shared" si="188"/>
        <v>863.52</v>
      </c>
      <c r="O468" s="29">
        <f t="shared" si="196"/>
        <v>0</v>
      </c>
      <c r="P468" s="181">
        <f t="shared" si="211"/>
        <v>0</v>
      </c>
      <c r="Q468" s="182">
        <f t="shared" si="197"/>
        <v>0</v>
      </c>
      <c r="R468" s="182">
        <f t="shared" si="198"/>
        <v>0</v>
      </c>
      <c r="S468" s="182">
        <f t="shared" si="199"/>
        <v>0</v>
      </c>
      <c r="T468" s="182">
        <f t="shared" si="200"/>
        <v>0</v>
      </c>
      <c r="U468" s="182">
        <f t="shared" si="201"/>
        <v>0</v>
      </c>
      <c r="V468" s="14">
        <f t="shared" si="202"/>
        <v>863.52</v>
      </c>
      <c r="W468" s="14">
        <f t="shared" si="203"/>
        <v>-863.52</v>
      </c>
      <c r="Y468" s="14">
        <f t="shared" si="206"/>
        <v>22.4</v>
      </c>
      <c r="Z468" s="14">
        <f t="shared" si="207"/>
        <v>-22.4</v>
      </c>
      <c r="AA468" s="11">
        <f t="shared" si="209"/>
        <v>0.43</v>
      </c>
      <c r="AB468" s="9">
        <f t="shared" si="212"/>
        <v>12.04</v>
      </c>
      <c r="AD468" s="13">
        <f>IF(AH468&gt;AH467,AD467,IF(AD467&lt;MiscData!$F$1,EOMONTH(AD467,1),EOMONTH(AD467,-11)))</f>
        <v>42551</v>
      </c>
      <c r="AE468" s="7" t="str">
        <f t="shared" si="204"/>
        <v>20140101KUUM_412</v>
      </c>
      <c r="AF468" s="12" t="str">
        <f t="shared" si="205"/>
        <v>20140101RLS</v>
      </c>
      <c r="AG468" s="31"/>
      <c r="AH468">
        <f>IF(AH467=MiscData!$AB$91,1,AH467+1)</f>
        <v>27</v>
      </c>
      <c r="AI468">
        <f>IF(AD468&lt;=MiscData!$B$23,MiscData!$C$23,IF(AD468&lt;=MiscData!$B$24,MiscData!$C$24,MiscData!$C$25))</f>
        <v>20140101</v>
      </c>
      <c r="AK468" s="190" t="str">
        <f>VLOOKUP(AM468,MiscData!$AB$4:$ACB$113,2,FALSE)</f>
        <v>KUUM_412</v>
      </c>
      <c r="AL468" s="190" t="str">
        <f>VLOOKUP(AM468,MiscData!$AB$4:$AE$115,4,FALSE)</f>
        <v>RLS</v>
      </c>
      <c r="AM468">
        <f>IF(AM467=MiscData!$AB$91,1,AM467+1)</f>
        <v>27</v>
      </c>
    </row>
    <row r="469" spans="1:39">
      <c r="A469" s="7">
        <f t="shared" si="208"/>
        <v>468</v>
      </c>
      <c r="B469" s="13" t="str">
        <f t="shared" si="189"/>
        <v>Jun 2016</v>
      </c>
      <c r="C469" s="23" t="str">
        <f t="shared" si="190"/>
        <v>RLS</v>
      </c>
      <c r="D469" s="23" t="str">
        <f t="shared" si="191"/>
        <v>KUUM_413</v>
      </c>
      <c r="E469" s="170">
        <f t="shared" si="192"/>
        <v>96</v>
      </c>
      <c r="F469" s="185"/>
      <c r="G469" s="170">
        <f t="shared" si="193"/>
        <v>0</v>
      </c>
      <c r="H469" s="170"/>
      <c r="I469" s="11">
        <f t="shared" si="194"/>
        <v>31.22</v>
      </c>
      <c r="J469" s="11">
        <f t="shared" si="195"/>
        <v>1.129999999999999</v>
      </c>
      <c r="K469" s="416">
        <f t="shared" si="210"/>
        <v>2997.12</v>
      </c>
      <c r="L469" s="180"/>
      <c r="M469" s="180"/>
      <c r="N469" s="186">
        <f t="shared" si="188"/>
        <v>2997.12</v>
      </c>
      <c r="O469" s="29">
        <f t="shared" si="196"/>
        <v>0</v>
      </c>
      <c r="P469" s="181">
        <f t="shared" si="211"/>
        <v>0</v>
      </c>
      <c r="Q469" s="182">
        <f t="shared" si="197"/>
        <v>0</v>
      </c>
      <c r="R469" s="182">
        <f t="shared" si="198"/>
        <v>0</v>
      </c>
      <c r="S469" s="182">
        <f t="shared" si="199"/>
        <v>0</v>
      </c>
      <c r="T469" s="182">
        <f t="shared" si="200"/>
        <v>0</v>
      </c>
      <c r="U469" s="182">
        <f t="shared" si="201"/>
        <v>0</v>
      </c>
      <c r="V469" s="14">
        <f t="shared" si="202"/>
        <v>2997.12</v>
      </c>
      <c r="W469" s="14">
        <f t="shared" si="203"/>
        <v>-2997.12</v>
      </c>
      <c r="Y469" s="14">
        <f t="shared" si="206"/>
        <v>108.48</v>
      </c>
      <c r="Z469" s="14">
        <f t="shared" si="207"/>
        <v>-108.48</v>
      </c>
      <c r="AA469" s="11">
        <f t="shared" si="209"/>
        <v>0.34</v>
      </c>
      <c r="AB469" s="9">
        <f t="shared" si="212"/>
        <v>32.64</v>
      </c>
      <c r="AD469" s="13">
        <f>IF(AH469&gt;AH468,AD468,IF(AD468&lt;MiscData!$F$1,EOMONTH(AD468,1),EOMONTH(AD468,-11)))</f>
        <v>42551</v>
      </c>
      <c r="AE469" s="7" t="str">
        <f t="shared" si="204"/>
        <v>20140101KUUM_413</v>
      </c>
      <c r="AF469" s="12" t="str">
        <f t="shared" si="205"/>
        <v>20140101RLS</v>
      </c>
      <c r="AG469" s="31"/>
      <c r="AH469">
        <f>IF(AH468=MiscData!$AB$91,1,AH468+1)</f>
        <v>28</v>
      </c>
      <c r="AI469">
        <f>IF(AD469&lt;=MiscData!$B$23,MiscData!$C$23,IF(AD469&lt;=MiscData!$B$24,MiscData!$C$24,MiscData!$C$25))</f>
        <v>20140101</v>
      </c>
      <c r="AK469" s="190" t="str">
        <f>VLOOKUP(AM469,MiscData!$AB$4:$ACB$113,2,FALSE)</f>
        <v>KUUM_413</v>
      </c>
      <c r="AL469" s="190" t="str">
        <f>VLOOKUP(AM469,MiscData!$AB$4:$AE$115,4,FALSE)</f>
        <v>RLS</v>
      </c>
      <c r="AM469">
        <f>IF(AM468=MiscData!$AB$91,1,AM468+1)</f>
        <v>28</v>
      </c>
    </row>
    <row r="470" spans="1:39">
      <c r="A470" s="7">
        <f t="shared" si="208"/>
        <v>469</v>
      </c>
      <c r="B470" s="13" t="str">
        <f t="shared" si="189"/>
        <v>Jun 2016</v>
      </c>
      <c r="C470" s="23" t="str">
        <f t="shared" si="190"/>
        <v>LS</v>
      </c>
      <c r="D470" s="23" t="str">
        <f t="shared" si="191"/>
        <v>KUUM_414</v>
      </c>
      <c r="E470" s="170">
        <f t="shared" si="192"/>
        <v>21</v>
      </c>
      <c r="F470" s="185"/>
      <c r="G470" s="170">
        <f t="shared" si="193"/>
        <v>0</v>
      </c>
      <c r="H470" s="170"/>
      <c r="I470" s="11">
        <f t="shared" si="194"/>
        <v>30.84</v>
      </c>
      <c r="J470" s="11">
        <f t="shared" si="195"/>
        <v>0.79999999999999716</v>
      </c>
      <c r="K470" s="416">
        <f t="shared" si="210"/>
        <v>647.64</v>
      </c>
      <c r="L470" s="180"/>
      <c r="M470" s="180"/>
      <c r="N470" s="186">
        <f t="shared" si="188"/>
        <v>647.64</v>
      </c>
      <c r="O470" s="29">
        <f t="shared" si="196"/>
        <v>0</v>
      </c>
      <c r="P470" s="181">
        <f t="shared" si="211"/>
        <v>0</v>
      </c>
      <c r="Q470" s="182">
        <f t="shared" si="197"/>
        <v>0</v>
      </c>
      <c r="R470" s="182">
        <f t="shared" si="198"/>
        <v>0</v>
      </c>
      <c r="S470" s="182">
        <f t="shared" si="199"/>
        <v>0</v>
      </c>
      <c r="T470" s="182">
        <f t="shared" si="200"/>
        <v>0</v>
      </c>
      <c r="U470" s="182">
        <f t="shared" si="201"/>
        <v>0</v>
      </c>
      <c r="V470" s="14">
        <f t="shared" si="202"/>
        <v>647.64</v>
      </c>
      <c r="W470" s="14">
        <f t="shared" si="203"/>
        <v>-647.64</v>
      </c>
      <c r="Y470" s="14">
        <f t="shared" si="206"/>
        <v>16.8</v>
      </c>
      <c r="Z470" s="14">
        <f t="shared" si="207"/>
        <v>-16.8</v>
      </c>
      <c r="AA470" s="11">
        <f t="shared" si="209"/>
        <v>0.43</v>
      </c>
      <c r="AB470" s="9">
        <f t="shared" si="212"/>
        <v>9.0299999999999994</v>
      </c>
      <c r="AD470" s="13">
        <f>IF(AH470&gt;AH469,AD469,IF(AD469&lt;MiscData!$F$1,EOMONTH(AD469,1),EOMONTH(AD469,-11)))</f>
        <v>42551</v>
      </c>
      <c r="AE470" s="7" t="str">
        <f t="shared" si="204"/>
        <v>20140101KUUM_414</v>
      </c>
      <c r="AF470" s="12" t="str">
        <f t="shared" si="205"/>
        <v>20140101LS</v>
      </c>
      <c r="AG470" s="31"/>
      <c r="AH470">
        <f>IF(AH469=MiscData!$AB$91,1,AH469+1)</f>
        <v>29</v>
      </c>
      <c r="AI470">
        <f>IF(AD470&lt;=MiscData!$B$23,MiscData!$C$23,IF(AD470&lt;=MiscData!$B$24,MiscData!$C$24,MiscData!$C$25))</f>
        <v>20140101</v>
      </c>
      <c r="AK470" s="190" t="str">
        <f>VLOOKUP(AM470,MiscData!$AB$4:$ACB$113,2,FALSE)</f>
        <v>KUUM_414</v>
      </c>
      <c r="AL470" s="190" t="str">
        <f>VLOOKUP(AM470,MiscData!$AB$4:$AE$115,4,FALSE)</f>
        <v>LS</v>
      </c>
      <c r="AM470">
        <f>IF(AM469=MiscData!$AB$91,1,AM469+1)</f>
        <v>29</v>
      </c>
    </row>
    <row r="471" spans="1:39">
      <c r="A471" s="7">
        <f t="shared" si="208"/>
        <v>470</v>
      </c>
      <c r="B471" s="13" t="str">
        <f t="shared" si="189"/>
        <v>Jun 2016</v>
      </c>
      <c r="C471" s="23" t="str">
        <f t="shared" si="190"/>
        <v>LS</v>
      </c>
      <c r="D471" s="23" t="str">
        <f t="shared" si="191"/>
        <v>KUUM_415</v>
      </c>
      <c r="E471" s="170">
        <f t="shared" si="192"/>
        <v>10</v>
      </c>
      <c r="F471" s="185"/>
      <c r="G471" s="170">
        <f t="shared" si="193"/>
        <v>0</v>
      </c>
      <c r="H471" s="170"/>
      <c r="I471" s="11">
        <f t="shared" si="194"/>
        <v>31.22</v>
      </c>
      <c r="J471" s="11">
        <f t="shared" si="195"/>
        <v>1.129999999999999</v>
      </c>
      <c r="K471" s="416">
        <f t="shared" si="210"/>
        <v>312.2</v>
      </c>
      <c r="L471" s="180"/>
      <c r="M471" s="180"/>
      <c r="N471" s="186">
        <f t="shared" si="188"/>
        <v>312.2</v>
      </c>
      <c r="O471" s="29">
        <f t="shared" si="196"/>
        <v>0</v>
      </c>
      <c r="P471" s="181">
        <f t="shared" si="211"/>
        <v>0</v>
      </c>
      <c r="Q471" s="182">
        <f t="shared" si="197"/>
        <v>0</v>
      </c>
      <c r="R471" s="182">
        <f t="shared" si="198"/>
        <v>0</v>
      </c>
      <c r="S471" s="182">
        <f t="shared" si="199"/>
        <v>0</v>
      </c>
      <c r="T471" s="182">
        <f t="shared" si="200"/>
        <v>0</v>
      </c>
      <c r="U471" s="182">
        <f t="shared" si="201"/>
        <v>0</v>
      </c>
      <c r="V471" s="14">
        <f t="shared" si="202"/>
        <v>312.2</v>
      </c>
      <c r="W471" s="14">
        <f t="shared" si="203"/>
        <v>-312.2</v>
      </c>
      <c r="Y471" s="14">
        <f t="shared" si="206"/>
        <v>11.3</v>
      </c>
      <c r="Z471" s="14">
        <f t="shared" si="207"/>
        <v>-11.3</v>
      </c>
      <c r="AA471" s="11">
        <f t="shared" si="209"/>
        <v>0.34</v>
      </c>
      <c r="AB471" s="9">
        <f t="shared" si="212"/>
        <v>3.4000000000000004</v>
      </c>
      <c r="AD471" s="13">
        <f>IF(AH471&gt;AH470,AD470,IF(AD470&lt;MiscData!$F$1,EOMONTH(AD470,1),EOMONTH(AD470,-11)))</f>
        <v>42551</v>
      </c>
      <c r="AE471" s="7" t="str">
        <f t="shared" si="204"/>
        <v>20140101KUUM_415</v>
      </c>
      <c r="AF471" s="12" t="str">
        <f t="shared" si="205"/>
        <v>20140101LS</v>
      </c>
      <c r="AG471" s="31"/>
      <c r="AH471">
        <f>IF(AH470=MiscData!$AB$91,1,AH470+1)</f>
        <v>30</v>
      </c>
      <c r="AI471">
        <f>IF(AD471&lt;=MiscData!$B$23,MiscData!$C$23,IF(AD471&lt;=MiscData!$B$24,MiscData!$C$24,MiscData!$C$25))</f>
        <v>20140101</v>
      </c>
      <c r="AK471" s="190" t="str">
        <f>VLOOKUP(AM471,MiscData!$AB$4:$ACB$113,2,FALSE)</f>
        <v>KUUM_415</v>
      </c>
      <c r="AL471" s="190" t="str">
        <f>VLOOKUP(AM471,MiscData!$AB$4:$AE$115,4,FALSE)</f>
        <v>LS</v>
      </c>
      <c r="AM471">
        <f>IF(AM470=MiscData!$AB$91,1,AM470+1)</f>
        <v>30</v>
      </c>
    </row>
    <row r="472" spans="1:39">
      <c r="A472" s="7">
        <f t="shared" si="208"/>
        <v>471</v>
      </c>
      <c r="B472" s="13" t="str">
        <f t="shared" si="189"/>
        <v>Jun 2016</v>
      </c>
      <c r="C472" s="23" t="str">
        <f t="shared" si="190"/>
        <v>LS</v>
      </c>
      <c r="D472" s="23" t="str">
        <f t="shared" si="191"/>
        <v>KUUM_420</v>
      </c>
      <c r="E472" s="170">
        <f t="shared" si="192"/>
        <v>478</v>
      </c>
      <c r="F472" s="185"/>
      <c r="G472" s="170">
        <f t="shared" si="193"/>
        <v>0</v>
      </c>
      <c r="H472" s="170"/>
      <c r="I472" s="11">
        <f t="shared" si="194"/>
        <v>15.360000000000001</v>
      </c>
      <c r="J472" s="11">
        <f t="shared" si="195"/>
        <v>1.1300000000000008</v>
      </c>
      <c r="K472" s="416">
        <f t="shared" si="210"/>
        <v>7342.08</v>
      </c>
      <c r="L472" s="180"/>
      <c r="M472" s="180"/>
      <c r="N472" s="186">
        <f t="shared" si="188"/>
        <v>7342.08</v>
      </c>
      <c r="O472" s="29">
        <f t="shared" si="196"/>
        <v>0</v>
      </c>
      <c r="P472" s="181">
        <f t="shared" si="211"/>
        <v>0</v>
      </c>
      <c r="Q472" s="182">
        <f t="shared" si="197"/>
        <v>0</v>
      </c>
      <c r="R472" s="182">
        <f t="shared" si="198"/>
        <v>0</v>
      </c>
      <c r="S472" s="182">
        <f t="shared" si="199"/>
        <v>0</v>
      </c>
      <c r="T472" s="182">
        <f t="shared" si="200"/>
        <v>0</v>
      </c>
      <c r="U472" s="182">
        <f t="shared" si="201"/>
        <v>0</v>
      </c>
      <c r="V472" s="14">
        <f t="shared" si="202"/>
        <v>7342.08</v>
      </c>
      <c r="W472" s="14">
        <f t="shared" si="203"/>
        <v>-7342.08</v>
      </c>
      <c r="Y472" s="14">
        <f t="shared" si="206"/>
        <v>540.14</v>
      </c>
      <c r="Z472" s="14">
        <f t="shared" si="207"/>
        <v>-540.14</v>
      </c>
      <c r="AA472" s="11">
        <f t="shared" si="209"/>
        <v>0.34</v>
      </c>
      <c r="AB472" s="9">
        <f t="shared" si="212"/>
        <v>162.52000000000001</v>
      </c>
      <c r="AD472" s="13">
        <f>IF(AH472&gt;AH471,AD471,IF(AD471&lt;MiscData!$F$1,EOMONTH(AD471,1),EOMONTH(AD471,-11)))</f>
        <v>42551</v>
      </c>
      <c r="AE472" s="7" t="str">
        <f t="shared" si="204"/>
        <v>20140101KUUM_420</v>
      </c>
      <c r="AF472" s="12" t="str">
        <f t="shared" si="205"/>
        <v>20140101LS</v>
      </c>
      <c r="AG472" s="31"/>
      <c r="AH472">
        <f>IF(AH471=MiscData!$AB$91,1,AH471+1)</f>
        <v>31</v>
      </c>
      <c r="AI472">
        <f>IF(AD472&lt;=MiscData!$B$23,MiscData!$C$23,IF(AD472&lt;=MiscData!$B$24,MiscData!$C$24,MiscData!$C$25))</f>
        <v>20140101</v>
      </c>
      <c r="AK472" s="190" t="str">
        <f>VLOOKUP(AM472,MiscData!$AB$4:$ACB$113,2,FALSE)</f>
        <v>KUUM_420</v>
      </c>
      <c r="AL472" s="190" t="str">
        <f>VLOOKUP(AM472,MiscData!$AB$4:$AE$115,4,FALSE)</f>
        <v>LS</v>
      </c>
      <c r="AM472">
        <f>IF(AM471=MiscData!$AB$91,1,AM471+1)</f>
        <v>31</v>
      </c>
    </row>
    <row r="473" spans="1:39">
      <c r="A473" s="7">
        <f t="shared" si="208"/>
        <v>472</v>
      </c>
      <c r="B473" s="13" t="str">
        <f t="shared" si="189"/>
        <v>Jun 2016</v>
      </c>
      <c r="C473" s="23" t="str">
        <f t="shared" si="190"/>
        <v>RLS</v>
      </c>
      <c r="D473" s="23" t="str">
        <f t="shared" si="191"/>
        <v>KUUM_421</v>
      </c>
      <c r="E473" s="170">
        <f t="shared" si="192"/>
        <v>5</v>
      </c>
      <c r="F473" s="185"/>
      <c r="G473" s="170">
        <f t="shared" si="193"/>
        <v>0</v>
      </c>
      <c r="H473" s="170"/>
      <c r="I473" s="11">
        <f t="shared" si="194"/>
        <v>3.39</v>
      </c>
      <c r="J473" s="11">
        <f t="shared" si="195"/>
        <v>0.98999999999999977</v>
      </c>
      <c r="K473" s="416">
        <f t="shared" si="210"/>
        <v>16.95</v>
      </c>
      <c r="L473" s="180"/>
      <c r="M473" s="180"/>
      <c r="N473" s="186">
        <f t="shared" si="188"/>
        <v>16.95</v>
      </c>
      <c r="O473" s="29">
        <f t="shared" si="196"/>
        <v>0</v>
      </c>
      <c r="P473" s="181">
        <f t="shared" si="211"/>
        <v>0</v>
      </c>
      <c r="Q473" s="182">
        <f t="shared" si="197"/>
        <v>0</v>
      </c>
      <c r="R473" s="182">
        <f t="shared" si="198"/>
        <v>0</v>
      </c>
      <c r="S473" s="182">
        <f t="shared" si="199"/>
        <v>0</v>
      </c>
      <c r="T473" s="182">
        <f t="shared" si="200"/>
        <v>0</v>
      </c>
      <c r="U473" s="182">
        <f t="shared" si="201"/>
        <v>0</v>
      </c>
      <c r="V473" s="14">
        <f t="shared" si="202"/>
        <v>16.95</v>
      </c>
      <c r="W473" s="14">
        <f t="shared" si="203"/>
        <v>-16.95</v>
      </c>
      <c r="Y473" s="14">
        <f t="shared" si="206"/>
        <v>4.95</v>
      </c>
      <c r="Z473" s="14">
        <f t="shared" si="207"/>
        <v>-4.95</v>
      </c>
      <c r="AA473" s="11">
        <f t="shared" si="209"/>
        <v>0.12</v>
      </c>
      <c r="AB473" s="9">
        <f t="shared" si="212"/>
        <v>0.6</v>
      </c>
      <c r="AD473" s="13">
        <f>IF(AH473&gt;AH472,AD472,IF(AD472&lt;MiscData!$F$1,EOMONTH(AD472,1),EOMONTH(AD472,-11)))</f>
        <v>42551</v>
      </c>
      <c r="AE473" s="7" t="str">
        <f t="shared" si="204"/>
        <v>20140101KUUM_421</v>
      </c>
      <c r="AF473" s="12" t="str">
        <f t="shared" si="205"/>
        <v>20140101RLS</v>
      </c>
      <c r="AG473" s="31"/>
      <c r="AH473">
        <f>IF(AH472=MiscData!$AB$91,1,AH472+1)</f>
        <v>32</v>
      </c>
      <c r="AI473">
        <f>IF(AD473&lt;=MiscData!$B$23,MiscData!$C$23,IF(AD473&lt;=MiscData!$B$24,MiscData!$C$24,MiscData!$C$25))</f>
        <v>20140101</v>
      </c>
      <c r="AK473" s="190" t="str">
        <f>VLOOKUP(AM473,MiscData!$AB$4:$ACB$113,2,FALSE)</f>
        <v>KUUM_421</v>
      </c>
      <c r="AL473" s="190" t="str">
        <f>VLOOKUP(AM473,MiscData!$AB$4:$AE$115,4,FALSE)</f>
        <v>RLS</v>
      </c>
      <c r="AM473">
        <f>IF(AM472=MiscData!$AB$91,1,AM472+1)</f>
        <v>32</v>
      </c>
    </row>
    <row r="474" spans="1:39">
      <c r="A474" s="7">
        <f t="shared" si="208"/>
        <v>473</v>
      </c>
      <c r="B474" s="13" t="str">
        <f t="shared" si="189"/>
        <v>Jun 2016</v>
      </c>
      <c r="C474" s="23" t="str">
        <f t="shared" si="190"/>
        <v>RLS</v>
      </c>
      <c r="D474" s="23" t="str">
        <f t="shared" si="191"/>
        <v>KUUM_422</v>
      </c>
      <c r="E474" s="170">
        <f t="shared" si="192"/>
        <v>674</v>
      </c>
      <c r="F474" s="185"/>
      <c r="G474" s="170">
        <f t="shared" si="193"/>
        <v>0</v>
      </c>
      <c r="H474" s="170"/>
      <c r="I474" s="11">
        <f t="shared" si="194"/>
        <v>4.5400000000000009</v>
      </c>
      <c r="J474" s="11">
        <f t="shared" si="195"/>
        <v>1.9400000000000004</v>
      </c>
      <c r="K474" s="416">
        <f t="shared" si="210"/>
        <v>3059.96</v>
      </c>
      <c r="L474" s="180"/>
      <c r="M474" s="180"/>
      <c r="N474" s="186">
        <f t="shared" si="188"/>
        <v>3059.96</v>
      </c>
      <c r="O474" s="29">
        <f t="shared" si="196"/>
        <v>0</v>
      </c>
      <c r="P474" s="181">
        <f t="shared" si="211"/>
        <v>0</v>
      </c>
      <c r="Q474" s="182">
        <f t="shared" si="197"/>
        <v>0</v>
      </c>
      <c r="R474" s="182">
        <f t="shared" si="198"/>
        <v>0</v>
      </c>
      <c r="S474" s="182">
        <f t="shared" si="199"/>
        <v>0</v>
      </c>
      <c r="T474" s="182">
        <f t="shared" si="200"/>
        <v>0</v>
      </c>
      <c r="U474" s="182">
        <f t="shared" si="201"/>
        <v>0</v>
      </c>
      <c r="V474" s="14">
        <f t="shared" si="202"/>
        <v>3059.96</v>
      </c>
      <c r="W474" s="14">
        <f t="shared" si="203"/>
        <v>-3059.96</v>
      </c>
      <c r="Y474" s="14">
        <f t="shared" si="206"/>
        <v>1307.56</v>
      </c>
      <c r="Z474" s="14">
        <f t="shared" si="207"/>
        <v>-1307.56</v>
      </c>
      <c r="AA474" s="11">
        <f t="shared" si="209"/>
        <v>0.16</v>
      </c>
      <c r="AB474" s="9">
        <f t="shared" si="212"/>
        <v>107.84</v>
      </c>
      <c r="AD474" s="13">
        <f>IF(AH474&gt;AH473,AD473,IF(AD473&lt;MiscData!$F$1,EOMONTH(AD473,1),EOMONTH(AD473,-11)))</f>
        <v>42551</v>
      </c>
      <c r="AE474" s="7" t="str">
        <f t="shared" si="204"/>
        <v>20140101KUUM_422</v>
      </c>
      <c r="AF474" s="12" t="str">
        <f t="shared" si="205"/>
        <v>20140101RLS</v>
      </c>
      <c r="AG474" s="31"/>
      <c r="AH474">
        <f>IF(AH473=MiscData!$AB$91,1,AH473+1)</f>
        <v>33</v>
      </c>
      <c r="AI474">
        <f>IF(AD474&lt;=MiscData!$B$23,MiscData!$C$23,IF(AD474&lt;=MiscData!$B$24,MiscData!$C$24,MiscData!$C$25))</f>
        <v>20140101</v>
      </c>
      <c r="AK474" s="190" t="str">
        <f>VLOOKUP(AM474,MiscData!$AB$4:$ACB$113,2,FALSE)</f>
        <v>KUUM_422</v>
      </c>
      <c r="AL474" s="190" t="str">
        <f>VLOOKUP(AM474,MiscData!$AB$4:$AE$115,4,FALSE)</f>
        <v>RLS</v>
      </c>
      <c r="AM474">
        <f>IF(AM473=MiscData!$AB$91,1,AM473+1)</f>
        <v>33</v>
      </c>
    </row>
    <row r="475" spans="1:39">
      <c r="A475" s="7">
        <f t="shared" si="208"/>
        <v>474</v>
      </c>
      <c r="B475" s="13" t="str">
        <f t="shared" si="189"/>
        <v>Jun 2016</v>
      </c>
      <c r="C475" s="23" t="str">
        <f t="shared" si="190"/>
        <v>RLS</v>
      </c>
      <c r="D475" s="23" t="str">
        <f t="shared" si="191"/>
        <v>KUUM_424</v>
      </c>
      <c r="E475" s="170">
        <f t="shared" si="192"/>
        <v>47</v>
      </c>
      <c r="F475" s="185"/>
      <c r="G475" s="170">
        <f t="shared" si="193"/>
        <v>0</v>
      </c>
      <c r="H475" s="170"/>
      <c r="I475" s="11">
        <f t="shared" si="194"/>
        <v>6.78</v>
      </c>
      <c r="J475" s="11">
        <f t="shared" si="195"/>
        <v>0.69999999999999929</v>
      </c>
      <c r="K475" s="416">
        <f t="shared" si="210"/>
        <v>318.66000000000003</v>
      </c>
      <c r="L475" s="180"/>
      <c r="M475" s="180"/>
      <c r="N475" s="186">
        <f t="shared" si="188"/>
        <v>318.66000000000003</v>
      </c>
      <c r="O475" s="29">
        <f t="shared" si="196"/>
        <v>0</v>
      </c>
      <c r="P475" s="181">
        <f t="shared" si="211"/>
        <v>0</v>
      </c>
      <c r="Q475" s="182">
        <f t="shared" si="197"/>
        <v>0</v>
      </c>
      <c r="R475" s="182">
        <f t="shared" si="198"/>
        <v>0</v>
      </c>
      <c r="S475" s="182">
        <f t="shared" si="199"/>
        <v>0</v>
      </c>
      <c r="T475" s="182">
        <f t="shared" si="200"/>
        <v>0</v>
      </c>
      <c r="U475" s="182">
        <f t="shared" si="201"/>
        <v>0</v>
      </c>
      <c r="V475" s="14">
        <f t="shared" si="202"/>
        <v>318.66000000000003</v>
      </c>
      <c r="W475" s="14">
        <f t="shared" si="203"/>
        <v>-318.66000000000003</v>
      </c>
      <c r="Y475" s="14">
        <f t="shared" si="206"/>
        <v>32.9</v>
      </c>
      <c r="Z475" s="14">
        <f t="shared" si="207"/>
        <v>-32.9</v>
      </c>
      <c r="AA475" s="11">
        <f t="shared" si="209"/>
        <v>0.24</v>
      </c>
      <c r="AB475" s="9">
        <f t="shared" si="212"/>
        <v>11.28</v>
      </c>
      <c r="AD475" s="13">
        <f>IF(AH475&gt;AH474,AD474,IF(AD474&lt;MiscData!$F$1,EOMONTH(AD474,1),EOMONTH(AD474,-11)))</f>
        <v>42551</v>
      </c>
      <c r="AE475" s="7" t="str">
        <f t="shared" si="204"/>
        <v>20140101KUUM_424</v>
      </c>
      <c r="AF475" s="12" t="str">
        <f t="shared" si="205"/>
        <v>20140101RLS</v>
      </c>
      <c r="AG475" s="31"/>
      <c r="AH475">
        <f>IF(AH474=MiscData!$AB$91,1,AH474+1)</f>
        <v>34</v>
      </c>
      <c r="AI475">
        <f>IF(AD475&lt;=MiscData!$B$23,MiscData!$C$23,IF(AD475&lt;=MiscData!$B$24,MiscData!$C$24,MiscData!$C$25))</f>
        <v>20140101</v>
      </c>
      <c r="AK475" s="190" t="str">
        <f>VLOOKUP(AM475,MiscData!$AB$4:$ACB$113,2,FALSE)</f>
        <v>KUUM_424</v>
      </c>
      <c r="AL475" s="190" t="str">
        <f>VLOOKUP(AM475,MiscData!$AB$4:$AE$115,4,FALSE)</f>
        <v>RLS</v>
      </c>
      <c r="AM475">
        <f>IF(AM474=MiscData!$AB$91,1,AM474+1)</f>
        <v>34</v>
      </c>
    </row>
    <row r="476" spans="1:39">
      <c r="A476" s="7">
        <f t="shared" si="208"/>
        <v>475</v>
      </c>
      <c r="B476" s="13" t="str">
        <f t="shared" si="189"/>
        <v>Jun 2016</v>
      </c>
      <c r="C476" s="23" t="str">
        <f t="shared" si="190"/>
        <v>RLS</v>
      </c>
      <c r="D476" s="23" t="str">
        <f t="shared" si="191"/>
        <v>KUUM_425</v>
      </c>
      <c r="E476" s="170">
        <f t="shared" si="192"/>
        <v>2</v>
      </c>
      <c r="F476" s="185"/>
      <c r="G476" s="170">
        <f t="shared" si="193"/>
        <v>0</v>
      </c>
      <c r="H476" s="170"/>
      <c r="I476" s="11">
        <f t="shared" si="194"/>
        <v>9.06</v>
      </c>
      <c r="J476" s="11">
        <f t="shared" si="195"/>
        <v>4.3000000000000007</v>
      </c>
      <c r="K476" s="416">
        <f t="shared" si="210"/>
        <v>18.12</v>
      </c>
      <c r="L476" s="180"/>
      <c r="M476" s="180"/>
      <c r="N476" s="186">
        <f t="shared" si="188"/>
        <v>18.12</v>
      </c>
      <c r="O476" s="29">
        <f t="shared" si="196"/>
        <v>0</v>
      </c>
      <c r="P476" s="181">
        <f t="shared" si="211"/>
        <v>0</v>
      </c>
      <c r="Q476" s="182">
        <f t="shared" si="197"/>
        <v>0</v>
      </c>
      <c r="R476" s="182">
        <f t="shared" si="198"/>
        <v>0</v>
      </c>
      <c r="S476" s="182">
        <f t="shared" si="199"/>
        <v>0</v>
      </c>
      <c r="T476" s="182">
        <f t="shared" si="200"/>
        <v>0</v>
      </c>
      <c r="U476" s="182">
        <f t="shared" si="201"/>
        <v>0</v>
      </c>
      <c r="V476" s="14">
        <f t="shared" si="202"/>
        <v>18.12</v>
      </c>
      <c r="W476" s="14">
        <f t="shared" si="203"/>
        <v>-18.12</v>
      </c>
      <c r="Y476" s="14">
        <f t="shared" si="206"/>
        <v>8.6</v>
      </c>
      <c r="Z476" s="14">
        <f t="shared" si="207"/>
        <v>-8.6</v>
      </c>
      <c r="AA476" s="11">
        <f t="shared" si="209"/>
        <v>0.33</v>
      </c>
      <c r="AB476" s="9">
        <f t="shared" si="212"/>
        <v>0.66</v>
      </c>
      <c r="AD476" s="13">
        <f>IF(AH476&gt;AH475,AD475,IF(AD475&lt;MiscData!$F$1,EOMONTH(AD475,1),EOMONTH(AD475,-11)))</f>
        <v>42551</v>
      </c>
      <c r="AE476" s="7" t="str">
        <f t="shared" si="204"/>
        <v>20140101KUUM_425</v>
      </c>
      <c r="AF476" s="12" t="str">
        <f t="shared" si="205"/>
        <v>20140101RLS</v>
      </c>
      <c r="AG476" s="31"/>
      <c r="AH476">
        <f>IF(AH475=MiscData!$AB$91,1,AH475+1)</f>
        <v>35</v>
      </c>
      <c r="AI476">
        <f>IF(AD476&lt;=MiscData!$B$23,MiscData!$C$23,IF(AD476&lt;=MiscData!$B$24,MiscData!$C$24,MiscData!$C$25))</f>
        <v>20140101</v>
      </c>
      <c r="AK476" s="190" t="str">
        <f>VLOOKUP(AM476,MiscData!$AB$4:$ACB$113,2,FALSE)</f>
        <v>KUUM_425</v>
      </c>
      <c r="AL476" s="190" t="str">
        <f>VLOOKUP(AM476,MiscData!$AB$4:$AE$115,4,FALSE)</f>
        <v>RLS</v>
      </c>
      <c r="AM476">
        <f>IF(AM475=MiscData!$AB$91,1,AM475+1)</f>
        <v>35</v>
      </c>
    </row>
    <row r="477" spans="1:39">
      <c r="A477" s="7">
        <f t="shared" si="208"/>
        <v>476</v>
      </c>
      <c r="B477" s="13" t="str">
        <f t="shared" si="189"/>
        <v>Jun 2016</v>
      </c>
      <c r="C477" s="23" t="str">
        <f t="shared" si="190"/>
        <v>RLS</v>
      </c>
      <c r="D477" s="23" t="str">
        <f t="shared" si="191"/>
        <v>KUUM_426</v>
      </c>
      <c r="E477" s="170">
        <f t="shared" si="192"/>
        <v>173</v>
      </c>
      <c r="F477" s="185"/>
      <c r="G477" s="170">
        <f t="shared" si="193"/>
        <v>0</v>
      </c>
      <c r="H477" s="170"/>
      <c r="I477" s="11">
        <f t="shared" si="194"/>
        <v>7.4399999999999995</v>
      </c>
      <c r="J477" s="11">
        <f t="shared" si="195"/>
        <v>0.79999999999999982</v>
      </c>
      <c r="K477" s="416">
        <f t="shared" si="210"/>
        <v>1287.1199999999999</v>
      </c>
      <c r="L477" s="180"/>
      <c r="M477" s="180"/>
      <c r="N477" s="186">
        <f t="shared" si="188"/>
        <v>1287.1199999999999</v>
      </c>
      <c r="O477" s="29">
        <f t="shared" si="196"/>
        <v>0</v>
      </c>
      <c r="P477" s="181">
        <f t="shared" si="211"/>
        <v>0</v>
      </c>
      <c r="Q477" s="182">
        <f t="shared" si="197"/>
        <v>0</v>
      </c>
      <c r="R477" s="182">
        <f t="shared" si="198"/>
        <v>0</v>
      </c>
      <c r="S477" s="182">
        <f t="shared" si="199"/>
        <v>0</v>
      </c>
      <c r="T477" s="182">
        <f t="shared" si="200"/>
        <v>0</v>
      </c>
      <c r="U477" s="182">
        <f t="shared" si="201"/>
        <v>0</v>
      </c>
      <c r="V477" s="14">
        <f t="shared" si="202"/>
        <v>1287.1199999999999</v>
      </c>
      <c r="W477" s="14">
        <f t="shared" si="203"/>
        <v>-1287.1199999999999</v>
      </c>
      <c r="Y477" s="14">
        <f t="shared" si="206"/>
        <v>138.4</v>
      </c>
      <c r="Z477" s="14">
        <f t="shared" si="207"/>
        <v>-138.4</v>
      </c>
      <c r="AA477" s="11">
        <f t="shared" si="209"/>
        <v>0.43</v>
      </c>
      <c r="AB477" s="9">
        <f t="shared" si="212"/>
        <v>74.39</v>
      </c>
      <c r="AD477" s="13">
        <f>IF(AH477&gt;AH476,AD476,IF(AD476&lt;MiscData!$F$1,EOMONTH(AD476,1),EOMONTH(AD476,-11)))</f>
        <v>42551</v>
      </c>
      <c r="AE477" s="7" t="str">
        <f t="shared" si="204"/>
        <v>20140101KUUM_426</v>
      </c>
      <c r="AF477" s="12" t="str">
        <f t="shared" si="205"/>
        <v>20140101RLS</v>
      </c>
      <c r="AG477" s="31"/>
      <c r="AH477">
        <f>IF(AH476=MiscData!$AB$91,1,AH476+1)</f>
        <v>36</v>
      </c>
      <c r="AI477">
        <f>IF(AD477&lt;=MiscData!$B$23,MiscData!$C$23,IF(AD477&lt;=MiscData!$B$24,MiscData!$C$24,MiscData!$C$25))</f>
        <v>20140101</v>
      </c>
      <c r="AK477" s="190" t="str">
        <f>VLOOKUP(AM477,MiscData!$AB$4:$ACB$113,2,FALSE)</f>
        <v>KUUM_426</v>
      </c>
      <c r="AL477" s="190" t="str">
        <f>VLOOKUP(AM477,MiscData!$AB$4:$AE$115,4,FALSE)</f>
        <v>RLS</v>
      </c>
      <c r="AM477">
        <f>IF(AM476=MiscData!$AB$91,1,AM476+1)</f>
        <v>36</v>
      </c>
    </row>
    <row r="478" spans="1:39">
      <c r="A478" s="7">
        <f t="shared" si="208"/>
        <v>477</v>
      </c>
      <c r="B478" s="13" t="str">
        <f t="shared" si="189"/>
        <v>Jun 2016</v>
      </c>
      <c r="C478" s="23" t="str">
        <f t="shared" si="190"/>
        <v>LS</v>
      </c>
      <c r="D478" s="23" t="str">
        <f t="shared" si="191"/>
        <v>KUUM_428</v>
      </c>
      <c r="E478" s="170">
        <f t="shared" si="192"/>
        <v>36760</v>
      </c>
      <c r="F478" s="185"/>
      <c r="G478" s="170">
        <f t="shared" si="193"/>
        <v>0</v>
      </c>
      <c r="H478" s="170"/>
      <c r="I478" s="11">
        <f t="shared" si="194"/>
        <v>7.84</v>
      </c>
      <c r="J478" s="11">
        <f t="shared" si="195"/>
        <v>1.1299999999999999</v>
      </c>
      <c r="K478" s="416">
        <f t="shared" si="210"/>
        <v>288198.40000000002</v>
      </c>
      <c r="L478" s="180"/>
      <c r="M478" s="180"/>
      <c r="N478" s="186">
        <f t="shared" si="188"/>
        <v>288198.40000000002</v>
      </c>
      <c r="O478" s="29">
        <f t="shared" si="196"/>
        <v>0</v>
      </c>
      <c r="P478" s="181">
        <f t="shared" si="211"/>
        <v>0</v>
      </c>
      <c r="Q478" s="182">
        <f t="shared" si="197"/>
        <v>0</v>
      </c>
      <c r="R478" s="182">
        <f t="shared" si="198"/>
        <v>0</v>
      </c>
      <c r="S478" s="182">
        <f t="shared" si="199"/>
        <v>0</v>
      </c>
      <c r="T478" s="182">
        <f t="shared" si="200"/>
        <v>0</v>
      </c>
      <c r="U478" s="182">
        <f t="shared" si="201"/>
        <v>0</v>
      </c>
      <c r="V478" s="14">
        <f t="shared" si="202"/>
        <v>288198.40000000002</v>
      </c>
      <c r="W478" s="14">
        <f t="shared" si="203"/>
        <v>-288198.40000000002</v>
      </c>
      <c r="Y478" s="14">
        <f t="shared" si="206"/>
        <v>41538.800000000003</v>
      </c>
      <c r="Z478" s="14">
        <f t="shared" si="207"/>
        <v>-41538.800000000003</v>
      </c>
      <c r="AA478" s="11">
        <f t="shared" si="209"/>
        <v>0.34</v>
      </c>
      <c r="AB478" s="9">
        <f t="shared" si="212"/>
        <v>12498.400000000001</v>
      </c>
      <c r="AD478" s="13">
        <f>IF(AH478&gt;AH477,AD477,IF(AD477&lt;MiscData!$F$1,EOMONTH(AD477,1),EOMONTH(AD477,-11)))</f>
        <v>42551</v>
      </c>
      <c r="AE478" s="7" t="str">
        <f t="shared" si="204"/>
        <v>20140101KUUM_428</v>
      </c>
      <c r="AF478" s="12" t="str">
        <f t="shared" si="205"/>
        <v>20140101LS</v>
      </c>
      <c r="AG478" s="31"/>
      <c r="AH478">
        <f>IF(AH477=MiscData!$AB$91,1,AH477+1)</f>
        <v>37</v>
      </c>
      <c r="AI478">
        <f>IF(AD478&lt;=MiscData!$B$23,MiscData!$C$23,IF(AD478&lt;=MiscData!$B$24,MiscData!$C$24,MiscData!$C$25))</f>
        <v>20140101</v>
      </c>
      <c r="AK478" s="190" t="str">
        <f>VLOOKUP(AM478,MiscData!$AB$4:$ACB$113,2,FALSE)</f>
        <v>KUUM_428</v>
      </c>
      <c r="AL478" s="190" t="str">
        <f>VLOOKUP(AM478,MiscData!$AB$4:$AE$115,4,FALSE)</f>
        <v>LS</v>
      </c>
      <c r="AM478">
        <f>IF(AM477=MiscData!$AB$91,1,AM477+1)</f>
        <v>37</v>
      </c>
    </row>
    <row r="479" spans="1:39">
      <c r="A479" s="7">
        <f t="shared" si="208"/>
        <v>478</v>
      </c>
      <c r="B479" s="13" t="str">
        <f t="shared" si="189"/>
        <v>Jun 2016</v>
      </c>
      <c r="C479" s="23" t="str">
        <f t="shared" si="190"/>
        <v>LS</v>
      </c>
      <c r="D479" s="23" t="str">
        <f t="shared" si="191"/>
        <v>KUUM_429</v>
      </c>
      <c r="E479" s="170">
        <f t="shared" si="192"/>
        <v>0</v>
      </c>
      <c r="F479" s="185"/>
      <c r="G479" s="170">
        <f t="shared" si="193"/>
        <v>0</v>
      </c>
      <c r="H479" s="170"/>
      <c r="I479" s="11">
        <f t="shared" si="194"/>
        <v>0</v>
      </c>
      <c r="J479" s="11">
        <f t="shared" si="195"/>
        <v>0</v>
      </c>
      <c r="K479" s="416">
        <f t="shared" si="210"/>
        <v>0</v>
      </c>
      <c r="L479" s="180"/>
      <c r="M479" s="180"/>
      <c r="N479" s="186">
        <f t="shared" si="188"/>
        <v>0</v>
      </c>
      <c r="O479" s="29">
        <f t="shared" si="196"/>
        <v>0</v>
      </c>
      <c r="P479" s="181">
        <f t="shared" si="211"/>
        <v>1</v>
      </c>
      <c r="Q479" s="182">
        <f t="shared" si="197"/>
        <v>0</v>
      </c>
      <c r="R479" s="182">
        <f t="shared" si="198"/>
        <v>0</v>
      </c>
      <c r="S479" s="182">
        <f t="shared" si="199"/>
        <v>0</v>
      </c>
      <c r="T479" s="182">
        <f t="shared" si="200"/>
        <v>0</v>
      </c>
      <c r="U479" s="182">
        <f t="shared" si="201"/>
        <v>0</v>
      </c>
      <c r="V479" s="14">
        <f t="shared" si="202"/>
        <v>0</v>
      </c>
      <c r="W479" s="14">
        <f t="shared" si="203"/>
        <v>0</v>
      </c>
      <c r="Y479" s="14">
        <f t="shared" si="206"/>
        <v>0</v>
      </c>
      <c r="Z479" s="14">
        <f t="shared" si="207"/>
        <v>0</v>
      </c>
      <c r="AA479" s="11">
        <f t="shared" si="209"/>
        <v>0</v>
      </c>
      <c r="AB479" s="9">
        <f t="shared" si="212"/>
        <v>0</v>
      </c>
      <c r="AD479" s="13">
        <f>IF(AH479&gt;AH478,AD478,IF(AD478&lt;MiscData!$F$1,EOMONTH(AD478,1),EOMONTH(AD478,-11)))</f>
        <v>42551</v>
      </c>
      <c r="AE479" s="7" t="str">
        <f t="shared" si="204"/>
        <v>20140101KUUM_429</v>
      </c>
      <c r="AF479" s="12" t="str">
        <f t="shared" si="205"/>
        <v>20140101LS</v>
      </c>
      <c r="AG479" s="31"/>
      <c r="AH479">
        <f>IF(AH478=MiscData!$AB$91,1,AH478+1)</f>
        <v>38</v>
      </c>
      <c r="AI479">
        <f>IF(AD479&lt;=MiscData!$B$23,MiscData!$C$23,IF(AD479&lt;=MiscData!$B$24,MiscData!$C$24,MiscData!$C$25))</f>
        <v>20140101</v>
      </c>
      <c r="AK479" s="190" t="str">
        <f>VLOOKUP(AM479,MiscData!$AB$4:$ACB$113,2,FALSE)</f>
        <v>KUUM_429</v>
      </c>
      <c r="AL479" s="190" t="str">
        <f>VLOOKUP(AM479,MiscData!$AB$4:$AE$115,4,FALSE)</f>
        <v>LS</v>
      </c>
      <c r="AM479">
        <f>IF(AM478=MiscData!$AB$91,1,AM478+1)</f>
        <v>38</v>
      </c>
    </row>
    <row r="480" spans="1:39">
      <c r="A480" s="7">
        <f t="shared" si="208"/>
        <v>479</v>
      </c>
      <c r="B480" s="13" t="str">
        <f t="shared" si="189"/>
        <v>Jun 2016</v>
      </c>
      <c r="C480" s="23" t="str">
        <f t="shared" si="190"/>
        <v>LS</v>
      </c>
      <c r="D480" s="23" t="str">
        <f t="shared" si="191"/>
        <v>KUUM_430</v>
      </c>
      <c r="E480" s="170">
        <f t="shared" si="192"/>
        <v>1176</v>
      </c>
      <c r="F480" s="185"/>
      <c r="G480" s="170">
        <f t="shared" si="193"/>
        <v>0</v>
      </c>
      <c r="H480" s="170"/>
      <c r="I480" s="11">
        <f t="shared" si="194"/>
        <v>22</v>
      </c>
      <c r="J480" s="11">
        <f t="shared" si="195"/>
        <v>1.129999999999999</v>
      </c>
      <c r="K480" s="416">
        <f t="shared" si="210"/>
        <v>25872</v>
      </c>
      <c r="L480" s="180"/>
      <c r="M480" s="180"/>
      <c r="N480" s="186">
        <f t="shared" si="188"/>
        <v>25872</v>
      </c>
      <c r="O480" s="29">
        <f t="shared" si="196"/>
        <v>0</v>
      </c>
      <c r="P480" s="181">
        <f t="shared" si="211"/>
        <v>0</v>
      </c>
      <c r="Q480" s="182">
        <f t="shared" si="197"/>
        <v>0</v>
      </c>
      <c r="R480" s="182">
        <f t="shared" si="198"/>
        <v>0</v>
      </c>
      <c r="S480" s="182">
        <f t="shared" si="199"/>
        <v>0</v>
      </c>
      <c r="T480" s="182">
        <f t="shared" si="200"/>
        <v>0</v>
      </c>
      <c r="U480" s="182">
        <f t="shared" si="201"/>
        <v>0</v>
      </c>
      <c r="V480" s="14">
        <f t="shared" si="202"/>
        <v>25872</v>
      </c>
      <c r="W480" s="14">
        <f t="shared" si="203"/>
        <v>-25872</v>
      </c>
      <c r="Y480" s="14">
        <f t="shared" si="206"/>
        <v>1328.88</v>
      </c>
      <c r="Z480" s="14">
        <f t="shared" si="207"/>
        <v>-1328.88</v>
      </c>
      <c r="AA480" s="11">
        <f t="shared" si="209"/>
        <v>0.34</v>
      </c>
      <c r="AB480" s="9">
        <f t="shared" si="212"/>
        <v>399.84000000000003</v>
      </c>
      <c r="AD480" s="13">
        <f>IF(AH480&gt;AH479,AD479,IF(AD479&lt;MiscData!$F$1,EOMONTH(AD479,1),EOMONTH(AD479,-11)))</f>
        <v>42551</v>
      </c>
      <c r="AE480" s="7" t="str">
        <f t="shared" si="204"/>
        <v>20140101KUUM_430</v>
      </c>
      <c r="AF480" s="12" t="str">
        <f t="shared" si="205"/>
        <v>20140101LS</v>
      </c>
      <c r="AG480" s="31"/>
      <c r="AH480">
        <f>IF(AH479=MiscData!$AB$91,1,AH479+1)</f>
        <v>39</v>
      </c>
      <c r="AI480">
        <f>IF(AD480&lt;=MiscData!$B$23,MiscData!$C$23,IF(AD480&lt;=MiscData!$B$24,MiscData!$C$24,MiscData!$C$25))</f>
        <v>20140101</v>
      </c>
      <c r="AK480" s="190" t="str">
        <f>VLOOKUP(AM480,MiscData!$AB$4:$ACB$113,2,FALSE)</f>
        <v>KUUM_430</v>
      </c>
      <c r="AL480" s="190" t="str">
        <f>VLOOKUP(AM480,MiscData!$AB$4:$AE$115,4,FALSE)</f>
        <v>LS</v>
      </c>
      <c r="AM480">
        <f>IF(AM479=MiscData!$AB$91,1,AM479+1)</f>
        <v>39</v>
      </c>
    </row>
    <row r="481" spans="1:39">
      <c r="A481" s="7">
        <f t="shared" si="208"/>
        <v>480</v>
      </c>
      <c r="B481" s="13" t="str">
        <f t="shared" si="189"/>
        <v>Jun 2016</v>
      </c>
      <c r="C481" s="23" t="str">
        <f t="shared" si="190"/>
        <v>RLS</v>
      </c>
      <c r="D481" s="23" t="str">
        <f t="shared" si="191"/>
        <v>KUUM_434</v>
      </c>
      <c r="E481" s="170">
        <f t="shared" si="192"/>
        <v>3</v>
      </c>
      <c r="F481" s="185"/>
      <c r="G481" s="170">
        <f t="shared" si="193"/>
        <v>0</v>
      </c>
      <c r="H481" s="170"/>
      <c r="I481" s="11">
        <f t="shared" si="194"/>
        <v>7.74</v>
      </c>
      <c r="J481" s="11">
        <f t="shared" si="195"/>
        <v>0.69999999999999929</v>
      </c>
      <c r="K481" s="416">
        <f t="shared" si="210"/>
        <v>23.22</v>
      </c>
      <c r="L481" s="180"/>
      <c r="M481" s="180"/>
      <c r="N481" s="186">
        <f t="shared" si="188"/>
        <v>23.22</v>
      </c>
      <c r="O481" s="29">
        <f t="shared" si="196"/>
        <v>0</v>
      </c>
      <c r="P481" s="181">
        <f t="shared" si="211"/>
        <v>0</v>
      </c>
      <c r="Q481" s="182">
        <f t="shared" si="197"/>
        <v>0</v>
      </c>
      <c r="R481" s="182">
        <f t="shared" si="198"/>
        <v>0</v>
      </c>
      <c r="S481" s="182">
        <f t="shared" si="199"/>
        <v>0</v>
      </c>
      <c r="T481" s="182">
        <f t="shared" si="200"/>
        <v>0</v>
      </c>
      <c r="U481" s="182">
        <f t="shared" si="201"/>
        <v>0</v>
      </c>
      <c r="V481" s="14">
        <f t="shared" si="202"/>
        <v>23.22</v>
      </c>
      <c r="W481" s="14">
        <f t="shared" si="203"/>
        <v>-23.22</v>
      </c>
      <c r="Y481" s="14">
        <f t="shared" si="206"/>
        <v>2.1</v>
      </c>
      <c r="Z481" s="14">
        <f t="shared" si="207"/>
        <v>-2.1</v>
      </c>
      <c r="AA481" s="11">
        <f t="shared" si="209"/>
        <v>0.24</v>
      </c>
      <c r="AB481" s="9">
        <f t="shared" si="212"/>
        <v>0.72</v>
      </c>
      <c r="AD481" s="13">
        <f>IF(AH481&gt;AH480,AD480,IF(AD480&lt;MiscData!$F$1,EOMONTH(AD480,1),EOMONTH(AD480,-11)))</f>
        <v>42551</v>
      </c>
      <c r="AE481" s="7" t="str">
        <f t="shared" si="204"/>
        <v>20140101KUUM_434</v>
      </c>
      <c r="AF481" s="12" t="str">
        <f t="shared" si="205"/>
        <v>20140101RLS</v>
      </c>
      <c r="AG481" s="31"/>
      <c r="AH481">
        <f>IF(AH480=MiscData!$AB$91,1,AH480+1)</f>
        <v>40</v>
      </c>
      <c r="AI481">
        <f>IF(AD481&lt;=MiscData!$B$23,MiscData!$C$23,IF(AD481&lt;=MiscData!$B$24,MiscData!$C$24,MiscData!$C$25))</f>
        <v>20140101</v>
      </c>
      <c r="AK481" s="190" t="str">
        <f>VLOOKUP(AM481,MiscData!$AB$4:$ACB$113,2,FALSE)</f>
        <v>KUUM_434</v>
      </c>
      <c r="AL481" s="190" t="str">
        <f>VLOOKUP(AM481,MiscData!$AB$4:$AE$115,4,FALSE)</f>
        <v>RLS</v>
      </c>
      <c r="AM481">
        <f>IF(AM480=MiscData!$AB$91,1,AM480+1)</f>
        <v>40</v>
      </c>
    </row>
    <row r="482" spans="1:39">
      <c r="A482" s="7">
        <f t="shared" si="208"/>
        <v>481</v>
      </c>
      <c r="B482" s="13" t="str">
        <f t="shared" si="189"/>
        <v>Jun 2016</v>
      </c>
      <c r="C482" s="23" t="str">
        <f t="shared" si="190"/>
        <v>RLS</v>
      </c>
      <c r="D482" s="23" t="str">
        <f t="shared" si="191"/>
        <v>KUUM_440</v>
      </c>
      <c r="E482" s="170">
        <f t="shared" si="192"/>
        <v>2</v>
      </c>
      <c r="F482" s="185"/>
      <c r="G482" s="170">
        <f t="shared" si="193"/>
        <v>0</v>
      </c>
      <c r="H482" s="170"/>
      <c r="I482" s="11">
        <f t="shared" si="194"/>
        <v>13.610000000000001</v>
      </c>
      <c r="J482" s="11">
        <f t="shared" si="195"/>
        <v>0.57000000000000028</v>
      </c>
      <c r="K482" s="416">
        <f t="shared" si="210"/>
        <v>27.22</v>
      </c>
      <c r="L482" s="180"/>
      <c r="M482" s="180"/>
      <c r="N482" s="186">
        <f t="shared" si="188"/>
        <v>27.22</v>
      </c>
      <c r="O482" s="29">
        <f t="shared" si="196"/>
        <v>0</v>
      </c>
      <c r="P482" s="181">
        <f t="shared" si="211"/>
        <v>0</v>
      </c>
      <c r="Q482" s="182">
        <f t="shared" si="197"/>
        <v>0</v>
      </c>
      <c r="R482" s="182">
        <f t="shared" si="198"/>
        <v>0</v>
      </c>
      <c r="S482" s="182">
        <f t="shared" si="199"/>
        <v>0</v>
      </c>
      <c r="T482" s="182">
        <f t="shared" si="200"/>
        <v>0</v>
      </c>
      <c r="U482" s="182">
        <f t="shared" si="201"/>
        <v>0</v>
      </c>
      <c r="V482" s="14">
        <f t="shared" si="202"/>
        <v>27.22</v>
      </c>
      <c r="W482" s="14">
        <f t="shared" si="203"/>
        <v>-27.22</v>
      </c>
      <c r="Y482" s="14">
        <f t="shared" si="206"/>
        <v>1.1399999999999999</v>
      </c>
      <c r="Z482" s="14">
        <f t="shared" si="207"/>
        <v>-1.1399999999999999</v>
      </c>
      <c r="AA482" s="11">
        <f t="shared" si="209"/>
        <v>0.33</v>
      </c>
      <c r="AB482" s="9">
        <f t="shared" si="212"/>
        <v>0.66</v>
      </c>
      <c r="AD482" s="13">
        <f>IF(AH482&gt;AH481,AD481,IF(AD481&lt;MiscData!$F$1,EOMONTH(AD481,1),EOMONTH(AD481,-11)))</f>
        <v>42551</v>
      </c>
      <c r="AE482" s="7" t="str">
        <f t="shared" si="204"/>
        <v>20140101KUUM_440</v>
      </c>
      <c r="AF482" s="12" t="str">
        <f t="shared" si="205"/>
        <v>20140101RLS</v>
      </c>
      <c r="AG482" s="31"/>
      <c r="AH482">
        <f>IF(AH481=MiscData!$AB$91,1,AH481+1)</f>
        <v>41</v>
      </c>
      <c r="AI482">
        <f>IF(AD482&lt;=MiscData!$B$23,MiscData!$C$23,IF(AD482&lt;=MiscData!$B$24,MiscData!$C$24,MiscData!$C$25))</f>
        <v>20140101</v>
      </c>
      <c r="AK482" s="190" t="str">
        <f>VLOOKUP(AM482,MiscData!$AB$4:$ACB$113,2,FALSE)</f>
        <v>KUUM_440</v>
      </c>
      <c r="AL482" s="190" t="str">
        <f>VLOOKUP(AM482,MiscData!$AB$4:$AE$115,4,FALSE)</f>
        <v>RLS</v>
      </c>
      <c r="AM482">
        <f>IF(AM481=MiscData!$AB$91,1,AM481+1)</f>
        <v>41</v>
      </c>
    </row>
    <row r="483" spans="1:39">
      <c r="A483" s="7">
        <f t="shared" si="208"/>
        <v>482</v>
      </c>
      <c r="B483" s="13" t="str">
        <f t="shared" si="189"/>
        <v>Jun 2016</v>
      </c>
      <c r="C483" s="23" t="str">
        <f t="shared" si="190"/>
        <v>RLS</v>
      </c>
      <c r="D483" s="23" t="str">
        <f t="shared" si="191"/>
        <v>KUUM_446</v>
      </c>
      <c r="E483" s="170">
        <f t="shared" si="192"/>
        <v>1086</v>
      </c>
      <c r="F483" s="185"/>
      <c r="G483" s="170">
        <f t="shared" si="193"/>
        <v>0</v>
      </c>
      <c r="H483" s="170"/>
      <c r="I483" s="11">
        <f t="shared" si="194"/>
        <v>9.5600000000000023</v>
      </c>
      <c r="J483" s="11">
        <f t="shared" si="195"/>
        <v>1.9900000000000002</v>
      </c>
      <c r="K483" s="416">
        <f t="shared" si="210"/>
        <v>10382.16</v>
      </c>
      <c r="L483" s="180"/>
      <c r="M483" s="180"/>
      <c r="N483" s="186">
        <f t="shared" si="188"/>
        <v>10382.16</v>
      </c>
      <c r="O483" s="29">
        <f t="shared" si="196"/>
        <v>0</v>
      </c>
      <c r="P483" s="181">
        <f t="shared" si="211"/>
        <v>0</v>
      </c>
      <c r="Q483" s="182">
        <f t="shared" si="197"/>
        <v>0</v>
      </c>
      <c r="R483" s="182">
        <f t="shared" si="198"/>
        <v>0</v>
      </c>
      <c r="S483" s="182">
        <f t="shared" si="199"/>
        <v>0</v>
      </c>
      <c r="T483" s="182">
        <f t="shared" si="200"/>
        <v>0</v>
      </c>
      <c r="U483" s="182">
        <f t="shared" si="201"/>
        <v>0</v>
      </c>
      <c r="V483" s="14">
        <f t="shared" si="202"/>
        <v>10382.16</v>
      </c>
      <c r="W483" s="14">
        <f t="shared" si="203"/>
        <v>-10382.16</v>
      </c>
      <c r="Y483" s="14">
        <f t="shared" si="206"/>
        <v>2161.14</v>
      </c>
      <c r="Z483" s="14">
        <f t="shared" si="207"/>
        <v>-2161.14</v>
      </c>
      <c r="AA483" s="11">
        <f t="shared" si="209"/>
        <v>0.39</v>
      </c>
      <c r="AB483" s="9">
        <f t="shared" si="212"/>
        <v>423.54</v>
      </c>
      <c r="AD483" s="13">
        <f>IF(AH483&gt;AH482,AD482,IF(AD482&lt;MiscData!$F$1,EOMONTH(AD482,1),EOMONTH(AD482,-11)))</f>
        <v>42551</v>
      </c>
      <c r="AE483" s="7" t="str">
        <f t="shared" si="204"/>
        <v>20140101KUUM_446</v>
      </c>
      <c r="AF483" s="12" t="str">
        <f t="shared" si="205"/>
        <v>20140101RLS</v>
      </c>
      <c r="AG483" s="31"/>
      <c r="AH483">
        <f>IF(AH482=MiscData!$AB$91,1,AH482+1)</f>
        <v>42</v>
      </c>
      <c r="AI483">
        <f>IF(AD483&lt;=MiscData!$B$23,MiscData!$C$23,IF(AD483&lt;=MiscData!$B$24,MiscData!$C$24,MiscData!$C$25))</f>
        <v>20140101</v>
      </c>
      <c r="AK483" s="190" t="str">
        <f>VLOOKUP(AM483,MiscData!$AB$4:$ACB$113,2,FALSE)</f>
        <v>KUUM_446</v>
      </c>
      <c r="AL483" s="190" t="str">
        <f>VLOOKUP(AM483,MiscData!$AB$4:$AE$115,4,FALSE)</f>
        <v>RLS</v>
      </c>
      <c r="AM483">
        <f>IF(AM482=MiscData!$AB$91,1,AM482+1)</f>
        <v>42</v>
      </c>
    </row>
    <row r="484" spans="1:39">
      <c r="A484" s="7">
        <f t="shared" si="208"/>
        <v>483</v>
      </c>
      <c r="B484" s="13" t="str">
        <f t="shared" si="189"/>
        <v>Jun 2016</v>
      </c>
      <c r="C484" s="23" t="str">
        <f t="shared" si="190"/>
        <v>RLS</v>
      </c>
      <c r="D484" s="23" t="str">
        <f t="shared" si="191"/>
        <v>KUUM_447</v>
      </c>
      <c r="E484" s="170">
        <f t="shared" si="192"/>
        <v>713</v>
      </c>
      <c r="F484" s="185"/>
      <c r="G484" s="170">
        <f t="shared" si="193"/>
        <v>0</v>
      </c>
      <c r="H484" s="170"/>
      <c r="I484" s="11">
        <f t="shared" si="194"/>
        <v>11.32</v>
      </c>
      <c r="J484" s="11">
        <f t="shared" si="195"/>
        <v>2.8400000000000016</v>
      </c>
      <c r="K484" s="416">
        <f t="shared" si="210"/>
        <v>8071.16</v>
      </c>
      <c r="L484" s="180"/>
      <c r="M484" s="180"/>
      <c r="N484" s="186">
        <f t="shared" si="188"/>
        <v>8071.16</v>
      </c>
      <c r="O484" s="29">
        <f t="shared" si="196"/>
        <v>0</v>
      </c>
      <c r="P484" s="181">
        <f t="shared" si="211"/>
        <v>0</v>
      </c>
      <c r="Q484" s="182">
        <f t="shared" si="197"/>
        <v>0</v>
      </c>
      <c r="R484" s="182">
        <f t="shared" si="198"/>
        <v>0</v>
      </c>
      <c r="S484" s="182">
        <f t="shared" si="199"/>
        <v>0</v>
      </c>
      <c r="T484" s="182">
        <f t="shared" si="200"/>
        <v>0</v>
      </c>
      <c r="U484" s="182">
        <f t="shared" si="201"/>
        <v>0</v>
      </c>
      <c r="V484" s="14">
        <f t="shared" si="202"/>
        <v>8071.16</v>
      </c>
      <c r="W484" s="14">
        <f t="shared" si="203"/>
        <v>-8071.16</v>
      </c>
      <c r="Y484" s="14">
        <f t="shared" si="206"/>
        <v>2024.92</v>
      </c>
      <c r="Z484" s="14">
        <f t="shared" si="207"/>
        <v>-2024.92</v>
      </c>
      <c r="AA484" s="11">
        <f t="shared" si="209"/>
        <v>0.44</v>
      </c>
      <c r="AB484" s="9">
        <f t="shared" si="212"/>
        <v>313.72000000000003</v>
      </c>
      <c r="AD484" s="13">
        <f>IF(AH484&gt;AH483,AD483,IF(AD483&lt;MiscData!$F$1,EOMONTH(AD483,1),EOMONTH(AD483,-11)))</f>
        <v>42551</v>
      </c>
      <c r="AE484" s="7" t="str">
        <f t="shared" si="204"/>
        <v>20140101KUUM_447</v>
      </c>
      <c r="AF484" s="12" t="str">
        <f t="shared" si="205"/>
        <v>20140101RLS</v>
      </c>
      <c r="AG484" s="31"/>
      <c r="AH484">
        <f>IF(AH483=MiscData!$AB$91,1,AH483+1)</f>
        <v>43</v>
      </c>
      <c r="AI484">
        <f>IF(AD484&lt;=MiscData!$B$23,MiscData!$C$23,IF(AD484&lt;=MiscData!$B$24,MiscData!$C$24,MiscData!$C$25))</f>
        <v>20140101</v>
      </c>
      <c r="AK484" s="190" t="str">
        <f>VLOOKUP(AM484,MiscData!$AB$4:$ACB$113,2,FALSE)</f>
        <v>KUUM_447</v>
      </c>
      <c r="AL484" s="190" t="str">
        <f>VLOOKUP(AM484,MiscData!$AB$4:$AE$115,4,FALSE)</f>
        <v>RLS</v>
      </c>
      <c r="AM484">
        <f>IF(AM483=MiscData!$AB$91,1,AM483+1)</f>
        <v>43</v>
      </c>
    </row>
    <row r="485" spans="1:39">
      <c r="A485" s="7">
        <f t="shared" si="208"/>
        <v>484</v>
      </c>
      <c r="B485" s="13" t="str">
        <f t="shared" si="189"/>
        <v>Jun 2016</v>
      </c>
      <c r="C485" s="23" t="str">
        <f t="shared" si="190"/>
        <v>RLS</v>
      </c>
      <c r="D485" s="23" t="str">
        <f t="shared" si="191"/>
        <v>KUUM_448</v>
      </c>
      <c r="E485" s="170">
        <f t="shared" si="192"/>
        <v>1484</v>
      </c>
      <c r="F485" s="185"/>
      <c r="G485" s="170">
        <f t="shared" si="193"/>
        <v>0</v>
      </c>
      <c r="H485" s="170"/>
      <c r="I485" s="11">
        <f t="shared" si="194"/>
        <v>12.809999999999999</v>
      </c>
      <c r="J485" s="11">
        <f t="shared" si="195"/>
        <v>4.37</v>
      </c>
      <c r="K485" s="416">
        <f t="shared" si="210"/>
        <v>19010.04</v>
      </c>
      <c r="L485" s="180"/>
      <c r="M485" s="180"/>
      <c r="N485" s="186">
        <f t="shared" si="188"/>
        <v>19010.04</v>
      </c>
      <c r="O485" s="29">
        <f t="shared" si="196"/>
        <v>0</v>
      </c>
      <c r="P485" s="181">
        <f t="shared" si="211"/>
        <v>0</v>
      </c>
      <c r="Q485" s="182">
        <f t="shared" si="197"/>
        <v>0</v>
      </c>
      <c r="R485" s="182">
        <f t="shared" si="198"/>
        <v>0</v>
      </c>
      <c r="S485" s="182">
        <f t="shared" si="199"/>
        <v>0</v>
      </c>
      <c r="T485" s="182">
        <f t="shared" si="200"/>
        <v>0</v>
      </c>
      <c r="U485" s="182">
        <f t="shared" si="201"/>
        <v>0</v>
      </c>
      <c r="V485" s="14">
        <f t="shared" si="202"/>
        <v>19010.04</v>
      </c>
      <c r="W485" s="14">
        <f t="shared" si="203"/>
        <v>-19010.04</v>
      </c>
      <c r="Y485" s="14">
        <f t="shared" si="206"/>
        <v>6485.08</v>
      </c>
      <c r="Z485" s="14">
        <f t="shared" si="207"/>
        <v>-6485.08</v>
      </c>
      <c r="AA485" s="11">
        <f t="shared" si="209"/>
        <v>0.51</v>
      </c>
      <c r="AB485" s="9">
        <f t="shared" si="212"/>
        <v>756.84</v>
      </c>
      <c r="AD485" s="13">
        <f>IF(AH485&gt;AH484,AD484,IF(AD484&lt;MiscData!$F$1,EOMONTH(AD484,1),EOMONTH(AD484,-11)))</f>
        <v>42551</v>
      </c>
      <c r="AE485" s="7" t="str">
        <f t="shared" si="204"/>
        <v>20140101KUUM_448</v>
      </c>
      <c r="AF485" s="12" t="str">
        <f t="shared" si="205"/>
        <v>20140101RLS</v>
      </c>
      <c r="AG485" s="31"/>
      <c r="AH485">
        <f>IF(AH484=MiscData!$AB$91,1,AH484+1)</f>
        <v>44</v>
      </c>
      <c r="AI485">
        <f>IF(AD485&lt;=MiscData!$B$23,MiscData!$C$23,IF(AD485&lt;=MiscData!$B$24,MiscData!$C$24,MiscData!$C$25))</f>
        <v>20140101</v>
      </c>
      <c r="AK485" s="190" t="str">
        <f>VLOOKUP(AM485,MiscData!$AB$4:$ACB$113,2,FALSE)</f>
        <v>KUUM_448</v>
      </c>
      <c r="AL485" s="190" t="str">
        <f>VLOOKUP(AM485,MiscData!$AB$4:$AE$115,4,FALSE)</f>
        <v>RLS</v>
      </c>
      <c r="AM485">
        <f>IF(AM484=MiscData!$AB$91,1,AM484+1)</f>
        <v>44</v>
      </c>
    </row>
    <row r="486" spans="1:39">
      <c r="A486" s="7">
        <f t="shared" si="208"/>
        <v>485</v>
      </c>
      <c r="B486" s="13" t="str">
        <f t="shared" si="189"/>
        <v>Jun 2016</v>
      </c>
      <c r="C486" s="23" t="str">
        <f t="shared" si="190"/>
        <v>LS</v>
      </c>
      <c r="D486" s="23" t="str">
        <f t="shared" si="191"/>
        <v>KUUM_450</v>
      </c>
      <c r="E486" s="170">
        <f t="shared" si="192"/>
        <v>670</v>
      </c>
      <c r="F486" s="185"/>
      <c r="G486" s="170">
        <f t="shared" si="193"/>
        <v>0</v>
      </c>
      <c r="H486" s="170"/>
      <c r="I486" s="11">
        <f t="shared" si="194"/>
        <v>14.25</v>
      </c>
      <c r="J486" s="11">
        <f t="shared" si="195"/>
        <v>1.9699999999999989</v>
      </c>
      <c r="K486" s="416">
        <f t="shared" si="210"/>
        <v>9547.5</v>
      </c>
      <c r="L486" s="180"/>
      <c r="M486" s="180"/>
      <c r="N486" s="186">
        <f t="shared" si="188"/>
        <v>9547.5</v>
      </c>
      <c r="O486" s="29">
        <f t="shared" si="196"/>
        <v>0</v>
      </c>
      <c r="P486" s="181">
        <f t="shared" si="211"/>
        <v>0</v>
      </c>
      <c r="Q486" s="182">
        <f t="shared" si="197"/>
        <v>0</v>
      </c>
      <c r="R486" s="182">
        <f t="shared" si="198"/>
        <v>0</v>
      </c>
      <c r="S486" s="182">
        <f t="shared" si="199"/>
        <v>0</v>
      </c>
      <c r="T486" s="182">
        <f t="shared" si="200"/>
        <v>0</v>
      </c>
      <c r="U486" s="182">
        <f t="shared" si="201"/>
        <v>0</v>
      </c>
      <c r="V486" s="14">
        <f t="shared" si="202"/>
        <v>9547.5</v>
      </c>
      <c r="W486" s="14">
        <f t="shared" si="203"/>
        <v>-9547.5</v>
      </c>
      <c r="Y486" s="14">
        <f t="shared" si="206"/>
        <v>1319.9</v>
      </c>
      <c r="Z486" s="14">
        <f t="shared" si="207"/>
        <v>-1319.9</v>
      </c>
      <c r="AA486" s="11">
        <f t="shared" si="209"/>
        <v>0.66</v>
      </c>
      <c r="AB486" s="9">
        <f t="shared" si="212"/>
        <v>442.20000000000005</v>
      </c>
      <c r="AD486" s="13">
        <f>IF(AH486&gt;AH485,AD485,IF(AD485&lt;MiscData!$F$1,EOMONTH(AD485,1),EOMONTH(AD485,-11)))</f>
        <v>42551</v>
      </c>
      <c r="AE486" s="7" t="str">
        <f t="shared" si="204"/>
        <v>20140101KUUM_450</v>
      </c>
      <c r="AF486" s="12" t="str">
        <f t="shared" si="205"/>
        <v>20140101LS</v>
      </c>
      <c r="AG486" s="31"/>
      <c r="AH486">
        <f>IF(AH485=MiscData!$AB$91,1,AH485+1)</f>
        <v>45</v>
      </c>
      <c r="AI486">
        <f>IF(AD486&lt;=MiscData!$B$23,MiscData!$C$23,IF(AD486&lt;=MiscData!$B$24,MiscData!$C$24,MiscData!$C$25))</f>
        <v>20140101</v>
      </c>
      <c r="AK486" s="190" t="str">
        <f>VLOOKUP(AM486,MiscData!$AB$4:$ACB$113,2,FALSE)</f>
        <v>KUUM_450</v>
      </c>
      <c r="AL486" s="190" t="str">
        <f>VLOOKUP(AM486,MiscData!$AB$4:$AE$115,4,FALSE)</f>
        <v>LS</v>
      </c>
      <c r="AM486">
        <f>IF(AM485=MiscData!$AB$91,1,AM485+1)</f>
        <v>45</v>
      </c>
    </row>
    <row r="487" spans="1:39">
      <c r="A487" s="7">
        <f t="shared" si="208"/>
        <v>486</v>
      </c>
      <c r="B487" s="13" t="str">
        <f t="shared" si="189"/>
        <v>Jun 2016</v>
      </c>
      <c r="C487" s="23" t="str">
        <f t="shared" si="190"/>
        <v>LS</v>
      </c>
      <c r="D487" s="23" t="str">
        <f t="shared" si="191"/>
        <v>KUUM_451</v>
      </c>
      <c r="E487" s="170">
        <f t="shared" si="192"/>
        <v>5215</v>
      </c>
      <c r="F487" s="185"/>
      <c r="G487" s="170">
        <f t="shared" si="193"/>
        <v>0</v>
      </c>
      <c r="H487" s="170"/>
      <c r="I487" s="11">
        <f t="shared" si="194"/>
        <v>20.200000000000003</v>
      </c>
      <c r="J487" s="11">
        <f t="shared" si="195"/>
        <v>4.2900000000000027</v>
      </c>
      <c r="K487" s="416">
        <f t="shared" si="210"/>
        <v>105343</v>
      </c>
      <c r="L487" s="180"/>
      <c r="M487" s="180"/>
      <c r="N487" s="186">
        <f t="shared" si="188"/>
        <v>105343</v>
      </c>
      <c r="O487" s="29">
        <f t="shared" si="196"/>
        <v>0</v>
      </c>
      <c r="P487" s="181">
        <f t="shared" si="211"/>
        <v>0</v>
      </c>
      <c r="Q487" s="182">
        <f t="shared" si="197"/>
        <v>0</v>
      </c>
      <c r="R487" s="182">
        <f t="shared" si="198"/>
        <v>0</v>
      </c>
      <c r="S487" s="182">
        <f t="shared" si="199"/>
        <v>0</v>
      </c>
      <c r="T487" s="182">
        <f t="shared" si="200"/>
        <v>0</v>
      </c>
      <c r="U487" s="182">
        <f t="shared" si="201"/>
        <v>0</v>
      </c>
      <c r="V487" s="14">
        <f t="shared" si="202"/>
        <v>105343</v>
      </c>
      <c r="W487" s="14">
        <f t="shared" si="203"/>
        <v>-105343</v>
      </c>
      <c r="Y487" s="14">
        <f t="shared" si="206"/>
        <v>22372.35</v>
      </c>
      <c r="Z487" s="14">
        <f t="shared" si="207"/>
        <v>-22372.35</v>
      </c>
      <c r="AA487" s="11">
        <f t="shared" si="209"/>
        <v>0.84</v>
      </c>
      <c r="AB487" s="9">
        <f t="shared" si="212"/>
        <v>4380.5999999999995</v>
      </c>
      <c r="AD487" s="13">
        <f>IF(AH487&gt;AH486,AD486,IF(AD486&lt;MiscData!$F$1,EOMONTH(AD486,1),EOMONTH(AD486,-11)))</f>
        <v>42551</v>
      </c>
      <c r="AE487" s="7" t="str">
        <f t="shared" si="204"/>
        <v>20140101KUUM_451</v>
      </c>
      <c r="AF487" s="12" t="str">
        <f t="shared" si="205"/>
        <v>20140101LS</v>
      </c>
      <c r="AG487" s="31"/>
      <c r="AH487">
        <f>IF(AH486=MiscData!$AB$91,1,AH486+1)</f>
        <v>46</v>
      </c>
      <c r="AI487">
        <f>IF(AD487&lt;=MiscData!$B$23,MiscData!$C$23,IF(AD487&lt;=MiscData!$B$24,MiscData!$C$24,MiscData!$C$25))</f>
        <v>20140101</v>
      </c>
      <c r="AK487" s="190" t="str">
        <f>VLOOKUP(AM487,MiscData!$AB$4:$ACB$113,2,FALSE)</f>
        <v>KUUM_451</v>
      </c>
      <c r="AL487" s="190" t="str">
        <f>VLOOKUP(AM487,MiscData!$AB$4:$AE$115,4,FALSE)</f>
        <v>LS</v>
      </c>
      <c r="AM487">
        <f>IF(AM486=MiscData!$AB$91,1,AM486+1)</f>
        <v>46</v>
      </c>
    </row>
    <row r="488" spans="1:39">
      <c r="A488" s="7">
        <f t="shared" si="208"/>
        <v>487</v>
      </c>
      <c r="B488" s="13" t="str">
        <f t="shared" si="189"/>
        <v>Jun 2016</v>
      </c>
      <c r="C488" s="23" t="str">
        <f t="shared" si="190"/>
        <v>LS</v>
      </c>
      <c r="D488" s="23" t="str">
        <f t="shared" si="191"/>
        <v>KUUM_452</v>
      </c>
      <c r="E488" s="170">
        <f t="shared" si="192"/>
        <v>1044</v>
      </c>
      <c r="F488" s="185"/>
      <c r="G488" s="170">
        <f t="shared" si="193"/>
        <v>0</v>
      </c>
      <c r="H488" s="170"/>
      <c r="I488" s="11">
        <f t="shared" si="194"/>
        <v>42.350000000000009</v>
      </c>
      <c r="J488" s="11">
        <f t="shared" si="195"/>
        <v>10.410000000000004</v>
      </c>
      <c r="K488" s="416">
        <f t="shared" si="210"/>
        <v>44213.4</v>
      </c>
      <c r="L488" s="180"/>
      <c r="M488" s="180"/>
      <c r="N488" s="186">
        <f t="shared" si="188"/>
        <v>44213.4</v>
      </c>
      <c r="O488" s="29">
        <f t="shared" si="196"/>
        <v>0</v>
      </c>
      <c r="P488" s="181">
        <f t="shared" si="211"/>
        <v>0</v>
      </c>
      <c r="Q488" s="182">
        <f t="shared" si="197"/>
        <v>0</v>
      </c>
      <c r="R488" s="182">
        <f t="shared" si="198"/>
        <v>0</v>
      </c>
      <c r="S488" s="182">
        <f t="shared" si="199"/>
        <v>0</v>
      </c>
      <c r="T488" s="182">
        <f t="shared" si="200"/>
        <v>0</v>
      </c>
      <c r="U488" s="182">
        <f t="shared" si="201"/>
        <v>0</v>
      </c>
      <c r="V488" s="14">
        <f t="shared" si="202"/>
        <v>44213.4</v>
      </c>
      <c r="W488" s="14">
        <f t="shared" si="203"/>
        <v>-44213.4</v>
      </c>
      <c r="Y488" s="14">
        <f t="shared" si="206"/>
        <v>10868.04</v>
      </c>
      <c r="Z488" s="14">
        <f t="shared" si="207"/>
        <v>-10868.04</v>
      </c>
      <c r="AA488" s="11">
        <f t="shared" si="209"/>
        <v>1.7</v>
      </c>
      <c r="AB488" s="9">
        <f t="shared" si="212"/>
        <v>1774.8</v>
      </c>
      <c r="AD488" s="13">
        <f>IF(AH488&gt;AH487,AD487,IF(AD487&lt;MiscData!$F$1,EOMONTH(AD487,1),EOMONTH(AD487,-11)))</f>
        <v>42551</v>
      </c>
      <c r="AE488" s="7" t="str">
        <f t="shared" si="204"/>
        <v>20140101KUUM_452</v>
      </c>
      <c r="AF488" s="12" t="str">
        <f t="shared" si="205"/>
        <v>20140101LS</v>
      </c>
      <c r="AG488" s="31"/>
      <c r="AH488">
        <f>IF(AH487=MiscData!$AB$91,1,AH487+1)</f>
        <v>47</v>
      </c>
      <c r="AI488">
        <f>IF(AD488&lt;=MiscData!$B$23,MiscData!$C$23,IF(AD488&lt;=MiscData!$B$24,MiscData!$C$24,MiscData!$C$25))</f>
        <v>20140101</v>
      </c>
      <c r="AK488" s="190" t="str">
        <f>VLOOKUP(AM488,MiscData!$AB$4:$ACB$113,2,FALSE)</f>
        <v>KUUM_452</v>
      </c>
      <c r="AL488" s="190" t="str">
        <f>VLOOKUP(AM488,MiscData!$AB$4:$AE$115,4,FALSE)</f>
        <v>LS</v>
      </c>
      <c r="AM488">
        <f>IF(AM487=MiscData!$AB$91,1,AM487+1)</f>
        <v>47</v>
      </c>
    </row>
    <row r="489" spans="1:39">
      <c r="A489" s="7">
        <f t="shared" si="208"/>
        <v>488</v>
      </c>
      <c r="B489" s="13" t="str">
        <f t="shared" si="189"/>
        <v>Jun 2016</v>
      </c>
      <c r="C489" s="23" t="str">
        <f t="shared" si="190"/>
        <v>RLS</v>
      </c>
      <c r="D489" s="23" t="str">
        <f t="shared" si="191"/>
        <v>KUUM_454</v>
      </c>
      <c r="E489" s="170">
        <f t="shared" si="192"/>
        <v>150</v>
      </c>
      <c r="F489" s="185"/>
      <c r="G489" s="170">
        <f t="shared" si="193"/>
        <v>0</v>
      </c>
      <c r="H489" s="170"/>
      <c r="I489" s="11">
        <f t="shared" si="194"/>
        <v>18.649999999999999</v>
      </c>
      <c r="J489" s="11">
        <f t="shared" si="195"/>
        <v>1.9699999999999989</v>
      </c>
      <c r="K489" s="416">
        <f t="shared" si="210"/>
        <v>2797.5</v>
      </c>
      <c r="L489" s="180"/>
      <c r="M489" s="180"/>
      <c r="N489" s="186">
        <f t="shared" si="188"/>
        <v>2797.5</v>
      </c>
      <c r="O489" s="29">
        <f t="shared" si="196"/>
        <v>0</v>
      </c>
      <c r="P489" s="181">
        <f t="shared" si="211"/>
        <v>0</v>
      </c>
      <c r="Q489" s="182">
        <f t="shared" si="197"/>
        <v>0</v>
      </c>
      <c r="R489" s="182">
        <f t="shared" si="198"/>
        <v>0</v>
      </c>
      <c r="S489" s="182">
        <f t="shared" si="199"/>
        <v>0</v>
      </c>
      <c r="T489" s="182">
        <f t="shared" si="200"/>
        <v>0</v>
      </c>
      <c r="U489" s="182">
        <f t="shared" si="201"/>
        <v>0</v>
      </c>
      <c r="V489" s="14">
        <f t="shared" si="202"/>
        <v>2797.5</v>
      </c>
      <c r="W489" s="14">
        <f t="shared" si="203"/>
        <v>-2797.5</v>
      </c>
      <c r="Y489" s="14">
        <f t="shared" si="206"/>
        <v>295.5</v>
      </c>
      <c r="Z489" s="14">
        <f t="shared" si="207"/>
        <v>-295.5</v>
      </c>
      <c r="AA489" s="11">
        <f t="shared" si="209"/>
        <v>0.66</v>
      </c>
      <c r="AB489" s="9">
        <f t="shared" si="212"/>
        <v>99</v>
      </c>
      <c r="AD489" s="13">
        <f>IF(AH489&gt;AH488,AD488,IF(AD488&lt;MiscData!$F$1,EOMONTH(AD488,1),EOMONTH(AD488,-11)))</f>
        <v>42551</v>
      </c>
      <c r="AE489" s="7" t="str">
        <f t="shared" si="204"/>
        <v>20140101KUUM_454</v>
      </c>
      <c r="AF489" s="12" t="str">
        <f t="shared" si="205"/>
        <v>20140101RLS</v>
      </c>
      <c r="AG489" s="31"/>
      <c r="AH489">
        <f>IF(AH488=MiscData!$AB$91,1,AH488+1)</f>
        <v>48</v>
      </c>
      <c r="AI489">
        <f>IF(AD489&lt;=MiscData!$B$23,MiscData!$C$23,IF(AD489&lt;=MiscData!$B$24,MiscData!$C$24,MiscData!$C$25))</f>
        <v>20140101</v>
      </c>
      <c r="AK489" s="190" t="str">
        <f>VLOOKUP(AM489,MiscData!$AB$4:$ACB$113,2,FALSE)</f>
        <v>KUUM_454</v>
      </c>
      <c r="AL489" s="190" t="str">
        <f>VLOOKUP(AM489,MiscData!$AB$4:$AE$115,4,FALSE)</f>
        <v>RLS</v>
      </c>
      <c r="AM489">
        <f>IF(AM488=MiscData!$AB$91,1,AM488+1)</f>
        <v>48</v>
      </c>
    </row>
    <row r="490" spans="1:39">
      <c r="A490" s="7">
        <f t="shared" si="208"/>
        <v>489</v>
      </c>
      <c r="B490" s="13" t="str">
        <f t="shared" si="189"/>
        <v>Jun 2016</v>
      </c>
      <c r="C490" s="23" t="str">
        <f t="shared" si="190"/>
        <v>RLS</v>
      </c>
      <c r="D490" s="23" t="str">
        <f t="shared" si="191"/>
        <v>KUUM_455</v>
      </c>
      <c r="E490" s="170">
        <f t="shared" si="192"/>
        <v>1029</v>
      </c>
      <c r="F490" s="185"/>
      <c r="G490" s="170">
        <f t="shared" si="193"/>
        <v>0</v>
      </c>
      <c r="H490" s="170"/>
      <c r="I490" s="11">
        <f t="shared" si="194"/>
        <v>24.59</v>
      </c>
      <c r="J490" s="11">
        <f t="shared" si="195"/>
        <v>4.2899999999999991</v>
      </c>
      <c r="K490" s="416">
        <f t="shared" si="210"/>
        <v>25303.11</v>
      </c>
      <c r="L490" s="180"/>
      <c r="M490" s="180"/>
      <c r="N490" s="186">
        <f t="shared" si="188"/>
        <v>25303.11</v>
      </c>
      <c r="O490" s="29">
        <f t="shared" si="196"/>
        <v>0</v>
      </c>
      <c r="P490" s="181">
        <f t="shared" si="211"/>
        <v>0</v>
      </c>
      <c r="Q490" s="182">
        <f t="shared" si="197"/>
        <v>0</v>
      </c>
      <c r="R490" s="182">
        <f t="shared" si="198"/>
        <v>0</v>
      </c>
      <c r="S490" s="182">
        <f t="shared" si="199"/>
        <v>0</v>
      </c>
      <c r="T490" s="182">
        <f t="shared" si="200"/>
        <v>0</v>
      </c>
      <c r="U490" s="182">
        <f t="shared" si="201"/>
        <v>0</v>
      </c>
      <c r="V490" s="14">
        <f t="shared" si="202"/>
        <v>25303.11</v>
      </c>
      <c r="W490" s="14">
        <f t="shared" si="203"/>
        <v>-25303.11</v>
      </c>
      <c r="Y490" s="14">
        <f t="shared" si="206"/>
        <v>4414.41</v>
      </c>
      <c r="Z490" s="14">
        <f t="shared" si="207"/>
        <v>-4414.41</v>
      </c>
      <c r="AA490" s="11">
        <f t="shared" si="209"/>
        <v>0.84</v>
      </c>
      <c r="AB490" s="9">
        <f t="shared" si="212"/>
        <v>864.36</v>
      </c>
      <c r="AD490" s="13">
        <f>IF(AH490&gt;AH489,AD489,IF(AD489&lt;MiscData!$F$1,EOMONTH(AD489,1),EOMONTH(AD489,-11)))</f>
        <v>42551</v>
      </c>
      <c r="AE490" s="7" t="str">
        <f t="shared" si="204"/>
        <v>20140101KUUM_455</v>
      </c>
      <c r="AF490" s="12" t="str">
        <f t="shared" si="205"/>
        <v>20140101RLS</v>
      </c>
      <c r="AG490" s="31"/>
      <c r="AH490">
        <f>IF(AH489=MiscData!$AB$91,1,AH489+1)</f>
        <v>49</v>
      </c>
      <c r="AI490">
        <f>IF(AD490&lt;=MiscData!$B$23,MiscData!$C$23,IF(AD490&lt;=MiscData!$B$24,MiscData!$C$24,MiscData!$C$25))</f>
        <v>20140101</v>
      </c>
      <c r="AK490" s="190" t="str">
        <f>VLOOKUP(AM490,MiscData!$AB$4:$ACB$113,2,FALSE)</f>
        <v>KUUM_455</v>
      </c>
      <c r="AL490" s="190" t="str">
        <f>VLOOKUP(AM490,MiscData!$AB$4:$AE$115,4,FALSE)</f>
        <v>RLS</v>
      </c>
      <c r="AM490">
        <f>IF(AM489=MiscData!$AB$91,1,AM489+1)</f>
        <v>49</v>
      </c>
    </row>
    <row r="491" spans="1:39">
      <c r="A491" s="7">
        <f t="shared" si="208"/>
        <v>490</v>
      </c>
      <c r="B491" s="13" t="str">
        <f t="shared" si="189"/>
        <v>Jun 2016</v>
      </c>
      <c r="C491" s="23" t="str">
        <f t="shared" si="190"/>
        <v>RLS</v>
      </c>
      <c r="D491" s="23" t="str">
        <f t="shared" si="191"/>
        <v>KUUM_456</v>
      </c>
      <c r="E491" s="170">
        <f t="shared" si="192"/>
        <v>141</v>
      </c>
      <c r="F491" s="185"/>
      <c r="G491" s="170">
        <f t="shared" si="193"/>
        <v>0</v>
      </c>
      <c r="H491" s="170"/>
      <c r="I491" s="11">
        <f t="shared" si="194"/>
        <v>11.870000000000001</v>
      </c>
      <c r="J491" s="11">
        <f t="shared" si="195"/>
        <v>1.9900000000000002</v>
      </c>
      <c r="K491" s="416">
        <f t="shared" si="210"/>
        <v>1673.67</v>
      </c>
      <c r="L491" s="180"/>
      <c r="M491" s="180"/>
      <c r="N491" s="186">
        <f t="shared" si="188"/>
        <v>1673.67</v>
      </c>
      <c r="O491" s="29">
        <f t="shared" si="196"/>
        <v>0</v>
      </c>
      <c r="P491" s="181">
        <f t="shared" si="211"/>
        <v>0</v>
      </c>
      <c r="Q491" s="182">
        <f t="shared" si="197"/>
        <v>0</v>
      </c>
      <c r="R491" s="182">
        <f t="shared" si="198"/>
        <v>0</v>
      </c>
      <c r="S491" s="182">
        <f t="shared" si="199"/>
        <v>0</v>
      </c>
      <c r="T491" s="182">
        <f t="shared" si="200"/>
        <v>0</v>
      </c>
      <c r="U491" s="182">
        <f t="shared" si="201"/>
        <v>0</v>
      </c>
      <c r="V491" s="14">
        <f t="shared" si="202"/>
        <v>1673.67</v>
      </c>
      <c r="W491" s="14">
        <f t="shared" si="203"/>
        <v>-1673.67</v>
      </c>
      <c r="Y491" s="14">
        <f t="shared" si="206"/>
        <v>280.58999999999997</v>
      </c>
      <c r="Z491" s="14">
        <f t="shared" si="207"/>
        <v>-280.58999999999997</v>
      </c>
      <c r="AA491" s="11">
        <f t="shared" si="209"/>
        <v>0.39</v>
      </c>
      <c r="AB491" s="9">
        <f t="shared" si="212"/>
        <v>54.99</v>
      </c>
      <c r="AD491" s="13">
        <f>IF(AH491&gt;AH490,AD490,IF(AD490&lt;MiscData!$F$1,EOMONTH(AD490,1),EOMONTH(AD490,-11)))</f>
        <v>42551</v>
      </c>
      <c r="AE491" s="7" t="str">
        <f t="shared" si="204"/>
        <v>20140101KUUM_456</v>
      </c>
      <c r="AF491" s="12" t="str">
        <f t="shared" si="205"/>
        <v>20140101RLS</v>
      </c>
      <c r="AG491" s="31"/>
      <c r="AH491">
        <f>IF(AH490=MiscData!$AB$91,1,AH490+1)</f>
        <v>50</v>
      </c>
      <c r="AI491">
        <f>IF(AD491&lt;=MiscData!$B$23,MiscData!$C$23,IF(AD491&lt;=MiscData!$B$24,MiscData!$C$24,MiscData!$C$25))</f>
        <v>20140101</v>
      </c>
      <c r="AK491" s="190" t="str">
        <f>VLOOKUP(AM491,MiscData!$AB$4:$ACB$113,2,FALSE)</f>
        <v>KUUM_456</v>
      </c>
      <c r="AL491" s="190" t="str">
        <f>VLOOKUP(AM491,MiscData!$AB$4:$AE$115,4,FALSE)</f>
        <v>RLS</v>
      </c>
      <c r="AM491">
        <f>IF(AM490=MiscData!$AB$91,1,AM490+1)</f>
        <v>50</v>
      </c>
    </row>
    <row r="492" spans="1:39">
      <c r="A492" s="7">
        <f t="shared" si="208"/>
        <v>491</v>
      </c>
      <c r="B492" s="13" t="str">
        <f t="shared" si="189"/>
        <v>Jun 2016</v>
      </c>
      <c r="C492" s="23" t="str">
        <f t="shared" si="190"/>
        <v>RLS</v>
      </c>
      <c r="D492" s="23" t="str">
        <f t="shared" si="191"/>
        <v>KUUM_457</v>
      </c>
      <c r="E492" s="170">
        <f t="shared" si="192"/>
        <v>454</v>
      </c>
      <c r="F492" s="185"/>
      <c r="G492" s="170">
        <f t="shared" si="193"/>
        <v>0</v>
      </c>
      <c r="H492" s="170"/>
      <c r="I492" s="11">
        <f t="shared" si="194"/>
        <v>13.360000000000001</v>
      </c>
      <c r="J492" s="11">
        <f t="shared" si="195"/>
        <v>2.84</v>
      </c>
      <c r="K492" s="416">
        <f t="shared" si="210"/>
        <v>6065.44</v>
      </c>
      <c r="L492" s="180"/>
      <c r="M492" s="180"/>
      <c r="N492" s="186">
        <f t="shared" si="188"/>
        <v>6065.44</v>
      </c>
      <c r="O492" s="29">
        <f t="shared" si="196"/>
        <v>0</v>
      </c>
      <c r="P492" s="181">
        <f t="shared" si="211"/>
        <v>0</v>
      </c>
      <c r="Q492" s="182">
        <f t="shared" si="197"/>
        <v>0</v>
      </c>
      <c r="R492" s="182">
        <f t="shared" si="198"/>
        <v>0</v>
      </c>
      <c r="S492" s="182">
        <f t="shared" si="199"/>
        <v>0</v>
      </c>
      <c r="T492" s="182">
        <f t="shared" si="200"/>
        <v>0</v>
      </c>
      <c r="U492" s="182">
        <f t="shared" si="201"/>
        <v>0</v>
      </c>
      <c r="V492" s="14">
        <f t="shared" si="202"/>
        <v>6065.44</v>
      </c>
      <c r="W492" s="14">
        <f t="shared" si="203"/>
        <v>-6065.44</v>
      </c>
      <c r="Y492" s="14">
        <f t="shared" si="206"/>
        <v>1289.3599999999999</v>
      </c>
      <c r="Z492" s="14">
        <f t="shared" si="207"/>
        <v>-1289.3599999999999</v>
      </c>
      <c r="AA492" s="11">
        <f t="shared" si="209"/>
        <v>0.44</v>
      </c>
      <c r="AB492" s="9">
        <f t="shared" si="212"/>
        <v>199.76</v>
      </c>
      <c r="AD492" s="13">
        <f>IF(AH492&gt;AH491,AD491,IF(AD491&lt;MiscData!$F$1,EOMONTH(AD491,1),EOMONTH(AD491,-11)))</f>
        <v>42551</v>
      </c>
      <c r="AE492" s="7" t="str">
        <f t="shared" si="204"/>
        <v>20140101KUUM_457</v>
      </c>
      <c r="AF492" s="12" t="str">
        <f t="shared" si="205"/>
        <v>20140101RLS</v>
      </c>
      <c r="AG492" s="31"/>
      <c r="AH492">
        <f>IF(AH491=MiscData!$AB$91,1,AH491+1)</f>
        <v>51</v>
      </c>
      <c r="AI492">
        <f>IF(AD492&lt;=MiscData!$B$23,MiscData!$C$23,IF(AD492&lt;=MiscData!$B$24,MiscData!$C$24,MiscData!$C$25))</f>
        <v>20140101</v>
      </c>
      <c r="AK492" s="190" t="str">
        <f>VLOOKUP(AM492,MiscData!$AB$4:$ACB$113,2,FALSE)</f>
        <v>KUUM_457</v>
      </c>
      <c r="AL492" s="190" t="str">
        <f>VLOOKUP(AM492,MiscData!$AB$4:$AE$115,4,FALSE)</f>
        <v>RLS</v>
      </c>
      <c r="AM492">
        <f>IF(AM491=MiscData!$AB$91,1,AM491+1)</f>
        <v>51</v>
      </c>
    </row>
    <row r="493" spans="1:39">
      <c r="A493" s="7">
        <f t="shared" si="208"/>
        <v>492</v>
      </c>
      <c r="B493" s="13" t="str">
        <f t="shared" si="189"/>
        <v>Jun 2016</v>
      </c>
      <c r="C493" s="23" t="str">
        <f t="shared" si="190"/>
        <v>RLS</v>
      </c>
      <c r="D493" s="23" t="str">
        <f t="shared" si="191"/>
        <v>KUUM_458</v>
      </c>
      <c r="E493" s="170">
        <f t="shared" si="192"/>
        <v>1464</v>
      </c>
      <c r="F493" s="185"/>
      <c r="G493" s="170">
        <f t="shared" si="193"/>
        <v>0</v>
      </c>
      <c r="H493" s="170"/>
      <c r="I493" s="11">
        <f t="shared" si="194"/>
        <v>15.079999999999998</v>
      </c>
      <c r="J493" s="11">
        <f t="shared" si="195"/>
        <v>4.3699999999999992</v>
      </c>
      <c r="K493" s="416">
        <f t="shared" si="210"/>
        <v>22077.119999999999</v>
      </c>
      <c r="L493" s="180"/>
      <c r="M493" s="180"/>
      <c r="N493" s="186">
        <f t="shared" si="188"/>
        <v>22077.119999999999</v>
      </c>
      <c r="O493" s="29">
        <f t="shared" si="196"/>
        <v>0</v>
      </c>
      <c r="P493" s="181">
        <f t="shared" si="211"/>
        <v>0</v>
      </c>
      <c r="Q493" s="182">
        <f t="shared" si="197"/>
        <v>0</v>
      </c>
      <c r="R493" s="182">
        <f t="shared" si="198"/>
        <v>0</v>
      </c>
      <c r="S493" s="182">
        <f t="shared" si="199"/>
        <v>0</v>
      </c>
      <c r="T493" s="182">
        <f t="shared" si="200"/>
        <v>0</v>
      </c>
      <c r="U493" s="182">
        <f t="shared" si="201"/>
        <v>0</v>
      </c>
      <c r="V493" s="14">
        <f t="shared" si="202"/>
        <v>22077.119999999999</v>
      </c>
      <c r="W493" s="14">
        <f t="shared" si="203"/>
        <v>-22077.119999999999</v>
      </c>
      <c r="Y493" s="14">
        <f t="shared" si="206"/>
        <v>6397.68</v>
      </c>
      <c r="Z493" s="14">
        <f t="shared" si="207"/>
        <v>-6397.68</v>
      </c>
      <c r="AA493" s="11">
        <f t="shared" si="209"/>
        <v>0.51</v>
      </c>
      <c r="AB493" s="9">
        <f t="shared" si="212"/>
        <v>746.64</v>
      </c>
      <c r="AD493" s="13">
        <f>IF(AH493&gt;AH492,AD492,IF(AD492&lt;MiscData!$F$1,EOMONTH(AD492,1),EOMONTH(AD492,-11)))</f>
        <v>42551</v>
      </c>
      <c r="AE493" s="7" t="str">
        <f t="shared" si="204"/>
        <v>20140101KUUM_458</v>
      </c>
      <c r="AF493" s="12" t="str">
        <f t="shared" si="205"/>
        <v>20140101RLS</v>
      </c>
      <c r="AG493" s="31"/>
      <c r="AH493">
        <f>IF(AH492=MiscData!$AB$91,1,AH492+1)</f>
        <v>52</v>
      </c>
      <c r="AI493">
        <f>IF(AD493&lt;=MiscData!$B$23,MiscData!$C$23,IF(AD493&lt;=MiscData!$B$24,MiscData!$C$24,MiscData!$C$25))</f>
        <v>20140101</v>
      </c>
      <c r="AK493" s="190" t="str">
        <f>VLOOKUP(AM493,MiscData!$AB$4:$ACB$113,2,FALSE)</f>
        <v>KUUM_458</v>
      </c>
      <c r="AL493" s="190" t="str">
        <f>VLOOKUP(AM493,MiscData!$AB$4:$AE$115,4,FALSE)</f>
        <v>RLS</v>
      </c>
      <c r="AM493">
        <f>IF(AM492=MiscData!$AB$91,1,AM492+1)</f>
        <v>52</v>
      </c>
    </row>
    <row r="494" spans="1:39">
      <c r="A494" s="7">
        <f t="shared" si="208"/>
        <v>493</v>
      </c>
      <c r="B494" s="13" t="str">
        <f t="shared" si="189"/>
        <v>Jun 2016</v>
      </c>
      <c r="C494" s="23" t="str">
        <f t="shared" si="190"/>
        <v>RLS</v>
      </c>
      <c r="D494" s="23" t="str">
        <f t="shared" si="191"/>
        <v>KUUM_459</v>
      </c>
      <c r="E494" s="170">
        <f t="shared" si="192"/>
        <v>227</v>
      </c>
      <c r="F494" s="185"/>
      <c r="G494" s="170">
        <f t="shared" si="193"/>
        <v>0</v>
      </c>
      <c r="H494" s="170"/>
      <c r="I494" s="11">
        <f t="shared" si="194"/>
        <v>46.740000000000009</v>
      </c>
      <c r="J494" s="11">
        <f t="shared" si="195"/>
        <v>10.410000000000004</v>
      </c>
      <c r="K494" s="416">
        <f t="shared" si="210"/>
        <v>10609.98</v>
      </c>
      <c r="L494" s="180"/>
      <c r="M494" s="180"/>
      <c r="N494" s="186">
        <f t="shared" si="188"/>
        <v>10609.98</v>
      </c>
      <c r="O494" s="29">
        <f t="shared" si="196"/>
        <v>0</v>
      </c>
      <c r="P494" s="181">
        <f t="shared" si="211"/>
        <v>0</v>
      </c>
      <c r="Q494" s="182">
        <f t="shared" si="197"/>
        <v>0</v>
      </c>
      <c r="R494" s="182">
        <f t="shared" si="198"/>
        <v>0</v>
      </c>
      <c r="S494" s="182">
        <f t="shared" si="199"/>
        <v>0</v>
      </c>
      <c r="T494" s="182">
        <f t="shared" si="200"/>
        <v>0</v>
      </c>
      <c r="U494" s="182">
        <f t="shared" si="201"/>
        <v>0</v>
      </c>
      <c r="V494" s="14">
        <f t="shared" si="202"/>
        <v>10609.98</v>
      </c>
      <c r="W494" s="14">
        <f t="shared" si="203"/>
        <v>-10609.98</v>
      </c>
      <c r="Y494" s="14">
        <f t="shared" si="206"/>
        <v>2363.0700000000002</v>
      </c>
      <c r="Z494" s="14">
        <f t="shared" si="207"/>
        <v>-2363.0700000000002</v>
      </c>
      <c r="AA494" s="11">
        <f t="shared" si="209"/>
        <v>1.7</v>
      </c>
      <c r="AB494" s="9">
        <f t="shared" si="212"/>
        <v>385.9</v>
      </c>
      <c r="AD494" s="13">
        <f>IF(AH494&gt;AH493,AD493,IF(AD493&lt;MiscData!$F$1,EOMONTH(AD493,1),EOMONTH(AD493,-11)))</f>
        <v>42551</v>
      </c>
      <c r="AE494" s="7" t="str">
        <f t="shared" si="204"/>
        <v>20140101KUUM_459</v>
      </c>
      <c r="AF494" s="12" t="str">
        <f t="shared" si="205"/>
        <v>20140101RLS</v>
      </c>
      <c r="AG494" s="31"/>
      <c r="AH494">
        <f>IF(AH493=MiscData!$AB$91,1,AH493+1)</f>
        <v>53</v>
      </c>
      <c r="AI494">
        <f>IF(AD494&lt;=MiscData!$B$23,MiscData!$C$23,IF(AD494&lt;=MiscData!$B$24,MiscData!$C$24,MiscData!$C$25))</f>
        <v>20140101</v>
      </c>
      <c r="AK494" s="190" t="str">
        <f>VLOOKUP(AM494,MiscData!$AB$4:$ACB$113,2,FALSE)</f>
        <v>KUUM_459</v>
      </c>
      <c r="AL494" s="190" t="str">
        <f>VLOOKUP(AM494,MiscData!$AB$4:$AE$115,4,FALSE)</f>
        <v>RLS</v>
      </c>
      <c r="AM494">
        <f>IF(AM493=MiscData!$AB$91,1,AM493+1)</f>
        <v>53</v>
      </c>
    </row>
    <row r="495" spans="1:39">
      <c r="A495" s="7">
        <f t="shared" si="208"/>
        <v>494</v>
      </c>
      <c r="B495" s="13" t="str">
        <f t="shared" si="189"/>
        <v>Jun 2016</v>
      </c>
      <c r="C495" s="23" t="str">
        <f t="shared" si="190"/>
        <v>RLS</v>
      </c>
      <c r="D495" s="23" t="str">
        <f t="shared" si="191"/>
        <v>KUUM_460</v>
      </c>
      <c r="E495" s="170">
        <f t="shared" si="192"/>
        <v>26</v>
      </c>
      <c r="F495" s="185"/>
      <c r="G495" s="170">
        <f t="shared" si="193"/>
        <v>0</v>
      </c>
      <c r="H495" s="170"/>
      <c r="I495" s="11">
        <f t="shared" si="194"/>
        <v>27.15</v>
      </c>
      <c r="J495" s="11">
        <f t="shared" si="195"/>
        <v>1.9699999999999989</v>
      </c>
      <c r="K495" s="416">
        <f t="shared" si="210"/>
        <v>705.9</v>
      </c>
      <c r="L495" s="180"/>
      <c r="M495" s="180"/>
      <c r="N495" s="186">
        <f t="shared" si="188"/>
        <v>705.9</v>
      </c>
      <c r="O495" s="29">
        <f t="shared" si="196"/>
        <v>0</v>
      </c>
      <c r="P495" s="181">
        <f t="shared" si="211"/>
        <v>0</v>
      </c>
      <c r="Q495" s="182">
        <f t="shared" si="197"/>
        <v>0</v>
      </c>
      <c r="R495" s="182">
        <f t="shared" si="198"/>
        <v>0</v>
      </c>
      <c r="S495" s="182">
        <f t="shared" si="199"/>
        <v>0</v>
      </c>
      <c r="T495" s="182">
        <f t="shared" si="200"/>
        <v>0</v>
      </c>
      <c r="U495" s="182">
        <f t="shared" si="201"/>
        <v>0</v>
      </c>
      <c r="V495" s="14">
        <f t="shared" si="202"/>
        <v>705.9</v>
      </c>
      <c r="W495" s="14">
        <f t="shared" si="203"/>
        <v>-705.9</v>
      </c>
      <c r="Y495" s="14">
        <f t="shared" si="206"/>
        <v>51.22</v>
      </c>
      <c r="Z495" s="14">
        <f t="shared" si="207"/>
        <v>-51.22</v>
      </c>
      <c r="AA495" s="11">
        <f t="shared" si="209"/>
        <v>0.66</v>
      </c>
      <c r="AB495" s="9">
        <f t="shared" si="212"/>
        <v>17.16</v>
      </c>
      <c r="AD495" s="13">
        <f>IF(AH495&gt;AH494,AD494,IF(AD494&lt;MiscData!$F$1,EOMONTH(AD494,1),EOMONTH(AD494,-11)))</f>
        <v>42551</v>
      </c>
      <c r="AE495" s="7" t="str">
        <f t="shared" si="204"/>
        <v>20140101KUUM_460</v>
      </c>
      <c r="AF495" s="12" t="str">
        <f t="shared" si="205"/>
        <v>20140101RLS</v>
      </c>
      <c r="AG495" s="31"/>
      <c r="AH495">
        <f>IF(AH494=MiscData!$AB$91,1,AH494+1)</f>
        <v>54</v>
      </c>
      <c r="AI495">
        <f>IF(AD495&lt;=MiscData!$B$23,MiscData!$C$23,IF(AD495&lt;=MiscData!$B$24,MiscData!$C$24,MiscData!$C$25))</f>
        <v>20140101</v>
      </c>
      <c r="AK495" s="190" t="str">
        <f>VLOOKUP(AM495,MiscData!$AB$4:$ACB$113,2,FALSE)</f>
        <v>KUUM_460</v>
      </c>
      <c r="AL495" s="190" t="str">
        <f>VLOOKUP(AM495,MiscData!$AB$4:$AE$115,4,FALSE)</f>
        <v>RLS</v>
      </c>
      <c r="AM495">
        <f>IF(AM494=MiscData!$AB$91,1,AM494+1)</f>
        <v>54</v>
      </c>
    </row>
    <row r="496" spans="1:39">
      <c r="A496" s="7">
        <f t="shared" si="208"/>
        <v>495</v>
      </c>
      <c r="B496" s="13" t="str">
        <f t="shared" si="189"/>
        <v>Jun 2016</v>
      </c>
      <c r="C496" s="23" t="str">
        <f t="shared" si="190"/>
        <v>RLS</v>
      </c>
      <c r="D496" s="23" t="str">
        <f t="shared" si="191"/>
        <v>KUUM_461</v>
      </c>
      <c r="E496" s="170">
        <f t="shared" si="192"/>
        <v>6948</v>
      </c>
      <c r="F496" s="185"/>
      <c r="G496" s="170">
        <f t="shared" si="193"/>
        <v>0</v>
      </c>
      <c r="H496" s="170"/>
      <c r="I496" s="11">
        <f t="shared" si="194"/>
        <v>7.54</v>
      </c>
      <c r="J496" s="11">
        <f t="shared" si="195"/>
        <v>0.57000000000000028</v>
      </c>
      <c r="K496" s="416">
        <f t="shared" si="210"/>
        <v>52387.92</v>
      </c>
      <c r="L496" s="180"/>
      <c r="M496" s="180"/>
      <c r="N496" s="186">
        <f t="shared" si="188"/>
        <v>52387.92</v>
      </c>
      <c r="O496" s="29">
        <f t="shared" si="196"/>
        <v>0</v>
      </c>
      <c r="P496" s="181">
        <f t="shared" si="211"/>
        <v>0</v>
      </c>
      <c r="Q496" s="182">
        <f t="shared" si="197"/>
        <v>0</v>
      </c>
      <c r="R496" s="182">
        <f t="shared" si="198"/>
        <v>0</v>
      </c>
      <c r="S496" s="182">
        <f t="shared" si="199"/>
        <v>0</v>
      </c>
      <c r="T496" s="182">
        <f t="shared" si="200"/>
        <v>0</v>
      </c>
      <c r="U496" s="182">
        <f t="shared" si="201"/>
        <v>0</v>
      </c>
      <c r="V496" s="14">
        <f t="shared" si="202"/>
        <v>52387.92</v>
      </c>
      <c r="W496" s="14">
        <f t="shared" si="203"/>
        <v>-52387.92</v>
      </c>
      <c r="Y496" s="14">
        <f t="shared" si="206"/>
        <v>3960.36</v>
      </c>
      <c r="Z496" s="14">
        <f t="shared" si="207"/>
        <v>-3960.36</v>
      </c>
      <c r="AA496" s="11">
        <f t="shared" si="209"/>
        <v>0.33</v>
      </c>
      <c r="AB496" s="9">
        <f t="shared" si="212"/>
        <v>2292.84</v>
      </c>
      <c r="AD496" s="13">
        <f>IF(AH496&gt;AH495,AD495,IF(AD495&lt;MiscData!$F$1,EOMONTH(AD495,1),EOMONTH(AD495,-11)))</f>
        <v>42551</v>
      </c>
      <c r="AE496" s="7" t="str">
        <f t="shared" si="204"/>
        <v>20140101KUUM_461</v>
      </c>
      <c r="AF496" s="12" t="str">
        <f t="shared" si="205"/>
        <v>20140101RLS</v>
      </c>
      <c r="AG496" s="31"/>
      <c r="AH496">
        <f>IF(AH495=MiscData!$AB$91,1,AH495+1)</f>
        <v>55</v>
      </c>
      <c r="AI496">
        <f>IF(AD496&lt;=MiscData!$B$23,MiscData!$C$23,IF(AD496&lt;=MiscData!$B$24,MiscData!$C$24,MiscData!$C$25))</f>
        <v>20140101</v>
      </c>
      <c r="AK496" s="190" t="str">
        <f>VLOOKUP(AM496,MiscData!$AB$4:$ACB$113,2,FALSE)</f>
        <v>KUUM_461</v>
      </c>
      <c r="AL496" s="190" t="str">
        <f>VLOOKUP(AM496,MiscData!$AB$4:$AE$115,4,FALSE)</f>
        <v>RLS</v>
      </c>
      <c r="AM496">
        <f>IF(AM495=MiscData!$AB$91,1,AM495+1)</f>
        <v>55</v>
      </c>
    </row>
    <row r="497" spans="1:39">
      <c r="A497" s="7">
        <f t="shared" si="208"/>
        <v>496</v>
      </c>
      <c r="B497" s="13" t="str">
        <f t="shared" si="189"/>
        <v>Jun 2016</v>
      </c>
      <c r="C497" s="23" t="str">
        <f t="shared" si="190"/>
        <v>LS</v>
      </c>
      <c r="D497" s="23" t="str">
        <f t="shared" si="191"/>
        <v>KUUM_462</v>
      </c>
      <c r="E497" s="170">
        <f t="shared" si="192"/>
        <v>8771</v>
      </c>
      <c r="F497" s="185"/>
      <c r="G497" s="170">
        <f t="shared" si="193"/>
        <v>0</v>
      </c>
      <c r="H497" s="170"/>
      <c r="I497" s="11">
        <f t="shared" si="194"/>
        <v>8.66</v>
      </c>
      <c r="J497" s="11">
        <f t="shared" si="195"/>
        <v>0.79999999999999893</v>
      </c>
      <c r="K497" s="416">
        <f t="shared" si="210"/>
        <v>75956.86</v>
      </c>
      <c r="L497" s="180"/>
      <c r="M497" s="180"/>
      <c r="N497" s="186">
        <f t="shared" si="188"/>
        <v>75956.86</v>
      </c>
      <c r="O497" s="29">
        <f t="shared" si="196"/>
        <v>0</v>
      </c>
      <c r="P497" s="181">
        <f t="shared" si="211"/>
        <v>0</v>
      </c>
      <c r="Q497" s="182">
        <f t="shared" si="197"/>
        <v>0</v>
      </c>
      <c r="R497" s="182">
        <f t="shared" si="198"/>
        <v>0</v>
      </c>
      <c r="S497" s="182">
        <f t="shared" si="199"/>
        <v>0</v>
      </c>
      <c r="T497" s="182">
        <f t="shared" si="200"/>
        <v>0</v>
      </c>
      <c r="U497" s="182">
        <f t="shared" si="201"/>
        <v>0</v>
      </c>
      <c r="V497" s="14">
        <f t="shared" si="202"/>
        <v>75956.86</v>
      </c>
      <c r="W497" s="14">
        <f t="shared" si="203"/>
        <v>-75956.86</v>
      </c>
      <c r="Y497" s="14">
        <f t="shared" si="206"/>
        <v>7016.8</v>
      </c>
      <c r="Z497" s="14">
        <f t="shared" si="207"/>
        <v>-7016.8</v>
      </c>
      <c r="AA497" s="11">
        <f t="shared" si="209"/>
        <v>0.43</v>
      </c>
      <c r="AB497" s="9">
        <f t="shared" si="212"/>
        <v>3771.5299999999997</v>
      </c>
      <c r="AD497" s="13">
        <f>IF(AH497&gt;AH496,AD496,IF(AD496&lt;MiscData!$F$1,EOMONTH(AD496,1),EOMONTH(AD496,-11)))</f>
        <v>42551</v>
      </c>
      <c r="AE497" s="7" t="str">
        <f t="shared" si="204"/>
        <v>20140101KUUM_462</v>
      </c>
      <c r="AF497" s="12" t="str">
        <f t="shared" si="205"/>
        <v>20140101LS</v>
      </c>
      <c r="AG497" s="31"/>
      <c r="AH497">
        <f>IF(AH496=MiscData!$AB$91,1,AH496+1)</f>
        <v>56</v>
      </c>
      <c r="AI497">
        <f>IF(AD497&lt;=MiscData!$B$23,MiscData!$C$23,IF(AD497&lt;=MiscData!$B$24,MiscData!$C$24,MiscData!$C$25))</f>
        <v>20140101</v>
      </c>
      <c r="AK497" s="190" t="str">
        <f>VLOOKUP(AM497,MiscData!$AB$4:$ACB$113,2,FALSE)</f>
        <v>KUUM_462</v>
      </c>
      <c r="AL497" s="190" t="str">
        <f>VLOOKUP(AM497,MiscData!$AB$4:$AE$115,4,FALSE)</f>
        <v>LS</v>
      </c>
      <c r="AM497">
        <f>IF(AM496=MiscData!$AB$91,1,AM496+1)</f>
        <v>56</v>
      </c>
    </row>
    <row r="498" spans="1:39">
      <c r="A498" s="7">
        <f t="shared" si="208"/>
        <v>497</v>
      </c>
      <c r="B498" s="13" t="str">
        <f t="shared" si="189"/>
        <v>Jun 2016</v>
      </c>
      <c r="C498" s="23" t="str">
        <f t="shared" si="190"/>
        <v>LS</v>
      </c>
      <c r="D498" s="23" t="str">
        <f t="shared" si="191"/>
        <v>KUUM_463</v>
      </c>
      <c r="E498" s="170">
        <f t="shared" si="192"/>
        <v>20445</v>
      </c>
      <c r="F498" s="185"/>
      <c r="G498" s="170">
        <f t="shared" si="193"/>
        <v>0</v>
      </c>
      <c r="H498" s="170"/>
      <c r="I498" s="11">
        <f t="shared" si="194"/>
        <v>9.14</v>
      </c>
      <c r="J498" s="11">
        <f t="shared" si="195"/>
        <v>1.1299999999999999</v>
      </c>
      <c r="K498" s="416">
        <f t="shared" si="210"/>
        <v>186867.3</v>
      </c>
      <c r="L498" s="180"/>
      <c r="M498" s="180"/>
      <c r="N498" s="186">
        <f t="shared" si="188"/>
        <v>186867.3</v>
      </c>
      <c r="O498" s="29">
        <f t="shared" si="196"/>
        <v>0</v>
      </c>
      <c r="P498" s="181">
        <f t="shared" si="211"/>
        <v>0</v>
      </c>
      <c r="Q498" s="182">
        <f t="shared" si="197"/>
        <v>0</v>
      </c>
      <c r="R498" s="182">
        <f t="shared" si="198"/>
        <v>0</v>
      </c>
      <c r="S498" s="182">
        <f t="shared" si="199"/>
        <v>0</v>
      </c>
      <c r="T498" s="182">
        <f t="shared" si="200"/>
        <v>0</v>
      </c>
      <c r="U498" s="182">
        <f t="shared" si="201"/>
        <v>0</v>
      </c>
      <c r="V498" s="14">
        <f t="shared" si="202"/>
        <v>186867.3</v>
      </c>
      <c r="W498" s="14">
        <f t="shared" si="203"/>
        <v>-186867.3</v>
      </c>
      <c r="Y498" s="14">
        <f t="shared" si="206"/>
        <v>23102.85</v>
      </c>
      <c r="Z498" s="14">
        <f t="shared" si="207"/>
        <v>-23102.85</v>
      </c>
      <c r="AA498" s="11">
        <f t="shared" si="209"/>
        <v>0.34</v>
      </c>
      <c r="AB498" s="9">
        <f t="shared" si="212"/>
        <v>6951.3</v>
      </c>
      <c r="AD498" s="13">
        <f>IF(AH498&gt;AH497,AD497,IF(AD497&lt;MiscData!$F$1,EOMONTH(AD497,1),EOMONTH(AD497,-11)))</f>
        <v>42551</v>
      </c>
      <c r="AE498" s="7" t="str">
        <f t="shared" si="204"/>
        <v>20140101KUUM_463</v>
      </c>
      <c r="AF498" s="12" t="str">
        <f t="shared" si="205"/>
        <v>20140101LS</v>
      </c>
      <c r="AG498" s="31"/>
      <c r="AH498">
        <f>IF(AH497=MiscData!$AB$91,1,AH497+1)</f>
        <v>57</v>
      </c>
      <c r="AI498">
        <f>IF(AD498&lt;=MiscData!$B$23,MiscData!$C$23,IF(AD498&lt;=MiscData!$B$24,MiscData!$C$24,MiscData!$C$25))</f>
        <v>20140101</v>
      </c>
      <c r="AK498" s="190" t="str">
        <f>VLOOKUP(AM498,MiscData!$AB$4:$ACB$113,2,FALSE)</f>
        <v>KUUM_463</v>
      </c>
      <c r="AL498" s="190" t="str">
        <f>VLOOKUP(AM498,MiscData!$AB$4:$AE$115,4,FALSE)</f>
        <v>LS</v>
      </c>
      <c r="AM498">
        <f>IF(AM497=MiscData!$AB$91,1,AM497+1)</f>
        <v>57</v>
      </c>
    </row>
    <row r="499" spans="1:39">
      <c r="A499" s="7">
        <f t="shared" si="208"/>
        <v>498</v>
      </c>
      <c r="B499" s="13" t="str">
        <f t="shared" si="189"/>
        <v>Jun 2016</v>
      </c>
      <c r="C499" s="23" t="str">
        <f t="shared" si="190"/>
        <v>LS</v>
      </c>
      <c r="D499" s="23" t="str">
        <f t="shared" si="191"/>
        <v>KUUM_464</v>
      </c>
      <c r="E499" s="170">
        <f t="shared" si="192"/>
        <v>7600</v>
      </c>
      <c r="F499" s="185"/>
      <c r="G499" s="170">
        <f t="shared" si="193"/>
        <v>0</v>
      </c>
      <c r="H499" s="170"/>
      <c r="I499" s="11">
        <f t="shared" si="194"/>
        <v>14.25</v>
      </c>
      <c r="J499" s="11">
        <f t="shared" si="195"/>
        <v>2.33</v>
      </c>
      <c r="K499" s="416">
        <f t="shared" si="210"/>
        <v>108300</v>
      </c>
      <c r="L499" s="180"/>
      <c r="M499" s="180"/>
      <c r="N499" s="186">
        <f t="shared" si="188"/>
        <v>108300</v>
      </c>
      <c r="O499" s="29">
        <f t="shared" si="196"/>
        <v>0</v>
      </c>
      <c r="P499" s="181">
        <f t="shared" si="211"/>
        <v>0</v>
      </c>
      <c r="Q499" s="182">
        <f t="shared" si="197"/>
        <v>0</v>
      </c>
      <c r="R499" s="182">
        <f t="shared" si="198"/>
        <v>0</v>
      </c>
      <c r="S499" s="182">
        <f t="shared" si="199"/>
        <v>0</v>
      </c>
      <c r="T499" s="182">
        <f t="shared" si="200"/>
        <v>0</v>
      </c>
      <c r="U499" s="182">
        <f t="shared" si="201"/>
        <v>0</v>
      </c>
      <c r="V499" s="14">
        <f t="shared" si="202"/>
        <v>108300</v>
      </c>
      <c r="W499" s="14">
        <f t="shared" si="203"/>
        <v>-108300</v>
      </c>
      <c r="Y499" s="14">
        <f t="shared" si="206"/>
        <v>17708</v>
      </c>
      <c r="Z499" s="14">
        <f t="shared" si="207"/>
        <v>-17708</v>
      </c>
      <c r="AA499" s="11">
        <f t="shared" si="209"/>
        <v>0.57999999999999996</v>
      </c>
      <c r="AB499" s="9">
        <f t="shared" si="212"/>
        <v>4408</v>
      </c>
      <c r="AD499" s="13">
        <f>IF(AH499&gt;AH498,AD498,IF(AD498&lt;MiscData!$F$1,EOMONTH(AD498,1),EOMONTH(AD498,-11)))</f>
        <v>42551</v>
      </c>
      <c r="AE499" s="7" t="str">
        <f t="shared" si="204"/>
        <v>20140101KUUM_464</v>
      </c>
      <c r="AF499" s="12" t="str">
        <f t="shared" si="205"/>
        <v>20140101LS</v>
      </c>
      <c r="AG499" s="31"/>
      <c r="AH499">
        <f>IF(AH498=MiscData!$AB$91,1,AH498+1)</f>
        <v>58</v>
      </c>
      <c r="AI499">
        <f>IF(AD499&lt;=MiscData!$B$23,MiscData!$C$23,IF(AD499&lt;=MiscData!$B$24,MiscData!$C$24,MiscData!$C$25))</f>
        <v>20140101</v>
      </c>
      <c r="AK499" s="190" t="str">
        <f>VLOOKUP(AM499,MiscData!$AB$4:$ACB$113,2,FALSE)</f>
        <v>KUUM_464</v>
      </c>
      <c r="AL499" s="190" t="str">
        <f>VLOOKUP(AM499,MiscData!$AB$4:$AE$115,4,FALSE)</f>
        <v>LS</v>
      </c>
      <c r="AM499">
        <f>IF(AM498=MiscData!$AB$91,1,AM498+1)</f>
        <v>58</v>
      </c>
    </row>
    <row r="500" spans="1:39">
      <c r="A500" s="7">
        <f t="shared" si="208"/>
        <v>499</v>
      </c>
      <c r="B500" s="13" t="str">
        <f t="shared" si="189"/>
        <v>Jun 2016</v>
      </c>
      <c r="C500" s="23" t="str">
        <f t="shared" si="190"/>
        <v>LS</v>
      </c>
      <c r="D500" s="23" t="str">
        <f t="shared" si="191"/>
        <v>KUUM_465</v>
      </c>
      <c r="E500" s="170">
        <f t="shared" si="192"/>
        <v>2817</v>
      </c>
      <c r="F500" s="185"/>
      <c r="G500" s="170">
        <f t="shared" si="193"/>
        <v>0</v>
      </c>
      <c r="H500" s="170"/>
      <c r="I500" s="11">
        <f t="shared" si="194"/>
        <v>22.84</v>
      </c>
      <c r="J500" s="11">
        <f t="shared" si="195"/>
        <v>4.5299999999999976</v>
      </c>
      <c r="K500" s="416">
        <f t="shared" si="210"/>
        <v>64340.28</v>
      </c>
      <c r="L500" s="180"/>
      <c r="M500" s="180"/>
      <c r="N500" s="186">
        <f t="shared" si="188"/>
        <v>64340.28</v>
      </c>
      <c r="O500" s="29">
        <f t="shared" si="196"/>
        <v>0</v>
      </c>
      <c r="P500" s="181">
        <f t="shared" si="211"/>
        <v>0</v>
      </c>
      <c r="Q500" s="182">
        <f t="shared" si="197"/>
        <v>0</v>
      </c>
      <c r="R500" s="182">
        <f t="shared" si="198"/>
        <v>0</v>
      </c>
      <c r="S500" s="182">
        <f t="shared" si="199"/>
        <v>0</v>
      </c>
      <c r="T500" s="182">
        <f t="shared" si="200"/>
        <v>0</v>
      </c>
      <c r="U500" s="182">
        <f t="shared" si="201"/>
        <v>0</v>
      </c>
      <c r="V500" s="14">
        <f t="shared" si="202"/>
        <v>64340.28</v>
      </c>
      <c r="W500" s="14">
        <f t="shared" si="203"/>
        <v>-64340.28</v>
      </c>
      <c r="Y500" s="14">
        <f t="shared" si="206"/>
        <v>12761.01</v>
      </c>
      <c r="Z500" s="14">
        <f t="shared" si="207"/>
        <v>-12761.01</v>
      </c>
      <c r="AA500" s="11">
        <f t="shared" si="209"/>
        <v>0.79</v>
      </c>
      <c r="AB500" s="9">
        <f t="shared" si="212"/>
        <v>2225.4300000000003</v>
      </c>
      <c r="AD500" s="13">
        <f>IF(AH500&gt;AH499,AD499,IF(AD499&lt;MiscData!$F$1,EOMONTH(AD499,1),EOMONTH(AD499,-11)))</f>
        <v>42551</v>
      </c>
      <c r="AE500" s="7" t="str">
        <f t="shared" si="204"/>
        <v>20140101KUUM_465</v>
      </c>
      <c r="AF500" s="12" t="str">
        <f t="shared" si="205"/>
        <v>20140101LS</v>
      </c>
      <c r="AG500" s="31"/>
      <c r="AH500">
        <f>IF(AH499=MiscData!$AB$91,1,AH499+1)</f>
        <v>59</v>
      </c>
      <c r="AI500">
        <f>IF(AD500&lt;=MiscData!$B$23,MiscData!$C$23,IF(AD500&lt;=MiscData!$B$24,MiscData!$C$24,MiscData!$C$25))</f>
        <v>20140101</v>
      </c>
      <c r="AK500" s="190" t="str">
        <f>VLOOKUP(AM500,MiscData!$AB$4:$ACB$113,2,FALSE)</f>
        <v>KUUM_465</v>
      </c>
      <c r="AL500" s="190" t="str">
        <f>VLOOKUP(AM500,MiscData!$AB$4:$AE$115,4,FALSE)</f>
        <v>LS</v>
      </c>
      <c r="AM500">
        <f>IF(AM499=MiscData!$AB$91,1,AM499+1)</f>
        <v>59</v>
      </c>
    </row>
    <row r="501" spans="1:39">
      <c r="A501" s="7">
        <f t="shared" si="208"/>
        <v>500</v>
      </c>
      <c r="B501" s="13" t="str">
        <f t="shared" si="189"/>
        <v>Jun 2016</v>
      </c>
      <c r="C501" s="23" t="str">
        <f t="shared" si="190"/>
        <v>RLS</v>
      </c>
      <c r="D501" s="23" t="str">
        <f t="shared" si="191"/>
        <v>KUUM_466</v>
      </c>
      <c r="E501" s="170">
        <f t="shared" si="192"/>
        <v>866</v>
      </c>
      <c r="F501" s="185"/>
      <c r="G501" s="170">
        <f t="shared" si="193"/>
        <v>0</v>
      </c>
      <c r="H501" s="170"/>
      <c r="I501" s="11">
        <f t="shared" si="194"/>
        <v>9.620000000000001</v>
      </c>
      <c r="J501" s="11">
        <f t="shared" si="195"/>
        <v>0.57000000000000028</v>
      </c>
      <c r="K501" s="416">
        <f t="shared" si="210"/>
        <v>8330.92</v>
      </c>
      <c r="L501" s="180"/>
      <c r="M501" s="180"/>
      <c r="N501" s="186">
        <f t="shared" si="188"/>
        <v>8330.92</v>
      </c>
      <c r="O501" s="29">
        <f t="shared" si="196"/>
        <v>0</v>
      </c>
      <c r="P501" s="181">
        <f t="shared" si="211"/>
        <v>0</v>
      </c>
      <c r="Q501" s="182">
        <f t="shared" si="197"/>
        <v>0</v>
      </c>
      <c r="R501" s="182">
        <f t="shared" si="198"/>
        <v>0</v>
      </c>
      <c r="S501" s="182">
        <f t="shared" si="199"/>
        <v>0</v>
      </c>
      <c r="T501" s="182">
        <f t="shared" si="200"/>
        <v>0</v>
      </c>
      <c r="U501" s="182">
        <f t="shared" si="201"/>
        <v>0</v>
      </c>
      <c r="V501" s="14">
        <f t="shared" si="202"/>
        <v>8330.92</v>
      </c>
      <c r="W501" s="14">
        <f t="shared" si="203"/>
        <v>-8330.92</v>
      </c>
      <c r="Y501" s="14">
        <f t="shared" si="206"/>
        <v>493.62</v>
      </c>
      <c r="Z501" s="14">
        <f t="shared" si="207"/>
        <v>-493.62</v>
      </c>
      <c r="AA501" s="11">
        <f t="shared" si="209"/>
        <v>0.33</v>
      </c>
      <c r="AB501" s="9">
        <f t="shared" si="212"/>
        <v>285.78000000000003</v>
      </c>
      <c r="AD501" s="13">
        <f>IF(AH501&gt;AH500,AD500,IF(AD500&lt;MiscData!$F$1,EOMONTH(AD500,1),EOMONTH(AD500,-11)))</f>
        <v>42551</v>
      </c>
      <c r="AE501" s="7" t="str">
        <f t="shared" si="204"/>
        <v>20140101KUUM_466</v>
      </c>
      <c r="AF501" s="12" t="str">
        <f t="shared" si="205"/>
        <v>20140101RLS</v>
      </c>
      <c r="AG501" s="31"/>
      <c r="AH501">
        <f>IF(AH500=MiscData!$AB$91,1,AH500+1)</f>
        <v>60</v>
      </c>
      <c r="AI501">
        <f>IF(AD501&lt;=MiscData!$B$23,MiscData!$C$23,IF(AD501&lt;=MiscData!$B$24,MiscData!$C$24,MiscData!$C$25))</f>
        <v>20140101</v>
      </c>
      <c r="AK501" s="190" t="str">
        <f>VLOOKUP(AM501,MiscData!$AB$4:$ACB$113,2,FALSE)</f>
        <v>KUUM_466</v>
      </c>
      <c r="AL501" s="190" t="str">
        <f>VLOOKUP(AM501,MiscData!$AB$4:$AE$115,4,FALSE)</f>
        <v>RLS</v>
      </c>
      <c r="AM501">
        <f>IF(AM500=MiscData!$AB$91,1,AM500+1)</f>
        <v>60</v>
      </c>
    </row>
    <row r="502" spans="1:39">
      <c r="A502" s="7">
        <f t="shared" si="208"/>
        <v>501</v>
      </c>
      <c r="B502" s="13" t="str">
        <f t="shared" si="189"/>
        <v>Jun 2016</v>
      </c>
      <c r="C502" s="23" t="str">
        <f t="shared" si="190"/>
        <v>LS</v>
      </c>
      <c r="D502" s="23" t="str">
        <f t="shared" si="191"/>
        <v>KUUM_467</v>
      </c>
      <c r="E502" s="170">
        <f t="shared" si="192"/>
        <v>1367</v>
      </c>
      <c r="F502" s="185"/>
      <c r="G502" s="170">
        <f t="shared" si="193"/>
        <v>0</v>
      </c>
      <c r="H502" s="170"/>
      <c r="I502" s="11">
        <f t="shared" si="194"/>
        <v>10.770000000000001</v>
      </c>
      <c r="J502" s="11">
        <f t="shared" si="195"/>
        <v>0.80000000000000071</v>
      </c>
      <c r="K502" s="416">
        <f t="shared" si="210"/>
        <v>14722.59</v>
      </c>
      <c r="L502" s="180"/>
      <c r="M502" s="180"/>
      <c r="N502" s="186">
        <f t="shared" si="188"/>
        <v>14722.59</v>
      </c>
      <c r="O502" s="29">
        <f t="shared" si="196"/>
        <v>0</v>
      </c>
      <c r="P502" s="181">
        <f t="shared" si="211"/>
        <v>0</v>
      </c>
      <c r="Q502" s="182">
        <f t="shared" si="197"/>
        <v>0</v>
      </c>
      <c r="R502" s="182">
        <f t="shared" si="198"/>
        <v>0</v>
      </c>
      <c r="S502" s="182">
        <f t="shared" si="199"/>
        <v>0</v>
      </c>
      <c r="T502" s="182">
        <f t="shared" si="200"/>
        <v>0</v>
      </c>
      <c r="U502" s="182">
        <f t="shared" si="201"/>
        <v>0</v>
      </c>
      <c r="V502" s="14">
        <f t="shared" si="202"/>
        <v>14722.59</v>
      </c>
      <c r="W502" s="14">
        <f t="shared" si="203"/>
        <v>-14722.59</v>
      </c>
      <c r="Y502" s="14">
        <f t="shared" si="206"/>
        <v>1093.5999999999999</v>
      </c>
      <c r="Z502" s="14">
        <f t="shared" si="207"/>
        <v>-1093.5999999999999</v>
      </c>
      <c r="AA502" s="11">
        <f t="shared" si="209"/>
        <v>0.43</v>
      </c>
      <c r="AB502" s="9">
        <f t="shared" si="212"/>
        <v>587.80999999999995</v>
      </c>
      <c r="AD502" s="13">
        <f>IF(AH502&gt;AH501,AD501,IF(AD501&lt;MiscData!$F$1,EOMONTH(AD501,1),EOMONTH(AD501,-11)))</f>
        <v>42551</v>
      </c>
      <c r="AE502" s="7" t="str">
        <f t="shared" si="204"/>
        <v>20140101KUUM_467</v>
      </c>
      <c r="AF502" s="12" t="str">
        <f t="shared" si="205"/>
        <v>20140101LS</v>
      </c>
      <c r="AG502" s="31"/>
      <c r="AH502">
        <f>IF(AH501=MiscData!$AB$91,1,AH501+1)</f>
        <v>61</v>
      </c>
      <c r="AI502">
        <f>IF(AD502&lt;=MiscData!$B$23,MiscData!$C$23,IF(AD502&lt;=MiscData!$B$24,MiscData!$C$24,MiscData!$C$25))</f>
        <v>20140101</v>
      </c>
      <c r="AK502" s="190" t="str">
        <f>VLOOKUP(AM502,MiscData!$AB$4:$ACB$113,2,FALSE)</f>
        <v>KUUM_467</v>
      </c>
      <c r="AL502" s="190" t="str">
        <f>VLOOKUP(AM502,MiscData!$AB$4:$AE$115,4,FALSE)</f>
        <v>LS</v>
      </c>
      <c r="AM502">
        <f>IF(AM501=MiscData!$AB$91,1,AM501+1)</f>
        <v>61</v>
      </c>
    </row>
    <row r="503" spans="1:39">
      <c r="A503" s="7">
        <f t="shared" si="208"/>
        <v>502</v>
      </c>
      <c r="B503" s="13" t="str">
        <f t="shared" si="189"/>
        <v>Jun 2016</v>
      </c>
      <c r="C503" s="23" t="str">
        <f t="shared" si="190"/>
        <v>LS</v>
      </c>
      <c r="D503" s="23" t="str">
        <f t="shared" si="191"/>
        <v>KUUM_468</v>
      </c>
      <c r="E503" s="170">
        <f t="shared" si="192"/>
        <v>4042</v>
      </c>
      <c r="F503" s="185"/>
      <c r="G503" s="170">
        <f t="shared" si="193"/>
        <v>0</v>
      </c>
      <c r="H503" s="170"/>
      <c r="I503" s="11">
        <f t="shared" si="194"/>
        <v>11.16</v>
      </c>
      <c r="J503" s="11">
        <f t="shared" si="195"/>
        <v>1.129999999999999</v>
      </c>
      <c r="K503" s="416">
        <f t="shared" si="210"/>
        <v>45108.72</v>
      </c>
      <c r="L503" s="180"/>
      <c r="M503" s="180"/>
      <c r="N503" s="186">
        <f t="shared" si="188"/>
        <v>45108.72</v>
      </c>
      <c r="O503" s="29">
        <f t="shared" si="196"/>
        <v>0</v>
      </c>
      <c r="P503" s="181">
        <f t="shared" si="211"/>
        <v>0</v>
      </c>
      <c r="Q503" s="182">
        <f t="shared" si="197"/>
        <v>0</v>
      </c>
      <c r="R503" s="182">
        <f t="shared" si="198"/>
        <v>0</v>
      </c>
      <c r="S503" s="182">
        <f t="shared" si="199"/>
        <v>0</v>
      </c>
      <c r="T503" s="182">
        <f t="shared" si="200"/>
        <v>0</v>
      </c>
      <c r="U503" s="182">
        <f t="shared" si="201"/>
        <v>0</v>
      </c>
      <c r="V503" s="14">
        <f t="shared" si="202"/>
        <v>45108.72</v>
      </c>
      <c r="W503" s="14">
        <f t="shared" si="203"/>
        <v>-45108.72</v>
      </c>
      <c r="Y503" s="14">
        <f t="shared" si="206"/>
        <v>4567.46</v>
      </c>
      <c r="Z503" s="14">
        <f t="shared" si="207"/>
        <v>-4567.46</v>
      </c>
      <c r="AA503" s="11">
        <f t="shared" si="209"/>
        <v>0.34</v>
      </c>
      <c r="AB503" s="9">
        <f t="shared" si="212"/>
        <v>1374.2800000000002</v>
      </c>
      <c r="AD503" s="13">
        <f>IF(AH503&gt;AH502,AD502,IF(AD502&lt;MiscData!$F$1,EOMONTH(AD502,1),EOMONTH(AD502,-11)))</f>
        <v>42551</v>
      </c>
      <c r="AE503" s="7" t="str">
        <f t="shared" si="204"/>
        <v>20140101KUUM_468</v>
      </c>
      <c r="AF503" s="12" t="str">
        <f t="shared" si="205"/>
        <v>20140101LS</v>
      </c>
      <c r="AG503" s="31"/>
      <c r="AH503">
        <f>IF(AH502=MiscData!$AB$91,1,AH502+1)</f>
        <v>62</v>
      </c>
      <c r="AI503">
        <f>IF(AD503&lt;=MiscData!$B$23,MiscData!$C$23,IF(AD503&lt;=MiscData!$B$24,MiscData!$C$24,MiscData!$C$25))</f>
        <v>20140101</v>
      </c>
      <c r="AK503" s="190" t="str">
        <f>VLOOKUP(AM503,MiscData!$AB$4:$ACB$113,2,FALSE)</f>
        <v>KUUM_468</v>
      </c>
      <c r="AL503" s="190" t="str">
        <f>VLOOKUP(AM503,MiscData!$AB$4:$AE$115,4,FALSE)</f>
        <v>LS</v>
      </c>
      <c r="AM503">
        <f>IF(AM502=MiscData!$AB$91,1,AM502+1)</f>
        <v>62</v>
      </c>
    </row>
    <row r="504" spans="1:39">
      <c r="A504" s="7">
        <f t="shared" si="208"/>
        <v>503</v>
      </c>
      <c r="B504" s="13" t="str">
        <f t="shared" si="189"/>
        <v>Jun 2016</v>
      </c>
      <c r="C504" s="23" t="str">
        <f t="shared" si="190"/>
        <v>RLS</v>
      </c>
      <c r="D504" s="23" t="str">
        <f t="shared" si="191"/>
        <v>KUUM_469</v>
      </c>
      <c r="E504" s="170">
        <f t="shared" si="192"/>
        <v>296</v>
      </c>
      <c r="F504" s="185"/>
      <c r="G504" s="170">
        <f t="shared" si="193"/>
        <v>0</v>
      </c>
      <c r="H504" s="170"/>
      <c r="I504" s="11">
        <f t="shared" si="194"/>
        <v>33.100000000000009</v>
      </c>
      <c r="J504" s="11">
        <f t="shared" si="195"/>
        <v>4.2900000000000063</v>
      </c>
      <c r="K504" s="416">
        <f t="shared" si="210"/>
        <v>9797.6</v>
      </c>
      <c r="L504" s="180"/>
      <c r="M504" s="180"/>
      <c r="N504" s="186">
        <f t="shared" ref="N504:N567" si="213">SUM(K504:M504)</f>
        <v>9797.6</v>
      </c>
      <c r="O504" s="29">
        <f t="shared" si="196"/>
        <v>0</v>
      </c>
      <c r="P504" s="181">
        <f t="shared" si="211"/>
        <v>0</v>
      </c>
      <c r="Q504" s="182">
        <f t="shared" si="197"/>
        <v>0</v>
      </c>
      <c r="R504" s="182">
        <f t="shared" si="198"/>
        <v>0</v>
      </c>
      <c r="S504" s="182">
        <f t="shared" si="199"/>
        <v>0</v>
      </c>
      <c r="T504" s="182">
        <f t="shared" si="200"/>
        <v>0</v>
      </c>
      <c r="U504" s="182">
        <f t="shared" si="201"/>
        <v>0</v>
      </c>
      <c r="V504" s="14">
        <f t="shared" si="202"/>
        <v>9797.6</v>
      </c>
      <c r="W504" s="14">
        <f t="shared" si="203"/>
        <v>-9797.6</v>
      </c>
      <c r="Y504" s="14">
        <f t="shared" si="206"/>
        <v>1269.8399999999999</v>
      </c>
      <c r="Z504" s="14">
        <f t="shared" si="207"/>
        <v>-1269.8399999999999</v>
      </c>
      <c r="AA504" s="11">
        <f t="shared" si="209"/>
        <v>0.84</v>
      </c>
      <c r="AB504" s="9">
        <f t="shared" si="212"/>
        <v>248.64</v>
      </c>
      <c r="AD504" s="13">
        <f>IF(AH504&gt;AH503,AD503,IF(AD503&lt;MiscData!$F$1,EOMONTH(AD503,1),EOMONTH(AD503,-11)))</f>
        <v>42551</v>
      </c>
      <c r="AE504" s="7" t="str">
        <f t="shared" si="204"/>
        <v>20140101KUUM_469</v>
      </c>
      <c r="AF504" s="12" t="str">
        <f t="shared" si="205"/>
        <v>20140101RLS</v>
      </c>
      <c r="AG504" s="31"/>
      <c r="AH504">
        <f>IF(AH503=MiscData!$AB$91,1,AH503+1)</f>
        <v>63</v>
      </c>
      <c r="AI504">
        <f>IF(AD504&lt;=MiscData!$B$23,MiscData!$C$23,IF(AD504&lt;=MiscData!$B$24,MiscData!$C$24,MiscData!$C$25))</f>
        <v>20140101</v>
      </c>
      <c r="AK504" s="190" t="str">
        <f>VLOOKUP(AM504,MiscData!$AB$4:$ACB$113,2,FALSE)</f>
        <v>KUUM_469</v>
      </c>
      <c r="AL504" s="190" t="str">
        <f>VLOOKUP(AM504,MiscData!$AB$4:$AE$115,4,FALSE)</f>
        <v>RLS</v>
      </c>
      <c r="AM504">
        <f>IF(AM503=MiscData!$AB$91,1,AM503+1)</f>
        <v>63</v>
      </c>
    </row>
    <row r="505" spans="1:39">
      <c r="A505" s="7">
        <f t="shared" si="208"/>
        <v>504</v>
      </c>
      <c r="B505" s="13" t="str">
        <f t="shared" si="189"/>
        <v>Jun 2016</v>
      </c>
      <c r="C505" s="23" t="str">
        <f t="shared" si="190"/>
        <v>RLS</v>
      </c>
      <c r="D505" s="23" t="str">
        <f t="shared" si="191"/>
        <v>KUUM_470</v>
      </c>
      <c r="E505" s="170">
        <f t="shared" si="192"/>
        <v>61</v>
      </c>
      <c r="F505" s="185"/>
      <c r="G505" s="170">
        <f t="shared" si="193"/>
        <v>0</v>
      </c>
      <c r="H505" s="170"/>
      <c r="I505" s="11">
        <f t="shared" si="194"/>
        <v>55.250000000000007</v>
      </c>
      <c r="J505" s="11">
        <f t="shared" si="195"/>
        <v>10.410000000000004</v>
      </c>
      <c r="K505" s="416">
        <f t="shared" si="210"/>
        <v>3370.25</v>
      </c>
      <c r="L505" s="180"/>
      <c r="M505" s="180"/>
      <c r="N505" s="186">
        <f t="shared" si="213"/>
        <v>3370.25</v>
      </c>
      <c r="O505" s="29">
        <f t="shared" si="196"/>
        <v>0</v>
      </c>
      <c r="P505" s="181">
        <f t="shared" si="211"/>
        <v>0</v>
      </c>
      <c r="Q505" s="182">
        <f t="shared" si="197"/>
        <v>0</v>
      </c>
      <c r="R505" s="182">
        <f t="shared" si="198"/>
        <v>0</v>
      </c>
      <c r="S505" s="182">
        <f t="shared" si="199"/>
        <v>0</v>
      </c>
      <c r="T505" s="182">
        <f t="shared" si="200"/>
        <v>0</v>
      </c>
      <c r="U505" s="182">
        <f t="shared" si="201"/>
        <v>0</v>
      </c>
      <c r="V505" s="14">
        <f t="shared" si="202"/>
        <v>3370.25</v>
      </c>
      <c r="W505" s="14">
        <f t="shared" si="203"/>
        <v>-3370.25</v>
      </c>
      <c r="Y505" s="14">
        <f t="shared" si="206"/>
        <v>635.01</v>
      </c>
      <c r="Z505" s="14">
        <f t="shared" si="207"/>
        <v>-635.01</v>
      </c>
      <c r="AA505" s="11">
        <f t="shared" si="209"/>
        <v>1.7</v>
      </c>
      <c r="AB505" s="9">
        <f t="shared" si="212"/>
        <v>103.7</v>
      </c>
      <c r="AD505" s="13">
        <f>IF(AH505&gt;AH504,AD504,IF(AD504&lt;MiscData!$F$1,EOMONTH(AD504,1),EOMONTH(AD504,-11)))</f>
        <v>42551</v>
      </c>
      <c r="AE505" s="7" t="str">
        <f t="shared" si="204"/>
        <v>20140101KUUM_470</v>
      </c>
      <c r="AF505" s="12" t="str">
        <f t="shared" si="205"/>
        <v>20140101RLS</v>
      </c>
      <c r="AG505" s="31"/>
      <c r="AH505">
        <f>IF(AH504=MiscData!$AB$91,1,AH504+1)</f>
        <v>64</v>
      </c>
      <c r="AI505">
        <f>IF(AD505&lt;=MiscData!$B$23,MiscData!$C$23,IF(AD505&lt;=MiscData!$B$24,MiscData!$C$24,MiscData!$C$25))</f>
        <v>20140101</v>
      </c>
      <c r="AK505" s="190" t="str">
        <f>VLOOKUP(AM505,MiscData!$AB$4:$ACB$113,2,FALSE)</f>
        <v>KUUM_470</v>
      </c>
      <c r="AL505" s="190" t="str">
        <f>VLOOKUP(AM505,MiscData!$AB$4:$AE$115,4,FALSE)</f>
        <v>RLS</v>
      </c>
      <c r="AM505">
        <f>IF(AM504=MiscData!$AB$91,1,AM504+1)</f>
        <v>64</v>
      </c>
    </row>
    <row r="506" spans="1:39">
      <c r="A506" s="7">
        <f t="shared" si="208"/>
        <v>505</v>
      </c>
      <c r="B506" s="13" t="str">
        <f t="shared" ref="B506:B569" si="214">TEXT(AD506,"mmm yyyy")</f>
        <v>Jun 2016</v>
      </c>
      <c r="C506" s="23" t="str">
        <f t="shared" ref="C506:C569" si="215">AL506</f>
        <v>RLS</v>
      </c>
      <c r="D506" s="23" t="str">
        <f t="shared" ref="D506:D569" si="216">AK506</f>
        <v>KUUM_471</v>
      </c>
      <c r="E506" s="170">
        <f t="shared" ref="E506:E569" si="217">SUMIFS(_1055_Light_Count,_1055_RevMonth,$B506,_1055_RateCategory,$D506)</f>
        <v>3675</v>
      </c>
      <c r="F506" s="185"/>
      <c r="G506" s="170">
        <f t="shared" ref="G506:G569" si="218">SUMIFS(_SBR_KWH,_SBR_Revenue_Month,$B506,_SBR_Rate_Category,$D506)</f>
        <v>0</v>
      </c>
      <c r="H506" s="170"/>
      <c r="I506" s="11">
        <f t="shared" ref="I506:I569" si="219">SUMIF(_Lights_Tariff_Category,$AE506,_Lights_Rates)</f>
        <v>10.49</v>
      </c>
      <c r="J506" s="11">
        <f t="shared" ref="J506:J569" si="220">SUMIF(_Lights_Tariff_Category,$AE506,_Rates_Lights_BaseFAC)</f>
        <v>0.56999999999999851</v>
      </c>
      <c r="K506" s="416">
        <f t="shared" si="210"/>
        <v>38550.75</v>
      </c>
      <c r="L506" s="180"/>
      <c r="M506" s="180"/>
      <c r="N506" s="186">
        <f t="shared" si="213"/>
        <v>38550.75</v>
      </c>
      <c r="O506" s="29">
        <f t="shared" ref="O506:O569" si="221">U506-SUM(Q506:T506)</f>
        <v>0</v>
      </c>
      <c r="P506" s="181">
        <f t="shared" si="211"/>
        <v>0</v>
      </c>
      <c r="Q506" s="182">
        <f t="shared" ref="Q506:Q569" si="222">SUMIFS(_SBR_FAC,_SBR_Revenue_Month,$B506,_SBR_Rate_Category,$D506)</f>
        <v>0</v>
      </c>
      <c r="R506" s="182">
        <f t="shared" ref="R506:R569" si="223">SUMIFS(_SBR_DSM,_SBR_Revenue_Month,$B506,_SBR_Rate_Category,$D506)</f>
        <v>0</v>
      </c>
      <c r="S506" s="182">
        <f t="shared" ref="S506:S569" si="224">SUMIFS(_SBR_ECR,_SBR_Revenue_Month,$B506,_SBR_Rate_Category,$D506)</f>
        <v>0</v>
      </c>
      <c r="T506" s="182">
        <f t="shared" ref="T506:T569" si="225">SUMIFS(_SBR_MSR,_SBR_Revenue_Month,$B506,_SBR_Rate_Category,$D506)</f>
        <v>0</v>
      </c>
      <c r="U506" s="182">
        <f t="shared" ref="U506:U569" si="226">SUMIFS(_SBR_Revenue_Actual,_SBR_Revenue_Month,$B506,_SBR_Rate_Category,$D506)</f>
        <v>0</v>
      </c>
      <c r="V506" s="14">
        <f t="shared" ref="V506:V569" si="227">SUM(N506,Q506:T506)</f>
        <v>38550.75</v>
      </c>
      <c r="W506" s="14">
        <f t="shared" ref="W506:W569" si="228">U506-V506</f>
        <v>-38550.75</v>
      </c>
      <c r="Y506" s="14">
        <f t="shared" si="206"/>
        <v>2094.75</v>
      </c>
      <c r="Z506" s="14">
        <f t="shared" si="207"/>
        <v>-2094.75</v>
      </c>
      <c r="AA506" s="11">
        <f t="shared" si="209"/>
        <v>0.33</v>
      </c>
      <c r="AB506" s="9">
        <f t="shared" si="212"/>
        <v>1212.75</v>
      </c>
      <c r="AD506" s="13">
        <f>IF(AH506&gt;AH505,AD505,IF(AD505&lt;MiscData!$F$1,EOMONTH(AD505,1),EOMONTH(AD505,-11)))</f>
        <v>42551</v>
      </c>
      <c r="AE506" s="7" t="str">
        <f t="shared" ref="AE506:AE569" si="229">CONCATENATE(AI506&amp;AK506)</f>
        <v>20140101KUUM_471</v>
      </c>
      <c r="AF506" s="12" t="str">
        <f t="shared" ref="AF506:AF569" si="230">CONCATENATE(AI506&amp;AL506)</f>
        <v>20140101RLS</v>
      </c>
      <c r="AG506" s="31"/>
      <c r="AH506">
        <f>IF(AH505=MiscData!$AB$91,1,AH505+1)</f>
        <v>65</v>
      </c>
      <c r="AI506">
        <f>IF(AD506&lt;=MiscData!$B$23,MiscData!$C$23,IF(AD506&lt;=MiscData!$B$24,MiscData!$C$24,MiscData!$C$25))</f>
        <v>20140101</v>
      </c>
      <c r="AK506" s="190" t="str">
        <f>VLOOKUP(AM506,MiscData!$AB$4:$ACB$113,2,FALSE)</f>
        <v>KUUM_471</v>
      </c>
      <c r="AL506" s="190" t="str">
        <f>VLOOKUP(AM506,MiscData!$AB$4:$AE$115,4,FALSE)</f>
        <v>RLS</v>
      </c>
      <c r="AM506">
        <f>IF(AM505=MiscData!$AB$91,1,AM505+1)</f>
        <v>65</v>
      </c>
    </row>
    <row r="507" spans="1:39">
      <c r="A507" s="7">
        <f t="shared" si="208"/>
        <v>506</v>
      </c>
      <c r="B507" s="13" t="str">
        <f t="shared" si="214"/>
        <v>Jun 2016</v>
      </c>
      <c r="C507" s="23" t="str">
        <f t="shared" si="215"/>
        <v>LS</v>
      </c>
      <c r="D507" s="23" t="str">
        <f t="shared" si="216"/>
        <v>KUUM_472</v>
      </c>
      <c r="E507" s="170">
        <f t="shared" si="217"/>
        <v>8789</v>
      </c>
      <c r="F507" s="185"/>
      <c r="G507" s="170">
        <f t="shared" si="218"/>
        <v>0</v>
      </c>
      <c r="H507" s="170"/>
      <c r="I507" s="11">
        <f t="shared" si="219"/>
        <v>11.600000000000001</v>
      </c>
      <c r="J507" s="11">
        <f t="shared" si="220"/>
        <v>0.80000000000000071</v>
      </c>
      <c r="K507" s="416">
        <f t="shared" si="210"/>
        <v>101952.4</v>
      </c>
      <c r="L507" s="180"/>
      <c r="M507" s="180"/>
      <c r="N507" s="186">
        <f t="shared" si="213"/>
        <v>101952.4</v>
      </c>
      <c r="O507" s="29">
        <f t="shared" si="221"/>
        <v>0</v>
      </c>
      <c r="P507" s="181">
        <f t="shared" si="211"/>
        <v>0</v>
      </c>
      <c r="Q507" s="182">
        <f t="shared" si="222"/>
        <v>0</v>
      </c>
      <c r="R507" s="182">
        <f t="shared" si="223"/>
        <v>0</v>
      </c>
      <c r="S507" s="182">
        <f t="shared" si="224"/>
        <v>0</v>
      </c>
      <c r="T507" s="182">
        <f t="shared" si="225"/>
        <v>0</v>
      </c>
      <c r="U507" s="182">
        <f t="shared" si="226"/>
        <v>0</v>
      </c>
      <c r="V507" s="14">
        <f t="shared" si="227"/>
        <v>101952.4</v>
      </c>
      <c r="W507" s="14">
        <f t="shared" si="228"/>
        <v>-101952.4</v>
      </c>
      <c r="Y507" s="14">
        <f t="shared" ref="Y507:Y570" si="231">ROUND(E507*J507,2)</f>
        <v>7031.2</v>
      </c>
      <c r="Z507" s="14">
        <f t="shared" ref="Z507:Z570" si="232">O507-Y507</f>
        <v>-7031.2</v>
      </c>
      <c r="AA507" s="11">
        <f t="shared" si="209"/>
        <v>0.43</v>
      </c>
      <c r="AB507" s="9">
        <f t="shared" si="212"/>
        <v>3779.27</v>
      </c>
      <c r="AD507" s="13">
        <f>IF(AH507&gt;AH506,AD506,IF(AD506&lt;MiscData!$F$1,EOMONTH(AD506,1),EOMONTH(AD506,-11)))</f>
        <v>42551</v>
      </c>
      <c r="AE507" s="7" t="str">
        <f t="shared" si="229"/>
        <v>20140101KUUM_472</v>
      </c>
      <c r="AF507" s="12" t="str">
        <f t="shared" si="230"/>
        <v>20140101LS</v>
      </c>
      <c r="AG507" s="31"/>
      <c r="AH507">
        <f>IF(AH506=MiscData!$AB$91,1,AH506+1)</f>
        <v>66</v>
      </c>
      <c r="AI507">
        <f>IF(AD507&lt;=MiscData!$B$23,MiscData!$C$23,IF(AD507&lt;=MiscData!$B$24,MiscData!$C$24,MiscData!$C$25))</f>
        <v>20140101</v>
      </c>
      <c r="AK507" s="190" t="str">
        <f>VLOOKUP(AM507,MiscData!$AB$4:$ACB$113,2,FALSE)</f>
        <v>KUUM_472</v>
      </c>
      <c r="AL507" s="190" t="str">
        <f>VLOOKUP(AM507,MiscData!$AB$4:$AE$115,4,FALSE)</f>
        <v>LS</v>
      </c>
      <c r="AM507">
        <f>IF(AM506=MiscData!$AB$91,1,AM506+1)</f>
        <v>66</v>
      </c>
    </row>
    <row r="508" spans="1:39">
      <c r="A508" s="7">
        <f t="shared" ref="A508:A571" si="233">A507+1</f>
        <v>507</v>
      </c>
      <c r="B508" s="13" t="str">
        <f t="shared" si="214"/>
        <v>Jun 2016</v>
      </c>
      <c r="C508" s="23" t="str">
        <f t="shared" si="215"/>
        <v>LS</v>
      </c>
      <c r="D508" s="23" t="str">
        <f t="shared" si="216"/>
        <v>KUUM_473</v>
      </c>
      <c r="E508" s="170">
        <f t="shared" si="217"/>
        <v>3381</v>
      </c>
      <c r="F508" s="185"/>
      <c r="G508" s="170">
        <f t="shared" si="218"/>
        <v>0</v>
      </c>
      <c r="H508" s="170"/>
      <c r="I508" s="11">
        <f t="shared" si="219"/>
        <v>12.3</v>
      </c>
      <c r="J508" s="11">
        <f t="shared" si="220"/>
        <v>1.129999999999999</v>
      </c>
      <c r="K508" s="416">
        <f t="shared" si="210"/>
        <v>41586.300000000003</v>
      </c>
      <c r="L508" s="180"/>
      <c r="M508" s="180"/>
      <c r="N508" s="186">
        <f t="shared" si="213"/>
        <v>41586.300000000003</v>
      </c>
      <c r="O508" s="29">
        <f t="shared" si="221"/>
        <v>0</v>
      </c>
      <c r="P508" s="181">
        <f t="shared" si="211"/>
        <v>0</v>
      </c>
      <c r="Q508" s="182">
        <f t="shared" si="222"/>
        <v>0</v>
      </c>
      <c r="R508" s="182">
        <f t="shared" si="223"/>
        <v>0</v>
      </c>
      <c r="S508" s="182">
        <f t="shared" si="224"/>
        <v>0</v>
      </c>
      <c r="T508" s="182">
        <f t="shared" si="225"/>
        <v>0</v>
      </c>
      <c r="U508" s="182">
        <f t="shared" si="226"/>
        <v>0</v>
      </c>
      <c r="V508" s="14">
        <f t="shared" si="227"/>
        <v>41586.300000000003</v>
      </c>
      <c r="W508" s="14">
        <f t="shared" si="228"/>
        <v>-41586.300000000003</v>
      </c>
      <c r="Y508" s="14">
        <f t="shared" si="231"/>
        <v>3820.53</v>
      </c>
      <c r="Z508" s="14">
        <f t="shared" si="232"/>
        <v>-3820.53</v>
      </c>
      <c r="AA508" s="11">
        <f t="shared" si="209"/>
        <v>0.34</v>
      </c>
      <c r="AB508" s="9">
        <f t="shared" si="212"/>
        <v>1149.5400000000002</v>
      </c>
      <c r="AD508" s="13">
        <f>IF(AH508&gt;AH507,AD507,IF(AD507&lt;MiscData!$F$1,EOMONTH(AD507,1),EOMONTH(AD507,-11)))</f>
        <v>42551</v>
      </c>
      <c r="AE508" s="7" t="str">
        <f t="shared" si="229"/>
        <v>20140101KUUM_473</v>
      </c>
      <c r="AF508" s="12" t="str">
        <f t="shared" si="230"/>
        <v>20140101LS</v>
      </c>
      <c r="AG508" s="31"/>
      <c r="AH508">
        <f>IF(AH507=MiscData!$AB$91,1,AH507+1)</f>
        <v>67</v>
      </c>
      <c r="AI508">
        <f>IF(AD508&lt;=MiscData!$B$23,MiscData!$C$23,IF(AD508&lt;=MiscData!$B$24,MiscData!$C$24,MiscData!$C$25))</f>
        <v>20140101</v>
      </c>
      <c r="AK508" s="190" t="str">
        <f>VLOOKUP(AM508,MiscData!$AB$4:$ACB$113,2,FALSE)</f>
        <v>KUUM_473</v>
      </c>
      <c r="AL508" s="190" t="str">
        <f>VLOOKUP(AM508,MiscData!$AB$4:$AE$115,4,FALSE)</f>
        <v>LS</v>
      </c>
      <c r="AM508">
        <f>IF(AM507=MiscData!$AB$91,1,AM507+1)</f>
        <v>67</v>
      </c>
    </row>
    <row r="509" spans="1:39">
      <c r="A509" s="7">
        <f t="shared" si="233"/>
        <v>508</v>
      </c>
      <c r="B509" s="13" t="str">
        <f t="shared" si="214"/>
        <v>Jun 2016</v>
      </c>
      <c r="C509" s="23" t="str">
        <f t="shared" si="215"/>
        <v>LS</v>
      </c>
      <c r="D509" s="23" t="str">
        <f t="shared" si="216"/>
        <v>KUUM_474</v>
      </c>
      <c r="E509" s="170">
        <f t="shared" si="217"/>
        <v>5208</v>
      </c>
      <c r="F509" s="185"/>
      <c r="G509" s="170">
        <f t="shared" si="218"/>
        <v>0</v>
      </c>
      <c r="H509" s="170"/>
      <c r="I509" s="11">
        <f t="shared" si="219"/>
        <v>17.41</v>
      </c>
      <c r="J509" s="11">
        <f t="shared" si="220"/>
        <v>2.33</v>
      </c>
      <c r="K509" s="416">
        <f t="shared" si="210"/>
        <v>90671.28</v>
      </c>
      <c r="L509" s="180"/>
      <c r="M509" s="180"/>
      <c r="N509" s="186">
        <f t="shared" si="213"/>
        <v>90671.28</v>
      </c>
      <c r="O509" s="29">
        <f t="shared" si="221"/>
        <v>0</v>
      </c>
      <c r="P509" s="181">
        <f t="shared" si="211"/>
        <v>0</v>
      </c>
      <c r="Q509" s="182">
        <f t="shared" si="222"/>
        <v>0</v>
      </c>
      <c r="R509" s="182">
        <f t="shared" si="223"/>
        <v>0</v>
      </c>
      <c r="S509" s="182">
        <f t="shared" si="224"/>
        <v>0</v>
      </c>
      <c r="T509" s="182">
        <f t="shared" si="225"/>
        <v>0</v>
      </c>
      <c r="U509" s="182">
        <f t="shared" si="226"/>
        <v>0</v>
      </c>
      <c r="V509" s="14">
        <f t="shared" si="227"/>
        <v>90671.28</v>
      </c>
      <c r="W509" s="14">
        <f t="shared" si="228"/>
        <v>-90671.28</v>
      </c>
      <c r="Y509" s="14">
        <f t="shared" si="231"/>
        <v>12134.64</v>
      </c>
      <c r="Z509" s="14">
        <f t="shared" si="232"/>
        <v>-12134.64</v>
      </c>
      <c r="AA509" s="11">
        <f t="shared" si="209"/>
        <v>0.57999999999999996</v>
      </c>
      <c r="AB509" s="9">
        <f t="shared" si="212"/>
        <v>3020.64</v>
      </c>
      <c r="AD509" s="13">
        <f>IF(AH509&gt;AH508,AD508,IF(AD508&lt;MiscData!$F$1,EOMONTH(AD508,1),EOMONTH(AD508,-11)))</f>
        <v>42551</v>
      </c>
      <c r="AE509" s="7" t="str">
        <f t="shared" si="229"/>
        <v>20140101KUUM_474</v>
      </c>
      <c r="AF509" s="12" t="str">
        <f t="shared" si="230"/>
        <v>20140101LS</v>
      </c>
      <c r="AG509" s="31"/>
      <c r="AH509">
        <f>IF(AH508=MiscData!$AB$91,1,AH508+1)</f>
        <v>68</v>
      </c>
      <c r="AI509">
        <f>IF(AD509&lt;=MiscData!$B$23,MiscData!$C$23,IF(AD509&lt;=MiscData!$B$24,MiscData!$C$24,MiscData!$C$25))</f>
        <v>20140101</v>
      </c>
      <c r="AK509" s="190" t="str">
        <f>VLOOKUP(AM509,MiscData!$AB$4:$ACB$113,2,FALSE)</f>
        <v>KUUM_474</v>
      </c>
      <c r="AL509" s="190" t="str">
        <f>VLOOKUP(AM509,MiscData!$AB$4:$AE$115,4,FALSE)</f>
        <v>LS</v>
      </c>
      <c r="AM509">
        <f>IF(AM508=MiscData!$AB$91,1,AM508+1)</f>
        <v>68</v>
      </c>
    </row>
    <row r="510" spans="1:39">
      <c r="A510" s="7">
        <f t="shared" si="233"/>
        <v>509</v>
      </c>
      <c r="B510" s="13" t="str">
        <f t="shared" si="214"/>
        <v>Jun 2016</v>
      </c>
      <c r="C510" s="23" t="str">
        <f t="shared" si="215"/>
        <v>LS</v>
      </c>
      <c r="D510" s="23" t="str">
        <f t="shared" si="216"/>
        <v>KUUM_475</v>
      </c>
      <c r="E510" s="170">
        <f t="shared" si="217"/>
        <v>509</v>
      </c>
      <c r="F510" s="185"/>
      <c r="G510" s="170">
        <f t="shared" si="218"/>
        <v>0</v>
      </c>
      <c r="H510" s="170"/>
      <c r="I510" s="11">
        <f t="shared" si="219"/>
        <v>24.46</v>
      </c>
      <c r="J510" s="11">
        <f t="shared" si="220"/>
        <v>4.5300000000000011</v>
      </c>
      <c r="K510" s="416">
        <f t="shared" si="210"/>
        <v>12450.14</v>
      </c>
      <c r="L510" s="180"/>
      <c r="M510" s="180"/>
      <c r="N510" s="186">
        <f t="shared" si="213"/>
        <v>12450.14</v>
      </c>
      <c r="O510" s="29">
        <f t="shared" si="221"/>
        <v>0</v>
      </c>
      <c r="P510" s="181">
        <f t="shared" si="211"/>
        <v>0</v>
      </c>
      <c r="Q510" s="182">
        <f t="shared" si="222"/>
        <v>0</v>
      </c>
      <c r="R510" s="182">
        <f t="shared" si="223"/>
        <v>0</v>
      </c>
      <c r="S510" s="182">
        <f t="shared" si="224"/>
        <v>0</v>
      </c>
      <c r="T510" s="182">
        <f t="shared" si="225"/>
        <v>0</v>
      </c>
      <c r="U510" s="182">
        <f t="shared" si="226"/>
        <v>0</v>
      </c>
      <c r="V510" s="14">
        <f t="shared" si="227"/>
        <v>12450.14</v>
      </c>
      <c r="W510" s="14">
        <f t="shared" si="228"/>
        <v>-12450.14</v>
      </c>
      <c r="Y510" s="14">
        <f t="shared" si="231"/>
        <v>2305.77</v>
      </c>
      <c r="Z510" s="14">
        <f t="shared" si="232"/>
        <v>-2305.77</v>
      </c>
      <c r="AA510" s="11">
        <f t="shared" si="209"/>
        <v>0.79</v>
      </c>
      <c r="AB510" s="9">
        <f t="shared" si="212"/>
        <v>402.11</v>
      </c>
      <c r="AD510" s="13">
        <f>IF(AH510&gt;AH509,AD509,IF(AD509&lt;MiscData!$F$1,EOMONTH(AD509,1),EOMONTH(AD509,-11)))</f>
        <v>42551</v>
      </c>
      <c r="AE510" s="7" t="str">
        <f t="shared" si="229"/>
        <v>20140101KUUM_475</v>
      </c>
      <c r="AF510" s="12" t="str">
        <f t="shared" si="230"/>
        <v>20140101LS</v>
      </c>
      <c r="AG510" s="31"/>
      <c r="AH510">
        <f>IF(AH509=MiscData!$AB$91,1,AH509+1)</f>
        <v>69</v>
      </c>
      <c r="AI510">
        <f>IF(AD510&lt;=MiscData!$B$23,MiscData!$C$23,IF(AD510&lt;=MiscData!$B$24,MiscData!$C$24,MiscData!$C$25))</f>
        <v>20140101</v>
      </c>
      <c r="AK510" s="190" t="str">
        <f>VLOOKUP(AM510,MiscData!$AB$4:$ACB$113,2,FALSE)</f>
        <v>KUUM_475</v>
      </c>
      <c r="AL510" s="190" t="str">
        <f>VLOOKUP(AM510,MiscData!$AB$4:$AE$115,4,FALSE)</f>
        <v>LS</v>
      </c>
      <c r="AM510">
        <f>IF(AM509=MiscData!$AB$91,1,AM509+1)</f>
        <v>69</v>
      </c>
    </row>
    <row r="511" spans="1:39">
      <c r="A511" s="7">
        <f t="shared" si="233"/>
        <v>510</v>
      </c>
      <c r="B511" s="13" t="str">
        <f t="shared" si="214"/>
        <v>Jun 2016</v>
      </c>
      <c r="C511" s="23" t="str">
        <f t="shared" si="215"/>
        <v>LS</v>
      </c>
      <c r="D511" s="23" t="str">
        <f t="shared" si="216"/>
        <v>KUUM_476</v>
      </c>
      <c r="E511" s="170">
        <f t="shared" si="217"/>
        <v>4575</v>
      </c>
      <c r="F511" s="185"/>
      <c r="G511" s="170">
        <f t="shared" si="218"/>
        <v>0</v>
      </c>
      <c r="H511" s="170"/>
      <c r="I511" s="11">
        <f t="shared" si="219"/>
        <v>16.79</v>
      </c>
      <c r="J511" s="11">
        <f t="shared" si="220"/>
        <v>0.79999999999999893</v>
      </c>
      <c r="K511" s="416">
        <f t="shared" si="210"/>
        <v>76814.25</v>
      </c>
      <c r="L511" s="180"/>
      <c r="M511" s="180"/>
      <c r="N511" s="186">
        <f t="shared" si="213"/>
        <v>76814.25</v>
      </c>
      <c r="O511" s="29">
        <f t="shared" si="221"/>
        <v>0</v>
      </c>
      <c r="P511" s="181">
        <f t="shared" si="211"/>
        <v>0</v>
      </c>
      <c r="Q511" s="182">
        <f t="shared" si="222"/>
        <v>0</v>
      </c>
      <c r="R511" s="182">
        <f t="shared" si="223"/>
        <v>0</v>
      </c>
      <c r="S511" s="182">
        <f t="shared" si="224"/>
        <v>0</v>
      </c>
      <c r="T511" s="182">
        <f t="shared" si="225"/>
        <v>0</v>
      </c>
      <c r="U511" s="182">
        <f t="shared" si="226"/>
        <v>0</v>
      </c>
      <c r="V511" s="14">
        <f t="shared" si="227"/>
        <v>76814.25</v>
      </c>
      <c r="W511" s="14">
        <f t="shared" si="228"/>
        <v>-76814.25</v>
      </c>
      <c r="Y511" s="14">
        <f t="shared" si="231"/>
        <v>3660</v>
      </c>
      <c r="Z511" s="14">
        <f t="shared" si="232"/>
        <v>-3660</v>
      </c>
      <c r="AA511" s="11">
        <f t="shared" si="209"/>
        <v>0.43</v>
      </c>
      <c r="AB511" s="9">
        <f t="shared" si="212"/>
        <v>1967.25</v>
      </c>
      <c r="AD511" s="13">
        <f>IF(AH511&gt;AH510,AD510,IF(AD510&lt;MiscData!$F$1,EOMONTH(AD510,1),EOMONTH(AD510,-11)))</f>
        <v>42551</v>
      </c>
      <c r="AE511" s="7" t="str">
        <f t="shared" si="229"/>
        <v>20140101KUUM_476</v>
      </c>
      <c r="AF511" s="12" t="str">
        <f t="shared" si="230"/>
        <v>20140101LS</v>
      </c>
      <c r="AG511" s="31"/>
      <c r="AH511">
        <f>IF(AH510=MiscData!$AB$91,1,AH510+1)</f>
        <v>70</v>
      </c>
      <c r="AI511">
        <f>IF(AD511&lt;=MiscData!$B$23,MiscData!$C$23,IF(AD511&lt;=MiscData!$B$24,MiscData!$C$24,MiscData!$C$25))</f>
        <v>20140101</v>
      </c>
      <c r="AK511" s="190" t="str">
        <f>VLOOKUP(AM511,MiscData!$AB$4:$ACB$113,2,FALSE)</f>
        <v>KUUM_476</v>
      </c>
      <c r="AL511" s="190" t="str">
        <f>VLOOKUP(AM511,MiscData!$AB$4:$AE$115,4,FALSE)</f>
        <v>LS</v>
      </c>
      <c r="AM511">
        <f>IF(AM510=MiscData!$AB$91,1,AM510+1)</f>
        <v>70</v>
      </c>
    </row>
    <row r="512" spans="1:39">
      <c r="A512" s="7">
        <f t="shared" si="233"/>
        <v>511</v>
      </c>
      <c r="B512" s="13" t="str">
        <f t="shared" si="214"/>
        <v>Jun 2016</v>
      </c>
      <c r="C512" s="23" t="str">
        <f t="shared" si="215"/>
        <v>LS</v>
      </c>
      <c r="D512" s="23" t="str">
        <f t="shared" si="216"/>
        <v>KUUM_477</v>
      </c>
      <c r="E512" s="170">
        <f t="shared" si="217"/>
        <v>1055</v>
      </c>
      <c r="F512" s="185"/>
      <c r="G512" s="170">
        <f t="shared" si="218"/>
        <v>0</v>
      </c>
      <c r="H512" s="170"/>
      <c r="I512" s="11">
        <f t="shared" si="219"/>
        <v>20.97</v>
      </c>
      <c r="J512" s="11">
        <f t="shared" si="220"/>
        <v>1.129999999999999</v>
      </c>
      <c r="K512" s="416">
        <f t="shared" si="210"/>
        <v>22123.35</v>
      </c>
      <c r="L512" s="180"/>
      <c r="M512" s="180"/>
      <c r="N512" s="186">
        <f t="shared" si="213"/>
        <v>22123.35</v>
      </c>
      <c r="O512" s="29">
        <f t="shared" si="221"/>
        <v>0</v>
      </c>
      <c r="P512" s="181">
        <f t="shared" si="211"/>
        <v>0</v>
      </c>
      <c r="Q512" s="182">
        <f t="shared" si="222"/>
        <v>0</v>
      </c>
      <c r="R512" s="182">
        <f t="shared" si="223"/>
        <v>0</v>
      </c>
      <c r="S512" s="182">
        <f t="shared" si="224"/>
        <v>0</v>
      </c>
      <c r="T512" s="182">
        <f t="shared" si="225"/>
        <v>0</v>
      </c>
      <c r="U512" s="182">
        <f t="shared" si="226"/>
        <v>0</v>
      </c>
      <c r="V512" s="14">
        <f t="shared" si="227"/>
        <v>22123.35</v>
      </c>
      <c r="W512" s="14">
        <f t="shared" si="228"/>
        <v>-22123.35</v>
      </c>
      <c r="Y512" s="14">
        <f t="shared" si="231"/>
        <v>1192.1500000000001</v>
      </c>
      <c r="Z512" s="14">
        <f t="shared" si="232"/>
        <v>-1192.1500000000001</v>
      </c>
      <c r="AA512" s="11">
        <f t="shared" si="209"/>
        <v>0.34</v>
      </c>
      <c r="AB512" s="9">
        <f t="shared" si="212"/>
        <v>358.70000000000005</v>
      </c>
      <c r="AD512" s="13">
        <f>IF(AH512&gt;AH511,AD511,IF(AD511&lt;MiscData!$F$1,EOMONTH(AD511,1),EOMONTH(AD511,-11)))</f>
        <v>42551</v>
      </c>
      <c r="AE512" s="7" t="str">
        <f t="shared" si="229"/>
        <v>20140101KUUM_477</v>
      </c>
      <c r="AF512" s="12" t="str">
        <f t="shared" si="230"/>
        <v>20140101LS</v>
      </c>
      <c r="AG512" s="31"/>
      <c r="AH512">
        <f>IF(AH511=MiscData!$AB$91,1,AH511+1)</f>
        <v>71</v>
      </c>
      <c r="AI512">
        <f>IF(AD512&lt;=MiscData!$B$23,MiscData!$C$23,IF(AD512&lt;=MiscData!$B$24,MiscData!$C$24,MiscData!$C$25))</f>
        <v>20140101</v>
      </c>
      <c r="AK512" s="190" t="str">
        <f>VLOOKUP(AM512,MiscData!$AB$4:$ACB$113,2,FALSE)</f>
        <v>KUUM_477</v>
      </c>
      <c r="AL512" s="190" t="str">
        <f>VLOOKUP(AM512,MiscData!$AB$4:$AE$115,4,FALSE)</f>
        <v>LS</v>
      </c>
      <c r="AM512">
        <f>IF(AM511=MiscData!$AB$91,1,AM511+1)</f>
        <v>71</v>
      </c>
    </row>
    <row r="513" spans="1:39">
      <c r="A513" s="7">
        <f t="shared" si="233"/>
        <v>512</v>
      </c>
      <c r="B513" s="13" t="str">
        <f t="shared" si="214"/>
        <v>Jun 2016</v>
      </c>
      <c r="C513" s="23" t="str">
        <f t="shared" si="215"/>
        <v>LS</v>
      </c>
      <c r="D513" s="23" t="str">
        <f t="shared" si="216"/>
        <v>KUUM_478</v>
      </c>
      <c r="E513" s="170">
        <f t="shared" si="217"/>
        <v>1411</v>
      </c>
      <c r="F513" s="185"/>
      <c r="G513" s="170">
        <f t="shared" si="218"/>
        <v>0</v>
      </c>
      <c r="H513" s="170"/>
      <c r="I513" s="11">
        <f t="shared" si="219"/>
        <v>26.86</v>
      </c>
      <c r="J513" s="11">
        <f t="shared" si="220"/>
        <v>2.3299999999999983</v>
      </c>
      <c r="K513" s="416">
        <f t="shared" si="210"/>
        <v>37899.46</v>
      </c>
      <c r="L513" s="180"/>
      <c r="M513" s="180"/>
      <c r="N513" s="186">
        <f t="shared" si="213"/>
        <v>37899.46</v>
      </c>
      <c r="O513" s="29">
        <f t="shared" si="221"/>
        <v>0</v>
      </c>
      <c r="P513" s="181">
        <f t="shared" si="211"/>
        <v>0</v>
      </c>
      <c r="Q513" s="182">
        <f t="shared" si="222"/>
        <v>0</v>
      </c>
      <c r="R513" s="182">
        <f t="shared" si="223"/>
        <v>0</v>
      </c>
      <c r="S513" s="182">
        <f t="shared" si="224"/>
        <v>0</v>
      </c>
      <c r="T513" s="182">
        <f t="shared" si="225"/>
        <v>0</v>
      </c>
      <c r="U513" s="182">
        <f t="shared" si="226"/>
        <v>0</v>
      </c>
      <c r="V513" s="14">
        <f t="shared" si="227"/>
        <v>37899.46</v>
      </c>
      <c r="W513" s="14">
        <f t="shared" si="228"/>
        <v>-37899.46</v>
      </c>
      <c r="Y513" s="14">
        <f t="shared" si="231"/>
        <v>3287.63</v>
      </c>
      <c r="Z513" s="14">
        <f t="shared" si="232"/>
        <v>-3287.63</v>
      </c>
      <c r="AA513" s="11">
        <f t="shared" si="209"/>
        <v>0.57999999999999996</v>
      </c>
      <c r="AB513" s="9">
        <f t="shared" si="212"/>
        <v>818.38</v>
      </c>
      <c r="AD513" s="13">
        <f>IF(AH513&gt;AH512,AD512,IF(AD512&lt;MiscData!$F$1,EOMONTH(AD512,1),EOMONTH(AD512,-11)))</f>
        <v>42551</v>
      </c>
      <c r="AE513" s="7" t="str">
        <f t="shared" si="229"/>
        <v>20140101KUUM_478</v>
      </c>
      <c r="AF513" s="12" t="str">
        <f t="shared" si="230"/>
        <v>20140101LS</v>
      </c>
      <c r="AG513" s="31"/>
      <c r="AH513">
        <f>IF(AH512=MiscData!$AB$91,1,AH512+1)</f>
        <v>72</v>
      </c>
      <c r="AI513">
        <f>IF(AD513&lt;=MiscData!$B$23,MiscData!$C$23,IF(AD513&lt;=MiscData!$B$24,MiscData!$C$24,MiscData!$C$25))</f>
        <v>20140101</v>
      </c>
      <c r="AK513" s="190" t="str">
        <f>VLOOKUP(AM513,MiscData!$AB$4:$ACB$113,2,FALSE)</f>
        <v>KUUM_478</v>
      </c>
      <c r="AL513" s="190" t="str">
        <f>VLOOKUP(AM513,MiscData!$AB$4:$AE$115,4,FALSE)</f>
        <v>LS</v>
      </c>
      <c r="AM513">
        <f>IF(AM512=MiscData!$AB$91,1,AM512+1)</f>
        <v>72</v>
      </c>
    </row>
    <row r="514" spans="1:39">
      <c r="A514" s="7">
        <f t="shared" si="233"/>
        <v>513</v>
      </c>
      <c r="B514" s="13" t="str">
        <f t="shared" si="214"/>
        <v>Jun 2016</v>
      </c>
      <c r="C514" s="23" t="str">
        <f t="shared" si="215"/>
        <v>LS</v>
      </c>
      <c r="D514" s="23" t="str">
        <f t="shared" si="216"/>
        <v>KUUM_479</v>
      </c>
      <c r="E514" s="170">
        <f t="shared" si="217"/>
        <v>943</v>
      </c>
      <c r="F514" s="185"/>
      <c r="G514" s="170">
        <f t="shared" si="218"/>
        <v>0</v>
      </c>
      <c r="H514" s="170"/>
      <c r="I514" s="11">
        <f t="shared" si="219"/>
        <v>33.119999999999997</v>
      </c>
      <c r="J514" s="11">
        <f t="shared" si="220"/>
        <v>4.529999999999994</v>
      </c>
      <c r="K514" s="416">
        <f t="shared" si="210"/>
        <v>31232.16</v>
      </c>
      <c r="L514" s="180"/>
      <c r="M514" s="180"/>
      <c r="N514" s="186">
        <f t="shared" si="213"/>
        <v>31232.16</v>
      </c>
      <c r="O514" s="29">
        <f t="shared" si="221"/>
        <v>0</v>
      </c>
      <c r="P514" s="181">
        <f t="shared" si="211"/>
        <v>0</v>
      </c>
      <c r="Q514" s="182">
        <f t="shared" si="222"/>
        <v>0</v>
      </c>
      <c r="R514" s="182">
        <f t="shared" si="223"/>
        <v>0</v>
      </c>
      <c r="S514" s="182">
        <f t="shared" si="224"/>
        <v>0</v>
      </c>
      <c r="T514" s="182">
        <f t="shared" si="225"/>
        <v>0</v>
      </c>
      <c r="U514" s="182">
        <f t="shared" si="226"/>
        <v>0</v>
      </c>
      <c r="V514" s="14">
        <f t="shared" si="227"/>
        <v>31232.16</v>
      </c>
      <c r="W514" s="14">
        <f t="shared" si="228"/>
        <v>-31232.16</v>
      </c>
      <c r="Y514" s="14">
        <f t="shared" si="231"/>
        <v>4271.79</v>
      </c>
      <c r="Z514" s="14">
        <f t="shared" si="232"/>
        <v>-4271.79</v>
      </c>
      <c r="AA514" s="11">
        <f t="shared" ref="AA514:AA577" si="234">SUMIF(_Lights_Tariff_Category,$AE514,_Rates_Lights_ECR)</f>
        <v>0.79</v>
      </c>
      <c r="AB514" s="9">
        <f t="shared" si="212"/>
        <v>744.97</v>
      </c>
      <c r="AD514" s="13">
        <f>IF(AH514&gt;AH513,AD513,IF(AD513&lt;MiscData!$F$1,EOMONTH(AD513,1),EOMONTH(AD513,-11)))</f>
        <v>42551</v>
      </c>
      <c r="AE514" s="7" t="str">
        <f t="shared" si="229"/>
        <v>20140101KUUM_479</v>
      </c>
      <c r="AF514" s="12" t="str">
        <f t="shared" si="230"/>
        <v>20140101LS</v>
      </c>
      <c r="AG514" s="31"/>
      <c r="AH514">
        <f>IF(AH513=MiscData!$AB$91,1,AH513+1)</f>
        <v>73</v>
      </c>
      <c r="AI514">
        <f>IF(AD514&lt;=MiscData!$B$23,MiscData!$C$23,IF(AD514&lt;=MiscData!$B$24,MiscData!$C$24,MiscData!$C$25))</f>
        <v>20140101</v>
      </c>
      <c r="AK514" s="190" t="str">
        <f>VLOOKUP(AM514,MiscData!$AB$4:$ACB$113,2,FALSE)</f>
        <v>KUUM_479</v>
      </c>
      <c r="AL514" s="190" t="str">
        <f>VLOOKUP(AM514,MiscData!$AB$4:$AE$115,4,FALSE)</f>
        <v>LS</v>
      </c>
      <c r="AM514">
        <f>IF(AM513=MiscData!$AB$91,1,AM513+1)</f>
        <v>73</v>
      </c>
    </row>
    <row r="515" spans="1:39">
      <c r="A515" s="7">
        <f t="shared" si="233"/>
        <v>514</v>
      </c>
      <c r="B515" s="13" t="str">
        <f t="shared" si="214"/>
        <v>Jun 2016</v>
      </c>
      <c r="C515" s="23" t="str">
        <f t="shared" si="215"/>
        <v>LS</v>
      </c>
      <c r="D515" s="23" t="str">
        <f t="shared" si="216"/>
        <v>KUUM_486</v>
      </c>
      <c r="E515" s="170">
        <f t="shared" si="217"/>
        <v>0</v>
      </c>
      <c r="F515" s="185"/>
      <c r="G515" s="170">
        <f t="shared" si="218"/>
        <v>0</v>
      </c>
      <c r="H515" s="170"/>
      <c r="I515" s="11">
        <f t="shared" si="219"/>
        <v>0</v>
      </c>
      <c r="J515" s="11">
        <f t="shared" si="220"/>
        <v>0</v>
      </c>
      <c r="K515" s="416">
        <f t="shared" ref="K515:K578" si="235">ROUND(($E515+$F515)*$I515,2)</f>
        <v>0</v>
      </c>
      <c r="L515" s="180"/>
      <c r="M515" s="180"/>
      <c r="N515" s="186">
        <f t="shared" si="213"/>
        <v>0</v>
      </c>
      <c r="O515" s="29">
        <f t="shared" si="221"/>
        <v>0</v>
      </c>
      <c r="P515" s="181">
        <f t="shared" ref="P515:P578" si="236">IF(AND(N515=0,O515=0),1,IF(N515=0,0,ROUND(O515/N515,6)))</f>
        <v>1</v>
      </c>
      <c r="Q515" s="182">
        <f t="shared" si="222"/>
        <v>0</v>
      </c>
      <c r="R515" s="182">
        <f t="shared" si="223"/>
        <v>0</v>
      </c>
      <c r="S515" s="182">
        <f t="shared" si="224"/>
        <v>0</v>
      </c>
      <c r="T515" s="182">
        <f t="shared" si="225"/>
        <v>0</v>
      </c>
      <c r="U515" s="182">
        <f t="shared" si="226"/>
        <v>0</v>
      </c>
      <c r="V515" s="14">
        <f t="shared" si="227"/>
        <v>0</v>
      </c>
      <c r="W515" s="14">
        <f t="shared" si="228"/>
        <v>0</v>
      </c>
      <c r="Y515" s="14">
        <f t="shared" si="231"/>
        <v>0</v>
      </c>
      <c r="Z515" s="14">
        <f t="shared" si="232"/>
        <v>0</v>
      </c>
      <c r="AA515" s="11">
        <f t="shared" si="234"/>
        <v>0</v>
      </c>
      <c r="AB515" s="9">
        <f t="shared" ref="AB515:AB578" si="237">E515*AA515</f>
        <v>0</v>
      </c>
      <c r="AD515" s="13">
        <f>IF(AH515&gt;AH514,AD514,IF(AD514&lt;MiscData!$F$1,EOMONTH(AD514,1),EOMONTH(AD514,-11)))</f>
        <v>42551</v>
      </c>
      <c r="AE515" s="7" t="str">
        <f t="shared" si="229"/>
        <v>20140101KUUM_486</v>
      </c>
      <c r="AF515" s="12" t="str">
        <f t="shared" si="230"/>
        <v>20140101LS</v>
      </c>
      <c r="AG515" s="31"/>
      <c r="AH515">
        <f>IF(AH514=MiscData!$AB$91,1,AH514+1)</f>
        <v>74</v>
      </c>
      <c r="AI515">
        <f>IF(AD515&lt;=MiscData!$B$23,MiscData!$C$23,IF(AD515&lt;=MiscData!$B$24,MiscData!$C$24,MiscData!$C$25))</f>
        <v>20140101</v>
      </c>
      <c r="AK515" s="190" t="str">
        <f>VLOOKUP(AM515,MiscData!$AB$4:$ACB$113,2,FALSE)</f>
        <v>KUUM_486</v>
      </c>
      <c r="AL515" s="190" t="str">
        <f>VLOOKUP(AM515,MiscData!$AB$4:$AE$115,4,FALSE)</f>
        <v>LS</v>
      </c>
      <c r="AM515">
        <f>IF(AM514=MiscData!$AB$91,1,AM514+1)</f>
        <v>74</v>
      </c>
    </row>
    <row r="516" spans="1:39">
      <c r="A516" s="7">
        <f t="shared" si="233"/>
        <v>515</v>
      </c>
      <c r="B516" s="13" t="str">
        <f t="shared" si="214"/>
        <v>Jun 2016</v>
      </c>
      <c r="C516" s="23" t="str">
        <f t="shared" si="215"/>
        <v>LS</v>
      </c>
      <c r="D516" s="23" t="str">
        <f t="shared" si="216"/>
        <v>KUUM_487</v>
      </c>
      <c r="E516" s="170">
        <f t="shared" si="217"/>
        <v>11195</v>
      </c>
      <c r="F516" s="185"/>
      <c r="G516" s="170">
        <f t="shared" si="218"/>
        <v>0</v>
      </c>
      <c r="H516" s="170"/>
      <c r="I516" s="11">
        <f t="shared" si="219"/>
        <v>9</v>
      </c>
      <c r="J516" s="11">
        <f t="shared" si="220"/>
        <v>1.1299999999999999</v>
      </c>
      <c r="K516" s="416">
        <f t="shared" si="235"/>
        <v>100755</v>
      </c>
      <c r="L516" s="180"/>
      <c r="M516" s="180"/>
      <c r="N516" s="186">
        <f t="shared" si="213"/>
        <v>100755</v>
      </c>
      <c r="O516" s="29">
        <f t="shared" si="221"/>
        <v>0</v>
      </c>
      <c r="P516" s="181">
        <f t="shared" si="236"/>
        <v>0</v>
      </c>
      <c r="Q516" s="182">
        <f t="shared" si="222"/>
        <v>0</v>
      </c>
      <c r="R516" s="182">
        <f t="shared" si="223"/>
        <v>0</v>
      </c>
      <c r="S516" s="182">
        <f t="shared" si="224"/>
        <v>0</v>
      </c>
      <c r="T516" s="182">
        <f t="shared" si="225"/>
        <v>0</v>
      </c>
      <c r="U516" s="182">
        <f t="shared" si="226"/>
        <v>0</v>
      </c>
      <c r="V516" s="14">
        <f t="shared" si="227"/>
        <v>100755</v>
      </c>
      <c r="W516" s="14">
        <f t="shared" si="228"/>
        <v>-100755</v>
      </c>
      <c r="Y516" s="14">
        <f t="shared" si="231"/>
        <v>12650.35</v>
      </c>
      <c r="Z516" s="14">
        <f t="shared" si="232"/>
        <v>-12650.35</v>
      </c>
      <c r="AA516" s="11">
        <f t="shared" si="234"/>
        <v>0.34</v>
      </c>
      <c r="AB516" s="9">
        <f t="shared" si="237"/>
        <v>3806.3</v>
      </c>
      <c r="AD516" s="13">
        <f>IF(AH516&gt;AH515,AD515,IF(AD515&lt;MiscData!$F$1,EOMONTH(AD515,1),EOMONTH(AD515,-11)))</f>
        <v>42551</v>
      </c>
      <c r="AE516" s="7" t="str">
        <f t="shared" si="229"/>
        <v>20140101KUUM_487</v>
      </c>
      <c r="AF516" s="12" t="str">
        <f t="shared" si="230"/>
        <v>20140101LS</v>
      </c>
      <c r="AG516" s="31"/>
      <c r="AH516">
        <f>IF(AH515=MiscData!$AB$91,1,AH515+1)</f>
        <v>75</v>
      </c>
      <c r="AI516">
        <f>IF(AD516&lt;=MiscData!$B$23,MiscData!$C$23,IF(AD516&lt;=MiscData!$B$24,MiscData!$C$24,MiscData!$C$25))</f>
        <v>20140101</v>
      </c>
      <c r="AK516" s="190" t="str">
        <f>VLOOKUP(AM516,MiscData!$AB$4:$ACB$113,2,FALSE)</f>
        <v>KUUM_487</v>
      </c>
      <c r="AL516" s="190" t="str">
        <f>VLOOKUP(AM516,MiscData!$AB$4:$AE$115,4,FALSE)</f>
        <v>LS</v>
      </c>
      <c r="AM516">
        <f>IF(AM515=MiscData!$AB$91,1,AM515+1)</f>
        <v>75</v>
      </c>
    </row>
    <row r="517" spans="1:39">
      <c r="A517" s="7">
        <f t="shared" si="233"/>
        <v>516</v>
      </c>
      <c r="B517" s="13" t="str">
        <f t="shared" si="214"/>
        <v>Jun 2016</v>
      </c>
      <c r="C517" s="23" t="str">
        <f t="shared" si="215"/>
        <v>LS</v>
      </c>
      <c r="D517" s="23" t="str">
        <f t="shared" si="216"/>
        <v>KUUM_488</v>
      </c>
      <c r="E517" s="170">
        <f t="shared" si="217"/>
        <v>6647</v>
      </c>
      <c r="F517" s="185"/>
      <c r="G517" s="170">
        <f t="shared" si="218"/>
        <v>0</v>
      </c>
      <c r="H517" s="170"/>
      <c r="I517" s="11">
        <f t="shared" si="219"/>
        <v>13.639999999999999</v>
      </c>
      <c r="J517" s="11">
        <f t="shared" si="220"/>
        <v>2.33</v>
      </c>
      <c r="K517" s="416">
        <f t="shared" si="235"/>
        <v>90665.08</v>
      </c>
      <c r="L517" s="180"/>
      <c r="M517" s="180"/>
      <c r="N517" s="186">
        <f t="shared" si="213"/>
        <v>90665.08</v>
      </c>
      <c r="O517" s="29">
        <f t="shared" si="221"/>
        <v>0</v>
      </c>
      <c r="P517" s="181">
        <f t="shared" si="236"/>
        <v>0</v>
      </c>
      <c r="Q517" s="182">
        <f t="shared" si="222"/>
        <v>0</v>
      </c>
      <c r="R517" s="182">
        <f t="shared" si="223"/>
        <v>0</v>
      </c>
      <c r="S517" s="182">
        <f t="shared" si="224"/>
        <v>0</v>
      </c>
      <c r="T517" s="182">
        <f t="shared" si="225"/>
        <v>0</v>
      </c>
      <c r="U517" s="182">
        <f t="shared" si="226"/>
        <v>0</v>
      </c>
      <c r="V517" s="14">
        <f t="shared" si="227"/>
        <v>90665.08</v>
      </c>
      <c r="W517" s="14">
        <f t="shared" si="228"/>
        <v>-90665.08</v>
      </c>
      <c r="Y517" s="14">
        <f t="shared" si="231"/>
        <v>15487.51</v>
      </c>
      <c r="Z517" s="14">
        <f t="shared" si="232"/>
        <v>-15487.51</v>
      </c>
      <c r="AA517" s="11">
        <f t="shared" si="234"/>
        <v>0.57999999999999996</v>
      </c>
      <c r="AB517" s="9">
        <f t="shared" si="237"/>
        <v>3855.2599999999998</v>
      </c>
      <c r="AD517" s="13">
        <f>IF(AH517&gt;AH516,AD516,IF(AD516&lt;MiscData!$F$1,EOMONTH(AD516,1),EOMONTH(AD516,-11)))</f>
        <v>42551</v>
      </c>
      <c r="AE517" s="7" t="str">
        <f t="shared" si="229"/>
        <v>20140101KUUM_488</v>
      </c>
      <c r="AF517" s="12" t="str">
        <f t="shared" si="230"/>
        <v>20140101LS</v>
      </c>
      <c r="AG517" s="31"/>
      <c r="AH517">
        <f>IF(AH516=MiscData!$AB$91,1,AH516+1)</f>
        <v>76</v>
      </c>
      <c r="AI517">
        <f>IF(AD517&lt;=MiscData!$B$23,MiscData!$C$23,IF(AD517&lt;=MiscData!$B$24,MiscData!$C$24,MiscData!$C$25))</f>
        <v>20140101</v>
      </c>
      <c r="AK517" s="190" t="str">
        <f>VLOOKUP(AM517,MiscData!$AB$4:$ACB$113,2,FALSE)</f>
        <v>KUUM_488</v>
      </c>
      <c r="AL517" s="190" t="str">
        <f>VLOOKUP(AM517,MiscData!$AB$4:$AE$115,4,FALSE)</f>
        <v>LS</v>
      </c>
      <c r="AM517">
        <f>IF(AM516=MiscData!$AB$91,1,AM516+1)</f>
        <v>76</v>
      </c>
    </row>
    <row r="518" spans="1:39">
      <c r="A518" s="7">
        <f t="shared" si="233"/>
        <v>517</v>
      </c>
      <c r="B518" s="13" t="str">
        <f t="shared" si="214"/>
        <v>Jun 2016</v>
      </c>
      <c r="C518" s="23" t="str">
        <f t="shared" si="215"/>
        <v>LS</v>
      </c>
      <c r="D518" s="23" t="str">
        <f t="shared" si="216"/>
        <v>KUUM_489</v>
      </c>
      <c r="E518" s="170">
        <f t="shared" si="217"/>
        <v>8399</v>
      </c>
      <c r="F518" s="185"/>
      <c r="G518" s="170">
        <f t="shared" si="218"/>
        <v>0</v>
      </c>
      <c r="H518" s="170"/>
      <c r="I518" s="11">
        <f t="shared" si="219"/>
        <v>19.46</v>
      </c>
      <c r="J518" s="11">
        <f t="shared" si="220"/>
        <v>4.5300000000000011</v>
      </c>
      <c r="K518" s="416">
        <f t="shared" si="235"/>
        <v>163444.54</v>
      </c>
      <c r="L518" s="180"/>
      <c r="M518" s="180"/>
      <c r="N518" s="186">
        <f t="shared" si="213"/>
        <v>163444.54</v>
      </c>
      <c r="O518" s="29">
        <f t="shared" si="221"/>
        <v>0</v>
      </c>
      <c r="P518" s="181">
        <f t="shared" si="236"/>
        <v>0</v>
      </c>
      <c r="Q518" s="182">
        <f t="shared" si="222"/>
        <v>0</v>
      </c>
      <c r="R518" s="182">
        <f t="shared" si="223"/>
        <v>0</v>
      </c>
      <c r="S518" s="182">
        <f t="shared" si="224"/>
        <v>0</v>
      </c>
      <c r="T518" s="182">
        <f t="shared" si="225"/>
        <v>0</v>
      </c>
      <c r="U518" s="182">
        <f t="shared" si="226"/>
        <v>0</v>
      </c>
      <c r="V518" s="14">
        <f t="shared" si="227"/>
        <v>163444.54</v>
      </c>
      <c r="W518" s="14">
        <f t="shared" si="228"/>
        <v>-163444.54</v>
      </c>
      <c r="Y518" s="14">
        <f t="shared" si="231"/>
        <v>38047.47</v>
      </c>
      <c r="Z518" s="14">
        <f t="shared" si="232"/>
        <v>-38047.47</v>
      </c>
      <c r="AA518" s="11">
        <f t="shared" si="234"/>
        <v>0.79</v>
      </c>
      <c r="AB518" s="9">
        <f t="shared" si="237"/>
        <v>6635.21</v>
      </c>
      <c r="AD518" s="13">
        <f>IF(AH518&gt;AH517,AD517,IF(AD517&lt;MiscData!$F$1,EOMONTH(AD517,1),EOMONTH(AD517,-11)))</f>
        <v>42551</v>
      </c>
      <c r="AE518" s="7" t="str">
        <f t="shared" si="229"/>
        <v>20140101KUUM_489</v>
      </c>
      <c r="AF518" s="12" t="str">
        <f t="shared" si="230"/>
        <v>20140101LS</v>
      </c>
      <c r="AG518" s="31"/>
      <c r="AH518">
        <f>IF(AH517=MiscData!$AB$91,1,AH517+1)</f>
        <v>77</v>
      </c>
      <c r="AI518">
        <f>IF(AD518&lt;=MiscData!$B$23,MiscData!$C$23,IF(AD518&lt;=MiscData!$B$24,MiscData!$C$24,MiscData!$C$25))</f>
        <v>20140101</v>
      </c>
      <c r="AK518" s="190" t="str">
        <f>VLOOKUP(AM518,MiscData!$AB$4:$ACB$113,2,FALSE)</f>
        <v>KUUM_489</v>
      </c>
      <c r="AL518" s="190" t="str">
        <f>VLOOKUP(AM518,MiscData!$AB$4:$AE$115,4,FALSE)</f>
        <v>LS</v>
      </c>
      <c r="AM518">
        <f>IF(AM517=MiscData!$AB$91,1,AM517+1)</f>
        <v>77</v>
      </c>
    </row>
    <row r="519" spans="1:39">
      <c r="A519" s="7">
        <f t="shared" si="233"/>
        <v>518</v>
      </c>
      <c r="B519" s="13" t="str">
        <f t="shared" si="214"/>
        <v>Jun 2016</v>
      </c>
      <c r="C519" s="23" t="str">
        <f t="shared" si="215"/>
        <v>LS</v>
      </c>
      <c r="D519" s="23" t="str">
        <f t="shared" si="216"/>
        <v>KUUM_490</v>
      </c>
      <c r="E519" s="170">
        <f t="shared" si="217"/>
        <v>58</v>
      </c>
      <c r="F519" s="185"/>
      <c r="G519" s="170">
        <f t="shared" si="218"/>
        <v>0</v>
      </c>
      <c r="H519" s="170"/>
      <c r="I519" s="11">
        <f t="shared" si="219"/>
        <v>15.47</v>
      </c>
      <c r="J519" s="11">
        <f t="shared" si="220"/>
        <v>1.9700000000000006</v>
      </c>
      <c r="K519" s="416">
        <f t="shared" si="235"/>
        <v>897.26</v>
      </c>
      <c r="L519" s="180"/>
      <c r="M519" s="180"/>
      <c r="N519" s="186">
        <f t="shared" si="213"/>
        <v>897.26</v>
      </c>
      <c r="O519" s="29">
        <f t="shared" si="221"/>
        <v>0</v>
      </c>
      <c r="P519" s="181">
        <f t="shared" si="236"/>
        <v>0</v>
      </c>
      <c r="Q519" s="182">
        <f t="shared" si="222"/>
        <v>0</v>
      </c>
      <c r="R519" s="182">
        <f t="shared" si="223"/>
        <v>0</v>
      </c>
      <c r="S519" s="182">
        <f t="shared" si="224"/>
        <v>0</v>
      </c>
      <c r="T519" s="182">
        <f t="shared" si="225"/>
        <v>0</v>
      </c>
      <c r="U519" s="182">
        <f t="shared" si="226"/>
        <v>0</v>
      </c>
      <c r="V519" s="14">
        <f t="shared" si="227"/>
        <v>897.26</v>
      </c>
      <c r="W519" s="14">
        <f t="shared" si="228"/>
        <v>-897.26</v>
      </c>
      <c r="Y519" s="14">
        <f t="shared" si="231"/>
        <v>114.26</v>
      </c>
      <c r="Z519" s="14">
        <f t="shared" si="232"/>
        <v>-114.26</v>
      </c>
      <c r="AA519" s="11">
        <f t="shared" si="234"/>
        <v>0.66</v>
      </c>
      <c r="AB519" s="9">
        <f t="shared" si="237"/>
        <v>38.28</v>
      </c>
      <c r="AD519" s="13">
        <f>IF(AH519&gt;AH518,AD518,IF(AD518&lt;MiscData!$F$1,EOMONTH(AD518,1),EOMONTH(AD518,-11)))</f>
        <v>42551</v>
      </c>
      <c r="AE519" s="7" t="str">
        <f t="shared" si="229"/>
        <v>20140101KUUM_490</v>
      </c>
      <c r="AF519" s="12" t="str">
        <f t="shared" si="230"/>
        <v>20140101LS</v>
      </c>
      <c r="AG519" s="31"/>
      <c r="AH519">
        <f>IF(AH518=MiscData!$AB$91,1,AH518+1)</f>
        <v>78</v>
      </c>
      <c r="AI519">
        <f>IF(AD519&lt;=MiscData!$B$23,MiscData!$C$23,IF(AD519&lt;=MiscData!$B$24,MiscData!$C$24,MiscData!$C$25))</f>
        <v>20140101</v>
      </c>
      <c r="AK519" s="190" t="str">
        <f>VLOOKUP(AM519,MiscData!$AB$4:$ACB$113,2,FALSE)</f>
        <v>KUUM_490</v>
      </c>
      <c r="AL519" s="190" t="str">
        <f>VLOOKUP(AM519,MiscData!$AB$4:$AE$115,4,FALSE)</f>
        <v>LS</v>
      </c>
      <c r="AM519">
        <f>IF(AM518=MiscData!$AB$91,1,AM518+1)</f>
        <v>78</v>
      </c>
    </row>
    <row r="520" spans="1:39">
      <c r="A520" s="7">
        <f t="shared" si="233"/>
        <v>519</v>
      </c>
      <c r="B520" s="13" t="str">
        <f t="shared" si="214"/>
        <v>Jun 2016</v>
      </c>
      <c r="C520" s="23" t="str">
        <f t="shared" si="215"/>
        <v>LS</v>
      </c>
      <c r="D520" s="23" t="str">
        <f t="shared" si="216"/>
        <v>KUUM_491</v>
      </c>
      <c r="E520" s="170">
        <f t="shared" si="217"/>
        <v>313</v>
      </c>
      <c r="F520" s="185"/>
      <c r="G520" s="170">
        <f t="shared" si="218"/>
        <v>0</v>
      </c>
      <c r="H520" s="170"/>
      <c r="I520" s="11">
        <f t="shared" si="219"/>
        <v>21.930000000000003</v>
      </c>
      <c r="J520" s="11">
        <f t="shared" si="220"/>
        <v>4.2900000000000027</v>
      </c>
      <c r="K520" s="416">
        <f t="shared" si="235"/>
        <v>6864.09</v>
      </c>
      <c r="L520" s="180"/>
      <c r="M520" s="180"/>
      <c r="N520" s="186">
        <f t="shared" si="213"/>
        <v>6864.09</v>
      </c>
      <c r="O520" s="29">
        <f t="shared" si="221"/>
        <v>0</v>
      </c>
      <c r="P520" s="181">
        <f t="shared" si="236"/>
        <v>0</v>
      </c>
      <c r="Q520" s="182">
        <f t="shared" si="222"/>
        <v>0</v>
      </c>
      <c r="R520" s="182">
        <f t="shared" si="223"/>
        <v>0</v>
      </c>
      <c r="S520" s="182">
        <f t="shared" si="224"/>
        <v>0</v>
      </c>
      <c r="T520" s="182">
        <f t="shared" si="225"/>
        <v>0</v>
      </c>
      <c r="U520" s="182">
        <f t="shared" si="226"/>
        <v>0</v>
      </c>
      <c r="V520" s="14">
        <f t="shared" si="227"/>
        <v>6864.09</v>
      </c>
      <c r="W520" s="14">
        <f t="shared" si="228"/>
        <v>-6864.09</v>
      </c>
      <c r="Y520" s="14">
        <f t="shared" si="231"/>
        <v>1342.77</v>
      </c>
      <c r="Z520" s="14">
        <f t="shared" si="232"/>
        <v>-1342.77</v>
      </c>
      <c r="AA520" s="11">
        <f t="shared" si="234"/>
        <v>0.84</v>
      </c>
      <c r="AB520" s="9">
        <f t="shared" si="237"/>
        <v>262.92</v>
      </c>
      <c r="AD520" s="13">
        <f>IF(AH520&gt;AH519,AD519,IF(AD519&lt;MiscData!$F$1,EOMONTH(AD519,1),EOMONTH(AD519,-11)))</f>
        <v>42551</v>
      </c>
      <c r="AE520" s="7" t="str">
        <f t="shared" si="229"/>
        <v>20140101KUUM_491</v>
      </c>
      <c r="AF520" s="12" t="str">
        <f t="shared" si="230"/>
        <v>20140101LS</v>
      </c>
      <c r="AG520" s="31"/>
      <c r="AH520">
        <f>IF(AH519=MiscData!$AB$91,1,AH519+1)</f>
        <v>79</v>
      </c>
      <c r="AI520">
        <f>IF(AD520&lt;=MiscData!$B$23,MiscData!$C$23,IF(AD520&lt;=MiscData!$B$24,MiscData!$C$24,MiscData!$C$25))</f>
        <v>20140101</v>
      </c>
      <c r="AK520" s="190" t="str">
        <f>VLOOKUP(AM520,MiscData!$AB$4:$ACB$113,2,FALSE)</f>
        <v>KUUM_491</v>
      </c>
      <c r="AL520" s="190" t="str">
        <f>VLOOKUP(AM520,MiscData!$AB$4:$AE$115,4,FALSE)</f>
        <v>LS</v>
      </c>
      <c r="AM520">
        <f>IF(AM519=MiscData!$AB$91,1,AM519+1)</f>
        <v>79</v>
      </c>
    </row>
    <row r="521" spans="1:39">
      <c r="A521" s="7">
        <f t="shared" si="233"/>
        <v>520</v>
      </c>
      <c r="B521" s="13" t="str">
        <f t="shared" si="214"/>
        <v>Jun 2016</v>
      </c>
      <c r="C521" s="23" t="str">
        <f t="shared" si="215"/>
        <v>LS</v>
      </c>
      <c r="D521" s="23" t="str">
        <f t="shared" si="216"/>
        <v>KUUM_492</v>
      </c>
      <c r="E521" s="170">
        <f t="shared" si="217"/>
        <v>2</v>
      </c>
      <c r="F521" s="185"/>
      <c r="G521" s="170">
        <f t="shared" si="218"/>
        <v>0</v>
      </c>
      <c r="H521" s="170"/>
      <c r="I521" s="11">
        <f t="shared" si="219"/>
        <v>15.370000000000001</v>
      </c>
      <c r="J521" s="11">
        <f t="shared" si="220"/>
        <v>0.80000000000000071</v>
      </c>
      <c r="K521" s="416">
        <f t="shared" si="235"/>
        <v>30.74</v>
      </c>
      <c r="L521" s="180"/>
      <c r="M521" s="180"/>
      <c r="N521" s="186">
        <f t="shared" si="213"/>
        <v>30.74</v>
      </c>
      <c r="O521" s="29">
        <f t="shared" si="221"/>
        <v>0</v>
      </c>
      <c r="P521" s="181">
        <f t="shared" si="236"/>
        <v>0</v>
      </c>
      <c r="Q521" s="182">
        <f t="shared" si="222"/>
        <v>0</v>
      </c>
      <c r="R521" s="182">
        <f t="shared" si="223"/>
        <v>0</v>
      </c>
      <c r="S521" s="182">
        <f t="shared" si="224"/>
        <v>0</v>
      </c>
      <c r="T521" s="182">
        <f t="shared" si="225"/>
        <v>0</v>
      </c>
      <c r="U521" s="182">
        <f t="shared" si="226"/>
        <v>0</v>
      </c>
      <c r="V521" s="14">
        <f t="shared" si="227"/>
        <v>30.74</v>
      </c>
      <c r="W521" s="14">
        <f t="shared" si="228"/>
        <v>-30.74</v>
      </c>
      <c r="Y521" s="14">
        <f t="shared" si="231"/>
        <v>1.6</v>
      </c>
      <c r="Z521" s="14">
        <f t="shared" si="232"/>
        <v>-1.6</v>
      </c>
      <c r="AA521" s="11">
        <f t="shared" si="234"/>
        <v>0.43</v>
      </c>
      <c r="AB521" s="9">
        <f t="shared" si="237"/>
        <v>0.86</v>
      </c>
      <c r="AD521" s="13">
        <f>IF(AH521&gt;AH520,AD520,IF(AD520&lt;MiscData!$F$1,EOMONTH(AD520,1),EOMONTH(AD520,-11)))</f>
        <v>42551</v>
      </c>
      <c r="AE521" s="7" t="str">
        <f t="shared" si="229"/>
        <v>20140101KUUM_492</v>
      </c>
      <c r="AF521" s="12" t="str">
        <f t="shared" si="230"/>
        <v>20140101LS</v>
      </c>
      <c r="AG521" s="31"/>
      <c r="AH521">
        <f>IF(AH520=MiscData!$AB$91,1,AH520+1)</f>
        <v>80</v>
      </c>
      <c r="AI521">
        <f>IF(AD521&lt;=MiscData!$B$23,MiscData!$C$23,IF(AD521&lt;=MiscData!$B$24,MiscData!$C$24,MiscData!$C$25))</f>
        <v>20140101</v>
      </c>
      <c r="AK521" s="190" t="str">
        <f>VLOOKUP(AM521,MiscData!$AB$4:$ACB$113,2,FALSE)</f>
        <v>KUUM_492</v>
      </c>
      <c r="AL521" s="190" t="str">
        <f>VLOOKUP(AM521,MiscData!$AB$4:$AE$115,4,FALSE)</f>
        <v>LS</v>
      </c>
      <c r="AM521">
        <f>IF(AM520=MiscData!$AB$91,1,AM520+1)</f>
        <v>80</v>
      </c>
    </row>
    <row r="522" spans="1:39">
      <c r="A522" s="7">
        <f t="shared" si="233"/>
        <v>521</v>
      </c>
      <c r="B522" s="13" t="str">
        <f t="shared" si="214"/>
        <v>Jun 2016</v>
      </c>
      <c r="C522" s="23" t="str">
        <f t="shared" si="215"/>
        <v>LS</v>
      </c>
      <c r="D522" s="23" t="str">
        <f t="shared" si="216"/>
        <v>KUUM_493</v>
      </c>
      <c r="E522" s="170">
        <f t="shared" si="217"/>
        <v>43</v>
      </c>
      <c r="F522" s="185"/>
      <c r="G522" s="170">
        <f t="shared" si="218"/>
        <v>0</v>
      </c>
      <c r="H522" s="170"/>
      <c r="I522" s="11">
        <f t="shared" si="219"/>
        <v>45.7</v>
      </c>
      <c r="J522" s="11">
        <f t="shared" si="220"/>
        <v>10.409999999999997</v>
      </c>
      <c r="K522" s="416">
        <f t="shared" si="235"/>
        <v>1965.1</v>
      </c>
      <c r="L522" s="180"/>
      <c r="M522" s="180"/>
      <c r="N522" s="186">
        <f t="shared" si="213"/>
        <v>1965.1</v>
      </c>
      <c r="O522" s="29">
        <f t="shared" si="221"/>
        <v>0</v>
      </c>
      <c r="P522" s="181">
        <f t="shared" si="236"/>
        <v>0</v>
      </c>
      <c r="Q522" s="182">
        <f t="shared" si="222"/>
        <v>0</v>
      </c>
      <c r="R522" s="182">
        <f t="shared" si="223"/>
        <v>0</v>
      </c>
      <c r="S522" s="182">
        <f t="shared" si="224"/>
        <v>0</v>
      </c>
      <c r="T522" s="182">
        <f t="shared" si="225"/>
        <v>0</v>
      </c>
      <c r="U522" s="182">
        <f t="shared" si="226"/>
        <v>0</v>
      </c>
      <c r="V522" s="14">
        <f t="shared" si="227"/>
        <v>1965.1</v>
      </c>
      <c r="W522" s="14">
        <f t="shared" si="228"/>
        <v>-1965.1</v>
      </c>
      <c r="Y522" s="14">
        <f t="shared" si="231"/>
        <v>447.63</v>
      </c>
      <c r="Z522" s="14">
        <f t="shared" si="232"/>
        <v>-447.63</v>
      </c>
      <c r="AA522" s="11">
        <f t="shared" si="234"/>
        <v>1.7</v>
      </c>
      <c r="AB522" s="9">
        <f t="shared" si="237"/>
        <v>73.099999999999994</v>
      </c>
      <c r="AD522" s="13">
        <f>IF(AH522&gt;AH521,AD521,IF(AD521&lt;MiscData!$F$1,EOMONTH(AD521,1),EOMONTH(AD521,-11)))</f>
        <v>42551</v>
      </c>
      <c r="AE522" s="7" t="str">
        <f t="shared" si="229"/>
        <v>20140101KUUM_493</v>
      </c>
      <c r="AF522" s="12" t="str">
        <f t="shared" si="230"/>
        <v>20140101LS</v>
      </c>
      <c r="AG522" s="31"/>
      <c r="AH522">
        <f>IF(AH521=MiscData!$AB$91,1,AH521+1)</f>
        <v>81</v>
      </c>
      <c r="AI522">
        <f>IF(AD522&lt;=MiscData!$B$23,MiscData!$C$23,IF(AD522&lt;=MiscData!$B$24,MiscData!$C$24,MiscData!$C$25))</f>
        <v>20140101</v>
      </c>
      <c r="AK522" s="190" t="str">
        <f>VLOOKUP(AM522,MiscData!$AB$4:$ACB$113,2,FALSE)</f>
        <v>KUUM_493</v>
      </c>
      <c r="AL522" s="190" t="str">
        <f>VLOOKUP(AM522,MiscData!$AB$4:$AE$115,4,FALSE)</f>
        <v>LS</v>
      </c>
      <c r="AM522">
        <f>IF(AM521=MiscData!$AB$91,1,AM521+1)</f>
        <v>81</v>
      </c>
    </row>
    <row r="523" spans="1:39" ht="12.75" thickBot="1">
      <c r="A523" s="420">
        <f t="shared" si="233"/>
        <v>522</v>
      </c>
      <c r="B523" s="470" t="str">
        <f t="shared" si="214"/>
        <v>Jun 2016</v>
      </c>
      <c r="C523" s="471" t="str">
        <f t="shared" si="215"/>
        <v>LS</v>
      </c>
      <c r="D523" s="471" t="str">
        <f t="shared" si="216"/>
        <v>KUUM_494</v>
      </c>
      <c r="E523" s="426">
        <f t="shared" si="217"/>
        <v>168</v>
      </c>
      <c r="F523" s="472"/>
      <c r="G523" s="426">
        <f t="shared" si="218"/>
        <v>0</v>
      </c>
      <c r="H523" s="426"/>
      <c r="I523" s="421">
        <f t="shared" si="219"/>
        <v>28.37</v>
      </c>
      <c r="J523" s="421">
        <f t="shared" si="220"/>
        <v>1.9699999999999989</v>
      </c>
      <c r="K523" s="529">
        <f t="shared" si="235"/>
        <v>4766.16</v>
      </c>
      <c r="L523" s="473"/>
      <c r="M523" s="473"/>
      <c r="N523" s="423">
        <f t="shared" si="213"/>
        <v>4766.16</v>
      </c>
      <c r="O523" s="474">
        <f t="shared" si="221"/>
        <v>0</v>
      </c>
      <c r="P523" s="422">
        <f t="shared" si="236"/>
        <v>0</v>
      </c>
      <c r="Q523" s="423">
        <f t="shared" si="222"/>
        <v>0</v>
      </c>
      <c r="R523" s="423">
        <f t="shared" si="223"/>
        <v>0</v>
      </c>
      <c r="S523" s="423">
        <f t="shared" si="224"/>
        <v>0</v>
      </c>
      <c r="T523" s="423">
        <f t="shared" si="225"/>
        <v>0</v>
      </c>
      <c r="U523" s="423">
        <f t="shared" si="226"/>
        <v>0</v>
      </c>
      <c r="V523" s="424">
        <f t="shared" si="227"/>
        <v>4766.16</v>
      </c>
      <c r="W523" s="424">
        <f t="shared" si="228"/>
        <v>-4766.16</v>
      </c>
      <c r="X523" s="475"/>
      <c r="Y523" s="424">
        <f t="shared" si="231"/>
        <v>330.96</v>
      </c>
      <c r="Z523" s="424">
        <f t="shared" si="232"/>
        <v>-330.96</v>
      </c>
      <c r="AA523" s="11">
        <f t="shared" si="234"/>
        <v>0.66</v>
      </c>
      <c r="AB523" s="9">
        <f t="shared" si="237"/>
        <v>110.88000000000001</v>
      </c>
      <c r="AC523" s="475"/>
      <c r="AD523" s="470">
        <f>IF(AH523&gt;AH522,AD522,IF(AD522&lt;MiscData!$F$1,EOMONTH(AD522,1),EOMONTH(AD522,-11)))</f>
        <v>42551</v>
      </c>
      <c r="AE523" s="420" t="str">
        <f t="shared" si="229"/>
        <v>20140101KUUM_494</v>
      </c>
      <c r="AF523" s="476" t="str">
        <f t="shared" si="230"/>
        <v>20140101LS</v>
      </c>
      <c r="AG523" s="477"/>
      <c r="AH523" s="475">
        <f>IF(AH522=MiscData!$AB$91,1,AH522+1)</f>
        <v>82</v>
      </c>
      <c r="AI523" s="475">
        <f>IF(AD523&lt;=MiscData!$B$23,MiscData!$C$23,IF(AD523&lt;=MiscData!$B$24,MiscData!$C$24,MiscData!$C$25))</f>
        <v>20140101</v>
      </c>
      <c r="AJ523" s="475"/>
      <c r="AK523" s="478" t="str">
        <f>VLOOKUP(AM523,MiscData!$AB$4:$ACB$113,2,FALSE)</f>
        <v>KUUM_494</v>
      </c>
      <c r="AL523" s="478" t="str">
        <f>VLOOKUP(AM523,MiscData!$AB$4:$AE$115,4,FALSE)</f>
        <v>LS</v>
      </c>
      <c r="AM523" s="475">
        <f>IF(AM522=MiscData!$AB$91,1,AM522+1)</f>
        <v>82</v>
      </c>
    </row>
    <row r="524" spans="1:39">
      <c r="A524" s="7">
        <f t="shared" si="233"/>
        <v>523</v>
      </c>
      <c r="B524" s="13" t="str">
        <f t="shared" si="214"/>
        <v>Jun 2016</v>
      </c>
      <c r="C524" s="23" t="str">
        <f t="shared" si="215"/>
        <v>LS</v>
      </c>
      <c r="D524" s="23" t="str">
        <f t="shared" si="216"/>
        <v>KUUM_495</v>
      </c>
      <c r="E524" s="170">
        <f t="shared" si="217"/>
        <v>634</v>
      </c>
      <c r="F524" s="185"/>
      <c r="G524" s="170">
        <f t="shared" si="218"/>
        <v>0</v>
      </c>
      <c r="H524" s="170"/>
      <c r="I524" s="11">
        <f t="shared" si="219"/>
        <v>34.830000000000005</v>
      </c>
      <c r="J524" s="11">
        <f t="shared" si="220"/>
        <v>4.2899999999999991</v>
      </c>
      <c r="K524" s="416">
        <f t="shared" si="235"/>
        <v>22082.22</v>
      </c>
      <c r="L524" s="180"/>
      <c r="M524" s="180"/>
      <c r="N524" s="186">
        <f t="shared" si="213"/>
        <v>22082.22</v>
      </c>
      <c r="O524" s="29">
        <f t="shared" si="221"/>
        <v>0</v>
      </c>
      <c r="P524" s="181">
        <f t="shared" si="236"/>
        <v>0</v>
      </c>
      <c r="Q524" s="182">
        <f t="shared" si="222"/>
        <v>0</v>
      </c>
      <c r="R524" s="182">
        <f t="shared" si="223"/>
        <v>0</v>
      </c>
      <c r="S524" s="182">
        <f t="shared" si="224"/>
        <v>0</v>
      </c>
      <c r="T524" s="182">
        <f t="shared" si="225"/>
        <v>0</v>
      </c>
      <c r="U524" s="182">
        <f t="shared" si="226"/>
        <v>0</v>
      </c>
      <c r="V524" s="14">
        <f t="shared" si="227"/>
        <v>22082.22</v>
      </c>
      <c r="W524" s="14">
        <f t="shared" si="228"/>
        <v>-22082.22</v>
      </c>
      <c r="Y524" s="14">
        <f t="shared" si="231"/>
        <v>2719.86</v>
      </c>
      <c r="Z524" s="14">
        <f t="shared" si="232"/>
        <v>-2719.86</v>
      </c>
      <c r="AA524" s="11">
        <f t="shared" si="234"/>
        <v>0.84</v>
      </c>
      <c r="AB524" s="9">
        <f t="shared" si="237"/>
        <v>532.55999999999995</v>
      </c>
      <c r="AD524" s="13">
        <f>IF(AH524&gt;AH523,AD523,IF(AD523&lt;MiscData!$F$1,EOMONTH(AD523,1),EOMONTH(AD523,-11)))</f>
        <v>42551</v>
      </c>
      <c r="AE524" s="7" t="str">
        <f t="shared" si="229"/>
        <v>20140101KUUM_495</v>
      </c>
      <c r="AF524" s="12" t="str">
        <f t="shared" si="230"/>
        <v>20140101LS</v>
      </c>
      <c r="AG524" s="31"/>
      <c r="AH524">
        <f>IF(AH523=MiscData!$AB$91,1,AH523+1)</f>
        <v>83</v>
      </c>
      <c r="AI524">
        <f>IF(AD524&lt;=MiscData!$B$23,MiscData!$C$23,IF(AD524&lt;=MiscData!$B$24,MiscData!$C$24,MiscData!$C$25))</f>
        <v>20140101</v>
      </c>
      <c r="AK524" s="190" t="str">
        <f>VLOOKUP(AM524,MiscData!$AB$4:$ACB$113,2,FALSE)</f>
        <v>KUUM_495</v>
      </c>
      <c r="AL524" s="190" t="str">
        <f>VLOOKUP(AM524,MiscData!$AB$4:$AE$115,4,FALSE)</f>
        <v>LS</v>
      </c>
      <c r="AM524">
        <f>IF(AM523=MiscData!$AB$91,1,AM523+1)</f>
        <v>83</v>
      </c>
    </row>
    <row r="525" spans="1:39">
      <c r="A525" s="7">
        <f t="shared" si="233"/>
        <v>524</v>
      </c>
      <c r="B525" s="13" t="str">
        <f t="shared" si="214"/>
        <v>Jun 2016</v>
      </c>
      <c r="C525" s="23" t="str">
        <f t="shared" si="215"/>
        <v>LS</v>
      </c>
      <c r="D525" s="23" t="str">
        <f t="shared" si="216"/>
        <v>KUUM_496</v>
      </c>
      <c r="E525" s="170">
        <f t="shared" si="217"/>
        <v>154</v>
      </c>
      <c r="F525" s="185"/>
      <c r="G525" s="170">
        <f t="shared" si="218"/>
        <v>0</v>
      </c>
      <c r="H525" s="170"/>
      <c r="I525" s="11">
        <f t="shared" si="219"/>
        <v>58.59</v>
      </c>
      <c r="J525" s="11">
        <f t="shared" si="220"/>
        <v>10.409999999999997</v>
      </c>
      <c r="K525" s="416">
        <f t="shared" si="235"/>
        <v>9022.86</v>
      </c>
      <c r="L525" s="180"/>
      <c r="M525" s="180"/>
      <c r="N525" s="186">
        <f t="shared" si="213"/>
        <v>9022.86</v>
      </c>
      <c r="O525" s="29">
        <f t="shared" si="221"/>
        <v>0</v>
      </c>
      <c r="P525" s="181">
        <f t="shared" si="236"/>
        <v>0</v>
      </c>
      <c r="Q525" s="182">
        <f t="shared" si="222"/>
        <v>0</v>
      </c>
      <c r="R525" s="182">
        <f t="shared" si="223"/>
        <v>0</v>
      </c>
      <c r="S525" s="182">
        <f t="shared" si="224"/>
        <v>0</v>
      </c>
      <c r="T525" s="182">
        <f t="shared" si="225"/>
        <v>0</v>
      </c>
      <c r="U525" s="182">
        <f t="shared" si="226"/>
        <v>0</v>
      </c>
      <c r="V525" s="14">
        <f t="shared" si="227"/>
        <v>9022.86</v>
      </c>
      <c r="W525" s="14">
        <f t="shared" si="228"/>
        <v>-9022.86</v>
      </c>
      <c r="Y525" s="14">
        <f t="shared" si="231"/>
        <v>1603.14</v>
      </c>
      <c r="Z525" s="14">
        <f t="shared" si="232"/>
        <v>-1603.14</v>
      </c>
      <c r="AA525" s="11">
        <f t="shared" si="234"/>
        <v>1.7</v>
      </c>
      <c r="AB525" s="9">
        <f t="shared" si="237"/>
        <v>261.8</v>
      </c>
      <c r="AD525" s="13">
        <f>IF(AH525&gt;AH524,AD524,IF(AD524&lt;MiscData!$F$1,EOMONTH(AD524,1),EOMONTH(AD524,-11)))</f>
        <v>42551</v>
      </c>
      <c r="AE525" s="7" t="str">
        <f t="shared" si="229"/>
        <v>20140101KUUM_496</v>
      </c>
      <c r="AF525" s="12" t="str">
        <f t="shared" si="230"/>
        <v>20140101LS</v>
      </c>
      <c r="AG525" s="31"/>
      <c r="AH525">
        <f>IF(AH524=MiscData!$AB$91,1,AH524+1)</f>
        <v>84</v>
      </c>
      <c r="AI525">
        <f>IF(AD525&lt;=MiscData!$B$23,MiscData!$C$23,IF(AD525&lt;=MiscData!$B$24,MiscData!$C$24,MiscData!$C$25))</f>
        <v>20140101</v>
      </c>
      <c r="AK525" s="190" t="str">
        <f>VLOOKUP(AM525,MiscData!$AB$4:$ACB$113,2,FALSE)</f>
        <v>KUUM_496</v>
      </c>
      <c r="AL525" s="190" t="str">
        <f>VLOOKUP(AM525,MiscData!$AB$4:$AE$115,4,FALSE)</f>
        <v>LS</v>
      </c>
      <c r="AM525">
        <f>IF(AM524=MiscData!$AB$91,1,AM524+1)</f>
        <v>84</v>
      </c>
    </row>
    <row r="526" spans="1:39">
      <c r="A526" s="7">
        <f t="shared" si="233"/>
        <v>525</v>
      </c>
      <c r="B526" s="13" t="str">
        <f t="shared" si="214"/>
        <v>Jun 2016</v>
      </c>
      <c r="C526" s="23" t="str">
        <f t="shared" si="215"/>
        <v>LS</v>
      </c>
      <c r="D526" s="23" t="str">
        <f t="shared" si="216"/>
        <v>KUUM_497</v>
      </c>
      <c r="E526" s="170">
        <f t="shared" si="217"/>
        <v>10</v>
      </c>
      <c r="F526" s="185"/>
      <c r="G526" s="170">
        <f t="shared" si="218"/>
        <v>0</v>
      </c>
      <c r="H526" s="170">
        <v>0</v>
      </c>
      <c r="I526" s="11">
        <f t="shared" si="219"/>
        <v>15.35</v>
      </c>
      <c r="J526" s="11">
        <f t="shared" si="220"/>
        <v>1.1300000000000008</v>
      </c>
      <c r="K526" s="416">
        <f t="shared" si="235"/>
        <v>153.5</v>
      </c>
      <c r="L526" s="180"/>
      <c r="M526" s="180"/>
      <c r="N526" s="186">
        <f t="shared" si="213"/>
        <v>153.5</v>
      </c>
      <c r="O526" s="29">
        <f t="shared" si="221"/>
        <v>0</v>
      </c>
      <c r="P526" s="181">
        <f t="shared" si="236"/>
        <v>0</v>
      </c>
      <c r="Q526" s="182">
        <f t="shared" si="222"/>
        <v>0</v>
      </c>
      <c r="R526" s="182">
        <f t="shared" si="223"/>
        <v>0</v>
      </c>
      <c r="S526" s="182">
        <f t="shared" si="224"/>
        <v>0</v>
      </c>
      <c r="T526" s="182">
        <f t="shared" si="225"/>
        <v>0</v>
      </c>
      <c r="U526" s="182">
        <f t="shared" si="226"/>
        <v>0</v>
      </c>
      <c r="V526" s="14">
        <f t="shared" si="227"/>
        <v>153.5</v>
      </c>
      <c r="W526" s="14">
        <f t="shared" si="228"/>
        <v>-153.5</v>
      </c>
      <c r="Y526" s="14">
        <f t="shared" si="231"/>
        <v>11.3</v>
      </c>
      <c r="Z526" s="14">
        <f t="shared" si="232"/>
        <v>-11.3</v>
      </c>
      <c r="AA526" s="11">
        <f t="shared" si="234"/>
        <v>0.34</v>
      </c>
      <c r="AB526" s="9">
        <f t="shared" si="237"/>
        <v>3.4000000000000004</v>
      </c>
      <c r="AD526" s="13">
        <f>IF(AH526&gt;AH525,AD525,IF(AD525&lt;MiscData!$F$1,EOMONTH(AD525,1),EOMONTH(AD525,-11)))</f>
        <v>42551</v>
      </c>
      <c r="AE526" s="7" t="str">
        <f t="shared" si="229"/>
        <v>20140101KUUM_497</v>
      </c>
      <c r="AF526" s="12" t="str">
        <f t="shared" si="230"/>
        <v>20140101LS</v>
      </c>
      <c r="AG526" s="31"/>
      <c r="AH526">
        <f>IF(AH525=MiscData!$AB$91,1,AH525+1)</f>
        <v>85</v>
      </c>
      <c r="AI526">
        <f>IF(AD526&lt;=MiscData!$B$23,MiscData!$C$23,IF(AD526&lt;=MiscData!$B$24,MiscData!$C$24,MiscData!$C$25))</f>
        <v>20140101</v>
      </c>
      <c r="AK526" s="190" t="str">
        <f>VLOOKUP(AM526,MiscData!$AB$4:$ACB$113,2,FALSE)</f>
        <v>KUUM_497</v>
      </c>
      <c r="AL526" s="190" t="str">
        <f>VLOOKUP(AM526,MiscData!$AB$4:$AE$115,4,FALSE)</f>
        <v>LS</v>
      </c>
      <c r="AM526">
        <f>IF(AM525=MiscData!$AB$91,1,AM525+1)</f>
        <v>85</v>
      </c>
    </row>
    <row r="527" spans="1:39">
      <c r="A527" s="7">
        <f t="shared" si="233"/>
        <v>526</v>
      </c>
      <c r="B527" s="13" t="str">
        <f t="shared" si="214"/>
        <v>Jun 2016</v>
      </c>
      <c r="C527" s="23" t="str">
        <f t="shared" si="215"/>
        <v>LS</v>
      </c>
      <c r="D527" s="23" t="str">
        <f t="shared" si="216"/>
        <v>KUUM_498</v>
      </c>
      <c r="E527" s="170">
        <f t="shared" si="217"/>
        <v>26</v>
      </c>
      <c r="F527" s="185"/>
      <c r="G527" s="170">
        <f t="shared" si="218"/>
        <v>0</v>
      </c>
      <c r="H527" s="170">
        <v>0</v>
      </c>
      <c r="I527" s="11">
        <f t="shared" si="219"/>
        <v>17.72</v>
      </c>
      <c r="J527" s="11">
        <f t="shared" si="220"/>
        <v>2.33</v>
      </c>
      <c r="K527" s="416">
        <f t="shared" si="235"/>
        <v>460.72</v>
      </c>
      <c r="L527" s="180"/>
      <c r="M527" s="180"/>
      <c r="N527" s="186">
        <f t="shared" si="213"/>
        <v>460.72</v>
      </c>
      <c r="O527" s="29">
        <f t="shared" si="221"/>
        <v>0</v>
      </c>
      <c r="P527" s="181">
        <f t="shared" si="236"/>
        <v>0</v>
      </c>
      <c r="Q527" s="182">
        <f t="shared" si="222"/>
        <v>0</v>
      </c>
      <c r="R527" s="182">
        <f t="shared" si="223"/>
        <v>0</v>
      </c>
      <c r="S527" s="182">
        <f t="shared" si="224"/>
        <v>0</v>
      </c>
      <c r="T527" s="182">
        <f t="shared" si="225"/>
        <v>0</v>
      </c>
      <c r="U527" s="182">
        <f t="shared" si="226"/>
        <v>0</v>
      </c>
      <c r="V527" s="14">
        <f t="shared" si="227"/>
        <v>460.72</v>
      </c>
      <c r="W527" s="14">
        <f t="shared" si="228"/>
        <v>-460.72</v>
      </c>
      <c r="Y527" s="14">
        <f t="shared" si="231"/>
        <v>60.58</v>
      </c>
      <c r="Z527" s="14">
        <f t="shared" si="232"/>
        <v>-60.58</v>
      </c>
      <c r="AA527" s="11">
        <f t="shared" si="234"/>
        <v>0.57999999999999996</v>
      </c>
      <c r="AB527" s="9">
        <f t="shared" si="237"/>
        <v>15.079999999999998</v>
      </c>
      <c r="AD527" s="13">
        <f>IF(AH527&gt;AH526,AD526,IF(AD526&lt;MiscData!$F$1,EOMONTH(AD526,1),EOMONTH(AD526,-11)))</f>
        <v>42551</v>
      </c>
      <c r="AE527" s="7" t="str">
        <f t="shared" si="229"/>
        <v>20140101KUUM_498</v>
      </c>
      <c r="AF527" s="12" t="str">
        <f t="shared" si="230"/>
        <v>20140101LS</v>
      </c>
      <c r="AG527" s="31"/>
      <c r="AH527">
        <f>IF(AH526=MiscData!$AB$91,1,AH526+1)</f>
        <v>86</v>
      </c>
      <c r="AI527">
        <f>IF(AD527&lt;=MiscData!$B$23,MiscData!$C$23,IF(AD527&lt;=MiscData!$B$24,MiscData!$C$24,MiscData!$C$25))</f>
        <v>20140101</v>
      </c>
      <c r="AK527" s="190" t="str">
        <f>VLOOKUP(AM527,MiscData!$AB$4:$ACB$113,2,FALSE)</f>
        <v>KUUM_498</v>
      </c>
      <c r="AL527" s="190" t="str">
        <f>VLOOKUP(AM527,MiscData!$AB$4:$AE$115,4,FALSE)</f>
        <v>LS</v>
      </c>
      <c r="AM527">
        <f>IF(AM526=MiscData!$AB$91,1,AM526+1)</f>
        <v>86</v>
      </c>
    </row>
    <row r="528" spans="1:39">
      <c r="A528" s="7">
        <f t="shared" si="233"/>
        <v>527</v>
      </c>
      <c r="B528" s="13" t="str">
        <f t="shared" si="214"/>
        <v>Jun 2016</v>
      </c>
      <c r="C528" s="23" t="str">
        <f t="shared" si="215"/>
        <v>LS</v>
      </c>
      <c r="D528" s="23" t="str">
        <f t="shared" si="216"/>
        <v>KUUM_499</v>
      </c>
      <c r="E528" s="170">
        <f t="shared" si="217"/>
        <v>25</v>
      </c>
      <c r="F528" s="185"/>
      <c r="G528" s="170">
        <f t="shared" si="218"/>
        <v>0</v>
      </c>
      <c r="H528" s="170">
        <v>0</v>
      </c>
      <c r="I528" s="11">
        <f t="shared" si="219"/>
        <v>21.490000000000002</v>
      </c>
      <c r="J528" s="11">
        <f t="shared" si="220"/>
        <v>4.5300000000000011</v>
      </c>
      <c r="K528" s="416">
        <f t="shared" si="235"/>
        <v>537.25</v>
      </c>
      <c r="L528" s="180"/>
      <c r="M528" s="180"/>
      <c r="N528" s="186">
        <f t="shared" si="213"/>
        <v>537.25</v>
      </c>
      <c r="O528" s="29">
        <f t="shared" si="221"/>
        <v>0</v>
      </c>
      <c r="P528" s="181">
        <f t="shared" si="236"/>
        <v>0</v>
      </c>
      <c r="Q528" s="182">
        <f t="shared" si="222"/>
        <v>0</v>
      </c>
      <c r="R528" s="182">
        <f t="shared" si="223"/>
        <v>0</v>
      </c>
      <c r="S528" s="182">
        <f t="shared" si="224"/>
        <v>0</v>
      </c>
      <c r="T528" s="182">
        <f t="shared" si="225"/>
        <v>0</v>
      </c>
      <c r="U528" s="182">
        <f t="shared" si="226"/>
        <v>0</v>
      </c>
      <c r="V528" s="14">
        <f t="shared" si="227"/>
        <v>537.25</v>
      </c>
      <c r="W528" s="14">
        <f t="shared" si="228"/>
        <v>-537.25</v>
      </c>
      <c r="Y528" s="14">
        <f t="shared" si="231"/>
        <v>113.25</v>
      </c>
      <c r="Z528" s="14">
        <f t="shared" si="232"/>
        <v>-113.25</v>
      </c>
      <c r="AA528" s="11">
        <f t="shared" si="234"/>
        <v>0.79</v>
      </c>
      <c r="AB528" s="9">
        <f t="shared" si="237"/>
        <v>19.75</v>
      </c>
      <c r="AD528" s="13">
        <f>IF(AH528&gt;AH527,AD527,IF(AD527&lt;MiscData!$F$1,EOMONTH(AD527,1),EOMONTH(AD527,-11)))</f>
        <v>42551</v>
      </c>
      <c r="AE528" s="7" t="str">
        <f t="shared" si="229"/>
        <v>20140101KUUM_499</v>
      </c>
      <c r="AF528" s="12" t="str">
        <f t="shared" si="230"/>
        <v>20140101LS</v>
      </c>
      <c r="AG528" s="31"/>
      <c r="AH528">
        <f>IF(AH527=MiscData!$AB$91,1,AH527+1)</f>
        <v>87</v>
      </c>
      <c r="AI528">
        <f>IF(AD528&lt;=MiscData!$B$23,MiscData!$C$23,IF(AD528&lt;=MiscData!$B$24,MiscData!$C$24,MiscData!$C$25))</f>
        <v>20140101</v>
      </c>
      <c r="AK528" s="190" t="str">
        <f>VLOOKUP(AM528,MiscData!$AB$4:$ACB$113,2,FALSE)</f>
        <v>KUUM_499</v>
      </c>
      <c r="AL528" s="190" t="str">
        <f>VLOOKUP(AM528,MiscData!$AB$4:$AE$115,4,FALSE)</f>
        <v>LS</v>
      </c>
      <c r="AM528">
        <f>IF(AM527=MiscData!$AB$91,1,AM527+1)</f>
        <v>87</v>
      </c>
    </row>
    <row r="529" spans="1:39">
      <c r="A529" s="414">
        <f t="shared" si="233"/>
        <v>528</v>
      </c>
      <c r="B529" s="427" t="str">
        <f t="shared" si="214"/>
        <v>Jun 2016</v>
      </c>
      <c r="C529" s="428" t="str">
        <f t="shared" si="215"/>
        <v>ODL</v>
      </c>
      <c r="D529" s="428" t="str">
        <f t="shared" si="216"/>
        <v>ODL</v>
      </c>
      <c r="E529" s="425">
        <f t="shared" si="217"/>
        <v>0</v>
      </c>
      <c r="F529" s="185"/>
      <c r="G529" s="425">
        <f t="shared" si="218"/>
        <v>9184135</v>
      </c>
      <c r="H529" s="170">
        <v>0</v>
      </c>
      <c r="I529" s="415">
        <f t="shared" si="219"/>
        <v>0</v>
      </c>
      <c r="J529" s="415">
        <f t="shared" si="220"/>
        <v>0</v>
      </c>
      <c r="K529" s="416">
        <f t="shared" si="235"/>
        <v>0</v>
      </c>
      <c r="L529" s="180"/>
      <c r="M529" s="180"/>
      <c r="N529" s="186">
        <f t="shared" si="213"/>
        <v>0</v>
      </c>
      <c r="O529" s="431">
        <f t="shared" si="221"/>
        <v>2142961</v>
      </c>
      <c r="P529" s="417">
        <f t="shared" si="236"/>
        <v>0</v>
      </c>
      <c r="Q529" s="186">
        <f t="shared" si="222"/>
        <v>18955</v>
      </c>
      <c r="R529" s="186">
        <f t="shared" si="223"/>
        <v>0</v>
      </c>
      <c r="S529" s="186">
        <f t="shared" si="224"/>
        <v>54240</v>
      </c>
      <c r="T529" s="186">
        <f t="shared" si="225"/>
        <v>0</v>
      </c>
      <c r="U529" s="186">
        <f t="shared" si="226"/>
        <v>2216156</v>
      </c>
      <c r="V529" s="418">
        <f t="shared" si="227"/>
        <v>73195</v>
      </c>
      <c r="W529" s="418">
        <f t="shared" si="228"/>
        <v>2142961</v>
      </c>
      <c r="X529" s="41"/>
      <c r="Y529" s="418">
        <f t="shared" si="231"/>
        <v>0</v>
      </c>
      <c r="Z529" s="418">
        <f t="shared" si="232"/>
        <v>2142961</v>
      </c>
      <c r="AA529" s="11">
        <f t="shared" si="234"/>
        <v>0</v>
      </c>
      <c r="AB529" s="9">
        <f t="shared" si="237"/>
        <v>0</v>
      </c>
      <c r="AC529" s="41"/>
      <c r="AD529" s="427">
        <f>IF(AH529&gt;AH528,AD528,IF(AD528&lt;MiscData!$F$1,EOMONTH(AD528,1),EOMONTH(AD528,-11)))</f>
        <v>42551</v>
      </c>
      <c r="AE529" s="414" t="str">
        <f t="shared" si="229"/>
        <v>20140101ODL</v>
      </c>
      <c r="AF529" s="466" t="str">
        <f t="shared" si="230"/>
        <v>20140101ODL</v>
      </c>
      <c r="AG529" s="467"/>
      <c r="AH529" s="41">
        <f>IF(AH528=MiscData!$AB$91,1,AH528+1)</f>
        <v>88</v>
      </c>
      <c r="AI529" s="41">
        <f>IF(AD529&lt;=MiscData!$B$23,MiscData!$C$23,IF(AD529&lt;=MiscData!$B$24,MiscData!$C$24,MiscData!$C$25))</f>
        <v>20140101</v>
      </c>
      <c r="AJ529" s="41"/>
      <c r="AK529" s="468" t="str">
        <f>VLOOKUP(AM529,MiscData!$AB$4:$ACB$113,2,FALSE)</f>
        <v>ODL</v>
      </c>
      <c r="AL529" s="468" t="str">
        <f>VLOOKUP(AM529,MiscData!$AB$4:$AE$115,4,FALSE)</f>
        <v>ODL</v>
      </c>
      <c r="AM529" s="41">
        <f>IF(AM528=MiscData!$AB$91,1,AM528+1)</f>
        <v>88</v>
      </c>
    </row>
    <row r="530" spans="1:39">
      <c r="A530" s="7">
        <f t="shared" si="233"/>
        <v>529</v>
      </c>
      <c r="B530" s="13" t="str">
        <f t="shared" si="214"/>
        <v>Jul 2015</v>
      </c>
      <c r="C530" s="23" t="str">
        <f t="shared" si="215"/>
        <v>LS</v>
      </c>
      <c r="D530" s="23" t="str">
        <f t="shared" si="216"/>
        <v>KUUM_300</v>
      </c>
      <c r="E530" s="170">
        <f t="shared" si="217"/>
        <v>0</v>
      </c>
      <c r="F530" s="185"/>
      <c r="G530" s="170">
        <f t="shared" si="218"/>
        <v>0</v>
      </c>
      <c r="H530" s="170">
        <v>0</v>
      </c>
      <c r="I530" s="11">
        <f t="shared" si="219"/>
        <v>22.49</v>
      </c>
      <c r="J530" s="11">
        <f t="shared" si="220"/>
        <v>0.58000000000000185</v>
      </c>
      <c r="K530" s="416">
        <f t="shared" si="235"/>
        <v>0</v>
      </c>
      <c r="L530" s="180"/>
      <c r="M530" s="180"/>
      <c r="N530" s="186">
        <f t="shared" si="213"/>
        <v>0</v>
      </c>
      <c r="O530" s="29">
        <f t="shared" si="221"/>
        <v>0</v>
      </c>
      <c r="P530" s="181">
        <f t="shared" si="236"/>
        <v>1</v>
      </c>
      <c r="Q530" s="182">
        <f t="shared" si="222"/>
        <v>0</v>
      </c>
      <c r="R530" s="182">
        <f t="shared" si="223"/>
        <v>0</v>
      </c>
      <c r="S530" s="182">
        <f t="shared" si="224"/>
        <v>0</v>
      </c>
      <c r="T530" s="182">
        <f t="shared" si="225"/>
        <v>0</v>
      </c>
      <c r="U530" s="182">
        <f t="shared" si="226"/>
        <v>0</v>
      </c>
      <c r="V530" s="14">
        <f t="shared" si="227"/>
        <v>0</v>
      </c>
      <c r="W530" s="14">
        <f t="shared" si="228"/>
        <v>0</v>
      </c>
      <c r="Y530" s="14">
        <f t="shared" si="231"/>
        <v>0</v>
      </c>
      <c r="Z530" s="14">
        <f t="shared" si="232"/>
        <v>0</v>
      </c>
      <c r="AA530" s="11">
        <f t="shared" si="234"/>
        <v>0.33</v>
      </c>
      <c r="AB530" s="9">
        <f t="shared" si="237"/>
        <v>0</v>
      </c>
      <c r="AD530" s="13">
        <f>IF(AH530&gt;AH529,AD529,IF(AD529&lt;MiscData!$F$1,EOMONTH(AD529,1),EOMONTH(AD529,-11)))</f>
        <v>42216</v>
      </c>
      <c r="AE530" s="7" t="str">
        <f t="shared" si="229"/>
        <v>20140101KUUM_300</v>
      </c>
      <c r="AF530" s="12" t="str">
        <f t="shared" si="230"/>
        <v>20140101LS</v>
      </c>
      <c r="AG530" s="31"/>
      <c r="AH530">
        <f>IF(AH529=MiscData!$AB$91,1,AH529+1)</f>
        <v>1</v>
      </c>
      <c r="AI530">
        <f>IF(AD530&lt;=MiscData!$B$23,MiscData!$C$23,IF(AD530&lt;=MiscData!$B$24,MiscData!$C$24,MiscData!$C$25))</f>
        <v>20140101</v>
      </c>
      <c r="AK530" s="190" t="str">
        <f>VLOOKUP(AM530,MiscData!$AB$4:$ACB$113,2,FALSE)</f>
        <v>KUUM_300</v>
      </c>
      <c r="AL530" s="190" t="str">
        <f>VLOOKUP(AM530,MiscData!$AB$4:$AE$115,4,FALSE)</f>
        <v>LS</v>
      </c>
      <c r="AM530">
        <f>IF(AM529=MiscData!$AB$91,1,AM529+1)</f>
        <v>1</v>
      </c>
    </row>
    <row r="531" spans="1:39">
      <c r="A531" s="7">
        <f t="shared" si="233"/>
        <v>530</v>
      </c>
      <c r="B531" s="13" t="str">
        <f t="shared" si="214"/>
        <v>Jul 2015</v>
      </c>
      <c r="C531" s="23" t="str">
        <f t="shared" si="215"/>
        <v>LS</v>
      </c>
      <c r="D531" s="23" t="str">
        <f t="shared" si="216"/>
        <v>KUUM_301</v>
      </c>
      <c r="E531" s="170">
        <f t="shared" si="217"/>
        <v>0</v>
      </c>
      <c r="F531" s="185"/>
      <c r="G531" s="170">
        <f t="shared" si="218"/>
        <v>0</v>
      </c>
      <c r="H531" s="170">
        <v>0</v>
      </c>
      <c r="I531" s="11">
        <f t="shared" si="219"/>
        <v>23.5</v>
      </c>
      <c r="J531" s="11">
        <f t="shared" si="220"/>
        <v>1.129999999999999</v>
      </c>
      <c r="K531" s="416">
        <f t="shared" si="235"/>
        <v>0</v>
      </c>
      <c r="L531" s="180"/>
      <c r="M531" s="180"/>
      <c r="N531" s="186">
        <f t="shared" si="213"/>
        <v>0</v>
      </c>
      <c r="O531" s="29">
        <f t="shared" si="221"/>
        <v>0</v>
      </c>
      <c r="P531" s="181">
        <f t="shared" si="236"/>
        <v>1</v>
      </c>
      <c r="Q531" s="182">
        <f t="shared" si="222"/>
        <v>0</v>
      </c>
      <c r="R531" s="182">
        <f t="shared" si="223"/>
        <v>0</v>
      </c>
      <c r="S531" s="182">
        <f t="shared" si="224"/>
        <v>0</v>
      </c>
      <c r="T531" s="182">
        <f t="shared" si="225"/>
        <v>0</v>
      </c>
      <c r="U531" s="182">
        <f t="shared" si="226"/>
        <v>0</v>
      </c>
      <c r="V531" s="14">
        <f t="shared" si="227"/>
        <v>0</v>
      </c>
      <c r="W531" s="14">
        <f t="shared" si="228"/>
        <v>0</v>
      </c>
      <c r="Y531" s="14">
        <f t="shared" si="231"/>
        <v>0</v>
      </c>
      <c r="Z531" s="14">
        <f t="shared" si="232"/>
        <v>0</v>
      </c>
      <c r="AA531" s="11">
        <f t="shared" si="234"/>
        <v>0.34</v>
      </c>
      <c r="AB531" s="9">
        <f t="shared" si="237"/>
        <v>0</v>
      </c>
      <c r="AD531" s="13">
        <f>IF(AH531&gt;AH530,AD530,IF(AD530&lt;MiscData!$F$1,EOMONTH(AD530,1),EOMONTH(AD530,-11)))</f>
        <v>42216</v>
      </c>
      <c r="AE531" s="7" t="str">
        <f t="shared" si="229"/>
        <v>20140101KUUM_301</v>
      </c>
      <c r="AF531" s="12" t="str">
        <f t="shared" si="230"/>
        <v>20140101LS</v>
      </c>
      <c r="AG531" s="31"/>
      <c r="AH531">
        <f>IF(AH530=MiscData!$AB$91,1,AH530+1)</f>
        <v>2</v>
      </c>
      <c r="AI531">
        <f>IF(AD531&lt;=MiscData!$B$23,MiscData!$C$23,IF(AD531&lt;=MiscData!$B$24,MiscData!$C$24,MiscData!$C$25))</f>
        <v>20140101</v>
      </c>
      <c r="AK531" s="190" t="str">
        <f>VLOOKUP(AM531,MiscData!$AB$4:$ACB$113,2,FALSE)</f>
        <v>KUUM_301</v>
      </c>
      <c r="AL531" s="190" t="str">
        <f>VLOOKUP(AM531,MiscData!$AB$4:$AE$115,4,FALSE)</f>
        <v>LS</v>
      </c>
      <c r="AM531">
        <f>IF(AM530=MiscData!$AB$91,1,AM530+1)</f>
        <v>2</v>
      </c>
    </row>
    <row r="532" spans="1:39">
      <c r="A532" s="7">
        <f t="shared" si="233"/>
        <v>531</v>
      </c>
      <c r="B532" s="13" t="str">
        <f t="shared" si="214"/>
        <v>Jul 2015</v>
      </c>
      <c r="C532" s="23" t="str">
        <f t="shared" si="215"/>
        <v>LS</v>
      </c>
      <c r="D532" s="23" t="str">
        <f t="shared" si="216"/>
        <v>KUUM_360</v>
      </c>
      <c r="E532" s="170">
        <f t="shared" si="217"/>
        <v>178</v>
      </c>
      <c r="F532" s="185"/>
      <c r="G532" s="170">
        <f t="shared" si="218"/>
        <v>0</v>
      </c>
      <c r="H532" s="170">
        <v>0</v>
      </c>
      <c r="I532" s="11">
        <f t="shared" si="219"/>
        <v>55.33</v>
      </c>
      <c r="J532" s="11">
        <f t="shared" si="220"/>
        <v>1.75</v>
      </c>
      <c r="K532" s="416">
        <f t="shared" si="235"/>
        <v>9848.74</v>
      </c>
      <c r="L532" s="180"/>
      <c r="M532" s="180"/>
      <c r="N532" s="186">
        <f t="shared" si="213"/>
        <v>9848.74</v>
      </c>
      <c r="O532" s="29">
        <f t="shared" si="221"/>
        <v>0</v>
      </c>
      <c r="P532" s="181">
        <f t="shared" si="236"/>
        <v>0</v>
      </c>
      <c r="Q532" s="182">
        <f t="shared" si="222"/>
        <v>0</v>
      </c>
      <c r="R532" s="182">
        <f t="shared" si="223"/>
        <v>0</v>
      </c>
      <c r="S532" s="182">
        <f t="shared" si="224"/>
        <v>0</v>
      </c>
      <c r="T532" s="182">
        <f t="shared" si="225"/>
        <v>0</v>
      </c>
      <c r="U532" s="182">
        <f t="shared" si="226"/>
        <v>0</v>
      </c>
      <c r="V532" s="14">
        <f t="shared" si="227"/>
        <v>9848.74</v>
      </c>
      <c r="W532" s="14">
        <f t="shared" si="228"/>
        <v>-9848.74</v>
      </c>
      <c r="Y532" s="14">
        <f t="shared" si="231"/>
        <v>311.5</v>
      </c>
      <c r="Z532" s="14">
        <f t="shared" si="232"/>
        <v>-311.5</v>
      </c>
      <c r="AA532" s="11">
        <f t="shared" si="234"/>
        <v>2.41</v>
      </c>
      <c r="AB532" s="9">
        <f t="shared" si="237"/>
        <v>428.98</v>
      </c>
      <c r="AD532" s="13">
        <f>IF(AH532&gt;AH531,AD531,IF(AD531&lt;MiscData!$F$1,EOMONTH(AD531,1),EOMONTH(AD531,-11)))</f>
        <v>42216</v>
      </c>
      <c r="AE532" s="7" t="str">
        <f t="shared" si="229"/>
        <v>20140101KUUM_360</v>
      </c>
      <c r="AF532" s="12" t="str">
        <f t="shared" si="230"/>
        <v>20140101LS</v>
      </c>
      <c r="AG532" s="31"/>
      <c r="AH532">
        <f>IF(AH531=MiscData!$AB$91,1,AH531+1)</f>
        <v>3</v>
      </c>
      <c r="AI532">
        <f>IF(AD532&lt;=MiscData!$B$23,MiscData!$C$23,IF(AD532&lt;=MiscData!$B$24,MiscData!$C$24,MiscData!$C$25))</f>
        <v>20140101</v>
      </c>
      <c r="AK532" s="190" t="str">
        <f>VLOOKUP(AM532,MiscData!$AB$4:$ACB$113,2,FALSE)</f>
        <v>KUUM_360</v>
      </c>
      <c r="AL532" s="190" t="str">
        <f>VLOOKUP(AM532,MiscData!$AB$4:$AE$115,4,FALSE)</f>
        <v>LS</v>
      </c>
      <c r="AM532">
        <f>IF(AM531=MiscData!$AB$91,1,AM531+1)</f>
        <v>3</v>
      </c>
    </row>
    <row r="533" spans="1:39">
      <c r="A533" s="7">
        <f t="shared" si="233"/>
        <v>532</v>
      </c>
      <c r="B533" s="13" t="str">
        <f t="shared" si="214"/>
        <v>Jul 2015</v>
      </c>
      <c r="C533" s="23" t="str">
        <f t="shared" si="215"/>
        <v>LS</v>
      </c>
      <c r="D533" s="23" t="str">
        <f t="shared" si="216"/>
        <v>KUUM_361</v>
      </c>
      <c r="E533" s="170">
        <f t="shared" si="217"/>
        <v>25</v>
      </c>
      <c r="F533" s="185"/>
      <c r="G533" s="170">
        <f t="shared" si="218"/>
        <v>0</v>
      </c>
      <c r="H533" s="170">
        <v>0</v>
      </c>
      <c r="I533" s="11">
        <f t="shared" si="219"/>
        <v>83.16</v>
      </c>
      <c r="J533" s="11">
        <f t="shared" si="220"/>
        <v>1.75</v>
      </c>
      <c r="K533" s="416">
        <f t="shared" si="235"/>
        <v>2079</v>
      </c>
      <c r="L533" s="180"/>
      <c r="M533" s="180"/>
      <c r="N533" s="186">
        <f t="shared" si="213"/>
        <v>2079</v>
      </c>
      <c r="O533" s="29">
        <f t="shared" si="221"/>
        <v>0</v>
      </c>
      <c r="P533" s="181">
        <f t="shared" si="236"/>
        <v>0</v>
      </c>
      <c r="Q533" s="182">
        <f t="shared" si="222"/>
        <v>0</v>
      </c>
      <c r="R533" s="182">
        <f t="shared" si="223"/>
        <v>0</v>
      </c>
      <c r="S533" s="182">
        <f t="shared" si="224"/>
        <v>0</v>
      </c>
      <c r="T533" s="182">
        <f t="shared" si="225"/>
        <v>0</v>
      </c>
      <c r="U533" s="182">
        <f t="shared" si="226"/>
        <v>0</v>
      </c>
      <c r="V533" s="14">
        <f t="shared" si="227"/>
        <v>2079</v>
      </c>
      <c r="W533" s="14">
        <f t="shared" si="228"/>
        <v>-2079</v>
      </c>
      <c r="Y533" s="14">
        <f t="shared" si="231"/>
        <v>43.75</v>
      </c>
      <c r="Z533" s="14">
        <f t="shared" si="232"/>
        <v>-43.75</v>
      </c>
      <c r="AA533" s="11">
        <f t="shared" si="234"/>
        <v>2.41</v>
      </c>
      <c r="AB533" s="9">
        <f t="shared" si="237"/>
        <v>60.25</v>
      </c>
      <c r="AD533" s="13">
        <f>IF(AH533&gt;AH532,AD532,IF(AD532&lt;MiscData!$F$1,EOMONTH(AD532,1),EOMONTH(AD532,-11)))</f>
        <v>42216</v>
      </c>
      <c r="AE533" s="7" t="str">
        <f t="shared" si="229"/>
        <v>20140101KUUM_361</v>
      </c>
      <c r="AF533" s="12" t="str">
        <f t="shared" si="230"/>
        <v>20140101LS</v>
      </c>
      <c r="AG533" s="31"/>
      <c r="AH533">
        <f>IF(AH532=MiscData!$AB$91,1,AH532+1)</f>
        <v>4</v>
      </c>
      <c r="AI533">
        <f>IF(AD533&lt;=MiscData!$B$23,MiscData!$C$23,IF(AD533&lt;=MiscData!$B$24,MiscData!$C$24,MiscData!$C$25))</f>
        <v>20140101</v>
      </c>
      <c r="AK533" s="190" t="str">
        <f>VLOOKUP(AM533,MiscData!$AB$4:$ACB$113,2,FALSE)</f>
        <v>KUUM_361</v>
      </c>
      <c r="AL533" s="190" t="str">
        <f>VLOOKUP(AM533,MiscData!$AB$4:$AE$115,4,FALSE)</f>
        <v>LS</v>
      </c>
      <c r="AM533">
        <f>IF(AM532=MiscData!$AB$91,1,AM532+1)</f>
        <v>4</v>
      </c>
    </row>
    <row r="534" spans="1:39">
      <c r="A534" s="7">
        <f t="shared" si="233"/>
        <v>533</v>
      </c>
      <c r="B534" s="13" t="str">
        <f t="shared" si="214"/>
        <v>Jul 2015</v>
      </c>
      <c r="C534" s="23" t="str">
        <f t="shared" si="215"/>
        <v>LS</v>
      </c>
      <c r="D534" s="23" t="str">
        <f t="shared" si="216"/>
        <v>KUUM_362</v>
      </c>
      <c r="E534" s="170">
        <f t="shared" si="217"/>
        <v>43</v>
      </c>
      <c r="F534" s="185"/>
      <c r="G534" s="170">
        <f t="shared" si="218"/>
        <v>0</v>
      </c>
      <c r="H534" s="170">
        <v>0</v>
      </c>
      <c r="I534" s="11">
        <f t="shared" si="219"/>
        <v>59.78</v>
      </c>
      <c r="J534" s="11">
        <f t="shared" si="220"/>
        <v>1.75</v>
      </c>
      <c r="K534" s="416">
        <f t="shared" si="235"/>
        <v>2570.54</v>
      </c>
      <c r="L534" s="180"/>
      <c r="M534" s="180"/>
      <c r="N534" s="186">
        <f t="shared" si="213"/>
        <v>2570.54</v>
      </c>
      <c r="O534" s="29">
        <f t="shared" si="221"/>
        <v>0</v>
      </c>
      <c r="P534" s="181">
        <f t="shared" si="236"/>
        <v>0</v>
      </c>
      <c r="Q534" s="182">
        <f t="shared" si="222"/>
        <v>0</v>
      </c>
      <c r="R534" s="182">
        <f t="shared" si="223"/>
        <v>0</v>
      </c>
      <c r="S534" s="182">
        <f t="shared" si="224"/>
        <v>0</v>
      </c>
      <c r="T534" s="182">
        <f t="shared" si="225"/>
        <v>0</v>
      </c>
      <c r="U534" s="182">
        <f t="shared" si="226"/>
        <v>0</v>
      </c>
      <c r="V534" s="14">
        <f t="shared" si="227"/>
        <v>2570.54</v>
      </c>
      <c r="W534" s="14">
        <f t="shared" si="228"/>
        <v>-2570.54</v>
      </c>
      <c r="Y534" s="14">
        <f t="shared" si="231"/>
        <v>75.25</v>
      </c>
      <c r="Z534" s="14">
        <f t="shared" si="232"/>
        <v>-75.25</v>
      </c>
      <c r="AA534" s="11">
        <f t="shared" si="234"/>
        <v>2.41</v>
      </c>
      <c r="AB534" s="9">
        <f t="shared" si="237"/>
        <v>103.63000000000001</v>
      </c>
      <c r="AD534" s="13">
        <f>IF(AH534&gt;AH533,AD533,IF(AD533&lt;MiscData!$F$1,EOMONTH(AD533,1),EOMONTH(AD533,-11)))</f>
        <v>42216</v>
      </c>
      <c r="AE534" s="7" t="str">
        <f t="shared" si="229"/>
        <v>20140101KUUM_362</v>
      </c>
      <c r="AF534" s="12" t="str">
        <f t="shared" si="230"/>
        <v>20140101LS</v>
      </c>
      <c r="AG534" s="31"/>
      <c r="AH534">
        <f>IF(AH533=MiscData!$AB$91,1,AH533+1)</f>
        <v>5</v>
      </c>
      <c r="AI534">
        <f>IF(AD534&lt;=MiscData!$B$23,MiscData!$C$23,IF(AD534&lt;=MiscData!$B$24,MiscData!$C$24,MiscData!$C$25))</f>
        <v>20140101</v>
      </c>
      <c r="AK534" s="190" t="str">
        <f>VLOOKUP(AM534,MiscData!$AB$4:$ACB$113,2,FALSE)</f>
        <v>KUUM_362</v>
      </c>
      <c r="AL534" s="190" t="str">
        <f>VLOOKUP(AM534,MiscData!$AB$4:$AE$115,4,FALSE)</f>
        <v>LS</v>
      </c>
      <c r="AM534">
        <f>IF(AM533=MiscData!$AB$91,1,AM533+1)</f>
        <v>5</v>
      </c>
    </row>
    <row r="535" spans="1:39">
      <c r="A535" s="7">
        <f t="shared" si="233"/>
        <v>534</v>
      </c>
      <c r="B535" s="13" t="str">
        <f t="shared" si="214"/>
        <v>Jul 2015</v>
      </c>
      <c r="C535" s="23" t="str">
        <f t="shared" si="215"/>
        <v>LS</v>
      </c>
      <c r="D535" s="23" t="str">
        <f t="shared" si="216"/>
        <v>KUUM_363</v>
      </c>
      <c r="E535" s="170">
        <f t="shared" si="217"/>
        <v>5</v>
      </c>
      <c r="F535" s="185"/>
      <c r="G535" s="170">
        <f t="shared" si="218"/>
        <v>0</v>
      </c>
      <c r="H535" s="170">
        <v>0</v>
      </c>
      <c r="I535" s="11">
        <f t="shared" si="219"/>
        <v>61.75</v>
      </c>
      <c r="J535" s="11">
        <f t="shared" si="220"/>
        <v>1.75</v>
      </c>
      <c r="K535" s="416">
        <f t="shared" si="235"/>
        <v>308.75</v>
      </c>
      <c r="L535" s="180"/>
      <c r="M535" s="180"/>
      <c r="N535" s="186">
        <f t="shared" si="213"/>
        <v>308.75</v>
      </c>
      <c r="O535" s="29">
        <f t="shared" si="221"/>
        <v>0</v>
      </c>
      <c r="P535" s="181">
        <f t="shared" si="236"/>
        <v>0</v>
      </c>
      <c r="Q535" s="182">
        <f t="shared" si="222"/>
        <v>0</v>
      </c>
      <c r="R535" s="182">
        <f t="shared" si="223"/>
        <v>0</v>
      </c>
      <c r="S535" s="182">
        <f t="shared" si="224"/>
        <v>0</v>
      </c>
      <c r="T535" s="182">
        <f t="shared" si="225"/>
        <v>0</v>
      </c>
      <c r="U535" s="182">
        <f t="shared" si="226"/>
        <v>0</v>
      </c>
      <c r="V535" s="14">
        <f t="shared" si="227"/>
        <v>308.75</v>
      </c>
      <c r="W535" s="14">
        <f t="shared" si="228"/>
        <v>-308.75</v>
      </c>
      <c r="Y535" s="14">
        <f t="shared" si="231"/>
        <v>8.75</v>
      </c>
      <c r="Z535" s="14">
        <f t="shared" si="232"/>
        <v>-8.75</v>
      </c>
      <c r="AA535" s="11">
        <f t="shared" si="234"/>
        <v>2.41</v>
      </c>
      <c r="AB535" s="9">
        <f t="shared" si="237"/>
        <v>12.05</v>
      </c>
      <c r="AD535" s="13">
        <f>IF(AH535&gt;AH534,AD534,IF(AD534&lt;MiscData!$F$1,EOMONTH(AD534,1),EOMONTH(AD534,-11)))</f>
        <v>42216</v>
      </c>
      <c r="AE535" s="7" t="str">
        <f t="shared" si="229"/>
        <v>20140101KUUM_363</v>
      </c>
      <c r="AF535" s="12" t="str">
        <f t="shared" si="230"/>
        <v>20140101LS</v>
      </c>
      <c r="AG535" s="31"/>
      <c r="AH535">
        <f>IF(AH534=MiscData!$AB$91,1,AH534+1)</f>
        <v>6</v>
      </c>
      <c r="AI535">
        <f>IF(AD535&lt;=MiscData!$B$23,MiscData!$C$23,IF(AD535&lt;=MiscData!$B$24,MiscData!$C$24,MiscData!$C$25))</f>
        <v>20140101</v>
      </c>
      <c r="AK535" s="190" t="str">
        <f>VLOOKUP(AM535,MiscData!$AB$4:$ACB$113,2,FALSE)</f>
        <v>KUUM_363</v>
      </c>
      <c r="AL535" s="190" t="str">
        <f>VLOOKUP(AM535,MiscData!$AB$4:$AE$115,4,FALSE)</f>
        <v>LS</v>
      </c>
      <c r="AM535">
        <f>IF(AM534=MiscData!$AB$91,1,AM534+1)</f>
        <v>6</v>
      </c>
    </row>
    <row r="536" spans="1:39">
      <c r="A536" s="7">
        <f t="shared" si="233"/>
        <v>535</v>
      </c>
      <c r="B536" s="13" t="str">
        <f t="shared" si="214"/>
        <v>Jul 2015</v>
      </c>
      <c r="C536" s="23" t="str">
        <f t="shared" si="215"/>
        <v>LS</v>
      </c>
      <c r="D536" s="23" t="str">
        <f t="shared" si="216"/>
        <v>KUUM_364</v>
      </c>
      <c r="E536" s="170">
        <f t="shared" si="217"/>
        <v>1</v>
      </c>
      <c r="F536" s="185"/>
      <c r="G536" s="170">
        <f t="shared" si="218"/>
        <v>0</v>
      </c>
      <c r="H536" s="170">
        <v>0</v>
      </c>
      <c r="I536" s="11">
        <f t="shared" si="219"/>
        <v>63.11</v>
      </c>
      <c r="J536" s="11">
        <f t="shared" si="220"/>
        <v>1.75</v>
      </c>
      <c r="K536" s="416">
        <f t="shared" si="235"/>
        <v>63.11</v>
      </c>
      <c r="L536" s="180"/>
      <c r="M536" s="180"/>
      <c r="N536" s="186">
        <f t="shared" si="213"/>
        <v>63.11</v>
      </c>
      <c r="O536" s="29">
        <f t="shared" si="221"/>
        <v>0</v>
      </c>
      <c r="P536" s="181">
        <f t="shared" si="236"/>
        <v>0</v>
      </c>
      <c r="Q536" s="182">
        <f t="shared" si="222"/>
        <v>0</v>
      </c>
      <c r="R536" s="182">
        <f t="shared" si="223"/>
        <v>0</v>
      </c>
      <c r="S536" s="182">
        <f t="shared" si="224"/>
        <v>0</v>
      </c>
      <c r="T536" s="182">
        <f t="shared" si="225"/>
        <v>0</v>
      </c>
      <c r="U536" s="182">
        <f t="shared" si="226"/>
        <v>0</v>
      </c>
      <c r="V536" s="14">
        <f t="shared" si="227"/>
        <v>63.11</v>
      </c>
      <c r="W536" s="14">
        <f t="shared" si="228"/>
        <v>-63.11</v>
      </c>
      <c r="Y536" s="14">
        <f t="shared" si="231"/>
        <v>1.75</v>
      </c>
      <c r="Z536" s="14">
        <f t="shared" si="232"/>
        <v>-1.75</v>
      </c>
      <c r="AA536" s="11">
        <f t="shared" si="234"/>
        <v>2.41</v>
      </c>
      <c r="AB536" s="9">
        <f t="shared" si="237"/>
        <v>2.41</v>
      </c>
      <c r="AD536" s="13">
        <f>IF(AH536&gt;AH535,AD535,IF(AD535&lt;MiscData!$F$1,EOMONTH(AD535,1),EOMONTH(AD535,-11)))</f>
        <v>42216</v>
      </c>
      <c r="AE536" s="7" t="str">
        <f t="shared" si="229"/>
        <v>20140101KUUM_364</v>
      </c>
      <c r="AF536" s="12" t="str">
        <f t="shared" si="230"/>
        <v>20140101LS</v>
      </c>
      <c r="AG536" s="31"/>
      <c r="AH536">
        <f>IF(AH535=MiscData!$AB$91,1,AH535+1)</f>
        <v>7</v>
      </c>
      <c r="AI536">
        <f>IF(AD536&lt;=MiscData!$B$23,MiscData!$C$23,IF(AD536&lt;=MiscData!$B$24,MiscData!$C$24,MiscData!$C$25))</f>
        <v>20140101</v>
      </c>
      <c r="AK536" s="190" t="str">
        <f>VLOOKUP(AM536,MiscData!$AB$4:$ACB$113,2,FALSE)</f>
        <v>KUUM_364</v>
      </c>
      <c r="AL536" s="190" t="str">
        <f>VLOOKUP(AM536,MiscData!$AB$4:$AE$115,4,FALSE)</f>
        <v>LS</v>
      </c>
      <c r="AM536">
        <f>IF(AM535=MiscData!$AB$91,1,AM535+1)</f>
        <v>7</v>
      </c>
    </row>
    <row r="537" spans="1:39">
      <c r="A537" s="7">
        <f t="shared" si="233"/>
        <v>536</v>
      </c>
      <c r="B537" s="13" t="str">
        <f t="shared" si="214"/>
        <v>Jul 2015</v>
      </c>
      <c r="C537" s="23" t="str">
        <f t="shared" si="215"/>
        <v>LS</v>
      </c>
      <c r="D537" s="23" t="str">
        <f t="shared" si="216"/>
        <v>KUUM_365</v>
      </c>
      <c r="E537" s="170">
        <f t="shared" si="217"/>
        <v>5</v>
      </c>
      <c r="F537" s="185"/>
      <c r="G537" s="170">
        <f t="shared" si="218"/>
        <v>0</v>
      </c>
      <c r="H537" s="170">
        <v>0</v>
      </c>
      <c r="I537" s="11">
        <f t="shared" si="219"/>
        <v>80.94</v>
      </c>
      <c r="J537" s="11">
        <f t="shared" si="220"/>
        <v>1.75</v>
      </c>
      <c r="K537" s="416">
        <f t="shared" si="235"/>
        <v>404.7</v>
      </c>
      <c r="L537" s="180"/>
      <c r="M537" s="180"/>
      <c r="N537" s="186">
        <f t="shared" si="213"/>
        <v>404.7</v>
      </c>
      <c r="O537" s="29">
        <f t="shared" si="221"/>
        <v>0</v>
      </c>
      <c r="P537" s="181">
        <f t="shared" si="236"/>
        <v>0</v>
      </c>
      <c r="Q537" s="182">
        <f t="shared" si="222"/>
        <v>0</v>
      </c>
      <c r="R537" s="182">
        <f t="shared" si="223"/>
        <v>0</v>
      </c>
      <c r="S537" s="182">
        <f t="shared" si="224"/>
        <v>0</v>
      </c>
      <c r="T537" s="182">
        <f t="shared" si="225"/>
        <v>0</v>
      </c>
      <c r="U537" s="182">
        <f t="shared" si="226"/>
        <v>0</v>
      </c>
      <c r="V537" s="14">
        <f t="shared" si="227"/>
        <v>404.7</v>
      </c>
      <c r="W537" s="14">
        <f t="shared" si="228"/>
        <v>-404.7</v>
      </c>
      <c r="Y537" s="14">
        <f t="shared" si="231"/>
        <v>8.75</v>
      </c>
      <c r="Z537" s="14">
        <f t="shared" si="232"/>
        <v>-8.75</v>
      </c>
      <c r="AA537" s="11">
        <f t="shared" si="234"/>
        <v>2.41</v>
      </c>
      <c r="AB537" s="9">
        <f t="shared" si="237"/>
        <v>12.05</v>
      </c>
      <c r="AD537" s="13">
        <f>IF(AH537&gt;AH536,AD536,IF(AD536&lt;MiscData!$F$1,EOMONTH(AD536,1),EOMONTH(AD536,-11)))</f>
        <v>42216</v>
      </c>
      <c r="AE537" s="7" t="str">
        <f t="shared" si="229"/>
        <v>20140101KUUM_365</v>
      </c>
      <c r="AF537" s="12" t="str">
        <f t="shared" si="230"/>
        <v>20140101LS</v>
      </c>
      <c r="AG537" s="31"/>
      <c r="AH537">
        <f>IF(AH536=MiscData!$AB$91,1,AH536+1)</f>
        <v>8</v>
      </c>
      <c r="AI537">
        <f>IF(AD537&lt;=MiscData!$B$23,MiscData!$C$23,IF(AD537&lt;=MiscData!$B$24,MiscData!$C$24,MiscData!$C$25))</f>
        <v>20140101</v>
      </c>
      <c r="AK537" s="190" t="str">
        <f>VLOOKUP(AM537,MiscData!$AB$4:$ACB$113,2,FALSE)</f>
        <v>KUUM_365</v>
      </c>
      <c r="AL537" s="190" t="str">
        <f>VLOOKUP(AM537,MiscData!$AB$4:$AE$115,4,FALSE)</f>
        <v>LS</v>
      </c>
      <c r="AM537">
        <f>IF(AM536=MiscData!$AB$91,1,AM536+1)</f>
        <v>8</v>
      </c>
    </row>
    <row r="538" spans="1:39">
      <c r="A538" s="7">
        <f t="shared" si="233"/>
        <v>537</v>
      </c>
      <c r="B538" s="13" t="str">
        <f t="shared" si="214"/>
        <v>Jul 2015</v>
      </c>
      <c r="C538" s="23" t="str">
        <f t="shared" si="215"/>
        <v>LS</v>
      </c>
      <c r="D538" s="23" t="str">
        <f t="shared" si="216"/>
        <v>KUUM_366</v>
      </c>
      <c r="E538" s="170">
        <f t="shared" si="217"/>
        <v>9</v>
      </c>
      <c r="F538" s="185"/>
      <c r="G538" s="170">
        <f t="shared" si="218"/>
        <v>0</v>
      </c>
      <c r="H538" s="170">
        <v>0</v>
      </c>
      <c r="I538" s="11">
        <f t="shared" si="219"/>
        <v>78.97</v>
      </c>
      <c r="J538" s="11">
        <f t="shared" si="220"/>
        <v>1.75</v>
      </c>
      <c r="K538" s="416">
        <f t="shared" si="235"/>
        <v>710.73</v>
      </c>
      <c r="L538" s="180"/>
      <c r="M538" s="180"/>
      <c r="N538" s="186">
        <f t="shared" si="213"/>
        <v>710.73</v>
      </c>
      <c r="O538" s="29">
        <f t="shared" si="221"/>
        <v>0</v>
      </c>
      <c r="P538" s="181">
        <f t="shared" si="236"/>
        <v>0</v>
      </c>
      <c r="Q538" s="182">
        <f t="shared" si="222"/>
        <v>0</v>
      </c>
      <c r="R538" s="182">
        <f t="shared" si="223"/>
        <v>0</v>
      </c>
      <c r="S538" s="182">
        <f t="shared" si="224"/>
        <v>0</v>
      </c>
      <c r="T538" s="182">
        <f t="shared" si="225"/>
        <v>0</v>
      </c>
      <c r="U538" s="182">
        <f t="shared" si="226"/>
        <v>0</v>
      </c>
      <c r="V538" s="14">
        <f t="shared" si="227"/>
        <v>710.73</v>
      </c>
      <c r="W538" s="14">
        <f t="shared" si="228"/>
        <v>-710.73</v>
      </c>
      <c r="Y538" s="14">
        <f t="shared" si="231"/>
        <v>15.75</v>
      </c>
      <c r="Z538" s="14">
        <f t="shared" si="232"/>
        <v>-15.75</v>
      </c>
      <c r="AA538" s="11">
        <f t="shared" si="234"/>
        <v>2.41</v>
      </c>
      <c r="AB538" s="9">
        <f t="shared" si="237"/>
        <v>21.69</v>
      </c>
      <c r="AD538" s="13">
        <f>IF(AH538&gt;AH537,AD537,IF(AD537&lt;MiscData!$F$1,EOMONTH(AD537,1),EOMONTH(AD537,-11)))</f>
        <v>42216</v>
      </c>
      <c r="AE538" s="7" t="str">
        <f t="shared" si="229"/>
        <v>20140101KUUM_366</v>
      </c>
      <c r="AF538" s="12" t="str">
        <f t="shared" si="230"/>
        <v>20140101LS</v>
      </c>
      <c r="AG538" s="31"/>
      <c r="AH538">
        <f>IF(AH537=MiscData!$AB$91,1,AH537+1)</f>
        <v>9</v>
      </c>
      <c r="AI538">
        <f>IF(AD538&lt;=MiscData!$B$23,MiscData!$C$23,IF(AD538&lt;=MiscData!$B$24,MiscData!$C$24,MiscData!$C$25))</f>
        <v>20140101</v>
      </c>
      <c r="AK538" s="190" t="str">
        <f>VLOOKUP(AM538,MiscData!$AB$4:$ACB$113,2,FALSE)</f>
        <v>KUUM_366</v>
      </c>
      <c r="AL538" s="190" t="str">
        <f>VLOOKUP(AM538,MiscData!$AB$4:$AE$115,4,FALSE)</f>
        <v>LS</v>
      </c>
      <c r="AM538">
        <f>IF(AM537=MiscData!$AB$91,1,AM537+1)</f>
        <v>9</v>
      </c>
    </row>
    <row r="539" spans="1:39">
      <c r="A539" s="7">
        <f t="shared" si="233"/>
        <v>538</v>
      </c>
      <c r="B539" s="13" t="str">
        <f t="shared" si="214"/>
        <v>Jul 2015</v>
      </c>
      <c r="C539" s="23" t="str">
        <f t="shared" si="215"/>
        <v>LS</v>
      </c>
      <c r="D539" s="23" t="str">
        <f t="shared" si="216"/>
        <v>KUUM_367</v>
      </c>
      <c r="E539" s="170">
        <f t="shared" si="217"/>
        <v>25</v>
      </c>
      <c r="F539" s="185"/>
      <c r="G539" s="170">
        <f t="shared" si="218"/>
        <v>0</v>
      </c>
      <c r="H539" s="170">
        <v>0</v>
      </c>
      <c r="I539" s="11">
        <f t="shared" si="219"/>
        <v>61.230000000000004</v>
      </c>
      <c r="J539" s="11">
        <f t="shared" si="220"/>
        <v>1.75</v>
      </c>
      <c r="K539" s="416">
        <f t="shared" si="235"/>
        <v>1530.75</v>
      </c>
      <c r="L539" s="180"/>
      <c r="M539" s="180"/>
      <c r="N539" s="186">
        <f t="shared" si="213"/>
        <v>1530.75</v>
      </c>
      <c r="O539" s="29">
        <f t="shared" si="221"/>
        <v>0</v>
      </c>
      <c r="P539" s="181">
        <f t="shared" si="236"/>
        <v>0</v>
      </c>
      <c r="Q539" s="182">
        <f t="shared" si="222"/>
        <v>0</v>
      </c>
      <c r="R539" s="182">
        <f t="shared" si="223"/>
        <v>0</v>
      </c>
      <c r="S539" s="182">
        <f t="shared" si="224"/>
        <v>0</v>
      </c>
      <c r="T539" s="182">
        <f t="shared" si="225"/>
        <v>0</v>
      </c>
      <c r="U539" s="182">
        <f t="shared" si="226"/>
        <v>0</v>
      </c>
      <c r="V539" s="14">
        <f t="shared" si="227"/>
        <v>1530.75</v>
      </c>
      <c r="W539" s="14">
        <f t="shared" si="228"/>
        <v>-1530.75</v>
      </c>
      <c r="Y539" s="14">
        <f t="shared" si="231"/>
        <v>43.75</v>
      </c>
      <c r="Z539" s="14">
        <f t="shared" si="232"/>
        <v>-43.75</v>
      </c>
      <c r="AA539" s="11">
        <f t="shared" si="234"/>
        <v>2.41</v>
      </c>
      <c r="AB539" s="9">
        <f t="shared" si="237"/>
        <v>60.25</v>
      </c>
      <c r="AD539" s="13">
        <f>IF(AH539&gt;AH538,AD538,IF(AD538&lt;MiscData!$F$1,EOMONTH(AD538,1),EOMONTH(AD538,-11)))</f>
        <v>42216</v>
      </c>
      <c r="AE539" s="7" t="str">
        <f t="shared" si="229"/>
        <v>20140101KUUM_367</v>
      </c>
      <c r="AF539" s="12" t="str">
        <f t="shared" si="230"/>
        <v>20140101LS</v>
      </c>
      <c r="AG539" s="31"/>
      <c r="AH539">
        <f>IF(AH538=MiscData!$AB$91,1,AH538+1)</f>
        <v>10</v>
      </c>
      <c r="AI539">
        <f>IF(AD539&lt;=MiscData!$B$23,MiscData!$C$23,IF(AD539&lt;=MiscData!$B$24,MiscData!$C$24,MiscData!$C$25))</f>
        <v>20140101</v>
      </c>
      <c r="AK539" s="190" t="str">
        <f>VLOOKUP(AM539,MiscData!$AB$4:$ACB$113,2,FALSE)</f>
        <v>KUUM_367</v>
      </c>
      <c r="AL539" s="190" t="str">
        <f>VLOOKUP(AM539,MiscData!$AB$4:$AE$115,4,FALSE)</f>
        <v>LS</v>
      </c>
      <c r="AM539">
        <f>IF(AM538=MiscData!$AB$91,1,AM538+1)</f>
        <v>10</v>
      </c>
    </row>
    <row r="540" spans="1:39">
      <c r="A540" s="7">
        <f t="shared" si="233"/>
        <v>539</v>
      </c>
      <c r="B540" s="13" t="str">
        <f t="shared" si="214"/>
        <v>Jul 2015</v>
      </c>
      <c r="C540" s="23" t="str">
        <f t="shared" si="215"/>
        <v>LS</v>
      </c>
      <c r="D540" s="23" t="str">
        <f t="shared" si="216"/>
        <v>KUUM_368</v>
      </c>
      <c r="E540" s="170">
        <f t="shared" si="217"/>
        <v>1</v>
      </c>
      <c r="F540" s="185"/>
      <c r="G540" s="170">
        <f t="shared" si="218"/>
        <v>0</v>
      </c>
      <c r="H540" s="170">
        <v>0</v>
      </c>
      <c r="I540" s="11">
        <f t="shared" si="219"/>
        <v>56.69</v>
      </c>
      <c r="J540" s="11">
        <f t="shared" si="220"/>
        <v>1.75</v>
      </c>
      <c r="K540" s="416">
        <f t="shared" si="235"/>
        <v>56.69</v>
      </c>
      <c r="L540" s="180"/>
      <c r="M540" s="180"/>
      <c r="N540" s="186">
        <f t="shared" si="213"/>
        <v>56.69</v>
      </c>
      <c r="O540" s="29">
        <f t="shared" si="221"/>
        <v>0</v>
      </c>
      <c r="P540" s="181">
        <f t="shared" si="236"/>
        <v>0</v>
      </c>
      <c r="Q540" s="182">
        <f t="shared" si="222"/>
        <v>0</v>
      </c>
      <c r="R540" s="182">
        <f t="shared" si="223"/>
        <v>0</v>
      </c>
      <c r="S540" s="182">
        <f t="shared" si="224"/>
        <v>0</v>
      </c>
      <c r="T540" s="182">
        <f t="shared" si="225"/>
        <v>0</v>
      </c>
      <c r="U540" s="182">
        <f t="shared" si="226"/>
        <v>0</v>
      </c>
      <c r="V540" s="14">
        <f t="shared" si="227"/>
        <v>56.69</v>
      </c>
      <c r="W540" s="14">
        <f t="shared" si="228"/>
        <v>-56.69</v>
      </c>
      <c r="Y540" s="14">
        <f t="shared" si="231"/>
        <v>1.75</v>
      </c>
      <c r="Z540" s="14">
        <f t="shared" si="232"/>
        <v>-1.75</v>
      </c>
      <c r="AA540" s="11">
        <f t="shared" si="234"/>
        <v>2.41</v>
      </c>
      <c r="AB540" s="9">
        <f t="shared" si="237"/>
        <v>2.41</v>
      </c>
      <c r="AD540" s="13">
        <f>IF(AH540&gt;AH539,AD539,IF(AD539&lt;MiscData!$F$1,EOMONTH(AD539,1),EOMONTH(AD539,-11)))</f>
        <v>42216</v>
      </c>
      <c r="AE540" s="7" t="str">
        <f t="shared" si="229"/>
        <v>20140101KUUM_368</v>
      </c>
      <c r="AF540" s="12" t="str">
        <f t="shared" si="230"/>
        <v>20140101LS</v>
      </c>
      <c r="AG540" s="31"/>
      <c r="AH540">
        <f>IF(AH539=MiscData!$AB$91,1,AH539+1)</f>
        <v>11</v>
      </c>
      <c r="AI540">
        <f>IF(AD540&lt;=MiscData!$B$23,MiscData!$C$23,IF(AD540&lt;=MiscData!$B$24,MiscData!$C$24,MiscData!$C$25))</f>
        <v>20140101</v>
      </c>
      <c r="AK540" s="190" t="str">
        <f>VLOOKUP(AM540,MiscData!$AB$4:$ACB$113,2,FALSE)</f>
        <v>KUUM_368</v>
      </c>
      <c r="AL540" s="190" t="str">
        <f>VLOOKUP(AM540,MiscData!$AB$4:$AE$115,4,FALSE)</f>
        <v>LS</v>
      </c>
      <c r="AM540">
        <f>IF(AM539=MiscData!$AB$91,1,AM539+1)</f>
        <v>11</v>
      </c>
    </row>
    <row r="541" spans="1:39">
      <c r="A541" s="7">
        <f t="shared" si="233"/>
        <v>540</v>
      </c>
      <c r="B541" s="13" t="str">
        <f t="shared" si="214"/>
        <v>Jul 2015</v>
      </c>
      <c r="C541" s="23" t="str">
        <f t="shared" si="215"/>
        <v>LS</v>
      </c>
      <c r="D541" s="23" t="str">
        <f t="shared" si="216"/>
        <v>KUUM_370</v>
      </c>
      <c r="E541" s="170">
        <f t="shared" si="217"/>
        <v>15</v>
      </c>
      <c r="F541" s="185"/>
      <c r="G541" s="170">
        <f t="shared" si="218"/>
        <v>0</v>
      </c>
      <c r="H541" s="170">
        <v>0</v>
      </c>
      <c r="I541" s="11">
        <f t="shared" si="219"/>
        <v>74.52</v>
      </c>
      <c r="J541" s="11">
        <f t="shared" si="220"/>
        <v>1.75</v>
      </c>
      <c r="K541" s="416">
        <f t="shared" si="235"/>
        <v>1117.8</v>
      </c>
      <c r="L541" s="180"/>
      <c r="M541" s="180"/>
      <c r="N541" s="186">
        <f t="shared" si="213"/>
        <v>1117.8</v>
      </c>
      <c r="O541" s="29">
        <f t="shared" si="221"/>
        <v>0</v>
      </c>
      <c r="P541" s="181">
        <f t="shared" si="236"/>
        <v>0</v>
      </c>
      <c r="Q541" s="182">
        <f t="shared" si="222"/>
        <v>0</v>
      </c>
      <c r="R541" s="182">
        <f t="shared" si="223"/>
        <v>0</v>
      </c>
      <c r="S541" s="182">
        <f t="shared" si="224"/>
        <v>0</v>
      </c>
      <c r="T541" s="182">
        <f t="shared" si="225"/>
        <v>0</v>
      </c>
      <c r="U541" s="182">
        <f t="shared" si="226"/>
        <v>0</v>
      </c>
      <c r="V541" s="14">
        <f t="shared" si="227"/>
        <v>1117.8</v>
      </c>
      <c r="W541" s="14">
        <f t="shared" si="228"/>
        <v>-1117.8</v>
      </c>
      <c r="Y541" s="14">
        <f t="shared" si="231"/>
        <v>26.25</v>
      </c>
      <c r="Z541" s="14">
        <f t="shared" si="232"/>
        <v>-26.25</v>
      </c>
      <c r="AA541" s="11">
        <f t="shared" si="234"/>
        <v>2.41</v>
      </c>
      <c r="AB541" s="9">
        <f t="shared" si="237"/>
        <v>36.150000000000006</v>
      </c>
      <c r="AD541" s="13">
        <f>IF(AH541&gt;AH540,AD540,IF(AD540&lt;MiscData!$F$1,EOMONTH(AD540,1),EOMONTH(AD540,-11)))</f>
        <v>42216</v>
      </c>
      <c r="AE541" s="7" t="str">
        <f t="shared" si="229"/>
        <v>20140101KUUM_370</v>
      </c>
      <c r="AF541" s="12" t="str">
        <f t="shared" si="230"/>
        <v>20140101LS</v>
      </c>
      <c r="AG541" s="31"/>
      <c r="AH541">
        <f>IF(AH540=MiscData!$AB$91,1,AH540+1)</f>
        <v>12</v>
      </c>
      <c r="AI541">
        <f>IF(AD541&lt;=MiscData!$B$23,MiscData!$C$23,IF(AD541&lt;=MiscData!$B$24,MiscData!$C$24,MiscData!$C$25))</f>
        <v>20140101</v>
      </c>
      <c r="AK541" s="190" t="str">
        <f>VLOOKUP(AM541,MiscData!$AB$4:$ACB$113,2,FALSE)</f>
        <v>KUUM_370</v>
      </c>
      <c r="AL541" s="190" t="str">
        <f>VLOOKUP(AM541,MiscData!$AB$4:$AE$115,4,FALSE)</f>
        <v>LS</v>
      </c>
      <c r="AM541">
        <f>IF(AM540=MiscData!$AB$91,1,AM540+1)</f>
        <v>12</v>
      </c>
    </row>
    <row r="542" spans="1:39">
      <c r="A542" s="7">
        <f t="shared" si="233"/>
        <v>541</v>
      </c>
      <c r="B542" s="13" t="str">
        <f t="shared" si="214"/>
        <v>Jul 2015</v>
      </c>
      <c r="C542" s="23" t="str">
        <f t="shared" si="215"/>
        <v>LS</v>
      </c>
      <c r="D542" s="23" t="str">
        <f t="shared" si="216"/>
        <v>KUUM_372</v>
      </c>
      <c r="E542" s="170">
        <f t="shared" si="217"/>
        <v>1</v>
      </c>
      <c r="F542" s="185"/>
      <c r="G542" s="170">
        <f t="shared" si="218"/>
        <v>0</v>
      </c>
      <c r="H542" s="170">
        <v>0</v>
      </c>
      <c r="I542" s="11">
        <f t="shared" si="219"/>
        <v>82.3</v>
      </c>
      <c r="J542" s="11">
        <f t="shared" si="220"/>
        <v>1.75</v>
      </c>
      <c r="K542" s="416">
        <f t="shared" si="235"/>
        <v>82.3</v>
      </c>
      <c r="L542" s="180"/>
      <c r="M542" s="180"/>
      <c r="N542" s="186">
        <f t="shared" si="213"/>
        <v>82.3</v>
      </c>
      <c r="O542" s="29">
        <f t="shared" si="221"/>
        <v>0</v>
      </c>
      <c r="P542" s="181">
        <f t="shared" si="236"/>
        <v>0</v>
      </c>
      <c r="Q542" s="182">
        <f t="shared" si="222"/>
        <v>0</v>
      </c>
      <c r="R542" s="182">
        <f t="shared" si="223"/>
        <v>0</v>
      </c>
      <c r="S542" s="182">
        <f t="shared" si="224"/>
        <v>0</v>
      </c>
      <c r="T542" s="182">
        <f t="shared" si="225"/>
        <v>0</v>
      </c>
      <c r="U542" s="182">
        <f t="shared" si="226"/>
        <v>0</v>
      </c>
      <c r="V542" s="14">
        <f t="shared" si="227"/>
        <v>82.3</v>
      </c>
      <c r="W542" s="14">
        <f t="shared" si="228"/>
        <v>-82.3</v>
      </c>
      <c r="Y542" s="14">
        <f t="shared" si="231"/>
        <v>1.75</v>
      </c>
      <c r="Z542" s="14">
        <f t="shared" si="232"/>
        <v>-1.75</v>
      </c>
      <c r="AA542" s="11">
        <f t="shared" si="234"/>
        <v>2.41</v>
      </c>
      <c r="AB542" s="9">
        <f t="shared" si="237"/>
        <v>2.41</v>
      </c>
      <c r="AD542" s="13">
        <f>IF(AH542&gt;AH541,AD541,IF(AD541&lt;MiscData!$F$1,EOMONTH(AD541,1),EOMONTH(AD541,-11)))</f>
        <v>42216</v>
      </c>
      <c r="AE542" s="7" t="str">
        <f t="shared" si="229"/>
        <v>20140101KUUM_372</v>
      </c>
      <c r="AF542" s="12" t="str">
        <f t="shared" si="230"/>
        <v>20140101LS</v>
      </c>
      <c r="AG542" s="31"/>
      <c r="AH542">
        <f>IF(AH541=MiscData!$AB$91,1,AH541+1)</f>
        <v>13</v>
      </c>
      <c r="AI542">
        <f>IF(AD542&lt;=MiscData!$B$23,MiscData!$C$23,IF(AD542&lt;=MiscData!$B$24,MiscData!$C$24,MiscData!$C$25))</f>
        <v>20140101</v>
      </c>
      <c r="AK542" s="190" t="str">
        <f>VLOOKUP(AM542,MiscData!$AB$4:$ACB$113,2,FALSE)</f>
        <v>KUUM_372</v>
      </c>
      <c r="AL542" s="190" t="str">
        <f>VLOOKUP(AM542,MiscData!$AB$4:$AE$115,4,FALSE)</f>
        <v>LS</v>
      </c>
      <c r="AM542">
        <f>IF(AM541=MiscData!$AB$91,1,AM541+1)</f>
        <v>13</v>
      </c>
    </row>
    <row r="543" spans="1:39">
      <c r="A543" s="7">
        <f t="shared" si="233"/>
        <v>542</v>
      </c>
      <c r="B543" s="13" t="str">
        <f t="shared" si="214"/>
        <v>Jul 2015</v>
      </c>
      <c r="C543" s="23" t="str">
        <f t="shared" si="215"/>
        <v>LS</v>
      </c>
      <c r="D543" s="23" t="str">
        <f t="shared" si="216"/>
        <v>KUUM_373</v>
      </c>
      <c r="E543" s="170">
        <f t="shared" si="217"/>
        <v>20</v>
      </c>
      <c r="F543" s="185"/>
      <c r="G543" s="170">
        <f t="shared" si="218"/>
        <v>0</v>
      </c>
      <c r="H543" s="170">
        <v>0</v>
      </c>
      <c r="I543" s="11">
        <f t="shared" si="219"/>
        <v>74.52</v>
      </c>
      <c r="J543" s="11">
        <f t="shared" si="220"/>
        <v>1.75</v>
      </c>
      <c r="K543" s="416">
        <f t="shared" si="235"/>
        <v>1490.4</v>
      </c>
      <c r="L543" s="180"/>
      <c r="M543" s="180"/>
      <c r="N543" s="186">
        <f t="shared" si="213"/>
        <v>1490.4</v>
      </c>
      <c r="O543" s="29">
        <f t="shared" si="221"/>
        <v>0</v>
      </c>
      <c r="P543" s="181">
        <f t="shared" si="236"/>
        <v>0</v>
      </c>
      <c r="Q543" s="182">
        <f t="shared" si="222"/>
        <v>0</v>
      </c>
      <c r="R543" s="182">
        <f t="shared" si="223"/>
        <v>0</v>
      </c>
      <c r="S543" s="182">
        <f t="shared" si="224"/>
        <v>0</v>
      </c>
      <c r="T543" s="182">
        <f t="shared" si="225"/>
        <v>0</v>
      </c>
      <c r="U543" s="182">
        <f t="shared" si="226"/>
        <v>0</v>
      </c>
      <c r="V543" s="14">
        <f t="shared" si="227"/>
        <v>1490.4</v>
      </c>
      <c r="W543" s="14">
        <f t="shared" si="228"/>
        <v>-1490.4</v>
      </c>
      <c r="Y543" s="14">
        <f t="shared" si="231"/>
        <v>35</v>
      </c>
      <c r="Z543" s="14">
        <f t="shared" si="232"/>
        <v>-35</v>
      </c>
      <c r="AA543" s="11">
        <f t="shared" si="234"/>
        <v>2.41</v>
      </c>
      <c r="AB543" s="9">
        <f t="shared" si="237"/>
        <v>48.2</v>
      </c>
      <c r="AD543" s="13">
        <f>IF(AH543&gt;AH542,AD542,IF(AD542&lt;MiscData!$F$1,EOMONTH(AD542,1),EOMONTH(AD542,-11)))</f>
        <v>42216</v>
      </c>
      <c r="AE543" s="7" t="str">
        <f t="shared" si="229"/>
        <v>20140101KUUM_373</v>
      </c>
      <c r="AF543" s="12" t="str">
        <f t="shared" si="230"/>
        <v>20140101LS</v>
      </c>
      <c r="AG543" s="31"/>
      <c r="AH543">
        <f>IF(AH542=MiscData!$AB$91,1,AH542+1)</f>
        <v>14</v>
      </c>
      <c r="AI543">
        <f>IF(AD543&lt;=MiscData!$B$23,MiscData!$C$23,IF(AD543&lt;=MiscData!$B$24,MiscData!$C$24,MiscData!$C$25))</f>
        <v>20140101</v>
      </c>
      <c r="AK543" s="190" t="str">
        <f>VLOOKUP(AM543,MiscData!$AB$4:$ACB$113,2,FALSE)</f>
        <v>KUUM_373</v>
      </c>
      <c r="AL543" s="190" t="str">
        <f>VLOOKUP(AM543,MiscData!$AB$4:$AE$115,4,FALSE)</f>
        <v>LS</v>
      </c>
      <c r="AM543">
        <f>IF(AM542=MiscData!$AB$91,1,AM542+1)</f>
        <v>14</v>
      </c>
    </row>
    <row r="544" spans="1:39">
      <c r="A544" s="7">
        <f t="shared" si="233"/>
        <v>543</v>
      </c>
      <c r="B544" s="13" t="str">
        <f t="shared" si="214"/>
        <v>Jul 2015</v>
      </c>
      <c r="C544" s="23" t="str">
        <f t="shared" si="215"/>
        <v>LS</v>
      </c>
      <c r="D544" s="23" t="str">
        <f t="shared" si="216"/>
        <v>KUUM_374</v>
      </c>
      <c r="E544" s="170">
        <f t="shared" si="217"/>
        <v>4</v>
      </c>
      <c r="F544" s="185"/>
      <c r="G544" s="170">
        <f t="shared" si="218"/>
        <v>0</v>
      </c>
      <c r="H544" s="170">
        <v>2034</v>
      </c>
      <c r="I544" s="11">
        <f t="shared" si="219"/>
        <v>75.88</v>
      </c>
      <c r="J544" s="11">
        <f t="shared" si="220"/>
        <v>1.75</v>
      </c>
      <c r="K544" s="416">
        <f t="shared" si="235"/>
        <v>303.52</v>
      </c>
      <c r="L544" s="180"/>
      <c r="M544" s="180"/>
      <c r="N544" s="186">
        <f t="shared" si="213"/>
        <v>303.52</v>
      </c>
      <c r="O544" s="29">
        <f t="shared" si="221"/>
        <v>0</v>
      </c>
      <c r="P544" s="181">
        <f t="shared" si="236"/>
        <v>0</v>
      </c>
      <c r="Q544" s="182">
        <f t="shared" si="222"/>
        <v>0</v>
      </c>
      <c r="R544" s="182">
        <f t="shared" si="223"/>
        <v>0</v>
      </c>
      <c r="S544" s="182">
        <f t="shared" si="224"/>
        <v>0</v>
      </c>
      <c r="T544" s="182">
        <f t="shared" si="225"/>
        <v>0</v>
      </c>
      <c r="U544" s="182">
        <f t="shared" si="226"/>
        <v>0</v>
      </c>
      <c r="V544" s="14">
        <f t="shared" si="227"/>
        <v>303.52</v>
      </c>
      <c r="W544" s="14">
        <f t="shared" si="228"/>
        <v>-303.52</v>
      </c>
      <c r="Y544" s="14">
        <f t="shared" si="231"/>
        <v>7</v>
      </c>
      <c r="Z544" s="14">
        <f t="shared" si="232"/>
        <v>-7</v>
      </c>
      <c r="AA544" s="11">
        <f t="shared" si="234"/>
        <v>2.41</v>
      </c>
      <c r="AB544" s="9">
        <f t="shared" si="237"/>
        <v>9.64</v>
      </c>
      <c r="AD544" s="13">
        <f>IF(AH544&gt;AH543,AD543,IF(AD543&lt;MiscData!$F$1,EOMONTH(AD543,1),EOMONTH(AD543,-11)))</f>
        <v>42216</v>
      </c>
      <c r="AE544" s="7" t="str">
        <f t="shared" si="229"/>
        <v>20140101KUUM_374</v>
      </c>
      <c r="AF544" s="12" t="str">
        <f t="shared" si="230"/>
        <v>20140101LS</v>
      </c>
      <c r="AG544" s="31"/>
      <c r="AH544">
        <f>IF(AH543=MiscData!$AB$91,1,AH543+1)</f>
        <v>15</v>
      </c>
      <c r="AI544">
        <f>IF(AD544&lt;=MiscData!$B$23,MiscData!$C$23,IF(AD544&lt;=MiscData!$B$24,MiscData!$C$24,MiscData!$C$25))</f>
        <v>20140101</v>
      </c>
      <c r="AK544" s="190" t="str">
        <f>VLOOKUP(AM544,MiscData!$AB$4:$ACB$113,2,FALSE)</f>
        <v>KUUM_374</v>
      </c>
      <c r="AL544" s="190" t="str">
        <f>VLOOKUP(AM544,MiscData!$AB$4:$AE$115,4,FALSE)</f>
        <v>LS</v>
      </c>
      <c r="AM544">
        <f>IF(AM543=MiscData!$AB$91,1,AM543+1)</f>
        <v>15</v>
      </c>
    </row>
    <row r="545" spans="1:39">
      <c r="A545" s="7">
        <f t="shared" si="233"/>
        <v>544</v>
      </c>
      <c r="B545" s="13" t="str">
        <f t="shared" si="214"/>
        <v>Jul 2015</v>
      </c>
      <c r="C545" s="23" t="str">
        <f t="shared" si="215"/>
        <v>LS</v>
      </c>
      <c r="D545" s="23" t="str">
        <f t="shared" si="216"/>
        <v>KUUM_375</v>
      </c>
      <c r="E545" s="170">
        <f t="shared" si="217"/>
        <v>3</v>
      </c>
      <c r="F545" s="185"/>
      <c r="G545" s="170">
        <f t="shared" si="218"/>
        <v>0</v>
      </c>
      <c r="H545" s="170">
        <v>0</v>
      </c>
      <c r="I545" s="11">
        <f t="shared" si="219"/>
        <v>78.97</v>
      </c>
      <c r="J545" s="11">
        <f t="shared" si="220"/>
        <v>1.75</v>
      </c>
      <c r="K545" s="416">
        <f t="shared" si="235"/>
        <v>236.91</v>
      </c>
      <c r="L545" s="180"/>
      <c r="M545" s="180"/>
      <c r="N545" s="186">
        <f t="shared" si="213"/>
        <v>236.91</v>
      </c>
      <c r="O545" s="29">
        <f t="shared" si="221"/>
        <v>0</v>
      </c>
      <c r="P545" s="181">
        <f t="shared" si="236"/>
        <v>0</v>
      </c>
      <c r="Q545" s="182">
        <f t="shared" si="222"/>
        <v>0</v>
      </c>
      <c r="R545" s="182">
        <f t="shared" si="223"/>
        <v>0</v>
      </c>
      <c r="S545" s="182">
        <f t="shared" si="224"/>
        <v>0</v>
      </c>
      <c r="T545" s="182">
        <f t="shared" si="225"/>
        <v>0</v>
      </c>
      <c r="U545" s="182">
        <f t="shared" si="226"/>
        <v>0</v>
      </c>
      <c r="V545" s="14">
        <f t="shared" si="227"/>
        <v>236.91</v>
      </c>
      <c r="W545" s="14">
        <f t="shared" si="228"/>
        <v>-236.91</v>
      </c>
      <c r="Y545" s="14">
        <f t="shared" si="231"/>
        <v>5.25</v>
      </c>
      <c r="Z545" s="14">
        <f t="shared" si="232"/>
        <v>-5.25</v>
      </c>
      <c r="AA545" s="11">
        <f t="shared" si="234"/>
        <v>2.41</v>
      </c>
      <c r="AB545" s="9">
        <f t="shared" si="237"/>
        <v>7.23</v>
      </c>
      <c r="AD545" s="13">
        <f>IF(AH545&gt;AH544,AD544,IF(AD544&lt;MiscData!$F$1,EOMONTH(AD544,1),EOMONTH(AD544,-11)))</f>
        <v>42216</v>
      </c>
      <c r="AE545" s="7" t="str">
        <f t="shared" si="229"/>
        <v>20140101KUUM_375</v>
      </c>
      <c r="AF545" s="12" t="str">
        <f t="shared" si="230"/>
        <v>20140101LS</v>
      </c>
      <c r="AG545" s="31"/>
      <c r="AH545">
        <f>IF(AH544=MiscData!$AB$91,1,AH544+1)</f>
        <v>16</v>
      </c>
      <c r="AI545">
        <f>IF(AD545&lt;=MiscData!$B$23,MiscData!$C$23,IF(AD545&lt;=MiscData!$B$24,MiscData!$C$24,MiscData!$C$25))</f>
        <v>20140101</v>
      </c>
      <c r="AK545" s="190" t="str">
        <f>VLOOKUP(AM545,MiscData!$AB$4:$ACB$113,2,FALSE)</f>
        <v>KUUM_375</v>
      </c>
      <c r="AL545" s="190" t="str">
        <f>VLOOKUP(AM545,MiscData!$AB$4:$AE$115,4,FALSE)</f>
        <v>LS</v>
      </c>
      <c r="AM545">
        <f>IF(AM544=MiscData!$AB$91,1,AM544+1)</f>
        <v>16</v>
      </c>
    </row>
    <row r="546" spans="1:39">
      <c r="A546" s="7">
        <f t="shared" si="233"/>
        <v>545</v>
      </c>
      <c r="B546" s="13" t="str">
        <f t="shared" si="214"/>
        <v>Jul 2015</v>
      </c>
      <c r="C546" s="23" t="str">
        <f t="shared" si="215"/>
        <v>LS</v>
      </c>
      <c r="D546" s="23" t="str">
        <f t="shared" si="216"/>
        <v>KUUM_376</v>
      </c>
      <c r="E546" s="170">
        <f t="shared" si="217"/>
        <v>2</v>
      </c>
      <c r="F546" s="185"/>
      <c r="G546" s="170">
        <f t="shared" si="218"/>
        <v>0</v>
      </c>
      <c r="H546" s="170">
        <v>0</v>
      </c>
      <c r="I546" s="11">
        <f t="shared" si="219"/>
        <v>77.259999999999991</v>
      </c>
      <c r="J546" s="11">
        <f t="shared" si="220"/>
        <v>1.75</v>
      </c>
      <c r="K546" s="416">
        <f t="shared" si="235"/>
        <v>154.52000000000001</v>
      </c>
      <c r="L546" s="180"/>
      <c r="M546" s="180"/>
      <c r="N546" s="186">
        <f t="shared" si="213"/>
        <v>154.52000000000001</v>
      </c>
      <c r="O546" s="29">
        <f t="shared" si="221"/>
        <v>0</v>
      </c>
      <c r="P546" s="181">
        <f t="shared" si="236"/>
        <v>0</v>
      </c>
      <c r="Q546" s="182">
        <f t="shared" si="222"/>
        <v>0</v>
      </c>
      <c r="R546" s="182">
        <f t="shared" si="223"/>
        <v>0</v>
      </c>
      <c r="S546" s="182">
        <f t="shared" si="224"/>
        <v>0</v>
      </c>
      <c r="T546" s="182">
        <f t="shared" si="225"/>
        <v>0</v>
      </c>
      <c r="U546" s="182">
        <f t="shared" si="226"/>
        <v>0</v>
      </c>
      <c r="V546" s="14">
        <f t="shared" si="227"/>
        <v>154.52000000000001</v>
      </c>
      <c r="W546" s="14">
        <f t="shared" si="228"/>
        <v>-154.52000000000001</v>
      </c>
      <c r="Y546" s="14">
        <f t="shared" si="231"/>
        <v>3.5</v>
      </c>
      <c r="Z546" s="14">
        <f t="shared" si="232"/>
        <v>-3.5</v>
      </c>
      <c r="AA546" s="11">
        <f t="shared" si="234"/>
        <v>2.41</v>
      </c>
      <c r="AB546" s="9">
        <f t="shared" si="237"/>
        <v>4.82</v>
      </c>
      <c r="AD546" s="13">
        <f>IF(AH546&gt;AH545,AD545,IF(AD545&lt;MiscData!$F$1,EOMONTH(AD545,1),EOMONTH(AD545,-11)))</f>
        <v>42216</v>
      </c>
      <c r="AE546" s="7" t="str">
        <f t="shared" si="229"/>
        <v>20140101KUUM_376</v>
      </c>
      <c r="AF546" s="12" t="str">
        <f t="shared" si="230"/>
        <v>20140101LS</v>
      </c>
      <c r="AG546" s="31"/>
      <c r="AH546">
        <f>IF(AH545=MiscData!$AB$91,1,AH545+1)</f>
        <v>17</v>
      </c>
      <c r="AI546">
        <f>IF(AD546&lt;=MiscData!$B$23,MiscData!$C$23,IF(AD546&lt;=MiscData!$B$24,MiscData!$C$24,MiscData!$C$25))</f>
        <v>20140101</v>
      </c>
      <c r="AK546" s="190" t="str">
        <f>VLOOKUP(AM546,MiscData!$AB$4:$ACB$113,2,FALSE)</f>
        <v>KUUM_376</v>
      </c>
      <c r="AL546" s="190" t="str">
        <f>VLOOKUP(AM546,MiscData!$AB$4:$AE$115,4,FALSE)</f>
        <v>LS</v>
      </c>
      <c r="AM546">
        <f>IF(AM545=MiscData!$AB$91,1,AM545+1)</f>
        <v>17</v>
      </c>
    </row>
    <row r="547" spans="1:39">
      <c r="A547" s="7">
        <f t="shared" si="233"/>
        <v>546</v>
      </c>
      <c r="B547" s="13" t="str">
        <f t="shared" si="214"/>
        <v>Jul 2015</v>
      </c>
      <c r="C547" s="23" t="str">
        <f t="shared" si="215"/>
        <v>LS</v>
      </c>
      <c r="D547" s="23" t="str">
        <f t="shared" si="216"/>
        <v>KUUM_377</v>
      </c>
      <c r="E547" s="170">
        <f t="shared" si="217"/>
        <v>51</v>
      </c>
      <c r="F547" s="185"/>
      <c r="G547" s="170">
        <f t="shared" si="218"/>
        <v>0</v>
      </c>
      <c r="H547" s="170">
        <v>0</v>
      </c>
      <c r="I547" s="11">
        <f t="shared" si="219"/>
        <v>64.19</v>
      </c>
      <c r="J547" s="11">
        <f t="shared" si="220"/>
        <v>1.75</v>
      </c>
      <c r="K547" s="416">
        <f t="shared" si="235"/>
        <v>3273.69</v>
      </c>
      <c r="L547" s="180"/>
      <c r="M547" s="180"/>
      <c r="N547" s="186">
        <f t="shared" si="213"/>
        <v>3273.69</v>
      </c>
      <c r="O547" s="29">
        <f t="shared" si="221"/>
        <v>0</v>
      </c>
      <c r="P547" s="181">
        <f t="shared" si="236"/>
        <v>0</v>
      </c>
      <c r="Q547" s="182">
        <f t="shared" si="222"/>
        <v>0</v>
      </c>
      <c r="R547" s="182">
        <f t="shared" si="223"/>
        <v>0</v>
      </c>
      <c r="S547" s="182">
        <f t="shared" si="224"/>
        <v>0</v>
      </c>
      <c r="T547" s="182">
        <f t="shared" si="225"/>
        <v>0</v>
      </c>
      <c r="U547" s="182">
        <f t="shared" si="226"/>
        <v>0</v>
      </c>
      <c r="V547" s="14">
        <f t="shared" si="227"/>
        <v>3273.69</v>
      </c>
      <c r="W547" s="14">
        <f t="shared" si="228"/>
        <v>-3273.69</v>
      </c>
      <c r="Y547" s="14">
        <f t="shared" si="231"/>
        <v>89.25</v>
      </c>
      <c r="Z547" s="14">
        <f t="shared" si="232"/>
        <v>-89.25</v>
      </c>
      <c r="AA547" s="11">
        <f t="shared" si="234"/>
        <v>2.41</v>
      </c>
      <c r="AB547" s="9">
        <f t="shared" si="237"/>
        <v>122.91000000000001</v>
      </c>
      <c r="AD547" s="13">
        <f>IF(AH547&gt;AH546,AD546,IF(AD546&lt;MiscData!$F$1,EOMONTH(AD546,1),EOMONTH(AD546,-11)))</f>
        <v>42216</v>
      </c>
      <c r="AE547" s="7" t="str">
        <f t="shared" si="229"/>
        <v>20140101KUUM_377</v>
      </c>
      <c r="AF547" s="12" t="str">
        <f t="shared" si="230"/>
        <v>20140101LS</v>
      </c>
      <c r="AG547" s="31"/>
      <c r="AH547">
        <f>IF(AH546=MiscData!$AB$91,1,AH546+1)</f>
        <v>18</v>
      </c>
      <c r="AI547">
        <f>IF(AD547&lt;=MiscData!$B$23,MiscData!$C$23,IF(AD547&lt;=MiscData!$B$24,MiscData!$C$24,MiscData!$C$25))</f>
        <v>20140101</v>
      </c>
      <c r="AK547" s="190" t="str">
        <f>VLOOKUP(AM547,MiscData!$AB$4:$ACB$113,2,FALSE)</f>
        <v>KUUM_377</v>
      </c>
      <c r="AL547" s="190" t="str">
        <f>VLOOKUP(AM547,MiscData!$AB$4:$AE$115,4,FALSE)</f>
        <v>LS</v>
      </c>
      <c r="AM547">
        <f>IF(AM546=MiscData!$AB$91,1,AM546+1)</f>
        <v>18</v>
      </c>
    </row>
    <row r="548" spans="1:39">
      <c r="A548" s="7">
        <f t="shared" si="233"/>
        <v>547</v>
      </c>
      <c r="B548" s="13" t="str">
        <f t="shared" si="214"/>
        <v>Jul 2015</v>
      </c>
      <c r="C548" s="23" t="str">
        <f t="shared" si="215"/>
        <v>LS</v>
      </c>
      <c r="D548" s="23" t="str">
        <f t="shared" si="216"/>
        <v>KUUM_378</v>
      </c>
      <c r="E548" s="170">
        <f t="shared" si="217"/>
        <v>2</v>
      </c>
      <c r="F548" s="185"/>
      <c r="G548" s="170">
        <f t="shared" si="218"/>
        <v>0</v>
      </c>
      <c r="H548" s="170">
        <v>0</v>
      </c>
      <c r="I548" s="11">
        <f t="shared" si="219"/>
        <v>75.899999999999991</v>
      </c>
      <c r="J548" s="11">
        <f t="shared" si="220"/>
        <v>1.75</v>
      </c>
      <c r="K548" s="416">
        <f t="shared" si="235"/>
        <v>151.80000000000001</v>
      </c>
      <c r="L548" s="180"/>
      <c r="M548" s="180"/>
      <c r="N548" s="186">
        <f t="shared" si="213"/>
        <v>151.80000000000001</v>
      </c>
      <c r="O548" s="29">
        <f t="shared" si="221"/>
        <v>0</v>
      </c>
      <c r="P548" s="181">
        <f t="shared" si="236"/>
        <v>0</v>
      </c>
      <c r="Q548" s="182">
        <f t="shared" si="222"/>
        <v>0</v>
      </c>
      <c r="R548" s="182">
        <f t="shared" si="223"/>
        <v>0</v>
      </c>
      <c r="S548" s="182">
        <f t="shared" si="224"/>
        <v>0</v>
      </c>
      <c r="T548" s="182">
        <f t="shared" si="225"/>
        <v>0</v>
      </c>
      <c r="U548" s="182">
        <f t="shared" si="226"/>
        <v>0</v>
      </c>
      <c r="V548" s="14">
        <f t="shared" si="227"/>
        <v>151.80000000000001</v>
      </c>
      <c r="W548" s="14">
        <f t="shared" si="228"/>
        <v>-151.80000000000001</v>
      </c>
      <c r="Y548" s="14">
        <f t="shared" si="231"/>
        <v>3.5</v>
      </c>
      <c r="Z548" s="14">
        <f t="shared" si="232"/>
        <v>-3.5</v>
      </c>
      <c r="AA548" s="11">
        <f t="shared" si="234"/>
        <v>2.41</v>
      </c>
      <c r="AB548" s="9">
        <f t="shared" si="237"/>
        <v>4.82</v>
      </c>
      <c r="AD548" s="13">
        <f>IF(AH548&gt;AH547,AD547,IF(AD547&lt;MiscData!$F$1,EOMONTH(AD547,1),EOMONTH(AD547,-11)))</f>
        <v>42216</v>
      </c>
      <c r="AE548" s="7" t="str">
        <f t="shared" si="229"/>
        <v>20140101KUUM_378</v>
      </c>
      <c r="AF548" s="12" t="str">
        <f t="shared" si="230"/>
        <v>20140101LS</v>
      </c>
      <c r="AG548" s="31"/>
      <c r="AH548">
        <f>IF(AH547=MiscData!$AB$91,1,AH547+1)</f>
        <v>19</v>
      </c>
      <c r="AI548">
        <f>IF(AD548&lt;=MiscData!$B$23,MiscData!$C$23,IF(AD548&lt;=MiscData!$B$24,MiscData!$C$24,MiscData!$C$25))</f>
        <v>20140101</v>
      </c>
      <c r="AK548" s="190" t="str">
        <f>VLOOKUP(AM548,MiscData!$AB$4:$ACB$113,2,FALSE)</f>
        <v>KUUM_378</v>
      </c>
      <c r="AL548" s="190" t="str">
        <f>VLOOKUP(AM548,MiscData!$AB$4:$AE$115,4,FALSE)</f>
        <v>LS</v>
      </c>
      <c r="AM548">
        <f>IF(AM547=MiscData!$AB$91,1,AM547+1)</f>
        <v>19</v>
      </c>
    </row>
    <row r="549" spans="1:39">
      <c r="A549" s="7">
        <f t="shared" si="233"/>
        <v>548</v>
      </c>
      <c r="B549" s="13" t="str">
        <f t="shared" si="214"/>
        <v>Jul 2015</v>
      </c>
      <c r="C549" s="23" t="str">
        <f t="shared" si="215"/>
        <v>LS</v>
      </c>
      <c r="D549" s="23" t="str">
        <f t="shared" si="216"/>
        <v>KUUM_401</v>
      </c>
      <c r="E549" s="170">
        <f t="shared" si="217"/>
        <v>52</v>
      </c>
      <c r="F549" s="185"/>
      <c r="G549" s="170">
        <f t="shared" si="218"/>
        <v>0</v>
      </c>
      <c r="H549" s="170">
        <v>0</v>
      </c>
      <c r="I549" s="11">
        <f t="shared" si="219"/>
        <v>14.860000000000001</v>
      </c>
      <c r="J549" s="11">
        <f t="shared" si="220"/>
        <v>0.80000000000000071</v>
      </c>
      <c r="K549" s="416">
        <f t="shared" si="235"/>
        <v>772.72</v>
      </c>
      <c r="L549" s="180"/>
      <c r="M549" s="180"/>
      <c r="N549" s="186">
        <f t="shared" si="213"/>
        <v>772.72</v>
      </c>
      <c r="O549" s="29">
        <f t="shared" si="221"/>
        <v>0</v>
      </c>
      <c r="P549" s="181">
        <f t="shared" si="236"/>
        <v>0</v>
      </c>
      <c r="Q549" s="182">
        <f t="shared" si="222"/>
        <v>0</v>
      </c>
      <c r="R549" s="182">
        <f t="shared" si="223"/>
        <v>0</v>
      </c>
      <c r="S549" s="182">
        <f t="shared" si="224"/>
        <v>0</v>
      </c>
      <c r="T549" s="182">
        <f t="shared" si="225"/>
        <v>0</v>
      </c>
      <c r="U549" s="182">
        <f t="shared" si="226"/>
        <v>0</v>
      </c>
      <c r="V549" s="14">
        <f t="shared" si="227"/>
        <v>772.72</v>
      </c>
      <c r="W549" s="14">
        <f t="shared" si="228"/>
        <v>-772.72</v>
      </c>
      <c r="Y549" s="14">
        <f t="shared" si="231"/>
        <v>41.6</v>
      </c>
      <c r="Z549" s="14">
        <f t="shared" si="232"/>
        <v>-41.6</v>
      </c>
      <c r="AA549" s="11">
        <f t="shared" si="234"/>
        <v>0.43</v>
      </c>
      <c r="AB549" s="9">
        <f t="shared" si="237"/>
        <v>22.36</v>
      </c>
      <c r="AD549" s="13">
        <f>IF(AH549&gt;AH548,AD548,IF(AD548&lt;MiscData!$F$1,EOMONTH(AD548,1),EOMONTH(AD548,-11)))</f>
        <v>42216</v>
      </c>
      <c r="AE549" s="7" t="str">
        <f t="shared" si="229"/>
        <v>20140101KUUM_401</v>
      </c>
      <c r="AF549" s="12" t="str">
        <f t="shared" si="230"/>
        <v>20140101LS</v>
      </c>
      <c r="AG549" s="31"/>
      <c r="AH549">
        <f>IF(AH548=MiscData!$AB$91,1,AH548+1)</f>
        <v>20</v>
      </c>
      <c r="AI549">
        <f>IF(AD549&lt;=MiscData!$B$23,MiscData!$C$23,IF(AD549&lt;=MiscData!$B$24,MiscData!$C$24,MiscData!$C$25))</f>
        <v>20140101</v>
      </c>
      <c r="AK549" s="190" t="str">
        <f>VLOOKUP(AM549,MiscData!$AB$4:$ACB$113,2,FALSE)</f>
        <v>KUUM_401</v>
      </c>
      <c r="AL549" s="190" t="str">
        <f>VLOOKUP(AM549,MiscData!$AB$4:$AE$115,4,FALSE)</f>
        <v>LS</v>
      </c>
      <c r="AM549">
        <f>IF(AM548=MiscData!$AB$91,1,AM548+1)</f>
        <v>20</v>
      </c>
    </row>
    <row r="550" spans="1:39">
      <c r="A550" s="7">
        <f t="shared" si="233"/>
        <v>549</v>
      </c>
      <c r="B550" s="13" t="str">
        <f t="shared" si="214"/>
        <v>Jul 2015</v>
      </c>
      <c r="C550" s="23" t="str">
        <f t="shared" si="215"/>
        <v>RLS</v>
      </c>
      <c r="D550" s="23" t="str">
        <f t="shared" si="216"/>
        <v>KUUM_404</v>
      </c>
      <c r="E550" s="170">
        <f t="shared" si="217"/>
        <v>7070</v>
      </c>
      <c r="F550" s="185"/>
      <c r="G550" s="170">
        <f t="shared" si="218"/>
        <v>0</v>
      </c>
      <c r="H550" s="170">
        <v>0</v>
      </c>
      <c r="I550" s="11">
        <f t="shared" si="219"/>
        <v>10.570000000000002</v>
      </c>
      <c r="J550" s="11">
        <f t="shared" si="220"/>
        <v>1.9900000000000002</v>
      </c>
      <c r="K550" s="416">
        <f t="shared" si="235"/>
        <v>74729.899999999994</v>
      </c>
      <c r="L550" s="180"/>
      <c r="M550" s="180"/>
      <c r="N550" s="186">
        <f t="shared" si="213"/>
        <v>74729.899999999994</v>
      </c>
      <c r="O550" s="29">
        <f t="shared" si="221"/>
        <v>0</v>
      </c>
      <c r="P550" s="181">
        <f t="shared" si="236"/>
        <v>0</v>
      </c>
      <c r="Q550" s="182">
        <f t="shared" si="222"/>
        <v>0</v>
      </c>
      <c r="R550" s="182">
        <f t="shared" si="223"/>
        <v>0</v>
      </c>
      <c r="S550" s="182">
        <f t="shared" si="224"/>
        <v>0</v>
      </c>
      <c r="T550" s="182">
        <f t="shared" si="225"/>
        <v>0</v>
      </c>
      <c r="U550" s="182">
        <f t="shared" si="226"/>
        <v>0</v>
      </c>
      <c r="V550" s="14">
        <f t="shared" si="227"/>
        <v>74729.899999999994</v>
      </c>
      <c r="W550" s="14">
        <f t="shared" si="228"/>
        <v>-74729.899999999994</v>
      </c>
      <c r="Y550" s="14">
        <f t="shared" si="231"/>
        <v>14069.3</v>
      </c>
      <c r="Z550" s="14">
        <f t="shared" si="232"/>
        <v>-14069.3</v>
      </c>
      <c r="AA550" s="11">
        <f t="shared" si="234"/>
        <v>0.39</v>
      </c>
      <c r="AB550" s="9">
        <f t="shared" si="237"/>
        <v>2757.3</v>
      </c>
      <c r="AD550" s="13">
        <f>IF(AH550&gt;AH549,AD549,IF(AD549&lt;MiscData!$F$1,EOMONTH(AD549,1),EOMONTH(AD549,-11)))</f>
        <v>42216</v>
      </c>
      <c r="AE550" s="7" t="str">
        <f t="shared" si="229"/>
        <v>20140101KUUM_404</v>
      </c>
      <c r="AF550" s="12" t="str">
        <f t="shared" si="230"/>
        <v>20140101RLS</v>
      </c>
      <c r="AG550" s="31"/>
      <c r="AH550">
        <f>IF(AH549=MiscData!$AB$91,1,AH549+1)</f>
        <v>21</v>
      </c>
      <c r="AI550">
        <f>IF(AD550&lt;=MiscData!$B$23,MiscData!$C$23,IF(AD550&lt;=MiscData!$B$24,MiscData!$C$24,MiscData!$C$25))</f>
        <v>20140101</v>
      </c>
      <c r="AK550" s="190" t="str">
        <f>VLOOKUP(AM550,MiscData!$AB$4:$ACB$113,2,FALSE)</f>
        <v>KUUM_404</v>
      </c>
      <c r="AL550" s="190" t="str">
        <f>VLOOKUP(AM550,MiscData!$AB$4:$AE$115,4,FALSE)</f>
        <v>RLS</v>
      </c>
      <c r="AM550">
        <f>IF(AM549=MiscData!$AB$91,1,AM549+1)</f>
        <v>21</v>
      </c>
    </row>
    <row r="551" spans="1:39">
      <c r="A551" s="7">
        <f t="shared" si="233"/>
        <v>550</v>
      </c>
      <c r="B551" s="13" t="str">
        <f t="shared" si="214"/>
        <v>Jul 2015</v>
      </c>
      <c r="C551" s="23" t="str">
        <f t="shared" si="215"/>
        <v>RLS</v>
      </c>
      <c r="D551" s="23" t="str">
        <f t="shared" si="216"/>
        <v>KUUM_405</v>
      </c>
      <c r="E551" s="170">
        <f t="shared" si="217"/>
        <v>0</v>
      </c>
      <c r="F551" s="185"/>
      <c r="G551" s="170">
        <f t="shared" si="218"/>
        <v>0</v>
      </c>
      <c r="H551" s="170">
        <v>0</v>
      </c>
      <c r="I551" s="11">
        <f t="shared" si="219"/>
        <v>0</v>
      </c>
      <c r="J551" s="11">
        <f t="shared" si="220"/>
        <v>0</v>
      </c>
      <c r="K551" s="416">
        <f t="shared" si="235"/>
        <v>0</v>
      </c>
      <c r="L551" s="180"/>
      <c r="M551" s="180"/>
      <c r="N551" s="186">
        <f t="shared" si="213"/>
        <v>0</v>
      </c>
      <c r="O551" s="29">
        <f t="shared" si="221"/>
        <v>0</v>
      </c>
      <c r="P551" s="181">
        <f t="shared" si="236"/>
        <v>1</v>
      </c>
      <c r="Q551" s="182">
        <f t="shared" si="222"/>
        <v>0</v>
      </c>
      <c r="R551" s="182">
        <f t="shared" si="223"/>
        <v>0</v>
      </c>
      <c r="S551" s="182">
        <f t="shared" si="224"/>
        <v>0</v>
      </c>
      <c r="T551" s="182">
        <f t="shared" si="225"/>
        <v>0</v>
      </c>
      <c r="U551" s="182">
        <f t="shared" si="226"/>
        <v>0</v>
      </c>
      <c r="V551" s="14">
        <f t="shared" si="227"/>
        <v>0</v>
      </c>
      <c r="W551" s="14">
        <f t="shared" si="228"/>
        <v>0</v>
      </c>
      <c r="Y551" s="14">
        <f t="shared" si="231"/>
        <v>0</v>
      </c>
      <c r="Z551" s="14">
        <f t="shared" si="232"/>
        <v>0</v>
      </c>
      <c r="AA551" s="11">
        <f t="shared" si="234"/>
        <v>0</v>
      </c>
      <c r="AB551" s="9">
        <f t="shared" si="237"/>
        <v>0</v>
      </c>
      <c r="AD551" s="13">
        <f>IF(AH551&gt;AH550,AD550,IF(AD550&lt;MiscData!$F$1,EOMONTH(AD550,1),EOMONTH(AD550,-11)))</f>
        <v>42216</v>
      </c>
      <c r="AE551" s="7" t="str">
        <f t="shared" si="229"/>
        <v>20140101KUUM_405</v>
      </c>
      <c r="AF551" s="12" t="str">
        <f t="shared" si="230"/>
        <v>20140101RLS</v>
      </c>
      <c r="AG551" s="31"/>
      <c r="AH551">
        <f>IF(AH550=MiscData!$AB$91,1,AH550+1)</f>
        <v>22</v>
      </c>
      <c r="AI551">
        <f>IF(AD551&lt;=MiscData!$B$23,MiscData!$C$23,IF(AD551&lt;=MiscData!$B$24,MiscData!$C$24,MiscData!$C$25))</f>
        <v>20140101</v>
      </c>
      <c r="AK551" s="190" t="str">
        <f>VLOOKUP(AM551,MiscData!$AB$4:$ACB$113,2,FALSE)</f>
        <v>KUUM_405</v>
      </c>
      <c r="AL551" s="190" t="str">
        <f>VLOOKUP(AM551,MiscData!$AB$4:$AE$115,4,FALSE)</f>
        <v>RLS</v>
      </c>
      <c r="AM551">
        <f>IF(AM550=MiscData!$AB$91,1,AM550+1)</f>
        <v>22</v>
      </c>
    </row>
    <row r="552" spans="1:39">
      <c r="A552" s="7">
        <f t="shared" si="233"/>
        <v>551</v>
      </c>
      <c r="B552" s="13" t="str">
        <f t="shared" si="214"/>
        <v>Jul 2015</v>
      </c>
      <c r="C552" s="23" t="str">
        <f t="shared" si="215"/>
        <v>LS</v>
      </c>
      <c r="D552" s="23" t="str">
        <f t="shared" si="216"/>
        <v>KUUM_407</v>
      </c>
      <c r="E552" s="170">
        <f t="shared" si="217"/>
        <v>0</v>
      </c>
      <c r="F552" s="185"/>
      <c r="G552" s="170">
        <f t="shared" si="218"/>
        <v>0</v>
      </c>
      <c r="H552" s="170">
        <v>0</v>
      </c>
      <c r="I552" s="11">
        <f t="shared" si="219"/>
        <v>0</v>
      </c>
      <c r="J552" s="11">
        <f t="shared" si="220"/>
        <v>0</v>
      </c>
      <c r="K552" s="416">
        <f t="shared" si="235"/>
        <v>0</v>
      </c>
      <c r="L552" s="180"/>
      <c r="M552" s="180"/>
      <c r="N552" s="186">
        <f t="shared" si="213"/>
        <v>0</v>
      </c>
      <c r="O552" s="29">
        <f t="shared" si="221"/>
        <v>0</v>
      </c>
      <c r="P552" s="181">
        <f t="shared" si="236"/>
        <v>1</v>
      </c>
      <c r="Q552" s="182">
        <f t="shared" si="222"/>
        <v>0</v>
      </c>
      <c r="R552" s="182">
        <f t="shared" si="223"/>
        <v>0</v>
      </c>
      <c r="S552" s="182">
        <f t="shared" si="224"/>
        <v>0</v>
      </c>
      <c r="T552" s="182">
        <f t="shared" si="225"/>
        <v>0</v>
      </c>
      <c r="U552" s="182">
        <f t="shared" si="226"/>
        <v>0</v>
      </c>
      <c r="V552" s="14">
        <f t="shared" si="227"/>
        <v>0</v>
      </c>
      <c r="W552" s="14">
        <f t="shared" si="228"/>
        <v>0</v>
      </c>
      <c r="Y552" s="14">
        <f t="shared" si="231"/>
        <v>0</v>
      </c>
      <c r="Z552" s="14">
        <f t="shared" si="232"/>
        <v>0</v>
      </c>
      <c r="AA552" s="11">
        <f t="shared" si="234"/>
        <v>0</v>
      </c>
      <c r="AB552" s="9">
        <f t="shared" si="237"/>
        <v>0</v>
      </c>
      <c r="AD552" s="13">
        <f>IF(AH552&gt;AH551,AD551,IF(AD551&lt;MiscData!$F$1,EOMONTH(AD551,1),EOMONTH(AD551,-11)))</f>
        <v>42216</v>
      </c>
      <c r="AE552" s="7" t="str">
        <f t="shared" si="229"/>
        <v>20140101KUUM_407</v>
      </c>
      <c r="AF552" s="12" t="str">
        <f t="shared" si="230"/>
        <v>20140101LS</v>
      </c>
      <c r="AG552" s="31"/>
      <c r="AH552">
        <f>IF(AH551=MiscData!$AB$91,1,AH551+1)</f>
        <v>23</v>
      </c>
      <c r="AI552">
        <f>IF(AD552&lt;=MiscData!$B$23,MiscData!$C$23,IF(AD552&lt;=MiscData!$B$24,MiscData!$C$24,MiscData!$C$25))</f>
        <v>20140101</v>
      </c>
      <c r="AK552" s="190" t="str">
        <f>VLOOKUP(AM552,MiscData!$AB$4:$ACB$113,2,FALSE)</f>
        <v>KUUM_407</v>
      </c>
      <c r="AL552" s="190" t="str">
        <f>VLOOKUP(AM552,MiscData!$AB$4:$AE$115,4,FALSE)</f>
        <v>LS</v>
      </c>
      <c r="AM552">
        <f>IF(AM551=MiscData!$AB$91,1,AM551+1)</f>
        <v>23</v>
      </c>
    </row>
    <row r="553" spans="1:39">
      <c r="A553" s="7">
        <f t="shared" si="233"/>
        <v>552</v>
      </c>
      <c r="B553" s="13" t="str">
        <f t="shared" si="214"/>
        <v>Jul 2015</v>
      </c>
      <c r="C553" s="23" t="str">
        <f t="shared" si="215"/>
        <v>RLS</v>
      </c>
      <c r="D553" s="23" t="str">
        <f t="shared" si="216"/>
        <v>KUUM_409</v>
      </c>
      <c r="E553" s="170">
        <f t="shared" si="217"/>
        <v>137</v>
      </c>
      <c r="F553" s="185"/>
      <c r="G553" s="170">
        <f t="shared" si="218"/>
        <v>0</v>
      </c>
      <c r="H553" s="170">
        <v>0</v>
      </c>
      <c r="I553" s="11">
        <f t="shared" si="219"/>
        <v>11.71</v>
      </c>
      <c r="J553" s="11">
        <f t="shared" si="220"/>
        <v>4.5299999999999994</v>
      </c>
      <c r="K553" s="416">
        <f t="shared" si="235"/>
        <v>1604.27</v>
      </c>
      <c r="L553" s="180"/>
      <c r="M553" s="180"/>
      <c r="N553" s="186">
        <f t="shared" si="213"/>
        <v>1604.27</v>
      </c>
      <c r="O553" s="29">
        <f t="shared" si="221"/>
        <v>0</v>
      </c>
      <c r="P553" s="181">
        <f t="shared" si="236"/>
        <v>0</v>
      </c>
      <c r="Q553" s="182">
        <f t="shared" si="222"/>
        <v>0</v>
      </c>
      <c r="R553" s="182">
        <f t="shared" si="223"/>
        <v>0</v>
      </c>
      <c r="S553" s="182">
        <f t="shared" si="224"/>
        <v>0</v>
      </c>
      <c r="T553" s="182">
        <f t="shared" si="225"/>
        <v>0</v>
      </c>
      <c r="U553" s="182">
        <f t="shared" si="226"/>
        <v>0</v>
      </c>
      <c r="V553" s="14">
        <f t="shared" si="227"/>
        <v>1604.27</v>
      </c>
      <c r="W553" s="14">
        <f t="shared" si="228"/>
        <v>-1604.27</v>
      </c>
      <c r="Y553" s="14">
        <f t="shared" si="231"/>
        <v>620.61</v>
      </c>
      <c r="Z553" s="14">
        <f t="shared" si="232"/>
        <v>-620.61</v>
      </c>
      <c r="AA553" s="11">
        <f t="shared" si="234"/>
        <v>0.79</v>
      </c>
      <c r="AB553" s="9">
        <f t="shared" si="237"/>
        <v>108.23</v>
      </c>
      <c r="AD553" s="13">
        <f>IF(AH553&gt;AH552,AD552,IF(AD552&lt;MiscData!$F$1,EOMONTH(AD552,1),EOMONTH(AD552,-11)))</f>
        <v>42216</v>
      </c>
      <c r="AE553" s="7" t="str">
        <f t="shared" si="229"/>
        <v>20140101KUUM_409</v>
      </c>
      <c r="AF553" s="12" t="str">
        <f t="shared" si="230"/>
        <v>20140101RLS</v>
      </c>
      <c r="AG553" s="31"/>
      <c r="AH553">
        <f>IF(AH552=MiscData!$AB$91,1,AH552+1)</f>
        <v>24</v>
      </c>
      <c r="AI553">
        <f>IF(AD553&lt;=MiscData!$B$23,MiscData!$C$23,IF(AD553&lt;=MiscData!$B$24,MiscData!$C$24,MiscData!$C$25))</f>
        <v>20140101</v>
      </c>
      <c r="AK553" s="190" t="str">
        <f>VLOOKUP(AM553,MiscData!$AB$4:$ACB$113,2,FALSE)</f>
        <v>KUUM_409</v>
      </c>
      <c r="AL553" s="190" t="str">
        <f>VLOOKUP(AM553,MiscData!$AB$4:$AE$115,4,FALSE)</f>
        <v>RLS</v>
      </c>
      <c r="AM553">
        <f>IF(AM552=MiscData!$AB$91,1,AM552+1)</f>
        <v>24</v>
      </c>
    </row>
    <row r="554" spans="1:39">
      <c r="A554" s="7">
        <f t="shared" si="233"/>
        <v>553</v>
      </c>
      <c r="B554" s="13" t="str">
        <f t="shared" si="214"/>
        <v>Jul 2015</v>
      </c>
      <c r="C554" s="23" t="str">
        <f t="shared" si="215"/>
        <v>RLS</v>
      </c>
      <c r="D554" s="23" t="str">
        <f t="shared" si="216"/>
        <v>KUUM_410</v>
      </c>
      <c r="E554" s="170">
        <f t="shared" si="217"/>
        <v>239</v>
      </c>
      <c r="F554" s="185"/>
      <c r="G554" s="170">
        <f t="shared" si="218"/>
        <v>0</v>
      </c>
      <c r="H554" s="170">
        <v>0</v>
      </c>
      <c r="I554" s="11">
        <f t="shared" si="219"/>
        <v>20.259999999999998</v>
      </c>
      <c r="J554" s="11">
        <f t="shared" si="220"/>
        <v>0.57000000000000028</v>
      </c>
      <c r="K554" s="416">
        <f t="shared" si="235"/>
        <v>4842.1400000000003</v>
      </c>
      <c r="L554" s="180"/>
      <c r="M554" s="180"/>
      <c r="N554" s="186">
        <f t="shared" si="213"/>
        <v>4842.1400000000003</v>
      </c>
      <c r="O554" s="29">
        <f t="shared" si="221"/>
        <v>0</v>
      </c>
      <c r="P554" s="181">
        <f t="shared" si="236"/>
        <v>0</v>
      </c>
      <c r="Q554" s="182">
        <f t="shared" si="222"/>
        <v>0</v>
      </c>
      <c r="R554" s="182">
        <f t="shared" si="223"/>
        <v>0</v>
      </c>
      <c r="S554" s="182">
        <f t="shared" si="224"/>
        <v>0</v>
      </c>
      <c r="T554" s="182">
        <f t="shared" si="225"/>
        <v>0</v>
      </c>
      <c r="U554" s="182">
        <f t="shared" si="226"/>
        <v>0</v>
      </c>
      <c r="V554" s="14">
        <f t="shared" si="227"/>
        <v>4842.1400000000003</v>
      </c>
      <c r="W554" s="14">
        <f t="shared" si="228"/>
        <v>-4842.1400000000003</v>
      </c>
      <c r="Y554" s="14">
        <f t="shared" si="231"/>
        <v>136.22999999999999</v>
      </c>
      <c r="Z554" s="14">
        <f t="shared" si="232"/>
        <v>-136.22999999999999</v>
      </c>
      <c r="AA554" s="11">
        <f t="shared" si="234"/>
        <v>0.33</v>
      </c>
      <c r="AB554" s="9">
        <f t="shared" si="237"/>
        <v>78.87</v>
      </c>
      <c r="AD554" s="13">
        <f>IF(AH554&gt;AH553,AD553,IF(AD553&lt;MiscData!$F$1,EOMONTH(AD553,1),EOMONTH(AD553,-11)))</f>
        <v>42216</v>
      </c>
      <c r="AE554" s="7" t="str">
        <f t="shared" si="229"/>
        <v>20140101KUUM_410</v>
      </c>
      <c r="AF554" s="12" t="str">
        <f t="shared" si="230"/>
        <v>20140101RLS</v>
      </c>
      <c r="AG554" s="31"/>
      <c r="AH554">
        <f>IF(AH553=MiscData!$AB$91,1,AH553+1)</f>
        <v>25</v>
      </c>
      <c r="AI554">
        <f>IF(AD554&lt;=MiscData!$B$23,MiscData!$C$23,IF(AD554&lt;=MiscData!$B$24,MiscData!$C$24,MiscData!$C$25))</f>
        <v>20140101</v>
      </c>
      <c r="AK554" s="190" t="str">
        <f>VLOOKUP(AM554,MiscData!$AB$4:$ACB$113,2,FALSE)</f>
        <v>KUUM_410</v>
      </c>
      <c r="AL554" s="190" t="str">
        <f>VLOOKUP(AM554,MiscData!$AB$4:$AE$115,4,FALSE)</f>
        <v>RLS</v>
      </c>
      <c r="AM554">
        <f>IF(AM553=MiscData!$AB$91,1,AM553+1)</f>
        <v>25</v>
      </c>
    </row>
    <row r="555" spans="1:39">
      <c r="A555" s="7">
        <f t="shared" si="233"/>
        <v>554</v>
      </c>
      <c r="B555" s="13" t="str">
        <f t="shared" si="214"/>
        <v>Jul 2015</v>
      </c>
      <c r="C555" s="23" t="str">
        <f t="shared" si="215"/>
        <v>LS</v>
      </c>
      <c r="D555" s="23" t="str">
        <f t="shared" si="216"/>
        <v>KUUM_411</v>
      </c>
      <c r="E555" s="170">
        <f t="shared" si="217"/>
        <v>150</v>
      </c>
      <c r="F555" s="185"/>
      <c r="G555" s="170">
        <f t="shared" si="218"/>
        <v>0</v>
      </c>
      <c r="H555" s="170">
        <v>0</v>
      </c>
      <c r="I555" s="11">
        <f t="shared" si="219"/>
        <v>21.38</v>
      </c>
      <c r="J555" s="11">
        <f t="shared" si="220"/>
        <v>0.79999999999999716</v>
      </c>
      <c r="K555" s="416">
        <f t="shared" si="235"/>
        <v>3207</v>
      </c>
      <c r="L555" s="180"/>
      <c r="M555" s="180"/>
      <c r="N555" s="186">
        <f t="shared" si="213"/>
        <v>3207</v>
      </c>
      <c r="O555" s="29">
        <f t="shared" si="221"/>
        <v>0</v>
      </c>
      <c r="P555" s="181">
        <f t="shared" si="236"/>
        <v>0</v>
      </c>
      <c r="Q555" s="182">
        <f t="shared" si="222"/>
        <v>0</v>
      </c>
      <c r="R555" s="182">
        <f t="shared" si="223"/>
        <v>0</v>
      </c>
      <c r="S555" s="182">
        <f t="shared" si="224"/>
        <v>0</v>
      </c>
      <c r="T555" s="182">
        <f t="shared" si="225"/>
        <v>0</v>
      </c>
      <c r="U555" s="182">
        <f t="shared" si="226"/>
        <v>0</v>
      </c>
      <c r="V555" s="14">
        <f t="shared" si="227"/>
        <v>3207</v>
      </c>
      <c r="W555" s="14">
        <f t="shared" si="228"/>
        <v>-3207</v>
      </c>
      <c r="Y555" s="14">
        <f t="shared" si="231"/>
        <v>120</v>
      </c>
      <c r="Z555" s="14">
        <f t="shared" si="232"/>
        <v>-120</v>
      </c>
      <c r="AA555" s="11">
        <f t="shared" si="234"/>
        <v>0.43</v>
      </c>
      <c r="AB555" s="9">
        <f t="shared" si="237"/>
        <v>64.5</v>
      </c>
      <c r="AD555" s="13">
        <f>IF(AH555&gt;AH554,AD554,IF(AD554&lt;MiscData!$F$1,EOMONTH(AD554,1),EOMONTH(AD554,-11)))</f>
        <v>42216</v>
      </c>
      <c r="AE555" s="7" t="str">
        <f t="shared" si="229"/>
        <v>20140101KUUM_411</v>
      </c>
      <c r="AF555" s="12" t="str">
        <f t="shared" si="230"/>
        <v>20140101LS</v>
      </c>
      <c r="AG555" s="31"/>
      <c r="AH555">
        <f>IF(AH554=MiscData!$AB$91,1,AH554+1)</f>
        <v>26</v>
      </c>
      <c r="AI555">
        <f>IF(AD555&lt;=MiscData!$B$23,MiscData!$C$23,IF(AD555&lt;=MiscData!$B$24,MiscData!$C$24,MiscData!$C$25))</f>
        <v>20140101</v>
      </c>
      <c r="AK555" s="190" t="str">
        <f>VLOOKUP(AM555,MiscData!$AB$4:$ACB$113,2,FALSE)</f>
        <v>KUUM_411</v>
      </c>
      <c r="AL555" s="190" t="str">
        <f>VLOOKUP(AM555,MiscData!$AB$4:$AE$115,4,FALSE)</f>
        <v>LS</v>
      </c>
      <c r="AM555">
        <f>IF(AM554=MiscData!$AB$91,1,AM554+1)</f>
        <v>26</v>
      </c>
    </row>
    <row r="556" spans="1:39">
      <c r="A556" s="7">
        <f t="shared" si="233"/>
        <v>555</v>
      </c>
      <c r="B556" s="13" t="str">
        <f t="shared" si="214"/>
        <v>Jul 2015</v>
      </c>
      <c r="C556" s="23" t="str">
        <f t="shared" si="215"/>
        <v>RLS</v>
      </c>
      <c r="D556" s="23" t="str">
        <f t="shared" si="216"/>
        <v>KUUM_412</v>
      </c>
      <c r="E556" s="170">
        <f t="shared" si="217"/>
        <v>28</v>
      </c>
      <c r="F556" s="185"/>
      <c r="G556" s="170">
        <f t="shared" si="218"/>
        <v>0</v>
      </c>
      <c r="H556" s="170">
        <v>0</v>
      </c>
      <c r="I556" s="11">
        <f t="shared" si="219"/>
        <v>30.84</v>
      </c>
      <c r="J556" s="11">
        <f t="shared" si="220"/>
        <v>0.79999999999999716</v>
      </c>
      <c r="K556" s="416">
        <f t="shared" si="235"/>
        <v>863.52</v>
      </c>
      <c r="L556" s="180"/>
      <c r="M556" s="180"/>
      <c r="N556" s="186">
        <f t="shared" si="213"/>
        <v>863.52</v>
      </c>
      <c r="O556" s="29">
        <f t="shared" si="221"/>
        <v>0</v>
      </c>
      <c r="P556" s="181">
        <f t="shared" si="236"/>
        <v>0</v>
      </c>
      <c r="Q556" s="182">
        <f t="shared" si="222"/>
        <v>0</v>
      </c>
      <c r="R556" s="182">
        <f t="shared" si="223"/>
        <v>0</v>
      </c>
      <c r="S556" s="182">
        <f t="shared" si="224"/>
        <v>0</v>
      </c>
      <c r="T556" s="182">
        <f t="shared" si="225"/>
        <v>0</v>
      </c>
      <c r="U556" s="182">
        <f t="shared" si="226"/>
        <v>0</v>
      </c>
      <c r="V556" s="14">
        <f t="shared" si="227"/>
        <v>863.52</v>
      </c>
      <c r="W556" s="14">
        <f t="shared" si="228"/>
        <v>-863.52</v>
      </c>
      <c r="Y556" s="14">
        <f t="shared" si="231"/>
        <v>22.4</v>
      </c>
      <c r="Z556" s="14">
        <f t="shared" si="232"/>
        <v>-22.4</v>
      </c>
      <c r="AA556" s="11">
        <f t="shared" si="234"/>
        <v>0.43</v>
      </c>
      <c r="AB556" s="9">
        <f t="shared" si="237"/>
        <v>12.04</v>
      </c>
      <c r="AD556" s="13">
        <f>IF(AH556&gt;AH555,AD555,IF(AD555&lt;MiscData!$F$1,EOMONTH(AD555,1),EOMONTH(AD555,-11)))</f>
        <v>42216</v>
      </c>
      <c r="AE556" s="7" t="str">
        <f t="shared" si="229"/>
        <v>20140101KUUM_412</v>
      </c>
      <c r="AF556" s="12" t="str">
        <f t="shared" si="230"/>
        <v>20140101RLS</v>
      </c>
      <c r="AG556" s="31"/>
      <c r="AH556">
        <f>IF(AH555=MiscData!$AB$91,1,AH555+1)</f>
        <v>27</v>
      </c>
      <c r="AI556">
        <f>IF(AD556&lt;=MiscData!$B$23,MiscData!$C$23,IF(AD556&lt;=MiscData!$B$24,MiscData!$C$24,MiscData!$C$25))</f>
        <v>20140101</v>
      </c>
      <c r="AK556" s="190" t="str">
        <f>VLOOKUP(AM556,MiscData!$AB$4:$ACB$113,2,FALSE)</f>
        <v>KUUM_412</v>
      </c>
      <c r="AL556" s="190" t="str">
        <f>VLOOKUP(AM556,MiscData!$AB$4:$AE$115,4,FALSE)</f>
        <v>RLS</v>
      </c>
      <c r="AM556">
        <f>IF(AM555=MiscData!$AB$91,1,AM555+1)</f>
        <v>27</v>
      </c>
    </row>
    <row r="557" spans="1:39">
      <c r="A557" s="7">
        <f t="shared" si="233"/>
        <v>556</v>
      </c>
      <c r="B557" s="13" t="str">
        <f t="shared" si="214"/>
        <v>Jul 2015</v>
      </c>
      <c r="C557" s="23" t="str">
        <f t="shared" si="215"/>
        <v>RLS</v>
      </c>
      <c r="D557" s="23" t="str">
        <f t="shared" si="216"/>
        <v>KUUM_413</v>
      </c>
      <c r="E557" s="170">
        <f t="shared" si="217"/>
        <v>96</v>
      </c>
      <c r="F557" s="185"/>
      <c r="G557" s="170">
        <f t="shared" si="218"/>
        <v>0</v>
      </c>
      <c r="H557" s="170">
        <v>0</v>
      </c>
      <c r="I557" s="11">
        <f t="shared" si="219"/>
        <v>31.22</v>
      </c>
      <c r="J557" s="11">
        <f t="shared" si="220"/>
        <v>1.129999999999999</v>
      </c>
      <c r="K557" s="416">
        <f t="shared" si="235"/>
        <v>2997.12</v>
      </c>
      <c r="L557" s="180"/>
      <c r="M557" s="180"/>
      <c r="N557" s="186">
        <f t="shared" si="213"/>
        <v>2997.12</v>
      </c>
      <c r="O557" s="29">
        <f t="shared" si="221"/>
        <v>0</v>
      </c>
      <c r="P557" s="181">
        <f t="shared" si="236"/>
        <v>0</v>
      </c>
      <c r="Q557" s="182">
        <f t="shared" si="222"/>
        <v>0</v>
      </c>
      <c r="R557" s="182">
        <f t="shared" si="223"/>
        <v>0</v>
      </c>
      <c r="S557" s="182">
        <f t="shared" si="224"/>
        <v>0</v>
      </c>
      <c r="T557" s="182">
        <f t="shared" si="225"/>
        <v>0</v>
      </c>
      <c r="U557" s="182">
        <f t="shared" si="226"/>
        <v>0</v>
      </c>
      <c r="V557" s="14">
        <f t="shared" si="227"/>
        <v>2997.12</v>
      </c>
      <c r="W557" s="14">
        <f t="shared" si="228"/>
        <v>-2997.12</v>
      </c>
      <c r="Y557" s="14">
        <f t="shared" si="231"/>
        <v>108.48</v>
      </c>
      <c r="Z557" s="14">
        <f t="shared" si="232"/>
        <v>-108.48</v>
      </c>
      <c r="AA557" s="11">
        <f t="shared" si="234"/>
        <v>0.34</v>
      </c>
      <c r="AB557" s="9">
        <f t="shared" si="237"/>
        <v>32.64</v>
      </c>
      <c r="AD557" s="13">
        <f>IF(AH557&gt;AH556,AD556,IF(AD556&lt;MiscData!$F$1,EOMONTH(AD556,1),EOMONTH(AD556,-11)))</f>
        <v>42216</v>
      </c>
      <c r="AE557" s="7" t="str">
        <f t="shared" si="229"/>
        <v>20140101KUUM_413</v>
      </c>
      <c r="AF557" s="12" t="str">
        <f t="shared" si="230"/>
        <v>20140101RLS</v>
      </c>
      <c r="AG557" s="31"/>
      <c r="AH557">
        <f>IF(AH556=MiscData!$AB$91,1,AH556+1)</f>
        <v>28</v>
      </c>
      <c r="AI557">
        <f>IF(AD557&lt;=MiscData!$B$23,MiscData!$C$23,IF(AD557&lt;=MiscData!$B$24,MiscData!$C$24,MiscData!$C$25))</f>
        <v>20140101</v>
      </c>
      <c r="AK557" s="190" t="str">
        <f>VLOOKUP(AM557,MiscData!$AB$4:$ACB$113,2,FALSE)</f>
        <v>KUUM_413</v>
      </c>
      <c r="AL557" s="190" t="str">
        <f>VLOOKUP(AM557,MiscData!$AB$4:$AE$115,4,FALSE)</f>
        <v>RLS</v>
      </c>
      <c r="AM557">
        <f>IF(AM556=MiscData!$AB$91,1,AM556+1)</f>
        <v>28</v>
      </c>
    </row>
    <row r="558" spans="1:39">
      <c r="A558" s="7">
        <f t="shared" si="233"/>
        <v>557</v>
      </c>
      <c r="B558" s="13" t="str">
        <f t="shared" si="214"/>
        <v>Jul 2015</v>
      </c>
      <c r="C558" s="23" t="str">
        <f t="shared" si="215"/>
        <v>LS</v>
      </c>
      <c r="D558" s="23" t="str">
        <f t="shared" si="216"/>
        <v>KUUM_414</v>
      </c>
      <c r="E558" s="170">
        <f t="shared" si="217"/>
        <v>21</v>
      </c>
      <c r="F558" s="185"/>
      <c r="G558" s="170">
        <f t="shared" si="218"/>
        <v>0</v>
      </c>
      <c r="H558" s="170">
        <v>0</v>
      </c>
      <c r="I558" s="11">
        <f t="shared" si="219"/>
        <v>30.84</v>
      </c>
      <c r="J558" s="11">
        <f t="shared" si="220"/>
        <v>0.79999999999999716</v>
      </c>
      <c r="K558" s="416">
        <f t="shared" si="235"/>
        <v>647.64</v>
      </c>
      <c r="L558" s="180"/>
      <c r="M558" s="180"/>
      <c r="N558" s="186">
        <f t="shared" si="213"/>
        <v>647.64</v>
      </c>
      <c r="O558" s="29">
        <f t="shared" si="221"/>
        <v>0</v>
      </c>
      <c r="P558" s="181">
        <f t="shared" si="236"/>
        <v>0</v>
      </c>
      <c r="Q558" s="182">
        <f t="shared" si="222"/>
        <v>0</v>
      </c>
      <c r="R558" s="182">
        <f t="shared" si="223"/>
        <v>0</v>
      </c>
      <c r="S558" s="182">
        <f t="shared" si="224"/>
        <v>0</v>
      </c>
      <c r="T558" s="182">
        <f t="shared" si="225"/>
        <v>0</v>
      </c>
      <c r="U558" s="182">
        <f t="shared" si="226"/>
        <v>0</v>
      </c>
      <c r="V558" s="14">
        <f t="shared" si="227"/>
        <v>647.64</v>
      </c>
      <c r="W558" s="14">
        <f t="shared" si="228"/>
        <v>-647.64</v>
      </c>
      <c r="Y558" s="14">
        <f t="shared" si="231"/>
        <v>16.8</v>
      </c>
      <c r="Z558" s="14">
        <f t="shared" si="232"/>
        <v>-16.8</v>
      </c>
      <c r="AA558" s="11">
        <f t="shared" si="234"/>
        <v>0.43</v>
      </c>
      <c r="AB558" s="9">
        <f t="shared" si="237"/>
        <v>9.0299999999999994</v>
      </c>
      <c r="AD558" s="13">
        <f>IF(AH558&gt;AH557,AD557,IF(AD557&lt;MiscData!$F$1,EOMONTH(AD557,1),EOMONTH(AD557,-11)))</f>
        <v>42216</v>
      </c>
      <c r="AE558" s="7" t="str">
        <f t="shared" si="229"/>
        <v>20140101KUUM_414</v>
      </c>
      <c r="AF558" s="12" t="str">
        <f t="shared" si="230"/>
        <v>20140101LS</v>
      </c>
      <c r="AG558" s="31"/>
      <c r="AH558">
        <f>IF(AH557=MiscData!$AB$91,1,AH557+1)</f>
        <v>29</v>
      </c>
      <c r="AI558">
        <f>IF(AD558&lt;=MiscData!$B$23,MiscData!$C$23,IF(AD558&lt;=MiscData!$B$24,MiscData!$C$24,MiscData!$C$25))</f>
        <v>20140101</v>
      </c>
      <c r="AK558" s="190" t="str">
        <f>VLOOKUP(AM558,MiscData!$AB$4:$ACB$113,2,FALSE)</f>
        <v>KUUM_414</v>
      </c>
      <c r="AL558" s="190" t="str">
        <f>VLOOKUP(AM558,MiscData!$AB$4:$AE$115,4,FALSE)</f>
        <v>LS</v>
      </c>
      <c r="AM558">
        <f>IF(AM557=MiscData!$AB$91,1,AM557+1)</f>
        <v>29</v>
      </c>
    </row>
    <row r="559" spans="1:39">
      <c r="A559" s="7">
        <f t="shared" si="233"/>
        <v>558</v>
      </c>
      <c r="B559" s="13" t="str">
        <f t="shared" si="214"/>
        <v>Jul 2015</v>
      </c>
      <c r="C559" s="23" t="str">
        <f t="shared" si="215"/>
        <v>LS</v>
      </c>
      <c r="D559" s="23" t="str">
        <f t="shared" si="216"/>
        <v>KUUM_415</v>
      </c>
      <c r="E559" s="170">
        <f t="shared" si="217"/>
        <v>10</v>
      </c>
      <c r="F559" s="185"/>
      <c r="G559" s="170">
        <f t="shared" si="218"/>
        <v>0</v>
      </c>
      <c r="H559" s="170">
        <v>0</v>
      </c>
      <c r="I559" s="11">
        <f t="shared" si="219"/>
        <v>31.22</v>
      </c>
      <c r="J559" s="11">
        <f t="shared" si="220"/>
        <v>1.129999999999999</v>
      </c>
      <c r="K559" s="416">
        <f t="shared" si="235"/>
        <v>312.2</v>
      </c>
      <c r="L559" s="180"/>
      <c r="M559" s="180"/>
      <c r="N559" s="186">
        <f t="shared" si="213"/>
        <v>312.2</v>
      </c>
      <c r="O559" s="29">
        <f t="shared" si="221"/>
        <v>0</v>
      </c>
      <c r="P559" s="181">
        <f t="shared" si="236"/>
        <v>0</v>
      </c>
      <c r="Q559" s="182">
        <f t="shared" si="222"/>
        <v>0</v>
      </c>
      <c r="R559" s="182">
        <f t="shared" si="223"/>
        <v>0</v>
      </c>
      <c r="S559" s="182">
        <f t="shared" si="224"/>
        <v>0</v>
      </c>
      <c r="T559" s="182">
        <f t="shared" si="225"/>
        <v>0</v>
      </c>
      <c r="U559" s="182">
        <f t="shared" si="226"/>
        <v>0</v>
      </c>
      <c r="V559" s="14">
        <f t="shared" si="227"/>
        <v>312.2</v>
      </c>
      <c r="W559" s="14">
        <f t="shared" si="228"/>
        <v>-312.2</v>
      </c>
      <c r="Y559" s="14">
        <f t="shared" si="231"/>
        <v>11.3</v>
      </c>
      <c r="Z559" s="14">
        <f t="shared" si="232"/>
        <v>-11.3</v>
      </c>
      <c r="AA559" s="11">
        <f t="shared" si="234"/>
        <v>0.34</v>
      </c>
      <c r="AB559" s="9">
        <f t="shared" si="237"/>
        <v>3.4000000000000004</v>
      </c>
      <c r="AD559" s="13">
        <f>IF(AH559&gt;AH558,AD558,IF(AD558&lt;MiscData!$F$1,EOMONTH(AD558,1),EOMONTH(AD558,-11)))</f>
        <v>42216</v>
      </c>
      <c r="AE559" s="7" t="str">
        <f t="shared" si="229"/>
        <v>20140101KUUM_415</v>
      </c>
      <c r="AF559" s="12" t="str">
        <f t="shared" si="230"/>
        <v>20140101LS</v>
      </c>
      <c r="AG559" s="31"/>
      <c r="AH559">
        <f>IF(AH558=MiscData!$AB$91,1,AH558+1)</f>
        <v>30</v>
      </c>
      <c r="AI559">
        <f>IF(AD559&lt;=MiscData!$B$23,MiscData!$C$23,IF(AD559&lt;=MiscData!$B$24,MiscData!$C$24,MiscData!$C$25))</f>
        <v>20140101</v>
      </c>
      <c r="AK559" s="190" t="str">
        <f>VLOOKUP(AM559,MiscData!$AB$4:$ACB$113,2,FALSE)</f>
        <v>KUUM_415</v>
      </c>
      <c r="AL559" s="190" t="str">
        <f>VLOOKUP(AM559,MiscData!$AB$4:$AE$115,4,FALSE)</f>
        <v>LS</v>
      </c>
      <c r="AM559">
        <f>IF(AM558=MiscData!$AB$91,1,AM558+1)</f>
        <v>30</v>
      </c>
    </row>
    <row r="560" spans="1:39">
      <c r="A560" s="7">
        <f t="shared" si="233"/>
        <v>559</v>
      </c>
      <c r="B560" s="13" t="str">
        <f t="shared" si="214"/>
        <v>Jul 2015</v>
      </c>
      <c r="C560" s="23" t="str">
        <f t="shared" si="215"/>
        <v>LS</v>
      </c>
      <c r="D560" s="23" t="str">
        <f t="shared" si="216"/>
        <v>KUUM_420</v>
      </c>
      <c r="E560" s="170">
        <f t="shared" si="217"/>
        <v>476</v>
      </c>
      <c r="F560" s="185"/>
      <c r="G560" s="170">
        <f t="shared" si="218"/>
        <v>0</v>
      </c>
      <c r="H560" s="170">
        <v>1593</v>
      </c>
      <c r="I560" s="11">
        <f t="shared" si="219"/>
        <v>15.360000000000001</v>
      </c>
      <c r="J560" s="11">
        <f t="shared" si="220"/>
        <v>1.1300000000000008</v>
      </c>
      <c r="K560" s="416">
        <f t="shared" si="235"/>
        <v>7311.36</v>
      </c>
      <c r="L560" s="180"/>
      <c r="M560" s="180"/>
      <c r="N560" s="186">
        <f t="shared" si="213"/>
        <v>7311.36</v>
      </c>
      <c r="O560" s="29">
        <f t="shared" si="221"/>
        <v>0</v>
      </c>
      <c r="P560" s="181">
        <f t="shared" si="236"/>
        <v>0</v>
      </c>
      <c r="Q560" s="182">
        <f t="shared" si="222"/>
        <v>0</v>
      </c>
      <c r="R560" s="182">
        <f t="shared" si="223"/>
        <v>0</v>
      </c>
      <c r="S560" s="182">
        <f t="shared" si="224"/>
        <v>0</v>
      </c>
      <c r="T560" s="182">
        <f t="shared" si="225"/>
        <v>0</v>
      </c>
      <c r="U560" s="182">
        <f t="shared" si="226"/>
        <v>0</v>
      </c>
      <c r="V560" s="14">
        <f t="shared" si="227"/>
        <v>7311.36</v>
      </c>
      <c r="W560" s="14">
        <f t="shared" si="228"/>
        <v>-7311.36</v>
      </c>
      <c r="Y560" s="14">
        <f t="shared" si="231"/>
        <v>537.88</v>
      </c>
      <c r="Z560" s="14">
        <f t="shared" si="232"/>
        <v>-537.88</v>
      </c>
      <c r="AA560" s="11">
        <f t="shared" si="234"/>
        <v>0.34</v>
      </c>
      <c r="AB560" s="9">
        <f t="shared" si="237"/>
        <v>161.84</v>
      </c>
      <c r="AD560" s="13">
        <f>IF(AH560&gt;AH559,AD559,IF(AD559&lt;MiscData!$F$1,EOMONTH(AD559,1),EOMONTH(AD559,-11)))</f>
        <v>42216</v>
      </c>
      <c r="AE560" s="7" t="str">
        <f t="shared" si="229"/>
        <v>20140101KUUM_420</v>
      </c>
      <c r="AF560" s="12" t="str">
        <f t="shared" si="230"/>
        <v>20140101LS</v>
      </c>
      <c r="AG560" s="31"/>
      <c r="AH560">
        <f>IF(AH559=MiscData!$AB$91,1,AH559+1)</f>
        <v>31</v>
      </c>
      <c r="AI560">
        <f>IF(AD560&lt;=MiscData!$B$23,MiscData!$C$23,IF(AD560&lt;=MiscData!$B$24,MiscData!$C$24,MiscData!$C$25))</f>
        <v>20140101</v>
      </c>
      <c r="AK560" s="190" t="str">
        <f>VLOOKUP(AM560,MiscData!$AB$4:$ACB$113,2,FALSE)</f>
        <v>KUUM_420</v>
      </c>
      <c r="AL560" s="190" t="str">
        <f>VLOOKUP(AM560,MiscData!$AB$4:$AE$115,4,FALSE)</f>
        <v>LS</v>
      </c>
      <c r="AM560">
        <f>IF(AM559=MiscData!$AB$91,1,AM559+1)</f>
        <v>31</v>
      </c>
    </row>
    <row r="561" spans="1:39">
      <c r="A561" s="7">
        <f t="shared" si="233"/>
        <v>560</v>
      </c>
      <c r="B561" s="13" t="str">
        <f t="shared" si="214"/>
        <v>Jul 2015</v>
      </c>
      <c r="C561" s="23" t="str">
        <f t="shared" si="215"/>
        <v>RLS</v>
      </c>
      <c r="D561" s="23" t="str">
        <f t="shared" si="216"/>
        <v>KUUM_421</v>
      </c>
      <c r="E561" s="170">
        <f t="shared" si="217"/>
        <v>5</v>
      </c>
      <c r="F561" s="185"/>
      <c r="G561" s="170">
        <f t="shared" si="218"/>
        <v>0</v>
      </c>
      <c r="H561" s="170">
        <v>0</v>
      </c>
      <c r="I561" s="11">
        <f t="shared" si="219"/>
        <v>3.39</v>
      </c>
      <c r="J561" s="11">
        <f t="shared" si="220"/>
        <v>0.98999999999999977</v>
      </c>
      <c r="K561" s="416">
        <f t="shared" si="235"/>
        <v>16.95</v>
      </c>
      <c r="L561" s="180"/>
      <c r="M561" s="180"/>
      <c r="N561" s="186">
        <f t="shared" si="213"/>
        <v>16.95</v>
      </c>
      <c r="O561" s="29">
        <f t="shared" si="221"/>
        <v>0</v>
      </c>
      <c r="P561" s="181">
        <f t="shared" si="236"/>
        <v>0</v>
      </c>
      <c r="Q561" s="182">
        <f t="shared" si="222"/>
        <v>0</v>
      </c>
      <c r="R561" s="182">
        <f t="shared" si="223"/>
        <v>0</v>
      </c>
      <c r="S561" s="182">
        <f t="shared" si="224"/>
        <v>0</v>
      </c>
      <c r="T561" s="182">
        <f t="shared" si="225"/>
        <v>0</v>
      </c>
      <c r="U561" s="182">
        <f t="shared" si="226"/>
        <v>0</v>
      </c>
      <c r="V561" s="14">
        <f t="shared" si="227"/>
        <v>16.95</v>
      </c>
      <c r="W561" s="14">
        <f t="shared" si="228"/>
        <v>-16.95</v>
      </c>
      <c r="Y561" s="14">
        <f t="shared" si="231"/>
        <v>4.95</v>
      </c>
      <c r="Z561" s="14">
        <f t="shared" si="232"/>
        <v>-4.95</v>
      </c>
      <c r="AA561" s="11">
        <f t="shared" si="234"/>
        <v>0.12</v>
      </c>
      <c r="AB561" s="9">
        <f t="shared" si="237"/>
        <v>0.6</v>
      </c>
      <c r="AD561" s="13">
        <f>IF(AH561&gt;AH560,AD560,IF(AD560&lt;MiscData!$F$1,EOMONTH(AD560,1),EOMONTH(AD560,-11)))</f>
        <v>42216</v>
      </c>
      <c r="AE561" s="7" t="str">
        <f t="shared" si="229"/>
        <v>20140101KUUM_421</v>
      </c>
      <c r="AF561" s="12" t="str">
        <f t="shared" si="230"/>
        <v>20140101RLS</v>
      </c>
      <c r="AG561" s="31"/>
      <c r="AH561">
        <f>IF(AH560=MiscData!$AB$91,1,AH560+1)</f>
        <v>32</v>
      </c>
      <c r="AI561">
        <f>IF(AD561&lt;=MiscData!$B$23,MiscData!$C$23,IF(AD561&lt;=MiscData!$B$24,MiscData!$C$24,MiscData!$C$25))</f>
        <v>20140101</v>
      </c>
      <c r="AK561" s="190" t="str">
        <f>VLOOKUP(AM561,MiscData!$AB$4:$ACB$113,2,FALSE)</f>
        <v>KUUM_421</v>
      </c>
      <c r="AL561" s="190" t="str">
        <f>VLOOKUP(AM561,MiscData!$AB$4:$AE$115,4,FALSE)</f>
        <v>RLS</v>
      </c>
      <c r="AM561">
        <f>IF(AM560=MiscData!$AB$91,1,AM560+1)</f>
        <v>32</v>
      </c>
    </row>
    <row r="562" spans="1:39">
      <c r="A562" s="7">
        <f t="shared" si="233"/>
        <v>561</v>
      </c>
      <c r="B562" s="13" t="str">
        <f t="shared" si="214"/>
        <v>Jul 2015</v>
      </c>
      <c r="C562" s="23" t="str">
        <f t="shared" si="215"/>
        <v>RLS</v>
      </c>
      <c r="D562" s="23" t="str">
        <f t="shared" si="216"/>
        <v>KUUM_422</v>
      </c>
      <c r="E562" s="170">
        <f t="shared" si="217"/>
        <v>666</v>
      </c>
      <c r="F562" s="185"/>
      <c r="G562" s="170">
        <f t="shared" si="218"/>
        <v>0</v>
      </c>
      <c r="H562" s="170">
        <v>0</v>
      </c>
      <c r="I562" s="11">
        <f t="shared" si="219"/>
        <v>4.5400000000000009</v>
      </c>
      <c r="J562" s="11">
        <f t="shared" si="220"/>
        <v>1.9400000000000004</v>
      </c>
      <c r="K562" s="416">
        <f t="shared" si="235"/>
        <v>3023.64</v>
      </c>
      <c r="L562" s="180"/>
      <c r="M562" s="180"/>
      <c r="N562" s="186">
        <f t="shared" si="213"/>
        <v>3023.64</v>
      </c>
      <c r="O562" s="29">
        <f t="shared" si="221"/>
        <v>0</v>
      </c>
      <c r="P562" s="181">
        <f t="shared" si="236"/>
        <v>0</v>
      </c>
      <c r="Q562" s="182">
        <f t="shared" si="222"/>
        <v>0</v>
      </c>
      <c r="R562" s="182">
        <f t="shared" si="223"/>
        <v>0</v>
      </c>
      <c r="S562" s="182">
        <f t="shared" si="224"/>
        <v>0</v>
      </c>
      <c r="T562" s="182">
        <f t="shared" si="225"/>
        <v>0</v>
      </c>
      <c r="U562" s="182">
        <f t="shared" si="226"/>
        <v>0</v>
      </c>
      <c r="V562" s="14">
        <f t="shared" si="227"/>
        <v>3023.64</v>
      </c>
      <c r="W562" s="14">
        <f t="shared" si="228"/>
        <v>-3023.64</v>
      </c>
      <c r="Y562" s="14">
        <f t="shared" si="231"/>
        <v>1292.04</v>
      </c>
      <c r="Z562" s="14">
        <f t="shared" si="232"/>
        <v>-1292.04</v>
      </c>
      <c r="AA562" s="11">
        <f t="shared" si="234"/>
        <v>0.16</v>
      </c>
      <c r="AB562" s="9">
        <f t="shared" si="237"/>
        <v>106.56</v>
      </c>
      <c r="AD562" s="13">
        <f>IF(AH562&gt;AH561,AD561,IF(AD561&lt;MiscData!$F$1,EOMONTH(AD561,1),EOMONTH(AD561,-11)))</f>
        <v>42216</v>
      </c>
      <c r="AE562" s="7" t="str">
        <f t="shared" si="229"/>
        <v>20140101KUUM_422</v>
      </c>
      <c r="AF562" s="12" t="str">
        <f t="shared" si="230"/>
        <v>20140101RLS</v>
      </c>
      <c r="AG562" s="31"/>
      <c r="AH562">
        <f>IF(AH561=MiscData!$AB$91,1,AH561+1)</f>
        <v>33</v>
      </c>
      <c r="AI562">
        <f>IF(AD562&lt;=MiscData!$B$23,MiscData!$C$23,IF(AD562&lt;=MiscData!$B$24,MiscData!$C$24,MiscData!$C$25))</f>
        <v>20140101</v>
      </c>
      <c r="AK562" s="190" t="str">
        <f>VLOOKUP(AM562,MiscData!$AB$4:$ACB$113,2,FALSE)</f>
        <v>KUUM_422</v>
      </c>
      <c r="AL562" s="190" t="str">
        <f>VLOOKUP(AM562,MiscData!$AB$4:$AE$115,4,FALSE)</f>
        <v>RLS</v>
      </c>
      <c r="AM562">
        <f>IF(AM561=MiscData!$AB$91,1,AM561+1)</f>
        <v>33</v>
      </c>
    </row>
    <row r="563" spans="1:39">
      <c r="A563" s="7">
        <f t="shared" si="233"/>
        <v>562</v>
      </c>
      <c r="B563" s="13" t="str">
        <f t="shared" si="214"/>
        <v>Jul 2015</v>
      </c>
      <c r="C563" s="23" t="str">
        <f t="shared" si="215"/>
        <v>RLS</v>
      </c>
      <c r="D563" s="23" t="str">
        <f t="shared" si="216"/>
        <v>KUUM_424</v>
      </c>
      <c r="E563" s="170">
        <f t="shared" si="217"/>
        <v>49</v>
      </c>
      <c r="F563" s="185"/>
      <c r="G563" s="170">
        <f t="shared" si="218"/>
        <v>0</v>
      </c>
      <c r="H563" s="170">
        <v>0</v>
      </c>
      <c r="I563" s="11">
        <f t="shared" si="219"/>
        <v>6.78</v>
      </c>
      <c r="J563" s="11">
        <f t="shared" si="220"/>
        <v>0.69999999999999929</v>
      </c>
      <c r="K563" s="416">
        <f t="shared" si="235"/>
        <v>332.22</v>
      </c>
      <c r="L563" s="180"/>
      <c r="M563" s="180"/>
      <c r="N563" s="186">
        <f t="shared" si="213"/>
        <v>332.22</v>
      </c>
      <c r="O563" s="29">
        <f t="shared" si="221"/>
        <v>0</v>
      </c>
      <c r="P563" s="181">
        <f t="shared" si="236"/>
        <v>0</v>
      </c>
      <c r="Q563" s="182">
        <f t="shared" si="222"/>
        <v>0</v>
      </c>
      <c r="R563" s="182">
        <f t="shared" si="223"/>
        <v>0</v>
      </c>
      <c r="S563" s="182">
        <f t="shared" si="224"/>
        <v>0</v>
      </c>
      <c r="T563" s="182">
        <f t="shared" si="225"/>
        <v>0</v>
      </c>
      <c r="U563" s="182">
        <f t="shared" si="226"/>
        <v>0</v>
      </c>
      <c r="V563" s="14">
        <f t="shared" si="227"/>
        <v>332.22</v>
      </c>
      <c r="W563" s="14">
        <f t="shared" si="228"/>
        <v>-332.22</v>
      </c>
      <c r="Y563" s="14">
        <f t="shared" si="231"/>
        <v>34.299999999999997</v>
      </c>
      <c r="Z563" s="14">
        <f t="shared" si="232"/>
        <v>-34.299999999999997</v>
      </c>
      <c r="AA563" s="11">
        <f t="shared" si="234"/>
        <v>0.24</v>
      </c>
      <c r="AB563" s="9">
        <f t="shared" si="237"/>
        <v>11.76</v>
      </c>
      <c r="AD563" s="13">
        <f>IF(AH563&gt;AH562,AD562,IF(AD562&lt;MiscData!$F$1,EOMONTH(AD562,1),EOMONTH(AD562,-11)))</f>
        <v>42216</v>
      </c>
      <c r="AE563" s="7" t="str">
        <f t="shared" si="229"/>
        <v>20140101KUUM_424</v>
      </c>
      <c r="AF563" s="12" t="str">
        <f t="shared" si="230"/>
        <v>20140101RLS</v>
      </c>
      <c r="AG563" s="31"/>
      <c r="AH563">
        <f>IF(AH562=MiscData!$AB$91,1,AH562+1)</f>
        <v>34</v>
      </c>
      <c r="AI563">
        <f>IF(AD563&lt;=MiscData!$B$23,MiscData!$C$23,IF(AD563&lt;=MiscData!$B$24,MiscData!$C$24,MiscData!$C$25))</f>
        <v>20140101</v>
      </c>
      <c r="AK563" s="190" t="str">
        <f>VLOOKUP(AM563,MiscData!$AB$4:$ACB$113,2,FALSE)</f>
        <v>KUUM_424</v>
      </c>
      <c r="AL563" s="190" t="str">
        <f>VLOOKUP(AM563,MiscData!$AB$4:$AE$115,4,FALSE)</f>
        <v>RLS</v>
      </c>
      <c r="AM563">
        <f>IF(AM562=MiscData!$AB$91,1,AM562+1)</f>
        <v>34</v>
      </c>
    </row>
    <row r="564" spans="1:39">
      <c r="A564" s="7">
        <f t="shared" si="233"/>
        <v>563</v>
      </c>
      <c r="B564" s="13" t="str">
        <f t="shared" si="214"/>
        <v>Jul 2015</v>
      </c>
      <c r="C564" s="23" t="str">
        <f t="shared" si="215"/>
        <v>RLS</v>
      </c>
      <c r="D564" s="23" t="str">
        <f t="shared" si="216"/>
        <v>KUUM_425</v>
      </c>
      <c r="E564" s="170">
        <f t="shared" si="217"/>
        <v>2</v>
      </c>
      <c r="F564" s="185"/>
      <c r="G564" s="170">
        <f t="shared" si="218"/>
        <v>0</v>
      </c>
      <c r="H564" s="170">
        <v>0</v>
      </c>
      <c r="I564" s="11">
        <f t="shared" si="219"/>
        <v>9.06</v>
      </c>
      <c r="J564" s="11">
        <f t="shared" si="220"/>
        <v>4.3000000000000007</v>
      </c>
      <c r="K564" s="416">
        <f t="shared" si="235"/>
        <v>18.12</v>
      </c>
      <c r="L564" s="180"/>
      <c r="M564" s="180"/>
      <c r="N564" s="186">
        <f t="shared" si="213"/>
        <v>18.12</v>
      </c>
      <c r="O564" s="29">
        <f t="shared" si="221"/>
        <v>0</v>
      </c>
      <c r="P564" s="181">
        <f t="shared" si="236"/>
        <v>0</v>
      </c>
      <c r="Q564" s="182">
        <f t="shared" si="222"/>
        <v>0</v>
      </c>
      <c r="R564" s="182">
        <f t="shared" si="223"/>
        <v>0</v>
      </c>
      <c r="S564" s="182">
        <f t="shared" si="224"/>
        <v>0</v>
      </c>
      <c r="T564" s="182">
        <f t="shared" si="225"/>
        <v>0</v>
      </c>
      <c r="U564" s="182">
        <f t="shared" si="226"/>
        <v>0</v>
      </c>
      <c r="V564" s="14">
        <f t="shared" si="227"/>
        <v>18.12</v>
      </c>
      <c r="W564" s="14">
        <f t="shared" si="228"/>
        <v>-18.12</v>
      </c>
      <c r="Y564" s="14">
        <f t="shared" si="231"/>
        <v>8.6</v>
      </c>
      <c r="Z564" s="14">
        <f t="shared" si="232"/>
        <v>-8.6</v>
      </c>
      <c r="AA564" s="11">
        <f t="shared" si="234"/>
        <v>0.33</v>
      </c>
      <c r="AB564" s="9">
        <f t="shared" si="237"/>
        <v>0.66</v>
      </c>
      <c r="AD564" s="13">
        <f>IF(AH564&gt;AH563,AD563,IF(AD563&lt;MiscData!$F$1,EOMONTH(AD563,1),EOMONTH(AD563,-11)))</f>
        <v>42216</v>
      </c>
      <c r="AE564" s="7" t="str">
        <f t="shared" si="229"/>
        <v>20140101KUUM_425</v>
      </c>
      <c r="AF564" s="12" t="str">
        <f t="shared" si="230"/>
        <v>20140101RLS</v>
      </c>
      <c r="AG564" s="31"/>
      <c r="AH564">
        <f>IF(AH563=MiscData!$AB$91,1,AH563+1)</f>
        <v>35</v>
      </c>
      <c r="AI564">
        <f>IF(AD564&lt;=MiscData!$B$23,MiscData!$C$23,IF(AD564&lt;=MiscData!$B$24,MiscData!$C$24,MiscData!$C$25))</f>
        <v>20140101</v>
      </c>
      <c r="AK564" s="190" t="str">
        <f>VLOOKUP(AM564,MiscData!$AB$4:$ACB$113,2,FALSE)</f>
        <v>KUUM_425</v>
      </c>
      <c r="AL564" s="190" t="str">
        <f>VLOOKUP(AM564,MiscData!$AB$4:$AE$115,4,FALSE)</f>
        <v>RLS</v>
      </c>
      <c r="AM564">
        <f>IF(AM563=MiscData!$AB$91,1,AM563+1)</f>
        <v>35</v>
      </c>
    </row>
    <row r="565" spans="1:39">
      <c r="A565" s="7">
        <f t="shared" si="233"/>
        <v>564</v>
      </c>
      <c r="B565" s="13" t="str">
        <f t="shared" si="214"/>
        <v>Jul 2015</v>
      </c>
      <c r="C565" s="23" t="str">
        <f t="shared" si="215"/>
        <v>RLS</v>
      </c>
      <c r="D565" s="23" t="str">
        <f t="shared" si="216"/>
        <v>KUUM_426</v>
      </c>
      <c r="E565" s="170">
        <f t="shared" si="217"/>
        <v>176</v>
      </c>
      <c r="F565" s="185"/>
      <c r="G565" s="170">
        <f t="shared" si="218"/>
        <v>0</v>
      </c>
      <c r="H565" s="170">
        <v>0</v>
      </c>
      <c r="I565" s="11">
        <f t="shared" si="219"/>
        <v>7.4399999999999995</v>
      </c>
      <c r="J565" s="11">
        <f t="shared" si="220"/>
        <v>0.79999999999999982</v>
      </c>
      <c r="K565" s="416">
        <f t="shared" si="235"/>
        <v>1309.44</v>
      </c>
      <c r="L565" s="180"/>
      <c r="M565" s="180"/>
      <c r="N565" s="186">
        <f t="shared" si="213"/>
        <v>1309.44</v>
      </c>
      <c r="O565" s="29">
        <f t="shared" si="221"/>
        <v>0</v>
      </c>
      <c r="P565" s="181">
        <f t="shared" si="236"/>
        <v>0</v>
      </c>
      <c r="Q565" s="182">
        <f t="shared" si="222"/>
        <v>0</v>
      </c>
      <c r="R565" s="182">
        <f t="shared" si="223"/>
        <v>0</v>
      </c>
      <c r="S565" s="182">
        <f t="shared" si="224"/>
        <v>0</v>
      </c>
      <c r="T565" s="182">
        <f t="shared" si="225"/>
        <v>0</v>
      </c>
      <c r="U565" s="182">
        <f t="shared" si="226"/>
        <v>0</v>
      </c>
      <c r="V565" s="14">
        <f t="shared" si="227"/>
        <v>1309.44</v>
      </c>
      <c r="W565" s="14">
        <f t="shared" si="228"/>
        <v>-1309.44</v>
      </c>
      <c r="Y565" s="14">
        <f t="shared" si="231"/>
        <v>140.80000000000001</v>
      </c>
      <c r="Z565" s="14">
        <f t="shared" si="232"/>
        <v>-140.80000000000001</v>
      </c>
      <c r="AA565" s="11">
        <f t="shared" si="234"/>
        <v>0.43</v>
      </c>
      <c r="AB565" s="9">
        <f t="shared" si="237"/>
        <v>75.679999999999993</v>
      </c>
      <c r="AD565" s="13">
        <f>IF(AH565&gt;AH564,AD564,IF(AD564&lt;MiscData!$F$1,EOMONTH(AD564,1),EOMONTH(AD564,-11)))</f>
        <v>42216</v>
      </c>
      <c r="AE565" s="7" t="str">
        <f t="shared" si="229"/>
        <v>20140101KUUM_426</v>
      </c>
      <c r="AF565" s="12" t="str">
        <f t="shared" si="230"/>
        <v>20140101RLS</v>
      </c>
      <c r="AG565" s="31"/>
      <c r="AH565">
        <f>IF(AH564=MiscData!$AB$91,1,AH564+1)</f>
        <v>36</v>
      </c>
      <c r="AI565">
        <f>IF(AD565&lt;=MiscData!$B$23,MiscData!$C$23,IF(AD565&lt;=MiscData!$B$24,MiscData!$C$24,MiscData!$C$25))</f>
        <v>20140101</v>
      </c>
      <c r="AK565" s="190" t="str">
        <f>VLOOKUP(AM565,MiscData!$AB$4:$ACB$113,2,FALSE)</f>
        <v>KUUM_426</v>
      </c>
      <c r="AL565" s="190" t="str">
        <f>VLOOKUP(AM565,MiscData!$AB$4:$AE$115,4,FALSE)</f>
        <v>RLS</v>
      </c>
      <c r="AM565">
        <f>IF(AM564=MiscData!$AB$91,1,AM564+1)</f>
        <v>36</v>
      </c>
    </row>
    <row r="566" spans="1:39">
      <c r="A566" s="7">
        <f t="shared" si="233"/>
        <v>565</v>
      </c>
      <c r="B566" s="13" t="str">
        <f t="shared" si="214"/>
        <v>Jul 2015</v>
      </c>
      <c r="C566" s="23" t="str">
        <f t="shared" si="215"/>
        <v>LS</v>
      </c>
      <c r="D566" s="23" t="str">
        <f t="shared" si="216"/>
        <v>KUUM_428</v>
      </c>
      <c r="E566" s="170">
        <f t="shared" si="217"/>
        <v>36590</v>
      </c>
      <c r="F566" s="185"/>
      <c r="G566" s="170">
        <f t="shared" si="218"/>
        <v>0</v>
      </c>
      <c r="H566" s="170">
        <v>0</v>
      </c>
      <c r="I566" s="11">
        <f t="shared" si="219"/>
        <v>7.84</v>
      </c>
      <c r="J566" s="11">
        <f t="shared" si="220"/>
        <v>1.1299999999999999</v>
      </c>
      <c r="K566" s="416">
        <f t="shared" si="235"/>
        <v>286865.59999999998</v>
      </c>
      <c r="L566" s="180"/>
      <c r="M566" s="180"/>
      <c r="N566" s="186">
        <f t="shared" si="213"/>
        <v>286865.59999999998</v>
      </c>
      <c r="O566" s="29">
        <f t="shared" si="221"/>
        <v>0</v>
      </c>
      <c r="P566" s="181">
        <f t="shared" si="236"/>
        <v>0</v>
      </c>
      <c r="Q566" s="182">
        <f t="shared" si="222"/>
        <v>0</v>
      </c>
      <c r="R566" s="182">
        <f t="shared" si="223"/>
        <v>0</v>
      </c>
      <c r="S566" s="182">
        <f t="shared" si="224"/>
        <v>0</v>
      </c>
      <c r="T566" s="182">
        <f t="shared" si="225"/>
        <v>0</v>
      </c>
      <c r="U566" s="182">
        <f t="shared" si="226"/>
        <v>0</v>
      </c>
      <c r="V566" s="14">
        <f t="shared" si="227"/>
        <v>286865.59999999998</v>
      </c>
      <c r="W566" s="14">
        <f t="shared" si="228"/>
        <v>-286865.59999999998</v>
      </c>
      <c r="Y566" s="14">
        <f t="shared" si="231"/>
        <v>41346.699999999997</v>
      </c>
      <c r="Z566" s="14">
        <f t="shared" si="232"/>
        <v>-41346.699999999997</v>
      </c>
      <c r="AA566" s="11">
        <f t="shared" si="234"/>
        <v>0.34</v>
      </c>
      <c r="AB566" s="9">
        <f t="shared" si="237"/>
        <v>12440.6</v>
      </c>
      <c r="AD566" s="13">
        <f>IF(AH566&gt;AH565,AD565,IF(AD565&lt;MiscData!$F$1,EOMONTH(AD565,1),EOMONTH(AD565,-11)))</f>
        <v>42216</v>
      </c>
      <c r="AE566" s="7" t="str">
        <f t="shared" si="229"/>
        <v>20140101KUUM_428</v>
      </c>
      <c r="AF566" s="12" t="str">
        <f t="shared" si="230"/>
        <v>20140101LS</v>
      </c>
      <c r="AG566" s="31"/>
      <c r="AH566">
        <f>IF(AH565=MiscData!$AB$91,1,AH565+1)</f>
        <v>37</v>
      </c>
      <c r="AI566">
        <f>IF(AD566&lt;=MiscData!$B$23,MiscData!$C$23,IF(AD566&lt;=MiscData!$B$24,MiscData!$C$24,MiscData!$C$25))</f>
        <v>20140101</v>
      </c>
      <c r="AK566" s="190" t="str">
        <f>VLOOKUP(AM566,MiscData!$AB$4:$ACB$113,2,FALSE)</f>
        <v>KUUM_428</v>
      </c>
      <c r="AL566" s="190" t="str">
        <f>VLOOKUP(AM566,MiscData!$AB$4:$AE$115,4,FALSE)</f>
        <v>LS</v>
      </c>
      <c r="AM566">
        <f>IF(AM565=MiscData!$AB$91,1,AM565+1)</f>
        <v>37</v>
      </c>
    </row>
    <row r="567" spans="1:39">
      <c r="A567" s="7">
        <f t="shared" si="233"/>
        <v>566</v>
      </c>
      <c r="B567" s="13" t="str">
        <f t="shared" si="214"/>
        <v>Jul 2015</v>
      </c>
      <c r="C567" s="23" t="str">
        <f t="shared" si="215"/>
        <v>LS</v>
      </c>
      <c r="D567" s="23" t="str">
        <f t="shared" si="216"/>
        <v>KUUM_429</v>
      </c>
      <c r="E567" s="170">
        <f t="shared" si="217"/>
        <v>0</v>
      </c>
      <c r="F567" s="185"/>
      <c r="G567" s="170">
        <f t="shared" si="218"/>
        <v>0</v>
      </c>
      <c r="H567" s="170">
        <v>0</v>
      </c>
      <c r="I567" s="11">
        <f t="shared" si="219"/>
        <v>0</v>
      </c>
      <c r="J567" s="11">
        <f t="shared" si="220"/>
        <v>0</v>
      </c>
      <c r="K567" s="416">
        <f t="shared" si="235"/>
        <v>0</v>
      </c>
      <c r="L567" s="180"/>
      <c r="M567" s="180"/>
      <c r="N567" s="186">
        <f t="shared" si="213"/>
        <v>0</v>
      </c>
      <c r="O567" s="29">
        <f t="shared" si="221"/>
        <v>0</v>
      </c>
      <c r="P567" s="181">
        <f t="shared" si="236"/>
        <v>1</v>
      </c>
      <c r="Q567" s="182">
        <f t="shared" si="222"/>
        <v>0</v>
      </c>
      <c r="R567" s="182">
        <f t="shared" si="223"/>
        <v>0</v>
      </c>
      <c r="S567" s="182">
        <f t="shared" si="224"/>
        <v>0</v>
      </c>
      <c r="T567" s="182">
        <f t="shared" si="225"/>
        <v>0</v>
      </c>
      <c r="U567" s="182">
        <f t="shared" si="226"/>
        <v>0</v>
      </c>
      <c r="V567" s="14">
        <f t="shared" si="227"/>
        <v>0</v>
      </c>
      <c r="W567" s="14">
        <f t="shared" si="228"/>
        <v>0</v>
      </c>
      <c r="Y567" s="14">
        <f t="shared" si="231"/>
        <v>0</v>
      </c>
      <c r="Z567" s="14">
        <f t="shared" si="232"/>
        <v>0</v>
      </c>
      <c r="AA567" s="11">
        <f t="shared" si="234"/>
        <v>0</v>
      </c>
      <c r="AB567" s="9">
        <f t="shared" si="237"/>
        <v>0</v>
      </c>
      <c r="AD567" s="13">
        <f>IF(AH567&gt;AH566,AD566,IF(AD566&lt;MiscData!$F$1,EOMONTH(AD566,1),EOMONTH(AD566,-11)))</f>
        <v>42216</v>
      </c>
      <c r="AE567" s="7" t="str">
        <f t="shared" si="229"/>
        <v>20140101KUUM_429</v>
      </c>
      <c r="AF567" s="12" t="str">
        <f t="shared" si="230"/>
        <v>20140101LS</v>
      </c>
      <c r="AG567" s="31"/>
      <c r="AH567">
        <f>IF(AH566=MiscData!$AB$91,1,AH566+1)</f>
        <v>38</v>
      </c>
      <c r="AI567">
        <f>IF(AD567&lt;=MiscData!$B$23,MiscData!$C$23,IF(AD567&lt;=MiscData!$B$24,MiscData!$C$24,MiscData!$C$25))</f>
        <v>20140101</v>
      </c>
      <c r="AK567" s="190" t="str">
        <f>VLOOKUP(AM567,MiscData!$AB$4:$ACB$113,2,FALSE)</f>
        <v>KUUM_429</v>
      </c>
      <c r="AL567" s="190" t="str">
        <f>VLOOKUP(AM567,MiscData!$AB$4:$AE$115,4,FALSE)</f>
        <v>LS</v>
      </c>
      <c r="AM567">
        <f>IF(AM566=MiscData!$AB$91,1,AM566+1)</f>
        <v>38</v>
      </c>
    </row>
    <row r="568" spans="1:39">
      <c r="A568" s="7">
        <f t="shared" si="233"/>
        <v>567</v>
      </c>
      <c r="B568" s="13" t="str">
        <f t="shared" si="214"/>
        <v>Jul 2015</v>
      </c>
      <c r="C568" s="23" t="str">
        <f t="shared" si="215"/>
        <v>LS</v>
      </c>
      <c r="D568" s="23" t="str">
        <f t="shared" si="216"/>
        <v>KUUM_430</v>
      </c>
      <c r="E568" s="170">
        <f t="shared" si="217"/>
        <v>1178</v>
      </c>
      <c r="F568" s="185"/>
      <c r="G568" s="170">
        <f t="shared" si="218"/>
        <v>0</v>
      </c>
      <c r="H568" s="170">
        <v>0</v>
      </c>
      <c r="I568" s="11">
        <f t="shared" si="219"/>
        <v>22</v>
      </c>
      <c r="J568" s="11">
        <f t="shared" si="220"/>
        <v>1.129999999999999</v>
      </c>
      <c r="K568" s="416">
        <f t="shared" si="235"/>
        <v>25916</v>
      </c>
      <c r="L568" s="180"/>
      <c r="M568" s="180"/>
      <c r="N568" s="186">
        <f t="shared" ref="N568:N631" si="238">SUM(K568:M568)</f>
        <v>25916</v>
      </c>
      <c r="O568" s="29">
        <f t="shared" si="221"/>
        <v>0</v>
      </c>
      <c r="P568" s="181">
        <f t="shared" si="236"/>
        <v>0</v>
      </c>
      <c r="Q568" s="182">
        <f t="shared" si="222"/>
        <v>0</v>
      </c>
      <c r="R568" s="182">
        <f t="shared" si="223"/>
        <v>0</v>
      </c>
      <c r="S568" s="182">
        <f t="shared" si="224"/>
        <v>0</v>
      </c>
      <c r="T568" s="182">
        <f t="shared" si="225"/>
        <v>0</v>
      </c>
      <c r="U568" s="182">
        <f t="shared" si="226"/>
        <v>0</v>
      </c>
      <c r="V568" s="14">
        <f t="shared" si="227"/>
        <v>25916</v>
      </c>
      <c r="W568" s="14">
        <f t="shared" si="228"/>
        <v>-25916</v>
      </c>
      <c r="Y568" s="14">
        <f t="shared" si="231"/>
        <v>1331.14</v>
      </c>
      <c r="Z568" s="14">
        <f t="shared" si="232"/>
        <v>-1331.14</v>
      </c>
      <c r="AA568" s="11">
        <f t="shared" si="234"/>
        <v>0.34</v>
      </c>
      <c r="AB568" s="9">
        <f t="shared" si="237"/>
        <v>400.52000000000004</v>
      </c>
      <c r="AD568" s="13">
        <f>IF(AH568&gt;AH567,AD567,IF(AD567&lt;MiscData!$F$1,EOMONTH(AD567,1),EOMONTH(AD567,-11)))</f>
        <v>42216</v>
      </c>
      <c r="AE568" s="7" t="str">
        <f t="shared" si="229"/>
        <v>20140101KUUM_430</v>
      </c>
      <c r="AF568" s="12" t="str">
        <f t="shared" si="230"/>
        <v>20140101LS</v>
      </c>
      <c r="AG568" s="31"/>
      <c r="AH568">
        <f>IF(AH567=MiscData!$AB$91,1,AH567+1)</f>
        <v>39</v>
      </c>
      <c r="AI568">
        <f>IF(AD568&lt;=MiscData!$B$23,MiscData!$C$23,IF(AD568&lt;=MiscData!$B$24,MiscData!$C$24,MiscData!$C$25))</f>
        <v>20140101</v>
      </c>
      <c r="AK568" s="190" t="str">
        <f>VLOOKUP(AM568,MiscData!$AB$4:$ACB$113,2,FALSE)</f>
        <v>KUUM_430</v>
      </c>
      <c r="AL568" s="190" t="str">
        <f>VLOOKUP(AM568,MiscData!$AB$4:$AE$115,4,FALSE)</f>
        <v>LS</v>
      </c>
      <c r="AM568">
        <f>IF(AM567=MiscData!$AB$91,1,AM567+1)</f>
        <v>39</v>
      </c>
    </row>
    <row r="569" spans="1:39">
      <c r="A569" s="7">
        <f t="shared" si="233"/>
        <v>568</v>
      </c>
      <c r="B569" s="13" t="str">
        <f t="shared" si="214"/>
        <v>Jul 2015</v>
      </c>
      <c r="C569" s="23" t="str">
        <f t="shared" si="215"/>
        <v>RLS</v>
      </c>
      <c r="D569" s="23" t="str">
        <f t="shared" si="216"/>
        <v>KUUM_434</v>
      </c>
      <c r="E569" s="170">
        <f t="shared" si="217"/>
        <v>0</v>
      </c>
      <c r="F569" s="185"/>
      <c r="G569" s="170">
        <f t="shared" si="218"/>
        <v>0</v>
      </c>
      <c r="H569" s="170">
        <v>0</v>
      </c>
      <c r="I569" s="11">
        <f t="shared" si="219"/>
        <v>7.74</v>
      </c>
      <c r="J569" s="11">
        <f t="shared" si="220"/>
        <v>0.69999999999999929</v>
      </c>
      <c r="K569" s="416">
        <f t="shared" si="235"/>
        <v>0</v>
      </c>
      <c r="L569" s="180"/>
      <c r="M569" s="180"/>
      <c r="N569" s="186">
        <f t="shared" si="238"/>
        <v>0</v>
      </c>
      <c r="O569" s="29">
        <f t="shared" si="221"/>
        <v>0</v>
      </c>
      <c r="P569" s="181">
        <f t="shared" si="236"/>
        <v>1</v>
      </c>
      <c r="Q569" s="182">
        <f t="shared" si="222"/>
        <v>0</v>
      </c>
      <c r="R569" s="182">
        <f t="shared" si="223"/>
        <v>0</v>
      </c>
      <c r="S569" s="182">
        <f t="shared" si="224"/>
        <v>0</v>
      </c>
      <c r="T569" s="182">
        <f t="shared" si="225"/>
        <v>0</v>
      </c>
      <c r="U569" s="182">
        <f t="shared" si="226"/>
        <v>0</v>
      </c>
      <c r="V569" s="14">
        <f t="shared" si="227"/>
        <v>0</v>
      </c>
      <c r="W569" s="14">
        <f t="shared" si="228"/>
        <v>0</v>
      </c>
      <c r="Y569" s="14">
        <f t="shared" si="231"/>
        <v>0</v>
      </c>
      <c r="Z569" s="14">
        <f t="shared" si="232"/>
        <v>0</v>
      </c>
      <c r="AA569" s="11">
        <f t="shared" si="234"/>
        <v>0.24</v>
      </c>
      <c r="AB569" s="9">
        <f t="shared" si="237"/>
        <v>0</v>
      </c>
      <c r="AD569" s="13">
        <f>IF(AH569&gt;AH568,AD568,IF(AD568&lt;MiscData!$F$1,EOMONTH(AD568,1),EOMONTH(AD568,-11)))</f>
        <v>42216</v>
      </c>
      <c r="AE569" s="7" t="str">
        <f t="shared" si="229"/>
        <v>20140101KUUM_434</v>
      </c>
      <c r="AF569" s="12" t="str">
        <f t="shared" si="230"/>
        <v>20140101RLS</v>
      </c>
      <c r="AG569" s="31"/>
      <c r="AH569">
        <f>IF(AH568=MiscData!$AB$91,1,AH568+1)</f>
        <v>40</v>
      </c>
      <c r="AI569">
        <f>IF(AD569&lt;=MiscData!$B$23,MiscData!$C$23,IF(AD569&lt;=MiscData!$B$24,MiscData!$C$24,MiscData!$C$25))</f>
        <v>20140101</v>
      </c>
      <c r="AK569" s="190" t="str">
        <f>VLOOKUP(AM569,MiscData!$AB$4:$ACB$113,2,FALSE)</f>
        <v>KUUM_434</v>
      </c>
      <c r="AL569" s="190" t="str">
        <f>VLOOKUP(AM569,MiscData!$AB$4:$AE$115,4,FALSE)</f>
        <v>RLS</v>
      </c>
      <c r="AM569">
        <f>IF(AM568=MiscData!$AB$91,1,AM568+1)</f>
        <v>40</v>
      </c>
    </row>
    <row r="570" spans="1:39">
      <c r="A570" s="7">
        <f t="shared" si="233"/>
        <v>569</v>
      </c>
      <c r="B570" s="13" t="str">
        <f t="shared" ref="B570:B633" si="239">TEXT(AD570,"mmm yyyy")</f>
        <v>Jul 2015</v>
      </c>
      <c r="C570" s="23" t="str">
        <f t="shared" ref="C570:C633" si="240">AL570</f>
        <v>RLS</v>
      </c>
      <c r="D570" s="23" t="str">
        <f t="shared" ref="D570:D633" si="241">AK570</f>
        <v>KUUM_440</v>
      </c>
      <c r="E570" s="170">
        <f t="shared" ref="E570:E633" si="242">SUMIFS(_1055_Light_Count,_1055_RevMonth,$B570,_1055_RateCategory,$D570)</f>
        <v>2</v>
      </c>
      <c r="F570" s="185"/>
      <c r="G570" s="170">
        <f t="shared" ref="G570:G633" si="243">SUMIFS(_SBR_KWH,_SBR_Revenue_Month,$B570,_SBR_Rate_Category,$D570)</f>
        <v>0</v>
      </c>
      <c r="H570" s="170">
        <v>0</v>
      </c>
      <c r="I570" s="11">
        <f t="shared" ref="I570:I633" si="244">SUMIF(_Lights_Tariff_Category,$AE570,_Lights_Rates)</f>
        <v>13.610000000000001</v>
      </c>
      <c r="J570" s="11">
        <f t="shared" ref="J570:J633" si="245">SUMIF(_Lights_Tariff_Category,$AE570,_Rates_Lights_BaseFAC)</f>
        <v>0.57000000000000028</v>
      </c>
      <c r="K570" s="416">
        <f t="shared" si="235"/>
        <v>27.22</v>
      </c>
      <c r="L570" s="180"/>
      <c r="M570" s="180"/>
      <c r="N570" s="186">
        <f t="shared" si="238"/>
        <v>27.22</v>
      </c>
      <c r="O570" s="29">
        <f t="shared" ref="O570:O633" si="246">U570-SUM(Q570:T570)</f>
        <v>0</v>
      </c>
      <c r="P570" s="181">
        <f t="shared" si="236"/>
        <v>0</v>
      </c>
      <c r="Q570" s="182">
        <f t="shared" ref="Q570:Q633" si="247">SUMIFS(_SBR_FAC,_SBR_Revenue_Month,$B570,_SBR_Rate_Category,$D570)</f>
        <v>0</v>
      </c>
      <c r="R570" s="182">
        <f t="shared" ref="R570:R633" si="248">SUMIFS(_SBR_DSM,_SBR_Revenue_Month,$B570,_SBR_Rate_Category,$D570)</f>
        <v>0</v>
      </c>
      <c r="S570" s="182">
        <f t="shared" ref="S570:S633" si="249">SUMIFS(_SBR_ECR,_SBR_Revenue_Month,$B570,_SBR_Rate_Category,$D570)</f>
        <v>0</v>
      </c>
      <c r="T570" s="182">
        <f t="shared" ref="T570:T633" si="250">SUMIFS(_SBR_MSR,_SBR_Revenue_Month,$B570,_SBR_Rate_Category,$D570)</f>
        <v>0</v>
      </c>
      <c r="U570" s="182">
        <f t="shared" ref="U570:U633" si="251">SUMIFS(_SBR_Revenue_Actual,_SBR_Revenue_Month,$B570,_SBR_Rate_Category,$D570)</f>
        <v>0</v>
      </c>
      <c r="V570" s="14">
        <f t="shared" ref="V570:V633" si="252">SUM(N570,Q570:T570)</f>
        <v>27.22</v>
      </c>
      <c r="W570" s="14">
        <f t="shared" ref="W570:W633" si="253">U570-V570</f>
        <v>-27.22</v>
      </c>
      <c r="Y570" s="14">
        <f t="shared" si="231"/>
        <v>1.1399999999999999</v>
      </c>
      <c r="Z570" s="14">
        <f t="shared" si="232"/>
        <v>-1.1399999999999999</v>
      </c>
      <c r="AA570" s="11">
        <f t="shared" si="234"/>
        <v>0.33</v>
      </c>
      <c r="AB570" s="9">
        <f t="shared" si="237"/>
        <v>0.66</v>
      </c>
      <c r="AD570" s="13">
        <f>IF(AH570&gt;AH569,AD569,IF(AD569&lt;MiscData!$F$1,EOMONTH(AD569,1),EOMONTH(AD569,-11)))</f>
        <v>42216</v>
      </c>
      <c r="AE570" s="7" t="str">
        <f t="shared" ref="AE570:AE633" si="254">CONCATENATE(AI570&amp;AK570)</f>
        <v>20140101KUUM_440</v>
      </c>
      <c r="AF570" s="12" t="str">
        <f t="shared" ref="AF570:AF633" si="255">CONCATENATE(AI570&amp;AL570)</f>
        <v>20140101RLS</v>
      </c>
      <c r="AG570" s="31"/>
      <c r="AH570">
        <f>IF(AH569=MiscData!$AB$91,1,AH569+1)</f>
        <v>41</v>
      </c>
      <c r="AI570">
        <f>IF(AD570&lt;=MiscData!$B$23,MiscData!$C$23,IF(AD570&lt;=MiscData!$B$24,MiscData!$C$24,MiscData!$C$25))</f>
        <v>20140101</v>
      </c>
      <c r="AK570" s="190" t="str">
        <f>VLOOKUP(AM570,MiscData!$AB$4:$ACB$113,2,FALSE)</f>
        <v>KUUM_440</v>
      </c>
      <c r="AL570" s="190" t="str">
        <f>VLOOKUP(AM570,MiscData!$AB$4:$AE$115,4,FALSE)</f>
        <v>RLS</v>
      </c>
      <c r="AM570">
        <f>IF(AM569=MiscData!$AB$91,1,AM569+1)</f>
        <v>41</v>
      </c>
    </row>
    <row r="571" spans="1:39">
      <c r="A571" s="7">
        <f t="shared" si="233"/>
        <v>570</v>
      </c>
      <c r="B571" s="13" t="str">
        <f t="shared" si="239"/>
        <v>Jul 2015</v>
      </c>
      <c r="C571" s="23" t="str">
        <f t="shared" si="240"/>
        <v>RLS</v>
      </c>
      <c r="D571" s="23" t="str">
        <f t="shared" si="241"/>
        <v>KUUM_446</v>
      </c>
      <c r="E571" s="170">
        <f t="shared" si="242"/>
        <v>1077</v>
      </c>
      <c r="F571" s="185"/>
      <c r="G571" s="170">
        <f t="shared" si="243"/>
        <v>0</v>
      </c>
      <c r="H571" s="170">
        <v>0</v>
      </c>
      <c r="I571" s="11">
        <f t="shared" si="244"/>
        <v>9.5600000000000023</v>
      </c>
      <c r="J571" s="11">
        <f t="shared" si="245"/>
        <v>1.9900000000000002</v>
      </c>
      <c r="K571" s="416">
        <f t="shared" si="235"/>
        <v>10296.120000000001</v>
      </c>
      <c r="L571" s="180"/>
      <c r="M571" s="180"/>
      <c r="N571" s="186">
        <f t="shared" si="238"/>
        <v>10296.120000000001</v>
      </c>
      <c r="O571" s="29">
        <f t="shared" si="246"/>
        <v>0</v>
      </c>
      <c r="P571" s="181">
        <f t="shared" si="236"/>
        <v>0</v>
      </c>
      <c r="Q571" s="182">
        <f t="shared" si="247"/>
        <v>0</v>
      </c>
      <c r="R571" s="182">
        <f t="shared" si="248"/>
        <v>0</v>
      </c>
      <c r="S571" s="182">
        <f t="shared" si="249"/>
        <v>0</v>
      </c>
      <c r="T571" s="182">
        <f t="shared" si="250"/>
        <v>0</v>
      </c>
      <c r="U571" s="182">
        <f t="shared" si="251"/>
        <v>0</v>
      </c>
      <c r="V571" s="14">
        <f t="shared" si="252"/>
        <v>10296.120000000001</v>
      </c>
      <c r="W571" s="14">
        <f t="shared" si="253"/>
        <v>-10296.120000000001</v>
      </c>
      <c r="Y571" s="14">
        <f t="shared" ref="Y571:Y634" si="256">ROUND(E571*J571,2)</f>
        <v>2143.23</v>
      </c>
      <c r="Z571" s="14">
        <f t="shared" ref="Z571:Z634" si="257">O571-Y571</f>
        <v>-2143.23</v>
      </c>
      <c r="AA571" s="11">
        <f t="shared" si="234"/>
        <v>0.39</v>
      </c>
      <c r="AB571" s="9">
        <f t="shared" si="237"/>
        <v>420.03000000000003</v>
      </c>
      <c r="AD571" s="13">
        <f>IF(AH571&gt;AH570,AD570,IF(AD570&lt;MiscData!$F$1,EOMONTH(AD570,1),EOMONTH(AD570,-11)))</f>
        <v>42216</v>
      </c>
      <c r="AE571" s="7" t="str">
        <f t="shared" si="254"/>
        <v>20140101KUUM_446</v>
      </c>
      <c r="AF571" s="12" t="str">
        <f t="shared" si="255"/>
        <v>20140101RLS</v>
      </c>
      <c r="AG571" s="31"/>
      <c r="AH571">
        <f>IF(AH570=MiscData!$AB$91,1,AH570+1)</f>
        <v>42</v>
      </c>
      <c r="AI571">
        <f>IF(AD571&lt;=MiscData!$B$23,MiscData!$C$23,IF(AD571&lt;=MiscData!$B$24,MiscData!$C$24,MiscData!$C$25))</f>
        <v>20140101</v>
      </c>
      <c r="AK571" s="190" t="str">
        <f>VLOOKUP(AM571,MiscData!$AB$4:$ACB$113,2,FALSE)</f>
        <v>KUUM_446</v>
      </c>
      <c r="AL571" s="190" t="str">
        <f>VLOOKUP(AM571,MiscData!$AB$4:$AE$115,4,FALSE)</f>
        <v>RLS</v>
      </c>
      <c r="AM571">
        <f>IF(AM570=MiscData!$AB$91,1,AM570+1)</f>
        <v>42</v>
      </c>
    </row>
    <row r="572" spans="1:39">
      <c r="A572" s="7">
        <f t="shared" ref="A572:A635" si="258">A571+1</f>
        <v>571</v>
      </c>
      <c r="B572" s="13" t="str">
        <f t="shared" si="239"/>
        <v>Jul 2015</v>
      </c>
      <c r="C572" s="23" t="str">
        <f t="shared" si="240"/>
        <v>RLS</v>
      </c>
      <c r="D572" s="23" t="str">
        <f t="shared" si="241"/>
        <v>KUUM_447</v>
      </c>
      <c r="E572" s="170">
        <f t="shared" si="242"/>
        <v>709</v>
      </c>
      <c r="F572" s="185"/>
      <c r="G572" s="170">
        <f t="shared" si="243"/>
        <v>0</v>
      </c>
      <c r="H572" s="170">
        <v>0</v>
      </c>
      <c r="I572" s="11">
        <f t="shared" si="244"/>
        <v>11.32</v>
      </c>
      <c r="J572" s="11">
        <f t="shared" si="245"/>
        <v>2.8400000000000016</v>
      </c>
      <c r="K572" s="416">
        <f t="shared" si="235"/>
        <v>8025.88</v>
      </c>
      <c r="L572" s="180"/>
      <c r="M572" s="180"/>
      <c r="N572" s="186">
        <f t="shared" si="238"/>
        <v>8025.88</v>
      </c>
      <c r="O572" s="29">
        <f t="shared" si="246"/>
        <v>0</v>
      </c>
      <c r="P572" s="181">
        <f t="shared" si="236"/>
        <v>0</v>
      </c>
      <c r="Q572" s="182">
        <f t="shared" si="247"/>
        <v>0</v>
      </c>
      <c r="R572" s="182">
        <f t="shared" si="248"/>
        <v>0</v>
      </c>
      <c r="S572" s="182">
        <f t="shared" si="249"/>
        <v>0</v>
      </c>
      <c r="T572" s="182">
        <f t="shared" si="250"/>
        <v>0</v>
      </c>
      <c r="U572" s="182">
        <f t="shared" si="251"/>
        <v>0</v>
      </c>
      <c r="V572" s="14">
        <f t="shared" si="252"/>
        <v>8025.88</v>
      </c>
      <c r="W572" s="14">
        <f t="shared" si="253"/>
        <v>-8025.88</v>
      </c>
      <c r="Y572" s="14">
        <f t="shared" si="256"/>
        <v>2013.56</v>
      </c>
      <c r="Z572" s="14">
        <f t="shared" si="257"/>
        <v>-2013.56</v>
      </c>
      <c r="AA572" s="11">
        <f t="shared" si="234"/>
        <v>0.44</v>
      </c>
      <c r="AB572" s="9">
        <f t="shared" si="237"/>
        <v>311.95999999999998</v>
      </c>
      <c r="AD572" s="13">
        <f>IF(AH572&gt;AH571,AD571,IF(AD571&lt;MiscData!$F$1,EOMONTH(AD571,1),EOMONTH(AD571,-11)))</f>
        <v>42216</v>
      </c>
      <c r="AE572" s="7" t="str">
        <f t="shared" si="254"/>
        <v>20140101KUUM_447</v>
      </c>
      <c r="AF572" s="12" t="str">
        <f t="shared" si="255"/>
        <v>20140101RLS</v>
      </c>
      <c r="AG572" s="31"/>
      <c r="AH572">
        <f>IF(AH571=MiscData!$AB$91,1,AH571+1)</f>
        <v>43</v>
      </c>
      <c r="AI572">
        <f>IF(AD572&lt;=MiscData!$B$23,MiscData!$C$23,IF(AD572&lt;=MiscData!$B$24,MiscData!$C$24,MiscData!$C$25))</f>
        <v>20140101</v>
      </c>
      <c r="AK572" s="190" t="str">
        <f>VLOOKUP(AM572,MiscData!$AB$4:$ACB$113,2,FALSE)</f>
        <v>KUUM_447</v>
      </c>
      <c r="AL572" s="190" t="str">
        <f>VLOOKUP(AM572,MiscData!$AB$4:$AE$115,4,FALSE)</f>
        <v>RLS</v>
      </c>
      <c r="AM572">
        <f>IF(AM571=MiscData!$AB$91,1,AM571+1)</f>
        <v>43</v>
      </c>
    </row>
    <row r="573" spans="1:39">
      <c r="A573" s="7">
        <f t="shared" si="258"/>
        <v>572</v>
      </c>
      <c r="B573" s="13" t="str">
        <f t="shared" si="239"/>
        <v>Jul 2015</v>
      </c>
      <c r="C573" s="23" t="str">
        <f t="shared" si="240"/>
        <v>RLS</v>
      </c>
      <c r="D573" s="23" t="str">
        <f t="shared" si="241"/>
        <v>KUUM_448</v>
      </c>
      <c r="E573" s="170">
        <f t="shared" si="242"/>
        <v>1481</v>
      </c>
      <c r="F573" s="185"/>
      <c r="G573" s="170">
        <f t="shared" si="243"/>
        <v>0</v>
      </c>
      <c r="H573" s="170">
        <v>0</v>
      </c>
      <c r="I573" s="11">
        <f t="shared" si="244"/>
        <v>12.809999999999999</v>
      </c>
      <c r="J573" s="11">
        <f t="shared" si="245"/>
        <v>4.37</v>
      </c>
      <c r="K573" s="416">
        <f t="shared" si="235"/>
        <v>18971.61</v>
      </c>
      <c r="L573" s="180"/>
      <c r="M573" s="180"/>
      <c r="N573" s="186">
        <f t="shared" si="238"/>
        <v>18971.61</v>
      </c>
      <c r="O573" s="29">
        <f t="shared" si="246"/>
        <v>0</v>
      </c>
      <c r="P573" s="181">
        <f t="shared" si="236"/>
        <v>0</v>
      </c>
      <c r="Q573" s="182">
        <f t="shared" si="247"/>
        <v>0</v>
      </c>
      <c r="R573" s="182">
        <f t="shared" si="248"/>
        <v>0</v>
      </c>
      <c r="S573" s="182">
        <f t="shared" si="249"/>
        <v>0</v>
      </c>
      <c r="T573" s="182">
        <f t="shared" si="250"/>
        <v>0</v>
      </c>
      <c r="U573" s="182">
        <f t="shared" si="251"/>
        <v>0</v>
      </c>
      <c r="V573" s="14">
        <f t="shared" si="252"/>
        <v>18971.61</v>
      </c>
      <c r="W573" s="14">
        <f t="shared" si="253"/>
        <v>-18971.61</v>
      </c>
      <c r="Y573" s="14">
        <f t="shared" si="256"/>
        <v>6471.97</v>
      </c>
      <c r="Z573" s="14">
        <f t="shared" si="257"/>
        <v>-6471.97</v>
      </c>
      <c r="AA573" s="11">
        <f t="shared" si="234"/>
        <v>0.51</v>
      </c>
      <c r="AB573" s="9">
        <f t="shared" si="237"/>
        <v>755.31000000000006</v>
      </c>
      <c r="AD573" s="13">
        <f>IF(AH573&gt;AH572,AD572,IF(AD572&lt;MiscData!$F$1,EOMONTH(AD572,1),EOMONTH(AD572,-11)))</f>
        <v>42216</v>
      </c>
      <c r="AE573" s="7" t="str">
        <f t="shared" si="254"/>
        <v>20140101KUUM_448</v>
      </c>
      <c r="AF573" s="12" t="str">
        <f t="shared" si="255"/>
        <v>20140101RLS</v>
      </c>
      <c r="AG573" s="31"/>
      <c r="AH573">
        <f>IF(AH572=MiscData!$AB$91,1,AH572+1)</f>
        <v>44</v>
      </c>
      <c r="AI573">
        <f>IF(AD573&lt;=MiscData!$B$23,MiscData!$C$23,IF(AD573&lt;=MiscData!$B$24,MiscData!$C$24,MiscData!$C$25))</f>
        <v>20140101</v>
      </c>
      <c r="AK573" s="190" t="str">
        <f>VLOOKUP(AM573,MiscData!$AB$4:$ACB$113,2,FALSE)</f>
        <v>KUUM_448</v>
      </c>
      <c r="AL573" s="190" t="str">
        <f>VLOOKUP(AM573,MiscData!$AB$4:$AE$115,4,FALSE)</f>
        <v>RLS</v>
      </c>
      <c r="AM573">
        <f>IF(AM572=MiscData!$AB$91,1,AM572+1)</f>
        <v>44</v>
      </c>
    </row>
    <row r="574" spans="1:39">
      <c r="A574" s="7">
        <f t="shared" si="258"/>
        <v>573</v>
      </c>
      <c r="B574" s="13" t="str">
        <f t="shared" si="239"/>
        <v>Jul 2015</v>
      </c>
      <c r="C574" s="23" t="str">
        <f t="shared" si="240"/>
        <v>LS</v>
      </c>
      <c r="D574" s="23" t="str">
        <f t="shared" si="241"/>
        <v>KUUM_450</v>
      </c>
      <c r="E574" s="170">
        <f t="shared" si="242"/>
        <v>672</v>
      </c>
      <c r="F574" s="185"/>
      <c r="G574" s="170">
        <f t="shared" si="243"/>
        <v>0</v>
      </c>
      <c r="H574" s="170">
        <v>0</v>
      </c>
      <c r="I574" s="11">
        <f t="shared" si="244"/>
        <v>14.25</v>
      </c>
      <c r="J574" s="11">
        <f t="shared" si="245"/>
        <v>1.9699999999999989</v>
      </c>
      <c r="K574" s="416">
        <f t="shared" si="235"/>
        <v>9576</v>
      </c>
      <c r="L574" s="180"/>
      <c r="M574" s="180"/>
      <c r="N574" s="186">
        <f t="shared" si="238"/>
        <v>9576</v>
      </c>
      <c r="O574" s="29">
        <f t="shared" si="246"/>
        <v>0</v>
      </c>
      <c r="P574" s="181">
        <f t="shared" si="236"/>
        <v>0</v>
      </c>
      <c r="Q574" s="182">
        <f t="shared" si="247"/>
        <v>0</v>
      </c>
      <c r="R574" s="182">
        <f t="shared" si="248"/>
        <v>0</v>
      </c>
      <c r="S574" s="182">
        <f t="shared" si="249"/>
        <v>0</v>
      </c>
      <c r="T574" s="182">
        <f t="shared" si="250"/>
        <v>0</v>
      </c>
      <c r="U574" s="182">
        <f t="shared" si="251"/>
        <v>0</v>
      </c>
      <c r="V574" s="14">
        <f t="shared" si="252"/>
        <v>9576</v>
      </c>
      <c r="W574" s="14">
        <f t="shared" si="253"/>
        <v>-9576</v>
      </c>
      <c r="Y574" s="14">
        <f t="shared" si="256"/>
        <v>1323.84</v>
      </c>
      <c r="Z574" s="14">
        <f t="shared" si="257"/>
        <v>-1323.84</v>
      </c>
      <c r="AA574" s="11">
        <f t="shared" si="234"/>
        <v>0.66</v>
      </c>
      <c r="AB574" s="9">
        <f t="shared" si="237"/>
        <v>443.52000000000004</v>
      </c>
      <c r="AD574" s="13">
        <f>IF(AH574&gt;AH573,AD573,IF(AD573&lt;MiscData!$F$1,EOMONTH(AD573,1),EOMONTH(AD573,-11)))</f>
        <v>42216</v>
      </c>
      <c r="AE574" s="7" t="str">
        <f t="shared" si="254"/>
        <v>20140101KUUM_450</v>
      </c>
      <c r="AF574" s="12" t="str">
        <f t="shared" si="255"/>
        <v>20140101LS</v>
      </c>
      <c r="AG574" s="31"/>
      <c r="AH574">
        <f>IF(AH573=MiscData!$AB$91,1,AH573+1)</f>
        <v>45</v>
      </c>
      <c r="AI574">
        <f>IF(AD574&lt;=MiscData!$B$23,MiscData!$C$23,IF(AD574&lt;=MiscData!$B$24,MiscData!$C$24,MiscData!$C$25))</f>
        <v>20140101</v>
      </c>
      <c r="AK574" s="190" t="str">
        <f>VLOOKUP(AM574,MiscData!$AB$4:$ACB$113,2,FALSE)</f>
        <v>KUUM_450</v>
      </c>
      <c r="AL574" s="190" t="str">
        <f>VLOOKUP(AM574,MiscData!$AB$4:$AE$115,4,FALSE)</f>
        <v>LS</v>
      </c>
      <c r="AM574">
        <f>IF(AM573=MiscData!$AB$91,1,AM573+1)</f>
        <v>45</v>
      </c>
    </row>
    <row r="575" spans="1:39">
      <c r="A575" s="7">
        <f t="shared" si="258"/>
        <v>574</v>
      </c>
      <c r="B575" s="13" t="str">
        <f t="shared" si="239"/>
        <v>Jul 2015</v>
      </c>
      <c r="C575" s="23" t="str">
        <f t="shared" si="240"/>
        <v>LS</v>
      </c>
      <c r="D575" s="23" t="str">
        <f t="shared" si="241"/>
        <v>KUUM_451</v>
      </c>
      <c r="E575" s="170">
        <f t="shared" si="242"/>
        <v>5245</v>
      </c>
      <c r="F575" s="185"/>
      <c r="G575" s="170">
        <f t="shared" si="243"/>
        <v>0</v>
      </c>
      <c r="H575" s="170">
        <v>0</v>
      </c>
      <c r="I575" s="11">
        <f t="shared" si="244"/>
        <v>20.200000000000003</v>
      </c>
      <c r="J575" s="11">
        <f t="shared" si="245"/>
        <v>4.2900000000000027</v>
      </c>
      <c r="K575" s="416">
        <f t="shared" si="235"/>
        <v>105949</v>
      </c>
      <c r="L575" s="180"/>
      <c r="M575" s="180"/>
      <c r="N575" s="186">
        <f t="shared" si="238"/>
        <v>105949</v>
      </c>
      <c r="O575" s="29">
        <f t="shared" si="246"/>
        <v>0</v>
      </c>
      <c r="P575" s="181">
        <f t="shared" si="236"/>
        <v>0</v>
      </c>
      <c r="Q575" s="182">
        <f t="shared" si="247"/>
        <v>0</v>
      </c>
      <c r="R575" s="182">
        <f t="shared" si="248"/>
        <v>0</v>
      </c>
      <c r="S575" s="182">
        <f t="shared" si="249"/>
        <v>0</v>
      </c>
      <c r="T575" s="182">
        <f t="shared" si="250"/>
        <v>0</v>
      </c>
      <c r="U575" s="182">
        <f t="shared" si="251"/>
        <v>0</v>
      </c>
      <c r="V575" s="14">
        <f t="shared" si="252"/>
        <v>105949</v>
      </c>
      <c r="W575" s="14">
        <f t="shared" si="253"/>
        <v>-105949</v>
      </c>
      <c r="Y575" s="14">
        <f t="shared" si="256"/>
        <v>22501.05</v>
      </c>
      <c r="Z575" s="14">
        <f t="shared" si="257"/>
        <v>-22501.05</v>
      </c>
      <c r="AA575" s="11">
        <f t="shared" si="234"/>
        <v>0.84</v>
      </c>
      <c r="AB575" s="9">
        <f t="shared" si="237"/>
        <v>4405.8</v>
      </c>
      <c r="AD575" s="13">
        <f>IF(AH575&gt;AH574,AD574,IF(AD574&lt;MiscData!$F$1,EOMONTH(AD574,1),EOMONTH(AD574,-11)))</f>
        <v>42216</v>
      </c>
      <c r="AE575" s="7" t="str">
        <f t="shared" si="254"/>
        <v>20140101KUUM_451</v>
      </c>
      <c r="AF575" s="12" t="str">
        <f t="shared" si="255"/>
        <v>20140101LS</v>
      </c>
      <c r="AG575" s="31"/>
      <c r="AH575">
        <f>IF(AH574=MiscData!$AB$91,1,AH574+1)</f>
        <v>46</v>
      </c>
      <c r="AI575">
        <f>IF(AD575&lt;=MiscData!$B$23,MiscData!$C$23,IF(AD575&lt;=MiscData!$B$24,MiscData!$C$24,MiscData!$C$25))</f>
        <v>20140101</v>
      </c>
      <c r="AK575" s="190" t="str">
        <f>VLOOKUP(AM575,MiscData!$AB$4:$ACB$113,2,FALSE)</f>
        <v>KUUM_451</v>
      </c>
      <c r="AL575" s="190" t="str">
        <f>VLOOKUP(AM575,MiscData!$AB$4:$AE$115,4,FALSE)</f>
        <v>LS</v>
      </c>
      <c r="AM575">
        <f>IF(AM574=MiscData!$AB$91,1,AM574+1)</f>
        <v>46</v>
      </c>
    </row>
    <row r="576" spans="1:39">
      <c r="A576" s="7">
        <f t="shared" si="258"/>
        <v>575</v>
      </c>
      <c r="B576" s="13" t="str">
        <f t="shared" si="239"/>
        <v>Jul 2015</v>
      </c>
      <c r="C576" s="23" t="str">
        <f t="shared" si="240"/>
        <v>LS</v>
      </c>
      <c r="D576" s="23" t="str">
        <f t="shared" si="241"/>
        <v>KUUM_452</v>
      </c>
      <c r="E576" s="170">
        <f t="shared" si="242"/>
        <v>1047</v>
      </c>
      <c r="F576" s="185"/>
      <c r="G576" s="170">
        <f t="shared" si="243"/>
        <v>0</v>
      </c>
      <c r="H576" s="170">
        <v>0</v>
      </c>
      <c r="I576" s="11">
        <f t="shared" si="244"/>
        <v>42.350000000000009</v>
      </c>
      <c r="J576" s="11">
        <f t="shared" si="245"/>
        <v>10.410000000000004</v>
      </c>
      <c r="K576" s="416">
        <f t="shared" si="235"/>
        <v>44340.45</v>
      </c>
      <c r="L576" s="180"/>
      <c r="M576" s="180"/>
      <c r="N576" s="186">
        <f t="shared" si="238"/>
        <v>44340.45</v>
      </c>
      <c r="O576" s="29">
        <f t="shared" si="246"/>
        <v>0</v>
      </c>
      <c r="P576" s="181">
        <f t="shared" si="236"/>
        <v>0</v>
      </c>
      <c r="Q576" s="182">
        <f t="shared" si="247"/>
        <v>0</v>
      </c>
      <c r="R576" s="182">
        <f t="shared" si="248"/>
        <v>0</v>
      </c>
      <c r="S576" s="182">
        <f t="shared" si="249"/>
        <v>0</v>
      </c>
      <c r="T576" s="182">
        <f t="shared" si="250"/>
        <v>0</v>
      </c>
      <c r="U576" s="182">
        <f t="shared" si="251"/>
        <v>0</v>
      </c>
      <c r="V576" s="14">
        <f t="shared" si="252"/>
        <v>44340.45</v>
      </c>
      <c r="W576" s="14">
        <f t="shared" si="253"/>
        <v>-44340.45</v>
      </c>
      <c r="Y576" s="14">
        <f t="shared" si="256"/>
        <v>10899.27</v>
      </c>
      <c r="Z576" s="14">
        <f t="shared" si="257"/>
        <v>-10899.27</v>
      </c>
      <c r="AA576" s="11">
        <f t="shared" si="234"/>
        <v>1.7</v>
      </c>
      <c r="AB576" s="9">
        <f t="shared" si="237"/>
        <v>1779.8999999999999</v>
      </c>
      <c r="AD576" s="13">
        <f>IF(AH576&gt;AH575,AD575,IF(AD575&lt;MiscData!$F$1,EOMONTH(AD575,1),EOMONTH(AD575,-11)))</f>
        <v>42216</v>
      </c>
      <c r="AE576" s="7" t="str">
        <f t="shared" si="254"/>
        <v>20140101KUUM_452</v>
      </c>
      <c r="AF576" s="12" t="str">
        <f t="shared" si="255"/>
        <v>20140101LS</v>
      </c>
      <c r="AG576" s="31"/>
      <c r="AH576">
        <f>IF(AH575=MiscData!$AB$91,1,AH575+1)</f>
        <v>47</v>
      </c>
      <c r="AI576">
        <f>IF(AD576&lt;=MiscData!$B$23,MiscData!$C$23,IF(AD576&lt;=MiscData!$B$24,MiscData!$C$24,MiscData!$C$25))</f>
        <v>20140101</v>
      </c>
      <c r="AK576" s="190" t="str">
        <f>VLOOKUP(AM576,MiscData!$AB$4:$ACB$113,2,FALSE)</f>
        <v>KUUM_452</v>
      </c>
      <c r="AL576" s="190" t="str">
        <f>VLOOKUP(AM576,MiscData!$AB$4:$AE$115,4,FALSE)</f>
        <v>LS</v>
      </c>
      <c r="AM576">
        <f>IF(AM575=MiscData!$AB$91,1,AM575+1)</f>
        <v>47</v>
      </c>
    </row>
    <row r="577" spans="1:39">
      <c r="A577" s="7">
        <f t="shared" si="258"/>
        <v>576</v>
      </c>
      <c r="B577" s="13" t="str">
        <f t="shared" si="239"/>
        <v>Jul 2015</v>
      </c>
      <c r="C577" s="23" t="str">
        <f t="shared" si="240"/>
        <v>RLS</v>
      </c>
      <c r="D577" s="23" t="str">
        <f t="shared" si="241"/>
        <v>KUUM_454</v>
      </c>
      <c r="E577" s="170">
        <f t="shared" si="242"/>
        <v>152</v>
      </c>
      <c r="F577" s="185"/>
      <c r="G577" s="170">
        <f t="shared" si="243"/>
        <v>0</v>
      </c>
      <c r="H577" s="170">
        <v>0</v>
      </c>
      <c r="I577" s="11">
        <f t="shared" si="244"/>
        <v>18.649999999999999</v>
      </c>
      <c r="J577" s="11">
        <f t="shared" si="245"/>
        <v>1.9699999999999989</v>
      </c>
      <c r="K577" s="416">
        <f t="shared" si="235"/>
        <v>2834.8</v>
      </c>
      <c r="L577" s="180"/>
      <c r="M577" s="180"/>
      <c r="N577" s="186">
        <f t="shared" si="238"/>
        <v>2834.8</v>
      </c>
      <c r="O577" s="29">
        <f t="shared" si="246"/>
        <v>0</v>
      </c>
      <c r="P577" s="181">
        <f t="shared" si="236"/>
        <v>0</v>
      </c>
      <c r="Q577" s="182">
        <f t="shared" si="247"/>
        <v>0</v>
      </c>
      <c r="R577" s="182">
        <f t="shared" si="248"/>
        <v>0</v>
      </c>
      <c r="S577" s="182">
        <f t="shared" si="249"/>
        <v>0</v>
      </c>
      <c r="T577" s="182">
        <f t="shared" si="250"/>
        <v>0</v>
      </c>
      <c r="U577" s="182">
        <f t="shared" si="251"/>
        <v>0</v>
      </c>
      <c r="V577" s="14">
        <f t="shared" si="252"/>
        <v>2834.8</v>
      </c>
      <c r="W577" s="14">
        <f t="shared" si="253"/>
        <v>-2834.8</v>
      </c>
      <c r="Y577" s="14">
        <f t="shared" si="256"/>
        <v>299.44</v>
      </c>
      <c r="Z577" s="14">
        <f t="shared" si="257"/>
        <v>-299.44</v>
      </c>
      <c r="AA577" s="11">
        <f t="shared" si="234"/>
        <v>0.66</v>
      </c>
      <c r="AB577" s="9">
        <f t="shared" si="237"/>
        <v>100.32000000000001</v>
      </c>
      <c r="AD577" s="13">
        <f>IF(AH577&gt;AH576,AD576,IF(AD576&lt;MiscData!$F$1,EOMONTH(AD576,1),EOMONTH(AD576,-11)))</f>
        <v>42216</v>
      </c>
      <c r="AE577" s="7" t="str">
        <f t="shared" si="254"/>
        <v>20140101KUUM_454</v>
      </c>
      <c r="AF577" s="12" t="str">
        <f t="shared" si="255"/>
        <v>20140101RLS</v>
      </c>
      <c r="AG577" s="31"/>
      <c r="AH577">
        <f>IF(AH576=MiscData!$AB$91,1,AH576+1)</f>
        <v>48</v>
      </c>
      <c r="AI577">
        <f>IF(AD577&lt;=MiscData!$B$23,MiscData!$C$23,IF(AD577&lt;=MiscData!$B$24,MiscData!$C$24,MiscData!$C$25))</f>
        <v>20140101</v>
      </c>
      <c r="AK577" s="190" t="str">
        <f>VLOOKUP(AM577,MiscData!$AB$4:$ACB$113,2,FALSE)</f>
        <v>KUUM_454</v>
      </c>
      <c r="AL577" s="190" t="str">
        <f>VLOOKUP(AM577,MiscData!$AB$4:$AE$115,4,FALSE)</f>
        <v>RLS</v>
      </c>
      <c r="AM577">
        <f>IF(AM576=MiscData!$AB$91,1,AM576+1)</f>
        <v>48</v>
      </c>
    </row>
    <row r="578" spans="1:39">
      <c r="A578" s="7">
        <f t="shared" si="258"/>
        <v>577</v>
      </c>
      <c r="B578" s="13" t="str">
        <f t="shared" si="239"/>
        <v>Jul 2015</v>
      </c>
      <c r="C578" s="23" t="str">
        <f t="shared" si="240"/>
        <v>RLS</v>
      </c>
      <c r="D578" s="23" t="str">
        <f t="shared" si="241"/>
        <v>KUUM_455</v>
      </c>
      <c r="E578" s="170">
        <f t="shared" si="242"/>
        <v>1030</v>
      </c>
      <c r="F578" s="185"/>
      <c r="G578" s="170">
        <f t="shared" si="243"/>
        <v>0</v>
      </c>
      <c r="H578" s="170">
        <v>0</v>
      </c>
      <c r="I578" s="11">
        <f t="shared" si="244"/>
        <v>24.59</v>
      </c>
      <c r="J578" s="11">
        <f t="shared" si="245"/>
        <v>4.2899999999999991</v>
      </c>
      <c r="K578" s="416">
        <f t="shared" si="235"/>
        <v>25327.7</v>
      </c>
      <c r="L578" s="180"/>
      <c r="M578" s="180"/>
      <c r="N578" s="186">
        <f t="shared" si="238"/>
        <v>25327.7</v>
      </c>
      <c r="O578" s="29">
        <f t="shared" si="246"/>
        <v>0</v>
      </c>
      <c r="P578" s="181">
        <f t="shared" si="236"/>
        <v>0</v>
      </c>
      <c r="Q578" s="182">
        <f t="shared" si="247"/>
        <v>0</v>
      </c>
      <c r="R578" s="182">
        <f t="shared" si="248"/>
        <v>0</v>
      </c>
      <c r="S578" s="182">
        <f t="shared" si="249"/>
        <v>0</v>
      </c>
      <c r="T578" s="182">
        <f t="shared" si="250"/>
        <v>0</v>
      </c>
      <c r="U578" s="182">
        <f t="shared" si="251"/>
        <v>0</v>
      </c>
      <c r="V578" s="14">
        <f t="shared" si="252"/>
        <v>25327.7</v>
      </c>
      <c r="W578" s="14">
        <f t="shared" si="253"/>
        <v>-25327.7</v>
      </c>
      <c r="Y578" s="14">
        <f t="shared" si="256"/>
        <v>4418.7</v>
      </c>
      <c r="Z578" s="14">
        <f t="shared" si="257"/>
        <v>-4418.7</v>
      </c>
      <c r="AA578" s="11">
        <f t="shared" ref="AA578:AA641" si="259">SUMIF(_Lights_Tariff_Category,$AE578,_Rates_Lights_ECR)</f>
        <v>0.84</v>
      </c>
      <c r="AB578" s="9">
        <f t="shared" si="237"/>
        <v>865.19999999999993</v>
      </c>
      <c r="AD578" s="13">
        <f>IF(AH578&gt;AH577,AD577,IF(AD577&lt;MiscData!$F$1,EOMONTH(AD577,1),EOMONTH(AD577,-11)))</f>
        <v>42216</v>
      </c>
      <c r="AE578" s="7" t="str">
        <f t="shared" si="254"/>
        <v>20140101KUUM_455</v>
      </c>
      <c r="AF578" s="12" t="str">
        <f t="shared" si="255"/>
        <v>20140101RLS</v>
      </c>
      <c r="AG578" s="31"/>
      <c r="AH578">
        <f>IF(AH577=MiscData!$AB$91,1,AH577+1)</f>
        <v>49</v>
      </c>
      <c r="AI578">
        <f>IF(AD578&lt;=MiscData!$B$23,MiscData!$C$23,IF(AD578&lt;=MiscData!$B$24,MiscData!$C$24,MiscData!$C$25))</f>
        <v>20140101</v>
      </c>
      <c r="AK578" s="190" t="str">
        <f>VLOOKUP(AM578,MiscData!$AB$4:$ACB$113,2,FALSE)</f>
        <v>KUUM_455</v>
      </c>
      <c r="AL578" s="190" t="str">
        <f>VLOOKUP(AM578,MiscData!$AB$4:$AE$115,4,FALSE)</f>
        <v>RLS</v>
      </c>
      <c r="AM578">
        <f>IF(AM577=MiscData!$AB$91,1,AM577+1)</f>
        <v>49</v>
      </c>
    </row>
    <row r="579" spans="1:39">
      <c r="A579" s="7">
        <f t="shared" si="258"/>
        <v>578</v>
      </c>
      <c r="B579" s="13" t="str">
        <f t="shared" si="239"/>
        <v>Jul 2015</v>
      </c>
      <c r="C579" s="23" t="str">
        <f t="shared" si="240"/>
        <v>RLS</v>
      </c>
      <c r="D579" s="23" t="str">
        <f t="shared" si="241"/>
        <v>KUUM_456</v>
      </c>
      <c r="E579" s="170">
        <f t="shared" si="242"/>
        <v>141</v>
      </c>
      <c r="F579" s="185"/>
      <c r="G579" s="170">
        <f t="shared" si="243"/>
        <v>0</v>
      </c>
      <c r="H579" s="170">
        <v>0</v>
      </c>
      <c r="I579" s="11">
        <f t="shared" si="244"/>
        <v>11.870000000000001</v>
      </c>
      <c r="J579" s="11">
        <f t="shared" si="245"/>
        <v>1.9900000000000002</v>
      </c>
      <c r="K579" s="416">
        <f t="shared" ref="K579:K642" si="260">ROUND(($E579+$F579)*$I579,2)</f>
        <v>1673.67</v>
      </c>
      <c r="L579" s="180"/>
      <c r="M579" s="180"/>
      <c r="N579" s="186">
        <f t="shared" si="238"/>
        <v>1673.67</v>
      </c>
      <c r="O579" s="29">
        <f t="shared" si="246"/>
        <v>0</v>
      </c>
      <c r="P579" s="181">
        <f t="shared" ref="P579:P642" si="261">IF(AND(N579=0,O579=0),1,IF(N579=0,0,ROUND(O579/N579,6)))</f>
        <v>0</v>
      </c>
      <c r="Q579" s="182">
        <f t="shared" si="247"/>
        <v>0</v>
      </c>
      <c r="R579" s="182">
        <f t="shared" si="248"/>
        <v>0</v>
      </c>
      <c r="S579" s="182">
        <f t="shared" si="249"/>
        <v>0</v>
      </c>
      <c r="T579" s="182">
        <f t="shared" si="250"/>
        <v>0</v>
      </c>
      <c r="U579" s="182">
        <f t="shared" si="251"/>
        <v>0</v>
      </c>
      <c r="V579" s="14">
        <f t="shared" si="252"/>
        <v>1673.67</v>
      </c>
      <c r="W579" s="14">
        <f t="shared" si="253"/>
        <v>-1673.67</v>
      </c>
      <c r="Y579" s="14">
        <f t="shared" si="256"/>
        <v>280.58999999999997</v>
      </c>
      <c r="Z579" s="14">
        <f t="shared" si="257"/>
        <v>-280.58999999999997</v>
      </c>
      <c r="AA579" s="11">
        <f t="shared" si="259"/>
        <v>0.39</v>
      </c>
      <c r="AB579" s="9">
        <f t="shared" ref="AB579:AB642" si="262">E579*AA579</f>
        <v>54.99</v>
      </c>
      <c r="AD579" s="13">
        <f>IF(AH579&gt;AH578,AD578,IF(AD578&lt;MiscData!$F$1,EOMONTH(AD578,1),EOMONTH(AD578,-11)))</f>
        <v>42216</v>
      </c>
      <c r="AE579" s="7" t="str">
        <f t="shared" si="254"/>
        <v>20140101KUUM_456</v>
      </c>
      <c r="AF579" s="12" t="str">
        <f t="shared" si="255"/>
        <v>20140101RLS</v>
      </c>
      <c r="AG579" s="31"/>
      <c r="AH579">
        <f>IF(AH578=MiscData!$AB$91,1,AH578+1)</f>
        <v>50</v>
      </c>
      <c r="AI579">
        <f>IF(AD579&lt;=MiscData!$B$23,MiscData!$C$23,IF(AD579&lt;=MiscData!$B$24,MiscData!$C$24,MiscData!$C$25))</f>
        <v>20140101</v>
      </c>
      <c r="AK579" s="190" t="str">
        <f>VLOOKUP(AM579,MiscData!$AB$4:$ACB$113,2,FALSE)</f>
        <v>KUUM_456</v>
      </c>
      <c r="AL579" s="190" t="str">
        <f>VLOOKUP(AM579,MiscData!$AB$4:$AE$115,4,FALSE)</f>
        <v>RLS</v>
      </c>
      <c r="AM579">
        <f>IF(AM578=MiscData!$AB$91,1,AM578+1)</f>
        <v>50</v>
      </c>
    </row>
    <row r="580" spans="1:39">
      <c r="A580" s="7">
        <f t="shared" si="258"/>
        <v>579</v>
      </c>
      <c r="B580" s="13" t="str">
        <f t="shared" si="239"/>
        <v>Jul 2015</v>
      </c>
      <c r="C580" s="23" t="str">
        <f t="shared" si="240"/>
        <v>RLS</v>
      </c>
      <c r="D580" s="23" t="str">
        <f t="shared" si="241"/>
        <v>KUUM_457</v>
      </c>
      <c r="E580" s="170">
        <f t="shared" si="242"/>
        <v>452</v>
      </c>
      <c r="F580" s="185"/>
      <c r="G580" s="170">
        <f t="shared" si="243"/>
        <v>0</v>
      </c>
      <c r="H580" s="170">
        <v>0</v>
      </c>
      <c r="I580" s="11">
        <f t="shared" si="244"/>
        <v>13.360000000000001</v>
      </c>
      <c r="J580" s="11">
        <f t="shared" si="245"/>
        <v>2.84</v>
      </c>
      <c r="K580" s="416">
        <f t="shared" si="260"/>
        <v>6038.72</v>
      </c>
      <c r="L580" s="180"/>
      <c r="M580" s="180"/>
      <c r="N580" s="186">
        <f t="shared" si="238"/>
        <v>6038.72</v>
      </c>
      <c r="O580" s="29">
        <f t="shared" si="246"/>
        <v>0</v>
      </c>
      <c r="P580" s="181">
        <f t="shared" si="261"/>
        <v>0</v>
      </c>
      <c r="Q580" s="182">
        <f t="shared" si="247"/>
        <v>0</v>
      </c>
      <c r="R580" s="182">
        <f t="shared" si="248"/>
        <v>0</v>
      </c>
      <c r="S580" s="182">
        <f t="shared" si="249"/>
        <v>0</v>
      </c>
      <c r="T580" s="182">
        <f t="shared" si="250"/>
        <v>0</v>
      </c>
      <c r="U580" s="182">
        <f t="shared" si="251"/>
        <v>0</v>
      </c>
      <c r="V580" s="14">
        <f t="shared" si="252"/>
        <v>6038.72</v>
      </c>
      <c r="W580" s="14">
        <f t="shared" si="253"/>
        <v>-6038.72</v>
      </c>
      <c r="Y580" s="14">
        <f t="shared" si="256"/>
        <v>1283.68</v>
      </c>
      <c r="Z580" s="14">
        <f t="shared" si="257"/>
        <v>-1283.68</v>
      </c>
      <c r="AA580" s="11">
        <f t="shared" si="259"/>
        <v>0.44</v>
      </c>
      <c r="AB580" s="9">
        <f t="shared" si="262"/>
        <v>198.88</v>
      </c>
      <c r="AD580" s="13">
        <f>IF(AH580&gt;AH579,AD579,IF(AD579&lt;MiscData!$F$1,EOMONTH(AD579,1),EOMONTH(AD579,-11)))</f>
        <v>42216</v>
      </c>
      <c r="AE580" s="7" t="str">
        <f t="shared" si="254"/>
        <v>20140101KUUM_457</v>
      </c>
      <c r="AF580" s="12" t="str">
        <f t="shared" si="255"/>
        <v>20140101RLS</v>
      </c>
      <c r="AG580" s="31"/>
      <c r="AH580">
        <f>IF(AH579=MiscData!$AB$91,1,AH579+1)</f>
        <v>51</v>
      </c>
      <c r="AI580">
        <f>IF(AD580&lt;=MiscData!$B$23,MiscData!$C$23,IF(AD580&lt;=MiscData!$B$24,MiscData!$C$24,MiscData!$C$25))</f>
        <v>20140101</v>
      </c>
      <c r="AK580" s="190" t="str">
        <f>VLOOKUP(AM580,MiscData!$AB$4:$ACB$113,2,FALSE)</f>
        <v>KUUM_457</v>
      </c>
      <c r="AL580" s="190" t="str">
        <f>VLOOKUP(AM580,MiscData!$AB$4:$AE$115,4,FALSE)</f>
        <v>RLS</v>
      </c>
      <c r="AM580">
        <f>IF(AM579=MiscData!$AB$91,1,AM579+1)</f>
        <v>51</v>
      </c>
    </row>
    <row r="581" spans="1:39">
      <c r="A581" s="7">
        <f t="shared" si="258"/>
        <v>580</v>
      </c>
      <c r="B581" s="13" t="str">
        <f t="shared" si="239"/>
        <v>Jul 2015</v>
      </c>
      <c r="C581" s="23" t="str">
        <f t="shared" si="240"/>
        <v>RLS</v>
      </c>
      <c r="D581" s="23" t="str">
        <f t="shared" si="241"/>
        <v>KUUM_458</v>
      </c>
      <c r="E581" s="170">
        <f t="shared" si="242"/>
        <v>1457</v>
      </c>
      <c r="F581" s="185"/>
      <c r="G581" s="170">
        <f t="shared" si="243"/>
        <v>0</v>
      </c>
      <c r="H581" s="170">
        <v>0</v>
      </c>
      <c r="I581" s="11">
        <f t="shared" si="244"/>
        <v>15.079999999999998</v>
      </c>
      <c r="J581" s="11">
        <f t="shared" si="245"/>
        <v>4.3699999999999992</v>
      </c>
      <c r="K581" s="416">
        <f t="shared" si="260"/>
        <v>21971.56</v>
      </c>
      <c r="L581" s="180"/>
      <c r="M581" s="180"/>
      <c r="N581" s="186">
        <f t="shared" si="238"/>
        <v>21971.56</v>
      </c>
      <c r="O581" s="29">
        <f t="shared" si="246"/>
        <v>0</v>
      </c>
      <c r="P581" s="181">
        <f t="shared" si="261"/>
        <v>0</v>
      </c>
      <c r="Q581" s="182">
        <f t="shared" si="247"/>
        <v>0</v>
      </c>
      <c r="R581" s="182">
        <f t="shared" si="248"/>
        <v>0</v>
      </c>
      <c r="S581" s="182">
        <f t="shared" si="249"/>
        <v>0</v>
      </c>
      <c r="T581" s="182">
        <f t="shared" si="250"/>
        <v>0</v>
      </c>
      <c r="U581" s="182">
        <f t="shared" si="251"/>
        <v>0</v>
      </c>
      <c r="V581" s="14">
        <f t="shared" si="252"/>
        <v>21971.56</v>
      </c>
      <c r="W581" s="14">
        <f t="shared" si="253"/>
        <v>-21971.56</v>
      </c>
      <c r="Y581" s="14">
        <f t="shared" si="256"/>
        <v>6367.09</v>
      </c>
      <c r="Z581" s="14">
        <f t="shared" si="257"/>
        <v>-6367.09</v>
      </c>
      <c r="AA581" s="11">
        <f t="shared" si="259"/>
        <v>0.51</v>
      </c>
      <c r="AB581" s="9">
        <f t="shared" si="262"/>
        <v>743.07</v>
      </c>
      <c r="AD581" s="13">
        <f>IF(AH581&gt;AH580,AD580,IF(AD580&lt;MiscData!$F$1,EOMONTH(AD580,1),EOMONTH(AD580,-11)))</f>
        <v>42216</v>
      </c>
      <c r="AE581" s="7" t="str">
        <f t="shared" si="254"/>
        <v>20140101KUUM_458</v>
      </c>
      <c r="AF581" s="12" t="str">
        <f t="shared" si="255"/>
        <v>20140101RLS</v>
      </c>
      <c r="AG581" s="31"/>
      <c r="AH581">
        <f>IF(AH580=MiscData!$AB$91,1,AH580+1)</f>
        <v>52</v>
      </c>
      <c r="AI581">
        <f>IF(AD581&lt;=MiscData!$B$23,MiscData!$C$23,IF(AD581&lt;=MiscData!$B$24,MiscData!$C$24,MiscData!$C$25))</f>
        <v>20140101</v>
      </c>
      <c r="AK581" s="190" t="str">
        <f>VLOOKUP(AM581,MiscData!$AB$4:$ACB$113,2,FALSE)</f>
        <v>KUUM_458</v>
      </c>
      <c r="AL581" s="190" t="str">
        <f>VLOOKUP(AM581,MiscData!$AB$4:$AE$115,4,FALSE)</f>
        <v>RLS</v>
      </c>
      <c r="AM581">
        <f>IF(AM580=MiscData!$AB$91,1,AM580+1)</f>
        <v>52</v>
      </c>
    </row>
    <row r="582" spans="1:39">
      <c r="A582" s="7">
        <f t="shared" si="258"/>
        <v>581</v>
      </c>
      <c r="B582" s="13" t="str">
        <f t="shared" si="239"/>
        <v>Jul 2015</v>
      </c>
      <c r="C582" s="23" t="str">
        <f t="shared" si="240"/>
        <v>RLS</v>
      </c>
      <c r="D582" s="23" t="str">
        <f t="shared" si="241"/>
        <v>KUUM_459</v>
      </c>
      <c r="E582" s="170">
        <f t="shared" si="242"/>
        <v>222</v>
      </c>
      <c r="F582" s="185"/>
      <c r="G582" s="170">
        <f t="shared" si="243"/>
        <v>0</v>
      </c>
      <c r="H582" s="170">
        <v>0</v>
      </c>
      <c r="I582" s="11">
        <f t="shared" si="244"/>
        <v>46.740000000000009</v>
      </c>
      <c r="J582" s="11">
        <f t="shared" si="245"/>
        <v>10.410000000000004</v>
      </c>
      <c r="K582" s="416">
        <f t="shared" si="260"/>
        <v>10376.280000000001</v>
      </c>
      <c r="L582" s="180"/>
      <c r="M582" s="180"/>
      <c r="N582" s="186">
        <f t="shared" si="238"/>
        <v>10376.280000000001</v>
      </c>
      <c r="O582" s="29">
        <f t="shared" si="246"/>
        <v>0</v>
      </c>
      <c r="P582" s="181">
        <f t="shared" si="261"/>
        <v>0</v>
      </c>
      <c r="Q582" s="182">
        <f t="shared" si="247"/>
        <v>0</v>
      </c>
      <c r="R582" s="182">
        <f t="shared" si="248"/>
        <v>0</v>
      </c>
      <c r="S582" s="182">
        <f t="shared" si="249"/>
        <v>0</v>
      </c>
      <c r="T582" s="182">
        <f t="shared" si="250"/>
        <v>0</v>
      </c>
      <c r="U582" s="182">
        <f t="shared" si="251"/>
        <v>0</v>
      </c>
      <c r="V582" s="14">
        <f t="shared" si="252"/>
        <v>10376.280000000001</v>
      </c>
      <c r="W582" s="14">
        <f t="shared" si="253"/>
        <v>-10376.280000000001</v>
      </c>
      <c r="Y582" s="14">
        <f t="shared" si="256"/>
        <v>2311.02</v>
      </c>
      <c r="Z582" s="14">
        <f t="shared" si="257"/>
        <v>-2311.02</v>
      </c>
      <c r="AA582" s="11">
        <f t="shared" si="259"/>
        <v>1.7</v>
      </c>
      <c r="AB582" s="9">
        <f t="shared" si="262"/>
        <v>377.4</v>
      </c>
      <c r="AD582" s="13">
        <f>IF(AH582&gt;AH581,AD581,IF(AD581&lt;MiscData!$F$1,EOMONTH(AD581,1),EOMONTH(AD581,-11)))</f>
        <v>42216</v>
      </c>
      <c r="AE582" s="7" t="str">
        <f t="shared" si="254"/>
        <v>20140101KUUM_459</v>
      </c>
      <c r="AF582" s="12" t="str">
        <f t="shared" si="255"/>
        <v>20140101RLS</v>
      </c>
      <c r="AG582" s="31"/>
      <c r="AH582">
        <f>IF(AH581=MiscData!$AB$91,1,AH581+1)</f>
        <v>53</v>
      </c>
      <c r="AI582">
        <f>IF(AD582&lt;=MiscData!$B$23,MiscData!$C$23,IF(AD582&lt;=MiscData!$B$24,MiscData!$C$24,MiscData!$C$25))</f>
        <v>20140101</v>
      </c>
      <c r="AK582" s="190" t="str">
        <f>VLOOKUP(AM582,MiscData!$AB$4:$ACB$113,2,FALSE)</f>
        <v>KUUM_459</v>
      </c>
      <c r="AL582" s="190" t="str">
        <f>VLOOKUP(AM582,MiscData!$AB$4:$AE$115,4,FALSE)</f>
        <v>RLS</v>
      </c>
      <c r="AM582">
        <f>IF(AM581=MiscData!$AB$91,1,AM581+1)</f>
        <v>53</v>
      </c>
    </row>
    <row r="583" spans="1:39">
      <c r="A583" s="7">
        <f t="shared" si="258"/>
        <v>582</v>
      </c>
      <c r="B583" s="13" t="str">
        <f t="shared" si="239"/>
        <v>Jul 2015</v>
      </c>
      <c r="C583" s="23" t="str">
        <f t="shared" si="240"/>
        <v>RLS</v>
      </c>
      <c r="D583" s="23" t="str">
        <f t="shared" si="241"/>
        <v>KUUM_460</v>
      </c>
      <c r="E583" s="170">
        <f t="shared" si="242"/>
        <v>26</v>
      </c>
      <c r="F583" s="185"/>
      <c r="G583" s="170">
        <f t="shared" si="243"/>
        <v>0</v>
      </c>
      <c r="H583" s="170">
        <v>0</v>
      </c>
      <c r="I583" s="11">
        <f t="shared" si="244"/>
        <v>27.15</v>
      </c>
      <c r="J583" s="11">
        <f t="shared" si="245"/>
        <v>1.9699999999999989</v>
      </c>
      <c r="K583" s="416">
        <f t="shared" si="260"/>
        <v>705.9</v>
      </c>
      <c r="L583" s="180"/>
      <c r="M583" s="180"/>
      <c r="N583" s="186">
        <f t="shared" si="238"/>
        <v>705.9</v>
      </c>
      <c r="O583" s="29">
        <f t="shared" si="246"/>
        <v>0</v>
      </c>
      <c r="P583" s="181">
        <f t="shared" si="261"/>
        <v>0</v>
      </c>
      <c r="Q583" s="182">
        <f t="shared" si="247"/>
        <v>0</v>
      </c>
      <c r="R583" s="182">
        <f t="shared" si="248"/>
        <v>0</v>
      </c>
      <c r="S583" s="182">
        <f t="shared" si="249"/>
        <v>0</v>
      </c>
      <c r="T583" s="182">
        <f t="shared" si="250"/>
        <v>0</v>
      </c>
      <c r="U583" s="182">
        <f t="shared" si="251"/>
        <v>0</v>
      </c>
      <c r="V583" s="14">
        <f t="shared" si="252"/>
        <v>705.9</v>
      </c>
      <c r="W583" s="14">
        <f t="shared" si="253"/>
        <v>-705.9</v>
      </c>
      <c r="Y583" s="14">
        <f t="shared" si="256"/>
        <v>51.22</v>
      </c>
      <c r="Z583" s="14">
        <f t="shared" si="257"/>
        <v>-51.22</v>
      </c>
      <c r="AA583" s="11">
        <f t="shared" si="259"/>
        <v>0.66</v>
      </c>
      <c r="AB583" s="9">
        <f t="shared" si="262"/>
        <v>17.16</v>
      </c>
      <c r="AD583" s="13">
        <f>IF(AH583&gt;AH582,AD582,IF(AD582&lt;MiscData!$F$1,EOMONTH(AD582,1),EOMONTH(AD582,-11)))</f>
        <v>42216</v>
      </c>
      <c r="AE583" s="7" t="str">
        <f t="shared" si="254"/>
        <v>20140101KUUM_460</v>
      </c>
      <c r="AF583" s="12" t="str">
        <f t="shared" si="255"/>
        <v>20140101RLS</v>
      </c>
      <c r="AG583" s="31"/>
      <c r="AH583">
        <f>IF(AH582=MiscData!$AB$91,1,AH582+1)</f>
        <v>54</v>
      </c>
      <c r="AI583">
        <f>IF(AD583&lt;=MiscData!$B$23,MiscData!$C$23,IF(AD583&lt;=MiscData!$B$24,MiscData!$C$24,MiscData!$C$25))</f>
        <v>20140101</v>
      </c>
      <c r="AK583" s="190" t="str">
        <f>VLOOKUP(AM583,MiscData!$AB$4:$ACB$113,2,FALSE)</f>
        <v>KUUM_460</v>
      </c>
      <c r="AL583" s="190" t="str">
        <f>VLOOKUP(AM583,MiscData!$AB$4:$AE$115,4,FALSE)</f>
        <v>RLS</v>
      </c>
      <c r="AM583">
        <f>IF(AM582=MiscData!$AB$91,1,AM582+1)</f>
        <v>54</v>
      </c>
    </row>
    <row r="584" spans="1:39">
      <c r="A584" s="7">
        <f t="shared" si="258"/>
        <v>583</v>
      </c>
      <c r="B584" s="13" t="str">
        <f t="shared" si="239"/>
        <v>Jul 2015</v>
      </c>
      <c r="C584" s="23" t="str">
        <f t="shared" si="240"/>
        <v>RLS</v>
      </c>
      <c r="D584" s="23" t="str">
        <f t="shared" si="241"/>
        <v>KUUM_461</v>
      </c>
      <c r="E584" s="170">
        <f t="shared" si="242"/>
        <v>6980</v>
      </c>
      <c r="F584" s="185"/>
      <c r="G584" s="170">
        <f t="shared" si="243"/>
        <v>0</v>
      </c>
      <c r="H584" s="170">
        <v>0</v>
      </c>
      <c r="I584" s="11">
        <f t="shared" si="244"/>
        <v>7.54</v>
      </c>
      <c r="J584" s="11">
        <f t="shared" si="245"/>
        <v>0.57000000000000028</v>
      </c>
      <c r="K584" s="416">
        <f t="shared" si="260"/>
        <v>52629.2</v>
      </c>
      <c r="L584" s="180"/>
      <c r="M584" s="180"/>
      <c r="N584" s="186">
        <f t="shared" si="238"/>
        <v>52629.2</v>
      </c>
      <c r="O584" s="29">
        <f t="shared" si="246"/>
        <v>0</v>
      </c>
      <c r="P584" s="181">
        <f t="shared" si="261"/>
        <v>0</v>
      </c>
      <c r="Q584" s="182">
        <f t="shared" si="247"/>
        <v>0</v>
      </c>
      <c r="R584" s="182">
        <f t="shared" si="248"/>
        <v>0</v>
      </c>
      <c r="S584" s="182">
        <f t="shared" si="249"/>
        <v>0</v>
      </c>
      <c r="T584" s="182">
        <f t="shared" si="250"/>
        <v>0</v>
      </c>
      <c r="U584" s="182">
        <f t="shared" si="251"/>
        <v>0</v>
      </c>
      <c r="V584" s="14">
        <f t="shared" si="252"/>
        <v>52629.2</v>
      </c>
      <c r="W584" s="14">
        <f t="shared" si="253"/>
        <v>-52629.2</v>
      </c>
      <c r="Y584" s="14">
        <f t="shared" si="256"/>
        <v>3978.6</v>
      </c>
      <c r="Z584" s="14">
        <f t="shared" si="257"/>
        <v>-3978.6</v>
      </c>
      <c r="AA584" s="11">
        <f t="shared" si="259"/>
        <v>0.33</v>
      </c>
      <c r="AB584" s="9">
        <f t="shared" si="262"/>
        <v>2303.4</v>
      </c>
      <c r="AD584" s="13">
        <f>IF(AH584&gt;AH583,AD583,IF(AD583&lt;MiscData!$F$1,EOMONTH(AD583,1),EOMONTH(AD583,-11)))</f>
        <v>42216</v>
      </c>
      <c r="AE584" s="7" t="str">
        <f t="shared" si="254"/>
        <v>20140101KUUM_461</v>
      </c>
      <c r="AF584" s="12" t="str">
        <f t="shared" si="255"/>
        <v>20140101RLS</v>
      </c>
      <c r="AG584" s="31"/>
      <c r="AH584">
        <f>IF(AH583=MiscData!$AB$91,1,AH583+1)</f>
        <v>55</v>
      </c>
      <c r="AI584">
        <f>IF(AD584&lt;=MiscData!$B$23,MiscData!$C$23,IF(AD584&lt;=MiscData!$B$24,MiscData!$C$24,MiscData!$C$25))</f>
        <v>20140101</v>
      </c>
      <c r="AK584" s="190" t="str">
        <f>VLOOKUP(AM584,MiscData!$AB$4:$ACB$113,2,FALSE)</f>
        <v>KUUM_461</v>
      </c>
      <c r="AL584" s="190" t="str">
        <f>VLOOKUP(AM584,MiscData!$AB$4:$AE$115,4,FALSE)</f>
        <v>RLS</v>
      </c>
      <c r="AM584">
        <f>IF(AM583=MiscData!$AB$91,1,AM583+1)</f>
        <v>55</v>
      </c>
    </row>
    <row r="585" spans="1:39">
      <c r="A585" s="7">
        <f t="shared" si="258"/>
        <v>584</v>
      </c>
      <c r="B585" s="13" t="str">
        <f t="shared" si="239"/>
        <v>Jul 2015</v>
      </c>
      <c r="C585" s="23" t="str">
        <f t="shared" si="240"/>
        <v>LS</v>
      </c>
      <c r="D585" s="23" t="str">
        <f t="shared" si="241"/>
        <v>KUUM_462</v>
      </c>
      <c r="E585" s="170">
        <f t="shared" si="242"/>
        <v>8948</v>
      </c>
      <c r="F585" s="185"/>
      <c r="G585" s="170">
        <f t="shared" si="243"/>
        <v>0</v>
      </c>
      <c r="H585" s="170">
        <v>0</v>
      </c>
      <c r="I585" s="11">
        <f t="shared" si="244"/>
        <v>8.66</v>
      </c>
      <c r="J585" s="11">
        <f t="shared" si="245"/>
        <v>0.79999999999999893</v>
      </c>
      <c r="K585" s="416">
        <f t="shared" si="260"/>
        <v>77489.679999999993</v>
      </c>
      <c r="L585" s="180"/>
      <c r="M585" s="180"/>
      <c r="N585" s="186">
        <f t="shared" si="238"/>
        <v>77489.679999999993</v>
      </c>
      <c r="O585" s="29">
        <f t="shared" si="246"/>
        <v>0</v>
      </c>
      <c r="P585" s="181">
        <f t="shared" si="261"/>
        <v>0</v>
      </c>
      <c r="Q585" s="182">
        <f t="shared" si="247"/>
        <v>0</v>
      </c>
      <c r="R585" s="182">
        <f t="shared" si="248"/>
        <v>0</v>
      </c>
      <c r="S585" s="182">
        <f t="shared" si="249"/>
        <v>0</v>
      </c>
      <c r="T585" s="182">
        <f t="shared" si="250"/>
        <v>0</v>
      </c>
      <c r="U585" s="182">
        <f t="shared" si="251"/>
        <v>0</v>
      </c>
      <c r="V585" s="14">
        <f t="shared" si="252"/>
        <v>77489.679999999993</v>
      </c>
      <c r="W585" s="14">
        <f t="shared" si="253"/>
        <v>-77489.679999999993</v>
      </c>
      <c r="Y585" s="14">
        <f t="shared" si="256"/>
        <v>7158.4</v>
      </c>
      <c r="Z585" s="14">
        <f t="shared" si="257"/>
        <v>-7158.4</v>
      </c>
      <c r="AA585" s="11">
        <f t="shared" si="259"/>
        <v>0.43</v>
      </c>
      <c r="AB585" s="9">
        <f t="shared" si="262"/>
        <v>3847.64</v>
      </c>
      <c r="AD585" s="13">
        <f>IF(AH585&gt;AH584,AD584,IF(AD584&lt;MiscData!$F$1,EOMONTH(AD584,1),EOMONTH(AD584,-11)))</f>
        <v>42216</v>
      </c>
      <c r="AE585" s="7" t="str">
        <f t="shared" si="254"/>
        <v>20140101KUUM_462</v>
      </c>
      <c r="AF585" s="12" t="str">
        <f t="shared" si="255"/>
        <v>20140101LS</v>
      </c>
      <c r="AG585" s="31"/>
      <c r="AH585">
        <f>IF(AH584=MiscData!$AB$91,1,AH584+1)</f>
        <v>56</v>
      </c>
      <c r="AI585">
        <f>IF(AD585&lt;=MiscData!$B$23,MiscData!$C$23,IF(AD585&lt;=MiscData!$B$24,MiscData!$C$24,MiscData!$C$25))</f>
        <v>20140101</v>
      </c>
      <c r="AK585" s="190" t="str">
        <f>VLOOKUP(AM585,MiscData!$AB$4:$ACB$113,2,FALSE)</f>
        <v>KUUM_462</v>
      </c>
      <c r="AL585" s="190" t="str">
        <f>VLOOKUP(AM585,MiscData!$AB$4:$AE$115,4,FALSE)</f>
        <v>LS</v>
      </c>
      <c r="AM585">
        <f>IF(AM584=MiscData!$AB$91,1,AM584+1)</f>
        <v>56</v>
      </c>
    </row>
    <row r="586" spans="1:39">
      <c r="A586" s="7">
        <f t="shared" si="258"/>
        <v>585</v>
      </c>
      <c r="B586" s="13" t="str">
        <f t="shared" si="239"/>
        <v>Jul 2015</v>
      </c>
      <c r="C586" s="23" t="str">
        <f t="shared" si="240"/>
        <v>LS</v>
      </c>
      <c r="D586" s="23" t="str">
        <f t="shared" si="241"/>
        <v>KUUM_463</v>
      </c>
      <c r="E586" s="170">
        <f t="shared" si="242"/>
        <v>20988</v>
      </c>
      <c r="F586" s="185"/>
      <c r="G586" s="170">
        <f t="shared" si="243"/>
        <v>0</v>
      </c>
      <c r="H586" s="170">
        <v>0</v>
      </c>
      <c r="I586" s="11">
        <f t="shared" si="244"/>
        <v>9.14</v>
      </c>
      <c r="J586" s="11">
        <f t="shared" si="245"/>
        <v>1.1299999999999999</v>
      </c>
      <c r="K586" s="416">
        <f t="shared" si="260"/>
        <v>191830.32</v>
      </c>
      <c r="L586" s="180"/>
      <c r="M586" s="180"/>
      <c r="N586" s="186">
        <f t="shared" si="238"/>
        <v>191830.32</v>
      </c>
      <c r="O586" s="29">
        <f t="shared" si="246"/>
        <v>0</v>
      </c>
      <c r="P586" s="181">
        <f t="shared" si="261"/>
        <v>0</v>
      </c>
      <c r="Q586" s="182">
        <f t="shared" si="247"/>
        <v>0</v>
      </c>
      <c r="R586" s="182">
        <f t="shared" si="248"/>
        <v>0</v>
      </c>
      <c r="S586" s="182">
        <f t="shared" si="249"/>
        <v>0</v>
      </c>
      <c r="T586" s="182">
        <f t="shared" si="250"/>
        <v>0</v>
      </c>
      <c r="U586" s="182">
        <f t="shared" si="251"/>
        <v>0</v>
      </c>
      <c r="V586" s="14">
        <f t="shared" si="252"/>
        <v>191830.32</v>
      </c>
      <c r="W586" s="14">
        <f t="shared" si="253"/>
        <v>-191830.32</v>
      </c>
      <c r="Y586" s="14">
        <f t="shared" si="256"/>
        <v>23716.44</v>
      </c>
      <c r="Z586" s="14">
        <f t="shared" si="257"/>
        <v>-23716.44</v>
      </c>
      <c r="AA586" s="11">
        <f t="shared" si="259"/>
        <v>0.34</v>
      </c>
      <c r="AB586" s="9">
        <f t="shared" si="262"/>
        <v>7135.92</v>
      </c>
      <c r="AD586" s="13">
        <f>IF(AH586&gt;AH585,AD585,IF(AD585&lt;MiscData!$F$1,EOMONTH(AD585,1),EOMONTH(AD585,-11)))</f>
        <v>42216</v>
      </c>
      <c r="AE586" s="7" t="str">
        <f t="shared" si="254"/>
        <v>20140101KUUM_463</v>
      </c>
      <c r="AF586" s="12" t="str">
        <f t="shared" si="255"/>
        <v>20140101LS</v>
      </c>
      <c r="AG586" s="31"/>
      <c r="AH586">
        <f>IF(AH585=MiscData!$AB$91,1,AH585+1)</f>
        <v>57</v>
      </c>
      <c r="AI586">
        <f>IF(AD586&lt;=MiscData!$B$23,MiscData!$C$23,IF(AD586&lt;=MiscData!$B$24,MiscData!$C$24,MiscData!$C$25))</f>
        <v>20140101</v>
      </c>
      <c r="AK586" s="190" t="str">
        <f>VLOOKUP(AM586,MiscData!$AB$4:$ACB$113,2,FALSE)</f>
        <v>KUUM_463</v>
      </c>
      <c r="AL586" s="190" t="str">
        <f>VLOOKUP(AM586,MiscData!$AB$4:$AE$115,4,FALSE)</f>
        <v>LS</v>
      </c>
      <c r="AM586">
        <f>IF(AM585=MiscData!$AB$91,1,AM585+1)</f>
        <v>57</v>
      </c>
    </row>
    <row r="587" spans="1:39">
      <c r="A587" s="7">
        <f t="shared" si="258"/>
        <v>586</v>
      </c>
      <c r="B587" s="13" t="str">
        <f t="shared" si="239"/>
        <v>Jul 2015</v>
      </c>
      <c r="C587" s="23" t="str">
        <f t="shared" si="240"/>
        <v>LS</v>
      </c>
      <c r="D587" s="23" t="str">
        <f t="shared" si="241"/>
        <v>KUUM_464</v>
      </c>
      <c r="E587" s="170">
        <f t="shared" si="242"/>
        <v>7748</v>
      </c>
      <c r="F587" s="185"/>
      <c r="G587" s="170">
        <f t="shared" si="243"/>
        <v>0</v>
      </c>
      <c r="H587" s="170">
        <v>0</v>
      </c>
      <c r="I587" s="11">
        <f t="shared" si="244"/>
        <v>14.25</v>
      </c>
      <c r="J587" s="11">
        <f t="shared" si="245"/>
        <v>2.33</v>
      </c>
      <c r="K587" s="416">
        <f t="shared" si="260"/>
        <v>110409</v>
      </c>
      <c r="L587" s="180"/>
      <c r="M587" s="180"/>
      <c r="N587" s="186">
        <f t="shared" si="238"/>
        <v>110409</v>
      </c>
      <c r="O587" s="29">
        <f t="shared" si="246"/>
        <v>0</v>
      </c>
      <c r="P587" s="181">
        <f t="shared" si="261"/>
        <v>0</v>
      </c>
      <c r="Q587" s="182">
        <f t="shared" si="247"/>
        <v>0</v>
      </c>
      <c r="R587" s="182">
        <f t="shared" si="248"/>
        <v>0</v>
      </c>
      <c r="S587" s="182">
        <f t="shared" si="249"/>
        <v>0</v>
      </c>
      <c r="T587" s="182">
        <f t="shared" si="250"/>
        <v>0</v>
      </c>
      <c r="U587" s="182">
        <f t="shared" si="251"/>
        <v>0</v>
      </c>
      <c r="V587" s="14">
        <f t="shared" si="252"/>
        <v>110409</v>
      </c>
      <c r="W587" s="14">
        <f t="shared" si="253"/>
        <v>-110409</v>
      </c>
      <c r="Y587" s="14">
        <f t="shared" si="256"/>
        <v>18052.84</v>
      </c>
      <c r="Z587" s="14">
        <f t="shared" si="257"/>
        <v>-18052.84</v>
      </c>
      <c r="AA587" s="11">
        <f t="shared" si="259"/>
        <v>0.57999999999999996</v>
      </c>
      <c r="AB587" s="9">
        <f t="shared" si="262"/>
        <v>4493.8399999999992</v>
      </c>
      <c r="AD587" s="13">
        <f>IF(AH587&gt;AH586,AD586,IF(AD586&lt;MiscData!$F$1,EOMONTH(AD586,1),EOMONTH(AD586,-11)))</f>
        <v>42216</v>
      </c>
      <c r="AE587" s="7" t="str">
        <f t="shared" si="254"/>
        <v>20140101KUUM_464</v>
      </c>
      <c r="AF587" s="12" t="str">
        <f t="shared" si="255"/>
        <v>20140101LS</v>
      </c>
      <c r="AG587" s="31"/>
      <c r="AH587">
        <f>IF(AH586=MiscData!$AB$91,1,AH586+1)</f>
        <v>58</v>
      </c>
      <c r="AI587">
        <f>IF(AD587&lt;=MiscData!$B$23,MiscData!$C$23,IF(AD587&lt;=MiscData!$B$24,MiscData!$C$24,MiscData!$C$25))</f>
        <v>20140101</v>
      </c>
      <c r="AK587" s="190" t="str">
        <f>VLOOKUP(AM587,MiscData!$AB$4:$ACB$113,2,FALSE)</f>
        <v>KUUM_464</v>
      </c>
      <c r="AL587" s="190" t="str">
        <f>VLOOKUP(AM587,MiscData!$AB$4:$AE$115,4,FALSE)</f>
        <v>LS</v>
      </c>
      <c r="AM587">
        <f>IF(AM586=MiscData!$AB$91,1,AM586+1)</f>
        <v>58</v>
      </c>
    </row>
    <row r="588" spans="1:39">
      <c r="A588" s="7">
        <f t="shared" si="258"/>
        <v>587</v>
      </c>
      <c r="B588" s="13" t="str">
        <f t="shared" si="239"/>
        <v>Jul 2015</v>
      </c>
      <c r="C588" s="23" t="str">
        <f t="shared" si="240"/>
        <v>LS</v>
      </c>
      <c r="D588" s="23" t="str">
        <f t="shared" si="241"/>
        <v>KUUM_465</v>
      </c>
      <c r="E588" s="170">
        <f t="shared" si="242"/>
        <v>2794</v>
      </c>
      <c r="F588" s="185"/>
      <c r="G588" s="170">
        <f t="shared" si="243"/>
        <v>0</v>
      </c>
      <c r="H588" s="170">
        <v>0</v>
      </c>
      <c r="I588" s="11">
        <f t="shared" si="244"/>
        <v>22.84</v>
      </c>
      <c r="J588" s="11">
        <f t="shared" si="245"/>
        <v>4.5299999999999976</v>
      </c>
      <c r="K588" s="416">
        <f t="shared" si="260"/>
        <v>63814.96</v>
      </c>
      <c r="L588" s="180"/>
      <c r="M588" s="180"/>
      <c r="N588" s="186">
        <f t="shared" si="238"/>
        <v>63814.96</v>
      </c>
      <c r="O588" s="29">
        <f t="shared" si="246"/>
        <v>0</v>
      </c>
      <c r="P588" s="181">
        <f t="shared" si="261"/>
        <v>0</v>
      </c>
      <c r="Q588" s="182">
        <f t="shared" si="247"/>
        <v>0</v>
      </c>
      <c r="R588" s="182">
        <f t="shared" si="248"/>
        <v>0</v>
      </c>
      <c r="S588" s="182">
        <f t="shared" si="249"/>
        <v>0</v>
      </c>
      <c r="T588" s="182">
        <f t="shared" si="250"/>
        <v>0</v>
      </c>
      <c r="U588" s="182">
        <f t="shared" si="251"/>
        <v>0</v>
      </c>
      <c r="V588" s="14">
        <f t="shared" si="252"/>
        <v>63814.96</v>
      </c>
      <c r="W588" s="14">
        <f t="shared" si="253"/>
        <v>-63814.96</v>
      </c>
      <c r="Y588" s="14">
        <f t="shared" si="256"/>
        <v>12656.82</v>
      </c>
      <c r="Z588" s="14">
        <f t="shared" si="257"/>
        <v>-12656.82</v>
      </c>
      <c r="AA588" s="11">
        <f t="shared" si="259"/>
        <v>0.79</v>
      </c>
      <c r="AB588" s="9">
        <f t="shared" si="262"/>
        <v>2207.2600000000002</v>
      </c>
      <c r="AD588" s="13">
        <f>IF(AH588&gt;AH587,AD587,IF(AD587&lt;MiscData!$F$1,EOMONTH(AD587,1),EOMONTH(AD587,-11)))</f>
        <v>42216</v>
      </c>
      <c r="AE588" s="7" t="str">
        <f t="shared" si="254"/>
        <v>20140101KUUM_465</v>
      </c>
      <c r="AF588" s="12" t="str">
        <f t="shared" si="255"/>
        <v>20140101LS</v>
      </c>
      <c r="AG588" s="31"/>
      <c r="AH588">
        <f>IF(AH587=MiscData!$AB$91,1,AH587+1)</f>
        <v>59</v>
      </c>
      <c r="AI588">
        <f>IF(AD588&lt;=MiscData!$B$23,MiscData!$C$23,IF(AD588&lt;=MiscData!$B$24,MiscData!$C$24,MiscData!$C$25))</f>
        <v>20140101</v>
      </c>
      <c r="AK588" s="190" t="str">
        <f>VLOOKUP(AM588,MiscData!$AB$4:$ACB$113,2,FALSE)</f>
        <v>KUUM_465</v>
      </c>
      <c r="AL588" s="190" t="str">
        <f>VLOOKUP(AM588,MiscData!$AB$4:$AE$115,4,FALSE)</f>
        <v>LS</v>
      </c>
      <c r="AM588">
        <f>IF(AM587=MiscData!$AB$91,1,AM587+1)</f>
        <v>59</v>
      </c>
    </row>
    <row r="589" spans="1:39">
      <c r="A589" s="7">
        <f t="shared" si="258"/>
        <v>588</v>
      </c>
      <c r="B589" s="13" t="str">
        <f t="shared" si="239"/>
        <v>Jul 2015</v>
      </c>
      <c r="C589" s="23" t="str">
        <f t="shared" si="240"/>
        <v>RLS</v>
      </c>
      <c r="D589" s="23" t="str">
        <f t="shared" si="241"/>
        <v>KUUM_466</v>
      </c>
      <c r="E589" s="170">
        <f t="shared" si="242"/>
        <v>995</v>
      </c>
      <c r="F589" s="185"/>
      <c r="G589" s="170">
        <f t="shared" si="243"/>
        <v>0</v>
      </c>
      <c r="H589" s="170">
        <v>0</v>
      </c>
      <c r="I589" s="11">
        <f t="shared" si="244"/>
        <v>9.620000000000001</v>
      </c>
      <c r="J589" s="11">
        <f t="shared" si="245"/>
        <v>0.57000000000000028</v>
      </c>
      <c r="K589" s="416">
        <f t="shared" si="260"/>
        <v>9571.9</v>
      </c>
      <c r="L589" s="180"/>
      <c r="M589" s="180"/>
      <c r="N589" s="186">
        <f t="shared" si="238"/>
        <v>9571.9</v>
      </c>
      <c r="O589" s="29">
        <f t="shared" si="246"/>
        <v>0</v>
      </c>
      <c r="P589" s="181">
        <f t="shared" si="261"/>
        <v>0</v>
      </c>
      <c r="Q589" s="182">
        <f t="shared" si="247"/>
        <v>0</v>
      </c>
      <c r="R589" s="182">
        <f t="shared" si="248"/>
        <v>0</v>
      </c>
      <c r="S589" s="182">
        <f t="shared" si="249"/>
        <v>0</v>
      </c>
      <c r="T589" s="182">
        <f t="shared" si="250"/>
        <v>0</v>
      </c>
      <c r="U589" s="182">
        <f t="shared" si="251"/>
        <v>0</v>
      </c>
      <c r="V589" s="14">
        <f t="shared" si="252"/>
        <v>9571.9</v>
      </c>
      <c r="W589" s="14">
        <f t="shared" si="253"/>
        <v>-9571.9</v>
      </c>
      <c r="Y589" s="14">
        <f t="shared" si="256"/>
        <v>567.15</v>
      </c>
      <c r="Z589" s="14">
        <f t="shared" si="257"/>
        <v>-567.15</v>
      </c>
      <c r="AA589" s="11">
        <f t="shared" si="259"/>
        <v>0.33</v>
      </c>
      <c r="AB589" s="9">
        <f t="shared" si="262"/>
        <v>328.35</v>
      </c>
      <c r="AD589" s="13">
        <f>IF(AH589&gt;AH588,AD588,IF(AD588&lt;MiscData!$F$1,EOMONTH(AD588,1),EOMONTH(AD588,-11)))</f>
        <v>42216</v>
      </c>
      <c r="AE589" s="7" t="str">
        <f t="shared" si="254"/>
        <v>20140101KUUM_466</v>
      </c>
      <c r="AF589" s="12" t="str">
        <f t="shared" si="255"/>
        <v>20140101RLS</v>
      </c>
      <c r="AG589" s="31"/>
      <c r="AH589">
        <f>IF(AH588=MiscData!$AB$91,1,AH588+1)</f>
        <v>60</v>
      </c>
      <c r="AI589">
        <f>IF(AD589&lt;=MiscData!$B$23,MiscData!$C$23,IF(AD589&lt;=MiscData!$B$24,MiscData!$C$24,MiscData!$C$25))</f>
        <v>20140101</v>
      </c>
      <c r="AK589" s="190" t="str">
        <f>VLOOKUP(AM589,MiscData!$AB$4:$ACB$113,2,FALSE)</f>
        <v>KUUM_466</v>
      </c>
      <c r="AL589" s="190" t="str">
        <f>VLOOKUP(AM589,MiscData!$AB$4:$AE$115,4,FALSE)</f>
        <v>RLS</v>
      </c>
      <c r="AM589">
        <f>IF(AM588=MiscData!$AB$91,1,AM588+1)</f>
        <v>60</v>
      </c>
    </row>
    <row r="590" spans="1:39">
      <c r="A590" s="7">
        <f t="shared" si="258"/>
        <v>589</v>
      </c>
      <c r="B590" s="13" t="str">
        <f t="shared" si="239"/>
        <v>Jul 2015</v>
      </c>
      <c r="C590" s="23" t="str">
        <f t="shared" si="240"/>
        <v>LS</v>
      </c>
      <c r="D590" s="23" t="str">
        <f t="shared" si="241"/>
        <v>KUUM_467</v>
      </c>
      <c r="E590" s="170">
        <f t="shared" si="242"/>
        <v>1475</v>
      </c>
      <c r="F590" s="185"/>
      <c r="G590" s="170">
        <f t="shared" si="243"/>
        <v>0</v>
      </c>
      <c r="H590" s="170">
        <v>0</v>
      </c>
      <c r="I590" s="11">
        <f t="shared" si="244"/>
        <v>10.770000000000001</v>
      </c>
      <c r="J590" s="11">
        <f t="shared" si="245"/>
        <v>0.80000000000000071</v>
      </c>
      <c r="K590" s="416">
        <f t="shared" si="260"/>
        <v>15885.75</v>
      </c>
      <c r="L590" s="180"/>
      <c r="M590" s="180"/>
      <c r="N590" s="186">
        <f t="shared" si="238"/>
        <v>15885.75</v>
      </c>
      <c r="O590" s="29">
        <f t="shared" si="246"/>
        <v>0</v>
      </c>
      <c r="P590" s="181">
        <f t="shared" si="261"/>
        <v>0</v>
      </c>
      <c r="Q590" s="182">
        <f t="shared" si="247"/>
        <v>0</v>
      </c>
      <c r="R590" s="182">
        <f t="shared" si="248"/>
        <v>0</v>
      </c>
      <c r="S590" s="182">
        <f t="shared" si="249"/>
        <v>0</v>
      </c>
      <c r="T590" s="182">
        <f t="shared" si="250"/>
        <v>0</v>
      </c>
      <c r="U590" s="182">
        <f t="shared" si="251"/>
        <v>0</v>
      </c>
      <c r="V590" s="14">
        <f t="shared" si="252"/>
        <v>15885.75</v>
      </c>
      <c r="W590" s="14">
        <f t="shared" si="253"/>
        <v>-15885.75</v>
      </c>
      <c r="Y590" s="14">
        <f t="shared" si="256"/>
        <v>1180</v>
      </c>
      <c r="Z590" s="14">
        <f t="shared" si="257"/>
        <v>-1180</v>
      </c>
      <c r="AA590" s="11">
        <f t="shared" si="259"/>
        <v>0.43</v>
      </c>
      <c r="AB590" s="9">
        <f t="shared" si="262"/>
        <v>634.25</v>
      </c>
      <c r="AD590" s="13">
        <f>IF(AH590&gt;AH589,AD589,IF(AD589&lt;MiscData!$F$1,EOMONTH(AD589,1),EOMONTH(AD589,-11)))</f>
        <v>42216</v>
      </c>
      <c r="AE590" s="7" t="str">
        <f t="shared" si="254"/>
        <v>20140101KUUM_467</v>
      </c>
      <c r="AF590" s="12" t="str">
        <f t="shared" si="255"/>
        <v>20140101LS</v>
      </c>
      <c r="AG590" s="31"/>
      <c r="AH590">
        <f>IF(AH589=MiscData!$AB$91,1,AH589+1)</f>
        <v>61</v>
      </c>
      <c r="AI590">
        <f>IF(AD590&lt;=MiscData!$B$23,MiscData!$C$23,IF(AD590&lt;=MiscData!$B$24,MiscData!$C$24,MiscData!$C$25))</f>
        <v>20140101</v>
      </c>
      <c r="AK590" s="190" t="str">
        <f>VLOOKUP(AM590,MiscData!$AB$4:$ACB$113,2,FALSE)</f>
        <v>KUUM_467</v>
      </c>
      <c r="AL590" s="190" t="str">
        <f>VLOOKUP(AM590,MiscData!$AB$4:$AE$115,4,FALSE)</f>
        <v>LS</v>
      </c>
      <c r="AM590">
        <f>IF(AM589=MiscData!$AB$91,1,AM589+1)</f>
        <v>61</v>
      </c>
    </row>
    <row r="591" spans="1:39">
      <c r="A591" s="7">
        <f t="shared" si="258"/>
        <v>590</v>
      </c>
      <c r="B591" s="13" t="str">
        <f t="shared" si="239"/>
        <v>Jul 2015</v>
      </c>
      <c r="C591" s="23" t="str">
        <f t="shared" si="240"/>
        <v>LS</v>
      </c>
      <c r="D591" s="23" t="str">
        <f t="shared" si="241"/>
        <v>KUUM_468</v>
      </c>
      <c r="E591" s="170">
        <f t="shared" si="242"/>
        <v>4065</v>
      </c>
      <c r="F591" s="185"/>
      <c r="G591" s="170">
        <f t="shared" si="243"/>
        <v>0</v>
      </c>
      <c r="H591" s="170">
        <v>0</v>
      </c>
      <c r="I591" s="11">
        <f t="shared" si="244"/>
        <v>11.16</v>
      </c>
      <c r="J591" s="11">
        <f t="shared" si="245"/>
        <v>1.129999999999999</v>
      </c>
      <c r="K591" s="416">
        <f t="shared" si="260"/>
        <v>45365.4</v>
      </c>
      <c r="L591" s="180"/>
      <c r="M591" s="180"/>
      <c r="N591" s="186">
        <f t="shared" si="238"/>
        <v>45365.4</v>
      </c>
      <c r="O591" s="29">
        <f t="shared" si="246"/>
        <v>0</v>
      </c>
      <c r="P591" s="181">
        <f t="shared" si="261"/>
        <v>0</v>
      </c>
      <c r="Q591" s="182">
        <f t="shared" si="247"/>
        <v>0</v>
      </c>
      <c r="R591" s="182">
        <f t="shared" si="248"/>
        <v>0</v>
      </c>
      <c r="S591" s="182">
        <f t="shared" si="249"/>
        <v>0</v>
      </c>
      <c r="T591" s="182">
        <f t="shared" si="250"/>
        <v>0</v>
      </c>
      <c r="U591" s="182">
        <f t="shared" si="251"/>
        <v>0</v>
      </c>
      <c r="V591" s="14">
        <f t="shared" si="252"/>
        <v>45365.4</v>
      </c>
      <c r="W591" s="14">
        <f t="shared" si="253"/>
        <v>-45365.4</v>
      </c>
      <c r="Y591" s="14">
        <f t="shared" si="256"/>
        <v>4593.45</v>
      </c>
      <c r="Z591" s="14">
        <f t="shared" si="257"/>
        <v>-4593.45</v>
      </c>
      <c r="AA591" s="11">
        <f t="shared" si="259"/>
        <v>0.34</v>
      </c>
      <c r="AB591" s="9">
        <f t="shared" si="262"/>
        <v>1382.1000000000001</v>
      </c>
      <c r="AD591" s="13">
        <f>IF(AH591&gt;AH590,AD590,IF(AD590&lt;MiscData!$F$1,EOMONTH(AD590,1),EOMONTH(AD590,-11)))</f>
        <v>42216</v>
      </c>
      <c r="AE591" s="7" t="str">
        <f t="shared" si="254"/>
        <v>20140101KUUM_468</v>
      </c>
      <c r="AF591" s="12" t="str">
        <f t="shared" si="255"/>
        <v>20140101LS</v>
      </c>
      <c r="AG591" s="31"/>
      <c r="AH591">
        <f>IF(AH590=MiscData!$AB$91,1,AH590+1)</f>
        <v>62</v>
      </c>
      <c r="AI591">
        <f>IF(AD591&lt;=MiscData!$B$23,MiscData!$C$23,IF(AD591&lt;=MiscData!$B$24,MiscData!$C$24,MiscData!$C$25))</f>
        <v>20140101</v>
      </c>
      <c r="AK591" s="190" t="str">
        <f>VLOOKUP(AM591,MiscData!$AB$4:$ACB$113,2,FALSE)</f>
        <v>KUUM_468</v>
      </c>
      <c r="AL591" s="190" t="str">
        <f>VLOOKUP(AM591,MiscData!$AB$4:$AE$115,4,FALSE)</f>
        <v>LS</v>
      </c>
      <c r="AM591">
        <f>IF(AM590=MiscData!$AB$91,1,AM590+1)</f>
        <v>62</v>
      </c>
    </row>
    <row r="592" spans="1:39">
      <c r="A592" s="7">
        <f t="shared" si="258"/>
        <v>591</v>
      </c>
      <c r="B592" s="13" t="str">
        <f t="shared" si="239"/>
        <v>Jul 2015</v>
      </c>
      <c r="C592" s="23" t="str">
        <f t="shared" si="240"/>
        <v>RLS</v>
      </c>
      <c r="D592" s="23" t="str">
        <f t="shared" si="241"/>
        <v>KUUM_469</v>
      </c>
      <c r="E592" s="170">
        <f t="shared" si="242"/>
        <v>293</v>
      </c>
      <c r="F592" s="185"/>
      <c r="G592" s="170">
        <f t="shared" si="243"/>
        <v>0</v>
      </c>
      <c r="H592" s="170">
        <v>0</v>
      </c>
      <c r="I592" s="11">
        <f t="shared" si="244"/>
        <v>33.100000000000009</v>
      </c>
      <c r="J592" s="11">
        <f t="shared" si="245"/>
        <v>4.2900000000000063</v>
      </c>
      <c r="K592" s="416">
        <f t="shared" si="260"/>
        <v>9698.2999999999993</v>
      </c>
      <c r="L592" s="180"/>
      <c r="M592" s="180"/>
      <c r="N592" s="186">
        <f t="shared" si="238"/>
        <v>9698.2999999999993</v>
      </c>
      <c r="O592" s="29">
        <f t="shared" si="246"/>
        <v>0</v>
      </c>
      <c r="P592" s="181">
        <f t="shared" si="261"/>
        <v>0</v>
      </c>
      <c r="Q592" s="182">
        <f t="shared" si="247"/>
        <v>0</v>
      </c>
      <c r="R592" s="182">
        <f t="shared" si="248"/>
        <v>0</v>
      </c>
      <c r="S592" s="182">
        <f t="shared" si="249"/>
        <v>0</v>
      </c>
      <c r="T592" s="182">
        <f t="shared" si="250"/>
        <v>0</v>
      </c>
      <c r="U592" s="182">
        <f t="shared" si="251"/>
        <v>0</v>
      </c>
      <c r="V592" s="14">
        <f t="shared" si="252"/>
        <v>9698.2999999999993</v>
      </c>
      <c r="W592" s="14">
        <f t="shared" si="253"/>
        <v>-9698.2999999999993</v>
      </c>
      <c r="Y592" s="14">
        <f t="shared" si="256"/>
        <v>1256.97</v>
      </c>
      <c r="Z592" s="14">
        <f t="shared" si="257"/>
        <v>-1256.97</v>
      </c>
      <c r="AA592" s="11">
        <f t="shared" si="259"/>
        <v>0.84</v>
      </c>
      <c r="AB592" s="9">
        <f t="shared" si="262"/>
        <v>246.12</v>
      </c>
      <c r="AD592" s="13">
        <f>IF(AH592&gt;AH591,AD591,IF(AD591&lt;MiscData!$F$1,EOMONTH(AD591,1),EOMONTH(AD591,-11)))</f>
        <v>42216</v>
      </c>
      <c r="AE592" s="7" t="str">
        <f t="shared" si="254"/>
        <v>20140101KUUM_469</v>
      </c>
      <c r="AF592" s="12" t="str">
        <f t="shared" si="255"/>
        <v>20140101RLS</v>
      </c>
      <c r="AG592" s="31"/>
      <c r="AH592">
        <f>IF(AH591=MiscData!$AB$91,1,AH591+1)</f>
        <v>63</v>
      </c>
      <c r="AI592">
        <f>IF(AD592&lt;=MiscData!$B$23,MiscData!$C$23,IF(AD592&lt;=MiscData!$B$24,MiscData!$C$24,MiscData!$C$25))</f>
        <v>20140101</v>
      </c>
      <c r="AK592" s="190" t="str">
        <f>VLOOKUP(AM592,MiscData!$AB$4:$ACB$113,2,FALSE)</f>
        <v>KUUM_469</v>
      </c>
      <c r="AL592" s="190" t="str">
        <f>VLOOKUP(AM592,MiscData!$AB$4:$AE$115,4,FALSE)</f>
        <v>RLS</v>
      </c>
      <c r="AM592">
        <f>IF(AM591=MiscData!$AB$91,1,AM591+1)</f>
        <v>63</v>
      </c>
    </row>
    <row r="593" spans="1:39">
      <c r="A593" s="7">
        <f t="shared" si="258"/>
        <v>592</v>
      </c>
      <c r="B593" s="13" t="str">
        <f t="shared" si="239"/>
        <v>Jul 2015</v>
      </c>
      <c r="C593" s="23" t="str">
        <f t="shared" si="240"/>
        <v>RLS</v>
      </c>
      <c r="D593" s="23" t="str">
        <f t="shared" si="241"/>
        <v>KUUM_470</v>
      </c>
      <c r="E593" s="170">
        <f t="shared" si="242"/>
        <v>61</v>
      </c>
      <c r="F593" s="185"/>
      <c r="G593" s="170">
        <f t="shared" si="243"/>
        <v>0</v>
      </c>
      <c r="H593" s="170">
        <v>0</v>
      </c>
      <c r="I593" s="11">
        <f t="shared" si="244"/>
        <v>55.250000000000007</v>
      </c>
      <c r="J593" s="11">
        <f t="shared" si="245"/>
        <v>10.410000000000004</v>
      </c>
      <c r="K593" s="416">
        <f t="shared" si="260"/>
        <v>3370.25</v>
      </c>
      <c r="L593" s="180"/>
      <c r="M593" s="180"/>
      <c r="N593" s="186">
        <f t="shared" si="238"/>
        <v>3370.25</v>
      </c>
      <c r="O593" s="29">
        <f t="shared" si="246"/>
        <v>0</v>
      </c>
      <c r="P593" s="181">
        <f t="shared" si="261"/>
        <v>0</v>
      </c>
      <c r="Q593" s="182">
        <f t="shared" si="247"/>
        <v>0</v>
      </c>
      <c r="R593" s="182">
        <f t="shared" si="248"/>
        <v>0</v>
      </c>
      <c r="S593" s="182">
        <f t="shared" si="249"/>
        <v>0</v>
      </c>
      <c r="T593" s="182">
        <f t="shared" si="250"/>
        <v>0</v>
      </c>
      <c r="U593" s="182">
        <f t="shared" si="251"/>
        <v>0</v>
      </c>
      <c r="V593" s="14">
        <f t="shared" si="252"/>
        <v>3370.25</v>
      </c>
      <c r="W593" s="14">
        <f t="shared" si="253"/>
        <v>-3370.25</v>
      </c>
      <c r="Y593" s="14">
        <f t="shared" si="256"/>
        <v>635.01</v>
      </c>
      <c r="Z593" s="14">
        <f t="shared" si="257"/>
        <v>-635.01</v>
      </c>
      <c r="AA593" s="11">
        <f t="shared" si="259"/>
        <v>1.7</v>
      </c>
      <c r="AB593" s="9">
        <f t="shared" si="262"/>
        <v>103.7</v>
      </c>
      <c r="AD593" s="13">
        <f>IF(AH593&gt;AH592,AD592,IF(AD592&lt;MiscData!$F$1,EOMONTH(AD592,1),EOMONTH(AD592,-11)))</f>
        <v>42216</v>
      </c>
      <c r="AE593" s="7" t="str">
        <f t="shared" si="254"/>
        <v>20140101KUUM_470</v>
      </c>
      <c r="AF593" s="12" t="str">
        <f t="shared" si="255"/>
        <v>20140101RLS</v>
      </c>
      <c r="AG593" s="31"/>
      <c r="AH593">
        <f>IF(AH592=MiscData!$AB$91,1,AH592+1)</f>
        <v>64</v>
      </c>
      <c r="AI593">
        <f>IF(AD593&lt;=MiscData!$B$23,MiscData!$C$23,IF(AD593&lt;=MiscData!$B$24,MiscData!$C$24,MiscData!$C$25))</f>
        <v>20140101</v>
      </c>
      <c r="AK593" s="190" t="str">
        <f>VLOOKUP(AM593,MiscData!$AB$4:$ACB$113,2,FALSE)</f>
        <v>KUUM_470</v>
      </c>
      <c r="AL593" s="190" t="str">
        <f>VLOOKUP(AM593,MiscData!$AB$4:$AE$115,4,FALSE)</f>
        <v>RLS</v>
      </c>
      <c r="AM593">
        <f>IF(AM592=MiscData!$AB$91,1,AM592+1)</f>
        <v>64</v>
      </c>
    </row>
    <row r="594" spans="1:39">
      <c r="A594" s="7">
        <f t="shared" si="258"/>
        <v>593</v>
      </c>
      <c r="B594" s="13" t="str">
        <f t="shared" si="239"/>
        <v>Jul 2015</v>
      </c>
      <c r="C594" s="23" t="str">
        <f t="shared" si="240"/>
        <v>RLS</v>
      </c>
      <c r="D594" s="23" t="str">
        <f t="shared" si="241"/>
        <v>KUUM_471</v>
      </c>
      <c r="E594" s="170">
        <f t="shared" si="242"/>
        <v>3658</v>
      </c>
      <c r="F594" s="185"/>
      <c r="G594" s="170">
        <f t="shared" si="243"/>
        <v>0</v>
      </c>
      <c r="H594" s="170">
        <v>0</v>
      </c>
      <c r="I594" s="11">
        <f t="shared" si="244"/>
        <v>10.49</v>
      </c>
      <c r="J594" s="11">
        <f t="shared" si="245"/>
        <v>0.56999999999999851</v>
      </c>
      <c r="K594" s="416">
        <f t="shared" si="260"/>
        <v>38372.42</v>
      </c>
      <c r="L594" s="180"/>
      <c r="M594" s="180"/>
      <c r="N594" s="186">
        <f t="shared" si="238"/>
        <v>38372.42</v>
      </c>
      <c r="O594" s="29">
        <f t="shared" si="246"/>
        <v>0</v>
      </c>
      <c r="P594" s="181">
        <f t="shared" si="261"/>
        <v>0</v>
      </c>
      <c r="Q594" s="182">
        <f t="shared" si="247"/>
        <v>0</v>
      </c>
      <c r="R594" s="182">
        <f t="shared" si="248"/>
        <v>0</v>
      </c>
      <c r="S594" s="182">
        <f t="shared" si="249"/>
        <v>0</v>
      </c>
      <c r="T594" s="182">
        <f t="shared" si="250"/>
        <v>0</v>
      </c>
      <c r="U594" s="182">
        <f t="shared" si="251"/>
        <v>0</v>
      </c>
      <c r="V594" s="14">
        <f t="shared" si="252"/>
        <v>38372.42</v>
      </c>
      <c r="W594" s="14">
        <f t="shared" si="253"/>
        <v>-38372.42</v>
      </c>
      <c r="Y594" s="14">
        <f t="shared" si="256"/>
        <v>2085.06</v>
      </c>
      <c r="Z594" s="14">
        <f t="shared" si="257"/>
        <v>-2085.06</v>
      </c>
      <c r="AA594" s="11">
        <f t="shared" si="259"/>
        <v>0.33</v>
      </c>
      <c r="AB594" s="9">
        <f t="shared" si="262"/>
        <v>1207.1400000000001</v>
      </c>
      <c r="AD594" s="13">
        <f>IF(AH594&gt;AH593,AD593,IF(AD593&lt;MiscData!$F$1,EOMONTH(AD593,1),EOMONTH(AD593,-11)))</f>
        <v>42216</v>
      </c>
      <c r="AE594" s="7" t="str">
        <f t="shared" si="254"/>
        <v>20140101KUUM_471</v>
      </c>
      <c r="AF594" s="12" t="str">
        <f t="shared" si="255"/>
        <v>20140101RLS</v>
      </c>
      <c r="AG594" s="31"/>
      <c r="AH594">
        <f>IF(AH593=MiscData!$AB$91,1,AH593+1)</f>
        <v>65</v>
      </c>
      <c r="AI594">
        <f>IF(AD594&lt;=MiscData!$B$23,MiscData!$C$23,IF(AD594&lt;=MiscData!$B$24,MiscData!$C$24,MiscData!$C$25))</f>
        <v>20140101</v>
      </c>
      <c r="AK594" s="190" t="str">
        <f>VLOOKUP(AM594,MiscData!$AB$4:$ACB$113,2,FALSE)</f>
        <v>KUUM_471</v>
      </c>
      <c r="AL594" s="190" t="str">
        <f>VLOOKUP(AM594,MiscData!$AB$4:$AE$115,4,FALSE)</f>
        <v>RLS</v>
      </c>
      <c r="AM594">
        <f>IF(AM593=MiscData!$AB$91,1,AM593+1)</f>
        <v>65</v>
      </c>
    </row>
    <row r="595" spans="1:39">
      <c r="A595" s="7">
        <f t="shared" si="258"/>
        <v>594</v>
      </c>
      <c r="B595" s="13" t="str">
        <f t="shared" si="239"/>
        <v>Jul 2015</v>
      </c>
      <c r="C595" s="23" t="str">
        <f t="shared" si="240"/>
        <v>LS</v>
      </c>
      <c r="D595" s="23" t="str">
        <f t="shared" si="241"/>
        <v>KUUM_472</v>
      </c>
      <c r="E595" s="170">
        <f t="shared" si="242"/>
        <v>8782</v>
      </c>
      <c r="F595" s="185"/>
      <c r="G595" s="170">
        <f t="shared" si="243"/>
        <v>0</v>
      </c>
      <c r="H595" s="170">
        <v>0</v>
      </c>
      <c r="I595" s="11">
        <f t="shared" si="244"/>
        <v>11.600000000000001</v>
      </c>
      <c r="J595" s="11">
        <f t="shared" si="245"/>
        <v>0.80000000000000071</v>
      </c>
      <c r="K595" s="416">
        <f t="shared" si="260"/>
        <v>101871.2</v>
      </c>
      <c r="L595" s="180"/>
      <c r="M595" s="180"/>
      <c r="N595" s="186">
        <f t="shared" si="238"/>
        <v>101871.2</v>
      </c>
      <c r="O595" s="29">
        <f t="shared" si="246"/>
        <v>0</v>
      </c>
      <c r="P595" s="181">
        <f t="shared" si="261"/>
        <v>0</v>
      </c>
      <c r="Q595" s="182">
        <f t="shared" si="247"/>
        <v>0</v>
      </c>
      <c r="R595" s="182">
        <f t="shared" si="248"/>
        <v>0</v>
      </c>
      <c r="S595" s="182">
        <f t="shared" si="249"/>
        <v>0</v>
      </c>
      <c r="T595" s="182">
        <f t="shared" si="250"/>
        <v>0</v>
      </c>
      <c r="U595" s="182">
        <f t="shared" si="251"/>
        <v>0</v>
      </c>
      <c r="V595" s="14">
        <f t="shared" si="252"/>
        <v>101871.2</v>
      </c>
      <c r="W595" s="14">
        <f t="shared" si="253"/>
        <v>-101871.2</v>
      </c>
      <c r="Y595" s="14">
        <f t="shared" si="256"/>
        <v>7025.6</v>
      </c>
      <c r="Z595" s="14">
        <f t="shared" si="257"/>
        <v>-7025.6</v>
      </c>
      <c r="AA595" s="11">
        <f t="shared" si="259"/>
        <v>0.43</v>
      </c>
      <c r="AB595" s="9">
        <f t="shared" si="262"/>
        <v>3776.2599999999998</v>
      </c>
      <c r="AD595" s="13">
        <f>IF(AH595&gt;AH594,AD594,IF(AD594&lt;MiscData!$F$1,EOMONTH(AD594,1),EOMONTH(AD594,-11)))</f>
        <v>42216</v>
      </c>
      <c r="AE595" s="7" t="str">
        <f t="shared" si="254"/>
        <v>20140101KUUM_472</v>
      </c>
      <c r="AF595" s="12" t="str">
        <f t="shared" si="255"/>
        <v>20140101LS</v>
      </c>
      <c r="AG595" s="31"/>
      <c r="AH595">
        <f>IF(AH594=MiscData!$AB$91,1,AH594+1)</f>
        <v>66</v>
      </c>
      <c r="AI595">
        <f>IF(AD595&lt;=MiscData!$B$23,MiscData!$C$23,IF(AD595&lt;=MiscData!$B$24,MiscData!$C$24,MiscData!$C$25))</f>
        <v>20140101</v>
      </c>
      <c r="AK595" s="190" t="str">
        <f>VLOOKUP(AM595,MiscData!$AB$4:$ACB$113,2,FALSE)</f>
        <v>KUUM_472</v>
      </c>
      <c r="AL595" s="190" t="str">
        <f>VLOOKUP(AM595,MiscData!$AB$4:$AE$115,4,FALSE)</f>
        <v>LS</v>
      </c>
      <c r="AM595">
        <f>IF(AM594=MiscData!$AB$91,1,AM594+1)</f>
        <v>66</v>
      </c>
    </row>
    <row r="596" spans="1:39">
      <c r="A596" s="7">
        <f t="shared" si="258"/>
        <v>595</v>
      </c>
      <c r="B596" s="13" t="str">
        <f t="shared" si="239"/>
        <v>Jul 2015</v>
      </c>
      <c r="C596" s="23" t="str">
        <f t="shared" si="240"/>
        <v>LS</v>
      </c>
      <c r="D596" s="23" t="str">
        <f t="shared" si="241"/>
        <v>KUUM_473</v>
      </c>
      <c r="E596" s="170">
        <f t="shared" si="242"/>
        <v>3388</v>
      </c>
      <c r="F596" s="185"/>
      <c r="G596" s="170">
        <f t="shared" si="243"/>
        <v>0</v>
      </c>
      <c r="H596" s="170">
        <v>0</v>
      </c>
      <c r="I596" s="11">
        <f t="shared" si="244"/>
        <v>12.3</v>
      </c>
      <c r="J596" s="11">
        <f t="shared" si="245"/>
        <v>1.129999999999999</v>
      </c>
      <c r="K596" s="416">
        <f t="shared" si="260"/>
        <v>41672.400000000001</v>
      </c>
      <c r="L596" s="180"/>
      <c r="M596" s="180"/>
      <c r="N596" s="186">
        <f t="shared" si="238"/>
        <v>41672.400000000001</v>
      </c>
      <c r="O596" s="29">
        <f t="shared" si="246"/>
        <v>0</v>
      </c>
      <c r="P596" s="181">
        <f t="shared" si="261"/>
        <v>0</v>
      </c>
      <c r="Q596" s="182">
        <f t="shared" si="247"/>
        <v>0</v>
      </c>
      <c r="R596" s="182">
        <f t="shared" si="248"/>
        <v>0</v>
      </c>
      <c r="S596" s="182">
        <f t="shared" si="249"/>
        <v>0</v>
      </c>
      <c r="T596" s="182">
        <f t="shared" si="250"/>
        <v>0</v>
      </c>
      <c r="U596" s="182">
        <f t="shared" si="251"/>
        <v>0</v>
      </c>
      <c r="V596" s="14">
        <f t="shared" si="252"/>
        <v>41672.400000000001</v>
      </c>
      <c r="W596" s="14">
        <f t="shared" si="253"/>
        <v>-41672.400000000001</v>
      </c>
      <c r="Y596" s="14">
        <f t="shared" si="256"/>
        <v>3828.44</v>
      </c>
      <c r="Z596" s="14">
        <f t="shared" si="257"/>
        <v>-3828.44</v>
      </c>
      <c r="AA596" s="11">
        <f t="shared" si="259"/>
        <v>0.34</v>
      </c>
      <c r="AB596" s="9">
        <f t="shared" si="262"/>
        <v>1151.92</v>
      </c>
      <c r="AD596" s="13">
        <f>IF(AH596&gt;AH595,AD595,IF(AD595&lt;MiscData!$F$1,EOMONTH(AD595,1),EOMONTH(AD595,-11)))</f>
        <v>42216</v>
      </c>
      <c r="AE596" s="7" t="str">
        <f t="shared" si="254"/>
        <v>20140101KUUM_473</v>
      </c>
      <c r="AF596" s="12" t="str">
        <f t="shared" si="255"/>
        <v>20140101LS</v>
      </c>
      <c r="AG596" s="31"/>
      <c r="AH596">
        <f>IF(AH595=MiscData!$AB$91,1,AH595+1)</f>
        <v>67</v>
      </c>
      <c r="AI596">
        <f>IF(AD596&lt;=MiscData!$B$23,MiscData!$C$23,IF(AD596&lt;=MiscData!$B$24,MiscData!$C$24,MiscData!$C$25))</f>
        <v>20140101</v>
      </c>
      <c r="AK596" s="190" t="str">
        <f>VLOOKUP(AM596,MiscData!$AB$4:$ACB$113,2,FALSE)</f>
        <v>KUUM_473</v>
      </c>
      <c r="AL596" s="190" t="str">
        <f>VLOOKUP(AM596,MiscData!$AB$4:$AE$115,4,FALSE)</f>
        <v>LS</v>
      </c>
      <c r="AM596">
        <f>IF(AM595=MiscData!$AB$91,1,AM595+1)</f>
        <v>67</v>
      </c>
    </row>
    <row r="597" spans="1:39">
      <c r="A597" s="7">
        <f t="shared" si="258"/>
        <v>596</v>
      </c>
      <c r="B597" s="13" t="str">
        <f t="shared" si="239"/>
        <v>Jul 2015</v>
      </c>
      <c r="C597" s="23" t="str">
        <f t="shared" si="240"/>
        <v>LS</v>
      </c>
      <c r="D597" s="23" t="str">
        <f t="shared" si="241"/>
        <v>KUUM_474</v>
      </c>
      <c r="E597" s="170">
        <f t="shared" si="242"/>
        <v>5209</v>
      </c>
      <c r="F597" s="185"/>
      <c r="G597" s="170">
        <f t="shared" si="243"/>
        <v>0</v>
      </c>
      <c r="H597" s="170">
        <v>0</v>
      </c>
      <c r="I597" s="11">
        <f t="shared" si="244"/>
        <v>17.41</v>
      </c>
      <c r="J597" s="11">
        <f t="shared" si="245"/>
        <v>2.33</v>
      </c>
      <c r="K597" s="416">
        <f t="shared" si="260"/>
        <v>90688.69</v>
      </c>
      <c r="L597" s="180"/>
      <c r="M597" s="180"/>
      <c r="N597" s="186">
        <f t="shared" si="238"/>
        <v>90688.69</v>
      </c>
      <c r="O597" s="29">
        <f t="shared" si="246"/>
        <v>0</v>
      </c>
      <c r="P597" s="181">
        <f t="shared" si="261"/>
        <v>0</v>
      </c>
      <c r="Q597" s="182">
        <f t="shared" si="247"/>
        <v>0</v>
      </c>
      <c r="R597" s="182">
        <f t="shared" si="248"/>
        <v>0</v>
      </c>
      <c r="S597" s="182">
        <f t="shared" si="249"/>
        <v>0</v>
      </c>
      <c r="T597" s="182">
        <f t="shared" si="250"/>
        <v>0</v>
      </c>
      <c r="U597" s="182">
        <f t="shared" si="251"/>
        <v>0</v>
      </c>
      <c r="V597" s="14">
        <f t="shared" si="252"/>
        <v>90688.69</v>
      </c>
      <c r="W597" s="14">
        <f t="shared" si="253"/>
        <v>-90688.69</v>
      </c>
      <c r="Y597" s="14">
        <f t="shared" si="256"/>
        <v>12136.97</v>
      </c>
      <c r="Z597" s="14">
        <f t="shared" si="257"/>
        <v>-12136.97</v>
      </c>
      <c r="AA597" s="11">
        <f t="shared" si="259"/>
        <v>0.57999999999999996</v>
      </c>
      <c r="AB597" s="9">
        <f t="shared" si="262"/>
        <v>3021.22</v>
      </c>
      <c r="AD597" s="13">
        <f>IF(AH597&gt;AH596,AD596,IF(AD596&lt;MiscData!$F$1,EOMONTH(AD596,1),EOMONTH(AD596,-11)))</f>
        <v>42216</v>
      </c>
      <c r="AE597" s="7" t="str">
        <f t="shared" si="254"/>
        <v>20140101KUUM_474</v>
      </c>
      <c r="AF597" s="12" t="str">
        <f t="shared" si="255"/>
        <v>20140101LS</v>
      </c>
      <c r="AG597" s="31"/>
      <c r="AH597">
        <f>IF(AH596=MiscData!$AB$91,1,AH596+1)</f>
        <v>68</v>
      </c>
      <c r="AI597">
        <f>IF(AD597&lt;=MiscData!$B$23,MiscData!$C$23,IF(AD597&lt;=MiscData!$B$24,MiscData!$C$24,MiscData!$C$25))</f>
        <v>20140101</v>
      </c>
      <c r="AK597" s="190" t="str">
        <f>VLOOKUP(AM597,MiscData!$AB$4:$ACB$113,2,FALSE)</f>
        <v>KUUM_474</v>
      </c>
      <c r="AL597" s="190" t="str">
        <f>VLOOKUP(AM597,MiscData!$AB$4:$AE$115,4,FALSE)</f>
        <v>LS</v>
      </c>
      <c r="AM597">
        <f>IF(AM596=MiscData!$AB$91,1,AM596+1)</f>
        <v>68</v>
      </c>
    </row>
    <row r="598" spans="1:39">
      <c r="A598" s="7">
        <f t="shared" si="258"/>
        <v>597</v>
      </c>
      <c r="B598" s="13" t="str">
        <f t="shared" si="239"/>
        <v>Jul 2015</v>
      </c>
      <c r="C598" s="23" t="str">
        <f t="shared" si="240"/>
        <v>LS</v>
      </c>
      <c r="D598" s="23" t="str">
        <f t="shared" si="241"/>
        <v>KUUM_475</v>
      </c>
      <c r="E598" s="170">
        <f t="shared" si="242"/>
        <v>508</v>
      </c>
      <c r="F598" s="185"/>
      <c r="G598" s="170">
        <f t="shared" si="243"/>
        <v>0</v>
      </c>
      <c r="H598" s="170">
        <v>0</v>
      </c>
      <c r="I598" s="11">
        <f t="shared" si="244"/>
        <v>24.46</v>
      </c>
      <c r="J598" s="11">
        <f t="shared" si="245"/>
        <v>4.5300000000000011</v>
      </c>
      <c r="K598" s="416">
        <f t="shared" si="260"/>
        <v>12425.68</v>
      </c>
      <c r="L598" s="180"/>
      <c r="M598" s="180"/>
      <c r="N598" s="186">
        <f t="shared" si="238"/>
        <v>12425.68</v>
      </c>
      <c r="O598" s="29">
        <f t="shared" si="246"/>
        <v>0</v>
      </c>
      <c r="P598" s="181">
        <f t="shared" si="261"/>
        <v>0</v>
      </c>
      <c r="Q598" s="182">
        <f t="shared" si="247"/>
        <v>0</v>
      </c>
      <c r="R598" s="182">
        <f t="shared" si="248"/>
        <v>0</v>
      </c>
      <c r="S598" s="182">
        <f t="shared" si="249"/>
        <v>0</v>
      </c>
      <c r="T598" s="182">
        <f t="shared" si="250"/>
        <v>0</v>
      </c>
      <c r="U598" s="182">
        <f t="shared" si="251"/>
        <v>0</v>
      </c>
      <c r="V598" s="14">
        <f t="shared" si="252"/>
        <v>12425.68</v>
      </c>
      <c r="W598" s="14">
        <f t="shared" si="253"/>
        <v>-12425.68</v>
      </c>
      <c r="Y598" s="14">
        <f t="shared" si="256"/>
        <v>2301.2399999999998</v>
      </c>
      <c r="Z598" s="14">
        <f t="shared" si="257"/>
        <v>-2301.2399999999998</v>
      </c>
      <c r="AA598" s="11">
        <f t="shared" si="259"/>
        <v>0.79</v>
      </c>
      <c r="AB598" s="9">
        <f t="shared" si="262"/>
        <v>401.32</v>
      </c>
      <c r="AD598" s="13">
        <f>IF(AH598&gt;AH597,AD597,IF(AD597&lt;MiscData!$F$1,EOMONTH(AD597,1),EOMONTH(AD597,-11)))</f>
        <v>42216</v>
      </c>
      <c r="AE598" s="7" t="str">
        <f t="shared" si="254"/>
        <v>20140101KUUM_475</v>
      </c>
      <c r="AF598" s="12" t="str">
        <f t="shared" si="255"/>
        <v>20140101LS</v>
      </c>
      <c r="AG598" s="31"/>
      <c r="AH598">
        <f>IF(AH597=MiscData!$AB$91,1,AH597+1)</f>
        <v>69</v>
      </c>
      <c r="AI598">
        <f>IF(AD598&lt;=MiscData!$B$23,MiscData!$C$23,IF(AD598&lt;=MiscData!$B$24,MiscData!$C$24,MiscData!$C$25))</f>
        <v>20140101</v>
      </c>
      <c r="AK598" s="190" t="str">
        <f>VLOOKUP(AM598,MiscData!$AB$4:$ACB$113,2,FALSE)</f>
        <v>KUUM_475</v>
      </c>
      <c r="AL598" s="190" t="str">
        <f>VLOOKUP(AM598,MiscData!$AB$4:$AE$115,4,FALSE)</f>
        <v>LS</v>
      </c>
      <c r="AM598">
        <f>IF(AM597=MiscData!$AB$91,1,AM597+1)</f>
        <v>69</v>
      </c>
    </row>
    <row r="599" spans="1:39">
      <c r="A599" s="7">
        <f t="shared" si="258"/>
        <v>598</v>
      </c>
      <c r="B599" s="13" t="str">
        <f t="shared" si="239"/>
        <v>Jul 2015</v>
      </c>
      <c r="C599" s="23" t="str">
        <f t="shared" si="240"/>
        <v>LS</v>
      </c>
      <c r="D599" s="23" t="str">
        <f t="shared" si="241"/>
        <v>KUUM_476</v>
      </c>
      <c r="E599" s="170">
        <f t="shared" si="242"/>
        <v>4553</v>
      </c>
      <c r="F599" s="185"/>
      <c r="G599" s="170">
        <f t="shared" si="243"/>
        <v>0</v>
      </c>
      <c r="H599" s="170">
        <v>0</v>
      </c>
      <c r="I599" s="11">
        <f t="shared" si="244"/>
        <v>16.79</v>
      </c>
      <c r="J599" s="11">
        <f t="shared" si="245"/>
        <v>0.79999999999999893</v>
      </c>
      <c r="K599" s="416">
        <f t="shared" si="260"/>
        <v>76444.87</v>
      </c>
      <c r="L599" s="180"/>
      <c r="M599" s="180"/>
      <c r="N599" s="186">
        <f t="shared" si="238"/>
        <v>76444.87</v>
      </c>
      <c r="O599" s="29">
        <f t="shared" si="246"/>
        <v>0</v>
      </c>
      <c r="P599" s="181">
        <f t="shared" si="261"/>
        <v>0</v>
      </c>
      <c r="Q599" s="182">
        <f t="shared" si="247"/>
        <v>0</v>
      </c>
      <c r="R599" s="182">
        <f t="shared" si="248"/>
        <v>0</v>
      </c>
      <c r="S599" s="182">
        <f t="shared" si="249"/>
        <v>0</v>
      </c>
      <c r="T599" s="182">
        <f t="shared" si="250"/>
        <v>0</v>
      </c>
      <c r="U599" s="182">
        <f t="shared" si="251"/>
        <v>0</v>
      </c>
      <c r="V599" s="14">
        <f t="shared" si="252"/>
        <v>76444.87</v>
      </c>
      <c r="W599" s="14">
        <f t="shared" si="253"/>
        <v>-76444.87</v>
      </c>
      <c r="Y599" s="14">
        <f t="shared" si="256"/>
        <v>3642.4</v>
      </c>
      <c r="Z599" s="14">
        <f t="shared" si="257"/>
        <v>-3642.4</v>
      </c>
      <c r="AA599" s="11">
        <f t="shared" si="259"/>
        <v>0.43</v>
      </c>
      <c r="AB599" s="9">
        <f t="shared" si="262"/>
        <v>1957.79</v>
      </c>
      <c r="AD599" s="13">
        <f>IF(AH599&gt;AH598,AD598,IF(AD598&lt;MiscData!$F$1,EOMONTH(AD598,1),EOMONTH(AD598,-11)))</f>
        <v>42216</v>
      </c>
      <c r="AE599" s="7" t="str">
        <f t="shared" si="254"/>
        <v>20140101KUUM_476</v>
      </c>
      <c r="AF599" s="12" t="str">
        <f t="shared" si="255"/>
        <v>20140101LS</v>
      </c>
      <c r="AG599" s="31"/>
      <c r="AH599">
        <f>IF(AH598=MiscData!$AB$91,1,AH598+1)</f>
        <v>70</v>
      </c>
      <c r="AI599">
        <f>IF(AD599&lt;=MiscData!$B$23,MiscData!$C$23,IF(AD599&lt;=MiscData!$B$24,MiscData!$C$24,MiscData!$C$25))</f>
        <v>20140101</v>
      </c>
      <c r="AK599" s="190" t="str">
        <f>VLOOKUP(AM599,MiscData!$AB$4:$ACB$113,2,FALSE)</f>
        <v>KUUM_476</v>
      </c>
      <c r="AL599" s="190" t="str">
        <f>VLOOKUP(AM599,MiscData!$AB$4:$AE$115,4,FALSE)</f>
        <v>LS</v>
      </c>
      <c r="AM599">
        <f>IF(AM598=MiscData!$AB$91,1,AM598+1)</f>
        <v>70</v>
      </c>
    </row>
    <row r="600" spans="1:39">
      <c r="A600" s="7">
        <f t="shared" si="258"/>
        <v>599</v>
      </c>
      <c r="B600" s="13" t="str">
        <f t="shared" si="239"/>
        <v>Jul 2015</v>
      </c>
      <c r="C600" s="23" t="str">
        <f t="shared" si="240"/>
        <v>LS</v>
      </c>
      <c r="D600" s="23" t="str">
        <f t="shared" si="241"/>
        <v>KUUM_477</v>
      </c>
      <c r="E600" s="170">
        <f t="shared" si="242"/>
        <v>1050</v>
      </c>
      <c r="F600" s="185"/>
      <c r="G600" s="170">
        <f t="shared" si="243"/>
        <v>0</v>
      </c>
      <c r="H600" s="170">
        <v>0</v>
      </c>
      <c r="I600" s="11">
        <f t="shared" si="244"/>
        <v>20.97</v>
      </c>
      <c r="J600" s="11">
        <f t="shared" si="245"/>
        <v>1.129999999999999</v>
      </c>
      <c r="K600" s="416">
        <f t="shared" si="260"/>
        <v>22018.5</v>
      </c>
      <c r="L600" s="180"/>
      <c r="M600" s="180"/>
      <c r="N600" s="186">
        <f t="shared" si="238"/>
        <v>22018.5</v>
      </c>
      <c r="O600" s="29">
        <f t="shared" si="246"/>
        <v>0</v>
      </c>
      <c r="P600" s="181">
        <f t="shared" si="261"/>
        <v>0</v>
      </c>
      <c r="Q600" s="182">
        <f t="shared" si="247"/>
        <v>0</v>
      </c>
      <c r="R600" s="182">
        <f t="shared" si="248"/>
        <v>0</v>
      </c>
      <c r="S600" s="182">
        <f t="shared" si="249"/>
        <v>0</v>
      </c>
      <c r="T600" s="182">
        <f t="shared" si="250"/>
        <v>0</v>
      </c>
      <c r="U600" s="182">
        <f t="shared" si="251"/>
        <v>0</v>
      </c>
      <c r="V600" s="14">
        <f t="shared" si="252"/>
        <v>22018.5</v>
      </c>
      <c r="W600" s="14">
        <f t="shared" si="253"/>
        <v>-22018.5</v>
      </c>
      <c r="Y600" s="14">
        <f t="shared" si="256"/>
        <v>1186.5</v>
      </c>
      <c r="Z600" s="14">
        <f t="shared" si="257"/>
        <v>-1186.5</v>
      </c>
      <c r="AA600" s="11">
        <f t="shared" si="259"/>
        <v>0.34</v>
      </c>
      <c r="AB600" s="9">
        <f t="shared" si="262"/>
        <v>357</v>
      </c>
      <c r="AD600" s="13">
        <f>IF(AH600&gt;AH599,AD599,IF(AD599&lt;MiscData!$F$1,EOMONTH(AD599,1),EOMONTH(AD599,-11)))</f>
        <v>42216</v>
      </c>
      <c r="AE600" s="7" t="str">
        <f t="shared" si="254"/>
        <v>20140101KUUM_477</v>
      </c>
      <c r="AF600" s="12" t="str">
        <f t="shared" si="255"/>
        <v>20140101LS</v>
      </c>
      <c r="AG600" s="31"/>
      <c r="AH600">
        <f>IF(AH599=MiscData!$AB$91,1,AH599+1)</f>
        <v>71</v>
      </c>
      <c r="AI600">
        <f>IF(AD600&lt;=MiscData!$B$23,MiscData!$C$23,IF(AD600&lt;=MiscData!$B$24,MiscData!$C$24,MiscData!$C$25))</f>
        <v>20140101</v>
      </c>
      <c r="AK600" s="190" t="str">
        <f>VLOOKUP(AM600,MiscData!$AB$4:$ACB$113,2,FALSE)</f>
        <v>KUUM_477</v>
      </c>
      <c r="AL600" s="190" t="str">
        <f>VLOOKUP(AM600,MiscData!$AB$4:$AE$115,4,FALSE)</f>
        <v>LS</v>
      </c>
      <c r="AM600">
        <f>IF(AM599=MiscData!$AB$91,1,AM599+1)</f>
        <v>71</v>
      </c>
    </row>
    <row r="601" spans="1:39">
      <c r="A601" s="7">
        <f t="shared" si="258"/>
        <v>600</v>
      </c>
      <c r="B601" s="13" t="str">
        <f t="shared" si="239"/>
        <v>Jul 2015</v>
      </c>
      <c r="C601" s="23" t="str">
        <f t="shared" si="240"/>
        <v>LS</v>
      </c>
      <c r="D601" s="23" t="str">
        <f t="shared" si="241"/>
        <v>KUUM_478</v>
      </c>
      <c r="E601" s="170">
        <f t="shared" si="242"/>
        <v>1406</v>
      </c>
      <c r="F601" s="185"/>
      <c r="G601" s="170">
        <f t="shared" si="243"/>
        <v>0</v>
      </c>
      <c r="H601" s="170">
        <v>0</v>
      </c>
      <c r="I601" s="11">
        <f t="shared" si="244"/>
        <v>26.86</v>
      </c>
      <c r="J601" s="11">
        <f t="shared" si="245"/>
        <v>2.3299999999999983</v>
      </c>
      <c r="K601" s="416">
        <f t="shared" si="260"/>
        <v>37765.160000000003</v>
      </c>
      <c r="L601" s="180"/>
      <c r="M601" s="180"/>
      <c r="N601" s="186">
        <f t="shared" si="238"/>
        <v>37765.160000000003</v>
      </c>
      <c r="O601" s="29">
        <f t="shared" si="246"/>
        <v>0</v>
      </c>
      <c r="P601" s="181">
        <f t="shared" si="261"/>
        <v>0</v>
      </c>
      <c r="Q601" s="182">
        <f t="shared" si="247"/>
        <v>0</v>
      </c>
      <c r="R601" s="182">
        <f t="shared" si="248"/>
        <v>0</v>
      </c>
      <c r="S601" s="182">
        <f t="shared" si="249"/>
        <v>0</v>
      </c>
      <c r="T601" s="182">
        <f t="shared" si="250"/>
        <v>0</v>
      </c>
      <c r="U601" s="182">
        <f t="shared" si="251"/>
        <v>0</v>
      </c>
      <c r="V601" s="14">
        <f t="shared" si="252"/>
        <v>37765.160000000003</v>
      </c>
      <c r="W601" s="14">
        <f t="shared" si="253"/>
        <v>-37765.160000000003</v>
      </c>
      <c r="Y601" s="14">
        <f t="shared" si="256"/>
        <v>3275.98</v>
      </c>
      <c r="Z601" s="14">
        <f t="shared" si="257"/>
        <v>-3275.98</v>
      </c>
      <c r="AA601" s="11">
        <f t="shared" si="259"/>
        <v>0.57999999999999996</v>
      </c>
      <c r="AB601" s="9">
        <f t="shared" si="262"/>
        <v>815.4799999999999</v>
      </c>
      <c r="AD601" s="13">
        <f>IF(AH601&gt;AH600,AD600,IF(AD600&lt;MiscData!$F$1,EOMONTH(AD600,1),EOMONTH(AD600,-11)))</f>
        <v>42216</v>
      </c>
      <c r="AE601" s="7" t="str">
        <f t="shared" si="254"/>
        <v>20140101KUUM_478</v>
      </c>
      <c r="AF601" s="12" t="str">
        <f t="shared" si="255"/>
        <v>20140101LS</v>
      </c>
      <c r="AG601" s="31"/>
      <c r="AH601">
        <f>IF(AH600=MiscData!$AB$91,1,AH600+1)</f>
        <v>72</v>
      </c>
      <c r="AI601">
        <f>IF(AD601&lt;=MiscData!$B$23,MiscData!$C$23,IF(AD601&lt;=MiscData!$B$24,MiscData!$C$24,MiscData!$C$25))</f>
        <v>20140101</v>
      </c>
      <c r="AK601" s="190" t="str">
        <f>VLOOKUP(AM601,MiscData!$AB$4:$ACB$113,2,FALSE)</f>
        <v>KUUM_478</v>
      </c>
      <c r="AL601" s="190" t="str">
        <f>VLOOKUP(AM601,MiscData!$AB$4:$AE$115,4,FALSE)</f>
        <v>LS</v>
      </c>
      <c r="AM601">
        <f>IF(AM600=MiscData!$AB$91,1,AM600+1)</f>
        <v>72</v>
      </c>
    </row>
    <row r="602" spans="1:39">
      <c r="A602" s="7">
        <f t="shared" si="258"/>
        <v>601</v>
      </c>
      <c r="B602" s="13" t="str">
        <f t="shared" si="239"/>
        <v>Jul 2015</v>
      </c>
      <c r="C602" s="23" t="str">
        <f t="shared" si="240"/>
        <v>LS</v>
      </c>
      <c r="D602" s="23" t="str">
        <f t="shared" si="241"/>
        <v>KUUM_479</v>
      </c>
      <c r="E602" s="170">
        <f t="shared" si="242"/>
        <v>946</v>
      </c>
      <c r="F602" s="185"/>
      <c r="G602" s="170">
        <f t="shared" si="243"/>
        <v>0</v>
      </c>
      <c r="H602" s="170">
        <v>0</v>
      </c>
      <c r="I602" s="11">
        <f t="shared" si="244"/>
        <v>33.119999999999997</v>
      </c>
      <c r="J602" s="11">
        <f t="shared" si="245"/>
        <v>4.529999999999994</v>
      </c>
      <c r="K602" s="416">
        <f t="shared" si="260"/>
        <v>31331.52</v>
      </c>
      <c r="L602" s="180"/>
      <c r="M602" s="180"/>
      <c r="N602" s="186">
        <f t="shared" si="238"/>
        <v>31331.52</v>
      </c>
      <c r="O602" s="29">
        <f t="shared" si="246"/>
        <v>0</v>
      </c>
      <c r="P602" s="181">
        <f t="shared" si="261"/>
        <v>0</v>
      </c>
      <c r="Q602" s="182">
        <f t="shared" si="247"/>
        <v>0</v>
      </c>
      <c r="R602" s="182">
        <f t="shared" si="248"/>
        <v>0</v>
      </c>
      <c r="S602" s="182">
        <f t="shared" si="249"/>
        <v>0</v>
      </c>
      <c r="T602" s="182">
        <f t="shared" si="250"/>
        <v>0</v>
      </c>
      <c r="U602" s="182">
        <f t="shared" si="251"/>
        <v>0</v>
      </c>
      <c r="V602" s="14">
        <f t="shared" si="252"/>
        <v>31331.52</v>
      </c>
      <c r="W602" s="14">
        <f t="shared" si="253"/>
        <v>-31331.52</v>
      </c>
      <c r="Y602" s="14">
        <f t="shared" si="256"/>
        <v>4285.38</v>
      </c>
      <c r="Z602" s="14">
        <f t="shared" si="257"/>
        <v>-4285.38</v>
      </c>
      <c r="AA602" s="11">
        <f t="shared" si="259"/>
        <v>0.79</v>
      </c>
      <c r="AB602" s="9">
        <f t="shared" si="262"/>
        <v>747.34</v>
      </c>
      <c r="AD602" s="13">
        <f>IF(AH602&gt;AH601,AD601,IF(AD601&lt;MiscData!$F$1,EOMONTH(AD601,1),EOMONTH(AD601,-11)))</f>
        <v>42216</v>
      </c>
      <c r="AE602" s="7" t="str">
        <f t="shared" si="254"/>
        <v>20140101KUUM_479</v>
      </c>
      <c r="AF602" s="12" t="str">
        <f t="shared" si="255"/>
        <v>20140101LS</v>
      </c>
      <c r="AG602" s="31"/>
      <c r="AH602">
        <f>IF(AH601=MiscData!$AB$91,1,AH601+1)</f>
        <v>73</v>
      </c>
      <c r="AI602">
        <f>IF(AD602&lt;=MiscData!$B$23,MiscData!$C$23,IF(AD602&lt;=MiscData!$B$24,MiscData!$C$24,MiscData!$C$25))</f>
        <v>20140101</v>
      </c>
      <c r="AK602" s="190" t="str">
        <f>VLOOKUP(AM602,MiscData!$AB$4:$ACB$113,2,FALSE)</f>
        <v>KUUM_479</v>
      </c>
      <c r="AL602" s="190" t="str">
        <f>VLOOKUP(AM602,MiscData!$AB$4:$AE$115,4,FALSE)</f>
        <v>LS</v>
      </c>
      <c r="AM602">
        <f>IF(AM601=MiscData!$AB$91,1,AM601+1)</f>
        <v>73</v>
      </c>
    </row>
    <row r="603" spans="1:39">
      <c r="A603" s="7">
        <f t="shared" si="258"/>
        <v>602</v>
      </c>
      <c r="B603" s="13" t="str">
        <f t="shared" si="239"/>
        <v>Jul 2015</v>
      </c>
      <c r="C603" s="23" t="str">
        <f t="shared" si="240"/>
        <v>LS</v>
      </c>
      <c r="D603" s="23" t="str">
        <f t="shared" si="241"/>
        <v>KUUM_486</v>
      </c>
      <c r="E603" s="170">
        <f t="shared" si="242"/>
        <v>0</v>
      </c>
      <c r="F603" s="185"/>
      <c r="G603" s="170">
        <f t="shared" si="243"/>
        <v>0</v>
      </c>
      <c r="H603" s="170">
        <v>0</v>
      </c>
      <c r="I603" s="11">
        <f t="shared" si="244"/>
        <v>0</v>
      </c>
      <c r="J603" s="11">
        <f t="shared" si="245"/>
        <v>0</v>
      </c>
      <c r="K603" s="416">
        <f t="shared" si="260"/>
        <v>0</v>
      </c>
      <c r="L603" s="180"/>
      <c r="M603" s="180"/>
      <c r="N603" s="186">
        <f t="shared" si="238"/>
        <v>0</v>
      </c>
      <c r="O603" s="29">
        <f t="shared" si="246"/>
        <v>0</v>
      </c>
      <c r="P603" s="181">
        <f t="shared" si="261"/>
        <v>1</v>
      </c>
      <c r="Q603" s="182">
        <f t="shared" si="247"/>
        <v>0</v>
      </c>
      <c r="R603" s="182">
        <f t="shared" si="248"/>
        <v>0</v>
      </c>
      <c r="S603" s="182">
        <f t="shared" si="249"/>
        <v>0</v>
      </c>
      <c r="T603" s="182">
        <f t="shared" si="250"/>
        <v>0</v>
      </c>
      <c r="U603" s="182">
        <f t="shared" si="251"/>
        <v>0</v>
      </c>
      <c r="V603" s="14">
        <f t="shared" si="252"/>
        <v>0</v>
      </c>
      <c r="W603" s="14">
        <f t="shared" si="253"/>
        <v>0</v>
      </c>
      <c r="Y603" s="14">
        <f t="shared" si="256"/>
        <v>0</v>
      </c>
      <c r="Z603" s="14">
        <f t="shared" si="257"/>
        <v>0</v>
      </c>
      <c r="AA603" s="11">
        <f t="shared" si="259"/>
        <v>0</v>
      </c>
      <c r="AB603" s="9">
        <f t="shared" si="262"/>
        <v>0</v>
      </c>
      <c r="AD603" s="13">
        <f>IF(AH603&gt;AH602,AD602,IF(AD602&lt;MiscData!$F$1,EOMONTH(AD602,1),EOMONTH(AD602,-11)))</f>
        <v>42216</v>
      </c>
      <c r="AE603" s="7" t="str">
        <f t="shared" si="254"/>
        <v>20140101KUUM_486</v>
      </c>
      <c r="AF603" s="12" t="str">
        <f t="shared" si="255"/>
        <v>20140101LS</v>
      </c>
      <c r="AG603" s="31"/>
      <c r="AH603">
        <f>IF(AH602=MiscData!$AB$91,1,AH602+1)</f>
        <v>74</v>
      </c>
      <c r="AI603">
        <f>IF(AD603&lt;=MiscData!$B$23,MiscData!$C$23,IF(AD603&lt;=MiscData!$B$24,MiscData!$C$24,MiscData!$C$25))</f>
        <v>20140101</v>
      </c>
      <c r="AK603" s="190" t="str">
        <f>VLOOKUP(AM603,MiscData!$AB$4:$ACB$113,2,FALSE)</f>
        <v>KUUM_486</v>
      </c>
      <c r="AL603" s="190" t="str">
        <f>VLOOKUP(AM603,MiscData!$AB$4:$AE$115,4,FALSE)</f>
        <v>LS</v>
      </c>
      <c r="AM603">
        <f>IF(AM602=MiscData!$AB$91,1,AM602+1)</f>
        <v>74</v>
      </c>
    </row>
    <row r="604" spans="1:39">
      <c r="A604" s="7">
        <f t="shared" si="258"/>
        <v>603</v>
      </c>
      <c r="B604" s="13" t="str">
        <f t="shared" si="239"/>
        <v>Jul 2015</v>
      </c>
      <c r="C604" s="23" t="str">
        <f t="shared" si="240"/>
        <v>LS</v>
      </c>
      <c r="D604" s="23" t="str">
        <f t="shared" si="241"/>
        <v>KUUM_487</v>
      </c>
      <c r="E604" s="170">
        <f t="shared" si="242"/>
        <v>11139</v>
      </c>
      <c r="F604" s="185"/>
      <c r="G604" s="170">
        <f t="shared" si="243"/>
        <v>0</v>
      </c>
      <c r="H604" s="170">
        <v>0</v>
      </c>
      <c r="I604" s="11">
        <f t="shared" si="244"/>
        <v>9</v>
      </c>
      <c r="J604" s="11">
        <f t="shared" si="245"/>
        <v>1.1299999999999999</v>
      </c>
      <c r="K604" s="416">
        <f t="shared" si="260"/>
        <v>100251</v>
      </c>
      <c r="L604" s="180"/>
      <c r="M604" s="180"/>
      <c r="N604" s="186">
        <f t="shared" si="238"/>
        <v>100251</v>
      </c>
      <c r="O604" s="29">
        <f t="shared" si="246"/>
        <v>0</v>
      </c>
      <c r="P604" s="181">
        <f t="shared" si="261"/>
        <v>0</v>
      </c>
      <c r="Q604" s="182">
        <f t="shared" si="247"/>
        <v>0</v>
      </c>
      <c r="R604" s="182">
        <f t="shared" si="248"/>
        <v>0</v>
      </c>
      <c r="S604" s="182">
        <f t="shared" si="249"/>
        <v>0</v>
      </c>
      <c r="T604" s="182">
        <f t="shared" si="250"/>
        <v>0</v>
      </c>
      <c r="U604" s="182">
        <f t="shared" si="251"/>
        <v>0</v>
      </c>
      <c r="V604" s="14">
        <f t="shared" si="252"/>
        <v>100251</v>
      </c>
      <c r="W604" s="14">
        <f t="shared" si="253"/>
        <v>-100251</v>
      </c>
      <c r="Y604" s="14">
        <f t="shared" si="256"/>
        <v>12587.07</v>
      </c>
      <c r="Z604" s="14">
        <f t="shared" si="257"/>
        <v>-12587.07</v>
      </c>
      <c r="AA604" s="11">
        <f t="shared" si="259"/>
        <v>0.34</v>
      </c>
      <c r="AB604" s="9">
        <f t="shared" si="262"/>
        <v>3787.26</v>
      </c>
      <c r="AD604" s="13">
        <f>IF(AH604&gt;AH603,AD603,IF(AD603&lt;MiscData!$F$1,EOMONTH(AD603,1),EOMONTH(AD603,-11)))</f>
        <v>42216</v>
      </c>
      <c r="AE604" s="7" t="str">
        <f t="shared" si="254"/>
        <v>20140101KUUM_487</v>
      </c>
      <c r="AF604" s="12" t="str">
        <f t="shared" si="255"/>
        <v>20140101LS</v>
      </c>
      <c r="AG604" s="31"/>
      <c r="AH604">
        <f>IF(AH603=MiscData!$AB$91,1,AH603+1)</f>
        <v>75</v>
      </c>
      <c r="AI604">
        <f>IF(AD604&lt;=MiscData!$B$23,MiscData!$C$23,IF(AD604&lt;=MiscData!$B$24,MiscData!$C$24,MiscData!$C$25))</f>
        <v>20140101</v>
      </c>
      <c r="AK604" s="190" t="str">
        <f>VLOOKUP(AM604,MiscData!$AB$4:$ACB$113,2,FALSE)</f>
        <v>KUUM_487</v>
      </c>
      <c r="AL604" s="190" t="str">
        <f>VLOOKUP(AM604,MiscData!$AB$4:$AE$115,4,FALSE)</f>
        <v>LS</v>
      </c>
      <c r="AM604">
        <f>IF(AM603=MiscData!$AB$91,1,AM603+1)</f>
        <v>75</v>
      </c>
    </row>
    <row r="605" spans="1:39">
      <c r="A605" s="7">
        <f t="shared" si="258"/>
        <v>604</v>
      </c>
      <c r="B605" s="13" t="str">
        <f t="shared" si="239"/>
        <v>Jul 2015</v>
      </c>
      <c r="C605" s="23" t="str">
        <f t="shared" si="240"/>
        <v>LS</v>
      </c>
      <c r="D605" s="23" t="str">
        <f t="shared" si="241"/>
        <v>KUUM_488</v>
      </c>
      <c r="E605" s="170">
        <f t="shared" si="242"/>
        <v>6653</v>
      </c>
      <c r="F605" s="185"/>
      <c r="G605" s="170">
        <f t="shared" si="243"/>
        <v>0</v>
      </c>
      <c r="H605" s="170">
        <v>0</v>
      </c>
      <c r="I605" s="11">
        <f t="shared" si="244"/>
        <v>13.639999999999999</v>
      </c>
      <c r="J605" s="11">
        <f t="shared" si="245"/>
        <v>2.33</v>
      </c>
      <c r="K605" s="416">
        <f t="shared" si="260"/>
        <v>90746.92</v>
      </c>
      <c r="L605" s="180"/>
      <c r="M605" s="180"/>
      <c r="N605" s="186">
        <f t="shared" si="238"/>
        <v>90746.92</v>
      </c>
      <c r="O605" s="29">
        <f t="shared" si="246"/>
        <v>0</v>
      </c>
      <c r="P605" s="181">
        <f t="shared" si="261"/>
        <v>0</v>
      </c>
      <c r="Q605" s="182">
        <f t="shared" si="247"/>
        <v>0</v>
      </c>
      <c r="R605" s="182">
        <f t="shared" si="248"/>
        <v>0</v>
      </c>
      <c r="S605" s="182">
        <f t="shared" si="249"/>
        <v>0</v>
      </c>
      <c r="T605" s="182">
        <f t="shared" si="250"/>
        <v>0</v>
      </c>
      <c r="U605" s="182">
        <f t="shared" si="251"/>
        <v>0</v>
      </c>
      <c r="V605" s="14">
        <f t="shared" si="252"/>
        <v>90746.92</v>
      </c>
      <c r="W605" s="14">
        <f t="shared" si="253"/>
        <v>-90746.92</v>
      </c>
      <c r="Y605" s="14">
        <f t="shared" si="256"/>
        <v>15501.49</v>
      </c>
      <c r="Z605" s="14">
        <f t="shared" si="257"/>
        <v>-15501.49</v>
      </c>
      <c r="AA605" s="11">
        <f t="shared" si="259"/>
        <v>0.57999999999999996</v>
      </c>
      <c r="AB605" s="9">
        <f t="shared" si="262"/>
        <v>3858.74</v>
      </c>
      <c r="AD605" s="13">
        <f>IF(AH605&gt;AH604,AD604,IF(AD604&lt;MiscData!$F$1,EOMONTH(AD604,1),EOMONTH(AD604,-11)))</f>
        <v>42216</v>
      </c>
      <c r="AE605" s="7" t="str">
        <f t="shared" si="254"/>
        <v>20140101KUUM_488</v>
      </c>
      <c r="AF605" s="12" t="str">
        <f t="shared" si="255"/>
        <v>20140101LS</v>
      </c>
      <c r="AG605" s="31"/>
      <c r="AH605">
        <f>IF(AH604=MiscData!$AB$91,1,AH604+1)</f>
        <v>76</v>
      </c>
      <c r="AI605">
        <f>IF(AD605&lt;=MiscData!$B$23,MiscData!$C$23,IF(AD605&lt;=MiscData!$B$24,MiscData!$C$24,MiscData!$C$25))</f>
        <v>20140101</v>
      </c>
      <c r="AK605" s="190" t="str">
        <f>VLOOKUP(AM605,MiscData!$AB$4:$ACB$113,2,FALSE)</f>
        <v>KUUM_488</v>
      </c>
      <c r="AL605" s="190" t="str">
        <f>VLOOKUP(AM605,MiscData!$AB$4:$AE$115,4,FALSE)</f>
        <v>LS</v>
      </c>
      <c r="AM605">
        <f>IF(AM604=MiscData!$AB$91,1,AM604+1)</f>
        <v>76</v>
      </c>
    </row>
    <row r="606" spans="1:39">
      <c r="A606" s="7">
        <f t="shared" si="258"/>
        <v>605</v>
      </c>
      <c r="B606" s="13" t="str">
        <f t="shared" si="239"/>
        <v>Jul 2015</v>
      </c>
      <c r="C606" s="23" t="str">
        <f t="shared" si="240"/>
        <v>LS</v>
      </c>
      <c r="D606" s="23" t="str">
        <f t="shared" si="241"/>
        <v>KUUM_489</v>
      </c>
      <c r="E606" s="170">
        <f t="shared" si="242"/>
        <v>8370</v>
      </c>
      <c r="F606" s="185"/>
      <c r="G606" s="170">
        <f t="shared" si="243"/>
        <v>0</v>
      </c>
      <c r="H606" s="170">
        <v>0</v>
      </c>
      <c r="I606" s="11">
        <f t="shared" si="244"/>
        <v>19.46</v>
      </c>
      <c r="J606" s="11">
        <f t="shared" si="245"/>
        <v>4.5300000000000011</v>
      </c>
      <c r="K606" s="416">
        <f t="shared" si="260"/>
        <v>162880.20000000001</v>
      </c>
      <c r="L606" s="180"/>
      <c r="M606" s="180"/>
      <c r="N606" s="186">
        <f t="shared" si="238"/>
        <v>162880.20000000001</v>
      </c>
      <c r="O606" s="29">
        <f t="shared" si="246"/>
        <v>0</v>
      </c>
      <c r="P606" s="181">
        <f t="shared" si="261"/>
        <v>0</v>
      </c>
      <c r="Q606" s="182">
        <f t="shared" si="247"/>
        <v>0</v>
      </c>
      <c r="R606" s="182">
        <f t="shared" si="248"/>
        <v>0</v>
      </c>
      <c r="S606" s="182">
        <f t="shared" si="249"/>
        <v>0</v>
      </c>
      <c r="T606" s="182">
        <f t="shared" si="250"/>
        <v>0</v>
      </c>
      <c r="U606" s="182">
        <f t="shared" si="251"/>
        <v>0</v>
      </c>
      <c r="V606" s="14">
        <f t="shared" si="252"/>
        <v>162880.20000000001</v>
      </c>
      <c r="W606" s="14">
        <f t="shared" si="253"/>
        <v>-162880.20000000001</v>
      </c>
      <c r="Y606" s="14">
        <f t="shared" si="256"/>
        <v>37916.1</v>
      </c>
      <c r="Z606" s="14">
        <f t="shared" si="257"/>
        <v>-37916.1</v>
      </c>
      <c r="AA606" s="11">
        <f t="shared" si="259"/>
        <v>0.79</v>
      </c>
      <c r="AB606" s="9">
        <f t="shared" si="262"/>
        <v>6612.3</v>
      </c>
      <c r="AD606" s="13">
        <f>IF(AH606&gt;AH605,AD605,IF(AD605&lt;MiscData!$F$1,EOMONTH(AD605,1),EOMONTH(AD605,-11)))</f>
        <v>42216</v>
      </c>
      <c r="AE606" s="7" t="str">
        <f t="shared" si="254"/>
        <v>20140101KUUM_489</v>
      </c>
      <c r="AF606" s="12" t="str">
        <f t="shared" si="255"/>
        <v>20140101LS</v>
      </c>
      <c r="AG606" s="31"/>
      <c r="AH606">
        <f>IF(AH605=MiscData!$AB$91,1,AH605+1)</f>
        <v>77</v>
      </c>
      <c r="AI606">
        <f>IF(AD606&lt;=MiscData!$B$23,MiscData!$C$23,IF(AD606&lt;=MiscData!$B$24,MiscData!$C$24,MiscData!$C$25))</f>
        <v>20140101</v>
      </c>
      <c r="AK606" s="190" t="str">
        <f>VLOOKUP(AM606,MiscData!$AB$4:$ACB$113,2,FALSE)</f>
        <v>KUUM_489</v>
      </c>
      <c r="AL606" s="190" t="str">
        <f>VLOOKUP(AM606,MiscData!$AB$4:$AE$115,4,FALSE)</f>
        <v>LS</v>
      </c>
      <c r="AM606">
        <f>IF(AM605=MiscData!$AB$91,1,AM605+1)</f>
        <v>77</v>
      </c>
    </row>
    <row r="607" spans="1:39">
      <c r="A607" s="7">
        <f t="shared" si="258"/>
        <v>606</v>
      </c>
      <c r="B607" s="13" t="str">
        <f t="shared" si="239"/>
        <v>Jul 2015</v>
      </c>
      <c r="C607" s="23" t="str">
        <f t="shared" si="240"/>
        <v>LS</v>
      </c>
      <c r="D607" s="23" t="str">
        <f t="shared" si="241"/>
        <v>KUUM_490</v>
      </c>
      <c r="E607" s="170">
        <f t="shared" si="242"/>
        <v>60</v>
      </c>
      <c r="F607" s="185"/>
      <c r="G607" s="170">
        <f t="shared" si="243"/>
        <v>0</v>
      </c>
      <c r="H607" s="170">
        <v>0</v>
      </c>
      <c r="I607" s="11">
        <f t="shared" si="244"/>
        <v>15.47</v>
      </c>
      <c r="J607" s="11">
        <f t="shared" si="245"/>
        <v>1.9700000000000006</v>
      </c>
      <c r="K607" s="416">
        <f t="shared" si="260"/>
        <v>928.2</v>
      </c>
      <c r="L607" s="180"/>
      <c r="M607" s="180"/>
      <c r="N607" s="186">
        <f t="shared" si="238"/>
        <v>928.2</v>
      </c>
      <c r="O607" s="29">
        <f t="shared" si="246"/>
        <v>0</v>
      </c>
      <c r="P607" s="181">
        <f t="shared" si="261"/>
        <v>0</v>
      </c>
      <c r="Q607" s="182">
        <f t="shared" si="247"/>
        <v>0</v>
      </c>
      <c r="R607" s="182">
        <f t="shared" si="248"/>
        <v>0</v>
      </c>
      <c r="S607" s="182">
        <f t="shared" si="249"/>
        <v>0</v>
      </c>
      <c r="T607" s="182">
        <f t="shared" si="250"/>
        <v>0</v>
      </c>
      <c r="U607" s="182">
        <f t="shared" si="251"/>
        <v>0</v>
      </c>
      <c r="V607" s="14">
        <f t="shared" si="252"/>
        <v>928.2</v>
      </c>
      <c r="W607" s="14">
        <f t="shared" si="253"/>
        <v>-928.2</v>
      </c>
      <c r="Y607" s="14">
        <f t="shared" si="256"/>
        <v>118.2</v>
      </c>
      <c r="Z607" s="14">
        <f t="shared" si="257"/>
        <v>-118.2</v>
      </c>
      <c r="AA607" s="11">
        <f t="shared" si="259"/>
        <v>0.66</v>
      </c>
      <c r="AB607" s="9">
        <f t="shared" si="262"/>
        <v>39.6</v>
      </c>
      <c r="AD607" s="13">
        <f>IF(AH607&gt;AH606,AD606,IF(AD606&lt;MiscData!$F$1,EOMONTH(AD606,1),EOMONTH(AD606,-11)))</f>
        <v>42216</v>
      </c>
      <c r="AE607" s="7" t="str">
        <f t="shared" si="254"/>
        <v>20140101KUUM_490</v>
      </c>
      <c r="AF607" s="12" t="str">
        <f t="shared" si="255"/>
        <v>20140101LS</v>
      </c>
      <c r="AG607" s="31"/>
      <c r="AH607">
        <f>IF(AH606=MiscData!$AB$91,1,AH606+1)</f>
        <v>78</v>
      </c>
      <c r="AI607">
        <f>IF(AD607&lt;=MiscData!$B$23,MiscData!$C$23,IF(AD607&lt;=MiscData!$B$24,MiscData!$C$24,MiscData!$C$25))</f>
        <v>20140101</v>
      </c>
      <c r="AK607" s="190" t="str">
        <f>VLOOKUP(AM607,MiscData!$AB$4:$ACB$113,2,FALSE)</f>
        <v>KUUM_490</v>
      </c>
      <c r="AL607" s="190" t="str">
        <f>VLOOKUP(AM607,MiscData!$AB$4:$AE$115,4,FALSE)</f>
        <v>LS</v>
      </c>
      <c r="AM607">
        <f>IF(AM606=MiscData!$AB$91,1,AM606+1)</f>
        <v>78</v>
      </c>
    </row>
    <row r="608" spans="1:39">
      <c r="A608" s="7">
        <f t="shared" si="258"/>
        <v>607</v>
      </c>
      <c r="B608" s="13" t="str">
        <f t="shared" si="239"/>
        <v>Jul 2015</v>
      </c>
      <c r="C608" s="23" t="str">
        <f t="shared" si="240"/>
        <v>LS</v>
      </c>
      <c r="D608" s="23" t="str">
        <f t="shared" si="241"/>
        <v>KUUM_491</v>
      </c>
      <c r="E608" s="170">
        <f t="shared" si="242"/>
        <v>303</v>
      </c>
      <c r="F608" s="185"/>
      <c r="G608" s="170">
        <f t="shared" si="243"/>
        <v>0</v>
      </c>
      <c r="H608" s="170">
        <v>0</v>
      </c>
      <c r="I608" s="11">
        <f t="shared" si="244"/>
        <v>21.930000000000003</v>
      </c>
      <c r="J608" s="11">
        <f t="shared" si="245"/>
        <v>4.2900000000000027</v>
      </c>
      <c r="K608" s="416">
        <f t="shared" si="260"/>
        <v>6644.79</v>
      </c>
      <c r="L608" s="180"/>
      <c r="M608" s="180"/>
      <c r="N608" s="186">
        <f t="shared" si="238"/>
        <v>6644.79</v>
      </c>
      <c r="O608" s="29">
        <f t="shared" si="246"/>
        <v>0</v>
      </c>
      <c r="P608" s="181">
        <f t="shared" si="261"/>
        <v>0</v>
      </c>
      <c r="Q608" s="182">
        <f t="shared" si="247"/>
        <v>0</v>
      </c>
      <c r="R608" s="182">
        <f t="shared" si="248"/>
        <v>0</v>
      </c>
      <c r="S608" s="182">
        <f t="shared" si="249"/>
        <v>0</v>
      </c>
      <c r="T608" s="182">
        <f t="shared" si="250"/>
        <v>0</v>
      </c>
      <c r="U608" s="182">
        <f t="shared" si="251"/>
        <v>0</v>
      </c>
      <c r="V608" s="14">
        <f t="shared" si="252"/>
        <v>6644.79</v>
      </c>
      <c r="W608" s="14">
        <f t="shared" si="253"/>
        <v>-6644.79</v>
      </c>
      <c r="Y608" s="14">
        <f t="shared" si="256"/>
        <v>1299.8699999999999</v>
      </c>
      <c r="Z608" s="14">
        <f t="shared" si="257"/>
        <v>-1299.8699999999999</v>
      </c>
      <c r="AA608" s="11">
        <f t="shared" si="259"/>
        <v>0.84</v>
      </c>
      <c r="AB608" s="9">
        <f t="shared" si="262"/>
        <v>254.51999999999998</v>
      </c>
      <c r="AD608" s="13">
        <f>IF(AH608&gt;AH607,AD607,IF(AD607&lt;MiscData!$F$1,EOMONTH(AD607,1),EOMONTH(AD607,-11)))</f>
        <v>42216</v>
      </c>
      <c r="AE608" s="7" t="str">
        <f t="shared" si="254"/>
        <v>20140101KUUM_491</v>
      </c>
      <c r="AF608" s="12" t="str">
        <f t="shared" si="255"/>
        <v>20140101LS</v>
      </c>
      <c r="AG608" s="31"/>
      <c r="AH608">
        <f>IF(AH607=MiscData!$AB$91,1,AH607+1)</f>
        <v>79</v>
      </c>
      <c r="AI608">
        <f>IF(AD608&lt;=MiscData!$B$23,MiscData!$C$23,IF(AD608&lt;=MiscData!$B$24,MiscData!$C$24,MiscData!$C$25))</f>
        <v>20140101</v>
      </c>
      <c r="AK608" s="190" t="str">
        <f>VLOOKUP(AM608,MiscData!$AB$4:$ACB$113,2,FALSE)</f>
        <v>KUUM_491</v>
      </c>
      <c r="AL608" s="190" t="str">
        <f>VLOOKUP(AM608,MiscData!$AB$4:$AE$115,4,FALSE)</f>
        <v>LS</v>
      </c>
      <c r="AM608">
        <f>IF(AM607=MiscData!$AB$91,1,AM607+1)</f>
        <v>79</v>
      </c>
    </row>
    <row r="609" spans="1:39">
      <c r="A609" s="7">
        <f t="shared" si="258"/>
        <v>608</v>
      </c>
      <c r="B609" s="13" t="str">
        <f t="shared" si="239"/>
        <v>Jul 2015</v>
      </c>
      <c r="C609" s="23" t="str">
        <f t="shared" si="240"/>
        <v>LS</v>
      </c>
      <c r="D609" s="23" t="str">
        <f t="shared" si="241"/>
        <v>KUUM_492</v>
      </c>
      <c r="E609" s="170">
        <f t="shared" si="242"/>
        <v>2</v>
      </c>
      <c r="F609" s="185"/>
      <c r="G609" s="170">
        <f t="shared" si="243"/>
        <v>0</v>
      </c>
      <c r="H609" s="170">
        <v>0</v>
      </c>
      <c r="I609" s="11">
        <f t="shared" si="244"/>
        <v>15.370000000000001</v>
      </c>
      <c r="J609" s="11">
        <f t="shared" si="245"/>
        <v>0.80000000000000071</v>
      </c>
      <c r="K609" s="416">
        <f t="shared" si="260"/>
        <v>30.74</v>
      </c>
      <c r="L609" s="180"/>
      <c r="M609" s="180"/>
      <c r="N609" s="186">
        <f t="shared" si="238"/>
        <v>30.74</v>
      </c>
      <c r="O609" s="29">
        <f t="shared" si="246"/>
        <v>0</v>
      </c>
      <c r="P609" s="181">
        <f t="shared" si="261"/>
        <v>0</v>
      </c>
      <c r="Q609" s="182">
        <f t="shared" si="247"/>
        <v>0</v>
      </c>
      <c r="R609" s="182">
        <f t="shared" si="248"/>
        <v>0</v>
      </c>
      <c r="S609" s="182">
        <f t="shared" si="249"/>
        <v>0</v>
      </c>
      <c r="T609" s="182">
        <f t="shared" si="250"/>
        <v>0</v>
      </c>
      <c r="U609" s="182">
        <f t="shared" si="251"/>
        <v>0</v>
      </c>
      <c r="V609" s="14">
        <f t="shared" si="252"/>
        <v>30.74</v>
      </c>
      <c r="W609" s="14">
        <f t="shared" si="253"/>
        <v>-30.74</v>
      </c>
      <c r="Y609" s="14">
        <f t="shared" si="256"/>
        <v>1.6</v>
      </c>
      <c r="Z609" s="14">
        <f t="shared" si="257"/>
        <v>-1.6</v>
      </c>
      <c r="AA609" s="11">
        <f t="shared" si="259"/>
        <v>0.43</v>
      </c>
      <c r="AB609" s="9">
        <f t="shared" si="262"/>
        <v>0.86</v>
      </c>
      <c r="AD609" s="13">
        <f>IF(AH609&gt;AH608,AD608,IF(AD608&lt;MiscData!$F$1,EOMONTH(AD608,1),EOMONTH(AD608,-11)))</f>
        <v>42216</v>
      </c>
      <c r="AE609" s="7" t="str">
        <f t="shared" si="254"/>
        <v>20140101KUUM_492</v>
      </c>
      <c r="AF609" s="12" t="str">
        <f t="shared" si="255"/>
        <v>20140101LS</v>
      </c>
      <c r="AG609" s="31"/>
      <c r="AH609">
        <f>IF(AH608=MiscData!$AB$91,1,AH608+1)</f>
        <v>80</v>
      </c>
      <c r="AI609">
        <f>IF(AD609&lt;=MiscData!$B$23,MiscData!$C$23,IF(AD609&lt;=MiscData!$B$24,MiscData!$C$24,MiscData!$C$25))</f>
        <v>20140101</v>
      </c>
      <c r="AK609" s="190" t="str">
        <f>VLOOKUP(AM609,MiscData!$AB$4:$ACB$113,2,FALSE)</f>
        <v>KUUM_492</v>
      </c>
      <c r="AL609" s="190" t="str">
        <f>VLOOKUP(AM609,MiscData!$AB$4:$AE$115,4,FALSE)</f>
        <v>LS</v>
      </c>
      <c r="AM609">
        <f>IF(AM608=MiscData!$AB$91,1,AM608+1)</f>
        <v>80</v>
      </c>
    </row>
    <row r="610" spans="1:39" ht="12.75" thickBot="1">
      <c r="A610" s="7">
        <f t="shared" si="258"/>
        <v>609</v>
      </c>
      <c r="B610" s="13" t="str">
        <f t="shared" si="239"/>
        <v>Jul 2015</v>
      </c>
      <c r="C610" s="23" t="str">
        <f t="shared" si="240"/>
        <v>LS</v>
      </c>
      <c r="D610" s="23" t="str">
        <f t="shared" si="241"/>
        <v>KUUM_493</v>
      </c>
      <c r="E610" s="170">
        <f t="shared" si="242"/>
        <v>43</v>
      </c>
      <c r="F610" s="429"/>
      <c r="G610" s="170">
        <f t="shared" si="243"/>
        <v>0</v>
      </c>
      <c r="H610" s="425">
        <v>-125</v>
      </c>
      <c r="I610" s="11">
        <f t="shared" si="244"/>
        <v>45.7</v>
      </c>
      <c r="J610" s="11">
        <f t="shared" si="245"/>
        <v>10.409999999999997</v>
      </c>
      <c r="K610" s="416">
        <f t="shared" si="260"/>
        <v>1965.1</v>
      </c>
      <c r="L610" s="180"/>
      <c r="M610" s="430"/>
      <c r="N610" s="186">
        <f t="shared" si="238"/>
        <v>1965.1</v>
      </c>
      <c r="O610" s="29">
        <f t="shared" si="246"/>
        <v>0</v>
      </c>
      <c r="P610" s="181">
        <f t="shared" si="261"/>
        <v>0</v>
      </c>
      <c r="Q610" s="182">
        <f t="shared" si="247"/>
        <v>0</v>
      </c>
      <c r="R610" s="182">
        <f t="shared" si="248"/>
        <v>0</v>
      </c>
      <c r="S610" s="182">
        <f t="shared" si="249"/>
        <v>0</v>
      </c>
      <c r="T610" s="182">
        <f t="shared" si="250"/>
        <v>0</v>
      </c>
      <c r="U610" s="182">
        <f t="shared" si="251"/>
        <v>0</v>
      </c>
      <c r="V610" s="14">
        <f t="shared" si="252"/>
        <v>1965.1</v>
      </c>
      <c r="W610" s="14">
        <f t="shared" si="253"/>
        <v>-1965.1</v>
      </c>
      <c r="Y610" s="14">
        <f t="shared" si="256"/>
        <v>447.63</v>
      </c>
      <c r="Z610" s="14">
        <f t="shared" si="257"/>
        <v>-447.63</v>
      </c>
      <c r="AA610" s="11">
        <f t="shared" si="259"/>
        <v>1.7</v>
      </c>
      <c r="AB610" s="9">
        <f t="shared" si="262"/>
        <v>73.099999999999994</v>
      </c>
      <c r="AD610" s="13">
        <f>IF(AH610&gt;AH609,AD609,IF(AD609&lt;MiscData!$F$1,EOMONTH(AD609,1),EOMONTH(AD609,-11)))</f>
        <v>42216</v>
      </c>
      <c r="AE610" s="7" t="str">
        <f t="shared" si="254"/>
        <v>20140101KUUM_493</v>
      </c>
      <c r="AF610" s="12" t="str">
        <f t="shared" si="255"/>
        <v>20140101LS</v>
      </c>
      <c r="AG610" s="31"/>
      <c r="AH610">
        <f>IF(AH609=MiscData!$AB$91,1,AH609+1)</f>
        <v>81</v>
      </c>
      <c r="AI610">
        <f>IF(AD610&lt;=MiscData!$B$23,MiscData!$C$23,IF(AD610&lt;=MiscData!$B$24,MiscData!$C$24,MiscData!$C$25))</f>
        <v>20140101</v>
      </c>
      <c r="AK610" s="190" t="str">
        <f>VLOOKUP(AM610,MiscData!$AB$4:$ACB$113,2,FALSE)</f>
        <v>KUUM_493</v>
      </c>
      <c r="AL610" s="190" t="str">
        <f>VLOOKUP(AM610,MiscData!$AB$4:$AE$115,4,FALSE)</f>
        <v>LS</v>
      </c>
      <c r="AM610">
        <f>IF(AM609=MiscData!$AB$91,1,AM609+1)</f>
        <v>81</v>
      </c>
    </row>
    <row r="611" spans="1:39">
      <c r="A611" s="605">
        <f t="shared" si="258"/>
        <v>610</v>
      </c>
      <c r="B611" s="606" t="str">
        <f t="shared" si="239"/>
        <v>Jul 2015</v>
      </c>
      <c r="C611" s="607" t="str">
        <f t="shared" si="240"/>
        <v>LS</v>
      </c>
      <c r="D611" s="607" t="str">
        <f t="shared" si="241"/>
        <v>KUUM_494</v>
      </c>
      <c r="E611" s="608">
        <f t="shared" si="242"/>
        <v>182</v>
      </c>
      <c r="F611" s="609"/>
      <c r="G611" s="608">
        <f t="shared" si="243"/>
        <v>0</v>
      </c>
      <c r="H611" s="608">
        <v>0</v>
      </c>
      <c r="I611" s="610">
        <f t="shared" si="244"/>
        <v>28.37</v>
      </c>
      <c r="J611" s="610">
        <f t="shared" si="245"/>
        <v>1.9699999999999989</v>
      </c>
      <c r="K611" s="611">
        <f t="shared" si="260"/>
        <v>5163.34</v>
      </c>
      <c r="L611" s="612"/>
      <c r="M611" s="612"/>
      <c r="N611" s="613">
        <f t="shared" si="238"/>
        <v>5163.34</v>
      </c>
      <c r="O611" s="614">
        <f t="shared" si="246"/>
        <v>0</v>
      </c>
      <c r="P611" s="615">
        <f t="shared" si="261"/>
        <v>0</v>
      </c>
      <c r="Q611" s="613">
        <f t="shared" si="247"/>
        <v>0</v>
      </c>
      <c r="R611" s="613">
        <f t="shared" si="248"/>
        <v>0</v>
      </c>
      <c r="S611" s="613">
        <f t="shared" si="249"/>
        <v>0</v>
      </c>
      <c r="T611" s="613">
        <f t="shared" si="250"/>
        <v>0</v>
      </c>
      <c r="U611" s="613">
        <f t="shared" si="251"/>
        <v>0</v>
      </c>
      <c r="V611" s="616">
        <f t="shared" si="252"/>
        <v>5163.34</v>
      </c>
      <c r="W611" s="616">
        <f t="shared" si="253"/>
        <v>-5163.34</v>
      </c>
      <c r="X611" s="617"/>
      <c r="Y611" s="616">
        <f t="shared" si="256"/>
        <v>358.54</v>
      </c>
      <c r="Z611" s="616">
        <f t="shared" si="257"/>
        <v>-358.54</v>
      </c>
      <c r="AA611" s="11">
        <f t="shared" si="259"/>
        <v>0.66</v>
      </c>
      <c r="AB611" s="9">
        <f t="shared" si="262"/>
        <v>120.12</v>
      </c>
      <c r="AC611" s="617"/>
      <c r="AD611" s="606">
        <f>IF(AH611&gt;AH610,AD610,IF(AD610&lt;MiscData!$F$1,EOMONTH(AD610,1),EOMONTH(AD610,-11)))</f>
        <v>42216</v>
      </c>
      <c r="AE611" s="618" t="str">
        <f t="shared" si="254"/>
        <v>20140101KUUM_494</v>
      </c>
      <c r="AF611" s="619" t="str">
        <f t="shared" si="255"/>
        <v>20140101LS</v>
      </c>
      <c r="AG611" s="620"/>
      <c r="AH611" s="617">
        <f>IF(AH610=MiscData!$AB$91,1,AH610+1)</f>
        <v>82</v>
      </c>
      <c r="AI611" s="617">
        <f>IF(AD611&lt;=MiscData!$B$23,MiscData!$C$23,IF(AD611&lt;=MiscData!$B$24,MiscData!$C$24,MiscData!$C$25))</f>
        <v>20140101</v>
      </c>
      <c r="AJ611" s="617"/>
      <c r="AK611" s="621" t="str">
        <f>VLOOKUP(AM611,MiscData!$AB$4:$ACB$113,2,FALSE)</f>
        <v>KUUM_494</v>
      </c>
      <c r="AL611" s="621" t="str">
        <f>VLOOKUP(AM611,MiscData!$AB$4:$AE$115,4,FALSE)</f>
        <v>LS</v>
      </c>
      <c r="AM611" s="622">
        <f>IF(AM610=MiscData!$AB$91,1,AM610+1)</f>
        <v>82</v>
      </c>
    </row>
    <row r="612" spans="1:39">
      <c r="A612" s="413">
        <f t="shared" si="258"/>
        <v>611</v>
      </c>
      <c r="B612" s="427" t="str">
        <f t="shared" si="239"/>
        <v>Jul 2015</v>
      </c>
      <c r="C612" s="428" t="str">
        <f t="shared" si="240"/>
        <v>LS</v>
      </c>
      <c r="D612" s="428" t="str">
        <f t="shared" si="241"/>
        <v>KUUM_495</v>
      </c>
      <c r="E612" s="425">
        <f t="shared" si="242"/>
        <v>648</v>
      </c>
      <c r="F612" s="429"/>
      <c r="G612" s="425">
        <f t="shared" si="243"/>
        <v>0</v>
      </c>
      <c r="H612" s="425">
        <v>0</v>
      </c>
      <c r="I612" s="415">
        <f t="shared" si="244"/>
        <v>34.830000000000005</v>
      </c>
      <c r="J612" s="415">
        <f t="shared" si="245"/>
        <v>4.2899999999999991</v>
      </c>
      <c r="K612" s="416">
        <f t="shared" si="260"/>
        <v>22569.84</v>
      </c>
      <c r="L612" s="430"/>
      <c r="M612" s="430"/>
      <c r="N612" s="186">
        <f t="shared" si="238"/>
        <v>22569.84</v>
      </c>
      <c r="O612" s="431">
        <f t="shared" si="246"/>
        <v>0</v>
      </c>
      <c r="P612" s="417">
        <f t="shared" si="261"/>
        <v>0</v>
      </c>
      <c r="Q612" s="186">
        <f t="shared" si="247"/>
        <v>0</v>
      </c>
      <c r="R612" s="186">
        <f t="shared" si="248"/>
        <v>0</v>
      </c>
      <c r="S612" s="186">
        <f t="shared" si="249"/>
        <v>0</v>
      </c>
      <c r="T612" s="186">
        <f t="shared" si="250"/>
        <v>0</v>
      </c>
      <c r="U612" s="186">
        <f t="shared" si="251"/>
        <v>0</v>
      </c>
      <c r="V612" s="418">
        <f t="shared" si="252"/>
        <v>22569.84</v>
      </c>
      <c r="W612" s="418">
        <f t="shared" si="253"/>
        <v>-22569.84</v>
      </c>
      <c r="X612" s="41"/>
      <c r="Y612" s="418">
        <f t="shared" si="256"/>
        <v>2779.92</v>
      </c>
      <c r="Z612" s="418">
        <f t="shared" si="257"/>
        <v>-2779.92</v>
      </c>
      <c r="AA612" s="11">
        <f t="shared" si="259"/>
        <v>0.84</v>
      </c>
      <c r="AB612" s="9">
        <f t="shared" si="262"/>
        <v>544.31999999999994</v>
      </c>
      <c r="AC612" s="41"/>
      <c r="AD612" s="427">
        <f>IF(AH612&gt;AH611,AD611,IF(AD611&lt;MiscData!$F$1,EOMONTH(AD611,1),EOMONTH(AD611,-11)))</f>
        <v>42216</v>
      </c>
      <c r="AE612" s="414" t="str">
        <f t="shared" si="254"/>
        <v>20140101KUUM_495</v>
      </c>
      <c r="AF612" s="466" t="str">
        <f t="shared" si="255"/>
        <v>20140101LS</v>
      </c>
      <c r="AG612" s="467"/>
      <c r="AH612" s="41">
        <f>IF(AH611=MiscData!$AB$91,1,AH611+1)</f>
        <v>83</v>
      </c>
      <c r="AI612" s="41">
        <f>IF(AD612&lt;=MiscData!$B$23,MiscData!$C$23,IF(AD612&lt;=MiscData!$B$24,MiscData!$C$24,MiscData!$C$25))</f>
        <v>20140101</v>
      </c>
      <c r="AJ612" s="41"/>
      <c r="AK612" s="468" t="str">
        <f>VLOOKUP(AM612,MiscData!$AB$4:$ACB$113,2,FALSE)</f>
        <v>KUUM_495</v>
      </c>
      <c r="AL612" s="468" t="str">
        <f>VLOOKUP(AM612,MiscData!$AB$4:$AE$115,4,FALSE)</f>
        <v>LS</v>
      </c>
      <c r="AM612" s="469">
        <f>IF(AM611=MiscData!$AB$91,1,AM611+1)</f>
        <v>83</v>
      </c>
    </row>
    <row r="613" spans="1:39">
      <c r="A613" s="413">
        <f t="shared" si="258"/>
        <v>612</v>
      </c>
      <c r="B613" s="427" t="str">
        <f t="shared" si="239"/>
        <v>Jul 2015</v>
      </c>
      <c r="C613" s="428" t="str">
        <f t="shared" si="240"/>
        <v>LS</v>
      </c>
      <c r="D613" s="428" t="str">
        <f t="shared" si="241"/>
        <v>KUUM_496</v>
      </c>
      <c r="E613" s="425">
        <f t="shared" si="242"/>
        <v>154</v>
      </c>
      <c r="F613" s="429"/>
      <c r="G613" s="425">
        <f t="shared" si="243"/>
        <v>0</v>
      </c>
      <c r="H613" s="425">
        <v>0</v>
      </c>
      <c r="I613" s="415">
        <f t="shared" si="244"/>
        <v>58.59</v>
      </c>
      <c r="J613" s="415">
        <f t="shared" si="245"/>
        <v>10.409999999999997</v>
      </c>
      <c r="K613" s="416">
        <f t="shared" si="260"/>
        <v>9022.86</v>
      </c>
      <c r="L613" s="430"/>
      <c r="M613" s="430"/>
      <c r="N613" s="186">
        <f t="shared" si="238"/>
        <v>9022.86</v>
      </c>
      <c r="O613" s="431">
        <f t="shared" si="246"/>
        <v>0</v>
      </c>
      <c r="P613" s="417">
        <f t="shared" si="261"/>
        <v>0</v>
      </c>
      <c r="Q613" s="186">
        <f t="shared" si="247"/>
        <v>0</v>
      </c>
      <c r="R613" s="186">
        <f t="shared" si="248"/>
        <v>0</v>
      </c>
      <c r="S613" s="186">
        <f t="shared" si="249"/>
        <v>0</v>
      </c>
      <c r="T613" s="186">
        <f t="shared" si="250"/>
        <v>0</v>
      </c>
      <c r="U613" s="186">
        <f t="shared" si="251"/>
        <v>0</v>
      </c>
      <c r="V613" s="418">
        <f t="shared" si="252"/>
        <v>9022.86</v>
      </c>
      <c r="W613" s="418">
        <f t="shared" si="253"/>
        <v>-9022.86</v>
      </c>
      <c r="X613" s="41"/>
      <c r="Y613" s="418">
        <f t="shared" si="256"/>
        <v>1603.14</v>
      </c>
      <c r="Z613" s="418">
        <f t="shared" si="257"/>
        <v>-1603.14</v>
      </c>
      <c r="AA613" s="11">
        <f t="shared" si="259"/>
        <v>1.7</v>
      </c>
      <c r="AB613" s="9">
        <f t="shared" si="262"/>
        <v>261.8</v>
      </c>
      <c r="AC613" s="41"/>
      <c r="AD613" s="427">
        <f>IF(AH613&gt;AH612,AD612,IF(AD612&lt;MiscData!$F$1,EOMONTH(AD612,1),EOMONTH(AD612,-11)))</f>
        <v>42216</v>
      </c>
      <c r="AE613" s="414" t="str">
        <f t="shared" si="254"/>
        <v>20140101KUUM_496</v>
      </c>
      <c r="AF613" s="466" t="str">
        <f t="shared" si="255"/>
        <v>20140101LS</v>
      </c>
      <c r="AG613" s="467"/>
      <c r="AH613" s="41">
        <f>IF(AH612=MiscData!$AB$91,1,AH612+1)</f>
        <v>84</v>
      </c>
      <c r="AI613" s="41">
        <f>IF(AD613&lt;=MiscData!$B$23,MiscData!$C$23,IF(AD613&lt;=MiscData!$B$24,MiscData!$C$24,MiscData!$C$25))</f>
        <v>20140101</v>
      </c>
      <c r="AJ613" s="41"/>
      <c r="AK613" s="468" t="str">
        <f>VLOOKUP(AM613,MiscData!$AB$4:$ACB$113,2,FALSE)</f>
        <v>KUUM_496</v>
      </c>
      <c r="AL613" s="468" t="str">
        <f>VLOOKUP(AM613,MiscData!$AB$4:$AE$115,4,FALSE)</f>
        <v>LS</v>
      </c>
      <c r="AM613" s="469">
        <f>IF(AM612=MiscData!$AB$91,1,AM612+1)</f>
        <v>84</v>
      </c>
    </row>
    <row r="614" spans="1:39">
      <c r="A614" s="413">
        <f t="shared" si="258"/>
        <v>613</v>
      </c>
      <c r="B614" s="427" t="str">
        <f t="shared" si="239"/>
        <v>Jul 2015</v>
      </c>
      <c r="C614" s="428" t="str">
        <f t="shared" si="240"/>
        <v>LS</v>
      </c>
      <c r="D614" s="428" t="str">
        <f t="shared" si="241"/>
        <v>KUUM_497</v>
      </c>
      <c r="E614" s="425">
        <f t="shared" si="242"/>
        <v>10</v>
      </c>
      <c r="F614" s="429"/>
      <c r="G614" s="425">
        <f t="shared" si="243"/>
        <v>0</v>
      </c>
      <c r="H614" s="425">
        <v>0</v>
      </c>
      <c r="I614" s="415">
        <f t="shared" si="244"/>
        <v>15.35</v>
      </c>
      <c r="J614" s="415">
        <f t="shared" si="245"/>
        <v>1.1300000000000008</v>
      </c>
      <c r="K614" s="416">
        <f t="shared" si="260"/>
        <v>153.5</v>
      </c>
      <c r="L614" s="430"/>
      <c r="M614" s="430"/>
      <c r="N614" s="186">
        <f t="shared" si="238"/>
        <v>153.5</v>
      </c>
      <c r="O614" s="431">
        <f t="shared" si="246"/>
        <v>0</v>
      </c>
      <c r="P614" s="417">
        <f t="shared" si="261"/>
        <v>0</v>
      </c>
      <c r="Q614" s="186">
        <f t="shared" si="247"/>
        <v>0</v>
      </c>
      <c r="R614" s="186">
        <f t="shared" si="248"/>
        <v>0</v>
      </c>
      <c r="S614" s="186">
        <f t="shared" si="249"/>
        <v>0</v>
      </c>
      <c r="T614" s="186">
        <f t="shared" si="250"/>
        <v>0</v>
      </c>
      <c r="U614" s="186">
        <f t="shared" si="251"/>
        <v>0</v>
      </c>
      <c r="V614" s="418">
        <f t="shared" si="252"/>
        <v>153.5</v>
      </c>
      <c r="W614" s="418">
        <f t="shared" si="253"/>
        <v>-153.5</v>
      </c>
      <c r="X614" s="41"/>
      <c r="Y614" s="418">
        <f t="shared" si="256"/>
        <v>11.3</v>
      </c>
      <c r="Z614" s="418">
        <f t="shared" si="257"/>
        <v>-11.3</v>
      </c>
      <c r="AA614" s="11">
        <f t="shared" si="259"/>
        <v>0.34</v>
      </c>
      <c r="AB614" s="9">
        <f t="shared" si="262"/>
        <v>3.4000000000000004</v>
      </c>
      <c r="AC614" s="41"/>
      <c r="AD614" s="427">
        <f>IF(AH614&gt;AH613,AD613,IF(AD613&lt;MiscData!$F$1,EOMONTH(AD613,1),EOMONTH(AD613,-11)))</f>
        <v>42216</v>
      </c>
      <c r="AE614" s="414" t="str">
        <f t="shared" si="254"/>
        <v>20140101KUUM_497</v>
      </c>
      <c r="AF614" s="466" t="str">
        <f t="shared" si="255"/>
        <v>20140101LS</v>
      </c>
      <c r="AG614" s="467"/>
      <c r="AH614" s="41">
        <f>IF(AH613=MiscData!$AB$91,1,AH613+1)</f>
        <v>85</v>
      </c>
      <c r="AI614" s="41">
        <f>IF(AD614&lt;=MiscData!$B$23,MiscData!$C$23,IF(AD614&lt;=MiscData!$B$24,MiscData!$C$24,MiscData!$C$25))</f>
        <v>20140101</v>
      </c>
      <c r="AJ614" s="41"/>
      <c r="AK614" s="468" t="str">
        <f>VLOOKUP(AM614,MiscData!$AB$4:$ACB$113,2,FALSE)</f>
        <v>KUUM_497</v>
      </c>
      <c r="AL614" s="468" t="str">
        <f>VLOOKUP(AM614,MiscData!$AB$4:$AE$115,4,FALSE)</f>
        <v>LS</v>
      </c>
      <c r="AM614" s="469">
        <f>IF(AM613=MiscData!$AB$91,1,AM613+1)</f>
        <v>85</v>
      </c>
    </row>
    <row r="615" spans="1:39">
      <c r="A615" s="413">
        <f t="shared" si="258"/>
        <v>614</v>
      </c>
      <c r="B615" s="427" t="str">
        <f t="shared" si="239"/>
        <v>Jul 2015</v>
      </c>
      <c r="C615" s="428" t="str">
        <f t="shared" si="240"/>
        <v>LS</v>
      </c>
      <c r="D615" s="428" t="str">
        <f t="shared" si="241"/>
        <v>KUUM_498</v>
      </c>
      <c r="E615" s="425">
        <f t="shared" si="242"/>
        <v>26</v>
      </c>
      <c r="F615" s="429"/>
      <c r="G615" s="425">
        <f t="shared" si="243"/>
        <v>0</v>
      </c>
      <c r="H615" s="425">
        <v>0</v>
      </c>
      <c r="I615" s="415">
        <f t="shared" si="244"/>
        <v>17.72</v>
      </c>
      <c r="J615" s="415">
        <f t="shared" si="245"/>
        <v>2.33</v>
      </c>
      <c r="K615" s="416">
        <f t="shared" si="260"/>
        <v>460.72</v>
      </c>
      <c r="L615" s="430"/>
      <c r="M615" s="430"/>
      <c r="N615" s="186">
        <f t="shared" si="238"/>
        <v>460.72</v>
      </c>
      <c r="O615" s="431">
        <f t="shared" si="246"/>
        <v>0</v>
      </c>
      <c r="P615" s="417">
        <f t="shared" si="261"/>
        <v>0</v>
      </c>
      <c r="Q615" s="186">
        <f t="shared" si="247"/>
        <v>0</v>
      </c>
      <c r="R615" s="186">
        <f t="shared" si="248"/>
        <v>0</v>
      </c>
      <c r="S615" s="186">
        <f t="shared" si="249"/>
        <v>0</v>
      </c>
      <c r="T615" s="186">
        <f t="shared" si="250"/>
        <v>0</v>
      </c>
      <c r="U615" s="186">
        <f t="shared" si="251"/>
        <v>0</v>
      </c>
      <c r="V615" s="418">
        <f t="shared" si="252"/>
        <v>460.72</v>
      </c>
      <c r="W615" s="418">
        <f t="shared" si="253"/>
        <v>-460.72</v>
      </c>
      <c r="X615" s="41"/>
      <c r="Y615" s="418">
        <f t="shared" si="256"/>
        <v>60.58</v>
      </c>
      <c r="Z615" s="418">
        <f t="shared" si="257"/>
        <v>-60.58</v>
      </c>
      <c r="AA615" s="11">
        <f t="shared" si="259"/>
        <v>0.57999999999999996</v>
      </c>
      <c r="AB615" s="9">
        <f t="shared" si="262"/>
        <v>15.079999999999998</v>
      </c>
      <c r="AC615" s="41"/>
      <c r="AD615" s="427">
        <f>IF(AH615&gt;AH614,AD614,IF(AD614&lt;MiscData!$F$1,EOMONTH(AD614,1),EOMONTH(AD614,-11)))</f>
        <v>42216</v>
      </c>
      <c r="AE615" s="414" t="str">
        <f t="shared" si="254"/>
        <v>20140101KUUM_498</v>
      </c>
      <c r="AF615" s="466" t="str">
        <f t="shared" si="255"/>
        <v>20140101LS</v>
      </c>
      <c r="AG615" s="467"/>
      <c r="AH615" s="41">
        <f>IF(AH614=MiscData!$AB$91,1,AH614+1)</f>
        <v>86</v>
      </c>
      <c r="AI615" s="41">
        <f>IF(AD615&lt;=MiscData!$B$23,MiscData!$C$23,IF(AD615&lt;=MiscData!$B$24,MiscData!$C$24,MiscData!$C$25))</f>
        <v>20140101</v>
      </c>
      <c r="AJ615" s="41"/>
      <c r="AK615" s="468" t="str">
        <f>VLOOKUP(AM615,MiscData!$AB$4:$ACB$113,2,FALSE)</f>
        <v>KUUM_498</v>
      </c>
      <c r="AL615" s="468" t="str">
        <f>VLOOKUP(AM615,MiscData!$AB$4:$AE$115,4,FALSE)</f>
        <v>LS</v>
      </c>
      <c r="AM615" s="469">
        <f>IF(AM614=MiscData!$AB$91,1,AM614+1)</f>
        <v>86</v>
      </c>
    </row>
    <row r="616" spans="1:39">
      <c r="A616" s="413">
        <f t="shared" si="258"/>
        <v>615</v>
      </c>
      <c r="B616" s="427" t="str">
        <f t="shared" si="239"/>
        <v>Jul 2015</v>
      </c>
      <c r="C616" s="428" t="str">
        <f t="shared" si="240"/>
        <v>LS</v>
      </c>
      <c r="D616" s="428" t="str">
        <f t="shared" si="241"/>
        <v>KUUM_499</v>
      </c>
      <c r="E616" s="425">
        <f t="shared" si="242"/>
        <v>30</v>
      </c>
      <c r="F616" s="429"/>
      <c r="G616" s="425">
        <f t="shared" si="243"/>
        <v>0</v>
      </c>
      <c r="H616" s="425">
        <v>0</v>
      </c>
      <c r="I616" s="415">
        <f t="shared" si="244"/>
        <v>21.490000000000002</v>
      </c>
      <c r="J616" s="415">
        <f t="shared" si="245"/>
        <v>4.5300000000000011</v>
      </c>
      <c r="K616" s="416">
        <f t="shared" si="260"/>
        <v>644.70000000000005</v>
      </c>
      <c r="L616" s="430"/>
      <c r="M616" s="430"/>
      <c r="N616" s="186">
        <f t="shared" si="238"/>
        <v>644.70000000000005</v>
      </c>
      <c r="O616" s="431">
        <f t="shared" si="246"/>
        <v>0</v>
      </c>
      <c r="P616" s="417">
        <f t="shared" si="261"/>
        <v>0</v>
      </c>
      <c r="Q616" s="186">
        <f t="shared" si="247"/>
        <v>0</v>
      </c>
      <c r="R616" s="186">
        <f t="shared" si="248"/>
        <v>0</v>
      </c>
      <c r="S616" s="186">
        <f t="shared" si="249"/>
        <v>0</v>
      </c>
      <c r="T616" s="186">
        <f t="shared" si="250"/>
        <v>0</v>
      </c>
      <c r="U616" s="186">
        <f t="shared" si="251"/>
        <v>0</v>
      </c>
      <c r="V616" s="418">
        <f t="shared" si="252"/>
        <v>644.70000000000005</v>
      </c>
      <c r="W616" s="418">
        <f t="shared" si="253"/>
        <v>-644.70000000000005</v>
      </c>
      <c r="X616" s="41"/>
      <c r="Y616" s="418">
        <f t="shared" si="256"/>
        <v>135.9</v>
      </c>
      <c r="Z616" s="418">
        <f t="shared" si="257"/>
        <v>-135.9</v>
      </c>
      <c r="AA616" s="11">
        <f t="shared" si="259"/>
        <v>0.79</v>
      </c>
      <c r="AB616" s="9">
        <f t="shared" si="262"/>
        <v>23.700000000000003</v>
      </c>
      <c r="AC616" s="41"/>
      <c r="AD616" s="427">
        <f>IF(AH616&gt;AH615,AD615,IF(AD615&lt;MiscData!$F$1,EOMONTH(AD615,1),EOMONTH(AD615,-11)))</f>
        <v>42216</v>
      </c>
      <c r="AE616" s="414" t="str">
        <f t="shared" si="254"/>
        <v>20140101KUUM_499</v>
      </c>
      <c r="AF616" s="466" t="str">
        <f t="shared" si="255"/>
        <v>20140101LS</v>
      </c>
      <c r="AG616" s="467"/>
      <c r="AH616" s="41">
        <f>IF(AH615=MiscData!$AB$91,1,AH615+1)</f>
        <v>87</v>
      </c>
      <c r="AI616" s="41">
        <f>IF(AD616&lt;=MiscData!$B$23,MiscData!$C$23,IF(AD616&lt;=MiscData!$B$24,MiscData!$C$24,MiscData!$C$25))</f>
        <v>20140101</v>
      </c>
      <c r="AJ616" s="41"/>
      <c r="AK616" s="468" t="str">
        <f>VLOOKUP(AM616,MiscData!$AB$4:$ACB$113,2,FALSE)</f>
        <v>KUUM_499</v>
      </c>
      <c r="AL616" s="468" t="str">
        <f>VLOOKUP(AM616,MiscData!$AB$4:$AE$115,4,FALSE)</f>
        <v>LS</v>
      </c>
      <c r="AM616" s="469">
        <f>IF(AM615=MiscData!$AB$91,1,AM615+1)</f>
        <v>87</v>
      </c>
    </row>
    <row r="617" spans="1:39">
      <c r="A617" s="413">
        <f t="shared" si="258"/>
        <v>616</v>
      </c>
      <c r="B617" s="427" t="str">
        <f t="shared" si="239"/>
        <v>Jul 2015</v>
      </c>
      <c r="C617" s="428" t="str">
        <f t="shared" si="240"/>
        <v>ODL</v>
      </c>
      <c r="D617" s="428" t="str">
        <f t="shared" si="241"/>
        <v>ODL</v>
      </c>
      <c r="E617" s="425">
        <f t="shared" si="242"/>
        <v>0</v>
      </c>
      <c r="F617" s="429"/>
      <c r="G617" s="425">
        <f>SUMIFS(_SBR_KWH,_SBR_Revenue_Month,$B617,_SBR_Rate_Category,$D617)</f>
        <v>8653918</v>
      </c>
      <c r="H617" s="425">
        <v>0</v>
      </c>
      <c r="I617" s="415">
        <f t="shared" si="244"/>
        <v>0</v>
      </c>
      <c r="J617" s="415">
        <f t="shared" si="245"/>
        <v>0</v>
      </c>
      <c r="K617" s="416">
        <f t="shared" si="260"/>
        <v>0</v>
      </c>
      <c r="L617" s="430"/>
      <c r="M617" s="430"/>
      <c r="N617" s="186">
        <f t="shared" si="238"/>
        <v>0</v>
      </c>
      <c r="O617" s="431">
        <f t="shared" si="246"/>
        <v>2150525</v>
      </c>
      <c r="P617" s="417">
        <f t="shared" si="261"/>
        <v>0</v>
      </c>
      <c r="Q617" s="186">
        <f t="shared" si="247"/>
        <v>16979</v>
      </c>
      <c r="R617" s="186">
        <f t="shared" si="248"/>
        <v>0</v>
      </c>
      <c r="S617" s="186">
        <f t="shared" si="249"/>
        <v>37127</v>
      </c>
      <c r="T617" s="186">
        <f t="shared" si="250"/>
        <v>0</v>
      </c>
      <c r="U617" s="186">
        <f t="shared" si="251"/>
        <v>2204631</v>
      </c>
      <c r="V617" s="418">
        <f t="shared" si="252"/>
        <v>54106</v>
      </c>
      <c r="W617" s="418">
        <f t="shared" si="253"/>
        <v>2150525</v>
      </c>
      <c r="X617" s="41"/>
      <c r="Y617" s="418">
        <f t="shared" si="256"/>
        <v>0</v>
      </c>
      <c r="Z617" s="418">
        <f t="shared" si="257"/>
        <v>2150525</v>
      </c>
      <c r="AA617" s="11">
        <f t="shared" si="259"/>
        <v>0</v>
      </c>
      <c r="AB617" s="9">
        <f t="shared" si="262"/>
        <v>0</v>
      </c>
      <c r="AC617" s="41"/>
      <c r="AD617" s="427">
        <f>IF(AH617&gt;AH616,AD616,IF(AD616&lt;MiscData!$F$1,EOMONTH(AD616,1),EOMONTH(AD616,-11)))</f>
        <v>42216</v>
      </c>
      <c r="AE617" s="414" t="str">
        <f t="shared" si="254"/>
        <v>20140101ODL</v>
      </c>
      <c r="AF617" s="466" t="str">
        <f t="shared" si="255"/>
        <v>20140101ODL</v>
      </c>
      <c r="AG617" s="467"/>
      <c r="AH617" s="41">
        <f>IF(AH616=MiscData!$AB$91,1,AH616+1)</f>
        <v>88</v>
      </c>
      <c r="AI617" s="41">
        <f>IF(AD617&lt;=MiscData!$B$23,MiscData!$C$23,IF(AD617&lt;=MiscData!$B$24,MiscData!$C$24,MiscData!$C$25))</f>
        <v>20140101</v>
      </c>
      <c r="AJ617" s="41"/>
      <c r="AK617" s="468" t="str">
        <f>VLOOKUP(AM617,MiscData!$AB$4:$ACB$113,2,FALSE)</f>
        <v>ODL</v>
      </c>
      <c r="AL617" s="468" t="str">
        <f>VLOOKUP(AM617,MiscData!$AB$4:$AE$115,4,FALSE)</f>
        <v>ODL</v>
      </c>
      <c r="AM617" s="469">
        <f>IF(AM616=MiscData!$AB$91,1,AM616+1)</f>
        <v>88</v>
      </c>
    </row>
    <row r="618" spans="1:39">
      <c r="A618" s="7">
        <f t="shared" si="258"/>
        <v>617</v>
      </c>
      <c r="B618" s="13" t="str">
        <f t="shared" si="239"/>
        <v>Aug 2015</v>
      </c>
      <c r="C618" s="23" t="str">
        <f t="shared" si="240"/>
        <v>LS</v>
      </c>
      <c r="D618" s="23" t="str">
        <f t="shared" si="241"/>
        <v>KUUM_300</v>
      </c>
      <c r="E618" s="170">
        <f t="shared" si="242"/>
        <v>0</v>
      </c>
      <c r="F618" s="185"/>
      <c r="G618" s="170">
        <f t="shared" si="243"/>
        <v>0</v>
      </c>
      <c r="H618" s="170">
        <v>0</v>
      </c>
      <c r="I618" s="11">
        <f t="shared" si="244"/>
        <v>22.49</v>
      </c>
      <c r="J618" s="11">
        <f t="shared" si="245"/>
        <v>0.58000000000000185</v>
      </c>
      <c r="K618" s="416">
        <f t="shared" si="260"/>
        <v>0</v>
      </c>
      <c r="L618" s="180"/>
      <c r="M618" s="180"/>
      <c r="N618" s="186">
        <f t="shared" si="238"/>
        <v>0</v>
      </c>
      <c r="O618" s="29">
        <f t="shared" si="246"/>
        <v>0</v>
      </c>
      <c r="P618" s="181">
        <f t="shared" si="261"/>
        <v>1</v>
      </c>
      <c r="Q618" s="182">
        <f t="shared" si="247"/>
        <v>0</v>
      </c>
      <c r="R618" s="182">
        <f t="shared" si="248"/>
        <v>0</v>
      </c>
      <c r="S618" s="182">
        <f t="shared" si="249"/>
        <v>0</v>
      </c>
      <c r="T618" s="182">
        <f t="shared" si="250"/>
        <v>0</v>
      </c>
      <c r="U618" s="182">
        <f t="shared" si="251"/>
        <v>0</v>
      </c>
      <c r="V618" s="14">
        <f t="shared" si="252"/>
        <v>0</v>
      </c>
      <c r="W618" s="14">
        <f t="shared" si="253"/>
        <v>0</v>
      </c>
      <c r="Y618" s="14">
        <f t="shared" si="256"/>
        <v>0</v>
      </c>
      <c r="Z618" s="14">
        <f t="shared" si="257"/>
        <v>0</v>
      </c>
      <c r="AA618" s="11">
        <f t="shared" si="259"/>
        <v>0.33</v>
      </c>
      <c r="AB618" s="9">
        <f t="shared" si="262"/>
        <v>0</v>
      </c>
      <c r="AD618" s="13">
        <f>IF(AH618&gt;AH617,AD617,IF(AD617&lt;MiscData!$F$1,EOMONTH(AD617,1),EOMONTH(AD617,-11)))</f>
        <v>42247</v>
      </c>
      <c r="AE618" s="7" t="str">
        <f t="shared" si="254"/>
        <v>20140101KUUM_300</v>
      </c>
      <c r="AF618" s="12" t="str">
        <f t="shared" si="255"/>
        <v>20140101LS</v>
      </c>
      <c r="AG618" s="31"/>
      <c r="AH618">
        <f>IF(AH617=MiscData!$AB$91,1,AH617+1)</f>
        <v>1</v>
      </c>
      <c r="AI618">
        <f>IF(AD618&lt;=MiscData!$B$23,MiscData!$C$23,IF(AD618&lt;=MiscData!$B$24,MiscData!$C$24,MiscData!$C$25))</f>
        <v>20140101</v>
      </c>
      <c r="AK618" s="190" t="str">
        <f>VLOOKUP(AM618,MiscData!$AB$4:$ACB$113,2,FALSE)</f>
        <v>KUUM_300</v>
      </c>
      <c r="AL618" s="190" t="str">
        <f>VLOOKUP(AM618,MiscData!$AB$4:$AE$115,4,FALSE)</f>
        <v>LS</v>
      </c>
      <c r="AM618">
        <f>IF(AM617=MiscData!$AB$91,1,AM617+1)</f>
        <v>1</v>
      </c>
    </row>
    <row r="619" spans="1:39">
      <c r="A619" s="7">
        <f t="shared" si="258"/>
        <v>618</v>
      </c>
      <c r="B619" s="13" t="str">
        <f t="shared" si="239"/>
        <v>Aug 2015</v>
      </c>
      <c r="C619" s="23" t="str">
        <f t="shared" si="240"/>
        <v>LS</v>
      </c>
      <c r="D619" s="23" t="str">
        <f t="shared" si="241"/>
        <v>KUUM_301</v>
      </c>
      <c r="E619" s="170">
        <f t="shared" si="242"/>
        <v>0</v>
      </c>
      <c r="F619" s="185"/>
      <c r="G619" s="170">
        <f t="shared" si="243"/>
        <v>0</v>
      </c>
      <c r="H619" s="170">
        <v>0</v>
      </c>
      <c r="I619" s="11">
        <f t="shared" si="244"/>
        <v>23.5</v>
      </c>
      <c r="J619" s="11">
        <f t="shared" si="245"/>
        <v>1.129999999999999</v>
      </c>
      <c r="K619" s="416">
        <f t="shared" si="260"/>
        <v>0</v>
      </c>
      <c r="L619" s="180"/>
      <c r="M619" s="180"/>
      <c r="N619" s="186">
        <f t="shared" si="238"/>
        <v>0</v>
      </c>
      <c r="O619" s="29">
        <f t="shared" si="246"/>
        <v>0</v>
      </c>
      <c r="P619" s="181">
        <f t="shared" si="261"/>
        <v>1</v>
      </c>
      <c r="Q619" s="182">
        <f t="shared" si="247"/>
        <v>0</v>
      </c>
      <c r="R619" s="182">
        <f t="shared" si="248"/>
        <v>0</v>
      </c>
      <c r="S619" s="182">
        <f t="shared" si="249"/>
        <v>0</v>
      </c>
      <c r="T619" s="182">
        <f t="shared" si="250"/>
        <v>0</v>
      </c>
      <c r="U619" s="182">
        <f t="shared" si="251"/>
        <v>0</v>
      </c>
      <c r="V619" s="14">
        <f t="shared" si="252"/>
        <v>0</v>
      </c>
      <c r="W619" s="14">
        <f t="shared" si="253"/>
        <v>0</v>
      </c>
      <c r="Y619" s="14">
        <f t="shared" si="256"/>
        <v>0</v>
      </c>
      <c r="Z619" s="14">
        <f t="shared" si="257"/>
        <v>0</v>
      </c>
      <c r="AA619" s="11">
        <f t="shared" si="259"/>
        <v>0.34</v>
      </c>
      <c r="AB619" s="9">
        <f t="shared" si="262"/>
        <v>0</v>
      </c>
      <c r="AD619" s="13">
        <f>IF(AH619&gt;AH618,AD618,IF(AD618&lt;MiscData!$F$1,EOMONTH(AD618,1),EOMONTH(AD618,-11)))</f>
        <v>42247</v>
      </c>
      <c r="AE619" s="7" t="str">
        <f t="shared" si="254"/>
        <v>20140101KUUM_301</v>
      </c>
      <c r="AF619" s="12" t="str">
        <f t="shared" si="255"/>
        <v>20140101LS</v>
      </c>
      <c r="AG619" s="31"/>
      <c r="AH619">
        <f>IF(AH618=MiscData!$AB$91,1,AH618+1)</f>
        <v>2</v>
      </c>
      <c r="AI619">
        <f>IF(AD619&lt;=MiscData!$B$23,MiscData!$C$23,IF(AD619&lt;=MiscData!$B$24,MiscData!$C$24,MiscData!$C$25))</f>
        <v>20140101</v>
      </c>
      <c r="AK619" s="190" t="str">
        <f>VLOOKUP(AM619,MiscData!$AB$4:$ACB$113,2,FALSE)</f>
        <v>KUUM_301</v>
      </c>
      <c r="AL619" s="190" t="str">
        <f>VLOOKUP(AM619,MiscData!$AB$4:$AE$115,4,FALSE)</f>
        <v>LS</v>
      </c>
      <c r="AM619">
        <f>IF(AM618=MiscData!$AB$91,1,AM618+1)</f>
        <v>2</v>
      </c>
    </row>
    <row r="620" spans="1:39">
      <c r="A620" s="7">
        <f t="shared" si="258"/>
        <v>619</v>
      </c>
      <c r="B620" s="13" t="str">
        <f t="shared" si="239"/>
        <v>Aug 2015</v>
      </c>
      <c r="C620" s="23" t="str">
        <f t="shared" si="240"/>
        <v>LS</v>
      </c>
      <c r="D620" s="23" t="str">
        <f t="shared" si="241"/>
        <v>KUUM_360</v>
      </c>
      <c r="E620" s="170">
        <f t="shared" si="242"/>
        <v>177</v>
      </c>
      <c r="F620" s="185"/>
      <c r="G620" s="170">
        <f t="shared" si="243"/>
        <v>0</v>
      </c>
      <c r="H620" s="170">
        <v>0</v>
      </c>
      <c r="I620" s="11">
        <f t="shared" si="244"/>
        <v>55.33</v>
      </c>
      <c r="J620" s="11">
        <f t="shared" si="245"/>
        <v>1.75</v>
      </c>
      <c r="K620" s="416">
        <f t="shared" si="260"/>
        <v>9793.41</v>
      </c>
      <c r="L620" s="180"/>
      <c r="M620" s="180"/>
      <c r="N620" s="186">
        <f t="shared" si="238"/>
        <v>9793.41</v>
      </c>
      <c r="O620" s="29">
        <f t="shared" si="246"/>
        <v>0</v>
      </c>
      <c r="P620" s="181">
        <f t="shared" si="261"/>
        <v>0</v>
      </c>
      <c r="Q620" s="182">
        <f t="shared" si="247"/>
        <v>0</v>
      </c>
      <c r="R620" s="182">
        <f t="shared" si="248"/>
        <v>0</v>
      </c>
      <c r="S620" s="182">
        <f t="shared" si="249"/>
        <v>0</v>
      </c>
      <c r="T620" s="182">
        <f t="shared" si="250"/>
        <v>0</v>
      </c>
      <c r="U620" s="182">
        <f t="shared" si="251"/>
        <v>0</v>
      </c>
      <c r="V620" s="14">
        <f t="shared" si="252"/>
        <v>9793.41</v>
      </c>
      <c r="W620" s="14">
        <f t="shared" si="253"/>
        <v>-9793.41</v>
      </c>
      <c r="Y620" s="14">
        <f t="shared" si="256"/>
        <v>309.75</v>
      </c>
      <c r="Z620" s="14">
        <f t="shared" si="257"/>
        <v>-309.75</v>
      </c>
      <c r="AA620" s="11">
        <f t="shared" si="259"/>
        <v>2.41</v>
      </c>
      <c r="AB620" s="9">
        <f t="shared" si="262"/>
        <v>426.57000000000005</v>
      </c>
      <c r="AD620" s="13">
        <f>IF(AH620&gt;AH619,AD619,IF(AD619&lt;MiscData!$F$1,EOMONTH(AD619,1),EOMONTH(AD619,-11)))</f>
        <v>42247</v>
      </c>
      <c r="AE620" s="7" t="str">
        <f t="shared" si="254"/>
        <v>20140101KUUM_360</v>
      </c>
      <c r="AF620" s="12" t="str">
        <f t="shared" si="255"/>
        <v>20140101LS</v>
      </c>
      <c r="AG620" s="31"/>
      <c r="AH620">
        <f>IF(AH619=MiscData!$AB$91,1,AH619+1)</f>
        <v>3</v>
      </c>
      <c r="AI620">
        <f>IF(AD620&lt;=MiscData!$B$23,MiscData!$C$23,IF(AD620&lt;=MiscData!$B$24,MiscData!$C$24,MiscData!$C$25))</f>
        <v>20140101</v>
      </c>
      <c r="AK620" s="190" t="str">
        <f>VLOOKUP(AM620,MiscData!$AB$4:$ACB$113,2,FALSE)</f>
        <v>KUUM_360</v>
      </c>
      <c r="AL620" s="190" t="str">
        <f>VLOOKUP(AM620,MiscData!$AB$4:$AE$115,4,FALSE)</f>
        <v>LS</v>
      </c>
      <c r="AM620">
        <f>IF(AM619=MiscData!$AB$91,1,AM619+1)</f>
        <v>3</v>
      </c>
    </row>
    <row r="621" spans="1:39">
      <c r="A621" s="7">
        <f t="shared" si="258"/>
        <v>620</v>
      </c>
      <c r="B621" s="13" t="str">
        <f t="shared" si="239"/>
        <v>Aug 2015</v>
      </c>
      <c r="C621" s="23" t="str">
        <f t="shared" si="240"/>
        <v>LS</v>
      </c>
      <c r="D621" s="23" t="str">
        <f t="shared" si="241"/>
        <v>KUUM_361</v>
      </c>
      <c r="E621" s="170">
        <f t="shared" si="242"/>
        <v>25</v>
      </c>
      <c r="F621" s="185"/>
      <c r="G621" s="170">
        <f t="shared" si="243"/>
        <v>0</v>
      </c>
      <c r="H621" s="170">
        <v>0</v>
      </c>
      <c r="I621" s="11">
        <f t="shared" si="244"/>
        <v>83.16</v>
      </c>
      <c r="J621" s="11">
        <f t="shared" si="245"/>
        <v>1.75</v>
      </c>
      <c r="K621" s="416">
        <f t="shared" si="260"/>
        <v>2079</v>
      </c>
      <c r="L621" s="180"/>
      <c r="M621" s="180"/>
      <c r="N621" s="186">
        <f t="shared" si="238"/>
        <v>2079</v>
      </c>
      <c r="O621" s="29">
        <f t="shared" si="246"/>
        <v>0</v>
      </c>
      <c r="P621" s="181">
        <f t="shared" si="261"/>
        <v>0</v>
      </c>
      <c r="Q621" s="182">
        <f t="shared" si="247"/>
        <v>0</v>
      </c>
      <c r="R621" s="182">
        <f t="shared" si="248"/>
        <v>0</v>
      </c>
      <c r="S621" s="182">
        <f t="shared" si="249"/>
        <v>0</v>
      </c>
      <c r="T621" s="182">
        <f t="shared" si="250"/>
        <v>0</v>
      </c>
      <c r="U621" s="182">
        <f t="shared" si="251"/>
        <v>0</v>
      </c>
      <c r="V621" s="14">
        <f t="shared" si="252"/>
        <v>2079</v>
      </c>
      <c r="W621" s="14">
        <f t="shared" si="253"/>
        <v>-2079</v>
      </c>
      <c r="Y621" s="14">
        <f t="shared" si="256"/>
        <v>43.75</v>
      </c>
      <c r="Z621" s="14">
        <f t="shared" si="257"/>
        <v>-43.75</v>
      </c>
      <c r="AA621" s="11">
        <f t="shared" si="259"/>
        <v>2.41</v>
      </c>
      <c r="AB621" s="9">
        <f t="shared" si="262"/>
        <v>60.25</v>
      </c>
      <c r="AD621" s="13">
        <f>IF(AH621&gt;AH620,AD620,IF(AD620&lt;MiscData!$F$1,EOMONTH(AD620,1),EOMONTH(AD620,-11)))</f>
        <v>42247</v>
      </c>
      <c r="AE621" s="7" t="str">
        <f t="shared" si="254"/>
        <v>20140101KUUM_361</v>
      </c>
      <c r="AF621" s="12" t="str">
        <f t="shared" si="255"/>
        <v>20140101LS</v>
      </c>
      <c r="AG621" s="31"/>
      <c r="AH621">
        <f>IF(AH620=MiscData!$AB$91,1,AH620+1)</f>
        <v>4</v>
      </c>
      <c r="AI621">
        <f>IF(AD621&lt;=MiscData!$B$23,MiscData!$C$23,IF(AD621&lt;=MiscData!$B$24,MiscData!$C$24,MiscData!$C$25))</f>
        <v>20140101</v>
      </c>
      <c r="AK621" s="190" t="str">
        <f>VLOOKUP(AM621,MiscData!$AB$4:$ACB$113,2,FALSE)</f>
        <v>KUUM_361</v>
      </c>
      <c r="AL621" s="190" t="str">
        <f>VLOOKUP(AM621,MiscData!$AB$4:$AE$115,4,FALSE)</f>
        <v>LS</v>
      </c>
      <c r="AM621">
        <f>IF(AM620=MiscData!$AB$91,1,AM620+1)</f>
        <v>4</v>
      </c>
    </row>
    <row r="622" spans="1:39">
      <c r="A622" s="7">
        <f t="shared" si="258"/>
        <v>621</v>
      </c>
      <c r="B622" s="13" t="str">
        <f t="shared" si="239"/>
        <v>Aug 2015</v>
      </c>
      <c r="C622" s="23" t="str">
        <f t="shared" si="240"/>
        <v>LS</v>
      </c>
      <c r="D622" s="23" t="str">
        <f t="shared" si="241"/>
        <v>KUUM_362</v>
      </c>
      <c r="E622" s="170">
        <f t="shared" si="242"/>
        <v>43</v>
      </c>
      <c r="F622" s="185"/>
      <c r="G622" s="170">
        <f t="shared" si="243"/>
        <v>0</v>
      </c>
      <c r="H622" s="170">
        <v>0</v>
      </c>
      <c r="I622" s="11">
        <f t="shared" si="244"/>
        <v>59.78</v>
      </c>
      <c r="J622" s="11">
        <f t="shared" si="245"/>
        <v>1.75</v>
      </c>
      <c r="K622" s="416">
        <f t="shared" si="260"/>
        <v>2570.54</v>
      </c>
      <c r="L622" s="180"/>
      <c r="M622" s="180"/>
      <c r="N622" s="186">
        <f t="shared" si="238"/>
        <v>2570.54</v>
      </c>
      <c r="O622" s="29">
        <f t="shared" si="246"/>
        <v>0</v>
      </c>
      <c r="P622" s="181">
        <f t="shared" si="261"/>
        <v>0</v>
      </c>
      <c r="Q622" s="182">
        <f t="shared" si="247"/>
        <v>0</v>
      </c>
      <c r="R622" s="182">
        <f t="shared" si="248"/>
        <v>0</v>
      </c>
      <c r="S622" s="182">
        <f t="shared" si="249"/>
        <v>0</v>
      </c>
      <c r="T622" s="182">
        <f t="shared" si="250"/>
        <v>0</v>
      </c>
      <c r="U622" s="182">
        <f t="shared" si="251"/>
        <v>0</v>
      </c>
      <c r="V622" s="14">
        <f t="shared" si="252"/>
        <v>2570.54</v>
      </c>
      <c r="W622" s="14">
        <f t="shared" si="253"/>
        <v>-2570.54</v>
      </c>
      <c r="Y622" s="14">
        <f t="shared" si="256"/>
        <v>75.25</v>
      </c>
      <c r="Z622" s="14">
        <f t="shared" si="257"/>
        <v>-75.25</v>
      </c>
      <c r="AA622" s="11">
        <f t="shared" si="259"/>
        <v>2.41</v>
      </c>
      <c r="AB622" s="9">
        <f t="shared" si="262"/>
        <v>103.63000000000001</v>
      </c>
      <c r="AD622" s="13">
        <f>IF(AH622&gt;AH621,AD621,IF(AD621&lt;MiscData!$F$1,EOMONTH(AD621,1),EOMONTH(AD621,-11)))</f>
        <v>42247</v>
      </c>
      <c r="AE622" s="7" t="str">
        <f t="shared" si="254"/>
        <v>20140101KUUM_362</v>
      </c>
      <c r="AF622" s="12" t="str">
        <f t="shared" si="255"/>
        <v>20140101LS</v>
      </c>
      <c r="AG622" s="31"/>
      <c r="AH622">
        <f>IF(AH621=MiscData!$AB$91,1,AH621+1)</f>
        <v>5</v>
      </c>
      <c r="AI622">
        <f>IF(AD622&lt;=MiscData!$B$23,MiscData!$C$23,IF(AD622&lt;=MiscData!$B$24,MiscData!$C$24,MiscData!$C$25))</f>
        <v>20140101</v>
      </c>
      <c r="AK622" s="190" t="str">
        <f>VLOOKUP(AM622,MiscData!$AB$4:$ACB$113,2,FALSE)</f>
        <v>KUUM_362</v>
      </c>
      <c r="AL622" s="190" t="str">
        <f>VLOOKUP(AM622,MiscData!$AB$4:$AE$115,4,FALSE)</f>
        <v>LS</v>
      </c>
      <c r="AM622">
        <f>IF(AM621=MiscData!$AB$91,1,AM621+1)</f>
        <v>5</v>
      </c>
    </row>
    <row r="623" spans="1:39">
      <c r="A623" s="7">
        <f t="shared" si="258"/>
        <v>622</v>
      </c>
      <c r="B623" s="13" t="str">
        <f t="shared" si="239"/>
        <v>Aug 2015</v>
      </c>
      <c r="C623" s="23" t="str">
        <f t="shared" si="240"/>
        <v>LS</v>
      </c>
      <c r="D623" s="23" t="str">
        <f t="shared" si="241"/>
        <v>KUUM_363</v>
      </c>
      <c r="E623" s="170">
        <f t="shared" si="242"/>
        <v>5</v>
      </c>
      <c r="F623" s="185"/>
      <c r="G623" s="170">
        <f t="shared" si="243"/>
        <v>0</v>
      </c>
      <c r="H623" s="170">
        <v>0</v>
      </c>
      <c r="I623" s="11">
        <f t="shared" si="244"/>
        <v>61.75</v>
      </c>
      <c r="J623" s="11">
        <f t="shared" si="245"/>
        <v>1.75</v>
      </c>
      <c r="K623" s="416">
        <f t="shared" si="260"/>
        <v>308.75</v>
      </c>
      <c r="L623" s="180"/>
      <c r="M623" s="180"/>
      <c r="N623" s="186">
        <f t="shared" si="238"/>
        <v>308.75</v>
      </c>
      <c r="O623" s="29">
        <f t="shared" si="246"/>
        <v>0</v>
      </c>
      <c r="P623" s="181">
        <f t="shared" si="261"/>
        <v>0</v>
      </c>
      <c r="Q623" s="182">
        <f t="shared" si="247"/>
        <v>0</v>
      </c>
      <c r="R623" s="182">
        <f t="shared" si="248"/>
        <v>0</v>
      </c>
      <c r="S623" s="182">
        <f t="shared" si="249"/>
        <v>0</v>
      </c>
      <c r="T623" s="182">
        <f t="shared" si="250"/>
        <v>0</v>
      </c>
      <c r="U623" s="182">
        <f t="shared" si="251"/>
        <v>0</v>
      </c>
      <c r="V623" s="14">
        <f t="shared" si="252"/>
        <v>308.75</v>
      </c>
      <c r="W623" s="14">
        <f t="shared" si="253"/>
        <v>-308.75</v>
      </c>
      <c r="Y623" s="14">
        <f t="shared" si="256"/>
        <v>8.75</v>
      </c>
      <c r="Z623" s="14">
        <f t="shared" si="257"/>
        <v>-8.75</v>
      </c>
      <c r="AA623" s="11">
        <f t="shared" si="259"/>
        <v>2.41</v>
      </c>
      <c r="AB623" s="9">
        <f t="shared" si="262"/>
        <v>12.05</v>
      </c>
      <c r="AD623" s="13">
        <f>IF(AH623&gt;AH622,AD622,IF(AD622&lt;MiscData!$F$1,EOMONTH(AD622,1),EOMONTH(AD622,-11)))</f>
        <v>42247</v>
      </c>
      <c r="AE623" s="7" t="str">
        <f t="shared" si="254"/>
        <v>20140101KUUM_363</v>
      </c>
      <c r="AF623" s="12" t="str">
        <f t="shared" si="255"/>
        <v>20140101LS</v>
      </c>
      <c r="AG623" s="31"/>
      <c r="AH623">
        <f>IF(AH622=MiscData!$AB$91,1,AH622+1)</f>
        <v>6</v>
      </c>
      <c r="AI623">
        <f>IF(AD623&lt;=MiscData!$B$23,MiscData!$C$23,IF(AD623&lt;=MiscData!$B$24,MiscData!$C$24,MiscData!$C$25))</f>
        <v>20140101</v>
      </c>
      <c r="AK623" s="190" t="str">
        <f>VLOOKUP(AM623,MiscData!$AB$4:$ACB$113,2,FALSE)</f>
        <v>KUUM_363</v>
      </c>
      <c r="AL623" s="190" t="str">
        <f>VLOOKUP(AM623,MiscData!$AB$4:$AE$115,4,FALSE)</f>
        <v>LS</v>
      </c>
      <c r="AM623">
        <f>IF(AM622=MiscData!$AB$91,1,AM622+1)</f>
        <v>6</v>
      </c>
    </row>
    <row r="624" spans="1:39">
      <c r="A624" s="7">
        <f t="shared" si="258"/>
        <v>623</v>
      </c>
      <c r="B624" s="13" t="str">
        <f t="shared" si="239"/>
        <v>Aug 2015</v>
      </c>
      <c r="C624" s="23" t="str">
        <f t="shared" si="240"/>
        <v>LS</v>
      </c>
      <c r="D624" s="23" t="str">
        <f t="shared" si="241"/>
        <v>KUUM_364</v>
      </c>
      <c r="E624" s="170">
        <f t="shared" si="242"/>
        <v>1</v>
      </c>
      <c r="F624" s="185"/>
      <c r="G624" s="170">
        <f t="shared" si="243"/>
        <v>0</v>
      </c>
      <c r="H624" s="170">
        <v>0</v>
      </c>
      <c r="I624" s="11">
        <f t="shared" si="244"/>
        <v>63.11</v>
      </c>
      <c r="J624" s="11">
        <f t="shared" si="245"/>
        <v>1.75</v>
      </c>
      <c r="K624" s="416">
        <f t="shared" si="260"/>
        <v>63.11</v>
      </c>
      <c r="L624" s="180"/>
      <c r="M624" s="180"/>
      <c r="N624" s="186">
        <f t="shared" si="238"/>
        <v>63.11</v>
      </c>
      <c r="O624" s="29">
        <f t="shared" si="246"/>
        <v>0</v>
      </c>
      <c r="P624" s="181">
        <f t="shared" si="261"/>
        <v>0</v>
      </c>
      <c r="Q624" s="182">
        <f t="shared" si="247"/>
        <v>0</v>
      </c>
      <c r="R624" s="182">
        <f t="shared" si="248"/>
        <v>0</v>
      </c>
      <c r="S624" s="182">
        <f t="shared" si="249"/>
        <v>0</v>
      </c>
      <c r="T624" s="182">
        <f t="shared" si="250"/>
        <v>0</v>
      </c>
      <c r="U624" s="182">
        <f t="shared" si="251"/>
        <v>0</v>
      </c>
      <c r="V624" s="14">
        <f t="shared" si="252"/>
        <v>63.11</v>
      </c>
      <c r="W624" s="14">
        <f t="shared" si="253"/>
        <v>-63.11</v>
      </c>
      <c r="Y624" s="14">
        <f t="shared" si="256"/>
        <v>1.75</v>
      </c>
      <c r="Z624" s="14">
        <f t="shared" si="257"/>
        <v>-1.75</v>
      </c>
      <c r="AA624" s="11">
        <f t="shared" si="259"/>
        <v>2.41</v>
      </c>
      <c r="AB624" s="9">
        <f t="shared" si="262"/>
        <v>2.41</v>
      </c>
      <c r="AD624" s="13">
        <f>IF(AH624&gt;AH623,AD623,IF(AD623&lt;MiscData!$F$1,EOMONTH(AD623,1),EOMONTH(AD623,-11)))</f>
        <v>42247</v>
      </c>
      <c r="AE624" s="7" t="str">
        <f t="shared" si="254"/>
        <v>20140101KUUM_364</v>
      </c>
      <c r="AF624" s="12" t="str">
        <f t="shared" si="255"/>
        <v>20140101LS</v>
      </c>
      <c r="AG624" s="31"/>
      <c r="AH624">
        <f>IF(AH623=MiscData!$AB$91,1,AH623+1)</f>
        <v>7</v>
      </c>
      <c r="AI624">
        <f>IF(AD624&lt;=MiscData!$B$23,MiscData!$C$23,IF(AD624&lt;=MiscData!$B$24,MiscData!$C$24,MiscData!$C$25))</f>
        <v>20140101</v>
      </c>
      <c r="AK624" s="190" t="str">
        <f>VLOOKUP(AM624,MiscData!$AB$4:$ACB$113,2,FALSE)</f>
        <v>KUUM_364</v>
      </c>
      <c r="AL624" s="190" t="str">
        <f>VLOOKUP(AM624,MiscData!$AB$4:$AE$115,4,FALSE)</f>
        <v>LS</v>
      </c>
      <c r="AM624">
        <f>IF(AM623=MiscData!$AB$91,1,AM623+1)</f>
        <v>7</v>
      </c>
    </row>
    <row r="625" spans="1:39">
      <c r="A625" s="7">
        <f t="shared" si="258"/>
        <v>624</v>
      </c>
      <c r="B625" s="13" t="str">
        <f t="shared" si="239"/>
        <v>Aug 2015</v>
      </c>
      <c r="C625" s="23" t="str">
        <f t="shared" si="240"/>
        <v>LS</v>
      </c>
      <c r="D625" s="23" t="str">
        <f t="shared" si="241"/>
        <v>KUUM_365</v>
      </c>
      <c r="E625" s="170">
        <f t="shared" si="242"/>
        <v>5</v>
      </c>
      <c r="F625" s="185"/>
      <c r="G625" s="170">
        <f t="shared" si="243"/>
        <v>0</v>
      </c>
      <c r="H625" s="170">
        <v>0</v>
      </c>
      <c r="I625" s="11">
        <f t="shared" si="244"/>
        <v>80.94</v>
      </c>
      <c r="J625" s="11">
        <f t="shared" si="245"/>
        <v>1.75</v>
      </c>
      <c r="K625" s="416">
        <f t="shared" si="260"/>
        <v>404.7</v>
      </c>
      <c r="L625" s="180"/>
      <c r="M625" s="180"/>
      <c r="N625" s="186">
        <f t="shared" si="238"/>
        <v>404.7</v>
      </c>
      <c r="O625" s="29">
        <f t="shared" si="246"/>
        <v>0</v>
      </c>
      <c r="P625" s="181">
        <f t="shared" si="261"/>
        <v>0</v>
      </c>
      <c r="Q625" s="182">
        <f t="shared" si="247"/>
        <v>0</v>
      </c>
      <c r="R625" s="182">
        <f t="shared" si="248"/>
        <v>0</v>
      </c>
      <c r="S625" s="182">
        <f t="shared" si="249"/>
        <v>0</v>
      </c>
      <c r="T625" s="182">
        <f t="shared" si="250"/>
        <v>0</v>
      </c>
      <c r="U625" s="182">
        <f t="shared" si="251"/>
        <v>0</v>
      </c>
      <c r="V625" s="14">
        <f t="shared" si="252"/>
        <v>404.7</v>
      </c>
      <c r="W625" s="14">
        <f t="shared" si="253"/>
        <v>-404.7</v>
      </c>
      <c r="Y625" s="14">
        <f t="shared" si="256"/>
        <v>8.75</v>
      </c>
      <c r="Z625" s="14">
        <f t="shared" si="257"/>
        <v>-8.75</v>
      </c>
      <c r="AA625" s="11">
        <f t="shared" si="259"/>
        <v>2.41</v>
      </c>
      <c r="AB625" s="9">
        <f t="shared" si="262"/>
        <v>12.05</v>
      </c>
      <c r="AD625" s="13">
        <f>IF(AH625&gt;AH624,AD624,IF(AD624&lt;MiscData!$F$1,EOMONTH(AD624,1),EOMONTH(AD624,-11)))</f>
        <v>42247</v>
      </c>
      <c r="AE625" s="7" t="str">
        <f t="shared" si="254"/>
        <v>20140101KUUM_365</v>
      </c>
      <c r="AF625" s="12" t="str">
        <f t="shared" si="255"/>
        <v>20140101LS</v>
      </c>
      <c r="AG625" s="31"/>
      <c r="AH625">
        <f>IF(AH624=MiscData!$AB$91,1,AH624+1)</f>
        <v>8</v>
      </c>
      <c r="AI625">
        <f>IF(AD625&lt;=MiscData!$B$23,MiscData!$C$23,IF(AD625&lt;=MiscData!$B$24,MiscData!$C$24,MiscData!$C$25))</f>
        <v>20140101</v>
      </c>
      <c r="AK625" s="190" t="str">
        <f>VLOOKUP(AM625,MiscData!$AB$4:$ACB$113,2,FALSE)</f>
        <v>KUUM_365</v>
      </c>
      <c r="AL625" s="190" t="str">
        <f>VLOOKUP(AM625,MiscData!$AB$4:$AE$115,4,FALSE)</f>
        <v>LS</v>
      </c>
      <c r="AM625">
        <f>IF(AM624=MiscData!$AB$91,1,AM624+1)</f>
        <v>8</v>
      </c>
    </row>
    <row r="626" spans="1:39">
      <c r="A626" s="7">
        <f t="shared" si="258"/>
        <v>625</v>
      </c>
      <c r="B626" s="13" t="str">
        <f t="shared" si="239"/>
        <v>Aug 2015</v>
      </c>
      <c r="C626" s="23" t="str">
        <f t="shared" si="240"/>
        <v>LS</v>
      </c>
      <c r="D626" s="23" t="str">
        <f t="shared" si="241"/>
        <v>KUUM_366</v>
      </c>
      <c r="E626" s="170">
        <f t="shared" si="242"/>
        <v>9</v>
      </c>
      <c r="F626" s="185"/>
      <c r="G626" s="170">
        <f t="shared" si="243"/>
        <v>0</v>
      </c>
      <c r="H626" s="170">
        <v>0</v>
      </c>
      <c r="I626" s="11">
        <f t="shared" si="244"/>
        <v>78.97</v>
      </c>
      <c r="J626" s="11">
        <f t="shared" si="245"/>
        <v>1.75</v>
      </c>
      <c r="K626" s="416">
        <f t="shared" si="260"/>
        <v>710.73</v>
      </c>
      <c r="L626" s="180"/>
      <c r="M626" s="180"/>
      <c r="N626" s="186">
        <f t="shared" si="238"/>
        <v>710.73</v>
      </c>
      <c r="O626" s="29">
        <f t="shared" si="246"/>
        <v>0</v>
      </c>
      <c r="P626" s="181">
        <f t="shared" si="261"/>
        <v>0</v>
      </c>
      <c r="Q626" s="182">
        <f t="shared" si="247"/>
        <v>0</v>
      </c>
      <c r="R626" s="182">
        <f t="shared" si="248"/>
        <v>0</v>
      </c>
      <c r="S626" s="182">
        <f t="shared" si="249"/>
        <v>0</v>
      </c>
      <c r="T626" s="182">
        <f t="shared" si="250"/>
        <v>0</v>
      </c>
      <c r="U626" s="182">
        <f t="shared" si="251"/>
        <v>0</v>
      </c>
      <c r="V626" s="14">
        <f t="shared" si="252"/>
        <v>710.73</v>
      </c>
      <c r="W626" s="14">
        <f t="shared" si="253"/>
        <v>-710.73</v>
      </c>
      <c r="Y626" s="14">
        <f t="shared" si="256"/>
        <v>15.75</v>
      </c>
      <c r="Z626" s="14">
        <f t="shared" si="257"/>
        <v>-15.75</v>
      </c>
      <c r="AA626" s="11">
        <f t="shared" si="259"/>
        <v>2.41</v>
      </c>
      <c r="AB626" s="9">
        <f t="shared" si="262"/>
        <v>21.69</v>
      </c>
      <c r="AD626" s="13">
        <f>IF(AH626&gt;AH625,AD625,IF(AD625&lt;MiscData!$F$1,EOMONTH(AD625,1),EOMONTH(AD625,-11)))</f>
        <v>42247</v>
      </c>
      <c r="AE626" s="7" t="str">
        <f t="shared" si="254"/>
        <v>20140101KUUM_366</v>
      </c>
      <c r="AF626" s="12" t="str">
        <f t="shared" si="255"/>
        <v>20140101LS</v>
      </c>
      <c r="AG626" s="31"/>
      <c r="AH626">
        <f>IF(AH625=MiscData!$AB$91,1,AH625+1)</f>
        <v>9</v>
      </c>
      <c r="AI626">
        <f>IF(AD626&lt;=MiscData!$B$23,MiscData!$C$23,IF(AD626&lt;=MiscData!$B$24,MiscData!$C$24,MiscData!$C$25))</f>
        <v>20140101</v>
      </c>
      <c r="AK626" s="190" t="str">
        <f>VLOOKUP(AM626,MiscData!$AB$4:$ACB$113,2,FALSE)</f>
        <v>KUUM_366</v>
      </c>
      <c r="AL626" s="190" t="str">
        <f>VLOOKUP(AM626,MiscData!$AB$4:$AE$115,4,FALSE)</f>
        <v>LS</v>
      </c>
      <c r="AM626">
        <f>IF(AM625=MiscData!$AB$91,1,AM625+1)</f>
        <v>9</v>
      </c>
    </row>
    <row r="627" spans="1:39">
      <c r="A627" s="7">
        <f t="shared" si="258"/>
        <v>626</v>
      </c>
      <c r="B627" s="13" t="str">
        <f t="shared" si="239"/>
        <v>Aug 2015</v>
      </c>
      <c r="C627" s="23" t="str">
        <f t="shared" si="240"/>
        <v>LS</v>
      </c>
      <c r="D627" s="23" t="str">
        <f t="shared" si="241"/>
        <v>KUUM_367</v>
      </c>
      <c r="E627" s="170">
        <f t="shared" si="242"/>
        <v>25</v>
      </c>
      <c r="F627" s="185"/>
      <c r="G627" s="170">
        <f t="shared" si="243"/>
        <v>0</v>
      </c>
      <c r="H627" s="170">
        <v>0</v>
      </c>
      <c r="I627" s="11">
        <f t="shared" si="244"/>
        <v>61.230000000000004</v>
      </c>
      <c r="J627" s="11">
        <f t="shared" si="245"/>
        <v>1.75</v>
      </c>
      <c r="K627" s="416">
        <f t="shared" si="260"/>
        <v>1530.75</v>
      </c>
      <c r="L627" s="180"/>
      <c r="M627" s="180"/>
      <c r="N627" s="186">
        <f t="shared" si="238"/>
        <v>1530.75</v>
      </c>
      <c r="O627" s="29">
        <f t="shared" si="246"/>
        <v>0</v>
      </c>
      <c r="P627" s="181">
        <f t="shared" si="261"/>
        <v>0</v>
      </c>
      <c r="Q627" s="182">
        <f t="shared" si="247"/>
        <v>0</v>
      </c>
      <c r="R627" s="182">
        <f t="shared" si="248"/>
        <v>0</v>
      </c>
      <c r="S627" s="182">
        <f t="shared" si="249"/>
        <v>0</v>
      </c>
      <c r="T627" s="182">
        <f t="shared" si="250"/>
        <v>0</v>
      </c>
      <c r="U627" s="182">
        <f t="shared" si="251"/>
        <v>0</v>
      </c>
      <c r="V627" s="14">
        <f t="shared" si="252"/>
        <v>1530.75</v>
      </c>
      <c r="W627" s="14">
        <f t="shared" si="253"/>
        <v>-1530.75</v>
      </c>
      <c r="Y627" s="14">
        <f t="shared" si="256"/>
        <v>43.75</v>
      </c>
      <c r="Z627" s="14">
        <f t="shared" si="257"/>
        <v>-43.75</v>
      </c>
      <c r="AA627" s="11">
        <f t="shared" si="259"/>
        <v>2.41</v>
      </c>
      <c r="AB627" s="9">
        <f t="shared" si="262"/>
        <v>60.25</v>
      </c>
      <c r="AD627" s="13">
        <f>IF(AH627&gt;AH626,AD626,IF(AD626&lt;MiscData!$F$1,EOMONTH(AD626,1),EOMONTH(AD626,-11)))</f>
        <v>42247</v>
      </c>
      <c r="AE627" s="7" t="str">
        <f t="shared" si="254"/>
        <v>20140101KUUM_367</v>
      </c>
      <c r="AF627" s="12" t="str">
        <f t="shared" si="255"/>
        <v>20140101LS</v>
      </c>
      <c r="AG627" s="31"/>
      <c r="AH627">
        <f>IF(AH626=MiscData!$AB$91,1,AH626+1)</f>
        <v>10</v>
      </c>
      <c r="AI627">
        <f>IF(AD627&lt;=MiscData!$B$23,MiscData!$C$23,IF(AD627&lt;=MiscData!$B$24,MiscData!$C$24,MiscData!$C$25))</f>
        <v>20140101</v>
      </c>
      <c r="AK627" s="190" t="str">
        <f>VLOOKUP(AM627,MiscData!$AB$4:$ACB$113,2,FALSE)</f>
        <v>KUUM_367</v>
      </c>
      <c r="AL627" s="190" t="str">
        <f>VLOOKUP(AM627,MiscData!$AB$4:$AE$115,4,FALSE)</f>
        <v>LS</v>
      </c>
      <c r="AM627">
        <f>IF(AM626=MiscData!$AB$91,1,AM626+1)</f>
        <v>10</v>
      </c>
    </row>
    <row r="628" spans="1:39">
      <c r="A628" s="7">
        <f t="shared" si="258"/>
        <v>627</v>
      </c>
      <c r="B628" s="13" t="str">
        <f t="shared" si="239"/>
        <v>Aug 2015</v>
      </c>
      <c r="C628" s="23" t="str">
        <f t="shared" si="240"/>
        <v>LS</v>
      </c>
      <c r="D628" s="23" t="str">
        <f t="shared" si="241"/>
        <v>KUUM_368</v>
      </c>
      <c r="E628" s="170">
        <f t="shared" si="242"/>
        <v>1</v>
      </c>
      <c r="F628" s="185"/>
      <c r="G628" s="170">
        <f t="shared" si="243"/>
        <v>0</v>
      </c>
      <c r="H628" s="170">
        <v>0</v>
      </c>
      <c r="I628" s="11">
        <f t="shared" si="244"/>
        <v>56.69</v>
      </c>
      <c r="J628" s="11">
        <f t="shared" si="245"/>
        <v>1.75</v>
      </c>
      <c r="K628" s="416">
        <f t="shared" si="260"/>
        <v>56.69</v>
      </c>
      <c r="L628" s="180"/>
      <c r="M628" s="180"/>
      <c r="N628" s="186">
        <f t="shared" si="238"/>
        <v>56.69</v>
      </c>
      <c r="O628" s="29">
        <f t="shared" si="246"/>
        <v>0</v>
      </c>
      <c r="P628" s="181">
        <f t="shared" si="261"/>
        <v>0</v>
      </c>
      <c r="Q628" s="182">
        <f t="shared" si="247"/>
        <v>0</v>
      </c>
      <c r="R628" s="182">
        <f t="shared" si="248"/>
        <v>0</v>
      </c>
      <c r="S628" s="182">
        <f t="shared" si="249"/>
        <v>0</v>
      </c>
      <c r="T628" s="182">
        <f t="shared" si="250"/>
        <v>0</v>
      </c>
      <c r="U628" s="182">
        <f t="shared" si="251"/>
        <v>0</v>
      </c>
      <c r="V628" s="14">
        <f t="shared" si="252"/>
        <v>56.69</v>
      </c>
      <c r="W628" s="14">
        <f t="shared" si="253"/>
        <v>-56.69</v>
      </c>
      <c r="Y628" s="14">
        <f t="shared" si="256"/>
        <v>1.75</v>
      </c>
      <c r="Z628" s="14">
        <f t="shared" si="257"/>
        <v>-1.75</v>
      </c>
      <c r="AA628" s="11">
        <f t="shared" si="259"/>
        <v>2.41</v>
      </c>
      <c r="AB628" s="9">
        <f t="shared" si="262"/>
        <v>2.41</v>
      </c>
      <c r="AD628" s="13">
        <f>IF(AH628&gt;AH627,AD627,IF(AD627&lt;MiscData!$F$1,EOMONTH(AD627,1),EOMONTH(AD627,-11)))</f>
        <v>42247</v>
      </c>
      <c r="AE628" s="7" t="str">
        <f t="shared" si="254"/>
        <v>20140101KUUM_368</v>
      </c>
      <c r="AF628" s="12" t="str">
        <f t="shared" si="255"/>
        <v>20140101LS</v>
      </c>
      <c r="AG628" s="31"/>
      <c r="AH628">
        <f>IF(AH627=MiscData!$AB$91,1,AH627+1)</f>
        <v>11</v>
      </c>
      <c r="AI628">
        <f>IF(AD628&lt;=MiscData!$B$23,MiscData!$C$23,IF(AD628&lt;=MiscData!$B$24,MiscData!$C$24,MiscData!$C$25))</f>
        <v>20140101</v>
      </c>
      <c r="AK628" s="190" t="str">
        <f>VLOOKUP(AM628,MiscData!$AB$4:$ACB$113,2,FALSE)</f>
        <v>KUUM_368</v>
      </c>
      <c r="AL628" s="190" t="str">
        <f>VLOOKUP(AM628,MiscData!$AB$4:$AE$115,4,FALSE)</f>
        <v>LS</v>
      </c>
      <c r="AM628">
        <f>IF(AM627=MiscData!$AB$91,1,AM627+1)</f>
        <v>11</v>
      </c>
    </row>
    <row r="629" spans="1:39">
      <c r="A629" s="7">
        <f t="shared" si="258"/>
        <v>628</v>
      </c>
      <c r="B629" s="13" t="str">
        <f t="shared" si="239"/>
        <v>Aug 2015</v>
      </c>
      <c r="C629" s="23" t="str">
        <f t="shared" si="240"/>
        <v>LS</v>
      </c>
      <c r="D629" s="23" t="str">
        <f t="shared" si="241"/>
        <v>KUUM_370</v>
      </c>
      <c r="E629" s="170">
        <f t="shared" si="242"/>
        <v>15</v>
      </c>
      <c r="F629" s="185"/>
      <c r="G629" s="170">
        <f t="shared" si="243"/>
        <v>0</v>
      </c>
      <c r="H629" s="170">
        <v>0</v>
      </c>
      <c r="I629" s="11">
        <f t="shared" si="244"/>
        <v>74.52</v>
      </c>
      <c r="J629" s="11">
        <f t="shared" si="245"/>
        <v>1.75</v>
      </c>
      <c r="K629" s="416">
        <f t="shared" si="260"/>
        <v>1117.8</v>
      </c>
      <c r="L629" s="180"/>
      <c r="M629" s="180"/>
      <c r="N629" s="186">
        <f t="shared" si="238"/>
        <v>1117.8</v>
      </c>
      <c r="O629" s="29">
        <f t="shared" si="246"/>
        <v>0</v>
      </c>
      <c r="P629" s="181">
        <f t="shared" si="261"/>
        <v>0</v>
      </c>
      <c r="Q629" s="182">
        <f t="shared" si="247"/>
        <v>0</v>
      </c>
      <c r="R629" s="182">
        <f t="shared" si="248"/>
        <v>0</v>
      </c>
      <c r="S629" s="182">
        <f t="shared" si="249"/>
        <v>0</v>
      </c>
      <c r="T629" s="182">
        <f t="shared" si="250"/>
        <v>0</v>
      </c>
      <c r="U629" s="182">
        <f t="shared" si="251"/>
        <v>0</v>
      </c>
      <c r="V629" s="14">
        <f t="shared" si="252"/>
        <v>1117.8</v>
      </c>
      <c r="W629" s="14">
        <f t="shared" si="253"/>
        <v>-1117.8</v>
      </c>
      <c r="Y629" s="14">
        <f t="shared" si="256"/>
        <v>26.25</v>
      </c>
      <c r="Z629" s="14">
        <f t="shared" si="257"/>
        <v>-26.25</v>
      </c>
      <c r="AA629" s="11">
        <f t="shared" si="259"/>
        <v>2.41</v>
      </c>
      <c r="AB629" s="9">
        <f t="shared" si="262"/>
        <v>36.150000000000006</v>
      </c>
      <c r="AD629" s="13">
        <f>IF(AH629&gt;AH628,AD628,IF(AD628&lt;MiscData!$F$1,EOMONTH(AD628,1),EOMONTH(AD628,-11)))</f>
        <v>42247</v>
      </c>
      <c r="AE629" s="7" t="str">
        <f t="shared" si="254"/>
        <v>20140101KUUM_370</v>
      </c>
      <c r="AF629" s="12" t="str">
        <f t="shared" si="255"/>
        <v>20140101LS</v>
      </c>
      <c r="AG629" s="31"/>
      <c r="AH629">
        <f>IF(AH628=MiscData!$AB$91,1,AH628+1)</f>
        <v>12</v>
      </c>
      <c r="AI629">
        <f>IF(AD629&lt;=MiscData!$B$23,MiscData!$C$23,IF(AD629&lt;=MiscData!$B$24,MiscData!$C$24,MiscData!$C$25))</f>
        <v>20140101</v>
      </c>
      <c r="AK629" s="190" t="str">
        <f>VLOOKUP(AM629,MiscData!$AB$4:$ACB$113,2,FALSE)</f>
        <v>KUUM_370</v>
      </c>
      <c r="AL629" s="190" t="str">
        <f>VLOOKUP(AM629,MiscData!$AB$4:$AE$115,4,FALSE)</f>
        <v>LS</v>
      </c>
      <c r="AM629">
        <f>IF(AM628=MiscData!$AB$91,1,AM628+1)</f>
        <v>12</v>
      </c>
    </row>
    <row r="630" spans="1:39">
      <c r="A630" s="7">
        <f t="shared" si="258"/>
        <v>629</v>
      </c>
      <c r="B630" s="13" t="str">
        <f t="shared" si="239"/>
        <v>Aug 2015</v>
      </c>
      <c r="C630" s="23" t="str">
        <f t="shared" si="240"/>
        <v>LS</v>
      </c>
      <c r="D630" s="23" t="str">
        <f t="shared" si="241"/>
        <v>KUUM_372</v>
      </c>
      <c r="E630" s="170">
        <f t="shared" si="242"/>
        <v>1</v>
      </c>
      <c r="F630" s="185"/>
      <c r="G630" s="170">
        <f t="shared" si="243"/>
        <v>0</v>
      </c>
      <c r="H630" s="170">
        <v>0</v>
      </c>
      <c r="I630" s="11">
        <f t="shared" si="244"/>
        <v>82.3</v>
      </c>
      <c r="J630" s="11">
        <f t="shared" si="245"/>
        <v>1.75</v>
      </c>
      <c r="K630" s="416">
        <f t="shared" si="260"/>
        <v>82.3</v>
      </c>
      <c r="L630" s="180"/>
      <c r="M630" s="180"/>
      <c r="N630" s="186">
        <f t="shared" si="238"/>
        <v>82.3</v>
      </c>
      <c r="O630" s="29">
        <f t="shared" si="246"/>
        <v>0</v>
      </c>
      <c r="P630" s="181">
        <f t="shared" si="261"/>
        <v>0</v>
      </c>
      <c r="Q630" s="182">
        <f t="shared" si="247"/>
        <v>0</v>
      </c>
      <c r="R630" s="182">
        <f t="shared" si="248"/>
        <v>0</v>
      </c>
      <c r="S630" s="182">
        <f t="shared" si="249"/>
        <v>0</v>
      </c>
      <c r="T630" s="182">
        <f t="shared" si="250"/>
        <v>0</v>
      </c>
      <c r="U630" s="182">
        <f t="shared" si="251"/>
        <v>0</v>
      </c>
      <c r="V630" s="14">
        <f t="shared" si="252"/>
        <v>82.3</v>
      </c>
      <c r="W630" s="14">
        <f t="shared" si="253"/>
        <v>-82.3</v>
      </c>
      <c r="Y630" s="14">
        <f t="shared" si="256"/>
        <v>1.75</v>
      </c>
      <c r="Z630" s="14">
        <f t="shared" si="257"/>
        <v>-1.75</v>
      </c>
      <c r="AA630" s="11">
        <f t="shared" si="259"/>
        <v>2.41</v>
      </c>
      <c r="AB630" s="9">
        <f t="shared" si="262"/>
        <v>2.41</v>
      </c>
      <c r="AD630" s="13">
        <f>IF(AH630&gt;AH629,AD629,IF(AD629&lt;MiscData!$F$1,EOMONTH(AD629,1),EOMONTH(AD629,-11)))</f>
        <v>42247</v>
      </c>
      <c r="AE630" s="7" t="str">
        <f t="shared" si="254"/>
        <v>20140101KUUM_372</v>
      </c>
      <c r="AF630" s="12" t="str">
        <f t="shared" si="255"/>
        <v>20140101LS</v>
      </c>
      <c r="AG630" s="31"/>
      <c r="AH630">
        <f>IF(AH629=MiscData!$AB$91,1,AH629+1)</f>
        <v>13</v>
      </c>
      <c r="AI630">
        <f>IF(AD630&lt;=MiscData!$B$23,MiscData!$C$23,IF(AD630&lt;=MiscData!$B$24,MiscData!$C$24,MiscData!$C$25))</f>
        <v>20140101</v>
      </c>
      <c r="AK630" s="190" t="str">
        <f>VLOOKUP(AM630,MiscData!$AB$4:$ACB$113,2,FALSE)</f>
        <v>KUUM_372</v>
      </c>
      <c r="AL630" s="190" t="str">
        <f>VLOOKUP(AM630,MiscData!$AB$4:$AE$115,4,FALSE)</f>
        <v>LS</v>
      </c>
      <c r="AM630">
        <f>IF(AM629=MiscData!$AB$91,1,AM629+1)</f>
        <v>13</v>
      </c>
    </row>
    <row r="631" spans="1:39">
      <c r="A631" s="7">
        <f t="shared" si="258"/>
        <v>630</v>
      </c>
      <c r="B631" s="13" t="str">
        <f t="shared" si="239"/>
        <v>Aug 2015</v>
      </c>
      <c r="C631" s="23" t="str">
        <f t="shared" si="240"/>
        <v>LS</v>
      </c>
      <c r="D631" s="23" t="str">
        <f t="shared" si="241"/>
        <v>KUUM_373</v>
      </c>
      <c r="E631" s="170">
        <f t="shared" si="242"/>
        <v>20</v>
      </c>
      <c r="F631" s="185"/>
      <c r="G631" s="170">
        <f t="shared" si="243"/>
        <v>0</v>
      </c>
      <c r="H631" s="170">
        <v>0</v>
      </c>
      <c r="I631" s="11">
        <f t="shared" si="244"/>
        <v>74.52</v>
      </c>
      <c r="J631" s="11">
        <f t="shared" si="245"/>
        <v>1.75</v>
      </c>
      <c r="K631" s="416">
        <f t="shared" si="260"/>
        <v>1490.4</v>
      </c>
      <c r="L631" s="180"/>
      <c r="M631" s="180"/>
      <c r="N631" s="186">
        <f t="shared" si="238"/>
        <v>1490.4</v>
      </c>
      <c r="O631" s="29">
        <f t="shared" si="246"/>
        <v>0</v>
      </c>
      <c r="P631" s="181">
        <f t="shared" si="261"/>
        <v>0</v>
      </c>
      <c r="Q631" s="182">
        <f t="shared" si="247"/>
        <v>0</v>
      </c>
      <c r="R631" s="182">
        <f t="shared" si="248"/>
        <v>0</v>
      </c>
      <c r="S631" s="182">
        <f t="shared" si="249"/>
        <v>0</v>
      </c>
      <c r="T631" s="182">
        <f t="shared" si="250"/>
        <v>0</v>
      </c>
      <c r="U631" s="182">
        <f t="shared" si="251"/>
        <v>0</v>
      </c>
      <c r="V631" s="14">
        <f t="shared" si="252"/>
        <v>1490.4</v>
      </c>
      <c r="W631" s="14">
        <f t="shared" si="253"/>
        <v>-1490.4</v>
      </c>
      <c r="Y631" s="14">
        <f t="shared" si="256"/>
        <v>35</v>
      </c>
      <c r="Z631" s="14">
        <f t="shared" si="257"/>
        <v>-35</v>
      </c>
      <c r="AA631" s="11">
        <f t="shared" si="259"/>
        <v>2.41</v>
      </c>
      <c r="AB631" s="9">
        <f t="shared" si="262"/>
        <v>48.2</v>
      </c>
      <c r="AD631" s="13">
        <f>IF(AH631&gt;AH630,AD630,IF(AD630&lt;MiscData!$F$1,EOMONTH(AD630,1),EOMONTH(AD630,-11)))</f>
        <v>42247</v>
      </c>
      <c r="AE631" s="7" t="str">
        <f t="shared" si="254"/>
        <v>20140101KUUM_373</v>
      </c>
      <c r="AF631" s="12" t="str">
        <f t="shared" si="255"/>
        <v>20140101LS</v>
      </c>
      <c r="AG631" s="31"/>
      <c r="AH631">
        <f>IF(AH630=MiscData!$AB$91,1,AH630+1)</f>
        <v>14</v>
      </c>
      <c r="AI631">
        <f>IF(AD631&lt;=MiscData!$B$23,MiscData!$C$23,IF(AD631&lt;=MiscData!$B$24,MiscData!$C$24,MiscData!$C$25))</f>
        <v>20140101</v>
      </c>
      <c r="AK631" s="190" t="str">
        <f>VLOOKUP(AM631,MiscData!$AB$4:$ACB$113,2,FALSE)</f>
        <v>KUUM_373</v>
      </c>
      <c r="AL631" s="190" t="str">
        <f>VLOOKUP(AM631,MiscData!$AB$4:$AE$115,4,FALSE)</f>
        <v>LS</v>
      </c>
      <c r="AM631">
        <f>IF(AM630=MiscData!$AB$91,1,AM630+1)</f>
        <v>14</v>
      </c>
    </row>
    <row r="632" spans="1:39">
      <c r="A632" s="7">
        <f t="shared" si="258"/>
        <v>631</v>
      </c>
      <c r="B632" s="13" t="str">
        <f t="shared" si="239"/>
        <v>Aug 2015</v>
      </c>
      <c r="C632" s="23" t="str">
        <f t="shared" si="240"/>
        <v>LS</v>
      </c>
      <c r="D632" s="23" t="str">
        <f t="shared" si="241"/>
        <v>KUUM_374</v>
      </c>
      <c r="E632" s="170">
        <f t="shared" si="242"/>
        <v>4</v>
      </c>
      <c r="F632" s="185"/>
      <c r="G632" s="170">
        <f t="shared" si="243"/>
        <v>0</v>
      </c>
      <c r="H632" s="170">
        <v>0</v>
      </c>
      <c r="I632" s="11">
        <f t="shared" si="244"/>
        <v>75.88</v>
      </c>
      <c r="J632" s="11">
        <f t="shared" si="245"/>
        <v>1.75</v>
      </c>
      <c r="K632" s="416">
        <f t="shared" si="260"/>
        <v>303.52</v>
      </c>
      <c r="L632" s="180"/>
      <c r="M632" s="180"/>
      <c r="N632" s="186">
        <f t="shared" ref="N632:N695" si="263">SUM(K632:M632)</f>
        <v>303.52</v>
      </c>
      <c r="O632" s="29">
        <f t="shared" si="246"/>
        <v>0</v>
      </c>
      <c r="P632" s="181">
        <f t="shared" si="261"/>
        <v>0</v>
      </c>
      <c r="Q632" s="182">
        <f t="shared" si="247"/>
        <v>0</v>
      </c>
      <c r="R632" s="182">
        <f t="shared" si="248"/>
        <v>0</v>
      </c>
      <c r="S632" s="182">
        <f t="shared" si="249"/>
        <v>0</v>
      </c>
      <c r="T632" s="182">
        <f t="shared" si="250"/>
        <v>0</v>
      </c>
      <c r="U632" s="182">
        <f t="shared" si="251"/>
        <v>0</v>
      </c>
      <c r="V632" s="14">
        <f t="shared" si="252"/>
        <v>303.52</v>
      </c>
      <c r="W632" s="14">
        <f t="shared" si="253"/>
        <v>-303.52</v>
      </c>
      <c r="Y632" s="14">
        <f t="shared" si="256"/>
        <v>7</v>
      </c>
      <c r="Z632" s="14">
        <f t="shared" si="257"/>
        <v>-7</v>
      </c>
      <c r="AA632" s="11">
        <f t="shared" si="259"/>
        <v>2.41</v>
      </c>
      <c r="AB632" s="9">
        <f t="shared" si="262"/>
        <v>9.64</v>
      </c>
      <c r="AD632" s="13">
        <f>IF(AH632&gt;AH631,AD631,IF(AD631&lt;MiscData!$F$1,EOMONTH(AD631,1),EOMONTH(AD631,-11)))</f>
        <v>42247</v>
      </c>
      <c r="AE632" s="7" t="str">
        <f t="shared" si="254"/>
        <v>20140101KUUM_374</v>
      </c>
      <c r="AF632" s="12" t="str">
        <f t="shared" si="255"/>
        <v>20140101LS</v>
      </c>
      <c r="AG632" s="31"/>
      <c r="AH632">
        <f>IF(AH631=MiscData!$AB$91,1,AH631+1)</f>
        <v>15</v>
      </c>
      <c r="AI632">
        <f>IF(AD632&lt;=MiscData!$B$23,MiscData!$C$23,IF(AD632&lt;=MiscData!$B$24,MiscData!$C$24,MiscData!$C$25))</f>
        <v>20140101</v>
      </c>
      <c r="AK632" s="190" t="str">
        <f>VLOOKUP(AM632,MiscData!$AB$4:$ACB$113,2,FALSE)</f>
        <v>KUUM_374</v>
      </c>
      <c r="AL632" s="190" t="str">
        <f>VLOOKUP(AM632,MiscData!$AB$4:$AE$115,4,FALSE)</f>
        <v>LS</v>
      </c>
      <c r="AM632">
        <f>IF(AM631=MiscData!$AB$91,1,AM631+1)</f>
        <v>15</v>
      </c>
    </row>
    <row r="633" spans="1:39">
      <c r="A633" s="7">
        <f t="shared" si="258"/>
        <v>632</v>
      </c>
      <c r="B633" s="13" t="str">
        <f t="shared" si="239"/>
        <v>Aug 2015</v>
      </c>
      <c r="C633" s="23" t="str">
        <f t="shared" si="240"/>
        <v>LS</v>
      </c>
      <c r="D633" s="23" t="str">
        <f t="shared" si="241"/>
        <v>KUUM_375</v>
      </c>
      <c r="E633" s="170">
        <f t="shared" si="242"/>
        <v>3</v>
      </c>
      <c r="F633" s="185"/>
      <c r="G633" s="170">
        <f t="shared" si="243"/>
        <v>0</v>
      </c>
      <c r="H633" s="170">
        <v>0</v>
      </c>
      <c r="I633" s="11">
        <f t="shared" si="244"/>
        <v>78.97</v>
      </c>
      <c r="J633" s="11">
        <f t="shared" si="245"/>
        <v>1.75</v>
      </c>
      <c r="K633" s="416">
        <f t="shared" si="260"/>
        <v>236.91</v>
      </c>
      <c r="L633" s="180"/>
      <c r="M633" s="180"/>
      <c r="N633" s="186">
        <f t="shared" si="263"/>
        <v>236.91</v>
      </c>
      <c r="O633" s="29">
        <f t="shared" si="246"/>
        <v>0</v>
      </c>
      <c r="P633" s="181">
        <f t="shared" si="261"/>
        <v>0</v>
      </c>
      <c r="Q633" s="182">
        <f t="shared" si="247"/>
        <v>0</v>
      </c>
      <c r="R633" s="182">
        <f t="shared" si="248"/>
        <v>0</v>
      </c>
      <c r="S633" s="182">
        <f t="shared" si="249"/>
        <v>0</v>
      </c>
      <c r="T633" s="182">
        <f t="shared" si="250"/>
        <v>0</v>
      </c>
      <c r="U633" s="182">
        <f t="shared" si="251"/>
        <v>0</v>
      </c>
      <c r="V633" s="14">
        <f t="shared" si="252"/>
        <v>236.91</v>
      </c>
      <c r="W633" s="14">
        <f t="shared" si="253"/>
        <v>-236.91</v>
      </c>
      <c r="Y633" s="14">
        <f t="shared" si="256"/>
        <v>5.25</v>
      </c>
      <c r="Z633" s="14">
        <f t="shared" si="257"/>
        <v>-5.25</v>
      </c>
      <c r="AA633" s="11">
        <f t="shared" si="259"/>
        <v>2.41</v>
      </c>
      <c r="AB633" s="9">
        <f t="shared" si="262"/>
        <v>7.23</v>
      </c>
      <c r="AD633" s="13">
        <f>IF(AH633&gt;AH632,AD632,IF(AD632&lt;MiscData!$F$1,EOMONTH(AD632,1),EOMONTH(AD632,-11)))</f>
        <v>42247</v>
      </c>
      <c r="AE633" s="7" t="str">
        <f t="shared" si="254"/>
        <v>20140101KUUM_375</v>
      </c>
      <c r="AF633" s="12" t="str">
        <f t="shared" si="255"/>
        <v>20140101LS</v>
      </c>
      <c r="AG633" s="31"/>
      <c r="AH633">
        <f>IF(AH632=MiscData!$AB$91,1,AH632+1)</f>
        <v>16</v>
      </c>
      <c r="AI633">
        <f>IF(AD633&lt;=MiscData!$B$23,MiscData!$C$23,IF(AD633&lt;=MiscData!$B$24,MiscData!$C$24,MiscData!$C$25))</f>
        <v>20140101</v>
      </c>
      <c r="AK633" s="190" t="str">
        <f>VLOOKUP(AM633,MiscData!$AB$4:$ACB$113,2,FALSE)</f>
        <v>KUUM_375</v>
      </c>
      <c r="AL633" s="190" t="str">
        <f>VLOOKUP(AM633,MiscData!$AB$4:$AE$115,4,FALSE)</f>
        <v>LS</v>
      </c>
      <c r="AM633">
        <f>IF(AM632=MiscData!$AB$91,1,AM632+1)</f>
        <v>16</v>
      </c>
    </row>
    <row r="634" spans="1:39">
      <c r="A634" s="7">
        <f t="shared" si="258"/>
        <v>633</v>
      </c>
      <c r="B634" s="13" t="str">
        <f t="shared" ref="B634:B697" si="264">TEXT(AD634,"mmm yyyy")</f>
        <v>Aug 2015</v>
      </c>
      <c r="C634" s="23" t="str">
        <f t="shared" ref="C634:C697" si="265">AL634</f>
        <v>LS</v>
      </c>
      <c r="D634" s="23" t="str">
        <f t="shared" ref="D634:D697" si="266">AK634</f>
        <v>KUUM_376</v>
      </c>
      <c r="E634" s="170">
        <f t="shared" ref="E634:E697" si="267">SUMIFS(_1055_Light_Count,_1055_RevMonth,$B634,_1055_RateCategory,$D634)</f>
        <v>2</v>
      </c>
      <c r="F634" s="185"/>
      <c r="G634" s="170">
        <f t="shared" ref="G634:G697" si="268">SUMIFS(_SBR_KWH,_SBR_Revenue_Month,$B634,_SBR_Rate_Category,$D634)</f>
        <v>0</v>
      </c>
      <c r="H634" s="170">
        <v>0</v>
      </c>
      <c r="I634" s="11">
        <f t="shared" ref="I634:I697" si="269">SUMIF(_Lights_Tariff_Category,$AE634,_Lights_Rates)</f>
        <v>77.259999999999991</v>
      </c>
      <c r="J634" s="11">
        <f t="shared" ref="J634:J697" si="270">SUMIF(_Lights_Tariff_Category,$AE634,_Rates_Lights_BaseFAC)</f>
        <v>1.75</v>
      </c>
      <c r="K634" s="416">
        <f t="shared" si="260"/>
        <v>154.52000000000001</v>
      </c>
      <c r="L634" s="180"/>
      <c r="M634" s="180"/>
      <c r="N634" s="186">
        <f t="shared" si="263"/>
        <v>154.52000000000001</v>
      </c>
      <c r="O634" s="29">
        <f t="shared" ref="O634:O697" si="271">U634-SUM(Q634:T634)</f>
        <v>0</v>
      </c>
      <c r="P634" s="181">
        <f t="shared" si="261"/>
        <v>0</v>
      </c>
      <c r="Q634" s="182">
        <f t="shared" ref="Q634:Q697" si="272">SUMIFS(_SBR_FAC,_SBR_Revenue_Month,$B634,_SBR_Rate_Category,$D634)</f>
        <v>0</v>
      </c>
      <c r="R634" s="182">
        <f t="shared" ref="R634:R697" si="273">SUMIFS(_SBR_DSM,_SBR_Revenue_Month,$B634,_SBR_Rate_Category,$D634)</f>
        <v>0</v>
      </c>
      <c r="S634" s="182">
        <f t="shared" ref="S634:S697" si="274">SUMIFS(_SBR_ECR,_SBR_Revenue_Month,$B634,_SBR_Rate_Category,$D634)</f>
        <v>0</v>
      </c>
      <c r="T634" s="182">
        <f t="shared" ref="T634:T697" si="275">SUMIFS(_SBR_MSR,_SBR_Revenue_Month,$B634,_SBR_Rate_Category,$D634)</f>
        <v>0</v>
      </c>
      <c r="U634" s="182">
        <f t="shared" ref="U634:U697" si="276">SUMIFS(_SBR_Revenue_Actual,_SBR_Revenue_Month,$B634,_SBR_Rate_Category,$D634)</f>
        <v>0</v>
      </c>
      <c r="V634" s="14">
        <f t="shared" ref="V634:V697" si="277">SUM(N634,Q634:T634)</f>
        <v>154.52000000000001</v>
      </c>
      <c r="W634" s="14">
        <f t="shared" ref="W634:W697" si="278">U634-V634</f>
        <v>-154.52000000000001</v>
      </c>
      <c r="Y634" s="14">
        <f t="shared" si="256"/>
        <v>3.5</v>
      </c>
      <c r="Z634" s="14">
        <f t="shared" si="257"/>
        <v>-3.5</v>
      </c>
      <c r="AA634" s="11">
        <f t="shared" si="259"/>
        <v>2.41</v>
      </c>
      <c r="AB634" s="9">
        <f t="shared" si="262"/>
        <v>4.82</v>
      </c>
      <c r="AD634" s="13">
        <f>IF(AH634&gt;AH633,AD633,IF(AD633&lt;MiscData!$F$1,EOMONTH(AD633,1),EOMONTH(AD633,-11)))</f>
        <v>42247</v>
      </c>
      <c r="AE634" s="7" t="str">
        <f t="shared" ref="AE634:AE697" si="279">CONCATENATE(AI634&amp;AK634)</f>
        <v>20140101KUUM_376</v>
      </c>
      <c r="AF634" s="12" t="str">
        <f t="shared" ref="AF634:AF697" si="280">CONCATENATE(AI634&amp;AL634)</f>
        <v>20140101LS</v>
      </c>
      <c r="AG634" s="31"/>
      <c r="AH634">
        <f>IF(AH633=MiscData!$AB$91,1,AH633+1)</f>
        <v>17</v>
      </c>
      <c r="AI634">
        <f>IF(AD634&lt;=MiscData!$B$23,MiscData!$C$23,IF(AD634&lt;=MiscData!$B$24,MiscData!$C$24,MiscData!$C$25))</f>
        <v>20140101</v>
      </c>
      <c r="AK634" s="190" t="str">
        <f>VLOOKUP(AM634,MiscData!$AB$4:$ACB$113,2,FALSE)</f>
        <v>KUUM_376</v>
      </c>
      <c r="AL634" s="190" t="str">
        <f>VLOOKUP(AM634,MiscData!$AB$4:$AE$115,4,FALSE)</f>
        <v>LS</v>
      </c>
      <c r="AM634">
        <f>IF(AM633=MiscData!$AB$91,1,AM633+1)</f>
        <v>17</v>
      </c>
    </row>
    <row r="635" spans="1:39">
      <c r="A635" s="7">
        <f t="shared" si="258"/>
        <v>634</v>
      </c>
      <c r="B635" s="13" t="str">
        <f t="shared" si="264"/>
        <v>Aug 2015</v>
      </c>
      <c r="C635" s="23" t="str">
        <f t="shared" si="265"/>
        <v>LS</v>
      </c>
      <c r="D635" s="23" t="str">
        <f t="shared" si="266"/>
        <v>KUUM_377</v>
      </c>
      <c r="E635" s="170">
        <f t="shared" si="267"/>
        <v>51</v>
      </c>
      <c r="F635" s="185"/>
      <c r="G635" s="170">
        <f t="shared" si="268"/>
        <v>0</v>
      </c>
      <c r="H635" s="170">
        <v>0</v>
      </c>
      <c r="I635" s="11">
        <f t="shared" si="269"/>
        <v>64.19</v>
      </c>
      <c r="J635" s="11">
        <f t="shared" si="270"/>
        <v>1.75</v>
      </c>
      <c r="K635" s="416">
        <f t="shared" si="260"/>
        <v>3273.69</v>
      </c>
      <c r="L635" s="180"/>
      <c r="M635" s="180"/>
      <c r="N635" s="186">
        <f t="shared" si="263"/>
        <v>3273.69</v>
      </c>
      <c r="O635" s="29">
        <f t="shared" si="271"/>
        <v>0</v>
      </c>
      <c r="P635" s="181">
        <f t="shared" si="261"/>
        <v>0</v>
      </c>
      <c r="Q635" s="182">
        <f t="shared" si="272"/>
        <v>0</v>
      </c>
      <c r="R635" s="182">
        <f t="shared" si="273"/>
        <v>0</v>
      </c>
      <c r="S635" s="182">
        <f t="shared" si="274"/>
        <v>0</v>
      </c>
      <c r="T635" s="182">
        <f t="shared" si="275"/>
        <v>0</v>
      </c>
      <c r="U635" s="182">
        <f t="shared" si="276"/>
        <v>0</v>
      </c>
      <c r="V635" s="14">
        <f t="shared" si="277"/>
        <v>3273.69</v>
      </c>
      <c r="W635" s="14">
        <f t="shared" si="278"/>
        <v>-3273.69</v>
      </c>
      <c r="Y635" s="14">
        <f t="shared" ref="Y635:Y698" si="281">ROUND(E635*J635,2)</f>
        <v>89.25</v>
      </c>
      <c r="Z635" s="14">
        <f t="shared" ref="Z635:Z698" si="282">O635-Y635</f>
        <v>-89.25</v>
      </c>
      <c r="AA635" s="11">
        <f t="shared" si="259"/>
        <v>2.41</v>
      </c>
      <c r="AB635" s="9">
        <f t="shared" si="262"/>
        <v>122.91000000000001</v>
      </c>
      <c r="AD635" s="13">
        <f>IF(AH635&gt;AH634,AD634,IF(AD634&lt;MiscData!$F$1,EOMONTH(AD634,1),EOMONTH(AD634,-11)))</f>
        <v>42247</v>
      </c>
      <c r="AE635" s="7" t="str">
        <f t="shared" si="279"/>
        <v>20140101KUUM_377</v>
      </c>
      <c r="AF635" s="12" t="str">
        <f t="shared" si="280"/>
        <v>20140101LS</v>
      </c>
      <c r="AG635" s="31"/>
      <c r="AH635">
        <f>IF(AH634=MiscData!$AB$91,1,AH634+1)</f>
        <v>18</v>
      </c>
      <c r="AI635">
        <f>IF(AD635&lt;=MiscData!$B$23,MiscData!$C$23,IF(AD635&lt;=MiscData!$B$24,MiscData!$C$24,MiscData!$C$25))</f>
        <v>20140101</v>
      </c>
      <c r="AK635" s="190" t="str">
        <f>VLOOKUP(AM635,MiscData!$AB$4:$ACB$113,2,FALSE)</f>
        <v>KUUM_377</v>
      </c>
      <c r="AL635" s="190" t="str">
        <f>VLOOKUP(AM635,MiscData!$AB$4:$AE$115,4,FALSE)</f>
        <v>LS</v>
      </c>
      <c r="AM635">
        <f>IF(AM634=MiscData!$AB$91,1,AM634+1)</f>
        <v>18</v>
      </c>
    </row>
    <row r="636" spans="1:39">
      <c r="A636" s="7">
        <f t="shared" ref="A636:A699" si="283">A635+1</f>
        <v>635</v>
      </c>
      <c r="B636" s="13" t="str">
        <f t="shared" si="264"/>
        <v>Aug 2015</v>
      </c>
      <c r="C636" s="23" t="str">
        <f t="shared" si="265"/>
        <v>LS</v>
      </c>
      <c r="D636" s="23" t="str">
        <f t="shared" si="266"/>
        <v>KUUM_378</v>
      </c>
      <c r="E636" s="170">
        <f t="shared" si="267"/>
        <v>2</v>
      </c>
      <c r="F636" s="185"/>
      <c r="G636" s="170">
        <f t="shared" si="268"/>
        <v>0</v>
      </c>
      <c r="H636" s="170">
        <v>0</v>
      </c>
      <c r="I636" s="11">
        <f t="shared" si="269"/>
        <v>75.899999999999991</v>
      </c>
      <c r="J636" s="11">
        <f t="shared" si="270"/>
        <v>1.75</v>
      </c>
      <c r="K636" s="416">
        <f t="shared" si="260"/>
        <v>151.80000000000001</v>
      </c>
      <c r="L636" s="180"/>
      <c r="M636" s="180"/>
      <c r="N636" s="186">
        <f t="shared" si="263"/>
        <v>151.80000000000001</v>
      </c>
      <c r="O636" s="29">
        <f t="shared" si="271"/>
        <v>0</v>
      </c>
      <c r="P636" s="181">
        <f t="shared" si="261"/>
        <v>0</v>
      </c>
      <c r="Q636" s="182">
        <f t="shared" si="272"/>
        <v>0</v>
      </c>
      <c r="R636" s="182">
        <f t="shared" si="273"/>
        <v>0</v>
      </c>
      <c r="S636" s="182">
        <f t="shared" si="274"/>
        <v>0</v>
      </c>
      <c r="T636" s="182">
        <f t="shared" si="275"/>
        <v>0</v>
      </c>
      <c r="U636" s="182">
        <f t="shared" si="276"/>
        <v>0</v>
      </c>
      <c r="V636" s="14">
        <f t="shared" si="277"/>
        <v>151.80000000000001</v>
      </c>
      <c r="W636" s="14">
        <f t="shared" si="278"/>
        <v>-151.80000000000001</v>
      </c>
      <c r="Y636" s="14">
        <f t="shared" si="281"/>
        <v>3.5</v>
      </c>
      <c r="Z636" s="14">
        <f t="shared" si="282"/>
        <v>-3.5</v>
      </c>
      <c r="AA636" s="11">
        <f t="shared" si="259"/>
        <v>2.41</v>
      </c>
      <c r="AB636" s="9">
        <f t="shared" si="262"/>
        <v>4.82</v>
      </c>
      <c r="AD636" s="13">
        <f>IF(AH636&gt;AH635,AD635,IF(AD635&lt;MiscData!$F$1,EOMONTH(AD635,1),EOMONTH(AD635,-11)))</f>
        <v>42247</v>
      </c>
      <c r="AE636" s="7" t="str">
        <f t="shared" si="279"/>
        <v>20140101KUUM_378</v>
      </c>
      <c r="AF636" s="12" t="str">
        <f t="shared" si="280"/>
        <v>20140101LS</v>
      </c>
      <c r="AG636" s="31"/>
      <c r="AH636">
        <f>IF(AH635=MiscData!$AB$91,1,AH635+1)</f>
        <v>19</v>
      </c>
      <c r="AI636">
        <f>IF(AD636&lt;=MiscData!$B$23,MiscData!$C$23,IF(AD636&lt;=MiscData!$B$24,MiscData!$C$24,MiscData!$C$25))</f>
        <v>20140101</v>
      </c>
      <c r="AK636" s="190" t="str">
        <f>VLOOKUP(AM636,MiscData!$AB$4:$ACB$113,2,FALSE)</f>
        <v>KUUM_378</v>
      </c>
      <c r="AL636" s="190" t="str">
        <f>VLOOKUP(AM636,MiscData!$AB$4:$AE$115,4,FALSE)</f>
        <v>LS</v>
      </c>
      <c r="AM636">
        <f>IF(AM635=MiscData!$AB$91,1,AM635+1)</f>
        <v>19</v>
      </c>
    </row>
    <row r="637" spans="1:39">
      <c r="A637" s="7">
        <f t="shared" si="283"/>
        <v>636</v>
      </c>
      <c r="B637" s="13" t="str">
        <f t="shared" si="264"/>
        <v>Aug 2015</v>
      </c>
      <c r="C637" s="23" t="str">
        <f t="shared" si="265"/>
        <v>LS</v>
      </c>
      <c r="D637" s="23" t="str">
        <f t="shared" si="266"/>
        <v>KUUM_401</v>
      </c>
      <c r="E637" s="170">
        <f t="shared" si="267"/>
        <v>52</v>
      </c>
      <c r="F637" s="185"/>
      <c r="G637" s="170">
        <f t="shared" si="268"/>
        <v>0</v>
      </c>
      <c r="H637" s="170">
        <v>0</v>
      </c>
      <c r="I637" s="11">
        <f t="shared" si="269"/>
        <v>14.860000000000001</v>
      </c>
      <c r="J637" s="11">
        <f t="shared" si="270"/>
        <v>0.80000000000000071</v>
      </c>
      <c r="K637" s="416">
        <f t="shared" si="260"/>
        <v>772.72</v>
      </c>
      <c r="L637" s="180"/>
      <c r="M637" s="180"/>
      <c r="N637" s="186">
        <f t="shared" si="263"/>
        <v>772.72</v>
      </c>
      <c r="O637" s="29">
        <f t="shared" si="271"/>
        <v>0</v>
      </c>
      <c r="P637" s="181">
        <f t="shared" si="261"/>
        <v>0</v>
      </c>
      <c r="Q637" s="182">
        <f t="shared" si="272"/>
        <v>0</v>
      </c>
      <c r="R637" s="182">
        <f t="shared" si="273"/>
        <v>0</v>
      </c>
      <c r="S637" s="182">
        <f t="shared" si="274"/>
        <v>0</v>
      </c>
      <c r="T637" s="182">
        <f t="shared" si="275"/>
        <v>0</v>
      </c>
      <c r="U637" s="182">
        <f t="shared" si="276"/>
        <v>0</v>
      </c>
      <c r="V637" s="14">
        <f t="shared" si="277"/>
        <v>772.72</v>
      </c>
      <c r="W637" s="14">
        <f t="shared" si="278"/>
        <v>-772.72</v>
      </c>
      <c r="Y637" s="14">
        <f t="shared" si="281"/>
        <v>41.6</v>
      </c>
      <c r="Z637" s="14">
        <f t="shared" si="282"/>
        <v>-41.6</v>
      </c>
      <c r="AA637" s="11">
        <f t="shared" si="259"/>
        <v>0.43</v>
      </c>
      <c r="AB637" s="9">
        <f t="shared" si="262"/>
        <v>22.36</v>
      </c>
      <c r="AD637" s="13">
        <f>IF(AH637&gt;AH636,AD636,IF(AD636&lt;MiscData!$F$1,EOMONTH(AD636,1),EOMONTH(AD636,-11)))</f>
        <v>42247</v>
      </c>
      <c r="AE637" s="7" t="str">
        <f t="shared" si="279"/>
        <v>20140101KUUM_401</v>
      </c>
      <c r="AF637" s="12" t="str">
        <f t="shared" si="280"/>
        <v>20140101LS</v>
      </c>
      <c r="AG637" s="31"/>
      <c r="AH637">
        <f>IF(AH636=MiscData!$AB$91,1,AH636+1)</f>
        <v>20</v>
      </c>
      <c r="AI637">
        <f>IF(AD637&lt;=MiscData!$B$23,MiscData!$C$23,IF(AD637&lt;=MiscData!$B$24,MiscData!$C$24,MiscData!$C$25))</f>
        <v>20140101</v>
      </c>
      <c r="AK637" s="190" t="str">
        <f>VLOOKUP(AM637,MiscData!$AB$4:$ACB$113,2,FALSE)</f>
        <v>KUUM_401</v>
      </c>
      <c r="AL637" s="190" t="str">
        <f>VLOOKUP(AM637,MiscData!$AB$4:$AE$115,4,FALSE)</f>
        <v>LS</v>
      </c>
      <c r="AM637">
        <f>IF(AM636=MiscData!$AB$91,1,AM636+1)</f>
        <v>20</v>
      </c>
    </row>
    <row r="638" spans="1:39">
      <c r="A638" s="7">
        <f t="shared" si="283"/>
        <v>637</v>
      </c>
      <c r="B638" s="13" t="str">
        <f t="shared" si="264"/>
        <v>Aug 2015</v>
      </c>
      <c r="C638" s="23" t="str">
        <f t="shared" si="265"/>
        <v>RLS</v>
      </c>
      <c r="D638" s="23" t="str">
        <f t="shared" si="266"/>
        <v>KUUM_404</v>
      </c>
      <c r="E638" s="170">
        <f t="shared" si="267"/>
        <v>7030</v>
      </c>
      <c r="F638" s="185"/>
      <c r="G638" s="170">
        <f t="shared" si="268"/>
        <v>0</v>
      </c>
      <c r="H638" s="170">
        <v>0</v>
      </c>
      <c r="I638" s="11">
        <f t="shared" si="269"/>
        <v>10.570000000000002</v>
      </c>
      <c r="J638" s="11">
        <f t="shared" si="270"/>
        <v>1.9900000000000002</v>
      </c>
      <c r="K638" s="416">
        <f t="shared" si="260"/>
        <v>74307.100000000006</v>
      </c>
      <c r="L638" s="180"/>
      <c r="M638" s="180"/>
      <c r="N638" s="186">
        <f t="shared" si="263"/>
        <v>74307.100000000006</v>
      </c>
      <c r="O638" s="29">
        <f t="shared" si="271"/>
        <v>0</v>
      </c>
      <c r="P638" s="181">
        <f t="shared" si="261"/>
        <v>0</v>
      </c>
      <c r="Q638" s="182">
        <f t="shared" si="272"/>
        <v>0</v>
      </c>
      <c r="R638" s="182">
        <f t="shared" si="273"/>
        <v>0</v>
      </c>
      <c r="S638" s="182">
        <f t="shared" si="274"/>
        <v>0</v>
      </c>
      <c r="T638" s="182">
        <f t="shared" si="275"/>
        <v>0</v>
      </c>
      <c r="U638" s="182">
        <f t="shared" si="276"/>
        <v>0</v>
      </c>
      <c r="V638" s="14">
        <f t="shared" si="277"/>
        <v>74307.100000000006</v>
      </c>
      <c r="W638" s="14">
        <f t="shared" si="278"/>
        <v>-74307.100000000006</v>
      </c>
      <c r="Y638" s="14">
        <f t="shared" si="281"/>
        <v>13989.7</v>
      </c>
      <c r="Z638" s="14">
        <f t="shared" si="282"/>
        <v>-13989.7</v>
      </c>
      <c r="AA638" s="11">
        <f t="shared" si="259"/>
        <v>0.39</v>
      </c>
      <c r="AB638" s="9">
        <f t="shared" si="262"/>
        <v>2741.7000000000003</v>
      </c>
      <c r="AD638" s="13">
        <f>IF(AH638&gt;AH637,AD637,IF(AD637&lt;MiscData!$F$1,EOMONTH(AD637,1),EOMONTH(AD637,-11)))</f>
        <v>42247</v>
      </c>
      <c r="AE638" s="7" t="str">
        <f t="shared" si="279"/>
        <v>20140101KUUM_404</v>
      </c>
      <c r="AF638" s="12" t="str">
        <f t="shared" si="280"/>
        <v>20140101RLS</v>
      </c>
      <c r="AG638" s="31"/>
      <c r="AH638">
        <f>IF(AH637=MiscData!$AB$91,1,AH637+1)</f>
        <v>21</v>
      </c>
      <c r="AI638">
        <f>IF(AD638&lt;=MiscData!$B$23,MiscData!$C$23,IF(AD638&lt;=MiscData!$B$24,MiscData!$C$24,MiscData!$C$25))</f>
        <v>20140101</v>
      </c>
      <c r="AK638" s="190" t="str">
        <f>VLOOKUP(AM638,MiscData!$AB$4:$ACB$113,2,FALSE)</f>
        <v>KUUM_404</v>
      </c>
      <c r="AL638" s="190" t="str">
        <f>VLOOKUP(AM638,MiscData!$AB$4:$AE$115,4,FALSE)</f>
        <v>RLS</v>
      </c>
      <c r="AM638">
        <f>IF(AM637=MiscData!$AB$91,1,AM637+1)</f>
        <v>21</v>
      </c>
    </row>
    <row r="639" spans="1:39">
      <c r="A639" s="7">
        <f t="shared" si="283"/>
        <v>638</v>
      </c>
      <c r="B639" s="13" t="str">
        <f t="shared" si="264"/>
        <v>Aug 2015</v>
      </c>
      <c r="C639" s="23" t="str">
        <f t="shared" si="265"/>
        <v>RLS</v>
      </c>
      <c r="D639" s="23" t="str">
        <f t="shared" si="266"/>
        <v>KUUM_405</v>
      </c>
      <c r="E639" s="170">
        <f t="shared" si="267"/>
        <v>0</v>
      </c>
      <c r="F639" s="185"/>
      <c r="G639" s="170">
        <f t="shared" si="268"/>
        <v>0</v>
      </c>
      <c r="H639" s="170">
        <v>0</v>
      </c>
      <c r="I639" s="11">
        <f t="shared" si="269"/>
        <v>0</v>
      </c>
      <c r="J639" s="11">
        <f t="shared" si="270"/>
        <v>0</v>
      </c>
      <c r="K639" s="416">
        <f t="shared" si="260"/>
        <v>0</v>
      </c>
      <c r="L639" s="180"/>
      <c r="M639" s="180"/>
      <c r="N639" s="186">
        <f t="shared" si="263"/>
        <v>0</v>
      </c>
      <c r="O639" s="29">
        <f t="shared" si="271"/>
        <v>0</v>
      </c>
      <c r="P639" s="181">
        <f t="shared" si="261"/>
        <v>1</v>
      </c>
      <c r="Q639" s="182">
        <f t="shared" si="272"/>
        <v>0</v>
      </c>
      <c r="R639" s="182">
        <f t="shared" si="273"/>
        <v>0</v>
      </c>
      <c r="S639" s="182">
        <f t="shared" si="274"/>
        <v>0</v>
      </c>
      <c r="T639" s="182">
        <f t="shared" si="275"/>
        <v>0</v>
      </c>
      <c r="U639" s="182">
        <f t="shared" si="276"/>
        <v>0</v>
      </c>
      <c r="V639" s="14">
        <f t="shared" si="277"/>
        <v>0</v>
      </c>
      <c r="W639" s="14">
        <f t="shared" si="278"/>
        <v>0</v>
      </c>
      <c r="Y639" s="14">
        <f t="shared" si="281"/>
        <v>0</v>
      </c>
      <c r="Z639" s="14">
        <f t="shared" si="282"/>
        <v>0</v>
      </c>
      <c r="AA639" s="11">
        <f t="shared" si="259"/>
        <v>0</v>
      </c>
      <c r="AB639" s="9">
        <f t="shared" si="262"/>
        <v>0</v>
      </c>
      <c r="AD639" s="13">
        <f>IF(AH639&gt;AH638,AD638,IF(AD638&lt;MiscData!$F$1,EOMONTH(AD638,1),EOMONTH(AD638,-11)))</f>
        <v>42247</v>
      </c>
      <c r="AE639" s="7" t="str">
        <f t="shared" si="279"/>
        <v>20140101KUUM_405</v>
      </c>
      <c r="AF639" s="12" t="str">
        <f t="shared" si="280"/>
        <v>20140101RLS</v>
      </c>
      <c r="AG639" s="31"/>
      <c r="AH639">
        <f>IF(AH638=MiscData!$AB$91,1,AH638+1)</f>
        <v>22</v>
      </c>
      <c r="AI639">
        <f>IF(AD639&lt;=MiscData!$B$23,MiscData!$C$23,IF(AD639&lt;=MiscData!$B$24,MiscData!$C$24,MiscData!$C$25))</f>
        <v>20140101</v>
      </c>
      <c r="AK639" s="190" t="str">
        <f>VLOOKUP(AM639,MiscData!$AB$4:$ACB$113,2,FALSE)</f>
        <v>KUUM_405</v>
      </c>
      <c r="AL639" s="190" t="str">
        <f>VLOOKUP(AM639,MiscData!$AB$4:$AE$115,4,FALSE)</f>
        <v>RLS</v>
      </c>
      <c r="AM639">
        <f>IF(AM638=MiscData!$AB$91,1,AM638+1)</f>
        <v>22</v>
      </c>
    </row>
    <row r="640" spans="1:39">
      <c r="A640" s="7">
        <f t="shared" si="283"/>
        <v>639</v>
      </c>
      <c r="B640" s="13" t="str">
        <f t="shared" si="264"/>
        <v>Aug 2015</v>
      </c>
      <c r="C640" s="23" t="str">
        <f t="shared" si="265"/>
        <v>LS</v>
      </c>
      <c r="D640" s="23" t="str">
        <f t="shared" si="266"/>
        <v>KUUM_407</v>
      </c>
      <c r="E640" s="170">
        <f t="shared" si="267"/>
        <v>0</v>
      </c>
      <c r="F640" s="185"/>
      <c r="G640" s="170">
        <f t="shared" si="268"/>
        <v>0</v>
      </c>
      <c r="H640" s="170">
        <v>0</v>
      </c>
      <c r="I640" s="11">
        <f t="shared" si="269"/>
        <v>0</v>
      </c>
      <c r="J640" s="11">
        <f t="shared" si="270"/>
        <v>0</v>
      </c>
      <c r="K640" s="416">
        <f t="shared" si="260"/>
        <v>0</v>
      </c>
      <c r="L640" s="180"/>
      <c r="M640" s="180"/>
      <c r="N640" s="186">
        <f t="shared" si="263"/>
        <v>0</v>
      </c>
      <c r="O640" s="29">
        <f t="shared" si="271"/>
        <v>0</v>
      </c>
      <c r="P640" s="181">
        <f t="shared" si="261"/>
        <v>1</v>
      </c>
      <c r="Q640" s="182">
        <f t="shared" si="272"/>
        <v>0</v>
      </c>
      <c r="R640" s="182">
        <f t="shared" si="273"/>
        <v>0</v>
      </c>
      <c r="S640" s="182">
        <f t="shared" si="274"/>
        <v>0</v>
      </c>
      <c r="T640" s="182">
        <f t="shared" si="275"/>
        <v>0</v>
      </c>
      <c r="U640" s="182">
        <f t="shared" si="276"/>
        <v>0</v>
      </c>
      <c r="V640" s="14">
        <f t="shared" si="277"/>
        <v>0</v>
      </c>
      <c r="W640" s="14">
        <f t="shared" si="278"/>
        <v>0</v>
      </c>
      <c r="Y640" s="14">
        <f t="shared" si="281"/>
        <v>0</v>
      </c>
      <c r="Z640" s="14">
        <f t="shared" si="282"/>
        <v>0</v>
      </c>
      <c r="AA640" s="11">
        <f t="shared" si="259"/>
        <v>0</v>
      </c>
      <c r="AB640" s="9">
        <f t="shared" si="262"/>
        <v>0</v>
      </c>
      <c r="AD640" s="13">
        <f>IF(AH640&gt;AH639,AD639,IF(AD639&lt;MiscData!$F$1,EOMONTH(AD639,1),EOMONTH(AD639,-11)))</f>
        <v>42247</v>
      </c>
      <c r="AE640" s="7" t="str">
        <f t="shared" si="279"/>
        <v>20140101KUUM_407</v>
      </c>
      <c r="AF640" s="12" t="str">
        <f t="shared" si="280"/>
        <v>20140101LS</v>
      </c>
      <c r="AG640" s="31"/>
      <c r="AH640">
        <f>IF(AH639=MiscData!$AB$91,1,AH639+1)</f>
        <v>23</v>
      </c>
      <c r="AI640">
        <f>IF(AD640&lt;=MiscData!$B$23,MiscData!$C$23,IF(AD640&lt;=MiscData!$B$24,MiscData!$C$24,MiscData!$C$25))</f>
        <v>20140101</v>
      </c>
      <c r="AK640" s="190" t="str">
        <f>VLOOKUP(AM640,MiscData!$AB$4:$ACB$113,2,FALSE)</f>
        <v>KUUM_407</v>
      </c>
      <c r="AL640" s="190" t="str">
        <f>VLOOKUP(AM640,MiscData!$AB$4:$AE$115,4,FALSE)</f>
        <v>LS</v>
      </c>
      <c r="AM640">
        <f>IF(AM639=MiscData!$AB$91,1,AM639+1)</f>
        <v>23</v>
      </c>
    </row>
    <row r="641" spans="1:39">
      <c r="A641" s="7">
        <f t="shared" si="283"/>
        <v>640</v>
      </c>
      <c r="B641" s="13" t="str">
        <f t="shared" si="264"/>
        <v>Aug 2015</v>
      </c>
      <c r="C641" s="23" t="str">
        <f t="shared" si="265"/>
        <v>RLS</v>
      </c>
      <c r="D641" s="23" t="str">
        <f t="shared" si="266"/>
        <v>KUUM_409</v>
      </c>
      <c r="E641" s="170">
        <f t="shared" si="267"/>
        <v>136</v>
      </c>
      <c r="F641" s="185"/>
      <c r="G641" s="170">
        <f t="shared" si="268"/>
        <v>0</v>
      </c>
      <c r="H641" s="170">
        <v>0</v>
      </c>
      <c r="I641" s="11">
        <f t="shared" si="269"/>
        <v>11.71</v>
      </c>
      <c r="J641" s="11">
        <f t="shared" si="270"/>
        <v>4.5299999999999994</v>
      </c>
      <c r="K641" s="416">
        <f t="shared" si="260"/>
        <v>1592.56</v>
      </c>
      <c r="L641" s="180"/>
      <c r="M641" s="180"/>
      <c r="N641" s="186">
        <f t="shared" si="263"/>
        <v>1592.56</v>
      </c>
      <c r="O641" s="29">
        <f t="shared" si="271"/>
        <v>0</v>
      </c>
      <c r="P641" s="181">
        <f t="shared" si="261"/>
        <v>0</v>
      </c>
      <c r="Q641" s="182">
        <f t="shared" si="272"/>
        <v>0</v>
      </c>
      <c r="R641" s="182">
        <f t="shared" si="273"/>
        <v>0</v>
      </c>
      <c r="S641" s="182">
        <f t="shared" si="274"/>
        <v>0</v>
      </c>
      <c r="T641" s="182">
        <f t="shared" si="275"/>
        <v>0</v>
      </c>
      <c r="U641" s="182">
        <f t="shared" si="276"/>
        <v>0</v>
      </c>
      <c r="V641" s="14">
        <f t="shared" si="277"/>
        <v>1592.56</v>
      </c>
      <c r="W641" s="14">
        <f t="shared" si="278"/>
        <v>-1592.56</v>
      </c>
      <c r="Y641" s="14">
        <f t="shared" si="281"/>
        <v>616.08000000000004</v>
      </c>
      <c r="Z641" s="14">
        <f t="shared" si="282"/>
        <v>-616.08000000000004</v>
      </c>
      <c r="AA641" s="11">
        <f t="shared" si="259"/>
        <v>0.79</v>
      </c>
      <c r="AB641" s="9">
        <f t="shared" si="262"/>
        <v>107.44</v>
      </c>
      <c r="AD641" s="13">
        <f>IF(AH641&gt;AH640,AD640,IF(AD640&lt;MiscData!$F$1,EOMONTH(AD640,1),EOMONTH(AD640,-11)))</f>
        <v>42247</v>
      </c>
      <c r="AE641" s="7" t="str">
        <f t="shared" si="279"/>
        <v>20140101KUUM_409</v>
      </c>
      <c r="AF641" s="12" t="str">
        <f t="shared" si="280"/>
        <v>20140101RLS</v>
      </c>
      <c r="AG641" s="31"/>
      <c r="AH641">
        <f>IF(AH640=MiscData!$AB$91,1,AH640+1)</f>
        <v>24</v>
      </c>
      <c r="AI641">
        <f>IF(AD641&lt;=MiscData!$B$23,MiscData!$C$23,IF(AD641&lt;=MiscData!$B$24,MiscData!$C$24,MiscData!$C$25))</f>
        <v>20140101</v>
      </c>
      <c r="AK641" s="190" t="str">
        <f>VLOOKUP(AM641,MiscData!$AB$4:$ACB$113,2,FALSE)</f>
        <v>KUUM_409</v>
      </c>
      <c r="AL641" s="190" t="str">
        <f>VLOOKUP(AM641,MiscData!$AB$4:$AE$115,4,FALSE)</f>
        <v>RLS</v>
      </c>
      <c r="AM641">
        <f>IF(AM640=MiscData!$AB$91,1,AM640+1)</f>
        <v>24</v>
      </c>
    </row>
    <row r="642" spans="1:39">
      <c r="A642" s="7">
        <f t="shared" si="283"/>
        <v>641</v>
      </c>
      <c r="B642" s="13" t="str">
        <f t="shared" si="264"/>
        <v>Aug 2015</v>
      </c>
      <c r="C642" s="23" t="str">
        <f t="shared" si="265"/>
        <v>RLS</v>
      </c>
      <c r="D642" s="23" t="str">
        <f t="shared" si="266"/>
        <v>KUUM_410</v>
      </c>
      <c r="E642" s="170">
        <f t="shared" si="267"/>
        <v>238</v>
      </c>
      <c r="F642" s="185"/>
      <c r="G642" s="170">
        <f t="shared" si="268"/>
        <v>0</v>
      </c>
      <c r="H642" s="170">
        <v>0</v>
      </c>
      <c r="I642" s="11">
        <f t="shared" si="269"/>
        <v>20.259999999999998</v>
      </c>
      <c r="J642" s="11">
        <f t="shared" si="270"/>
        <v>0.57000000000000028</v>
      </c>
      <c r="K642" s="416">
        <f t="shared" si="260"/>
        <v>4821.88</v>
      </c>
      <c r="L642" s="180"/>
      <c r="M642" s="180"/>
      <c r="N642" s="186">
        <f t="shared" si="263"/>
        <v>4821.88</v>
      </c>
      <c r="O642" s="29">
        <f t="shared" si="271"/>
        <v>0</v>
      </c>
      <c r="P642" s="181">
        <f t="shared" si="261"/>
        <v>0</v>
      </c>
      <c r="Q642" s="182">
        <f t="shared" si="272"/>
        <v>0</v>
      </c>
      <c r="R642" s="182">
        <f t="shared" si="273"/>
        <v>0</v>
      </c>
      <c r="S642" s="182">
        <f t="shared" si="274"/>
        <v>0</v>
      </c>
      <c r="T642" s="182">
        <f t="shared" si="275"/>
        <v>0</v>
      </c>
      <c r="U642" s="182">
        <f t="shared" si="276"/>
        <v>0</v>
      </c>
      <c r="V642" s="14">
        <f t="shared" si="277"/>
        <v>4821.88</v>
      </c>
      <c r="W642" s="14">
        <f t="shared" si="278"/>
        <v>-4821.88</v>
      </c>
      <c r="Y642" s="14">
        <f t="shared" si="281"/>
        <v>135.66</v>
      </c>
      <c r="Z642" s="14">
        <f t="shared" si="282"/>
        <v>-135.66</v>
      </c>
      <c r="AA642" s="11">
        <f t="shared" ref="AA642:AA705" si="284">SUMIF(_Lights_Tariff_Category,$AE642,_Rates_Lights_ECR)</f>
        <v>0.33</v>
      </c>
      <c r="AB642" s="9">
        <f t="shared" si="262"/>
        <v>78.540000000000006</v>
      </c>
      <c r="AD642" s="13">
        <f>IF(AH642&gt;AH641,AD641,IF(AD641&lt;MiscData!$F$1,EOMONTH(AD641,1),EOMONTH(AD641,-11)))</f>
        <v>42247</v>
      </c>
      <c r="AE642" s="7" t="str">
        <f t="shared" si="279"/>
        <v>20140101KUUM_410</v>
      </c>
      <c r="AF642" s="12" t="str">
        <f t="shared" si="280"/>
        <v>20140101RLS</v>
      </c>
      <c r="AG642" s="31"/>
      <c r="AH642">
        <f>IF(AH641=MiscData!$AB$91,1,AH641+1)</f>
        <v>25</v>
      </c>
      <c r="AI642">
        <f>IF(AD642&lt;=MiscData!$B$23,MiscData!$C$23,IF(AD642&lt;=MiscData!$B$24,MiscData!$C$24,MiscData!$C$25))</f>
        <v>20140101</v>
      </c>
      <c r="AK642" s="190" t="str">
        <f>VLOOKUP(AM642,MiscData!$AB$4:$ACB$113,2,FALSE)</f>
        <v>KUUM_410</v>
      </c>
      <c r="AL642" s="190" t="str">
        <f>VLOOKUP(AM642,MiscData!$AB$4:$AE$115,4,FALSE)</f>
        <v>RLS</v>
      </c>
      <c r="AM642">
        <f>IF(AM641=MiscData!$AB$91,1,AM641+1)</f>
        <v>25</v>
      </c>
    </row>
    <row r="643" spans="1:39">
      <c r="A643" s="7">
        <f t="shared" si="283"/>
        <v>642</v>
      </c>
      <c r="B643" s="13" t="str">
        <f t="shared" si="264"/>
        <v>Aug 2015</v>
      </c>
      <c r="C643" s="23" t="str">
        <f t="shared" si="265"/>
        <v>LS</v>
      </c>
      <c r="D643" s="23" t="str">
        <f t="shared" si="266"/>
        <v>KUUM_411</v>
      </c>
      <c r="E643" s="170">
        <f t="shared" si="267"/>
        <v>149</v>
      </c>
      <c r="F643" s="185"/>
      <c r="G643" s="170">
        <f t="shared" si="268"/>
        <v>0</v>
      </c>
      <c r="H643" s="170">
        <v>0</v>
      </c>
      <c r="I643" s="11">
        <f t="shared" si="269"/>
        <v>21.38</v>
      </c>
      <c r="J643" s="11">
        <f t="shared" si="270"/>
        <v>0.79999999999999716</v>
      </c>
      <c r="K643" s="416">
        <f t="shared" ref="K643:K706" si="285">ROUND(($E643+$F643)*$I643,2)</f>
        <v>3185.62</v>
      </c>
      <c r="L643" s="180"/>
      <c r="M643" s="180"/>
      <c r="N643" s="186">
        <f t="shared" si="263"/>
        <v>3185.62</v>
      </c>
      <c r="O643" s="29">
        <f t="shared" si="271"/>
        <v>0</v>
      </c>
      <c r="P643" s="181">
        <f t="shared" ref="P643:P706" si="286">IF(AND(N643=0,O643=0),1,IF(N643=0,0,ROUND(O643/N643,6)))</f>
        <v>0</v>
      </c>
      <c r="Q643" s="182">
        <f t="shared" si="272"/>
        <v>0</v>
      </c>
      <c r="R643" s="182">
        <f t="shared" si="273"/>
        <v>0</v>
      </c>
      <c r="S643" s="182">
        <f t="shared" si="274"/>
        <v>0</v>
      </c>
      <c r="T643" s="182">
        <f t="shared" si="275"/>
        <v>0</v>
      </c>
      <c r="U643" s="182">
        <f t="shared" si="276"/>
        <v>0</v>
      </c>
      <c r="V643" s="14">
        <f t="shared" si="277"/>
        <v>3185.62</v>
      </c>
      <c r="W643" s="14">
        <f t="shared" si="278"/>
        <v>-3185.62</v>
      </c>
      <c r="Y643" s="14">
        <f t="shared" si="281"/>
        <v>119.2</v>
      </c>
      <c r="Z643" s="14">
        <f t="shared" si="282"/>
        <v>-119.2</v>
      </c>
      <c r="AA643" s="11">
        <f t="shared" si="284"/>
        <v>0.43</v>
      </c>
      <c r="AB643" s="9">
        <f t="shared" ref="AB643:AB706" si="287">E643*AA643</f>
        <v>64.069999999999993</v>
      </c>
      <c r="AD643" s="13">
        <f>IF(AH643&gt;AH642,AD642,IF(AD642&lt;MiscData!$F$1,EOMONTH(AD642,1),EOMONTH(AD642,-11)))</f>
        <v>42247</v>
      </c>
      <c r="AE643" s="7" t="str">
        <f t="shared" si="279"/>
        <v>20140101KUUM_411</v>
      </c>
      <c r="AF643" s="12" t="str">
        <f t="shared" si="280"/>
        <v>20140101LS</v>
      </c>
      <c r="AG643" s="31"/>
      <c r="AH643">
        <f>IF(AH642=MiscData!$AB$91,1,AH642+1)</f>
        <v>26</v>
      </c>
      <c r="AI643">
        <f>IF(AD643&lt;=MiscData!$B$23,MiscData!$C$23,IF(AD643&lt;=MiscData!$B$24,MiscData!$C$24,MiscData!$C$25))</f>
        <v>20140101</v>
      </c>
      <c r="AK643" s="190" t="str">
        <f>VLOOKUP(AM643,MiscData!$AB$4:$ACB$113,2,FALSE)</f>
        <v>KUUM_411</v>
      </c>
      <c r="AL643" s="190" t="str">
        <f>VLOOKUP(AM643,MiscData!$AB$4:$AE$115,4,FALSE)</f>
        <v>LS</v>
      </c>
      <c r="AM643">
        <f>IF(AM642=MiscData!$AB$91,1,AM642+1)</f>
        <v>26</v>
      </c>
    </row>
    <row r="644" spans="1:39">
      <c r="A644" s="7">
        <f t="shared" si="283"/>
        <v>643</v>
      </c>
      <c r="B644" s="13" t="str">
        <f t="shared" si="264"/>
        <v>Aug 2015</v>
      </c>
      <c r="C644" s="23" t="str">
        <f t="shared" si="265"/>
        <v>RLS</v>
      </c>
      <c r="D644" s="23" t="str">
        <f t="shared" si="266"/>
        <v>KUUM_412</v>
      </c>
      <c r="E644" s="170">
        <f t="shared" si="267"/>
        <v>28</v>
      </c>
      <c r="F644" s="185"/>
      <c r="G644" s="170">
        <f t="shared" si="268"/>
        <v>0</v>
      </c>
      <c r="H644" s="170">
        <v>0</v>
      </c>
      <c r="I644" s="11">
        <f t="shared" si="269"/>
        <v>30.84</v>
      </c>
      <c r="J644" s="11">
        <f t="shared" si="270"/>
        <v>0.79999999999999716</v>
      </c>
      <c r="K644" s="416">
        <f t="shared" si="285"/>
        <v>863.52</v>
      </c>
      <c r="L644" s="180"/>
      <c r="M644" s="180"/>
      <c r="N644" s="186">
        <f t="shared" si="263"/>
        <v>863.52</v>
      </c>
      <c r="O644" s="29">
        <f t="shared" si="271"/>
        <v>0</v>
      </c>
      <c r="P644" s="181">
        <f t="shared" si="286"/>
        <v>0</v>
      </c>
      <c r="Q644" s="182">
        <f t="shared" si="272"/>
        <v>0</v>
      </c>
      <c r="R644" s="182">
        <f t="shared" si="273"/>
        <v>0</v>
      </c>
      <c r="S644" s="182">
        <f t="shared" si="274"/>
        <v>0</v>
      </c>
      <c r="T644" s="182">
        <f t="shared" si="275"/>
        <v>0</v>
      </c>
      <c r="U644" s="182">
        <f t="shared" si="276"/>
        <v>0</v>
      </c>
      <c r="V644" s="14">
        <f t="shared" si="277"/>
        <v>863.52</v>
      </c>
      <c r="W644" s="14">
        <f t="shared" si="278"/>
        <v>-863.52</v>
      </c>
      <c r="Y644" s="14">
        <f t="shared" si="281"/>
        <v>22.4</v>
      </c>
      <c r="Z644" s="14">
        <f t="shared" si="282"/>
        <v>-22.4</v>
      </c>
      <c r="AA644" s="11">
        <f t="shared" si="284"/>
        <v>0.43</v>
      </c>
      <c r="AB644" s="9">
        <f t="shared" si="287"/>
        <v>12.04</v>
      </c>
      <c r="AD644" s="13">
        <f>IF(AH644&gt;AH643,AD643,IF(AD643&lt;MiscData!$F$1,EOMONTH(AD643,1),EOMONTH(AD643,-11)))</f>
        <v>42247</v>
      </c>
      <c r="AE644" s="7" t="str">
        <f t="shared" si="279"/>
        <v>20140101KUUM_412</v>
      </c>
      <c r="AF644" s="12" t="str">
        <f t="shared" si="280"/>
        <v>20140101RLS</v>
      </c>
      <c r="AG644" s="31"/>
      <c r="AH644">
        <f>IF(AH643=MiscData!$AB$91,1,AH643+1)</f>
        <v>27</v>
      </c>
      <c r="AI644">
        <f>IF(AD644&lt;=MiscData!$B$23,MiscData!$C$23,IF(AD644&lt;=MiscData!$B$24,MiscData!$C$24,MiscData!$C$25))</f>
        <v>20140101</v>
      </c>
      <c r="AK644" s="190" t="str">
        <f>VLOOKUP(AM644,MiscData!$AB$4:$ACB$113,2,FALSE)</f>
        <v>KUUM_412</v>
      </c>
      <c r="AL644" s="190" t="str">
        <f>VLOOKUP(AM644,MiscData!$AB$4:$AE$115,4,FALSE)</f>
        <v>RLS</v>
      </c>
      <c r="AM644">
        <f>IF(AM643=MiscData!$AB$91,1,AM643+1)</f>
        <v>27</v>
      </c>
    </row>
    <row r="645" spans="1:39">
      <c r="A645" s="7">
        <f t="shared" si="283"/>
        <v>644</v>
      </c>
      <c r="B645" s="13" t="str">
        <f t="shared" si="264"/>
        <v>Aug 2015</v>
      </c>
      <c r="C645" s="23" t="str">
        <f t="shared" si="265"/>
        <v>RLS</v>
      </c>
      <c r="D645" s="23" t="str">
        <f t="shared" si="266"/>
        <v>KUUM_413</v>
      </c>
      <c r="E645" s="170">
        <f t="shared" si="267"/>
        <v>95</v>
      </c>
      <c r="F645" s="185"/>
      <c r="G645" s="170">
        <f t="shared" si="268"/>
        <v>0</v>
      </c>
      <c r="H645" s="170">
        <v>0</v>
      </c>
      <c r="I645" s="11">
        <f t="shared" si="269"/>
        <v>31.22</v>
      </c>
      <c r="J645" s="11">
        <f t="shared" si="270"/>
        <v>1.129999999999999</v>
      </c>
      <c r="K645" s="416">
        <f t="shared" si="285"/>
        <v>2965.9</v>
      </c>
      <c r="L645" s="180"/>
      <c r="M645" s="180"/>
      <c r="N645" s="186">
        <f t="shared" si="263"/>
        <v>2965.9</v>
      </c>
      <c r="O645" s="29">
        <f t="shared" si="271"/>
        <v>0</v>
      </c>
      <c r="P645" s="181">
        <f t="shared" si="286"/>
        <v>0</v>
      </c>
      <c r="Q645" s="182">
        <f t="shared" si="272"/>
        <v>0</v>
      </c>
      <c r="R645" s="182">
        <f t="shared" si="273"/>
        <v>0</v>
      </c>
      <c r="S645" s="182">
        <f t="shared" si="274"/>
        <v>0</v>
      </c>
      <c r="T645" s="182">
        <f t="shared" si="275"/>
        <v>0</v>
      </c>
      <c r="U645" s="182">
        <f t="shared" si="276"/>
        <v>0</v>
      </c>
      <c r="V645" s="14">
        <f t="shared" si="277"/>
        <v>2965.9</v>
      </c>
      <c r="W645" s="14">
        <f t="shared" si="278"/>
        <v>-2965.9</v>
      </c>
      <c r="Y645" s="14">
        <f t="shared" si="281"/>
        <v>107.35</v>
      </c>
      <c r="Z645" s="14">
        <f t="shared" si="282"/>
        <v>-107.35</v>
      </c>
      <c r="AA645" s="11">
        <f t="shared" si="284"/>
        <v>0.34</v>
      </c>
      <c r="AB645" s="9">
        <f t="shared" si="287"/>
        <v>32.300000000000004</v>
      </c>
      <c r="AD645" s="13">
        <f>IF(AH645&gt;AH644,AD644,IF(AD644&lt;MiscData!$F$1,EOMONTH(AD644,1),EOMONTH(AD644,-11)))</f>
        <v>42247</v>
      </c>
      <c r="AE645" s="7" t="str">
        <f t="shared" si="279"/>
        <v>20140101KUUM_413</v>
      </c>
      <c r="AF645" s="12" t="str">
        <f t="shared" si="280"/>
        <v>20140101RLS</v>
      </c>
      <c r="AG645" s="31"/>
      <c r="AH645">
        <f>IF(AH644=MiscData!$AB$91,1,AH644+1)</f>
        <v>28</v>
      </c>
      <c r="AI645">
        <f>IF(AD645&lt;=MiscData!$B$23,MiscData!$C$23,IF(AD645&lt;=MiscData!$B$24,MiscData!$C$24,MiscData!$C$25))</f>
        <v>20140101</v>
      </c>
      <c r="AK645" s="190" t="str">
        <f>VLOOKUP(AM645,MiscData!$AB$4:$ACB$113,2,FALSE)</f>
        <v>KUUM_413</v>
      </c>
      <c r="AL645" s="190" t="str">
        <f>VLOOKUP(AM645,MiscData!$AB$4:$AE$115,4,FALSE)</f>
        <v>RLS</v>
      </c>
      <c r="AM645">
        <f>IF(AM644=MiscData!$AB$91,1,AM644+1)</f>
        <v>28</v>
      </c>
    </row>
    <row r="646" spans="1:39">
      <c r="A646" s="7">
        <f t="shared" si="283"/>
        <v>645</v>
      </c>
      <c r="B646" s="13" t="str">
        <f t="shared" si="264"/>
        <v>Aug 2015</v>
      </c>
      <c r="C646" s="23" t="str">
        <f t="shared" si="265"/>
        <v>LS</v>
      </c>
      <c r="D646" s="23" t="str">
        <f t="shared" si="266"/>
        <v>KUUM_414</v>
      </c>
      <c r="E646" s="170">
        <f t="shared" si="267"/>
        <v>21</v>
      </c>
      <c r="F646" s="185"/>
      <c r="G646" s="170">
        <f t="shared" si="268"/>
        <v>0</v>
      </c>
      <c r="H646" s="170">
        <v>0</v>
      </c>
      <c r="I646" s="11">
        <f t="shared" si="269"/>
        <v>30.84</v>
      </c>
      <c r="J646" s="11">
        <f t="shared" si="270"/>
        <v>0.79999999999999716</v>
      </c>
      <c r="K646" s="416">
        <f t="shared" si="285"/>
        <v>647.64</v>
      </c>
      <c r="L646" s="180"/>
      <c r="M646" s="180"/>
      <c r="N646" s="186">
        <f t="shared" si="263"/>
        <v>647.64</v>
      </c>
      <c r="O646" s="29">
        <f t="shared" si="271"/>
        <v>0</v>
      </c>
      <c r="P646" s="181">
        <f t="shared" si="286"/>
        <v>0</v>
      </c>
      <c r="Q646" s="182">
        <f t="shared" si="272"/>
        <v>0</v>
      </c>
      <c r="R646" s="182">
        <f t="shared" si="273"/>
        <v>0</v>
      </c>
      <c r="S646" s="182">
        <f t="shared" si="274"/>
        <v>0</v>
      </c>
      <c r="T646" s="182">
        <f t="shared" si="275"/>
        <v>0</v>
      </c>
      <c r="U646" s="182">
        <f t="shared" si="276"/>
        <v>0</v>
      </c>
      <c r="V646" s="14">
        <f t="shared" si="277"/>
        <v>647.64</v>
      </c>
      <c r="W646" s="14">
        <f t="shared" si="278"/>
        <v>-647.64</v>
      </c>
      <c r="Y646" s="14">
        <f t="shared" si="281"/>
        <v>16.8</v>
      </c>
      <c r="Z646" s="14">
        <f t="shared" si="282"/>
        <v>-16.8</v>
      </c>
      <c r="AA646" s="11">
        <f t="shared" si="284"/>
        <v>0.43</v>
      </c>
      <c r="AB646" s="9">
        <f t="shared" si="287"/>
        <v>9.0299999999999994</v>
      </c>
      <c r="AD646" s="13">
        <f>IF(AH646&gt;AH645,AD645,IF(AD645&lt;MiscData!$F$1,EOMONTH(AD645,1),EOMONTH(AD645,-11)))</f>
        <v>42247</v>
      </c>
      <c r="AE646" s="7" t="str">
        <f t="shared" si="279"/>
        <v>20140101KUUM_414</v>
      </c>
      <c r="AF646" s="12" t="str">
        <f t="shared" si="280"/>
        <v>20140101LS</v>
      </c>
      <c r="AG646" s="31"/>
      <c r="AH646">
        <f>IF(AH645=MiscData!$AB$91,1,AH645+1)</f>
        <v>29</v>
      </c>
      <c r="AI646">
        <f>IF(AD646&lt;=MiscData!$B$23,MiscData!$C$23,IF(AD646&lt;=MiscData!$B$24,MiscData!$C$24,MiscData!$C$25))</f>
        <v>20140101</v>
      </c>
      <c r="AK646" s="190" t="str">
        <f>VLOOKUP(AM646,MiscData!$AB$4:$ACB$113,2,FALSE)</f>
        <v>KUUM_414</v>
      </c>
      <c r="AL646" s="190" t="str">
        <f>VLOOKUP(AM646,MiscData!$AB$4:$AE$115,4,FALSE)</f>
        <v>LS</v>
      </c>
      <c r="AM646">
        <f>IF(AM645=MiscData!$AB$91,1,AM645+1)</f>
        <v>29</v>
      </c>
    </row>
    <row r="647" spans="1:39">
      <c r="A647" s="7">
        <f t="shared" si="283"/>
        <v>646</v>
      </c>
      <c r="B647" s="13" t="str">
        <f t="shared" si="264"/>
        <v>Aug 2015</v>
      </c>
      <c r="C647" s="23" t="str">
        <f t="shared" si="265"/>
        <v>LS</v>
      </c>
      <c r="D647" s="23" t="str">
        <f t="shared" si="266"/>
        <v>KUUM_415</v>
      </c>
      <c r="E647" s="170">
        <f t="shared" si="267"/>
        <v>10</v>
      </c>
      <c r="F647" s="185"/>
      <c r="G647" s="170">
        <f t="shared" si="268"/>
        <v>0</v>
      </c>
      <c r="H647" s="170">
        <v>2493</v>
      </c>
      <c r="I647" s="11">
        <f t="shared" si="269"/>
        <v>31.22</v>
      </c>
      <c r="J647" s="11">
        <f t="shared" si="270"/>
        <v>1.129999999999999</v>
      </c>
      <c r="K647" s="416">
        <f t="shared" si="285"/>
        <v>312.2</v>
      </c>
      <c r="L647" s="180"/>
      <c r="M647" s="180"/>
      <c r="N647" s="186">
        <f t="shared" si="263"/>
        <v>312.2</v>
      </c>
      <c r="O647" s="29">
        <f t="shared" si="271"/>
        <v>0</v>
      </c>
      <c r="P647" s="181">
        <f t="shared" si="286"/>
        <v>0</v>
      </c>
      <c r="Q647" s="182">
        <f t="shared" si="272"/>
        <v>0</v>
      </c>
      <c r="R647" s="182">
        <f t="shared" si="273"/>
        <v>0</v>
      </c>
      <c r="S647" s="182">
        <f t="shared" si="274"/>
        <v>0</v>
      </c>
      <c r="T647" s="182">
        <f t="shared" si="275"/>
        <v>0</v>
      </c>
      <c r="U647" s="182">
        <f t="shared" si="276"/>
        <v>0</v>
      </c>
      <c r="V647" s="14">
        <f t="shared" si="277"/>
        <v>312.2</v>
      </c>
      <c r="W647" s="14">
        <f t="shared" si="278"/>
        <v>-312.2</v>
      </c>
      <c r="Y647" s="14">
        <f t="shared" si="281"/>
        <v>11.3</v>
      </c>
      <c r="Z647" s="14">
        <f t="shared" si="282"/>
        <v>-11.3</v>
      </c>
      <c r="AA647" s="11">
        <f t="shared" si="284"/>
        <v>0.34</v>
      </c>
      <c r="AB647" s="9">
        <f t="shared" si="287"/>
        <v>3.4000000000000004</v>
      </c>
      <c r="AD647" s="13">
        <f>IF(AH647&gt;AH646,AD646,IF(AD646&lt;MiscData!$F$1,EOMONTH(AD646,1),EOMONTH(AD646,-11)))</f>
        <v>42247</v>
      </c>
      <c r="AE647" s="7" t="str">
        <f t="shared" si="279"/>
        <v>20140101KUUM_415</v>
      </c>
      <c r="AF647" s="12" t="str">
        <f t="shared" si="280"/>
        <v>20140101LS</v>
      </c>
      <c r="AG647" s="31"/>
      <c r="AH647">
        <f>IF(AH646=MiscData!$AB$91,1,AH646+1)</f>
        <v>30</v>
      </c>
      <c r="AI647">
        <f>IF(AD647&lt;=MiscData!$B$23,MiscData!$C$23,IF(AD647&lt;=MiscData!$B$24,MiscData!$C$24,MiscData!$C$25))</f>
        <v>20140101</v>
      </c>
      <c r="AK647" s="190" t="str">
        <f>VLOOKUP(AM647,MiscData!$AB$4:$ACB$113,2,FALSE)</f>
        <v>KUUM_415</v>
      </c>
      <c r="AL647" s="190" t="str">
        <f>VLOOKUP(AM647,MiscData!$AB$4:$AE$115,4,FALSE)</f>
        <v>LS</v>
      </c>
      <c r="AM647">
        <f>IF(AM646=MiscData!$AB$91,1,AM646+1)</f>
        <v>30</v>
      </c>
    </row>
    <row r="648" spans="1:39">
      <c r="A648" s="7">
        <f t="shared" si="283"/>
        <v>647</v>
      </c>
      <c r="B648" s="13" t="str">
        <f t="shared" si="264"/>
        <v>Aug 2015</v>
      </c>
      <c r="C648" s="23" t="str">
        <f t="shared" si="265"/>
        <v>LS</v>
      </c>
      <c r="D648" s="23" t="str">
        <f t="shared" si="266"/>
        <v>KUUM_420</v>
      </c>
      <c r="E648" s="170">
        <f t="shared" si="267"/>
        <v>473</v>
      </c>
      <c r="F648" s="185"/>
      <c r="G648" s="170">
        <f t="shared" si="268"/>
        <v>0</v>
      </c>
      <c r="H648" s="170">
        <v>0</v>
      </c>
      <c r="I648" s="11">
        <f t="shared" si="269"/>
        <v>15.360000000000001</v>
      </c>
      <c r="J648" s="11">
        <f t="shared" si="270"/>
        <v>1.1300000000000008</v>
      </c>
      <c r="K648" s="416">
        <f t="shared" si="285"/>
        <v>7265.28</v>
      </c>
      <c r="L648" s="180"/>
      <c r="M648" s="180"/>
      <c r="N648" s="186">
        <f t="shared" si="263"/>
        <v>7265.28</v>
      </c>
      <c r="O648" s="29">
        <f t="shared" si="271"/>
        <v>0</v>
      </c>
      <c r="P648" s="181">
        <f t="shared" si="286"/>
        <v>0</v>
      </c>
      <c r="Q648" s="182">
        <f t="shared" si="272"/>
        <v>0</v>
      </c>
      <c r="R648" s="182">
        <f t="shared" si="273"/>
        <v>0</v>
      </c>
      <c r="S648" s="182">
        <f t="shared" si="274"/>
        <v>0</v>
      </c>
      <c r="T648" s="182">
        <f t="shared" si="275"/>
        <v>0</v>
      </c>
      <c r="U648" s="182">
        <f t="shared" si="276"/>
        <v>0</v>
      </c>
      <c r="V648" s="14">
        <f t="shared" si="277"/>
        <v>7265.28</v>
      </c>
      <c r="W648" s="14">
        <f t="shared" si="278"/>
        <v>-7265.28</v>
      </c>
      <c r="Y648" s="14">
        <f t="shared" si="281"/>
        <v>534.49</v>
      </c>
      <c r="Z648" s="14">
        <f t="shared" si="282"/>
        <v>-534.49</v>
      </c>
      <c r="AA648" s="11">
        <f t="shared" si="284"/>
        <v>0.34</v>
      </c>
      <c r="AB648" s="9">
        <f t="shared" si="287"/>
        <v>160.82000000000002</v>
      </c>
      <c r="AD648" s="13">
        <f>IF(AH648&gt;AH647,AD647,IF(AD647&lt;MiscData!$F$1,EOMONTH(AD647,1),EOMONTH(AD647,-11)))</f>
        <v>42247</v>
      </c>
      <c r="AE648" s="7" t="str">
        <f t="shared" si="279"/>
        <v>20140101KUUM_420</v>
      </c>
      <c r="AF648" s="12" t="str">
        <f t="shared" si="280"/>
        <v>20140101LS</v>
      </c>
      <c r="AG648" s="31"/>
      <c r="AH648">
        <f>IF(AH647=MiscData!$AB$91,1,AH647+1)</f>
        <v>31</v>
      </c>
      <c r="AI648">
        <f>IF(AD648&lt;=MiscData!$B$23,MiscData!$C$23,IF(AD648&lt;=MiscData!$B$24,MiscData!$C$24,MiscData!$C$25))</f>
        <v>20140101</v>
      </c>
      <c r="AK648" s="190" t="str">
        <f>VLOOKUP(AM648,MiscData!$AB$4:$ACB$113,2,FALSE)</f>
        <v>KUUM_420</v>
      </c>
      <c r="AL648" s="190" t="str">
        <f>VLOOKUP(AM648,MiscData!$AB$4:$AE$115,4,FALSE)</f>
        <v>LS</v>
      </c>
      <c r="AM648">
        <f>IF(AM647=MiscData!$AB$91,1,AM647+1)</f>
        <v>31</v>
      </c>
    </row>
    <row r="649" spans="1:39">
      <c r="A649" s="7">
        <f t="shared" si="283"/>
        <v>648</v>
      </c>
      <c r="B649" s="13" t="str">
        <f t="shared" si="264"/>
        <v>Aug 2015</v>
      </c>
      <c r="C649" s="23" t="str">
        <f t="shared" si="265"/>
        <v>RLS</v>
      </c>
      <c r="D649" s="23" t="str">
        <f t="shared" si="266"/>
        <v>KUUM_421</v>
      </c>
      <c r="E649" s="170">
        <f t="shared" si="267"/>
        <v>5</v>
      </c>
      <c r="F649" s="185"/>
      <c r="G649" s="170">
        <f t="shared" si="268"/>
        <v>0</v>
      </c>
      <c r="H649" s="170">
        <v>0</v>
      </c>
      <c r="I649" s="11">
        <f t="shared" si="269"/>
        <v>3.39</v>
      </c>
      <c r="J649" s="11">
        <f t="shared" si="270"/>
        <v>0.98999999999999977</v>
      </c>
      <c r="K649" s="416">
        <f t="shared" si="285"/>
        <v>16.95</v>
      </c>
      <c r="L649" s="180"/>
      <c r="M649" s="180"/>
      <c r="N649" s="186">
        <f t="shared" si="263"/>
        <v>16.95</v>
      </c>
      <c r="O649" s="29">
        <f t="shared" si="271"/>
        <v>0</v>
      </c>
      <c r="P649" s="181">
        <f t="shared" si="286"/>
        <v>0</v>
      </c>
      <c r="Q649" s="182">
        <f t="shared" si="272"/>
        <v>0</v>
      </c>
      <c r="R649" s="182">
        <f t="shared" si="273"/>
        <v>0</v>
      </c>
      <c r="S649" s="182">
        <f t="shared" si="274"/>
        <v>0</v>
      </c>
      <c r="T649" s="182">
        <f t="shared" si="275"/>
        <v>0</v>
      </c>
      <c r="U649" s="182">
        <f t="shared" si="276"/>
        <v>0</v>
      </c>
      <c r="V649" s="14">
        <f t="shared" si="277"/>
        <v>16.95</v>
      </c>
      <c r="W649" s="14">
        <f t="shared" si="278"/>
        <v>-16.95</v>
      </c>
      <c r="Y649" s="14">
        <f t="shared" si="281"/>
        <v>4.95</v>
      </c>
      <c r="Z649" s="14">
        <f t="shared" si="282"/>
        <v>-4.95</v>
      </c>
      <c r="AA649" s="11">
        <f t="shared" si="284"/>
        <v>0.12</v>
      </c>
      <c r="AB649" s="9">
        <f t="shared" si="287"/>
        <v>0.6</v>
      </c>
      <c r="AD649" s="13">
        <f>IF(AH649&gt;AH648,AD648,IF(AD648&lt;MiscData!$F$1,EOMONTH(AD648,1),EOMONTH(AD648,-11)))</f>
        <v>42247</v>
      </c>
      <c r="AE649" s="7" t="str">
        <f t="shared" si="279"/>
        <v>20140101KUUM_421</v>
      </c>
      <c r="AF649" s="12" t="str">
        <f t="shared" si="280"/>
        <v>20140101RLS</v>
      </c>
      <c r="AG649" s="31"/>
      <c r="AH649">
        <f>IF(AH648=MiscData!$AB$91,1,AH648+1)</f>
        <v>32</v>
      </c>
      <c r="AI649">
        <f>IF(AD649&lt;=MiscData!$B$23,MiscData!$C$23,IF(AD649&lt;=MiscData!$B$24,MiscData!$C$24,MiscData!$C$25))</f>
        <v>20140101</v>
      </c>
      <c r="AK649" s="190" t="str">
        <f>VLOOKUP(AM649,MiscData!$AB$4:$ACB$113,2,FALSE)</f>
        <v>KUUM_421</v>
      </c>
      <c r="AL649" s="190" t="str">
        <f>VLOOKUP(AM649,MiscData!$AB$4:$AE$115,4,FALSE)</f>
        <v>RLS</v>
      </c>
      <c r="AM649">
        <f>IF(AM648=MiscData!$AB$91,1,AM648+1)</f>
        <v>32</v>
      </c>
    </row>
    <row r="650" spans="1:39">
      <c r="A650" s="7">
        <f t="shared" si="283"/>
        <v>649</v>
      </c>
      <c r="B650" s="13" t="str">
        <f t="shared" si="264"/>
        <v>Aug 2015</v>
      </c>
      <c r="C650" s="23" t="str">
        <f t="shared" si="265"/>
        <v>RLS</v>
      </c>
      <c r="D650" s="23" t="str">
        <f t="shared" si="266"/>
        <v>KUUM_422</v>
      </c>
      <c r="E650" s="170">
        <f t="shared" si="267"/>
        <v>662</v>
      </c>
      <c r="F650" s="185"/>
      <c r="G650" s="170">
        <f t="shared" si="268"/>
        <v>0</v>
      </c>
      <c r="H650" s="170">
        <v>0</v>
      </c>
      <c r="I650" s="11">
        <f t="shared" si="269"/>
        <v>4.5400000000000009</v>
      </c>
      <c r="J650" s="11">
        <f t="shared" si="270"/>
        <v>1.9400000000000004</v>
      </c>
      <c r="K650" s="416">
        <f t="shared" si="285"/>
        <v>3005.48</v>
      </c>
      <c r="L650" s="180"/>
      <c r="M650" s="180"/>
      <c r="N650" s="186">
        <f t="shared" si="263"/>
        <v>3005.48</v>
      </c>
      <c r="O650" s="29">
        <f t="shared" si="271"/>
        <v>0</v>
      </c>
      <c r="P650" s="181">
        <f t="shared" si="286"/>
        <v>0</v>
      </c>
      <c r="Q650" s="182">
        <f t="shared" si="272"/>
        <v>0</v>
      </c>
      <c r="R650" s="182">
        <f t="shared" si="273"/>
        <v>0</v>
      </c>
      <c r="S650" s="182">
        <f t="shared" si="274"/>
        <v>0</v>
      </c>
      <c r="T650" s="182">
        <f t="shared" si="275"/>
        <v>0</v>
      </c>
      <c r="U650" s="182">
        <f t="shared" si="276"/>
        <v>0</v>
      </c>
      <c r="V650" s="14">
        <f t="shared" si="277"/>
        <v>3005.48</v>
      </c>
      <c r="W650" s="14">
        <f t="shared" si="278"/>
        <v>-3005.48</v>
      </c>
      <c r="Y650" s="14">
        <f t="shared" si="281"/>
        <v>1284.28</v>
      </c>
      <c r="Z650" s="14">
        <f t="shared" si="282"/>
        <v>-1284.28</v>
      </c>
      <c r="AA650" s="11">
        <f t="shared" si="284"/>
        <v>0.16</v>
      </c>
      <c r="AB650" s="9">
        <f t="shared" si="287"/>
        <v>105.92</v>
      </c>
      <c r="AD650" s="13">
        <f>IF(AH650&gt;AH649,AD649,IF(AD649&lt;MiscData!$F$1,EOMONTH(AD649,1),EOMONTH(AD649,-11)))</f>
        <v>42247</v>
      </c>
      <c r="AE650" s="7" t="str">
        <f t="shared" si="279"/>
        <v>20140101KUUM_422</v>
      </c>
      <c r="AF650" s="12" t="str">
        <f t="shared" si="280"/>
        <v>20140101RLS</v>
      </c>
      <c r="AG650" s="31"/>
      <c r="AH650">
        <f>IF(AH649=MiscData!$AB$91,1,AH649+1)</f>
        <v>33</v>
      </c>
      <c r="AI650">
        <f>IF(AD650&lt;=MiscData!$B$23,MiscData!$C$23,IF(AD650&lt;=MiscData!$B$24,MiscData!$C$24,MiscData!$C$25))</f>
        <v>20140101</v>
      </c>
      <c r="AK650" s="190" t="str">
        <f>VLOOKUP(AM650,MiscData!$AB$4:$ACB$113,2,FALSE)</f>
        <v>KUUM_422</v>
      </c>
      <c r="AL650" s="190" t="str">
        <f>VLOOKUP(AM650,MiscData!$AB$4:$AE$115,4,FALSE)</f>
        <v>RLS</v>
      </c>
      <c r="AM650">
        <f>IF(AM649=MiscData!$AB$91,1,AM649+1)</f>
        <v>33</v>
      </c>
    </row>
    <row r="651" spans="1:39">
      <c r="A651" s="7">
        <f t="shared" si="283"/>
        <v>650</v>
      </c>
      <c r="B651" s="13" t="str">
        <f t="shared" si="264"/>
        <v>Aug 2015</v>
      </c>
      <c r="C651" s="23" t="str">
        <f t="shared" si="265"/>
        <v>RLS</v>
      </c>
      <c r="D651" s="23" t="str">
        <f t="shared" si="266"/>
        <v>KUUM_424</v>
      </c>
      <c r="E651" s="170">
        <f t="shared" si="267"/>
        <v>49</v>
      </c>
      <c r="F651" s="185"/>
      <c r="G651" s="170">
        <f t="shared" si="268"/>
        <v>0</v>
      </c>
      <c r="H651" s="170">
        <v>0</v>
      </c>
      <c r="I651" s="11">
        <f t="shared" si="269"/>
        <v>6.78</v>
      </c>
      <c r="J651" s="11">
        <f t="shared" si="270"/>
        <v>0.69999999999999929</v>
      </c>
      <c r="K651" s="416">
        <f t="shared" si="285"/>
        <v>332.22</v>
      </c>
      <c r="L651" s="180"/>
      <c r="M651" s="180"/>
      <c r="N651" s="186">
        <f t="shared" si="263"/>
        <v>332.22</v>
      </c>
      <c r="O651" s="29">
        <f t="shared" si="271"/>
        <v>0</v>
      </c>
      <c r="P651" s="181">
        <f t="shared" si="286"/>
        <v>0</v>
      </c>
      <c r="Q651" s="182">
        <f t="shared" si="272"/>
        <v>0</v>
      </c>
      <c r="R651" s="182">
        <f t="shared" si="273"/>
        <v>0</v>
      </c>
      <c r="S651" s="182">
        <f t="shared" si="274"/>
        <v>0</v>
      </c>
      <c r="T651" s="182">
        <f t="shared" si="275"/>
        <v>0</v>
      </c>
      <c r="U651" s="182">
        <f t="shared" si="276"/>
        <v>0</v>
      </c>
      <c r="V651" s="14">
        <f t="shared" si="277"/>
        <v>332.22</v>
      </c>
      <c r="W651" s="14">
        <f t="shared" si="278"/>
        <v>-332.22</v>
      </c>
      <c r="Y651" s="14">
        <f t="shared" si="281"/>
        <v>34.299999999999997</v>
      </c>
      <c r="Z651" s="14">
        <f t="shared" si="282"/>
        <v>-34.299999999999997</v>
      </c>
      <c r="AA651" s="11">
        <f t="shared" si="284"/>
        <v>0.24</v>
      </c>
      <c r="AB651" s="9">
        <f t="shared" si="287"/>
        <v>11.76</v>
      </c>
      <c r="AD651" s="13">
        <f>IF(AH651&gt;AH650,AD650,IF(AD650&lt;MiscData!$F$1,EOMONTH(AD650,1),EOMONTH(AD650,-11)))</f>
        <v>42247</v>
      </c>
      <c r="AE651" s="7" t="str">
        <f t="shared" si="279"/>
        <v>20140101KUUM_424</v>
      </c>
      <c r="AF651" s="12" t="str">
        <f t="shared" si="280"/>
        <v>20140101RLS</v>
      </c>
      <c r="AG651" s="31"/>
      <c r="AH651">
        <f>IF(AH650=MiscData!$AB$91,1,AH650+1)</f>
        <v>34</v>
      </c>
      <c r="AI651">
        <f>IF(AD651&lt;=MiscData!$B$23,MiscData!$C$23,IF(AD651&lt;=MiscData!$B$24,MiscData!$C$24,MiscData!$C$25))</f>
        <v>20140101</v>
      </c>
      <c r="AK651" s="190" t="str">
        <f>VLOOKUP(AM651,MiscData!$AB$4:$ACB$113,2,FALSE)</f>
        <v>KUUM_424</v>
      </c>
      <c r="AL651" s="190" t="str">
        <f>VLOOKUP(AM651,MiscData!$AB$4:$AE$115,4,FALSE)</f>
        <v>RLS</v>
      </c>
      <c r="AM651">
        <f>IF(AM650=MiscData!$AB$91,1,AM650+1)</f>
        <v>34</v>
      </c>
    </row>
    <row r="652" spans="1:39">
      <c r="A652" s="7">
        <f t="shared" si="283"/>
        <v>651</v>
      </c>
      <c r="B652" s="13" t="str">
        <f t="shared" si="264"/>
        <v>Aug 2015</v>
      </c>
      <c r="C652" s="23" t="str">
        <f t="shared" si="265"/>
        <v>RLS</v>
      </c>
      <c r="D652" s="23" t="str">
        <f t="shared" si="266"/>
        <v>KUUM_425</v>
      </c>
      <c r="E652" s="170">
        <f t="shared" si="267"/>
        <v>2</v>
      </c>
      <c r="F652" s="185"/>
      <c r="G652" s="170">
        <f t="shared" si="268"/>
        <v>0</v>
      </c>
      <c r="H652" s="170">
        <v>0</v>
      </c>
      <c r="I652" s="11">
        <f t="shared" si="269"/>
        <v>9.06</v>
      </c>
      <c r="J652" s="11">
        <f t="shared" si="270"/>
        <v>4.3000000000000007</v>
      </c>
      <c r="K652" s="416">
        <f t="shared" si="285"/>
        <v>18.12</v>
      </c>
      <c r="L652" s="180"/>
      <c r="M652" s="180"/>
      <c r="N652" s="186">
        <f t="shared" si="263"/>
        <v>18.12</v>
      </c>
      <c r="O652" s="29">
        <f t="shared" si="271"/>
        <v>0</v>
      </c>
      <c r="P652" s="181">
        <f t="shared" si="286"/>
        <v>0</v>
      </c>
      <c r="Q652" s="182">
        <f t="shared" si="272"/>
        <v>0</v>
      </c>
      <c r="R652" s="182">
        <f t="shared" si="273"/>
        <v>0</v>
      </c>
      <c r="S652" s="182">
        <f t="shared" si="274"/>
        <v>0</v>
      </c>
      <c r="T652" s="182">
        <f t="shared" si="275"/>
        <v>0</v>
      </c>
      <c r="U652" s="182">
        <f t="shared" si="276"/>
        <v>0</v>
      </c>
      <c r="V652" s="14">
        <f t="shared" si="277"/>
        <v>18.12</v>
      </c>
      <c r="W652" s="14">
        <f t="shared" si="278"/>
        <v>-18.12</v>
      </c>
      <c r="Y652" s="14">
        <f t="shared" si="281"/>
        <v>8.6</v>
      </c>
      <c r="Z652" s="14">
        <f t="shared" si="282"/>
        <v>-8.6</v>
      </c>
      <c r="AA652" s="11">
        <f t="shared" si="284"/>
        <v>0.33</v>
      </c>
      <c r="AB652" s="9">
        <f t="shared" si="287"/>
        <v>0.66</v>
      </c>
      <c r="AD652" s="13">
        <f>IF(AH652&gt;AH651,AD651,IF(AD651&lt;MiscData!$F$1,EOMONTH(AD651,1),EOMONTH(AD651,-11)))</f>
        <v>42247</v>
      </c>
      <c r="AE652" s="7" t="str">
        <f t="shared" si="279"/>
        <v>20140101KUUM_425</v>
      </c>
      <c r="AF652" s="12" t="str">
        <f t="shared" si="280"/>
        <v>20140101RLS</v>
      </c>
      <c r="AG652" s="31"/>
      <c r="AH652">
        <f>IF(AH651=MiscData!$AB$91,1,AH651+1)</f>
        <v>35</v>
      </c>
      <c r="AI652">
        <f>IF(AD652&lt;=MiscData!$B$23,MiscData!$C$23,IF(AD652&lt;=MiscData!$B$24,MiscData!$C$24,MiscData!$C$25))</f>
        <v>20140101</v>
      </c>
      <c r="AK652" s="190" t="str">
        <f>VLOOKUP(AM652,MiscData!$AB$4:$ACB$113,2,FALSE)</f>
        <v>KUUM_425</v>
      </c>
      <c r="AL652" s="190" t="str">
        <f>VLOOKUP(AM652,MiscData!$AB$4:$AE$115,4,FALSE)</f>
        <v>RLS</v>
      </c>
      <c r="AM652">
        <f>IF(AM651=MiscData!$AB$91,1,AM651+1)</f>
        <v>35</v>
      </c>
    </row>
    <row r="653" spans="1:39">
      <c r="A653" s="7">
        <f t="shared" si="283"/>
        <v>652</v>
      </c>
      <c r="B653" s="13" t="str">
        <f t="shared" si="264"/>
        <v>Aug 2015</v>
      </c>
      <c r="C653" s="23" t="str">
        <f t="shared" si="265"/>
        <v>RLS</v>
      </c>
      <c r="D653" s="23" t="str">
        <f t="shared" si="266"/>
        <v>KUUM_426</v>
      </c>
      <c r="E653" s="170">
        <f t="shared" si="267"/>
        <v>175</v>
      </c>
      <c r="F653" s="185"/>
      <c r="G653" s="170">
        <f t="shared" si="268"/>
        <v>0</v>
      </c>
      <c r="H653" s="170">
        <v>0</v>
      </c>
      <c r="I653" s="11">
        <f t="shared" si="269"/>
        <v>7.4399999999999995</v>
      </c>
      <c r="J653" s="11">
        <f t="shared" si="270"/>
        <v>0.79999999999999982</v>
      </c>
      <c r="K653" s="416">
        <f t="shared" si="285"/>
        <v>1302</v>
      </c>
      <c r="L653" s="180"/>
      <c r="M653" s="180"/>
      <c r="N653" s="186">
        <f t="shared" si="263"/>
        <v>1302</v>
      </c>
      <c r="O653" s="29">
        <f t="shared" si="271"/>
        <v>0</v>
      </c>
      <c r="P653" s="181">
        <f t="shared" si="286"/>
        <v>0</v>
      </c>
      <c r="Q653" s="182">
        <f t="shared" si="272"/>
        <v>0</v>
      </c>
      <c r="R653" s="182">
        <f t="shared" si="273"/>
        <v>0</v>
      </c>
      <c r="S653" s="182">
        <f t="shared" si="274"/>
        <v>0</v>
      </c>
      <c r="T653" s="182">
        <f t="shared" si="275"/>
        <v>0</v>
      </c>
      <c r="U653" s="182">
        <f t="shared" si="276"/>
        <v>0</v>
      </c>
      <c r="V653" s="14">
        <f t="shared" si="277"/>
        <v>1302</v>
      </c>
      <c r="W653" s="14">
        <f t="shared" si="278"/>
        <v>-1302</v>
      </c>
      <c r="Y653" s="14">
        <f t="shared" si="281"/>
        <v>140</v>
      </c>
      <c r="Z653" s="14">
        <f t="shared" si="282"/>
        <v>-140</v>
      </c>
      <c r="AA653" s="11">
        <f t="shared" si="284"/>
        <v>0.43</v>
      </c>
      <c r="AB653" s="9">
        <f t="shared" si="287"/>
        <v>75.25</v>
      </c>
      <c r="AD653" s="13">
        <f>IF(AH653&gt;AH652,AD652,IF(AD652&lt;MiscData!$F$1,EOMONTH(AD652,1),EOMONTH(AD652,-11)))</f>
        <v>42247</v>
      </c>
      <c r="AE653" s="7" t="str">
        <f t="shared" si="279"/>
        <v>20140101KUUM_426</v>
      </c>
      <c r="AF653" s="12" t="str">
        <f t="shared" si="280"/>
        <v>20140101RLS</v>
      </c>
      <c r="AG653" s="31"/>
      <c r="AH653">
        <f>IF(AH652=MiscData!$AB$91,1,AH652+1)</f>
        <v>36</v>
      </c>
      <c r="AI653">
        <f>IF(AD653&lt;=MiscData!$B$23,MiscData!$C$23,IF(AD653&lt;=MiscData!$B$24,MiscData!$C$24,MiscData!$C$25))</f>
        <v>20140101</v>
      </c>
      <c r="AK653" s="190" t="str">
        <f>VLOOKUP(AM653,MiscData!$AB$4:$ACB$113,2,FALSE)</f>
        <v>KUUM_426</v>
      </c>
      <c r="AL653" s="190" t="str">
        <f>VLOOKUP(AM653,MiscData!$AB$4:$AE$115,4,FALSE)</f>
        <v>RLS</v>
      </c>
      <c r="AM653">
        <f>IF(AM652=MiscData!$AB$91,1,AM652+1)</f>
        <v>36</v>
      </c>
    </row>
    <row r="654" spans="1:39">
      <c r="A654" s="7">
        <f t="shared" si="283"/>
        <v>653</v>
      </c>
      <c r="B654" s="13" t="str">
        <f t="shared" si="264"/>
        <v>Aug 2015</v>
      </c>
      <c r="C654" s="23" t="str">
        <f t="shared" si="265"/>
        <v>LS</v>
      </c>
      <c r="D654" s="23" t="str">
        <f t="shared" si="266"/>
        <v>KUUM_428</v>
      </c>
      <c r="E654" s="170">
        <f t="shared" si="267"/>
        <v>36380</v>
      </c>
      <c r="F654" s="185"/>
      <c r="G654" s="170">
        <f t="shared" si="268"/>
        <v>0</v>
      </c>
      <c r="H654" s="170">
        <v>0</v>
      </c>
      <c r="I654" s="11">
        <f t="shared" si="269"/>
        <v>7.84</v>
      </c>
      <c r="J654" s="11">
        <f t="shared" si="270"/>
        <v>1.1299999999999999</v>
      </c>
      <c r="K654" s="416">
        <f t="shared" si="285"/>
        <v>285219.20000000001</v>
      </c>
      <c r="L654" s="180"/>
      <c r="M654" s="180"/>
      <c r="N654" s="186">
        <f t="shared" si="263"/>
        <v>285219.20000000001</v>
      </c>
      <c r="O654" s="29">
        <f t="shared" si="271"/>
        <v>0</v>
      </c>
      <c r="P654" s="181">
        <f t="shared" si="286"/>
        <v>0</v>
      </c>
      <c r="Q654" s="182">
        <f t="shared" si="272"/>
        <v>0</v>
      </c>
      <c r="R654" s="182">
        <f t="shared" si="273"/>
        <v>0</v>
      </c>
      <c r="S654" s="182">
        <f t="shared" si="274"/>
        <v>0</v>
      </c>
      <c r="T654" s="182">
        <f t="shared" si="275"/>
        <v>0</v>
      </c>
      <c r="U654" s="182">
        <f t="shared" si="276"/>
        <v>0</v>
      </c>
      <c r="V654" s="14">
        <f t="shared" si="277"/>
        <v>285219.20000000001</v>
      </c>
      <c r="W654" s="14">
        <f t="shared" si="278"/>
        <v>-285219.20000000001</v>
      </c>
      <c r="Y654" s="14">
        <f t="shared" si="281"/>
        <v>41109.4</v>
      </c>
      <c r="Z654" s="14">
        <f t="shared" si="282"/>
        <v>-41109.4</v>
      </c>
      <c r="AA654" s="11">
        <f t="shared" si="284"/>
        <v>0.34</v>
      </c>
      <c r="AB654" s="9">
        <f t="shared" si="287"/>
        <v>12369.2</v>
      </c>
      <c r="AD654" s="13">
        <f>IF(AH654&gt;AH653,AD653,IF(AD653&lt;MiscData!$F$1,EOMONTH(AD653,1),EOMONTH(AD653,-11)))</f>
        <v>42247</v>
      </c>
      <c r="AE654" s="7" t="str">
        <f t="shared" si="279"/>
        <v>20140101KUUM_428</v>
      </c>
      <c r="AF654" s="12" t="str">
        <f t="shared" si="280"/>
        <v>20140101LS</v>
      </c>
      <c r="AG654" s="31"/>
      <c r="AH654">
        <f>IF(AH653=MiscData!$AB$91,1,AH653+1)</f>
        <v>37</v>
      </c>
      <c r="AI654">
        <f>IF(AD654&lt;=MiscData!$B$23,MiscData!$C$23,IF(AD654&lt;=MiscData!$B$24,MiscData!$C$24,MiscData!$C$25))</f>
        <v>20140101</v>
      </c>
      <c r="AK654" s="190" t="str">
        <f>VLOOKUP(AM654,MiscData!$AB$4:$ACB$113,2,FALSE)</f>
        <v>KUUM_428</v>
      </c>
      <c r="AL654" s="190" t="str">
        <f>VLOOKUP(AM654,MiscData!$AB$4:$AE$115,4,FALSE)</f>
        <v>LS</v>
      </c>
      <c r="AM654">
        <f>IF(AM653=MiscData!$AB$91,1,AM653+1)</f>
        <v>37</v>
      </c>
    </row>
    <row r="655" spans="1:39">
      <c r="A655" s="7">
        <f t="shared" si="283"/>
        <v>654</v>
      </c>
      <c r="B655" s="13" t="str">
        <f t="shared" si="264"/>
        <v>Aug 2015</v>
      </c>
      <c r="C655" s="23" t="str">
        <f t="shared" si="265"/>
        <v>LS</v>
      </c>
      <c r="D655" s="23" t="str">
        <f t="shared" si="266"/>
        <v>KUUM_429</v>
      </c>
      <c r="E655" s="170">
        <f t="shared" si="267"/>
        <v>0</v>
      </c>
      <c r="F655" s="185"/>
      <c r="G655" s="170">
        <f t="shared" si="268"/>
        <v>0</v>
      </c>
      <c r="H655" s="170">
        <v>0</v>
      </c>
      <c r="I655" s="11">
        <f t="shared" si="269"/>
        <v>0</v>
      </c>
      <c r="J655" s="11">
        <f t="shared" si="270"/>
        <v>0</v>
      </c>
      <c r="K655" s="416">
        <f t="shared" si="285"/>
        <v>0</v>
      </c>
      <c r="L655" s="180"/>
      <c r="M655" s="180"/>
      <c r="N655" s="186">
        <f t="shared" si="263"/>
        <v>0</v>
      </c>
      <c r="O655" s="29">
        <f t="shared" si="271"/>
        <v>0</v>
      </c>
      <c r="P655" s="181">
        <f t="shared" si="286"/>
        <v>1</v>
      </c>
      <c r="Q655" s="182">
        <f t="shared" si="272"/>
        <v>0</v>
      </c>
      <c r="R655" s="182">
        <f t="shared" si="273"/>
        <v>0</v>
      </c>
      <c r="S655" s="182">
        <f t="shared" si="274"/>
        <v>0</v>
      </c>
      <c r="T655" s="182">
        <f t="shared" si="275"/>
        <v>0</v>
      </c>
      <c r="U655" s="182">
        <f t="shared" si="276"/>
        <v>0</v>
      </c>
      <c r="V655" s="14">
        <f t="shared" si="277"/>
        <v>0</v>
      </c>
      <c r="W655" s="14">
        <f t="shared" si="278"/>
        <v>0</v>
      </c>
      <c r="Y655" s="14">
        <f t="shared" si="281"/>
        <v>0</v>
      </c>
      <c r="Z655" s="14">
        <f t="shared" si="282"/>
        <v>0</v>
      </c>
      <c r="AA655" s="11">
        <f t="shared" si="284"/>
        <v>0</v>
      </c>
      <c r="AB655" s="9">
        <f t="shared" si="287"/>
        <v>0</v>
      </c>
      <c r="AD655" s="13">
        <f>IF(AH655&gt;AH654,AD654,IF(AD654&lt;MiscData!$F$1,EOMONTH(AD654,1),EOMONTH(AD654,-11)))</f>
        <v>42247</v>
      </c>
      <c r="AE655" s="7" t="str">
        <f t="shared" si="279"/>
        <v>20140101KUUM_429</v>
      </c>
      <c r="AF655" s="12" t="str">
        <f t="shared" si="280"/>
        <v>20140101LS</v>
      </c>
      <c r="AG655" s="31"/>
      <c r="AH655">
        <f>IF(AH654=MiscData!$AB$91,1,AH654+1)</f>
        <v>38</v>
      </c>
      <c r="AI655">
        <f>IF(AD655&lt;=MiscData!$B$23,MiscData!$C$23,IF(AD655&lt;=MiscData!$B$24,MiscData!$C$24,MiscData!$C$25))</f>
        <v>20140101</v>
      </c>
      <c r="AK655" s="190" t="str">
        <f>VLOOKUP(AM655,MiscData!$AB$4:$ACB$113,2,FALSE)</f>
        <v>KUUM_429</v>
      </c>
      <c r="AL655" s="190" t="str">
        <f>VLOOKUP(AM655,MiscData!$AB$4:$AE$115,4,FALSE)</f>
        <v>LS</v>
      </c>
      <c r="AM655">
        <f>IF(AM654=MiscData!$AB$91,1,AM654+1)</f>
        <v>38</v>
      </c>
    </row>
    <row r="656" spans="1:39">
      <c r="A656" s="7">
        <f t="shared" si="283"/>
        <v>655</v>
      </c>
      <c r="B656" s="13" t="str">
        <f t="shared" si="264"/>
        <v>Aug 2015</v>
      </c>
      <c r="C656" s="23" t="str">
        <f t="shared" si="265"/>
        <v>LS</v>
      </c>
      <c r="D656" s="23" t="str">
        <f t="shared" si="266"/>
        <v>KUUM_430</v>
      </c>
      <c r="E656" s="170">
        <f t="shared" si="267"/>
        <v>1171</v>
      </c>
      <c r="F656" s="185"/>
      <c r="G656" s="170">
        <f t="shared" si="268"/>
        <v>0</v>
      </c>
      <c r="H656" s="170">
        <v>0</v>
      </c>
      <c r="I656" s="11">
        <f t="shared" si="269"/>
        <v>22</v>
      </c>
      <c r="J656" s="11">
        <f t="shared" si="270"/>
        <v>1.129999999999999</v>
      </c>
      <c r="K656" s="416">
        <f t="shared" si="285"/>
        <v>25762</v>
      </c>
      <c r="L656" s="180"/>
      <c r="M656" s="180"/>
      <c r="N656" s="186">
        <f t="shared" si="263"/>
        <v>25762</v>
      </c>
      <c r="O656" s="29">
        <f t="shared" si="271"/>
        <v>0</v>
      </c>
      <c r="P656" s="181">
        <f t="shared" si="286"/>
        <v>0</v>
      </c>
      <c r="Q656" s="182">
        <f t="shared" si="272"/>
        <v>0</v>
      </c>
      <c r="R656" s="182">
        <f t="shared" si="273"/>
        <v>0</v>
      </c>
      <c r="S656" s="182">
        <f t="shared" si="274"/>
        <v>0</v>
      </c>
      <c r="T656" s="182">
        <f t="shared" si="275"/>
        <v>0</v>
      </c>
      <c r="U656" s="182">
        <f t="shared" si="276"/>
        <v>0</v>
      </c>
      <c r="V656" s="14">
        <f t="shared" si="277"/>
        <v>25762</v>
      </c>
      <c r="W656" s="14">
        <f t="shared" si="278"/>
        <v>-25762</v>
      </c>
      <c r="Y656" s="14">
        <f t="shared" si="281"/>
        <v>1323.23</v>
      </c>
      <c r="Z656" s="14">
        <f t="shared" si="282"/>
        <v>-1323.23</v>
      </c>
      <c r="AA656" s="11">
        <f t="shared" si="284"/>
        <v>0.34</v>
      </c>
      <c r="AB656" s="9">
        <f t="shared" si="287"/>
        <v>398.14000000000004</v>
      </c>
      <c r="AD656" s="13">
        <f>IF(AH656&gt;AH655,AD655,IF(AD655&lt;MiscData!$F$1,EOMONTH(AD655,1),EOMONTH(AD655,-11)))</f>
        <v>42247</v>
      </c>
      <c r="AE656" s="7" t="str">
        <f t="shared" si="279"/>
        <v>20140101KUUM_430</v>
      </c>
      <c r="AF656" s="12" t="str">
        <f t="shared" si="280"/>
        <v>20140101LS</v>
      </c>
      <c r="AG656" s="31"/>
      <c r="AH656">
        <f>IF(AH655=MiscData!$AB$91,1,AH655+1)</f>
        <v>39</v>
      </c>
      <c r="AI656">
        <f>IF(AD656&lt;=MiscData!$B$23,MiscData!$C$23,IF(AD656&lt;=MiscData!$B$24,MiscData!$C$24,MiscData!$C$25))</f>
        <v>20140101</v>
      </c>
      <c r="AK656" s="190" t="str">
        <f>VLOOKUP(AM656,MiscData!$AB$4:$ACB$113,2,FALSE)</f>
        <v>KUUM_430</v>
      </c>
      <c r="AL656" s="190" t="str">
        <f>VLOOKUP(AM656,MiscData!$AB$4:$AE$115,4,FALSE)</f>
        <v>LS</v>
      </c>
      <c r="AM656">
        <f>IF(AM655=MiscData!$AB$91,1,AM655+1)</f>
        <v>39</v>
      </c>
    </row>
    <row r="657" spans="1:39">
      <c r="A657" s="7">
        <f t="shared" si="283"/>
        <v>656</v>
      </c>
      <c r="B657" s="13" t="str">
        <f t="shared" si="264"/>
        <v>Aug 2015</v>
      </c>
      <c r="C657" s="23" t="str">
        <f t="shared" si="265"/>
        <v>RLS</v>
      </c>
      <c r="D657" s="23" t="str">
        <f t="shared" si="266"/>
        <v>KUUM_434</v>
      </c>
      <c r="E657" s="170">
        <f t="shared" si="267"/>
        <v>0</v>
      </c>
      <c r="F657" s="185"/>
      <c r="G657" s="170">
        <f t="shared" si="268"/>
        <v>0</v>
      </c>
      <c r="H657" s="170">
        <v>0</v>
      </c>
      <c r="I657" s="11">
        <f t="shared" si="269"/>
        <v>7.74</v>
      </c>
      <c r="J657" s="11">
        <f t="shared" si="270"/>
        <v>0.69999999999999929</v>
      </c>
      <c r="K657" s="416">
        <f t="shared" si="285"/>
        <v>0</v>
      </c>
      <c r="L657" s="180"/>
      <c r="M657" s="180"/>
      <c r="N657" s="186">
        <f t="shared" si="263"/>
        <v>0</v>
      </c>
      <c r="O657" s="29">
        <f t="shared" si="271"/>
        <v>0</v>
      </c>
      <c r="P657" s="181">
        <f t="shared" si="286"/>
        <v>1</v>
      </c>
      <c r="Q657" s="182">
        <f t="shared" si="272"/>
        <v>0</v>
      </c>
      <c r="R657" s="182">
        <f t="shared" si="273"/>
        <v>0</v>
      </c>
      <c r="S657" s="182">
        <f t="shared" si="274"/>
        <v>0</v>
      </c>
      <c r="T657" s="182">
        <f t="shared" si="275"/>
        <v>0</v>
      </c>
      <c r="U657" s="182">
        <f t="shared" si="276"/>
        <v>0</v>
      </c>
      <c r="V657" s="14">
        <f t="shared" si="277"/>
        <v>0</v>
      </c>
      <c r="W657" s="14">
        <f t="shared" si="278"/>
        <v>0</v>
      </c>
      <c r="Y657" s="14">
        <f t="shared" si="281"/>
        <v>0</v>
      </c>
      <c r="Z657" s="14">
        <f t="shared" si="282"/>
        <v>0</v>
      </c>
      <c r="AA657" s="11">
        <f t="shared" si="284"/>
        <v>0.24</v>
      </c>
      <c r="AB657" s="9">
        <f t="shared" si="287"/>
        <v>0</v>
      </c>
      <c r="AD657" s="13">
        <f>IF(AH657&gt;AH656,AD656,IF(AD656&lt;MiscData!$F$1,EOMONTH(AD656,1),EOMONTH(AD656,-11)))</f>
        <v>42247</v>
      </c>
      <c r="AE657" s="7" t="str">
        <f t="shared" si="279"/>
        <v>20140101KUUM_434</v>
      </c>
      <c r="AF657" s="12" t="str">
        <f t="shared" si="280"/>
        <v>20140101RLS</v>
      </c>
      <c r="AG657" s="31"/>
      <c r="AH657">
        <f>IF(AH656=MiscData!$AB$91,1,AH656+1)</f>
        <v>40</v>
      </c>
      <c r="AI657">
        <f>IF(AD657&lt;=MiscData!$B$23,MiscData!$C$23,IF(AD657&lt;=MiscData!$B$24,MiscData!$C$24,MiscData!$C$25))</f>
        <v>20140101</v>
      </c>
      <c r="AK657" s="190" t="str">
        <f>VLOOKUP(AM657,MiscData!$AB$4:$ACB$113,2,FALSE)</f>
        <v>KUUM_434</v>
      </c>
      <c r="AL657" s="190" t="str">
        <f>VLOOKUP(AM657,MiscData!$AB$4:$AE$115,4,FALSE)</f>
        <v>RLS</v>
      </c>
      <c r="AM657">
        <f>IF(AM656=MiscData!$AB$91,1,AM656+1)</f>
        <v>40</v>
      </c>
    </row>
    <row r="658" spans="1:39">
      <c r="A658" s="7">
        <f t="shared" si="283"/>
        <v>657</v>
      </c>
      <c r="B658" s="13" t="str">
        <f t="shared" si="264"/>
        <v>Aug 2015</v>
      </c>
      <c r="C658" s="23" t="str">
        <f t="shared" si="265"/>
        <v>RLS</v>
      </c>
      <c r="D658" s="23" t="str">
        <f t="shared" si="266"/>
        <v>KUUM_440</v>
      </c>
      <c r="E658" s="170">
        <f t="shared" si="267"/>
        <v>2</v>
      </c>
      <c r="F658" s="185"/>
      <c r="G658" s="170">
        <f t="shared" si="268"/>
        <v>0</v>
      </c>
      <c r="H658" s="170">
        <v>0</v>
      </c>
      <c r="I658" s="11">
        <f t="shared" si="269"/>
        <v>13.610000000000001</v>
      </c>
      <c r="J658" s="11">
        <f t="shared" si="270"/>
        <v>0.57000000000000028</v>
      </c>
      <c r="K658" s="416">
        <f t="shared" si="285"/>
        <v>27.22</v>
      </c>
      <c r="L658" s="180"/>
      <c r="M658" s="180"/>
      <c r="N658" s="186">
        <f t="shared" si="263"/>
        <v>27.22</v>
      </c>
      <c r="O658" s="29">
        <f t="shared" si="271"/>
        <v>0</v>
      </c>
      <c r="P658" s="181">
        <f t="shared" si="286"/>
        <v>0</v>
      </c>
      <c r="Q658" s="182">
        <f t="shared" si="272"/>
        <v>0</v>
      </c>
      <c r="R658" s="182">
        <f t="shared" si="273"/>
        <v>0</v>
      </c>
      <c r="S658" s="182">
        <f t="shared" si="274"/>
        <v>0</v>
      </c>
      <c r="T658" s="182">
        <f t="shared" si="275"/>
        <v>0</v>
      </c>
      <c r="U658" s="182">
        <f t="shared" si="276"/>
        <v>0</v>
      </c>
      <c r="V658" s="14">
        <f t="shared" si="277"/>
        <v>27.22</v>
      </c>
      <c r="W658" s="14">
        <f t="shared" si="278"/>
        <v>-27.22</v>
      </c>
      <c r="Y658" s="14">
        <f t="shared" si="281"/>
        <v>1.1399999999999999</v>
      </c>
      <c r="Z658" s="14">
        <f t="shared" si="282"/>
        <v>-1.1399999999999999</v>
      </c>
      <c r="AA658" s="11">
        <f t="shared" si="284"/>
        <v>0.33</v>
      </c>
      <c r="AB658" s="9">
        <f t="shared" si="287"/>
        <v>0.66</v>
      </c>
      <c r="AD658" s="13">
        <f>IF(AH658&gt;AH657,AD657,IF(AD657&lt;MiscData!$F$1,EOMONTH(AD657,1),EOMONTH(AD657,-11)))</f>
        <v>42247</v>
      </c>
      <c r="AE658" s="7" t="str">
        <f t="shared" si="279"/>
        <v>20140101KUUM_440</v>
      </c>
      <c r="AF658" s="12" t="str">
        <f t="shared" si="280"/>
        <v>20140101RLS</v>
      </c>
      <c r="AG658" s="31"/>
      <c r="AH658">
        <f>IF(AH657=MiscData!$AB$91,1,AH657+1)</f>
        <v>41</v>
      </c>
      <c r="AI658">
        <f>IF(AD658&lt;=MiscData!$B$23,MiscData!$C$23,IF(AD658&lt;=MiscData!$B$24,MiscData!$C$24,MiscData!$C$25))</f>
        <v>20140101</v>
      </c>
      <c r="AK658" s="190" t="str">
        <f>VLOOKUP(AM658,MiscData!$AB$4:$ACB$113,2,FALSE)</f>
        <v>KUUM_440</v>
      </c>
      <c r="AL658" s="190" t="str">
        <f>VLOOKUP(AM658,MiscData!$AB$4:$AE$115,4,FALSE)</f>
        <v>RLS</v>
      </c>
      <c r="AM658">
        <f>IF(AM657=MiscData!$AB$91,1,AM657+1)</f>
        <v>41</v>
      </c>
    </row>
    <row r="659" spans="1:39">
      <c r="A659" s="7">
        <f t="shared" si="283"/>
        <v>658</v>
      </c>
      <c r="B659" s="13" t="str">
        <f t="shared" si="264"/>
        <v>Aug 2015</v>
      </c>
      <c r="C659" s="23" t="str">
        <f t="shared" si="265"/>
        <v>RLS</v>
      </c>
      <c r="D659" s="23" t="str">
        <f t="shared" si="266"/>
        <v>KUUM_446</v>
      </c>
      <c r="E659" s="170">
        <f t="shared" si="267"/>
        <v>1068</v>
      </c>
      <c r="F659" s="185"/>
      <c r="G659" s="170">
        <f t="shared" si="268"/>
        <v>0</v>
      </c>
      <c r="H659" s="170">
        <v>0</v>
      </c>
      <c r="I659" s="11">
        <f t="shared" si="269"/>
        <v>9.5600000000000023</v>
      </c>
      <c r="J659" s="11">
        <f t="shared" si="270"/>
        <v>1.9900000000000002</v>
      </c>
      <c r="K659" s="416">
        <f t="shared" si="285"/>
        <v>10210.08</v>
      </c>
      <c r="L659" s="180"/>
      <c r="M659" s="180"/>
      <c r="N659" s="186">
        <f t="shared" si="263"/>
        <v>10210.08</v>
      </c>
      <c r="O659" s="29">
        <f t="shared" si="271"/>
        <v>0</v>
      </c>
      <c r="P659" s="181">
        <f t="shared" si="286"/>
        <v>0</v>
      </c>
      <c r="Q659" s="182">
        <f t="shared" si="272"/>
        <v>0</v>
      </c>
      <c r="R659" s="182">
        <f t="shared" si="273"/>
        <v>0</v>
      </c>
      <c r="S659" s="182">
        <f t="shared" si="274"/>
        <v>0</v>
      </c>
      <c r="T659" s="182">
        <f t="shared" si="275"/>
        <v>0</v>
      </c>
      <c r="U659" s="182">
        <f t="shared" si="276"/>
        <v>0</v>
      </c>
      <c r="V659" s="14">
        <f t="shared" si="277"/>
        <v>10210.08</v>
      </c>
      <c r="W659" s="14">
        <f t="shared" si="278"/>
        <v>-10210.08</v>
      </c>
      <c r="Y659" s="14">
        <f t="shared" si="281"/>
        <v>2125.3200000000002</v>
      </c>
      <c r="Z659" s="14">
        <f t="shared" si="282"/>
        <v>-2125.3200000000002</v>
      </c>
      <c r="AA659" s="11">
        <f t="shared" si="284"/>
        <v>0.39</v>
      </c>
      <c r="AB659" s="9">
        <f t="shared" si="287"/>
        <v>416.52000000000004</v>
      </c>
      <c r="AD659" s="13">
        <f>IF(AH659&gt;AH658,AD658,IF(AD658&lt;MiscData!$F$1,EOMONTH(AD658,1),EOMONTH(AD658,-11)))</f>
        <v>42247</v>
      </c>
      <c r="AE659" s="7" t="str">
        <f t="shared" si="279"/>
        <v>20140101KUUM_446</v>
      </c>
      <c r="AF659" s="12" t="str">
        <f t="shared" si="280"/>
        <v>20140101RLS</v>
      </c>
      <c r="AG659" s="31"/>
      <c r="AH659">
        <f>IF(AH658=MiscData!$AB$91,1,AH658+1)</f>
        <v>42</v>
      </c>
      <c r="AI659">
        <f>IF(AD659&lt;=MiscData!$B$23,MiscData!$C$23,IF(AD659&lt;=MiscData!$B$24,MiscData!$C$24,MiscData!$C$25))</f>
        <v>20140101</v>
      </c>
      <c r="AK659" s="190" t="str">
        <f>VLOOKUP(AM659,MiscData!$AB$4:$ACB$113,2,FALSE)</f>
        <v>KUUM_446</v>
      </c>
      <c r="AL659" s="190" t="str">
        <f>VLOOKUP(AM659,MiscData!$AB$4:$AE$115,4,FALSE)</f>
        <v>RLS</v>
      </c>
      <c r="AM659">
        <f>IF(AM658=MiscData!$AB$91,1,AM658+1)</f>
        <v>42</v>
      </c>
    </row>
    <row r="660" spans="1:39">
      <c r="A660" s="7">
        <f t="shared" si="283"/>
        <v>659</v>
      </c>
      <c r="B660" s="13" t="str">
        <f t="shared" si="264"/>
        <v>Aug 2015</v>
      </c>
      <c r="C660" s="23" t="str">
        <f t="shared" si="265"/>
        <v>RLS</v>
      </c>
      <c r="D660" s="23" t="str">
        <f t="shared" si="266"/>
        <v>KUUM_447</v>
      </c>
      <c r="E660" s="170">
        <f t="shared" si="267"/>
        <v>705</v>
      </c>
      <c r="F660" s="185"/>
      <c r="G660" s="170">
        <f t="shared" si="268"/>
        <v>0</v>
      </c>
      <c r="H660" s="170">
        <v>0</v>
      </c>
      <c r="I660" s="11">
        <f t="shared" si="269"/>
        <v>11.32</v>
      </c>
      <c r="J660" s="11">
        <f t="shared" si="270"/>
        <v>2.8400000000000016</v>
      </c>
      <c r="K660" s="416">
        <f t="shared" si="285"/>
        <v>7980.6</v>
      </c>
      <c r="L660" s="180"/>
      <c r="M660" s="180"/>
      <c r="N660" s="186">
        <f t="shared" si="263"/>
        <v>7980.6</v>
      </c>
      <c r="O660" s="29">
        <f t="shared" si="271"/>
        <v>0</v>
      </c>
      <c r="P660" s="181">
        <f t="shared" si="286"/>
        <v>0</v>
      </c>
      <c r="Q660" s="182">
        <f t="shared" si="272"/>
        <v>0</v>
      </c>
      <c r="R660" s="182">
        <f t="shared" si="273"/>
        <v>0</v>
      </c>
      <c r="S660" s="182">
        <f t="shared" si="274"/>
        <v>0</v>
      </c>
      <c r="T660" s="182">
        <f t="shared" si="275"/>
        <v>0</v>
      </c>
      <c r="U660" s="182">
        <f t="shared" si="276"/>
        <v>0</v>
      </c>
      <c r="V660" s="14">
        <f t="shared" si="277"/>
        <v>7980.6</v>
      </c>
      <c r="W660" s="14">
        <f t="shared" si="278"/>
        <v>-7980.6</v>
      </c>
      <c r="Y660" s="14">
        <f t="shared" si="281"/>
        <v>2002.2</v>
      </c>
      <c r="Z660" s="14">
        <f t="shared" si="282"/>
        <v>-2002.2</v>
      </c>
      <c r="AA660" s="11">
        <f t="shared" si="284"/>
        <v>0.44</v>
      </c>
      <c r="AB660" s="9">
        <f t="shared" si="287"/>
        <v>310.2</v>
      </c>
      <c r="AD660" s="13">
        <f>IF(AH660&gt;AH659,AD659,IF(AD659&lt;MiscData!$F$1,EOMONTH(AD659,1),EOMONTH(AD659,-11)))</f>
        <v>42247</v>
      </c>
      <c r="AE660" s="7" t="str">
        <f t="shared" si="279"/>
        <v>20140101KUUM_447</v>
      </c>
      <c r="AF660" s="12" t="str">
        <f t="shared" si="280"/>
        <v>20140101RLS</v>
      </c>
      <c r="AG660" s="31"/>
      <c r="AH660">
        <f>IF(AH659=MiscData!$AB$91,1,AH659+1)</f>
        <v>43</v>
      </c>
      <c r="AI660">
        <f>IF(AD660&lt;=MiscData!$B$23,MiscData!$C$23,IF(AD660&lt;=MiscData!$B$24,MiscData!$C$24,MiscData!$C$25))</f>
        <v>20140101</v>
      </c>
      <c r="AK660" s="190" t="str">
        <f>VLOOKUP(AM660,MiscData!$AB$4:$ACB$113,2,FALSE)</f>
        <v>KUUM_447</v>
      </c>
      <c r="AL660" s="190" t="str">
        <f>VLOOKUP(AM660,MiscData!$AB$4:$AE$115,4,FALSE)</f>
        <v>RLS</v>
      </c>
      <c r="AM660">
        <f>IF(AM659=MiscData!$AB$91,1,AM659+1)</f>
        <v>43</v>
      </c>
    </row>
    <row r="661" spans="1:39">
      <c r="A661" s="7">
        <f t="shared" si="283"/>
        <v>660</v>
      </c>
      <c r="B661" s="13" t="str">
        <f t="shared" si="264"/>
        <v>Aug 2015</v>
      </c>
      <c r="C661" s="23" t="str">
        <f t="shared" si="265"/>
        <v>RLS</v>
      </c>
      <c r="D661" s="23" t="str">
        <f t="shared" si="266"/>
        <v>KUUM_448</v>
      </c>
      <c r="E661" s="170">
        <f t="shared" si="267"/>
        <v>1473</v>
      </c>
      <c r="F661" s="185"/>
      <c r="G661" s="170">
        <f t="shared" si="268"/>
        <v>0</v>
      </c>
      <c r="H661" s="170">
        <v>0</v>
      </c>
      <c r="I661" s="11">
        <f t="shared" si="269"/>
        <v>12.809999999999999</v>
      </c>
      <c r="J661" s="11">
        <f t="shared" si="270"/>
        <v>4.37</v>
      </c>
      <c r="K661" s="416">
        <f t="shared" si="285"/>
        <v>18869.13</v>
      </c>
      <c r="L661" s="180"/>
      <c r="M661" s="180"/>
      <c r="N661" s="186">
        <f t="shared" si="263"/>
        <v>18869.13</v>
      </c>
      <c r="O661" s="29">
        <f t="shared" si="271"/>
        <v>0</v>
      </c>
      <c r="P661" s="181">
        <f t="shared" si="286"/>
        <v>0</v>
      </c>
      <c r="Q661" s="182">
        <f t="shared" si="272"/>
        <v>0</v>
      </c>
      <c r="R661" s="182">
        <f t="shared" si="273"/>
        <v>0</v>
      </c>
      <c r="S661" s="182">
        <f t="shared" si="274"/>
        <v>0</v>
      </c>
      <c r="T661" s="182">
        <f t="shared" si="275"/>
        <v>0</v>
      </c>
      <c r="U661" s="182">
        <f t="shared" si="276"/>
        <v>0</v>
      </c>
      <c r="V661" s="14">
        <f t="shared" si="277"/>
        <v>18869.13</v>
      </c>
      <c r="W661" s="14">
        <f t="shared" si="278"/>
        <v>-18869.13</v>
      </c>
      <c r="Y661" s="14">
        <f t="shared" si="281"/>
        <v>6437.01</v>
      </c>
      <c r="Z661" s="14">
        <f t="shared" si="282"/>
        <v>-6437.01</v>
      </c>
      <c r="AA661" s="11">
        <f t="shared" si="284"/>
        <v>0.51</v>
      </c>
      <c r="AB661" s="9">
        <f t="shared" si="287"/>
        <v>751.23</v>
      </c>
      <c r="AD661" s="13">
        <f>IF(AH661&gt;AH660,AD660,IF(AD660&lt;MiscData!$F$1,EOMONTH(AD660,1),EOMONTH(AD660,-11)))</f>
        <v>42247</v>
      </c>
      <c r="AE661" s="7" t="str">
        <f t="shared" si="279"/>
        <v>20140101KUUM_448</v>
      </c>
      <c r="AF661" s="12" t="str">
        <f t="shared" si="280"/>
        <v>20140101RLS</v>
      </c>
      <c r="AG661" s="31"/>
      <c r="AH661">
        <f>IF(AH660=MiscData!$AB$91,1,AH660+1)</f>
        <v>44</v>
      </c>
      <c r="AI661">
        <f>IF(AD661&lt;=MiscData!$B$23,MiscData!$C$23,IF(AD661&lt;=MiscData!$B$24,MiscData!$C$24,MiscData!$C$25))</f>
        <v>20140101</v>
      </c>
      <c r="AK661" s="190" t="str">
        <f>VLOOKUP(AM661,MiscData!$AB$4:$ACB$113,2,FALSE)</f>
        <v>KUUM_448</v>
      </c>
      <c r="AL661" s="190" t="str">
        <f>VLOOKUP(AM661,MiscData!$AB$4:$AE$115,4,FALSE)</f>
        <v>RLS</v>
      </c>
      <c r="AM661">
        <f>IF(AM660=MiscData!$AB$91,1,AM660+1)</f>
        <v>44</v>
      </c>
    </row>
    <row r="662" spans="1:39">
      <c r="A662" s="7">
        <f t="shared" si="283"/>
        <v>661</v>
      </c>
      <c r="B662" s="13" t="str">
        <f t="shared" si="264"/>
        <v>Aug 2015</v>
      </c>
      <c r="C662" s="23" t="str">
        <f t="shared" si="265"/>
        <v>LS</v>
      </c>
      <c r="D662" s="23" t="str">
        <f t="shared" si="266"/>
        <v>KUUM_450</v>
      </c>
      <c r="E662" s="170">
        <f t="shared" si="267"/>
        <v>668</v>
      </c>
      <c r="F662" s="185"/>
      <c r="G662" s="170">
        <f t="shared" si="268"/>
        <v>0</v>
      </c>
      <c r="H662" s="170">
        <v>0</v>
      </c>
      <c r="I662" s="11">
        <f t="shared" si="269"/>
        <v>14.25</v>
      </c>
      <c r="J662" s="11">
        <f t="shared" si="270"/>
        <v>1.9699999999999989</v>
      </c>
      <c r="K662" s="416">
        <f t="shared" si="285"/>
        <v>9519</v>
      </c>
      <c r="L662" s="180"/>
      <c r="M662" s="180"/>
      <c r="N662" s="186">
        <f t="shared" si="263"/>
        <v>9519</v>
      </c>
      <c r="O662" s="29">
        <f t="shared" si="271"/>
        <v>0</v>
      </c>
      <c r="P662" s="181">
        <f t="shared" si="286"/>
        <v>0</v>
      </c>
      <c r="Q662" s="182">
        <f t="shared" si="272"/>
        <v>0</v>
      </c>
      <c r="R662" s="182">
        <f t="shared" si="273"/>
        <v>0</v>
      </c>
      <c r="S662" s="182">
        <f t="shared" si="274"/>
        <v>0</v>
      </c>
      <c r="T662" s="182">
        <f t="shared" si="275"/>
        <v>0</v>
      </c>
      <c r="U662" s="182">
        <f t="shared" si="276"/>
        <v>0</v>
      </c>
      <c r="V662" s="14">
        <f t="shared" si="277"/>
        <v>9519</v>
      </c>
      <c r="W662" s="14">
        <f t="shared" si="278"/>
        <v>-9519</v>
      </c>
      <c r="Y662" s="14">
        <f t="shared" si="281"/>
        <v>1315.96</v>
      </c>
      <c r="Z662" s="14">
        <f t="shared" si="282"/>
        <v>-1315.96</v>
      </c>
      <c r="AA662" s="11">
        <f t="shared" si="284"/>
        <v>0.66</v>
      </c>
      <c r="AB662" s="9">
        <f t="shared" si="287"/>
        <v>440.88</v>
      </c>
      <c r="AD662" s="13">
        <f>IF(AH662&gt;AH661,AD661,IF(AD661&lt;MiscData!$F$1,EOMONTH(AD661,1),EOMONTH(AD661,-11)))</f>
        <v>42247</v>
      </c>
      <c r="AE662" s="7" t="str">
        <f t="shared" si="279"/>
        <v>20140101KUUM_450</v>
      </c>
      <c r="AF662" s="12" t="str">
        <f t="shared" si="280"/>
        <v>20140101LS</v>
      </c>
      <c r="AG662" s="31"/>
      <c r="AH662">
        <f>IF(AH661=MiscData!$AB$91,1,AH661+1)</f>
        <v>45</v>
      </c>
      <c r="AI662">
        <f>IF(AD662&lt;=MiscData!$B$23,MiscData!$C$23,IF(AD662&lt;=MiscData!$B$24,MiscData!$C$24,MiscData!$C$25))</f>
        <v>20140101</v>
      </c>
      <c r="AK662" s="190" t="str">
        <f>VLOOKUP(AM662,MiscData!$AB$4:$ACB$113,2,FALSE)</f>
        <v>KUUM_450</v>
      </c>
      <c r="AL662" s="190" t="str">
        <f>VLOOKUP(AM662,MiscData!$AB$4:$AE$115,4,FALSE)</f>
        <v>LS</v>
      </c>
      <c r="AM662">
        <f>IF(AM661=MiscData!$AB$91,1,AM661+1)</f>
        <v>45</v>
      </c>
    </row>
    <row r="663" spans="1:39">
      <c r="A663" s="7">
        <f t="shared" si="283"/>
        <v>662</v>
      </c>
      <c r="B663" s="13" t="str">
        <f t="shared" si="264"/>
        <v>Aug 2015</v>
      </c>
      <c r="C663" s="23" t="str">
        <f t="shared" si="265"/>
        <v>LS</v>
      </c>
      <c r="D663" s="23" t="str">
        <f t="shared" si="266"/>
        <v>KUUM_451</v>
      </c>
      <c r="E663" s="170">
        <f t="shared" si="267"/>
        <v>5215</v>
      </c>
      <c r="F663" s="185"/>
      <c r="G663" s="170">
        <f t="shared" si="268"/>
        <v>0</v>
      </c>
      <c r="H663" s="170">
        <v>0</v>
      </c>
      <c r="I663" s="11">
        <f t="shared" si="269"/>
        <v>20.200000000000003</v>
      </c>
      <c r="J663" s="11">
        <f t="shared" si="270"/>
        <v>4.2900000000000027</v>
      </c>
      <c r="K663" s="416">
        <f t="shared" si="285"/>
        <v>105343</v>
      </c>
      <c r="L663" s="180"/>
      <c r="M663" s="180"/>
      <c r="N663" s="186">
        <f t="shared" si="263"/>
        <v>105343</v>
      </c>
      <c r="O663" s="29">
        <f t="shared" si="271"/>
        <v>0</v>
      </c>
      <c r="P663" s="181">
        <f t="shared" si="286"/>
        <v>0</v>
      </c>
      <c r="Q663" s="182">
        <f t="shared" si="272"/>
        <v>0</v>
      </c>
      <c r="R663" s="182">
        <f t="shared" si="273"/>
        <v>0</v>
      </c>
      <c r="S663" s="182">
        <f t="shared" si="274"/>
        <v>0</v>
      </c>
      <c r="T663" s="182">
        <f t="shared" si="275"/>
        <v>0</v>
      </c>
      <c r="U663" s="182">
        <f t="shared" si="276"/>
        <v>0</v>
      </c>
      <c r="V663" s="14">
        <f t="shared" si="277"/>
        <v>105343</v>
      </c>
      <c r="W663" s="14">
        <f t="shared" si="278"/>
        <v>-105343</v>
      </c>
      <c r="Y663" s="14">
        <f t="shared" si="281"/>
        <v>22372.35</v>
      </c>
      <c r="Z663" s="14">
        <f t="shared" si="282"/>
        <v>-22372.35</v>
      </c>
      <c r="AA663" s="11">
        <f t="shared" si="284"/>
        <v>0.84</v>
      </c>
      <c r="AB663" s="9">
        <f t="shared" si="287"/>
        <v>4380.5999999999995</v>
      </c>
      <c r="AD663" s="13">
        <f>IF(AH663&gt;AH662,AD662,IF(AD662&lt;MiscData!$F$1,EOMONTH(AD662,1),EOMONTH(AD662,-11)))</f>
        <v>42247</v>
      </c>
      <c r="AE663" s="7" t="str">
        <f t="shared" si="279"/>
        <v>20140101KUUM_451</v>
      </c>
      <c r="AF663" s="12" t="str">
        <f t="shared" si="280"/>
        <v>20140101LS</v>
      </c>
      <c r="AG663" s="31"/>
      <c r="AH663">
        <f>IF(AH662=MiscData!$AB$91,1,AH662+1)</f>
        <v>46</v>
      </c>
      <c r="AI663">
        <f>IF(AD663&lt;=MiscData!$B$23,MiscData!$C$23,IF(AD663&lt;=MiscData!$B$24,MiscData!$C$24,MiscData!$C$25))</f>
        <v>20140101</v>
      </c>
      <c r="AK663" s="190" t="str">
        <f>VLOOKUP(AM663,MiscData!$AB$4:$ACB$113,2,FALSE)</f>
        <v>KUUM_451</v>
      </c>
      <c r="AL663" s="190" t="str">
        <f>VLOOKUP(AM663,MiscData!$AB$4:$AE$115,4,FALSE)</f>
        <v>LS</v>
      </c>
      <c r="AM663">
        <f>IF(AM662=MiscData!$AB$91,1,AM662+1)</f>
        <v>46</v>
      </c>
    </row>
    <row r="664" spans="1:39">
      <c r="A664" s="7">
        <f t="shared" si="283"/>
        <v>663</v>
      </c>
      <c r="B664" s="13" t="str">
        <f t="shared" si="264"/>
        <v>Aug 2015</v>
      </c>
      <c r="C664" s="23" t="str">
        <f t="shared" si="265"/>
        <v>LS</v>
      </c>
      <c r="D664" s="23" t="str">
        <f t="shared" si="266"/>
        <v>KUUM_452</v>
      </c>
      <c r="E664" s="170">
        <f t="shared" si="267"/>
        <v>1041</v>
      </c>
      <c r="F664" s="185"/>
      <c r="G664" s="170">
        <f t="shared" si="268"/>
        <v>0</v>
      </c>
      <c r="H664" s="170">
        <v>0</v>
      </c>
      <c r="I664" s="11">
        <f t="shared" si="269"/>
        <v>42.350000000000009</v>
      </c>
      <c r="J664" s="11">
        <f t="shared" si="270"/>
        <v>10.410000000000004</v>
      </c>
      <c r="K664" s="416">
        <f t="shared" si="285"/>
        <v>44086.35</v>
      </c>
      <c r="L664" s="180"/>
      <c r="M664" s="180"/>
      <c r="N664" s="186">
        <f t="shared" si="263"/>
        <v>44086.35</v>
      </c>
      <c r="O664" s="29">
        <f t="shared" si="271"/>
        <v>0</v>
      </c>
      <c r="P664" s="181">
        <f t="shared" si="286"/>
        <v>0</v>
      </c>
      <c r="Q664" s="182">
        <f t="shared" si="272"/>
        <v>0</v>
      </c>
      <c r="R664" s="182">
        <f t="shared" si="273"/>
        <v>0</v>
      </c>
      <c r="S664" s="182">
        <f t="shared" si="274"/>
        <v>0</v>
      </c>
      <c r="T664" s="182">
        <f t="shared" si="275"/>
        <v>0</v>
      </c>
      <c r="U664" s="182">
        <f t="shared" si="276"/>
        <v>0</v>
      </c>
      <c r="V664" s="14">
        <f t="shared" si="277"/>
        <v>44086.35</v>
      </c>
      <c r="W664" s="14">
        <f t="shared" si="278"/>
        <v>-44086.35</v>
      </c>
      <c r="Y664" s="14">
        <f t="shared" si="281"/>
        <v>10836.81</v>
      </c>
      <c r="Z664" s="14">
        <f t="shared" si="282"/>
        <v>-10836.81</v>
      </c>
      <c r="AA664" s="11">
        <f t="shared" si="284"/>
        <v>1.7</v>
      </c>
      <c r="AB664" s="9">
        <f t="shared" si="287"/>
        <v>1769.7</v>
      </c>
      <c r="AD664" s="13">
        <f>IF(AH664&gt;AH663,AD663,IF(AD663&lt;MiscData!$F$1,EOMONTH(AD663,1),EOMONTH(AD663,-11)))</f>
        <v>42247</v>
      </c>
      <c r="AE664" s="7" t="str">
        <f t="shared" si="279"/>
        <v>20140101KUUM_452</v>
      </c>
      <c r="AF664" s="12" t="str">
        <f t="shared" si="280"/>
        <v>20140101LS</v>
      </c>
      <c r="AG664" s="31"/>
      <c r="AH664">
        <f>IF(AH663=MiscData!$AB$91,1,AH663+1)</f>
        <v>47</v>
      </c>
      <c r="AI664">
        <f>IF(AD664&lt;=MiscData!$B$23,MiscData!$C$23,IF(AD664&lt;=MiscData!$B$24,MiscData!$C$24,MiscData!$C$25))</f>
        <v>20140101</v>
      </c>
      <c r="AK664" s="190" t="str">
        <f>VLOOKUP(AM664,MiscData!$AB$4:$ACB$113,2,FALSE)</f>
        <v>KUUM_452</v>
      </c>
      <c r="AL664" s="190" t="str">
        <f>VLOOKUP(AM664,MiscData!$AB$4:$AE$115,4,FALSE)</f>
        <v>LS</v>
      </c>
      <c r="AM664">
        <f>IF(AM663=MiscData!$AB$91,1,AM663+1)</f>
        <v>47</v>
      </c>
    </row>
    <row r="665" spans="1:39">
      <c r="A665" s="7">
        <f t="shared" si="283"/>
        <v>664</v>
      </c>
      <c r="B665" s="13" t="str">
        <f t="shared" si="264"/>
        <v>Aug 2015</v>
      </c>
      <c r="C665" s="23" t="str">
        <f t="shared" si="265"/>
        <v>RLS</v>
      </c>
      <c r="D665" s="23" t="str">
        <f t="shared" si="266"/>
        <v>KUUM_454</v>
      </c>
      <c r="E665" s="170">
        <f t="shared" si="267"/>
        <v>151</v>
      </c>
      <c r="F665" s="185"/>
      <c r="G665" s="170">
        <f t="shared" si="268"/>
        <v>0</v>
      </c>
      <c r="H665" s="170">
        <v>0</v>
      </c>
      <c r="I665" s="11">
        <f t="shared" si="269"/>
        <v>18.649999999999999</v>
      </c>
      <c r="J665" s="11">
        <f t="shared" si="270"/>
        <v>1.9699999999999989</v>
      </c>
      <c r="K665" s="416">
        <f t="shared" si="285"/>
        <v>2816.15</v>
      </c>
      <c r="L665" s="180"/>
      <c r="M665" s="180"/>
      <c r="N665" s="186">
        <f t="shared" si="263"/>
        <v>2816.15</v>
      </c>
      <c r="O665" s="29">
        <f t="shared" si="271"/>
        <v>0</v>
      </c>
      <c r="P665" s="181">
        <f t="shared" si="286"/>
        <v>0</v>
      </c>
      <c r="Q665" s="182">
        <f t="shared" si="272"/>
        <v>0</v>
      </c>
      <c r="R665" s="182">
        <f t="shared" si="273"/>
        <v>0</v>
      </c>
      <c r="S665" s="182">
        <f t="shared" si="274"/>
        <v>0</v>
      </c>
      <c r="T665" s="182">
        <f t="shared" si="275"/>
        <v>0</v>
      </c>
      <c r="U665" s="182">
        <f t="shared" si="276"/>
        <v>0</v>
      </c>
      <c r="V665" s="14">
        <f t="shared" si="277"/>
        <v>2816.15</v>
      </c>
      <c r="W665" s="14">
        <f t="shared" si="278"/>
        <v>-2816.15</v>
      </c>
      <c r="Y665" s="14">
        <f t="shared" si="281"/>
        <v>297.47000000000003</v>
      </c>
      <c r="Z665" s="14">
        <f t="shared" si="282"/>
        <v>-297.47000000000003</v>
      </c>
      <c r="AA665" s="11">
        <f t="shared" si="284"/>
        <v>0.66</v>
      </c>
      <c r="AB665" s="9">
        <f t="shared" si="287"/>
        <v>99.660000000000011</v>
      </c>
      <c r="AD665" s="13">
        <f>IF(AH665&gt;AH664,AD664,IF(AD664&lt;MiscData!$F$1,EOMONTH(AD664,1),EOMONTH(AD664,-11)))</f>
        <v>42247</v>
      </c>
      <c r="AE665" s="7" t="str">
        <f t="shared" si="279"/>
        <v>20140101KUUM_454</v>
      </c>
      <c r="AF665" s="12" t="str">
        <f t="shared" si="280"/>
        <v>20140101RLS</v>
      </c>
      <c r="AG665" s="31"/>
      <c r="AH665">
        <f>IF(AH664=MiscData!$AB$91,1,AH664+1)</f>
        <v>48</v>
      </c>
      <c r="AI665">
        <f>IF(AD665&lt;=MiscData!$B$23,MiscData!$C$23,IF(AD665&lt;=MiscData!$B$24,MiscData!$C$24,MiscData!$C$25))</f>
        <v>20140101</v>
      </c>
      <c r="AK665" s="190" t="str">
        <f>VLOOKUP(AM665,MiscData!$AB$4:$ACB$113,2,FALSE)</f>
        <v>KUUM_454</v>
      </c>
      <c r="AL665" s="190" t="str">
        <f>VLOOKUP(AM665,MiscData!$AB$4:$AE$115,4,FALSE)</f>
        <v>RLS</v>
      </c>
      <c r="AM665">
        <f>IF(AM664=MiscData!$AB$91,1,AM664+1)</f>
        <v>48</v>
      </c>
    </row>
    <row r="666" spans="1:39">
      <c r="A666" s="7">
        <f t="shared" si="283"/>
        <v>665</v>
      </c>
      <c r="B666" s="13" t="str">
        <f t="shared" si="264"/>
        <v>Aug 2015</v>
      </c>
      <c r="C666" s="23" t="str">
        <f t="shared" si="265"/>
        <v>RLS</v>
      </c>
      <c r="D666" s="23" t="str">
        <f t="shared" si="266"/>
        <v>KUUM_455</v>
      </c>
      <c r="E666" s="170">
        <f t="shared" si="267"/>
        <v>1024</v>
      </c>
      <c r="F666" s="185"/>
      <c r="G666" s="170">
        <f t="shared" si="268"/>
        <v>0</v>
      </c>
      <c r="H666" s="170">
        <v>0</v>
      </c>
      <c r="I666" s="11">
        <f t="shared" si="269"/>
        <v>24.59</v>
      </c>
      <c r="J666" s="11">
        <f t="shared" si="270"/>
        <v>4.2899999999999991</v>
      </c>
      <c r="K666" s="416">
        <f t="shared" si="285"/>
        <v>25180.16</v>
      </c>
      <c r="L666" s="180"/>
      <c r="M666" s="180"/>
      <c r="N666" s="186">
        <f t="shared" si="263"/>
        <v>25180.16</v>
      </c>
      <c r="O666" s="29">
        <f t="shared" si="271"/>
        <v>0</v>
      </c>
      <c r="P666" s="181">
        <f t="shared" si="286"/>
        <v>0</v>
      </c>
      <c r="Q666" s="182">
        <f t="shared" si="272"/>
        <v>0</v>
      </c>
      <c r="R666" s="182">
        <f t="shared" si="273"/>
        <v>0</v>
      </c>
      <c r="S666" s="182">
        <f t="shared" si="274"/>
        <v>0</v>
      </c>
      <c r="T666" s="182">
        <f t="shared" si="275"/>
        <v>0</v>
      </c>
      <c r="U666" s="182">
        <f t="shared" si="276"/>
        <v>0</v>
      </c>
      <c r="V666" s="14">
        <f t="shared" si="277"/>
        <v>25180.16</v>
      </c>
      <c r="W666" s="14">
        <f t="shared" si="278"/>
        <v>-25180.16</v>
      </c>
      <c r="Y666" s="14">
        <f t="shared" si="281"/>
        <v>4392.96</v>
      </c>
      <c r="Z666" s="14">
        <f t="shared" si="282"/>
        <v>-4392.96</v>
      </c>
      <c r="AA666" s="11">
        <f t="shared" si="284"/>
        <v>0.84</v>
      </c>
      <c r="AB666" s="9">
        <f t="shared" si="287"/>
        <v>860.16</v>
      </c>
      <c r="AD666" s="13">
        <f>IF(AH666&gt;AH665,AD665,IF(AD665&lt;MiscData!$F$1,EOMONTH(AD665,1),EOMONTH(AD665,-11)))</f>
        <v>42247</v>
      </c>
      <c r="AE666" s="7" t="str">
        <f t="shared" si="279"/>
        <v>20140101KUUM_455</v>
      </c>
      <c r="AF666" s="12" t="str">
        <f t="shared" si="280"/>
        <v>20140101RLS</v>
      </c>
      <c r="AG666" s="31"/>
      <c r="AH666">
        <f>IF(AH665=MiscData!$AB$91,1,AH665+1)</f>
        <v>49</v>
      </c>
      <c r="AI666">
        <f>IF(AD666&lt;=MiscData!$B$23,MiscData!$C$23,IF(AD666&lt;=MiscData!$B$24,MiscData!$C$24,MiscData!$C$25))</f>
        <v>20140101</v>
      </c>
      <c r="AK666" s="190" t="str">
        <f>VLOOKUP(AM666,MiscData!$AB$4:$ACB$113,2,FALSE)</f>
        <v>KUUM_455</v>
      </c>
      <c r="AL666" s="190" t="str">
        <f>VLOOKUP(AM666,MiscData!$AB$4:$AE$115,4,FALSE)</f>
        <v>RLS</v>
      </c>
      <c r="AM666">
        <f>IF(AM665=MiscData!$AB$91,1,AM665+1)</f>
        <v>49</v>
      </c>
    </row>
    <row r="667" spans="1:39">
      <c r="A667" s="7">
        <f t="shared" si="283"/>
        <v>666</v>
      </c>
      <c r="B667" s="13" t="str">
        <f t="shared" si="264"/>
        <v>Aug 2015</v>
      </c>
      <c r="C667" s="23" t="str">
        <f t="shared" si="265"/>
        <v>RLS</v>
      </c>
      <c r="D667" s="23" t="str">
        <f t="shared" si="266"/>
        <v>KUUM_456</v>
      </c>
      <c r="E667" s="170">
        <f t="shared" si="267"/>
        <v>140</v>
      </c>
      <c r="F667" s="185"/>
      <c r="G667" s="170">
        <f t="shared" si="268"/>
        <v>0</v>
      </c>
      <c r="H667" s="170">
        <v>0</v>
      </c>
      <c r="I667" s="11">
        <f t="shared" si="269"/>
        <v>11.870000000000001</v>
      </c>
      <c r="J667" s="11">
        <f t="shared" si="270"/>
        <v>1.9900000000000002</v>
      </c>
      <c r="K667" s="416">
        <f t="shared" si="285"/>
        <v>1661.8</v>
      </c>
      <c r="L667" s="180"/>
      <c r="M667" s="180"/>
      <c r="N667" s="186">
        <f t="shared" si="263"/>
        <v>1661.8</v>
      </c>
      <c r="O667" s="29">
        <f t="shared" si="271"/>
        <v>0</v>
      </c>
      <c r="P667" s="181">
        <f t="shared" si="286"/>
        <v>0</v>
      </c>
      <c r="Q667" s="182">
        <f t="shared" si="272"/>
        <v>0</v>
      </c>
      <c r="R667" s="182">
        <f t="shared" si="273"/>
        <v>0</v>
      </c>
      <c r="S667" s="182">
        <f t="shared" si="274"/>
        <v>0</v>
      </c>
      <c r="T667" s="182">
        <f t="shared" si="275"/>
        <v>0</v>
      </c>
      <c r="U667" s="182">
        <f t="shared" si="276"/>
        <v>0</v>
      </c>
      <c r="V667" s="14">
        <f t="shared" si="277"/>
        <v>1661.8</v>
      </c>
      <c r="W667" s="14">
        <f t="shared" si="278"/>
        <v>-1661.8</v>
      </c>
      <c r="Y667" s="14">
        <f t="shared" si="281"/>
        <v>278.60000000000002</v>
      </c>
      <c r="Z667" s="14">
        <f t="shared" si="282"/>
        <v>-278.60000000000002</v>
      </c>
      <c r="AA667" s="11">
        <f t="shared" si="284"/>
        <v>0.39</v>
      </c>
      <c r="AB667" s="9">
        <f t="shared" si="287"/>
        <v>54.6</v>
      </c>
      <c r="AD667" s="13">
        <f>IF(AH667&gt;AH666,AD666,IF(AD666&lt;MiscData!$F$1,EOMONTH(AD666,1),EOMONTH(AD666,-11)))</f>
        <v>42247</v>
      </c>
      <c r="AE667" s="7" t="str">
        <f t="shared" si="279"/>
        <v>20140101KUUM_456</v>
      </c>
      <c r="AF667" s="12" t="str">
        <f t="shared" si="280"/>
        <v>20140101RLS</v>
      </c>
      <c r="AG667" s="31"/>
      <c r="AH667">
        <f>IF(AH666=MiscData!$AB$91,1,AH666+1)</f>
        <v>50</v>
      </c>
      <c r="AI667">
        <f>IF(AD667&lt;=MiscData!$B$23,MiscData!$C$23,IF(AD667&lt;=MiscData!$B$24,MiscData!$C$24,MiscData!$C$25))</f>
        <v>20140101</v>
      </c>
      <c r="AK667" s="190" t="str">
        <f>VLOOKUP(AM667,MiscData!$AB$4:$ACB$113,2,FALSE)</f>
        <v>KUUM_456</v>
      </c>
      <c r="AL667" s="190" t="str">
        <f>VLOOKUP(AM667,MiscData!$AB$4:$AE$115,4,FALSE)</f>
        <v>RLS</v>
      </c>
      <c r="AM667">
        <f>IF(AM666=MiscData!$AB$91,1,AM666+1)</f>
        <v>50</v>
      </c>
    </row>
    <row r="668" spans="1:39">
      <c r="A668" s="7">
        <f t="shared" si="283"/>
        <v>667</v>
      </c>
      <c r="B668" s="13" t="str">
        <f t="shared" si="264"/>
        <v>Aug 2015</v>
      </c>
      <c r="C668" s="23" t="str">
        <f t="shared" si="265"/>
        <v>RLS</v>
      </c>
      <c r="D668" s="23" t="str">
        <f t="shared" si="266"/>
        <v>KUUM_457</v>
      </c>
      <c r="E668" s="170">
        <f t="shared" si="267"/>
        <v>449</v>
      </c>
      <c r="F668" s="185"/>
      <c r="G668" s="170">
        <f t="shared" si="268"/>
        <v>0</v>
      </c>
      <c r="H668" s="170">
        <v>70</v>
      </c>
      <c r="I668" s="11">
        <f t="shared" si="269"/>
        <v>13.360000000000001</v>
      </c>
      <c r="J668" s="11">
        <f t="shared" si="270"/>
        <v>2.84</v>
      </c>
      <c r="K668" s="416">
        <f t="shared" si="285"/>
        <v>5998.64</v>
      </c>
      <c r="L668" s="180"/>
      <c r="M668" s="180"/>
      <c r="N668" s="186">
        <f t="shared" si="263"/>
        <v>5998.64</v>
      </c>
      <c r="O668" s="29">
        <f t="shared" si="271"/>
        <v>0</v>
      </c>
      <c r="P668" s="181">
        <f t="shared" si="286"/>
        <v>0</v>
      </c>
      <c r="Q668" s="182">
        <f t="shared" si="272"/>
        <v>0</v>
      </c>
      <c r="R668" s="182">
        <f t="shared" si="273"/>
        <v>0</v>
      </c>
      <c r="S668" s="182">
        <f t="shared" si="274"/>
        <v>0</v>
      </c>
      <c r="T668" s="182">
        <f t="shared" si="275"/>
        <v>0</v>
      </c>
      <c r="U668" s="182">
        <f t="shared" si="276"/>
        <v>0</v>
      </c>
      <c r="V668" s="14">
        <f t="shared" si="277"/>
        <v>5998.64</v>
      </c>
      <c r="W668" s="14">
        <f t="shared" si="278"/>
        <v>-5998.64</v>
      </c>
      <c r="Y668" s="14">
        <f t="shared" si="281"/>
        <v>1275.1600000000001</v>
      </c>
      <c r="Z668" s="14">
        <f t="shared" si="282"/>
        <v>-1275.1600000000001</v>
      </c>
      <c r="AA668" s="11">
        <f t="shared" si="284"/>
        <v>0.44</v>
      </c>
      <c r="AB668" s="9">
        <f t="shared" si="287"/>
        <v>197.56</v>
      </c>
      <c r="AD668" s="13">
        <f>IF(AH668&gt;AH667,AD667,IF(AD667&lt;MiscData!$F$1,EOMONTH(AD667,1),EOMONTH(AD667,-11)))</f>
        <v>42247</v>
      </c>
      <c r="AE668" s="7" t="str">
        <f t="shared" si="279"/>
        <v>20140101KUUM_457</v>
      </c>
      <c r="AF668" s="12" t="str">
        <f t="shared" si="280"/>
        <v>20140101RLS</v>
      </c>
      <c r="AG668" s="31"/>
      <c r="AH668">
        <f>IF(AH667=MiscData!$AB$91,1,AH667+1)</f>
        <v>51</v>
      </c>
      <c r="AI668">
        <f>IF(AD668&lt;=MiscData!$B$23,MiscData!$C$23,IF(AD668&lt;=MiscData!$B$24,MiscData!$C$24,MiscData!$C$25))</f>
        <v>20140101</v>
      </c>
      <c r="AK668" s="190" t="str">
        <f>VLOOKUP(AM668,MiscData!$AB$4:$ACB$113,2,FALSE)</f>
        <v>KUUM_457</v>
      </c>
      <c r="AL668" s="190" t="str">
        <f>VLOOKUP(AM668,MiscData!$AB$4:$AE$115,4,FALSE)</f>
        <v>RLS</v>
      </c>
      <c r="AM668">
        <f>IF(AM667=MiscData!$AB$91,1,AM667+1)</f>
        <v>51</v>
      </c>
    </row>
    <row r="669" spans="1:39">
      <c r="A669" s="7">
        <f t="shared" si="283"/>
        <v>668</v>
      </c>
      <c r="B669" s="13" t="str">
        <f t="shared" si="264"/>
        <v>Aug 2015</v>
      </c>
      <c r="C669" s="23" t="str">
        <f t="shared" si="265"/>
        <v>RLS</v>
      </c>
      <c r="D669" s="23" t="str">
        <f t="shared" si="266"/>
        <v>KUUM_458</v>
      </c>
      <c r="E669" s="170">
        <f t="shared" si="267"/>
        <v>1449</v>
      </c>
      <c r="F669" s="185"/>
      <c r="G669" s="170">
        <f t="shared" si="268"/>
        <v>0</v>
      </c>
      <c r="H669" s="170">
        <v>0</v>
      </c>
      <c r="I669" s="11">
        <f t="shared" si="269"/>
        <v>15.079999999999998</v>
      </c>
      <c r="J669" s="11">
        <f t="shared" si="270"/>
        <v>4.3699999999999992</v>
      </c>
      <c r="K669" s="416">
        <f t="shared" si="285"/>
        <v>21850.92</v>
      </c>
      <c r="L669" s="180"/>
      <c r="M669" s="180"/>
      <c r="N669" s="186">
        <f t="shared" si="263"/>
        <v>21850.92</v>
      </c>
      <c r="O669" s="29">
        <f t="shared" si="271"/>
        <v>0</v>
      </c>
      <c r="P669" s="181">
        <f t="shared" si="286"/>
        <v>0</v>
      </c>
      <c r="Q669" s="182">
        <f t="shared" si="272"/>
        <v>0</v>
      </c>
      <c r="R669" s="182">
        <f t="shared" si="273"/>
        <v>0</v>
      </c>
      <c r="S669" s="182">
        <f t="shared" si="274"/>
        <v>0</v>
      </c>
      <c r="T669" s="182">
        <f t="shared" si="275"/>
        <v>0</v>
      </c>
      <c r="U669" s="182">
        <f t="shared" si="276"/>
        <v>0</v>
      </c>
      <c r="V669" s="14">
        <f t="shared" si="277"/>
        <v>21850.92</v>
      </c>
      <c r="W669" s="14">
        <f t="shared" si="278"/>
        <v>-21850.92</v>
      </c>
      <c r="Y669" s="14">
        <f t="shared" si="281"/>
        <v>6332.13</v>
      </c>
      <c r="Z669" s="14">
        <f t="shared" si="282"/>
        <v>-6332.13</v>
      </c>
      <c r="AA669" s="11">
        <f t="shared" si="284"/>
        <v>0.51</v>
      </c>
      <c r="AB669" s="9">
        <f t="shared" si="287"/>
        <v>738.99</v>
      </c>
      <c r="AD669" s="13">
        <f>IF(AH669&gt;AH668,AD668,IF(AD668&lt;MiscData!$F$1,EOMONTH(AD668,1),EOMONTH(AD668,-11)))</f>
        <v>42247</v>
      </c>
      <c r="AE669" s="7" t="str">
        <f t="shared" si="279"/>
        <v>20140101KUUM_458</v>
      </c>
      <c r="AF669" s="12" t="str">
        <f t="shared" si="280"/>
        <v>20140101RLS</v>
      </c>
      <c r="AG669" s="31"/>
      <c r="AH669">
        <f>IF(AH668=MiscData!$AB$91,1,AH668+1)</f>
        <v>52</v>
      </c>
      <c r="AI669">
        <f>IF(AD669&lt;=MiscData!$B$23,MiscData!$C$23,IF(AD669&lt;=MiscData!$B$24,MiscData!$C$24,MiscData!$C$25))</f>
        <v>20140101</v>
      </c>
      <c r="AK669" s="190" t="str">
        <f>VLOOKUP(AM669,MiscData!$AB$4:$ACB$113,2,FALSE)</f>
        <v>KUUM_458</v>
      </c>
      <c r="AL669" s="190" t="str">
        <f>VLOOKUP(AM669,MiscData!$AB$4:$AE$115,4,FALSE)</f>
        <v>RLS</v>
      </c>
      <c r="AM669">
        <f>IF(AM668=MiscData!$AB$91,1,AM668+1)</f>
        <v>52</v>
      </c>
    </row>
    <row r="670" spans="1:39">
      <c r="A670" s="7">
        <f t="shared" si="283"/>
        <v>669</v>
      </c>
      <c r="B670" s="13" t="str">
        <f t="shared" si="264"/>
        <v>Aug 2015</v>
      </c>
      <c r="C670" s="23" t="str">
        <f t="shared" si="265"/>
        <v>RLS</v>
      </c>
      <c r="D670" s="23" t="str">
        <f t="shared" si="266"/>
        <v>KUUM_459</v>
      </c>
      <c r="E670" s="170">
        <f t="shared" si="267"/>
        <v>221</v>
      </c>
      <c r="F670" s="185"/>
      <c r="G670" s="170">
        <f t="shared" si="268"/>
        <v>0</v>
      </c>
      <c r="H670" s="170">
        <v>0</v>
      </c>
      <c r="I670" s="11">
        <f t="shared" si="269"/>
        <v>46.740000000000009</v>
      </c>
      <c r="J670" s="11">
        <f t="shared" si="270"/>
        <v>10.410000000000004</v>
      </c>
      <c r="K670" s="416">
        <f t="shared" si="285"/>
        <v>10329.540000000001</v>
      </c>
      <c r="L670" s="180"/>
      <c r="M670" s="180"/>
      <c r="N670" s="186">
        <f t="shared" si="263"/>
        <v>10329.540000000001</v>
      </c>
      <c r="O670" s="29">
        <f t="shared" si="271"/>
        <v>0</v>
      </c>
      <c r="P670" s="181">
        <f t="shared" si="286"/>
        <v>0</v>
      </c>
      <c r="Q670" s="182">
        <f t="shared" si="272"/>
        <v>0</v>
      </c>
      <c r="R670" s="182">
        <f t="shared" si="273"/>
        <v>0</v>
      </c>
      <c r="S670" s="182">
        <f t="shared" si="274"/>
        <v>0</v>
      </c>
      <c r="T670" s="182">
        <f t="shared" si="275"/>
        <v>0</v>
      </c>
      <c r="U670" s="182">
        <f t="shared" si="276"/>
        <v>0</v>
      </c>
      <c r="V670" s="14">
        <f t="shared" si="277"/>
        <v>10329.540000000001</v>
      </c>
      <c r="W670" s="14">
        <f t="shared" si="278"/>
        <v>-10329.540000000001</v>
      </c>
      <c r="Y670" s="14">
        <f t="shared" si="281"/>
        <v>2300.61</v>
      </c>
      <c r="Z670" s="14">
        <f t="shared" si="282"/>
        <v>-2300.61</v>
      </c>
      <c r="AA670" s="11">
        <f t="shared" si="284"/>
        <v>1.7</v>
      </c>
      <c r="AB670" s="9">
        <f t="shared" si="287"/>
        <v>375.7</v>
      </c>
      <c r="AD670" s="13">
        <f>IF(AH670&gt;AH669,AD669,IF(AD669&lt;MiscData!$F$1,EOMONTH(AD669,1),EOMONTH(AD669,-11)))</f>
        <v>42247</v>
      </c>
      <c r="AE670" s="7" t="str">
        <f t="shared" si="279"/>
        <v>20140101KUUM_459</v>
      </c>
      <c r="AF670" s="12" t="str">
        <f t="shared" si="280"/>
        <v>20140101RLS</v>
      </c>
      <c r="AG670" s="31"/>
      <c r="AH670">
        <f>IF(AH669=MiscData!$AB$91,1,AH669+1)</f>
        <v>53</v>
      </c>
      <c r="AI670">
        <f>IF(AD670&lt;=MiscData!$B$23,MiscData!$C$23,IF(AD670&lt;=MiscData!$B$24,MiscData!$C$24,MiscData!$C$25))</f>
        <v>20140101</v>
      </c>
      <c r="AK670" s="190" t="str">
        <f>VLOOKUP(AM670,MiscData!$AB$4:$ACB$113,2,FALSE)</f>
        <v>KUUM_459</v>
      </c>
      <c r="AL670" s="190" t="str">
        <f>VLOOKUP(AM670,MiscData!$AB$4:$AE$115,4,FALSE)</f>
        <v>RLS</v>
      </c>
      <c r="AM670">
        <f>IF(AM669=MiscData!$AB$91,1,AM669+1)</f>
        <v>53</v>
      </c>
    </row>
    <row r="671" spans="1:39">
      <c r="A671" s="7">
        <f t="shared" si="283"/>
        <v>670</v>
      </c>
      <c r="B671" s="13" t="str">
        <f t="shared" si="264"/>
        <v>Aug 2015</v>
      </c>
      <c r="C671" s="23" t="str">
        <f t="shared" si="265"/>
        <v>RLS</v>
      </c>
      <c r="D671" s="23" t="str">
        <f t="shared" si="266"/>
        <v>KUUM_460</v>
      </c>
      <c r="E671" s="170">
        <f t="shared" si="267"/>
        <v>26</v>
      </c>
      <c r="F671" s="185"/>
      <c r="G671" s="170">
        <f t="shared" si="268"/>
        <v>0</v>
      </c>
      <c r="H671" s="170">
        <v>0</v>
      </c>
      <c r="I671" s="11">
        <f t="shared" si="269"/>
        <v>27.15</v>
      </c>
      <c r="J671" s="11">
        <f t="shared" si="270"/>
        <v>1.9699999999999989</v>
      </c>
      <c r="K671" s="416">
        <f t="shared" si="285"/>
        <v>705.9</v>
      </c>
      <c r="L671" s="180"/>
      <c r="M671" s="180"/>
      <c r="N671" s="186">
        <f t="shared" si="263"/>
        <v>705.9</v>
      </c>
      <c r="O671" s="29">
        <f t="shared" si="271"/>
        <v>0</v>
      </c>
      <c r="P671" s="181">
        <f t="shared" si="286"/>
        <v>0</v>
      </c>
      <c r="Q671" s="182">
        <f t="shared" si="272"/>
        <v>0</v>
      </c>
      <c r="R671" s="182">
        <f t="shared" si="273"/>
        <v>0</v>
      </c>
      <c r="S671" s="182">
        <f t="shared" si="274"/>
        <v>0</v>
      </c>
      <c r="T671" s="182">
        <f t="shared" si="275"/>
        <v>0</v>
      </c>
      <c r="U671" s="182">
        <f t="shared" si="276"/>
        <v>0</v>
      </c>
      <c r="V671" s="14">
        <f t="shared" si="277"/>
        <v>705.9</v>
      </c>
      <c r="W671" s="14">
        <f t="shared" si="278"/>
        <v>-705.9</v>
      </c>
      <c r="Y671" s="14">
        <f t="shared" si="281"/>
        <v>51.22</v>
      </c>
      <c r="Z671" s="14">
        <f t="shared" si="282"/>
        <v>-51.22</v>
      </c>
      <c r="AA671" s="11">
        <f t="shared" si="284"/>
        <v>0.66</v>
      </c>
      <c r="AB671" s="9">
        <f t="shared" si="287"/>
        <v>17.16</v>
      </c>
      <c r="AD671" s="13">
        <f>IF(AH671&gt;AH670,AD670,IF(AD670&lt;MiscData!$F$1,EOMONTH(AD670,1),EOMONTH(AD670,-11)))</f>
        <v>42247</v>
      </c>
      <c r="AE671" s="7" t="str">
        <f t="shared" si="279"/>
        <v>20140101KUUM_460</v>
      </c>
      <c r="AF671" s="12" t="str">
        <f t="shared" si="280"/>
        <v>20140101RLS</v>
      </c>
      <c r="AG671" s="31"/>
      <c r="AH671">
        <f>IF(AH670=MiscData!$AB$91,1,AH670+1)</f>
        <v>54</v>
      </c>
      <c r="AI671">
        <f>IF(AD671&lt;=MiscData!$B$23,MiscData!$C$23,IF(AD671&lt;=MiscData!$B$24,MiscData!$C$24,MiscData!$C$25))</f>
        <v>20140101</v>
      </c>
      <c r="AK671" s="190" t="str">
        <f>VLOOKUP(AM671,MiscData!$AB$4:$ACB$113,2,FALSE)</f>
        <v>KUUM_460</v>
      </c>
      <c r="AL671" s="190" t="str">
        <f>VLOOKUP(AM671,MiscData!$AB$4:$AE$115,4,FALSE)</f>
        <v>RLS</v>
      </c>
      <c r="AM671">
        <f>IF(AM670=MiscData!$AB$91,1,AM670+1)</f>
        <v>54</v>
      </c>
    </row>
    <row r="672" spans="1:39">
      <c r="A672" s="7">
        <f t="shared" si="283"/>
        <v>671</v>
      </c>
      <c r="B672" s="13" t="str">
        <f t="shared" si="264"/>
        <v>Aug 2015</v>
      </c>
      <c r="C672" s="23" t="str">
        <f t="shared" si="265"/>
        <v>RLS</v>
      </c>
      <c r="D672" s="23" t="str">
        <f t="shared" si="266"/>
        <v>KUUM_461</v>
      </c>
      <c r="E672" s="170">
        <f t="shared" si="267"/>
        <v>6941</v>
      </c>
      <c r="F672" s="185"/>
      <c r="G672" s="170">
        <f t="shared" si="268"/>
        <v>0</v>
      </c>
      <c r="H672" s="170">
        <v>0</v>
      </c>
      <c r="I672" s="11">
        <f t="shared" si="269"/>
        <v>7.54</v>
      </c>
      <c r="J672" s="11">
        <f t="shared" si="270"/>
        <v>0.57000000000000028</v>
      </c>
      <c r="K672" s="416">
        <f t="shared" si="285"/>
        <v>52335.14</v>
      </c>
      <c r="L672" s="180"/>
      <c r="M672" s="180"/>
      <c r="N672" s="186">
        <f t="shared" si="263"/>
        <v>52335.14</v>
      </c>
      <c r="O672" s="29">
        <f t="shared" si="271"/>
        <v>0</v>
      </c>
      <c r="P672" s="181">
        <f t="shared" si="286"/>
        <v>0</v>
      </c>
      <c r="Q672" s="182">
        <f t="shared" si="272"/>
        <v>0</v>
      </c>
      <c r="R672" s="182">
        <f t="shared" si="273"/>
        <v>0</v>
      </c>
      <c r="S672" s="182">
        <f t="shared" si="274"/>
        <v>0</v>
      </c>
      <c r="T672" s="182">
        <f t="shared" si="275"/>
        <v>0</v>
      </c>
      <c r="U672" s="182">
        <f t="shared" si="276"/>
        <v>0</v>
      </c>
      <c r="V672" s="14">
        <f t="shared" si="277"/>
        <v>52335.14</v>
      </c>
      <c r="W672" s="14">
        <f t="shared" si="278"/>
        <v>-52335.14</v>
      </c>
      <c r="Y672" s="14">
        <f t="shared" si="281"/>
        <v>3956.37</v>
      </c>
      <c r="Z672" s="14">
        <f t="shared" si="282"/>
        <v>-3956.37</v>
      </c>
      <c r="AA672" s="11">
        <f t="shared" si="284"/>
        <v>0.33</v>
      </c>
      <c r="AB672" s="9">
        <f t="shared" si="287"/>
        <v>2290.5300000000002</v>
      </c>
      <c r="AD672" s="13">
        <f>IF(AH672&gt;AH671,AD671,IF(AD671&lt;MiscData!$F$1,EOMONTH(AD671,1),EOMONTH(AD671,-11)))</f>
        <v>42247</v>
      </c>
      <c r="AE672" s="7" t="str">
        <f t="shared" si="279"/>
        <v>20140101KUUM_461</v>
      </c>
      <c r="AF672" s="12" t="str">
        <f t="shared" si="280"/>
        <v>20140101RLS</v>
      </c>
      <c r="AG672" s="31"/>
      <c r="AH672">
        <f>IF(AH671=MiscData!$AB$91,1,AH671+1)</f>
        <v>55</v>
      </c>
      <c r="AI672">
        <f>IF(AD672&lt;=MiscData!$B$23,MiscData!$C$23,IF(AD672&lt;=MiscData!$B$24,MiscData!$C$24,MiscData!$C$25))</f>
        <v>20140101</v>
      </c>
      <c r="AK672" s="190" t="str">
        <f>VLOOKUP(AM672,MiscData!$AB$4:$ACB$113,2,FALSE)</f>
        <v>KUUM_461</v>
      </c>
      <c r="AL672" s="190" t="str">
        <f>VLOOKUP(AM672,MiscData!$AB$4:$AE$115,4,FALSE)</f>
        <v>RLS</v>
      </c>
      <c r="AM672">
        <f>IF(AM671=MiscData!$AB$91,1,AM671+1)</f>
        <v>55</v>
      </c>
    </row>
    <row r="673" spans="1:39">
      <c r="A673" s="7">
        <f t="shared" si="283"/>
        <v>672</v>
      </c>
      <c r="B673" s="13" t="str">
        <f t="shared" si="264"/>
        <v>Aug 2015</v>
      </c>
      <c r="C673" s="23" t="str">
        <f t="shared" si="265"/>
        <v>LS</v>
      </c>
      <c r="D673" s="23" t="str">
        <f t="shared" si="266"/>
        <v>KUUM_462</v>
      </c>
      <c r="E673" s="170">
        <f t="shared" si="267"/>
        <v>8897</v>
      </c>
      <c r="F673" s="185"/>
      <c r="G673" s="170">
        <f t="shared" si="268"/>
        <v>0</v>
      </c>
      <c r="H673" s="170">
        <v>0</v>
      </c>
      <c r="I673" s="11">
        <f t="shared" si="269"/>
        <v>8.66</v>
      </c>
      <c r="J673" s="11">
        <f t="shared" si="270"/>
        <v>0.79999999999999893</v>
      </c>
      <c r="K673" s="416">
        <f t="shared" si="285"/>
        <v>77048.02</v>
      </c>
      <c r="L673" s="180"/>
      <c r="M673" s="180"/>
      <c r="N673" s="186">
        <f t="shared" si="263"/>
        <v>77048.02</v>
      </c>
      <c r="O673" s="29">
        <f t="shared" si="271"/>
        <v>0</v>
      </c>
      <c r="P673" s="181">
        <f t="shared" si="286"/>
        <v>0</v>
      </c>
      <c r="Q673" s="182">
        <f t="shared" si="272"/>
        <v>0</v>
      </c>
      <c r="R673" s="182">
        <f t="shared" si="273"/>
        <v>0</v>
      </c>
      <c r="S673" s="182">
        <f t="shared" si="274"/>
        <v>0</v>
      </c>
      <c r="T673" s="182">
        <f t="shared" si="275"/>
        <v>0</v>
      </c>
      <c r="U673" s="182">
        <f t="shared" si="276"/>
        <v>0</v>
      </c>
      <c r="V673" s="14">
        <f t="shared" si="277"/>
        <v>77048.02</v>
      </c>
      <c r="W673" s="14">
        <f t="shared" si="278"/>
        <v>-77048.02</v>
      </c>
      <c r="Y673" s="14">
        <f t="shared" si="281"/>
        <v>7117.6</v>
      </c>
      <c r="Z673" s="14">
        <f t="shared" si="282"/>
        <v>-7117.6</v>
      </c>
      <c r="AA673" s="11">
        <f t="shared" si="284"/>
        <v>0.43</v>
      </c>
      <c r="AB673" s="9">
        <f t="shared" si="287"/>
        <v>3825.71</v>
      </c>
      <c r="AD673" s="13">
        <f>IF(AH673&gt;AH672,AD672,IF(AD672&lt;MiscData!$F$1,EOMONTH(AD672,1),EOMONTH(AD672,-11)))</f>
        <v>42247</v>
      </c>
      <c r="AE673" s="7" t="str">
        <f t="shared" si="279"/>
        <v>20140101KUUM_462</v>
      </c>
      <c r="AF673" s="12" t="str">
        <f t="shared" si="280"/>
        <v>20140101LS</v>
      </c>
      <c r="AG673" s="31"/>
      <c r="AH673">
        <f>IF(AH672=MiscData!$AB$91,1,AH672+1)</f>
        <v>56</v>
      </c>
      <c r="AI673">
        <f>IF(AD673&lt;=MiscData!$B$23,MiscData!$C$23,IF(AD673&lt;=MiscData!$B$24,MiscData!$C$24,MiscData!$C$25))</f>
        <v>20140101</v>
      </c>
      <c r="AK673" s="190" t="str">
        <f>VLOOKUP(AM673,MiscData!$AB$4:$ACB$113,2,FALSE)</f>
        <v>KUUM_462</v>
      </c>
      <c r="AL673" s="190" t="str">
        <f>VLOOKUP(AM673,MiscData!$AB$4:$AE$115,4,FALSE)</f>
        <v>LS</v>
      </c>
      <c r="AM673">
        <f>IF(AM672=MiscData!$AB$91,1,AM672+1)</f>
        <v>56</v>
      </c>
    </row>
    <row r="674" spans="1:39">
      <c r="A674" s="7">
        <f t="shared" si="283"/>
        <v>673</v>
      </c>
      <c r="B674" s="13" t="str">
        <f t="shared" si="264"/>
        <v>Aug 2015</v>
      </c>
      <c r="C674" s="23" t="str">
        <f t="shared" si="265"/>
        <v>LS</v>
      </c>
      <c r="D674" s="23" t="str">
        <f t="shared" si="266"/>
        <v>KUUM_463</v>
      </c>
      <c r="E674" s="170">
        <f t="shared" si="267"/>
        <v>20867</v>
      </c>
      <c r="F674" s="185"/>
      <c r="G674" s="170">
        <f t="shared" si="268"/>
        <v>0</v>
      </c>
      <c r="H674" s="170">
        <v>0</v>
      </c>
      <c r="I674" s="11">
        <f t="shared" si="269"/>
        <v>9.14</v>
      </c>
      <c r="J674" s="11">
        <f t="shared" si="270"/>
        <v>1.1299999999999999</v>
      </c>
      <c r="K674" s="416">
        <f t="shared" si="285"/>
        <v>190724.38</v>
      </c>
      <c r="L674" s="180"/>
      <c r="M674" s="180"/>
      <c r="N674" s="186">
        <f t="shared" si="263"/>
        <v>190724.38</v>
      </c>
      <c r="O674" s="29">
        <f t="shared" si="271"/>
        <v>0</v>
      </c>
      <c r="P674" s="181">
        <f t="shared" si="286"/>
        <v>0</v>
      </c>
      <c r="Q674" s="182">
        <f t="shared" si="272"/>
        <v>0</v>
      </c>
      <c r="R674" s="182">
        <f t="shared" si="273"/>
        <v>0</v>
      </c>
      <c r="S674" s="182">
        <f t="shared" si="274"/>
        <v>0</v>
      </c>
      <c r="T674" s="182">
        <f t="shared" si="275"/>
        <v>0</v>
      </c>
      <c r="U674" s="182">
        <f t="shared" si="276"/>
        <v>0</v>
      </c>
      <c r="V674" s="14">
        <f t="shared" si="277"/>
        <v>190724.38</v>
      </c>
      <c r="W674" s="14">
        <f t="shared" si="278"/>
        <v>-190724.38</v>
      </c>
      <c r="Y674" s="14">
        <f t="shared" si="281"/>
        <v>23579.71</v>
      </c>
      <c r="Z674" s="14">
        <f t="shared" si="282"/>
        <v>-23579.71</v>
      </c>
      <c r="AA674" s="11">
        <f t="shared" si="284"/>
        <v>0.34</v>
      </c>
      <c r="AB674" s="9">
        <f t="shared" si="287"/>
        <v>7094.7800000000007</v>
      </c>
      <c r="AD674" s="13">
        <f>IF(AH674&gt;AH673,AD673,IF(AD673&lt;MiscData!$F$1,EOMONTH(AD673,1),EOMONTH(AD673,-11)))</f>
        <v>42247</v>
      </c>
      <c r="AE674" s="7" t="str">
        <f t="shared" si="279"/>
        <v>20140101KUUM_463</v>
      </c>
      <c r="AF674" s="12" t="str">
        <f t="shared" si="280"/>
        <v>20140101LS</v>
      </c>
      <c r="AG674" s="31"/>
      <c r="AH674">
        <f>IF(AH673=MiscData!$AB$91,1,AH673+1)</f>
        <v>57</v>
      </c>
      <c r="AI674">
        <f>IF(AD674&lt;=MiscData!$B$23,MiscData!$C$23,IF(AD674&lt;=MiscData!$B$24,MiscData!$C$24,MiscData!$C$25))</f>
        <v>20140101</v>
      </c>
      <c r="AK674" s="190" t="str">
        <f>VLOOKUP(AM674,MiscData!$AB$4:$ACB$113,2,FALSE)</f>
        <v>KUUM_463</v>
      </c>
      <c r="AL674" s="190" t="str">
        <f>VLOOKUP(AM674,MiscData!$AB$4:$AE$115,4,FALSE)</f>
        <v>LS</v>
      </c>
      <c r="AM674">
        <f>IF(AM673=MiscData!$AB$91,1,AM673+1)</f>
        <v>57</v>
      </c>
    </row>
    <row r="675" spans="1:39">
      <c r="A675" s="7">
        <f t="shared" si="283"/>
        <v>674</v>
      </c>
      <c r="B675" s="13" t="str">
        <f t="shared" si="264"/>
        <v>Aug 2015</v>
      </c>
      <c r="C675" s="23" t="str">
        <f t="shared" si="265"/>
        <v>LS</v>
      </c>
      <c r="D675" s="23" t="str">
        <f t="shared" si="266"/>
        <v>KUUM_464</v>
      </c>
      <c r="E675" s="170">
        <f t="shared" si="267"/>
        <v>7704</v>
      </c>
      <c r="F675" s="185"/>
      <c r="G675" s="170">
        <f t="shared" si="268"/>
        <v>0</v>
      </c>
      <c r="H675" s="170">
        <v>0</v>
      </c>
      <c r="I675" s="11">
        <f t="shared" si="269"/>
        <v>14.25</v>
      </c>
      <c r="J675" s="11">
        <f t="shared" si="270"/>
        <v>2.33</v>
      </c>
      <c r="K675" s="416">
        <f t="shared" si="285"/>
        <v>109782</v>
      </c>
      <c r="L675" s="180"/>
      <c r="M675" s="180"/>
      <c r="N675" s="186">
        <f t="shared" si="263"/>
        <v>109782</v>
      </c>
      <c r="O675" s="29">
        <f t="shared" si="271"/>
        <v>0</v>
      </c>
      <c r="P675" s="181">
        <f t="shared" si="286"/>
        <v>0</v>
      </c>
      <c r="Q675" s="182">
        <f t="shared" si="272"/>
        <v>0</v>
      </c>
      <c r="R675" s="182">
        <f t="shared" si="273"/>
        <v>0</v>
      </c>
      <c r="S675" s="182">
        <f t="shared" si="274"/>
        <v>0</v>
      </c>
      <c r="T675" s="182">
        <f t="shared" si="275"/>
        <v>0</v>
      </c>
      <c r="U675" s="182">
        <f t="shared" si="276"/>
        <v>0</v>
      </c>
      <c r="V675" s="14">
        <f t="shared" si="277"/>
        <v>109782</v>
      </c>
      <c r="W675" s="14">
        <f t="shared" si="278"/>
        <v>-109782</v>
      </c>
      <c r="Y675" s="14">
        <f t="shared" si="281"/>
        <v>17950.32</v>
      </c>
      <c r="Z675" s="14">
        <f t="shared" si="282"/>
        <v>-17950.32</v>
      </c>
      <c r="AA675" s="11">
        <f t="shared" si="284"/>
        <v>0.57999999999999996</v>
      </c>
      <c r="AB675" s="9">
        <f t="shared" si="287"/>
        <v>4468.32</v>
      </c>
      <c r="AD675" s="13">
        <f>IF(AH675&gt;AH674,AD674,IF(AD674&lt;MiscData!$F$1,EOMONTH(AD674,1),EOMONTH(AD674,-11)))</f>
        <v>42247</v>
      </c>
      <c r="AE675" s="7" t="str">
        <f t="shared" si="279"/>
        <v>20140101KUUM_464</v>
      </c>
      <c r="AF675" s="12" t="str">
        <f t="shared" si="280"/>
        <v>20140101LS</v>
      </c>
      <c r="AG675" s="31"/>
      <c r="AH675">
        <f>IF(AH674=MiscData!$AB$91,1,AH674+1)</f>
        <v>58</v>
      </c>
      <c r="AI675">
        <f>IF(AD675&lt;=MiscData!$B$23,MiscData!$C$23,IF(AD675&lt;=MiscData!$B$24,MiscData!$C$24,MiscData!$C$25))</f>
        <v>20140101</v>
      </c>
      <c r="AK675" s="190" t="str">
        <f>VLOOKUP(AM675,MiscData!$AB$4:$ACB$113,2,FALSE)</f>
        <v>KUUM_464</v>
      </c>
      <c r="AL675" s="190" t="str">
        <f>VLOOKUP(AM675,MiscData!$AB$4:$AE$115,4,FALSE)</f>
        <v>LS</v>
      </c>
      <c r="AM675">
        <f>IF(AM674=MiscData!$AB$91,1,AM674+1)</f>
        <v>58</v>
      </c>
    </row>
    <row r="676" spans="1:39">
      <c r="A676" s="7">
        <f t="shared" si="283"/>
        <v>675</v>
      </c>
      <c r="B676" s="13" t="str">
        <f t="shared" si="264"/>
        <v>Aug 2015</v>
      </c>
      <c r="C676" s="23" t="str">
        <f t="shared" si="265"/>
        <v>LS</v>
      </c>
      <c r="D676" s="23" t="str">
        <f t="shared" si="266"/>
        <v>KUUM_465</v>
      </c>
      <c r="E676" s="170">
        <f t="shared" si="267"/>
        <v>2778</v>
      </c>
      <c r="F676" s="185"/>
      <c r="G676" s="170">
        <f t="shared" si="268"/>
        <v>0</v>
      </c>
      <c r="H676" s="170">
        <v>0</v>
      </c>
      <c r="I676" s="11">
        <f t="shared" si="269"/>
        <v>22.84</v>
      </c>
      <c r="J676" s="11">
        <f t="shared" si="270"/>
        <v>4.5299999999999976</v>
      </c>
      <c r="K676" s="416">
        <f t="shared" si="285"/>
        <v>63449.52</v>
      </c>
      <c r="L676" s="180"/>
      <c r="M676" s="180"/>
      <c r="N676" s="186">
        <f t="shared" si="263"/>
        <v>63449.52</v>
      </c>
      <c r="O676" s="29">
        <f t="shared" si="271"/>
        <v>0</v>
      </c>
      <c r="P676" s="181">
        <f t="shared" si="286"/>
        <v>0</v>
      </c>
      <c r="Q676" s="182">
        <f t="shared" si="272"/>
        <v>0</v>
      </c>
      <c r="R676" s="182">
        <f t="shared" si="273"/>
        <v>0</v>
      </c>
      <c r="S676" s="182">
        <f t="shared" si="274"/>
        <v>0</v>
      </c>
      <c r="T676" s="182">
        <f t="shared" si="275"/>
        <v>0</v>
      </c>
      <c r="U676" s="182">
        <f t="shared" si="276"/>
        <v>0</v>
      </c>
      <c r="V676" s="14">
        <f t="shared" si="277"/>
        <v>63449.52</v>
      </c>
      <c r="W676" s="14">
        <f t="shared" si="278"/>
        <v>-63449.52</v>
      </c>
      <c r="Y676" s="14">
        <f t="shared" si="281"/>
        <v>12584.34</v>
      </c>
      <c r="Z676" s="14">
        <f t="shared" si="282"/>
        <v>-12584.34</v>
      </c>
      <c r="AA676" s="11">
        <f t="shared" si="284"/>
        <v>0.79</v>
      </c>
      <c r="AB676" s="9">
        <f t="shared" si="287"/>
        <v>2194.62</v>
      </c>
      <c r="AD676" s="13">
        <f>IF(AH676&gt;AH675,AD675,IF(AD675&lt;MiscData!$F$1,EOMONTH(AD675,1),EOMONTH(AD675,-11)))</f>
        <v>42247</v>
      </c>
      <c r="AE676" s="7" t="str">
        <f t="shared" si="279"/>
        <v>20140101KUUM_465</v>
      </c>
      <c r="AF676" s="12" t="str">
        <f t="shared" si="280"/>
        <v>20140101LS</v>
      </c>
      <c r="AG676" s="31"/>
      <c r="AH676">
        <f>IF(AH675=MiscData!$AB$91,1,AH675+1)</f>
        <v>59</v>
      </c>
      <c r="AI676">
        <f>IF(AD676&lt;=MiscData!$B$23,MiscData!$C$23,IF(AD676&lt;=MiscData!$B$24,MiscData!$C$24,MiscData!$C$25))</f>
        <v>20140101</v>
      </c>
      <c r="AK676" s="190" t="str">
        <f>VLOOKUP(AM676,MiscData!$AB$4:$ACB$113,2,FALSE)</f>
        <v>KUUM_465</v>
      </c>
      <c r="AL676" s="190" t="str">
        <f>VLOOKUP(AM676,MiscData!$AB$4:$AE$115,4,FALSE)</f>
        <v>LS</v>
      </c>
      <c r="AM676">
        <f>IF(AM675=MiscData!$AB$91,1,AM675+1)</f>
        <v>59</v>
      </c>
    </row>
    <row r="677" spans="1:39">
      <c r="A677" s="7">
        <f t="shared" si="283"/>
        <v>676</v>
      </c>
      <c r="B677" s="13" t="str">
        <f t="shared" si="264"/>
        <v>Aug 2015</v>
      </c>
      <c r="C677" s="23" t="str">
        <f t="shared" si="265"/>
        <v>RLS</v>
      </c>
      <c r="D677" s="23" t="str">
        <f t="shared" si="266"/>
        <v>KUUM_466</v>
      </c>
      <c r="E677" s="170">
        <f t="shared" si="267"/>
        <v>989</v>
      </c>
      <c r="F677" s="185"/>
      <c r="G677" s="170">
        <f t="shared" si="268"/>
        <v>0</v>
      </c>
      <c r="H677" s="170">
        <v>0</v>
      </c>
      <c r="I677" s="11">
        <f t="shared" si="269"/>
        <v>9.620000000000001</v>
      </c>
      <c r="J677" s="11">
        <f t="shared" si="270"/>
        <v>0.57000000000000028</v>
      </c>
      <c r="K677" s="416">
        <f t="shared" si="285"/>
        <v>9514.18</v>
      </c>
      <c r="L677" s="180"/>
      <c r="M677" s="180"/>
      <c r="N677" s="186">
        <f t="shared" si="263"/>
        <v>9514.18</v>
      </c>
      <c r="O677" s="29">
        <f t="shared" si="271"/>
        <v>0</v>
      </c>
      <c r="P677" s="181">
        <f t="shared" si="286"/>
        <v>0</v>
      </c>
      <c r="Q677" s="182">
        <f t="shared" si="272"/>
        <v>0</v>
      </c>
      <c r="R677" s="182">
        <f t="shared" si="273"/>
        <v>0</v>
      </c>
      <c r="S677" s="182">
        <f t="shared" si="274"/>
        <v>0</v>
      </c>
      <c r="T677" s="182">
        <f t="shared" si="275"/>
        <v>0</v>
      </c>
      <c r="U677" s="182">
        <f t="shared" si="276"/>
        <v>0</v>
      </c>
      <c r="V677" s="14">
        <f t="shared" si="277"/>
        <v>9514.18</v>
      </c>
      <c r="W677" s="14">
        <f t="shared" si="278"/>
        <v>-9514.18</v>
      </c>
      <c r="Y677" s="14">
        <f t="shared" si="281"/>
        <v>563.73</v>
      </c>
      <c r="Z677" s="14">
        <f t="shared" si="282"/>
        <v>-563.73</v>
      </c>
      <c r="AA677" s="11">
        <f t="shared" si="284"/>
        <v>0.33</v>
      </c>
      <c r="AB677" s="9">
        <f t="shared" si="287"/>
        <v>326.37</v>
      </c>
      <c r="AD677" s="13">
        <f>IF(AH677&gt;AH676,AD676,IF(AD676&lt;MiscData!$F$1,EOMONTH(AD676,1),EOMONTH(AD676,-11)))</f>
        <v>42247</v>
      </c>
      <c r="AE677" s="7" t="str">
        <f t="shared" si="279"/>
        <v>20140101KUUM_466</v>
      </c>
      <c r="AF677" s="12" t="str">
        <f t="shared" si="280"/>
        <v>20140101RLS</v>
      </c>
      <c r="AG677" s="31"/>
      <c r="AH677">
        <f>IF(AH676=MiscData!$AB$91,1,AH676+1)</f>
        <v>60</v>
      </c>
      <c r="AI677">
        <f>IF(AD677&lt;=MiscData!$B$23,MiscData!$C$23,IF(AD677&lt;=MiscData!$B$24,MiscData!$C$24,MiscData!$C$25))</f>
        <v>20140101</v>
      </c>
      <c r="AK677" s="190" t="str">
        <f>VLOOKUP(AM677,MiscData!$AB$4:$ACB$113,2,FALSE)</f>
        <v>KUUM_466</v>
      </c>
      <c r="AL677" s="190" t="str">
        <f>VLOOKUP(AM677,MiscData!$AB$4:$AE$115,4,FALSE)</f>
        <v>RLS</v>
      </c>
      <c r="AM677">
        <f>IF(AM676=MiscData!$AB$91,1,AM676+1)</f>
        <v>60</v>
      </c>
    </row>
    <row r="678" spans="1:39">
      <c r="A678" s="7">
        <f t="shared" si="283"/>
        <v>677</v>
      </c>
      <c r="B678" s="13" t="str">
        <f t="shared" si="264"/>
        <v>Aug 2015</v>
      </c>
      <c r="C678" s="23" t="str">
        <f t="shared" si="265"/>
        <v>LS</v>
      </c>
      <c r="D678" s="23" t="str">
        <f t="shared" si="266"/>
        <v>KUUM_467</v>
      </c>
      <c r="E678" s="170">
        <f t="shared" si="267"/>
        <v>1467</v>
      </c>
      <c r="F678" s="185"/>
      <c r="G678" s="170">
        <f t="shared" si="268"/>
        <v>0</v>
      </c>
      <c r="H678" s="170">
        <v>0</v>
      </c>
      <c r="I678" s="11">
        <f t="shared" si="269"/>
        <v>10.770000000000001</v>
      </c>
      <c r="J678" s="11">
        <f t="shared" si="270"/>
        <v>0.80000000000000071</v>
      </c>
      <c r="K678" s="416">
        <f t="shared" si="285"/>
        <v>15799.59</v>
      </c>
      <c r="L678" s="180"/>
      <c r="M678" s="180"/>
      <c r="N678" s="186">
        <f t="shared" si="263"/>
        <v>15799.59</v>
      </c>
      <c r="O678" s="29">
        <f t="shared" si="271"/>
        <v>0</v>
      </c>
      <c r="P678" s="181">
        <f t="shared" si="286"/>
        <v>0</v>
      </c>
      <c r="Q678" s="182">
        <f t="shared" si="272"/>
        <v>0</v>
      </c>
      <c r="R678" s="182">
        <f t="shared" si="273"/>
        <v>0</v>
      </c>
      <c r="S678" s="182">
        <f t="shared" si="274"/>
        <v>0</v>
      </c>
      <c r="T678" s="182">
        <f t="shared" si="275"/>
        <v>0</v>
      </c>
      <c r="U678" s="182">
        <f t="shared" si="276"/>
        <v>0</v>
      </c>
      <c r="V678" s="14">
        <f t="shared" si="277"/>
        <v>15799.59</v>
      </c>
      <c r="W678" s="14">
        <f t="shared" si="278"/>
        <v>-15799.59</v>
      </c>
      <c r="Y678" s="14">
        <f t="shared" si="281"/>
        <v>1173.5999999999999</v>
      </c>
      <c r="Z678" s="14">
        <f t="shared" si="282"/>
        <v>-1173.5999999999999</v>
      </c>
      <c r="AA678" s="11">
        <f t="shared" si="284"/>
        <v>0.43</v>
      </c>
      <c r="AB678" s="9">
        <f t="shared" si="287"/>
        <v>630.80999999999995</v>
      </c>
      <c r="AD678" s="13">
        <f>IF(AH678&gt;AH677,AD677,IF(AD677&lt;MiscData!$F$1,EOMONTH(AD677,1),EOMONTH(AD677,-11)))</f>
        <v>42247</v>
      </c>
      <c r="AE678" s="7" t="str">
        <f t="shared" si="279"/>
        <v>20140101KUUM_467</v>
      </c>
      <c r="AF678" s="12" t="str">
        <f t="shared" si="280"/>
        <v>20140101LS</v>
      </c>
      <c r="AG678" s="31"/>
      <c r="AH678">
        <f>IF(AH677=MiscData!$AB$91,1,AH677+1)</f>
        <v>61</v>
      </c>
      <c r="AI678">
        <f>IF(AD678&lt;=MiscData!$B$23,MiscData!$C$23,IF(AD678&lt;=MiscData!$B$24,MiscData!$C$24,MiscData!$C$25))</f>
        <v>20140101</v>
      </c>
      <c r="AK678" s="190" t="str">
        <f>VLOOKUP(AM678,MiscData!$AB$4:$ACB$113,2,FALSE)</f>
        <v>KUUM_467</v>
      </c>
      <c r="AL678" s="190" t="str">
        <f>VLOOKUP(AM678,MiscData!$AB$4:$AE$115,4,FALSE)</f>
        <v>LS</v>
      </c>
      <c r="AM678">
        <f>IF(AM677=MiscData!$AB$91,1,AM677+1)</f>
        <v>61</v>
      </c>
    </row>
    <row r="679" spans="1:39">
      <c r="A679" s="7">
        <f t="shared" si="283"/>
        <v>678</v>
      </c>
      <c r="B679" s="13" t="str">
        <f t="shared" si="264"/>
        <v>Aug 2015</v>
      </c>
      <c r="C679" s="23" t="str">
        <f t="shared" si="265"/>
        <v>LS</v>
      </c>
      <c r="D679" s="23" t="str">
        <f t="shared" si="266"/>
        <v>KUUM_468</v>
      </c>
      <c r="E679" s="170">
        <f t="shared" si="267"/>
        <v>4042</v>
      </c>
      <c r="F679" s="185"/>
      <c r="G679" s="170">
        <f t="shared" si="268"/>
        <v>0</v>
      </c>
      <c r="H679" s="170">
        <v>0</v>
      </c>
      <c r="I679" s="11">
        <f t="shared" si="269"/>
        <v>11.16</v>
      </c>
      <c r="J679" s="11">
        <f t="shared" si="270"/>
        <v>1.129999999999999</v>
      </c>
      <c r="K679" s="416">
        <f t="shared" si="285"/>
        <v>45108.72</v>
      </c>
      <c r="L679" s="180"/>
      <c r="M679" s="180"/>
      <c r="N679" s="186">
        <f t="shared" si="263"/>
        <v>45108.72</v>
      </c>
      <c r="O679" s="29">
        <f t="shared" si="271"/>
        <v>0</v>
      </c>
      <c r="P679" s="181">
        <f t="shared" si="286"/>
        <v>0</v>
      </c>
      <c r="Q679" s="182">
        <f t="shared" si="272"/>
        <v>0</v>
      </c>
      <c r="R679" s="182">
        <f t="shared" si="273"/>
        <v>0</v>
      </c>
      <c r="S679" s="182">
        <f t="shared" si="274"/>
        <v>0</v>
      </c>
      <c r="T679" s="182">
        <f t="shared" si="275"/>
        <v>0</v>
      </c>
      <c r="U679" s="182">
        <f t="shared" si="276"/>
        <v>0</v>
      </c>
      <c r="V679" s="14">
        <f t="shared" si="277"/>
        <v>45108.72</v>
      </c>
      <c r="W679" s="14">
        <f t="shared" si="278"/>
        <v>-45108.72</v>
      </c>
      <c r="Y679" s="14">
        <f t="shared" si="281"/>
        <v>4567.46</v>
      </c>
      <c r="Z679" s="14">
        <f t="shared" si="282"/>
        <v>-4567.46</v>
      </c>
      <c r="AA679" s="11">
        <f t="shared" si="284"/>
        <v>0.34</v>
      </c>
      <c r="AB679" s="9">
        <f t="shared" si="287"/>
        <v>1374.2800000000002</v>
      </c>
      <c r="AD679" s="13">
        <f>IF(AH679&gt;AH678,AD678,IF(AD678&lt;MiscData!$F$1,EOMONTH(AD678,1),EOMONTH(AD678,-11)))</f>
        <v>42247</v>
      </c>
      <c r="AE679" s="7" t="str">
        <f t="shared" si="279"/>
        <v>20140101KUUM_468</v>
      </c>
      <c r="AF679" s="12" t="str">
        <f t="shared" si="280"/>
        <v>20140101LS</v>
      </c>
      <c r="AG679" s="31"/>
      <c r="AH679">
        <f>IF(AH678=MiscData!$AB$91,1,AH678+1)</f>
        <v>62</v>
      </c>
      <c r="AI679">
        <f>IF(AD679&lt;=MiscData!$B$23,MiscData!$C$23,IF(AD679&lt;=MiscData!$B$24,MiscData!$C$24,MiscData!$C$25))</f>
        <v>20140101</v>
      </c>
      <c r="AK679" s="190" t="str">
        <f>VLOOKUP(AM679,MiscData!$AB$4:$ACB$113,2,FALSE)</f>
        <v>KUUM_468</v>
      </c>
      <c r="AL679" s="190" t="str">
        <f>VLOOKUP(AM679,MiscData!$AB$4:$AE$115,4,FALSE)</f>
        <v>LS</v>
      </c>
      <c r="AM679">
        <f>IF(AM678=MiscData!$AB$91,1,AM678+1)</f>
        <v>62</v>
      </c>
    </row>
    <row r="680" spans="1:39">
      <c r="A680" s="7">
        <f t="shared" si="283"/>
        <v>679</v>
      </c>
      <c r="B680" s="13" t="str">
        <f t="shared" si="264"/>
        <v>Aug 2015</v>
      </c>
      <c r="C680" s="23" t="str">
        <f t="shared" si="265"/>
        <v>RLS</v>
      </c>
      <c r="D680" s="23" t="str">
        <f t="shared" si="266"/>
        <v>KUUM_469</v>
      </c>
      <c r="E680" s="170">
        <f t="shared" si="267"/>
        <v>291</v>
      </c>
      <c r="F680" s="185"/>
      <c r="G680" s="170">
        <f t="shared" si="268"/>
        <v>0</v>
      </c>
      <c r="H680" s="170">
        <v>0</v>
      </c>
      <c r="I680" s="11">
        <f t="shared" si="269"/>
        <v>33.100000000000009</v>
      </c>
      <c r="J680" s="11">
        <f t="shared" si="270"/>
        <v>4.2900000000000063</v>
      </c>
      <c r="K680" s="416">
        <f t="shared" si="285"/>
        <v>9632.1</v>
      </c>
      <c r="L680" s="180"/>
      <c r="M680" s="180"/>
      <c r="N680" s="186">
        <f t="shared" si="263"/>
        <v>9632.1</v>
      </c>
      <c r="O680" s="29">
        <f t="shared" si="271"/>
        <v>0</v>
      </c>
      <c r="P680" s="181">
        <f t="shared" si="286"/>
        <v>0</v>
      </c>
      <c r="Q680" s="182">
        <f t="shared" si="272"/>
        <v>0</v>
      </c>
      <c r="R680" s="182">
        <f t="shared" si="273"/>
        <v>0</v>
      </c>
      <c r="S680" s="182">
        <f t="shared" si="274"/>
        <v>0</v>
      </c>
      <c r="T680" s="182">
        <f t="shared" si="275"/>
        <v>0</v>
      </c>
      <c r="U680" s="182">
        <f t="shared" si="276"/>
        <v>0</v>
      </c>
      <c r="V680" s="14">
        <f t="shared" si="277"/>
        <v>9632.1</v>
      </c>
      <c r="W680" s="14">
        <f t="shared" si="278"/>
        <v>-9632.1</v>
      </c>
      <c r="Y680" s="14">
        <f t="shared" si="281"/>
        <v>1248.3900000000001</v>
      </c>
      <c r="Z680" s="14">
        <f t="shared" si="282"/>
        <v>-1248.3900000000001</v>
      </c>
      <c r="AA680" s="11">
        <f t="shared" si="284"/>
        <v>0.84</v>
      </c>
      <c r="AB680" s="9">
        <f t="shared" si="287"/>
        <v>244.44</v>
      </c>
      <c r="AD680" s="13">
        <f>IF(AH680&gt;AH679,AD679,IF(AD679&lt;MiscData!$F$1,EOMONTH(AD679,1),EOMONTH(AD679,-11)))</f>
        <v>42247</v>
      </c>
      <c r="AE680" s="7" t="str">
        <f t="shared" si="279"/>
        <v>20140101KUUM_469</v>
      </c>
      <c r="AF680" s="12" t="str">
        <f t="shared" si="280"/>
        <v>20140101RLS</v>
      </c>
      <c r="AG680" s="31"/>
      <c r="AH680">
        <f>IF(AH679=MiscData!$AB$91,1,AH679+1)</f>
        <v>63</v>
      </c>
      <c r="AI680">
        <f>IF(AD680&lt;=MiscData!$B$23,MiscData!$C$23,IF(AD680&lt;=MiscData!$B$24,MiscData!$C$24,MiscData!$C$25))</f>
        <v>20140101</v>
      </c>
      <c r="AK680" s="190" t="str">
        <f>VLOOKUP(AM680,MiscData!$AB$4:$ACB$113,2,FALSE)</f>
        <v>KUUM_469</v>
      </c>
      <c r="AL680" s="190" t="str">
        <f>VLOOKUP(AM680,MiscData!$AB$4:$AE$115,4,FALSE)</f>
        <v>RLS</v>
      </c>
      <c r="AM680">
        <f>IF(AM679=MiscData!$AB$91,1,AM679+1)</f>
        <v>63</v>
      </c>
    </row>
    <row r="681" spans="1:39">
      <c r="A681" s="7">
        <f t="shared" si="283"/>
        <v>680</v>
      </c>
      <c r="B681" s="13" t="str">
        <f t="shared" si="264"/>
        <v>Aug 2015</v>
      </c>
      <c r="C681" s="23" t="str">
        <f t="shared" si="265"/>
        <v>RLS</v>
      </c>
      <c r="D681" s="23" t="str">
        <f t="shared" si="266"/>
        <v>KUUM_470</v>
      </c>
      <c r="E681" s="170">
        <f t="shared" si="267"/>
        <v>61</v>
      </c>
      <c r="F681" s="185"/>
      <c r="G681" s="170">
        <f t="shared" si="268"/>
        <v>0</v>
      </c>
      <c r="H681" s="170">
        <v>0</v>
      </c>
      <c r="I681" s="11">
        <f t="shared" si="269"/>
        <v>55.250000000000007</v>
      </c>
      <c r="J681" s="11">
        <f t="shared" si="270"/>
        <v>10.410000000000004</v>
      </c>
      <c r="K681" s="416">
        <f t="shared" si="285"/>
        <v>3370.25</v>
      </c>
      <c r="L681" s="180"/>
      <c r="M681" s="180"/>
      <c r="N681" s="186">
        <f t="shared" si="263"/>
        <v>3370.25</v>
      </c>
      <c r="O681" s="29">
        <f t="shared" si="271"/>
        <v>0</v>
      </c>
      <c r="P681" s="181">
        <f t="shared" si="286"/>
        <v>0</v>
      </c>
      <c r="Q681" s="182">
        <f t="shared" si="272"/>
        <v>0</v>
      </c>
      <c r="R681" s="182">
        <f t="shared" si="273"/>
        <v>0</v>
      </c>
      <c r="S681" s="182">
        <f t="shared" si="274"/>
        <v>0</v>
      </c>
      <c r="T681" s="182">
        <f t="shared" si="275"/>
        <v>0</v>
      </c>
      <c r="U681" s="182">
        <f t="shared" si="276"/>
        <v>0</v>
      </c>
      <c r="V681" s="14">
        <f t="shared" si="277"/>
        <v>3370.25</v>
      </c>
      <c r="W681" s="14">
        <f t="shared" si="278"/>
        <v>-3370.25</v>
      </c>
      <c r="Y681" s="14">
        <f t="shared" si="281"/>
        <v>635.01</v>
      </c>
      <c r="Z681" s="14">
        <f t="shared" si="282"/>
        <v>-635.01</v>
      </c>
      <c r="AA681" s="11">
        <f t="shared" si="284"/>
        <v>1.7</v>
      </c>
      <c r="AB681" s="9">
        <f t="shared" si="287"/>
        <v>103.7</v>
      </c>
      <c r="AD681" s="13">
        <f>IF(AH681&gt;AH680,AD680,IF(AD680&lt;MiscData!$F$1,EOMONTH(AD680,1),EOMONTH(AD680,-11)))</f>
        <v>42247</v>
      </c>
      <c r="AE681" s="7" t="str">
        <f t="shared" si="279"/>
        <v>20140101KUUM_470</v>
      </c>
      <c r="AF681" s="12" t="str">
        <f t="shared" si="280"/>
        <v>20140101RLS</v>
      </c>
      <c r="AG681" s="31"/>
      <c r="AH681">
        <f>IF(AH680=MiscData!$AB$91,1,AH680+1)</f>
        <v>64</v>
      </c>
      <c r="AI681">
        <f>IF(AD681&lt;=MiscData!$B$23,MiscData!$C$23,IF(AD681&lt;=MiscData!$B$24,MiscData!$C$24,MiscData!$C$25))</f>
        <v>20140101</v>
      </c>
      <c r="AK681" s="190" t="str">
        <f>VLOOKUP(AM681,MiscData!$AB$4:$ACB$113,2,FALSE)</f>
        <v>KUUM_470</v>
      </c>
      <c r="AL681" s="190" t="str">
        <f>VLOOKUP(AM681,MiscData!$AB$4:$AE$115,4,FALSE)</f>
        <v>RLS</v>
      </c>
      <c r="AM681">
        <f>IF(AM680=MiscData!$AB$91,1,AM680+1)</f>
        <v>64</v>
      </c>
    </row>
    <row r="682" spans="1:39">
      <c r="A682" s="7">
        <f t="shared" si="283"/>
        <v>681</v>
      </c>
      <c r="B682" s="13" t="str">
        <f t="shared" si="264"/>
        <v>Aug 2015</v>
      </c>
      <c r="C682" s="23" t="str">
        <f t="shared" si="265"/>
        <v>RLS</v>
      </c>
      <c r="D682" s="23" t="str">
        <f t="shared" si="266"/>
        <v>KUUM_471</v>
      </c>
      <c r="E682" s="170">
        <f t="shared" si="267"/>
        <v>3637</v>
      </c>
      <c r="F682" s="185"/>
      <c r="G682" s="170">
        <f t="shared" si="268"/>
        <v>0</v>
      </c>
      <c r="H682" s="170">
        <v>0</v>
      </c>
      <c r="I682" s="11">
        <f t="shared" si="269"/>
        <v>10.49</v>
      </c>
      <c r="J682" s="11">
        <f t="shared" si="270"/>
        <v>0.56999999999999851</v>
      </c>
      <c r="K682" s="416">
        <f t="shared" si="285"/>
        <v>38152.129999999997</v>
      </c>
      <c r="L682" s="180"/>
      <c r="M682" s="180"/>
      <c r="N682" s="186">
        <f t="shared" si="263"/>
        <v>38152.129999999997</v>
      </c>
      <c r="O682" s="29">
        <f t="shared" si="271"/>
        <v>0</v>
      </c>
      <c r="P682" s="181">
        <f t="shared" si="286"/>
        <v>0</v>
      </c>
      <c r="Q682" s="182">
        <f t="shared" si="272"/>
        <v>0</v>
      </c>
      <c r="R682" s="182">
        <f t="shared" si="273"/>
        <v>0</v>
      </c>
      <c r="S682" s="182">
        <f t="shared" si="274"/>
        <v>0</v>
      </c>
      <c r="T682" s="182">
        <f t="shared" si="275"/>
        <v>0</v>
      </c>
      <c r="U682" s="182">
        <f t="shared" si="276"/>
        <v>0</v>
      </c>
      <c r="V682" s="14">
        <f t="shared" si="277"/>
        <v>38152.129999999997</v>
      </c>
      <c r="W682" s="14">
        <f t="shared" si="278"/>
        <v>-38152.129999999997</v>
      </c>
      <c r="Y682" s="14">
        <f t="shared" si="281"/>
        <v>2073.09</v>
      </c>
      <c r="Z682" s="14">
        <f t="shared" si="282"/>
        <v>-2073.09</v>
      </c>
      <c r="AA682" s="11">
        <f t="shared" si="284"/>
        <v>0.33</v>
      </c>
      <c r="AB682" s="9">
        <f t="shared" si="287"/>
        <v>1200.21</v>
      </c>
      <c r="AD682" s="13">
        <f>IF(AH682&gt;AH681,AD681,IF(AD681&lt;MiscData!$F$1,EOMONTH(AD681,1),EOMONTH(AD681,-11)))</f>
        <v>42247</v>
      </c>
      <c r="AE682" s="7" t="str">
        <f t="shared" si="279"/>
        <v>20140101KUUM_471</v>
      </c>
      <c r="AF682" s="12" t="str">
        <f t="shared" si="280"/>
        <v>20140101RLS</v>
      </c>
      <c r="AG682" s="31"/>
      <c r="AH682">
        <f>IF(AH681=MiscData!$AB$91,1,AH681+1)</f>
        <v>65</v>
      </c>
      <c r="AI682">
        <f>IF(AD682&lt;=MiscData!$B$23,MiscData!$C$23,IF(AD682&lt;=MiscData!$B$24,MiscData!$C$24,MiscData!$C$25))</f>
        <v>20140101</v>
      </c>
      <c r="AK682" s="190" t="str">
        <f>VLOOKUP(AM682,MiscData!$AB$4:$ACB$113,2,FALSE)</f>
        <v>KUUM_471</v>
      </c>
      <c r="AL682" s="190" t="str">
        <f>VLOOKUP(AM682,MiscData!$AB$4:$AE$115,4,FALSE)</f>
        <v>RLS</v>
      </c>
      <c r="AM682">
        <f>IF(AM681=MiscData!$AB$91,1,AM681+1)</f>
        <v>65</v>
      </c>
    </row>
    <row r="683" spans="1:39">
      <c r="A683" s="7">
        <f t="shared" si="283"/>
        <v>682</v>
      </c>
      <c r="B683" s="13" t="str">
        <f t="shared" si="264"/>
        <v>Aug 2015</v>
      </c>
      <c r="C683" s="23" t="str">
        <f t="shared" si="265"/>
        <v>LS</v>
      </c>
      <c r="D683" s="23" t="str">
        <f t="shared" si="266"/>
        <v>KUUM_472</v>
      </c>
      <c r="E683" s="170">
        <f t="shared" si="267"/>
        <v>8732</v>
      </c>
      <c r="F683" s="185"/>
      <c r="G683" s="170">
        <f t="shared" si="268"/>
        <v>0</v>
      </c>
      <c r="H683" s="170">
        <v>0</v>
      </c>
      <c r="I683" s="11">
        <f t="shared" si="269"/>
        <v>11.600000000000001</v>
      </c>
      <c r="J683" s="11">
        <f t="shared" si="270"/>
        <v>0.80000000000000071</v>
      </c>
      <c r="K683" s="416">
        <f t="shared" si="285"/>
        <v>101291.2</v>
      </c>
      <c r="L683" s="180"/>
      <c r="M683" s="180"/>
      <c r="N683" s="186">
        <f t="shared" si="263"/>
        <v>101291.2</v>
      </c>
      <c r="O683" s="29">
        <f t="shared" si="271"/>
        <v>0</v>
      </c>
      <c r="P683" s="181">
        <f t="shared" si="286"/>
        <v>0</v>
      </c>
      <c r="Q683" s="182">
        <f t="shared" si="272"/>
        <v>0</v>
      </c>
      <c r="R683" s="182">
        <f t="shared" si="273"/>
        <v>0</v>
      </c>
      <c r="S683" s="182">
        <f t="shared" si="274"/>
        <v>0</v>
      </c>
      <c r="T683" s="182">
        <f t="shared" si="275"/>
        <v>0</v>
      </c>
      <c r="U683" s="182">
        <f t="shared" si="276"/>
        <v>0</v>
      </c>
      <c r="V683" s="14">
        <f t="shared" si="277"/>
        <v>101291.2</v>
      </c>
      <c r="W683" s="14">
        <f t="shared" si="278"/>
        <v>-101291.2</v>
      </c>
      <c r="Y683" s="14">
        <f t="shared" si="281"/>
        <v>6985.6</v>
      </c>
      <c r="Z683" s="14">
        <f t="shared" si="282"/>
        <v>-6985.6</v>
      </c>
      <c r="AA683" s="11">
        <f t="shared" si="284"/>
        <v>0.43</v>
      </c>
      <c r="AB683" s="9">
        <f t="shared" si="287"/>
        <v>3754.7599999999998</v>
      </c>
      <c r="AD683" s="13">
        <f>IF(AH683&gt;AH682,AD682,IF(AD682&lt;MiscData!$F$1,EOMONTH(AD682,1),EOMONTH(AD682,-11)))</f>
        <v>42247</v>
      </c>
      <c r="AE683" s="7" t="str">
        <f t="shared" si="279"/>
        <v>20140101KUUM_472</v>
      </c>
      <c r="AF683" s="12" t="str">
        <f t="shared" si="280"/>
        <v>20140101LS</v>
      </c>
      <c r="AG683" s="31"/>
      <c r="AH683">
        <f>IF(AH682=MiscData!$AB$91,1,AH682+1)</f>
        <v>66</v>
      </c>
      <c r="AI683">
        <f>IF(AD683&lt;=MiscData!$B$23,MiscData!$C$23,IF(AD683&lt;=MiscData!$B$24,MiscData!$C$24,MiscData!$C$25))</f>
        <v>20140101</v>
      </c>
      <c r="AK683" s="190" t="str">
        <f>VLOOKUP(AM683,MiscData!$AB$4:$ACB$113,2,FALSE)</f>
        <v>KUUM_472</v>
      </c>
      <c r="AL683" s="190" t="str">
        <f>VLOOKUP(AM683,MiscData!$AB$4:$AE$115,4,FALSE)</f>
        <v>LS</v>
      </c>
      <c r="AM683">
        <f>IF(AM682=MiscData!$AB$91,1,AM682+1)</f>
        <v>66</v>
      </c>
    </row>
    <row r="684" spans="1:39">
      <c r="A684" s="7">
        <f t="shared" si="283"/>
        <v>683</v>
      </c>
      <c r="B684" s="13" t="str">
        <f t="shared" si="264"/>
        <v>Aug 2015</v>
      </c>
      <c r="C684" s="23" t="str">
        <f t="shared" si="265"/>
        <v>LS</v>
      </c>
      <c r="D684" s="23" t="str">
        <f t="shared" si="266"/>
        <v>KUUM_473</v>
      </c>
      <c r="E684" s="170">
        <f t="shared" si="267"/>
        <v>3369</v>
      </c>
      <c r="F684" s="185"/>
      <c r="G684" s="170">
        <f t="shared" si="268"/>
        <v>0</v>
      </c>
      <c r="H684" s="170">
        <v>0</v>
      </c>
      <c r="I684" s="11">
        <f t="shared" si="269"/>
        <v>12.3</v>
      </c>
      <c r="J684" s="11">
        <f t="shared" si="270"/>
        <v>1.129999999999999</v>
      </c>
      <c r="K684" s="416">
        <f t="shared" si="285"/>
        <v>41438.699999999997</v>
      </c>
      <c r="L684" s="180"/>
      <c r="M684" s="180"/>
      <c r="N684" s="186">
        <f t="shared" si="263"/>
        <v>41438.699999999997</v>
      </c>
      <c r="O684" s="29">
        <f t="shared" si="271"/>
        <v>0</v>
      </c>
      <c r="P684" s="181">
        <f t="shared" si="286"/>
        <v>0</v>
      </c>
      <c r="Q684" s="182">
        <f t="shared" si="272"/>
        <v>0</v>
      </c>
      <c r="R684" s="182">
        <f t="shared" si="273"/>
        <v>0</v>
      </c>
      <c r="S684" s="182">
        <f t="shared" si="274"/>
        <v>0</v>
      </c>
      <c r="T684" s="182">
        <f t="shared" si="275"/>
        <v>0</v>
      </c>
      <c r="U684" s="182">
        <f t="shared" si="276"/>
        <v>0</v>
      </c>
      <c r="V684" s="14">
        <f t="shared" si="277"/>
        <v>41438.699999999997</v>
      </c>
      <c r="W684" s="14">
        <f t="shared" si="278"/>
        <v>-41438.699999999997</v>
      </c>
      <c r="Y684" s="14">
        <f t="shared" si="281"/>
        <v>3806.97</v>
      </c>
      <c r="Z684" s="14">
        <f t="shared" si="282"/>
        <v>-3806.97</v>
      </c>
      <c r="AA684" s="11">
        <f t="shared" si="284"/>
        <v>0.34</v>
      </c>
      <c r="AB684" s="9">
        <f t="shared" si="287"/>
        <v>1145.46</v>
      </c>
      <c r="AD684" s="13">
        <f>IF(AH684&gt;AH683,AD683,IF(AD683&lt;MiscData!$F$1,EOMONTH(AD683,1),EOMONTH(AD683,-11)))</f>
        <v>42247</v>
      </c>
      <c r="AE684" s="7" t="str">
        <f t="shared" si="279"/>
        <v>20140101KUUM_473</v>
      </c>
      <c r="AF684" s="12" t="str">
        <f t="shared" si="280"/>
        <v>20140101LS</v>
      </c>
      <c r="AG684" s="31"/>
      <c r="AH684">
        <f>IF(AH683=MiscData!$AB$91,1,AH683+1)</f>
        <v>67</v>
      </c>
      <c r="AI684">
        <f>IF(AD684&lt;=MiscData!$B$23,MiscData!$C$23,IF(AD684&lt;=MiscData!$B$24,MiscData!$C$24,MiscData!$C$25))</f>
        <v>20140101</v>
      </c>
      <c r="AK684" s="190" t="str">
        <f>VLOOKUP(AM684,MiscData!$AB$4:$ACB$113,2,FALSE)</f>
        <v>KUUM_473</v>
      </c>
      <c r="AL684" s="190" t="str">
        <f>VLOOKUP(AM684,MiscData!$AB$4:$AE$115,4,FALSE)</f>
        <v>LS</v>
      </c>
      <c r="AM684">
        <f>IF(AM683=MiscData!$AB$91,1,AM683+1)</f>
        <v>67</v>
      </c>
    </row>
    <row r="685" spans="1:39">
      <c r="A685" s="7">
        <f t="shared" si="283"/>
        <v>684</v>
      </c>
      <c r="B685" s="13" t="str">
        <f t="shared" si="264"/>
        <v>Aug 2015</v>
      </c>
      <c r="C685" s="23" t="str">
        <f t="shared" si="265"/>
        <v>LS</v>
      </c>
      <c r="D685" s="23" t="str">
        <f t="shared" si="266"/>
        <v>KUUM_474</v>
      </c>
      <c r="E685" s="170">
        <f t="shared" si="267"/>
        <v>5180</v>
      </c>
      <c r="F685" s="185"/>
      <c r="G685" s="170">
        <f t="shared" si="268"/>
        <v>0</v>
      </c>
      <c r="H685" s="170">
        <v>0</v>
      </c>
      <c r="I685" s="11">
        <f t="shared" si="269"/>
        <v>17.41</v>
      </c>
      <c r="J685" s="11">
        <f t="shared" si="270"/>
        <v>2.33</v>
      </c>
      <c r="K685" s="416">
        <f t="shared" si="285"/>
        <v>90183.8</v>
      </c>
      <c r="L685" s="180"/>
      <c r="M685" s="180"/>
      <c r="N685" s="186">
        <f t="shared" si="263"/>
        <v>90183.8</v>
      </c>
      <c r="O685" s="29">
        <f t="shared" si="271"/>
        <v>0</v>
      </c>
      <c r="P685" s="181">
        <f t="shared" si="286"/>
        <v>0</v>
      </c>
      <c r="Q685" s="182">
        <f t="shared" si="272"/>
        <v>0</v>
      </c>
      <c r="R685" s="182">
        <f t="shared" si="273"/>
        <v>0</v>
      </c>
      <c r="S685" s="182">
        <f t="shared" si="274"/>
        <v>0</v>
      </c>
      <c r="T685" s="182">
        <f t="shared" si="275"/>
        <v>0</v>
      </c>
      <c r="U685" s="182">
        <f t="shared" si="276"/>
        <v>0</v>
      </c>
      <c r="V685" s="14">
        <f t="shared" si="277"/>
        <v>90183.8</v>
      </c>
      <c r="W685" s="14">
        <f t="shared" si="278"/>
        <v>-90183.8</v>
      </c>
      <c r="Y685" s="14">
        <f t="shared" si="281"/>
        <v>12069.4</v>
      </c>
      <c r="Z685" s="14">
        <f t="shared" si="282"/>
        <v>-12069.4</v>
      </c>
      <c r="AA685" s="11">
        <f t="shared" si="284"/>
        <v>0.57999999999999996</v>
      </c>
      <c r="AB685" s="9">
        <f t="shared" si="287"/>
        <v>3004.3999999999996</v>
      </c>
      <c r="AD685" s="13">
        <f>IF(AH685&gt;AH684,AD684,IF(AD684&lt;MiscData!$F$1,EOMONTH(AD684,1),EOMONTH(AD684,-11)))</f>
        <v>42247</v>
      </c>
      <c r="AE685" s="7" t="str">
        <f t="shared" si="279"/>
        <v>20140101KUUM_474</v>
      </c>
      <c r="AF685" s="12" t="str">
        <f t="shared" si="280"/>
        <v>20140101LS</v>
      </c>
      <c r="AG685" s="31"/>
      <c r="AH685">
        <f>IF(AH684=MiscData!$AB$91,1,AH684+1)</f>
        <v>68</v>
      </c>
      <c r="AI685">
        <f>IF(AD685&lt;=MiscData!$B$23,MiscData!$C$23,IF(AD685&lt;=MiscData!$B$24,MiscData!$C$24,MiscData!$C$25))</f>
        <v>20140101</v>
      </c>
      <c r="AK685" s="190" t="str">
        <f>VLOOKUP(AM685,MiscData!$AB$4:$ACB$113,2,FALSE)</f>
        <v>KUUM_474</v>
      </c>
      <c r="AL685" s="190" t="str">
        <f>VLOOKUP(AM685,MiscData!$AB$4:$AE$115,4,FALSE)</f>
        <v>LS</v>
      </c>
      <c r="AM685">
        <f>IF(AM684=MiscData!$AB$91,1,AM684+1)</f>
        <v>68</v>
      </c>
    </row>
    <row r="686" spans="1:39">
      <c r="A686" s="7">
        <f t="shared" si="283"/>
        <v>685</v>
      </c>
      <c r="B686" s="13" t="str">
        <f t="shared" si="264"/>
        <v>Aug 2015</v>
      </c>
      <c r="C686" s="23" t="str">
        <f t="shared" si="265"/>
        <v>LS</v>
      </c>
      <c r="D686" s="23" t="str">
        <f t="shared" si="266"/>
        <v>KUUM_475</v>
      </c>
      <c r="E686" s="170">
        <f t="shared" si="267"/>
        <v>505</v>
      </c>
      <c r="F686" s="185"/>
      <c r="G686" s="170">
        <f t="shared" si="268"/>
        <v>0</v>
      </c>
      <c r="H686" s="170">
        <v>0</v>
      </c>
      <c r="I686" s="11">
        <f t="shared" si="269"/>
        <v>24.46</v>
      </c>
      <c r="J686" s="11">
        <f t="shared" si="270"/>
        <v>4.5300000000000011</v>
      </c>
      <c r="K686" s="416">
        <f t="shared" si="285"/>
        <v>12352.3</v>
      </c>
      <c r="L686" s="180"/>
      <c r="M686" s="180"/>
      <c r="N686" s="186">
        <f t="shared" si="263"/>
        <v>12352.3</v>
      </c>
      <c r="O686" s="29">
        <f t="shared" si="271"/>
        <v>0</v>
      </c>
      <c r="P686" s="181">
        <f t="shared" si="286"/>
        <v>0</v>
      </c>
      <c r="Q686" s="182">
        <f t="shared" si="272"/>
        <v>0</v>
      </c>
      <c r="R686" s="182">
        <f t="shared" si="273"/>
        <v>0</v>
      </c>
      <c r="S686" s="182">
        <f t="shared" si="274"/>
        <v>0</v>
      </c>
      <c r="T686" s="182">
        <f t="shared" si="275"/>
        <v>0</v>
      </c>
      <c r="U686" s="182">
        <f t="shared" si="276"/>
        <v>0</v>
      </c>
      <c r="V686" s="14">
        <f t="shared" si="277"/>
        <v>12352.3</v>
      </c>
      <c r="W686" s="14">
        <f t="shared" si="278"/>
        <v>-12352.3</v>
      </c>
      <c r="Y686" s="14">
        <f t="shared" si="281"/>
        <v>2287.65</v>
      </c>
      <c r="Z686" s="14">
        <f t="shared" si="282"/>
        <v>-2287.65</v>
      </c>
      <c r="AA686" s="11">
        <f t="shared" si="284"/>
        <v>0.79</v>
      </c>
      <c r="AB686" s="9">
        <f t="shared" si="287"/>
        <v>398.95000000000005</v>
      </c>
      <c r="AD686" s="13">
        <f>IF(AH686&gt;AH685,AD685,IF(AD685&lt;MiscData!$F$1,EOMONTH(AD685,1),EOMONTH(AD685,-11)))</f>
        <v>42247</v>
      </c>
      <c r="AE686" s="7" t="str">
        <f t="shared" si="279"/>
        <v>20140101KUUM_475</v>
      </c>
      <c r="AF686" s="12" t="str">
        <f t="shared" si="280"/>
        <v>20140101LS</v>
      </c>
      <c r="AG686" s="31"/>
      <c r="AH686">
        <f>IF(AH685=MiscData!$AB$91,1,AH685+1)</f>
        <v>69</v>
      </c>
      <c r="AI686">
        <f>IF(AD686&lt;=MiscData!$B$23,MiscData!$C$23,IF(AD686&lt;=MiscData!$B$24,MiscData!$C$24,MiscData!$C$25))</f>
        <v>20140101</v>
      </c>
      <c r="AK686" s="190" t="str">
        <f>VLOOKUP(AM686,MiscData!$AB$4:$ACB$113,2,FALSE)</f>
        <v>KUUM_475</v>
      </c>
      <c r="AL686" s="190" t="str">
        <f>VLOOKUP(AM686,MiscData!$AB$4:$AE$115,4,FALSE)</f>
        <v>LS</v>
      </c>
      <c r="AM686">
        <f>IF(AM685=MiscData!$AB$91,1,AM685+1)</f>
        <v>69</v>
      </c>
    </row>
    <row r="687" spans="1:39">
      <c r="A687" s="7">
        <f t="shared" si="283"/>
        <v>686</v>
      </c>
      <c r="B687" s="13" t="str">
        <f t="shared" si="264"/>
        <v>Aug 2015</v>
      </c>
      <c r="C687" s="23" t="str">
        <f t="shared" si="265"/>
        <v>LS</v>
      </c>
      <c r="D687" s="23" t="str">
        <f t="shared" si="266"/>
        <v>KUUM_476</v>
      </c>
      <c r="E687" s="170">
        <f t="shared" si="267"/>
        <v>4527</v>
      </c>
      <c r="F687" s="185"/>
      <c r="G687" s="170">
        <f t="shared" si="268"/>
        <v>0</v>
      </c>
      <c r="H687" s="170">
        <v>0</v>
      </c>
      <c r="I687" s="11">
        <f t="shared" si="269"/>
        <v>16.79</v>
      </c>
      <c r="J687" s="11">
        <f t="shared" si="270"/>
        <v>0.79999999999999893</v>
      </c>
      <c r="K687" s="416">
        <f t="shared" si="285"/>
        <v>76008.33</v>
      </c>
      <c r="L687" s="180"/>
      <c r="M687" s="180"/>
      <c r="N687" s="186">
        <f t="shared" si="263"/>
        <v>76008.33</v>
      </c>
      <c r="O687" s="29">
        <f t="shared" si="271"/>
        <v>0</v>
      </c>
      <c r="P687" s="181">
        <f t="shared" si="286"/>
        <v>0</v>
      </c>
      <c r="Q687" s="182">
        <f t="shared" si="272"/>
        <v>0</v>
      </c>
      <c r="R687" s="182">
        <f t="shared" si="273"/>
        <v>0</v>
      </c>
      <c r="S687" s="182">
        <f t="shared" si="274"/>
        <v>0</v>
      </c>
      <c r="T687" s="182">
        <f t="shared" si="275"/>
        <v>0</v>
      </c>
      <c r="U687" s="182">
        <f t="shared" si="276"/>
        <v>0</v>
      </c>
      <c r="V687" s="14">
        <f t="shared" si="277"/>
        <v>76008.33</v>
      </c>
      <c r="W687" s="14">
        <f t="shared" si="278"/>
        <v>-76008.33</v>
      </c>
      <c r="Y687" s="14">
        <f t="shared" si="281"/>
        <v>3621.6</v>
      </c>
      <c r="Z687" s="14">
        <f t="shared" si="282"/>
        <v>-3621.6</v>
      </c>
      <c r="AA687" s="11">
        <f t="shared" si="284"/>
        <v>0.43</v>
      </c>
      <c r="AB687" s="9">
        <f t="shared" si="287"/>
        <v>1946.61</v>
      </c>
      <c r="AD687" s="13">
        <f>IF(AH687&gt;AH686,AD686,IF(AD686&lt;MiscData!$F$1,EOMONTH(AD686,1),EOMONTH(AD686,-11)))</f>
        <v>42247</v>
      </c>
      <c r="AE687" s="7" t="str">
        <f t="shared" si="279"/>
        <v>20140101KUUM_476</v>
      </c>
      <c r="AF687" s="12" t="str">
        <f t="shared" si="280"/>
        <v>20140101LS</v>
      </c>
      <c r="AG687" s="31"/>
      <c r="AH687">
        <f>IF(AH686=MiscData!$AB$91,1,AH686+1)</f>
        <v>70</v>
      </c>
      <c r="AI687">
        <f>IF(AD687&lt;=MiscData!$B$23,MiscData!$C$23,IF(AD687&lt;=MiscData!$B$24,MiscData!$C$24,MiscData!$C$25))</f>
        <v>20140101</v>
      </c>
      <c r="AK687" s="190" t="str">
        <f>VLOOKUP(AM687,MiscData!$AB$4:$ACB$113,2,FALSE)</f>
        <v>KUUM_476</v>
      </c>
      <c r="AL687" s="190" t="str">
        <f>VLOOKUP(AM687,MiscData!$AB$4:$AE$115,4,FALSE)</f>
        <v>LS</v>
      </c>
      <c r="AM687">
        <f>IF(AM686=MiscData!$AB$91,1,AM686+1)</f>
        <v>70</v>
      </c>
    </row>
    <row r="688" spans="1:39">
      <c r="A688" s="7">
        <f t="shared" si="283"/>
        <v>687</v>
      </c>
      <c r="B688" s="13" t="str">
        <f t="shared" si="264"/>
        <v>Aug 2015</v>
      </c>
      <c r="C688" s="23" t="str">
        <f t="shared" si="265"/>
        <v>LS</v>
      </c>
      <c r="D688" s="23" t="str">
        <f t="shared" si="266"/>
        <v>KUUM_477</v>
      </c>
      <c r="E688" s="170">
        <f t="shared" si="267"/>
        <v>1044</v>
      </c>
      <c r="F688" s="185"/>
      <c r="G688" s="170">
        <f t="shared" si="268"/>
        <v>0</v>
      </c>
      <c r="H688" s="170">
        <v>0</v>
      </c>
      <c r="I688" s="11">
        <f t="shared" si="269"/>
        <v>20.97</v>
      </c>
      <c r="J688" s="11">
        <f t="shared" si="270"/>
        <v>1.129999999999999</v>
      </c>
      <c r="K688" s="416">
        <f t="shared" si="285"/>
        <v>21892.68</v>
      </c>
      <c r="L688" s="180"/>
      <c r="M688" s="180"/>
      <c r="N688" s="186">
        <f t="shared" si="263"/>
        <v>21892.68</v>
      </c>
      <c r="O688" s="29">
        <f t="shared" si="271"/>
        <v>0</v>
      </c>
      <c r="P688" s="181">
        <f t="shared" si="286"/>
        <v>0</v>
      </c>
      <c r="Q688" s="182">
        <f t="shared" si="272"/>
        <v>0</v>
      </c>
      <c r="R688" s="182">
        <f t="shared" si="273"/>
        <v>0</v>
      </c>
      <c r="S688" s="182">
        <f t="shared" si="274"/>
        <v>0</v>
      </c>
      <c r="T688" s="182">
        <f t="shared" si="275"/>
        <v>0</v>
      </c>
      <c r="U688" s="182">
        <f t="shared" si="276"/>
        <v>0</v>
      </c>
      <c r="V688" s="14">
        <f t="shared" si="277"/>
        <v>21892.68</v>
      </c>
      <c r="W688" s="14">
        <f t="shared" si="278"/>
        <v>-21892.68</v>
      </c>
      <c r="Y688" s="14">
        <f t="shared" si="281"/>
        <v>1179.72</v>
      </c>
      <c r="Z688" s="14">
        <f t="shared" si="282"/>
        <v>-1179.72</v>
      </c>
      <c r="AA688" s="11">
        <f t="shared" si="284"/>
        <v>0.34</v>
      </c>
      <c r="AB688" s="9">
        <f t="shared" si="287"/>
        <v>354.96000000000004</v>
      </c>
      <c r="AD688" s="13">
        <f>IF(AH688&gt;AH687,AD687,IF(AD687&lt;MiscData!$F$1,EOMONTH(AD687,1),EOMONTH(AD687,-11)))</f>
        <v>42247</v>
      </c>
      <c r="AE688" s="7" t="str">
        <f t="shared" si="279"/>
        <v>20140101KUUM_477</v>
      </c>
      <c r="AF688" s="12" t="str">
        <f t="shared" si="280"/>
        <v>20140101LS</v>
      </c>
      <c r="AG688" s="31"/>
      <c r="AH688">
        <f>IF(AH687=MiscData!$AB$91,1,AH687+1)</f>
        <v>71</v>
      </c>
      <c r="AI688">
        <f>IF(AD688&lt;=MiscData!$B$23,MiscData!$C$23,IF(AD688&lt;=MiscData!$B$24,MiscData!$C$24,MiscData!$C$25))</f>
        <v>20140101</v>
      </c>
      <c r="AK688" s="190" t="str">
        <f>VLOOKUP(AM688,MiscData!$AB$4:$ACB$113,2,FALSE)</f>
        <v>KUUM_477</v>
      </c>
      <c r="AL688" s="190" t="str">
        <f>VLOOKUP(AM688,MiscData!$AB$4:$AE$115,4,FALSE)</f>
        <v>LS</v>
      </c>
      <c r="AM688">
        <f>IF(AM687=MiscData!$AB$91,1,AM687+1)</f>
        <v>71</v>
      </c>
    </row>
    <row r="689" spans="1:39">
      <c r="A689" s="7">
        <f t="shared" si="283"/>
        <v>688</v>
      </c>
      <c r="B689" s="13" t="str">
        <f t="shared" si="264"/>
        <v>Aug 2015</v>
      </c>
      <c r="C689" s="23" t="str">
        <f t="shared" si="265"/>
        <v>LS</v>
      </c>
      <c r="D689" s="23" t="str">
        <f t="shared" si="266"/>
        <v>KUUM_478</v>
      </c>
      <c r="E689" s="170">
        <f t="shared" si="267"/>
        <v>1398</v>
      </c>
      <c r="F689" s="185"/>
      <c r="G689" s="170">
        <f t="shared" si="268"/>
        <v>0</v>
      </c>
      <c r="H689" s="170">
        <v>0</v>
      </c>
      <c r="I689" s="11">
        <f t="shared" si="269"/>
        <v>26.86</v>
      </c>
      <c r="J689" s="11">
        <f t="shared" si="270"/>
        <v>2.3299999999999983</v>
      </c>
      <c r="K689" s="416">
        <f t="shared" si="285"/>
        <v>37550.28</v>
      </c>
      <c r="L689" s="180"/>
      <c r="M689" s="180"/>
      <c r="N689" s="186">
        <f t="shared" si="263"/>
        <v>37550.28</v>
      </c>
      <c r="O689" s="29">
        <f t="shared" si="271"/>
        <v>0</v>
      </c>
      <c r="P689" s="181">
        <f t="shared" si="286"/>
        <v>0</v>
      </c>
      <c r="Q689" s="182">
        <f t="shared" si="272"/>
        <v>0</v>
      </c>
      <c r="R689" s="182">
        <f t="shared" si="273"/>
        <v>0</v>
      </c>
      <c r="S689" s="182">
        <f t="shared" si="274"/>
        <v>0</v>
      </c>
      <c r="T689" s="182">
        <f t="shared" si="275"/>
        <v>0</v>
      </c>
      <c r="U689" s="182">
        <f t="shared" si="276"/>
        <v>0</v>
      </c>
      <c r="V689" s="14">
        <f t="shared" si="277"/>
        <v>37550.28</v>
      </c>
      <c r="W689" s="14">
        <f t="shared" si="278"/>
        <v>-37550.28</v>
      </c>
      <c r="Y689" s="14">
        <f t="shared" si="281"/>
        <v>3257.34</v>
      </c>
      <c r="Z689" s="14">
        <f t="shared" si="282"/>
        <v>-3257.34</v>
      </c>
      <c r="AA689" s="11">
        <f t="shared" si="284"/>
        <v>0.57999999999999996</v>
      </c>
      <c r="AB689" s="9">
        <f t="shared" si="287"/>
        <v>810.83999999999992</v>
      </c>
      <c r="AD689" s="13">
        <f>IF(AH689&gt;AH688,AD688,IF(AD688&lt;MiscData!$F$1,EOMONTH(AD688,1),EOMONTH(AD688,-11)))</f>
        <v>42247</v>
      </c>
      <c r="AE689" s="7" t="str">
        <f t="shared" si="279"/>
        <v>20140101KUUM_478</v>
      </c>
      <c r="AF689" s="12" t="str">
        <f t="shared" si="280"/>
        <v>20140101LS</v>
      </c>
      <c r="AG689" s="31"/>
      <c r="AH689">
        <f>IF(AH688=MiscData!$AB$91,1,AH688+1)</f>
        <v>72</v>
      </c>
      <c r="AI689">
        <f>IF(AD689&lt;=MiscData!$B$23,MiscData!$C$23,IF(AD689&lt;=MiscData!$B$24,MiscData!$C$24,MiscData!$C$25))</f>
        <v>20140101</v>
      </c>
      <c r="AK689" s="190" t="str">
        <f>VLOOKUP(AM689,MiscData!$AB$4:$ACB$113,2,FALSE)</f>
        <v>KUUM_478</v>
      </c>
      <c r="AL689" s="190" t="str">
        <f>VLOOKUP(AM689,MiscData!$AB$4:$AE$115,4,FALSE)</f>
        <v>LS</v>
      </c>
      <c r="AM689">
        <f>IF(AM688=MiscData!$AB$91,1,AM688+1)</f>
        <v>72</v>
      </c>
    </row>
    <row r="690" spans="1:39">
      <c r="A690" s="7">
        <f t="shared" si="283"/>
        <v>689</v>
      </c>
      <c r="B690" s="13" t="str">
        <f t="shared" si="264"/>
        <v>Aug 2015</v>
      </c>
      <c r="C690" s="23" t="str">
        <f t="shared" si="265"/>
        <v>LS</v>
      </c>
      <c r="D690" s="23" t="str">
        <f t="shared" si="266"/>
        <v>KUUM_479</v>
      </c>
      <c r="E690" s="170">
        <f t="shared" si="267"/>
        <v>941</v>
      </c>
      <c r="F690" s="185"/>
      <c r="G690" s="170">
        <f t="shared" si="268"/>
        <v>0</v>
      </c>
      <c r="H690" s="170">
        <v>0</v>
      </c>
      <c r="I690" s="11">
        <f t="shared" si="269"/>
        <v>33.119999999999997</v>
      </c>
      <c r="J690" s="11">
        <f t="shared" si="270"/>
        <v>4.529999999999994</v>
      </c>
      <c r="K690" s="416">
        <f t="shared" si="285"/>
        <v>31165.919999999998</v>
      </c>
      <c r="L690" s="180"/>
      <c r="M690" s="180"/>
      <c r="N690" s="186">
        <f t="shared" si="263"/>
        <v>31165.919999999998</v>
      </c>
      <c r="O690" s="29">
        <f t="shared" si="271"/>
        <v>0</v>
      </c>
      <c r="P690" s="181">
        <f t="shared" si="286"/>
        <v>0</v>
      </c>
      <c r="Q690" s="182">
        <f t="shared" si="272"/>
        <v>0</v>
      </c>
      <c r="R690" s="182">
        <f t="shared" si="273"/>
        <v>0</v>
      </c>
      <c r="S690" s="182">
        <f t="shared" si="274"/>
        <v>0</v>
      </c>
      <c r="T690" s="182">
        <f t="shared" si="275"/>
        <v>0</v>
      </c>
      <c r="U690" s="182">
        <f t="shared" si="276"/>
        <v>0</v>
      </c>
      <c r="V690" s="14">
        <f t="shared" si="277"/>
        <v>31165.919999999998</v>
      </c>
      <c r="W690" s="14">
        <f t="shared" si="278"/>
        <v>-31165.919999999998</v>
      </c>
      <c r="Y690" s="14">
        <f t="shared" si="281"/>
        <v>4262.7299999999996</v>
      </c>
      <c r="Z690" s="14">
        <f t="shared" si="282"/>
        <v>-4262.7299999999996</v>
      </c>
      <c r="AA690" s="11">
        <f t="shared" si="284"/>
        <v>0.79</v>
      </c>
      <c r="AB690" s="9">
        <f t="shared" si="287"/>
        <v>743.39</v>
      </c>
      <c r="AD690" s="13">
        <f>IF(AH690&gt;AH689,AD689,IF(AD689&lt;MiscData!$F$1,EOMONTH(AD689,1),EOMONTH(AD689,-11)))</f>
        <v>42247</v>
      </c>
      <c r="AE690" s="7" t="str">
        <f t="shared" si="279"/>
        <v>20140101KUUM_479</v>
      </c>
      <c r="AF690" s="12" t="str">
        <f t="shared" si="280"/>
        <v>20140101LS</v>
      </c>
      <c r="AG690" s="31"/>
      <c r="AH690">
        <f>IF(AH689=MiscData!$AB$91,1,AH689+1)</f>
        <v>73</v>
      </c>
      <c r="AI690">
        <f>IF(AD690&lt;=MiscData!$B$23,MiscData!$C$23,IF(AD690&lt;=MiscData!$B$24,MiscData!$C$24,MiscData!$C$25))</f>
        <v>20140101</v>
      </c>
      <c r="AK690" s="190" t="str">
        <f>VLOOKUP(AM690,MiscData!$AB$4:$ACB$113,2,FALSE)</f>
        <v>KUUM_479</v>
      </c>
      <c r="AL690" s="190" t="str">
        <f>VLOOKUP(AM690,MiscData!$AB$4:$AE$115,4,FALSE)</f>
        <v>LS</v>
      </c>
      <c r="AM690">
        <f>IF(AM689=MiscData!$AB$91,1,AM689+1)</f>
        <v>73</v>
      </c>
    </row>
    <row r="691" spans="1:39">
      <c r="A691" s="7">
        <f t="shared" si="283"/>
        <v>690</v>
      </c>
      <c r="B691" s="13" t="str">
        <f t="shared" si="264"/>
        <v>Aug 2015</v>
      </c>
      <c r="C691" s="23" t="str">
        <f t="shared" si="265"/>
        <v>LS</v>
      </c>
      <c r="D691" s="23" t="str">
        <f t="shared" si="266"/>
        <v>KUUM_486</v>
      </c>
      <c r="E691" s="170">
        <f t="shared" si="267"/>
        <v>0</v>
      </c>
      <c r="F691" s="185"/>
      <c r="G691" s="170">
        <f t="shared" si="268"/>
        <v>0</v>
      </c>
      <c r="H691" s="170">
        <v>0</v>
      </c>
      <c r="I691" s="11">
        <f t="shared" si="269"/>
        <v>0</v>
      </c>
      <c r="J691" s="11">
        <f t="shared" si="270"/>
        <v>0</v>
      </c>
      <c r="K691" s="416">
        <f t="shared" si="285"/>
        <v>0</v>
      </c>
      <c r="L691" s="180"/>
      <c r="M691" s="180"/>
      <c r="N691" s="186">
        <f t="shared" si="263"/>
        <v>0</v>
      </c>
      <c r="O691" s="29">
        <f t="shared" si="271"/>
        <v>0</v>
      </c>
      <c r="P691" s="181">
        <f t="shared" si="286"/>
        <v>1</v>
      </c>
      <c r="Q691" s="182">
        <f t="shared" si="272"/>
        <v>0</v>
      </c>
      <c r="R691" s="182">
        <f t="shared" si="273"/>
        <v>0</v>
      </c>
      <c r="S691" s="182">
        <f t="shared" si="274"/>
        <v>0</v>
      </c>
      <c r="T691" s="182">
        <f t="shared" si="275"/>
        <v>0</v>
      </c>
      <c r="U691" s="182">
        <f t="shared" si="276"/>
        <v>0</v>
      </c>
      <c r="V691" s="14">
        <f t="shared" si="277"/>
        <v>0</v>
      </c>
      <c r="W691" s="14">
        <f t="shared" si="278"/>
        <v>0</v>
      </c>
      <c r="Y691" s="14">
        <f t="shared" si="281"/>
        <v>0</v>
      </c>
      <c r="Z691" s="14">
        <f t="shared" si="282"/>
        <v>0</v>
      </c>
      <c r="AA691" s="11">
        <f t="shared" si="284"/>
        <v>0</v>
      </c>
      <c r="AB691" s="9">
        <f t="shared" si="287"/>
        <v>0</v>
      </c>
      <c r="AD691" s="13">
        <f>IF(AH691&gt;AH690,AD690,IF(AD690&lt;MiscData!$F$1,EOMONTH(AD690,1),EOMONTH(AD690,-11)))</f>
        <v>42247</v>
      </c>
      <c r="AE691" s="7" t="str">
        <f t="shared" si="279"/>
        <v>20140101KUUM_486</v>
      </c>
      <c r="AF691" s="12" t="str">
        <f t="shared" si="280"/>
        <v>20140101LS</v>
      </c>
      <c r="AG691" s="31"/>
      <c r="AH691">
        <f>IF(AH690=MiscData!$AB$91,1,AH690+1)</f>
        <v>74</v>
      </c>
      <c r="AI691">
        <f>IF(AD691&lt;=MiscData!$B$23,MiscData!$C$23,IF(AD691&lt;=MiscData!$B$24,MiscData!$C$24,MiscData!$C$25))</f>
        <v>20140101</v>
      </c>
      <c r="AK691" s="190" t="str">
        <f>VLOOKUP(AM691,MiscData!$AB$4:$ACB$113,2,FALSE)</f>
        <v>KUUM_486</v>
      </c>
      <c r="AL691" s="190" t="str">
        <f>VLOOKUP(AM691,MiscData!$AB$4:$AE$115,4,FALSE)</f>
        <v>LS</v>
      </c>
      <c r="AM691">
        <f>IF(AM690=MiscData!$AB$91,1,AM690+1)</f>
        <v>74</v>
      </c>
    </row>
    <row r="692" spans="1:39">
      <c r="A692" s="7">
        <f t="shared" si="283"/>
        <v>691</v>
      </c>
      <c r="B692" s="13" t="str">
        <f t="shared" si="264"/>
        <v>Aug 2015</v>
      </c>
      <c r="C692" s="23" t="str">
        <f t="shared" si="265"/>
        <v>LS</v>
      </c>
      <c r="D692" s="23" t="str">
        <f t="shared" si="266"/>
        <v>KUUM_487</v>
      </c>
      <c r="E692" s="170">
        <f t="shared" si="267"/>
        <v>11076</v>
      </c>
      <c r="F692" s="185"/>
      <c r="G692" s="170">
        <f t="shared" si="268"/>
        <v>0</v>
      </c>
      <c r="H692" s="170">
        <v>0</v>
      </c>
      <c r="I692" s="11">
        <f t="shared" si="269"/>
        <v>9</v>
      </c>
      <c r="J692" s="11">
        <f t="shared" si="270"/>
        <v>1.1299999999999999</v>
      </c>
      <c r="K692" s="416">
        <f t="shared" si="285"/>
        <v>99684</v>
      </c>
      <c r="L692" s="180"/>
      <c r="M692" s="180"/>
      <c r="N692" s="186">
        <f t="shared" si="263"/>
        <v>99684</v>
      </c>
      <c r="O692" s="29">
        <f t="shared" si="271"/>
        <v>0</v>
      </c>
      <c r="P692" s="181">
        <f t="shared" si="286"/>
        <v>0</v>
      </c>
      <c r="Q692" s="182">
        <f t="shared" si="272"/>
        <v>0</v>
      </c>
      <c r="R692" s="182">
        <f t="shared" si="273"/>
        <v>0</v>
      </c>
      <c r="S692" s="182">
        <f t="shared" si="274"/>
        <v>0</v>
      </c>
      <c r="T692" s="182">
        <f t="shared" si="275"/>
        <v>0</v>
      </c>
      <c r="U692" s="182">
        <f t="shared" si="276"/>
        <v>0</v>
      </c>
      <c r="V692" s="14">
        <f t="shared" si="277"/>
        <v>99684</v>
      </c>
      <c r="W692" s="14">
        <f t="shared" si="278"/>
        <v>-99684</v>
      </c>
      <c r="Y692" s="14">
        <f t="shared" si="281"/>
        <v>12515.88</v>
      </c>
      <c r="Z692" s="14">
        <f t="shared" si="282"/>
        <v>-12515.88</v>
      </c>
      <c r="AA692" s="11">
        <f t="shared" si="284"/>
        <v>0.34</v>
      </c>
      <c r="AB692" s="9">
        <f t="shared" si="287"/>
        <v>3765.84</v>
      </c>
      <c r="AD692" s="13">
        <f>IF(AH692&gt;AH691,AD691,IF(AD691&lt;MiscData!$F$1,EOMONTH(AD691,1),EOMONTH(AD691,-11)))</f>
        <v>42247</v>
      </c>
      <c r="AE692" s="7" t="str">
        <f t="shared" si="279"/>
        <v>20140101KUUM_487</v>
      </c>
      <c r="AF692" s="12" t="str">
        <f t="shared" si="280"/>
        <v>20140101LS</v>
      </c>
      <c r="AG692" s="31"/>
      <c r="AH692">
        <f>IF(AH691=MiscData!$AB$91,1,AH691+1)</f>
        <v>75</v>
      </c>
      <c r="AI692">
        <f>IF(AD692&lt;=MiscData!$B$23,MiscData!$C$23,IF(AD692&lt;=MiscData!$B$24,MiscData!$C$24,MiscData!$C$25))</f>
        <v>20140101</v>
      </c>
      <c r="AK692" s="190" t="str">
        <f>VLOOKUP(AM692,MiscData!$AB$4:$ACB$113,2,FALSE)</f>
        <v>KUUM_487</v>
      </c>
      <c r="AL692" s="190" t="str">
        <f>VLOOKUP(AM692,MiscData!$AB$4:$AE$115,4,FALSE)</f>
        <v>LS</v>
      </c>
      <c r="AM692">
        <f>IF(AM691=MiscData!$AB$91,1,AM691+1)</f>
        <v>75</v>
      </c>
    </row>
    <row r="693" spans="1:39">
      <c r="A693" s="7">
        <f t="shared" si="283"/>
        <v>692</v>
      </c>
      <c r="B693" s="13" t="str">
        <f t="shared" si="264"/>
        <v>Aug 2015</v>
      </c>
      <c r="C693" s="23" t="str">
        <f t="shared" si="265"/>
        <v>LS</v>
      </c>
      <c r="D693" s="23" t="str">
        <f t="shared" si="266"/>
        <v>KUUM_488</v>
      </c>
      <c r="E693" s="170">
        <f t="shared" si="267"/>
        <v>6615</v>
      </c>
      <c r="F693" s="185"/>
      <c r="G693" s="170">
        <f t="shared" si="268"/>
        <v>0</v>
      </c>
      <c r="H693" s="170"/>
      <c r="I693" s="11">
        <f t="shared" si="269"/>
        <v>13.639999999999999</v>
      </c>
      <c r="J693" s="11">
        <f t="shared" si="270"/>
        <v>2.33</v>
      </c>
      <c r="K693" s="416">
        <f t="shared" si="285"/>
        <v>90228.6</v>
      </c>
      <c r="L693" s="180"/>
      <c r="M693" s="180"/>
      <c r="N693" s="186">
        <f t="shared" si="263"/>
        <v>90228.6</v>
      </c>
      <c r="O693" s="29">
        <f t="shared" si="271"/>
        <v>0</v>
      </c>
      <c r="P693" s="181">
        <f t="shared" si="286"/>
        <v>0</v>
      </c>
      <c r="Q693" s="182">
        <f t="shared" si="272"/>
        <v>0</v>
      </c>
      <c r="R693" s="182">
        <f t="shared" si="273"/>
        <v>0</v>
      </c>
      <c r="S693" s="182">
        <f t="shared" si="274"/>
        <v>0</v>
      </c>
      <c r="T693" s="182">
        <f t="shared" si="275"/>
        <v>0</v>
      </c>
      <c r="U693" s="182">
        <f t="shared" si="276"/>
        <v>0</v>
      </c>
      <c r="V693" s="14">
        <f t="shared" si="277"/>
        <v>90228.6</v>
      </c>
      <c r="W693" s="14">
        <f t="shared" si="278"/>
        <v>-90228.6</v>
      </c>
      <c r="Y693" s="14">
        <f t="shared" si="281"/>
        <v>15412.95</v>
      </c>
      <c r="Z693" s="14">
        <f t="shared" si="282"/>
        <v>-15412.95</v>
      </c>
      <c r="AA693" s="11">
        <f t="shared" si="284"/>
        <v>0.57999999999999996</v>
      </c>
      <c r="AB693" s="9">
        <f t="shared" si="287"/>
        <v>3836.7</v>
      </c>
      <c r="AD693" s="13">
        <f>IF(AH693&gt;AH692,AD692,IF(AD692&lt;MiscData!$F$1,EOMONTH(AD692,1),EOMONTH(AD692,-11)))</f>
        <v>42247</v>
      </c>
      <c r="AE693" s="7" t="str">
        <f t="shared" si="279"/>
        <v>20140101KUUM_488</v>
      </c>
      <c r="AF693" s="12" t="str">
        <f t="shared" si="280"/>
        <v>20140101LS</v>
      </c>
      <c r="AG693" s="31"/>
      <c r="AH693">
        <f>IF(AH692=MiscData!$AB$91,1,AH692+1)</f>
        <v>76</v>
      </c>
      <c r="AI693">
        <f>IF(AD693&lt;=MiscData!$B$23,MiscData!$C$23,IF(AD693&lt;=MiscData!$B$24,MiscData!$C$24,MiscData!$C$25))</f>
        <v>20140101</v>
      </c>
      <c r="AK693" s="190" t="str">
        <f>VLOOKUP(AM693,MiscData!$AB$4:$ACB$113,2,FALSE)</f>
        <v>KUUM_488</v>
      </c>
      <c r="AL693" s="190" t="str">
        <f>VLOOKUP(AM693,MiscData!$AB$4:$AE$115,4,FALSE)</f>
        <v>LS</v>
      </c>
      <c r="AM693">
        <f>IF(AM692=MiscData!$AB$91,1,AM692+1)</f>
        <v>76</v>
      </c>
    </row>
    <row r="694" spans="1:39">
      <c r="A694" s="7">
        <f t="shared" si="283"/>
        <v>693</v>
      </c>
      <c r="B694" s="13" t="str">
        <f t="shared" si="264"/>
        <v>Aug 2015</v>
      </c>
      <c r="C694" s="23" t="str">
        <f t="shared" si="265"/>
        <v>LS</v>
      </c>
      <c r="D694" s="23" t="str">
        <f t="shared" si="266"/>
        <v>KUUM_489</v>
      </c>
      <c r="E694" s="170">
        <f t="shared" si="267"/>
        <v>8323</v>
      </c>
      <c r="F694" s="185"/>
      <c r="G694" s="170">
        <f t="shared" si="268"/>
        <v>0</v>
      </c>
      <c r="H694" s="170"/>
      <c r="I694" s="11">
        <f t="shared" si="269"/>
        <v>19.46</v>
      </c>
      <c r="J694" s="11">
        <f t="shared" si="270"/>
        <v>4.5300000000000011</v>
      </c>
      <c r="K694" s="416">
        <f t="shared" si="285"/>
        <v>161965.57999999999</v>
      </c>
      <c r="L694" s="180"/>
      <c r="M694" s="180"/>
      <c r="N694" s="186">
        <f t="shared" si="263"/>
        <v>161965.57999999999</v>
      </c>
      <c r="O694" s="29">
        <f t="shared" si="271"/>
        <v>0</v>
      </c>
      <c r="P694" s="181">
        <f t="shared" si="286"/>
        <v>0</v>
      </c>
      <c r="Q694" s="182">
        <f t="shared" si="272"/>
        <v>0</v>
      </c>
      <c r="R694" s="182">
        <f t="shared" si="273"/>
        <v>0</v>
      </c>
      <c r="S694" s="182">
        <f t="shared" si="274"/>
        <v>0</v>
      </c>
      <c r="T694" s="182">
        <f t="shared" si="275"/>
        <v>0</v>
      </c>
      <c r="U694" s="182">
        <f t="shared" si="276"/>
        <v>0</v>
      </c>
      <c r="V694" s="14">
        <f t="shared" si="277"/>
        <v>161965.57999999999</v>
      </c>
      <c r="W694" s="14">
        <f t="shared" si="278"/>
        <v>-161965.57999999999</v>
      </c>
      <c r="Y694" s="14">
        <f t="shared" si="281"/>
        <v>37703.19</v>
      </c>
      <c r="Z694" s="14">
        <f t="shared" si="282"/>
        <v>-37703.19</v>
      </c>
      <c r="AA694" s="11">
        <f t="shared" si="284"/>
        <v>0.79</v>
      </c>
      <c r="AB694" s="9">
        <f t="shared" si="287"/>
        <v>6575.17</v>
      </c>
      <c r="AD694" s="13">
        <f>IF(AH694&gt;AH693,AD693,IF(AD693&lt;MiscData!$F$1,EOMONTH(AD693,1),EOMONTH(AD693,-11)))</f>
        <v>42247</v>
      </c>
      <c r="AE694" s="7" t="str">
        <f t="shared" si="279"/>
        <v>20140101KUUM_489</v>
      </c>
      <c r="AF694" s="12" t="str">
        <f t="shared" si="280"/>
        <v>20140101LS</v>
      </c>
      <c r="AG694" s="31"/>
      <c r="AH694">
        <f>IF(AH693=MiscData!$AB$91,1,AH693+1)</f>
        <v>77</v>
      </c>
      <c r="AI694">
        <f>IF(AD694&lt;=MiscData!$B$23,MiscData!$C$23,IF(AD694&lt;=MiscData!$B$24,MiscData!$C$24,MiscData!$C$25))</f>
        <v>20140101</v>
      </c>
      <c r="AK694" s="190" t="str">
        <f>VLOOKUP(AM694,MiscData!$AB$4:$ACB$113,2,FALSE)</f>
        <v>KUUM_489</v>
      </c>
      <c r="AL694" s="190" t="str">
        <f>VLOOKUP(AM694,MiscData!$AB$4:$AE$115,4,FALSE)</f>
        <v>LS</v>
      </c>
      <c r="AM694">
        <f>IF(AM693=MiscData!$AB$91,1,AM693+1)</f>
        <v>77</v>
      </c>
    </row>
    <row r="695" spans="1:39">
      <c r="A695" s="7">
        <f t="shared" si="283"/>
        <v>694</v>
      </c>
      <c r="B695" s="13" t="str">
        <f t="shared" si="264"/>
        <v>Aug 2015</v>
      </c>
      <c r="C695" s="23" t="str">
        <f t="shared" si="265"/>
        <v>LS</v>
      </c>
      <c r="D695" s="23" t="str">
        <f t="shared" si="266"/>
        <v>KUUM_490</v>
      </c>
      <c r="E695" s="170">
        <f t="shared" si="267"/>
        <v>60</v>
      </c>
      <c r="F695" s="185"/>
      <c r="G695" s="170">
        <f t="shared" si="268"/>
        <v>0</v>
      </c>
      <c r="H695" s="170"/>
      <c r="I695" s="11">
        <f t="shared" si="269"/>
        <v>15.47</v>
      </c>
      <c r="J695" s="11">
        <f t="shared" si="270"/>
        <v>1.9700000000000006</v>
      </c>
      <c r="K695" s="416">
        <f t="shared" si="285"/>
        <v>928.2</v>
      </c>
      <c r="L695" s="180"/>
      <c r="M695" s="180"/>
      <c r="N695" s="186">
        <f t="shared" si="263"/>
        <v>928.2</v>
      </c>
      <c r="O695" s="29">
        <f t="shared" si="271"/>
        <v>0</v>
      </c>
      <c r="P695" s="181">
        <f t="shared" si="286"/>
        <v>0</v>
      </c>
      <c r="Q695" s="182">
        <f t="shared" si="272"/>
        <v>0</v>
      </c>
      <c r="R695" s="182">
        <f t="shared" si="273"/>
        <v>0</v>
      </c>
      <c r="S695" s="182">
        <f t="shared" si="274"/>
        <v>0</v>
      </c>
      <c r="T695" s="182">
        <f t="shared" si="275"/>
        <v>0</v>
      </c>
      <c r="U695" s="182">
        <f t="shared" si="276"/>
        <v>0</v>
      </c>
      <c r="V695" s="14">
        <f t="shared" si="277"/>
        <v>928.2</v>
      </c>
      <c r="W695" s="14">
        <f t="shared" si="278"/>
        <v>-928.2</v>
      </c>
      <c r="Y695" s="14">
        <f t="shared" si="281"/>
        <v>118.2</v>
      </c>
      <c r="Z695" s="14">
        <f t="shared" si="282"/>
        <v>-118.2</v>
      </c>
      <c r="AA695" s="11">
        <f t="shared" si="284"/>
        <v>0.66</v>
      </c>
      <c r="AB695" s="9">
        <f t="shared" si="287"/>
        <v>39.6</v>
      </c>
      <c r="AD695" s="13">
        <f>IF(AH695&gt;AH694,AD694,IF(AD694&lt;MiscData!$F$1,EOMONTH(AD694,1),EOMONTH(AD694,-11)))</f>
        <v>42247</v>
      </c>
      <c r="AE695" s="7" t="str">
        <f t="shared" si="279"/>
        <v>20140101KUUM_490</v>
      </c>
      <c r="AF695" s="12" t="str">
        <f t="shared" si="280"/>
        <v>20140101LS</v>
      </c>
      <c r="AG695" s="31"/>
      <c r="AH695">
        <f>IF(AH694=MiscData!$AB$91,1,AH694+1)</f>
        <v>78</v>
      </c>
      <c r="AI695">
        <f>IF(AD695&lt;=MiscData!$B$23,MiscData!$C$23,IF(AD695&lt;=MiscData!$B$24,MiscData!$C$24,MiscData!$C$25))</f>
        <v>20140101</v>
      </c>
      <c r="AK695" s="190" t="str">
        <f>VLOOKUP(AM695,MiscData!$AB$4:$ACB$113,2,FALSE)</f>
        <v>KUUM_490</v>
      </c>
      <c r="AL695" s="190" t="str">
        <f>VLOOKUP(AM695,MiscData!$AB$4:$AE$115,4,FALSE)</f>
        <v>LS</v>
      </c>
      <c r="AM695">
        <f>IF(AM694=MiscData!$AB$91,1,AM694+1)</f>
        <v>78</v>
      </c>
    </row>
    <row r="696" spans="1:39">
      <c r="A696" s="7">
        <f t="shared" si="283"/>
        <v>695</v>
      </c>
      <c r="B696" s="13" t="str">
        <f t="shared" si="264"/>
        <v>Aug 2015</v>
      </c>
      <c r="C696" s="23" t="str">
        <f t="shared" si="265"/>
        <v>LS</v>
      </c>
      <c r="D696" s="23" t="str">
        <f t="shared" si="266"/>
        <v>KUUM_491</v>
      </c>
      <c r="E696" s="170">
        <f t="shared" si="267"/>
        <v>301</v>
      </c>
      <c r="F696" s="185"/>
      <c r="G696" s="170">
        <f t="shared" si="268"/>
        <v>0</v>
      </c>
      <c r="H696" s="170"/>
      <c r="I696" s="11">
        <f t="shared" si="269"/>
        <v>21.930000000000003</v>
      </c>
      <c r="J696" s="11">
        <f t="shared" si="270"/>
        <v>4.2900000000000027</v>
      </c>
      <c r="K696" s="416">
        <f t="shared" si="285"/>
        <v>6600.93</v>
      </c>
      <c r="L696" s="180"/>
      <c r="M696" s="180"/>
      <c r="N696" s="186">
        <f t="shared" ref="N696:N759" si="288">SUM(K696:M696)</f>
        <v>6600.93</v>
      </c>
      <c r="O696" s="29">
        <f t="shared" si="271"/>
        <v>0</v>
      </c>
      <c r="P696" s="181">
        <f t="shared" si="286"/>
        <v>0</v>
      </c>
      <c r="Q696" s="182">
        <f t="shared" si="272"/>
        <v>0</v>
      </c>
      <c r="R696" s="182">
        <f t="shared" si="273"/>
        <v>0</v>
      </c>
      <c r="S696" s="182">
        <f t="shared" si="274"/>
        <v>0</v>
      </c>
      <c r="T696" s="182">
        <f t="shared" si="275"/>
        <v>0</v>
      </c>
      <c r="U696" s="182">
        <f t="shared" si="276"/>
        <v>0</v>
      </c>
      <c r="V696" s="14">
        <f t="shared" si="277"/>
        <v>6600.93</v>
      </c>
      <c r="W696" s="14">
        <f t="shared" si="278"/>
        <v>-6600.93</v>
      </c>
      <c r="Y696" s="14">
        <f t="shared" si="281"/>
        <v>1291.29</v>
      </c>
      <c r="Z696" s="14">
        <f t="shared" si="282"/>
        <v>-1291.29</v>
      </c>
      <c r="AA696" s="11">
        <f t="shared" si="284"/>
        <v>0.84</v>
      </c>
      <c r="AB696" s="9">
        <f t="shared" si="287"/>
        <v>252.84</v>
      </c>
      <c r="AD696" s="13">
        <f>IF(AH696&gt;AH695,AD695,IF(AD695&lt;MiscData!$F$1,EOMONTH(AD695,1),EOMONTH(AD695,-11)))</f>
        <v>42247</v>
      </c>
      <c r="AE696" s="7" t="str">
        <f t="shared" si="279"/>
        <v>20140101KUUM_491</v>
      </c>
      <c r="AF696" s="12" t="str">
        <f t="shared" si="280"/>
        <v>20140101LS</v>
      </c>
      <c r="AG696" s="31"/>
      <c r="AH696">
        <f>IF(AH695=MiscData!$AB$91,1,AH695+1)</f>
        <v>79</v>
      </c>
      <c r="AI696">
        <f>IF(AD696&lt;=MiscData!$B$23,MiscData!$C$23,IF(AD696&lt;=MiscData!$B$24,MiscData!$C$24,MiscData!$C$25))</f>
        <v>20140101</v>
      </c>
      <c r="AK696" s="190" t="str">
        <f>VLOOKUP(AM696,MiscData!$AB$4:$ACB$113,2,FALSE)</f>
        <v>KUUM_491</v>
      </c>
      <c r="AL696" s="190" t="str">
        <f>VLOOKUP(AM696,MiscData!$AB$4:$AE$115,4,FALSE)</f>
        <v>LS</v>
      </c>
      <c r="AM696">
        <f>IF(AM695=MiscData!$AB$91,1,AM695+1)</f>
        <v>79</v>
      </c>
    </row>
    <row r="697" spans="1:39" ht="12.75" thickBot="1">
      <c r="A697" s="7">
        <f t="shared" si="283"/>
        <v>696</v>
      </c>
      <c r="B697" s="13" t="str">
        <f t="shared" si="264"/>
        <v>Aug 2015</v>
      </c>
      <c r="C697" s="23" t="str">
        <f t="shared" si="265"/>
        <v>LS</v>
      </c>
      <c r="D697" s="23" t="str">
        <f t="shared" si="266"/>
        <v>KUUM_492</v>
      </c>
      <c r="E697" s="170">
        <f t="shared" si="267"/>
        <v>2</v>
      </c>
      <c r="F697" s="429"/>
      <c r="G697" s="170">
        <f t="shared" si="268"/>
        <v>0</v>
      </c>
      <c r="H697" s="425"/>
      <c r="I697" s="11">
        <f t="shared" si="269"/>
        <v>15.370000000000001</v>
      </c>
      <c r="J697" s="11">
        <f t="shared" si="270"/>
        <v>0.80000000000000071</v>
      </c>
      <c r="K697" s="416">
        <f t="shared" si="285"/>
        <v>30.74</v>
      </c>
      <c r="L697" s="430"/>
      <c r="M697" s="430"/>
      <c r="N697" s="186">
        <f t="shared" si="288"/>
        <v>30.74</v>
      </c>
      <c r="O697" s="29">
        <f t="shared" si="271"/>
        <v>0</v>
      </c>
      <c r="P697" s="181">
        <f t="shared" si="286"/>
        <v>0</v>
      </c>
      <c r="Q697" s="182">
        <f t="shared" si="272"/>
        <v>0</v>
      </c>
      <c r="R697" s="182">
        <f t="shared" si="273"/>
        <v>0</v>
      </c>
      <c r="S697" s="182">
        <f t="shared" si="274"/>
        <v>0</v>
      </c>
      <c r="T697" s="182">
        <f t="shared" si="275"/>
        <v>0</v>
      </c>
      <c r="U697" s="182">
        <f t="shared" si="276"/>
        <v>0</v>
      </c>
      <c r="V697" s="14">
        <f t="shared" si="277"/>
        <v>30.74</v>
      </c>
      <c r="W697" s="14">
        <f t="shared" si="278"/>
        <v>-30.74</v>
      </c>
      <c r="Y697" s="14">
        <f t="shared" si="281"/>
        <v>1.6</v>
      </c>
      <c r="Z697" s="14">
        <f t="shared" si="282"/>
        <v>-1.6</v>
      </c>
      <c r="AA697" s="11">
        <f t="shared" si="284"/>
        <v>0.43</v>
      </c>
      <c r="AB697" s="9">
        <f t="shared" si="287"/>
        <v>0.86</v>
      </c>
      <c r="AD697" s="13">
        <f>IF(AH697&gt;AH696,AD696,IF(AD696&lt;MiscData!$F$1,EOMONTH(AD696,1),EOMONTH(AD696,-11)))</f>
        <v>42247</v>
      </c>
      <c r="AE697" s="7" t="str">
        <f t="shared" si="279"/>
        <v>20140101KUUM_492</v>
      </c>
      <c r="AF697" s="12" t="str">
        <f t="shared" si="280"/>
        <v>20140101LS</v>
      </c>
      <c r="AG697" s="31"/>
      <c r="AH697">
        <f>IF(AH696=MiscData!$AB$91,1,AH696+1)</f>
        <v>80</v>
      </c>
      <c r="AI697">
        <f>IF(AD697&lt;=MiscData!$B$23,MiscData!$C$23,IF(AD697&lt;=MiscData!$B$24,MiscData!$C$24,MiscData!$C$25))</f>
        <v>20140101</v>
      </c>
      <c r="AK697" s="190" t="str">
        <f>VLOOKUP(AM697,MiscData!$AB$4:$ACB$113,2,FALSE)</f>
        <v>KUUM_492</v>
      </c>
      <c r="AL697" s="190" t="str">
        <f>VLOOKUP(AM697,MiscData!$AB$4:$AE$115,4,FALSE)</f>
        <v>LS</v>
      </c>
      <c r="AM697">
        <f>IF(AM696=MiscData!$AB$91,1,AM696+1)</f>
        <v>80</v>
      </c>
    </row>
    <row r="698" spans="1:39">
      <c r="A698" s="605">
        <f t="shared" si="283"/>
        <v>697</v>
      </c>
      <c r="B698" s="606" t="str">
        <f t="shared" ref="B698:B761" si="289">TEXT(AD698,"mmm yyyy")</f>
        <v>Aug 2015</v>
      </c>
      <c r="C698" s="607" t="str">
        <f t="shared" ref="C698:C761" si="290">AL698</f>
        <v>LS</v>
      </c>
      <c r="D698" s="607" t="str">
        <f t="shared" ref="D698:D761" si="291">AK698</f>
        <v>KUUM_493</v>
      </c>
      <c r="E698" s="608">
        <f t="shared" ref="E698:E761" si="292">SUMIFS(_1055_Light_Count,_1055_RevMonth,$B698,_1055_RateCategory,$D698)</f>
        <v>43</v>
      </c>
      <c r="F698" s="609"/>
      <c r="G698" s="608">
        <f t="shared" ref="G698:G761" si="293">SUMIFS(_SBR_KWH,_SBR_Revenue_Month,$B698,_SBR_Rate_Category,$D698)</f>
        <v>0</v>
      </c>
      <c r="H698" s="608">
        <v>0</v>
      </c>
      <c r="I698" s="610">
        <f t="shared" ref="I698:I761" si="294">SUMIF(_Lights_Tariff_Category,$AE698,_Lights_Rates)</f>
        <v>45.7</v>
      </c>
      <c r="J698" s="610">
        <f t="shared" ref="J698:J761" si="295">SUMIF(_Lights_Tariff_Category,$AE698,_Rates_Lights_BaseFAC)</f>
        <v>10.409999999999997</v>
      </c>
      <c r="K698" s="611">
        <f t="shared" si="285"/>
        <v>1965.1</v>
      </c>
      <c r="L698" s="612"/>
      <c r="M698" s="612"/>
      <c r="N698" s="613">
        <f t="shared" si="288"/>
        <v>1965.1</v>
      </c>
      <c r="O698" s="614">
        <f t="shared" ref="O698:O761" si="296">U698-SUM(Q698:T698)</f>
        <v>0</v>
      </c>
      <c r="P698" s="615">
        <f t="shared" si="286"/>
        <v>0</v>
      </c>
      <c r="Q698" s="613">
        <f t="shared" ref="Q698:Q761" si="297">SUMIFS(_SBR_FAC,_SBR_Revenue_Month,$B698,_SBR_Rate_Category,$D698)</f>
        <v>0</v>
      </c>
      <c r="R698" s="613">
        <f t="shared" ref="R698:R761" si="298">SUMIFS(_SBR_DSM,_SBR_Revenue_Month,$B698,_SBR_Rate_Category,$D698)</f>
        <v>0</v>
      </c>
      <c r="S698" s="613">
        <f t="shared" ref="S698:S761" si="299">SUMIFS(_SBR_ECR,_SBR_Revenue_Month,$B698,_SBR_Rate_Category,$D698)</f>
        <v>0</v>
      </c>
      <c r="T698" s="613">
        <f t="shared" ref="T698:T761" si="300">SUMIFS(_SBR_MSR,_SBR_Revenue_Month,$B698,_SBR_Rate_Category,$D698)</f>
        <v>0</v>
      </c>
      <c r="U698" s="613">
        <f t="shared" ref="U698:U761" si="301">SUMIFS(_SBR_Revenue_Actual,_SBR_Revenue_Month,$B698,_SBR_Rate_Category,$D698)</f>
        <v>0</v>
      </c>
      <c r="V698" s="616">
        <f t="shared" ref="V698:V761" si="302">SUM(N698,Q698:T698)</f>
        <v>1965.1</v>
      </c>
      <c r="W698" s="616">
        <f t="shared" ref="W698:W761" si="303">U698-V698</f>
        <v>-1965.1</v>
      </c>
      <c r="X698" s="617"/>
      <c r="Y698" s="616">
        <f t="shared" si="281"/>
        <v>447.63</v>
      </c>
      <c r="Z698" s="616">
        <f t="shared" si="282"/>
        <v>-447.63</v>
      </c>
      <c r="AA698" s="11">
        <f t="shared" si="284"/>
        <v>1.7</v>
      </c>
      <c r="AB698" s="9">
        <f t="shared" si="287"/>
        <v>73.099999999999994</v>
      </c>
      <c r="AC698" s="617"/>
      <c r="AD698" s="606">
        <f>IF(AH698&gt;AH697,AD697,IF(AD697&lt;MiscData!$F$1,EOMONTH(AD697,1),EOMONTH(AD697,-11)))</f>
        <v>42247</v>
      </c>
      <c r="AE698" s="618" t="str">
        <f t="shared" ref="AE698:AE761" si="304">CONCATENATE(AI698&amp;AK698)</f>
        <v>20140101KUUM_493</v>
      </c>
      <c r="AF698" s="619" t="str">
        <f t="shared" ref="AF698:AF761" si="305">CONCATENATE(AI698&amp;AL698)</f>
        <v>20140101LS</v>
      </c>
      <c r="AG698" s="620"/>
      <c r="AH698" s="617">
        <f>IF(AH697=MiscData!$AB$91,1,AH697+1)</f>
        <v>81</v>
      </c>
      <c r="AI698" s="617">
        <f>IF(AD698&lt;=MiscData!$B$23,MiscData!$C$23,IF(AD698&lt;=MiscData!$B$24,MiscData!$C$24,MiscData!$C$25))</f>
        <v>20140101</v>
      </c>
      <c r="AJ698" s="617"/>
      <c r="AK698" s="621" t="str">
        <f>VLOOKUP(AM698,MiscData!$AB$4:$ACB$113,2,FALSE)</f>
        <v>KUUM_493</v>
      </c>
      <c r="AL698" s="621" t="str">
        <f>VLOOKUP(AM698,MiscData!$AB$4:$AE$115,4,FALSE)</f>
        <v>LS</v>
      </c>
      <c r="AM698" s="622">
        <f>IF(AM697=MiscData!$AB$91,1,AM697+1)</f>
        <v>81</v>
      </c>
    </row>
    <row r="699" spans="1:39">
      <c r="A699" s="413">
        <f t="shared" si="283"/>
        <v>698</v>
      </c>
      <c r="B699" s="427" t="str">
        <f t="shared" si="289"/>
        <v>Aug 2015</v>
      </c>
      <c r="C699" s="428" t="str">
        <f t="shared" si="290"/>
        <v>LS</v>
      </c>
      <c r="D699" s="428" t="str">
        <f t="shared" si="291"/>
        <v>KUUM_494</v>
      </c>
      <c r="E699" s="425">
        <f t="shared" si="292"/>
        <v>181</v>
      </c>
      <c r="F699" s="429"/>
      <c r="G699" s="425">
        <f t="shared" si="293"/>
        <v>0</v>
      </c>
      <c r="H699" s="425">
        <v>0</v>
      </c>
      <c r="I699" s="415">
        <f t="shared" si="294"/>
        <v>28.37</v>
      </c>
      <c r="J699" s="415">
        <f t="shared" si="295"/>
        <v>1.9699999999999989</v>
      </c>
      <c r="K699" s="416">
        <f t="shared" si="285"/>
        <v>5134.97</v>
      </c>
      <c r="L699" s="430"/>
      <c r="M699" s="430"/>
      <c r="N699" s="186">
        <f t="shared" si="288"/>
        <v>5134.97</v>
      </c>
      <c r="O699" s="431">
        <f t="shared" si="296"/>
        <v>0</v>
      </c>
      <c r="P699" s="417">
        <f t="shared" si="286"/>
        <v>0</v>
      </c>
      <c r="Q699" s="186">
        <f t="shared" si="297"/>
        <v>0</v>
      </c>
      <c r="R699" s="186">
        <f t="shared" si="298"/>
        <v>0</v>
      </c>
      <c r="S699" s="186">
        <f t="shared" si="299"/>
        <v>0</v>
      </c>
      <c r="T699" s="186">
        <f t="shared" si="300"/>
        <v>0</v>
      </c>
      <c r="U699" s="186">
        <f t="shared" si="301"/>
        <v>0</v>
      </c>
      <c r="V699" s="418">
        <f t="shared" si="302"/>
        <v>5134.97</v>
      </c>
      <c r="W699" s="418">
        <f t="shared" si="303"/>
        <v>-5134.97</v>
      </c>
      <c r="X699" s="41"/>
      <c r="Y699" s="418">
        <f t="shared" ref="Y699:Y762" si="306">ROUND(E699*J699,2)</f>
        <v>356.57</v>
      </c>
      <c r="Z699" s="418">
        <f t="shared" ref="Z699:Z762" si="307">O699-Y699</f>
        <v>-356.57</v>
      </c>
      <c r="AA699" s="11">
        <f t="shared" si="284"/>
        <v>0.66</v>
      </c>
      <c r="AB699" s="9">
        <f t="shared" si="287"/>
        <v>119.46000000000001</v>
      </c>
      <c r="AC699" s="41"/>
      <c r="AD699" s="427">
        <f>IF(AH699&gt;AH698,AD698,IF(AD698&lt;MiscData!$F$1,EOMONTH(AD698,1),EOMONTH(AD698,-11)))</f>
        <v>42247</v>
      </c>
      <c r="AE699" s="414" t="str">
        <f t="shared" si="304"/>
        <v>20140101KUUM_494</v>
      </c>
      <c r="AF699" s="466" t="str">
        <f t="shared" si="305"/>
        <v>20140101LS</v>
      </c>
      <c r="AG699" s="467"/>
      <c r="AH699" s="41">
        <f>IF(AH698=MiscData!$AB$91,1,AH698+1)</f>
        <v>82</v>
      </c>
      <c r="AI699" s="41">
        <f>IF(AD699&lt;=MiscData!$B$23,MiscData!$C$23,IF(AD699&lt;=MiscData!$B$24,MiscData!$C$24,MiscData!$C$25))</f>
        <v>20140101</v>
      </c>
      <c r="AJ699" s="41"/>
      <c r="AK699" s="468" t="str">
        <f>VLOOKUP(AM699,MiscData!$AB$4:$ACB$113,2,FALSE)</f>
        <v>KUUM_494</v>
      </c>
      <c r="AL699" s="468" t="str">
        <f>VLOOKUP(AM699,MiscData!$AB$4:$AE$115,4,FALSE)</f>
        <v>LS</v>
      </c>
      <c r="AM699" s="469">
        <f>IF(AM698=MiscData!$AB$91,1,AM698+1)</f>
        <v>82</v>
      </c>
    </row>
    <row r="700" spans="1:39">
      <c r="A700" s="413">
        <f t="shared" ref="A700:A763" si="308">A699+1</f>
        <v>699</v>
      </c>
      <c r="B700" s="427" t="str">
        <f t="shared" si="289"/>
        <v>Aug 2015</v>
      </c>
      <c r="C700" s="428" t="str">
        <f t="shared" si="290"/>
        <v>LS</v>
      </c>
      <c r="D700" s="428" t="str">
        <f t="shared" si="291"/>
        <v>KUUM_495</v>
      </c>
      <c r="E700" s="425">
        <f t="shared" si="292"/>
        <v>644</v>
      </c>
      <c r="F700" s="429"/>
      <c r="G700" s="425">
        <f t="shared" si="293"/>
        <v>0</v>
      </c>
      <c r="H700" s="425">
        <v>0</v>
      </c>
      <c r="I700" s="415">
        <f t="shared" si="294"/>
        <v>34.830000000000005</v>
      </c>
      <c r="J700" s="415">
        <f t="shared" si="295"/>
        <v>4.2899999999999991</v>
      </c>
      <c r="K700" s="416">
        <f t="shared" si="285"/>
        <v>22430.52</v>
      </c>
      <c r="L700" s="430"/>
      <c r="M700" s="430"/>
      <c r="N700" s="186">
        <f t="shared" si="288"/>
        <v>22430.52</v>
      </c>
      <c r="O700" s="431">
        <f t="shared" si="296"/>
        <v>0</v>
      </c>
      <c r="P700" s="417">
        <f t="shared" si="286"/>
        <v>0</v>
      </c>
      <c r="Q700" s="186">
        <f t="shared" si="297"/>
        <v>0</v>
      </c>
      <c r="R700" s="186">
        <f t="shared" si="298"/>
        <v>0</v>
      </c>
      <c r="S700" s="186">
        <f t="shared" si="299"/>
        <v>0</v>
      </c>
      <c r="T700" s="186">
        <f t="shared" si="300"/>
        <v>0</v>
      </c>
      <c r="U700" s="186">
        <f t="shared" si="301"/>
        <v>0</v>
      </c>
      <c r="V700" s="418">
        <f t="shared" si="302"/>
        <v>22430.52</v>
      </c>
      <c r="W700" s="418">
        <f t="shared" si="303"/>
        <v>-22430.52</v>
      </c>
      <c r="X700" s="41"/>
      <c r="Y700" s="418">
        <f t="shared" si="306"/>
        <v>2762.76</v>
      </c>
      <c r="Z700" s="418">
        <f t="shared" si="307"/>
        <v>-2762.76</v>
      </c>
      <c r="AA700" s="11">
        <f t="shared" si="284"/>
        <v>0.84</v>
      </c>
      <c r="AB700" s="9">
        <f t="shared" si="287"/>
        <v>540.96</v>
      </c>
      <c r="AC700" s="41"/>
      <c r="AD700" s="427">
        <f>IF(AH700&gt;AH699,AD699,IF(AD699&lt;MiscData!$F$1,EOMONTH(AD699,1),EOMONTH(AD699,-11)))</f>
        <v>42247</v>
      </c>
      <c r="AE700" s="414" t="str">
        <f t="shared" si="304"/>
        <v>20140101KUUM_495</v>
      </c>
      <c r="AF700" s="466" t="str">
        <f t="shared" si="305"/>
        <v>20140101LS</v>
      </c>
      <c r="AG700" s="467"/>
      <c r="AH700" s="41">
        <f>IF(AH699=MiscData!$AB$91,1,AH699+1)</f>
        <v>83</v>
      </c>
      <c r="AI700" s="41">
        <f>IF(AD700&lt;=MiscData!$B$23,MiscData!$C$23,IF(AD700&lt;=MiscData!$B$24,MiscData!$C$24,MiscData!$C$25))</f>
        <v>20140101</v>
      </c>
      <c r="AJ700" s="41"/>
      <c r="AK700" s="468" t="str">
        <f>VLOOKUP(AM700,MiscData!$AB$4:$ACB$113,2,FALSE)</f>
        <v>KUUM_495</v>
      </c>
      <c r="AL700" s="468" t="str">
        <f>VLOOKUP(AM700,MiscData!$AB$4:$AE$115,4,FALSE)</f>
        <v>LS</v>
      </c>
      <c r="AM700" s="469">
        <f>IF(AM699=MiscData!$AB$91,1,AM699+1)</f>
        <v>83</v>
      </c>
    </row>
    <row r="701" spans="1:39">
      <c r="A701" s="413">
        <f t="shared" si="308"/>
        <v>700</v>
      </c>
      <c r="B701" s="427" t="str">
        <f t="shared" si="289"/>
        <v>Aug 2015</v>
      </c>
      <c r="C701" s="428" t="str">
        <f t="shared" si="290"/>
        <v>LS</v>
      </c>
      <c r="D701" s="428" t="str">
        <f t="shared" si="291"/>
        <v>KUUM_496</v>
      </c>
      <c r="E701" s="425">
        <f t="shared" si="292"/>
        <v>153</v>
      </c>
      <c r="F701" s="429"/>
      <c r="G701" s="425">
        <f t="shared" si="293"/>
        <v>0</v>
      </c>
      <c r="H701" s="425">
        <v>0</v>
      </c>
      <c r="I701" s="415">
        <f t="shared" si="294"/>
        <v>58.59</v>
      </c>
      <c r="J701" s="415">
        <f t="shared" si="295"/>
        <v>10.409999999999997</v>
      </c>
      <c r="K701" s="416">
        <f t="shared" si="285"/>
        <v>8964.27</v>
      </c>
      <c r="L701" s="430"/>
      <c r="M701" s="430"/>
      <c r="N701" s="186">
        <f t="shared" si="288"/>
        <v>8964.27</v>
      </c>
      <c r="O701" s="431">
        <f t="shared" si="296"/>
        <v>0</v>
      </c>
      <c r="P701" s="417">
        <f t="shared" si="286"/>
        <v>0</v>
      </c>
      <c r="Q701" s="186">
        <f t="shared" si="297"/>
        <v>0</v>
      </c>
      <c r="R701" s="186">
        <f t="shared" si="298"/>
        <v>0</v>
      </c>
      <c r="S701" s="186">
        <f t="shared" si="299"/>
        <v>0</v>
      </c>
      <c r="T701" s="186">
        <f t="shared" si="300"/>
        <v>0</v>
      </c>
      <c r="U701" s="186">
        <f t="shared" si="301"/>
        <v>0</v>
      </c>
      <c r="V701" s="418">
        <f t="shared" si="302"/>
        <v>8964.27</v>
      </c>
      <c r="W701" s="418">
        <f t="shared" si="303"/>
        <v>-8964.27</v>
      </c>
      <c r="X701" s="41"/>
      <c r="Y701" s="418">
        <f t="shared" si="306"/>
        <v>1592.73</v>
      </c>
      <c r="Z701" s="418">
        <f t="shared" si="307"/>
        <v>-1592.73</v>
      </c>
      <c r="AA701" s="11">
        <f t="shared" si="284"/>
        <v>1.7</v>
      </c>
      <c r="AB701" s="9">
        <f t="shared" si="287"/>
        <v>260.09999999999997</v>
      </c>
      <c r="AC701" s="41"/>
      <c r="AD701" s="427">
        <f>IF(AH701&gt;AH700,AD700,IF(AD700&lt;MiscData!$F$1,EOMONTH(AD700,1),EOMONTH(AD700,-11)))</f>
        <v>42247</v>
      </c>
      <c r="AE701" s="414" t="str">
        <f t="shared" si="304"/>
        <v>20140101KUUM_496</v>
      </c>
      <c r="AF701" s="466" t="str">
        <f t="shared" si="305"/>
        <v>20140101LS</v>
      </c>
      <c r="AG701" s="467"/>
      <c r="AH701" s="41">
        <f>IF(AH700=MiscData!$AB$91,1,AH700+1)</f>
        <v>84</v>
      </c>
      <c r="AI701" s="41">
        <f>IF(AD701&lt;=MiscData!$B$23,MiscData!$C$23,IF(AD701&lt;=MiscData!$B$24,MiscData!$C$24,MiscData!$C$25))</f>
        <v>20140101</v>
      </c>
      <c r="AJ701" s="41"/>
      <c r="AK701" s="468" t="str">
        <f>VLOOKUP(AM701,MiscData!$AB$4:$ACB$113,2,FALSE)</f>
        <v>KUUM_496</v>
      </c>
      <c r="AL701" s="468" t="str">
        <f>VLOOKUP(AM701,MiscData!$AB$4:$AE$115,4,FALSE)</f>
        <v>LS</v>
      </c>
      <c r="AM701" s="469">
        <f>IF(AM700=MiscData!$AB$91,1,AM700+1)</f>
        <v>84</v>
      </c>
    </row>
    <row r="702" spans="1:39">
      <c r="A702" s="413">
        <f t="shared" si="308"/>
        <v>701</v>
      </c>
      <c r="B702" s="427" t="str">
        <f t="shared" si="289"/>
        <v>Aug 2015</v>
      </c>
      <c r="C702" s="428" t="str">
        <f t="shared" si="290"/>
        <v>LS</v>
      </c>
      <c r="D702" s="428" t="str">
        <f t="shared" si="291"/>
        <v>KUUM_497</v>
      </c>
      <c r="E702" s="425">
        <f t="shared" si="292"/>
        <v>10</v>
      </c>
      <c r="F702" s="429"/>
      <c r="G702" s="425">
        <f t="shared" si="293"/>
        <v>0</v>
      </c>
      <c r="H702" s="425">
        <v>0</v>
      </c>
      <c r="I702" s="415">
        <f t="shared" si="294"/>
        <v>15.35</v>
      </c>
      <c r="J702" s="415">
        <f t="shared" si="295"/>
        <v>1.1300000000000008</v>
      </c>
      <c r="K702" s="416">
        <f t="shared" si="285"/>
        <v>153.5</v>
      </c>
      <c r="L702" s="430"/>
      <c r="M702" s="430"/>
      <c r="N702" s="186">
        <f t="shared" si="288"/>
        <v>153.5</v>
      </c>
      <c r="O702" s="431">
        <f t="shared" si="296"/>
        <v>0</v>
      </c>
      <c r="P702" s="417">
        <f t="shared" si="286"/>
        <v>0</v>
      </c>
      <c r="Q702" s="186">
        <f t="shared" si="297"/>
        <v>0</v>
      </c>
      <c r="R702" s="186">
        <f t="shared" si="298"/>
        <v>0</v>
      </c>
      <c r="S702" s="186">
        <f t="shared" si="299"/>
        <v>0</v>
      </c>
      <c r="T702" s="186">
        <f t="shared" si="300"/>
        <v>0</v>
      </c>
      <c r="U702" s="186">
        <f t="shared" si="301"/>
        <v>0</v>
      </c>
      <c r="V702" s="418">
        <f t="shared" si="302"/>
        <v>153.5</v>
      </c>
      <c r="W702" s="418">
        <f t="shared" si="303"/>
        <v>-153.5</v>
      </c>
      <c r="X702" s="41"/>
      <c r="Y702" s="418">
        <f t="shared" si="306"/>
        <v>11.3</v>
      </c>
      <c r="Z702" s="418">
        <f t="shared" si="307"/>
        <v>-11.3</v>
      </c>
      <c r="AA702" s="11">
        <f t="shared" si="284"/>
        <v>0.34</v>
      </c>
      <c r="AB702" s="9">
        <f t="shared" si="287"/>
        <v>3.4000000000000004</v>
      </c>
      <c r="AC702" s="41"/>
      <c r="AD702" s="427">
        <f>IF(AH702&gt;AH701,AD701,IF(AD701&lt;MiscData!$F$1,EOMONTH(AD701,1),EOMONTH(AD701,-11)))</f>
        <v>42247</v>
      </c>
      <c r="AE702" s="414" t="str">
        <f t="shared" si="304"/>
        <v>20140101KUUM_497</v>
      </c>
      <c r="AF702" s="466" t="str">
        <f t="shared" si="305"/>
        <v>20140101LS</v>
      </c>
      <c r="AG702" s="467"/>
      <c r="AH702" s="41">
        <f>IF(AH701=MiscData!$AB$91,1,AH701+1)</f>
        <v>85</v>
      </c>
      <c r="AI702" s="41">
        <f>IF(AD702&lt;=MiscData!$B$23,MiscData!$C$23,IF(AD702&lt;=MiscData!$B$24,MiscData!$C$24,MiscData!$C$25))</f>
        <v>20140101</v>
      </c>
      <c r="AJ702" s="41"/>
      <c r="AK702" s="468" t="str">
        <f>VLOOKUP(AM702,MiscData!$AB$4:$ACB$113,2,FALSE)</f>
        <v>KUUM_497</v>
      </c>
      <c r="AL702" s="468" t="str">
        <f>VLOOKUP(AM702,MiscData!$AB$4:$AE$115,4,FALSE)</f>
        <v>LS</v>
      </c>
      <c r="AM702" s="469">
        <f>IF(AM701=MiscData!$AB$91,1,AM701+1)</f>
        <v>85</v>
      </c>
    </row>
    <row r="703" spans="1:39">
      <c r="A703" s="413">
        <f t="shared" si="308"/>
        <v>702</v>
      </c>
      <c r="B703" s="427" t="str">
        <f t="shared" si="289"/>
        <v>Aug 2015</v>
      </c>
      <c r="C703" s="428" t="str">
        <f t="shared" si="290"/>
        <v>LS</v>
      </c>
      <c r="D703" s="428" t="str">
        <f t="shared" si="291"/>
        <v>KUUM_498</v>
      </c>
      <c r="E703" s="425">
        <f t="shared" si="292"/>
        <v>26</v>
      </c>
      <c r="F703" s="429"/>
      <c r="G703" s="425">
        <f t="shared" si="293"/>
        <v>0</v>
      </c>
      <c r="H703" s="425">
        <v>0</v>
      </c>
      <c r="I703" s="415">
        <f t="shared" si="294"/>
        <v>17.72</v>
      </c>
      <c r="J703" s="415">
        <f t="shared" si="295"/>
        <v>2.33</v>
      </c>
      <c r="K703" s="416">
        <f t="shared" si="285"/>
        <v>460.72</v>
      </c>
      <c r="L703" s="430"/>
      <c r="M703" s="430"/>
      <c r="N703" s="186">
        <f t="shared" si="288"/>
        <v>460.72</v>
      </c>
      <c r="O703" s="431">
        <f t="shared" si="296"/>
        <v>0</v>
      </c>
      <c r="P703" s="417">
        <f t="shared" si="286"/>
        <v>0</v>
      </c>
      <c r="Q703" s="186">
        <f t="shared" si="297"/>
        <v>0</v>
      </c>
      <c r="R703" s="186">
        <f t="shared" si="298"/>
        <v>0</v>
      </c>
      <c r="S703" s="186">
        <f t="shared" si="299"/>
        <v>0</v>
      </c>
      <c r="T703" s="186">
        <f t="shared" si="300"/>
        <v>0</v>
      </c>
      <c r="U703" s="186">
        <f t="shared" si="301"/>
        <v>0</v>
      </c>
      <c r="V703" s="418">
        <f t="shared" si="302"/>
        <v>460.72</v>
      </c>
      <c r="W703" s="418">
        <f t="shared" si="303"/>
        <v>-460.72</v>
      </c>
      <c r="X703" s="41"/>
      <c r="Y703" s="418">
        <f t="shared" si="306"/>
        <v>60.58</v>
      </c>
      <c r="Z703" s="418">
        <f t="shared" si="307"/>
        <v>-60.58</v>
      </c>
      <c r="AA703" s="11">
        <f t="shared" si="284"/>
        <v>0.57999999999999996</v>
      </c>
      <c r="AB703" s="9">
        <f t="shared" si="287"/>
        <v>15.079999999999998</v>
      </c>
      <c r="AC703" s="41"/>
      <c r="AD703" s="427">
        <f>IF(AH703&gt;AH702,AD702,IF(AD702&lt;MiscData!$F$1,EOMONTH(AD702,1),EOMONTH(AD702,-11)))</f>
        <v>42247</v>
      </c>
      <c r="AE703" s="414" t="str">
        <f t="shared" si="304"/>
        <v>20140101KUUM_498</v>
      </c>
      <c r="AF703" s="466" t="str">
        <f t="shared" si="305"/>
        <v>20140101LS</v>
      </c>
      <c r="AG703" s="467"/>
      <c r="AH703" s="41">
        <f>IF(AH702=MiscData!$AB$91,1,AH702+1)</f>
        <v>86</v>
      </c>
      <c r="AI703" s="41">
        <f>IF(AD703&lt;=MiscData!$B$23,MiscData!$C$23,IF(AD703&lt;=MiscData!$B$24,MiscData!$C$24,MiscData!$C$25))</f>
        <v>20140101</v>
      </c>
      <c r="AJ703" s="41"/>
      <c r="AK703" s="468" t="str">
        <f>VLOOKUP(AM703,MiscData!$AB$4:$ACB$113,2,FALSE)</f>
        <v>KUUM_498</v>
      </c>
      <c r="AL703" s="468" t="str">
        <f>VLOOKUP(AM703,MiscData!$AB$4:$AE$115,4,FALSE)</f>
        <v>LS</v>
      </c>
      <c r="AM703" s="469">
        <f>IF(AM702=MiscData!$AB$91,1,AM702+1)</f>
        <v>86</v>
      </c>
    </row>
    <row r="704" spans="1:39">
      <c r="A704" s="413">
        <f t="shared" si="308"/>
        <v>703</v>
      </c>
      <c r="B704" s="427" t="str">
        <f t="shared" si="289"/>
        <v>Aug 2015</v>
      </c>
      <c r="C704" s="428" t="str">
        <f t="shared" si="290"/>
        <v>LS</v>
      </c>
      <c r="D704" s="428" t="str">
        <f t="shared" si="291"/>
        <v>KUUM_499</v>
      </c>
      <c r="E704" s="425">
        <f t="shared" si="292"/>
        <v>25</v>
      </c>
      <c r="F704" s="429"/>
      <c r="G704" s="425">
        <f t="shared" si="293"/>
        <v>0</v>
      </c>
      <c r="H704" s="425">
        <v>0</v>
      </c>
      <c r="I704" s="415">
        <f t="shared" si="294"/>
        <v>21.490000000000002</v>
      </c>
      <c r="J704" s="415">
        <f t="shared" si="295"/>
        <v>4.5300000000000011</v>
      </c>
      <c r="K704" s="416">
        <f t="shared" si="285"/>
        <v>537.25</v>
      </c>
      <c r="L704" s="430"/>
      <c r="M704" s="430"/>
      <c r="N704" s="186">
        <f t="shared" si="288"/>
        <v>537.25</v>
      </c>
      <c r="O704" s="431">
        <f t="shared" si="296"/>
        <v>0</v>
      </c>
      <c r="P704" s="417">
        <f t="shared" si="286"/>
        <v>0</v>
      </c>
      <c r="Q704" s="186">
        <f t="shared" si="297"/>
        <v>0</v>
      </c>
      <c r="R704" s="186">
        <f t="shared" si="298"/>
        <v>0</v>
      </c>
      <c r="S704" s="186">
        <f t="shared" si="299"/>
        <v>0</v>
      </c>
      <c r="T704" s="186">
        <f t="shared" si="300"/>
        <v>0</v>
      </c>
      <c r="U704" s="186">
        <f t="shared" si="301"/>
        <v>0</v>
      </c>
      <c r="V704" s="418">
        <f t="shared" si="302"/>
        <v>537.25</v>
      </c>
      <c r="W704" s="418">
        <f t="shared" si="303"/>
        <v>-537.25</v>
      </c>
      <c r="X704" s="41"/>
      <c r="Y704" s="418">
        <f t="shared" si="306"/>
        <v>113.25</v>
      </c>
      <c r="Z704" s="418">
        <f t="shared" si="307"/>
        <v>-113.25</v>
      </c>
      <c r="AA704" s="11">
        <f t="shared" si="284"/>
        <v>0.79</v>
      </c>
      <c r="AB704" s="9">
        <f t="shared" si="287"/>
        <v>19.75</v>
      </c>
      <c r="AC704" s="41"/>
      <c r="AD704" s="427">
        <f>IF(AH704&gt;AH703,AD703,IF(AD703&lt;MiscData!$F$1,EOMONTH(AD703,1),EOMONTH(AD703,-11)))</f>
        <v>42247</v>
      </c>
      <c r="AE704" s="414" t="str">
        <f t="shared" si="304"/>
        <v>20140101KUUM_499</v>
      </c>
      <c r="AF704" s="466" t="str">
        <f t="shared" si="305"/>
        <v>20140101LS</v>
      </c>
      <c r="AG704" s="467"/>
      <c r="AH704" s="41">
        <f>IF(AH703=MiscData!$AB$91,1,AH703+1)</f>
        <v>87</v>
      </c>
      <c r="AI704" s="41">
        <f>IF(AD704&lt;=MiscData!$B$23,MiscData!$C$23,IF(AD704&lt;=MiscData!$B$24,MiscData!$C$24,MiscData!$C$25))</f>
        <v>20140101</v>
      </c>
      <c r="AJ704" s="41"/>
      <c r="AK704" s="468" t="str">
        <f>VLOOKUP(AM704,MiscData!$AB$4:$ACB$113,2,FALSE)</f>
        <v>KUUM_499</v>
      </c>
      <c r="AL704" s="468" t="str">
        <f>VLOOKUP(AM704,MiscData!$AB$4:$AE$115,4,FALSE)</f>
        <v>LS</v>
      </c>
      <c r="AM704" s="469">
        <f>IF(AM703=MiscData!$AB$91,1,AM703+1)</f>
        <v>87</v>
      </c>
    </row>
    <row r="705" spans="1:39">
      <c r="A705" s="413">
        <f t="shared" si="308"/>
        <v>704</v>
      </c>
      <c r="B705" s="427" t="str">
        <f t="shared" si="289"/>
        <v>Aug 2015</v>
      </c>
      <c r="C705" s="428" t="str">
        <f t="shared" si="290"/>
        <v>ODL</v>
      </c>
      <c r="D705" s="428" t="str">
        <f t="shared" si="291"/>
        <v>ODL</v>
      </c>
      <c r="E705" s="425">
        <f t="shared" si="292"/>
        <v>0</v>
      </c>
      <c r="F705" s="185"/>
      <c r="G705" s="425">
        <f t="shared" si="293"/>
        <v>9030466</v>
      </c>
      <c r="H705" s="170">
        <v>0</v>
      </c>
      <c r="I705" s="415">
        <f t="shared" si="294"/>
        <v>0</v>
      </c>
      <c r="J705" s="415">
        <f t="shared" si="295"/>
        <v>0</v>
      </c>
      <c r="K705" s="416">
        <f t="shared" si="285"/>
        <v>0</v>
      </c>
      <c r="L705" s="180"/>
      <c r="M705" s="180"/>
      <c r="N705" s="186">
        <f t="shared" si="288"/>
        <v>0</v>
      </c>
      <c r="O705" s="431">
        <f t="shared" si="296"/>
        <v>2138496</v>
      </c>
      <c r="P705" s="417">
        <f t="shared" si="286"/>
        <v>0</v>
      </c>
      <c r="Q705" s="186">
        <f t="shared" si="297"/>
        <v>19370</v>
      </c>
      <c r="R705" s="186">
        <f t="shared" si="298"/>
        <v>0</v>
      </c>
      <c r="S705" s="186">
        <f t="shared" si="299"/>
        <v>38247</v>
      </c>
      <c r="T705" s="186">
        <f t="shared" si="300"/>
        <v>0</v>
      </c>
      <c r="U705" s="186">
        <f t="shared" si="301"/>
        <v>2196113</v>
      </c>
      <c r="V705" s="418">
        <f t="shared" si="302"/>
        <v>57617</v>
      </c>
      <c r="W705" s="418">
        <f t="shared" si="303"/>
        <v>2138496</v>
      </c>
      <c r="X705" s="41"/>
      <c r="Y705" s="418">
        <f t="shared" si="306"/>
        <v>0</v>
      </c>
      <c r="Z705" s="418">
        <f t="shared" si="307"/>
        <v>2138496</v>
      </c>
      <c r="AA705" s="11">
        <f t="shared" si="284"/>
        <v>0</v>
      </c>
      <c r="AB705" s="9">
        <f t="shared" si="287"/>
        <v>0</v>
      </c>
      <c r="AC705" s="41"/>
      <c r="AD705" s="427">
        <f>IF(AH705&gt;AH704,AD704,IF(AD704&lt;MiscData!$F$1,EOMONTH(AD704,1),EOMONTH(AD704,-11)))</f>
        <v>42247</v>
      </c>
      <c r="AE705" s="414" t="str">
        <f t="shared" si="304"/>
        <v>20140101ODL</v>
      </c>
      <c r="AF705" s="466" t="str">
        <f t="shared" si="305"/>
        <v>20140101ODL</v>
      </c>
      <c r="AG705" s="467"/>
      <c r="AH705" s="41">
        <f>IF(AH704=MiscData!$AB$91,1,AH704+1)</f>
        <v>88</v>
      </c>
      <c r="AI705" s="41">
        <f>IF(AD705&lt;=MiscData!$B$23,MiscData!$C$23,IF(AD705&lt;=MiscData!$B$24,MiscData!$C$24,MiscData!$C$25))</f>
        <v>20140101</v>
      </c>
      <c r="AJ705" s="41"/>
      <c r="AK705" s="468" t="str">
        <f>VLOOKUP(AM705,MiscData!$AB$4:$ACB$113,2,FALSE)</f>
        <v>ODL</v>
      </c>
      <c r="AL705" s="468" t="str">
        <f>VLOOKUP(AM705,MiscData!$AB$4:$AE$115,4,FALSE)</f>
        <v>ODL</v>
      </c>
      <c r="AM705" s="469">
        <f>IF(AM704=MiscData!$AB$91,1,AM704+1)</f>
        <v>88</v>
      </c>
    </row>
    <row r="706" spans="1:39">
      <c r="A706" s="7">
        <f t="shared" si="308"/>
        <v>705</v>
      </c>
      <c r="B706" s="13" t="str">
        <f t="shared" si="289"/>
        <v>Sep 2015</v>
      </c>
      <c r="C706" s="23" t="str">
        <f t="shared" si="290"/>
        <v>LS</v>
      </c>
      <c r="D706" s="23" t="str">
        <f t="shared" si="291"/>
        <v>KUUM_300</v>
      </c>
      <c r="E706" s="170">
        <f t="shared" si="292"/>
        <v>0</v>
      </c>
      <c r="F706" s="185"/>
      <c r="G706" s="170">
        <f t="shared" si="293"/>
        <v>0</v>
      </c>
      <c r="H706" s="170">
        <v>0</v>
      </c>
      <c r="I706" s="11">
        <f t="shared" si="294"/>
        <v>22.49</v>
      </c>
      <c r="J706" s="11">
        <f t="shared" si="295"/>
        <v>0.58000000000000185</v>
      </c>
      <c r="K706" s="416">
        <f t="shared" si="285"/>
        <v>0</v>
      </c>
      <c r="L706" s="180"/>
      <c r="M706" s="180"/>
      <c r="N706" s="186">
        <f t="shared" si="288"/>
        <v>0</v>
      </c>
      <c r="O706" s="29">
        <f t="shared" si="296"/>
        <v>0</v>
      </c>
      <c r="P706" s="181">
        <f t="shared" si="286"/>
        <v>1</v>
      </c>
      <c r="Q706" s="182">
        <f t="shared" si="297"/>
        <v>0</v>
      </c>
      <c r="R706" s="182">
        <f t="shared" si="298"/>
        <v>0</v>
      </c>
      <c r="S706" s="182">
        <f t="shared" si="299"/>
        <v>0</v>
      </c>
      <c r="T706" s="182">
        <f t="shared" si="300"/>
        <v>0</v>
      </c>
      <c r="U706" s="182">
        <f t="shared" si="301"/>
        <v>0</v>
      </c>
      <c r="V706" s="14">
        <f t="shared" si="302"/>
        <v>0</v>
      </c>
      <c r="W706" s="14">
        <f t="shared" si="303"/>
        <v>0</v>
      </c>
      <c r="Y706" s="14">
        <f t="shared" si="306"/>
        <v>0</v>
      </c>
      <c r="Z706" s="14">
        <f t="shared" si="307"/>
        <v>0</v>
      </c>
      <c r="AA706" s="11">
        <f t="shared" ref="AA706:AA769" si="309">SUMIF(_Lights_Tariff_Category,$AE706,_Rates_Lights_ECR)</f>
        <v>0.33</v>
      </c>
      <c r="AB706" s="9">
        <f t="shared" si="287"/>
        <v>0</v>
      </c>
      <c r="AD706" s="13">
        <f>IF(AH706&gt;AH705,AD705,IF(AD705&lt;MiscData!$F$1,EOMONTH(AD705,1),EOMONTH(AD705,-11)))</f>
        <v>42277</v>
      </c>
      <c r="AE706" s="7" t="str">
        <f t="shared" si="304"/>
        <v>20140101KUUM_300</v>
      </c>
      <c r="AF706" s="12" t="str">
        <f t="shared" si="305"/>
        <v>20140101LS</v>
      </c>
      <c r="AG706" s="31"/>
      <c r="AH706">
        <f>IF(AH705=MiscData!$AB$91,1,AH705+1)</f>
        <v>1</v>
      </c>
      <c r="AI706">
        <f>IF(AD706&lt;=MiscData!$B$23,MiscData!$C$23,IF(AD706&lt;=MiscData!$B$24,MiscData!$C$24,MiscData!$C$25))</f>
        <v>20140101</v>
      </c>
      <c r="AK706" s="190" t="str">
        <f>VLOOKUP(AM706,MiscData!$AB$4:$ACB$113,2,FALSE)</f>
        <v>KUUM_300</v>
      </c>
      <c r="AL706" s="190" t="str">
        <f>VLOOKUP(AM706,MiscData!$AB$4:$AE$115,4,FALSE)</f>
        <v>LS</v>
      </c>
      <c r="AM706">
        <f>IF(AM705=MiscData!$AB$91,1,AM705+1)</f>
        <v>1</v>
      </c>
    </row>
    <row r="707" spans="1:39">
      <c r="A707" s="7">
        <f t="shared" si="308"/>
        <v>706</v>
      </c>
      <c r="B707" s="13" t="str">
        <f t="shared" si="289"/>
        <v>Sep 2015</v>
      </c>
      <c r="C707" s="23" t="str">
        <f t="shared" si="290"/>
        <v>LS</v>
      </c>
      <c r="D707" s="23" t="str">
        <f t="shared" si="291"/>
        <v>KUUM_301</v>
      </c>
      <c r="E707" s="170">
        <f t="shared" si="292"/>
        <v>0</v>
      </c>
      <c r="F707" s="185"/>
      <c r="G707" s="170">
        <f t="shared" si="293"/>
        <v>0</v>
      </c>
      <c r="H707" s="170">
        <v>0</v>
      </c>
      <c r="I707" s="11">
        <f t="shared" si="294"/>
        <v>23.5</v>
      </c>
      <c r="J707" s="11">
        <f t="shared" si="295"/>
        <v>1.129999999999999</v>
      </c>
      <c r="K707" s="416">
        <f t="shared" ref="K707:K770" si="310">ROUND(($E707+$F707)*$I707,2)</f>
        <v>0</v>
      </c>
      <c r="L707" s="180"/>
      <c r="M707" s="180"/>
      <c r="N707" s="186">
        <f t="shared" si="288"/>
        <v>0</v>
      </c>
      <c r="O707" s="29">
        <f t="shared" si="296"/>
        <v>0</v>
      </c>
      <c r="P707" s="181">
        <f t="shared" ref="P707:P770" si="311">IF(AND(N707=0,O707=0),1,IF(N707=0,0,ROUND(O707/N707,6)))</f>
        <v>1</v>
      </c>
      <c r="Q707" s="182">
        <f t="shared" si="297"/>
        <v>0</v>
      </c>
      <c r="R707" s="182">
        <f t="shared" si="298"/>
        <v>0</v>
      </c>
      <c r="S707" s="182">
        <f t="shared" si="299"/>
        <v>0</v>
      </c>
      <c r="T707" s="182">
        <f t="shared" si="300"/>
        <v>0</v>
      </c>
      <c r="U707" s="182">
        <f t="shared" si="301"/>
        <v>0</v>
      </c>
      <c r="V707" s="14">
        <f t="shared" si="302"/>
        <v>0</v>
      </c>
      <c r="W707" s="14">
        <f t="shared" si="303"/>
        <v>0</v>
      </c>
      <c r="Y707" s="14">
        <f t="shared" si="306"/>
        <v>0</v>
      </c>
      <c r="Z707" s="14">
        <f t="shared" si="307"/>
        <v>0</v>
      </c>
      <c r="AA707" s="11">
        <f t="shared" si="309"/>
        <v>0.34</v>
      </c>
      <c r="AB707" s="9">
        <f t="shared" ref="AB707:AB770" si="312">E707*AA707</f>
        <v>0</v>
      </c>
      <c r="AD707" s="13">
        <f>IF(AH707&gt;AH706,AD706,IF(AD706&lt;MiscData!$F$1,EOMONTH(AD706,1),EOMONTH(AD706,-11)))</f>
        <v>42277</v>
      </c>
      <c r="AE707" s="7" t="str">
        <f t="shared" si="304"/>
        <v>20140101KUUM_301</v>
      </c>
      <c r="AF707" s="12" t="str">
        <f t="shared" si="305"/>
        <v>20140101LS</v>
      </c>
      <c r="AG707" s="31"/>
      <c r="AH707">
        <f>IF(AH706=MiscData!$AB$91,1,AH706+1)</f>
        <v>2</v>
      </c>
      <c r="AI707">
        <f>IF(AD707&lt;=MiscData!$B$23,MiscData!$C$23,IF(AD707&lt;=MiscData!$B$24,MiscData!$C$24,MiscData!$C$25))</f>
        <v>20140101</v>
      </c>
      <c r="AK707" s="190" t="str">
        <f>VLOOKUP(AM707,MiscData!$AB$4:$ACB$113,2,FALSE)</f>
        <v>KUUM_301</v>
      </c>
      <c r="AL707" s="190" t="str">
        <f>VLOOKUP(AM707,MiscData!$AB$4:$AE$115,4,FALSE)</f>
        <v>LS</v>
      </c>
      <c r="AM707">
        <f>IF(AM706=MiscData!$AB$91,1,AM706+1)</f>
        <v>2</v>
      </c>
    </row>
    <row r="708" spans="1:39">
      <c r="A708" s="7">
        <f t="shared" si="308"/>
        <v>707</v>
      </c>
      <c r="B708" s="13" t="str">
        <f t="shared" si="289"/>
        <v>Sep 2015</v>
      </c>
      <c r="C708" s="23" t="str">
        <f t="shared" si="290"/>
        <v>LS</v>
      </c>
      <c r="D708" s="23" t="str">
        <f t="shared" si="291"/>
        <v>KUUM_360</v>
      </c>
      <c r="E708" s="170">
        <f t="shared" si="292"/>
        <v>172</v>
      </c>
      <c r="F708" s="185"/>
      <c r="G708" s="170">
        <f t="shared" si="293"/>
        <v>0</v>
      </c>
      <c r="H708" s="170">
        <v>0</v>
      </c>
      <c r="I708" s="11">
        <f t="shared" si="294"/>
        <v>55.33</v>
      </c>
      <c r="J708" s="11">
        <f t="shared" si="295"/>
        <v>1.75</v>
      </c>
      <c r="K708" s="416">
        <f t="shared" si="310"/>
        <v>9516.76</v>
      </c>
      <c r="L708" s="180"/>
      <c r="M708" s="180"/>
      <c r="N708" s="186">
        <f t="shared" si="288"/>
        <v>9516.76</v>
      </c>
      <c r="O708" s="29">
        <f t="shared" si="296"/>
        <v>0</v>
      </c>
      <c r="P708" s="181">
        <f t="shared" si="311"/>
        <v>0</v>
      </c>
      <c r="Q708" s="182">
        <f t="shared" si="297"/>
        <v>0</v>
      </c>
      <c r="R708" s="182">
        <f t="shared" si="298"/>
        <v>0</v>
      </c>
      <c r="S708" s="182">
        <f t="shared" si="299"/>
        <v>0</v>
      </c>
      <c r="T708" s="182">
        <f t="shared" si="300"/>
        <v>0</v>
      </c>
      <c r="U708" s="182">
        <f t="shared" si="301"/>
        <v>0</v>
      </c>
      <c r="V708" s="14">
        <f t="shared" si="302"/>
        <v>9516.76</v>
      </c>
      <c r="W708" s="14">
        <f t="shared" si="303"/>
        <v>-9516.76</v>
      </c>
      <c r="Y708" s="14">
        <f t="shared" si="306"/>
        <v>301</v>
      </c>
      <c r="Z708" s="14">
        <f t="shared" si="307"/>
        <v>-301</v>
      </c>
      <c r="AA708" s="11">
        <f t="shared" si="309"/>
        <v>2.41</v>
      </c>
      <c r="AB708" s="9">
        <f t="shared" si="312"/>
        <v>414.52000000000004</v>
      </c>
      <c r="AD708" s="13">
        <f>IF(AH708&gt;AH707,AD707,IF(AD707&lt;MiscData!$F$1,EOMONTH(AD707,1),EOMONTH(AD707,-11)))</f>
        <v>42277</v>
      </c>
      <c r="AE708" s="7" t="str">
        <f t="shared" si="304"/>
        <v>20140101KUUM_360</v>
      </c>
      <c r="AF708" s="12" t="str">
        <f t="shared" si="305"/>
        <v>20140101LS</v>
      </c>
      <c r="AG708" s="31"/>
      <c r="AH708">
        <f>IF(AH707=MiscData!$AB$91,1,AH707+1)</f>
        <v>3</v>
      </c>
      <c r="AI708">
        <f>IF(AD708&lt;=MiscData!$B$23,MiscData!$C$23,IF(AD708&lt;=MiscData!$B$24,MiscData!$C$24,MiscData!$C$25))</f>
        <v>20140101</v>
      </c>
      <c r="AK708" s="190" t="str">
        <f>VLOOKUP(AM708,MiscData!$AB$4:$ACB$113,2,FALSE)</f>
        <v>KUUM_360</v>
      </c>
      <c r="AL708" s="190" t="str">
        <f>VLOOKUP(AM708,MiscData!$AB$4:$AE$115,4,FALSE)</f>
        <v>LS</v>
      </c>
      <c r="AM708">
        <f>IF(AM707=MiscData!$AB$91,1,AM707+1)</f>
        <v>3</v>
      </c>
    </row>
    <row r="709" spans="1:39">
      <c r="A709" s="7">
        <f t="shared" si="308"/>
        <v>708</v>
      </c>
      <c r="B709" s="13" t="str">
        <f t="shared" si="289"/>
        <v>Sep 2015</v>
      </c>
      <c r="C709" s="23" t="str">
        <f t="shared" si="290"/>
        <v>LS</v>
      </c>
      <c r="D709" s="23" t="str">
        <f t="shared" si="291"/>
        <v>KUUM_361</v>
      </c>
      <c r="E709" s="170">
        <f t="shared" si="292"/>
        <v>26</v>
      </c>
      <c r="F709" s="185"/>
      <c r="G709" s="170">
        <f t="shared" si="293"/>
        <v>0</v>
      </c>
      <c r="H709" s="170">
        <v>0</v>
      </c>
      <c r="I709" s="11">
        <f t="shared" si="294"/>
        <v>83.16</v>
      </c>
      <c r="J709" s="11">
        <f t="shared" si="295"/>
        <v>1.75</v>
      </c>
      <c r="K709" s="416">
        <f t="shared" si="310"/>
        <v>2162.16</v>
      </c>
      <c r="L709" s="180"/>
      <c r="M709" s="180"/>
      <c r="N709" s="186">
        <f t="shared" si="288"/>
        <v>2162.16</v>
      </c>
      <c r="O709" s="29">
        <f t="shared" si="296"/>
        <v>0</v>
      </c>
      <c r="P709" s="181">
        <f t="shared" si="311"/>
        <v>0</v>
      </c>
      <c r="Q709" s="182">
        <f t="shared" si="297"/>
        <v>0</v>
      </c>
      <c r="R709" s="182">
        <f t="shared" si="298"/>
        <v>0</v>
      </c>
      <c r="S709" s="182">
        <f t="shared" si="299"/>
        <v>0</v>
      </c>
      <c r="T709" s="182">
        <f t="shared" si="300"/>
        <v>0</v>
      </c>
      <c r="U709" s="182">
        <f t="shared" si="301"/>
        <v>0</v>
      </c>
      <c r="V709" s="14">
        <f t="shared" si="302"/>
        <v>2162.16</v>
      </c>
      <c r="W709" s="14">
        <f t="shared" si="303"/>
        <v>-2162.16</v>
      </c>
      <c r="Y709" s="14">
        <f t="shared" si="306"/>
        <v>45.5</v>
      </c>
      <c r="Z709" s="14">
        <f t="shared" si="307"/>
        <v>-45.5</v>
      </c>
      <c r="AA709" s="11">
        <f t="shared" si="309"/>
        <v>2.41</v>
      </c>
      <c r="AB709" s="9">
        <f t="shared" si="312"/>
        <v>62.660000000000004</v>
      </c>
      <c r="AD709" s="13">
        <f>IF(AH709&gt;AH708,AD708,IF(AD708&lt;MiscData!$F$1,EOMONTH(AD708,1),EOMONTH(AD708,-11)))</f>
        <v>42277</v>
      </c>
      <c r="AE709" s="7" t="str">
        <f t="shared" si="304"/>
        <v>20140101KUUM_361</v>
      </c>
      <c r="AF709" s="12" t="str">
        <f t="shared" si="305"/>
        <v>20140101LS</v>
      </c>
      <c r="AG709" s="31"/>
      <c r="AH709">
        <f>IF(AH708=MiscData!$AB$91,1,AH708+1)</f>
        <v>4</v>
      </c>
      <c r="AI709">
        <f>IF(AD709&lt;=MiscData!$B$23,MiscData!$C$23,IF(AD709&lt;=MiscData!$B$24,MiscData!$C$24,MiscData!$C$25))</f>
        <v>20140101</v>
      </c>
      <c r="AK709" s="190" t="str">
        <f>VLOOKUP(AM709,MiscData!$AB$4:$ACB$113,2,FALSE)</f>
        <v>KUUM_361</v>
      </c>
      <c r="AL709" s="190" t="str">
        <f>VLOOKUP(AM709,MiscData!$AB$4:$AE$115,4,FALSE)</f>
        <v>LS</v>
      </c>
      <c r="AM709">
        <f>IF(AM708=MiscData!$AB$91,1,AM708+1)</f>
        <v>4</v>
      </c>
    </row>
    <row r="710" spans="1:39">
      <c r="A710" s="7">
        <f t="shared" si="308"/>
        <v>709</v>
      </c>
      <c r="B710" s="13" t="str">
        <f t="shared" si="289"/>
        <v>Sep 2015</v>
      </c>
      <c r="C710" s="23" t="str">
        <f t="shared" si="290"/>
        <v>LS</v>
      </c>
      <c r="D710" s="23" t="str">
        <f t="shared" si="291"/>
        <v>KUUM_362</v>
      </c>
      <c r="E710" s="170">
        <f t="shared" si="292"/>
        <v>40</v>
      </c>
      <c r="F710" s="185"/>
      <c r="G710" s="170">
        <f t="shared" si="293"/>
        <v>0</v>
      </c>
      <c r="H710" s="170">
        <v>0</v>
      </c>
      <c r="I710" s="11">
        <f t="shared" si="294"/>
        <v>59.78</v>
      </c>
      <c r="J710" s="11">
        <f t="shared" si="295"/>
        <v>1.75</v>
      </c>
      <c r="K710" s="416">
        <f t="shared" si="310"/>
        <v>2391.1999999999998</v>
      </c>
      <c r="L710" s="180"/>
      <c r="M710" s="180"/>
      <c r="N710" s="186">
        <f t="shared" si="288"/>
        <v>2391.1999999999998</v>
      </c>
      <c r="O710" s="29">
        <f t="shared" si="296"/>
        <v>0</v>
      </c>
      <c r="P710" s="181">
        <f t="shared" si="311"/>
        <v>0</v>
      </c>
      <c r="Q710" s="182">
        <f t="shared" si="297"/>
        <v>0</v>
      </c>
      <c r="R710" s="182">
        <f t="shared" si="298"/>
        <v>0</v>
      </c>
      <c r="S710" s="182">
        <f t="shared" si="299"/>
        <v>0</v>
      </c>
      <c r="T710" s="182">
        <f t="shared" si="300"/>
        <v>0</v>
      </c>
      <c r="U710" s="182">
        <f t="shared" si="301"/>
        <v>0</v>
      </c>
      <c r="V710" s="14">
        <f t="shared" si="302"/>
        <v>2391.1999999999998</v>
      </c>
      <c r="W710" s="14">
        <f t="shared" si="303"/>
        <v>-2391.1999999999998</v>
      </c>
      <c r="Y710" s="14">
        <f t="shared" si="306"/>
        <v>70</v>
      </c>
      <c r="Z710" s="14">
        <f t="shared" si="307"/>
        <v>-70</v>
      </c>
      <c r="AA710" s="11">
        <f t="shared" si="309"/>
        <v>2.41</v>
      </c>
      <c r="AB710" s="9">
        <f t="shared" si="312"/>
        <v>96.4</v>
      </c>
      <c r="AD710" s="13">
        <f>IF(AH710&gt;AH709,AD709,IF(AD709&lt;MiscData!$F$1,EOMONTH(AD709,1),EOMONTH(AD709,-11)))</f>
        <v>42277</v>
      </c>
      <c r="AE710" s="7" t="str">
        <f t="shared" si="304"/>
        <v>20140101KUUM_362</v>
      </c>
      <c r="AF710" s="12" t="str">
        <f t="shared" si="305"/>
        <v>20140101LS</v>
      </c>
      <c r="AG710" s="31"/>
      <c r="AH710">
        <f>IF(AH709=MiscData!$AB$91,1,AH709+1)</f>
        <v>5</v>
      </c>
      <c r="AI710">
        <f>IF(AD710&lt;=MiscData!$B$23,MiscData!$C$23,IF(AD710&lt;=MiscData!$B$24,MiscData!$C$24,MiscData!$C$25))</f>
        <v>20140101</v>
      </c>
      <c r="AK710" s="190" t="str">
        <f>VLOOKUP(AM710,MiscData!$AB$4:$ACB$113,2,FALSE)</f>
        <v>KUUM_362</v>
      </c>
      <c r="AL710" s="190" t="str">
        <f>VLOOKUP(AM710,MiscData!$AB$4:$AE$115,4,FALSE)</f>
        <v>LS</v>
      </c>
      <c r="AM710">
        <f>IF(AM709=MiscData!$AB$91,1,AM709+1)</f>
        <v>5</v>
      </c>
    </row>
    <row r="711" spans="1:39">
      <c r="A711" s="7">
        <f t="shared" si="308"/>
        <v>710</v>
      </c>
      <c r="B711" s="13" t="str">
        <f t="shared" si="289"/>
        <v>Sep 2015</v>
      </c>
      <c r="C711" s="23" t="str">
        <f t="shared" si="290"/>
        <v>LS</v>
      </c>
      <c r="D711" s="23" t="str">
        <f t="shared" si="291"/>
        <v>KUUM_363</v>
      </c>
      <c r="E711" s="170">
        <f t="shared" si="292"/>
        <v>5</v>
      </c>
      <c r="F711" s="185"/>
      <c r="G711" s="170">
        <f t="shared" si="293"/>
        <v>0</v>
      </c>
      <c r="H711" s="170">
        <v>0</v>
      </c>
      <c r="I711" s="11">
        <f t="shared" si="294"/>
        <v>61.75</v>
      </c>
      <c r="J711" s="11">
        <f t="shared" si="295"/>
        <v>1.75</v>
      </c>
      <c r="K711" s="416">
        <f t="shared" si="310"/>
        <v>308.75</v>
      </c>
      <c r="L711" s="180"/>
      <c r="M711" s="180"/>
      <c r="N711" s="186">
        <f t="shared" si="288"/>
        <v>308.75</v>
      </c>
      <c r="O711" s="29">
        <f t="shared" si="296"/>
        <v>0</v>
      </c>
      <c r="P711" s="181">
        <f t="shared" si="311"/>
        <v>0</v>
      </c>
      <c r="Q711" s="182">
        <f t="shared" si="297"/>
        <v>0</v>
      </c>
      <c r="R711" s="182">
        <f t="shared" si="298"/>
        <v>0</v>
      </c>
      <c r="S711" s="182">
        <f t="shared" si="299"/>
        <v>0</v>
      </c>
      <c r="T711" s="182">
        <f t="shared" si="300"/>
        <v>0</v>
      </c>
      <c r="U711" s="182">
        <f t="shared" si="301"/>
        <v>0</v>
      </c>
      <c r="V711" s="14">
        <f t="shared" si="302"/>
        <v>308.75</v>
      </c>
      <c r="W711" s="14">
        <f t="shared" si="303"/>
        <v>-308.75</v>
      </c>
      <c r="Y711" s="14">
        <f t="shared" si="306"/>
        <v>8.75</v>
      </c>
      <c r="Z711" s="14">
        <f t="shared" si="307"/>
        <v>-8.75</v>
      </c>
      <c r="AA711" s="11">
        <f t="shared" si="309"/>
        <v>2.41</v>
      </c>
      <c r="AB711" s="9">
        <f t="shared" si="312"/>
        <v>12.05</v>
      </c>
      <c r="AD711" s="13">
        <f>IF(AH711&gt;AH710,AD710,IF(AD710&lt;MiscData!$F$1,EOMONTH(AD710,1),EOMONTH(AD710,-11)))</f>
        <v>42277</v>
      </c>
      <c r="AE711" s="7" t="str">
        <f t="shared" si="304"/>
        <v>20140101KUUM_363</v>
      </c>
      <c r="AF711" s="12" t="str">
        <f t="shared" si="305"/>
        <v>20140101LS</v>
      </c>
      <c r="AG711" s="31"/>
      <c r="AH711">
        <f>IF(AH710=MiscData!$AB$91,1,AH710+1)</f>
        <v>6</v>
      </c>
      <c r="AI711">
        <f>IF(AD711&lt;=MiscData!$B$23,MiscData!$C$23,IF(AD711&lt;=MiscData!$B$24,MiscData!$C$24,MiscData!$C$25))</f>
        <v>20140101</v>
      </c>
      <c r="AK711" s="190" t="str">
        <f>VLOOKUP(AM711,MiscData!$AB$4:$ACB$113,2,FALSE)</f>
        <v>KUUM_363</v>
      </c>
      <c r="AL711" s="190" t="str">
        <f>VLOOKUP(AM711,MiscData!$AB$4:$AE$115,4,FALSE)</f>
        <v>LS</v>
      </c>
      <c r="AM711">
        <f>IF(AM710=MiscData!$AB$91,1,AM710+1)</f>
        <v>6</v>
      </c>
    </row>
    <row r="712" spans="1:39">
      <c r="A712" s="7">
        <f t="shared" si="308"/>
        <v>711</v>
      </c>
      <c r="B712" s="13" t="str">
        <f t="shared" si="289"/>
        <v>Sep 2015</v>
      </c>
      <c r="C712" s="23" t="str">
        <f t="shared" si="290"/>
        <v>LS</v>
      </c>
      <c r="D712" s="23" t="str">
        <f t="shared" si="291"/>
        <v>KUUM_364</v>
      </c>
      <c r="E712" s="170">
        <f t="shared" si="292"/>
        <v>1</v>
      </c>
      <c r="F712" s="185"/>
      <c r="G712" s="170">
        <f t="shared" si="293"/>
        <v>0</v>
      </c>
      <c r="H712" s="170">
        <v>0</v>
      </c>
      <c r="I712" s="11">
        <f t="shared" si="294"/>
        <v>63.11</v>
      </c>
      <c r="J712" s="11">
        <f t="shared" si="295"/>
        <v>1.75</v>
      </c>
      <c r="K712" s="416">
        <f t="shared" si="310"/>
        <v>63.11</v>
      </c>
      <c r="L712" s="180"/>
      <c r="M712" s="180"/>
      <c r="N712" s="186">
        <f t="shared" si="288"/>
        <v>63.11</v>
      </c>
      <c r="O712" s="29">
        <f t="shared" si="296"/>
        <v>0</v>
      </c>
      <c r="P712" s="181">
        <f t="shared" si="311"/>
        <v>0</v>
      </c>
      <c r="Q712" s="182">
        <f t="shared" si="297"/>
        <v>0</v>
      </c>
      <c r="R712" s="182">
        <f t="shared" si="298"/>
        <v>0</v>
      </c>
      <c r="S712" s="182">
        <f t="shared" si="299"/>
        <v>0</v>
      </c>
      <c r="T712" s="182">
        <f t="shared" si="300"/>
        <v>0</v>
      </c>
      <c r="U712" s="182">
        <f t="shared" si="301"/>
        <v>0</v>
      </c>
      <c r="V712" s="14">
        <f t="shared" si="302"/>
        <v>63.11</v>
      </c>
      <c r="W712" s="14">
        <f t="shared" si="303"/>
        <v>-63.11</v>
      </c>
      <c r="Y712" s="14">
        <f t="shared" si="306"/>
        <v>1.75</v>
      </c>
      <c r="Z712" s="14">
        <f t="shared" si="307"/>
        <v>-1.75</v>
      </c>
      <c r="AA712" s="11">
        <f t="shared" si="309"/>
        <v>2.41</v>
      </c>
      <c r="AB712" s="9">
        <f t="shared" si="312"/>
        <v>2.41</v>
      </c>
      <c r="AD712" s="13">
        <f>IF(AH712&gt;AH711,AD711,IF(AD711&lt;MiscData!$F$1,EOMONTH(AD711,1),EOMONTH(AD711,-11)))</f>
        <v>42277</v>
      </c>
      <c r="AE712" s="7" t="str">
        <f t="shared" si="304"/>
        <v>20140101KUUM_364</v>
      </c>
      <c r="AF712" s="12" t="str">
        <f t="shared" si="305"/>
        <v>20140101LS</v>
      </c>
      <c r="AG712" s="31"/>
      <c r="AH712">
        <f>IF(AH711=MiscData!$AB$91,1,AH711+1)</f>
        <v>7</v>
      </c>
      <c r="AI712">
        <f>IF(AD712&lt;=MiscData!$B$23,MiscData!$C$23,IF(AD712&lt;=MiscData!$B$24,MiscData!$C$24,MiscData!$C$25))</f>
        <v>20140101</v>
      </c>
      <c r="AK712" s="190" t="str">
        <f>VLOOKUP(AM712,MiscData!$AB$4:$ACB$113,2,FALSE)</f>
        <v>KUUM_364</v>
      </c>
      <c r="AL712" s="190" t="str">
        <f>VLOOKUP(AM712,MiscData!$AB$4:$AE$115,4,FALSE)</f>
        <v>LS</v>
      </c>
      <c r="AM712">
        <f>IF(AM711=MiscData!$AB$91,1,AM711+1)</f>
        <v>7</v>
      </c>
    </row>
    <row r="713" spans="1:39">
      <c r="A713" s="7">
        <f t="shared" si="308"/>
        <v>712</v>
      </c>
      <c r="B713" s="13" t="str">
        <f t="shared" si="289"/>
        <v>Sep 2015</v>
      </c>
      <c r="C713" s="23" t="str">
        <f t="shared" si="290"/>
        <v>LS</v>
      </c>
      <c r="D713" s="23" t="str">
        <f t="shared" si="291"/>
        <v>KUUM_365</v>
      </c>
      <c r="E713" s="170">
        <f t="shared" si="292"/>
        <v>5</v>
      </c>
      <c r="F713" s="185"/>
      <c r="G713" s="170">
        <f t="shared" si="293"/>
        <v>0</v>
      </c>
      <c r="H713" s="170">
        <v>0</v>
      </c>
      <c r="I713" s="11">
        <f t="shared" si="294"/>
        <v>80.94</v>
      </c>
      <c r="J713" s="11">
        <f t="shared" si="295"/>
        <v>1.75</v>
      </c>
      <c r="K713" s="416">
        <f t="shared" si="310"/>
        <v>404.7</v>
      </c>
      <c r="L713" s="180"/>
      <c r="M713" s="180"/>
      <c r="N713" s="186">
        <f t="shared" si="288"/>
        <v>404.7</v>
      </c>
      <c r="O713" s="29">
        <f t="shared" si="296"/>
        <v>0</v>
      </c>
      <c r="P713" s="181">
        <f t="shared" si="311"/>
        <v>0</v>
      </c>
      <c r="Q713" s="182">
        <f t="shared" si="297"/>
        <v>0</v>
      </c>
      <c r="R713" s="182">
        <f t="shared" si="298"/>
        <v>0</v>
      </c>
      <c r="S713" s="182">
        <f t="shared" si="299"/>
        <v>0</v>
      </c>
      <c r="T713" s="182">
        <f t="shared" si="300"/>
        <v>0</v>
      </c>
      <c r="U713" s="182">
        <f t="shared" si="301"/>
        <v>0</v>
      </c>
      <c r="V713" s="14">
        <f t="shared" si="302"/>
        <v>404.7</v>
      </c>
      <c r="W713" s="14">
        <f t="shared" si="303"/>
        <v>-404.7</v>
      </c>
      <c r="Y713" s="14">
        <f t="shared" si="306"/>
        <v>8.75</v>
      </c>
      <c r="Z713" s="14">
        <f t="shared" si="307"/>
        <v>-8.75</v>
      </c>
      <c r="AA713" s="11">
        <f t="shared" si="309"/>
        <v>2.41</v>
      </c>
      <c r="AB713" s="9">
        <f t="shared" si="312"/>
        <v>12.05</v>
      </c>
      <c r="AD713" s="13">
        <f>IF(AH713&gt;AH712,AD712,IF(AD712&lt;MiscData!$F$1,EOMONTH(AD712,1),EOMONTH(AD712,-11)))</f>
        <v>42277</v>
      </c>
      <c r="AE713" s="7" t="str">
        <f t="shared" si="304"/>
        <v>20140101KUUM_365</v>
      </c>
      <c r="AF713" s="12" t="str">
        <f t="shared" si="305"/>
        <v>20140101LS</v>
      </c>
      <c r="AG713" s="31"/>
      <c r="AH713">
        <f>IF(AH712=MiscData!$AB$91,1,AH712+1)</f>
        <v>8</v>
      </c>
      <c r="AI713">
        <f>IF(AD713&lt;=MiscData!$B$23,MiscData!$C$23,IF(AD713&lt;=MiscData!$B$24,MiscData!$C$24,MiscData!$C$25))</f>
        <v>20140101</v>
      </c>
      <c r="AK713" s="190" t="str">
        <f>VLOOKUP(AM713,MiscData!$AB$4:$ACB$113,2,FALSE)</f>
        <v>KUUM_365</v>
      </c>
      <c r="AL713" s="190" t="str">
        <f>VLOOKUP(AM713,MiscData!$AB$4:$AE$115,4,FALSE)</f>
        <v>LS</v>
      </c>
      <c r="AM713">
        <f>IF(AM712=MiscData!$AB$91,1,AM712+1)</f>
        <v>8</v>
      </c>
    </row>
    <row r="714" spans="1:39">
      <c r="A714" s="7">
        <f t="shared" si="308"/>
        <v>713</v>
      </c>
      <c r="B714" s="13" t="str">
        <f t="shared" si="289"/>
        <v>Sep 2015</v>
      </c>
      <c r="C714" s="23" t="str">
        <f t="shared" si="290"/>
        <v>LS</v>
      </c>
      <c r="D714" s="23" t="str">
        <f t="shared" si="291"/>
        <v>KUUM_366</v>
      </c>
      <c r="E714" s="170">
        <f t="shared" si="292"/>
        <v>10</v>
      </c>
      <c r="F714" s="185"/>
      <c r="G714" s="170">
        <f t="shared" si="293"/>
        <v>0</v>
      </c>
      <c r="H714" s="170">
        <v>0</v>
      </c>
      <c r="I714" s="11">
        <f t="shared" si="294"/>
        <v>78.97</v>
      </c>
      <c r="J714" s="11">
        <f t="shared" si="295"/>
        <v>1.75</v>
      </c>
      <c r="K714" s="416">
        <f t="shared" si="310"/>
        <v>789.7</v>
      </c>
      <c r="L714" s="180"/>
      <c r="M714" s="180"/>
      <c r="N714" s="186">
        <f t="shared" si="288"/>
        <v>789.7</v>
      </c>
      <c r="O714" s="29">
        <f t="shared" si="296"/>
        <v>0</v>
      </c>
      <c r="P714" s="181">
        <f t="shared" si="311"/>
        <v>0</v>
      </c>
      <c r="Q714" s="182">
        <f t="shared" si="297"/>
        <v>0</v>
      </c>
      <c r="R714" s="182">
        <f t="shared" si="298"/>
        <v>0</v>
      </c>
      <c r="S714" s="182">
        <f t="shared" si="299"/>
        <v>0</v>
      </c>
      <c r="T714" s="182">
        <f t="shared" si="300"/>
        <v>0</v>
      </c>
      <c r="U714" s="182">
        <f t="shared" si="301"/>
        <v>0</v>
      </c>
      <c r="V714" s="14">
        <f t="shared" si="302"/>
        <v>789.7</v>
      </c>
      <c r="W714" s="14">
        <f t="shared" si="303"/>
        <v>-789.7</v>
      </c>
      <c r="Y714" s="14">
        <f t="shared" si="306"/>
        <v>17.5</v>
      </c>
      <c r="Z714" s="14">
        <f t="shared" si="307"/>
        <v>-17.5</v>
      </c>
      <c r="AA714" s="11">
        <f t="shared" si="309"/>
        <v>2.41</v>
      </c>
      <c r="AB714" s="9">
        <f t="shared" si="312"/>
        <v>24.1</v>
      </c>
      <c r="AD714" s="13">
        <f>IF(AH714&gt;AH713,AD713,IF(AD713&lt;MiscData!$F$1,EOMONTH(AD713,1),EOMONTH(AD713,-11)))</f>
        <v>42277</v>
      </c>
      <c r="AE714" s="7" t="str">
        <f t="shared" si="304"/>
        <v>20140101KUUM_366</v>
      </c>
      <c r="AF714" s="12" t="str">
        <f t="shared" si="305"/>
        <v>20140101LS</v>
      </c>
      <c r="AG714" s="31"/>
      <c r="AH714">
        <f>IF(AH713=MiscData!$AB$91,1,AH713+1)</f>
        <v>9</v>
      </c>
      <c r="AI714">
        <f>IF(AD714&lt;=MiscData!$B$23,MiscData!$C$23,IF(AD714&lt;=MiscData!$B$24,MiscData!$C$24,MiscData!$C$25))</f>
        <v>20140101</v>
      </c>
      <c r="AK714" s="190" t="str">
        <f>VLOOKUP(AM714,MiscData!$AB$4:$ACB$113,2,FALSE)</f>
        <v>KUUM_366</v>
      </c>
      <c r="AL714" s="190" t="str">
        <f>VLOOKUP(AM714,MiscData!$AB$4:$AE$115,4,FALSE)</f>
        <v>LS</v>
      </c>
      <c r="AM714">
        <f>IF(AM713=MiscData!$AB$91,1,AM713+1)</f>
        <v>9</v>
      </c>
    </row>
    <row r="715" spans="1:39">
      <c r="A715" s="7">
        <f t="shared" si="308"/>
        <v>714</v>
      </c>
      <c r="B715" s="13" t="str">
        <f t="shared" si="289"/>
        <v>Sep 2015</v>
      </c>
      <c r="C715" s="23" t="str">
        <f t="shared" si="290"/>
        <v>LS</v>
      </c>
      <c r="D715" s="23" t="str">
        <f t="shared" si="291"/>
        <v>KUUM_367</v>
      </c>
      <c r="E715" s="170">
        <f t="shared" si="292"/>
        <v>24</v>
      </c>
      <c r="F715" s="185"/>
      <c r="G715" s="170">
        <f t="shared" si="293"/>
        <v>0</v>
      </c>
      <c r="H715" s="170">
        <v>0</v>
      </c>
      <c r="I715" s="11">
        <f t="shared" si="294"/>
        <v>61.230000000000004</v>
      </c>
      <c r="J715" s="11">
        <f t="shared" si="295"/>
        <v>1.75</v>
      </c>
      <c r="K715" s="416">
        <f t="shared" si="310"/>
        <v>1469.52</v>
      </c>
      <c r="L715" s="180"/>
      <c r="M715" s="180"/>
      <c r="N715" s="186">
        <f t="shared" si="288"/>
        <v>1469.52</v>
      </c>
      <c r="O715" s="29">
        <f t="shared" si="296"/>
        <v>0</v>
      </c>
      <c r="P715" s="181">
        <f t="shared" si="311"/>
        <v>0</v>
      </c>
      <c r="Q715" s="182">
        <f t="shared" si="297"/>
        <v>0</v>
      </c>
      <c r="R715" s="182">
        <f t="shared" si="298"/>
        <v>0</v>
      </c>
      <c r="S715" s="182">
        <f t="shared" si="299"/>
        <v>0</v>
      </c>
      <c r="T715" s="182">
        <f t="shared" si="300"/>
        <v>0</v>
      </c>
      <c r="U715" s="182">
        <f t="shared" si="301"/>
        <v>0</v>
      </c>
      <c r="V715" s="14">
        <f t="shared" si="302"/>
        <v>1469.52</v>
      </c>
      <c r="W715" s="14">
        <f t="shared" si="303"/>
        <v>-1469.52</v>
      </c>
      <c r="Y715" s="14">
        <f t="shared" si="306"/>
        <v>42</v>
      </c>
      <c r="Z715" s="14">
        <f t="shared" si="307"/>
        <v>-42</v>
      </c>
      <c r="AA715" s="11">
        <f t="shared" si="309"/>
        <v>2.41</v>
      </c>
      <c r="AB715" s="9">
        <f t="shared" si="312"/>
        <v>57.84</v>
      </c>
      <c r="AD715" s="13">
        <f>IF(AH715&gt;AH714,AD714,IF(AD714&lt;MiscData!$F$1,EOMONTH(AD714,1),EOMONTH(AD714,-11)))</f>
        <v>42277</v>
      </c>
      <c r="AE715" s="7" t="str">
        <f t="shared" si="304"/>
        <v>20140101KUUM_367</v>
      </c>
      <c r="AF715" s="12" t="str">
        <f t="shared" si="305"/>
        <v>20140101LS</v>
      </c>
      <c r="AG715" s="31"/>
      <c r="AH715">
        <f>IF(AH714=MiscData!$AB$91,1,AH714+1)</f>
        <v>10</v>
      </c>
      <c r="AI715">
        <f>IF(AD715&lt;=MiscData!$B$23,MiscData!$C$23,IF(AD715&lt;=MiscData!$B$24,MiscData!$C$24,MiscData!$C$25))</f>
        <v>20140101</v>
      </c>
      <c r="AK715" s="190" t="str">
        <f>VLOOKUP(AM715,MiscData!$AB$4:$ACB$113,2,FALSE)</f>
        <v>KUUM_367</v>
      </c>
      <c r="AL715" s="190" t="str">
        <f>VLOOKUP(AM715,MiscData!$AB$4:$AE$115,4,FALSE)</f>
        <v>LS</v>
      </c>
      <c r="AM715">
        <f>IF(AM714=MiscData!$AB$91,1,AM714+1)</f>
        <v>10</v>
      </c>
    </row>
    <row r="716" spans="1:39">
      <c r="A716" s="7">
        <f t="shared" si="308"/>
        <v>715</v>
      </c>
      <c r="B716" s="13" t="str">
        <f t="shared" si="289"/>
        <v>Sep 2015</v>
      </c>
      <c r="C716" s="23" t="str">
        <f t="shared" si="290"/>
        <v>LS</v>
      </c>
      <c r="D716" s="23" t="str">
        <f t="shared" si="291"/>
        <v>KUUM_368</v>
      </c>
      <c r="E716" s="170">
        <f t="shared" si="292"/>
        <v>1</v>
      </c>
      <c r="F716" s="185"/>
      <c r="G716" s="170">
        <f t="shared" si="293"/>
        <v>0</v>
      </c>
      <c r="H716" s="170">
        <v>0</v>
      </c>
      <c r="I716" s="11">
        <f t="shared" si="294"/>
        <v>56.69</v>
      </c>
      <c r="J716" s="11">
        <f t="shared" si="295"/>
        <v>1.75</v>
      </c>
      <c r="K716" s="416">
        <f t="shared" si="310"/>
        <v>56.69</v>
      </c>
      <c r="L716" s="180"/>
      <c r="M716" s="180"/>
      <c r="N716" s="186">
        <f t="shared" si="288"/>
        <v>56.69</v>
      </c>
      <c r="O716" s="29">
        <f t="shared" si="296"/>
        <v>0</v>
      </c>
      <c r="P716" s="181">
        <f t="shared" si="311"/>
        <v>0</v>
      </c>
      <c r="Q716" s="182">
        <f t="shared" si="297"/>
        <v>0</v>
      </c>
      <c r="R716" s="182">
        <f t="shared" si="298"/>
        <v>0</v>
      </c>
      <c r="S716" s="182">
        <f t="shared" si="299"/>
        <v>0</v>
      </c>
      <c r="T716" s="182">
        <f t="shared" si="300"/>
        <v>0</v>
      </c>
      <c r="U716" s="182">
        <f t="shared" si="301"/>
        <v>0</v>
      </c>
      <c r="V716" s="14">
        <f t="shared" si="302"/>
        <v>56.69</v>
      </c>
      <c r="W716" s="14">
        <f t="shared" si="303"/>
        <v>-56.69</v>
      </c>
      <c r="Y716" s="14">
        <f t="shared" si="306"/>
        <v>1.75</v>
      </c>
      <c r="Z716" s="14">
        <f t="shared" si="307"/>
        <v>-1.75</v>
      </c>
      <c r="AA716" s="11">
        <f t="shared" si="309"/>
        <v>2.41</v>
      </c>
      <c r="AB716" s="9">
        <f t="shared" si="312"/>
        <v>2.41</v>
      </c>
      <c r="AD716" s="13">
        <f>IF(AH716&gt;AH715,AD715,IF(AD715&lt;MiscData!$F$1,EOMONTH(AD715,1),EOMONTH(AD715,-11)))</f>
        <v>42277</v>
      </c>
      <c r="AE716" s="7" t="str">
        <f t="shared" si="304"/>
        <v>20140101KUUM_368</v>
      </c>
      <c r="AF716" s="12" t="str">
        <f t="shared" si="305"/>
        <v>20140101LS</v>
      </c>
      <c r="AG716" s="31"/>
      <c r="AH716">
        <f>IF(AH715=MiscData!$AB$91,1,AH715+1)</f>
        <v>11</v>
      </c>
      <c r="AI716">
        <f>IF(AD716&lt;=MiscData!$B$23,MiscData!$C$23,IF(AD716&lt;=MiscData!$B$24,MiscData!$C$24,MiscData!$C$25))</f>
        <v>20140101</v>
      </c>
      <c r="AK716" s="190" t="str">
        <f>VLOOKUP(AM716,MiscData!$AB$4:$ACB$113,2,FALSE)</f>
        <v>KUUM_368</v>
      </c>
      <c r="AL716" s="190" t="str">
        <f>VLOOKUP(AM716,MiscData!$AB$4:$AE$115,4,FALSE)</f>
        <v>LS</v>
      </c>
      <c r="AM716">
        <f>IF(AM715=MiscData!$AB$91,1,AM715+1)</f>
        <v>11</v>
      </c>
    </row>
    <row r="717" spans="1:39">
      <c r="A717" s="7">
        <f t="shared" si="308"/>
        <v>716</v>
      </c>
      <c r="B717" s="13" t="str">
        <f t="shared" si="289"/>
        <v>Sep 2015</v>
      </c>
      <c r="C717" s="23" t="str">
        <f t="shared" si="290"/>
        <v>LS</v>
      </c>
      <c r="D717" s="23" t="str">
        <f t="shared" si="291"/>
        <v>KUUM_370</v>
      </c>
      <c r="E717" s="170">
        <f t="shared" si="292"/>
        <v>16</v>
      </c>
      <c r="F717" s="185"/>
      <c r="G717" s="170">
        <f t="shared" si="293"/>
        <v>0</v>
      </c>
      <c r="H717" s="170">
        <v>0</v>
      </c>
      <c r="I717" s="11">
        <f t="shared" si="294"/>
        <v>74.52</v>
      </c>
      <c r="J717" s="11">
        <f t="shared" si="295"/>
        <v>1.75</v>
      </c>
      <c r="K717" s="416">
        <f t="shared" si="310"/>
        <v>1192.32</v>
      </c>
      <c r="L717" s="180"/>
      <c r="M717" s="180"/>
      <c r="N717" s="186">
        <f t="shared" si="288"/>
        <v>1192.32</v>
      </c>
      <c r="O717" s="29">
        <f t="shared" si="296"/>
        <v>0</v>
      </c>
      <c r="P717" s="181">
        <f t="shared" si="311"/>
        <v>0</v>
      </c>
      <c r="Q717" s="182">
        <f t="shared" si="297"/>
        <v>0</v>
      </c>
      <c r="R717" s="182">
        <f t="shared" si="298"/>
        <v>0</v>
      </c>
      <c r="S717" s="182">
        <f t="shared" si="299"/>
        <v>0</v>
      </c>
      <c r="T717" s="182">
        <f t="shared" si="300"/>
        <v>0</v>
      </c>
      <c r="U717" s="182">
        <f t="shared" si="301"/>
        <v>0</v>
      </c>
      <c r="V717" s="14">
        <f t="shared" si="302"/>
        <v>1192.32</v>
      </c>
      <c r="W717" s="14">
        <f t="shared" si="303"/>
        <v>-1192.32</v>
      </c>
      <c r="Y717" s="14">
        <f t="shared" si="306"/>
        <v>28</v>
      </c>
      <c r="Z717" s="14">
        <f t="shared" si="307"/>
        <v>-28</v>
      </c>
      <c r="AA717" s="11">
        <f t="shared" si="309"/>
        <v>2.41</v>
      </c>
      <c r="AB717" s="9">
        <f t="shared" si="312"/>
        <v>38.56</v>
      </c>
      <c r="AD717" s="13">
        <f>IF(AH717&gt;AH716,AD716,IF(AD716&lt;MiscData!$F$1,EOMONTH(AD716,1),EOMONTH(AD716,-11)))</f>
        <v>42277</v>
      </c>
      <c r="AE717" s="7" t="str">
        <f t="shared" si="304"/>
        <v>20140101KUUM_370</v>
      </c>
      <c r="AF717" s="12" t="str">
        <f t="shared" si="305"/>
        <v>20140101LS</v>
      </c>
      <c r="AG717" s="31"/>
      <c r="AH717">
        <f>IF(AH716=MiscData!$AB$91,1,AH716+1)</f>
        <v>12</v>
      </c>
      <c r="AI717">
        <f>IF(AD717&lt;=MiscData!$B$23,MiscData!$C$23,IF(AD717&lt;=MiscData!$B$24,MiscData!$C$24,MiscData!$C$25))</f>
        <v>20140101</v>
      </c>
      <c r="AK717" s="190" t="str">
        <f>VLOOKUP(AM717,MiscData!$AB$4:$ACB$113,2,FALSE)</f>
        <v>KUUM_370</v>
      </c>
      <c r="AL717" s="190" t="str">
        <f>VLOOKUP(AM717,MiscData!$AB$4:$AE$115,4,FALSE)</f>
        <v>LS</v>
      </c>
      <c r="AM717">
        <f>IF(AM716=MiscData!$AB$91,1,AM716+1)</f>
        <v>12</v>
      </c>
    </row>
    <row r="718" spans="1:39">
      <c r="A718" s="7">
        <f t="shared" si="308"/>
        <v>717</v>
      </c>
      <c r="B718" s="13" t="str">
        <f t="shared" si="289"/>
        <v>Sep 2015</v>
      </c>
      <c r="C718" s="23" t="str">
        <f t="shared" si="290"/>
        <v>LS</v>
      </c>
      <c r="D718" s="23" t="str">
        <f t="shared" si="291"/>
        <v>KUUM_372</v>
      </c>
      <c r="E718" s="170">
        <f t="shared" si="292"/>
        <v>1</v>
      </c>
      <c r="F718" s="185"/>
      <c r="G718" s="170">
        <f t="shared" si="293"/>
        <v>0</v>
      </c>
      <c r="H718" s="170">
        <v>0</v>
      </c>
      <c r="I718" s="11">
        <f t="shared" si="294"/>
        <v>82.3</v>
      </c>
      <c r="J718" s="11">
        <f t="shared" si="295"/>
        <v>1.75</v>
      </c>
      <c r="K718" s="416">
        <f t="shared" si="310"/>
        <v>82.3</v>
      </c>
      <c r="L718" s="180"/>
      <c r="M718" s="180"/>
      <c r="N718" s="186">
        <f t="shared" si="288"/>
        <v>82.3</v>
      </c>
      <c r="O718" s="29">
        <f t="shared" si="296"/>
        <v>0</v>
      </c>
      <c r="P718" s="181">
        <f t="shared" si="311"/>
        <v>0</v>
      </c>
      <c r="Q718" s="182">
        <f t="shared" si="297"/>
        <v>0</v>
      </c>
      <c r="R718" s="182">
        <f t="shared" si="298"/>
        <v>0</v>
      </c>
      <c r="S718" s="182">
        <f t="shared" si="299"/>
        <v>0</v>
      </c>
      <c r="T718" s="182">
        <f t="shared" si="300"/>
        <v>0</v>
      </c>
      <c r="U718" s="182">
        <f t="shared" si="301"/>
        <v>0</v>
      </c>
      <c r="V718" s="14">
        <f t="shared" si="302"/>
        <v>82.3</v>
      </c>
      <c r="W718" s="14">
        <f t="shared" si="303"/>
        <v>-82.3</v>
      </c>
      <c r="Y718" s="14">
        <f t="shared" si="306"/>
        <v>1.75</v>
      </c>
      <c r="Z718" s="14">
        <f t="shared" si="307"/>
        <v>-1.75</v>
      </c>
      <c r="AA718" s="11">
        <f t="shared" si="309"/>
        <v>2.41</v>
      </c>
      <c r="AB718" s="9">
        <f t="shared" si="312"/>
        <v>2.41</v>
      </c>
      <c r="AD718" s="13">
        <f>IF(AH718&gt;AH717,AD717,IF(AD717&lt;MiscData!$F$1,EOMONTH(AD717,1),EOMONTH(AD717,-11)))</f>
        <v>42277</v>
      </c>
      <c r="AE718" s="7" t="str">
        <f t="shared" si="304"/>
        <v>20140101KUUM_372</v>
      </c>
      <c r="AF718" s="12" t="str">
        <f t="shared" si="305"/>
        <v>20140101LS</v>
      </c>
      <c r="AG718" s="31"/>
      <c r="AH718">
        <f>IF(AH717=MiscData!$AB$91,1,AH717+1)</f>
        <v>13</v>
      </c>
      <c r="AI718">
        <f>IF(AD718&lt;=MiscData!$B$23,MiscData!$C$23,IF(AD718&lt;=MiscData!$B$24,MiscData!$C$24,MiscData!$C$25))</f>
        <v>20140101</v>
      </c>
      <c r="AK718" s="190" t="str">
        <f>VLOOKUP(AM718,MiscData!$AB$4:$ACB$113,2,FALSE)</f>
        <v>KUUM_372</v>
      </c>
      <c r="AL718" s="190" t="str">
        <f>VLOOKUP(AM718,MiscData!$AB$4:$AE$115,4,FALSE)</f>
        <v>LS</v>
      </c>
      <c r="AM718">
        <f>IF(AM717=MiscData!$AB$91,1,AM717+1)</f>
        <v>13</v>
      </c>
    </row>
    <row r="719" spans="1:39">
      <c r="A719" s="7">
        <f t="shared" si="308"/>
        <v>718</v>
      </c>
      <c r="B719" s="13" t="str">
        <f t="shared" si="289"/>
        <v>Sep 2015</v>
      </c>
      <c r="C719" s="23" t="str">
        <f t="shared" si="290"/>
        <v>LS</v>
      </c>
      <c r="D719" s="23" t="str">
        <f t="shared" si="291"/>
        <v>KUUM_373</v>
      </c>
      <c r="E719" s="170">
        <f t="shared" si="292"/>
        <v>19</v>
      </c>
      <c r="F719" s="185"/>
      <c r="G719" s="170">
        <f t="shared" si="293"/>
        <v>0</v>
      </c>
      <c r="H719" s="170">
        <v>0</v>
      </c>
      <c r="I719" s="11">
        <f t="shared" si="294"/>
        <v>74.52</v>
      </c>
      <c r="J719" s="11">
        <f t="shared" si="295"/>
        <v>1.75</v>
      </c>
      <c r="K719" s="416">
        <f t="shared" si="310"/>
        <v>1415.88</v>
      </c>
      <c r="L719" s="180"/>
      <c r="M719" s="180"/>
      <c r="N719" s="186">
        <f t="shared" si="288"/>
        <v>1415.88</v>
      </c>
      <c r="O719" s="29">
        <f t="shared" si="296"/>
        <v>0</v>
      </c>
      <c r="P719" s="181">
        <f t="shared" si="311"/>
        <v>0</v>
      </c>
      <c r="Q719" s="182">
        <f t="shared" si="297"/>
        <v>0</v>
      </c>
      <c r="R719" s="182">
        <f t="shared" si="298"/>
        <v>0</v>
      </c>
      <c r="S719" s="182">
        <f t="shared" si="299"/>
        <v>0</v>
      </c>
      <c r="T719" s="182">
        <f t="shared" si="300"/>
        <v>0</v>
      </c>
      <c r="U719" s="182">
        <f t="shared" si="301"/>
        <v>0</v>
      </c>
      <c r="V719" s="14">
        <f t="shared" si="302"/>
        <v>1415.88</v>
      </c>
      <c r="W719" s="14">
        <f t="shared" si="303"/>
        <v>-1415.88</v>
      </c>
      <c r="Y719" s="14">
        <f t="shared" si="306"/>
        <v>33.25</v>
      </c>
      <c r="Z719" s="14">
        <f t="shared" si="307"/>
        <v>-33.25</v>
      </c>
      <c r="AA719" s="11">
        <f t="shared" si="309"/>
        <v>2.41</v>
      </c>
      <c r="AB719" s="9">
        <f t="shared" si="312"/>
        <v>45.790000000000006</v>
      </c>
      <c r="AD719" s="13">
        <f>IF(AH719&gt;AH718,AD718,IF(AD718&lt;MiscData!$F$1,EOMONTH(AD718,1),EOMONTH(AD718,-11)))</f>
        <v>42277</v>
      </c>
      <c r="AE719" s="7" t="str">
        <f t="shared" si="304"/>
        <v>20140101KUUM_373</v>
      </c>
      <c r="AF719" s="12" t="str">
        <f t="shared" si="305"/>
        <v>20140101LS</v>
      </c>
      <c r="AG719" s="31"/>
      <c r="AH719">
        <f>IF(AH718=MiscData!$AB$91,1,AH718+1)</f>
        <v>14</v>
      </c>
      <c r="AI719">
        <f>IF(AD719&lt;=MiscData!$B$23,MiscData!$C$23,IF(AD719&lt;=MiscData!$B$24,MiscData!$C$24,MiscData!$C$25))</f>
        <v>20140101</v>
      </c>
      <c r="AK719" s="190" t="str">
        <f>VLOOKUP(AM719,MiscData!$AB$4:$ACB$113,2,FALSE)</f>
        <v>KUUM_373</v>
      </c>
      <c r="AL719" s="190" t="str">
        <f>VLOOKUP(AM719,MiscData!$AB$4:$AE$115,4,FALSE)</f>
        <v>LS</v>
      </c>
      <c r="AM719">
        <f>IF(AM718=MiscData!$AB$91,1,AM718+1)</f>
        <v>14</v>
      </c>
    </row>
    <row r="720" spans="1:39">
      <c r="A720" s="7">
        <f t="shared" si="308"/>
        <v>719</v>
      </c>
      <c r="B720" s="13" t="str">
        <f t="shared" si="289"/>
        <v>Sep 2015</v>
      </c>
      <c r="C720" s="23" t="str">
        <f t="shared" si="290"/>
        <v>LS</v>
      </c>
      <c r="D720" s="23" t="str">
        <f t="shared" si="291"/>
        <v>KUUM_374</v>
      </c>
      <c r="E720" s="170">
        <f t="shared" si="292"/>
        <v>4</v>
      </c>
      <c r="F720" s="185"/>
      <c r="G720" s="170">
        <f t="shared" si="293"/>
        <v>0</v>
      </c>
      <c r="H720" s="170">
        <v>0</v>
      </c>
      <c r="I720" s="11">
        <f t="shared" si="294"/>
        <v>75.88</v>
      </c>
      <c r="J720" s="11">
        <f t="shared" si="295"/>
        <v>1.75</v>
      </c>
      <c r="K720" s="416">
        <f t="shared" si="310"/>
        <v>303.52</v>
      </c>
      <c r="L720" s="180"/>
      <c r="M720" s="180"/>
      <c r="N720" s="186">
        <f t="shared" si="288"/>
        <v>303.52</v>
      </c>
      <c r="O720" s="29">
        <f t="shared" si="296"/>
        <v>0</v>
      </c>
      <c r="P720" s="181">
        <f t="shared" si="311"/>
        <v>0</v>
      </c>
      <c r="Q720" s="182">
        <f t="shared" si="297"/>
        <v>0</v>
      </c>
      <c r="R720" s="182">
        <f t="shared" si="298"/>
        <v>0</v>
      </c>
      <c r="S720" s="182">
        <f t="shared" si="299"/>
        <v>0</v>
      </c>
      <c r="T720" s="182">
        <f t="shared" si="300"/>
        <v>0</v>
      </c>
      <c r="U720" s="182">
        <f t="shared" si="301"/>
        <v>0</v>
      </c>
      <c r="V720" s="14">
        <f t="shared" si="302"/>
        <v>303.52</v>
      </c>
      <c r="W720" s="14">
        <f t="shared" si="303"/>
        <v>-303.52</v>
      </c>
      <c r="Y720" s="14">
        <f t="shared" si="306"/>
        <v>7</v>
      </c>
      <c r="Z720" s="14">
        <f t="shared" si="307"/>
        <v>-7</v>
      </c>
      <c r="AA720" s="11">
        <f t="shared" si="309"/>
        <v>2.41</v>
      </c>
      <c r="AB720" s="9">
        <f t="shared" si="312"/>
        <v>9.64</v>
      </c>
      <c r="AD720" s="13">
        <f>IF(AH720&gt;AH719,AD719,IF(AD719&lt;MiscData!$F$1,EOMONTH(AD719,1),EOMONTH(AD719,-11)))</f>
        <v>42277</v>
      </c>
      <c r="AE720" s="7" t="str">
        <f t="shared" si="304"/>
        <v>20140101KUUM_374</v>
      </c>
      <c r="AF720" s="12" t="str">
        <f t="shared" si="305"/>
        <v>20140101LS</v>
      </c>
      <c r="AG720" s="31"/>
      <c r="AH720">
        <f>IF(AH719=MiscData!$AB$91,1,AH719+1)</f>
        <v>15</v>
      </c>
      <c r="AI720">
        <f>IF(AD720&lt;=MiscData!$B$23,MiscData!$C$23,IF(AD720&lt;=MiscData!$B$24,MiscData!$C$24,MiscData!$C$25))</f>
        <v>20140101</v>
      </c>
      <c r="AK720" s="190" t="str">
        <f>VLOOKUP(AM720,MiscData!$AB$4:$ACB$113,2,FALSE)</f>
        <v>KUUM_374</v>
      </c>
      <c r="AL720" s="190" t="str">
        <f>VLOOKUP(AM720,MiscData!$AB$4:$AE$115,4,FALSE)</f>
        <v>LS</v>
      </c>
      <c r="AM720">
        <f>IF(AM719=MiscData!$AB$91,1,AM719+1)</f>
        <v>15</v>
      </c>
    </row>
    <row r="721" spans="1:39">
      <c r="A721" s="7">
        <f t="shared" si="308"/>
        <v>720</v>
      </c>
      <c r="B721" s="13" t="str">
        <f t="shared" si="289"/>
        <v>Sep 2015</v>
      </c>
      <c r="C721" s="23" t="str">
        <f t="shared" si="290"/>
        <v>LS</v>
      </c>
      <c r="D721" s="23" t="str">
        <f t="shared" si="291"/>
        <v>KUUM_375</v>
      </c>
      <c r="E721" s="170">
        <f t="shared" si="292"/>
        <v>3</v>
      </c>
      <c r="F721" s="185"/>
      <c r="G721" s="170">
        <f t="shared" si="293"/>
        <v>0</v>
      </c>
      <c r="H721" s="170">
        <v>0</v>
      </c>
      <c r="I721" s="11">
        <f t="shared" si="294"/>
        <v>78.97</v>
      </c>
      <c r="J721" s="11">
        <f t="shared" si="295"/>
        <v>1.75</v>
      </c>
      <c r="K721" s="416">
        <f t="shared" si="310"/>
        <v>236.91</v>
      </c>
      <c r="L721" s="180"/>
      <c r="M721" s="180"/>
      <c r="N721" s="186">
        <f t="shared" si="288"/>
        <v>236.91</v>
      </c>
      <c r="O721" s="29">
        <f t="shared" si="296"/>
        <v>0</v>
      </c>
      <c r="P721" s="181">
        <f t="shared" si="311"/>
        <v>0</v>
      </c>
      <c r="Q721" s="182">
        <f t="shared" si="297"/>
        <v>0</v>
      </c>
      <c r="R721" s="182">
        <f t="shared" si="298"/>
        <v>0</v>
      </c>
      <c r="S721" s="182">
        <f t="shared" si="299"/>
        <v>0</v>
      </c>
      <c r="T721" s="182">
        <f t="shared" si="300"/>
        <v>0</v>
      </c>
      <c r="U721" s="182">
        <f t="shared" si="301"/>
        <v>0</v>
      </c>
      <c r="V721" s="14">
        <f t="shared" si="302"/>
        <v>236.91</v>
      </c>
      <c r="W721" s="14">
        <f t="shared" si="303"/>
        <v>-236.91</v>
      </c>
      <c r="Y721" s="14">
        <f t="shared" si="306"/>
        <v>5.25</v>
      </c>
      <c r="Z721" s="14">
        <f t="shared" si="307"/>
        <v>-5.25</v>
      </c>
      <c r="AA721" s="11">
        <f t="shared" si="309"/>
        <v>2.41</v>
      </c>
      <c r="AB721" s="9">
        <f t="shared" si="312"/>
        <v>7.23</v>
      </c>
      <c r="AD721" s="13">
        <f>IF(AH721&gt;AH720,AD720,IF(AD720&lt;MiscData!$F$1,EOMONTH(AD720,1),EOMONTH(AD720,-11)))</f>
        <v>42277</v>
      </c>
      <c r="AE721" s="7" t="str">
        <f t="shared" si="304"/>
        <v>20140101KUUM_375</v>
      </c>
      <c r="AF721" s="12" t="str">
        <f t="shared" si="305"/>
        <v>20140101LS</v>
      </c>
      <c r="AG721" s="31"/>
      <c r="AH721">
        <f>IF(AH720=MiscData!$AB$91,1,AH720+1)</f>
        <v>16</v>
      </c>
      <c r="AI721">
        <f>IF(AD721&lt;=MiscData!$B$23,MiscData!$C$23,IF(AD721&lt;=MiscData!$B$24,MiscData!$C$24,MiscData!$C$25))</f>
        <v>20140101</v>
      </c>
      <c r="AK721" s="190" t="str">
        <f>VLOOKUP(AM721,MiscData!$AB$4:$ACB$113,2,FALSE)</f>
        <v>KUUM_375</v>
      </c>
      <c r="AL721" s="190" t="str">
        <f>VLOOKUP(AM721,MiscData!$AB$4:$AE$115,4,FALSE)</f>
        <v>LS</v>
      </c>
      <c r="AM721">
        <f>IF(AM720=MiscData!$AB$91,1,AM720+1)</f>
        <v>16</v>
      </c>
    </row>
    <row r="722" spans="1:39">
      <c r="A722" s="7">
        <f t="shared" si="308"/>
        <v>721</v>
      </c>
      <c r="B722" s="13" t="str">
        <f t="shared" si="289"/>
        <v>Sep 2015</v>
      </c>
      <c r="C722" s="23" t="str">
        <f t="shared" si="290"/>
        <v>LS</v>
      </c>
      <c r="D722" s="23" t="str">
        <f t="shared" si="291"/>
        <v>KUUM_376</v>
      </c>
      <c r="E722" s="170">
        <f t="shared" si="292"/>
        <v>2</v>
      </c>
      <c r="F722" s="185"/>
      <c r="G722" s="170">
        <f t="shared" si="293"/>
        <v>0</v>
      </c>
      <c r="H722" s="170">
        <v>0</v>
      </c>
      <c r="I722" s="11">
        <f t="shared" si="294"/>
        <v>77.259999999999991</v>
      </c>
      <c r="J722" s="11">
        <f t="shared" si="295"/>
        <v>1.75</v>
      </c>
      <c r="K722" s="416">
        <f t="shared" si="310"/>
        <v>154.52000000000001</v>
      </c>
      <c r="L722" s="180"/>
      <c r="M722" s="180"/>
      <c r="N722" s="186">
        <f t="shared" si="288"/>
        <v>154.52000000000001</v>
      </c>
      <c r="O722" s="29">
        <f t="shared" si="296"/>
        <v>0</v>
      </c>
      <c r="P722" s="181">
        <f t="shared" si="311"/>
        <v>0</v>
      </c>
      <c r="Q722" s="182">
        <f t="shared" si="297"/>
        <v>0</v>
      </c>
      <c r="R722" s="182">
        <f t="shared" si="298"/>
        <v>0</v>
      </c>
      <c r="S722" s="182">
        <f t="shared" si="299"/>
        <v>0</v>
      </c>
      <c r="T722" s="182">
        <f t="shared" si="300"/>
        <v>0</v>
      </c>
      <c r="U722" s="182">
        <f t="shared" si="301"/>
        <v>0</v>
      </c>
      <c r="V722" s="14">
        <f t="shared" si="302"/>
        <v>154.52000000000001</v>
      </c>
      <c r="W722" s="14">
        <f t="shared" si="303"/>
        <v>-154.52000000000001</v>
      </c>
      <c r="Y722" s="14">
        <f t="shared" si="306"/>
        <v>3.5</v>
      </c>
      <c r="Z722" s="14">
        <f t="shared" si="307"/>
        <v>-3.5</v>
      </c>
      <c r="AA722" s="11">
        <f t="shared" si="309"/>
        <v>2.41</v>
      </c>
      <c r="AB722" s="9">
        <f t="shared" si="312"/>
        <v>4.82</v>
      </c>
      <c r="AD722" s="13">
        <f>IF(AH722&gt;AH721,AD721,IF(AD721&lt;MiscData!$F$1,EOMONTH(AD721,1),EOMONTH(AD721,-11)))</f>
        <v>42277</v>
      </c>
      <c r="AE722" s="7" t="str">
        <f t="shared" si="304"/>
        <v>20140101KUUM_376</v>
      </c>
      <c r="AF722" s="12" t="str">
        <f t="shared" si="305"/>
        <v>20140101LS</v>
      </c>
      <c r="AG722" s="31"/>
      <c r="AH722">
        <f>IF(AH721=MiscData!$AB$91,1,AH721+1)</f>
        <v>17</v>
      </c>
      <c r="AI722">
        <f>IF(AD722&lt;=MiscData!$B$23,MiscData!$C$23,IF(AD722&lt;=MiscData!$B$24,MiscData!$C$24,MiscData!$C$25))</f>
        <v>20140101</v>
      </c>
      <c r="AK722" s="190" t="str">
        <f>VLOOKUP(AM722,MiscData!$AB$4:$ACB$113,2,FALSE)</f>
        <v>KUUM_376</v>
      </c>
      <c r="AL722" s="190" t="str">
        <f>VLOOKUP(AM722,MiscData!$AB$4:$AE$115,4,FALSE)</f>
        <v>LS</v>
      </c>
      <c r="AM722">
        <f>IF(AM721=MiscData!$AB$91,1,AM721+1)</f>
        <v>17</v>
      </c>
    </row>
    <row r="723" spans="1:39">
      <c r="A723" s="7">
        <f t="shared" si="308"/>
        <v>722</v>
      </c>
      <c r="B723" s="13" t="str">
        <f t="shared" si="289"/>
        <v>Sep 2015</v>
      </c>
      <c r="C723" s="23" t="str">
        <f t="shared" si="290"/>
        <v>LS</v>
      </c>
      <c r="D723" s="23" t="str">
        <f t="shared" si="291"/>
        <v>KUUM_377</v>
      </c>
      <c r="E723" s="170">
        <f t="shared" si="292"/>
        <v>49</v>
      </c>
      <c r="F723" s="185"/>
      <c r="G723" s="170">
        <f t="shared" si="293"/>
        <v>0</v>
      </c>
      <c r="H723" s="170">
        <v>0</v>
      </c>
      <c r="I723" s="11">
        <f t="shared" si="294"/>
        <v>64.19</v>
      </c>
      <c r="J723" s="11">
        <f t="shared" si="295"/>
        <v>1.75</v>
      </c>
      <c r="K723" s="416">
        <f t="shared" si="310"/>
        <v>3145.31</v>
      </c>
      <c r="L723" s="180"/>
      <c r="M723" s="180"/>
      <c r="N723" s="186">
        <f t="shared" si="288"/>
        <v>3145.31</v>
      </c>
      <c r="O723" s="29">
        <f t="shared" si="296"/>
        <v>0</v>
      </c>
      <c r="P723" s="181">
        <f t="shared" si="311"/>
        <v>0</v>
      </c>
      <c r="Q723" s="182">
        <f t="shared" si="297"/>
        <v>0</v>
      </c>
      <c r="R723" s="182">
        <f t="shared" si="298"/>
        <v>0</v>
      </c>
      <c r="S723" s="182">
        <f t="shared" si="299"/>
        <v>0</v>
      </c>
      <c r="T723" s="182">
        <f t="shared" si="300"/>
        <v>0</v>
      </c>
      <c r="U723" s="182">
        <f t="shared" si="301"/>
        <v>0</v>
      </c>
      <c r="V723" s="14">
        <f t="shared" si="302"/>
        <v>3145.31</v>
      </c>
      <c r="W723" s="14">
        <f t="shared" si="303"/>
        <v>-3145.31</v>
      </c>
      <c r="Y723" s="14">
        <f t="shared" si="306"/>
        <v>85.75</v>
      </c>
      <c r="Z723" s="14">
        <f t="shared" si="307"/>
        <v>-85.75</v>
      </c>
      <c r="AA723" s="11">
        <f t="shared" si="309"/>
        <v>2.41</v>
      </c>
      <c r="AB723" s="9">
        <f t="shared" si="312"/>
        <v>118.09</v>
      </c>
      <c r="AD723" s="13">
        <f>IF(AH723&gt;AH722,AD722,IF(AD722&lt;MiscData!$F$1,EOMONTH(AD722,1),EOMONTH(AD722,-11)))</f>
        <v>42277</v>
      </c>
      <c r="AE723" s="7" t="str">
        <f t="shared" si="304"/>
        <v>20140101KUUM_377</v>
      </c>
      <c r="AF723" s="12" t="str">
        <f t="shared" si="305"/>
        <v>20140101LS</v>
      </c>
      <c r="AG723" s="31"/>
      <c r="AH723">
        <f>IF(AH722=MiscData!$AB$91,1,AH722+1)</f>
        <v>18</v>
      </c>
      <c r="AI723">
        <f>IF(AD723&lt;=MiscData!$B$23,MiscData!$C$23,IF(AD723&lt;=MiscData!$B$24,MiscData!$C$24,MiscData!$C$25))</f>
        <v>20140101</v>
      </c>
      <c r="AK723" s="190" t="str">
        <f>VLOOKUP(AM723,MiscData!$AB$4:$ACB$113,2,FALSE)</f>
        <v>KUUM_377</v>
      </c>
      <c r="AL723" s="190" t="str">
        <f>VLOOKUP(AM723,MiscData!$AB$4:$AE$115,4,FALSE)</f>
        <v>LS</v>
      </c>
      <c r="AM723">
        <f>IF(AM722=MiscData!$AB$91,1,AM722+1)</f>
        <v>18</v>
      </c>
    </row>
    <row r="724" spans="1:39">
      <c r="A724" s="7">
        <f t="shared" si="308"/>
        <v>723</v>
      </c>
      <c r="B724" s="13" t="str">
        <f t="shared" si="289"/>
        <v>Sep 2015</v>
      </c>
      <c r="C724" s="23" t="str">
        <f t="shared" si="290"/>
        <v>LS</v>
      </c>
      <c r="D724" s="23" t="str">
        <f t="shared" si="291"/>
        <v>KUUM_378</v>
      </c>
      <c r="E724" s="170">
        <f t="shared" si="292"/>
        <v>2</v>
      </c>
      <c r="F724" s="185"/>
      <c r="G724" s="170">
        <f t="shared" si="293"/>
        <v>0</v>
      </c>
      <c r="H724" s="170">
        <v>0</v>
      </c>
      <c r="I724" s="11">
        <f t="shared" si="294"/>
        <v>75.899999999999991</v>
      </c>
      <c r="J724" s="11">
        <f t="shared" si="295"/>
        <v>1.75</v>
      </c>
      <c r="K724" s="416">
        <f t="shared" si="310"/>
        <v>151.80000000000001</v>
      </c>
      <c r="L724" s="180"/>
      <c r="M724" s="180"/>
      <c r="N724" s="186">
        <f t="shared" si="288"/>
        <v>151.80000000000001</v>
      </c>
      <c r="O724" s="29">
        <f t="shared" si="296"/>
        <v>0</v>
      </c>
      <c r="P724" s="181">
        <f t="shared" si="311"/>
        <v>0</v>
      </c>
      <c r="Q724" s="182">
        <f t="shared" si="297"/>
        <v>0</v>
      </c>
      <c r="R724" s="182">
        <f t="shared" si="298"/>
        <v>0</v>
      </c>
      <c r="S724" s="182">
        <f t="shared" si="299"/>
        <v>0</v>
      </c>
      <c r="T724" s="182">
        <f t="shared" si="300"/>
        <v>0</v>
      </c>
      <c r="U724" s="182">
        <f t="shared" si="301"/>
        <v>0</v>
      </c>
      <c r="V724" s="14">
        <f t="shared" si="302"/>
        <v>151.80000000000001</v>
      </c>
      <c r="W724" s="14">
        <f t="shared" si="303"/>
        <v>-151.80000000000001</v>
      </c>
      <c r="Y724" s="14">
        <f t="shared" si="306"/>
        <v>3.5</v>
      </c>
      <c r="Z724" s="14">
        <f t="shared" si="307"/>
        <v>-3.5</v>
      </c>
      <c r="AA724" s="11">
        <f t="shared" si="309"/>
        <v>2.41</v>
      </c>
      <c r="AB724" s="9">
        <f t="shared" si="312"/>
        <v>4.82</v>
      </c>
      <c r="AD724" s="13">
        <f>IF(AH724&gt;AH723,AD723,IF(AD723&lt;MiscData!$F$1,EOMONTH(AD723,1),EOMONTH(AD723,-11)))</f>
        <v>42277</v>
      </c>
      <c r="AE724" s="7" t="str">
        <f t="shared" si="304"/>
        <v>20140101KUUM_378</v>
      </c>
      <c r="AF724" s="12" t="str">
        <f t="shared" si="305"/>
        <v>20140101LS</v>
      </c>
      <c r="AG724" s="31"/>
      <c r="AH724">
        <f>IF(AH723=MiscData!$AB$91,1,AH723+1)</f>
        <v>19</v>
      </c>
      <c r="AI724">
        <f>IF(AD724&lt;=MiscData!$B$23,MiscData!$C$23,IF(AD724&lt;=MiscData!$B$24,MiscData!$C$24,MiscData!$C$25))</f>
        <v>20140101</v>
      </c>
      <c r="AK724" s="190" t="str">
        <f>VLOOKUP(AM724,MiscData!$AB$4:$ACB$113,2,FALSE)</f>
        <v>KUUM_378</v>
      </c>
      <c r="AL724" s="190" t="str">
        <f>VLOOKUP(AM724,MiscData!$AB$4:$AE$115,4,FALSE)</f>
        <v>LS</v>
      </c>
      <c r="AM724">
        <f>IF(AM723=MiscData!$AB$91,1,AM723+1)</f>
        <v>19</v>
      </c>
    </row>
    <row r="725" spans="1:39">
      <c r="A725" s="7">
        <f t="shared" si="308"/>
        <v>724</v>
      </c>
      <c r="B725" s="13" t="str">
        <f t="shared" si="289"/>
        <v>Sep 2015</v>
      </c>
      <c r="C725" s="23" t="str">
        <f t="shared" si="290"/>
        <v>LS</v>
      </c>
      <c r="D725" s="23" t="str">
        <f t="shared" si="291"/>
        <v>KUUM_401</v>
      </c>
      <c r="E725" s="170">
        <f t="shared" si="292"/>
        <v>50</v>
      </c>
      <c r="F725" s="185"/>
      <c r="G725" s="170">
        <f t="shared" si="293"/>
        <v>0</v>
      </c>
      <c r="H725" s="170">
        <v>0</v>
      </c>
      <c r="I725" s="11">
        <f t="shared" si="294"/>
        <v>14.860000000000001</v>
      </c>
      <c r="J725" s="11">
        <f t="shared" si="295"/>
        <v>0.80000000000000071</v>
      </c>
      <c r="K725" s="416">
        <f t="shared" si="310"/>
        <v>743</v>
      </c>
      <c r="L725" s="180"/>
      <c r="M725" s="180"/>
      <c r="N725" s="186">
        <f t="shared" si="288"/>
        <v>743</v>
      </c>
      <c r="O725" s="29">
        <f t="shared" si="296"/>
        <v>0</v>
      </c>
      <c r="P725" s="181">
        <f t="shared" si="311"/>
        <v>0</v>
      </c>
      <c r="Q725" s="182">
        <f t="shared" si="297"/>
        <v>0</v>
      </c>
      <c r="R725" s="182">
        <f t="shared" si="298"/>
        <v>0</v>
      </c>
      <c r="S725" s="182">
        <f t="shared" si="299"/>
        <v>0</v>
      </c>
      <c r="T725" s="182">
        <f t="shared" si="300"/>
        <v>0</v>
      </c>
      <c r="U725" s="182">
        <f t="shared" si="301"/>
        <v>0</v>
      </c>
      <c r="V725" s="14">
        <f t="shared" si="302"/>
        <v>743</v>
      </c>
      <c r="W725" s="14">
        <f t="shared" si="303"/>
        <v>-743</v>
      </c>
      <c r="Y725" s="14">
        <f t="shared" si="306"/>
        <v>40</v>
      </c>
      <c r="Z725" s="14">
        <f t="shared" si="307"/>
        <v>-40</v>
      </c>
      <c r="AA725" s="11">
        <f t="shared" si="309"/>
        <v>0.43</v>
      </c>
      <c r="AB725" s="9">
        <f t="shared" si="312"/>
        <v>21.5</v>
      </c>
      <c r="AD725" s="13">
        <f>IF(AH725&gt;AH724,AD724,IF(AD724&lt;MiscData!$F$1,EOMONTH(AD724,1),EOMONTH(AD724,-11)))</f>
        <v>42277</v>
      </c>
      <c r="AE725" s="7" t="str">
        <f t="shared" si="304"/>
        <v>20140101KUUM_401</v>
      </c>
      <c r="AF725" s="12" t="str">
        <f t="shared" si="305"/>
        <v>20140101LS</v>
      </c>
      <c r="AG725" s="31"/>
      <c r="AH725">
        <f>IF(AH724=MiscData!$AB$91,1,AH724+1)</f>
        <v>20</v>
      </c>
      <c r="AI725">
        <f>IF(AD725&lt;=MiscData!$B$23,MiscData!$C$23,IF(AD725&lt;=MiscData!$B$24,MiscData!$C$24,MiscData!$C$25))</f>
        <v>20140101</v>
      </c>
      <c r="AK725" s="190" t="str">
        <f>VLOOKUP(AM725,MiscData!$AB$4:$ACB$113,2,FALSE)</f>
        <v>KUUM_401</v>
      </c>
      <c r="AL725" s="190" t="str">
        <f>VLOOKUP(AM725,MiscData!$AB$4:$AE$115,4,FALSE)</f>
        <v>LS</v>
      </c>
      <c r="AM725">
        <f>IF(AM724=MiscData!$AB$91,1,AM724+1)</f>
        <v>20</v>
      </c>
    </row>
    <row r="726" spans="1:39">
      <c r="A726" s="7">
        <f t="shared" si="308"/>
        <v>725</v>
      </c>
      <c r="B726" s="13" t="str">
        <f t="shared" si="289"/>
        <v>Sep 2015</v>
      </c>
      <c r="C726" s="23" t="str">
        <f t="shared" si="290"/>
        <v>RLS</v>
      </c>
      <c r="D726" s="23" t="str">
        <f t="shared" si="291"/>
        <v>KUUM_404</v>
      </c>
      <c r="E726" s="170">
        <f t="shared" si="292"/>
        <v>7169</v>
      </c>
      <c r="F726" s="185"/>
      <c r="G726" s="170">
        <f t="shared" si="293"/>
        <v>0</v>
      </c>
      <c r="H726" s="170">
        <v>0</v>
      </c>
      <c r="I726" s="11">
        <f t="shared" si="294"/>
        <v>10.570000000000002</v>
      </c>
      <c r="J726" s="11">
        <f t="shared" si="295"/>
        <v>1.9900000000000002</v>
      </c>
      <c r="K726" s="416">
        <f t="shared" si="310"/>
        <v>75776.33</v>
      </c>
      <c r="L726" s="180"/>
      <c r="M726" s="180"/>
      <c r="N726" s="186">
        <f t="shared" si="288"/>
        <v>75776.33</v>
      </c>
      <c r="O726" s="29">
        <f t="shared" si="296"/>
        <v>0</v>
      </c>
      <c r="P726" s="181">
        <f t="shared" si="311"/>
        <v>0</v>
      </c>
      <c r="Q726" s="182">
        <f t="shared" si="297"/>
        <v>0</v>
      </c>
      <c r="R726" s="182">
        <f t="shared" si="298"/>
        <v>0</v>
      </c>
      <c r="S726" s="182">
        <f t="shared" si="299"/>
        <v>0</v>
      </c>
      <c r="T726" s="182">
        <f t="shared" si="300"/>
        <v>0</v>
      </c>
      <c r="U726" s="182">
        <f t="shared" si="301"/>
        <v>0</v>
      </c>
      <c r="V726" s="14">
        <f t="shared" si="302"/>
        <v>75776.33</v>
      </c>
      <c r="W726" s="14">
        <f t="shared" si="303"/>
        <v>-75776.33</v>
      </c>
      <c r="Y726" s="14">
        <f t="shared" si="306"/>
        <v>14266.31</v>
      </c>
      <c r="Z726" s="14">
        <f t="shared" si="307"/>
        <v>-14266.31</v>
      </c>
      <c r="AA726" s="11">
        <f t="shared" si="309"/>
        <v>0.39</v>
      </c>
      <c r="AB726" s="9">
        <f t="shared" si="312"/>
        <v>2795.9100000000003</v>
      </c>
      <c r="AD726" s="13">
        <f>IF(AH726&gt;AH725,AD725,IF(AD725&lt;MiscData!$F$1,EOMONTH(AD725,1),EOMONTH(AD725,-11)))</f>
        <v>42277</v>
      </c>
      <c r="AE726" s="7" t="str">
        <f t="shared" si="304"/>
        <v>20140101KUUM_404</v>
      </c>
      <c r="AF726" s="12" t="str">
        <f t="shared" si="305"/>
        <v>20140101RLS</v>
      </c>
      <c r="AG726" s="31"/>
      <c r="AH726">
        <f>IF(AH725=MiscData!$AB$91,1,AH725+1)</f>
        <v>21</v>
      </c>
      <c r="AI726">
        <f>IF(AD726&lt;=MiscData!$B$23,MiscData!$C$23,IF(AD726&lt;=MiscData!$B$24,MiscData!$C$24,MiscData!$C$25))</f>
        <v>20140101</v>
      </c>
      <c r="AK726" s="190" t="str">
        <f>VLOOKUP(AM726,MiscData!$AB$4:$ACB$113,2,FALSE)</f>
        <v>KUUM_404</v>
      </c>
      <c r="AL726" s="190" t="str">
        <f>VLOOKUP(AM726,MiscData!$AB$4:$AE$115,4,FALSE)</f>
        <v>RLS</v>
      </c>
      <c r="AM726">
        <f>IF(AM725=MiscData!$AB$91,1,AM725+1)</f>
        <v>21</v>
      </c>
    </row>
    <row r="727" spans="1:39">
      <c r="A727" s="7">
        <f t="shared" si="308"/>
        <v>726</v>
      </c>
      <c r="B727" s="13" t="str">
        <f t="shared" si="289"/>
        <v>Sep 2015</v>
      </c>
      <c r="C727" s="23" t="str">
        <f t="shared" si="290"/>
        <v>RLS</v>
      </c>
      <c r="D727" s="23" t="str">
        <f t="shared" si="291"/>
        <v>KUUM_405</v>
      </c>
      <c r="E727" s="170">
        <f t="shared" si="292"/>
        <v>0</v>
      </c>
      <c r="F727" s="185"/>
      <c r="G727" s="170">
        <f t="shared" si="293"/>
        <v>0</v>
      </c>
      <c r="H727" s="170">
        <v>0</v>
      </c>
      <c r="I727" s="11">
        <f t="shared" si="294"/>
        <v>0</v>
      </c>
      <c r="J727" s="11">
        <f t="shared" si="295"/>
        <v>0</v>
      </c>
      <c r="K727" s="416">
        <f t="shared" si="310"/>
        <v>0</v>
      </c>
      <c r="L727" s="180"/>
      <c r="M727" s="180"/>
      <c r="N727" s="186">
        <f t="shared" si="288"/>
        <v>0</v>
      </c>
      <c r="O727" s="29">
        <f t="shared" si="296"/>
        <v>0</v>
      </c>
      <c r="P727" s="181">
        <f t="shared" si="311"/>
        <v>1</v>
      </c>
      <c r="Q727" s="182">
        <f t="shared" si="297"/>
        <v>0</v>
      </c>
      <c r="R727" s="182">
        <f t="shared" si="298"/>
        <v>0</v>
      </c>
      <c r="S727" s="182">
        <f t="shared" si="299"/>
        <v>0</v>
      </c>
      <c r="T727" s="182">
        <f t="shared" si="300"/>
        <v>0</v>
      </c>
      <c r="U727" s="182">
        <f t="shared" si="301"/>
        <v>0</v>
      </c>
      <c r="V727" s="14">
        <f t="shared" si="302"/>
        <v>0</v>
      </c>
      <c r="W727" s="14">
        <f t="shared" si="303"/>
        <v>0</v>
      </c>
      <c r="Y727" s="14">
        <f t="shared" si="306"/>
        <v>0</v>
      </c>
      <c r="Z727" s="14">
        <f t="shared" si="307"/>
        <v>0</v>
      </c>
      <c r="AA727" s="11">
        <f t="shared" si="309"/>
        <v>0</v>
      </c>
      <c r="AB727" s="9">
        <f t="shared" si="312"/>
        <v>0</v>
      </c>
      <c r="AD727" s="13">
        <f>IF(AH727&gt;AH726,AD726,IF(AD726&lt;MiscData!$F$1,EOMONTH(AD726,1),EOMONTH(AD726,-11)))</f>
        <v>42277</v>
      </c>
      <c r="AE727" s="7" t="str">
        <f t="shared" si="304"/>
        <v>20140101KUUM_405</v>
      </c>
      <c r="AF727" s="12" t="str">
        <f t="shared" si="305"/>
        <v>20140101RLS</v>
      </c>
      <c r="AG727" s="31"/>
      <c r="AH727">
        <f>IF(AH726=MiscData!$AB$91,1,AH726+1)</f>
        <v>22</v>
      </c>
      <c r="AI727">
        <f>IF(AD727&lt;=MiscData!$B$23,MiscData!$C$23,IF(AD727&lt;=MiscData!$B$24,MiscData!$C$24,MiscData!$C$25))</f>
        <v>20140101</v>
      </c>
      <c r="AK727" s="190" t="str">
        <f>VLOOKUP(AM727,MiscData!$AB$4:$ACB$113,2,FALSE)</f>
        <v>KUUM_405</v>
      </c>
      <c r="AL727" s="190" t="str">
        <f>VLOOKUP(AM727,MiscData!$AB$4:$AE$115,4,FALSE)</f>
        <v>RLS</v>
      </c>
      <c r="AM727">
        <f>IF(AM726=MiscData!$AB$91,1,AM726+1)</f>
        <v>22</v>
      </c>
    </row>
    <row r="728" spans="1:39">
      <c r="A728" s="7">
        <f t="shared" si="308"/>
        <v>727</v>
      </c>
      <c r="B728" s="13" t="str">
        <f t="shared" si="289"/>
        <v>Sep 2015</v>
      </c>
      <c r="C728" s="23" t="str">
        <f t="shared" si="290"/>
        <v>LS</v>
      </c>
      <c r="D728" s="23" t="str">
        <f t="shared" si="291"/>
        <v>KUUM_407</v>
      </c>
      <c r="E728" s="170">
        <f t="shared" si="292"/>
        <v>0</v>
      </c>
      <c r="F728" s="185"/>
      <c r="G728" s="170">
        <f t="shared" si="293"/>
        <v>0</v>
      </c>
      <c r="H728" s="170">
        <v>0</v>
      </c>
      <c r="I728" s="11">
        <f t="shared" si="294"/>
        <v>0</v>
      </c>
      <c r="J728" s="11">
        <f t="shared" si="295"/>
        <v>0</v>
      </c>
      <c r="K728" s="416">
        <f t="shared" si="310"/>
        <v>0</v>
      </c>
      <c r="L728" s="180"/>
      <c r="M728" s="180"/>
      <c r="N728" s="186">
        <f t="shared" si="288"/>
        <v>0</v>
      </c>
      <c r="O728" s="29">
        <f t="shared" si="296"/>
        <v>0</v>
      </c>
      <c r="P728" s="181">
        <f t="shared" si="311"/>
        <v>1</v>
      </c>
      <c r="Q728" s="182">
        <f t="shared" si="297"/>
        <v>0</v>
      </c>
      <c r="R728" s="182">
        <f t="shared" si="298"/>
        <v>0</v>
      </c>
      <c r="S728" s="182">
        <f t="shared" si="299"/>
        <v>0</v>
      </c>
      <c r="T728" s="182">
        <f t="shared" si="300"/>
        <v>0</v>
      </c>
      <c r="U728" s="182">
        <f t="shared" si="301"/>
        <v>0</v>
      </c>
      <c r="V728" s="14">
        <f t="shared" si="302"/>
        <v>0</v>
      </c>
      <c r="W728" s="14">
        <f t="shared" si="303"/>
        <v>0</v>
      </c>
      <c r="Y728" s="14">
        <f t="shared" si="306"/>
        <v>0</v>
      </c>
      <c r="Z728" s="14">
        <f t="shared" si="307"/>
        <v>0</v>
      </c>
      <c r="AA728" s="11">
        <f t="shared" si="309"/>
        <v>0</v>
      </c>
      <c r="AB728" s="9">
        <f t="shared" si="312"/>
        <v>0</v>
      </c>
      <c r="AD728" s="13">
        <f>IF(AH728&gt;AH727,AD727,IF(AD727&lt;MiscData!$F$1,EOMONTH(AD727,1),EOMONTH(AD727,-11)))</f>
        <v>42277</v>
      </c>
      <c r="AE728" s="7" t="str">
        <f t="shared" si="304"/>
        <v>20140101KUUM_407</v>
      </c>
      <c r="AF728" s="12" t="str">
        <f t="shared" si="305"/>
        <v>20140101LS</v>
      </c>
      <c r="AG728" s="31"/>
      <c r="AH728">
        <f>IF(AH727=MiscData!$AB$91,1,AH727+1)</f>
        <v>23</v>
      </c>
      <c r="AI728">
        <f>IF(AD728&lt;=MiscData!$B$23,MiscData!$C$23,IF(AD728&lt;=MiscData!$B$24,MiscData!$C$24,MiscData!$C$25))</f>
        <v>20140101</v>
      </c>
      <c r="AK728" s="190" t="str">
        <f>VLOOKUP(AM728,MiscData!$AB$4:$ACB$113,2,FALSE)</f>
        <v>KUUM_407</v>
      </c>
      <c r="AL728" s="190" t="str">
        <f>VLOOKUP(AM728,MiscData!$AB$4:$AE$115,4,FALSE)</f>
        <v>LS</v>
      </c>
      <c r="AM728">
        <f>IF(AM727=MiscData!$AB$91,1,AM727+1)</f>
        <v>23</v>
      </c>
    </row>
    <row r="729" spans="1:39">
      <c r="A729" s="7">
        <f t="shared" si="308"/>
        <v>728</v>
      </c>
      <c r="B729" s="13" t="str">
        <f t="shared" si="289"/>
        <v>Sep 2015</v>
      </c>
      <c r="C729" s="23" t="str">
        <f t="shared" si="290"/>
        <v>RLS</v>
      </c>
      <c r="D729" s="23" t="str">
        <f t="shared" si="291"/>
        <v>KUUM_409</v>
      </c>
      <c r="E729" s="170">
        <f t="shared" si="292"/>
        <v>134</v>
      </c>
      <c r="F729" s="185"/>
      <c r="G729" s="170">
        <f t="shared" si="293"/>
        <v>0</v>
      </c>
      <c r="H729" s="170">
        <v>0</v>
      </c>
      <c r="I729" s="11">
        <f t="shared" si="294"/>
        <v>11.71</v>
      </c>
      <c r="J729" s="11">
        <f t="shared" si="295"/>
        <v>4.5299999999999994</v>
      </c>
      <c r="K729" s="416">
        <f t="shared" si="310"/>
        <v>1569.14</v>
      </c>
      <c r="L729" s="180"/>
      <c r="M729" s="180"/>
      <c r="N729" s="186">
        <f t="shared" si="288"/>
        <v>1569.14</v>
      </c>
      <c r="O729" s="29">
        <f t="shared" si="296"/>
        <v>0</v>
      </c>
      <c r="P729" s="181">
        <f t="shared" si="311"/>
        <v>0</v>
      </c>
      <c r="Q729" s="182">
        <f t="shared" si="297"/>
        <v>0</v>
      </c>
      <c r="R729" s="182">
        <f t="shared" si="298"/>
        <v>0</v>
      </c>
      <c r="S729" s="182">
        <f t="shared" si="299"/>
        <v>0</v>
      </c>
      <c r="T729" s="182">
        <f t="shared" si="300"/>
        <v>0</v>
      </c>
      <c r="U729" s="182">
        <f t="shared" si="301"/>
        <v>0</v>
      </c>
      <c r="V729" s="14">
        <f t="shared" si="302"/>
        <v>1569.14</v>
      </c>
      <c r="W729" s="14">
        <f t="shared" si="303"/>
        <v>-1569.14</v>
      </c>
      <c r="Y729" s="14">
        <f t="shared" si="306"/>
        <v>607.02</v>
      </c>
      <c r="Z729" s="14">
        <f t="shared" si="307"/>
        <v>-607.02</v>
      </c>
      <c r="AA729" s="11">
        <f t="shared" si="309"/>
        <v>0.79</v>
      </c>
      <c r="AB729" s="9">
        <f t="shared" si="312"/>
        <v>105.86</v>
      </c>
      <c r="AD729" s="13">
        <f>IF(AH729&gt;AH728,AD728,IF(AD728&lt;MiscData!$F$1,EOMONTH(AD728,1),EOMONTH(AD728,-11)))</f>
        <v>42277</v>
      </c>
      <c r="AE729" s="7" t="str">
        <f t="shared" si="304"/>
        <v>20140101KUUM_409</v>
      </c>
      <c r="AF729" s="12" t="str">
        <f t="shared" si="305"/>
        <v>20140101RLS</v>
      </c>
      <c r="AG729" s="31"/>
      <c r="AH729">
        <f>IF(AH728=MiscData!$AB$91,1,AH728+1)</f>
        <v>24</v>
      </c>
      <c r="AI729">
        <f>IF(AD729&lt;=MiscData!$B$23,MiscData!$C$23,IF(AD729&lt;=MiscData!$B$24,MiscData!$C$24,MiscData!$C$25))</f>
        <v>20140101</v>
      </c>
      <c r="AK729" s="190" t="str">
        <f>VLOOKUP(AM729,MiscData!$AB$4:$ACB$113,2,FALSE)</f>
        <v>KUUM_409</v>
      </c>
      <c r="AL729" s="190" t="str">
        <f>VLOOKUP(AM729,MiscData!$AB$4:$AE$115,4,FALSE)</f>
        <v>RLS</v>
      </c>
      <c r="AM729">
        <f>IF(AM728=MiscData!$AB$91,1,AM728+1)</f>
        <v>24</v>
      </c>
    </row>
    <row r="730" spans="1:39">
      <c r="A730" s="7">
        <f t="shared" si="308"/>
        <v>729</v>
      </c>
      <c r="B730" s="13" t="str">
        <f t="shared" si="289"/>
        <v>Sep 2015</v>
      </c>
      <c r="C730" s="23" t="str">
        <f t="shared" si="290"/>
        <v>RLS</v>
      </c>
      <c r="D730" s="23" t="str">
        <f t="shared" si="291"/>
        <v>KUUM_410</v>
      </c>
      <c r="E730" s="170">
        <f t="shared" si="292"/>
        <v>236</v>
      </c>
      <c r="F730" s="185"/>
      <c r="G730" s="170">
        <f t="shared" si="293"/>
        <v>0</v>
      </c>
      <c r="H730" s="170">
        <v>0</v>
      </c>
      <c r="I730" s="11">
        <f t="shared" si="294"/>
        <v>20.259999999999998</v>
      </c>
      <c r="J730" s="11">
        <f t="shared" si="295"/>
        <v>0.57000000000000028</v>
      </c>
      <c r="K730" s="416">
        <f t="shared" si="310"/>
        <v>4781.3599999999997</v>
      </c>
      <c r="L730" s="180"/>
      <c r="M730" s="180"/>
      <c r="N730" s="186">
        <f t="shared" si="288"/>
        <v>4781.3599999999997</v>
      </c>
      <c r="O730" s="29">
        <f t="shared" si="296"/>
        <v>0</v>
      </c>
      <c r="P730" s="181">
        <f t="shared" si="311"/>
        <v>0</v>
      </c>
      <c r="Q730" s="182">
        <f t="shared" si="297"/>
        <v>0</v>
      </c>
      <c r="R730" s="182">
        <f t="shared" si="298"/>
        <v>0</v>
      </c>
      <c r="S730" s="182">
        <f t="shared" si="299"/>
        <v>0</v>
      </c>
      <c r="T730" s="182">
        <f t="shared" si="300"/>
        <v>0</v>
      </c>
      <c r="U730" s="182">
        <f t="shared" si="301"/>
        <v>0</v>
      </c>
      <c r="V730" s="14">
        <f t="shared" si="302"/>
        <v>4781.3599999999997</v>
      </c>
      <c r="W730" s="14">
        <f t="shared" si="303"/>
        <v>-4781.3599999999997</v>
      </c>
      <c r="Y730" s="14">
        <f t="shared" si="306"/>
        <v>134.52000000000001</v>
      </c>
      <c r="Z730" s="14">
        <f t="shared" si="307"/>
        <v>-134.52000000000001</v>
      </c>
      <c r="AA730" s="11">
        <f t="shared" si="309"/>
        <v>0.33</v>
      </c>
      <c r="AB730" s="9">
        <f t="shared" si="312"/>
        <v>77.88000000000001</v>
      </c>
      <c r="AD730" s="13">
        <f>IF(AH730&gt;AH729,AD729,IF(AD729&lt;MiscData!$F$1,EOMONTH(AD729,1),EOMONTH(AD729,-11)))</f>
        <v>42277</v>
      </c>
      <c r="AE730" s="7" t="str">
        <f t="shared" si="304"/>
        <v>20140101KUUM_410</v>
      </c>
      <c r="AF730" s="12" t="str">
        <f t="shared" si="305"/>
        <v>20140101RLS</v>
      </c>
      <c r="AG730" s="31"/>
      <c r="AH730">
        <f>IF(AH729=MiscData!$AB$91,1,AH729+1)</f>
        <v>25</v>
      </c>
      <c r="AI730">
        <f>IF(AD730&lt;=MiscData!$B$23,MiscData!$C$23,IF(AD730&lt;=MiscData!$B$24,MiscData!$C$24,MiscData!$C$25))</f>
        <v>20140101</v>
      </c>
      <c r="AK730" s="190" t="str">
        <f>VLOOKUP(AM730,MiscData!$AB$4:$ACB$113,2,FALSE)</f>
        <v>KUUM_410</v>
      </c>
      <c r="AL730" s="190" t="str">
        <f>VLOOKUP(AM730,MiscData!$AB$4:$AE$115,4,FALSE)</f>
        <v>RLS</v>
      </c>
      <c r="AM730">
        <f>IF(AM729=MiscData!$AB$91,1,AM729+1)</f>
        <v>25</v>
      </c>
    </row>
    <row r="731" spans="1:39">
      <c r="A731" s="7">
        <f t="shared" si="308"/>
        <v>730</v>
      </c>
      <c r="B731" s="13" t="str">
        <f t="shared" si="289"/>
        <v>Sep 2015</v>
      </c>
      <c r="C731" s="23" t="str">
        <f t="shared" si="290"/>
        <v>LS</v>
      </c>
      <c r="D731" s="23" t="str">
        <f t="shared" si="291"/>
        <v>KUUM_411</v>
      </c>
      <c r="E731" s="170">
        <f t="shared" si="292"/>
        <v>142</v>
      </c>
      <c r="F731" s="185"/>
      <c r="G731" s="170">
        <f t="shared" si="293"/>
        <v>0</v>
      </c>
      <c r="H731" s="170">
        <v>0</v>
      </c>
      <c r="I731" s="11">
        <f t="shared" si="294"/>
        <v>21.38</v>
      </c>
      <c r="J731" s="11">
        <f t="shared" si="295"/>
        <v>0.79999999999999716</v>
      </c>
      <c r="K731" s="416">
        <f t="shared" si="310"/>
        <v>3035.96</v>
      </c>
      <c r="L731" s="180"/>
      <c r="M731" s="180"/>
      <c r="N731" s="186">
        <f t="shared" si="288"/>
        <v>3035.96</v>
      </c>
      <c r="O731" s="29">
        <f t="shared" si="296"/>
        <v>0</v>
      </c>
      <c r="P731" s="181">
        <f t="shared" si="311"/>
        <v>0</v>
      </c>
      <c r="Q731" s="182">
        <f t="shared" si="297"/>
        <v>0</v>
      </c>
      <c r="R731" s="182">
        <f t="shared" si="298"/>
        <v>0</v>
      </c>
      <c r="S731" s="182">
        <f t="shared" si="299"/>
        <v>0</v>
      </c>
      <c r="T731" s="182">
        <f t="shared" si="300"/>
        <v>0</v>
      </c>
      <c r="U731" s="182">
        <f t="shared" si="301"/>
        <v>0</v>
      </c>
      <c r="V731" s="14">
        <f t="shared" si="302"/>
        <v>3035.96</v>
      </c>
      <c r="W731" s="14">
        <f t="shared" si="303"/>
        <v>-3035.96</v>
      </c>
      <c r="Y731" s="14">
        <f t="shared" si="306"/>
        <v>113.6</v>
      </c>
      <c r="Z731" s="14">
        <f t="shared" si="307"/>
        <v>-113.6</v>
      </c>
      <c r="AA731" s="11">
        <f t="shared" si="309"/>
        <v>0.43</v>
      </c>
      <c r="AB731" s="9">
        <f t="shared" si="312"/>
        <v>61.06</v>
      </c>
      <c r="AD731" s="13">
        <f>IF(AH731&gt;AH730,AD730,IF(AD730&lt;MiscData!$F$1,EOMONTH(AD730,1),EOMONTH(AD730,-11)))</f>
        <v>42277</v>
      </c>
      <c r="AE731" s="7" t="str">
        <f t="shared" si="304"/>
        <v>20140101KUUM_411</v>
      </c>
      <c r="AF731" s="12" t="str">
        <f t="shared" si="305"/>
        <v>20140101LS</v>
      </c>
      <c r="AG731" s="31"/>
      <c r="AH731">
        <f>IF(AH730=MiscData!$AB$91,1,AH730+1)</f>
        <v>26</v>
      </c>
      <c r="AI731">
        <f>IF(AD731&lt;=MiscData!$B$23,MiscData!$C$23,IF(AD731&lt;=MiscData!$B$24,MiscData!$C$24,MiscData!$C$25))</f>
        <v>20140101</v>
      </c>
      <c r="AK731" s="190" t="str">
        <f>VLOOKUP(AM731,MiscData!$AB$4:$ACB$113,2,FALSE)</f>
        <v>KUUM_411</v>
      </c>
      <c r="AL731" s="190" t="str">
        <f>VLOOKUP(AM731,MiscData!$AB$4:$AE$115,4,FALSE)</f>
        <v>LS</v>
      </c>
      <c r="AM731">
        <f>IF(AM730=MiscData!$AB$91,1,AM730+1)</f>
        <v>26</v>
      </c>
    </row>
    <row r="732" spans="1:39">
      <c r="A732" s="7">
        <f t="shared" si="308"/>
        <v>731</v>
      </c>
      <c r="B732" s="13" t="str">
        <f t="shared" si="289"/>
        <v>Sep 2015</v>
      </c>
      <c r="C732" s="23" t="str">
        <f t="shared" si="290"/>
        <v>RLS</v>
      </c>
      <c r="D732" s="23" t="str">
        <f t="shared" si="291"/>
        <v>KUUM_412</v>
      </c>
      <c r="E732" s="170">
        <f t="shared" si="292"/>
        <v>28</v>
      </c>
      <c r="F732" s="185"/>
      <c r="G732" s="170">
        <f t="shared" si="293"/>
        <v>0</v>
      </c>
      <c r="H732" s="170">
        <v>0</v>
      </c>
      <c r="I732" s="11">
        <f t="shared" si="294"/>
        <v>30.84</v>
      </c>
      <c r="J732" s="11">
        <f t="shared" si="295"/>
        <v>0.79999999999999716</v>
      </c>
      <c r="K732" s="416">
        <f t="shared" si="310"/>
        <v>863.52</v>
      </c>
      <c r="L732" s="180"/>
      <c r="M732" s="180"/>
      <c r="N732" s="186">
        <f t="shared" si="288"/>
        <v>863.52</v>
      </c>
      <c r="O732" s="29">
        <f t="shared" si="296"/>
        <v>0</v>
      </c>
      <c r="P732" s="181">
        <f t="shared" si="311"/>
        <v>0</v>
      </c>
      <c r="Q732" s="182">
        <f t="shared" si="297"/>
        <v>0</v>
      </c>
      <c r="R732" s="182">
        <f t="shared" si="298"/>
        <v>0</v>
      </c>
      <c r="S732" s="182">
        <f t="shared" si="299"/>
        <v>0</v>
      </c>
      <c r="T732" s="182">
        <f t="shared" si="300"/>
        <v>0</v>
      </c>
      <c r="U732" s="182">
        <f t="shared" si="301"/>
        <v>0</v>
      </c>
      <c r="V732" s="14">
        <f t="shared" si="302"/>
        <v>863.52</v>
      </c>
      <c r="W732" s="14">
        <f t="shared" si="303"/>
        <v>-863.52</v>
      </c>
      <c r="Y732" s="14">
        <f t="shared" si="306"/>
        <v>22.4</v>
      </c>
      <c r="Z732" s="14">
        <f t="shared" si="307"/>
        <v>-22.4</v>
      </c>
      <c r="AA732" s="11">
        <f t="shared" si="309"/>
        <v>0.43</v>
      </c>
      <c r="AB732" s="9">
        <f t="shared" si="312"/>
        <v>12.04</v>
      </c>
      <c r="AD732" s="13">
        <f>IF(AH732&gt;AH731,AD731,IF(AD731&lt;MiscData!$F$1,EOMONTH(AD731,1),EOMONTH(AD731,-11)))</f>
        <v>42277</v>
      </c>
      <c r="AE732" s="7" t="str">
        <f t="shared" si="304"/>
        <v>20140101KUUM_412</v>
      </c>
      <c r="AF732" s="12" t="str">
        <f t="shared" si="305"/>
        <v>20140101RLS</v>
      </c>
      <c r="AG732" s="31"/>
      <c r="AH732">
        <f>IF(AH731=MiscData!$AB$91,1,AH731+1)</f>
        <v>27</v>
      </c>
      <c r="AI732">
        <f>IF(AD732&lt;=MiscData!$B$23,MiscData!$C$23,IF(AD732&lt;=MiscData!$B$24,MiscData!$C$24,MiscData!$C$25))</f>
        <v>20140101</v>
      </c>
      <c r="AK732" s="190" t="str">
        <f>VLOOKUP(AM732,MiscData!$AB$4:$ACB$113,2,FALSE)</f>
        <v>KUUM_412</v>
      </c>
      <c r="AL732" s="190" t="str">
        <f>VLOOKUP(AM732,MiscData!$AB$4:$AE$115,4,FALSE)</f>
        <v>RLS</v>
      </c>
      <c r="AM732">
        <f>IF(AM731=MiscData!$AB$91,1,AM731+1)</f>
        <v>27</v>
      </c>
    </row>
    <row r="733" spans="1:39">
      <c r="A733" s="7">
        <f t="shared" si="308"/>
        <v>732</v>
      </c>
      <c r="B733" s="13" t="str">
        <f t="shared" si="289"/>
        <v>Sep 2015</v>
      </c>
      <c r="C733" s="23" t="str">
        <f t="shared" si="290"/>
        <v>RLS</v>
      </c>
      <c r="D733" s="23" t="str">
        <f t="shared" si="291"/>
        <v>KUUM_413</v>
      </c>
      <c r="E733" s="170">
        <f t="shared" si="292"/>
        <v>95</v>
      </c>
      <c r="F733" s="185"/>
      <c r="G733" s="170">
        <f t="shared" si="293"/>
        <v>0</v>
      </c>
      <c r="H733" s="170">
        <v>0</v>
      </c>
      <c r="I733" s="11">
        <f t="shared" si="294"/>
        <v>31.22</v>
      </c>
      <c r="J733" s="11">
        <f t="shared" si="295"/>
        <v>1.129999999999999</v>
      </c>
      <c r="K733" s="416">
        <f t="shared" si="310"/>
        <v>2965.9</v>
      </c>
      <c r="L733" s="180"/>
      <c r="M733" s="180"/>
      <c r="N733" s="186">
        <f t="shared" si="288"/>
        <v>2965.9</v>
      </c>
      <c r="O733" s="29">
        <f t="shared" si="296"/>
        <v>0</v>
      </c>
      <c r="P733" s="181">
        <f t="shared" si="311"/>
        <v>0</v>
      </c>
      <c r="Q733" s="182">
        <f t="shared" si="297"/>
        <v>0</v>
      </c>
      <c r="R733" s="182">
        <f t="shared" si="298"/>
        <v>0</v>
      </c>
      <c r="S733" s="182">
        <f t="shared" si="299"/>
        <v>0</v>
      </c>
      <c r="T733" s="182">
        <f t="shared" si="300"/>
        <v>0</v>
      </c>
      <c r="U733" s="182">
        <f t="shared" si="301"/>
        <v>0</v>
      </c>
      <c r="V733" s="14">
        <f t="shared" si="302"/>
        <v>2965.9</v>
      </c>
      <c r="W733" s="14">
        <f t="shared" si="303"/>
        <v>-2965.9</v>
      </c>
      <c r="Y733" s="14">
        <f t="shared" si="306"/>
        <v>107.35</v>
      </c>
      <c r="Z733" s="14">
        <f t="shared" si="307"/>
        <v>-107.35</v>
      </c>
      <c r="AA733" s="11">
        <f t="shared" si="309"/>
        <v>0.34</v>
      </c>
      <c r="AB733" s="9">
        <f t="shared" si="312"/>
        <v>32.300000000000004</v>
      </c>
      <c r="AD733" s="13">
        <f>IF(AH733&gt;AH732,AD732,IF(AD732&lt;MiscData!$F$1,EOMONTH(AD732,1),EOMONTH(AD732,-11)))</f>
        <v>42277</v>
      </c>
      <c r="AE733" s="7" t="str">
        <f t="shared" si="304"/>
        <v>20140101KUUM_413</v>
      </c>
      <c r="AF733" s="12" t="str">
        <f t="shared" si="305"/>
        <v>20140101RLS</v>
      </c>
      <c r="AG733" s="31"/>
      <c r="AH733">
        <f>IF(AH732=MiscData!$AB$91,1,AH732+1)</f>
        <v>28</v>
      </c>
      <c r="AI733">
        <f>IF(AD733&lt;=MiscData!$B$23,MiscData!$C$23,IF(AD733&lt;=MiscData!$B$24,MiscData!$C$24,MiscData!$C$25))</f>
        <v>20140101</v>
      </c>
      <c r="AK733" s="190" t="str">
        <f>VLOOKUP(AM733,MiscData!$AB$4:$ACB$113,2,FALSE)</f>
        <v>KUUM_413</v>
      </c>
      <c r="AL733" s="190" t="str">
        <f>VLOOKUP(AM733,MiscData!$AB$4:$AE$115,4,FALSE)</f>
        <v>RLS</v>
      </c>
      <c r="AM733">
        <f>IF(AM732=MiscData!$AB$91,1,AM732+1)</f>
        <v>28</v>
      </c>
    </row>
    <row r="734" spans="1:39">
      <c r="A734" s="7">
        <f t="shared" si="308"/>
        <v>733</v>
      </c>
      <c r="B734" s="13" t="str">
        <f t="shared" si="289"/>
        <v>Sep 2015</v>
      </c>
      <c r="C734" s="23" t="str">
        <f t="shared" si="290"/>
        <v>LS</v>
      </c>
      <c r="D734" s="23" t="str">
        <f t="shared" si="291"/>
        <v>KUUM_414</v>
      </c>
      <c r="E734" s="170">
        <f t="shared" si="292"/>
        <v>21</v>
      </c>
      <c r="F734" s="185"/>
      <c r="G734" s="170">
        <f t="shared" si="293"/>
        <v>0</v>
      </c>
      <c r="H734" s="170">
        <v>0</v>
      </c>
      <c r="I734" s="11">
        <f t="shared" si="294"/>
        <v>30.84</v>
      </c>
      <c r="J734" s="11">
        <f t="shared" si="295"/>
        <v>0.79999999999999716</v>
      </c>
      <c r="K734" s="416">
        <f t="shared" si="310"/>
        <v>647.64</v>
      </c>
      <c r="L734" s="180"/>
      <c r="M734" s="180"/>
      <c r="N734" s="186">
        <f t="shared" si="288"/>
        <v>647.64</v>
      </c>
      <c r="O734" s="29">
        <f t="shared" si="296"/>
        <v>0</v>
      </c>
      <c r="P734" s="181">
        <f t="shared" si="311"/>
        <v>0</v>
      </c>
      <c r="Q734" s="182">
        <f t="shared" si="297"/>
        <v>0</v>
      </c>
      <c r="R734" s="182">
        <f t="shared" si="298"/>
        <v>0</v>
      </c>
      <c r="S734" s="182">
        <f t="shared" si="299"/>
        <v>0</v>
      </c>
      <c r="T734" s="182">
        <f t="shared" si="300"/>
        <v>0</v>
      </c>
      <c r="U734" s="182">
        <f t="shared" si="301"/>
        <v>0</v>
      </c>
      <c r="V734" s="14">
        <f t="shared" si="302"/>
        <v>647.64</v>
      </c>
      <c r="W734" s="14">
        <f t="shared" si="303"/>
        <v>-647.64</v>
      </c>
      <c r="Y734" s="14">
        <f t="shared" si="306"/>
        <v>16.8</v>
      </c>
      <c r="Z734" s="14">
        <f t="shared" si="307"/>
        <v>-16.8</v>
      </c>
      <c r="AA734" s="11">
        <f t="shared" si="309"/>
        <v>0.43</v>
      </c>
      <c r="AB734" s="9">
        <f t="shared" si="312"/>
        <v>9.0299999999999994</v>
      </c>
      <c r="AD734" s="13">
        <f>IF(AH734&gt;AH733,AD733,IF(AD733&lt;MiscData!$F$1,EOMONTH(AD733,1),EOMONTH(AD733,-11)))</f>
        <v>42277</v>
      </c>
      <c r="AE734" s="7" t="str">
        <f t="shared" si="304"/>
        <v>20140101KUUM_414</v>
      </c>
      <c r="AF734" s="12" t="str">
        <f t="shared" si="305"/>
        <v>20140101LS</v>
      </c>
      <c r="AG734" s="31"/>
      <c r="AH734">
        <f>IF(AH733=MiscData!$AB$91,1,AH733+1)</f>
        <v>29</v>
      </c>
      <c r="AI734">
        <f>IF(AD734&lt;=MiscData!$B$23,MiscData!$C$23,IF(AD734&lt;=MiscData!$B$24,MiscData!$C$24,MiscData!$C$25))</f>
        <v>20140101</v>
      </c>
      <c r="AK734" s="190" t="str">
        <f>VLOOKUP(AM734,MiscData!$AB$4:$ACB$113,2,FALSE)</f>
        <v>KUUM_414</v>
      </c>
      <c r="AL734" s="190" t="str">
        <f>VLOOKUP(AM734,MiscData!$AB$4:$AE$115,4,FALSE)</f>
        <v>LS</v>
      </c>
      <c r="AM734">
        <f>IF(AM733=MiscData!$AB$91,1,AM733+1)</f>
        <v>29</v>
      </c>
    </row>
    <row r="735" spans="1:39">
      <c r="A735" s="7">
        <f t="shared" si="308"/>
        <v>734</v>
      </c>
      <c r="B735" s="13" t="str">
        <f t="shared" si="289"/>
        <v>Sep 2015</v>
      </c>
      <c r="C735" s="23" t="str">
        <f t="shared" si="290"/>
        <v>LS</v>
      </c>
      <c r="D735" s="23" t="str">
        <f t="shared" si="291"/>
        <v>KUUM_415</v>
      </c>
      <c r="E735" s="170">
        <f t="shared" si="292"/>
        <v>10</v>
      </c>
      <c r="F735" s="185"/>
      <c r="G735" s="170">
        <f t="shared" si="293"/>
        <v>0</v>
      </c>
      <c r="H735" s="170">
        <v>0</v>
      </c>
      <c r="I735" s="11">
        <f t="shared" si="294"/>
        <v>31.22</v>
      </c>
      <c r="J735" s="11">
        <f t="shared" si="295"/>
        <v>1.129999999999999</v>
      </c>
      <c r="K735" s="416">
        <f t="shared" si="310"/>
        <v>312.2</v>
      </c>
      <c r="L735" s="180"/>
      <c r="M735" s="180"/>
      <c r="N735" s="186">
        <f t="shared" si="288"/>
        <v>312.2</v>
      </c>
      <c r="O735" s="29">
        <f t="shared" si="296"/>
        <v>0</v>
      </c>
      <c r="P735" s="181">
        <f t="shared" si="311"/>
        <v>0</v>
      </c>
      <c r="Q735" s="182">
        <f t="shared" si="297"/>
        <v>0</v>
      </c>
      <c r="R735" s="182">
        <f t="shared" si="298"/>
        <v>0</v>
      </c>
      <c r="S735" s="182">
        <f t="shared" si="299"/>
        <v>0</v>
      </c>
      <c r="T735" s="182">
        <f t="shared" si="300"/>
        <v>0</v>
      </c>
      <c r="U735" s="182">
        <f t="shared" si="301"/>
        <v>0</v>
      </c>
      <c r="V735" s="14">
        <f t="shared" si="302"/>
        <v>312.2</v>
      </c>
      <c r="W735" s="14">
        <f t="shared" si="303"/>
        <v>-312.2</v>
      </c>
      <c r="Y735" s="14">
        <f t="shared" si="306"/>
        <v>11.3</v>
      </c>
      <c r="Z735" s="14">
        <f t="shared" si="307"/>
        <v>-11.3</v>
      </c>
      <c r="AA735" s="11">
        <f t="shared" si="309"/>
        <v>0.34</v>
      </c>
      <c r="AB735" s="9">
        <f t="shared" si="312"/>
        <v>3.4000000000000004</v>
      </c>
      <c r="AD735" s="13">
        <f>IF(AH735&gt;AH734,AD734,IF(AD734&lt;MiscData!$F$1,EOMONTH(AD734,1),EOMONTH(AD734,-11)))</f>
        <v>42277</v>
      </c>
      <c r="AE735" s="7" t="str">
        <f t="shared" si="304"/>
        <v>20140101KUUM_415</v>
      </c>
      <c r="AF735" s="12" t="str">
        <f t="shared" si="305"/>
        <v>20140101LS</v>
      </c>
      <c r="AG735" s="31"/>
      <c r="AH735">
        <f>IF(AH734=MiscData!$AB$91,1,AH734+1)</f>
        <v>30</v>
      </c>
      <c r="AI735">
        <f>IF(AD735&lt;=MiscData!$B$23,MiscData!$C$23,IF(AD735&lt;=MiscData!$B$24,MiscData!$C$24,MiscData!$C$25))</f>
        <v>20140101</v>
      </c>
      <c r="AK735" s="190" t="str">
        <f>VLOOKUP(AM735,MiscData!$AB$4:$ACB$113,2,FALSE)</f>
        <v>KUUM_415</v>
      </c>
      <c r="AL735" s="190" t="str">
        <f>VLOOKUP(AM735,MiscData!$AB$4:$AE$115,4,FALSE)</f>
        <v>LS</v>
      </c>
      <c r="AM735">
        <f>IF(AM734=MiscData!$AB$91,1,AM734+1)</f>
        <v>30</v>
      </c>
    </row>
    <row r="736" spans="1:39">
      <c r="A736" s="7">
        <f t="shared" si="308"/>
        <v>735</v>
      </c>
      <c r="B736" s="13" t="str">
        <f t="shared" si="289"/>
        <v>Sep 2015</v>
      </c>
      <c r="C736" s="23" t="str">
        <f t="shared" si="290"/>
        <v>LS</v>
      </c>
      <c r="D736" s="23" t="str">
        <f t="shared" si="291"/>
        <v>KUUM_420</v>
      </c>
      <c r="E736" s="170">
        <f t="shared" si="292"/>
        <v>448</v>
      </c>
      <c r="F736" s="185"/>
      <c r="G736" s="170">
        <f t="shared" si="293"/>
        <v>0</v>
      </c>
      <c r="H736" s="170">
        <v>0</v>
      </c>
      <c r="I736" s="11">
        <f t="shared" si="294"/>
        <v>15.360000000000001</v>
      </c>
      <c r="J736" s="11">
        <f t="shared" si="295"/>
        <v>1.1300000000000008</v>
      </c>
      <c r="K736" s="416">
        <f t="shared" si="310"/>
        <v>6881.28</v>
      </c>
      <c r="L736" s="180"/>
      <c r="M736" s="180"/>
      <c r="N736" s="186">
        <f t="shared" si="288"/>
        <v>6881.28</v>
      </c>
      <c r="O736" s="29">
        <f t="shared" si="296"/>
        <v>0</v>
      </c>
      <c r="P736" s="181">
        <f t="shared" si="311"/>
        <v>0</v>
      </c>
      <c r="Q736" s="182">
        <f t="shared" si="297"/>
        <v>0</v>
      </c>
      <c r="R736" s="182">
        <f t="shared" si="298"/>
        <v>0</v>
      </c>
      <c r="S736" s="182">
        <f t="shared" si="299"/>
        <v>0</v>
      </c>
      <c r="T736" s="182">
        <f t="shared" si="300"/>
        <v>0</v>
      </c>
      <c r="U736" s="182">
        <f t="shared" si="301"/>
        <v>0</v>
      </c>
      <c r="V736" s="14">
        <f t="shared" si="302"/>
        <v>6881.28</v>
      </c>
      <c r="W736" s="14">
        <f t="shared" si="303"/>
        <v>-6881.28</v>
      </c>
      <c r="Y736" s="14">
        <f t="shared" si="306"/>
        <v>506.24</v>
      </c>
      <c r="Z736" s="14">
        <f t="shared" si="307"/>
        <v>-506.24</v>
      </c>
      <c r="AA736" s="11">
        <f t="shared" si="309"/>
        <v>0.34</v>
      </c>
      <c r="AB736" s="9">
        <f t="shared" si="312"/>
        <v>152.32000000000002</v>
      </c>
      <c r="AD736" s="13">
        <f>IF(AH736&gt;AH735,AD735,IF(AD735&lt;MiscData!$F$1,EOMONTH(AD735,1),EOMONTH(AD735,-11)))</f>
        <v>42277</v>
      </c>
      <c r="AE736" s="7" t="str">
        <f t="shared" si="304"/>
        <v>20140101KUUM_420</v>
      </c>
      <c r="AF736" s="12" t="str">
        <f t="shared" si="305"/>
        <v>20140101LS</v>
      </c>
      <c r="AG736" s="31"/>
      <c r="AH736">
        <f>IF(AH735=MiscData!$AB$91,1,AH735+1)</f>
        <v>31</v>
      </c>
      <c r="AI736">
        <f>IF(AD736&lt;=MiscData!$B$23,MiscData!$C$23,IF(AD736&lt;=MiscData!$B$24,MiscData!$C$24,MiscData!$C$25))</f>
        <v>20140101</v>
      </c>
      <c r="AK736" s="190" t="str">
        <f>VLOOKUP(AM736,MiscData!$AB$4:$ACB$113,2,FALSE)</f>
        <v>KUUM_420</v>
      </c>
      <c r="AL736" s="190" t="str">
        <f>VLOOKUP(AM736,MiscData!$AB$4:$AE$115,4,FALSE)</f>
        <v>LS</v>
      </c>
      <c r="AM736">
        <f>IF(AM735=MiscData!$AB$91,1,AM735+1)</f>
        <v>31</v>
      </c>
    </row>
    <row r="737" spans="1:39">
      <c r="A737" s="7">
        <f t="shared" si="308"/>
        <v>736</v>
      </c>
      <c r="B737" s="13" t="str">
        <f t="shared" si="289"/>
        <v>Sep 2015</v>
      </c>
      <c r="C737" s="23" t="str">
        <f t="shared" si="290"/>
        <v>RLS</v>
      </c>
      <c r="D737" s="23" t="str">
        <f t="shared" si="291"/>
        <v>KUUM_421</v>
      </c>
      <c r="E737" s="170">
        <f t="shared" si="292"/>
        <v>5</v>
      </c>
      <c r="F737" s="185"/>
      <c r="G737" s="170">
        <f t="shared" si="293"/>
        <v>0</v>
      </c>
      <c r="H737" s="170">
        <v>0</v>
      </c>
      <c r="I737" s="11">
        <f t="shared" si="294"/>
        <v>3.39</v>
      </c>
      <c r="J737" s="11">
        <f t="shared" si="295"/>
        <v>0.98999999999999977</v>
      </c>
      <c r="K737" s="416">
        <f t="shared" si="310"/>
        <v>16.95</v>
      </c>
      <c r="L737" s="180"/>
      <c r="M737" s="180"/>
      <c r="N737" s="186">
        <f t="shared" si="288"/>
        <v>16.95</v>
      </c>
      <c r="O737" s="29">
        <f t="shared" si="296"/>
        <v>0</v>
      </c>
      <c r="P737" s="181">
        <f t="shared" si="311"/>
        <v>0</v>
      </c>
      <c r="Q737" s="182">
        <f t="shared" si="297"/>
        <v>0</v>
      </c>
      <c r="R737" s="182">
        <f t="shared" si="298"/>
        <v>0</v>
      </c>
      <c r="S737" s="182">
        <f t="shared" si="299"/>
        <v>0</v>
      </c>
      <c r="T737" s="182">
        <f t="shared" si="300"/>
        <v>0</v>
      </c>
      <c r="U737" s="182">
        <f t="shared" si="301"/>
        <v>0</v>
      </c>
      <c r="V737" s="14">
        <f t="shared" si="302"/>
        <v>16.95</v>
      </c>
      <c r="W737" s="14">
        <f t="shared" si="303"/>
        <v>-16.95</v>
      </c>
      <c r="Y737" s="14">
        <f t="shared" si="306"/>
        <v>4.95</v>
      </c>
      <c r="Z737" s="14">
        <f t="shared" si="307"/>
        <v>-4.95</v>
      </c>
      <c r="AA737" s="11">
        <f t="shared" si="309"/>
        <v>0.12</v>
      </c>
      <c r="AB737" s="9">
        <f t="shared" si="312"/>
        <v>0.6</v>
      </c>
      <c r="AD737" s="13">
        <f>IF(AH737&gt;AH736,AD736,IF(AD736&lt;MiscData!$F$1,EOMONTH(AD736,1),EOMONTH(AD736,-11)))</f>
        <v>42277</v>
      </c>
      <c r="AE737" s="7" t="str">
        <f t="shared" si="304"/>
        <v>20140101KUUM_421</v>
      </c>
      <c r="AF737" s="12" t="str">
        <f t="shared" si="305"/>
        <v>20140101RLS</v>
      </c>
      <c r="AG737" s="31"/>
      <c r="AH737">
        <f>IF(AH736=MiscData!$AB$91,1,AH736+1)</f>
        <v>32</v>
      </c>
      <c r="AI737">
        <f>IF(AD737&lt;=MiscData!$B$23,MiscData!$C$23,IF(AD737&lt;=MiscData!$B$24,MiscData!$C$24,MiscData!$C$25))</f>
        <v>20140101</v>
      </c>
      <c r="AK737" s="190" t="str">
        <f>VLOOKUP(AM737,MiscData!$AB$4:$ACB$113,2,FALSE)</f>
        <v>KUUM_421</v>
      </c>
      <c r="AL737" s="190" t="str">
        <f>VLOOKUP(AM737,MiscData!$AB$4:$AE$115,4,FALSE)</f>
        <v>RLS</v>
      </c>
      <c r="AM737">
        <f>IF(AM736=MiscData!$AB$91,1,AM736+1)</f>
        <v>32</v>
      </c>
    </row>
    <row r="738" spans="1:39">
      <c r="A738" s="7">
        <f t="shared" si="308"/>
        <v>737</v>
      </c>
      <c r="B738" s="13" t="str">
        <f t="shared" si="289"/>
        <v>Sep 2015</v>
      </c>
      <c r="C738" s="23" t="str">
        <f t="shared" si="290"/>
        <v>RLS</v>
      </c>
      <c r="D738" s="23" t="str">
        <f t="shared" si="291"/>
        <v>KUUM_422</v>
      </c>
      <c r="E738" s="170">
        <f t="shared" si="292"/>
        <v>680</v>
      </c>
      <c r="F738" s="185"/>
      <c r="G738" s="170">
        <f t="shared" si="293"/>
        <v>0</v>
      </c>
      <c r="H738" s="170">
        <v>0</v>
      </c>
      <c r="I738" s="11">
        <f t="shared" si="294"/>
        <v>4.5400000000000009</v>
      </c>
      <c r="J738" s="11">
        <f t="shared" si="295"/>
        <v>1.9400000000000004</v>
      </c>
      <c r="K738" s="416">
        <f t="shared" si="310"/>
        <v>3087.2</v>
      </c>
      <c r="L738" s="180"/>
      <c r="M738" s="180"/>
      <c r="N738" s="186">
        <f t="shared" si="288"/>
        <v>3087.2</v>
      </c>
      <c r="O738" s="29">
        <f t="shared" si="296"/>
        <v>0</v>
      </c>
      <c r="P738" s="181">
        <f t="shared" si="311"/>
        <v>0</v>
      </c>
      <c r="Q738" s="182">
        <f t="shared" si="297"/>
        <v>0</v>
      </c>
      <c r="R738" s="182">
        <f t="shared" si="298"/>
        <v>0</v>
      </c>
      <c r="S738" s="182">
        <f t="shared" si="299"/>
        <v>0</v>
      </c>
      <c r="T738" s="182">
        <f t="shared" si="300"/>
        <v>0</v>
      </c>
      <c r="U738" s="182">
        <f t="shared" si="301"/>
        <v>0</v>
      </c>
      <c r="V738" s="14">
        <f t="shared" si="302"/>
        <v>3087.2</v>
      </c>
      <c r="W738" s="14">
        <f t="shared" si="303"/>
        <v>-3087.2</v>
      </c>
      <c r="Y738" s="14">
        <f t="shared" si="306"/>
        <v>1319.2</v>
      </c>
      <c r="Z738" s="14">
        <f t="shared" si="307"/>
        <v>-1319.2</v>
      </c>
      <c r="AA738" s="11">
        <f t="shared" si="309"/>
        <v>0.16</v>
      </c>
      <c r="AB738" s="9">
        <f t="shared" si="312"/>
        <v>108.8</v>
      </c>
      <c r="AD738" s="13">
        <f>IF(AH738&gt;AH737,AD737,IF(AD737&lt;MiscData!$F$1,EOMONTH(AD737,1),EOMONTH(AD737,-11)))</f>
        <v>42277</v>
      </c>
      <c r="AE738" s="7" t="str">
        <f t="shared" si="304"/>
        <v>20140101KUUM_422</v>
      </c>
      <c r="AF738" s="12" t="str">
        <f t="shared" si="305"/>
        <v>20140101RLS</v>
      </c>
      <c r="AG738" s="31"/>
      <c r="AH738">
        <f>IF(AH737=MiscData!$AB$91,1,AH737+1)</f>
        <v>33</v>
      </c>
      <c r="AI738">
        <f>IF(AD738&lt;=MiscData!$B$23,MiscData!$C$23,IF(AD738&lt;=MiscData!$B$24,MiscData!$C$24,MiscData!$C$25))</f>
        <v>20140101</v>
      </c>
      <c r="AK738" s="190" t="str">
        <f>VLOOKUP(AM738,MiscData!$AB$4:$ACB$113,2,FALSE)</f>
        <v>KUUM_422</v>
      </c>
      <c r="AL738" s="190" t="str">
        <f>VLOOKUP(AM738,MiscData!$AB$4:$AE$115,4,FALSE)</f>
        <v>RLS</v>
      </c>
      <c r="AM738">
        <f>IF(AM737=MiscData!$AB$91,1,AM737+1)</f>
        <v>33</v>
      </c>
    </row>
    <row r="739" spans="1:39">
      <c r="A739" s="7">
        <f t="shared" si="308"/>
        <v>738</v>
      </c>
      <c r="B739" s="13" t="str">
        <f t="shared" si="289"/>
        <v>Sep 2015</v>
      </c>
      <c r="C739" s="23" t="str">
        <f t="shared" si="290"/>
        <v>RLS</v>
      </c>
      <c r="D739" s="23" t="str">
        <f t="shared" si="291"/>
        <v>KUUM_424</v>
      </c>
      <c r="E739" s="170">
        <f t="shared" si="292"/>
        <v>134</v>
      </c>
      <c r="F739" s="185"/>
      <c r="G739" s="170">
        <f t="shared" si="293"/>
        <v>0</v>
      </c>
      <c r="H739" s="170">
        <v>0</v>
      </c>
      <c r="I739" s="11">
        <f t="shared" si="294"/>
        <v>6.78</v>
      </c>
      <c r="J739" s="11">
        <f t="shared" si="295"/>
        <v>0.69999999999999929</v>
      </c>
      <c r="K739" s="416">
        <f t="shared" si="310"/>
        <v>908.52</v>
      </c>
      <c r="L739" s="180"/>
      <c r="M739" s="180"/>
      <c r="N739" s="186">
        <f t="shared" si="288"/>
        <v>908.52</v>
      </c>
      <c r="O739" s="29">
        <f t="shared" si="296"/>
        <v>0</v>
      </c>
      <c r="P739" s="181">
        <f t="shared" si="311"/>
        <v>0</v>
      </c>
      <c r="Q739" s="182">
        <f t="shared" si="297"/>
        <v>0</v>
      </c>
      <c r="R739" s="182">
        <f t="shared" si="298"/>
        <v>0</v>
      </c>
      <c r="S739" s="182">
        <f t="shared" si="299"/>
        <v>0</v>
      </c>
      <c r="T739" s="182">
        <f t="shared" si="300"/>
        <v>0</v>
      </c>
      <c r="U739" s="182">
        <f t="shared" si="301"/>
        <v>0</v>
      </c>
      <c r="V739" s="14">
        <f t="shared" si="302"/>
        <v>908.52</v>
      </c>
      <c r="W739" s="14">
        <f t="shared" si="303"/>
        <v>-908.52</v>
      </c>
      <c r="Y739" s="14">
        <f t="shared" si="306"/>
        <v>93.8</v>
      </c>
      <c r="Z739" s="14">
        <f t="shared" si="307"/>
        <v>-93.8</v>
      </c>
      <c r="AA739" s="11">
        <f t="shared" si="309"/>
        <v>0.24</v>
      </c>
      <c r="AB739" s="9">
        <f t="shared" si="312"/>
        <v>32.159999999999997</v>
      </c>
      <c r="AD739" s="13">
        <f>IF(AH739&gt;AH738,AD738,IF(AD738&lt;MiscData!$F$1,EOMONTH(AD738,1),EOMONTH(AD738,-11)))</f>
        <v>42277</v>
      </c>
      <c r="AE739" s="7" t="str">
        <f t="shared" si="304"/>
        <v>20140101KUUM_424</v>
      </c>
      <c r="AF739" s="12" t="str">
        <f t="shared" si="305"/>
        <v>20140101RLS</v>
      </c>
      <c r="AG739" s="31"/>
      <c r="AH739">
        <f>IF(AH738=MiscData!$AB$91,1,AH738+1)</f>
        <v>34</v>
      </c>
      <c r="AI739">
        <f>IF(AD739&lt;=MiscData!$B$23,MiscData!$C$23,IF(AD739&lt;=MiscData!$B$24,MiscData!$C$24,MiscData!$C$25))</f>
        <v>20140101</v>
      </c>
      <c r="AK739" s="190" t="str">
        <f>VLOOKUP(AM739,MiscData!$AB$4:$ACB$113,2,FALSE)</f>
        <v>KUUM_424</v>
      </c>
      <c r="AL739" s="190" t="str">
        <f>VLOOKUP(AM739,MiscData!$AB$4:$AE$115,4,FALSE)</f>
        <v>RLS</v>
      </c>
      <c r="AM739">
        <f>IF(AM738=MiscData!$AB$91,1,AM738+1)</f>
        <v>34</v>
      </c>
    </row>
    <row r="740" spans="1:39">
      <c r="A740" s="7">
        <f t="shared" si="308"/>
        <v>739</v>
      </c>
      <c r="B740" s="13" t="str">
        <f t="shared" si="289"/>
        <v>Sep 2015</v>
      </c>
      <c r="C740" s="23" t="str">
        <f t="shared" si="290"/>
        <v>RLS</v>
      </c>
      <c r="D740" s="23" t="str">
        <f t="shared" si="291"/>
        <v>KUUM_425</v>
      </c>
      <c r="E740" s="170">
        <f t="shared" si="292"/>
        <v>2</v>
      </c>
      <c r="F740" s="185"/>
      <c r="G740" s="170">
        <f t="shared" si="293"/>
        <v>0</v>
      </c>
      <c r="H740" s="170">
        <v>0</v>
      </c>
      <c r="I740" s="11">
        <f t="shared" si="294"/>
        <v>9.06</v>
      </c>
      <c r="J740" s="11">
        <f t="shared" si="295"/>
        <v>4.3000000000000007</v>
      </c>
      <c r="K740" s="416">
        <f t="shared" si="310"/>
        <v>18.12</v>
      </c>
      <c r="L740" s="180"/>
      <c r="M740" s="180"/>
      <c r="N740" s="186">
        <f t="shared" si="288"/>
        <v>18.12</v>
      </c>
      <c r="O740" s="29">
        <f t="shared" si="296"/>
        <v>0</v>
      </c>
      <c r="P740" s="181">
        <f t="shared" si="311"/>
        <v>0</v>
      </c>
      <c r="Q740" s="182">
        <f t="shared" si="297"/>
        <v>0</v>
      </c>
      <c r="R740" s="182">
        <f t="shared" si="298"/>
        <v>0</v>
      </c>
      <c r="S740" s="182">
        <f t="shared" si="299"/>
        <v>0</v>
      </c>
      <c r="T740" s="182">
        <f t="shared" si="300"/>
        <v>0</v>
      </c>
      <c r="U740" s="182">
        <f t="shared" si="301"/>
        <v>0</v>
      </c>
      <c r="V740" s="14">
        <f t="shared" si="302"/>
        <v>18.12</v>
      </c>
      <c r="W740" s="14">
        <f t="shared" si="303"/>
        <v>-18.12</v>
      </c>
      <c r="Y740" s="14">
        <f t="shared" si="306"/>
        <v>8.6</v>
      </c>
      <c r="Z740" s="14">
        <f t="shared" si="307"/>
        <v>-8.6</v>
      </c>
      <c r="AA740" s="11">
        <f t="shared" si="309"/>
        <v>0.33</v>
      </c>
      <c r="AB740" s="9">
        <f t="shared" si="312"/>
        <v>0.66</v>
      </c>
      <c r="AD740" s="13">
        <f>IF(AH740&gt;AH739,AD739,IF(AD739&lt;MiscData!$F$1,EOMONTH(AD739,1),EOMONTH(AD739,-11)))</f>
        <v>42277</v>
      </c>
      <c r="AE740" s="7" t="str">
        <f t="shared" si="304"/>
        <v>20140101KUUM_425</v>
      </c>
      <c r="AF740" s="12" t="str">
        <f t="shared" si="305"/>
        <v>20140101RLS</v>
      </c>
      <c r="AG740" s="31"/>
      <c r="AH740">
        <f>IF(AH739=MiscData!$AB$91,1,AH739+1)</f>
        <v>35</v>
      </c>
      <c r="AI740">
        <f>IF(AD740&lt;=MiscData!$B$23,MiscData!$C$23,IF(AD740&lt;=MiscData!$B$24,MiscData!$C$24,MiscData!$C$25))</f>
        <v>20140101</v>
      </c>
      <c r="AK740" s="190" t="str">
        <f>VLOOKUP(AM740,MiscData!$AB$4:$ACB$113,2,FALSE)</f>
        <v>KUUM_425</v>
      </c>
      <c r="AL740" s="190" t="str">
        <f>VLOOKUP(AM740,MiscData!$AB$4:$AE$115,4,FALSE)</f>
        <v>RLS</v>
      </c>
      <c r="AM740">
        <f>IF(AM739=MiscData!$AB$91,1,AM739+1)</f>
        <v>35</v>
      </c>
    </row>
    <row r="741" spans="1:39">
      <c r="A741" s="7">
        <f t="shared" si="308"/>
        <v>740</v>
      </c>
      <c r="B741" s="13" t="str">
        <f t="shared" si="289"/>
        <v>Sep 2015</v>
      </c>
      <c r="C741" s="23" t="str">
        <f t="shared" si="290"/>
        <v>RLS</v>
      </c>
      <c r="D741" s="23" t="str">
        <f t="shared" si="291"/>
        <v>KUUM_426</v>
      </c>
      <c r="E741" s="170">
        <f t="shared" si="292"/>
        <v>161</v>
      </c>
      <c r="F741" s="185"/>
      <c r="G741" s="170">
        <f t="shared" si="293"/>
        <v>0</v>
      </c>
      <c r="H741" s="170">
        <v>0</v>
      </c>
      <c r="I741" s="11">
        <f t="shared" si="294"/>
        <v>7.4399999999999995</v>
      </c>
      <c r="J741" s="11">
        <f t="shared" si="295"/>
        <v>0.79999999999999982</v>
      </c>
      <c r="K741" s="416">
        <f t="shared" si="310"/>
        <v>1197.8399999999999</v>
      </c>
      <c r="L741" s="180"/>
      <c r="M741" s="180"/>
      <c r="N741" s="186">
        <f t="shared" si="288"/>
        <v>1197.8399999999999</v>
      </c>
      <c r="O741" s="29">
        <f t="shared" si="296"/>
        <v>0</v>
      </c>
      <c r="P741" s="181">
        <f t="shared" si="311"/>
        <v>0</v>
      </c>
      <c r="Q741" s="182">
        <f t="shared" si="297"/>
        <v>0</v>
      </c>
      <c r="R741" s="182">
        <f t="shared" si="298"/>
        <v>0</v>
      </c>
      <c r="S741" s="182">
        <f t="shared" si="299"/>
        <v>0</v>
      </c>
      <c r="T741" s="182">
        <f t="shared" si="300"/>
        <v>0</v>
      </c>
      <c r="U741" s="182">
        <f t="shared" si="301"/>
        <v>0</v>
      </c>
      <c r="V741" s="14">
        <f t="shared" si="302"/>
        <v>1197.8399999999999</v>
      </c>
      <c r="W741" s="14">
        <f t="shared" si="303"/>
        <v>-1197.8399999999999</v>
      </c>
      <c r="Y741" s="14">
        <f t="shared" si="306"/>
        <v>128.80000000000001</v>
      </c>
      <c r="Z741" s="14">
        <f t="shared" si="307"/>
        <v>-128.80000000000001</v>
      </c>
      <c r="AA741" s="11">
        <f t="shared" si="309"/>
        <v>0.43</v>
      </c>
      <c r="AB741" s="9">
        <f t="shared" si="312"/>
        <v>69.23</v>
      </c>
      <c r="AD741" s="13">
        <f>IF(AH741&gt;AH740,AD740,IF(AD740&lt;MiscData!$F$1,EOMONTH(AD740,1),EOMONTH(AD740,-11)))</f>
        <v>42277</v>
      </c>
      <c r="AE741" s="7" t="str">
        <f t="shared" si="304"/>
        <v>20140101KUUM_426</v>
      </c>
      <c r="AF741" s="12" t="str">
        <f t="shared" si="305"/>
        <v>20140101RLS</v>
      </c>
      <c r="AG741" s="31"/>
      <c r="AH741">
        <f>IF(AH740=MiscData!$AB$91,1,AH740+1)</f>
        <v>36</v>
      </c>
      <c r="AI741">
        <f>IF(AD741&lt;=MiscData!$B$23,MiscData!$C$23,IF(AD741&lt;=MiscData!$B$24,MiscData!$C$24,MiscData!$C$25))</f>
        <v>20140101</v>
      </c>
      <c r="AK741" s="190" t="str">
        <f>VLOOKUP(AM741,MiscData!$AB$4:$ACB$113,2,FALSE)</f>
        <v>KUUM_426</v>
      </c>
      <c r="AL741" s="190" t="str">
        <f>VLOOKUP(AM741,MiscData!$AB$4:$AE$115,4,FALSE)</f>
        <v>RLS</v>
      </c>
      <c r="AM741">
        <f>IF(AM740=MiscData!$AB$91,1,AM740+1)</f>
        <v>36</v>
      </c>
    </row>
    <row r="742" spans="1:39">
      <c r="A742" s="7">
        <f t="shared" si="308"/>
        <v>741</v>
      </c>
      <c r="B742" s="13" t="str">
        <f t="shared" si="289"/>
        <v>Sep 2015</v>
      </c>
      <c r="C742" s="23" t="str">
        <f t="shared" si="290"/>
        <v>LS</v>
      </c>
      <c r="D742" s="23" t="str">
        <f t="shared" si="291"/>
        <v>KUUM_428</v>
      </c>
      <c r="E742" s="170">
        <f t="shared" si="292"/>
        <v>34832</v>
      </c>
      <c r="F742" s="185"/>
      <c r="G742" s="170">
        <f t="shared" si="293"/>
        <v>0</v>
      </c>
      <c r="H742" s="170">
        <v>0</v>
      </c>
      <c r="I742" s="11">
        <f t="shared" si="294"/>
        <v>7.84</v>
      </c>
      <c r="J742" s="11">
        <f t="shared" si="295"/>
        <v>1.1299999999999999</v>
      </c>
      <c r="K742" s="416">
        <f t="shared" si="310"/>
        <v>273082.88</v>
      </c>
      <c r="L742" s="180"/>
      <c r="M742" s="180"/>
      <c r="N742" s="186">
        <f t="shared" si="288"/>
        <v>273082.88</v>
      </c>
      <c r="O742" s="29">
        <f t="shared" si="296"/>
        <v>0</v>
      </c>
      <c r="P742" s="181">
        <f t="shared" si="311"/>
        <v>0</v>
      </c>
      <c r="Q742" s="182">
        <f t="shared" si="297"/>
        <v>0</v>
      </c>
      <c r="R742" s="182">
        <f t="shared" si="298"/>
        <v>0</v>
      </c>
      <c r="S742" s="182">
        <f t="shared" si="299"/>
        <v>0</v>
      </c>
      <c r="T742" s="182">
        <f t="shared" si="300"/>
        <v>0</v>
      </c>
      <c r="U742" s="182">
        <f t="shared" si="301"/>
        <v>0</v>
      </c>
      <c r="V742" s="14">
        <f t="shared" si="302"/>
        <v>273082.88</v>
      </c>
      <c r="W742" s="14">
        <f t="shared" si="303"/>
        <v>-273082.88</v>
      </c>
      <c r="Y742" s="14">
        <f t="shared" si="306"/>
        <v>39360.160000000003</v>
      </c>
      <c r="Z742" s="14">
        <f t="shared" si="307"/>
        <v>-39360.160000000003</v>
      </c>
      <c r="AA742" s="11">
        <f t="shared" si="309"/>
        <v>0.34</v>
      </c>
      <c r="AB742" s="9">
        <f t="shared" si="312"/>
        <v>11842.880000000001</v>
      </c>
      <c r="AD742" s="13">
        <f>IF(AH742&gt;AH741,AD741,IF(AD741&lt;MiscData!$F$1,EOMONTH(AD741,1),EOMONTH(AD741,-11)))</f>
        <v>42277</v>
      </c>
      <c r="AE742" s="7" t="str">
        <f t="shared" si="304"/>
        <v>20140101KUUM_428</v>
      </c>
      <c r="AF742" s="12" t="str">
        <f t="shared" si="305"/>
        <v>20140101LS</v>
      </c>
      <c r="AG742" s="31"/>
      <c r="AH742">
        <f>IF(AH741=MiscData!$AB$91,1,AH741+1)</f>
        <v>37</v>
      </c>
      <c r="AI742">
        <f>IF(AD742&lt;=MiscData!$B$23,MiscData!$C$23,IF(AD742&lt;=MiscData!$B$24,MiscData!$C$24,MiscData!$C$25))</f>
        <v>20140101</v>
      </c>
      <c r="AK742" s="190" t="str">
        <f>VLOOKUP(AM742,MiscData!$AB$4:$ACB$113,2,FALSE)</f>
        <v>KUUM_428</v>
      </c>
      <c r="AL742" s="190" t="str">
        <f>VLOOKUP(AM742,MiscData!$AB$4:$AE$115,4,FALSE)</f>
        <v>LS</v>
      </c>
      <c r="AM742">
        <f>IF(AM741=MiscData!$AB$91,1,AM741+1)</f>
        <v>37</v>
      </c>
    </row>
    <row r="743" spans="1:39">
      <c r="A743" s="7">
        <f t="shared" si="308"/>
        <v>742</v>
      </c>
      <c r="B743" s="13" t="str">
        <f t="shared" si="289"/>
        <v>Sep 2015</v>
      </c>
      <c r="C743" s="23" t="str">
        <f t="shared" si="290"/>
        <v>LS</v>
      </c>
      <c r="D743" s="23" t="str">
        <f t="shared" si="291"/>
        <v>KUUM_429</v>
      </c>
      <c r="E743" s="170">
        <f t="shared" si="292"/>
        <v>0</v>
      </c>
      <c r="F743" s="185"/>
      <c r="G743" s="170">
        <f t="shared" si="293"/>
        <v>0</v>
      </c>
      <c r="H743" s="170">
        <v>0</v>
      </c>
      <c r="I743" s="11">
        <f t="shared" si="294"/>
        <v>0</v>
      </c>
      <c r="J743" s="11">
        <f t="shared" si="295"/>
        <v>0</v>
      </c>
      <c r="K743" s="416">
        <f t="shared" si="310"/>
        <v>0</v>
      </c>
      <c r="L743" s="180"/>
      <c r="M743" s="180"/>
      <c r="N743" s="186">
        <f t="shared" si="288"/>
        <v>0</v>
      </c>
      <c r="O743" s="29">
        <f t="shared" si="296"/>
        <v>0</v>
      </c>
      <c r="P743" s="181">
        <f t="shared" si="311"/>
        <v>1</v>
      </c>
      <c r="Q743" s="182">
        <f t="shared" si="297"/>
        <v>0</v>
      </c>
      <c r="R743" s="182">
        <f t="shared" si="298"/>
        <v>0</v>
      </c>
      <c r="S743" s="182">
        <f t="shared" si="299"/>
        <v>0</v>
      </c>
      <c r="T743" s="182">
        <f t="shared" si="300"/>
        <v>0</v>
      </c>
      <c r="U743" s="182">
        <f t="shared" si="301"/>
        <v>0</v>
      </c>
      <c r="V743" s="14">
        <f t="shared" si="302"/>
        <v>0</v>
      </c>
      <c r="W743" s="14">
        <f t="shared" si="303"/>
        <v>0</v>
      </c>
      <c r="Y743" s="14">
        <f t="shared" si="306"/>
        <v>0</v>
      </c>
      <c r="Z743" s="14">
        <f t="shared" si="307"/>
        <v>0</v>
      </c>
      <c r="AA743" s="11">
        <f t="shared" si="309"/>
        <v>0</v>
      </c>
      <c r="AB743" s="9">
        <f t="shared" si="312"/>
        <v>0</v>
      </c>
      <c r="AD743" s="13">
        <f>IF(AH743&gt;AH742,AD742,IF(AD742&lt;MiscData!$F$1,EOMONTH(AD742,1),EOMONTH(AD742,-11)))</f>
        <v>42277</v>
      </c>
      <c r="AE743" s="7" t="str">
        <f t="shared" si="304"/>
        <v>20140101KUUM_429</v>
      </c>
      <c r="AF743" s="12" t="str">
        <f t="shared" si="305"/>
        <v>20140101LS</v>
      </c>
      <c r="AG743" s="31"/>
      <c r="AH743">
        <f>IF(AH742=MiscData!$AB$91,1,AH742+1)</f>
        <v>38</v>
      </c>
      <c r="AI743">
        <f>IF(AD743&lt;=MiscData!$B$23,MiscData!$C$23,IF(AD743&lt;=MiscData!$B$24,MiscData!$C$24,MiscData!$C$25))</f>
        <v>20140101</v>
      </c>
      <c r="AK743" s="190" t="str">
        <f>VLOOKUP(AM743,MiscData!$AB$4:$ACB$113,2,FALSE)</f>
        <v>KUUM_429</v>
      </c>
      <c r="AL743" s="190" t="str">
        <f>VLOOKUP(AM743,MiscData!$AB$4:$AE$115,4,FALSE)</f>
        <v>LS</v>
      </c>
      <c r="AM743">
        <f>IF(AM742=MiscData!$AB$91,1,AM742+1)</f>
        <v>38</v>
      </c>
    </row>
    <row r="744" spans="1:39">
      <c r="A744" s="7">
        <f t="shared" si="308"/>
        <v>743</v>
      </c>
      <c r="B744" s="13" t="str">
        <f t="shared" si="289"/>
        <v>Sep 2015</v>
      </c>
      <c r="C744" s="23" t="str">
        <f t="shared" si="290"/>
        <v>LS</v>
      </c>
      <c r="D744" s="23" t="str">
        <f t="shared" si="291"/>
        <v>KUUM_430</v>
      </c>
      <c r="E744" s="170">
        <f t="shared" si="292"/>
        <v>1087</v>
      </c>
      <c r="F744" s="185"/>
      <c r="G744" s="170">
        <f t="shared" si="293"/>
        <v>0</v>
      </c>
      <c r="H744" s="170">
        <v>0</v>
      </c>
      <c r="I744" s="11">
        <f t="shared" si="294"/>
        <v>22</v>
      </c>
      <c r="J744" s="11">
        <f t="shared" si="295"/>
        <v>1.129999999999999</v>
      </c>
      <c r="K744" s="416">
        <f t="shared" si="310"/>
        <v>23914</v>
      </c>
      <c r="L744" s="180"/>
      <c r="M744" s="180"/>
      <c r="N744" s="186">
        <f t="shared" si="288"/>
        <v>23914</v>
      </c>
      <c r="O744" s="29">
        <f t="shared" si="296"/>
        <v>0</v>
      </c>
      <c r="P744" s="181">
        <f t="shared" si="311"/>
        <v>0</v>
      </c>
      <c r="Q744" s="182">
        <f t="shared" si="297"/>
        <v>0</v>
      </c>
      <c r="R744" s="182">
        <f t="shared" si="298"/>
        <v>0</v>
      </c>
      <c r="S744" s="182">
        <f t="shared" si="299"/>
        <v>0</v>
      </c>
      <c r="T744" s="182">
        <f t="shared" si="300"/>
        <v>0</v>
      </c>
      <c r="U744" s="182">
        <f t="shared" si="301"/>
        <v>0</v>
      </c>
      <c r="V744" s="14">
        <f t="shared" si="302"/>
        <v>23914</v>
      </c>
      <c r="W744" s="14">
        <f t="shared" si="303"/>
        <v>-23914</v>
      </c>
      <c r="Y744" s="14">
        <f t="shared" si="306"/>
        <v>1228.31</v>
      </c>
      <c r="Z744" s="14">
        <f t="shared" si="307"/>
        <v>-1228.31</v>
      </c>
      <c r="AA744" s="11">
        <f t="shared" si="309"/>
        <v>0.34</v>
      </c>
      <c r="AB744" s="9">
        <f t="shared" si="312"/>
        <v>369.58000000000004</v>
      </c>
      <c r="AD744" s="13">
        <f>IF(AH744&gt;AH743,AD743,IF(AD743&lt;MiscData!$F$1,EOMONTH(AD743,1),EOMONTH(AD743,-11)))</f>
        <v>42277</v>
      </c>
      <c r="AE744" s="7" t="str">
        <f t="shared" si="304"/>
        <v>20140101KUUM_430</v>
      </c>
      <c r="AF744" s="12" t="str">
        <f t="shared" si="305"/>
        <v>20140101LS</v>
      </c>
      <c r="AG744" s="31"/>
      <c r="AH744">
        <f>IF(AH743=MiscData!$AB$91,1,AH743+1)</f>
        <v>39</v>
      </c>
      <c r="AI744">
        <f>IF(AD744&lt;=MiscData!$B$23,MiscData!$C$23,IF(AD744&lt;=MiscData!$B$24,MiscData!$C$24,MiscData!$C$25))</f>
        <v>20140101</v>
      </c>
      <c r="AK744" s="190" t="str">
        <f>VLOOKUP(AM744,MiscData!$AB$4:$ACB$113,2,FALSE)</f>
        <v>KUUM_430</v>
      </c>
      <c r="AL744" s="190" t="str">
        <f>VLOOKUP(AM744,MiscData!$AB$4:$AE$115,4,FALSE)</f>
        <v>LS</v>
      </c>
      <c r="AM744">
        <f>IF(AM743=MiscData!$AB$91,1,AM743+1)</f>
        <v>39</v>
      </c>
    </row>
    <row r="745" spans="1:39">
      <c r="A745" s="7">
        <f t="shared" si="308"/>
        <v>744</v>
      </c>
      <c r="B745" s="13" t="str">
        <f t="shared" si="289"/>
        <v>Sep 2015</v>
      </c>
      <c r="C745" s="23" t="str">
        <f t="shared" si="290"/>
        <v>RLS</v>
      </c>
      <c r="D745" s="23" t="str">
        <f t="shared" si="291"/>
        <v>KUUM_434</v>
      </c>
      <c r="E745" s="170">
        <f t="shared" si="292"/>
        <v>8</v>
      </c>
      <c r="F745" s="185"/>
      <c r="G745" s="170">
        <f t="shared" si="293"/>
        <v>0</v>
      </c>
      <c r="H745" s="170">
        <v>0</v>
      </c>
      <c r="I745" s="11">
        <f t="shared" si="294"/>
        <v>7.74</v>
      </c>
      <c r="J745" s="11">
        <f t="shared" si="295"/>
        <v>0.69999999999999929</v>
      </c>
      <c r="K745" s="416">
        <f t="shared" si="310"/>
        <v>61.92</v>
      </c>
      <c r="L745" s="180"/>
      <c r="M745" s="180"/>
      <c r="N745" s="186">
        <f t="shared" si="288"/>
        <v>61.92</v>
      </c>
      <c r="O745" s="29">
        <f t="shared" si="296"/>
        <v>0</v>
      </c>
      <c r="P745" s="181">
        <f t="shared" si="311"/>
        <v>0</v>
      </c>
      <c r="Q745" s="182">
        <f t="shared" si="297"/>
        <v>0</v>
      </c>
      <c r="R745" s="182">
        <f t="shared" si="298"/>
        <v>0</v>
      </c>
      <c r="S745" s="182">
        <f t="shared" si="299"/>
        <v>0</v>
      </c>
      <c r="T745" s="182">
        <f t="shared" si="300"/>
        <v>0</v>
      </c>
      <c r="U745" s="182">
        <f t="shared" si="301"/>
        <v>0</v>
      </c>
      <c r="V745" s="14">
        <f t="shared" si="302"/>
        <v>61.92</v>
      </c>
      <c r="W745" s="14">
        <f t="shared" si="303"/>
        <v>-61.92</v>
      </c>
      <c r="Y745" s="14">
        <f t="shared" si="306"/>
        <v>5.6</v>
      </c>
      <c r="Z745" s="14">
        <f t="shared" si="307"/>
        <v>-5.6</v>
      </c>
      <c r="AA745" s="11">
        <f t="shared" si="309"/>
        <v>0.24</v>
      </c>
      <c r="AB745" s="9">
        <f t="shared" si="312"/>
        <v>1.92</v>
      </c>
      <c r="AD745" s="13">
        <f>IF(AH745&gt;AH744,AD744,IF(AD744&lt;MiscData!$F$1,EOMONTH(AD744,1),EOMONTH(AD744,-11)))</f>
        <v>42277</v>
      </c>
      <c r="AE745" s="7" t="str">
        <f t="shared" si="304"/>
        <v>20140101KUUM_434</v>
      </c>
      <c r="AF745" s="12" t="str">
        <f t="shared" si="305"/>
        <v>20140101RLS</v>
      </c>
      <c r="AG745" s="31"/>
      <c r="AH745">
        <f>IF(AH744=MiscData!$AB$91,1,AH744+1)</f>
        <v>40</v>
      </c>
      <c r="AI745">
        <f>IF(AD745&lt;=MiscData!$B$23,MiscData!$C$23,IF(AD745&lt;=MiscData!$B$24,MiscData!$C$24,MiscData!$C$25))</f>
        <v>20140101</v>
      </c>
      <c r="AK745" s="190" t="str">
        <f>VLOOKUP(AM745,MiscData!$AB$4:$ACB$113,2,FALSE)</f>
        <v>KUUM_434</v>
      </c>
      <c r="AL745" s="190" t="str">
        <f>VLOOKUP(AM745,MiscData!$AB$4:$AE$115,4,FALSE)</f>
        <v>RLS</v>
      </c>
      <c r="AM745">
        <f>IF(AM744=MiscData!$AB$91,1,AM744+1)</f>
        <v>40</v>
      </c>
    </row>
    <row r="746" spans="1:39">
      <c r="A746" s="7">
        <f t="shared" si="308"/>
        <v>745</v>
      </c>
      <c r="B746" s="13" t="str">
        <f t="shared" si="289"/>
        <v>Sep 2015</v>
      </c>
      <c r="C746" s="23" t="str">
        <f t="shared" si="290"/>
        <v>RLS</v>
      </c>
      <c r="D746" s="23" t="str">
        <f t="shared" si="291"/>
        <v>KUUM_440</v>
      </c>
      <c r="E746" s="170">
        <f t="shared" si="292"/>
        <v>2</v>
      </c>
      <c r="F746" s="185"/>
      <c r="G746" s="170">
        <f t="shared" si="293"/>
        <v>0</v>
      </c>
      <c r="H746" s="170">
        <v>0</v>
      </c>
      <c r="I746" s="11">
        <f t="shared" si="294"/>
        <v>13.610000000000001</v>
      </c>
      <c r="J746" s="11">
        <f t="shared" si="295"/>
        <v>0.57000000000000028</v>
      </c>
      <c r="K746" s="416">
        <f t="shared" si="310"/>
        <v>27.22</v>
      </c>
      <c r="L746" s="180"/>
      <c r="M746" s="180"/>
      <c r="N746" s="186">
        <f t="shared" si="288"/>
        <v>27.22</v>
      </c>
      <c r="O746" s="29">
        <f t="shared" si="296"/>
        <v>0</v>
      </c>
      <c r="P746" s="181">
        <f t="shared" si="311"/>
        <v>0</v>
      </c>
      <c r="Q746" s="182">
        <f t="shared" si="297"/>
        <v>0</v>
      </c>
      <c r="R746" s="182">
        <f t="shared" si="298"/>
        <v>0</v>
      </c>
      <c r="S746" s="182">
        <f t="shared" si="299"/>
        <v>0</v>
      </c>
      <c r="T746" s="182">
        <f t="shared" si="300"/>
        <v>0</v>
      </c>
      <c r="U746" s="182">
        <f t="shared" si="301"/>
        <v>0</v>
      </c>
      <c r="V746" s="14">
        <f t="shared" si="302"/>
        <v>27.22</v>
      </c>
      <c r="W746" s="14">
        <f t="shared" si="303"/>
        <v>-27.22</v>
      </c>
      <c r="Y746" s="14">
        <f t="shared" si="306"/>
        <v>1.1399999999999999</v>
      </c>
      <c r="Z746" s="14">
        <f t="shared" si="307"/>
        <v>-1.1399999999999999</v>
      </c>
      <c r="AA746" s="11">
        <f t="shared" si="309"/>
        <v>0.33</v>
      </c>
      <c r="AB746" s="9">
        <f t="shared" si="312"/>
        <v>0.66</v>
      </c>
      <c r="AD746" s="13">
        <f>IF(AH746&gt;AH745,AD745,IF(AD745&lt;MiscData!$F$1,EOMONTH(AD745,1),EOMONTH(AD745,-11)))</f>
        <v>42277</v>
      </c>
      <c r="AE746" s="7" t="str">
        <f t="shared" si="304"/>
        <v>20140101KUUM_440</v>
      </c>
      <c r="AF746" s="12" t="str">
        <f t="shared" si="305"/>
        <v>20140101RLS</v>
      </c>
      <c r="AG746" s="31"/>
      <c r="AH746">
        <f>IF(AH745=MiscData!$AB$91,1,AH745+1)</f>
        <v>41</v>
      </c>
      <c r="AI746">
        <f>IF(AD746&lt;=MiscData!$B$23,MiscData!$C$23,IF(AD746&lt;=MiscData!$B$24,MiscData!$C$24,MiscData!$C$25))</f>
        <v>20140101</v>
      </c>
      <c r="AK746" s="190" t="str">
        <f>VLOOKUP(AM746,MiscData!$AB$4:$ACB$113,2,FALSE)</f>
        <v>KUUM_440</v>
      </c>
      <c r="AL746" s="190" t="str">
        <f>VLOOKUP(AM746,MiscData!$AB$4:$AE$115,4,FALSE)</f>
        <v>RLS</v>
      </c>
      <c r="AM746">
        <f>IF(AM745=MiscData!$AB$91,1,AM745+1)</f>
        <v>41</v>
      </c>
    </row>
    <row r="747" spans="1:39">
      <c r="A747" s="7">
        <f t="shared" si="308"/>
        <v>746</v>
      </c>
      <c r="B747" s="13" t="str">
        <f t="shared" si="289"/>
        <v>Sep 2015</v>
      </c>
      <c r="C747" s="23" t="str">
        <f t="shared" si="290"/>
        <v>RLS</v>
      </c>
      <c r="D747" s="23" t="str">
        <f t="shared" si="291"/>
        <v>KUUM_446</v>
      </c>
      <c r="E747" s="170">
        <f t="shared" si="292"/>
        <v>1038</v>
      </c>
      <c r="F747" s="185"/>
      <c r="G747" s="170">
        <f t="shared" si="293"/>
        <v>0</v>
      </c>
      <c r="H747" s="170">
        <v>0</v>
      </c>
      <c r="I747" s="11">
        <f t="shared" si="294"/>
        <v>9.5600000000000023</v>
      </c>
      <c r="J747" s="11">
        <f t="shared" si="295"/>
        <v>1.9900000000000002</v>
      </c>
      <c r="K747" s="416">
        <f t="shared" si="310"/>
        <v>9923.2800000000007</v>
      </c>
      <c r="L747" s="180"/>
      <c r="M747" s="180"/>
      <c r="N747" s="186">
        <f t="shared" si="288"/>
        <v>9923.2800000000007</v>
      </c>
      <c r="O747" s="29">
        <f t="shared" si="296"/>
        <v>0</v>
      </c>
      <c r="P747" s="181">
        <f t="shared" si="311"/>
        <v>0</v>
      </c>
      <c r="Q747" s="182">
        <f t="shared" si="297"/>
        <v>0</v>
      </c>
      <c r="R747" s="182">
        <f t="shared" si="298"/>
        <v>0</v>
      </c>
      <c r="S747" s="182">
        <f t="shared" si="299"/>
        <v>0</v>
      </c>
      <c r="T747" s="182">
        <f t="shared" si="300"/>
        <v>0</v>
      </c>
      <c r="U747" s="182">
        <f t="shared" si="301"/>
        <v>0</v>
      </c>
      <c r="V747" s="14">
        <f t="shared" si="302"/>
        <v>9923.2800000000007</v>
      </c>
      <c r="W747" s="14">
        <f t="shared" si="303"/>
        <v>-9923.2800000000007</v>
      </c>
      <c r="Y747" s="14">
        <f t="shared" si="306"/>
        <v>2065.62</v>
      </c>
      <c r="Z747" s="14">
        <f t="shared" si="307"/>
        <v>-2065.62</v>
      </c>
      <c r="AA747" s="11">
        <f t="shared" si="309"/>
        <v>0.39</v>
      </c>
      <c r="AB747" s="9">
        <f t="shared" si="312"/>
        <v>404.82</v>
      </c>
      <c r="AD747" s="13">
        <f>IF(AH747&gt;AH746,AD746,IF(AD746&lt;MiscData!$F$1,EOMONTH(AD746,1),EOMONTH(AD746,-11)))</f>
        <v>42277</v>
      </c>
      <c r="AE747" s="7" t="str">
        <f t="shared" si="304"/>
        <v>20140101KUUM_446</v>
      </c>
      <c r="AF747" s="12" t="str">
        <f t="shared" si="305"/>
        <v>20140101RLS</v>
      </c>
      <c r="AG747" s="31"/>
      <c r="AH747">
        <f>IF(AH746=MiscData!$AB$91,1,AH746+1)</f>
        <v>42</v>
      </c>
      <c r="AI747">
        <f>IF(AD747&lt;=MiscData!$B$23,MiscData!$C$23,IF(AD747&lt;=MiscData!$B$24,MiscData!$C$24,MiscData!$C$25))</f>
        <v>20140101</v>
      </c>
      <c r="AK747" s="190" t="str">
        <f>VLOOKUP(AM747,MiscData!$AB$4:$ACB$113,2,FALSE)</f>
        <v>KUUM_446</v>
      </c>
      <c r="AL747" s="190" t="str">
        <f>VLOOKUP(AM747,MiscData!$AB$4:$AE$115,4,FALSE)</f>
        <v>RLS</v>
      </c>
      <c r="AM747">
        <f>IF(AM746=MiscData!$AB$91,1,AM746+1)</f>
        <v>42</v>
      </c>
    </row>
    <row r="748" spans="1:39">
      <c r="A748" s="7">
        <f t="shared" si="308"/>
        <v>747</v>
      </c>
      <c r="B748" s="13" t="str">
        <f t="shared" si="289"/>
        <v>Sep 2015</v>
      </c>
      <c r="C748" s="23" t="str">
        <f t="shared" si="290"/>
        <v>RLS</v>
      </c>
      <c r="D748" s="23" t="str">
        <f t="shared" si="291"/>
        <v>KUUM_447</v>
      </c>
      <c r="E748" s="170">
        <f t="shared" si="292"/>
        <v>728</v>
      </c>
      <c r="F748" s="185"/>
      <c r="G748" s="170">
        <f t="shared" si="293"/>
        <v>0</v>
      </c>
      <c r="H748" s="170">
        <v>0</v>
      </c>
      <c r="I748" s="11">
        <f t="shared" si="294"/>
        <v>11.32</v>
      </c>
      <c r="J748" s="11">
        <f t="shared" si="295"/>
        <v>2.8400000000000016</v>
      </c>
      <c r="K748" s="416">
        <f t="shared" si="310"/>
        <v>8240.9599999999991</v>
      </c>
      <c r="L748" s="180"/>
      <c r="M748" s="180"/>
      <c r="N748" s="186">
        <f t="shared" si="288"/>
        <v>8240.9599999999991</v>
      </c>
      <c r="O748" s="29">
        <f t="shared" si="296"/>
        <v>0</v>
      </c>
      <c r="P748" s="181">
        <f t="shared" si="311"/>
        <v>0</v>
      </c>
      <c r="Q748" s="182">
        <f t="shared" si="297"/>
        <v>0</v>
      </c>
      <c r="R748" s="182">
        <f t="shared" si="298"/>
        <v>0</v>
      </c>
      <c r="S748" s="182">
        <f t="shared" si="299"/>
        <v>0</v>
      </c>
      <c r="T748" s="182">
        <f t="shared" si="300"/>
        <v>0</v>
      </c>
      <c r="U748" s="182">
        <f t="shared" si="301"/>
        <v>0</v>
      </c>
      <c r="V748" s="14">
        <f t="shared" si="302"/>
        <v>8240.9599999999991</v>
      </c>
      <c r="W748" s="14">
        <f t="shared" si="303"/>
        <v>-8240.9599999999991</v>
      </c>
      <c r="Y748" s="14">
        <f t="shared" si="306"/>
        <v>2067.52</v>
      </c>
      <c r="Z748" s="14">
        <f t="shared" si="307"/>
        <v>-2067.52</v>
      </c>
      <c r="AA748" s="11">
        <f t="shared" si="309"/>
        <v>0.44</v>
      </c>
      <c r="AB748" s="9">
        <f t="shared" si="312"/>
        <v>320.32</v>
      </c>
      <c r="AD748" s="13">
        <f>IF(AH748&gt;AH747,AD747,IF(AD747&lt;MiscData!$F$1,EOMONTH(AD747,1),EOMONTH(AD747,-11)))</f>
        <v>42277</v>
      </c>
      <c r="AE748" s="7" t="str">
        <f t="shared" si="304"/>
        <v>20140101KUUM_447</v>
      </c>
      <c r="AF748" s="12" t="str">
        <f t="shared" si="305"/>
        <v>20140101RLS</v>
      </c>
      <c r="AG748" s="31"/>
      <c r="AH748">
        <f>IF(AH747=MiscData!$AB$91,1,AH747+1)</f>
        <v>43</v>
      </c>
      <c r="AI748">
        <f>IF(AD748&lt;=MiscData!$B$23,MiscData!$C$23,IF(AD748&lt;=MiscData!$B$24,MiscData!$C$24,MiscData!$C$25))</f>
        <v>20140101</v>
      </c>
      <c r="AK748" s="190" t="str">
        <f>VLOOKUP(AM748,MiscData!$AB$4:$ACB$113,2,FALSE)</f>
        <v>KUUM_447</v>
      </c>
      <c r="AL748" s="190" t="str">
        <f>VLOOKUP(AM748,MiscData!$AB$4:$AE$115,4,FALSE)</f>
        <v>RLS</v>
      </c>
      <c r="AM748">
        <f>IF(AM747=MiscData!$AB$91,1,AM747+1)</f>
        <v>43</v>
      </c>
    </row>
    <row r="749" spans="1:39">
      <c r="A749" s="7">
        <f t="shared" si="308"/>
        <v>748</v>
      </c>
      <c r="B749" s="13" t="str">
        <f t="shared" si="289"/>
        <v>Sep 2015</v>
      </c>
      <c r="C749" s="23" t="str">
        <f t="shared" si="290"/>
        <v>RLS</v>
      </c>
      <c r="D749" s="23" t="str">
        <f t="shared" si="291"/>
        <v>KUUM_448</v>
      </c>
      <c r="E749" s="170">
        <f t="shared" si="292"/>
        <v>1562</v>
      </c>
      <c r="F749" s="185"/>
      <c r="G749" s="170">
        <f t="shared" si="293"/>
        <v>0</v>
      </c>
      <c r="H749" s="170">
        <v>0</v>
      </c>
      <c r="I749" s="11">
        <f t="shared" si="294"/>
        <v>12.809999999999999</v>
      </c>
      <c r="J749" s="11">
        <f t="shared" si="295"/>
        <v>4.37</v>
      </c>
      <c r="K749" s="416">
        <f t="shared" si="310"/>
        <v>20009.22</v>
      </c>
      <c r="L749" s="180"/>
      <c r="M749" s="180"/>
      <c r="N749" s="186">
        <f t="shared" si="288"/>
        <v>20009.22</v>
      </c>
      <c r="O749" s="29">
        <f t="shared" si="296"/>
        <v>0</v>
      </c>
      <c r="P749" s="181">
        <f t="shared" si="311"/>
        <v>0</v>
      </c>
      <c r="Q749" s="182">
        <f t="shared" si="297"/>
        <v>0</v>
      </c>
      <c r="R749" s="182">
        <f t="shared" si="298"/>
        <v>0</v>
      </c>
      <c r="S749" s="182">
        <f t="shared" si="299"/>
        <v>0</v>
      </c>
      <c r="T749" s="182">
        <f t="shared" si="300"/>
        <v>0</v>
      </c>
      <c r="U749" s="182">
        <f t="shared" si="301"/>
        <v>0</v>
      </c>
      <c r="V749" s="14">
        <f t="shared" si="302"/>
        <v>20009.22</v>
      </c>
      <c r="W749" s="14">
        <f t="shared" si="303"/>
        <v>-20009.22</v>
      </c>
      <c r="Y749" s="14">
        <f t="shared" si="306"/>
        <v>6825.94</v>
      </c>
      <c r="Z749" s="14">
        <f t="shared" si="307"/>
        <v>-6825.94</v>
      </c>
      <c r="AA749" s="11">
        <f t="shared" si="309"/>
        <v>0.51</v>
      </c>
      <c r="AB749" s="9">
        <f t="shared" si="312"/>
        <v>796.62</v>
      </c>
      <c r="AD749" s="13">
        <f>IF(AH749&gt;AH748,AD748,IF(AD748&lt;MiscData!$F$1,EOMONTH(AD748,1),EOMONTH(AD748,-11)))</f>
        <v>42277</v>
      </c>
      <c r="AE749" s="7" t="str">
        <f t="shared" si="304"/>
        <v>20140101KUUM_448</v>
      </c>
      <c r="AF749" s="12" t="str">
        <f t="shared" si="305"/>
        <v>20140101RLS</v>
      </c>
      <c r="AG749" s="31"/>
      <c r="AH749">
        <f>IF(AH748=MiscData!$AB$91,1,AH748+1)</f>
        <v>44</v>
      </c>
      <c r="AI749">
        <f>IF(AD749&lt;=MiscData!$B$23,MiscData!$C$23,IF(AD749&lt;=MiscData!$B$24,MiscData!$C$24,MiscData!$C$25))</f>
        <v>20140101</v>
      </c>
      <c r="AK749" s="190" t="str">
        <f>VLOOKUP(AM749,MiscData!$AB$4:$ACB$113,2,FALSE)</f>
        <v>KUUM_448</v>
      </c>
      <c r="AL749" s="190" t="str">
        <f>VLOOKUP(AM749,MiscData!$AB$4:$AE$115,4,FALSE)</f>
        <v>RLS</v>
      </c>
      <c r="AM749">
        <f>IF(AM748=MiscData!$AB$91,1,AM748+1)</f>
        <v>44</v>
      </c>
    </row>
    <row r="750" spans="1:39">
      <c r="A750" s="7">
        <f t="shared" si="308"/>
        <v>749</v>
      </c>
      <c r="B750" s="13" t="str">
        <f t="shared" si="289"/>
        <v>Sep 2015</v>
      </c>
      <c r="C750" s="23" t="str">
        <f t="shared" si="290"/>
        <v>LS</v>
      </c>
      <c r="D750" s="23" t="str">
        <f t="shared" si="291"/>
        <v>KUUM_450</v>
      </c>
      <c r="E750" s="170">
        <f t="shared" si="292"/>
        <v>614</v>
      </c>
      <c r="F750" s="185"/>
      <c r="G750" s="170">
        <f t="shared" si="293"/>
        <v>0</v>
      </c>
      <c r="H750" s="170">
        <v>0</v>
      </c>
      <c r="I750" s="11">
        <f t="shared" si="294"/>
        <v>14.25</v>
      </c>
      <c r="J750" s="11">
        <f t="shared" si="295"/>
        <v>1.9699999999999989</v>
      </c>
      <c r="K750" s="416">
        <f t="shared" si="310"/>
        <v>8749.5</v>
      </c>
      <c r="L750" s="180"/>
      <c r="M750" s="180"/>
      <c r="N750" s="186">
        <f t="shared" si="288"/>
        <v>8749.5</v>
      </c>
      <c r="O750" s="29">
        <f t="shared" si="296"/>
        <v>0</v>
      </c>
      <c r="P750" s="181">
        <f t="shared" si="311"/>
        <v>0</v>
      </c>
      <c r="Q750" s="182">
        <f t="shared" si="297"/>
        <v>0</v>
      </c>
      <c r="R750" s="182">
        <f t="shared" si="298"/>
        <v>0</v>
      </c>
      <c r="S750" s="182">
        <f t="shared" si="299"/>
        <v>0</v>
      </c>
      <c r="T750" s="182">
        <f t="shared" si="300"/>
        <v>0</v>
      </c>
      <c r="U750" s="182">
        <f t="shared" si="301"/>
        <v>0</v>
      </c>
      <c r="V750" s="14">
        <f t="shared" si="302"/>
        <v>8749.5</v>
      </c>
      <c r="W750" s="14">
        <f t="shared" si="303"/>
        <v>-8749.5</v>
      </c>
      <c r="Y750" s="14">
        <f t="shared" si="306"/>
        <v>1209.58</v>
      </c>
      <c r="Z750" s="14">
        <f t="shared" si="307"/>
        <v>-1209.58</v>
      </c>
      <c r="AA750" s="11">
        <f t="shared" si="309"/>
        <v>0.66</v>
      </c>
      <c r="AB750" s="9">
        <f t="shared" si="312"/>
        <v>405.24</v>
      </c>
      <c r="AD750" s="13">
        <f>IF(AH750&gt;AH749,AD749,IF(AD749&lt;MiscData!$F$1,EOMONTH(AD749,1),EOMONTH(AD749,-11)))</f>
        <v>42277</v>
      </c>
      <c r="AE750" s="7" t="str">
        <f t="shared" si="304"/>
        <v>20140101KUUM_450</v>
      </c>
      <c r="AF750" s="12" t="str">
        <f t="shared" si="305"/>
        <v>20140101LS</v>
      </c>
      <c r="AG750" s="31"/>
      <c r="AH750">
        <f>IF(AH749=MiscData!$AB$91,1,AH749+1)</f>
        <v>45</v>
      </c>
      <c r="AI750">
        <f>IF(AD750&lt;=MiscData!$B$23,MiscData!$C$23,IF(AD750&lt;=MiscData!$B$24,MiscData!$C$24,MiscData!$C$25))</f>
        <v>20140101</v>
      </c>
      <c r="AK750" s="190" t="str">
        <f>VLOOKUP(AM750,MiscData!$AB$4:$ACB$113,2,FALSE)</f>
        <v>KUUM_450</v>
      </c>
      <c r="AL750" s="190" t="str">
        <f>VLOOKUP(AM750,MiscData!$AB$4:$AE$115,4,FALSE)</f>
        <v>LS</v>
      </c>
      <c r="AM750">
        <f>IF(AM749=MiscData!$AB$91,1,AM749+1)</f>
        <v>45</v>
      </c>
    </row>
    <row r="751" spans="1:39">
      <c r="A751" s="7">
        <f t="shared" si="308"/>
        <v>750</v>
      </c>
      <c r="B751" s="13" t="str">
        <f t="shared" si="289"/>
        <v>Sep 2015</v>
      </c>
      <c r="C751" s="23" t="str">
        <f t="shared" si="290"/>
        <v>LS</v>
      </c>
      <c r="D751" s="23" t="str">
        <f t="shared" si="291"/>
        <v>KUUM_451</v>
      </c>
      <c r="E751" s="170">
        <f t="shared" si="292"/>
        <v>4845</v>
      </c>
      <c r="F751" s="185"/>
      <c r="G751" s="170">
        <f t="shared" si="293"/>
        <v>0</v>
      </c>
      <c r="H751" s="170">
        <v>0</v>
      </c>
      <c r="I751" s="11">
        <f t="shared" si="294"/>
        <v>20.200000000000003</v>
      </c>
      <c r="J751" s="11">
        <f t="shared" si="295"/>
        <v>4.2900000000000027</v>
      </c>
      <c r="K751" s="416">
        <f t="shared" si="310"/>
        <v>97869</v>
      </c>
      <c r="L751" s="180"/>
      <c r="M751" s="180"/>
      <c r="N751" s="186">
        <f t="shared" si="288"/>
        <v>97869</v>
      </c>
      <c r="O751" s="29">
        <f t="shared" si="296"/>
        <v>0</v>
      </c>
      <c r="P751" s="181">
        <f t="shared" si="311"/>
        <v>0</v>
      </c>
      <c r="Q751" s="182">
        <f t="shared" si="297"/>
        <v>0</v>
      </c>
      <c r="R751" s="182">
        <f t="shared" si="298"/>
        <v>0</v>
      </c>
      <c r="S751" s="182">
        <f t="shared" si="299"/>
        <v>0</v>
      </c>
      <c r="T751" s="182">
        <f t="shared" si="300"/>
        <v>0</v>
      </c>
      <c r="U751" s="182">
        <f t="shared" si="301"/>
        <v>0</v>
      </c>
      <c r="V751" s="14">
        <f t="shared" si="302"/>
        <v>97869</v>
      </c>
      <c r="W751" s="14">
        <f t="shared" si="303"/>
        <v>-97869</v>
      </c>
      <c r="Y751" s="14">
        <f t="shared" si="306"/>
        <v>20785.05</v>
      </c>
      <c r="Z751" s="14">
        <f t="shared" si="307"/>
        <v>-20785.05</v>
      </c>
      <c r="AA751" s="11">
        <f t="shared" si="309"/>
        <v>0.84</v>
      </c>
      <c r="AB751" s="9">
        <f t="shared" si="312"/>
        <v>4069.7999999999997</v>
      </c>
      <c r="AD751" s="13">
        <f>IF(AH751&gt;AH750,AD750,IF(AD750&lt;MiscData!$F$1,EOMONTH(AD750,1),EOMONTH(AD750,-11)))</f>
        <v>42277</v>
      </c>
      <c r="AE751" s="7" t="str">
        <f t="shared" si="304"/>
        <v>20140101KUUM_451</v>
      </c>
      <c r="AF751" s="12" t="str">
        <f t="shared" si="305"/>
        <v>20140101LS</v>
      </c>
      <c r="AG751" s="31"/>
      <c r="AH751">
        <f>IF(AH750=MiscData!$AB$91,1,AH750+1)</f>
        <v>46</v>
      </c>
      <c r="AI751">
        <f>IF(AD751&lt;=MiscData!$B$23,MiscData!$C$23,IF(AD751&lt;=MiscData!$B$24,MiscData!$C$24,MiscData!$C$25))</f>
        <v>20140101</v>
      </c>
      <c r="AK751" s="190" t="str">
        <f>VLOOKUP(AM751,MiscData!$AB$4:$ACB$113,2,FALSE)</f>
        <v>KUUM_451</v>
      </c>
      <c r="AL751" s="190" t="str">
        <f>VLOOKUP(AM751,MiscData!$AB$4:$AE$115,4,FALSE)</f>
        <v>LS</v>
      </c>
      <c r="AM751">
        <f>IF(AM750=MiscData!$AB$91,1,AM750+1)</f>
        <v>46</v>
      </c>
    </row>
    <row r="752" spans="1:39">
      <c r="A752" s="7">
        <f t="shared" si="308"/>
        <v>751</v>
      </c>
      <c r="B752" s="13" t="str">
        <f t="shared" si="289"/>
        <v>Sep 2015</v>
      </c>
      <c r="C752" s="23" t="str">
        <f t="shared" si="290"/>
        <v>LS</v>
      </c>
      <c r="D752" s="23" t="str">
        <f t="shared" si="291"/>
        <v>KUUM_452</v>
      </c>
      <c r="E752" s="170">
        <f t="shared" si="292"/>
        <v>993</v>
      </c>
      <c r="F752" s="185"/>
      <c r="G752" s="170">
        <f t="shared" si="293"/>
        <v>0</v>
      </c>
      <c r="H752" s="170">
        <v>0</v>
      </c>
      <c r="I752" s="11">
        <f t="shared" si="294"/>
        <v>42.350000000000009</v>
      </c>
      <c r="J752" s="11">
        <f t="shared" si="295"/>
        <v>10.410000000000004</v>
      </c>
      <c r="K752" s="416">
        <f t="shared" si="310"/>
        <v>42053.55</v>
      </c>
      <c r="L752" s="180"/>
      <c r="M752" s="180"/>
      <c r="N752" s="186">
        <f t="shared" si="288"/>
        <v>42053.55</v>
      </c>
      <c r="O752" s="29">
        <f t="shared" si="296"/>
        <v>0</v>
      </c>
      <c r="P752" s="181">
        <f t="shared" si="311"/>
        <v>0</v>
      </c>
      <c r="Q752" s="182">
        <f t="shared" si="297"/>
        <v>0</v>
      </c>
      <c r="R752" s="182">
        <f t="shared" si="298"/>
        <v>0</v>
      </c>
      <c r="S752" s="182">
        <f t="shared" si="299"/>
        <v>0</v>
      </c>
      <c r="T752" s="182">
        <f t="shared" si="300"/>
        <v>0</v>
      </c>
      <c r="U752" s="182">
        <f t="shared" si="301"/>
        <v>0</v>
      </c>
      <c r="V752" s="14">
        <f t="shared" si="302"/>
        <v>42053.55</v>
      </c>
      <c r="W752" s="14">
        <f t="shared" si="303"/>
        <v>-42053.55</v>
      </c>
      <c r="Y752" s="14">
        <f t="shared" si="306"/>
        <v>10337.129999999999</v>
      </c>
      <c r="Z752" s="14">
        <f t="shared" si="307"/>
        <v>-10337.129999999999</v>
      </c>
      <c r="AA752" s="11">
        <f t="shared" si="309"/>
        <v>1.7</v>
      </c>
      <c r="AB752" s="9">
        <f t="shared" si="312"/>
        <v>1688.1</v>
      </c>
      <c r="AD752" s="13">
        <f>IF(AH752&gt;AH751,AD751,IF(AD751&lt;MiscData!$F$1,EOMONTH(AD751,1),EOMONTH(AD751,-11)))</f>
        <v>42277</v>
      </c>
      <c r="AE752" s="7" t="str">
        <f t="shared" si="304"/>
        <v>20140101KUUM_452</v>
      </c>
      <c r="AF752" s="12" t="str">
        <f t="shared" si="305"/>
        <v>20140101LS</v>
      </c>
      <c r="AG752" s="31"/>
      <c r="AH752">
        <f>IF(AH751=MiscData!$AB$91,1,AH751+1)</f>
        <v>47</v>
      </c>
      <c r="AI752">
        <f>IF(AD752&lt;=MiscData!$B$23,MiscData!$C$23,IF(AD752&lt;=MiscData!$B$24,MiscData!$C$24,MiscData!$C$25))</f>
        <v>20140101</v>
      </c>
      <c r="AK752" s="190" t="str">
        <f>VLOOKUP(AM752,MiscData!$AB$4:$ACB$113,2,FALSE)</f>
        <v>KUUM_452</v>
      </c>
      <c r="AL752" s="190" t="str">
        <f>VLOOKUP(AM752,MiscData!$AB$4:$AE$115,4,FALSE)</f>
        <v>LS</v>
      </c>
      <c r="AM752">
        <f>IF(AM751=MiscData!$AB$91,1,AM751+1)</f>
        <v>47</v>
      </c>
    </row>
    <row r="753" spans="1:39">
      <c r="A753" s="7">
        <f t="shared" si="308"/>
        <v>752</v>
      </c>
      <c r="B753" s="13" t="str">
        <f t="shared" si="289"/>
        <v>Sep 2015</v>
      </c>
      <c r="C753" s="23" t="str">
        <f t="shared" si="290"/>
        <v>RLS</v>
      </c>
      <c r="D753" s="23" t="str">
        <f t="shared" si="291"/>
        <v>KUUM_454</v>
      </c>
      <c r="E753" s="170">
        <f t="shared" si="292"/>
        <v>142</v>
      </c>
      <c r="F753" s="185"/>
      <c r="G753" s="170">
        <f t="shared" si="293"/>
        <v>0</v>
      </c>
      <c r="H753" s="170">
        <v>0</v>
      </c>
      <c r="I753" s="11">
        <f t="shared" si="294"/>
        <v>18.649999999999999</v>
      </c>
      <c r="J753" s="11">
        <f t="shared" si="295"/>
        <v>1.9699999999999989</v>
      </c>
      <c r="K753" s="416">
        <f t="shared" si="310"/>
        <v>2648.3</v>
      </c>
      <c r="L753" s="180"/>
      <c r="M753" s="180"/>
      <c r="N753" s="186">
        <f t="shared" si="288"/>
        <v>2648.3</v>
      </c>
      <c r="O753" s="29">
        <f t="shared" si="296"/>
        <v>0</v>
      </c>
      <c r="P753" s="181">
        <f t="shared" si="311"/>
        <v>0</v>
      </c>
      <c r="Q753" s="182">
        <f t="shared" si="297"/>
        <v>0</v>
      </c>
      <c r="R753" s="182">
        <f t="shared" si="298"/>
        <v>0</v>
      </c>
      <c r="S753" s="182">
        <f t="shared" si="299"/>
        <v>0</v>
      </c>
      <c r="T753" s="182">
        <f t="shared" si="300"/>
        <v>0</v>
      </c>
      <c r="U753" s="182">
        <f t="shared" si="301"/>
        <v>0</v>
      </c>
      <c r="V753" s="14">
        <f t="shared" si="302"/>
        <v>2648.3</v>
      </c>
      <c r="W753" s="14">
        <f t="shared" si="303"/>
        <v>-2648.3</v>
      </c>
      <c r="Y753" s="14">
        <f t="shared" si="306"/>
        <v>279.74</v>
      </c>
      <c r="Z753" s="14">
        <f t="shared" si="307"/>
        <v>-279.74</v>
      </c>
      <c r="AA753" s="11">
        <f t="shared" si="309"/>
        <v>0.66</v>
      </c>
      <c r="AB753" s="9">
        <f t="shared" si="312"/>
        <v>93.72</v>
      </c>
      <c r="AD753" s="13">
        <f>IF(AH753&gt;AH752,AD752,IF(AD752&lt;MiscData!$F$1,EOMONTH(AD752,1),EOMONTH(AD752,-11)))</f>
        <v>42277</v>
      </c>
      <c r="AE753" s="7" t="str">
        <f t="shared" si="304"/>
        <v>20140101KUUM_454</v>
      </c>
      <c r="AF753" s="12" t="str">
        <f t="shared" si="305"/>
        <v>20140101RLS</v>
      </c>
      <c r="AG753" s="31"/>
      <c r="AH753">
        <f>IF(AH752=MiscData!$AB$91,1,AH752+1)</f>
        <v>48</v>
      </c>
      <c r="AI753">
        <f>IF(AD753&lt;=MiscData!$B$23,MiscData!$C$23,IF(AD753&lt;=MiscData!$B$24,MiscData!$C$24,MiscData!$C$25))</f>
        <v>20140101</v>
      </c>
      <c r="AK753" s="190" t="str">
        <f>VLOOKUP(AM753,MiscData!$AB$4:$ACB$113,2,FALSE)</f>
        <v>KUUM_454</v>
      </c>
      <c r="AL753" s="190" t="str">
        <f>VLOOKUP(AM753,MiscData!$AB$4:$AE$115,4,FALSE)</f>
        <v>RLS</v>
      </c>
      <c r="AM753">
        <f>IF(AM752=MiscData!$AB$91,1,AM752+1)</f>
        <v>48</v>
      </c>
    </row>
    <row r="754" spans="1:39">
      <c r="A754" s="7">
        <f t="shared" si="308"/>
        <v>753</v>
      </c>
      <c r="B754" s="13" t="str">
        <f t="shared" si="289"/>
        <v>Sep 2015</v>
      </c>
      <c r="C754" s="23" t="str">
        <f t="shared" si="290"/>
        <v>RLS</v>
      </c>
      <c r="D754" s="23" t="str">
        <f t="shared" si="291"/>
        <v>KUUM_455</v>
      </c>
      <c r="E754" s="170">
        <f t="shared" si="292"/>
        <v>991</v>
      </c>
      <c r="F754" s="185"/>
      <c r="G754" s="170">
        <f t="shared" si="293"/>
        <v>0</v>
      </c>
      <c r="H754" s="170">
        <v>0</v>
      </c>
      <c r="I754" s="11">
        <f t="shared" si="294"/>
        <v>24.59</v>
      </c>
      <c r="J754" s="11">
        <f t="shared" si="295"/>
        <v>4.2899999999999991</v>
      </c>
      <c r="K754" s="416">
        <f t="shared" si="310"/>
        <v>24368.69</v>
      </c>
      <c r="L754" s="180"/>
      <c r="M754" s="180"/>
      <c r="N754" s="186">
        <f t="shared" si="288"/>
        <v>24368.69</v>
      </c>
      <c r="O754" s="29">
        <f t="shared" si="296"/>
        <v>0</v>
      </c>
      <c r="P754" s="181">
        <f t="shared" si="311"/>
        <v>0</v>
      </c>
      <c r="Q754" s="182">
        <f t="shared" si="297"/>
        <v>0</v>
      </c>
      <c r="R754" s="182">
        <f t="shared" si="298"/>
        <v>0</v>
      </c>
      <c r="S754" s="182">
        <f t="shared" si="299"/>
        <v>0</v>
      </c>
      <c r="T754" s="182">
        <f t="shared" si="300"/>
        <v>0</v>
      </c>
      <c r="U754" s="182">
        <f t="shared" si="301"/>
        <v>0</v>
      </c>
      <c r="V754" s="14">
        <f t="shared" si="302"/>
        <v>24368.69</v>
      </c>
      <c r="W754" s="14">
        <f t="shared" si="303"/>
        <v>-24368.69</v>
      </c>
      <c r="Y754" s="14">
        <f t="shared" si="306"/>
        <v>4251.3900000000003</v>
      </c>
      <c r="Z754" s="14">
        <f t="shared" si="307"/>
        <v>-4251.3900000000003</v>
      </c>
      <c r="AA754" s="11">
        <f t="shared" si="309"/>
        <v>0.84</v>
      </c>
      <c r="AB754" s="9">
        <f t="shared" si="312"/>
        <v>832.43999999999994</v>
      </c>
      <c r="AD754" s="13">
        <f>IF(AH754&gt;AH753,AD753,IF(AD753&lt;MiscData!$F$1,EOMONTH(AD753,1),EOMONTH(AD753,-11)))</f>
        <v>42277</v>
      </c>
      <c r="AE754" s="7" t="str">
        <f t="shared" si="304"/>
        <v>20140101KUUM_455</v>
      </c>
      <c r="AF754" s="12" t="str">
        <f t="shared" si="305"/>
        <v>20140101RLS</v>
      </c>
      <c r="AG754" s="31"/>
      <c r="AH754">
        <f>IF(AH753=MiscData!$AB$91,1,AH753+1)</f>
        <v>49</v>
      </c>
      <c r="AI754">
        <f>IF(AD754&lt;=MiscData!$B$23,MiscData!$C$23,IF(AD754&lt;=MiscData!$B$24,MiscData!$C$24,MiscData!$C$25))</f>
        <v>20140101</v>
      </c>
      <c r="AK754" s="190" t="str">
        <f>VLOOKUP(AM754,MiscData!$AB$4:$ACB$113,2,FALSE)</f>
        <v>KUUM_455</v>
      </c>
      <c r="AL754" s="190" t="str">
        <f>VLOOKUP(AM754,MiscData!$AB$4:$AE$115,4,FALSE)</f>
        <v>RLS</v>
      </c>
      <c r="AM754">
        <f>IF(AM753=MiscData!$AB$91,1,AM753+1)</f>
        <v>49</v>
      </c>
    </row>
    <row r="755" spans="1:39">
      <c r="A755" s="7">
        <f t="shared" si="308"/>
        <v>754</v>
      </c>
      <c r="B755" s="13" t="str">
        <f t="shared" si="289"/>
        <v>Sep 2015</v>
      </c>
      <c r="C755" s="23" t="str">
        <f t="shared" si="290"/>
        <v>RLS</v>
      </c>
      <c r="D755" s="23" t="str">
        <f t="shared" si="291"/>
        <v>KUUM_456</v>
      </c>
      <c r="E755" s="170">
        <f t="shared" si="292"/>
        <v>135</v>
      </c>
      <c r="F755" s="185"/>
      <c r="G755" s="170">
        <f t="shared" si="293"/>
        <v>0</v>
      </c>
      <c r="H755" s="170">
        <v>0</v>
      </c>
      <c r="I755" s="11">
        <f t="shared" si="294"/>
        <v>11.870000000000001</v>
      </c>
      <c r="J755" s="11">
        <f t="shared" si="295"/>
        <v>1.9900000000000002</v>
      </c>
      <c r="K755" s="416">
        <f t="shared" si="310"/>
        <v>1602.45</v>
      </c>
      <c r="L755" s="180"/>
      <c r="M755" s="180"/>
      <c r="N755" s="186">
        <f t="shared" si="288"/>
        <v>1602.45</v>
      </c>
      <c r="O755" s="29">
        <f t="shared" si="296"/>
        <v>0</v>
      </c>
      <c r="P755" s="181">
        <f t="shared" si="311"/>
        <v>0</v>
      </c>
      <c r="Q755" s="182">
        <f t="shared" si="297"/>
        <v>0</v>
      </c>
      <c r="R755" s="182">
        <f t="shared" si="298"/>
        <v>0</v>
      </c>
      <c r="S755" s="182">
        <f t="shared" si="299"/>
        <v>0</v>
      </c>
      <c r="T755" s="182">
        <f t="shared" si="300"/>
        <v>0</v>
      </c>
      <c r="U755" s="182">
        <f t="shared" si="301"/>
        <v>0</v>
      </c>
      <c r="V755" s="14">
        <f t="shared" si="302"/>
        <v>1602.45</v>
      </c>
      <c r="W755" s="14">
        <f t="shared" si="303"/>
        <v>-1602.45</v>
      </c>
      <c r="Y755" s="14">
        <f t="shared" si="306"/>
        <v>268.64999999999998</v>
      </c>
      <c r="Z755" s="14">
        <f t="shared" si="307"/>
        <v>-268.64999999999998</v>
      </c>
      <c r="AA755" s="11">
        <f t="shared" si="309"/>
        <v>0.39</v>
      </c>
      <c r="AB755" s="9">
        <f t="shared" si="312"/>
        <v>52.65</v>
      </c>
      <c r="AD755" s="13">
        <f>IF(AH755&gt;AH754,AD754,IF(AD754&lt;MiscData!$F$1,EOMONTH(AD754,1),EOMONTH(AD754,-11)))</f>
        <v>42277</v>
      </c>
      <c r="AE755" s="7" t="str">
        <f t="shared" si="304"/>
        <v>20140101KUUM_456</v>
      </c>
      <c r="AF755" s="12" t="str">
        <f t="shared" si="305"/>
        <v>20140101RLS</v>
      </c>
      <c r="AG755" s="31"/>
      <c r="AH755">
        <f>IF(AH754=MiscData!$AB$91,1,AH754+1)</f>
        <v>50</v>
      </c>
      <c r="AI755">
        <f>IF(AD755&lt;=MiscData!$B$23,MiscData!$C$23,IF(AD755&lt;=MiscData!$B$24,MiscData!$C$24,MiscData!$C$25))</f>
        <v>20140101</v>
      </c>
      <c r="AK755" s="190" t="str">
        <f>VLOOKUP(AM755,MiscData!$AB$4:$ACB$113,2,FALSE)</f>
        <v>KUUM_456</v>
      </c>
      <c r="AL755" s="190" t="str">
        <f>VLOOKUP(AM755,MiscData!$AB$4:$AE$115,4,FALSE)</f>
        <v>RLS</v>
      </c>
      <c r="AM755">
        <f>IF(AM754=MiscData!$AB$91,1,AM754+1)</f>
        <v>50</v>
      </c>
    </row>
    <row r="756" spans="1:39">
      <c r="A756" s="7">
        <f t="shared" si="308"/>
        <v>755</v>
      </c>
      <c r="B756" s="13" t="str">
        <f t="shared" si="289"/>
        <v>Sep 2015</v>
      </c>
      <c r="C756" s="23" t="str">
        <f t="shared" si="290"/>
        <v>RLS</v>
      </c>
      <c r="D756" s="23" t="str">
        <f t="shared" si="291"/>
        <v>KUUM_457</v>
      </c>
      <c r="E756" s="170">
        <f t="shared" si="292"/>
        <v>440</v>
      </c>
      <c r="F756" s="185"/>
      <c r="G756" s="170">
        <f t="shared" si="293"/>
        <v>0</v>
      </c>
      <c r="H756" s="170">
        <v>-93</v>
      </c>
      <c r="I756" s="11">
        <f t="shared" si="294"/>
        <v>13.360000000000001</v>
      </c>
      <c r="J756" s="11">
        <f t="shared" si="295"/>
        <v>2.84</v>
      </c>
      <c r="K756" s="416">
        <f t="shared" si="310"/>
        <v>5878.4</v>
      </c>
      <c r="L756" s="180"/>
      <c r="M756" s="180"/>
      <c r="N756" s="186">
        <f t="shared" si="288"/>
        <v>5878.4</v>
      </c>
      <c r="O756" s="29">
        <f t="shared" si="296"/>
        <v>0</v>
      </c>
      <c r="P756" s="181">
        <f t="shared" si="311"/>
        <v>0</v>
      </c>
      <c r="Q756" s="182">
        <f t="shared" si="297"/>
        <v>0</v>
      </c>
      <c r="R756" s="182">
        <f t="shared" si="298"/>
        <v>0</v>
      </c>
      <c r="S756" s="182">
        <f t="shared" si="299"/>
        <v>0</v>
      </c>
      <c r="T756" s="182">
        <f t="shared" si="300"/>
        <v>0</v>
      </c>
      <c r="U756" s="182">
        <f t="shared" si="301"/>
        <v>0</v>
      </c>
      <c r="V756" s="14">
        <f t="shared" si="302"/>
        <v>5878.4</v>
      </c>
      <c r="W756" s="14">
        <f t="shared" si="303"/>
        <v>-5878.4</v>
      </c>
      <c r="Y756" s="14">
        <f t="shared" si="306"/>
        <v>1249.5999999999999</v>
      </c>
      <c r="Z756" s="14">
        <f t="shared" si="307"/>
        <v>-1249.5999999999999</v>
      </c>
      <c r="AA756" s="11">
        <f t="shared" si="309"/>
        <v>0.44</v>
      </c>
      <c r="AB756" s="9">
        <f t="shared" si="312"/>
        <v>193.6</v>
      </c>
      <c r="AD756" s="13">
        <f>IF(AH756&gt;AH755,AD755,IF(AD755&lt;MiscData!$F$1,EOMONTH(AD755,1),EOMONTH(AD755,-11)))</f>
        <v>42277</v>
      </c>
      <c r="AE756" s="7" t="str">
        <f t="shared" si="304"/>
        <v>20140101KUUM_457</v>
      </c>
      <c r="AF756" s="12" t="str">
        <f t="shared" si="305"/>
        <v>20140101RLS</v>
      </c>
      <c r="AG756" s="31"/>
      <c r="AH756">
        <f>IF(AH755=MiscData!$AB$91,1,AH755+1)</f>
        <v>51</v>
      </c>
      <c r="AI756">
        <f>IF(AD756&lt;=MiscData!$B$23,MiscData!$C$23,IF(AD756&lt;=MiscData!$B$24,MiscData!$C$24,MiscData!$C$25))</f>
        <v>20140101</v>
      </c>
      <c r="AK756" s="190" t="str">
        <f>VLOOKUP(AM756,MiscData!$AB$4:$ACB$113,2,FALSE)</f>
        <v>KUUM_457</v>
      </c>
      <c r="AL756" s="190" t="str">
        <f>VLOOKUP(AM756,MiscData!$AB$4:$AE$115,4,FALSE)</f>
        <v>RLS</v>
      </c>
      <c r="AM756">
        <f>IF(AM755=MiscData!$AB$91,1,AM755+1)</f>
        <v>51</v>
      </c>
    </row>
    <row r="757" spans="1:39">
      <c r="A757" s="7">
        <f t="shared" si="308"/>
        <v>756</v>
      </c>
      <c r="B757" s="13" t="str">
        <f t="shared" si="289"/>
        <v>Sep 2015</v>
      </c>
      <c r="C757" s="23" t="str">
        <f t="shared" si="290"/>
        <v>RLS</v>
      </c>
      <c r="D757" s="23" t="str">
        <f t="shared" si="291"/>
        <v>KUUM_458</v>
      </c>
      <c r="E757" s="170">
        <f t="shared" si="292"/>
        <v>1451</v>
      </c>
      <c r="F757" s="185"/>
      <c r="G757" s="170">
        <f t="shared" si="293"/>
        <v>0</v>
      </c>
      <c r="H757" s="170">
        <v>0</v>
      </c>
      <c r="I757" s="11">
        <f t="shared" si="294"/>
        <v>15.079999999999998</v>
      </c>
      <c r="J757" s="11">
        <f t="shared" si="295"/>
        <v>4.3699999999999992</v>
      </c>
      <c r="K757" s="416">
        <f t="shared" si="310"/>
        <v>21881.08</v>
      </c>
      <c r="L757" s="180"/>
      <c r="M757" s="180"/>
      <c r="N757" s="186">
        <f t="shared" si="288"/>
        <v>21881.08</v>
      </c>
      <c r="O757" s="29">
        <f t="shared" si="296"/>
        <v>0</v>
      </c>
      <c r="P757" s="181">
        <f t="shared" si="311"/>
        <v>0</v>
      </c>
      <c r="Q757" s="182">
        <f t="shared" si="297"/>
        <v>0</v>
      </c>
      <c r="R757" s="182">
        <f t="shared" si="298"/>
        <v>0</v>
      </c>
      <c r="S757" s="182">
        <f t="shared" si="299"/>
        <v>0</v>
      </c>
      <c r="T757" s="182">
        <f t="shared" si="300"/>
        <v>0</v>
      </c>
      <c r="U757" s="182">
        <f t="shared" si="301"/>
        <v>0</v>
      </c>
      <c r="V757" s="14">
        <f t="shared" si="302"/>
        <v>21881.08</v>
      </c>
      <c r="W757" s="14">
        <f t="shared" si="303"/>
        <v>-21881.08</v>
      </c>
      <c r="Y757" s="14">
        <f t="shared" si="306"/>
        <v>6340.87</v>
      </c>
      <c r="Z757" s="14">
        <f t="shared" si="307"/>
        <v>-6340.87</v>
      </c>
      <c r="AA757" s="11">
        <f t="shared" si="309"/>
        <v>0.51</v>
      </c>
      <c r="AB757" s="9">
        <f t="shared" si="312"/>
        <v>740.01</v>
      </c>
      <c r="AD757" s="13">
        <f>IF(AH757&gt;AH756,AD756,IF(AD756&lt;MiscData!$F$1,EOMONTH(AD756,1),EOMONTH(AD756,-11)))</f>
        <v>42277</v>
      </c>
      <c r="AE757" s="7" t="str">
        <f t="shared" si="304"/>
        <v>20140101KUUM_458</v>
      </c>
      <c r="AF757" s="12" t="str">
        <f t="shared" si="305"/>
        <v>20140101RLS</v>
      </c>
      <c r="AG757" s="31"/>
      <c r="AH757">
        <f>IF(AH756=MiscData!$AB$91,1,AH756+1)</f>
        <v>52</v>
      </c>
      <c r="AI757">
        <f>IF(AD757&lt;=MiscData!$B$23,MiscData!$C$23,IF(AD757&lt;=MiscData!$B$24,MiscData!$C$24,MiscData!$C$25))</f>
        <v>20140101</v>
      </c>
      <c r="AK757" s="190" t="str">
        <f>VLOOKUP(AM757,MiscData!$AB$4:$ACB$113,2,FALSE)</f>
        <v>KUUM_458</v>
      </c>
      <c r="AL757" s="190" t="str">
        <f>VLOOKUP(AM757,MiscData!$AB$4:$AE$115,4,FALSE)</f>
        <v>RLS</v>
      </c>
      <c r="AM757">
        <f>IF(AM756=MiscData!$AB$91,1,AM756+1)</f>
        <v>52</v>
      </c>
    </row>
    <row r="758" spans="1:39">
      <c r="A758" s="7">
        <f t="shared" si="308"/>
        <v>757</v>
      </c>
      <c r="B758" s="13" t="str">
        <f t="shared" si="289"/>
        <v>Sep 2015</v>
      </c>
      <c r="C758" s="23" t="str">
        <f t="shared" si="290"/>
        <v>RLS</v>
      </c>
      <c r="D758" s="23" t="str">
        <f t="shared" si="291"/>
        <v>KUUM_459</v>
      </c>
      <c r="E758" s="170">
        <f t="shared" si="292"/>
        <v>216</v>
      </c>
      <c r="F758" s="185"/>
      <c r="G758" s="170">
        <f t="shared" si="293"/>
        <v>0</v>
      </c>
      <c r="H758" s="170">
        <v>0</v>
      </c>
      <c r="I758" s="11">
        <f t="shared" si="294"/>
        <v>46.740000000000009</v>
      </c>
      <c r="J758" s="11">
        <f t="shared" si="295"/>
        <v>10.410000000000004</v>
      </c>
      <c r="K758" s="416">
        <f t="shared" si="310"/>
        <v>10095.84</v>
      </c>
      <c r="L758" s="180"/>
      <c r="M758" s="180"/>
      <c r="N758" s="186">
        <f t="shared" si="288"/>
        <v>10095.84</v>
      </c>
      <c r="O758" s="29">
        <f t="shared" si="296"/>
        <v>0</v>
      </c>
      <c r="P758" s="181">
        <f t="shared" si="311"/>
        <v>0</v>
      </c>
      <c r="Q758" s="182">
        <f t="shared" si="297"/>
        <v>0</v>
      </c>
      <c r="R758" s="182">
        <f t="shared" si="298"/>
        <v>0</v>
      </c>
      <c r="S758" s="182">
        <f t="shared" si="299"/>
        <v>0</v>
      </c>
      <c r="T758" s="182">
        <f t="shared" si="300"/>
        <v>0</v>
      </c>
      <c r="U758" s="182">
        <f t="shared" si="301"/>
        <v>0</v>
      </c>
      <c r="V758" s="14">
        <f t="shared" si="302"/>
        <v>10095.84</v>
      </c>
      <c r="W758" s="14">
        <f t="shared" si="303"/>
        <v>-10095.84</v>
      </c>
      <c r="Y758" s="14">
        <f t="shared" si="306"/>
        <v>2248.56</v>
      </c>
      <c r="Z758" s="14">
        <f t="shared" si="307"/>
        <v>-2248.56</v>
      </c>
      <c r="AA758" s="11">
        <f t="shared" si="309"/>
        <v>1.7</v>
      </c>
      <c r="AB758" s="9">
        <f t="shared" si="312"/>
        <v>367.2</v>
      </c>
      <c r="AD758" s="13">
        <f>IF(AH758&gt;AH757,AD757,IF(AD757&lt;MiscData!$F$1,EOMONTH(AD757,1),EOMONTH(AD757,-11)))</f>
        <v>42277</v>
      </c>
      <c r="AE758" s="7" t="str">
        <f t="shared" si="304"/>
        <v>20140101KUUM_459</v>
      </c>
      <c r="AF758" s="12" t="str">
        <f t="shared" si="305"/>
        <v>20140101RLS</v>
      </c>
      <c r="AG758" s="31"/>
      <c r="AH758">
        <f>IF(AH757=MiscData!$AB$91,1,AH757+1)</f>
        <v>53</v>
      </c>
      <c r="AI758">
        <f>IF(AD758&lt;=MiscData!$B$23,MiscData!$C$23,IF(AD758&lt;=MiscData!$B$24,MiscData!$C$24,MiscData!$C$25))</f>
        <v>20140101</v>
      </c>
      <c r="AK758" s="190" t="str">
        <f>VLOOKUP(AM758,MiscData!$AB$4:$ACB$113,2,FALSE)</f>
        <v>KUUM_459</v>
      </c>
      <c r="AL758" s="190" t="str">
        <f>VLOOKUP(AM758,MiscData!$AB$4:$AE$115,4,FALSE)</f>
        <v>RLS</v>
      </c>
      <c r="AM758">
        <f>IF(AM757=MiscData!$AB$91,1,AM757+1)</f>
        <v>53</v>
      </c>
    </row>
    <row r="759" spans="1:39">
      <c r="A759" s="7">
        <f t="shared" si="308"/>
        <v>758</v>
      </c>
      <c r="B759" s="13" t="str">
        <f t="shared" si="289"/>
        <v>Sep 2015</v>
      </c>
      <c r="C759" s="23" t="str">
        <f t="shared" si="290"/>
        <v>RLS</v>
      </c>
      <c r="D759" s="23" t="str">
        <f t="shared" si="291"/>
        <v>KUUM_460</v>
      </c>
      <c r="E759" s="170">
        <f t="shared" si="292"/>
        <v>27</v>
      </c>
      <c r="F759" s="185"/>
      <c r="G759" s="170">
        <f t="shared" si="293"/>
        <v>0</v>
      </c>
      <c r="H759" s="170">
        <v>0</v>
      </c>
      <c r="I759" s="11">
        <f t="shared" si="294"/>
        <v>27.15</v>
      </c>
      <c r="J759" s="11">
        <f t="shared" si="295"/>
        <v>1.9699999999999989</v>
      </c>
      <c r="K759" s="416">
        <f t="shared" si="310"/>
        <v>733.05</v>
      </c>
      <c r="L759" s="180"/>
      <c r="M759" s="180"/>
      <c r="N759" s="186">
        <f t="shared" si="288"/>
        <v>733.05</v>
      </c>
      <c r="O759" s="29">
        <f t="shared" si="296"/>
        <v>0</v>
      </c>
      <c r="P759" s="181">
        <f t="shared" si="311"/>
        <v>0</v>
      </c>
      <c r="Q759" s="182">
        <f t="shared" si="297"/>
        <v>0</v>
      </c>
      <c r="R759" s="182">
        <f t="shared" si="298"/>
        <v>0</v>
      </c>
      <c r="S759" s="182">
        <f t="shared" si="299"/>
        <v>0</v>
      </c>
      <c r="T759" s="182">
        <f t="shared" si="300"/>
        <v>0</v>
      </c>
      <c r="U759" s="182">
        <f t="shared" si="301"/>
        <v>0</v>
      </c>
      <c r="V759" s="14">
        <f t="shared" si="302"/>
        <v>733.05</v>
      </c>
      <c r="W759" s="14">
        <f t="shared" si="303"/>
        <v>-733.05</v>
      </c>
      <c r="Y759" s="14">
        <f t="shared" si="306"/>
        <v>53.19</v>
      </c>
      <c r="Z759" s="14">
        <f t="shared" si="307"/>
        <v>-53.19</v>
      </c>
      <c r="AA759" s="11">
        <f t="shared" si="309"/>
        <v>0.66</v>
      </c>
      <c r="AB759" s="9">
        <f t="shared" si="312"/>
        <v>17.82</v>
      </c>
      <c r="AD759" s="13">
        <f>IF(AH759&gt;AH758,AD758,IF(AD758&lt;MiscData!$F$1,EOMONTH(AD758,1),EOMONTH(AD758,-11)))</f>
        <v>42277</v>
      </c>
      <c r="AE759" s="7" t="str">
        <f t="shared" si="304"/>
        <v>20140101KUUM_460</v>
      </c>
      <c r="AF759" s="12" t="str">
        <f t="shared" si="305"/>
        <v>20140101RLS</v>
      </c>
      <c r="AG759" s="31"/>
      <c r="AH759">
        <f>IF(AH758=MiscData!$AB$91,1,AH758+1)</f>
        <v>54</v>
      </c>
      <c r="AI759">
        <f>IF(AD759&lt;=MiscData!$B$23,MiscData!$C$23,IF(AD759&lt;=MiscData!$B$24,MiscData!$C$24,MiscData!$C$25))</f>
        <v>20140101</v>
      </c>
      <c r="AK759" s="190" t="str">
        <f>VLOOKUP(AM759,MiscData!$AB$4:$ACB$113,2,FALSE)</f>
        <v>KUUM_460</v>
      </c>
      <c r="AL759" s="190" t="str">
        <f>VLOOKUP(AM759,MiscData!$AB$4:$AE$115,4,FALSE)</f>
        <v>RLS</v>
      </c>
      <c r="AM759">
        <f>IF(AM758=MiscData!$AB$91,1,AM758+1)</f>
        <v>54</v>
      </c>
    </row>
    <row r="760" spans="1:39">
      <c r="A760" s="7">
        <f t="shared" si="308"/>
        <v>759</v>
      </c>
      <c r="B760" s="13" t="str">
        <f t="shared" si="289"/>
        <v>Sep 2015</v>
      </c>
      <c r="C760" s="23" t="str">
        <f t="shared" si="290"/>
        <v>RLS</v>
      </c>
      <c r="D760" s="23" t="str">
        <f t="shared" si="291"/>
        <v>KUUM_461</v>
      </c>
      <c r="E760" s="170">
        <f t="shared" si="292"/>
        <v>6651</v>
      </c>
      <c r="F760" s="185"/>
      <c r="G760" s="170">
        <f t="shared" si="293"/>
        <v>0</v>
      </c>
      <c r="H760" s="170">
        <v>0</v>
      </c>
      <c r="I760" s="11">
        <f t="shared" si="294"/>
        <v>7.54</v>
      </c>
      <c r="J760" s="11">
        <f t="shared" si="295"/>
        <v>0.57000000000000028</v>
      </c>
      <c r="K760" s="416">
        <f t="shared" si="310"/>
        <v>50148.54</v>
      </c>
      <c r="L760" s="180"/>
      <c r="M760" s="180"/>
      <c r="N760" s="186">
        <f t="shared" ref="N760:N823" si="313">SUM(K760:M760)</f>
        <v>50148.54</v>
      </c>
      <c r="O760" s="29">
        <f t="shared" si="296"/>
        <v>0</v>
      </c>
      <c r="P760" s="181">
        <f t="shared" si="311"/>
        <v>0</v>
      </c>
      <c r="Q760" s="182">
        <f t="shared" si="297"/>
        <v>0</v>
      </c>
      <c r="R760" s="182">
        <f t="shared" si="298"/>
        <v>0</v>
      </c>
      <c r="S760" s="182">
        <f t="shared" si="299"/>
        <v>0</v>
      </c>
      <c r="T760" s="182">
        <f t="shared" si="300"/>
        <v>0</v>
      </c>
      <c r="U760" s="182">
        <f t="shared" si="301"/>
        <v>0</v>
      </c>
      <c r="V760" s="14">
        <f t="shared" si="302"/>
        <v>50148.54</v>
      </c>
      <c r="W760" s="14">
        <f t="shared" si="303"/>
        <v>-50148.54</v>
      </c>
      <c r="Y760" s="14">
        <f t="shared" si="306"/>
        <v>3791.07</v>
      </c>
      <c r="Z760" s="14">
        <f t="shared" si="307"/>
        <v>-3791.07</v>
      </c>
      <c r="AA760" s="11">
        <f t="shared" si="309"/>
        <v>0.33</v>
      </c>
      <c r="AB760" s="9">
        <f t="shared" si="312"/>
        <v>2194.83</v>
      </c>
      <c r="AD760" s="13">
        <f>IF(AH760&gt;AH759,AD759,IF(AD759&lt;MiscData!$F$1,EOMONTH(AD759,1),EOMONTH(AD759,-11)))</f>
        <v>42277</v>
      </c>
      <c r="AE760" s="7" t="str">
        <f t="shared" si="304"/>
        <v>20140101KUUM_461</v>
      </c>
      <c r="AF760" s="12" t="str">
        <f t="shared" si="305"/>
        <v>20140101RLS</v>
      </c>
      <c r="AG760" s="31"/>
      <c r="AH760">
        <f>IF(AH759=MiscData!$AB$91,1,AH759+1)</f>
        <v>55</v>
      </c>
      <c r="AI760">
        <f>IF(AD760&lt;=MiscData!$B$23,MiscData!$C$23,IF(AD760&lt;=MiscData!$B$24,MiscData!$C$24,MiscData!$C$25))</f>
        <v>20140101</v>
      </c>
      <c r="AK760" s="190" t="str">
        <f>VLOOKUP(AM760,MiscData!$AB$4:$ACB$113,2,FALSE)</f>
        <v>KUUM_461</v>
      </c>
      <c r="AL760" s="190" t="str">
        <f>VLOOKUP(AM760,MiscData!$AB$4:$AE$115,4,FALSE)</f>
        <v>RLS</v>
      </c>
      <c r="AM760">
        <f>IF(AM759=MiscData!$AB$91,1,AM759+1)</f>
        <v>55</v>
      </c>
    </row>
    <row r="761" spans="1:39">
      <c r="A761" s="7">
        <f t="shared" si="308"/>
        <v>760</v>
      </c>
      <c r="B761" s="13" t="str">
        <f t="shared" si="289"/>
        <v>Sep 2015</v>
      </c>
      <c r="C761" s="23" t="str">
        <f t="shared" si="290"/>
        <v>LS</v>
      </c>
      <c r="D761" s="23" t="str">
        <f t="shared" si="291"/>
        <v>KUUM_462</v>
      </c>
      <c r="E761" s="170">
        <f t="shared" si="292"/>
        <v>7035</v>
      </c>
      <c r="F761" s="185"/>
      <c r="G761" s="170">
        <f t="shared" si="293"/>
        <v>0</v>
      </c>
      <c r="H761" s="170">
        <v>0</v>
      </c>
      <c r="I761" s="11">
        <f t="shared" si="294"/>
        <v>8.66</v>
      </c>
      <c r="J761" s="11">
        <f t="shared" si="295"/>
        <v>0.79999999999999893</v>
      </c>
      <c r="K761" s="416">
        <f t="shared" si="310"/>
        <v>60923.1</v>
      </c>
      <c r="L761" s="180"/>
      <c r="M761" s="180"/>
      <c r="N761" s="186">
        <f t="shared" si="313"/>
        <v>60923.1</v>
      </c>
      <c r="O761" s="29">
        <f t="shared" si="296"/>
        <v>0</v>
      </c>
      <c r="P761" s="181">
        <f t="shared" si="311"/>
        <v>0</v>
      </c>
      <c r="Q761" s="182">
        <f t="shared" si="297"/>
        <v>0</v>
      </c>
      <c r="R761" s="182">
        <f t="shared" si="298"/>
        <v>0</v>
      </c>
      <c r="S761" s="182">
        <f t="shared" si="299"/>
        <v>0</v>
      </c>
      <c r="T761" s="182">
        <f t="shared" si="300"/>
        <v>0</v>
      </c>
      <c r="U761" s="182">
        <f t="shared" si="301"/>
        <v>0</v>
      </c>
      <c r="V761" s="14">
        <f t="shared" si="302"/>
        <v>60923.1</v>
      </c>
      <c r="W761" s="14">
        <f t="shared" si="303"/>
        <v>-60923.1</v>
      </c>
      <c r="Y761" s="14">
        <f t="shared" si="306"/>
        <v>5628</v>
      </c>
      <c r="Z761" s="14">
        <f t="shared" si="307"/>
        <v>-5628</v>
      </c>
      <c r="AA761" s="11">
        <f t="shared" si="309"/>
        <v>0.43</v>
      </c>
      <c r="AB761" s="9">
        <f t="shared" si="312"/>
        <v>3025.0499999999997</v>
      </c>
      <c r="AD761" s="13">
        <f>IF(AH761&gt;AH760,AD760,IF(AD760&lt;MiscData!$F$1,EOMONTH(AD760,1),EOMONTH(AD760,-11)))</f>
        <v>42277</v>
      </c>
      <c r="AE761" s="7" t="str">
        <f t="shared" si="304"/>
        <v>20140101KUUM_462</v>
      </c>
      <c r="AF761" s="12" t="str">
        <f t="shared" si="305"/>
        <v>20140101LS</v>
      </c>
      <c r="AG761" s="31"/>
      <c r="AH761">
        <f>IF(AH760=MiscData!$AB$91,1,AH760+1)</f>
        <v>56</v>
      </c>
      <c r="AI761">
        <f>IF(AD761&lt;=MiscData!$B$23,MiscData!$C$23,IF(AD761&lt;=MiscData!$B$24,MiscData!$C$24,MiscData!$C$25))</f>
        <v>20140101</v>
      </c>
      <c r="AK761" s="190" t="str">
        <f>VLOOKUP(AM761,MiscData!$AB$4:$ACB$113,2,FALSE)</f>
        <v>KUUM_462</v>
      </c>
      <c r="AL761" s="190" t="str">
        <f>VLOOKUP(AM761,MiscData!$AB$4:$AE$115,4,FALSE)</f>
        <v>LS</v>
      </c>
      <c r="AM761">
        <f>IF(AM760=MiscData!$AB$91,1,AM760+1)</f>
        <v>56</v>
      </c>
    </row>
    <row r="762" spans="1:39">
      <c r="A762" s="7">
        <f t="shared" si="308"/>
        <v>761</v>
      </c>
      <c r="B762" s="13" t="str">
        <f t="shared" ref="B762:B825" si="314">TEXT(AD762,"mmm yyyy")</f>
        <v>Sep 2015</v>
      </c>
      <c r="C762" s="23" t="str">
        <f t="shared" ref="C762:C825" si="315">AL762</f>
        <v>LS</v>
      </c>
      <c r="D762" s="23" t="str">
        <f t="shared" ref="D762:D825" si="316">AK762</f>
        <v>KUUM_463</v>
      </c>
      <c r="E762" s="170">
        <f t="shared" ref="E762:E825" si="317">SUMIFS(_1055_Light_Count,_1055_RevMonth,$B762,_1055_RateCategory,$D762)</f>
        <v>19648</v>
      </c>
      <c r="F762" s="185"/>
      <c r="G762" s="170">
        <f t="shared" ref="G762:G825" si="318">SUMIFS(_SBR_KWH,_SBR_Revenue_Month,$B762,_SBR_Rate_Category,$D762)</f>
        <v>0</v>
      </c>
      <c r="H762" s="170">
        <v>0</v>
      </c>
      <c r="I762" s="11">
        <f t="shared" ref="I762:I825" si="319">SUMIF(_Lights_Tariff_Category,$AE762,_Lights_Rates)</f>
        <v>9.14</v>
      </c>
      <c r="J762" s="11">
        <f t="shared" ref="J762:J825" si="320">SUMIF(_Lights_Tariff_Category,$AE762,_Rates_Lights_BaseFAC)</f>
        <v>1.1299999999999999</v>
      </c>
      <c r="K762" s="416">
        <f t="shared" si="310"/>
        <v>179582.72</v>
      </c>
      <c r="L762" s="180"/>
      <c r="M762" s="180"/>
      <c r="N762" s="186">
        <f t="shared" si="313"/>
        <v>179582.72</v>
      </c>
      <c r="O762" s="29">
        <f t="shared" ref="O762:O825" si="321">U762-SUM(Q762:T762)</f>
        <v>0</v>
      </c>
      <c r="P762" s="181">
        <f t="shared" si="311"/>
        <v>0</v>
      </c>
      <c r="Q762" s="182">
        <f t="shared" ref="Q762:Q825" si="322">SUMIFS(_SBR_FAC,_SBR_Revenue_Month,$B762,_SBR_Rate_Category,$D762)</f>
        <v>0</v>
      </c>
      <c r="R762" s="182">
        <f t="shared" ref="R762:R825" si="323">SUMIFS(_SBR_DSM,_SBR_Revenue_Month,$B762,_SBR_Rate_Category,$D762)</f>
        <v>0</v>
      </c>
      <c r="S762" s="182">
        <f t="shared" ref="S762:S825" si="324">SUMIFS(_SBR_ECR,_SBR_Revenue_Month,$B762,_SBR_Rate_Category,$D762)</f>
        <v>0</v>
      </c>
      <c r="T762" s="182">
        <f t="shared" ref="T762:T825" si="325">SUMIFS(_SBR_MSR,_SBR_Revenue_Month,$B762,_SBR_Rate_Category,$D762)</f>
        <v>0</v>
      </c>
      <c r="U762" s="182">
        <f t="shared" ref="U762:U825" si="326">SUMIFS(_SBR_Revenue_Actual,_SBR_Revenue_Month,$B762,_SBR_Rate_Category,$D762)</f>
        <v>0</v>
      </c>
      <c r="V762" s="14">
        <f t="shared" ref="V762:V825" si="327">SUM(N762,Q762:T762)</f>
        <v>179582.72</v>
      </c>
      <c r="W762" s="14">
        <f t="shared" ref="W762:W825" si="328">U762-V762</f>
        <v>-179582.72</v>
      </c>
      <c r="Y762" s="14">
        <f t="shared" si="306"/>
        <v>22202.240000000002</v>
      </c>
      <c r="Z762" s="14">
        <f t="shared" si="307"/>
        <v>-22202.240000000002</v>
      </c>
      <c r="AA762" s="11">
        <f t="shared" si="309"/>
        <v>0.34</v>
      </c>
      <c r="AB762" s="9">
        <f t="shared" si="312"/>
        <v>6680.3200000000006</v>
      </c>
      <c r="AD762" s="13">
        <f>IF(AH762&gt;AH761,AD761,IF(AD761&lt;MiscData!$F$1,EOMONTH(AD761,1),EOMONTH(AD761,-11)))</f>
        <v>42277</v>
      </c>
      <c r="AE762" s="7" t="str">
        <f t="shared" ref="AE762:AE825" si="329">CONCATENATE(AI762&amp;AK762)</f>
        <v>20140101KUUM_463</v>
      </c>
      <c r="AF762" s="12" t="str">
        <f t="shared" ref="AF762:AF825" si="330">CONCATENATE(AI762&amp;AL762)</f>
        <v>20140101LS</v>
      </c>
      <c r="AG762" s="31"/>
      <c r="AH762">
        <f>IF(AH761=MiscData!$AB$91,1,AH761+1)</f>
        <v>57</v>
      </c>
      <c r="AI762">
        <f>IF(AD762&lt;=MiscData!$B$23,MiscData!$C$23,IF(AD762&lt;=MiscData!$B$24,MiscData!$C$24,MiscData!$C$25))</f>
        <v>20140101</v>
      </c>
      <c r="AK762" s="190" t="str">
        <f>VLOOKUP(AM762,MiscData!$AB$4:$ACB$113,2,FALSE)</f>
        <v>KUUM_463</v>
      </c>
      <c r="AL762" s="190" t="str">
        <f>VLOOKUP(AM762,MiscData!$AB$4:$AE$115,4,FALSE)</f>
        <v>LS</v>
      </c>
      <c r="AM762">
        <f>IF(AM761=MiscData!$AB$91,1,AM761+1)</f>
        <v>57</v>
      </c>
    </row>
    <row r="763" spans="1:39">
      <c r="A763" s="7">
        <f t="shared" si="308"/>
        <v>762</v>
      </c>
      <c r="B763" s="13" t="str">
        <f t="shared" si="314"/>
        <v>Sep 2015</v>
      </c>
      <c r="C763" s="23" t="str">
        <f t="shared" si="315"/>
        <v>LS</v>
      </c>
      <c r="D763" s="23" t="str">
        <f t="shared" si="316"/>
        <v>KUUM_464</v>
      </c>
      <c r="E763" s="170">
        <f t="shared" si="317"/>
        <v>7196</v>
      </c>
      <c r="F763" s="185"/>
      <c r="G763" s="170">
        <f t="shared" si="318"/>
        <v>0</v>
      </c>
      <c r="H763" s="170">
        <v>0</v>
      </c>
      <c r="I763" s="11">
        <f t="shared" si="319"/>
        <v>14.25</v>
      </c>
      <c r="J763" s="11">
        <f t="shared" si="320"/>
        <v>2.33</v>
      </c>
      <c r="K763" s="416">
        <f t="shared" si="310"/>
        <v>102543</v>
      </c>
      <c r="L763" s="180"/>
      <c r="M763" s="180"/>
      <c r="N763" s="186">
        <f t="shared" si="313"/>
        <v>102543</v>
      </c>
      <c r="O763" s="29">
        <f t="shared" si="321"/>
        <v>0</v>
      </c>
      <c r="P763" s="181">
        <f t="shared" si="311"/>
        <v>0</v>
      </c>
      <c r="Q763" s="182">
        <f t="shared" si="322"/>
        <v>0</v>
      </c>
      <c r="R763" s="182">
        <f t="shared" si="323"/>
        <v>0</v>
      </c>
      <c r="S763" s="182">
        <f t="shared" si="324"/>
        <v>0</v>
      </c>
      <c r="T763" s="182">
        <f t="shared" si="325"/>
        <v>0</v>
      </c>
      <c r="U763" s="182">
        <f t="shared" si="326"/>
        <v>0</v>
      </c>
      <c r="V763" s="14">
        <f t="shared" si="327"/>
        <v>102543</v>
      </c>
      <c r="W763" s="14">
        <f t="shared" si="328"/>
        <v>-102543</v>
      </c>
      <c r="Y763" s="14">
        <f t="shared" ref="Y763:Y826" si="331">ROUND(E763*J763,2)</f>
        <v>16766.68</v>
      </c>
      <c r="Z763" s="14">
        <f t="shared" ref="Z763:Z826" si="332">O763-Y763</f>
        <v>-16766.68</v>
      </c>
      <c r="AA763" s="11">
        <f t="shared" si="309"/>
        <v>0.57999999999999996</v>
      </c>
      <c r="AB763" s="9">
        <f t="shared" si="312"/>
        <v>4173.6799999999994</v>
      </c>
      <c r="AD763" s="13">
        <f>IF(AH763&gt;AH762,AD762,IF(AD762&lt;MiscData!$F$1,EOMONTH(AD762,1),EOMONTH(AD762,-11)))</f>
        <v>42277</v>
      </c>
      <c r="AE763" s="7" t="str">
        <f t="shared" si="329"/>
        <v>20140101KUUM_464</v>
      </c>
      <c r="AF763" s="12" t="str">
        <f t="shared" si="330"/>
        <v>20140101LS</v>
      </c>
      <c r="AG763" s="31"/>
      <c r="AH763">
        <f>IF(AH762=MiscData!$AB$91,1,AH762+1)</f>
        <v>58</v>
      </c>
      <c r="AI763">
        <f>IF(AD763&lt;=MiscData!$B$23,MiscData!$C$23,IF(AD763&lt;=MiscData!$B$24,MiscData!$C$24,MiscData!$C$25))</f>
        <v>20140101</v>
      </c>
      <c r="AK763" s="190" t="str">
        <f>VLOOKUP(AM763,MiscData!$AB$4:$ACB$113,2,FALSE)</f>
        <v>KUUM_464</v>
      </c>
      <c r="AL763" s="190" t="str">
        <f>VLOOKUP(AM763,MiscData!$AB$4:$AE$115,4,FALSE)</f>
        <v>LS</v>
      </c>
      <c r="AM763">
        <f>IF(AM762=MiscData!$AB$91,1,AM762+1)</f>
        <v>58</v>
      </c>
    </row>
    <row r="764" spans="1:39">
      <c r="A764" s="7">
        <f t="shared" ref="A764:A827" si="333">A763+1</f>
        <v>763</v>
      </c>
      <c r="B764" s="13" t="str">
        <f t="shared" si="314"/>
        <v>Sep 2015</v>
      </c>
      <c r="C764" s="23" t="str">
        <f t="shared" si="315"/>
        <v>LS</v>
      </c>
      <c r="D764" s="23" t="str">
        <f t="shared" si="316"/>
        <v>KUUM_465</v>
      </c>
      <c r="E764" s="170">
        <f t="shared" si="317"/>
        <v>2704</v>
      </c>
      <c r="F764" s="185"/>
      <c r="G764" s="170">
        <f t="shared" si="318"/>
        <v>0</v>
      </c>
      <c r="H764" s="170">
        <v>0</v>
      </c>
      <c r="I764" s="11">
        <f t="shared" si="319"/>
        <v>22.84</v>
      </c>
      <c r="J764" s="11">
        <f t="shared" si="320"/>
        <v>4.5299999999999976</v>
      </c>
      <c r="K764" s="416">
        <f t="shared" si="310"/>
        <v>61759.360000000001</v>
      </c>
      <c r="L764" s="180"/>
      <c r="M764" s="180"/>
      <c r="N764" s="186">
        <f t="shared" si="313"/>
        <v>61759.360000000001</v>
      </c>
      <c r="O764" s="29">
        <f t="shared" si="321"/>
        <v>0</v>
      </c>
      <c r="P764" s="181">
        <f t="shared" si="311"/>
        <v>0</v>
      </c>
      <c r="Q764" s="182">
        <f t="shared" si="322"/>
        <v>0</v>
      </c>
      <c r="R764" s="182">
        <f t="shared" si="323"/>
        <v>0</v>
      </c>
      <c r="S764" s="182">
        <f t="shared" si="324"/>
        <v>0</v>
      </c>
      <c r="T764" s="182">
        <f t="shared" si="325"/>
        <v>0</v>
      </c>
      <c r="U764" s="182">
        <f t="shared" si="326"/>
        <v>0</v>
      </c>
      <c r="V764" s="14">
        <f t="shared" si="327"/>
        <v>61759.360000000001</v>
      </c>
      <c r="W764" s="14">
        <f t="shared" si="328"/>
        <v>-61759.360000000001</v>
      </c>
      <c r="Y764" s="14">
        <f t="shared" si="331"/>
        <v>12249.12</v>
      </c>
      <c r="Z764" s="14">
        <f t="shared" si="332"/>
        <v>-12249.12</v>
      </c>
      <c r="AA764" s="11">
        <f t="shared" si="309"/>
        <v>0.79</v>
      </c>
      <c r="AB764" s="9">
        <f t="shared" si="312"/>
        <v>2136.1600000000003</v>
      </c>
      <c r="AD764" s="13">
        <f>IF(AH764&gt;AH763,AD763,IF(AD763&lt;MiscData!$F$1,EOMONTH(AD763,1),EOMONTH(AD763,-11)))</f>
        <v>42277</v>
      </c>
      <c r="AE764" s="7" t="str">
        <f t="shared" si="329"/>
        <v>20140101KUUM_465</v>
      </c>
      <c r="AF764" s="12" t="str">
        <f t="shared" si="330"/>
        <v>20140101LS</v>
      </c>
      <c r="AG764" s="31"/>
      <c r="AH764">
        <f>IF(AH763=MiscData!$AB$91,1,AH763+1)</f>
        <v>59</v>
      </c>
      <c r="AI764">
        <f>IF(AD764&lt;=MiscData!$B$23,MiscData!$C$23,IF(AD764&lt;=MiscData!$B$24,MiscData!$C$24,MiscData!$C$25))</f>
        <v>20140101</v>
      </c>
      <c r="AK764" s="190" t="str">
        <f>VLOOKUP(AM764,MiscData!$AB$4:$ACB$113,2,FALSE)</f>
        <v>KUUM_465</v>
      </c>
      <c r="AL764" s="190" t="str">
        <f>VLOOKUP(AM764,MiscData!$AB$4:$AE$115,4,FALSE)</f>
        <v>LS</v>
      </c>
      <c r="AM764">
        <f>IF(AM763=MiscData!$AB$91,1,AM763+1)</f>
        <v>59</v>
      </c>
    </row>
    <row r="765" spans="1:39">
      <c r="A765" s="7">
        <f t="shared" si="333"/>
        <v>764</v>
      </c>
      <c r="B765" s="13" t="str">
        <f t="shared" si="314"/>
        <v>Sep 2015</v>
      </c>
      <c r="C765" s="23" t="str">
        <f t="shared" si="315"/>
        <v>RLS</v>
      </c>
      <c r="D765" s="23" t="str">
        <f t="shared" si="316"/>
        <v>KUUM_466</v>
      </c>
      <c r="E765" s="170">
        <f t="shared" si="317"/>
        <v>828</v>
      </c>
      <c r="F765" s="185"/>
      <c r="G765" s="170">
        <f t="shared" si="318"/>
        <v>0</v>
      </c>
      <c r="H765" s="170">
        <v>0</v>
      </c>
      <c r="I765" s="11">
        <f t="shared" si="319"/>
        <v>9.620000000000001</v>
      </c>
      <c r="J765" s="11">
        <f t="shared" si="320"/>
        <v>0.57000000000000028</v>
      </c>
      <c r="K765" s="416">
        <f t="shared" si="310"/>
        <v>7965.36</v>
      </c>
      <c r="L765" s="180"/>
      <c r="M765" s="180"/>
      <c r="N765" s="186">
        <f t="shared" si="313"/>
        <v>7965.36</v>
      </c>
      <c r="O765" s="29">
        <f t="shared" si="321"/>
        <v>0</v>
      </c>
      <c r="P765" s="181">
        <f t="shared" si="311"/>
        <v>0</v>
      </c>
      <c r="Q765" s="182">
        <f t="shared" si="322"/>
        <v>0</v>
      </c>
      <c r="R765" s="182">
        <f t="shared" si="323"/>
        <v>0</v>
      </c>
      <c r="S765" s="182">
        <f t="shared" si="324"/>
        <v>0</v>
      </c>
      <c r="T765" s="182">
        <f t="shared" si="325"/>
        <v>0</v>
      </c>
      <c r="U765" s="182">
        <f t="shared" si="326"/>
        <v>0</v>
      </c>
      <c r="V765" s="14">
        <f t="shared" si="327"/>
        <v>7965.36</v>
      </c>
      <c r="W765" s="14">
        <f t="shared" si="328"/>
        <v>-7965.36</v>
      </c>
      <c r="Y765" s="14">
        <f t="shared" si="331"/>
        <v>471.96</v>
      </c>
      <c r="Z765" s="14">
        <f t="shared" si="332"/>
        <v>-471.96</v>
      </c>
      <c r="AA765" s="11">
        <f t="shared" si="309"/>
        <v>0.33</v>
      </c>
      <c r="AB765" s="9">
        <f t="shared" si="312"/>
        <v>273.24</v>
      </c>
      <c r="AD765" s="13">
        <f>IF(AH765&gt;AH764,AD764,IF(AD764&lt;MiscData!$F$1,EOMONTH(AD764,1),EOMONTH(AD764,-11)))</f>
        <v>42277</v>
      </c>
      <c r="AE765" s="7" t="str">
        <f t="shared" si="329"/>
        <v>20140101KUUM_466</v>
      </c>
      <c r="AF765" s="12" t="str">
        <f t="shared" si="330"/>
        <v>20140101RLS</v>
      </c>
      <c r="AG765" s="31"/>
      <c r="AH765">
        <f>IF(AH764=MiscData!$AB$91,1,AH764+1)</f>
        <v>60</v>
      </c>
      <c r="AI765">
        <f>IF(AD765&lt;=MiscData!$B$23,MiscData!$C$23,IF(AD765&lt;=MiscData!$B$24,MiscData!$C$24,MiscData!$C$25))</f>
        <v>20140101</v>
      </c>
      <c r="AK765" s="190" t="str">
        <f>VLOOKUP(AM765,MiscData!$AB$4:$ACB$113,2,FALSE)</f>
        <v>KUUM_466</v>
      </c>
      <c r="AL765" s="190" t="str">
        <f>VLOOKUP(AM765,MiscData!$AB$4:$AE$115,4,FALSE)</f>
        <v>RLS</v>
      </c>
      <c r="AM765">
        <f>IF(AM764=MiscData!$AB$91,1,AM764+1)</f>
        <v>60</v>
      </c>
    </row>
    <row r="766" spans="1:39">
      <c r="A766" s="7">
        <f t="shared" si="333"/>
        <v>765</v>
      </c>
      <c r="B766" s="13" t="str">
        <f t="shared" si="314"/>
        <v>Sep 2015</v>
      </c>
      <c r="C766" s="23" t="str">
        <f t="shared" si="315"/>
        <v>LS</v>
      </c>
      <c r="D766" s="23" t="str">
        <f t="shared" si="316"/>
        <v>KUUM_467</v>
      </c>
      <c r="E766" s="170">
        <f t="shared" si="317"/>
        <v>1211</v>
      </c>
      <c r="F766" s="185"/>
      <c r="G766" s="170">
        <f t="shared" si="318"/>
        <v>0</v>
      </c>
      <c r="H766" s="170">
        <v>0</v>
      </c>
      <c r="I766" s="11">
        <f t="shared" si="319"/>
        <v>10.770000000000001</v>
      </c>
      <c r="J766" s="11">
        <f t="shared" si="320"/>
        <v>0.80000000000000071</v>
      </c>
      <c r="K766" s="416">
        <f t="shared" si="310"/>
        <v>13042.47</v>
      </c>
      <c r="L766" s="180"/>
      <c r="M766" s="180"/>
      <c r="N766" s="186">
        <f t="shared" si="313"/>
        <v>13042.47</v>
      </c>
      <c r="O766" s="29">
        <f t="shared" si="321"/>
        <v>0</v>
      </c>
      <c r="P766" s="181">
        <f t="shared" si="311"/>
        <v>0</v>
      </c>
      <c r="Q766" s="182">
        <f t="shared" si="322"/>
        <v>0</v>
      </c>
      <c r="R766" s="182">
        <f t="shared" si="323"/>
        <v>0</v>
      </c>
      <c r="S766" s="182">
        <f t="shared" si="324"/>
        <v>0</v>
      </c>
      <c r="T766" s="182">
        <f t="shared" si="325"/>
        <v>0</v>
      </c>
      <c r="U766" s="182">
        <f t="shared" si="326"/>
        <v>0</v>
      </c>
      <c r="V766" s="14">
        <f t="shared" si="327"/>
        <v>13042.47</v>
      </c>
      <c r="W766" s="14">
        <f t="shared" si="328"/>
        <v>-13042.47</v>
      </c>
      <c r="Y766" s="14">
        <f t="shared" si="331"/>
        <v>968.8</v>
      </c>
      <c r="Z766" s="14">
        <f t="shared" si="332"/>
        <v>-968.8</v>
      </c>
      <c r="AA766" s="11">
        <f t="shared" si="309"/>
        <v>0.43</v>
      </c>
      <c r="AB766" s="9">
        <f t="shared" si="312"/>
        <v>520.73</v>
      </c>
      <c r="AD766" s="13">
        <f>IF(AH766&gt;AH765,AD765,IF(AD765&lt;MiscData!$F$1,EOMONTH(AD765,1),EOMONTH(AD765,-11)))</f>
        <v>42277</v>
      </c>
      <c r="AE766" s="7" t="str">
        <f t="shared" si="329"/>
        <v>20140101KUUM_467</v>
      </c>
      <c r="AF766" s="12" t="str">
        <f t="shared" si="330"/>
        <v>20140101LS</v>
      </c>
      <c r="AG766" s="31"/>
      <c r="AH766">
        <f>IF(AH765=MiscData!$AB$91,1,AH765+1)</f>
        <v>61</v>
      </c>
      <c r="AI766">
        <f>IF(AD766&lt;=MiscData!$B$23,MiscData!$C$23,IF(AD766&lt;=MiscData!$B$24,MiscData!$C$24,MiscData!$C$25))</f>
        <v>20140101</v>
      </c>
      <c r="AK766" s="190" t="str">
        <f>VLOOKUP(AM766,MiscData!$AB$4:$ACB$113,2,FALSE)</f>
        <v>KUUM_467</v>
      </c>
      <c r="AL766" s="190" t="str">
        <f>VLOOKUP(AM766,MiscData!$AB$4:$AE$115,4,FALSE)</f>
        <v>LS</v>
      </c>
      <c r="AM766">
        <f>IF(AM765=MiscData!$AB$91,1,AM765+1)</f>
        <v>61</v>
      </c>
    </row>
    <row r="767" spans="1:39">
      <c r="A767" s="7">
        <f t="shared" si="333"/>
        <v>766</v>
      </c>
      <c r="B767" s="13" t="str">
        <f t="shared" si="314"/>
        <v>Sep 2015</v>
      </c>
      <c r="C767" s="23" t="str">
        <f t="shared" si="315"/>
        <v>LS</v>
      </c>
      <c r="D767" s="23" t="str">
        <f t="shared" si="316"/>
        <v>KUUM_468</v>
      </c>
      <c r="E767" s="170">
        <f t="shared" si="317"/>
        <v>3811</v>
      </c>
      <c r="F767" s="185"/>
      <c r="G767" s="170">
        <f t="shared" si="318"/>
        <v>0</v>
      </c>
      <c r="H767" s="170">
        <v>0</v>
      </c>
      <c r="I767" s="11">
        <f t="shared" si="319"/>
        <v>11.16</v>
      </c>
      <c r="J767" s="11">
        <f t="shared" si="320"/>
        <v>1.129999999999999</v>
      </c>
      <c r="K767" s="416">
        <f t="shared" si="310"/>
        <v>42530.76</v>
      </c>
      <c r="L767" s="180"/>
      <c r="M767" s="180"/>
      <c r="N767" s="186">
        <f t="shared" si="313"/>
        <v>42530.76</v>
      </c>
      <c r="O767" s="29">
        <f t="shared" si="321"/>
        <v>0</v>
      </c>
      <c r="P767" s="181">
        <f t="shared" si="311"/>
        <v>0</v>
      </c>
      <c r="Q767" s="182">
        <f t="shared" si="322"/>
        <v>0</v>
      </c>
      <c r="R767" s="182">
        <f t="shared" si="323"/>
        <v>0</v>
      </c>
      <c r="S767" s="182">
        <f t="shared" si="324"/>
        <v>0</v>
      </c>
      <c r="T767" s="182">
        <f t="shared" si="325"/>
        <v>0</v>
      </c>
      <c r="U767" s="182">
        <f t="shared" si="326"/>
        <v>0</v>
      </c>
      <c r="V767" s="14">
        <f t="shared" si="327"/>
        <v>42530.76</v>
      </c>
      <c r="W767" s="14">
        <f t="shared" si="328"/>
        <v>-42530.76</v>
      </c>
      <c r="Y767" s="14">
        <f t="shared" si="331"/>
        <v>4306.43</v>
      </c>
      <c r="Z767" s="14">
        <f t="shared" si="332"/>
        <v>-4306.43</v>
      </c>
      <c r="AA767" s="11">
        <f t="shared" si="309"/>
        <v>0.34</v>
      </c>
      <c r="AB767" s="9">
        <f t="shared" si="312"/>
        <v>1295.74</v>
      </c>
      <c r="AD767" s="13">
        <f>IF(AH767&gt;AH766,AD766,IF(AD766&lt;MiscData!$F$1,EOMONTH(AD766,1),EOMONTH(AD766,-11)))</f>
        <v>42277</v>
      </c>
      <c r="AE767" s="7" t="str">
        <f t="shared" si="329"/>
        <v>20140101KUUM_468</v>
      </c>
      <c r="AF767" s="12" t="str">
        <f t="shared" si="330"/>
        <v>20140101LS</v>
      </c>
      <c r="AG767" s="31"/>
      <c r="AH767">
        <f>IF(AH766=MiscData!$AB$91,1,AH766+1)</f>
        <v>62</v>
      </c>
      <c r="AI767">
        <f>IF(AD767&lt;=MiscData!$B$23,MiscData!$C$23,IF(AD767&lt;=MiscData!$B$24,MiscData!$C$24,MiscData!$C$25))</f>
        <v>20140101</v>
      </c>
      <c r="AK767" s="190" t="str">
        <f>VLOOKUP(AM767,MiscData!$AB$4:$ACB$113,2,FALSE)</f>
        <v>KUUM_468</v>
      </c>
      <c r="AL767" s="190" t="str">
        <f>VLOOKUP(AM767,MiscData!$AB$4:$AE$115,4,FALSE)</f>
        <v>LS</v>
      </c>
      <c r="AM767">
        <f>IF(AM766=MiscData!$AB$91,1,AM766+1)</f>
        <v>62</v>
      </c>
    </row>
    <row r="768" spans="1:39">
      <c r="A768" s="7">
        <f t="shared" si="333"/>
        <v>767</v>
      </c>
      <c r="B768" s="13" t="str">
        <f t="shared" si="314"/>
        <v>Sep 2015</v>
      </c>
      <c r="C768" s="23" t="str">
        <f t="shared" si="315"/>
        <v>RLS</v>
      </c>
      <c r="D768" s="23" t="str">
        <f t="shared" si="316"/>
        <v>KUUM_469</v>
      </c>
      <c r="E768" s="170">
        <f t="shared" si="317"/>
        <v>283</v>
      </c>
      <c r="F768" s="185"/>
      <c r="G768" s="170">
        <f t="shared" si="318"/>
        <v>0</v>
      </c>
      <c r="H768" s="170">
        <v>0</v>
      </c>
      <c r="I768" s="11">
        <f t="shared" si="319"/>
        <v>33.100000000000009</v>
      </c>
      <c r="J768" s="11">
        <f t="shared" si="320"/>
        <v>4.2900000000000063</v>
      </c>
      <c r="K768" s="416">
        <f t="shared" si="310"/>
        <v>9367.2999999999993</v>
      </c>
      <c r="L768" s="180"/>
      <c r="M768" s="180"/>
      <c r="N768" s="186">
        <f t="shared" si="313"/>
        <v>9367.2999999999993</v>
      </c>
      <c r="O768" s="29">
        <f t="shared" si="321"/>
        <v>0</v>
      </c>
      <c r="P768" s="181">
        <f t="shared" si="311"/>
        <v>0</v>
      </c>
      <c r="Q768" s="182">
        <f t="shared" si="322"/>
        <v>0</v>
      </c>
      <c r="R768" s="182">
        <f t="shared" si="323"/>
        <v>0</v>
      </c>
      <c r="S768" s="182">
        <f t="shared" si="324"/>
        <v>0</v>
      </c>
      <c r="T768" s="182">
        <f t="shared" si="325"/>
        <v>0</v>
      </c>
      <c r="U768" s="182">
        <f t="shared" si="326"/>
        <v>0</v>
      </c>
      <c r="V768" s="14">
        <f t="shared" si="327"/>
        <v>9367.2999999999993</v>
      </c>
      <c r="W768" s="14">
        <f t="shared" si="328"/>
        <v>-9367.2999999999993</v>
      </c>
      <c r="Y768" s="14">
        <f t="shared" si="331"/>
        <v>1214.07</v>
      </c>
      <c r="Z768" s="14">
        <f t="shared" si="332"/>
        <v>-1214.07</v>
      </c>
      <c r="AA768" s="11">
        <f t="shared" si="309"/>
        <v>0.84</v>
      </c>
      <c r="AB768" s="9">
        <f t="shared" si="312"/>
        <v>237.72</v>
      </c>
      <c r="AD768" s="13">
        <f>IF(AH768&gt;AH767,AD767,IF(AD767&lt;MiscData!$F$1,EOMONTH(AD767,1),EOMONTH(AD767,-11)))</f>
        <v>42277</v>
      </c>
      <c r="AE768" s="7" t="str">
        <f t="shared" si="329"/>
        <v>20140101KUUM_469</v>
      </c>
      <c r="AF768" s="12" t="str">
        <f t="shared" si="330"/>
        <v>20140101RLS</v>
      </c>
      <c r="AG768" s="31"/>
      <c r="AH768">
        <f>IF(AH767=MiscData!$AB$91,1,AH767+1)</f>
        <v>63</v>
      </c>
      <c r="AI768">
        <f>IF(AD768&lt;=MiscData!$B$23,MiscData!$C$23,IF(AD768&lt;=MiscData!$B$24,MiscData!$C$24,MiscData!$C$25))</f>
        <v>20140101</v>
      </c>
      <c r="AK768" s="190" t="str">
        <f>VLOOKUP(AM768,MiscData!$AB$4:$ACB$113,2,FALSE)</f>
        <v>KUUM_469</v>
      </c>
      <c r="AL768" s="190" t="str">
        <f>VLOOKUP(AM768,MiscData!$AB$4:$AE$115,4,FALSE)</f>
        <v>RLS</v>
      </c>
      <c r="AM768">
        <f>IF(AM767=MiscData!$AB$91,1,AM767+1)</f>
        <v>63</v>
      </c>
    </row>
    <row r="769" spans="1:39">
      <c r="A769" s="7">
        <f t="shared" si="333"/>
        <v>768</v>
      </c>
      <c r="B769" s="13" t="str">
        <f t="shared" si="314"/>
        <v>Sep 2015</v>
      </c>
      <c r="C769" s="23" t="str">
        <f t="shared" si="315"/>
        <v>RLS</v>
      </c>
      <c r="D769" s="23" t="str">
        <f t="shared" si="316"/>
        <v>KUUM_470</v>
      </c>
      <c r="E769" s="170">
        <f t="shared" si="317"/>
        <v>68</v>
      </c>
      <c r="F769" s="185"/>
      <c r="G769" s="170">
        <f t="shared" si="318"/>
        <v>0</v>
      </c>
      <c r="H769" s="170">
        <v>0</v>
      </c>
      <c r="I769" s="11">
        <f t="shared" si="319"/>
        <v>55.250000000000007</v>
      </c>
      <c r="J769" s="11">
        <f t="shared" si="320"/>
        <v>10.410000000000004</v>
      </c>
      <c r="K769" s="416">
        <f t="shared" si="310"/>
        <v>3757</v>
      </c>
      <c r="L769" s="180"/>
      <c r="M769" s="180"/>
      <c r="N769" s="186">
        <f t="shared" si="313"/>
        <v>3757</v>
      </c>
      <c r="O769" s="29">
        <f t="shared" si="321"/>
        <v>0</v>
      </c>
      <c r="P769" s="181">
        <f t="shared" si="311"/>
        <v>0</v>
      </c>
      <c r="Q769" s="182">
        <f t="shared" si="322"/>
        <v>0</v>
      </c>
      <c r="R769" s="182">
        <f t="shared" si="323"/>
        <v>0</v>
      </c>
      <c r="S769" s="182">
        <f t="shared" si="324"/>
        <v>0</v>
      </c>
      <c r="T769" s="182">
        <f t="shared" si="325"/>
        <v>0</v>
      </c>
      <c r="U769" s="182">
        <f t="shared" si="326"/>
        <v>0</v>
      </c>
      <c r="V769" s="14">
        <f t="shared" si="327"/>
        <v>3757</v>
      </c>
      <c r="W769" s="14">
        <f t="shared" si="328"/>
        <v>-3757</v>
      </c>
      <c r="Y769" s="14">
        <f t="shared" si="331"/>
        <v>707.88</v>
      </c>
      <c r="Z769" s="14">
        <f t="shared" si="332"/>
        <v>-707.88</v>
      </c>
      <c r="AA769" s="11">
        <f t="shared" si="309"/>
        <v>1.7</v>
      </c>
      <c r="AB769" s="9">
        <f t="shared" si="312"/>
        <v>115.6</v>
      </c>
      <c r="AD769" s="13">
        <f>IF(AH769&gt;AH768,AD768,IF(AD768&lt;MiscData!$F$1,EOMONTH(AD768,1),EOMONTH(AD768,-11)))</f>
        <v>42277</v>
      </c>
      <c r="AE769" s="7" t="str">
        <f t="shared" si="329"/>
        <v>20140101KUUM_470</v>
      </c>
      <c r="AF769" s="12" t="str">
        <f t="shared" si="330"/>
        <v>20140101RLS</v>
      </c>
      <c r="AG769" s="31"/>
      <c r="AH769">
        <f>IF(AH768=MiscData!$AB$91,1,AH768+1)</f>
        <v>64</v>
      </c>
      <c r="AI769">
        <f>IF(AD769&lt;=MiscData!$B$23,MiscData!$C$23,IF(AD769&lt;=MiscData!$B$24,MiscData!$C$24,MiscData!$C$25))</f>
        <v>20140101</v>
      </c>
      <c r="AK769" s="190" t="str">
        <f>VLOOKUP(AM769,MiscData!$AB$4:$ACB$113,2,FALSE)</f>
        <v>KUUM_470</v>
      </c>
      <c r="AL769" s="190" t="str">
        <f>VLOOKUP(AM769,MiscData!$AB$4:$AE$115,4,FALSE)</f>
        <v>RLS</v>
      </c>
      <c r="AM769">
        <f>IF(AM768=MiscData!$AB$91,1,AM768+1)</f>
        <v>64</v>
      </c>
    </row>
    <row r="770" spans="1:39">
      <c r="A770" s="7">
        <f t="shared" si="333"/>
        <v>769</v>
      </c>
      <c r="B770" s="13" t="str">
        <f t="shared" si="314"/>
        <v>Sep 2015</v>
      </c>
      <c r="C770" s="23" t="str">
        <f t="shared" si="315"/>
        <v>RLS</v>
      </c>
      <c r="D770" s="23" t="str">
        <f t="shared" si="316"/>
        <v>KUUM_471</v>
      </c>
      <c r="E770" s="170">
        <f t="shared" si="317"/>
        <v>3586</v>
      </c>
      <c r="F770" s="185"/>
      <c r="G770" s="170">
        <f t="shared" si="318"/>
        <v>0</v>
      </c>
      <c r="H770" s="170">
        <v>0</v>
      </c>
      <c r="I770" s="11">
        <f t="shared" si="319"/>
        <v>10.49</v>
      </c>
      <c r="J770" s="11">
        <f t="shared" si="320"/>
        <v>0.56999999999999851</v>
      </c>
      <c r="K770" s="416">
        <f t="shared" si="310"/>
        <v>37617.14</v>
      </c>
      <c r="L770" s="180"/>
      <c r="M770" s="180"/>
      <c r="N770" s="186">
        <f t="shared" si="313"/>
        <v>37617.14</v>
      </c>
      <c r="O770" s="29">
        <f t="shared" si="321"/>
        <v>0</v>
      </c>
      <c r="P770" s="181">
        <f t="shared" si="311"/>
        <v>0</v>
      </c>
      <c r="Q770" s="182">
        <f t="shared" si="322"/>
        <v>0</v>
      </c>
      <c r="R770" s="182">
        <f t="shared" si="323"/>
        <v>0</v>
      </c>
      <c r="S770" s="182">
        <f t="shared" si="324"/>
        <v>0</v>
      </c>
      <c r="T770" s="182">
        <f t="shared" si="325"/>
        <v>0</v>
      </c>
      <c r="U770" s="182">
        <f t="shared" si="326"/>
        <v>0</v>
      </c>
      <c r="V770" s="14">
        <f t="shared" si="327"/>
        <v>37617.14</v>
      </c>
      <c r="W770" s="14">
        <f t="shared" si="328"/>
        <v>-37617.14</v>
      </c>
      <c r="Y770" s="14">
        <f t="shared" si="331"/>
        <v>2044.02</v>
      </c>
      <c r="Z770" s="14">
        <f t="shared" si="332"/>
        <v>-2044.02</v>
      </c>
      <c r="AA770" s="11">
        <f t="shared" ref="AA770:AA833" si="334">SUMIF(_Lights_Tariff_Category,$AE770,_Rates_Lights_ECR)</f>
        <v>0.33</v>
      </c>
      <c r="AB770" s="9">
        <f t="shared" si="312"/>
        <v>1183.3800000000001</v>
      </c>
      <c r="AD770" s="13">
        <f>IF(AH770&gt;AH769,AD769,IF(AD769&lt;MiscData!$F$1,EOMONTH(AD769,1),EOMONTH(AD769,-11)))</f>
        <v>42277</v>
      </c>
      <c r="AE770" s="7" t="str">
        <f t="shared" si="329"/>
        <v>20140101KUUM_471</v>
      </c>
      <c r="AF770" s="12" t="str">
        <f t="shared" si="330"/>
        <v>20140101RLS</v>
      </c>
      <c r="AG770" s="31"/>
      <c r="AH770">
        <f>IF(AH769=MiscData!$AB$91,1,AH769+1)</f>
        <v>65</v>
      </c>
      <c r="AI770">
        <f>IF(AD770&lt;=MiscData!$B$23,MiscData!$C$23,IF(AD770&lt;=MiscData!$B$24,MiscData!$C$24,MiscData!$C$25))</f>
        <v>20140101</v>
      </c>
      <c r="AK770" s="190" t="str">
        <f>VLOOKUP(AM770,MiscData!$AB$4:$ACB$113,2,FALSE)</f>
        <v>KUUM_471</v>
      </c>
      <c r="AL770" s="190" t="str">
        <f>VLOOKUP(AM770,MiscData!$AB$4:$AE$115,4,FALSE)</f>
        <v>RLS</v>
      </c>
      <c r="AM770">
        <f>IF(AM769=MiscData!$AB$91,1,AM769+1)</f>
        <v>65</v>
      </c>
    </row>
    <row r="771" spans="1:39">
      <c r="A771" s="7">
        <f t="shared" si="333"/>
        <v>770</v>
      </c>
      <c r="B771" s="13" t="str">
        <f t="shared" si="314"/>
        <v>Sep 2015</v>
      </c>
      <c r="C771" s="23" t="str">
        <f t="shared" si="315"/>
        <v>LS</v>
      </c>
      <c r="D771" s="23" t="str">
        <f t="shared" si="316"/>
        <v>KUUM_472</v>
      </c>
      <c r="E771" s="170">
        <f t="shared" si="317"/>
        <v>8391</v>
      </c>
      <c r="F771" s="185"/>
      <c r="G771" s="170">
        <f t="shared" si="318"/>
        <v>0</v>
      </c>
      <c r="H771" s="170">
        <v>0</v>
      </c>
      <c r="I771" s="11">
        <f t="shared" si="319"/>
        <v>11.600000000000001</v>
      </c>
      <c r="J771" s="11">
        <f t="shared" si="320"/>
        <v>0.80000000000000071</v>
      </c>
      <c r="K771" s="416">
        <f t="shared" ref="K771:K834" si="335">ROUND(($E771+$F771)*$I771,2)</f>
        <v>97335.6</v>
      </c>
      <c r="L771" s="180"/>
      <c r="M771" s="180"/>
      <c r="N771" s="186">
        <f t="shared" si="313"/>
        <v>97335.6</v>
      </c>
      <c r="O771" s="29">
        <f t="shared" si="321"/>
        <v>0</v>
      </c>
      <c r="P771" s="181">
        <f t="shared" ref="P771:P834" si="336">IF(AND(N771=0,O771=0),1,IF(N771=0,0,ROUND(O771/N771,6)))</f>
        <v>0</v>
      </c>
      <c r="Q771" s="182">
        <f t="shared" si="322"/>
        <v>0</v>
      </c>
      <c r="R771" s="182">
        <f t="shared" si="323"/>
        <v>0</v>
      </c>
      <c r="S771" s="182">
        <f t="shared" si="324"/>
        <v>0</v>
      </c>
      <c r="T771" s="182">
        <f t="shared" si="325"/>
        <v>0</v>
      </c>
      <c r="U771" s="182">
        <f t="shared" si="326"/>
        <v>0</v>
      </c>
      <c r="V771" s="14">
        <f t="shared" si="327"/>
        <v>97335.6</v>
      </c>
      <c r="W771" s="14">
        <f t="shared" si="328"/>
        <v>-97335.6</v>
      </c>
      <c r="Y771" s="14">
        <f t="shared" si="331"/>
        <v>6712.8</v>
      </c>
      <c r="Z771" s="14">
        <f t="shared" si="332"/>
        <v>-6712.8</v>
      </c>
      <c r="AA771" s="11">
        <f t="shared" si="334"/>
        <v>0.43</v>
      </c>
      <c r="AB771" s="9">
        <f t="shared" ref="AB771:AB834" si="337">E771*AA771</f>
        <v>3608.13</v>
      </c>
      <c r="AD771" s="13">
        <f>IF(AH771&gt;AH770,AD770,IF(AD770&lt;MiscData!$F$1,EOMONTH(AD770,1),EOMONTH(AD770,-11)))</f>
        <v>42277</v>
      </c>
      <c r="AE771" s="7" t="str">
        <f t="shared" si="329"/>
        <v>20140101KUUM_472</v>
      </c>
      <c r="AF771" s="12" t="str">
        <f t="shared" si="330"/>
        <v>20140101LS</v>
      </c>
      <c r="AG771" s="31"/>
      <c r="AH771">
        <f>IF(AH770=MiscData!$AB$91,1,AH770+1)</f>
        <v>66</v>
      </c>
      <c r="AI771">
        <f>IF(AD771&lt;=MiscData!$B$23,MiscData!$C$23,IF(AD771&lt;=MiscData!$B$24,MiscData!$C$24,MiscData!$C$25))</f>
        <v>20140101</v>
      </c>
      <c r="AK771" s="190" t="str">
        <f>VLOOKUP(AM771,MiscData!$AB$4:$ACB$113,2,FALSE)</f>
        <v>KUUM_472</v>
      </c>
      <c r="AL771" s="190" t="str">
        <f>VLOOKUP(AM771,MiscData!$AB$4:$AE$115,4,FALSE)</f>
        <v>LS</v>
      </c>
      <c r="AM771">
        <f>IF(AM770=MiscData!$AB$91,1,AM770+1)</f>
        <v>66</v>
      </c>
    </row>
    <row r="772" spans="1:39">
      <c r="A772" s="7">
        <f t="shared" si="333"/>
        <v>771</v>
      </c>
      <c r="B772" s="13" t="str">
        <f t="shared" si="314"/>
        <v>Sep 2015</v>
      </c>
      <c r="C772" s="23" t="str">
        <f t="shared" si="315"/>
        <v>LS</v>
      </c>
      <c r="D772" s="23" t="str">
        <f t="shared" si="316"/>
        <v>KUUM_473</v>
      </c>
      <c r="E772" s="170">
        <f t="shared" si="317"/>
        <v>3288</v>
      </c>
      <c r="F772" s="185"/>
      <c r="G772" s="170">
        <f t="shared" si="318"/>
        <v>0</v>
      </c>
      <c r="H772" s="170">
        <v>0</v>
      </c>
      <c r="I772" s="11">
        <f t="shared" si="319"/>
        <v>12.3</v>
      </c>
      <c r="J772" s="11">
        <f t="shared" si="320"/>
        <v>1.129999999999999</v>
      </c>
      <c r="K772" s="416">
        <f t="shared" si="335"/>
        <v>40442.400000000001</v>
      </c>
      <c r="L772" s="180"/>
      <c r="M772" s="180"/>
      <c r="N772" s="186">
        <f t="shared" si="313"/>
        <v>40442.400000000001</v>
      </c>
      <c r="O772" s="29">
        <f t="shared" si="321"/>
        <v>0</v>
      </c>
      <c r="P772" s="181">
        <f t="shared" si="336"/>
        <v>0</v>
      </c>
      <c r="Q772" s="182">
        <f t="shared" si="322"/>
        <v>0</v>
      </c>
      <c r="R772" s="182">
        <f t="shared" si="323"/>
        <v>0</v>
      </c>
      <c r="S772" s="182">
        <f t="shared" si="324"/>
        <v>0</v>
      </c>
      <c r="T772" s="182">
        <f t="shared" si="325"/>
        <v>0</v>
      </c>
      <c r="U772" s="182">
        <f t="shared" si="326"/>
        <v>0</v>
      </c>
      <c r="V772" s="14">
        <f t="shared" si="327"/>
        <v>40442.400000000001</v>
      </c>
      <c r="W772" s="14">
        <f t="shared" si="328"/>
        <v>-40442.400000000001</v>
      </c>
      <c r="Y772" s="14">
        <f t="shared" si="331"/>
        <v>3715.44</v>
      </c>
      <c r="Z772" s="14">
        <f t="shared" si="332"/>
        <v>-3715.44</v>
      </c>
      <c r="AA772" s="11">
        <f t="shared" si="334"/>
        <v>0.34</v>
      </c>
      <c r="AB772" s="9">
        <f t="shared" si="337"/>
        <v>1117.92</v>
      </c>
      <c r="AD772" s="13">
        <f>IF(AH772&gt;AH771,AD771,IF(AD771&lt;MiscData!$F$1,EOMONTH(AD771,1),EOMONTH(AD771,-11)))</f>
        <v>42277</v>
      </c>
      <c r="AE772" s="7" t="str">
        <f t="shared" si="329"/>
        <v>20140101KUUM_473</v>
      </c>
      <c r="AF772" s="12" t="str">
        <f t="shared" si="330"/>
        <v>20140101LS</v>
      </c>
      <c r="AG772" s="31"/>
      <c r="AH772">
        <f>IF(AH771=MiscData!$AB$91,1,AH771+1)</f>
        <v>67</v>
      </c>
      <c r="AI772">
        <f>IF(AD772&lt;=MiscData!$B$23,MiscData!$C$23,IF(AD772&lt;=MiscData!$B$24,MiscData!$C$24,MiscData!$C$25))</f>
        <v>20140101</v>
      </c>
      <c r="AK772" s="190" t="str">
        <f>VLOOKUP(AM772,MiscData!$AB$4:$ACB$113,2,FALSE)</f>
        <v>KUUM_473</v>
      </c>
      <c r="AL772" s="190" t="str">
        <f>VLOOKUP(AM772,MiscData!$AB$4:$AE$115,4,FALSE)</f>
        <v>LS</v>
      </c>
      <c r="AM772">
        <f>IF(AM771=MiscData!$AB$91,1,AM771+1)</f>
        <v>67</v>
      </c>
    </row>
    <row r="773" spans="1:39">
      <c r="A773" s="7">
        <f t="shared" si="333"/>
        <v>772</v>
      </c>
      <c r="B773" s="13" t="str">
        <f t="shared" si="314"/>
        <v>Sep 2015</v>
      </c>
      <c r="C773" s="23" t="str">
        <f t="shared" si="315"/>
        <v>LS</v>
      </c>
      <c r="D773" s="23" t="str">
        <f t="shared" si="316"/>
        <v>KUUM_474</v>
      </c>
      <c r="E773" s="170">
        <f t="shared" si="317"/>
        <v>4910</v>
      </c>
      <c r="F773" s="185"/>
      <c r="G773" s="170">
        <f t="shared" si="318"/>
        <v>0</v>
      </c>
      <c r="H773" s="170">
        <v>0</v>
      </c>
      <c r="I773" s="11">
        <f t="shared" si="319"/>
        <v>17.41</v>
      </c>
      <c r="J773" s="11">
        <f t="shared" si="320"/>
        <v>2.33</v>
      </c>
      <c r="K773" s="416">
        <f t="shared" si="335"/>
        <v>85483.1</v>
      </c>
      <c r="L773" s="180"/>
      <c r="M773" s="180"/>
      <c r="N773" s="186">
        <f t="shared" si="313"/>
        <v>85483.1</v>
      </c>
      <c r="O773" s="29">
        <f t="shared" si="321"/>
        <v>0</v>
      </c>
      <c r="P773" s="181">
        <f t="shared" si="336"/>
        <v>0</v>
      </c>
      <c r="Q773" s="182">
        <f t="shared" si="322"/>
        <v>0</v>
      </c>
      <c r="R773" s="182">
        <f t="shared" si="323"/>
        <v>0</v>
      </c>
      <c r="S773" s="182">
        <f t="shared" si="324"/>
        <v>0</v>
      </c>
      <c r="T773" s="182">
        <f t="shared" si="325"/>
        <v>0</v>
      </c>
      <c r="U773" s="182">
        <f t="shared" si="326"/>
        <v>0</v>
      </c>
      <c r="V773" s="14">
        <f t="shared" si="327"/>
        <v>85483.1</v>
      </c>
      <c r="W773" s="14">
        <f t="shared" si="328"/>
        <v>-85483.1</v>
      </c>
      <c r="Y773" s="14">
        <f t="shared" si="331"/>
        <v>11440.3</v>
      </c>
      <c r="Z773" s="14">
        <f t="shared" si="332"/>
        <v>-11440.3</v>
      </c>
      <c r="AA773" s="11">
        <f t="shared" si="334"/>
        <v>0.57999999999999996</v>
      </c>
      <c r="AB773" s="9">
        <f t="shared" si="337"/>
        <v>2847.7999999999997</v>
      </c>
      <c r="AD773" s="13">
        <f>IF(AH773&gt;AH772,AD772,IF(AD772&lt;MiscData!$F$1,EOMONTH(AD772,1),EOMONTH(AD772,-11)))</f>
        <v>42277</v>
      </c>
      <c r="AE773" s="7" t="str">
        <f t="shared" si="329"/>
        <v>20140101KUUM_474</v>
      </c>
      <c r="AF773" s="12" t="str">
        <f t="shared" si="330"/>
        <v>20140101LS</v>
      </c>
      <c r="AG773" s="31"/>
      <c r="AH773">
        <f>IF(AH772=MiscData!$AB$91,1,AH772+1)</f>
        <v>68</v>
      </c>
      <c r="AI773">
        <f>IF(AD773&lt;=MiscData!$B$23,MiscData!$C$23,IF(AD773&lt;=MiscData!$B$24,MiscData!$C$24,MiscData!$C$25))</f>
        <v>20140101</v>
      </c>
      <c r="AK773" s="190" t="str">
        <f>VLOOKUP(AM773,MiscData!$AB$4:$ACB$113,2,FALSE)</f>
        <v>KUUM_474</v>
      </c>
      <c r="AL773" s="190" t="str">
        <f>VLOOKUP(AM773,MiscData!$AB$4:$AE$115,4,FALSE)</f>
        <v>LS</v>
      </c>
      <c r="AM773">
        <f>IF(AM772=MiscData!$AB$91,1,AM772+1)</f>
        <v>68</v>
      </c>
    </row>
    <row r="774" spans="1:39">
      <c r="A774" s="7">
        <f t="shared" si="333"/>
        <v>773</v>
      </c>
      <c r="B774" s="13" t="str">
        <f t="shared" si="314"/>
        <v>Sep 2015</v>
      </c>
      <c r="C774" s="23" t="str">
        <f t="shared" si="315"/>
        <v>LS</v>
      </c>
      <c r="D774" s="23" t="str">
        <f t="shared" si="316"/>
        <v>KUUM_475</v>
      </c>
      <c r="E774" s="170">
        <f t="shared" si="317"/>
        <v>470</v>
      </c>
      <c r="F774" s="185"/>
      <c r="G774" s="170">
        <f t="shared" si="318"/>
        <v>0</v>
      </c>
      <c r="H774" s="170">
        <v>254</v>
      </c>
      <c r="I774" s="11">
        <f t="shared" si="319"/>
        <v>24.46</v>
      </c>
      <c r="J774" s="11">
        <f t="shared" si="320"/>
        <v>4.5300000000000011</v>
      </c>
      <c r="K774" s="416">
        <f t="shared" si="335"/>
        <v>11496.2</v>
      </c>
      <c r="L774" s="180"/>
      <c r="M774" s="180"/>
      <c r="N774" s="186">
        <f t="shared" si="313"/>
        <v>11496.2</v>
      </c>
      <c r="O774" s="29">
        <f t="shared" si="321"/>
        <v>0</v>
      </c>
      <c r="P774" s="181">
        <f t="shared" si="336"/>
        <v>0</v>
      </c>
      <c r="Q774" s="182">
        <f t="shared" si="322"/>
        <v>0</v>
      </c>
      <c r="R774" s="182">
        <f t="shared" si="323"/>
        <v>0</v>
      </c>
      <c r="S774" s="182">
        <f t="shared" si="324"/>
        <v>0</v>
      </c>
      <c r="T774" s="182">
        <f t="shared" si="325"/>
        <v>0</v>
      </c>
      <c r="U774" s="182">
        <f t="shared" si="326"/>
        <v>0</v>
      </c>
      <c r="V774" s="14">
        <f t="shared" si="327"/>
        <v>11496.2</v>
      </c>
      <c r="W774" s="14">
        <f t="shared" si="328"/>
        <v>-11496.2</v>
      </c>
      <c r="Y774" s="14">
        <f t="shared" si="331"/>
        <v>2129.1</v>
      </c>
      <c r="Z774" s="14">
        <f t="shared" si="332"/>
        <v>-2129.1</v>
      </c>
      <c r="AA774" s="11">
        <f t="shared" si="334"/>
        <v>0.79</v>
      </c>
      <c r="AB774" s="9">
        <f t="shared" si="337"/>
        <v>371.3</v>
      </c>
      <c r="AD774" s="13">
        <f>IF(AH774&gt;AH773,AD773,IF(AD773&lt;MiscData!$F$1,EOMONTH(AD773,1),EOMONTH(AD773,-11)))</f>
        <v>42277</v>
      </c>
      <c r="AE774" s="7" t="str">
        <f t="shared" si="329"/>
        <v>20140101KUUM_475</v>
      </c>
      <c r="AF774" s="12" t="str">
        <f t="shared" si="330"/>
        <v>20140101LS</v>
      </c>
      <c r="AG774" s="31"/>
      <c r="AH774">
        <f>IF(AH773=MiscData!$AB$91,1,AH773+1)</f>
        <v>69</v>
      </c>
      <c r="AI774">
        <f>IF(AD774&lt;=MiscData!$B$23,MiscData!$C$23,IF(AD774&lt;=MiscData!$B$24,MiscData!$C$24,MiscData!$C$25))</f>
        <v>20140101</v>
      </c>
      <c r="AK774" s="190" t="str">
        <f>VLOOKUP(AM774,MiscData!$AB$4:$ACB$113,2,FALSE)</f>
        <v>KUUM_475</v>
      </c>
      <c r="AL774" s="190" t="str">
        <f>VLOOKUP(AM774,MiscData!$AB$4:$AE$115,4,FALSE)</f>
        <v>LS</v>
      </c>
      <c r="AM774">
        <f>IF(AM773=MiscData!$AB$91,1,AM773+1)</f>
        <v>69</v>
      </c>
    </row>
    <row r="775" spans="1:39">
      <c r="A775" s="7">
        <f t="shared" si="333"/>
        <v>774</v>
      </c>
      <c r="B775" s="13" t="str">
        <f t="shared" si="314"/>
        <v>Sep 2015</v>
      </c>
      <c r="C775" s="23" t="str">
        <f t="shared" si="315"/>
        <v>LS</v>
      </c>
      <c r="D775" s="23" t="str">
        <f t="shared" si="316"/>
        <v>KUUM_476</v>
      </c>
      <c r="E775" s="170">
        <f t="shared" si="317"/>
        <v>4455</v>
      </c>
      <c r="F775" s="185"/>
      <c r="G775" s="170">
        <f t="shared" si="318"/>
        <v>0</v>
      </c>
      <c r="H775" s="170">
        <v>0</v>
      </c>
      <c r="I775" s="11">
        <f t="shared" si="319"/>
        <v>16.79</v>
      </c>
      <c r="J775" s="11">
        <f t="shared" si="320"/>
        <v>0.79999999999999893</v>
      </c>
      <c r="K775" s="416">
        <f t="shared" si="335"/>
        <v>74799.45</v>
      </c>
      <c r="L775" s="180"/>
      <c r="M775" s="180"/>
      <c r="N775" s="186">
        <f t="shared" si="313"/>
        <v>74799.45</v>
      </c>
      <c r="O775" s="29">
        <f t="shared" si="321"/>
        <v>0</v>
      </c>
      <c r="P775" s="181">
        <f t="shared" si="336"/>
        <v>0</v>
      </c>
      <c r="Q775" s="182">
        <f t="shared" si="322"/>
        <v>0</v>
      </c>
      <c r="R775" s="182">
        <f t="shared" si="323"/>
        <v>0</v>
      </c>
      <c r="S775" s="182">
        <f t="shared" si="324"/>
        <v>0</v>
      </c>
      <c r="T775" s="182">
        <f t="shared" si="325"/>
        <v>0</v>
      </c>
      <c r="U775" s="182">
        <f t="shared" si="326"/>
        <v>0</v>
      </c>
      <c r="V775" s="14">
        <f t="shared" si="327"/>
        <v>74799.45</v>
      </c>
      <c r="W775" s="14">
        <f t="shared" si="328"/>
        <v>-74799.45</v>
      </c>
      <c r="Y775" s="14">
        <f t="shared" si="331"/>
        <v>3564</v>
      </c>
      <c r="Z775" s="14">
        <f t="shared" si="332"/>
        <v>-3564</v>
      </c>
      <c r="AA775" s="11">
        <f t="shared" si="334"/>
        <v>0.43</v>
      </c>
      <c r="AB775" s="9">
        <f t="shared" si="337"/>
        <v>1915.6499999999999</v>
      </c>
      <c r="AD775" s="13">
        <f>IF(AH775&gt;AH774,AD774,IF(AD774&lt;MiscData!$F$1,EOMONTH(AD774,1),EOMONTH(AD774,-11)))</f>
        <v>42277</v>
      </c>
      <c r="AE775" s="7" t="str">
        <f t="shared" si="329"/>
        <v>20140101KUUM_476</v>
      </c>
      <c r="AF775" s="12" t="str">
        <f t="shared" si="330"/>
        <v>20140101LS</v>
      </c>
      <c r="AG775" s="31"/>
      <c r="AH775">
        <f>IF(AH774=MiscData!$AB$91,1,AH774+1)</f>
        <v>70</v>
      </c>
      <c r="AI775">
        <f>IF(AD775&lt;=MiscData!$B$23,MiscData!$C$23,IF(AD775&lt;=MiscData!$B$24,MiscData!$C$24,MiscData!$C$25))</f>
        <v>20140101</v>
      </c>
      <c r="AK775" s="190" t="str">
        <f>VLOOKUP(AM775,MiscData!$AB$4:$ACB$113,2,FALSE)</f>
        <v>KUUM_476</v>
      </c>
      <c r="AL775" s="190" t="str">
        <f>VLOOKUP(AM775,MiscData!$AB$4:$AE$115,4,FALSE)</f>
        <v>LS</v>
      </c>
      <c r="AM775">
        <f>IF(AM774=MiscData!$AB$91,1,AM774+1)</f>
        <v>70</v>
      </c>
    </row>
    <row r="776" spans="1:39">
      <c r="A776" s="7">
        <f t="shared" si="333"/>
        <v>775</v>
      </c>
      <c r="B776" s="13" t="str">
        <f t="shared" si="314"/>
        <v>Sep 2015</v>
      </c>
      <c r="C776" s="23" t="str">
        <f t="shared" si="315"/>
        <v>LS</v>
      </c>
      <c r="D776" s="23" t="str">
        <f t="shared" si="316"/>
        <v>KUUM_477</v>
      </c>
      <c r="E776" s="170">
        <f t="shared" si="317"/>
        <v>1033</v>
      </c>
      <c r="F776" s="185"/>
      <c r="G776" s="170">
        <f t="shared" si="318"/>
        <v>0</v>
      </c>
      <c r="H776" s="170">
        <v>0</v>
      </c>
      <c r="I776" s="11">
        <f t="shared" si="319"/>
        <v>20.97</v>
      </c>
      <c r="J776" s="11">
        <f t="shared" si="320"/>
        <v>1.129999999999999</v>
      </c>
      <c r="K776" s="416">
        <f t="shared" si="335"/>
        <v>21662.01</v>
      </c>
      <c r="L776" s="180"/>
      <c r="M776" s="180"/>
      <c r="N776" s="186">
        <f t="shared" si="313"/>
        <v>21662.01</v>
      </c>
      <c r="O776" s="29">
        <f t="shared" si="321"/>
        <v>0</v>
      </c>
      <c r="P776" s="181">
        <f t="shared" si="336"/>
        <v>0</v>
      </c>
      <c r="Q776" s="182">
        <f t="shared" si="322"/>
        <v>0</v>
      </c>
      <c r="R776" s="182">
        <f t="shared" si="323"/>
        <v>0</v>
      </c>
      <c r="S776" s="182">
        <f t="shared" si="324"/>
        <v>0</v>
      </c>
      <c r="T776" s="182">
        <f t="shared" si="325"/>
        <v>0</v>
      </c>
      <c r="U776" s="182">
        <f t="shared" si="326"/>
        <v>0</v>
      </c>
      <c r="V776" s="14">
        <f t="shared" si="327"/>
        <v>21662.01</v>
      </c>
      <c r="W776" s="14">
        <f t="shared" si="328"/>
        <v>-21662.01</v>
      </c>
      <c r="Y776" s="14">
        <f t="shared" si="331"/>
        <v>1167.29</v>
      </c>
      <c r="Z776" s="14">
        <f t="shared" si="332"/>
        <v>-1167.29</v>
      </c>
      <c r="AA776" s="11">
        <f t="shared" si="334"/>
        <v>0.34</v>
      </c>
      <c r="AB776" s="9">
        <f t="shared" si="337"/>
        <v>351.22</v>
      </c>
      <c r="AD776" s="13">
        <f>IF(AH776&gt;AH775,AD775,IF(AD775&lt;MiscData!$F$1,EOMONTH(AD775,1),EOMONTH(AD775,-11)))</f>
        <v>42277</v>
      </c>
      <c r="AE776" s="7" t="str">
        <f t="shared" si="329"/>
        <v>20140101KUUM_477</v>
      </c>
      <c r="AF776" s="12" t="str">
        <f t="shared" si="330"/>
        <v>20140101LS</v>
      </c>
      <c r="AG776" s="31"/>
      <c r="AH776">
        <f>IF(AH775=MiscData!$AB$91,1,AH775+1)</f>
        <v>71</v>
      </c>
      <c r="AI776">
        <f>IF(AD776&lt;=MiscData!$B$23,MiscData!$C$23,IF(AD776&lt;=MiscData!$B$24,MiscData!$C$24,MiscData!$C$25))</f>
        <v>20140101</v>
      </c>
      <c r="AK776" s="190" t="str">
        <f>VLOOKUP(AM776,MiscData!$AB$4:$ACB$113,2,FALSE)</f>
        <v>KUUM_477</v>
      </c>
      <c r="AL776" s="190" t="str">
        <f>VLOOKUP(AM776,MiscData!$AB$4:$AE$115,4,FALSE)</f>
        <v>LS</v>
      </c>
      <c r="AM776">
        <f>IF(AM775=MiscData!$AB$91,1,AM775+1)</f>
        <v>71</v>
      </c>
    </row>
    <row r="777" spans="1:39">
      <c r="A777" s="7">
        <f t="shared" si="333"/>
        <v>776</v>
      </c>
      <c r="B777" s="13" t="str">
        <f t="shared" si="314"/>
        <v>Sep 2015</v>
      </c>
      <c r="C777" s="23" t="str">
        <f t="shared" si="315"/>
        <v>LS</v>
      </c>
      <c r="D777" s="23" t="str">
        <f t="shared" si="316"/>
        <v>KUUM_478</v>
      </c>
      <c r="E777" s="170">
        <f t="shared" si="317"/>
        <v>1364</v>
      </c>
      <c r="F777" s="185"/>
      <c r="G777" s="170">
        <f t="shared" si="318"/>
        <v>0</v>
      </c>
      <c r="H777" s="170">
        <v>0</v>
      </c>
      <c r="I777" s="11">
        <f t="shared" si="319"/>
        <v>26.86</v>
      </c>
      <c r="J777" s="11">
        <f t="shared" si="320"/>
        <v>2.3299999999999983</v>
      </c>
      <c r="K777" s="416">
        <f t="shared" si="335"/>
        <v>36637.040000000001</v>
      </c>
      <c r="L777" s="180"/>
      <c r="M777" s="180"/>
      <c r="N777" s="186">
        <f t="shared" si="313"/>
        <v>36637.040000000001</v>
      </c>
      <c r="O777" s="29">
        <f t="shared" si="321"/>
        <v>0</v>
      </c>
      <c r="P777" s="181">
        <f t="shared" si="336"/>
        <v>0</v>
      </c>
      <c r="Q777" s="182">
        <f t="shared" si="322"/>
        <v>0</v>
      </c>
      <c r="R777" s="182">
        <f t="shared" si="323"/>
        <v>0</v>
      </c>
      <c r="S777" s="182">
        <f t="shared" si="324"/>
        <v>0</v>
      </c>
      <c r="T777" s="182">
        <f t="shared" si="325"/>
        <v>0</v>
      </c>
      <c r="U777" s="182">
        <f t="shared" si="326"/>
        <v>0</v>
      </c>
      <c r="V777" s="14">
        <f t="shared" si="327"/>
        <v>36637.040000000001</v>
      </c>
      <c r="W777" s="14">
        <f t="shared" si="328"/>
        <v>-36637.040000000001</v>
      </c>
      <c r="Y777" s="14">
        <f t="shared" si="331"/>
        <v>3178.12</v>
      </c>
      <c r="Z777" s="14">
        <f t="shared" si="332"/>
        <v>-3178.12</v>
      </c>
      <c r="AA777" s="11">
        <f t="shared" si="334"/>
        <v>0.57999999999999996</v>
      </c>
      <c r="AB777" s="9">
        <f t="shared" si="337"/>
        <v>791.11999999999989</v>
      </c>
      <c r="AD777" s="13">
        <f>IF(AH777&gt;AH776,AD776,IF(AD776&lt;MiscData!$F$1,EOMONTH(AD776,1),EOMONTH(AD776,-11)))</f>
        <v>42277</v>
      </c>
      <c r="AE777" s="7" t="str">
        <f t="shared" si="329"/>
        <v>20140101KUUM_478</v>
      </c>
      <c r="AF777" s="12" t="str">
        <f t="shared" si="330"/>
        <v>20140101LS</v>
      </c>
      <c r="AG777" s="31"/>
      <c r="AH777">
        <f>IF(AH776=MiscData!$AB$91,1,AH776+1)</f>
        <v>72</v>
      </c>
      <c r="AI777">
        <f>IF(AD777&lt;=MiscData!$B$23,MiscData!$C$23,IF(AD777&lt;=MiscData!$B$24,MiscData!$C$24,MiscData!$C$25))</f>
        <v>20140101</v>
      </c>
      <c r="AK777" s="190" t="str">
        <f>VLOOKUP(AM777,MiscData!$AB$4:$ACB$113,2,FALSE)</f>
        <v>KUUM_478</v>
      </c>
      <c r="AL777" s="190" t="str">
        <f>VLOOKUP(AM777,MiscData!$AB$4:$AE$115,4,FALSE)</f>
        <v>LS</v>
      </c>
      <c r="AM777">
        <f>IF(AM776=MiscData!$AB$91,1,AM776+1)</f>
        <v>72</v>
      </c>
    </row>
    <row r="778" spans="1:39">
      <c r="A778" s="7">
        <f t="shared" si="333"/>
        <v>777</v>
      </c>
      <c r="B778" s="13" t="str">
        <f t="shared" si="314"/>
        <v>Sep 2015</v>
      </c>
      <c r="C778" s="23" t="str">
        <f t="shared" si="315"/>
        <v>LS</v>
      </c>
      <c r="D778" s="23" t="str">
        <f t="shared" si="316"/>
        <v>KUUM_479</v>
      </c>
      <c r="E778" s="170">
        <f t="shared" si="317"/>
        <v>889</v>
      </c>
      <c r="F778" s="185"/>
      <c r="G778" s="170">
        <f t="shared" si="318"/>
        <v>0</v>
      </c>
      <c r="H778" s="170">
        <v>0</v>
      </c>
      <c r="I778" s="11">
        <f t="shared" si="319"/>
        <v>33.119999999999997</v>
      </c>
      <c r="J778" s="11">
        <f t="shared" si="320"/>
        <v>4.529999999999994</v>
      </c>
      <c r="K778" s="416">
        <f t="shared" si="335"/>
        <v>29443.68</v>
      </c>
      <c r="L778" s="180"/>
      <c r="M778" s="180"/>
      <c r="N778" s="186">
        <f t="shared" si="313"/>
        <v>29443.68</v>
      </c>
      <c r="O778" s="29">
        <f t="shared" si="321"/>
        <v>0</v>
      </c>
      <c r="P778" s="181">
        <f t="shared" si="336"/>
        <v>0</v>
      </c>
      <c r="Q778" s="182">
        <f t="shared" si="322"/>
        <v>0</v>
      </c>
      <c r="R778" s="182">
        <f t="shared" si="323"/>
        <v>0</v>
      </c>
      <c r="S778" s="182">
        <f t="shared" si="324"/>
        <v>0</v>
      </c>
      <c r="T778" s="182">
        <f t="shared" si="325"/>
        <v>0</v>
      </c>
      <c r="U778" s="182">
        <f t="shared" si="326"/>
        <v>0</v>
      </c>
      <c r="V778" s="14">
        <f t="shared" si="327"/>
        <v>29443.68</v>
      </c>
      <c r="W778" s="14">
        <f t="shared" si="328"/>
        <v>-29443.68</v>
      </c>
      <c r="Y778" s="14">
        <f t="shared" si="331"/>
        <v>4027.17</v>
      </c>
      <c r="Z778" s="14">
        <f t="shared" si="332"/>
        <v>-4027.17</v>
      </c>
      <c r="AA778" s="11">
        <f t="shared" si="334"/>
        <v>0.79</v>
      </c>
      <c r="AB778" s="9">
        <f t="shared" si="337"/>
        <v>702.31000000000006</v>
      </c>
      <c r="AD778" s="13">
        <f>IF(AH778&gt;AH777,AD777,IF(AD777&lt;MiscData!$F$1,EOMONTH(AD777,1),EOMONTH(AD777,-11)))</f>
        <v>42277</v>
      </c>
      <c r="AE778" s="7" t="str">
        <f t="shared" si="329"/>
        <v>20140101KUUM_479</v>
      </c>
      <c r="AF778" s="12" t="str">
        <f t="shared" si="330"/>
        <v>20140101LS</v>
      </c>
      <c r="AG778" s="31"/>
      <c r="AH778">
        <f>IF(AH777=MiscData!$AB$91,1,AH777+1)</f>
        <v>73</v>
      </c>
      <c r="AI778">
        <f>IF(AD778&lt;=MiscData!$B$23,MiscData!$C$23,IF(AD778&lt;=MiscData!$B$24,MiscData!$C$24,MiscData!$C$25))</f>
        <v>20140101</v>
      </c>
      <c r="AK778" s="190" t="str">
        <f>VLOOKUP(AM778,MiscData!$AB$4:$ACB$113,2,FALSE)</f>
        <v>KUUM_479</v>
      </c>
      <c r="AL778" s="190" t="str">
        <f>VLOOKUP(AM778,MiscData!$AB$4:$AE$115,4,FALSE)</f>
        <v>LS</v>
      </c>
      <c r="AM778">
        <f>IF(AM777=MiscData!$AB$91,1,AM777+1)</f>
        <v>73</v>
      </c>
    </row>
    <row r="779" spans="1:39">
      <c r="A779" s="7">
        <f t="shared" si="333"/>
        <v>778</v>
      </c>
      <c r="B779" s="13" t="str">
        <f t="shared" si="314"/>
        <v>Sep 2015</v>
      </c>
      <c r="C779" s="23" t="str">
        <f t="shared" si="315"/>
        <v>LS</v>
      </c>
      <c r="D779" s="23" t="str">
        <f t="shared" si="316"/>
        <v>KUUM_486</v>
      </c>
      <c r="E779" s="170">
        <f t="shared" si="317"/>
        <v>0</v>
      </c>
      <c r="F779" s="185"/>
      <c r="G779" s="170">
        <f t="shared" si="318"/>
        <v>0</v>
      </c>
      <c r="H779" s="170">
        <v>0</v>
      </c>
      <c r="I779" s="11">
        <f t="shared" si="319"/>
        <v>0</v>
      </c>
      <c r="J779" s="11">
        <f t="shared" si="320"/>
        <v>0</v>
      </c>
      <c r="K779" s="416">
        <f t="shared" si="335"/>
        <v>0</v>
      </c>
      <c r="L779" s="180"/>
      <c r="M779" s="180"/>
      <c r="N779" s="186">
        <f t="shared" si="313"/>
        <v>0</v>
      </c>
      <c r="O779" s="29">
        <f t="shared" si="321"/>
        <v>0</v>
      </c>
      <c r="P779" s="181">
        <f t="shared" si="336"/>
        <v>1</v>
      </c>
      <c r="Q779" s="182">
        <f t="shared" si="322"/>
        <v>0</v>
      </c>
      <c r="R779" s="182">
        <f t="shared" si="323"/>
        <v>0</v>
      </c>
      <c r="S779" s="182">
        <f t="shared" si="324"/>
        <v>0</v>
      </c>
      <c r="T779" s="182">
        <f t="shared" si="325"/>
        <v>0</v>
      </c>
      <c r="U779" s="182">
        <f t="shared" si="326"/>
        <v>0</v>
      </c>
      <c r="V779" s="14">
        <f t="shared" si="327"/>
        <v>0</v>
      </c>
      <c r="W779" s="14">
        <f t="shared" si="328"/>
        <v>0</v>
      </c>
      <c r="Y779" s="14">
        <f t="shared" si="331"/>
        <v>0</v>
      </c>
      <c r="Z779" s="14">
        <f t="shared" si="332"/>
        <v>0</v>
      </c>
      <c r="AA779" s="11">
        <f t="shared" si="334"/>
        <v>0</v>
      </c>
      <c r="AB779" s="9">
        <f t="shared" si="337"/>
        <v>0</v>
      </c>
      <c r="AD779" s="13">
        <f>IF(AH779&gt;AH778,AD778,IF(AD778&lt;MiscData!$F$1,EOMONTH(AD778,1),EOMONTH(AD778,-11)))</f>
        <v>42277</v>
      </c>
      <c r="AE779" s="7" t="str">
        <f t="shared" si="329"/>
        <v>20140101KUUM_486</v>
      </c>
      <c r="AF779" s="12" t="str">
        <f t="shared" si="330"/>
        <v>20140101LS</v>
      </c>
      <c r="AG779" s="31"/>
      <c r="AH779">
        <f>IF(AH778=MiscData!$AB$91,1,AH778+1)</f>
        <v>74</v>
      </c>
      <c r="AI779">
        <f>IF(AD779&lt;=MiscData!$B$23,MiscData!$C$23,IF(AD779&lt;=MiscData!$B$24,MiscData!$C$24,MiscData!$C$25))</f>
        <v>20140101</v>
      </c>
      <c r="AK779" s="190" t="str">
        <f>VLOOKUP(AM779,MiscData!$AB$4:$ACB$113,2,FALSE)</f>
        <v>KUUM_486</v>
      </c>
      <c r="AL779" s="190" t="str">
        <f>VLOOKUP(AM779,MiscData!$AB$4:$AE$115,4,FALSE)</f>
        <v>LS</v>
      </c>
      <c r="AM779">
        <f>IF(AM778=MiscData!$AB$91,1,AM778+1)</f>
        <v>74</v>
      </c>
    </row>
    <row r="780" spans="1:39">
      <c r="A780" s="7">
        <f t="shared" si="333"/>
        <v>779</v>
      </c>
      <c r="B780" s="13" t="str">
        <f t="shared" si="314"/>
        <v>Sep 2015</v>
      </c>
      <c r="C780" s="23" t="str">
        <f t="shared" si="315"/>
        <v>LS</v>
      </c>
      <c r="D780" s="23" t="str">
        <f t="shared" si="316"/>
        <v>KUUM_487</v>
      </c>
      <c r="E780" s="170">
        <f t="shared" si="317"/>
        <v>10616</v>
      </c>
      <c r="F780" s="185"/>
      <c r="G780" s="170">
        <f t="shared" si="318"/>
        <v>0</v>
      </c>
      <c r="H780" s="170">
        <v>0</v>
      </c>
      <c r="I780" s="11">
        <f t="shared" si="319"/>
        <v>9</v>
      </c>
      <c r="J780" s="11">
        <f t="shared" si="320"/>
        <v>1.1299999999999999</v>
      </c>
      <c r="K780" s="416">
        <f t="shared" si="335"/>
        <v>95544</v>
      </c>
      <c r="L780" s="180"/>
      <c r="M780" s="180"/>
      <c r="N780" s="186">
        <f t="shared" si="313"/>
        <v>95544</v>
      </c>
      <c r="O780" s="29">
        <f t="shared" si="321"/>
        <v>0</v>
      </c>
      <c r="P780" s="181">
        <f t="shared" si="336"/>
        <v>0</v>
      </c>
      <c r="Q780" s="182">
        <f t="shared" si="322"/>
        <v>0</v>
      </c>
      <c r="R780" s="182">
        <f t="shared" si="323"/>
        <v>0</v>
      </c>
      <c r="S780" s="182">
        <f t="shared" si="324"/>
        <v>0</v>
      </c>
      <c r="T780" s="182">
        <f t="shared" si="325"/>
        <v>0</v>
      </c>
      <c r="U780" s="182">
        <f t="shared" si="326"/>
        <v>0</v>
      </c>
      <c r="V780" s="14">
        <f t="shared" si="327"/>
        <v>95544</v>
      </c>
      <c r="W780" s="14">
        <f t="shared" si="328"/>
        <v>-95544</v>
      </c>
      <c r="Y780" s="14">
        <f t="shared" si="331"/>
        <v>11996.08</v>
      </c>
      <c r="Z780" s="14">
        <f t="shared" si="332"/>
        <v>-11996.08</v>
      </c>
      <c r="AA780" s="11">
        <f t="shared" si="334"/>
        <v>0.34</v>
      </c>
      <c r="AB780" s="9">
        <f t="shared" si="337"/>
        <v>3609.44</v>
      </c>
      <c r="AD780" s="13">
        <f>IF(AH780&gt;AH779,AD779,IF(AD779&lt;MiscData!$F$1,EOMONTH(AD779,1),EOMONTH(AD779,-11)))</f>
        <v>42277</v>
      </c>
      <c r="AE780" s="7" t="str">
        <f t="shared" si="329"/>
        <v>20140101KUUM_487</v>
      </c>
      <c r="AF780" s="12" t="str">
        <f t="shared" si="330"/>
        <v>20140101LS</v>
      </c>
      <c r="AG780" s="31"/>
      <c r="AH780">
        <f>IF(AH779=MiscData!$AB$91,1,AH779+1)</f>
        <v>75</v>
      </c>
      <c r="AI780">
        <f>IF(AD780&lt;=MiscData!$B$23,MiscData!$C$23,IF(AD780&lt;=MiscData!$B$24,MiscData!$C$24,MiscData!$C$25))</f>
        <v>20140101</v>
      </c>
      <c r="AK780" s="190" t="str">
        <f>VLOOKUP(AM780,MiscData!$AB$4:$ACB$113,2,FALSE)</f>
        <v>KUUM_487</v>
      </c>
      <c r="AL780" s="190" t="str">
        <f>VLOOKUP(AM780,MiscData!$AB$4:$AE$115,4,FALSE)</f>
        <v>LS</v>
      </c>
      <c r="AM780">
        <f>IF(AM779=MiscData!$AB$91,1,AM779+1)</f>
        <v>75</v>
      </c>
    </row>
    <row r="781" spans="1:39">
      <c r="A781" s="7">
        <f t="shared" si="333"/>
        <v>780</v>
      </c>
      <c r="B781" s="13" t="str">
        <f t="shared" si="314"/>
        <v>Sep 2015</v>
      </c>
      <c r="C781" s="23" t="str">
        <f t="shared" si="315"/>
        <v>LS</v>
      </c>
      <c r="D781" s="23" t="str">
        <f t="shared" si="316"/>
        <v>KUUM_488</v>
      </c>
      <c r="E781" s="170">
        <f t="shared" si="317"/>
        <v>6292</v>
      </c>
      <c r="F781" s="185"/>
      <c r="G781" s="170">
        <f t="shared" si="318"/>
        <v>0</v>
      </c>
      <c r="H781" s="170">
        <v>0</v>
      </c>
      <c r="I781" s="11">
        <f t="shared" si="319"/>
        <v>13.639999999999999</v>
      </c>
      <c r="J781" s="11">
        <f t="shared" si="320"/>
        <v>2.33</v>
      </c>
      <c r="K781" s="416">
        <f t="shared" si="335"/>
        <v>85822.88</v>
      </c>
      <c r="L781" s="180"/>
      <c r="M781" s="180"/>
      <c r="N781" s="186">
        <f t="shared" si="313"/>
        <v>85822.88</v>
      </c>
      <c r="O781" s="29">
        <f t="shared" si="321"/>
        <v>0</v>
      </c>
      <c r="P781" s="181">
        <f t="shared" si="336"/>
        <v>0</v>
      </c>
      <c r="Q781" s="182">
        <f t="shared" si="322"/>
        <v>0</v>
      </c>
      <c r="R781" s="182">
        <f t="shared" si="323"/>
        <v>0</v>
      </c>
      <c r="S781" s="182">
        <f t="shared" si="324"/>
        <v>0</v>
      </c>
      <c r="T781" s="182">
        <f t="shared" si="325"/>
        <v>0</v>
      </c>
      <c r="U781" s="182">
        <f t="shared" si="326"/>
        <v>0</v>
      </c>
      <c r="V781" s="14">
        <f t="shared" si="327"/>
        <v>85822.88</v>
      </c>
      <c r="W781" s="14">
        <f t="shared" si="328"/>
        <v>-85822.88</v>
      </c>
      <c r="Y781" s="14">
        <f t="shared" si="331"/>
        <v>14660.36</v>
      </c>
      <c r="Z781" s="14">
        <f t="shared" si="332"/>
        <v>-14660.36</v>
      </c>
      <c r="AA781" s="11">
        <f t="shared" si="334"/>
        <v>0.57999999999999996</v>
      </c>
      <c r="AB781" s="9">
        <f t="shared" si="337"/>
        <v>3649.3599999999997</v>
      </c>
      <c r="AD781" s="13">
        <f>IF(AH781&gt;AH780,AD780,IF(AD780&lt;MiscData!$F$1,EOMONTH(AD780,1),EOMONTH(AD780,-11)))</f>
        <v>42277</v>
      </c>
      <c r="AE781" s="7" t="str">
        <f t="shared" si="329"/>
        <v>20140101KUUM_488</v>
      </c>
      <c r="AF781" s="12" t="str">
        <f t="shared" si="330"/>
        <v>20140101LS</v>
      </c>
      <c r="AG781" s="31"/>
      <c r="AH781">
        <f>IF(AH780=MiscData!$AB$91,1,AH780+1)</f>
        <v>76</v>
      </c>
      <c r="AI781">
        <f>IF(AD781&lt;=MiscData!$B$23,MiscData!$C$23,IF(AD781&lt;=MiscData!$B$24,MiscData!$C$24,MiscData!$C$25))</f>
        <v>20140101</v>
      </c>
      <c r="AK781" s="190" t="str">
        <f>VLOOKUP(AM781,MiscData!$AB$4:$ACB$113,2,FALSE)</f>
        <v>KUUM_488</v>
      </c>
      <c r="AL781" s="190" t="str">
        <f>VLOOKUP(AM781,MiscData!$AB$4:$AE$115,4,FALSE)</f>
        <v>LS</v>
      </c>
      <c r="AM781">
        <f>IF(AM780=MiscData!$AB$91,1,AM780+1)</f>
        <v>76</v>
      </c>
    </row>
    <row r="782" spans="1:39">
      <c r="A782" s="7">
        <f t="shared" si="333"/>
        <v>781</v>
      </c>
      <c r="B782" s="13" t="str">
        <f t="shared" si="314"/>
        <v>Sep 2015</v>
      </c>
      <c r="C782" s="23" t="str">
        <f t="shared" si="315"/>
        <v>LS</v>
      </c>
      <c r="D782" s="23" t="str">
        <f t="shared" si="316"/>
        <v>KUUM_489</v>
      </c>
      <c r="E782" s="170">
        <f t="shared" si="317"/>
        <v>7976</v>
      </c>
      <c r="F782" s="185"/>
      <c r="G782" s="170">
        <f t="shared" si="318"/>
        <v>0</v>
      </c>
      <c r="H782" s="170">
        <v>0</v>
      </c>
      <c r="I782" s="11">
        <f t="shared" si="319"/>
        <v>19.46</v>
      </c>
      <c r="J782" s="11">
        <f t="shared" si="320"/>
        <v>4.5300000000000011</v>
      </c>
      <c r="K782" s="416">
        <f t="shared" si="335"/>
        <v>155212.96</v>
      </c>
      <c r="L782" s="180"/>
      <c r="M782" s="180"/>
      <c r="N782" s="186">
        <f t="shared" si="313"/>
        <v>155212.96</v>
      </c>
      <c r="O782" s="29">
        <f t="shared" si="321"/>
        <v>0</v>
      </c>
      <c r="P782" s="181">
        <f t="shared" si="336"/>
        <v>0</v>
      </c>
      <c r="Q782" s="182">
        <f t="shared" si="322"/>
        <v>0</v>
      </c>
      <c r="R782" s="182">
        <f t="shared" si="323"/>
        <v>0</v>
      </c>
      <c r="S782" s="182">
        <f t="shared" si="324"/>
        <v>0</v>
      </c>
      <c r="T782" s="182">
        <f t="shared" si="325"/>
        <v>0</v>
      </c>
      <c r="U782" s="182">
        <f t="shared" si="326"/>
        <v>0</v>
      </c>
      <c r="V782" s="14">
        <f t="shared" si="327"/>
        <v>155212.96</v>
      </c>
      <c r="W782" s="14">
        <f t="shared" si="328"/>
        <v>-155212.96</v>
      </c>
      <c r="Y782" s="14">
        <f t="shared" si="331"/>
        <v>36131.279999999999</v>
      </c>
      <c r="Z782" s="14">
        <f t="shared" si="332"/>
        <v>-36131.279999999999</v>
      </c>
      <c r="AA782" s="11">
        <f t="shared" si="334"/>
        <v>0.79</v>
      </c>
      <c r="AB782" s="9">
        <f t="shared" si="337"/>
        <v>6301.04</v>
      </c>
      <c r="AD782" s="13">
        <f>IF(AH782&gt;AH781,AD781,IF(AD781&lt;MiscData!$F$1,EOMONTH(AD781,1),EOMONTH(AD781,-11)))</f>
        <v>42277</v>
      </c>
      <c r="AE782" s="7" t="str">
        <f t="shared" si="329"/>
        <v>20140101KUUM_489</v>
      </c>
      <c r="AF782" s="12" t="str">
        <f t="shared" si="330"/>
        <v>20140101LS</v>
      </c>
      <c r="AG782" s="31"/>
      <c r="AH782">
        <f>IF(AH781=MiscData!$AB$91,1,AH781+1)</f>
        <v>77</v>
      </c>
      <c r="AI782">
        <f>IF(AD782&lt;=MiscData!$B$23,MiscData!$C$23,IF(AD782&lt;=MiscData!$B$24,MiscData!$C$24,MiscData!$C$25))</f>
        <v>20140101</v>
      </c>
      <c r="AK782" s="190" t="str">
        <f>VLOOKUP(AM782,MiscData!$AB$4:$ACB$113,2,FALSE)</f>
        <v>KUUM_489</v>
      </c>
      <c r="AL782" s="190" t="str">
        <f>VLOOKUP(AM782,MiscData!$AB$4:$AE$115,4,FALSE)</f>
        <v>LS</v>
      </c>
      <c r="AM782">
        <f>IF(AM781=MiscData!$AB$91,1,AM781+1)</f>
        <v>77</v>
      </c>
    </row>
    <row r="783" spans="1:39">
      <c r="A783" s="7">
        <f t="shared" si="333"/>
        <v>782</v>
      </c>
      <c r="B783" s="13" t="str">
        <f t="shared" si="314"/>
        <v>Sep 2015</v>
      </c>
      <c r="C783" s="23" t="str">
        <f t="shared" si="315"/>
        <v>LS</v>
      </c>
      <c r="D783" s="23" t="str">
        <f t="shared" si="316"/>
        <v>KUUM_490</v>
      </c>
      <c r="E783" s="170">
        <f t="shared" si="317"/>
        <v>56</v>
      </c>
      <c r="F783" s="185"/>
      <c r="G783" s="170">
        <f t="shared" si="318"/>
        <v>0</v>
      </c>
      <c r="H783" s="170">
        <v>0</v>
      </c>
      <c r="I783" s="11">
        <f t="shared" si="319"/>
        <v>15.47</v>
      </c>
      <c r="J783" s="11">
        <f t="shared" si="320"/>
        <v>1.9700000000000006</v>
      </c>
      <c r="K783" s="416">
        <f t="shared" si="335"/>
        <v>866.32</v>
      </c>
      <c r="L783" s="180"/>
      <c r="M783" s="180"/>
      <c r="N783" s="186">
        <f t="shared" si="313"/>
        <v>866.32</v>
      </c>
      <c r="O783" s="29">
        <f t="shared" si="321"/>
        <v>0</v>
      </c>
      <c r="P783" s="181">
        <f t="shared" si="336"/>
        <v>0</v>
      </c>
      <c r="Q783" s="182">
        <f t="shared" si="322"/>
        <v>0</v>
      </c>
      <c r="R783" s="182">
        <f t="shared" si="323"/>
        <v>0</v>
      </c>
      <c r="S783" s="182">
        <f t="shared" si="324"/>
        <v>0</v>
      </c>
      <c r="T783" s="182">
        <f t="shared" si="325"/>
        <v>0</v>
      </c>
      <c r="U783" s="182">
        <f t="shared" si="326"/>
        <v>0</v>
      </c>
      <c r="V783" s="14">
        <f t="shared" si="327"/>
        <v>866.32</v>
      </c>
      <c r="W783" s="14">
        <f t="shared" si="328"/>
        <v>-866.32</v>
      </c>
      <c r="Y783" s="14">
        <f t="shared" si="331"/>
        <v>110.32</v>
      </c>
      <c r="Z783" s="14">
        <f t="shared" si="332"/>
        <v>-110.32</v>
      </c>
      <c r="AA783" s="11">
        <f t="shared" si="334"/>
        <v>0.66</v>
      </c>
      <c r="AB783" s="9">
        <f t="shared" si="337"/>
        <v>36.96</v>
      </c>
      <c r="AD783" s="13">
        <f>IF(AH783&gt;AH782,AD782,IF(AD782&lt;MiscData!$F$1,EOMONTH(AD782,1),EOMONTH(AD782,-11)))</f>
        <v>42277</v>
      </c>
      <c r="AE783" s="7" t="str">
        <f t="shared" si="329"/>
        <v>20140101KUUM_490</v>
      </c>
      <c r="AF783" s="12" t="str">
        <f t="shared" si="330"/>
        <v>20140101LS</v>
      </c>
      <c r="AG783" s="31"/>
      <c r="AH783">
        <f>IF(AH782=MiscData!$AB$91,1,AH782+1)</f>
        <v>78</v>
      </c>
      <c r="AI783">
        <f>IF(AD783&lt;=MiscData!$B$23,MiscData!$C$23,IF(AD783&lt;=MiscData!$B$24,MiscData!$C$24,MiscData!$C$25))</f>
        <v>20140101</v>
      </c>
      <c r="AK783" s="190" t="str">
        <f>VLOOKUP(AM783,MiscData!$AB$4:$ACB$113,2,FALSE)</f>
        <v>KUUM_490</v>
      </c>
      <c r="AL783" s="190" t="str">
        <f>VLOOKUP(AM783,MiscData!$AB$4:$AE$115,4,FALSE)</f>
        <v>LS</v>
      </c>
      <c r="AM783">
        <f>IF(AM782=MiscData!$AB$91,1,AM782+1)</f>
        <v>78</v>
      </c>
    </row>
    <row r="784" spans="1:39" ht="12.75" thickBot="1">
      <c r="A784" s="7">
        <f t="shared" si="333"/>
        <v>783</v>
      </c>
      <c r="B784" s="13" t="str">
        <f t="shared" si="314"/>
        <v>Sep 2015</v>
      </c>
      <c r="C784" s="23" t="str">
        <f t="shared" si="315"/>
        <v>LS</v>
      </c>
      <c r="D784" s="23" t="str">
        <f t="shared" si="316"/>
        <v>KUUM_491</v>
      </c>
      <c r="E784" s="170">
        <f t="shared" si="317"/>
        <v>311</v>
      </c>
      <c r="F784" s="429"/>
      <c r="G784" s="170">
        <f t="shared" si="318"/>
        <v>0</v>
      </c>
      <c r="H784" s="425">
        <v>0</v>
      </c>
      <c r="I784" s="11">
        <f t="shared" si="319"/>
        <v>21.930000000000003</v>
      </c>
      <c r="J784" s="11">
        <f t="shared" si="320"/>
        <v>4.2900000000000027</v>
      </c>
      <c r="K784" s="416">
        <f t="shared" si="335"/>
        <v>6820.23</v>
      </c>
      <c r="L784" s="180"/>
      <c r="M784" s="430"/>
      <c r="N784" s="186">
        <f t="shared" si="313"/>
        <v>6820.23</v>
      </c>
      <c r="O784" s="29">
        <f t="shared" si="321"/>
        <v>0</v>
      </c>
      <c r="P784" s="181">
        <f t="shared" si="336"/>
        <v>0</v>
      </c>
      <c r="Q784" s="182">
        <f t="shared" si="322"/>
        <v>0</v>
      </c>
      <c r="R784" s="182">
        <f t="shared" si="323"/>
        <v>0</v>
      </c>
      <c r="S784" s="182">
        <f t="shared" si="324"/>
        <v>0</v>
      </c>
      <c r="T784" s="182">
        <f t="shared" si="325"/>
        <v>0</v>
      </c>
      <c r="U784" s="182">
        <f t="shared" si="326"/>
        <v>0</v>
      </c>
      <c r="V784" s="14">
        <f t="shared" si="327"/>
        <v>6820.23</v>
      </c>
      <c r="W784" s="14">
        <f t="shared" si="328"/>
        <v>-6820.23</v>
      </c>
      <c r="Y784" s="14">
        <f t="shared" si="331"/>
        <v>1334.19</v>
      </c>
      <c r="Z784" s="14">
        <f t="shared" si="332"/>
        <v>-1334.19</v>
      </c>
      <c r="AA784" s="11">
        <f t="shared" si="334"/>
        <v>0.84</v>
      </c>
      <c r="AB784" s="9">
        <f t="shared" si="337"/>
        <v>261.24</v>
      </c>
      <c r="AD784" s="13">
        <f>IF(AH784&gt;AH783,AD783,IF(AD783&lt;MiscData!$F$1,EOMONTH(AD783,1),EOMONTH(AD783,-11)))</f>
        <v>42277</v>
      </c>
      <c r="AE784" s="7" t="str">
        <f t="shared" si="329"/>
        <v>20140101KUUM_491</v>
      </c>
      <c r="AF784" s="12" t="str">
        <f t="shared" si="330"/>
        <v>20140101LS</v>
      </c>
      <c r="AG784" s="31"/>
      <c r="AH784">
        <f>IF(AH783=MiscData!$AB$91,1,AH783+1)</f>
        <v>79</v>
      </c>
      <c r="AI784">
        <f>IF(AD784&lt;=MiscData!$B$23,MiscData!$C$23,IF(AD784&lt;=MiscData!$B$24,MiscData!$C$24,MiscData!$C$25))</f>
        <v>20140101</v>
      </c>
      <c r="AK784" s="190" t="str">
        <f>VLOOKUP(AM784,MiscData!$AB$4:$ACB$113,2,FALSE)</f>
        <v>KUUM_491</v>
      </c>
      <c r="AL784" s="190" t="str">
        <f>VLOOKUP(AM784,MiscData!$AB$4:$AE$115,4,FALSE)</f>
        <v>LS</v>
      </c>
      <c r="AM784">
        <f>IF(AM783=MiscData!$AB$91,1,AM783+1)</f>
        <v>79</v>
      </c>
    </row>
    <row r="785" spans="1:39">
      <c r="A785" s="605">
        <f t="shared" si="333"/>
        <v>784</v>
      </c>
      <c r="B785" s="606" t="str">
        <f t="shared" si="314"/>
        <v>Sep 2015</v>
      </c>
      <c r="C785" s="607" t="str">
        <f t="shared" si="315"/>
        <v>LS</v>
      </c>
      <c r="D785" s="607" t="str">
        <f t="shared" si="316"/>
        <v>KUUM_492</v>
      </c>
      <c r="E785" s="608">
        <f t="shared" si="317"/>
        <v>2</v>
      </c>
      <c r="F785" s="609"/>
      <c r="G785" s="608">
        <f t="shared" si="318"/>
        <v>0</v>
      </c>
      <c r="H785" s="608">
        <v>0</v>
      </c>
      <c r="I785" s="610">
        <f t="shared" si="319"/>
        <v>15.370000000000001</v>
      </c>
      <c r="J785" s="610">
        <f t="shared" si="320"/>
        <v>0.80000000000000071</v>
      </c>
      <c r="K785" s="611">
        <f t="shared" si="335"/>
        <v>30.74</v>
      </c>
      <c r="L785" s="612"/>
      <c r="M785" s="612"/>
      <c r="N785" s="613">
        <f t="shared" si="313"/>
        <v>30.74</v>
      </c>
      <c r="O785" s="614">
        <f t="shared" si="321"/>
        <v>0</v>
      </c>
      <c r="P785" s="615">
        <f t="shared" si="336"/>
        <v>0</v>
      </c>
      <c r="Q785" s="613">
        <f t="shared" si="322"/>
        <v>0</v>
      </c>
      <c r="R785" s="613">
        <f t="shared" si="323"/>
        <v>0</v>
      </c>
      <c r="S785" s="613">
        <f t="shared" si="324"/>
        <v>0</v>
      </c>
      <c r="T785" s="613">
        <f t="shared" si="325"/>
        <v>0</v>
      </c>
      <c r="U785" s="613">
        <f t="shared" si="326"/>
        <v>0</v>
      </c>
      <c r="V785" s="616">
        <f t="shared" si="327"/>
        <v>30.74</v>
      </c>
      <c r="W785" s="616">
        <f t="shared" si="328"/>
        <v>-30.74</v>
      </c>
      <c r="X785" s="617"/>
      <c r="Y785" s="616">
        <f t="shared" si="331"/>
        <v>1.6</v>
      </c>
      <c r="Z785" s="616">
        <f t="shared" si="332"/>
        <v>-1.6</v>
      </c>
      <c r="AA785" s="11">
        <f t="shared" si="334"/>
        <v>0.43</v>
      </c>
      <c r="AB785" s="9">
        <f t="shared" si="337"/>
        <v>0.86</v>
      </c>
      <c r="AC785" s="617"/>
      <c r="AD785" s="606">
        <f>IF(AH785&gt;AH784,AD784,IF(AD784&lt;MiscData!$F$1,EOMONTH(AD784,1),EOMONTH(AD784,-11)))</f>
        <v>42277</v>
      </c>
      <c r="AE785" s="618" t="str">
        <f t="shared" si="329"/>
        <v>20140101KUUM_492</v>
      </c>
      <c r="AF785" s="619" t="str">
        <f t="shared" si="330"/>
        <v>20140101LS</v>
      </c>
      <c r="AG785" s="620"/>
      <c r="AH785" s="617">
        <f>IF(AH784=MiscData!$AB$91,1,AH784+1)</f>
        <v>80</v>
      </c>
      <c r="AI785" s="617">
        <f>IF(AD785&lt;=MiscData!$B$23,MiscData!$C$23,IF(AD785&lt;=MiscData!$B$24,MiscData!$C$24,MiscData!$C$25))</f>
        <v>20140101</v>
      </c>
      <c r="AJ785" s="617"/>
      <c r="AK785" s="621" t="str">
        <f>VLOOKUP(AM785,MiscData!$AB$4:$ACB$113,2,FALSE)</f>
        <v>KUUM_492</v>
      </c>
      <c r="AL785" s="621" t="str">
        <f>VLOOKUP(AM785,MiscData!$AB$4:$AE$115,4,FALSE)</f>
        <v>LS</v>
      </c>
      <c r="AM785" s="622">
        <f>IF(AM784=MiscData!$AB$91,1,AM784+1)</f>
        <v>80</v>
      </c>
    </row>
    <row r="786" spans="1:39">
      <c r="A786" s="413">
        <f t="shared" si="333"/>
        <v>785</v>
      </c>
      <c r="B786" s="427" t="str">
        <f t="shared" si="314"/>
        <v>Sep 2015</v>
      </c>
      <c r="C786" s="428" t="str">
        <f t="shared" si="315"/>
        <v>LS</v>
      </c>
      <c r="D786" s="428" t="str">
        <f t="shared" si="316"/>
        <v>KUUM_493</v>
      </c>
      <c r="E786" s="425">
        <f t="shared" si="317"/>
        <v>48</v>
      </c>
      <c r="F786" s="429"/>
      <c r="G786" s="425">
        <f t="shared" si="318"/>
        <v>0</v>
      </c>
      <c r="H786" s="425">
        <v>0</v>
      </c>
      <c r="I786" s="415">
        <f t="shared" si="319"/>
        <v>45.7</v>
      </c>
      <c r="J786" s="415">
        <f t="shared" si="320"/>
        <v>10.409999999999997</v>
      </c>
      <c r="K786" s="416">
        <f t="shared" si="335"/>
        <v>2193.6</v>
      </c>
      <c r="L786" s="430"/>
      <c r="M786" s="430"/>
      <c r="N786" s="186">
        <f t="shared" si="313"/>
        <v>2193.6</v>
      </c>
      <c r="O786" s="431">
        <f t="shared" si="321"/>
        <v>0</v>
      </c>
      <c r="P786" s="417">
        <f t="shared" si="336"/>
        <v>0</v>
      </c>
      <c r="Q786" s="186">
        <f t="shared" si="322"/>
        <v>0</v>
      </c>
      <c r="R786" s="186">
        <f t="shared" si="323"/>
        <v>0</v>
      </c>
      <c r="S786" s="186">
        <f t="shared" si="324"/>
        <v>0</v>
      </c>
      <c r="T786" s="186">
        <f t="shared" si="325"/>
        <v>0</v>
      </c>
      <c r="U786" s="186">
        <f t="shared" si="326"/>
        <v>0</v>
      </c>
      <c r="V786" s="418">
        <f t="shared" si="327"/>
        <v>2193.6</v>
      </c>
      <c r="W786" s="418">
        <f t="shared" si="328"/>
        <v>-2193.6</v>
      </c>
      <c r="X786" s="41"/>
      <c r="Y786" s="418">
        <f t="shared" si="331"/>
        <v>499.68</v>
      </c>
      <c r="Z786" s="418">
        <f t="shared" si="332"/>
        <v>-499.68</v>
      </c>
      <c r="AA786" s="11">
        <f t="shared" si="334"/>
        <v>1.7</v>
      </c>
      <c r="AB786" s="9">
        <f t="shared" si="337"/>
        <v>81.599999999999994</v>
      </c>
      <c r="AC786" s="41"/>
      <c r="AD786" s="427">
        <f>IF(AH786&gt;AH785,AD785,IF(AD785&lt;MiscData!$F$1,EOMONTH(AD785,1),EOMONTH(AD785,-11)))</f>
        <v>42277</v>
      </c>
      <c r="AE786" s="414" t="str">
        <f t="shared" si="329"/>
        <v>20140101KUUM_493</v>
      </c>
      <c r="AF786" s="466" t="str">
        <f t="shared" si="330"/>
        <v>20140101LS</v>
      </c>
      <c r="AG786" s="467"/>
      <c r="AH786" s="41">
        <f>IF(AH785=MiscData!$AB$91,1,AH785+1)</f>
        <v>81</v>
      </c>
      <c r="AI786" s="41">
        <f>IF(AD786&lt;=MiscData!$B$23,MiscData!$C$23,IF(AD786&lt;=MiscData!$B$24,MiscData!$C$24,MiscData!$C$25))</f>
        <v>20140101</v>
      </c>
      <c r="AJ786" s="41"/>
      <c r="AK786" s="468" t="str">
        <f>VLOOKUP(AM786,MiscData!$AB$4:$ACB$113,2,FALSE)</f>
        <v>KUUM_493</v>
      </c>
      <c r="AL786" s="468" t="str">
        <f>VLOOKUP(AM786,MiscData!$AB$4:$AE$115,4,FALSE)</f>
        <v>LS</v>
      </c>
      <c r="AM786" s="469">
        <f>IF(AM785=MiscData!$AB$91,1,AM785+1)</f>
        <v>81</v>
      </c>
    </row>
    <row r="787" spans="1:39">
      <c r="A787" s="413">
        <f t="shared" si="333"/>
        <v>786</v>
      </c>
      <c r="B787" s="427" t="str">
        <f t="shared" si="314"/>
        <v>Sep 2015</v>
      </c>
      <c r="C787" s="428" t="str">
        <f t="shared" si="315"/>
        <v>LS</v>
      </c>
      <c r="D787" s="428" t="str">
        <f t="shared" si="316"/>
        <v>KUUM_494</v>
      </c>
      <c r="E787" s="425">
        <f t="shared" si="317"/>
        <v>191</v>
      </c>
      <c r="F787" s="429"/>
      <c r="G787" s="425">
        <f t="shared" si="318"/>
        <v>0</v>
      </c>
      <c r="H787" s="425">
        <v>0</v>
      </c>
      <c r="I787" s="415">
        <f t="shared" si="319"/>
        <v>28.37</v>
      </c>
      <c r="J787" s="415">
        <f t="shared" si="320"/>
        <v>1.9699999999999989</v>
      </c>
      <c r="K787" s="416">
        <f t="shared" si="335"/>
        <v>5418.67</v>
      </c>
      <c r="L787" s="430"/>
      <c r="M787" s="430"/>
      <c r="N787" s="186">
        <f t="shared" si="313"/>
        <v>5418.67</v>
      </c>
      <c r="O787" s="431">
        <f t="shared" si="321"/>
        <v>0</v>
      </c>
      <c r="P787" s="417">
        <f t="shared" si="336"/>
        <v>0</v>
      </c>
      <c r="Q787" s="186">
        <f t="shared" si="322"/>
        <v>0</v>
      </c>
      <c r="R787" s="186">
        <f t="shared" si="323"/>
        <v>0</v>
      </c>
      <c r="S787" s="186">
        <f t="shared" si="324"/>
        <v>0</v>
      </c>
      <c r="T787" s="186">
        <f t="shared" si="325"/>
        <v>0</v>
      </c>
      <c r="U787" s="186">
        <f t="shared" si="326"/>
        <v>0</v>
      </c>
      <c r="V787" s="418">
        <f t="shared" si="327"/>
        <v>5418.67</v>
      </c>
      <c r="W787" s="418">
        <f t="shared" si="328"/>
        <v>-5418.67</v>
      </c>
      <c r="X787" s="41"/>
      <c r="Y787" s="418">
        <f t="shared" si="331"/>
        <v>376.27</v>
      </c>
      <c r="Z787" s="418">
        <f t="shared" si="332"/>
        <v>-376.27</v>
      </c>
      <c r="AA787" s="11">
        <f t="shared" si="334"/>
        <v>0.66</v>
      </c>
      <c r="AB787" s="9">
        <f t="shared" si="337"/>
        <v>126.06</v>
      </c>
      <c r="AC787" s="41"/>
      <c r="AD787" s="427">
        <f>IF(AH787&gt;AH786,AD786,IF(AD786&lt;MiscData!$F$1,EOMONTH(AD786,1),EOMONTH(AD786,-11)))</f>
        <v>42277</v>
      </c>
      <c r="AE787" s="414" t="str">
        <f t="shared" si="329"/>
        <v>20140101KUUM_494</v>
      </c>
      <c r="AF787" s="466" t="str">
        <f t="shared" si="330"/>
        <v>20140101LS</v>
      </c>
      <c r="AG787" s="467"/>
      <c r="AH787" s="41">
        <f>IF(AH786=MiscData!$AB$91,1,AH786+1)</f>
        <v>82</v>
      </c>
      <c r="AI787" s="41">
        <f>IF(AD787&lt;=MiscData!$B$23,MiscData!$C$23,IF(AD787&lt;=MiscData!$B$24,MiscData!$C$24,MiscData!$C$25))</f>
        <v>20140101</v>
      </c>
      <c r="AJ787" s="41"/>
      <c r="AK787" s="468" t="str">
        <f>VLOOKUP(AM787,MiscData!$AB$4:$ACB$113,2,FALSE)</f>
        <v>KUUM_494</v>
      </c>
      <c r="AL787" s="468" t="str">
        <f>VLOOKUP(AM787,MiscData!$AB$4:$AE$115,4,FALSE)</f>
        <v>LS</v>
      </c>
      <c r="AM787" s="469">
        <f>IF(AM786=MiscData!$AB$91,1,AM786+1)</f>
        <v>82</v>
      </c>
    </row>
    <row r="788" spans="1:39">
      <c r="A788" s="413">
        <f t="shared" si="333"/>
        <v>787</v>
      </c>
      <c r="B788" s="427" t="str">
        <f t="shared" si="314"/>
        <v>Sep 2015</v>
      </c>
      <c r="C788" s="428" t="str">
        <f t="shared" si="315"/>
        <v>LS</v>
      </c>
      <c r="D788" s="428" t="str">
        <f t="shared" si="316"/>
        <v>KUUM_495</v>
      </c>
      <c r="E788" s="425">
        <f t="shared" si="317"/>
        <v>612</v>
      </c>
      <c r="F788" s="429"/>
      <c r="G788" s="425">
        <f t="shared" si="318"/>
        <v>0</v>
      </c>
      <c r="H788" s="425">
        <v>0</v>
      </c>
      <c r="I788" s="415">
        <f t="shared" si="319"/>
        <v>34.830000000000005</v>
      </c>
      <c r="J788" s="415">
        <f t="shared" si="320"/>
        <v>4.2899999999999991</v>
      </c>
      <c r="K788" s="416">
        <f t="shared" si="335"/>
        <v>21315.96</v>
      </c>
      <c r="L788" s="430"/>
      <c r="M788" s="430"/>
      <c r="N788" s="186">
        <f t="shared" si="313"/>
        <v>21315.96</v>
      </c>
      <c r="O788" s="431">
        <f t="shared" si="321"/>
        <v>0</v>
      </c>
      <c r="P788" s="417">
        <f t="shared" si="336"/>
        <v>0</v>
      </c>
      <c r="Q788" s="186">
        <f t="shared" si="322"/>
        <v>0</v>
      </c>
      <c r="R788" s="186">
        <f t="shared" si="323"/>
        <v>0</v>
      </c>
      <c r="S788" s="186">
        <f t="shared" si="324"/>
        <v>0</v>
      </c>
      <c r="T788" s="186">
        <f t="shared" si="325"/>
        <v>0</v>
      </c>
      <c r="U788" s="186">
        <f t="shared" si="326"/>
        <v>0</v>
      </c>
      <c r="V788" s="418">
        <f t="shared" si="327"/>
        <v>21315.96</v>
      </c>
      <c r="W788" s="418">
        <f t="shared" si="328"/>
        <v>-21315.96</v>
      </c>
      <c r="X788" s="41"/>
      <c r="Y788" s="418">
        <f t="shared" si="331"/>
        <v>2625.48</v>
      </c>
      <c r="Z788" s="418">
        <f t="shared" si="332"/>
        <v>-2625.48</v>
      </c>
      <c r="AA788" s="11">
        <f t="shared" si="334"/>
        <v>0.84</v>
      </c>
      <c r="AB788" s="9">
        <f t="shared" si="337"/>
        <v>514.07999999999993</v>
      </c>
      <c r="AC788" s="41"/>
      <c r="AD788" s="427">
        <f>IF(AH788&gt;AH787,AD787,IF(AD787&lt;MiscData!$F$1,EOMONTH(AD787,1),EOMONTH(AD787,-11)))</f>
        <v>42277</v>
      </c>
      <c r="AE788" s="414" t="str">
        <f t="shared" si="329"/>
        <v>20140101KUUM_495</v>
      </c>
      <c r="AF788" s="466" t="str">
        <f t="shared" si="330"/>
        <v>20140101LS</v>
      </c>
      <c r="AG788" s="467"/>
      <c r="AH788" s="41">
        <f>IF(AH787=MiscData!$AB$91,1,AH787+1)</f>
        <v>83</v>
      </c>
      <c r="AI788" s="41">
        <f>IF(AD788&lt;=MiscData!$B$23,MiscData!$C$23,IF(AD788&lt;=MiscData!$B$24,MiscData!$C$24,MiscData!$C$25))</f>
        <v>20140101</v>
      </c>
      <c r="AJ788" s="41"/>
      <c r="AK788" s="468" t="str">
        <f>VLOOKUP(AM788,MiscData!$AB$4:$ACB$113,2,FALSE)</f>
        <v>KUUM_495</v>
      </c>
      <c r="AL788" s="468" t="str">
        <f>VLOOKUP(AM788,MiscData!$AB$4:$AE$115,4,FALSE)</f>
        <v>LS</v>
      </c>
      <c r="AM788" s="469">
        <f>IF(AM787=MiscData!$AB$91,1,AM787+1)</f>
        <v>83</v>
      </c>
    </row>
    <row r="789" spans="1:39">
      <c r="A789" s="413">
        <f t="shared" si="333"/>
        <v>788</v>
      </c>
      <c r="B789" s="427" t="str">
        <f t="shared" si="314"/>
        <v>Sep 2015</v>
      </c>
      <c r="C789" s="428" t="str">
        <f t="shared" si="315"/>
        <v>LS</v>
      </c>
      <c r="D789" s="428" t="str">
        <f t="shared" si="316"/>
        <v>KUUM_496</v>
      </c>
      <c r="E789" s="425">
        <f t="shared" si="317"/>
        <v>159</v>
      </c>
      <c r="F789" s="429"/>
      <c r="G789" s="425">
        <f t="shared" si="318"/>
        <v>0</v>
      </c>
      <c r="H789" s="425">
        <v>0</v>
      </c>
      <c r="I789" s="415">
        <f t="shared" si="319"/>
        <v>58.59</v>
      </c>
      <c r="J789" s="415">
        <f t="shared" si="320"/>
        <v>10.409999999999997</v>
      </c>
      <c r="K789" s="416">
        <f t="shared" si="335"/>
        <v>9315.81</v>
      </c>
      <c r="L789" s="430"/>
      <c r="M789" s="430"/>
      <c r="N789" s="186">
        <f t="shared" si="313"/>
        <v>9315.81</v>
      </c>
      <c r="O789" s="431">
        <f t="shared" si="321"/>
        <v>0</v>
      </c>
      <c r="P789" s="417">
        <f t="shared" si="336"/>
        <v>0</v>
      </c>
      <c r="Q789" s="186">
        <f t="shared" si="322"/>
        <v>0</v>
      </c>
      <c r="R789" s="186">
        <f t="shared" si="323"/>
        <v>0</v>
      </c>
      <c r="S789" s="186">
        <f t="shared" si="324"/>
        <v>0</v>
      </c>
      <c r="T789" s="186">
        <f t="shared" si="325"/>
        <v>0</v>
      </c>
      <c r="U789" s="186">
        <f t="shared" si="326"/>
        <v>0</v>
      </c>
      <c r="V789" s="418">
        <f t="shared" si="327"/>
        <v>9315.81</v>
      </c>
      <c r="W789" s="418">
        <f t="shared" si="328"/>
        <v>-9315.81</v>
      </c>
      <c r="X789" s="41"/>
      <c r="Y789" s="418">
        <f t="shared" si="331"/>
        <v>1655.19</v>
      </c>
      <c r="Z789" s="418">
        <f t="shared" si="332"/>
        <v>-1655.19</v>
      </c>
      <c r="AA789" s="11">
        <f t="shared" si="334"/>
        <v>1.7</v>
      </c>
      <c r="AB789" s="9">
        <f t="shared" si="337"/>
        <v>270.3</v>
      </c>
      <c r="AC789" s="41"/>
      <c r="AD789" s="427">
        <f>IF(AH789&gt;AH788,AD788,IF(AD788&lt;MiscData!$F$1,EOMONTH(AD788,1),EOMONTH(AD788,-11)))</f>
        <v>42277</v>
      </c>
      <c r="AE789" s="414" t="str">
        <f t="shared" si="329"/>
        <v>20140101KUUM_496</v>
      </c>
      <c r="AF789" s="466" t="str">
        <f t="shared" si="330"/>
        <v>20140101LS</v>
      </c>
      <c r="AG789" s="467"/>
      <c r="AH789" s="41">
        <f>IF(AH788=MiscData!$AB$91,1,AH788+1)</f>
        <v>84</v>
      </c>
      <c r="AI789" s="41">
        <f>IF(AD789&lt;=MiscData!$B$23,MiscData!$C$23,IF(AD789&lt;=MiscData!$B$24,MiscData!$C$24,MiscData!$C$25))</f>
        <v>20140101</v>
      </c>
      <c r="AJ789" s="41"/>
      <c r="AK789" s="468" t="str">
        <f>VLOOKUP(AM789,MiscData!$AB$4:$ACB$113,2,FALSE)</f>
        <v>KUUM_496</v>
      </c>
      <c r="AL789" s="468" t="str">
        <f>VLOOKUP(AM789,MiscData!$AB$4:$AE$115,4,FALSE)</f>
        <v>LS</v>
      </c>
      <c r="AM789" s="469">
        <f>IF(AM788=MiscData!$AB$91,1,AM788+1)</f>
        <v>84</v>
      </c>
    </row>
    <row r="790" spans="1:39">
      <c r="A790" s="413">
        <f t="shared" si="333"/>
        <v>789</v>
      </c>
      <c r="B790" s="427" t="str">
        <f t="shared" si="314"/>
        <v>Sep 2015</v>
      </c>
      <c r="C790" s="428" t="str">
        <f t="shared" si="315"/>
        <v>LS</v>
      </c>
      <c r="D790" s="428" t="str">
        <f t="shared" si="316"/>
        <v>KUUM_497</v>
      </c>
      <c r="E790" s="425">
        <f t="shared" si="317"/>
        <v>7</v>
      </c>
      <c r="F790" s="429"/>
      <c r="G790" s="425">
        <f t="shared" si="318"/>
        <v>0</v>
      </c>
      <c r="H790" s="425">
        <v>0</v>
      </c>
      <c r="I790" s="415">
        <f t="shared" si="319"/>
        <v>15.35</v>
      </c>
      <c r="J790" s="415">
        <f t="shared" si="320"/>
        <v>1.1300000000000008</v>
      </c>
      <c r="K790" s="416">
        <f t="shared" si="335"/>
        <v>107.45</v>
      </c>
      <c r="L790" s="430"/>
      <c r="M790" s="430"/>
      <c r="N790" s="186">
        <f t="shared" si="313"/>
        <v>107.45</v>
      </c>
      <c r="O790" s="431">
        <f t="shared" si="321"/>
        <v>0</v>
      </c>
      <c r="P790" s="417">
        <f t="shared" si="336"/>
        <v>0</v>
      </c>
      <c r="Q790" s="186">
        <f t="shared" si="322"/>
        <v>0</v>
      </c>
      <c r="R790" s="186">
        <f t="shared" si="323"/>
        <v>0</v>
      </c>
      <c r="S790" s="186">
        <f t="shared" si="324"/>
        <v>0</v>
      </c>
      <c r="T790" s="186">
        <f t="shared" si="325"/>
        <v>0</v>
      </c>
      <c r="U790" s="186">
        <f t="shared" si="326"/>
        <v>0</v>
      </c>
      <c r="V790" s="418">
        <f t="shared" si="327"/>
        <v>107.45</v>
      </c>
      <c r="W790" s="418">
        <f t="shared" si="328"/>
        <v>-107.45</v>
      </c>
      <c r="X790" s="41"/>
      <c r="Y790" s="418">
        <f t="shared" si="331"/>
        <v>7.91</v>
      </c>
      <c r="Z790" s="418">
        <f t="shared" si="332"/>
        <v>-7.91</v>
      </c>
      <c r="AA790" s="11">
        <f t="shared" si="334"/>
        <v>0.34</v>
      </c>
      <c r="AB790" s="9">
        <f t="shared" si="337"/>
        <v>2.3800000000000003</v>
      </c>
      <c r="AC790" s="41"/>
      <c r="AD790" s="427">
        <f>IF(AH790&gt;AH789,AD789,IF(AD789&lt;MiscData!$F$1,EOMONTH(AD789,1),EOMONTH(AD789,-11)))</f>
        <v>42277</v>
      </c>
      <c r="AE790" s="414" t="str">
        <f t="shared" si="329"/>
        <v>20140101KUUM_497</v>
      </c>
      <c r="AF790" s="466" t="str">
        <f t="shared" si="330"/>
        <v>20140101LS</v>
      </c>
      <c r="AG790" s="467"/>
      <c r="AH790" s="41">
        <f>IF(AH789=MiscData!$AB$91,1,AH789+1)</f>
        <v>85</v>
      </c>
      <c r="AI790" s="41">
        <f>IF(AD790&lt;=MiscData!$B$23,MiscData!$C$23,IF(AD790&lt;=MiscData!$B$24,MiscData!$C$24,MiscData!$C$25))</f>
        <v>20140101</v>
      </c>
      <c r="AJ790" s="41"/>
      <c r="AK790" s="468" t="str">
        <f>VLOOKUP(AM790,MiscData!$AB$4:$ACB$113,2,FALSE)</f>
        <v>KUUM_497</v>
      </c>
      <c r="AL790" s="468" t="str">
        <f>VLOOKUP(AM790,MiscData!$AB$4:$AE$115,4,FALSE)</f>
        <v>LS</v>
      </c>
      <c r="AM790" s="469">
        <f>IF(AM789=MiscData!$AB$91,1,AM789+1)</f>
        <v>85</v>
      </c>
    </row>
    <row r="791" spans="1:39">
      <c r="A791" s="413">
        <f t="shared" si="333"/>
        <v>790</v>
      </c>
      <c r="B791" s="427" t="str">
        <f t="shared" si="314"/>
        <v>Sep 2015</v>
      </c>
      <c r="C791" s="428" t="str">
        <f t="shared" si="315"/>
        <v>LS</v>
      </c>
      <c r="D791" s="428" t="str">
        <f t="shared" si="316"/>
        <v>KUUM_498</v>
      </c>
      <c r="E791" s="425">
        <f t="shared" si="317"/>
        <v>20</v>
      </c>
      <c r="F791" s="429"/>
      <c r="G791" s="425">
        <f t="shared" si="318"/>
        <v>0</v>
      </c>
      <c r="H791" s="425">
        <v>0</v>
      </c>
      <c r="I791" s="415">
        <f t="shared" si="319"/>
        <v>17.72</v>
      </c>
      <c r="J791" s="415">
        <f t="shared" si="320"/>
        <v>2.33</v>
      </c>
      <c r="K791" s="416">
        <f t="shared" si="335"/>
        <v>354.4</v>
      </c>
      <c r="L791" s="430"/>
      <c r="M791" s="430"/>
      <c r="N791" s="186">
        <f t="shared" si="313"/>
        <v>354.4</v>
      </c>
      <c r="O791" s="431">
        <f t="shared" si="321"/>
        <v>0</v>
      </c>
      <c r="P791" s="417">
        <f t="shared" si="336"/>
        <v>0</v>
      </c>
      <c r="Q791" s="186">
        <f t="shared" si="322"/>
        <v>0</v>
      </c>
      <c r="R791" s="186">
        <f t="shared" si="323"/>
        <v>0</v>
      </c>
      <c r="S791" s="186">
        <f t="shared" si="324"/>
        <v>0</v>
      </c>
      <c r="T791" s="186">
        <f t="shared" si="325"/>
        <v>0</v>
      </c>
      <c r="U791" s="186">
        <f t="shared" si="326"/>
        <v>0</v>
      </c>
      <c r="V791" s="418">
        <f t="shared" si="327"/>
        <v>354.4</v>
      </c>
      <c r="W791" s="418">
        <f t="shared" si="328"/>
        <v>-354.4</v>
      </c>
      <c r="X791" s="41"/>
      <c r="Y791" s="418">
        <f t="shared" si="331"/>
        <v>46.6</v>
      </c>
      <c r="Z791" s="418">
        <f t="shared" si="332"/>
        <v>-46.6</v>
      </c>
      <c r="AA791" s="11">
        <f t="shared" si="334"/>
        <v>0.57999999999999996</v>
      </c>
      <c r="AB791" s="9">
        <f t="shared" si="337"/>
        <v>11.6</v>
      </c>
      <c r="AC791" s="41"/>
      <c r="AD791" s="427">
        <f>IF(AH791&gt;AH790,AD790,IF(AD790&lt;MiscData!$F$1,EOMONTH(AD790,1),EOMONTH(AD790,-11)))</f>
        <v>42277</v>
      </c>
      <c r="AE791" s="414" t="str">
        <f t="shared" si="329"/>
        <v>20140101KUUM_498</v>
      </c>
      <c r="AF791" s="466" t="str">
        <f t="shared" si="330"/>
        <v>20140101LS</v>
      </c>
      <c r="AG791" s="467"/>
      <c r="AH791" s="41">
        <f>IF(AH790=MiscData!$AB$91,1,AH790+1)</f>
        <v>86</v>
      </c>
      <c r="AI791" s="41">
        <f>IF(AD791&lt;=MiscData!$B$23,MiscData!$C$23,IF(AD791&lt;=MiscData!$B$24,MiscData!$C$24,MiscData!$C$25))</f>
        <v>20140101</v>
      </c>
      <c r="AJ791" s="41"/>
      <c r="AK791" s="468" t="str">
        <f>VLOOKUP(AM791,MiscData!$AB$4:$ACB$113,2,FALSE)</f>
        <v>KUUM_498</v>
      </c>
      <c r="AL791" s="468" t="str">
        <f>VLOOKUP(AM791,MiscData!$AB$4:$AE$115,4,FALSE)</f>
        <v>LS</v>
      </c>
      <c r="AM791" s="469">
        <f>IF(AM790=MiscData!$AB$91,1,AM790+1)</f>
        <v>86</v>
      </c>
    </row>
    <row r="792" spans="1:39">
      <c r="A792" s="413">
        <f t="shared" si="333"/>
        <v>791</v>
      </c>
      <c r="B792" s="427" t="str">
        <f t="shared" si="314"/>
        <v>Sep 2015</v>
      </c>
      <c r="C792" s="428" t="str">
        <f t="shared" si="315"/>
        <v>LS</v>
      </c>
      <c r="D792" s="428" t="str">
        <f t="shared" si="316"/>
        <v>KUUM_499</v>
      </c>
      <c r="E792" s="425">
        <f t="shared" si="317"/>
        <v>19</v>
      </c>
      <c r="F792" s="429"/>
      <c r="G792" s="425">
        <f t="shared" si="318"/>
        <v>0</v>
      </c>
      <c r="H792" s="425">
        <v>0</v>
      </c>
      <c r="I792" s="415">
        <f t="shared" si="319"/>
        <v>21.490000000000002</v>
      </c>
      <c r="J792" s="415">
        <f t="shared" si="320"/>
        <v>4.5300000000000011</v>
      </c>
      <c r="K792" s="416">
        <f t="shared" si="335"/>
        <v>408.31</v>
      </c>
      <c r="L792" s="430"/>
      <c r="M792" s="430"/>
      <c r="N792" s="186">
        <f t="shared" si="313"/>
        <v>408.31</v>
      </c>
      <c r="O792" s="431">
        <f t="shared" si="321"/>
        <v>0</v>
      </c>
      <c r="P792" s="417">
        <f t="shared" si="336"/>
        <v>0</v>
      </c>
      <c r="Q792" s="186">
        <f t="shared" si="322"/>
        <v>0</v>
      </c>
      <c r="R792" s="186">
        <f t="shared" si="323"/>
        <v>0</v>
      </c>
      <c r="S792" s="186">
        <f t="shared" si="324"/>
        <v>0</v>
      </c>
      <c r="T792" s="186">
        <f t="shared" si="325"/>
        <v>0</v>
      </c>
      <c r="U792" s="186">
        <f t="shared" si="326"/>
        <v>0</v>
      </c>
      <c r="V792" s="418">
        <f t="shared" si="327"/>
        <v>408.31</v>
      </c>
      <c r="W792" s="418">
        <f t="shared" si="328"/>
        <v>-408.31</v>
      </c>
      <c r="X792" s="41"/>
      <c r="Y792" s="418">
        <f t="shared" si="331"/>
        <v>86.07</v>
      </c>
      <c r="Z792" s="418">
        <f t="shared" si="332"/>
        <v>-86.07</v>
      </c>
      <c r="AA792" s="11">
        <f t="shared" si="334"/>
        <v>0.79</v>
      </c>
      <c r="AB792" s="9">
        <f t="shared" si="337"/>
        <v>15.010000000000002</v>
      </c>
      <c r="AC792" s="41"/>
      <c r="AD792" s="427">
        <f>IF(AH792&gt;AH791,AD791,IF(AD791&lt;MiscData!$F$1,EOMONTH(AD791,1),EOMONTH(AD791,-11)))</f>
        <v>42277</v>
      </c>
      <c r="AE792" s="414" t="str">
        <f t="shared" si="329"/>
        <v>20140101KUUM_499</v>
      </c>
      <c r="AF792" s="466" t="str">
        <f t="shared" si="330"/>
        <v>20140101LS</v>
      </c>
      <c r="AG792" s="467"/>
      <c r="AH792" s="41">
        <f>IF(AH791=MiscData!$AB$91,1,AH791+1)</f>
        <v>87</v>
      </c>
      <c r="AI792" s="41">
        <f>IF(AD792&lt;=MiscData!$B$23,MiscData!$C$23,IF(AD792&lt;=MiscData!$B$24,MiscData!$C$24,MiscData!$C$25))</f>
        <v>20140101</v>
      </c>
      <c r="AJ792" s="41"/>
      <c r="AK792" s="468" t="str">
        <f>VLOOKUP(AM792,MiscData!$AB$4:$ACB$113,2,FALSE)</f>
        <v>KUUM_499</v>
      </c>
      <c r="AL792" s="468" t="str">
        <f>VLOOKUP(AM792,MiscData!$AB$4:$AE$115,4,FALSE)</f>
        <v>LS</v>
      </c>
      <c r="AM792" s="469">
        <f>IF(AM791=MiscData!$AB$91,1,AM791+1)</f>
        <v>87</v>
      </c>
    </row>
    <row r="793" spans="1:39">
      <c r="A793" s="413">
        <f t="shared" si="333"/>
        <v>792</v>
      </c>
      <c r="B793" s="427" t="str">
        <f t="shared" si="314"/>
        <v>Sep 2015</v>
      </c>
      <c r="C793" s="428" t="str">
        <f t="shared" si="315"/>
        <v>ODL</v>
      </c>
      <c r="D793" s="428" t="str">
        <f t="shared" si="316"/>
        <v>ODL</v>
      </c>
      <c r="E793" s="425">
        <f t="shared" si="317"/>
        <v>0</v>
      </c>
      <c r="F793" s="185"/>
      <c r="G793" s="425">
        <f t="shared" si="318"/>
        <v>8710078</v>
      </c>
      <c r="H793" s="170">
        <v>0</v>
      </c>
      <c r="I793" s="415">
        <f t="shared" si="319"/>
        <v>0</v>
      </c>
      <c r="J793" s="415">
        <f t="shared" si="320"/>
        <v>0</v>
      </c>
      <c r="K793" s="416">
        <f t="shared" si="335"/>
        <v>0</v>
      </c>
      <c r="L793" s="180"/>
      <c r="M793" s="180"/>
      <c r="N793" s="186">
        <f t="shared" si="313"/>
        <v>0</v>
      </c>
      <c r="O793" s="431">
        <f t="shared" si="321"/>
        <v>2038334</v>
      </c>
      <c r="P793" s="417">
        <f t="shared" si="336"/>
        <v>0</v>
      </c>
      <c r="Q793" s="186">
        <f t="shared" si="322"/>
        <v>3654</v>
      </c>
      <c r="R793" s="186">
        <f t="shared" si="323"/>
        <v>0</v>
      </c>
      <c r="S793" s="186">
        <f t="shared" si="324"/>
        <v>49611</v>
      </c>
      <c r="T793" s="186">
        <f t="shared" si="325"/>
        <v>0</v>
      </c>
      <c r="U793" s="186">
        <f t="shared" si="326"/>
        <v>2091599</v>
      </c>
      <c r="V793" s="418">
        <f t="shared" si="327"/>
        <v>53265</v>
      </c>
      <c r="W793" s="418">
        <f t="shared" si="328"/>
        <v>2038334</v>
      </c>
      <c r="X793" s="41"/>
      <c r="Y793" s="418">
        <f t="shared" si="331"/>
        <v>0</v>
      </c>
      <c r="Z793" s="418">
        <f t="shared" si="332"/>
        <v>2038334</v>
      </c>
      <c r="AA793" s="11">
        <f t="shared" si="334"/>
        <v>0</v>
      </c>
      <c r="AB793" s="9">
        <f t="shared" si="337"/>
        <v>0</v>
      </c>
      <c r="AC793" s="41"/>
      <c r="AD793" s="427">
        <f>IF(AH793&gt;AH792,AD792,IF(AD792&lt;MiscData!$F$1,EOMONTH(AD792,1),EOMONTH(AD792,-11)))</f>
        <v>42277</v>
      </c>
      <c r="AE793" s="414" t="str">
        <f t="shared" si="329"/>
        <v>20140101ODL</v>
      </c>
      <c r="AF793" s="466" t="str">
        <f t="shared" si="330"/>
        <v>20140101ODL</v>
      </c>
      <c r="AG793" s="467"/>
      <c r="AH793" s="41">
        <f>IF(AH792=MiscData!$AB$91,1,AH792+1)</f>
        <v>88</v>
      </c>
      <c r="AI793" s="41">
        <f>IF(AD793&lt;=MiscData!$B$23,MiscData!$C$23,IF(AD793&lt;=MiscData!$B$24,MiscData!$C$24,MiscData!$C$25))</f>
        <v>20140101</v>
      </c>
      <c r="AJ793" s="41"/>
      <c r="AK793" s="468" t="str">
        <f>VLOOKUP(AM793,MiscData!$AB$4:$ACB$113,2,FALSE)</f>
        <v>ODL</v>
      </c>
      <c r="AL793" s="468" t="str">
        <f>VLOOKUP(AM793,MiscData!$AB$4:$AE$115,4,FALSE)</f>
        <v>ODL</v>
      </c>
      <c r="AM793" s="469">
        <f>IF(AM792=MiscData!$AB$91,1,AM792+1)</f>
        <v>88</v>
      </c>
    </row>
    <row r="794" spans="1:39">
      <c r="A794" s="7">
        <f t="shared" si="333"/>
        <v>793</v>
      </c>
      <c r="B794" s="13" t="str">
        <f t="shared" si="314"/>
        <v>Oct 2015</v>
      </c>
      <c r="C794" s="23" t="str">
        <f t="shared" si="315"/>
        <v>LS</v>
      </c>
      <c r="D794" s="23" t="str">
        <f t="shared" si="316"/>
        <v>KUUM_300</v>
      </c>
      <c r="E794" s="170">
        <f t="shared" si="317"/>
        <v>0</v>
      </c>
      <c r="F794" s="185"/>
      <c r="G794" s="170">
        <f t="shared" si="318"/>
        <v>0</v>
      </c>
      <c r="H794" s="170">
        <v>0</v>
      </c>
      <c r="I794" s="11">
        <f t="shared" si="319"/>
        <v>22.49</v>
      </c>
      <c r="J794" s="11">
        <f t="shared" si="320"/>
        <v>0.58000000000000185</v>
      </c>
      <c r="K794" s="416">
        <f t="shared" si="335"/>
        <v>0</v>
      </c>
      <c r="L794" s="180"/>
      <c r="M794" s="180"/>
      <c r="N794" s="186">
        <f t="shared" si="313"/>
        <v>0</v>
      </c>
      <c r="O794" s="29">
        <f t="shared" si="321"/>
        <v>0</v>
      </c>
      <c r="P794" s="181">
        <f t="shared" si="336"/>
        <v>1</v>
      </c>
      <c r="Q794" s="182">
        <f t="shared" si="322"/>
        <v>0</v>
      </c>
      <c r="R794" s="182">
        <f t="shared" si="323"/>
        <v>0</v>
      </c>
      <c r="S794" s="182">
        <f t="shared" si="324"/>
        <v>0</v>
      </c>
      <c r="T794" s="182">
        <f t="shared" si="325"/>
        <v>0</v>
      </c>
      <c r="U794" s="182">
        <f t="shared" si="326"/>
        <v>0</v>
      </c>
      <c r="V794" s="14">
        <f t="shared" si="327"/>
        <v>0</v>
      </c>
      <c r="W794" s="14">
        <f t="shared" si="328"/>
        <v>0</v>
      </c>
      <c r="Y794" s="14">
        <f t="shared" si="331"/>
        <v>0</v>
      </c>
      <c r="Z794" s="14">
        <f t="shared" si="332"/>
        <v>0</v>
      </c>
      <c r="AA794" s="11">
        <f t="shared" si="334"/>
        <v>0.33</v>
      </c>
      <c r="AB794" s="9">
        <f t="shared" si="337"/>
        <v>0</v>
      </c>
      <c r="AD794" s="13">
        <f>IF(AH794&gt;AH793,AD793,IF(AD793&lt;MiscData!$F$1,EOMONTH(AD793,1),EOMONTH(AD793,-11)))</f>
        <v>42308</v>
      </c>
      <c r="AE794" s="7" t="str">
        <f t="shared" si="329"/>
        <v>20140101KUUM_300</v>
      </c>
      <c r="AF794" s="12" t="str">
        <f t="shared" si="330"/>
        <v>20140101LS</v>
      </c>
      <c r="AG794" s="31"/>
      <c r="AH794">
        <f>IF(AH793=MiscData!$AB$91,1,AH793+1)</f>
        <v>1</v>
      </c>
      <c r="AI794">
        <f>IF(AD794&lt;=MiscData!$B$23,MiscData!$C$23,IF(AD794&lt;=MiscData!$B$24,MiscData!$C$24,MiscData!$C$25))</f>
        <v>20140101</v>
      </c>
      <c r="AK794" s="190" t="str">
        <f>VLOOKUP(AM794,MiscData!$AB$4:$ACB$113,2,FALSE)</f>
        <v>KUUM_300</v>
      </c>
      <c r="AL794" s="190" t="str">
        <f>VLOOKUP(AM794,MiscData!$AB$4:$AE$115,4,FALSE)</f>
        <v>LS</v>
      </c>
      <c r="AM794">
        <f>IF(AM793=MiscData!$AB$91,1,AM793+1)</f>
        <v>1</v>
      </c>
    </row>
    <row r="795" spans="1:39">
      <c r="A795" s="7">
        <f t="shared" si="333"/>
        <v>794</v>
      </c>
      <c r="B795" s="13" t="str">
        <f t="shared" si="314"/>
        <v>Oct 2015</v>
      </c>
      <c r="C795" s="23" t="str">
        <f t="shared" si="315"/>
        <v>LS</v>
      </c>
      <c r="D795" s="23" t="str">
        <f t="shared" si="316"/>
        <v>KUUM_301</v>
      </c>
      <c r="E795" s="170">
        <f t="shared" si="317"/>
        <v>0</v>
      </c>
      <c r="F795" s="185"/>
      <c r="G795" s="170">
        <f t="shared" si="318"/>
        <v>0</v>
      </c>
      <c r="H795" s="170">
        <v>0</v>
      </c>
      <c r="I795" s="11">
        <f t="shared" si="319"/>
        <v>23.5</v>
      </c>
      <c r="J795" s="11">
        <f t="shared" si="320"/>
        <v>1.129999999999999</v>
      </c>
      <c r="K795" s="416">
        <f t="shared" si="335"/>
        <v>0</v>
      </c>
      <c r="L795" s="180"/>
      <c r="M795" s="180"/>
      <c r="N795" s="186">
        <f t="shared" si="313"/>
        <v>0</v>
      </c>
      <c r="O795" s="29">
        <f t="shared" si="321"/>
        <v>0</v>
      </c>
      <c r="P795" s="181">
        <f t="shared" si="336"/>
        <v>1</v>
      </c>
      <c r="Q795" s="182">
        <f t="shared" si="322"/>
        <v>0</v>
      </c>
      <c r="R795" s="182">
        <f t="shared" si="323"/>
        <v>0</v>
      </c>
      <c r="S795" s="182">
        <f t="shared" si="324"/>
        <v>0</v>
      </c>
      <c r="T795" s="182">
        <f t="shared" si="325"/>
        <v>0</v>
      </c>
      <c r="U795" s="182">
        <f t="shared" si="326"/>
        <v>0</v>
      </c>
      <c r="V795" s="14">
        <f t="shared" si="327"/>
        <v>0</v>
      </c>
      <c r="W795" s="14">
        <f t="shared" si="328"/>
        <v>0</v>
      </c>
      <c r="Y795" s="14">
        <f t="shared" si="331"/>
        <v>0</v>
      </c>
      <c r="Z795" s="14">
        <f t="shared" si="332"/>
        <v>0</v>
      </c>
      <c r="AA795" s="11">
        <f t="shared" si="334"/>
        <v>0.34</v>
      </c>
      <c r="AB795" s="9">
        <f t="shared" si="337"/>
        <v>0</v>
      </c>
      <c r="AD795" s="13">
        <f>IF(AH795&gt;AH794,AD794,IF(AD794&lt;MiscData!$F$1,EOMONTH(AD794,1),EOMONTH(AD794,-11)))</f>
        <v>42308</v>
      </c>
      <c r="AE795" s="7" t="str">
        <f t="shared" si="329"/>
        <v>20140101KUUM_301</v>
      </c>
      <c r="AF795" s="12" t="str">
        <f t="shared" si="330"/>
        <v>20140101LS</v>
      </c>
      <c r="AG795" s="31"/>
      <c r="AH795">
        <f>IF(AH794=MiscData!$AB$91,1,AH794+1)</f>
        <v>2</v>
      </c>
      <c r="AI795">
        <f>IF(AD795&lt;=MiscData!$B$23,MiscData!$C$23,IF(AD795&lt;=MiscData!$B$24,MiscData!$C$24,MiscData!$C$25))</f>
        <v>20140101</v>
      </c>
      <c r="AK795" s="190" t="str">
        <f>VLOOKUP(AM795,MiscData!$AB$4:$ACB$113,2,FALSE)</f>
        <v>KUUM_301</v>
      </c>
      <c r="AL795" s="190" t="str">
        <f>VLOOKUP(AM795,MiscData!$AB$4:$AE$115,4,FALSE)</f>
        <v>LS</v>
      </c>
      <c r="AM795">
        <f>IF(AM794=MiscData!$AB$91,1,AM794+1)</f>
        <v>2</v>
      </c>
    </row>
    <row r="796" spans="1:39">
      <c r="A796" s="7">
        <f t="shared" si="333"/>
        <v>795</v>
      </c>
      <c r="B796" s="13" t="str">
        <f t="shared" si="314"/>
        <v>Oct 2015</v>
      </c>
      <c r="C796" s="23" t="str">
        <f t="shared" si="315"/>
        <v>LS</v>
      </c>
      <c r="D796" s="23" t="str">
        <f t="shared" si="316"/>
        <v>KUUM_360</v>
      </c>
      <c r="E796" s="170">
        <f t="shared" si="317"/>
        <v>172</v>
      </c>
      <c r="F796" s="185"/>
      <c r="G796" s="170">
        <f t="shared" si="318"/>
        <v>0</v>
      </c>
      <c r="H796" s="170">
        <v>0</v>
      </c>
      <c r="I796" s="11">
        <f t="shared" si="319"/>
        <v>55.33</v>
      </c>
      <c r="J796" s="11">
        <f t="shared" si="320"/>
        <v>1.75</v>
      </c>
      <c r="K796" s="416">
        <f t="shared" si="335"/>
        <v>9516.76</v>
      </c>
      <c r="L796" s="180"/>
      <c r="M796" s="180"/>
      <c r="N796" s="186">
        <f t="shared" si="313"/>
        <v>9516.76</v>
      </c>
      <c r="O796" s="29">
        <f t="shared" si="321"/>
        <v>0</v>
      </c>
      <c r="P796" s="181">
        <f t="shared" si="336"/>
        <v>0</v>
      </c>
      <c r="Q796" s="182">
        <f t="shared" si="322"/>
        <v>0</v>
      </c>
      <c r="R796" s="182">
        <f t="shared" si="323"/>
        <v>0</v>
      </c>
      <c r="S796" s="182">
        <f t="shared" si="324"/>
        <v>0</v>
      </c>
      <c r="T796" s="182">
        <f t="shared" si="325"/>
        <v>0</v>
      </c>
      <c r="U796" s="182">
        <f t="shared" si="326"/>
        <v>0</v>
      </c>
      <c r="V796" s="14">
        <f t="shared" si="327"/>
        <v>9516.76</v>
      </c>
      <c r="W796" s="14">
        <f t="shared" si="328"/>
        <v>-9516.76</v>
      </c>
      <c r="Y796" s="14">
        <f t="shared" si="331"/>
        <v>301</v>
      </c>
      <c r="Z796" s="14">
        <f t="shared" si="332"/>
        <v>-301</v>
      </c>
      <c r="AA796" s="11">
        <f t="shared" si="334"/>
        <v>2.41</v>
      </c>
      <c r="AB796" s="9">
        <f t="shared" si="337"/>
        <v>414.52000000000004</v>
      </c>
      <c r="AD796" s="13">
        <f>IF(AH796&gt;AH795,AD795,IF(AD795&lt;MiscData!$F$1,EOMONTH(AD795,1),EOMONTH(AD795,-11)))</f>
        <v>42308</v>
      </c>
      <c r="AE796" s="7" t="str">
        <f t="shared" si="329"/>
        <v>20140101KUUM_360</v>
      </c>
      <c r="AF796" s="12" t="str">
        <f t="shared" si="330"/>
        <v>20140101LS</v>
      </c>
      <c r="AG796" s="31"/>
      <c r="AH796">
        <f>IF(AH795=MiscData!$AB$91,1,AH795+1)</f>
        <v>3</v>
      </c>
      <c r="AI796">
        <f>IF(AD796&lt;=MiscData!$B$23,MiscData!$C$23,IF(AD796&lt;=MiscData!$B$24,MiscData!$C$24,MiscData!$C$25))</f>
        <v>20140101</v>
      </c>
      <c r="AK796" s="190" t="str">
        <f>VLOOKUP(AM796,MiscData!$AB$4:$ACB$113,2,FALSE)</f>
        <v>KUUM_360</v>
      </c>
      <c r="AL796" s="190" t="str">
        <f>VLOOKUP(AM796,MiscData!$AB$4:$AE$115,4,FALSE)</f>
        <v>LS</v>
      </c>
      <c r="AM796">
        <f>IF(AM795=MiscData!$AB$91,1,AM795+1)</f>
        <v>3</v>
      </c>
    </row>
    <row r="797" spans="1:39">
      <c r="A797" s="7">
        <f t="shared" si="333"/>
        <v>796</v>
      </c>
      <c r="B797" s="13" t="str">
        <f t="shared" si="314"/>
        <v>Oct 2015</v>
      </c>
      <c r="C797" s="23" t="str">
        <f t="shared" si="315"/>
        <v>LS</v>
      </c>
      <c r="D797" s="23" t="str">
        <f t="shared" si="316"/>
        <v>KUUM_361</v>
      </c>
      <c r="E797" s="170">
        <f t="shared" si="317"/>
        <v>26</v>
      </c>
      <c r="F797" s="185"/>
      <c r="G797" s="170">
        <f t="shared" si="318"/>
        <v>0</v>
      </c>
      <c r="H797" s="170">
        <v>0</v>
      </c>
      <c r="I797" s="11">
        <f t="shared" si="319"/>
        <v>83.16</v>
      </c>
      <c r="J797" s="11">
        <f t="shared" si="320"/>
        <v>1.75</v>
      </c>
      <c r="K797" s="416">
        <f t="shared" si="335"/>
        <v>2162.16</v>
      </c>
      <c r="L797" s="180"/>
      <c r="M797" s="180"/>
      <c r="N797" s="186">
        <f t="shared" si="313"/>
        <v>2162.16</v>
      </c>
      <c r="O797" s="29">
        <f t="shared" si="321"/>
        <v>0</v>
      </c>
      <c r="P797" s="181">
        <f t="shared" si="336"/>
        <v>0</v>
      </c>
      <c r="Q797" s="182">
        <f t="shared" si="322"/>
        <v>0</v>
      </c>
      <c r="R797" s="182">
        <f t="shared" si="323"/>
        <v>0</v>
      </c>
      <c r="S797" s="182">
        <f t="shared" si="324"/>
        <v>0</v>
      </c>
      <c r="T797" s="182">
        <f t="shared" si="325"/>
        <v>0</v>
      </c>
      <c r="U797" s="182">
        <f t="shared" si="326"/>
        <v>0</v>
      </c>
      <c r="V797" s="14">
        <f t="shared" si="327"/>
        <v>2162.16</v>
      </c>
      <c r="W797" s="14">
        <f t="shared" si="328"/>
        <v>-2162.16</v>
      </c>
      <c r="Y797" s="14">
        <f t="shared" si="331"/>
        <v>45.5</v>
      </c>
      <c r="Z797" s="14">
        <f t="shared" si="332"/>
        <v>-45.5</v>
      </c>
      <c r="AA797" s="11">
        <f t="shared" si="334"/>
        <v>2.41</v>
      </c>
      <c r="AB797" s="9">
        <f t="shared" si="337"/>
        <v>62.660000000000004</v>
      </c>
      <c r="AD797" s="13">
        <f>IF(AH797&gt;AH796,AD796,IF(AD796&lt;MiscData!$F$1,EOMONTH(AD796,1),EOMONTH(AD796,-11)))</f>
        <v>42308</v>
      </c>
      <c r="AE797" s="7" t="str">
        <f t="shared" si="329"/>
        <v>20140101KUUM_361</v>
      </c>
      <c r="AF797" s="12" t="str">
        <f t="shared" si="330"/>
        <v>20140101LS</v>
      </c>
      <c r="AG797" s="31"/>
      <c r="AH797">
        <f>IF(AH796=MiscData!$AB$91,1,AH796+1)</f>
        <v>4</v>
      </c>
      <c r="AI797">
        <f>IF(AD797&lt;=MiscData!$B$23,MiscData!$C$23,IF(AD797&lt;=MiscData!$B$24,MiscData!$C$24,MiscData!$C$25))</f>
        <v>20140101</v>
      </c>
      <c r="AK797" s="190" t="str">
        <f>VLOOKUP(AM797,MiscData!$AB$4:$ACB$113,2,FALSE)</f>
        <v>KUUM_361</v>
      </c>
      <c r="AL797" s="190" t="str">
        <f>VLOOKUP(AM797,MiscData!$AB$4:$AE$115,4,FALSE)</f>
        <v>LS</v>
      </c>
      <c r="AM797">
        <f>IF(AM796=MiscData!$AB$91,1,AM796+1)</f>
        <v>4</v>
      </c>
    </row>
    <row r="798" spans="1:39">
      <c r="A798" s="7">
        <f t="shared" si="333"/>
        <v>797</v>
      </c>
      <c r="B798" s="13" t="str">
        <f t="shared" si="314"/>
        <v>Oct 2015</v>
      </c>
      <c r="C798" s="23" t="str">
        <f t="shared" si="315"/>
        <v>LS</v>
      </c>
      <c r="D798" s="23" t="str">
        <f t="shared" si="316"/>
        <v>KUUM_362</v>
      </c>
      <c r="E798" s="170">
        <f t="shared" si="317"/>
        <v>44</v>
      </c>
      <c r="F798" s="185"/>
      <c r="G798" s="170">
        <f t="shared" si="318"/>
        <v>0</v>
      </c>
      <c r="H798" s="170">
        <v>0</v>
      </c>
      <c r="I798" s="11">
        <f t="shared" si="319"/>
        <v>59.78</v>
      </c>
      <c r="J798" s="11">
        <f t="shared" si="320"/>
        <v>1.75</v>
      </c>
      <c r="K798" s="416">
        <f t="shared" si="335"/>
        <v>2630.32</v>
      </c>
      <c r="L798" s="180"/>
      <c r="M798" s="180"/>
      <c r="N798" s="186">
        <f t="shared" si="313"/>
        <v>2630.32</v>
      </c>
      <c r="O798" s="29">
        <f t="shared" si="321"/>
        <v>0</v>
      </c>
      <c r="P798" s="181">
        <f t="shared" si="336"/>
        <v>0</v>
      </c>
      <c r="Q798" s="182">
        <f t="shared" si="322"/>
        <v>0</v>
      </c>
      <c r="R798" s="182">
        <f t="shared" si="323"/>
        <v>0</v>
      </c>
      <c r="S798" s="182">
        <f t="shared" si="324"/>
        <v>0</v>
      </c>
      <c r="T798" s="182">
        <f t="shared" si="325"/>
        <v>0</v>
      </c>
      <c r="U798" s="182">
        <f t="shared" si="326"/>
        <v>0</v>
      </c>
      <c r="V798" s="14">
        <f t="shared" si="327"/>
        <v>2630.32</v>
      </c>
      <c r="W798" s="14">
        <f t="shared" si="328"/>
        <v>-2630.32</v>
      </c>
      <c r="Y798" s="14">
        <f t="shared" si="331"/>
        <v>77</v>
      </c>
      <c r="Z798" s="14">
        <f t="shared" si="332"/>
        <v>-77</v>
      </c>
      <c r="AA798" s="11">
        <f t="shared" si="334"/>
        <v>2.41</v>
      </c>
      <c r="AB798" s="9">
        <f t="shared" si="337"/>
        <v>106.04</v>
      </c>
      <c r="AD798" s="13">
        <f>IF(AH798&gt;AH797,AD797,IF(AD797&lt;MiscData!$F$1,EOMONTH(AD797,1),EOMONTH(AD797,-11)))</f>
        <v>42308</v>
      </c>
      <c r="AE798" s="7" t="str">
        <f t="shared" si="329"/>
        <v>20140101KUUM_362</v>
      </c>
      <c r="AF798" s="12" t="str">
        <f t="shared" si="330"/>
        <v>20140101LS</v>
      </c>
      <c r="AG798" s="31"/>
      <c r="AH798">
        <f>IF(AH797=MiscData!$AB$91,1,AH797+1)</f>
        <v>5</v>
      </c>
      <c r="AI798">
        <f>IF(AD798&lt;=MiscData!$B$23,MiscData!$C$23,IF(AD798&lt;=MiscData!$B$24,MiscData!$C$24,MiscData!$C$25))</f>
        <v>20140101</v>
      </c>
      <c r="AK798" s="190" t="str">
        <f>VLOOKUP(AM798,MiscData!$AB$4:$ACB$113,2,FALSE)</f>
        <v>KUUM_362</v>
      </c>
      <c r="AL798" s="190" t="str">
        <f>VLOOKUP(AM798,MiscData!$AB$4:$AE$115,4,FALSE)</f>
        <v>LS</v>
      </c>
      <c r="AM798">
        <f>IF(AM797=MiscData!$AB$91,1,AM797+1)</f>
        <v>5</v>
      </c>
    </row>
    <row r="799" spans="1:39">
      <c r="A799" s="7">
        <f t="shared" si="333"/>
        <v>798</v>
      </c>
      <c r="B799" s="13" t="str">
        <f t="shared" si="314"/>
        <v>Oct 2015</v>
      </c>
      <c r="C799" s="23" t="str">
        <f t="shared" si="315"/>
        <v>LS</v>
      </c>
      <c r="D799" s="23" t="str">
        <f t="shared" si="316"/>
        <v>KUUM_363</v>
      </c>
      <c r="E799" s="170">
        <f t="shared" si="317"/>
        <v>5</v>
      </c>
      <c r="F799" s="185"/>
      <c r="G799" s="170">
        <f t="shared" si="318"/>
        <v>0</v>
      </c>
      <c r="H799" s="170">
        <v>0</v>
      </c>
      <c r="I799" s="11">
        <f t="shared" si="319"/>
        <v>61.75</v>
      </c>
      <c r="J799" s="11">
        <f t="shared" si="320"/>
        <v>1.75</v>
      </c>
      <c r="K799" s="416">
        <f t="shared" si="335"/>
        <v>308.75</v>
      </c>
      <c r="L799" s="180"/>
      <c r="M799" s="180"/>
      <c r="N799" s="186">
        <f t="shared" si="313"/>
        <v>308.75</v>
      </c>
      <c r="O799" s="29">
        <f t="shared" si="321"/>
        <v>0</v>
      </c>
      <c r="P799" s="181">
        <f t="shared" si="336"/>
        <v>0</v>
      </c>
      <c r="Q799" s="182">
        <f t="shared" si="322"/>
        <v>0</v>
      </c>
      <c r="R799" s="182">
        <f t="shared" si="323"/>
        <v>0</v>
      </c>
      <c r="S799" s="182">
        <f t="shared" si="324"/>
        <v>0</v>
      </c>
      <c r="T799" s="182">
        <f t="shared" si="325"/>
        <v>0</v>
      </c>
      <c r="U799" s="182">
        <f t="shared" si="326"/>
        <v>0</v>
      </c>
      <c r="V799" s="14">
        <f t="shared" si="327"/>
        <v>308.75</v>
      </c>
      <c r="W799" s="14">
        <f t="shared" si="328"/>
        <v>-308.75</v>
      </c>
      <c r="Y799" s="14">
        <f t="shared" si="331"/>
        <v>8.75</v>
      </c>
      <c r="Z799" s="14">
        <f t="shared" si="332"/>
        <v>-8.75</v>
      </c>
      <c r="AA799" s="11">
        <f t="shared" si="334"/>
        <v>2.41</v>
      </c>
      <c r="AB799" s="9">
        <f t="shared" si="337"/>
        <v>12.05</v>
      </c>
      <c r="AD799" s="13">
        <f>IF(AH799&gt;AH798,AD798,IF(AD798&lt;MiscData!$F$1,EOMONTH(AD798,1),EOMONTH(AD798,-11)))</f>
        <v>42308</v>
      </c>
      <c r="AE799" s="7" t="str">
        <f t="shared" si="329"/>
        <v>20140101KUUM_363</v>
      </c>
      <c r="AF799" s="12" t="str">
        <f t="shared" si="330"/>
        <v>20140101LS</v>
      </c>
      <c r="AG799" s="31"/>
      <c r="AH799">
        <f>IF(AH798=MiscData!$AB$91,1,AH798+1)</f>
        <v>6</v>
      </c>
      <c r="AI799">
        <f>IF(AD799&lt;=MiscData!$B$23,MiscData!$C$23,IF(AD799&lt;=MiscData!$B$24,MiscData!$C$24,MiscData!$C$25))</f>
        <v>20140101</v>
      </c>
      <c r="AK799" s="190" t="str">
        <f>VLOOKUP(AM799,MiscData!$AB$4:$ACB$113,2,FALSE)</f>
        <v>KUUM_363</v>
      </c>
      <c r="AL799" s="190" t="str">
        <f>VLOOKUP(AM799,MiscData!$AB$4:$AE$115,4,FALSE)</f>
        <v>LS</v>
      </c>
      <c r="AM799">
        <f>IF(AM798=MiscData!$AB$91,1,AM798+1)</f>
        <v>6</v>
      </c>
    </row>
    <row r="800" spans="1:39">
      <c r="A800" s="7">
        <f t="shared" si="333"/>
        <v>799</v>
      </c>
      <c r="B800" s="13" t="str">
        <f t="shared" si="314"/>
        <v>Oct 2015</v>
      </c>
      <c r="C800" s="23" t="str">
        <f t="shared" si="315"/>
        <v>LS</v>
      </c>
      <c r="D800" s="23" t="str">
        <f t="shared" si="316"/>
        <v>KUUM_364</v>
      </c>
      <c r="E800" s="170">
        <f t="shared" si="317"/>
        <v>1</v>
      </c>
      <c r="F800" s="185"/>
      <c r="G800" s="170">
        <f t="shared" si="318"/>
        <v>0</v>
      </c>
      <c r="H800" s="170">
        <v>0</v>
      </c>
      <c r="I800" s="11">
        <f t="shared" si="319"/>
        <v>63.11</v>
      </c>
      <c r="J800" s="11">
        <f t="shared" si="320"/>
        <v>1.75</v>
      </c>
      <c r="K800" s="416">
        <f t="shared" si="335"/>
        <v>63.11</v>
      </c>
      <c r="L800" s="180"/>
      <c r="M800" s="180"/>
      <c r="N800" s="186">
        <f t="shared" si="313"/>
        <v>63.11</v>
      </c>
      <c r="O800" s="29">
        <f t="shared" si="321"/>
        <v>0</v>
      </c>
      <c r="P800" s="181">
        <f t="shared" si="336"/>
        <v>0</v>
      </c>
      <c r="Q800" s="182">
        <f t="shared" si="322"/>
        <v>0</v>
      </c>
      <c r="R800" s="182">
        <f t="shared" si="323"/>
        <v>0</v>
      </c>
      <c r="S800" s="182">
        <f t="shared" si="324"/>
        <v>0</v>
      </c>
      <c r="T800" s="182">
        <f t="shared" si="325"/>
        <v>0</v>
      </c>
      <c r="U800" s="182">
        <f t="shared" si="326"/>
        <v>0</v>
      </c>
      <c r="V800" s="14">
        <f t="shared" si="327"/>
        <v>63.11</v>
      </c>
      <c r="W800" s="14">
        <f t="shared" si="328"/>
        <v>-63.11</v>
      </c>
      <c r="Y800" s="14">
        <f t="shared" si="331"/>
        <v>1.75</v>
      </c>
      <c r="Z800" s="14">
        <f t="shared" si="332"/>
        <v>-1.75</v>
      </c>
      <c r="AA800" s="11">
        <f t="shared" si="334"/>
        <v>2.41</v>
      </c>
      <c r="AB800" s="9">
        <f t="shared" si="337"/>
        <v>2.41</v>
      </c>
      <c r="AD800" s="13">
        <f>IF(AH800&gt;AH799,AD799,IF(AD799&lt;MiscData!$F$1,EOMONTH(AD799,1),EOMONTH(AD799,-11)))</f>
        <v>42308</v>
      </c>
      <c r="AE800" s="7" t="str">
        <f t="shared" si="329"/>
        <v>20140101KUUM_364</v>
      </c>
      <c r="AF800" s="12" t="str">
        <f t="shared" si="330"/>
        <v>20140101LS</v>
      </c>
      <c r="AG800" s="31"/>
      <c r="AH800">
        <f>IF(AH799=MiscData!$AB$91,1,AH799+1)</f>
        <v>7</v>
      </c>
      <c r="AI800">
        <f>IF(AD800&lt;=MiscData!$B$23,MiscData!$C$23,IF(AD800&lt;=MiscData!$B$24,MiscData!$C$24,MiscData!$C$25))</f>
        <v>20140101</v>
      </c>
      <c r="AK800" s="190" t="str">
        <f>VLOOKUP(AM800,MiscData!$AB$4:$ACB$113,2,FALSE)</f>
        <v>KUUM_364</v>
      </c>
      <c r="AL800" s="190" t="str">
        <f>VLOOKUP(AM800,MiscData!$AB$4:$AE$115,4,FALSE)</f>
        <v>LS</v>
      </c>
      <c r="AM800">
        <f>IF(AM799=MiscData!$AB$91,1,AM799+1)</f>
        <v>7</v>
      </c>
    </row>
    <row r="801" spans="1:39">
      <c r="A801" s="7">
        <f t="shared" si="333"/>
        <v>800</v>
      </c>
      <c r="B801" s="13" t="str">
        <f t="shared" si="314"/>
        <v>Oct 2015</v>
      </c>
      <c r="C801" s="23" t="str">
        <f t="shared" si="315"/>
        <v>LS</v>
      </c>
      <c r="D801" s="23" t="str">
        <f t="shared" si="316"/>
        <v>KUUM_365</v>
      </c>
      <c r="E801" s="170">
        <f t="shared" si="317"/>
        <v>5</v>
      </c>
      <c r="F801" s="185"/>
      <c r="G801" s="170">
        <f t="shared" si="318"/>
        <v>0</v>
      </c>
      <c r="H801" s="170">
        <v>0</v>
      </c>
      <c r="I801" s="11">
        <f t="shared" si="319"/>
        <v>80.94</v>
      </c>
      <c r="J801" s="11">
        <f t="shared" si="320"/>
        <v>1.75</v>
      </c>
      <c r="K801" s="416">
        <f t="shared" si="335"/>
        <v>404.7</v>
      </c>
      <c r="L801" s="180"/>
      <c r="M801" s="180"/>
      <c r="N801" s="186">
        <f t="shared" si="313"/>
        <v>404.7</v>
      </c>
      <c r="O801" s="29">
        <f t="shared" si="321"/>
        <v>0</v>
      </c>
      <c r="P801" s="181">
        <f t="shared" si="336"/>
        <v>0</v>
      </c>
      <c r="Q801" s="182">
        <f t="shared" si="322"/>
        <v>0</v>
      </c>
      <c r="R801" s="182">
        <f t="shared" si="323"/>
        <v>0</v>
      </c>
      <c r="S801" s="182">
        <f t="shared" si="324"/>
        <v>0</v>
      </c>
      <c r="T801" s="182">
        <f t="shared" si="325"/>
        <v>0</v>
      </c>
      <c r="U801" s="182">
        <f t="shared" si="326"/>
        <v>0</v>
      </c>
      <c r="V801" s="14">
        <f t="shared" si="327"/>
        <v>404.7</v>
      </c>
      <c r="W801" s="14">
        <f t="shared" si="328"/>
        <v>-404.7</v>
      </c>
      <c r="Y801" s="14">
        <f t="shared" si="331"/>
        <v>8.75</v>
      </c>
      <c r="Z801" s="14">
        <f t="shared" si="332"/>
        <v>-8.75</v>
      </c>
      <c r="AA801" s="11">
        <f t="shared" si="334"/>
        <v>2.41</v>
      </c>
      <c r="AB801" s="9">
        <f t="shared" si="337"/>
        <v>12.05</v>
      </c>
      <c r="AD801" s="13">
        <f>IF(AH801&gt;AH800,AD800,IF(AD800&lt;MiscData!$F$1,EOMONTH(AD800,1),EOMONTH(AD800,-11)))</f>
        <v>42308</v>
      </c>
      <c r="AE801" s="7" t="str">
        <f t="shared" si="329"/>
        <v>20140101KUUM_365</v>
      </c>
      <c r="AF801" s="12" t="str">
        <f t="shared" si="330"/>
        <v>20140101LS</v>
      </c>
      <c r="AG801" s="31"/>
      <c r="AH801">
        <f>IF(AH800=MiscData!$AB$91,1,AH800+1)</f>
        <v>8</v>
      </c>
      <c r="AI801">
        <f>IF(AD801&lt;=MiscData!$B$23,MiscData!$C$23,IF(AD801&lt;=MiscData!$B$24,MiscData!$C$24,MiscData!$C$25))</f>
        <v>20140101</v>
      </c>
      <c r="AK801" s="190" t="str">
        <f>VLOOKUP(AM801,MiscData!$AB$4:$ACB$113,2,FALSE)</f>
        <v>KUUM_365</v>
      </c>
      <c r="AL801" s="190" t="str">
        <f>VLOOKUP(AM801,MiscData!$AB$4:$AE$115,4,FALSE)</f>
        <v>LS</v>
      </c>
      <c r="AM801">
        <f>IF(AM800=MiscData!$AB$91,1,AM800+1)</f>
        <v>8</v>
      </c>
    </row>
    <row r="802" spans="1:39">
      <c r="A802" s="7">
        <f t="shared" si="333"/>
        <v>801</v>
      </c>
      <c r="B802" s="13" t="str">
        <f t="shared" si="314"/>
        <v>Oct 2015</v>
      </c>
      <c r="C802" s="23" t="str">
        <f t="shared" si="315"/>
        <v>LS</v>
      </c>
      <c r="D802" s="23" t="str">
        <f t="shared" si="316"/>
        <v>KUUM_366</v>
      </c>
      <c r="E802" s="170">
        <f t="shared" si="317"/>
        <v>10</v>
      </c>
      <c r="F802" s="185"/>
      <c r="G802" s="170">
        <f t="shared" si="318"/>
        <v>0</v>
      </c>
      <c r="H802" s="170">
        <v>0</v>
      </c>
      <c r="I802" s="11">
        <f t="shared" si="319"/>
        <v>78.97</v>
      </c>
      <c r="J802" s="11">
        <f t="shared" si="320"/>
        <v>1.75</v>
      </c>
      <c r="K802" s="416">
        <f t="shared" si="335"/>
        <v>789.7</v>
      </c>
      <c r="L802" s="180"/>
      <c r="M802" s="180"/>
      <c r="N802" s="186">
        <f t="shared" si="313"/>
        <v>789.7</v>
      </c>
      <c r="O802" s="29">
        <f t="shared" si="321"/>
        <v>0</v>
      </c>
      <c r="P802" s="181">
        <f t="shared" si="336"/>
        <v>0</v>
      </c>
      <c r="Q802" s="182">
        <f t="shared" si="322"/>
        <v>0</v>
      </c>
      <c r="R802" s="182">
        <f t="shared" si="323"/>
        <v>0</v>
      </c>
      <c r="S802" s="182">
        <f t="shared" si="324"/>
        <v>0</v>
      </c>
      <c r="T802" s="182">
        <f t="shared" si="325"/>
        <v>0</v>
      </c>
      <c r="U802" s="182">
        <f t="shared" si="326"/>
        <v>0</v>
      </c>
      <c r="V802" s="14">
        <f t="shared" si="327"/>
        <v>789.7</v>
      </c>
      <c r="W802" s="14">
        <f t="shared" si="328"/>
        <v>-789.7</v>
      </c>
      <c r="Y802" s="14">
        <f t="shared" si="331"/>
        <v>17.5</v>
      </c>
      <c r="Z802" s="14">
        <f t="shared" si="332"/>
        <v>-17.5</v>
      </c>
      <c r="AA802" s="11">
        <f t="shared" si="334"/>
        <v>2.41</v>
      </c>
      <c r="AB802" s="9">
        <f t="shared" si="337"/>
        <v>24.1</v>
      </c>
      <c r="AD802" s="13">
        <f>IF(AH802&gt;AH801,AD801,IF(AD801&lt;MiscData!$F$1,EOMONTH(AD801,1),EOMONTH(AD801,-11)))</f>
        <v>42308</v>
      </c>
      <c r="AE802" s="7" t="str">
        <f t="shared" si="329"/>
        <v>20140101KUUM_366</v>
      </c>
      <c r="AF802" s="12" t="str">
        <f t="shared" si="330"/>
        <v>20140101LS</v>
      </c>
      <c r="AG802" s="31"/>
      <c r="AH802">
        <f>IF(AH801=MiscData!$AB$91,1,AH801+1)</f>
        <v>9</v>
      </c>
      <c r="AI802">
        <f>IF(AD802&lt;=MiscData!$B$23,MiscData!$C$23,IF(AD802&lt;=MiscData!$B$24,MiscData!$C$24,MiscData!$C$25))</f>
        <v>20140101</v>
      </c>
      <c r="AK802" s="190" t="str">
        <f>VLOOKUP(AM802,MiscData!$AB$4:$ACB$113,2,FALSE)</f>
        <v>KUUM_366</v>
      </c>
      <c r="AL802" s="190" t="str">
        <f>VLOOKUP(AM802,MiscData!$AB$4:$AE$115,4,FALSE)</f>
        <v>LS</v>
      </c>
      <c r="AM802">
        <f>IF(AM801=MiscData!$AB$91,1,AM801+1)</f>
        <v>9</v>
      </c>
    </row>
    <row r="803" spans="1:39">
      <c r="A803" s="7">
        <f t="shared" si="333"/>
        <v>802</v>
      </c>
      <c r="B803" s="13" t="str">
        <f t="shared" si="314"/>
        <v>Oct 2015</v>
      </c>
      <c r="C803" s="23" t="str">
        <f t="shared" si="315"/>
        <v>LS</v>
      </c>
      <c r="D803" s="23" t="str">
        <f t="shared" si="316"/>
        <v>KUUM_367</v>
      </c>
      <c r="E803" s="170">
        <f t="shared" si="317"/>
        <v>24</v>
      </c>
      <c r="F803" s="185"/>
      <c r="G803" s="170">
        <f t="shared" si="318"/>
        <v>0</v>
      </c>
      <c r="H803" s="170">
        <v>0</v>
      </c>
      <c r="I803" s="11">
        <f t="shared" si="319"/>
        <v>61.230000000000004</v>
      </c>
      <c r="J803" s="11">
        <f t="shared" si="320"/>
        <v>1.75</v>
      </c>
      <c r="K803" s="416">
        <f t="shared" si="335"/>
        <v>1469.52</v>
      </c>
      <c r="L803" s="180"/>
      <c r="M803" s="180"/>
      <c r="N803" s="186">
        <f t="shared" si="313"/>
        <v>1469.52</v>
      </c>
      <c r="O803" s="29">
        <f t="shared" si="321"/>
        <v>0</v>
      </c>
      <c r="P803" s="181">
        <f t="shared" si="336"/>
        <v>0</v>
      </c>
      <c r="Q803" s="182">
        <f t="shared" si="322"/>
        <v>0</v>
      </c>
      <c r="R803" s="182">
        <f t="shared" si="323"/>
        <v>0</v>
      </c>
      <c r="S803" s="182">
        <f t="shared" si="324"/>
        <v>0</v>
      </c>
      <c r="T803" s="182">
        <f t="shared" si="325"/>
        <v>0</v>
      </c>
      <c r="U803" s="182">
        <f t="shared" si="326"/>
        <v>0</v>
      </c>
      <c r="V803" s="14">
        <f t="shared" si="327"/>
        <v>1469.52</v>
      </c>
      <c r="W803" s="14">
        <f t="shared" si="328"/>
        <v>-1469.52</v>
      </c>
      <c r="Y803" s="14">
        <f t="shared" si="331"/>
        <v>42</v>
      </c>
      <c r="Z803" s="14">
        <f t="shared" si="332"/>
        <v>-42</v>
      </c>
      <c r="AA803" s="11">
        <f t="shared" si="334"/>
        <v>2.41</v>
      </c>
      <c r="AB803" s="9">
        <f t="shared" si="337"/>
        <v>57.84</v>
      </c>
      <c r="AD803" s="13">
        <f>IF(AH803&gt;AH802,AD802,IF(AD802&lt;MiscData!$F$1,EOMONTH(AD802,1),EOMONTH(AD802,-11)))</f>
        <v>42308</v>
      </c>
      <c r="AE803" s="7" t="str">
        <f t="shared" si="329"/>
        <v>20140101KUUM_367</v>
      </c>
      <c r="AF803" s="12" t="str">
        <f t="shared" si="330"/>
        <v>20140101LS</v>
      </c>
      <c r="AG803" s="31"/>
      <c r="AH803">
        <f>IF(AH802=MiscData!$AB$91,1,AH802+1)</f>
        <v>10</v>
      </c>
      <c r="AI803">
        <f>IF(AD803&lt;=MiscData!$B$23,MiscData!$C$23,IF(AD803&lt;=MiscData!$B$24,MiscData!$C$24,MiscData!$C$25))</f>
        <v>20140101</v>
      </c>
      <c r="AK803" s="190" t="str">
        <f>VLOOKUP(AM803,MiscData!$AB$4:$ACB$113,2,FALSE)</f>
        <v>KUUM_367</v>
      </c>
      <c r="AL803" s="190" t="str">
        <f>VLOOKUP(AM803,MiscData!$AB$4:$AE$115,4,FALSE)</f>
        <v>LS</v>
      </c>
      <c r="AM803">
        <f>IF(AM802=MiscData!$AB$91,1,AM802+1)</f>
        <v>10</v>
      </c>
    </row>
    <row r="804" spans="1:39">
      <c r="A804" s="7">
        <f t="shared" si="333"/>
        <v>803</v>
      </c>
      <c r="B804" s="13" t="str">
        <f t="shared" si="314"/>
        <v>Oct 2015</v>
      </c>
      <c r="C804" s="23" t="str">
        <f t="shared" si="315"/>
        <v>LS</v>
      </c>
      <c r="D804" s="23" t="str">
        <f t="shared" si="316"/>
        <v>KUUM_368</v>
      </c>
      <c r="E804" s="170">
        <f t="shared" si="317"/>
        <v>1</v>
      </c>
      <c r="F804" s="185"/>
      <c r="G804" s="170">
        <f t="shared" si="318"/>
        <v>0</v>
      </c>
      <c r="H804" s="170">
        <v>0</v>
      </c>
      <c r="I804" s="11">
        <f t="shared" si="319"/>
        <v>56.69</v>
      </c>
      <c r="J804" s="11">
        <f t="shared" si="320"/>
        <v>1.75</v>
      </c>
      <c r="K804" s="416">
        <f t="shared" si="335"/>
        <v>56.69</v>
      </c>
      <c r="L804" s="180"/>
      <c r="M804" s="180"/>
      <c r="N804" s="186">
        <f t="shared" si="313"/>
        <v>56.69</v>
      </c>
      <c r="O804" s="29">
        <f t="shared" si="321"/>
        <v>0</v>
      </c>
      <c r="P804" s="181">
        <f t="shared" si="336"/>
        <v>0</v>
      </c>
      <c r="Q804" s="182">
        <f t="shared" si="322"/>
        <v>0</v>
      </c>
      <c r="R804" s="182">
        <f t="shared" si="323"/>
        <v>0</v>
      </c>
      <c r="S804" s="182">
        <f t="shared" si="324"/>
        <v>0</v>
      </c>
      <c r="T804" s="182">
        <f t="shared" si="325"/>
        <v>0</v>
      </c>
      <c r="U804" s="182">
        <f t="shared" si="326"/>
        <v>0</v>
      </c>
      <c r="V804" s="14">
        <f t="shared" si="327"/>
        <v>56.69</v>
      </c>
      <c r="W804" s="14">
        <f t="shared" si="328"/>
        <v>-56.69</v>
      </c>
      <c r="Y804" s="14">
        <f t="shared" si="331"/>
        <v>1.75</v>
      </c>
      <c r="Z804" s="14">
        <f t="shared" si="332"/>
        <v>-1.75</v>
      </c>
      <c r="AA804" s="11">
        <f t="shared" si="334"/>
        <v>2.41</v>
      </c>
      <c r="AB804" s="9">
        <f t="shared" si="337"/>
        <v>2.41</v>
      </c>
      <c r="AD804" s="13">
        <f>IF(AH804&gt;AH803,AD803,IF(AD803&lt;MiscData!$F$1,EOMONTH(AD803,1),EOMONTH(AD803,-11)))</f>
        <v>42308</v>
      </c>
      <c r="AE804" s="7" t="str">
        <f t="shared" si="329"/>
        <v>20140101KUUM_368</v>
      </c>
      <c r="AF804" s="12" t="str">
        <f t="shared" si="330"/>
        <v>20140101LS</v>
      </c>
      <c r="AG804" s="31"/>
      <c r="AH804">
        <f>IF(AH803=MiscData!$AB$91,1,AH803+1)</f>
        <v>11</v>
      </c>
      <c r="AI804">
        <f>IF(AD804&lt;=MiscData!$B$23,MiscData!$C$23,IF(AD804&lt;=MiscData!$B$24,MiscData!$C$24,MiscData!$C$25))</f>
        <v>20140101</v>
      </c>
      <c r="AK804" s="190" t="str">
        <f>VLOOKUP(AM804,MiscData!$AB$4:$ACB$113,2,FALSE)</f>
        <v>KUUM_368</v>
      </c>
      <c r="AL804" s="190" t="str">
        <f>VLOOKUP(AM804,MiscData!$AB$4:$AE$115,4,FALSE)</f>
        <v>LS</v>
      </c>
      <c r="AM804">
        <f>IF(AM803=MiscData!$AB$91,1,AM803+1)</f>
        <v>11</v>
      </c>
    </row>
    <row r="805" spans="1:39">
      <c r="A805" s="7">
        <f t="shared" si="333"/>
        <v>804</v>
      </c>
      <c r="B805" s="13" t="str">
        <f t="shared" si="314"/>
        <v>Oct 2015</v>
      </c>
      <c r="C805" s="23" t="str">
        <f t="shared" si="315"/>
        <v>LS</v>
      </c>
      <c r="D805" s="23" t="str">
        <f t="shared" si="316"/>
        <v>KUUM_370</v>
      </c>
      <c r="E805" s="170">
        <f t="shared" si="317"/>
        <v>16</v>
      </c>
      <c r="F805" s="185"/>
      <c r="G805" s="170">
        <f t="shared" si="318"/>
        <v>0</v>
      </c>
      <c r="H805" s="170">
        <v>0</v>
      </c>
      <c r="I805" s="11">
        <f t="shared" si="319"/>
        <v>74.52</v>
      </c>
      <c r="J805" s="11">
        <f t="shared" si="320"/>
        <v>1.75</v>
      </c>
      <c r="K805" s="416">
        <f t="shared" si="335"/>
        <v>1192.32</v>
      </c>
      <c r="L805" s="180"/>
      <c r="M805" s="180"/>
      <c r="N805" s="186">
        <f t="shared" si="313"/>
        <v>1192.32</v>
      </c>
      <c r="O805" s="29">
        <f t="shared" si="321"/>
        <v>0</v>
      </c>
      <c r="P805" s="181">
        <f t="shared" si="336"/>
        <v>0</v>
      </c>
      <c r="Q805" s="182">
        <f t="shared" si="322"/>
        <v>0</v>
      </c>
      <c r="R805" s="182">
        <f t="shared" si="323"/>
        <v>0</v>
      </c>
      <c r="S805" s="182">
        <f t="shared" si="324"/>
        <v>0</v>
      </c>
      <c r="T805" s="182">
        <f t="shared" si="325"/>
        <v>0</v>
      </c>
      <c r="U805" s="182">
        <f t="shared" si="326"/>
        <v>0</v>
      </c>
      <c r="V805" s="14">
        <f t="shared" si="327"/>
        <v>1192.32</v>
      </c>
      <c r="W805" s="14">
        <f t="shared" si="328"/>
        <v>-1192.32</v>
      </c>
      <c r="Y805" s="14">
        <f t="shared" si="331"/>
        <v>28</v>
      </c>
      <c r="Z805" s="14">
        <f t="shared" si="332"/>
        <v>-28</v>
      </c>
      <c r="AA805" s="11">
        <f t="shared" si="334"/>
        <v>2.41</v>
      </c>
      <c r="AB805" s="9">
        <f t="shared" si="337"/>
        <v>38.56</v>
      </c>
      <c r="AD805" s="13">
        <f>IF(AH805&gt;AH804,AD804,IF(AD804&lt;MiscData!$F$1,EOMONTH(AD804,1),EOMONTH(AD804,-11)))</f>
        <v>42308</v>
      </c>
      <c r="AE805" s="7" t="str">
        <f t="shared" si="329"/>
        <v>20140101KUUM_370</v>
      </c>
      <c r="AF805" s="12" t="str">
        <f t="shared" si="330"/>
        <v>20140101LS</v>
      </c>
      <c r="AG805" s="31"/>
      <c r="AH805">
        <f>IF(AH804=MiscData!$AB$91,1,AH804+1)</f>
        <v>12</v>
      </c>
      <c r="AI805">
        <f>IF(AD805&lt;=MiscData!$B$23,MiscData!$C$23,IF(AD805&lt;=MiscData!$B$24,MiscData!$C$24,MiscData!$C$25))</f>
        <v>20140101</v>
      </c>
      <c r="AK805" s="190" t="str">
        <f>VLOOKUP(AM805,MiscData!$AB$4:$ACB$113,2,FALSE)</f>
        <v>KUUM_370</v>
      </c>
      <c r="AL805" s="190" t="str">
        <f>VLOOKUP(AM805,MiscData!$AB$4:$AE$115,4,FALSE)</f>
        <v>LS</v>
      </c>
      <c r="AM805">
        <f>IF(AM804=MiscData!$AB$91,1,AM804+1)</f>
        <v>12</v>
      </c>
    </row>
    <row r="806" spans="1:39">
      <c r="A806" s="7">
        <f t="shared" si="333"/>
        <v>805</v>
      </c>
      <c r="B806" s="13" t="str">
        <f t="shared" si="314"/>
        <v>Oct 2015</v>
      </c>
      <c r="C806" s="23" t="str">
        <f t="shared" si="315"/>
        <v>LS</v>
      </c>
      <c r="D806" s="23" t="str">
        <f t="shared" si="316"/>
        <v>KUUM_372</v>
      </c>
      <c r="E806" s="170">
        <f t="shared" si="317"/>
        <v>1</v>
      </c>
      <c r="F806" s="185"/>
      <c r="G806" s="170">
        <f t="shared" si="318"/>
        <v>0</v>
      </c>
      <c r="H806" s="170">
        <v>0</v>
      </c>
      <c r="I806" s="11">
        <f t="shared" si="319"/>
        <v>82.3</v>
      </c>
      <c r="J806" s="11">
        <f t="shared" si="320"/>
        <v>1.75</v>
      </c>
      <c r="K806" s="416">
        <f t="shared" si="335"/>
        <v>82.3</v>
      </c>
      <c r="L806" s="180"/>
      <c r="M806" s="180"/>
      <c r="N806" s="186">
        <f t="shared" si="313"/>
        <v>82.3</v>
      </c>
      <c r="O806" s="29">
        <f t="shared" si="321"/>
        <v>0</v>
      </c>
      <c r="P806" s="181">
        <f t="shared" si="336"/>
        <v>0</v>
      </c>
      <c r="Q806" s="182">
        <f t="shared" si="322"/>
        <v>0</v>
      </c>
      <c r="R806" s="182">
        <f t="shared" si="323"/>
        <v>0</v>
      </c>
      <c r="S806" s="182">
        <f t="shared" si="324"/>
        <v>0</v>
      </c>
      <c r="T806" s="182">
        <f t="shared" si="325"/>
        <v>0</v>
      </c>
      <c r="U806" s="182">
        <f t="shared" si="326"/>
        <v>0</v>
      </c>
      <c r="V806" s="14">
        <f t="shared" si="327"/>
        <v>82.3</v>
      </c>
      <c r="W806" s="14">
        <f t="shared" si="328"/>
        <v>-82.3</v>
      </c>
      <c r="Y806" s="14">
        <f t="shared" si="331"/>
        <v>1.75</v>
      </c>
      <c r="Z806" s="14">
        <f t="shared" si="332"/>
        <v>-1.75</v>
      </c>
      <c r="AA806" s="11">
        <f t="shared" si="334"/>
        <v>2.41</v>
      </c>
      <c r="AB806" s="9">
        <f t="shared" si="337"/>
        <v>2.41</v>
      </c>
      <c r="AD806" s="13">
        <f>IF(AH806&gt;AH805,AD805,IF(AD805&lt;MiscData!$F$1,EOMONTH(AD805,1),EOMONTH(AD805,-11)))</f>
        <v>42308</v>
      </c>
      <c r="AE806" s="7" t="str">
        <f t="shared" si="329"/>
        <v>20140101KUUM_372</v>
      </c>
      <c r="AF806" s="12" t="str">
        <f t="shared" si="330"/>
        <v>20140101LS</v>
      </c>
      <c r="AG806" s="31"/>
      <c r="AH806">
        <f>IF(AH805=MiscData!$AB$91,1,AH805+1)</f>
        <v>13</v>
      </c>
      <c r="AI806">
        <f>IF(AD806&lt;=MiscData!$B$23,MiscData!$C$23,IF(AD806&lt;=MiscData!$B$24,MiscData!$C$24,MiscData!$C$25))</f>
        <v>20140101</v>
      </c>
      <c r="AK806" s="190" t="str">
        <f>VLOOKUP(AM806,MiscData!$AB$4:$ACB$113,2,FALSE)</f>
        <v>KUUM_372</v>
      </c>
      <c r="AL806" s="190" t="str">
        <f>VLOOKUP(AM806,MiscData!$AB$4:$AE$115,4,FALSE)</f>
        <v>LS</v>
      </c>
      <c r="AM806">
        <f>IF(AM805=MiscData!$AB$91,1,AM805+1)</f>
        <v>13</v>
      </c>
    </row>
    <row r="807" spans="1:39">
      <c r="A807" s="7">
        <f t="shared" si="333"/>
        <v>806</v>
      </c>
      <c r="B807" s="13" t="str">
        <f t="shared" si="314"/>
        <v>Oct 2015</v>
      </c>
      <c r="C807" s="23" t="str">
        <f t="shared" si="315"/>
        <v>LS</v>
      </c>
      <c r="D807" s="23" t="str">
        <f t="shared" si="316"/>
        <v>KUUM_373</v>
      </c>
      <c r="E807" s="170">
        <f t="shared" si="317"/>
        <v>19</v>
      </c>
      <c r="F807" s="185"/>
      <c r="G807" s="170">
        <f t="shared" si="318"/>
        <v>0</v>
      </c>
      <c r="H807" s="170">
        <v>0</v>
      </c>
      <c r="I807" s="11">
        <f t="shared" si="319"/>
        <v>74.52</v>
      </c>
      <c r="J807" s="11">
        <f t="shared" si="320"/>
        <v>1.75</v>
      </c>
      <c r="K807" s="416">
        <f t="shared" si="335"/>
        <v>1415.88</v>
      </c>
      <c r="L807" s="180"/>
      <c r="M807" s="180"/>
      <c r="N807" s="186">
        <f t="shared" si="313"/>
        <v>1415.88</v>
      </c>
      <c r="O807" s="29">
        <f t="shared" si="321"/>
        <v>0</v>
      </c>
      <c r="P807" s="181">
        <f t="shared" si="336"/>
        <v>0</v>
      </c>
      <c r="Q807" s="182">
        <f t="shared" si="322"/>
        <v>0</v>
      </c>
      <c r="R807" s="182">
        <f t="shared" si="323"/>
        <v>0</v>
      </c>
      <c r="S807" s="182">
        <f t="shared" si="324"/>
        <v>0</v>
      </c>
      <c r="T807" s="182">
        <f t="shared" si="325"/>
        <v>0</v>
      </c>
      <c r="U807" s="182">
        <f t="shared" si="326"/>
        <v>0</v>
      </c>
      <c r="V807" s="14">
        <f t="shared" si="327"/>
        <v>1415.88</v>
      </c>
      <c r="W807" s="14">
        <f t="shared" si="328"/>
        <v>-1415.88</v>
      </c>
      <c r="Y807" s="14">
        <f t="shared" si="331"/>
        <v>33.25</v>
      </c>
      <c r="Z807" s="14">
        <f t="shared" si="332"/>
        <v>-33.25</v>
      </c>
      <c r="AA807" s="11">
        <f t="shared" si="334"/>
        <v>2.41</v>
      </c>
      <c r="AB807" s="9">
        <f t="shared" si="337"/>
        <v>45.790000000000006</v>
      </c>
      <c r="AD807" s="13">
        <f>IF(AH807&gt;AH806,AD806,IF(AD806&lt;MiscData!$F$1,EOMONTH(AD806,1),EOMONTH(AD806,-11)))</f>
        <v>42308</v>
      </c>
      <c r="AE807" s="7" t="str">
        <f t="shared" si="329"/>
        <v>20140101KUUM_373</v>
      </c>
      <c r="AF807" s="12" t="str">
        <f t="shared" si="330"/>
        <v>20140101LS</v>
      </c>
      <c r="AG807" s="31"/>
      <c r="AH807">
        <f>IF(AH806=MiscData!$AB$91,1,AH806+1)</f>
        <v>14</v>
      </c>
      <c r="AI807">
        <f>IF(AD807&lt;=MiscData!$B$23,MiscData!$C$23,IF(AD807&lt;=MiscData!$B$24,MiscData!$C$24,MiscData!$C$25))</f>
        <v>20140101</v>
      </c>
      <c r="AK807" s="190" t="str">
        <f>VLOOKUP(AM807,MiscData!$AB$4:$ACB$113,2,FALSE)</f>
        <v>KUUM_373</v>
      </c>
      <c r="AL807" s="190" t="str">
        <f>VLOOKUP(AM807,MiscData!$AB$4:$AE$115,4,FALSE)</f>
        <v>LS</v>
      </c>
      <c r="AM807">
        <f>IF(AM806=MiscData!$AB$91,1,AM806+1)</f>
        <v>14</v>
      </c>
    </row>
    <row r="808" spans="1:39">
      <c r="A808" s="7">
        <f t="shared" si="333"/>
        <v>807</v>
      </c>
      <c r="B808" s="13" t="str">
        <f t="shared" si="314"/>
        <v>Oct 2015</v>
      </c>
      <c r="C808" s="23" t="str">
        <f t="shared" si="315"/>
        <v>LS</v>
      </c>
      <c r="D808" s="23" t="str">
        <f t="shared" si="316"/>
        <v>KUUM_374</v>
      </c>
      <c r="E808" s="170">
        <f t="shared" si="317"/>
        <v>4</v>
      </c>
      <c r="F808" s="185"/>
      <c r="G808" s="170">
        <f t="shared" si="318"/>
        <v>0</v>
      </c>
      <c r="H808" s="170">
        <v>0</v>
      </c>
      <c r="I808" s="11">
        <f t="shared" si="319"/>
        <v>75.88</v>
      </c>
      <c r="J808" s="11">
        <f t="shared" si="320"/>
        <v>1.75</v>
      </c>
      <c r="K808" s="416">
        <f t="shared" si="335"/>
        <v>303.52</v>
      </c>
      <c r="L808" s="180"/>
      <c r="M808" s="180"/>
      <c r="N808" s="186">
        <f t="shared" si="313"/>
        <v>303.52</v>
      </c>
      <c r="O808" s="29">
        <f t="shared" si="321"/>
        <v>0</v>
      </c>
      <c r="P808" s="181">
        <f t="shared" si="336"/>
        <v>0</v>
      </c>
      <c r="Q808" s="182">
        <f t="shared" si="322"/>
        <v>0</v>
      </c>
      <c r="R808" s="182">
        <f t="shared" si="323"/>
        <v>0</v>
      </c>
      <c r="S808" s="182">
        <f t="shared" si="324"/>
        <v>0</v>
      </c>
      <c r="T808" s="182">
        <f t="shared" si="325"/>
        <v>0</v>
      </c>
      <c r="U808" s="182">
        <f t="shared" si="326"/>
        <v>0</v>
      </c>
      <c r="V808" s="14">
        <f t="shared" si="327"/>
        <v>303.52</v>
      </c>
      <c r="W808" s="14">
        <f t="shared" si="328"/>
        <v>-303.52</v>
      </c>
      <c r="Y808" s="14">
        <f t="shared" si="331"/>
        <v>7</v>
      </c>
      <c r="Z808" s="14">
        <f t="shared" si="332"/>
        <v>-7</v>
      </c>
      <c r="AA808" s="11">
        <f t="shared" si="334"/>
        <v>2.41</v>
      </c>
      <c r="AB808" s="9">
        <f t="shared" si="337"/>
        <v>9.64</v>
      </c>
      <c r="AD808" s="13">
        <f>IF(AH808&gt;AH807,AD807,IF(AD807&lt;MiscData!$F$1,EOMONTH(AD807,1),EOMONTH(AD807,-11)))</f>
        <v>42308</v>
      </c>
      <c r="AE808" s="7" t="str">
        <f t="shared" si="329"/>
        <v>20140101KUUM_374</v>
      </c>
      <c r="AF808" s="12" t="str">
        <f t="shared" si="330"/>
        <v>20140101LS</v>
      </c>
      <c r="AG808" s="31"/>
      <c r="AH808">
        <f>IF(AH807=MiscData!$AB$91,1,AH807+1)</f>
        <v>15</v>
      </c>
      <c r="AI808">
        <f>IF(AD808&lt;=MiscData!$B$23,MiscData!$C$23,IF(AD808&lt;=MiscData!$B$24,MiscData!$C$24,MiscData!$C$25))</f>
        <v>20140101</v>
      </c>
      <c r="AK808" s="190" t="str">
        <f>VLOOKUP(AM808,MiscData!$AB$4:$ACB$113,2,FALSE)</f>
        <v>KUUM_374</v>
      </c>
      <c r="AL808" s="190" t="str">
        <f>VLOOKUP(AM808,MiscData!$AB$4:$AE$115,4,FALSE)</f>
        <v>LS</v>
      </c>
      <c r="AM808">
        <f>IF(AM807=MiscData!$AB$91,1,AM807+1)</f>
        <v>15</v>
      </c>
    </row>
    <row r="809" spans="1:39">
      <c r="A809" s="7">
        <f t="shared" si="333"/>
        <v>808</v>
      </c>
      <c r="B809" s="13" t="str">
        <f t="shared" si="314"/>
        <v>Oct 2015</v>
      </c>
      <c r="C809" s="23" t="str">
        <f t="shared" si="315"/>
        <v>LS</v>
      </c>
      <c r="D809" s="23" t="str">
        <f t="shared" si="316"/>
        <v>KUUM_375</v>
      </c>
      <c r="E809" s="170">
        <f t="shared" si="317"/>
        <v>3</v>
      </c>
      <c r="F809" s="185"/>
      <c r="G809" s="170">
        <f t="shared" si="318"/>
        <v>0</v>
      </c>
      <c r="H809" s="170">
        <v>0</v>
      </c>
      <c r="I809" s="11">
        <f t="shared" si="319"/>
        <v>78.97</v>
      </c>
      <c r="J809" s="11">
        <f t="shared" si="320"/>
        <v>1.75</v>
      </c>
      <c r="K809" s="416">
        <f t="shared" si="335"/>
        <v>236.91</v>
      </c>
      <c r="L809" s="180"/>
      <c r="M809" s="180"/>
      <c r="N809" s="186">
        <f t="shared" si="313"/>
        <v>236.91</v>
      </c>
      <c r="O809" s="29">
        <f t="shared" si="321"/>
        <v>0</v>
      </c>
      <c r="P809" s="181">
        <f t="shared" si="336"/>
        <v>0</v>
      </c>
      <c r="Q809" s="182">
        <f t="shared" si="322"/>
        <v>0</v>
      </c>
      <c r="R809" s="182">
        <f t="shared" si="323"/>
        <v>0</v>
      </c>
      <c r="S809" s="182">
        <f t="shared" si="324"/>
        <v>0</v>
      </c>
      <c r="T809" s="182">
        <f t="shared" si="325"/>
        <v>0</v>
      </c>
      <c r="U809" s="182">
        <f t="shared" si="326"/>
        <v>0</v>
      </c>
      <c r="V809" s="14">
        <f t="shared" si="327"/>
        <v>236.91</v>
      </c>
      <c r="W809" s="14">
        <f t="shared" si="328"/>
        <v>-236.91</v>
      </c>
      <c r="Y809" s="14">
        <f t="shared" si="331"/>
        <v>5.25</v>
      </c>
      <c r="Z809" s="14">
        <f t="shared" si="332"/>
        <v>-5.25</v>
      </c>
      <c r="AA809" s="11">
        <f t="shared" si="334"/>
        <v>2.41</v>
      </c>
      <c r="AB809" s="9">
        <f t="shared" si="337"/>
        <v>7.23</v>
      </c>
      <c r="AD809" s="13">
        <f>IF(AH809&gt;AH808,AD808,IF(AD808&lt;MiscData!$F$1,EOMONTH(AD808,1),EOMONTH(AD808,-11)))</f>
        <v>42308</v>
      </c>
      <c r="AE809" s="7" t="str">
        <f t="shared" si="329"/>
        <v>20140101KUUM_375</v>
      </c>
      <c r="AF809" s="12" t="str">
        <f t="shared" si="330"/>
        <v>20140101LS</v>
      </c>
      <c r="AG809" s="31"/>
      <c r="AH809">
        <f>IF(AH808=MiscData!$AB$91,1,AH808+1)</f>
        <v>16</v>
      </c>
      <c r="AI809">
        <f>IF(AD809&lt;=MiscData!$B$23,MiscData!$C$23,IF(AD809&lt;=MiscData!$B$24,MiscData!$C$24,MiscData!$C$25))</f>
        <v>20140101</v>
      </c>
      <c r="AK809" s="190" t="str">
        <f>VLOOKUP(AM809,MiscData!$AB$4:$ACB$113,2,FALSE)</f>
        <v>KUUM_375</v>
      </c>
      <c r="AL809" s="190" t="str">
        <f>VLOOKUP(AM809,MiscData!$AB$4:$AE$115,4,FALSE)</f>
        <v>LS</v>
      </c>
      <c r="AM809">
        <f>IF(AM808=MiscData!$AB$91,1,AM808+1)</f>
        <v>16</v>
      </c>
    </row>
    <row r="810" spans="1:39">
      <c r="A810" s="7">
        <f t="shared" si="333"/>
        <v>809</v>
      </c>
      <c r="B810" s="13" t="str">
        <f t="shared" si="314"/>
        <v>Oct 2015</v>
      </c>
      <c r="C810" s="23" t="str">
        <f t="shared" si="315"/>
        <v>LS</v>
      </c>
      <c r="D810" s="23" t="str">
        <f t="shared" si="316"/>
        <v>KUUM_376</v>
      </c>
      <c r="E810" s="170">
        <f t="shared" si="317"/>
        <v>2</v>
      </c>
      <c r="F810" s="185"/>
      <c r="G810" s="170">
        <f t="shared" si="318"/>
        <v>0</v>
      </c>
      <c r="H810" s="170">
        <v>0</v>
      </c>
      <c r="I810" s="11">
        <f t="shared" si="319"/>
        <v>77.259999999999991</v>
      </c>
      <c r="J810" s="11">
        <f t="shared" si="320"/>
        <v>1.75</v>
      </c>
      <c r="K810" s="416">
        <f t="shared" si="335"/>
        <v>154.52000000000001</v>
      </c>
      <c r="L810" s="180"/>
      <c r="M810" s="180"/>
      <c r="N810" s="186">
        <f t="shared" si="313"/>
        <v>154.52000000000001</v>
      </c>
      <c r="O810" s="29">
        <f t="shared" si="321"/>
        <v>0</v>
      </c>
      <c r="P810" s="181">
        <f t="shared" si="336"/>
        <v>0</v>
      </c>
      <c r="Q810" s="182">
        <f t="shared" si="322"/>
        <v>0</v>
      </c>
      <c r="R810" s="182">
        <f t="shared" si="323"/>
        <v>0</v>
      </c>
      <c r="S810" s="182">
        <f t="shared" si="324"/>
        <v>0</v>
      </c>
      <c r="T810" s="182">
        <f t="shared" si="325"/>
        <v>0</v>
      </c>
      <c r="U810" s="182">
        <f t="shared" si="326"/>
        <v>0</v>
      </c>
      <c r="V810" s="14">
        <f t="shared" si="327"/>
        <v>154.52000000000001</v>
      </c>
      <c r="W810" s="14">
        <f t="shared" si="328"/>
        <v>-154.52000000000001</v>
      </c>
      <c r="Y810" s="14">
        <f t="shared" si="331"/>
        <v>3.5</v>
      </c>
      <c r="Z810" s="14">
        <f t="shared" si="332"/>
        <v>-3.5</v>
      </c>
      <c r="AA810" s="11">
        <f t="shared" si="334"/>
        <v>2.41</v>
      </c>
      <c r="AB810" s="9">
        <f t="shared" si="337"/>
        <v>4.82</v>
      </c>
      <c r="AD810" s="13">
        <f>IF(AH810&gt;AH809,AD809,IF(AD809&lt;MiscData!$F$1,EOMONTH(AD809,1),EOMONTH(AD809,-11)))</f>
        <v>42308</v>
      </c>
      <c r="AE810" s="7" t="str">
        <f t="shared" si="329"/>
        <v>20140101KUUM_376</v>
      </c>
      <c r="AF810" s="12" t="str">
        <f t="shared" si="330"/>
        <v>20140101LS</v>
      </c>
      <c r="AG810" s="31"/>
      <c r="AH810">
        <f>IF(AH809=MiscData!$AB$91,1,AH809+1)</f>
        <v>17</v>
      </c>
      <c r="AI810">
        <f>IF(AD810&lt;=MiscData!$B$23,MiscData!$C$23,IF(AD810&lt;=MiscData!$B$24,MiscData!$C$24,MiscData!$C$25))</f>
        <v>20140101</v>
      </c>
      <c r="AK810" s="190" t="str">
        <f>VLOOKUP(AM810,MiscData!$AB$4:$ACB$113,2,FALSE)</f>
        <v>KUUM_376</v>
      </c>
      <c r="AL810" s="190" t="str">
        <f>VLOOKUP(AM810,MiscData!$AB$4:$AE$115,4,FALSE)</f>
        <v>LS</v>
      </c>
      <c r="AM810">
        <f>IF(AM809=MiscData!$AB$91,1,AM809+1)</f>
        <v>17</v>
      </c>
    </row>
    <row r="811" spans="1:39">
      <c r="A811" s="7">
        <f t="shared" si="333"/>
        <v>810</v>
      </c>
      <c r="B811" s="13" t="str">
        <f t="shared" si="314"/>
        <v>Oct 2015</v>
      </c>
      <c r="C811" s="23" t="str">
        <f t="shared" si="315"/>
        <v>LS</v>
      </c>
      <c r="D811" s="23" t="str">
        <f t="shared" si="316"/>
        <v>KUUM_377</v>
      </c>
      <c r="E811" s="170">
        <f t="shared" si="317"/>
        <v>49</v>
      </c>
      <c r="F811" s="185"/>
      <c r="G811" s="170">
        <f t="shared" si="318"/>
        <v>0</v>
      </c>
      <c r="H811" s="170">
        <v>0</v>
      </c>
      <c r="I811" s="11">
        <f t="shared" si="319"/>
        <v>64.19</v>
      </c>
      <c r="J811" s="11">
        <f t="shared" si="320"/>
        <v>1.75</v>
      </c>
      <c r="K811" s="416">
        <f t="shared" si="335"/>
        <v>3145.31</v>
      </c>
      <c r="L811" s="180"/>
      <c r="M811" s="180"/>
      <c r="N811" s="186">
        <f t="shared" si="313"/>
        <v>3145.31</v>
      </c>
      <c r="O811" s="29">
        <f t="shared" si="321"/>
        <v>0</v>
      </c>
      <c r="P811" s="181">
        <f t="shared" si="336"/>
        <v>0</v>
      </c>
      <c r="Q811" s="182">
        <f t="shared" si="322"/>
        <v>0</v>
      </c>
      <c r="R811" s="182">
        <f t="shared" si="323"/>
        <v>0</v>
      </c>
      <c r="S811" s="182">
        <f t="shared" si="324"/>
        <v>0</v>
      </c>
      <c r="T811" s="182">
        <f t="shared" si="325"/>
        <v>0</v>
      </c>
      <c r="U811" s="182">
        <f t="shared" si="326"/>
        <v>0</v>
      </c>
      <c r="V811" s="14">
        <f t="shared" si="327"/>
        <v>3145.31</v>
      </c>
      <c r="W811" s="14">
        <f t="shared" si="328"/>
        <v>-3145.31</v>
      </c>
      <c r="Y811" s="14">
        <f t="shared" si="331"/>
        <v>85.75</v>
      </c>
      <c r="Z811" s="14">
        <f t="shared" si="332"/>
        <v>-85.75</v>
      </c>
      <c r="AA811" s="11">
        <f t="shared" si="334"/>
        <v>2.41</v>
      </c>
      <c r="AB811" s="9">
        <f t="shared" si="337"/>
        <v>118.09</v>
      </c>
      <c r="AD811" s="13">
        <f>IF(AH811&gt;AH810,AD810,IF(AD810&lt;MiscData!$F$1,EOMONTH(AD810,1),EOMONTH(AD810,-11)))</f>
        <v>42308</v>
      </c>
      <c r="AE811" s="7" t="str">
        <f t="shared" si="329"/>
        <v>20140101KUUM_377</v>
      </c>
      <c r="AF811" s="12" t="str">
        <f t="shared" si="330"/>
        <v>20140101LS</v>
      </c>
      <c r="AG811" s="31"/>
      <c r="AH811">
        <f>IF(AH810=MiscData!$AB$91,1,AH810+1)</f>
        <v>18</v>
      </c>
      <c r="AI811">
        <f>IF(AD811&lt;=MiscData!$B$23,MiscData!$C$23,IF(AD811&lt;=MiscData!$B$24,MiscData!$C$24,MiscData!$C$25))</f>
        <v>20140101</v>
      </c>
      <c r="AK811" s="190" t="str">
        <f>VLOOKUP(AM811,MiscData!$AB$4:$ACB$113,2,FALSE)</f>
        <v>KUUM_377</v>
      </c>
      <c r="AL811" s="190" t="str">
        <f>VLOOKUP(AM811,MiscData!$AB$4:$AE$115,4,FALSE)</f>
        <v>LS</v>
      </c>
      <c r="AM811">
        <f>IF(AM810=MiscData!$AB$91,1,AM810+1)</f>
        <v>18</v>
      </c>
    </row>
    <row r="812" spans="1:39">
      <c r="A812" s="7">
        <f t="shared" si="333"/>
        <v>811</v>
      </c>
      <c r="B812" s="13" t="str">
        <f t="shared" si="314"/>
        <v>Oct 2015</v>
      </c>
      <c r="C812" s="23" t="str">
        <f t="shared" si="315"/>
        <v>LS</v>
      </c>
      <c r="D812" s="23" t="str">
        <f t="shared" si="316"/>
        <v>KUUM_378</v>
      </c>
      <c r="E812" s="170">
        <f t="shared" si="317"/>
        <v>2</v>
      </c>
      <c r="F812" s="185"/>
      <c r="G812" s="170">
        <f t="shared" si="318"/>
        <v>0</v>
      </c>
      <c r="H812" s="170">
        <v>0</v>
      </c>
      <c r="I812" s="11">
        <f t="shared" si="319"/>
        <v>75.899999999999991</v>
      </c>
      <c r="J812" s="11">
        <f t="shared" si="320"/>
        <v>1.75</v>
      </c>
      <c r="K812" s="416">
        <f t="shared" si="335"/>
        <v>151.80000000000001</v>
      </c>
      <c r="L812" s="180"/>
      <c r="M812" s="180"/>
      <c r="N812" s="186">
        <f t="shared" si="313"/>
        <v>151.80000000000001</v>
      </c>
      <c r="O812" s="29">
        <f t="shared" si="321"/>
        <v>0</v>
      </c>
      <c r="P812" s="181">
        <f t="shared" si="336"/>
        <v>0</v>
      </c>
      <c r="Q812" s="182">
        <f t="shared" si="322"/>
        <v>0</v>
      </c>
      <c r="R812" s="182">
        <f t="shared" si="323"/>
        <v>0</v>
      </c>
      <c r="S812" s="182">
        <f t="shared" si="324"/>
        <v>0</v>
      </c>
      <c r="T812" s="182">
        <f t="shared" si="325"/>
        <v>0</v>
      </c>
      <c r="U812" s="182">
        <f t="shared" si="326"/>
        <v>0</v>
      </c>
      <c r="V812" s="14">
        <f t="shared" si="327"/>
        <v>151.80000000000001</v>
      </c>
      <c r="W812" s="14">
        <f t="shared" si="328"/>
        <v>-151.80000000000001</v>
      </c>
      <c r="Y812" s="14">
        <f t="shared" si="331"/>
        <v>3.5</v>
      </c>
      <c r="Z812" s="14">
        <f t="shared" si="332"/>
        <v>-3.5</v>
      </c>
      <c r="AA812" s="11">
        <f t="shared" si="334"/>
        <v>2.41</v>
      </c>
      <c r="AB812" s="9">
        <f t="shared" si="337"/>
        <v>4.82</v>
      </c>
      <c r="AD812" s="13">
        <f>IF(AH812&gt;AH811,AD811,IF(AD811&lt;MiscData!$F$1,EOMONTH(AD811,1),EOMONTH(AD811,-11)))</f>
        <v>42308</v>
      </c>
      <c r="AE812" s="7" t="str">
        <f t="shared" si="329"/>
        <v>20140101KUUM_378</v>
      </c>
      <c r="AF812" s="12" t="str">
        <f t="shared" si="330"/>
        <v>20140101LS</v>
      </c>
      <c r="AG812" s="31"/>
      <c r="AH812">
        <f>IF(AH811=MiscData!$AB$91,1,AH811+1)</f>
        <v>19</v>
      </c>
      <c r="AI812">
        <f>IF(AD812&lt;=MiscData!$B$23,MiscData!$C$23,IF(AD812&lt;=MiscData!$B$24,MiscData!$C$24,MiscData!$C$25))</f>
        <v>20140101</v>
      </c>
      <c r="AK812" s="190" t="str">
        <f>VLOOKUP(AM812,MiscData!$AB$4:$ACB$113,2,FALSE)</f>
        <v>KUUM_378</v>
      </c>
      <c r="AL812" s="190" t="str">
        <f>VLOOKUP(AM812,MiscData!$AB$4:$AE$115,4,FALSE)</f>
        <v>LS</v>
      </c>
      <c r="AM812">
        <f>IF(AM811=MiscData!$AB$91,1,AM811+1)</f>
        <v>19</v>
      </c>
    </row>
    <row r="813" spans="1:39">
      <c r="A813" s="7">
        <f t="shared" si="333"/>
        <v>812</v>
      </c>
      <c r="B813" s="13" t="str">
        <f t="shared" si="314"/>
        <v>Oct 2015</v>
      </c>
      <c r="C813" s="23" t="str">
        <f t="shared" si="315"/>
        <v>LS</v>
      </c>
      <c r="D813" s="23" t="str">
        <f t="shared" si="316"/>
        <v>KUUM_401</v>
      </c>
      <c r="E813" s="170">
        <f t="shared" si="317"/>
        <v>56</v>
      </c>
      <c r="F813" s="185"/>
      <c r="G813" s="170">
        <f t="shared" si="318"/>
        <v>0</v>
      </c>
      <c r="H813" s="170">
        <v>0</v>
      </c>
      <c r="I813" s="11">
        <f t="shared" si="319"/>
        <v>14.860000000000001</v>
      </c>
      <c r="J813" s="11">
        <f t="shared" si="320"/>
        <v>0.80000000000000071</v>
      </c>
      <c r="K813" s="416">
        <f t="shared" si="335"/>
        <v>832.16</v>
      </c>
      <c r="L813" s="180"/>
      <c r="M813" s="180"/>
      <c r="N813" s="186">
        <f t="shared" si="313"/>
        <v>832.16</v>
      </c>
      <c r="O813" s="29">
        <f t="shared" si="321"/>
        <v>0</v>
      </c>
      <c r="P813" s="181">
        <f t="shared" si="336"/>
        <v>0</v>
      </c>
      <c r="Q813" s="182">
        <f t="shared" si="322"/>
        <v>0</v>
      </c>
      <c r="R813" s="182">
        <f t="shared" si="323"/>
        <v>0</v>
      </c>
      <c r="S813" s="182">
        <f t="shared" si="324"/>
        <v>0</v>
      </c>
      <c r="T813" s="182">
        <f t="shared" si="325"/>
        <v>0</v>
      </c>
      <c r="U813" s="182">
        <f t="shared" si="326"/>
        <v>0</v>
      </c>
      <c r="V813" s="14">
        <f t="shared" si="327"/>
        <v>832.16</v>
      </c>
      <c r="W813" s="14">
        <f t="shared" si="328"/>
        <v>-832.16</v>
      </c>
      <c r="Y813" s="14">
        <f t="shared" si="331"/>
        <v>44.8</v>
      </c>
      <c r="Z813" s="14">
        <f t="shared" si="332"/>
        <v>-44.8</v>
      </c>
      <c r="AA813" s="11">
        <f t="shared" si="334"/>
        <v>0.43</v>
      </c>
      <c r="AB813" s="9">
        <f t="shared" si="337"/>
        <v>24.08</v>
      </c>
      <c r="AD813" s="13">
        <f>IF(AH813&gt;AH812,AD812,IF(AD812&lt;MiscData!$F$1,EOMONTH(AD812,1),EOMONTH(AD812,-11)))</f>
        <v>42308</v>
      </c>
      <c r="AE813" s="7" t="str">
        <f t="shared" si="329"/>
        <v>20140101KUUM_401</v>
      </c>
      <c r="AF813" s="12" t="str">
        <f t="shared" si="330"/>
        <v>20140101LS</v>
      </c>
      <c r="AG813" s="31"/>
      <c r="AH813">
        <f>IF(AH812=MiscData!$AB$91,1,AH812+1)</f>
        <v>20</v>
      </c>
      <c r="AI813">
        <f>IF(AD813&lt;=MiscData!$B$23,MiscData!$C$23,IF(AD813&lt;=MiscData!$B$24,MiscData!$C$24,MiscData!$C$25))</f>
        <v>20140101</v>
      </c>
      <c r="AK813" s="190" t="str">
        <f>VLOOKUP(AM813,MiscData!$AB$4:$ACB$113,2,FALSE)</f>
        <v>KUUM_401</v>
      </c>
      <c r="AL813" s="190" t="str">
        <f>VLOOKUP(AM813,MiscData!$AB$4:$AE$115,4,FALSE)</f>
        <v>LS</v>
      </c>
      <c r="AM813">
        <f>IF(AM812=MiscData!$AB$91,1,AM812+1)</f>
        <v>20</v>
      </c>
    </row>
    <row r="814" spans="1:39">
      <c r="A814" s="7">
        <f t="shared" si="333"/>
        <v>813</v>
      </c>
      <c r="B814" s="13" t="str">
        <f t="shared" si="314"/>
        <v>Oct 2015</v>
      </c>
      <c r="C814" s="23" t="str">
        <f t="shared" si="315"/>
        <v>RLS</v>
      </c>
      <c r="D814" s="23" t="str">
        <f t="shared" si="316"/>
        <v>KUUM_404</v>
      </c>
      <c r="E814" s="170">
        <f t="shared" si="317"/>
        <v>7156</v>
      </c>
      <c r="F814" s="185"/>
      <c r="G814" s="170">
        <f t="shared" si="318"/>
        <v>0</v>
      </c>
      <c r="H814" s="170">
        <v>0</v>
      </c>
      <c r="I814" s="11">
        <f t="shared" si="319"/>
        <v>10.570000000000002</v>
      </c>
      <c r="J814" s="11">
        <f t="shared" si="320"/>
        <v>1.9900000000000002</v>
      </c>
      <c r="K814" s="416">
        <f t="shared" si="335"/>
        <v>75638.92</v>
      </c>
      <c r="L814" s="180"/>
      <c r="M814" s="180"/>
      <c r="N814" s="186">
        <f t="shared" si="313"/>
        <v>75638.92</v>
      </c>
      <c r="O814" s="29">
        <f t="shared" si="321"/>
        <v>0</v>
      </c>
      <c r="P814" s="181">
        <f t="shared" si="336"/>
        <v>0</v>
      </c>
      <c r="Q814" s="182">
        <f t="shared" si="322"/>
        <v>0</v>
      </c>
      <c r="R814" s="182">
        <f t="shared" si="323"/>
        <v>0</v>
      </c>
      <c r="S814" s="182">
        <f t="shared" si="324"/>
        <v>0</v>
      </c>
      <c r="T814" s="182">
        <f t="shared" si="325"/>
        <v>0</v>
      </c>
      <c r="U814" s="182">
        <f t="shared" si="326"/>
        <v>0</v>
      </c>
      <c r="V814" s="14">
        <f t="shared" si="327"/>
        <v>75638.92</v>
      </c>
      <c r="W814" s="14">
        <f t="shared" si="328"/>
        <v>-75638.92</v>
      </c>
      <c r="Y814" s="14">
        <f t="shared" si="331"/>
        <v>14240.44</v>
      </c>
      <c r="Z814" s="14">
        <f t="shared" si="332"/>
        <v>-14240.44</v>
      </c>
      <c r="AA814" s="11">
        <f t="shared" si="334"/>
        <v>0.39</v>
      </c>
      <c r="AB814" s="9">
        <f t="shared" si="337"/>
        <v>2790.84</v>
      </c>
      <c r="AD814" s="13">
        <f>IF(AH814&gt;AH813,AD813,IF(AD813&lt;MiscData!$F$1,EOMONTH(AD813,1),EOMONTH(AD813,-11)))</f>
        <v>42308</v>
      </c>
      <c r="AE814" s="7" t="str">
        <f t="shared" si="329"/>
        <v>20140101KUUM_404</v>
      </c>
      <c r="AF814" s="12" t="str">
        <f t="shared" si="330"/>
        <v>20140101RLS</v>
      </c>
      <c r="AG814" s="31"/>
      <c r="AH814">
        <f>IF(AH813=MiscData!$AB$91,1,AH813+1)</f>
        <v>21</v>
      </c>
      <c r="AI814">
        <f>IF(AD814&lt;=MiscData!$B$23,MiscData!$C$23,IF(AD814&lt;=MiscData!$B$24,MiscData!$C$24,MiscData!$C$25))</f>
        <v>20140101</v>
      </c>
      <c r="AK814" s="190" t="str">
        <f>VLOOKUP(AM814,MiscData!$AB$4:$ACB$113,2,FALSE)</f>
        <v>KUUM_404</v>
      </c>
      <c r="AL814" s="190" t="str">
        <f>VLOOKUP(AM814,MiscData!$AB$4:$AE$115,4,FALSE)</f>
        <v>RLS</v>
      </c>
      <c r="AM814">
        <f>IF(AM813=MiscData!$AB$91,1,AM813+1)</f>
        <v>21</v>
      </c>
    </row>
    <row r="815" spans="1:39">
      <c r="A815" s="7">
        <f t="shared" si="333"/>
        <v>814</v>
      </c>
      <c r="B815" s="13" t="str">
        <f t="shared" si="314"/>
        <v>Oct 2015</v>
      </c>
      <c r="C815" s="23" t="str">
        <f t="shared" si="315"/>
        <v>RLS</v>
      </c>
      <c r="D815" s="23" t="str">
        <f t="shared" si="316"/>
        <v>KUUM_405</v>
      </c>
      <c r="E815" s="170">
        <f t="shared" si="317"/>
        <v>0</v>
      </c>
      <c r="F815" s="185"/>
      <c r="G815" s="170">
        <f t="shared" si="318"/>
        <v>0</v>
      </c>
      <c r="H815" s="170">
        <v>0</v>
      </c>
      <c r="I815" s="11">
        <f t="shared" si="319"/>
        <v>0</v>
      </c>
      <c r="J815" s="11">
        <f t="shared" si="320"/>
        <v>0</v>
      </c>
      <c r="K815" s="416">
        <f t="shared" si="335"/>
        <v>0</v>
      </c>
      <c r="L815" s="180"/>
      <c r="M815" s="180"/>
      <c r="N815" s="186">
        <f t="shared" si="313"/>
        <v>0</v>
      </c>
      <c r="O815" s="29">
        <f t="shared" si="321"/>
        <v>0</v>
      </c>
      <c r="P815" s="181">
        <f t="shared" si="336"/>
        <v>1</v>
      </c>
      <c r="Q815" s="182">
        <f t="shared" si="322"/>
        <v>0</v>
      </c>
      <c r="R815" s="182">
        <f t="shared" si="323"/>
        <v>0</v>
      </c>
      <c r="S815" s="182">
        <f t="shared" si="324"/>
        <v>0</v>
      </c>
      <c r="T815" s="182">
        <f t="shared" si="325"/>
        <v>0</v>
      </c>
      <c r="U815" s="182">
        <f t="shared" si="326"/>
        <v>0</v>
      </c>
      <c r="V815" s="14">
        <f t="shared" si="327"/>
        <v>0</v>
      </c>
      <c r="W815" s="14">
        <f t="shared" si="328"/>
        <v>0</v>
      </c>
      <c r="Y815" s="14">
        <f t="shared" si="331"/>
        <v>0</v>
      </c>
      <c r="Z815" s="14">
        <f t="shared" si="332"/>
        <v>0</v>
      </c>
      <c r="AA815" s="11">
        <f t="shared" si="334"/>
        <v>0</v>
      </c>
      <c r="AB815" s="9">
        <f t="shared" si="337"/>
        <v>0</v>
      </c>
      <c r="AD815" s="13">
        <f>IF(AH815&gt;AH814,AD814,IF(AD814&lt;MiscData!$F$1,EOMONTH(AD814,1),EOMONTH(AD814,-11)))</f>
        <v>42308</v>
      </c>
      <c r="AE815" s="7" t="str">
        <f t="shared" si="329"/>
        <v>20140101KUUM_405</v>
      </c>
      <c r="AF815" s="12" t="str">
        <f t="shared" si="330"/>
        <v>20140101RLS</v>
      </c>
      <c r="AG815" s="31"/>
      <c r="AH815">
        <f>IF(AH814=MiscData!$AB$91,1,AH814+1)</f>
        <v>22</v>
      </c>
      <c r="AI815">
        <f>IF(AD815&lt;=MiscData!$B$23,MiscData!$C$23,IF(AD815&lt;=MiscData!$B$24,MiscData!$C$24,MiscData!$C$25))</f>
        <v>20140101</v>
      </c>
      <c r="AK815" s="190" t="str">
        <f>VLOOKUP(AM815,MiscData!$AB$4:$ACB$113,2,FALSE)</f>
        <v>KUUM_405</v>
      </c>
      <c r="AL815" s="190" t="str">
        <f>VLOOKUP(AM815,MiscData!$AB$4:$AE$115,4,FALSE)</f>
        <v>RLS</v>
      </c>
      <c r="AM815">
        <f>IF(AM814=MiscData!$AB$91,1,AM814+1)</f>
        <v>22</v>
      </c>
    </row>
    <row r="816" spans="1:39">
      <c r="A816" s="7">
        <f t="shared" si="333"/>
        <v>815</v>
      </c>
      <c r="B816" s="13" t="str">
        <f t="shared" si="314"/>
        <v>Oct 2015</v>
      </c>
      <c r="C816" s="23" t="str">
        <f t="shared" si="315"/>
        <v>LS</v>
      </c>
      <c r="D816" s="23" t="str">
        <f t="shared" si="316"/>
        <v>KUUM_407</v>
      </c>
      <c r="E816" s="170">
        <f t="shared" si="317"/>
        <v>0</v>
      </c>
      <c r="F816" s="185"/>
      <c r="G816" s="170">
        <f t="shared" si="318"/>
        <v>0</v>
      </c>
      <c r="H816" s="170">
        <v>0</v>
      </c>
      <c r="I816" s="11">
        <f t="shared" si="319"/>
        <v>0</v>
      </c>
      <c r="J816" s="11">
        <f t="shared" si="320"/>
        <v>0</v>
      </c>
      <c r="K816" s="416">
        <f t="shared" si="335"/>
        <v>0</v>
      </c>
      <c r="L816" s="180"/>
      <c r="M816" s="180"/>
      <c r="N816" s="186">
        <f t="shared" si="313"/>
        <v>0</v>
      </c>
      <c r="O816" s="29">
        <f t="shared" si="321"/>
        <v>0</v>
      </c>
      <c r="P816" s="181">
        <f t="shared" si="336"/>
        <v>1</v>
      </c>
      <c r="Q816" s="182">
        <f t="shared" si="322"/>
        <v>0</v>
      </c>
      <c r="R816" s="182">
        <f t="shared" si="323"/>
        <v>0</v>
      </c>
      <c r="S816" s="182">
        <f t="shared" si="324"/>
        <v>0</v>
      </c>
      <c r="T816" s="182">
        <f t="shared" si="325"/>
        <v>0</v>
      </c>
      <c r="U816" s="182">
        <f t="shared" si="326"/>
        <v>0</v>
      </c>
      <c r="V816" s="14">
        <f t="shared" si="327"/>
        <v>0</v>
      </c>
      <c r="W816" s="14">
        <f t="shared" si="328"/>
        <v>0</v>
      </c>
      <c r="Y816" s="14">
        <f t="shared" si="331"/>
        <v>0</v>
      </c>
      <c r="Z816" s="14">
        <f t="shared" si="332"/>
        <v>0</v>
      </c>
      <c r="AA816" s="11">
        <f t="shared" si="334"/>
        <v>0</v>
      </c>
      <c r="AB816" s="9">
        <f t="shared" si="337"/>
        <v>0</v>
      </c>
      <c r="AD816" s="13">
        <f>IF(AH816&gt;AH815,AD815,IF(AD815&lt;MiscData!$F$1,EOMONTH(AD815,1),EOMONTH(AD815,-11)))</f>
        <v>42308</v>
      </c>
      <c r="AE816" s="7" t="str">
        <f t="shared" si="329"/>
        <v>20140101KUUM_407</v>
      </c>
      <c r="AF816" s="12" t="str">
        <f t="shared" si="330"/>
        <v>20140101LS</v>
      </c>
      <c r="AG816" s="31"/>
      <c r="AH816">
        <f>IF(AH815=MiscData!$AB$91,1,AH815+1)</f>
        <v>23</v>
      </c>
      <c r="AI816">
        <f>IF(AD816&lt;=MiscData!$B$23,MiscData!$C$23,IF(AD816&lt;=MiscData!$B$24,MiscData!$C$24,MiscData!$C$25))</f>
        <v>20140101</v>
      </c>
      <c r="AK816" s="190" t="str">
        <f>VLOOKUP(AM816,MiscData!$AB$4:$ACB$113,2,FALSE)</f>
        <v>KUUM_407</v>
      </c>
      <c r="AL816" s="190" t="str">
        <f>VLOOKUP(AM816,MiscData!$AB$4:$AE$115,4,FALSE)</f>
        <v>LS</v>
      </c>
      <c r="AM816">
        <f>IF(AM815=MiscData!$AB$91,1,AM815+1)</f>
        <v>23</v>
      </c>
    </row>
    <row r="817" spans="1:39">
      <c r="A817" s="7">
        <f t="shared" si="333"/>
        <v>816</v>
      </c>
      <c r="B817" s="13" t="str">
        <f t="shared" si="314"/>
        <v>Oct 2015</v>
      </c>
      <c r="C817" s="23" t="str">
        <f t="shared" si="315"/>
        <v>RLS</v>
      </c>
      <c r="D817" s="23" t="str">
        <f t="shared" si="316"/>
        <v>KUUM_409</v>
      </c>
      <c r="E817" s="170">
        <f t="shared" si="317"/>
        <v>134</v>
      </c>
      <c r="F817" s="185"/>
      <c r="G817" s="170">
        <f t="shared" si="318"/>
        <v>0</v>
      </c>
      <c r="H817" s="170">
        <v>0</v>
      </c>
      <c r="I817" s="11">
        <f t="shared" si="319"/>
        <v>11.71</v>
      </c>
      <c r="J817" s="11">
        <f t="shared" si="320"/>
        <v>4.5299999999999994</v>
      </c>
      <c r="K817" s="416">
        <f t="shared" si="335"/>
        <v>1569.14</v>
      </c>
      <c r="L817" s="180"/>
      <c r="M817" s="180"/>
      <c r="N817" s="186">
        <f t="shared" si="313"/>
        <v>1569.14</v>
      </c>
      <c r="O817" s="29">
        <f t="shared" si="321"/>
        <v>0</v>
      </c>
      <c r="P817" s="181">
        <f t="shared" si="336"/>
        <v>0</v>
      </c>
      <c r="Q817" s="182">
        <f t="shared" si="322"/>
        <v>0</v>
      </c>
      <c r="R817" s="182">
        <f t="shared" si="323"/>
        <v>0</v>
      </c>
      <c r="S817" s="182">
        <f t="shared" si="324"/>
        <v>0</v>
      </c>
      <c r="T817" s="182">
        <f t="shared" si="325"/>
        <v>0</v>
      </c>
      <c r="U817" s="182">
        <f t="shared" si="326"/>
        <v>0</v>
      </c>
      <c r="V817" s="14">
        <f t="shared" si="327"/>
        <v>1569.14</v>
      </c>
      <c r="W817" s="14">
        <f t="shared" si="328"/>
        <v>-1569.14</v>
      </c>
      <c r="Y817" s="14">
        <f t="shared" si="331"/>
        <v>607.02</v>
      </c>
      <c r="Z817" s="14">
        <f t="shared" si="332"/>
        <v>-607.02</v>
      </c>
      <c r="AA817" s="11">
        <f t="shared" si="334"/>
        <v>0.79</v>
      </c>
      <c r="AB817" s="9">
        <f t="shared" si="337"/>
        <v>105.86</v>
      </c>
      <c r="AD817" s="13">
        <f>IF(AH817&gt;AH816,AD816,IF(AD816&lt;MiscData!$F$1,EOMONTH(AD816,1),EOMONTH(AD816,-11)))</f>
        <v>42308</v>
      </c>
      <c r="AE817" s="7" t="str">
        <f t="shared" si="329"/>
        <v>20140101KUUM_409</v>
      </c>
      <c r="AF817" s="12" t="str">
        <f t="shared" si="330"/>
        <v>20140101RLS</v>
      </c>
      <c r="AG817" s="31"/>
      <c r="AH817">
        <f>IF(AH816=MiscData!$AB$91,1,AH816+1)</f>
        <v>24</v>
      </c>
      <c r="AI817">
        <f>IF(AD817&lt;=MiscData!$B$23,MiscData!$C$23,IF(AD817&lt;=MiscData!$B$24,MiscData!$C$24,MiscData!$C$25))</f>
        <v>20140101</v>
      </c>
      <c r="AK817" s="190" t="str">
        <f>VLOOKUP(AM817,MiscData!$AB$4:$ACB$113,2,FALSE)</f>
        <v>KUUM_409</v>
      </c>
      <c r="AL817" s="190" t="str">
        <f>VLOOKUP(AM817,MiscData!$AB$4:$AE$115,4,FALSE)</f>
        <v>RLS</v>
      </c>
      <c r="AM817">
        <f>IF(AM816=MiscData!$AB$91,1,AM816+1)</f>
        <v>24</v>
      </c>
    </row>
    <row r="818" spans="1:39">
      <c r="A818" s="7">
        <f t="shared" si="333"/>
        <v>817</v>
      </c>
      <c r="B818" s="13" t="str">
        <f t="shared" si="314"/>
        <v>Oct 2015</v>
      </c>
      <c r="C818" s="23" t="str">
        <f t="shared" si="315"/>
        <v>RLS</v>
      </c>
      <c r="D818" s="23" t="str">
        <f t="shared" si="316"/>
        <v>KUUM_410</v>
      </c>
      <c r="E818" s="170">
        <f t="shared" si="317"/>
        <v>236</v>
      </c>
      <c r="F818" s="185"/>
      <c r="G818" s="170">
        <f t="shared" si="318"/>
        <v>0</v>
      </c>
      <c r="H818" s="170">
        <v>0</v>
      </c>
      <c r="I818" s="11">
        <f t="shared" si="319"/>
        <v>20.259999999999998</v>
      </c>
      <c r="J818" s="11">
        <f t="shared" si="320"/>
        <v>0.57000000000000028</v>
      </c>
      <c r="K818" s="416">
        <f t="shared" si="335"/>
        <v>4781.3599999999997</v>
      </c>
      <c r="L818" s="180"/>
      <c r="M818" s="180"/>
      <c r="N818" s="186">
        <f t="shared" si="313"/>
        <v>4781.3599999999997</v>
      </c>
      <c r="O818" s="29">
        <f t="shared" si="321"/>
        <v>0</v>
      </c>
      <c r="P818" s="181">
        <f t="shared" si="336"/>
        <v>0</v>
      </c>
      <c r="Q818" s="182">
        <f t="shared" si="322"/>
        <v>0</v>
      </c>
      <c r="R818" s="182">
        <f t="shared" si="323"/>
        <v>0</v>
      </c>
      <c r="S818" s="182">
        <f t="shared" si="324"/>
        <v>0</v>
      </c>
      <c r="T818" s="182">
        <f t="shared" si="325"/>
        <v>0</v>
      </c>
      <c r="U818" s="182">
        <f t="shared" si="326"/>
        <v>0</v>
      </c>
      <c r="V818" s="14">
        <f t="shared" si="327"/>
        <v>4781.3599999999997</v>
      </c>
      <c r="W818" s="14">
        <f t="shared" si="328"/>
        <v>-4781.3599999999997</v>
      </c>
      <c r="Y818" s="14">
        <f t="shared" si="331"/>
        <v>134.52000000000001</v>
      </c>
      <c r="Z818" s="14">
        <f t="shared" si="332"/>
        <v>-134.52000000000001</v>
      </c>
      <c r="AA818" s="11">
        <f t="shared" si="334"/>
        <v>0.33</v>
      </c>
      <c r="AB818" s="9">
        <f t="shared" si="337"/>
        <v>77.88000000000001</v>
      </c>
      <c r="AD818" s="13">
        <f>IF(AH818&gt;AH817,AD817,IF(AD817&lt;MiscData!$F$1,EOMONTH(AD817,1),EOMONTH(AD817,-11)))</f>
        <v>42308</v>
      </c>
      <c r="AE818" s="7" t="str">
        <f t="shared" si="329"/>
        <v>20140101KUUM_410</v>
      </c>
      <c r="AF818" s="12" t="str">
        <f t="shared" si="330"/>
        <v>20140101RLS</v>
      </c>
      <c r="AG818" s="31"/>
      <c r="AH818">
        <f>IF(AH817=MiscData!$AB$91,1,AH817+1)</f>
        <v>25</v>
      </c>
      <c r="AI818">
        <f>IF(AD818&lt;=MiscData!$B$23,MiscData!$C$23,IF(AD818&lt;=MiscData!$B$24,MiscData!$C$24,MiscData!$C$25))</f>
        <v>20140101</v>
      </c>
      <c r="AK818" s="190" t="str">
        <f>VLOOKUP(AM818,MiscData!$AB$4:$ACB$113,2,FALSE)</f>
        <v>KUUM_410</v>
      </c>
      <c r="AL818" s="190" t="str">
        <f>VLOOKUP(AM818,MiscData!$AB$4:$AE$115,4,FALSE)</f>
        <v>RLS</v>
      </c>
      <c r="AM818">
        <f>IF(AM817=MiscData!$AB$91,1,AM817+1)</f>
        <v>25</v>
      </c>
    </row>
    <row r="819" spans="1:39">
      <c r="A819" s="7">
        <f t="shared" si="333"/>
        <v>818</v>
      </c>
      <c r="B819" s="13" t="str">
        <f t="shared" si="314"/>
        <v>Oct 2015</v>
      </c>
      <c r="C819" s="23" t="str">
        <f t="shared" si="315"/>
        <v>LS</v>
      </c>
      <c r="D819" s="23" t="str">
        <f t="shared" si="316"/>
        <v>KUUM_411</v>
      </c>
      <c r="E819" s="170">
        <f t="shared" si="317"/>
        <v>142</v>
      </c>
      <c r="F819" s="185"/>
      <c r="G819" s="170">
        <f t="shared" si="318"/>
        <v>0</v>
      </c>
      <c r="H819" s="170">
        <v>0</v>
      </c>
      <c r="I819" s="11">
        <f t="shared" si="319"/>
        <v>21.38</v>
      </c>
      <c r="J819" s="11">
        <f t="shared" si="320"/>
        <v>0.79999999999999716</v>
      </c>
      <c r="K819" s="416">
        <f t="shared" si="335"/>
        <v>3035.96</v>
      </c>
      <c r="L819" s="180"/>
      <c r="M819" s="180"/>
      <c r="N819" s="186">
        <f t="shared" si="313"/>
        <v>3035.96</v>
      </c>
      <c r="O819" s="29">
        <f t="shared" si="321"/>
        <v>0</v>
      </c>
      <c r="P819" s="181">
        <f t="shared" si="336"/>
        <v>0</v>
      </c>
      <c r="Q819" s="182">
        <f t="shared" si="322"/>
        <v>0</v>
      </c>
      <c r="R819" s="182">
        <f t="shared" si="323"/>
        <v>0</v>
      </c>
      <c r="S819" s="182">
        <f t="shared" si="324"/>
        <v>0</v>
      </c>
      <c r="T819" s="182">
        <f t="shared" si="325"/>
        <v>0</v>
      </c>
      <c r="U819" s="182">
        <f t="shared" si="326"/>
        <v>0</v>
      </c>
      <c r="V819" s="14">
        <f t="shared" si="327"/>
        <v>3035.96</v>
      </c>
      <c r="W819" s="14">
        <f t="shared" si="328"/>
        <v>-3035.96</v>
      </c>
      <c r="Y819" s="14">
        <f t="shared" si="331"/>
        <v>113.6</v>
      </c>
      <c r="Z819" s="14">
        <f t="shared" si="332"/>
        <v>-113.6</v>
      </c>
      <c r="AA819" s="11">
        <f t="shared" si="334"/>
        <v>0.43</v>
      </c>
      <c r="AB819" s="9">
        <f t="shared" si="337"/>
        <v>61.06</v>
      </c>
      <c r="AD819" s="13">
        <f>IF(AH819&gt;AH818,AD818,IF(AD818&lt;MiscData!$F$1,EOMONTH(AD818,1),EOMONTH(AD818,-11)))</f>
        <v>42308</v>
      </c>
      <c r="AE819" s="7" t="str">
        <f t="shared" si="329"/>
        <v>20140101KUUM_411</v>
      </c>
      <c r="AF819" s="12" t="str">
        <f t="shared" si="330"/>
        <v>20140101LS</v>
      </c>
      <c r="AG819" s="31"/>
      <c r="AH819">
        <f>IF(AH818=MiscData!$AB$91,1,AH818+1)</f>
        <v>26</v>
      </c>
      <c r="AI819">
        <f>IF(AD819&lt;=MiscData!$B$23,MiscData!$C$23,IF(AD819&lt;=MiscData!$B$24,MiscData!$C$24,MiscData!$C$25))</f>
        <v>20140101</v>
      </c>
      <c r="AK819" s="190" t="str">
        <f>VLOOKUP(AM819,MiscData!$AB$4:$ACB$113,2,FALSE)</f>
        <v>KUUM_411</v>
      </c>
      <c r="AL819" s="190" t="str">
        <f>VLOOKUP(AM819,MiscData!$AB$4:$AE$115,4,FALSE)</f>
        <v>LS</v>
      </c>
      <c r="AM819">
        <f>IF(AM818=MiscData!$AB$91,1,AM818+1)</f>
        <v>26</v>
      </c>
    </row>
    <row r="820" spans="1:39">
      <c r="A820" s="7">
        <f t="shared" si="333"/>
        <v>819</v>
      </c>
      <c r="B820" s="13" t="str">
        <f t="shared" si="314"/>
        <v>Oct 2015</v>
      </c>
      <c r="C820" s="23" t="str">
        <f t="shared" si="315"/>
        <v>RLS</v>
      </c>
      <c r="D820" s="23" t="str">
        <f t="shared" si="316"/>
        <v>KUUM_412</v>
      </c>
      <c r="E820" s="170">
        <f t="shared" si="317"/>
        <v>28</v>
      </c>
      <c r="F820" s="185"/>
      <c r="G820" s="170">
        <f t="shared" si="318"/>
        <v>0</v>
      </c>
      <c r="H820" s="170">
        <v>0</v>
      </c>
      <c r="I820" s="11">
        <f t="shared" si="319"/>
        <v>30.84</v>
      </c>
      <c r="J820" s="11">
        <f t="shared" si="320"/>
        <v>0.79999999999999716</v>
      </c>
      <c r="K820" s="416">
        <f t="shared" si="335"/>
        <v>863.52</v>
      </c>
      <c r="L820" s="180"/>
      <c r="M820" s="180"/>
      <c r="N820" s="186">
        <f t="shared" si="313"/>
        <v>863.52</v>
      </c>
      <c r="O820" s="29">
        <f t="shared" si="321"/>
        <v>0</v>
      </c>
      <c r="P820" s="181">
        <f t="shared" si="336"/>
        <v>0</v>
      </c>
      <c r="Q820" s="182">
        <f t="shared" si="322"/>
        <v>0</v>
      </c>
      <c r="R820" s="182">
        <f t="shared" si="323"/>
        <v>0</v>
      </c>
      <c r="S820" s="182">
        <f t="shared" si="324"/>
        <v>0</v>
      </c>
      <c r="T820" s="182">
        <f t="shared" si="325"/>
        <v>0</v>
      </c>
      <c r="U820" s="182">
        <f t="shared" si="326"/>
        <v>0</v>
      </c>
      <c r="V820" s="14">
        <f t="shared" si="327"/>
        <v>863.52</v>
      </c>
      <c r="W820" s="14">
        <f t="shared" si="328"/>
        <v>-863.52</v>
      </c>
      <c r="Y820" s="14">
        <f t="shared" si="331"/>
        <v>22.4</v>
      </c>
      <c r="Z820" s="14">
        <f t="shared" si="332"/>
        <v>-22.4</v>
      </c>
      <c r="AA820" s="11">
        <f t="shared" si="334"/>
        <v>0.43</v>
      </c>
      <c r="AB820" s="9">
        <f t="shared" si="337"/>
        <v>12.04</v>
      </c>
      <c r="AD820" s="13">
        <f>IF(AH820&gt;AH819,AD819,IF(AD819&lt;MiscData!$F$1,EOMONTH(AD819,1),EOMONTH(AD819,-11)))</f>
        <v>42308</v>
      </c>
      <c r="AE820" s="7" t="str">
        <f t="shared" si="329"/>
        <v>20140101KUUM_412</v>
      </c>
      <c r="AF820" s="12" t="str">
        <f t="shared" si="330"/>
        <v>20140101RLS</v>
      </c>
      <c r="AG820" s="31"/>
      <c r="AH820">
        <f>IF(AH819=MiscData!$AB$91,1,AH819+1)</f>
        <v>27</v>
      </c>
      <c r="AI820">
        <f>IF(AD820&lt;=MiscData!$B$23,MiscData!$C$23,IF(AD820&lt;=MiscData!$B$24,MiscData!$C$24,MiscData!$C$25))</f>
        <v>20140101</v>
      </c>
      <c r="AK820" s="190" t="str">
        <f>VLOOKUP(AM820,MiscData!$AB$4:$ACB$113,2,FALSE)</f>
        <v>KUUM_412</v>
      </c>
      <c r="AL820" s="190" t="str">
        <f>VLOOKUP(AM820,MiscData!$AB$4:$AE$115,4,FALSE)</f>
        <v>RLS</v>
      </c>
      <c r="AM820">
        <f>IF(AM819=MiscData!$AB$91,1,AM819+1)</f>
        <v>27</v>
      </c>
    </row>
    <row r="821" spans="1:39">
      <c r="A821" s="7">
        <f t="shared" si="333"/>
        <v>820</v>
      </c>
      <c r="B821" s="13" t="str">
        <f t="shared" si="314"/>
        <v>Oct 2015</v>
      </c>
      <c r="C821" s="23" t="str">
        <f t="shared" si="315"/>
        <v>RLS</v>
      </c>
      <c r="D821" s="23" t="str">
        <f t="shared" si="316"/>
        <v>KUUM_413</v>
      </c>
      <c r="E821" s="170">
        <f t="shared" si="317"/>
        <v>95</v>
      </c>
      <c r="F821" s="185"/>
      <c r="G821" s="170">
        <f t="shared" si="318"/>
        <v>0</v>
      </c>
      <c r="H821" s="170">
        <v>0</v>
      </c>
      <c r="I821" s="11">
        <f t="shared" si="319"/>
        <v>31.22</v>
      </c>
      <c r="J821" s="11">
        <f t="shared" si="320"/>
        <v>1.129999999999999</v>
      </c>
      <c r="K821" s="416">
        <f t="shared" si="335"/>
        <v>2965.9</v>
      </c>
      <c r="L821" s="180"/>
      <c r="M821" s="180"/>
      <c r="N821" s="186">
        <f t="shared" si="313"/>
        <v>2965.9</v>
      </c>
      <c r="O821" s="29">
        <f t="shared" si="321"/>
        <v>0</v>
      </c>
      <c r="P821" s="181">
        <f t="shared" si="336"/>
        <v>0</v>
      </c>
      <c r="Q821" s="182">
        <f t="shared" si="322"/>
        <v>0</v>
      </c>
      <c r="R821" s="182">
        <f t="shared" si="323"/>
        <v>0</v>
      </c>
      <c r="S821" s="182">
        <f t="shared" si="324"/>
        <v>0</v>
      </c>
      <c r="T821" s="182">
        <f t="shared" si="325"/>
        <v>0</v>
      </c>
      <c r="U821" s="182">
        <f t="shared" si="326"/>
        <v>0</v>
      </c>
      <c r="V821" s="14">
        <f t="shared" si="327"/>
        <v>2965.9</v>
      </c>
      <c r="W821" s="14">
        <f t="shared" si="328"/>
        <v>-2965.9</v>
      </c>
      <c r="Y821" s="14">
        <f t="shared" si="331"/>
        <v>107.35</v>
      </c>
      <c r="Z821" s="14">
        <f t="shared" si="332"/>
        <v>-107.35</v>
      </c>
      <c r="AA821" s="11">
        <f t="shared" si="334"/>
        <v>0.34</v>
      </c>
      <c r="AB821" s="9">
        <f t="shared" si="337"/>
        <v>32.300000000000004</v>
      </c>
      <c r="AD821" s="13">
        <f>IF(AH821&gt;AH820,AD820,IF(AD820&lt;MiscData!$F$1,EOMONTH(AD820,1),EOMONTH(AD820,-11)))</f>
        <v>42308</v>
      </c>
      <c r="AE821" s="7" t="str">
        <f t="shared" si="329"/>
        <v>20140101KUUM_413</v>
      </c>
      <c r="AF821" s="12" t="str">
        <f t="shared" si="330"/>
        <v>20140101RLS</v>
      </c>
      <c r="AG821" s="31"/>
      <c r="AH821">
        <f>IF(AH820=MiscData!$AB$91,1,AH820+1)</f>
        <v>28</v>
      </c>
      <c r="AI821">
        <f>IF(AD821&lt;=MiscData!$B$23,MiscData!$C$23,IF(AD821&lt;=MiscData!$B$24,MiscData!$C$24,MiscData!$C$25))</f>
        <v>20140101</v>
      </c>
      <c r="AK821" s="190" t="str">
        <f>VLOOKUP(AM821,MiscData!$AB$4:$ACB$113,2,FALSE)</f>
        <v>KUUM_413</v>
      </c>
      <c r="AL821" s="190" t="str">
        <f>VLOOKUP(AM821,MiscData!$AB$4:$AE$115,4,FALSE)</f>
        <v>RLS</v>
      </c>
      <c r="AM821">
        <f>IF(AM820=MiscData!$AB$91,1,AM820+1)</f>
        <v>28</v>
      </c>
    </row>
    <row r="822" spans="1:39">
      <c r="A822" s="7">
        <f t="shared" si="333"/>
        <v>821</v>
      </c>
      <c r="B822" s="13" t="str">
        <f t="shared" si="314"/>
        <v>Oct 2015</v>
      </c>
      <c r="C822" s="23" t="str">
        <f t="shared" si="315"/>
        <v>LS</v>
      </c>
      <c r="D822" s="23" t="str">
        <f t="shared" si="316"/>
        <v>KUUM_414</v>
      </c>
      <c r="E822" s="170">
        <f t="shared" si="317"/>
        <v>21</v>
      </c>
      <c r="F822" s="185"/>
      <c r="G822" s="170">
        <f t="shared" si="318"/>
        <v>0</v>
      </c>
      <c r="H822" s="170">
        <v>0</v>
      </c>
      <c r="I822" s="11">
        <f t="shared" si="319"/>
        <v>30.84</v>
      </c>
      <c r="J822" s="11">
        <f t="shared" si="320"/>
        <v>0.79999999999999716</v>
      </c>
      <c r="K822" s="416">
        <f t="shared" si="335"/>
        <v>647.64</v>
      </c>
      <c r="L822" s="180"/>
      <c r="M822" s="180"/>
      <c r="N822" s="186">
        <f t="shared" si="313"/>
        <v>647.64</v>
      </c>
      <c r="O822" s="29">
        <f t="shared" si="321"/>
        <v>0</v>
      </c>
      <c r="P822" s="181">
        <f t="shared" si="336"/>
        <v>0</v>
      </c>
      <c r="Q822" s="182">
        <f t="shared" si="322"/>
        <v>0</v>
      </c>
      <c r="R822" s="182">
        <f t="shared" si="323"/>
        <v>0</v>
      </c>
      <c r="S822" s="182">
        <f t="shared" si="324"/>
        <v>0</v>
      </c>
      <c r="T822" s="182">
        <f t="shared" si="325"/>
        <v>0</v>
      </c>
      <c r="U822" s="182">
        <f t="shared" si="326"/>
        <v>0</v>
      </c>
      <c r="V822" s="14">
        <f t="shared" si="327"/>
        <v>647.64</v>
      </c>
      <c r="W822" s="14">
        <f t="shared" si="328"/>
        <v>-647.64</v>
      </c>
      <c r="Y822" s="14">
        <f t="shared" si="331"/>
        <v>16.8</v>
      </c>
      <c r="Z822" s="14">
        <f t="shared" si="332"/>
        <v>-16.8</v>
      </c>
      <c r="AA822" s="11">
        <f t="shared" si="334"/>
        <v>0.43</v>
      </c>
      <c r="AB822" s="9">
        <f t="shared" si="337"/>
        <v>9.0299999999999994</v>
      </c>
      <c r="AD822" s="13">
        <f>IF(AH822&gt;AH821,AD821,IF(AD821&lt;MiscData!$F$1,EOMONTH(AD821,1),EOMONTH(AD821,-11)))</f>
        <v>42308</v>
      </c>
      <c r="AE822" s="7" t="str">
        <f t="shared" si="329"/>
        <v>20140101KUUM_414</v>
      </c>
      <c r="AF822" s="12" t="str">
        <f t="shared" si="330"/>
        <v>20140101LS</v>
      </c>
      <c r="AG822" s="31"/>
      <c r="AH822">
        <f>IF(AH821=MiscData!$AB$91,1,AH821+1)</f>
        <v>29</v>
      </c>
      <c r="AI822">
        <f>IF(AD822&lt;=MiscData!$B$23,MiscData!$C$23,IF(AD822&lt;=MiscData!$B$24,MiscData!$C$24,MiscData!$C$25))</f>
        <v>20140101</v>
      </c>
      <c r="AK822" s="190" t="str">
        <f>VLOOKUP(AM822,MiscData!$AB$4:$ACB$113,2,FALSE)</f>
        <v>KUUM_414</v>
      </c>
      <c r="AL822" s="190" t="str">
        <f>VLOOKUP(AM822,MiscData!$AB$4:$AE$115,4,FALSE)</f>
        <v>LS</v>
      </c>
      <c r="AM822">
        <f>IF(AM821=MiscData!$AB$91,1,AM821+1)</f>
        <v>29</v>
      </c>
    </row>
    <row r="823" spans="1:39">
      <c r="A823" s="7">
        <f t="shared" si="333"/>
        <v>822</v>
      </c>
      <c r="B823" s="13" t="str">
        <f t="shared" si="314"/>
        <v>Oct 2015</v>
      </c>
      <c r="C823" s="23" t="str">
        <f t="shared" si="315"/>
        <v>LS</v>
      </c>
      <c r="D823" s="23" t="str">
        <f t="shared" si="316"/>
        <v>KUUM_415</v>
      </c>
      <c r="E823" s="170">
        <f t="shared" si="317"/>
        <v>10</v>
      </c>
      <c r="F823" s="185"/>
      <c r="G823" s="170">
        <f t="shared" si="318"/>
        <v>0</v>
      </c>
      <c r="H823" s="170">
        <v>0</v>
      </c>
      <c r="I823" s="11">
        <f t="shared" si="319"/>
        <v>31.22</v>
      </c>
      <c r="J823" s="11">
        <f t="shared" si="320"/>
        <v>1.129999999999999</v>
      </c>
      <c r="K823" s="416">
        <f t="shared" si="335"/>
        <v>312.2</v>
      </c>
      <c r="L823" s="180"/>
      <c r="M823" s="180"/>
      <c r="N823" s="186">
        <f t="shared" si="313"/>
        <v>312.2</v>
      </c>
      <c r="O823" s="29">
        <f t="shared" si="321"/>
        <v>0</v>
      </c>
      <c r="P823" s="181">
        <f t="shared" si="336"/>
        <v>0</v>
      </c>
      <c r="Q823" s="182">
        <f t="shared" si="322"/>
        <v>0</v>
      </c>
      <c r="R823" s="182">
        <f t="shared" si="323"/>
        <v>0</v>
      </c>
      <c r="S823" s="182">
        <f t="shared" si="324"/>
        <v>0</v>
      </c>
      <c r="T823" s="182">
        <f t="shared" si="325"/>
        <v>0</v>
      </c>
      <c r="U823" s="182">
        <f t="shared" si="326"/>
        <v>0</v>
      </c>
      <c r="V823" s="14">
        <f t="shared" si="327"/>
        <v>312.2</v>
      </c>
      <c r="W823" s="14">
        <f t="shared" si="328"/>
        <v>-312.2</v>
      </c>
      <c r="Y823" s="14">
        <f t="shared" si="331"/>
        <v>11.3</v>
      </c>
      <c r="Z823" s="14">
        <f t="shared" si="332"/>
        <v>-11.3</v>
      </c>
      <c r="AA823" s="11">
        <f t="shared" si="334"/>
        <v>0.34</v>
      </c>
      <c r="AB823" s="9">
        <f t="shared" si="337"/>
        <v>3.4000000000000004</v>
      </c>
      <c r="AD823" s="13">
        <f>IF(AH823&gt;AH822,AD822,IF(AD822&lt;MiscData!$F$1,EOMONTH(AD822,1),EOMONTH(AD822,-11)))</f>
        <v>42308</v>
      </c>
      <c r="AE823" s="7" t="str">
        <f t="shared" si="329"/>
        <v>20140101KUUM_415</v>
      </c>
      <c r="AF823" s="12" t="str">
        <f t="shared" si="330"/>
        <v>20140101LS</v>
      </c>
      <c r="AG823" s="31"/>
      <c r="AH823">
        <f>IF(AH822=MiscData!$AB$91,1,AH822+1)</f>
        <v>30</v>
      </c>
      <c r="AI823">
        <f>IF(AD823&lt;=MiscData!$B$23,MiscData!$C$23,IF(AD823&lt;=MiscData!$B$24,MiscData!$C$24,MiscData!$C$25))</f>
        <v>20140101</v>
      </c>
      <c r="AK823" s="190" t="str">
        <f>VLOOKUP(AM823,MiscData!$AB$4:$ACB$113,2,FALSE)</f>
        <v>KUUM_415</v>
      </c>
      <c r="AL823" s="190" t="str">
        <f>VLOOKUP(AM823,MiscData!$AB$4:$AE$115,4,FALSE)</f>
        <v>LS</v>
      </c>
      <c r="AM823">
        <f>IF(AM822=MiscData!$AB$91,1,AM822+1)</f>
        <v>30</v>
      </c>
    </row>
    <row r="824" spans="1:39">
      <c r="A824" s="7">
        <f t="shared" si="333"/>
        <v>823</v>
      </c>
      <c r="B824" s="13" t="str">
        <f t="shared" si="314"/>
        <v>Oct 2015</v>
      </c>
      <c r="C824" s="23" t="str">
        <f t="shared" si="315"/>
        <v>LS</v>
      </c>
      <c r="D824" s="23" t="str">
        <f t="shared" si="316"/>
        <v>KUUM_420</v>
      </c>
      <c r="E824" s="170">
        <f t="shared" si="317"/>
        <v>468</v>
      </c>
      <c r="F824" s="185"/>
      <c r="G824" s="170">
        <f t="shared" si="318"/>
        <v>0</v>
      </c>
      <c r="H824" s="170">
        <v>0</v>
      </c>
      <c r="I824" s="11">
        <f t="shared" si="319"/>
        <v>15.360000000000001</v>
      </c>
      <c r="J824" s="11">
        <f t="shared" si="320"/>
        <v>1.1300000000000008</v>
      </c>
      <c r="K824" s="416">
        <f t="shared" si="335"/>
        <v>7188.48</v>
      </c>
      <c r="L824" s="180"/>
      <c r="M824" s="180"/>
      <c r="N824" s="186">
        <f t="shared" ref="N824:N887" si="338">SUM(K824:M824)</f>
        <v>7188.48</v>
      </c>
      <c r="O824" s="29">
        <f t="shared" si="321"/>
        <v>0</v>
      </c>
      <c r="P824" s="181">
        <f t="shared" si="336"/>
        <v>0</v>
      </c>
      <c r="Q824" s="182">
        <f t="shared" si="322"/>
        <v>0</v>
      </c>
      <c r="R824" s="182">
        <f t="shared" si="323"/>
        <v>0</v>
      </c>
      <c r="S824" s="182">
        <f t="shared" si="324"/>
        <v>0</v>
      </c>
      <c r="T824" s="182">
        <f t="shared" si="325"/>
        <v>0</v>
      </c>
      <c r="U824" s="182">
        <f t="shared" si="326"/>
        <v>0</v>
      </c>
      <c r="V824" s="14">
        <f t="shared" si="327"/>
        <v>7188.48</v>
      </c>
      <c r="W824" s="14">
        <f t="shared" si="328"/>
        <v>-7188.48</v>
      </c>
      <c r="Y824" s="14">
        <f t="shared" si="331"/>
        <v>528.84</v>
      </c>
      <c r="Z824" s="14">
        <f t="shared" si="332"/>
        <v>-528.84</v>
      </c>
      <c r="AA824" s="11">
        <f t="shared" si="334"/>
        <v>0.34</v>
      </c>
      <c r="AB824" s="9">
        <f t="shared" si="337"/>
        <v>159.12</v>
      </c>
      <c r="AD824" s="13">
        <f>IF(AH824&gt;AH823,AD823,IF(AD823&lt;MiscData!$F$1,EOMONTH(AD823,1),EOMONTH(AD823,-11)))</f>
        <v>42308</v>
      </c>
      <c r="AE824" s="7" t="str">
        <f t="shared" si="329"/>
        <v>20140101KUUM_420</v>
      </c>
      <c r="AF824" s="12" t="str">
        <f t="shared" si="330"/>
        <v>20140101LS</v>
      </c>
      <c r="AG824" s="31"/>
      <c r="AH824">
        <f>IF(AH823=MiscData!$AB$91,1,AH823+1)</f>
        <v>31</v>
      </c>
      <c r="AI824">
        <f>IF(AD824&lt;=MiscData!$B$23,MiscData!$C$23,IF(AD824&lt;=MiscData!$B$24,MiscData!$C$24,MiscData!$C$25))</f>
        <v>20140101</v>
      </c>
      <c r="AK824" s="190" t="str">
        <f>VLOOKUP(AM824,MiscData!$AB$4:$ACB$113,2,FALSE)</f>
        <v>KUUM_420</v>
      </c>
      <c r="AL824" s="190" t="str">
        <f>VLOOKUP(AM824,MiscData!$AB$4:$AE$115,4,FALSE)</f>
        <v>LS</v>
      </c>
      <c r="AM824">
        <f>IF(AM823=MiscData!$AB$91,1,AM823+1)</f>
        <v>31</v>
      </c>
    </row>
    <row r="825" spans="1:39">
      <c r="A825" s="7">
        <f t="shared" si="333"/>
        <v>824</v>
      </c>
      <c r="B825" s="13" t="str">
        <f t="shared" si="314"/>
        <v>Oct 2015</v>
      </c>
      <c r="C825" s="23" t="str">
        <f t="shared" si="315"/>
        <v>RLS</v>
      </c>
      <c r="D825" s="23" t="str">
        <f t="shared" si="316"/>
        <v>KUUM_421</v>
      </c>
      <c r="E825" s="170">
        <f t="shared" si="317"/>
        <v>5</v>
      </c>
      <c r="F825" s="185"/>
      <c r="G825" s="170">
        <f t="shared" si="318"/>
        <v>0</v>
      </c>
      <c r="H825" s="170">
        <v>0</v>
      </c>
      <c r="I825" s="11">
        <f t="shared" si="319"/>
        <v>3.39</v>
      </c>
      <c r="J825" s="11">
        <f t="shared" si="320"/>
        <v>0.98999999999999977</v>
      </c>
      <c r="K825" s="416">
        <f t="shared" si="335"/>
        <v>16.95</v>
      </c>
      <c r="L825" s="180"/>
      <c r="M825" s="180"/>
      <c r="N825" s="186">
        <f t="shared" si="338"/>
        <v>16.95</v>
      </c>
      <c r="O825" s="29">
        <f t="shared" si="321"/>
        <v>0</v>
      </c>
      <c r="P825" s="181">
        <f t="shared" si="336"/>
        <v>0</v>
      </c>
      <c r="Q825" s="182">
        <f t="shared" si="322"/>
        <v>0</v>
      </c>
      <c r="R825" s="182">
        <f t="shared" si="323"/>
        <v>0</v>
      </c>
      <c r="S825" s="182">
        <f t="shared" si="324"/>
        <v>0</v>
      </c>
      <c r="T825" s="182">
        <f t="shared" si="325"/>
        <v>0</v>
      </c>
      <c r="U825" s="182">
        <f t="shared" si="326"/>
        <v>0</v>
      </c>
      <c r="V825" s="14">
        <f t="shared" si="327"/>
        <v>16.95</v>
      </c>
      <c r="W825" s="14">
        <f t="shared" si="328"/>
        <v>-16.95</v>
      </c>
      <c r="Y825" s="14">
        <f t="shared" si="331"/>
        <v>4.95</v>
      </c>
      <c r="Z825" s="14">
        <f t="shared" si="332"/>
        <v>-4.95</v>
      </c>
      <c r="AA825" s="11">
        <f t="shared" si="334"/>
        <v>0.12</v>
      </c>
      <c r="AB825" s="9">
        <f t="shared" si="337"/>
        <v>0.6</v>
      </c>
      <c r="AD825" s="13">
        <f>IF(AH825&gt;AH824,AD824,IF(AD824&lt;MiscData!$F$1,EOMONTH(AD824,1),EOMONTH(AD824,-11)))</f>
        <v>42308</v>
      </c>
      <c r="AE825" s="7" t="str">
        <f t="shared" si="329"/>
        <v>20140101KUUM_421</v>
      </c>
      <c r="AF825" s="12" t="str">
        <f t="shared" si="330"/>
        <v>20140101RLS</v>
      </c>
      <c r="AG825" s="31"/>
      <c r="AH825">
        <f>IF(AH824=MiscData!$AB$91,1,AH824+1)</f>
        <v>32</v>
      </c>
      <c r="AI825">
        <f>IF(AD825&lt;=MiscData!$B$23,MiscData!$C$23,IF(AD825&lt;=MiscData!$B$24,MiscData!$C$24,MiscData!$C$25))</f>
        <v>20140101</v>
      </c>
      <c r="AK825" s="190" t="str">
        <f>VLOOKUP(AM825,MiscData!$AB$4:$ACB$113,2,FALSE)</f>
        <v>KUUM_421</v>
      </c>
      <c r="AL825" s="190" t="str">
        <f>VLOOKUP(AM825,MiscData!$AB$4:$AE$115,4,FALSE)</f>
        <v>RLS</v>
      </c>
      <c r="AM825">
        <f>IF(AM824=MiscData!$AB$91,1,AM824+1)</f>
        <v>32</v>
      </c>
    </row>
    <row r="826" spans="1:39">
      <c r="A826" s="7">
        <f t="shared" si="333"/>
        <v>825</v>
      </c>
      <c r="B826" s="13" t="str">
        <f t="shared" ref="B826:B889" si="339">TEXT(AD826,"mmm yyyy")</f>
        <v>Oct 2015</v>
      </c>
      <c r="C826" s="23" t="str">
        <f t="shared" ref="C826:C889" si="340">AL826</f>
        <v>RLS</v>
      </c>
      <c r="D826" s="23" t="str">
        <f t="shared" ref="D826:D889" si="341">AK826</f>
        <v>KUUM_422</v>
      </c>
      <c r="E826" s="170">
        <f t="shared" ref="E826:E889" si="342">SUMIFS(_1055_Light_Count,_1055_RevMonth,$B826,_1055_RateCategory,$D826)</f>
        <v>676</v>
      </c>
      <c r="F826" s="185"/>
      <c r="G826" s="170">
        <f t="shared" ref="G826:G888" si="343">SUMIFS(_SBR_KWH,_SBR_Revenue_Month,$B826,_SBR_Rate_Category,$D826)</f>
        <v>0</v>
      </c>
      <c r="H826" s="170">
        <v>0</v>
      </c>
      <c r="I826" s="11">
        <f t="shared" ref="I826:I889" si="344">SUMIF(_Lights_Tariff_Category,$AE826,_Lights_Rates)</f>
        <v>4.5400000000000009</v>
      </c>
      <c r="J826" s="11">
        <f t="shared" ref="J826:J889" si="345">SUMIF(_Lights_Tariff_Category,$AE826,_Rates_Lights_BaseFAC)</f>
        <v>1.9400000000000004</v>
      </c>
      <c r="K826" s="416">
        <f t="shared" si="335"/>
        <v>3069.04</v>
      </c>
      <c r="L826" s="180"/>
      <c r="M826" s="180"/>
      <c r="N826" s="186">
        <f t="shared" si="338"/>
        <v>3069.04</v>
      </c>
      <c r="O826" s="29">
        <f t="shared" ref="O826:O889" si="346">U826-SUM(Q826:T826)</f>
        <v>0</v>
      </c>
      <c r="P826" s="181">
        <f t="shared" si="336"/>
        <v>0</v>
      </c>
      <c r="Q826" s="182">
        <f t="shared" ref="Q826:Q889" si="347">SUMIFS(_SBR_FAC,_SBR_Revenue_Month,$B826,_SBR_Rate_Category,$D826)</f>
        <v>0</v>
      </c>
      <c r="R826" s="182">
        <f t="shared" ref="R826:R889" si="348">SUMIFS(_SBR_DSM,_SBR_Revenue_Month,$B826,_SBR_Rate_Category,$D826)</f>
        <v>0</v>
      </c>
      <c r="S826" s="182">
        <f t="shared" ref="S826:S889" si="349">SUMIFS(_SBR_ECR,_SBR_Revenue_Month,$B826,_SBR_Rate_Category,$D826)</f>
        <v>0</v>
      </c>
      <c r="T826" s="182">
        <f t="shared" ref="T826:T889" si="350">SUMIFS(_SBR_MSR,_SBR_Revenue_Month,$B826,_SBR_Rate_Category,$D826)</f>
        <v>0</v>
      </c>
      <c r="U826" s="182">
        <f t="shared" ref="U826:U889" si="351">SUMIFS(_SBR_Revenue_Actual,_SBR_Revenue_Month,$B826,_SBR_Rate_Category,$D826)</f>
        <v>0</v>
      </c>
      <c r="V826" s="14">
        <f t="shared" ref="V826:V889" si="352">SUM(N826,Q826:T826)</f>
        <v>3069.04</v>
      </c>
      <c r="W826" s="14">
        <f t="shared" ref="W826:W889" si="353">U826-V826</f>
        <v>-3069.04</v>
      </c>
      <c r="Y826" s="14">
        <f t="shared" si="331"/>
        <v>1311.44</v>
      </c>
      <c r="Z826" s="14">
        <f t="shared" si="332"/>
        <v>-1311.44</v>
      </c>
      <c r="AA826" s="11">
        <f t="shared" si="334"/>
        <v>0.16</v>
      </c>
      <c r="AB826" s="9">
        <f t="shared" si="337"/>
        <v>108.16</v>
      </c>
      <c r="AD826" s="13">
        <f>IF(AH826&gt;AH825,AD825,IF(AD825&lt;MiscData!$F$1,EOMONTH(AD825,1),EOMONTH(AD825,-11)))</f>
        <v>42308</v>
      </c>
      <c r="AE826" s="7" t="str">
        <f t="shared" ref="AE826:AE889" si="354">CONCATENATE(AI826&amp;AK826)</f>
        <v>20140101KUUM_422</v>
      </c>
      <c r="AF826" s="12" t="str">
        <f t="shared" ref="AF826:AF889" si="355">CONCATENATE(AI826&amp;AL826)</f>
        <v>20140101RLS</v>
      </c>
      <c r="AG826" s="31"/>
      <c r="AH826">
        <f>IF(AH825=MiscData!$AB$91,1,AH825+1)</f>
        <v>33</v>
      </c>
      <c r="AI826">
        <f>IF(AD826&lt;=MiscData!$B$23,MiscData!$C$23,IF(AD826&lt;=MiscData!$B$24,MiscData!$C$24,MiscData!$C$25))</f>
        <v>20140101</v>
      </c>
      <c r="AK826" s="190" t="str">
        <f>VLOOKUP(AM826,MiscData!$AB$4:$ACB$113,2,FALSE)</f>
        <v>KUUM_422</v>
      </c>
      <c r="AL826" s="190" t="str">
        <f>VLOOKUP(AM826,MiscData!$AB$4:$AE$115,4,FALSE)</f>
        <v>RLS</v>
      </c>
      <c r="AM826">
        <f>IF(AM825=MiscData!$AB$91,1,AM825+1)</f>
        <v>33</v>
      </c>
    </row>
    <row r="827" spans="1:39">
      <c r="A827" s="7">
        <f t="shared" si="333"/>
        <v>826</v>
      </c>
      <c r="B827" s="13" t="str">
        <f t="shared" si="339"/>
        <v>Oct 2015</v>
      </c>
      <c r="C827" s="23" t="str">
        <f t="shared" si="340"/>
        <v>RLS</v>
      </c>
      <c r="D827" s="23" t="str">
        <f t="shared" si="341"/>
        <v>KUUM_424</v>
      </c>
      <c r="E827" s="170">
        <f t="shared" si="342"/>
        <v>120</v>
      </c>
      <c r="F827" s="185"/>
      <c r="G827" s="170">
        <f t="shared" si="343"/>
        <v>0</v>
      </c>
      <c r="H827" s="170">
        <v>0</v>
      </c>
      <c r="I827" s="11">
        <f t="shared" si="344"/>
        <v>6.78</v>
      </c>
      <c r="J827" s="11">
        <f t="shared" si="345"/>
        <v>0.69999999999999929</v>
      </c>
      <c r="K827" s="416">
        <f t="shared" si="335"/>
        <v>813.6</v>
      </c>
      <c r="L827" s="180"/>
      <c r="M827" s="180"/>
      <c r="N827" s="186">
        <f t="shared" si="338"/>
        <v>813.6</v>
      </c>
      <c r="O827" s="29">
        <f t="shared" si="346"/>
        <v>0</v>
      </c>
      <c r="P827" s="181">
        <f t="shared" si="336"/>
        <v>0</v>
      </c>
      <c r="Q827" s="182">
        <f t="shared" si="347"/>
        <v>0</v>
      </c>
      <c r="R827" s="182">
        <f t="shared" si="348"/>
        <v>0</v>
      </c>
      <c r="S827" s="182">
        <f t="shared" si="349"/>
        <v>0</v>
      </c>
      <c r="T827" s="182">
        <f t="shared" si="350"/>
        <v>0</v>
      </c>
      <c r="U827" s="182">
        <f t="shared" si="351"/>
        <v>0</v>
      </c>
      <c r="V827" s="14">
        <f t="shared" si="352"/>
        <v>813.6</v>
      </c>
      <c r="W827" s="14">
        <f t="shared" si="353"/>
        <v>-813.6</v>
      </c>
      <c r="Y827" s="14">
        <f t="shared" ref="Y827:Y890" si="356">ROUND(E827*J827,2)</f>
        <v>84</v>
      </c>
      <c r="Z827" s="14">
        <f t="shared" ref="Z827:Z890" si="357">O827-Y827</f>
        <v>-84</v>
      </c>
      <c r="AA827" s="11">
        <f t="shared" si="334"/>
        <v>0.24</v>
      </c>
      <c r="AB827" s="9">
        <f t="shared" si="337"/>
        <v>28.799999999999997</v>
      </c>
      <c r="AD827" s="13">
        <f>IF(AH827&gt;AH826,AD826,IF(AD826&lt;MiscData!$F$1,EOMONTH(AD826,1),EOMONTH(AD826,-11)))</f>
        <v>42308</v>
      </c>
      <c r="AE827" s="7" t="str">
        <f t="shared" si="354"/>
        <v>20140101KUUM_424</v>
      </c>
      <c r="AF827" s="12" t="str">
        <f t="shared" si="355"/>
        <v>20140101RLS</v>
      </c>
      <c r="AG827" s="31"/>
      <c r="AH827">
        <f>IF(AH826=MiscData!$AB$91,1,AH826+1)</f>
        <v>34</v>
      </c>
      <c r="AI827">
        <f>IF(AD827&lt;=MiscData!$B$23,MiscData!$C$23,IF(AD827&lt;=MiscData!$B$24,MiscData!$C$24,MiscData!$C$25))</f>
        <v>20140101</v>
      </c>
      <c r="AK827" s="190" t="str">
        <f>VLOOKUP(AM827,MiscData!$AB$4:$ACB$113,2,FALSE)</f>
        <v>KUUM_424</v>
      </c>
      <c r="AL827" s="190" t="str">
        <f>VLOOKUP(AM827,MiscData!$AB$4:$AE$115,4,FALSE)</f>
        <v>RLS</v>
      </c>
      <c r="AM827">
        <f>IF(AM826=MiscData!$AB$91,1,AM826+1)</f>
        <v>34</v>
      </c>
    </row>
    <row r="828" spans="1:39">
      <c r="A828" s="7">
        <f t="shared" ref="A828:A891" si="358">A827+1</f>
        <v>827</v>
      </c>
      <c r="B828" s="13" t="str">
        <f t="shared" si="339"/>
        <v>Oct 2015</v>
      </c>
      <c r="C828" s="23" t="str">
        <f t="shared" si="340"/>
        <v>RLS</v>
      </c>
      <c r="D828" s="23" t="str">
        <f t="shared" si="341"/>
        <v>KUUM_425</v>
      </c>
      <c r="E828" s="170">
        <f t="shared" si="342"/>
        <v>2</v>
      </c>
      <c r="F828" s="185"/>
      <c r="G828" s="170">
        <f t="shared" si="343"/>
        <v>0</v>
      </c>
      <c r="H828" s="170">
        <v>0</v>
      </c>
      <c r="I828" s="11">
        <f t="shared" si="344"/>
        <v>9.06</v>
      </c>
      <c r="J828" s="11">
        <f t="shared" si="345"/>
        <v>4.3000000000000007</v>
      </c>
      <c r="K828" s="416">
        <f t="shared" si="335"/>
        <v>18.12</v>
      </c>
      <c r="L828" s="180"/>
      <c r="M828" s="180"/>
      <c r="N828" s="186">
        <f t="shared" si="338"/>
        <v>18.12</v>
      </c>
      <c r="O828" s="29">
        <f t="shared" si="346"/>
        <v>0</v>
      </c>
      <c r="P828" s="181">
        <f t="shared" si="336"/>
        <v>0</v>
      </c>
      <c r="Q828" s="182">
        <f t="shared" si="347"/>
        <v>0</v>
      </c>
      <c r="R828" s="182">
        <f t="shared" si="348"/>
        <v>0</v>
      </c>
      <c r="S828" s="182">
        <f t="shared" si="349"/>
        <v>0</v>
      </c>
      <c r="T828" s="182">
        <f t="shared" si="350"/>
        <v>0</v>
      </c>
      <c r="U828" s="182">
        <f t="shared" si="351"/>
        <v>0</v>
      </c>
      <c r="V828" s="14">
        <f t="shared" si="352"/>
        <v>18.12</v>
      </c>
      <c r="W828" s="14">
        <f t="shared" si="353"/>
        <v>-18.12</v>
      </c>
      <c r="Y828" s="14">
        <f t="shared" si="356"/>
        <v>8.6</v>
      </c>
      <c r="Z828" s="14">
        <f t="shared" si="357"/>
        <v>-8.6</v>
      </c>
      <c r="AA828" s="11">
        <f t="shared" si="334"/>
        <v>0.33</v>
      </c>
      <c r="AB828" s="9">
        <f t="shared" si="337"/>
        <v>0.66</v>
      </c>
      <c r="AD828" s="13">
        <f>IF(AH828&gt;AH827,AD827,IF(AD827&lt;MiscData!$F$1,EOMONTH(AD827,1),EOMONTH(AD827,-11)))</f>
        <v>42308</v>
      </c>
      <c r="AE828" s="7" t="str">
        <f t="shared" si="354"/>
        <v>20140101KUUM_425</v>
      </c>
      <c r="AF828" s="12" t="str">
        <f t="shared" si="355"/>
        <v>20140101RLS</v>
      </c>
      <c r="AG828" s="31"/>
      <c r="AH828">
        <f>IF(AH827=MiscData!$AB$91,1,AH827+1)</f>
        <v>35</v>
      </c>
      <c r="AI828">
        <f>IF(AD828&lt;=MiscData!$B$23,MiscData!$C$23,IF(AD828&lt;=MiscData!$B$24,MiscData!$C$24,MiscData!$C$25))</f>
        <v>20140101</v>
      </c>
      <c r="AK828" s="190" t="str">
        <f>VLOOKUP(AM828,MiscData!$AB$4:$ACB$113,2,FALSE)</f>
        <v>KUUM_425</v>
      </c>
      <c r="AL828" s="190" t="str">
        <f>VLOOKUP(AM828,MiscData!$AB$4:$AE$115,4,FALSE)</f>
        <v>RLS</v>
      </c>
      <c r="AM828">
        <f>IF(AM827=MiscData!$AB$91,1,AM827+1)</f>
        <v>35</v>
      </c>
    </row>
    <row r="829" spans="1:39">
      <c r="A829" s="7">
        <f t="shared" si="358"/>
        <v>828</v>
      </c>
      <c r="B829" s="13" t="str">
        <f t="shared" si="339"/>
        <v>Oct 2015</v>
      </c>
      <c r="C829" s="23" t="str">
        <f t="shared" si="340"/>
        <v>RLS</v>
      </c>
      <c r="D829" s="23" t="str">
        <f t="shared" si="341"/>
        <v>KUUM_426</v>
      </c>
      <c r="E829" s="170">
        <f t="shared" si="342"/>
        <v>162</v>
      </c>
      <c r="F829" s="185"/>
      <c r="G829" s="170">
        <f t="shared" si="343"/>
        <v>0</v>
      </c>
      <c r="H829" s="170">
        <v>0</v>
      </c>
      <c r="I829" s="11">
        <f t="shared" si="344"/>
        <v>7.4399999999999995</v>
      </c>
      <c r="J829" s="11">
        <f t="shared" si="345"/>
        <v>0.79999999999999982</v>
      </c>
      <c r="K829" s="416">
        <f t="shared" si="335"/>
        <v>1205.28</v>
      </c>
      <c r="L829" s="180"/>
      <c r="M829" s="180"/>
      <c r="N829" s="186">
        <f t="shared" si="338"/>
        <v>1205.28</v>
      </c>
      <c r="O829" s="29">
        <f t="shared" si="346"/>
        <v>0</v>
      </c>
      <c r="P829" s="181">
        <f t="shared" si="336"/>
        <v>0</v>
      </c>
      <c r="Q829" s="182">
        <f t="shared" si="347"/>
        <v>0</v>
      </c>
      <c r="R829" s="182">
        <f t="shared" si="348"/>
        <v>0</v>
      </c>
      <c r="S829" s="182">
        <f t="shared" si="349"/>
        <v>0</v>
      </c>
      <c r="T829" s="182">
        <f t="shared" si="350"/>
        <v>0</v>
      </c>
      <c r="U829" s="182">
        <f t="shared" si="351"/>
        <v>0</v>
      </c>
      <c r="V829" s="14">
        <f t="shared" si="352"/>
        <v>1205.28</v>
      </c>
      <c r="W829" s="14">
        <f t="shared" si="353"/>
        <v>-1205.28</v>
      </c>
      <c r="Y829" s="14">
        <f t="shared" si="356"/>
        <v>129.6</v>
      </c>
      <c r="Z829" s="14">
        <f t="shared" si="357"/>
        <v>-129.6</v>
      </c>
      <c r="AA829" s="11">
        <f t="shared" si="334"/>
        <v>0.43</v>
      </c>
      <c r="AB829" s="9">
        <f t="shared" si="337"/>
        <v>69.66</v>
      </c>
      <c r="AD829" s="13">
        <f>IF(AH829&gt;AH828,AD828,IF(AD828&lt;MiscData!$F$1,EOMONTH(AD828,1),EOMONTH(AD828,-11)))</f>
        <v>42308</v>
      </c>
      <c r="AE829" s="7" t="str">
        <f t="shared" si="354"/>
        <v>20140101KUUM_426</v>
      </c>
      <c r="AF829" s="12" t="str">
        <f t="shared" si="355"/>
        <v>20140101RLS</v>
      </c>
      <c r="AG829" s="31"/>
      <c r="AH829">
        <f>IF(AH828=MiscData!$AB$91,1,AH828+1)</f>
        <v>36</v>
      </c>
      <c r="AI829">
        <f>IF(AD829&lt;=MiscData!$B$23,MiscData!$C$23,IF(AD829&lt;=MiscData!$B$24,MiscData!$C$24,MiscData!$C$25))</f>
        <v>20140101</v>
      </c>
      <c r="AK829" s="190" t="str">
        <f>VLOOKUP(AM829,MiscData!$AB$4:$ACB$113,2,FALSE)</f>
        <v>KUUM_426</v>
      </c>
      <c r="AL829" s="190" t="str">
        <f>VLOOKUP(AM829,MiscData!$AB$4:$AE$115,4,FALSE)</f>
        <v>RLS</v>
      </c>
      <c r="AM829">
        <f>IF(AM828=MiscData!$AB$91,1,AM828+1)</f>
        <v>36</v>
      </c>
    </row>
    <row r="830" spans="1:39">
      <c r="A830" s="7">
        <f t="shared" si="358"/>
        <v>829</v>
      </c>
      <c r="B830" s="13" t="str">
        <f t="shared" si="339"/>
        <v>Oct 2015</v>
      </c>
      <c r="C830" s="23" t="str">
        <f t="shared" si="340"/>
        <v>LS</v>
      </c>
      <c r="D830" s="23" t="str">
        <f t="shared" si="341"/>
        <v>KUUM_428</v>
      </c>
      <c r="E830" s="170">
        <f t="shared" si="342"/>
        <v>34926</v>
      </c>
      <c r="F830" s="185"/>
      <c r="G830" s="170">
        <f t="shared" si="343"/>
        <v>0</v>
      </c>
      <c r="H830" s="170">
        <v>0</v>
      </c>
      <c r="I830" s="11">
        <f t="shared" si="344"/>
        <v>7.84</v>
      </c>
      <c r="J830" s="11">
        <f t="shared" si="345"/>
        <v>1.1299999999999999</v>
      </c>
      <c r="K830" s="416">
        <f t="shared" si="335"/>
        <v>273819.84000000003</v>
      </c>
      <c r="L830" s="180"/>
      <c r="M830" s="180"/>
      <c r="N830" s="186">
        <f t="shared" si="338"/>
        <v>273819.84000000003</v>
      </c>
      <c r="O830" s="29">
        <f t="shared" si="346"/>
        <v>0</v>
      </c>
      <c r="P830" s="181">
        <f t="shared" si="336"/>
        <v>0</v>
      </c>
      <c r="Q830" s="182">
        <f t="shared" si="347"/>
        <v>0</v>
      </c>
      <c r="R830" s="182">
        <f t="shared" si="348"/>
        <v>0</v>
      </c>
      <c r="S830" s="182">
        <f t="shared" si="349"/>
        <v>0</v>
      </c>
      <c r="T830" s="182">
        <f t="shared" si="350"/>
        <v>0</v>
      </c>
      <c r="U830" s="182">
        <f t="shared" si="351"/>
        <v>0</v>
      </c>
      <c r="V830" s="14">
        <f t="shared" si="352"/>
        <v>273819.84000000003</v>
      </c>
      <c r="W830" s="14">
        <f t="shared" si="353"/>
        <v>-273819.84000000003</v>
      </c>
      <c r="Y830" s="14">
        <f t="shared" si="356"/>
        <v>39466.379999999997</v>
      </c>
      <c r="Z830" s="14">
        <f t="shared" si="357"/>
        <v>-39466.379999999997</v>
      </c>
      <c r="AA830" s="11">
        <f t="shared" si="334"/>
        <v>0.34</v>
      </c>
      <c r="AB830" s="9">
        <f t="shared" si="337"/>
        <v>11874.84</v>
      </c>
      <c r="AD830" s="13">
        <f>IF(AH830&gt;AH829,AD829,IF(AD829&lt;MiscData!$F$1,EOMONTH(AD829,1),EOMONTH(AD829,-11)))</f>
        <v>42308</v>
      </c>
      <c r="AE830" s="7" t="str">
        <f t="shared" si="354"/>
        <v>20140101KUUM_428</v>
      </c>
      <c r="AF830" s="12" t="str">
        <f t="shared" si="355"/>
        <v>20140101LS</v>
      </c>
      <c r="AG830" s="31"/>
      <c r="AH830">
        <f>IF(AH829=MiscData!$AB$91,1,AH829+1)</f>
        <v>37</v>
      </c>
      <c r="AI830">
        <f>IF(AD830&lt;=MiscData!$B$23,MiscData!$C$23,IF(AD830&lt;=MiscData!$B$24,MiscData!$C$24,MiscData!$C$25))</f>
        <v>20140101</v>
      </c>
      <c r="AK830" s="190" t="str">
        <f>VLOOKUP(AM830,MiscData!$AB$4:$ACB$113,2,FALSE)</f>
        <v>KUUM_428</v>
      </c>
      <c r="AL830" s="190" t="str">
        <f>VLOOKUP(AM830,MiscData!$AB$4:$AE$115,4,FALSE)</f>
        <v>LS</v>
      </c>
      <c r="AM830">
        <f>IF(AM829=MiscData!$AB$91,1,AM829+1)</f>
        <v>37</v>
      </c>
    </row>
    <row r="831" spans="1:39">
      <c r="A831" s="7">
        <f t="shared" si="358"/>
        <v>830</v>
      </c>
      <c r="B831" s="13" t="str">
        <f t="shared" si="339"/>
        <v>Oct 2015</v>
      </c>
      <c r="C831" s="23" t="str">
        <f t="shared" si="340"/>
        <v>LS</v>
      </c>
      <c r="D831" s="23" t="str">
        <f t="shared" si="341"/>
        <v>KUUM_429</v>
      </c>
      <c r="E831" s="170">
        <f t="shared" si="342"/>
        <v>0</v>
      </c>
      <c r="F831" s="185"/>
      <c r="G831" s="170">
        <f t="shared" si="343"/>
        <v>0</v>
      </c>
      <c r="H831" s="170">
        <v>0</v>
      </c>
      <c r="I831" s="11">
        <f t="shared" si="344"/>
        <v>0</v>
      </c>
      <c r="J831" s="11">
        <f t="shared" si="345"/>
        <v>0</v>
      </c>
      <c r="K831" s="416">
        <f t="shared" si="335"/>
        <v>0</v>
      </c>
      <c r="L831" s="180"/>
      <c r="M831" s="180"/>
      <c r="N831" s="186">
        <f t="shared" si="338"/>
        <v>0</v>
      </c>
      <c r="O831" s="29">
        <f t="shared" si="346"/>
        <v>0</v>
      </c>
      <c r="P831" s="181">
        <f t="shared" si="336"/>
        <v>1</v>
      </c>
      <c r="Q831" s="182">
        <f t="shared" si="347"/>
        <v>0</v>
      </c>
      <c r="R831" s="182">
        <f t="shared" si="348"/>
        <v>0</v>
      </c>
      <c r="S831" s="182">
        <f t="shared" si="349"/>
        <v>0</v>
      </c>
      <c r="T831" s="182">
        <f t="shared" si="350"/>
        <v>0</v>
      </c>
      <c r="U831" s="182">
        <f t="shared" si="351"/>
        <v>0</v>
      </c>
      <c r="V831" s="14">
        <f t="shared" si="352"/>
        <v>0</v>
      </c>
      <c r="W831" s="14">
        <f t="shared" si="353"/>
        <v>0</v>
      </c>
      <c r="Y831" s="14">
        <f t="shared" si="356"/>
        <v>0</v>
      </c>
      <c r="Z831" s="14">
        <f t="shared" si="357"/>
        <v>0</v>
      </c>
      <c r="AA831" s="11">
        <f t="shared" si="334"/>
        <v>0</v>
      </c>
      <c r="AB831" s="9">
        <f t="shared" si="337"/>
        <v>0</v>
      </c>
      <c r="AD831" s="13">
        <f>IF(AH831&gt;AH830,AD830,IF(AD830&lt;MiscData!$F$1,EOMONTH(AD830,1),EOMONTH(AD830,-11)))</f>
        <v>42308</v>
      </c>
      <c r="AE831" s="7" t="str">
        <f t="shared" si="354"/>
        <v>20140101KUUM_429</v>
      </c>
      <c r="AF831" s="12" t="str">
        <f t="shared" si="355"/>
        <v>20140101LS</v>
      </c>
      <c r="AG831" s="31"/>
      <c r="AH831">
        <f>IF(AH830=MiscData!$AB$91,1,AH830+1)</f>
        <v>38</v>
      </c>
      <c r="AI831">
        <f>IF(AD831&lt;=MiscData!$B$23,MiscData!$C$23,IF(AD831&lt;=MiscData!$B$24,MiscData!$C$24,MiscData!$C$25))</f>
        <v>20140101</v>
      </c>
      <c r="AK831" s="190" t="str">
        <f>VLOOKUP(AM831,MiscData!$AB$4:$ACB$113,2,FALSE)</f>
        <v>KUUM_429</v>
      </c>
      <c r="AL831" s="190" t="str">
        <f>VLOOKUP(AM831,MiscData!$AB$4:$AE$115,4,FALSE)</f>
        <v>LS</v>
      </c>
      <c r="AM831">
        <f>IF(AM830=MiscData!$AB$91,1,AM830+1)</f>
        <v>38</v>
      </c>
    </row>
    <row r="832" spans="1:39">
      <c r="A832" s="7">
        <f t="shared" si="358"/>
        <v>831</v>
      </c>
      <c r="B832" s="13" t="str">
        <f t="shared" si="339"/>
        <v>Oct 2015</v>
      </c>
      <c r="C832" s="23" t="str">
        <f t="shared" si="340"/>
        <v>LS</v>
      </c>
      <c r="D832" s="23" t="str">
        <f t="shared" si="341"/>
        <v>KUUM_430</v>
      </c>
      <c r="E832" s="170">
        <f t="shared" si="342"/>
        <v>1146</v>
      </c>
      <c r="F832" s="185"/>
      <c r="G832" s="170">
        <f t="shared" si="343"/>
        <v>0</v>
      </c>
      <c r="H832" s="170">
        <v>0</v>
      </c>
      <c r="I832" s="11">
        <f t="shared" si="344"/>
        <v>22</v>
      </c>
      <c r="J832" s="11">
        <f t="shared" si="345"/>
        <v>1.129999999999999</v>
      </c>
      <c r="K832" s="416">
        <f t="shared" si="335"/>
        <v>25212</v>
      </c>
      <c r="L832" s="180"/>
      <c r="M832" s="180"/>
      <c r="N832" s="186">
        <f t="shared" si="338"/>
        <v>25212</v>
      </c>
      <c r="O832" s="29">
        <f t="shared" si="346"/>
        <v>0</v>
      </c>
      <c r="P832" s="181">
        <f t="shared" si="336"/>
        <v>0</v>
      </c>
      <c r="Q832" s="182">
        <f t="shared" si="347"/>
        <v>0</v>
      </c>
      <c r="R832" s="182">
        <f t="shared" si="348"/>
        <v>0</v>
      </c>
      <c r="S832" s="182">
        <f t="shared" si="349"/>
        <v>0</v>
      </c>
      <c r="T832" s="182">
        <f t="shared" si="350"/>
        <v>0</v>
      </c>
      <c r="U832" s="182">
        <f t="shared" si="351"/>
        <v>0</v>
      </c>
      <c r="V832" s="14">
        <f t="shared" si="352"/>
        <v>25212</v>
      </c>
      <c r="W832" s="14">
        <f t="shared" si="353"/>
        <v>-25212</v>
      </c>
      <c r="Y832" s="14">
        <f t="shared" si="356"/>
        <v>1294.98</v>
      </c>
      <c r="Z832" s="14">
        <f t="shared" si="357"/>
        <v>-1294.98</v>
      </c>
      <c r="AA832" s="11">
        <f t="shared" si="334"/>
        <v>0.34</v>
      </c>
      <c r="AB832" s="9">
        <f t="shared" si="337"/>
        <v>389.64000000000004</v>
      </c>
      <c r="AD832" s="13">
        <f>IF(AH832&gt;AH831,AD831,IF(AD831&lt;MiscData!$F$1,EOMONTH(AD831,1),EOMONTH(AD831,-11)))</f>
        <v>42308</v>
      </c>
      <c r="AE832" s="7" t="str">
        <f t="shared" si="354"/>
        <v>20140101KUUM_430</v>
      </c>
      <c r="AF832" s="12" t="str">
        <f t="shared" si="355"/>
        <v>20140101LS</v>
      </c>
      <c r="AG832" s="31"/>
      <c r="AH832">
        <f>IF(AH831=MiscData!$AB$91,1,AH831+1)</f>
        <v>39</v>
      </c>
      <c r="AI832">
        <f>IF(AD832&lt;=MiscData!$B$23,MiscData!$C$23,IF(AD832&lt;=MiscData!$B$24,MiscData!$C$24,MiscData!$C$25))</f>
        <v>20140101</v>
      </c>
      <c r="AK832" s="190" t="str">
        <f>VLOOKUP(AM832,MiscData!$AB$4:$ACB$113,2,FALSE)</f>
        <v>KUUM_430</v>
      </c>
      <c r="AL832" s="190" t="str">
        <f>VLOOKUP(AM832,MiscData!$AB$4:$AE$115,4,FALSE)</f>
        <v>LS</v>
      </c>
      <c r="AM832">
        <f>IF(AM831=MiscData!$AB$91,1,AM831+1)</f>
        <v>39</v>
      </c>
    </row>
    <row r="833" spans="1:39">
      <c r="A833" s="7">
        <f t="shared" si="358"/>
        <v>832</v>
      </c>
      <c r="B833" s="13" t="str">
        <f t="shared" si="339"/>
        <v>Oct 2015</v>
      </c>
      <c r="C833" s="23" t="str">
        <f t="shared" si="340"/>
        <v>RLS</v>
      </c>
      <c r="D833" s="23" t="str">
        <f t="shared" si="341"/>
        <v>KUUM_434</v>
      </c>
      <c r="E833" s="170">
        <f t="shared" si="342"/>
        <v>16</v>
      </c>
      <c r="F833" s="185"/>
      <c r="G833" s="170">
        <f t="shared" si="343"/>
        <v>0</v>
      </c>
      <c r="H833" s="170">
        <v>0</v>
      </c>
      <c r="I833" s="11">
        <f t="shared" si="344"/>
        <v>7.74</v>
      </c>
      <c r="J833" s="11">
        <f t="shared" si="345"/>
        <v>0.69999999999999929</v>
      </c>
      <c r="K833" s="416">
        <f t="shared" si="335"/>
        <v>123.84</v>
      </c>
      <c r="L833" s="180"/>
      <c r="M833" s="180"/>
      <c r="N833" s="186">
        <f t="shared" si="338"/>
        <v>123.84</v>
      </c>
      <c r="O833" s="29">
        <f t="shared" si="346"/>
        <v>0</v>
      </c>
      <c r="P833" s="181">
        <f t="shared" si="336"/>
        <v>0</v>
      </c>
      <c r="Q833" s="182">
        <f t="shared" si="347"/>
        <v>0</v>
      </c>
      <c r="R833" s="182">
        <f t="shared" si="348"/>
        <v>0</v>
      </c>
      <c r="S833" s="182">
        <f t="shared" si="349"/>
        <v>0</v>
      </c>
      <c r="T833" s="182">
        <f t="shared" si="350"/>
        <v>0</v>
      </c>
      <c r="U833" s="182">
        <f t="shared" si="351"/>
        <v>0</v>
      </c>
      <c r="V833" s="14">
        <f t="shared" si="352"/>
        <v>123.84</v>
      </c>
      <c r="W833" s="14">
        <f t="shared" si="353"/>
        <v>-123.84</v>
      </c>
      <c r="Y833" s="14">
        <f t="shared" si="356"/>
        <v>11.2</v>
      </c>
      <c r="Z833" s="14">
        <f t="shared" si="357"/>
        <v>-11.2</v>
      </c>
      <c r="AA833" s="11">
        <f t="shared" si="334"/>
        <v>0.24</v>
      </c>
      <c r="AB833" s="9">
        <f t="shared" si="337"/>
        <v>3.84</v>
      </c>
      <c r="AD833" s="13">
        <f>IF(AH833&gt;AH832,AD832,IF(AD832&lt;MiscData!$F$1,EOMONTH(AD832,1),EOMONTH(AD832,-11)))</f>
        <v>42308</v>
      </c>
      <c r="AE833" s="7" t="str">
        <f t="shared" si="354"/>
        <v>20140101KUUM_434</v>
      </c>
      <c r="AF833" s="12" t="str">
        <f t="shared" si="355"/>
        <v>20140101RLS</v>
      </c>
      <c r="AG833" s="31"/>
      <c r="AH833">
        <f>IF(AH832=MiscData!$AB$91,1,AH832+1)</f>
        <v>40</v>
      </c>
      <c r="AI833">
        <f>IF(AD833&lt;=MiscData!$B$23,MiscData!$C$23,IF(AD833&lt;=MiscData!$B$24,MiscData!$C$24,MiscData!$C$25))</f>
        <v>20140101</v>
      </c>
      <c r="AK833" s="190" t="str">
        <f>VLOOKUP(AM833,MiscData!$AB$4:$ACB$113,2,FALSE)</f>
        <v>KUUM_434</v>
      </c>
      <c r="AL833" s="190" t="str">
        <f>VLOOKUP(AM833,MiscData!$AB$4:$AE$115,4,FALSE)</f>
        <v>RLS</v>
      </c>
      <c r="AM833">
        <f>IF(AM832=MiscData!$AB$91,1,AM832+1)</f>
        <v>40</v>
      </c>
    </row>
    <row r="834" spans="1:39">
      <c r="A834" s="7">
        <f t="shared" si="358"/>
        <v>833</v>
      </c>
      <c r="B834" s="13" t="str">
        <f t="shared" si="339"/>
        <v>Oct 2015</v>
      </c>
      <c r="C834" s="23" t="str">
        <f t="shared" si="340"/>
        <v>RLS</v>
      </c>
      <c r="D834" s="23" t="str">
        <f t="shared" si="341"/>
        <v>KUUM_440</v>
      </c>
      <c r="E834" s="170">
        <f t="shared" si="342"/>
        <v>2</v>
      </c>
      <c r="F834" s="185"/>
      <c r="G834" s="170">
        <f t="shared" si="343"/>
        <v>0</v>
      </c>
      <c r="H834" s="170">
        <v>0</v>
      </c>
      <c r="I834" s="11">
        <f t="shared" si="344"/>
        <v>13.610000000000001</v>
      </c>
      <c r="J834" s="11">
        <f t="shared" si="345"/>
        <v>0.57000000000000028</v>
      </c>
      <c r="K834" s="416">
        <f t="shared" si="335"/>
        <v>27.22</v>
      </c>
      <c r="L834" s="180"/>
      <c r="M834" s="180"/>
      <c r="N834" s="186">
        <f t="shared" si="338"/>
        <v>27.22</v>
      </c>
      <c r="O834" s="29">
        <f t="shared" si="346"/>
        <v>0</v>
      </c>
      <c r="P834" s="181">
        <f t="shared" si="336"/>
        <v>0</v>
      </c>
      <c r="Q834" s="182">
        <f t="shared" si="347"/>
        <v>0</v>
      </c>
      <c r="R834" s="182">
        <f t="shared" si="348"/>
        <v>0</v>
      </c>
      <c r="S834" s="182">
        <f t="shared" si="349"/>
        <v>0</v>
      </c>
      <c r="T834" s="182">
        <f t="shared" si="350"/>
        <v>0</v>
      </c>
      <c r="U834" s="182">
        <f t="shared" si="351"/>
        <v>0</v>
      </c>
      <c r="V834" s="14">
        <f t="shared" si="352"/>
        <v>27.22</v>
      </c>
      <c r="W834" s="14">
        <f t="shared" si="353"/>
        <v>-27.22</v>
      </c>
      <c r="Y834" s="14">
        <f t="shared" si="356"/>
        <v>1.1399999999999999</v>
      </c>
      <c r="Z834" s="14">
        <f t="shared" si="357"/>
        <v>-1.1399999999999999</v>
      </c>
      <c r="AA834" s="11">
        <f t="shared" ref="AA834:AA897" si="359">SUMIF(_Lights_Tariff_Category,$AE834,_Rates_Lights_ECR)</f>
        <v>0.33</v>
      </c>
      <c r="AB834" s="9">
        <f t="shared" si="337"/>
        <v>0.66</v>
      </c>
      <c r="AD834" s="13">
        <f>IF(AH834&gt;AH833,AD833,IF(AD833&lt;MiscData!$F$1,EOMONTH(AD833,1),EOMONTH(AD833,-11)))</f>
        <v>42308</v>
      </c>
      <c r="AE834" s="7" t="str">
        <f t="shared" si="354"/>
        <v>20140101KUUM_440</v>
      </c>
      <c r="AF834" s="12" t="str">
        <f t="shared" si="355"/>
        <v>20140101RLS</v>
      </c>
      <c r="AG834" s="31"/>
      <c r="AH834">
        <f>IF(AH833=MiscData!$AB$91,1,AH833+1)</f>
        <v>41</v>
      </c>
      <c r="AI834">
        <f>IF(AD834&lt;=MiscData!$B$23,MiscData!$C$23,IF(AD834&lt;=MiscData!$B$24,MiscData!$C$24,MiscData!$C$25))</f>
        <v>20140101</v>
      </c>
      <c r="AK834" s="190" t="str">
        <f>VLOOKUP(AM834,MiscData!$AB$4:$ACB$113,2,FALSE)</f>
        <v>KUUM_440</v>
      </c>
      <c r="AL834" s="190" t="str">
        <f>VLOOKUP(AM834,MiscData!$AB$4:$AE$115,4,FALSE)</f>
        <v>RLS</v>
      </c>
      <c r="AM834">
        <f>IF(AM833=MiscData!$AB$91,1,AM833+1)</f>
        <v>41</v>
      </c>
    </row>
    <row r="835" spans="1:39">
      <c r="A835" s="7">
        <f t="shared" si="358"/>
        <v>834</v>
      </c>
      <c r="B835" s="13" t="str">
        <f t="shared" si="339"/>
        <v>Oct 2015</v>
      </c>
      <c r="C835" s="23" t="str">
        <f t="shared" si="340"/>
        <v>RLS</v>
      </c>
      <c r="D835" s="23" t="str">
        <f t="shared" si="341"/>
        <v>KUUM_446</v>
      </c>
      <c r="E835" s="170">
        <f t="shared" si="342"/>
        <v>1070</v>
      </c>
      <c r="F835" s="185"/>
      <c r="G835" s="170">
        <f t="shared" si="343"/>
        <v>0</v>
      </c>
      <c r="H835" s="170">
        <v>0</v>
      </c>
      <c r="I835" s="11">
        <f t="shared" si="344"/>
        <v>9.5600000000000023</v>
      </c>
      <c r="J835" s="11">
        <f t="shared" si="345"/>
        <v>1.9900000000000002</v>
      </c>
      <c r="K835" s="416">
        <f t="shared" ref="K835:K898" si="360">ROUND(($E835+$F835)*$I835,2)</f>
        <v>10229.200000000001</v>
      </c>
      <c r="L835" s="180"/>
      <c r="M835" s="180"/>
      <c r="N835" s="186">
        <f t="shared" si="338"/>
        <v>10229.200000000001</v>
      </c>
      <c r="O835" s="29">
        <f t="shared" si="346"/>
        <v>0</v>
      </c>
      <c r="P835" s="181">
        <f t="shared" ref="P835:P898" si="361">IF(AND(N835=0,O835=0),1,IF(N835=0,0,ROUND(O835/N835,6)))</f>
        <v>0</v>
      </c>
      <c r="Q835" s="182">
        <f t="shared" si="347"/>
        <v>0</v>
      </c>
      <c r="R835" s="182">
        <f t="shared" si="348"/>
        <v>0</v>
      </c>
      <c r="S835" s="182">
        <f t="shared" si="349"/>
        <v>0</v>
      </c>
      <c r="T835" s="182">
        <f t="shared" si="350"/>
        <v>0</v>
      </c>
      <c r="U835" s="182">
        <f t="shared" si="351"/>
        <v>0</v>
      </c>
      <c r="V835" s="14">
        <f t="shared" si="352"/>
        <v>10229.200000000001</v>
      </c>
      <c r="W835" s="14">
        <f t="shared" si="353"/>
        <v>-10229.200000000001</v>
      </c>
      <c r="Y835" s="14">
        <f t="shared" si="356"/>
        <v>2129.3000000000002</v>
      </c>
      <c r="Z835" s="14">
        <f t="shared" si="357"/>
        <v>-2129.3000000000002</v>
      </c>
      <c r="AA835" s="11">
        <f t="shared" si="359"/>
        <v>0.39</v>
      </c>
      <c r="AB835" s="9">
        <f t="shared" ref="AB835:AB898" si="362">E835*AA835</f>
        <v>417.3</v>
      </c>
      <c r="AD835" s="13">
        <f>IF(AH835&gt;AH834,AD834,IF(AD834&lt;MiscData!$F$1,EOMONTH(AD834,1),EOMONTH(AD834,-11)))</f>
        <v>42308</v>
      </c>
      <c r="AE835" s="7" t="str">
        <f t="shared" si="354"/>
        <v>20140101KUUM_446</v>
      </c>
      <c r="AF835" s="12" t="str">
        <f t="shared" si="355"/>
        <v>20140101RLS</v>
      </c>
      <c r="AG835" s="31"/>
      <c r="AH835">
        <f>IF(AH834=MiscData!$AB$91,1,AH834+1)</f>
        <v>42</v>
      </c>
      <c r="AI835">
        <f>IF(AD835&lt;=MiscData!$B$23,MiscData!$C$23,IF(AD835&lt;=MiscData!$B$24,MiscData!$C$24,MiscData!$C$25))</f>
        <v>20140101</v>
      </c>
      <c r="AK835" s="190" t="str">
        <f>VLOOKUP(AM835,MiscData!$AB$4:$ACB$113,2,FALSE)</f>
        <v>KUUM_446</v>
      </c>
      <c r="AL835" s="190" t="str">
        <f>VLOOKUP(AM835,MiscData!$AB$4:$AE$115,4,FALSE)</f>
        <v>RLS</v>
      </c>
      <c r="AM835">
        <f>IF(AM834=MiscData!$AB$91,1,AM834+1)</f>
        <v>42</v>
      </c>
    </row>
    <row r="836" spans="1:39">
      <c r="A836" s="7">
        <f t="shared" si="358"/>
        <v>835</v>
      </c>
      <c r="B836" s="13" t="str">
        <f t="shared" si="339"/>
        <v>Oct 2015</v>
      </c>
      <c r="C836" s="23" t="str">
        <f t="shared" si="340"/>
        <v>RLS</v>
      </c>
      <c r="D836" s="23" t="str">
        <f t="shared" si="341"/>
        <v>KUUM_447</v>
      </c>
      <c r="E836" s="170">
        <f t="shared" si="342"/>
        <v>734</v>
      </c>
      <c r="F836" s="185"/>
      <c r="G836" s="170">
        <f t="shared" si="343"/>
        <v>0</v>
      </c>
      <c r="H836" s="170">
        <v>0</v>
      </c>
      <c r="I836" s="11">
        <f t="shared" si="344"/>
        <v>11.32</v>
      </c>
      <c r="J836" s="11">
        <f t="shared" si="345"/>
        <v>2.8400000000000016</v>
      </c>
      <c r="K836" s="416">
        <f t="shared" si="360"/>
        <v>8308.8799999999992</v>
      </c>
      <c r="L836" s="180"/>
      <c r="M836" s="180"/>
      <c r="N836" s="186">
        <f t="shared" si="338"/>
        <v>8308.8799999999992</v>
      </c>
      <c r="O836" s="29">
        <f t="shared" si="346"/>
        <v>0</v>
      </c>
      <c r="P836" s="181">
        <f t="shared" si="361"/>
        <v>0</v>
      </c>
      <c r="Q836" s="182">
        <f t="shared" si="347"/>
        <v>0</v>
      </c>
      <c r="R836" s="182">
        <f t="shared" si="348"/>
        <v>0</v>
      </c>
      <c r="S836" s="182">
        <f t="shared" si="349"/>
        <v>0</v>
      </c>
      <c r="T836" s="182">
        <f t="shared" si="350"/>
        <v>0</v>
      </c>
      <c r="U836" s="182">
        <f t="shared" si="351"/>
        <v>0</v>
      </c>
      <c r="V836" s="14">
        <f t="shared" si="352"/>
        <v>8308.8799999999992</v>
      </c>
      <c r="W836" s="14">
        <f t="shared" si="353"/>
        <v>-8308.8799999999992</v>
      </c>
      <c r="Y836" s="14">
        <f t="shared" si="356"/>
        <v>2084.56</v>
      </c>
      <c r="Z836" s="14">
        <f t="shared" si="357"/>
        <v>-2084.56</v>
      </c>
      <c r="AA836" s="11">
        <f t="shared" si="359"/>
        <v>0.44</v>
      </c>
      <c r="AB836" s="9">
        <f t="shared" si="362"/>
        <v>322.95999999999998</v>
      </c>
      <c r="AD836" s="13">
        <f>IF(AH836&gt;AH835,AD835,IF(AD835&lt;MiscData!$F$1,EOMONTH(AD835,1),EOMONTH(AD835,-11)))</f>
        <v>42308</v>
      </c>
      <c r="AE836" s="7" t="str">
        <f t="shared" si="354"/>
        <v>20140101KUUM_447</v>
      </c>
      <c r="AF836" s="12" t="str">
        <f t="shared" si="355"/>
        <v>20140101RLS</v>
      </c>
      <c r="AG836" s="31"/>
      <c r="AH836">
        <f>IF(AH835=MiscData!$AB$91,1,AH835+1)</f>
        <v>43</v>
      </c>
      <c r="AI836">
        <f>IF(AD836&lt;=MiscData!$B$23,MiscData!$C$23,IF(AD836&lt;=MiscData!$B$24,MiscData!$C$24,MiscData!$C$25))</f>
        <v>20140101</v>
      </c>
      <c r="AK836" s="190" t="str">
        <f>VLOOKUP(AM836,MiscData!$AB$4:$ACB$113,2,FALSE)</f>
        <v>KUUM_447</v>
      </c>
      <c r="AL836" s="190" t="str">
        <f>VLOOKUP(AM836,MiscData!$AB$4:$AE$115,4,FALSE)</f>
        <v>RLS</v>
      </c>
      <c r="AM836">
        <f>IF(AM835=MiscData!$AB$91,1,AM835+1)</f>
        <v>43</v>
      </c>
    </row>
    <row r="837" spans="1:39">
      <c r="A837" s="7">
        <f t="shared" si="358"/>
        <v>836</v>
      </c>
      <c r="B837" s="13" t="str">
        <f t="shared" si="339"/>
        <v>Oct 2015</v>
      </c>
      <c r="C837" s="23" t="str">
        <f t="shared" si="340"/>
        <v>RLS</v>
      </c>
      <c r="D837" s="23" t="str">
        <f t="shared" si="341"/>
        <v>KUUM_448</v>
      </c>
      <c r="E837" s="170">
        <f t="shared" si="342"/>
        <v>1606</v>
      </c>
      <c r="F837" s="185"/>
      <c r="G837" s="170">
        <f t="shared" si="343"/>
        <v>0</v>
      </c>
      <c r="H837" s="170">
        <v>0</v>
      </c>
      <c r="I837" s="11">
        <f t="shared" si="344"/>
        <v>12.809999999999999</v>
      </c>
      <c r="J837" s="11">
        <f t="shared" si="345"/>
        <v>4.37</v>
      </c>
      <c r="K837" s="416">
        <f t="shared" si="360"/>
        <v>20572.86</v>
      </c>
      <c r="L837" s="180"/>
      <c r="M837" s="180"/>
      <c r="N837" s="186">
        <f t="shared" si="338"/>
        <v>20572.86</v>
      </c>
      <c r="O837" s="29">
        <f t="shared" si="346"/>
        <v>0</v>
      </c>
      <c r="P837" s="181">
        <f t="shared" si="361"/>
        <v>0</v>
      </c>
      <c r="Q837" s="182">
        <f t="shared" si="347"/>
        <v>0</v>
      </c>
      <c r="R837" s="182">
        <f t="shared" si="348"/>
        <v>0</v>
      </c>
      <c r="S837" s="182">
        <f t="shared" si="349"/>
        <v>0</v>
      </c>
      <c r="T837" s="182">
        <f t="shared" si="350"/>
        <v>0</v>
      </c>
      <c r="U837" s="182">
        <f t="shared" si="351"/>
        <v>0</v>
      </c>
      <c r="V837" s="14">
        <f t="shared" si="352"/>
        <v>20572.86</v>
      </c>
      <c r="W837" s="14">
        <f t="shared" si="353"/>
        <v>-20572.86</v>
      </c>
      <c r="Y837" s="14">
        <f t="shared" si="356"/>
        <v>7018.22</v>
      </c>
      <c r="Z837" s="14">
        <f t="shared" si="357"/>
        <v>-7018.22</v>
      </c>
      <c r="AA837" s="11">
        <f t="shared" si="359"/>
        <v>0.51</v>
      </c>
      <c r="AB837" s="9">
        <f t="shared" si="362"/>
        <v>819.06000000000006</v>
      </c>
      <c r="AD837" s="13">
        <f>IF(AH837&gt;AH836,AD836,IF(AD836&lt;MiscData!$F$1,EOMONTH(AD836,1),EOMONTH(AD836,-11)))</f>
        <v>42308</v>
      </c>
      <c r="AE837" s="7" t="str">
        <f t="shared" si="354"/>
        <v>20140101KUUM_448</v>
      </c>
      <c r="AF837" s="12" t="str">
        <f t="shared" si="355"/>
        <v>20140101RLS</v>
      </c>
      <c r="AG837" s="31"/>
      <c r="AH837">
        <f>IF(AH836=MiscData!$AB$91,1,AH836+1)</f>
        <v>44</v>
      </c>
      <c r="AI837">
        <f>IF(AD837&lt;=MiscData!$B$23,MiscData!$C$23,IF(AD837&lt;=MiscData!$B$24,MiscData!$C$24,MiscData!$C$25))</f>
        <v>20140101</v>
      </c>
      <c r="AK837" s="190" t="str">
        <f>VLOOKUP(AM837,MiscData!$AB$4:$ACB$113,2,FALSE)</f>
        <v>KUUM_448</v>
      </c>
      <c r="AL837" s="190" t="str">
        <f>VLOOKUP(AM837,MiscData!$AB$4:$AE$115,4,FALSE)</f>
        <v>RLS</v>
      </c>
      <c r="AM837">
        <f>IF(AM836=MiscData!$AB$91,1,AM836+1)</f>
        <v>44</v>
      </c>
    </row>
    <row r="838" spans="1:39">
      <c r="A838" s="7">
        <f t="shared" si="358"/>
        <v>837</v>
      </c>
      <c r="B838" s="13" t="str">
        <f t="shared" si="339"/>
        <v>Oct 2015</v>
      </c>
      <c r="C838" s="23" t="str">
        <f t="shared" si="340"/>
        <v>LS</v>
      </c>
      <c r="D838" s="23" t="str">
        <f t="shared" si="341"/>
        <v>KUUM_450</v>
      </c>
      <c r="E838" s="170">
        <f t="shared" si="342"/>
        <v>614</v>
      </c>
      <c r="F838" s="185"/>
      <c r="G838" s="170">
        <f t="shared" si="343"/>
        <v>0</v>
      </c>
      <c r="H838" s="170">
        <v>0</v>
      </c>
      <c r="I838" s="11">
        <f t="shared" si="344"/>
        <v>14.25</v>
      </c>
      <c r="J838" s="11">
        <f t="shared" si="345"/>
        <v>1.9699999999999989</v>
      </c>
      <c r="K838" s="416">
        <f t="shared" si="360"/>
        <v>8749.5</v>
      </c>
      <c r="L838" s="180"/>
      <c r="M838" s="180"/>
      <c r="N838" s="186">
        <f t="shared" si="338"/>
        <v>8749.5</v>
      </c>
      <c r="O838" s="29">
        <f t="shared" si="346"/>
        <v>0</v>
      </c>
      <c r="P838" s="181">
        <f t="shared" si="361"/>
        <v>0</v>
      </c>
      <c r="Q838" s="182">
        <f t="shared" si="347"/>
        <v>0</v>
      </c>
      <c r="R838" s="182">
        <f t="shared" si="348"/>
        <v>0</v>
      </c>
      <c r="S838" s="182">
        <f t="shared" si="349"/>
        <v>0</v>
      </c>
      <c r="T838" s="182">
        <f t="shared" si="350"/>
        <v>0</v>
      </c>
      <c r="U838" s="182">
        <f t="shared" si="351"/>
        <v>0</v>
      </c>
      <c r="V838" s="14">
        <f t="shared" si="352"/>
        <v>8749.5</v>
      </c>
      <c r="W838" s="14">
        <f t="shared" si="353"/>
        <v>-8749.5</v>
      </c>
      <c r="Y838" s="14">
        <f t="shared" si="356"/>
        <v>1209.58</v>
      </c>
      <c r="Z838" s="14">
        <f t="shared" si="357"/>
        <v>-1209.58</v>
      </c>
      <c r="AA838" s="11">
        <f t="shared" si="359"/>
        <v>0.66</v>
      </c>
      <c r="AB838" s="9">
        <f t="shared" si="362"/>
        <v>405.24</v>
      </c>
      <c r="AD838" s="13">
        <f>IF(AH838&gt;AH837,AD837,IF(AD837&lt;MiscData!$F$1,EOMONTH(AD837,1),EOMONTH(AD837,-11)))</f>
        <v>42308</v>
      </c>
      <c r="AE838" s="7" t="str">
        <f t="shared" si="354"/>
        <v>20140101KUUM_450</v>
      </c>
      <c r="AF838" s="12" t="str">
        <f t="shared" si="355"/>
        <v>20140101LS</v>
      </c>
      <c r="AG838" s="31"/>
      <c r="AH838">
        <f>IF(AH837=MiscData!$AB$91,1,AH837+1)</f>
        <v>45</v>
      </c>
      <c r="AI838">
        <f>IF(AD838&lt;=MiscData!$B$23,MiscData!$C$23,IF(AD838&lt;=MiscData!$B$24,MiscData!$C$24,MiscData!$C$25))</f>
        <v>20140101</v>
      </c>
      <c r="AK838" s="190" t="str">
        <f>VLOOKUP(AM838,MiscData!$AB$4:$ACB$113,2,FALSE)</f>
        <v>KUUM_450</v>
      </c>
      <c r="AL838" s="190" t="str">
        <f>VLOOKUP(AM838,MiscData!$AB$4:$AE$115,4,FALSE)</f>
        <v>LS</v>
      </c>
      <c r="AM838">
        <f>IF(AM837=MiscData!$AB$91,1,AM837+1)</f>
        <v>45</v>
      </c>
    </row>
    <row r="839" spans="1:39">
      <c r="A839" s="7">
        <f t="shared" si="358"/>
        <v>838</v>
      </c>
      <c r="B839" s="13" t="str">
        <f t="shared" si="339"/>
        <v>Oct 2015</v>
      </c>
      <c r="C839" s="23" t="str">
        <f t="shared" si="340"/>
        <v>LS</v>
      </c>
      <c r="D839" s="23" t="str">
        <f t="shared" si="341"/>
        <v>KUUM_451</v>
      </c>
      <c r="E839" s="170">
        <f t="shared" si="342"/>
        <v>5013</v>
      </c>
      <c r="F839" s="185"/>
      <c r="G839" s="170">
        <f t="shared" si="343"/>
        <v>0</v>
      </c>
      <c r="H839" s="170">
        <v>0</v>
      </c>
      <c r="I839" s="11">
        <f t="shared" si="344"/>
        <v>20.200000000000003</v>
      </c>
      <c r="J839" s="11">
        <f t="shared" si="345"/>
        <v>4.2900000000000027</v>
      </c>
      <c r="K839" s="416">
        <f t="shared" si="360"/>
        <v>101262.6</v>
      </c>
      <c r="L839" s="180"/>
      <c r="M839" s="180"/>
      <c r="N839" s="186">
        <f t="shared" si="338"/>
        <v>101262.6</v>
      </c>
      <c r="O839" s="29">
        <f t="shared" si="346"/>
        <v>0</v>
      </c>
      <c r="P839" s="181">
        <f t="shared" si="361"/>
        <v>0</v>
      </c>
      <c r="Q839" s="182">
        <f t="shared" si="347"/>
        <v>0</v>
      </c>
      <c r="R839" s="182">
        <f t="shared" si="348"/>
        <v>0</v>
      </c>
      <c r="S839" s="182">
        <f t="shared" si="349"/>
        <v>0</v>
      </c>
      <c r="T839" s="182">
        <f t="shared" si="350"/>
        <v>0</v>
      </c>
      <c r="U839" s="182">
        <f t="shared" si="351"/>
        <v>0</v>
      </c>
      <c r="V839" s="14">
        <f t="shared" si="352"/>
        <v>101262.6</v>
      </c>
      <c r="W839" s="14">
        <f t="shared" si="353"/>
        <v>-101262.6</v>
      </c>
      <c r="Y839" s="14">
        <f t="shared" si="356"/>
        <v>21505.77</v>
      </c>
      <c r="Z839" s="14">
        <f t="shared" si="357"/>
        <v>-21505.77</v>
      </c>
      <c r="AA839" s="11">
        <f t="shared" si="359"/>
        <v>0.84</v>
      </c>
      <c r="AB839" s="9">
        <f t="shared" si="362"/>
        <v>4210.92</v>
      </c>
      <c r="AD839" s="13">
        <f>IF(AH839&gt;AH838,AD838,IF(AD838&lt;MiscData!$F$1,EOMONTH(AD838,1),EOMONTH(AD838,-11)))</f>
        <v>42308</v>
      </c>
      <c r="AE839" s="7" t="str">
        <f t="shared" si="354"/>
        <v>20140101KUUM_451</v>
      </c>
      <c r="AF839" s="12" t="str">
        <f t="shared" si="355"/>
        <v>20140101LS</v>
      </c>
      <c r="AG839" s="31"/>
      <c r="AH839">
        <f>IF(AH838=MiscData!$AB$91,1,AH838+1)</f>
        <v>46</v>
      </c>
      <c r="AI839">
        <f>IF(AD839&lt;=MiscData!$B$23,MiscData!$C$23,IF(AD839&lt;=MiscData!$B$24,MiscData!$C$24,MiscData!$C$25))</f>
        <v>20140101</v>
      </c>
      <c r="AK839" s="190" t="str">
        <f>VLOOKUP(AM839,MiscData!$AB$4:$ACB$113,2,FALSE)</f>
        <v>KUUM_451</v>
      </c>
      <c r="AL839" s="190" t="str">
        <f>VLOOKUP(AM839,MiscData!$AB$4:$AE$115,4,FALSE)</f>
        <v>LS</v>
      </c>
      <c r="AM839">
        <f>IF(AM838=MiscData!$AB$91,1,AM838+1)</f>
        <v>46</v>
      </c>
    </row>
    <row r="840" spans="1:39">
      <c r="A840" s="7">
        <f t="shared" si="358"/>
        <v>839</v>
      </c>
      <c r="B840" s="13" t="str">
        <f t="shared" si="339"/>
        <v>Oct 2015</v>
      </c>
      <c r="C840" s="23" t="str">
        <f t="shared" si="340"/>
        <v>LS</v>
      </c>
      <c r="D840" s="23" t="str">
        <f t="shared" si="341"/>
        <v>KUUM_452</v>
      </c>
      <c r="E840" s="170">
        <f t="shared" si="342"/>
        <v>1038</v>
      </c>
      <c r="F840" s="185"/>
      <c r="G840" s="170">
        <f t="shared" si="343"/>
        <v>0</v>
      </c>
      <c r="H840" s="170">
        <v>0</v>
      </c>
      <c r="I840" s="11">
        <f t="shared" si="344"/>
        <v>42.350000000000009</v>
      </c>
      <c r="J840" s="11">
        <f t="shared" si="345"/>
        <v>10.410000000000004</v>
      </c>
      <c r="K840" s="416">
        <f t="shared" si="360"/>
        <v>43959.3</v>
      </c>
      <c r="L840" s="180"/>
      <c r="M840" s="180"/>
      <c r="N840" s="186">
        <f t="shared" si="338"/>
        <v>43959.3</v>
      </c>
      <c r="O840" s="29">
        <f t="shared" si="346"/>
        <v>0</v>
      </c>
      <c r="P840" s="181">
        <f t="shared" si="361"/>
        <v>0</v>
      </c>
      <c r="Q840" s="182">
        <f t="shared" si="347"/>
        <v>0</v>
      </c>
      <c r="R840" s="182">
        <f t="shared" si="348"/>
        <v>0</v>
      </c>
      <c r="S840" s="182">
        <f t="shared" si="349"/>
        <v>0</v>
      </c>
      <c r="T840" s="182">
        <f t="shared" si="350"/>
        <v>0</v>
      </c>
      <c r="U840" s="182">
        <f t="shared" si="351"/>
        <v>0</v>
      </c>
      <c r="V840" s="14">
        <f t="shared" si="352"/>
        <v>43959.3</v>
      </c>
      <c r="W840" s="14">
        <f t="shared" si="353"/>
        <v>-43959.3</v>
      </c>
      <c r="Y840" s="14">
        <f t="shared" si="356"/>
        <v>10805.58</v>
      </c>
      <c r="Z840" s="14">
        <f t="shared" si="357"/>
        <v>-10805.58</v>
      </c>
      <c r="AA840" s="11">
        <f t="shared" si="359"/>
        <v>1.7</v>
      </c>
      <c r="AB840" s="9">
        <f t="shared" si="362"/>
        <v>1764.6</v>
      </c>
      <c r="AD840" s="13">
        <f>IF(AH840&gt;AH839,AD839,IF(AD839&lt;MiscData!$F$1,EOMONTH(AD839,1),EOMONTH(AD839,-11)))</f>
        <v>42308</v>
      </c>
      <c r="AE840" s="7" t="str">
        <f t="shared" si="354"/>
        <v>20140101KUUM_452</v>
      </c>
      <c r="AF840" s="12" t="str">
        <f t="shared" si="355"/>
        <v>20140101LS</v>
      </c>
      <c r="AG840" s="31"/>
      <c r="AH840">
        <f>IF(AH839=MiscData!$AB$91,1,AH839+1)</f>
        <v>47</v>
      </c>
      <c r="AI840">
        <f>IF(AD840&lt;=MiscData!$B$23,MiscData!$C$23,IF(AD840&lt;=MiscData!$B$24,MiscData!$C$24,MiscData!$C$25))</f>
        <v>20140101</v>
      </c>
      <c r="AK840" s="190" t="str">
        <f>VLOOKUP(AM840,MiscData!$AB$4:$ACB$113,2,FALSE)</f>
        <v>KUUM_452</v>
      </c>
      <c r="AL840" s="190" t="str">
        <f>VLOOKUP(AM840,MiscData!$AB$4:$AE$115,4,FALSE)</f>
        <v>LS</v>
      </c>
      <c r="AM840">
        <f>IF(AM839=MiscData!$AB$91,1,AM839+1)</f>
        <v>47</v>
      </c>
    </row>
    <row r="841" spans="1:39">
      <c r="A841" s="7">
        <f t="shared" si="358"/>
        <v>840</v>
      </c>
      <c r="B841" s="13" t="str">
        <f t="shared" si="339"/>
        <v>Oct 2015</v>
      </c>
      <c r="C841" s="23" t="str">
        <f t="shared" si="340"/>
        <v>RLS</v>
      </c>
      <c r="D841" s="23" t="str">
        <f t="shared" si="341"/>
        <v>KUUM_454</v>
      </c>
      <c r="E841" s="170">
        <f t="shared" si="342"/>
        <v>124</v>
      </c>
      <c r="F841" s="185"/>
      <c r="G841" s="170">
        <f t="shared" si="343"/>
        <v>0</v>
      </c>
      <c r="H841" s="170">
        <v>0</v>
      </c>
      <c r="I841" s="11">
        <f t="shared" si="344"/>
        <v>18.649999999999999</v>
      </c>
      <c r="J841" s="11">
        <f t="shared" si="345"/>
        <v>1.9699999999999989</v>
      </c>
      <c r="K841" s="416">
        <f t="shared" si="360"/>
        <v>2312.6</v>
      </c>
      <c r="L841" s="180"/>
      <c r="M841" s="180"/>
      <c r="N841" s="186">
        <f t="shared" si="338"/>
        <v>2312.6</v>
      </c>
      <c r="O841" s="29">
        <f t="shared" si="346"/>
        <v>0</v>
      </c>
      <c r="P841" s="181">
        <f t="shared" si="361"/>
        <v>0</v>
      </c>
      <c r="Q841" s="182">
        <f t="shared" si="347"/>
        <v>0</v>
      </c>
      <c r="R841" s="182">
        <f t="shared" si="348"/>
        <v>0</v>
      </c>
      <c r="S841" s="182">
        <f t="shared" si="349"/>
        <v>0</v>
      </c>
      <c r="T841" s="182">
        <f t="shared" si="350"/>
        <v>0</v>
      </c>
      <c r="U841" s="182">
        <f t="shared" si="351"/>
        <v>0</v>
      </c>
      <c r="V841" s="14">
        <f t="shared" si="352"/>
        <v>2312.6</v>
      </c>
      <c r="W841" s="14">
        <f t="shared" si="353"/>
        <v>-2312.6</v>
      </c>
      <c r="Y841" s="14">
        <f t="shared" si="356"/>
        <v>244.28</v>
      </c>
      <c r="Z841" s="14">
        <f t="shared" si="357"/>
        <v>-244.28</v>
      </c>
      <c r="AA841" s="11">
        <f t="shared" si="359"/>
        <v>0.66</v>
      </c>
      <c r="AB841" s="9">
        <f t="shared" si="362"/>
        <v>81.84</v>
      </c>
      <c r="AD841" s="13">
        <f>IF(AH841&gt;AH840,AD840,IF(AD840&lt;MiscData!$F$1,EOMONTH(AD840,1),EOMONTH(AD840,-11)))</f>
        <v>42308</v>
      </c>
      <c r="AE841" s="7" t="str">
        <f t="shared" si="354"/>
        <v>20140101KUUM_454</v>
      </c>
      <c r="AF841" s="12" t="str">
        <f t="shared" si="355"/>
        <v>20140101RLS</v>
      </c>
      <c r="AG841" s="31"/>
      <c r="AH841">
        <f>IF(AH840=MiscData!$AB$91,1,AH840+1)</f>
        <v>48</v>
      </c>
      <c r="AI841">
        <f>IF(AD841&lt;=MiscData!$B$23,MiscData!$C$23,IF(AD841&lt;=MiscData!$B$24,MiscData!$C$24,MiscData!$C$25))</f>
        <v>20140101</v>
      </c>
      <c r="AK841" s="190" t="str">
        <f>VLOOKUP(AM841,MiscData!$AB$4:$ACB$113,2,FALSE)</f>
        <v>KUUM_454</v>
      </c>
      <c r="AL841" s="190" t="str">
        <f>VLOOKUP(AM841,MiscData!$AB$4:$AE$115,4,FALSE)</f>
        <v>RLS</v>
      </c>
      <c r="AM841">
        <f>IF(AM840=MiscData!$AB$91,1,AM840+1)</f>
        <v>48</v>
      </c>
    </row>
    <row r="842" spans="1:39">
      <c r="A842" s="7">
        <f t="shared" si="358"/>
        <v>841</v>
      </c>
      <c r="B842" s="13" t="str">
        <f t="shared" si="339"/>
        <v>Oct 2015</v>
      </c>
      <c r="C842" s="23" t="str">
        <f t="shared" si="340"/>
        <v>RLS</v>
      </c>
      <c r="D842" s="23" t="str">
        <f t="shared" si="341"/>
        <v>KUUM_455</v>
      </c>
      <c r="E842" s="170">
        <f t="shared" si="342"/>
        <v>1027</v>
      </c>
      <c r="F842" s="185"/>
      <c r="G842" s="170">
        <f t="shared" si="343"/>
        <v>0</v>
      </c>
      <c r="H842" s="170">
        <v>0</v>
      </c>
      <c r="I842" s="11">
        <f t="shared" si="344"/>
        <v>24.59</v>
      </c>
      <c r="J842" s="11">
        <f t="shared" si="345"/>
        <v>4.2899999999999991</v>
      </c>
      <c r="K842" s="416">
        <f t="shared" si="360"/>
        <v>25253.93</v>
      </c>
      <c r="L842" s="180"/>
      <c r="M842" s="180"/>
      <c r="N842" s="186">
        <f t="shared" si="338"/>
        <v>25253.93</v>
      </c>
      <c r="O842" s="29">
        <f t="shared" si="346"/>
        <v>0</v>
      </c>
      <c r="P842" s="181">
        <f t="shared" si="361"/>
        <v>0</v>
      </c>
      <c r="Q842" s="182">
        <f t="shared" si="347"/>
        <v>0</v>
      </c>
      <c r="R842" s="182">
        <f t="shared" si="348"/>
        <v>0</v>
      </c>
      <c r="S842" s="182">
        <f t="shared" si="349"/>
        <v>0</v>
      </c>
      <c r="T842" s="182">
        <f t="shared" si="350"/>
        <v>0</v>
      </c>
      <c r="U842" s="182">
        <f t="shared" si="351"/>
        <v>0</v>
      </c>
      <c r="V842" s="14">
        <f t="shared" si="352"/>
        <v>25253.93</v>
      </c>
      <c r="W842" s="14">
        <f t="shared" si="353"/>
        <v>-25253.93</v>
      </c>
      <c r="Y842" s="14">
        <f t="shared" si="356"/>
        <v>4405.83</v>
      </c>
      <c r="Z842" s="14">
        <f t="shared" si="357"/>
        <v>-4405.83</v>
      </c>
      <c r="AA842" s="11">
        <f t="shared" si="359"/>
        <v>0.84</v>
      </c>
      <c r="AB842" s="9">
        <f t="shared" si="362"/>
        <v>862.68</v>
      </c>
      <c r="AD842" s="13">
        <f>IF(AH842&gt;AH841,AD841,IF(AD841&lt;MiscData!$F$1,EOMONTH(AD841,1),EOMONTH(AD841,-11)))</f>
        <v>42308</v>
      </c>
      <c r="AE842" s="7" t="str">
        <f t="shared" si="354"/>
        <v>20140101KUUM_455</v>
      </c>
      <c r="AF842" s="12" t="str">
        <f t="shared" si="355"/>
        <v>20140101RLS</v>
      </c>
      <c r="AG842" s="31"/>
      <c r="AH842">
        <f>IF(AH841=MiscData!$AB$91,1,AH841+1)</f>
        <v>49</v>
      </c>
      <c r="AI842">
        <f>IF(AD842&lt;=MiscData!$B$23,MiscData!$C$23,IF(AD842&lt;=MiscData!$B$24,MiscData!$C$24,MiscData!$C$25))</f>
        <v>20140101</v>
      </c>
      <c r="AK842" s="190" t="str">
        <f>VLOOKUP(AM842,MiscData!$AB$4:$ACB$113,2,FALSE)</f>
        <v>KUUM_455</v>
      </c>
      <c r="AL842" s="190" t="str">
        <f>VLOOKUP(AM842,MiscData!$AB$4:$AE$115,4,FALSE)</f>
        <v>RLS</v>
      </c>
      <c r="AM842">
        <f>IF(AM841=MiscData!$AB$91,1,AM841+1)</f>
        <v>49</v>
      </c>
    </row>
    <row r="843" spans="1:39">
      <c r="A843" s="7">
        <f t="shared" si="358"/>
        <v>842</v>
      </c>
      <c r="B843" s="13" t="str">
        <f t="shared" si="339"/>
        <v>Oct 2015</v>
      </c>
      <c r="C843" s="23" t="str">
        <f t="shared" si="340"/>
        <v>RLS</v>
      </c>
      <c r="D843" s="23" t="str">
        <f t="shared" si="341"/>
        <v>KUUM_456</v>
      </c>
      <c r="E843" s="170">
        <f t="shared" si="342"/>
        <v>126</v>
      </c>
      <c r="F843" s="185"/>
      <c r="G843" s="170">
        <f t="shared" si="343"/>
        <v>0</v>
      </c>
      <c r="H843" s="170">
        <v>0</v>
      </c>
      <c r="I843" s="11">
        <f t="shared" si="344"/>
        <v>11.870000000000001</v>
      </c>
      <c r="J843" s="11">
        <f t="shared" si="345"/>
        <v>1.9900000000000002</v>
      </c>
      <c r="K843" s="416">
        <f t="shared" si="360"/>
        <v>1495.62</v>
      </c>
      <c r="L843" s="180"/>
      <c r="M843" s="180"/>
      <c r="N843" s="186">
        <f t="shared" si="338"/>
        <v>1495.62</v>
      </c>
      <c r="O843" s="29">
        <f t="shared" si="346"/>
        <v>0</v>
      </c>
      <c r="P843" s="181">
        <f t="shared" si="361"/>
        <v>0</v>
      </c>
      <c r="Q843" s="182">
        <f t="shared" si="347"/>
        <v>0</v>
      </c>
      <c r="R843" s="182">
        <f t="shared" si="348"/>
        <v>0</v>
      </c>
      <c r="S843" s="182">
        <f t="shared" si="349"/>
        <v>0</v>
      </c>
      <c r="T843" s="182">
        <f t="shared" si="350"/>
        <v>0</v>
      </c>
      <c r="U843" s="182">
        <f t="shared" si="351"/>
        <v>0</v>
      </c>
      <c r="V843" s="14">
        <f t="shared" si="352"/>
        <v>1495.62</v>
      </c>
      <c r="W843" s="14">
        <f t="shared" si="353"/>
        <v>-1495.62</v>
      </c>
      <c r="Y843" s="14">
        <f t="shared" si="356"/>
        <v>250.74</v>
      </c>
      <c r="Z843" s="14">
        <f t="shared" si="357"/>
        <v>-250.74</v>
      </c>
      <c r="AA843" s="11">
        <f t="shared" si="359"/>
        <v>0.39</v>
      </c>
      <c r="AB843" s="9">
        <f t="shared" si="362"/>
        <v>49.14</v>
      </c>
      <c r="AD843" s="13">
        <f>IF(AH843&gt;AH842,AD842,IF(AD842&lt;MiscData!$F$1,EOMONTH(AD842,1),EOMONTH(AD842,-11)))</f>
        <v>42308</v>
      </c>
      <c r="AE843" s="7" t="str">
        <f t="shared" si="354"/>
        <v>20140101KUUM_456</v>
      </c>
      <c r="AF843" s="12" t="str">
        <f t="shared" si="355"/>
        <v>20140101RLS</v>
      </c>
      <c r="AG843" s="31"/>
      <c r="AH843">
        <f>IF(AH842=MiscData!$AB$91,1,AH842+1)</f>
        <v>50</v>
      </c>
      <c r="AI843">
        <f>IF(AD843&lt;=MiscData!$B$23,MiscData!$C$23,IF(AD843&lt;=MiscData!$B$24,MiscData!$C$24,MiscData!$C$25))</f>
        <v>20140101</v>
      </c>
      <c r="AK843" s="190" t="str">
        <f>VLOOKUP(AM843,MiscData!$AB$4:$ACB$113,2,FALSE)</f>
        <v>KUUM_456</v>
      </c>
      <c r="AL843" s="190" t="str">
        <f>VLOOKUP(AM843,MiscData!$AB$4:$AE$115,4,FALSE)</f>
        <v>RLS</v>
      </c>
      <c r="AM843">
        <f>IF(AM842=MiscData!$AB$91,1,AM842+1)</f>
        <v>50</v>
      </c>
    </row>
    <row r="844" spans="1:39">
      <c r="A844" s="7">
        <f t="shared" si="358"/>
        <v>843</v>
      </c>
      <c r="B844" s="13" t="str">
        <f t="shared" si="339"/>
        <v>Oct 2015</v>
      </c>
      <c r="C844" s="23" t="str">
        <f t="shared" si="340"/>
        <v>RLS</v>
      </c>
      <c r="D844" s="23" t="str">
        <f t="shared" si="341"/>
        <v>KUUM_457</v>
      </c>
      <c r="E844" s="170">
        <f t="shared" si="342"/>
        <v>402</v>
      </c>
      <c r="F844" s="185"/>
      <c r="G844" s="170">
        <f t="shared" si="343"/>
        <v>0</v>
      </c>
      <c r="H844" s="170">
        <v>0</v>
      </c>
      <c r="I844" s="11">
        <f t="shared" si="344"/>
        <v>13.360000000000001</v>
      </c>
      <c r="J844" s="11">
        <f t="shared" si="345"/>
        <v>2.84</v>
      </c>
      <c r="K844" s="416">
        <f t="shared" si="360"/>
        <v>5370.72</v>
      </c>
      <c r="L844" s="180"/>
      <c r="M844" s="180"/>
      <c r="N844" s="186">
        <f t="shared" si="338"/>
        <v>5370.72</v>
      </c>
      <c r="O844" s="29">
        <f t="shared" si="346"/>
        <v>0</v>
      </c>
      <c r="P844" s="181">
        <f t="shared" si="361"/>
        <v>0</v>
      </c>
      <c r="Q844" s="182">
        <f t="shared" si="347"/>
        <v>0</v>
      </c>
      <c r="R844" s="182">
        <f t="shared" si="348"/>
        <v>0</v>
      </c>
      <c r="S844" s="182">
        <f t="shared" si="349"/>
        <v>0</v>
      </c>
      <c r="T844" s="182">
        <f t="shared" si="350"/>
        <v>0</v>
      </c>
      <c r="U844" s="182">
        <f t="shared" si="351"/>
        <v>0</v>
      </c>
      <c r="V844" s="14">
        <f t="shared" si="352"/>
        <v>5370.72</v>
      </c>
      <c r="W844" s="14">
        <f t="shared" si="353"/>
        <v>-5370.72</v>
      </c>
      <c r="Y844" s="14">
        <f t="shared" si="356"/>
        <v>1141.68</v>
      </c>
      <c r="Z844" s="14">
        <f t="shared" si="357"/>
        <v>-1141.68</v>
      </c>
      <c r="AA844" s="11">
        <f t="shared" si="359"/>
        <v>0.44</v>
      </c>
      <c r="AB844" s="9">
        <f t="shared" si="362"/>
        <v>176.88</v>
      </c>
      <c r="AD844" s="13">
        <f>IF(AH844&gt;AH843,AD843,IF(AD843&lt;MiscData!$F$1,EOMONTH(AD843,1),EOMONTH(AD843,-11)))</f>
        <v>42308</v>
      </c>
      <c r="AE844" s="7" t="str">
        <f t="shared" si="354"/>
        <v>20140101KUUM_457</v>
      </c>
      <c r="AF844" s="12" t="str">
        <f t="shared" si="355"/>
        <v>20140101RLS</v>
      </c>
      <c r="AG844" s="31"/>
      <c r="AH844">
        <f>IF(AH843=MiscData!$AB$91,1,AH843+1)</f>
        <v>51</v>
      </c>
      <c r="AI844">
        <f>IF(AD844&lt;=MiscData!$B$23,MiscData!$C$23,IF(AD844&lt;=MiscData!$B$24,MiscData!$C$24,MiscData!$C$25))</f>
        <v>20140101</v>
      </c>
      <c r="AK844" s="190" t="str">
        <f>VLOOKUP(AM844,MiscData!$AB$4:$ACB$113,2,FALSE)</f>
        <v>KUUM_457</v>
      </c>
      <c r="AL844" s="190" t="str">
        <f>VLOOKUP(AM844,MiscData!$AB$4:$AE$115,4,FALSE)</f>
        <v>RLS</v>
      </c>
      <c r="AM844">
        <f>IF(AM843=MiscData!$AB$91,1,AM843+1)</f>
        <v>51</v>
      </c>
    </row>
    <row r="845" spans="1:39">
      <c r="A845" s="7">
        <f t="shared" si="358"/>
        <v>844</v>
      </c>
      <c r="B845" s="13" t="str">
        <f t="shared" si="339"/>
        <v>Oct 2015</v>
      </c>
      <c r="C845" s="23" t="str">
        <f t="shared" si="340"/>
        <v>RLS</v>
      </c>
      <c r="D845" s="23" t="str">
        <f t="shared" si="341"/>
        <v>KUUM_458</v>
      </c>
      <c r="E845" s="170">
        <f t="shared" si="342"/>
        <v>1593</v>
      </c>
      <c r="F845" s="185"/>
      <c r="G845" s="170">
        <f t="shared" si="343"/>
        <v>0</v>
      </c>
      <c r="H845" s="170">
        <v>0</v>
      </c>
      <c r="I845" s="11">
        <f t="shared" si="344"/>
        <v>15.079999999999998</v>
      </c>
      <c r="J845" s="11">
        <f t="shared" si="345"/>
        <v>4.3699999999999992</v>
      </c>
      <c r="K845" s="416">
        <f t="shared" si="360"/>
        <v>24022.44</v>
      </c>
      <c r="L845" s="180"/>
      <c r="M845" s="180"/>
      <c r="N845" s="186">
        <f t="shared" si="338"/>
        <v>24022.44</v>
      </c>
      <c r="O845" s="29">
        <f t="shared" si="346"/>
        <v>0</v>
      </c>
      <c r="P845" s="181">
        <f t="shared" si="361"/>
        <v>0</v>
      </c>
      <c r="Q845" s="182">
        <f t="shared" si="347"/>
        <v>0</v>
      </c>
      <c r="R845" s="182">
        <f t="shared" si="348"/>
        <v>0</v>
      </c>
      <c r="S845" s="182">
        <f t="shared" si="349"/>
        <v>0</v>
      </c>
      <c r="T845" s="182">
        <f t="shared" si="350"/>
        <v>0</v>
      </c>
      <c r="U845" s="182">
        <f t="shared" si="351"/>
        <v>0</v>
      </c>
      <c r="V845" s="14">
        <f t="shared" si="352"/>
        <v>24022.44</v>
      </c>
      <c r="W845" s="14">
        <f t="shared" si="353"/>
        <v>-24022.44</v>
      </c>
      <c r="Y845" s="14">
        <f t="shared" si="356"/>
        <v>6961.41</v>
      </c>
      <c r="Z845" s="14">
        <f t="shared" si="357"/>
        <v>-6961.41</v>
      </c>
      <c r="AA845" s="11">
        <f t="shared" si="359"/>
        <v>0.51</v>
      </c>
      <c r="AB845" s="9">
        <f t="shared" si="362"/>
        <v>812.43000000000006</v>
      </c>
      <c r="AD845" s="13">
        <f>IF(AH845&gt;AH844,AD844,IF(AD844&lt;MiscData!$F$1,EOMONTH(AD844,1),EOMONTH(AD844,-11)))</f>
        <v>42308</v>
      </c>
      <c r="AE845" s="7" t="str">
        <f t="shared" si="354"/>
        <v>20140101KUUM_458</v>
      </c>
      <c r="AF845" s="12" t="str">
        <f t="shared" si="355"/>
        <v>20140101RLS</v>
      </c>
      <c r="AG845" s="31"/>
      <c r="AH845">
        <f>IF(AH844=MiscData!$AB$91,1,AH844+1)</f>
        <v>52</v>
      </c>
      <c r="AI845">
        <f>IF(AD845&lt;=MiscData!$B$23,MiscData!$C$23,IF(AD845&lt;=MiscData!$B$24,MiscData!$C$24,MiscData!$C$25))</f>
        <v>20140101</v>
      </c>
      <c r="AK845" s="190" t="str">
        <f>VLOOKUP(AM845,MiscData!$AB$4:$ACB$113,2,FALSE)</f>
        <v>KUUM_458</v>
      </c>
      <c r="AL845" s="190" t="str">
        <f>VLOOKUP(AM845,MiscData!$AB$4:$AE$115,4,FALSE)</f>
        <v>RLS</v>
      </c>
      <c r="AM845">
        <f>IF(AM844=MiscData!$AB$91,1,AM844+1)</f>
        <v>52</v>
      </c>
    </row>
    <row r="846" spans="1:39">
      <c r="A846" s="7">
        <f t="shared" si="358"/>
        <v>845</v>
      </c>
      <c r="B846" s="13" t="str">
        <f t="shared" si="339"/>
        <v>Oct 2015</v>
      </c>
      <c r="C846" s="23" t="str">
        <f t="shared" si="340"/>
        <v>RLS</v>
      </c>
      <c r="D846" s="23" t="str">
        <f t="shared" si="341"/>
        <v>KUUM_459</v>
      </c>
      <c r="E846" s="170">
        <f t="shared" si="342"/>
        <v>246</v>
      </c>
      <c r="F846" s="185"/>
      <c r="G846" s="170">
        <f t="shared" si="343"/>
        <v>0</v>
      </c>
      <c r="H846" s="170">
        <v>0</v>
      </c>
      <c r="I846" s="11">
        <f t="shared" si="344"/>
        <v>46.740000000000009</v>
      </c>
      <c r="J846" s="11">
        <f t="shared" si="345"/>
        <v>10.410000000000004</v>
      </c>
      <c r="K846" s="416">
        <f t="shared" si="360"/>
        <v>11498.04</v>
      </c>
      <c r="L846" s="180"/>
      <c r="M846" s="180"/>
      <c r="N846" s="186">
        <f t="shared" si="338"/>
        <v>11498.04</v>
      </c>
      <c r="O846" s="29">
        <f t="shared" si="346"/>
        <v>0</v>
      </c>
      <c r="P846" s="181">
        <f t="shared" si="361"/>
        <v>0</v>
      </c>
      <c r="Q846" s="182">
        <f t="shared" si="347"/>
        <v>0</v>
      </c>
      <c r="R846" s="182">
        <f t="shared" si="348"/>
        <v>0</v>
      </c>
      <c r="S846" s="182">
        <f t="shared" si="349"/>
        <v>0</v>
      </c>
      <c r="T846" s="182">
        <f t="shared" si="350"/>
        <v>0</v>
      </c>
      <c r="U846" s="182">
        <f t="shared" si="351"/>
        <v>0</v>
      </c>
      <c r="V846" s="14">
        <f t="shared" si="352"/>
        <v>11498.04</v>
      </c>
      <c r="W846" s="14">
        <f t="shared" si="353"/>
        <v>-11498.04</v>
      </c>
      <c r="Y846" s="14">
        <f t="shared" si="356"/>
        <v>2560.86</v>
      </c>
      <c r="Z846" s="14">
        <f t="shared" si="357"/>
        <v>-2560.86</v>
      </c>
      <c r="AA846" s="11">
        <f t="shared" si="359"/>
        <v>1.7</v>
      </c>
      <c r="AB846" s="9">
        <f t="shared" si="362"/>
        <v>418.2</v>
      </c>
      <c r="AD846" s="13">
        <f>IF(AH846&gt;AH845,AD845,IF(AD845&lt;MiscData!$F$1,EOMONTH(AD845,1),EOMONTH(AD845,-11)))</f>
        <v>42308</v>
      </c>
      <c r="AE846" s="7" t="str">
        <f t="shared" si="354"/>
        <v>20140101KUUM_459</v>
      </c>
      <c r="AF846" s="12" t="str">
        <f t="shared" si="355"/>
        <v>20140101RLS</v>
      </c>
      <c r="AG846" s="31"/>
      <c r="AH846">
        <f>IF(AH845=MiscData!$AB$91,1,AH845+1)</f>
        <v>53</v>
      </c>
      <c r="AI846">
        <f>IF(AD846&lt;=MiscData!$B$23,MiscData!$C$23,IF(AD846&lt;=MiscData!$B$24,MiscData!$C$24,MiscData!$C$25))</f>
        <v>20140101</v>
      </c>
      <c r="AK846" s="190" t="str">
        <f>VLOOKUP(AM846,MiscData!$AB$4:$ACB$113,2,FALSE)</f>
        <v>KUUM_459</v>
      </c>
      <c r="AL846" s="190" t="str">
        <f>VLOOKUP(AM846,MiscData!$AB$4:$AE$115,4,FALSE)</f>
        <v>RLS</v>
      </c>
      <c r="AM846">
        <f>IF(AM845=MiscData!$AB$91,1,AM845+1)</f>
        <v>53</v>
      </c>
    </row>
    <row r="847" spans="1:39">
      <c r="A847" s="7">
        <f t="shared" si="358"/>
        <v>846</v>
      </c>
      <c r="B847" s="13" t="str">
        <f t="shared" si="339"/>
        <v>Oct 2015</v>
      </c>
      <c r="C847" s="23" t="str">
        <f t="shared" si="340"/>
        <v>RLS</v>
      </c>
      <c r="D847" s="23" t="str">
        <f t="shared" si="341"/>
        <v>KUUM_460</v>
      </c>
      <c r="E847" s="170">
        <f t="shared" si="342"/>
        <v>-249</v>
      </c>
      <c r="F847" s="185"/>
      <c r="G847" s="170">
        <f t="shared" si="343"/>
        <v>0</v>
      </c>
      <c r="H847" s="170">
        <v>0</v>
      </c>
      <c r="I847" s="11">
        <f t="shared" si="344"/>
        <v>27.15</v>
      </c>
      <c r="J847" s="11">
        <f t="shared" si="345"/>
        <v>1.9699999999999989</v>
      </c>
      <c r="K847" s="416">
        <f t="shared" si="360"/>
        <v>-6760.35</v>
      </c>
      <c r="L847" s="180"/>
      <c r="M847" s="180"/>
      <c r="N847" s="186">
        <f t="shared" si="338"/>
        <v>-6760.35</v>
      </c>
      <c r="O847" s="29">
        <f t="shared" si="346"/>
        <v>0</v>
      </c>
      <c r="P847" s="181">
        <f t="shared" si="361"/>
        <v>0</v>
      </c>
      <c r="Q847" s="182">
        <f t="shared" si="347"/>
        <v>0</v>
      </c>
      <c r="R847" s="182">
        <f t="shared" si="348"/>
        <v>0</v>
      </c>
      <c r="S847" s="182">
        <f t="shared" si="349"/>
        <v>0</v>
      </c>
      <c r="T847" s="182">
        <f t="shared" si="350"/>
        <v>0</v>
      </c>
      <c r="U847" s="182">
        <f t="shared" si="351"/>
        <v>0</v>
      </c>
      <c r="V847" s="14">
        <f t="shared" si="352"/>
        <v>-6760.35</v>
      </c>
      <c r="W847" s="14">
        <f t="shared" si="353"/>
        <v>6760.35</v>
      </c>
      <c r="Y847" s="14">
        <f t="shared" si="356"/>
        <v>-490.53</v>
      </c>
      <c r="Z847" s="14">
        <f t="shared" si="357"/>
        <v>490.53</v>
      </c>
      <c r="AA847" s="11">
        <f t="shared" si="359"/>
        <v>0.66</v>
      </c>
      <c r="AB847" s="9">
        <f t="shared" si="362"/>
        <v>-164.34</v>
      </c>
      <c r="AD847" s="13">
        <f>IF(AH847&gt;AH846,AD846,IF(AD846&lt;MiscData!$F$1,EOMONTH(AD846,1),EOMONTH(AD846,-11)))</f>
        <v>42308</v>
      </c>
      <c r="AE847" s="7" t="str">
        <f t="shared" si="354"/>
        <v>20140101KUUM_460</v>
      </c>
      <c r="AF847" s="12" t="str">
        <f t="shared" si="355"/>
        <v>20140101RLS</v>
      </c>
      <c r="AG847" s="31"/>
      <c r="AH847">
        <f>IF(AH846=MiscData!$AB$91,1,AH846+1)</f>
        <v>54</v>
      </c>
      <c r="AI847">
        <f>IF(AD847&lt;=MiscData!$B$23,MiscData!$C$23,IF(AD847&lt;=MiscData!$B$24,MiscData!$C$24,MiscData!$C$25))</f>
        <v>20140101</v>
      </c>
      <c r="AK847" s="190" t="str">
        <f>VLOOKUP(AM847,MiscData!$AB$4:$ACB$113,2,FALSE)</f>
        <v>KUUM_460</v>
      </c>
      <c r="AL847" s="190" t="str">
        <f>VLOOKUP(AM847,MiscData!$AB$4:$AE$115,4,FALSE)</f>
        <v>RLS</v>
      </c>
      <c r="AM847">
        <f>IF(AM846=MiscData!$AB$91,1,AM846+1)</f>
        <v>54</v>
      </c>
    </row>
    <row r="848" spans="1:39">
      <c r="A848" s="7">
        <f t="shared" si="358"/>
        <v>847</v>
      </c>
      <c r="B848" s="13" t="str">
        <f t="shared" si="339"/>
        <v>Oct 2015</v>
      </c>
      <c r="C848" s="23" t="str">
        <f t="shared" si="340"/>
        <v>RLS</v>
      </c>
      <c r="D848" s="23" t="str">
        <f t="shared" si="341"/>
        <v>KUUM_461</v>
      </c>
      <c r="E848" s="170">
        <f t="shared" si="342"/>
        <v>6468</v>
      </c>
      <c r="F848" s="185"/>
      <c r="G848" s="170">
        <f t="shared" si="343"/>
        <v>0</v>
      </c>
      <c r="H848" s="170">
        <v>0</v>
      </c>
      <c r="I848" s="11">
        <f t="shared" si="344"/>
        <v>7.54</v>
      </c>
      <c r="J848" s="11">
        <f t="shared" si="345"/>
        <v>0.57000000000000028</v>
      </c>
      <c r="K848" s="416">
        <f t="shared" si="360"/>
        <v>48768.72</v>
      </c>
      <c r="L848" s="180"/>
      <c r="M848" s="180"/>
      <c r="N848" s="186">
        <f t="shared" si="338"/>
        <v>48768.72</v>
      </c>
      <c r="O848" s="29">
        <f t="shared" si="346"/>
        <v>0</v>
      </c>
      <c r="P848" s="181">
        <f t="shared" si="361"/>
        <v>0</v>
      </c>
      <c r="Q848" s="182">
        <f t="shared" si="347"/>
        <v>0</v>
      </c>
      <c r="R848" s="182">
        <f t="shared" si="348"/>
        <v>0</v>
      </c>
      <c r="S848" s="182">
        <f t="shared" si="349"/>
        <v>0</v>
      </c>
      <c r="T848" s="182">
        <f t="shared" si="350"/>
        <v>0</v>
      </c>
      <c r="U848" s="182">
        <f t="shared" si="351"/>
        <v>0</v>
      </c>
      <c r="V848" s="14">
        <f t="shared" si="352"/>
        <v>48768.72</v>
      </c>
      <c r="W848" s="14">
        <f t="shared" si="353"/>
        <v>-48768.72</v>
      </c>
      <c r="Y848" s="14">
        <f t="shared" si="356"/>
        <v>3686.76</v>
      </c>
      <c r="Z848" s="14">
        <f t="shared" si="357"/>
        <v>-3686.76</v>
      </c>
      <c r="AA848" s="11">
        <f t="shared" si="359"/>
        <v>0.33</v>
      </c>
      <c r="AB848" s="9">
        <f t="shared" si="362"/>
        <v>2134.44</v>
      </c>
      <c r="AD848" s="13">
        <f>IF(AH848&gt;AH847,AD847,IF(AD847&lt;MiscData!$F$1,EOMONTH(AD847,1),EOMONTH(AD847,-11)))</f>
        <v>42308</v>
      </c>
      <c r="AE848" s="7" t="str">
        <f t="shared" si="354"/>
        <v>20140101KUUM_461</v>
      </c>
      <c r="AF848" s="12" t="str">
        <f t="shared" si="355"/>
        <v>20140101RLS</v>
      </c>
      <c r="AG848" s="31"/>
      <c r="AH848">
        <f>IF(AH847=MiscData!$AB$91,1,AH847+1)</f>
        <v>55</v>
      </c>
      <c r="AI848">
        <f>IF(AD848&lt;=MiscData!$B$23,MiscData!$C$23,IF(AD848&lt;=MiscData!$B$24,MiscData!$C$24,MiscData!$C$25))</f>
        <v>20140101</v>
      </c>
      <c r="AK848" s="190" t="str">
        <f>VLOOKUP(AM848,MiscData!$AB$4:$ACB$113,2,FALSE)</f>
        <v>KUUM_461</v>
      </c>
      <c r="AL848" s="190" t="str">
        <f>VLOOKUP(AM848,MiscData!$AB$4:$AE$115,4,FALSE)</f>
        <v>RLS</v>
      </c>
      <c r="AM848">
        <f>IF(AM847=MiscData!$AB$91,1,AM847+1)</f>
        <v>55</v>
      </c>
    </row>
    <row r="849" spans="1:39">
      <c r="A849" s="7">
        <f t="shared" si="358"/>
        <v>848</v>
      </c>
      <c r="B849" s="13" t="str">
        <f t="shared" si="339"/>
        <v>Oct 2015</v>
      </c>
      <c r="C849" s="23" t="str">
        <f t="shared" si="340"/>
        <v>LS</v>
      </c>
      <c r="D849" s="23" t="str">
        <f t="shared" si="341"/>
        <v>KUUM_462</v>
      </c>
      <c r="E849" s="170">
        <f t="shared" si="342"/>
        <v>9867</v>
      </c>
      <c r="F849" s="185"/>
      <c r="G849" s="170">
        <f t="shared" si="343"/>
        <v>0</v>
      </c>
      <c r="H849" s="170">
        <v>0</v>
      </c>
      <c r="I849" s="11">
        <f t="shared" si="344"/>
        <v>8.66</v>
      </c>
      <c r="J849" s="11">
        <f t="shared" si="345"/>
        <v>0.79999999999999893</v>
      </c>
      <c r="K849" s="416">
        <f t="shared" si="360"/>
        <v>85448.22</v>
      </c>
      <c r="L849" s="180"/>
      <c r="M849" s="180"/>
      <c r="N849" s="186">
        <f t="shared" si="338"/>
        <v>85448.22</v>
      </c>
      <c r="O849" s="29">
        <f t="shared" si="346"/>
        <v>0</v>
      </c>
      <c r="P849" s="181">
        <f t="shared" si="361"/>
        <v>0</v>
      </c>
      <c r="Q849" s="182">
        <f t="shared" si="347"/>
        <v>0</v>
      </c>
      <c r="R849" s="182">
        <f t="shared" si="348"/>
        <v>0</v>
      </c>
      <c r="S849" s="182">
        <f t="shared" si="349"/>
        <v>0</v>
      </c>
      <c r="T849" s="182">
        <f t="shared" si="350"/>
        <v>0</v>
      </c>
      <c r="U849" s="182">
        <f t="shared" si="351"/>
        <v>0</v>
      </c>
      <c r="V849" s="14">
        <f t="shared" si="352"/>
        <v>85448.22</v>
      </c>
      <c r="W849" s="14">
        <f t="shared" si="353"/>
        <v>-85448.22</v>
      </c>
      <c r="Y849" s="14">
        <f t="shared" si="356"/>
        <v>7893.6</v>
      </c>
      <c r="Z849" s="14">
        <f t="shared" si="357"/>
        <v>-7893.6</v>
      </c>
      <c r="AA849" s="11">
        <f t="shared" si="359"/>
        <v>0.43</v>
      </c>
      <c r="AB849" s="9">
        <f t="shared" si="362"/>
        <v>4242.8099999999995</v>
      </c>
      <c r="AD849" s="13">
        <f>IF(AH849&gt;AH848,AD848,IF(AD848&lt;MiscData!$F$1,EOMONTH(AD848,1),EOMONTH(AD848,-11)))</f>
        <v>42308</v>
      </c>
      <c r="AE849" s="7" t="str">
        <f t="shared" si="354"/>
        <v>20140101KUUM_462</v>
      </c>
      <c r="AF849" s="12" t="str">
        <f t="shared" si="355"/>
        <v>20140101LS</v>
      </c>
      <c r="AG849" s="31"/>
      <c r="AH849">
        <f>IF(AH848=MiscData!$AB$91,1,AH848+1)</f>
        <v>56</v>
      </c>
      <c r="AI849">
        <f>IF(AD849&lt;=MiscData!$B$23,MiscData!$C$23,IF(AD849&lt;=MiscData!$B$24,MiscData!$C$24,MiscData!$C$25))</f>
        <v>20140101</v>
      </c>
      <c r="AK849" s="190" t="str">
        <f>VLOOKUP(AM849,MiscData!$AB$4:$ACB$113,2,FALSE)</f>
        <v>KUUM_462</v>
      </c>
      <c r="AL849" s="190" t="str">
        <f>VLOOKUP(AM849,MiscData!$AB$4:$AE$115,4,FALSE)</f>
        <v>LS</v>
      </c>
      <c r="AM849">
        <f>IF(AM848=MiscData!$AB$91,1,AM848+1)</f>
        <v>56</v>
      </c>
    </row>
    <row r="850" spans="1:39">
      <c r="A850" s="7">
        <f t="shared" si="358"/>
        <v>849</v>
      </c>
      <c r="B850" s="13" t="str">
        <f t="shared" si="339"/>
        <v>Oct 2015</v>
      </c>
      <c r="C850" s="23" t="str">
        <f t="shared" si="340"/>
        <v>LS</v>
      </c>
      <c r="D850" s="23" t="str">
        <f t="shared" si="341"/>
        <v>KUUM_463</v>
      </c>
      <c r="E850" s="170">
        <f t="shared" si="342"/>
        <v>20338</v>
      </c>
      <c r="F850" s="185"/>
      <c r="G850" s="170">
        <f t="shared" si="343"/>
        <v>0</v>
      </c>
      <c r="H850" s="170">
        <v>0</v>
      </c>
      <c r="I850" s="11">
        <f t="shared" si="344"/>
        <v>9.14</v>
      </c>
      <c r="J850" s="11">
        <f t="shared" si="345"/>
        <v>1.1299999999999999</v>
      </c>
      <c r="K850" s="416">
        <f t="shared" si="360"/>
        <v>185889.32</v>
      </c>
      <c r="L850" s="180"/>
      <c r="M850" s="180"/>
      <c r="N850" s="186">
        <f t="shared" si="338"/>
        <v>185889.32</v>
      </c>
      <c r="O850" s="29">
        <f t="shared" si="346"/>
        <v>0</v>
      </c>
      <c r="P850" s="181">
        <f t="shared" si="361"/>
        <v>0</v>
      </c>
      <c r="Q850" s="182">
        <f t="shared" si="347"/>
        <v>0</v>
      </c>
      <c r="R850" s="182">
        <f t="shared" si="348"/>
        <v>0</v>
      </c>
      <c r="S850" s="182">
        <f t="shared" si="349"/>
        <v>0</v>
      </c>
      <c r="T850" s="182">
        <f t="shared" si="350"/>
        <v>0</v>
      </c>
      <c r="U850" s="182">
        <f t="shared" si="351"/>
        <v>0</v>
      </c>
      <c r="V850" s="14">
        <f t="shared" si="352"/>
        <v>185889.32</v>
      </c>
      <c r="W850" s="14">
        <f t="shared" si="353"/>
        <v>-185889.32</v>
      </c>
      <c r="Y850" s="14">
        <f t="shared" si="356"/>
        <v>22981.94</v>
      </c>
      <c r="Z850" s="14">
        <f t="shared" si="357"/>
        <v>-22981.94</v>
      </c>
      <c r="AA850" s="11">
        <f t="shared" si="359"/>
        <v>0.34</v>
      </c>
      <c r="AB850" s="9">
        <f t="shared" si="362"/>
        <v>6914.92</v>
      </c>
      <c r="AD850" s="13">
        <f>IF(AH850&gt;AH849,AD849,IF(AD849&lt;MiscData!$F$1,EOMONTH(AD849,1),EOMONTH(AD849,-11)))</f>
        <v>42308</v>
      </c>
      <c r="AE850" s="7" t="str">
        <f t="shared" si="354"/>
        <v>20140101KUUM_463</v>
      </c>
      <c r="AF850" s="12" t="str">
        <f t="shared" si="355"/>
        <v>20140101LS</v>
      </c>
      <c r="AG850" s="31"/>
      <c r="AH850">
        <f>IF(AH849=MiscData!$AB$91,1,AH849+1)</f>
        <v>57</v>
      </c>
      <c r="AI850">
        <f>IF(AD850&lt;=MiscData!$B$23,MiscData!$C$23,IF(AD850&lt;=MiscData!$B$24,MiscData!$C$24,MiscData!$C$25))</f>
        <v>20140101</v>
      </c>
      <c r="AK850" s="190" t="str">
        <f>VLOOKUP(AM850,MiscData!$AB$4:$ACB$113,2,FALSE)</f>
        <v>KUUM_463</v>
      </c>
      <c r="AL850" s="190" t="str">
        <f>VLOOKUP(AM850,MiscData!$AB$4:$AE$115,4,FALSE)</f>
        <v>LS</v>
      </c>
      <c r="AM850">
        <f>IF(AM849=MiscData!$AB$91,1,AM849+1)</f>
        <v>57</v>
      </c>
    </row>
    <row r="851" spans="1:39">
      <c r="A851" s="7">
        <f t="shared" si="358"/>
        <v>850</v>
      </c>
      <c r="B851" s="13" t="str">
        <f t="shared" si="339"/>
        <v>Oct 2015</v>
      </c>
      <c r="C851" s="23" t="str">
        <f t="shared" si="340"/>
        <v>LS</v>
      </c>
      <c r="D851" s="23" t="str">
        <f t="shared" si="341"/>
        <v>KUUM_464</v>
      </c>
      <c r="E851" s="170">
        <f t="shared" si="342"/>
        <v>7723</v>
      </c>
      <c r="F851" s="185"/>
      <c r="G851" s="170">
        <f t="shared" si="343"/>
        <v>0</v>
      </c>
      <c r="H851" s="170">
        <v>0</v>
      </c>
      <c r="I851" s="11">
        <f t="shared" si="344"/>
        <v>14.25</v>
      </c>
      <c r="J851" s="11">
        <f t="shared" si="345"/>
        <v>2.33</v>
      </c>
      <c r="K851" s="416">
        <f t="shared" si="360"/>
        <v>110052.75</v>
      </c>
      <c r="L851" s="180"/>
      <c r="M851" s="180"/>
      <c r="N851" s="186">
        <f t="shared" si="338"/>
        <v>110052.75</v>
      </c>
      <c r="O851" s="29">
        <f t="shared" si="346"/>
        <v>0</v>
      </c>
      <c r="P851" s="181">
        <f t="shared" si="361"/>
        <v>0</v>
      </c>
      <c r="Q851" s="182">
        <f t="shared" si="347"/>
        <v>0</v>
      </c>
      <c r="R851" s="182">
        <f t="shared" si="348"/>
        <v>0</v>
      </c>
      <c r="S851" s="182">
        <f t="shared" si="349"/>
        <v>0</v>
      </c>
      <c r="T851" s="182">
        <f t="shared" si="350"/>
        <v>0</v>
      </c>
      <c r="U851" s="182">
        <f t="shared" si="351"/>
        <v>0</v>
      </c>
      <c r="V851" s="14">
        <f t="shared" si="352"/>
        <v>110052.75</v>
      </c>
      <c r="W851" s="14">
        <f t="shared" si="353"/>
        <v>-110052.75</v>
      </c>
      <c r="Y851" s="14">
        <f t="shared" si="356"/>
        <v>17994.59</v>
      </c>
      <c r="Z851" s="14">
        <f t="shared" si="357"/>
        <v>-17994.59</v>
      </c>
      <c r="AA851" s="11">
        <f t="shared" si="359"/>
        <v>0.57999999999999996</v>
      </c>
      <c r="AB851" s="9">
        <f t="shared" si="362"/>
        <v>4479.34</v>
      </c>
      <c r="AD851" s="13">
        <f>IF(AH851&gt;AH850,AD850,IF(AD850&lt;MiscData!$F$1,EOMONTH(AD850,1),EOMONTH(AD850,-11)))</f>
        <v>42308</v>
      </c>
      <c r="AE851" s="7" t="str">
        <f t="shared" si="354"/>
        <v>20140101KUUM_464</v>
      </c>
      <c r="AF851" s="12" t="str">
        <f t="shared" si="355"/>
        <v>20140101LS</v>
      </c>
      <c r="AG851" s="31"/>
      <c r="AH851">
        <f>IF(AH850=MiscData!$AB$91,1,AH850+1)</f>
        <v>58</v>
      </c>
      <c r="AI851">
        <f>IF(AD851&lt;=MiscData!$B$23,MiscData!$C$23,IF(AD851&lt;=MiscData!$B$24,MiscData!$C$24,MiscData!$C$25))</f>
        <v>20140101</v>
      </c>
      <c r="AK851" s="190" t="str">
        <f>VLOOKUP(AM851,MiscData!$AB$4:$ACB$113,2,FALSE)</f>
        <v>KUUM_464</v>
      </c>
      <c r="AL851" s="190" t="str">
        <f>VLOOKUP(AM851,MiscData!$AB$4:$AE$115,4,FALSE)</f>
        <v>LS</v>
      </c>
      <c r="AM851">
        <f>IF(AM850=MiscData!$AB$91,1,AM850+1)</f>
        <v>58</v>
      </c>
    </row>
    <row r="852" spans="1:39">
      <c r="A852" s="7">
        <f t="shared" si="358"/>
        <v>851</v>
      </c>
      <c r="B852" s="13" t="str">
        <f t="shared" si="339"/>
        <v>Oct 2015</v>
      </c>
      <c r="C852" s="23" t="str">
        <f t="shared" si="340"/>
        <v>LS</v>
      </c>
      <c r="D852" s="23" t="str">
        <f t="shared" si="341"/>
        <v>KUUM_465</v>
      </c>
      <c r="E852" s="170">
        <f t="shared" si="342"/>
        <v>2855</v>
      </c>
      <c r="F852" s="185"/>
      <c r="G852" s="170">
        <f t="shared" si="343"/>
        <v>0</v>
      </c>
      <c r="H852" s="170">
        <v>0</v>
      </c>
      <c r="I852" s="11">
        <f t="shared" si="344"/>
        <v>22.84</v>
      </c>
      <c r="J852" s="11">
        <f t="shared" si="345"/>
        <v>4.5299999999999976</v>
      </c>
      <c r="K852" s="416">
        <f t="shared" si="360"/>
        <v>65208.2</v>
      </c>
      <c r="L852" s="180"/>
      <c r="M852" s="180"/>
      <c r="N852" s="186">
        <f t="shared" si="338"/>
        <v>65208.2</v>
      </c>
      <c r="O852" s="29">
        <f t="shared" si="346"/>
        <v>0</v>
      </c>
      <c r="P852" s="181">
        <f t="shared" si="361"/>
        <v>0</v>
      </c>
      <c r="Q852" s="182">
        <f t="shared" si="347"/>
        <v>0</v>
      </c>
      <c r="R852" s="182">
        <f t="shared" si="348"/>
        <v>0</v>
      </c>
      <c r="S852" s="182">
        <f t="shared" si="349"/>
        <v>0</v>
      </c>
      <c r="T852" s="182">
        <f t="shared" si="350"/>
        <v>0</v>
      </c>
      <c r="U852" s="182">
        <f t="shared" si="351"/>
        <v>0</v>
      </c>
      <c r="V852" s="14">
        <f t="shared" si="352"/>
        <v>65208.2</v>
      </c>
      <c r="W852" s="14">
        <f t="shared" si="353"/>
        <v>-65208.2</v>
      </c>
      <c r="Y852" s="14">
        <f t="shared" si="356"/>
        <v>12933.15</v>
      </c>
      <c r="Z852" s="14">
        <f t="shared" si="357"/>
        <v>-12933.15</v>
      </c>
      <c r="AA852" s="11">
        <f t="shared" si="359"/>
        <v>0.79</v>
      </c>
      <c r="AB852" s="9">
        <f t="shared" si="362"/>
        <v>2255.4500000000003</v>
      </c>
      <c r="AD852" s="13">
        <f>IF(AH852&gt;AH851,AD851,IF(AD851&lt;MiscData!$F$1,EOMONTH(AD851,1),EOMONTH(AD851,-11)))</f>
        <v>42308</v>
      </c>
      <c r="AE852" s="7" t="str">
        <f t="shared" si="354"/>
        <v>20140101KUUM_465</v>
      </c>
      <c r="AF852" s="12" t="str">
        <f t="shared" si="355"/>
        <v>20140101LS</v>
      </c>
      <c r="AG852" s="31"/>
      <c r="AH852">
        <f>IF(AH851=MiscData!$AB$91,1,AH851+1)</f>
        <v>59</v>
      </c>
      <c r="AI852">
        <f>IF(AD852&lt;=MiscData!$B$23,MiscData!$C$23,IF(AD852&lt;=MiscData!$B$24,MiscData!$C$24,MiscData!$C$25))</f>
        <v>20140101</v>
      </c>
      <c r="AK852" s="190" t="str">
        <f>VLOOKUP(AM852,MiscData!$AB$4:$ACB$113,2,FALSE)</f>
        <v>KUUM_465</v>
      </c>
      <c r="AL852" s="190" t="str">
        <f>VLOOKUP(AM852,MiscData!$AB$4:$AE$115,4,FALSE)</f>
        <v>LS</v>
      </c>
      <c r="AM852">
        <f>IF(AM851=MiscData!$AB$91,1,AM851+1)</f>
        <v>59</v>
      </c>
    </row>
    <row r="853" spans="1:39">
      <c r="A853" s="7">
        <f t="shared" si="358"/>
        <v>852</v>
      </c>
      <c r="B853" s="13" t="str">
        <f t="shared" si="339"/>
        <v>Oct 2015</v>
      </c>
      <c r="C853" s="23" t="str">
        <f t="shared" si="340"/>
        <v>RLS</v>
      </c>
      <c r="D853" s="23" t="str">
        <f t="shared" si="341"/>
        <v>KUUM_466</v>
      </c>
      <c r="E853" s="170">
        <f t="shared" si="342"/>
        <v>804</v>
      </c>
      <c r="F853" s="185"/>
      <c r="G853" s="170">
        <f t="shared" si="343"/>
        <v>0</v>
      </c>
      <c r="H853" s="170">
        <v>0</v>
      </c>
      <c r="I853" s="11">
        <f t="shared" si="344"/>
        <v>9.620000000000001</v>
      </c>
      <c r="J853" s="11">
        <f t="shared" si="345"/>
        <v>0.57000000000000028</v>
      </c>
      <c r="K853" s="416">
        <f t="shared" si="360"/>
        <v>7734.48</v>
      </c>
      <c r="L853" s="180"/>
      <c r="M853" s="180"/>
      <c r="N853" s="186">
        <f t="shared" si="338"/>
        <v>7734.48</v>
      </c>
      <c r="O853" s="29">
        <f t="shared" si="346"/>
        <v>0</v>
      </c>
      <c r="P853" s="181">
        <f t="shared" si="361"/>
        <v>0</v>
      </c>
      <c r="Q853" s="182">
        <f t="shared" si="347"/>
        <v>0</v>
      </c>
      <c r="R853" s="182">
        <f t="shared" si="348"/>
        <v>0</v>
      </c>
      <c r="S853" s="182">
        <f t="shared" si="349"/>
        <v>0</v>
      </c>
      <c r="T853" s="182">
        <f t="shared" si="350"/>
        <v>0</v>
      </c>
      <c r="U853" s="182">
        <f t="shared" si="351"/>
        <v>0</v>
      </c>
      <c r="V853" s="14">
        <f t="shared" si="352"/>
        <v>7734.48</v>
      </c>
      <c r="W853" s="14">
        <f t="shared" si="353"/>
        <v>-7734.48</v>
      </c>
      <c r="Y853" s="14">
        <f t="shared" si="356"/>
        <v>458.28</v>
      </c>
      <c r="Z853" s="14">
        <f t="shared" si="357"/>
        <v>-458.28</v>
      </c>
      <c r="AA853" s="11">
        <f t="shared" si="359"/>
        <v>0.33</v>
      </c>
      <c r="AB853" s="9">
        <f t="shared" si="362"/>
        <v>265.32</v>
      </c>
      <c r="AD853" s="13">
        <f>IF(AH853&gt;AH852,AD852,IF(AD852&lt;MiscData!$F$1,EOMONTH(AD852,1),EOMONTH(AD852,-11)))</f>
        <v>42308</v>
      </c>
      <c r="AE853" s="7" t="str">
        <f t="shared" si="354"/>
        <v>20140101KUUM_466</v>
      </c>
      <c r="AF853" s="12" t="str">
        <f t="shared" si="355"/>
        <v>20140101RLS</v>
      </c>
      <c r="AG853" s="31"/>
      <c r="AH853">
        <f>IF(AH852=MiscData!$AB$91,1,AH852+1)</f>
        <v>60</v>
      </c>
      <c r="AI853">
        <f>IF(AD853&lt;=MiscData!$B$23,MiscData!$C$23,IF(AD853&lt;=MiscData!$B$24,MiscData!$C$24,MiscData!$C$25))</f>
        <v>20140101</v>
      </c>
      <c r="AK853" s="190" t="str">
        <f>VLOOKUP(AM853,MiscData!$AB$4:$ACB$113,2,FALSE)</f>
        <v>KUUM_466</v>
      </c>
      <c r="AL853" s="190" t="str">
        <f>VLOOKUP(AM853,MiscData!$AB$4:$AE$115,4,FALSE)</f>
        <v>RLS</v>
      </c>
      <c r="AM853">
        <f>IF(AM852=MiscData!$AB$91,1,AM852+1)</f>
        <v>60</v>
      </c>
    </row>
    <row r="854" spans="1:39">
      <c r="A854" s="7">
        <f t="shared" si="358"/>
        <v>853</v>
      </c>
      <c r="B854" s="13" t="str">
        <f t="shared" si="339"/>
        <v>Oct 2015</v>
      </c>
      <c r="C854" s="23" t="str">
        <f t="shared" si="340"/>
        <v>LS</v>
      </c>
      <c r="D854" s="23" t="str">
        <f t="shared" si="341"/>
        <v>KUUM_467</v>
      </c>
      <c r="E854" s="170">
        <f t="shared" si="342"/>
        <v>1329</v>
      </c>
      <c r="F854" s="185"/>
      <c r="G854" s="170">
        <f t="shared" si="343"/>
        <v>0</v>
      </c>
      <c r="H854" s="170">
        <v>0</v>
      </c>
      <c r="I854" s="11">
        <f t="shared" si="344"/>
        <v>10.770000000000001</v>
      </c>
      <c r="J854" s="11">
        <f t="shared" si="345"/>
        <v>0.80000000000000071</v>
      </c>
      <c r="K854" s="416">
        <f t="shared" si="360"/>
        <v>14313.33</v>
      </c>
      <c r="L854" s="180"/>
      <c r="M854" s="180"/>
      <c r="N854" s="186">
        <f t="shared" si="338"/>
        <v>14313.33</v>
      </c>
      <c r="O854" s="29">
        <f t="shared" si="346"/>
        <v>0</v>
      </c>
      <c r="P854" s="181">
        <f t="shared" si="361"/>
        <v>0</v>
      </c>
      <c r="Q854" s="182">
        <f t="shared" si="347"/>
        <v>0</v>
      </c>
      <c r="R854" s="182">
        <f t="shared" si="348"/>
        <v>0</v>
      </c>
      <c r="S854" s="182">
        <f t="shared" si="349"/>
        <v>0</v>
      </c>
      <c r="T854" s="182">
        <f t="shared" si="350"/>
        <v>0</v>
      </c>
      <c r="U854" s="182">
        <f t="shared" si="351"/>
        <v>0</v>
      </c>
      <c r="V854" s="14">
        <f t="shared" si="352"/>
        <v>14313.33</v>
      </c>
      <c r="W854" s="14">
        <f t="shared" si="353"/>
        <v>-14313.33</v>
      </c>
      <c r="Y854" s="14">
        <f t="shared" si="356"/>
        <v>1063.2</v>
      </c>
      <c r="Z854" s="14">
        <f t="shared" si="357"/>
        <v>-1063.2</v>
      </c>
      <c r="AA854" s="11">
        <f t="shared" si="359"/>
        <v>0.43</v>
      </c>
      <c r="AB854" s="9">
        <f t="shared" si="362"/>
        <v>571.47</v>
      </c>
      <c r="AD854" s="13">
        <f>IF(AH854&gt;AH853,AD853,IF(AD853&lt;MiscData!$F$1,EOMONTH(AD853,1),EOMONTH(AD853,-11)))</f>
        <v>42308</v>
      </c>
      <c r="AE854" s="7" t="str">
        <f t="shared" si="354"/>
        <v>20140101KUUM_467</v>
      </c>
      <c r="AF854" s="12" t="str">
        <f t="shared" si="355"/>
        <v>20140101LS</v>
      </c>
      <c r="AG854" s="31"/>
      <c r="AH854">
        <f>IF(AH853=MiscData!$AB$91,1,AH853+1)</f>
        <v>61</v>
      </c>
      <c r="AI854">
        <f>IF(AD854&lt;=MiscData!$B$23,MiscData!$C$23,IF(AD854&lt;=MiscData!$B$24,MiscData!$C$24,MiscData!$C$25))</f>
        <v>20140101</v>
      </c>
      <c r="AK854" s="190" t="str">
        <f>VLOOKUP(AM854,MiscData!$AB$4:$ACB$113,2,FALSE)</f>
        <v>KUUM_467</v>
      </c>
      <c r="AL854" s="190" t="str">
        <f>VLOOKUP(AM854,MiscData!$AB$4:$AE$115,4,FALSE)</f>
        <v>LS</v>
      </c>
      <c r="AM854">
        <f>IF(AM853=MiscData!$AB$91,1,AM853+1)</f>
        <v>61</v>
      </c>
    </row>
    <row r="855" spans="1:39">
      <c r="A855" s="7">
        <f t="shared" si="358"/>
        <v>854</v>
      </c>
      <c r="B855" s="13" t="str">
        <f t="shared" si="339"/>
        <v>Oct 2015</v>
      </c>
      <c r="C855" s="23" t="str">
        <f t="shared" si="340"/>
        <v>LS</v>
      </c>
      <c r="D855" s="23" t="str">
        <f t="shared" si="341"/>
        <v>KUUM_468</v>
      </c>
      <c r="E855" s="170">
        <f t="shared" si="342"/>
        <v>3982</v>
      </c>
      <c r="F855" s="185"/>
      <c r="G855" s="170">
        <f t="shared" si="343"/>
        <v>0</v>
      </c>
      <c r="H855" s="170">
        <v>0</v>
      </c>
      <c r="I855" s="11">
        <f t="shared" si="344"/>
        <v>11.16</v>
      </c>
      <c r="J855" s="11">
        <f t="shared" si="345"/>
        <v>1.129999999999999</v>
      </c>
      <c r="K855" s="416">
        <f t="shared" si="360"/>
        <v>44439.12</v>
      </c>
      <c r="L855" s="180"/>
      <c r="M855" s="180"/>
      <c r="N855" s="186">
        <f t="shared" si="338"/>
        <v>44439.12</v>
      </c>
      <c r="O855" s="29">
        <f t="shared" si="346"/>
        <v>0</v>
      </c>
      <c r="P855" s="181">
        <f t="shared" si="361"/>
        <v>0</v>
      </c>
      <c r="Q855" s="182">
        <f t="shared" si="347"/>
        <v>0</v>
      </c>
      <c r="R855" s="182">
        <f t="shared" si="348"/>
        <v>0</v>
      </c>
      <c r="S855" s="182">
        <f t="shared" si="349"/>
        <v>0</v>
      </c>
      <c r="T855" s="182">
        <f t="shared" si="350"/>
        <v>0</v>
      </c>
      <c r="U855" s="182">
        <f t="shared" si="351"/>
        <v>0</v>
      </c>
      <c r="V855" s="14">
        <f t="shared" si="352"/>
        <v>44439.12</v>
      </c>
      <c r="W855" s="14">
        <f t="shared" si="353"/>
        <v>-44439.12</v>
      </c>
      <c r="Y855" s="14">
        <f t="shared" si="356"/>
        <v>4499.66</v>
      </c>
      <c r="Z855" s="14">
        <f t="shared" si="357"/>
        <v>-4499.66</v>
      </c>
      <c r="AA855" s="11">
        <f t="shared" si="359"/>
        <v>0.34</v>
      </c>
      <c r="AB855" s="9">
        <f t="shared" si="362"/>
        <v>1353.88</v>
      </c>
      <c r="AD855" s="13">
        <f>IF(AH855&gt;AH854,AD854,IF(AD854&lt;MiscData!$F$1,EOMONTH(AD854,1),EOMONTH(AD854,-11)))</f>
        <v>42308</v>
      </c>
      <c r="AE855" s="7" t="str">
        <f t="shared" si="354"/>
        <v>20140101KUUM_468</v>
      </c>
      <c r="AF855" s="12" t="str">
        <f t="shared" si="355"/>
        <v>20140101LS</v>
      </c>
      <c r="AG855" s="31"/>
      <c r="AH855">
        <f>IF(AH854=MiscData!$AB$91,1,AH854+1)</f>
        <v>62</v>
      </c>
      <c r="AI855">
        <f>IF(AD855&lt;=MiscData!$B$23,MiscData!$C$23,IF(AD855&lt;=MiscData!$B$24,MiscData!$C$24,MiscData!$C$25))</f>
        <v>20140101</v>
      </c>
      <c r="AK855" s="190" t="str">
        <f>VLOOKUP(AM855,MiscData!$AB$4:$ACB$113,2,FALSE)</f>
        <v>KUUM_468</v>
      </c>
      <c r="AL855" s="190" t="str">
        <f>VLOOKUP(AM855,MiscData!$AB$4:$AE$115,4,FALSE)</f>
        <v>LS</v>
      </c>
      <c r="AM855">
        <f>IF(AM854=MiscData!$AB$91,1,AM854+1)</f>
        <v>62</v>
      </c>
    </row>
    <row r="856" spans="1:39">
      <c r="A856" s="7">
        <f t="shared" si="358"/>
        <v>855</v>
      </c>
      <c r="B856" s="13" t="str">
        <f t="shared" si="339"/>
        <v>Oct 2015</v>
      </c>
      <c r="C856" s="23" t="str">
        <f t="shared" si="340"/>
        <v>RLS</v>
      </c>
      <c r="D856" s="23" t="str">
        <f t="shared" si="341"/>
        <v>KUUM_469</v>
      </c>
      <c r="E856" s="170">
        <f t="shared" si="342"/>
        <v>291</v>
      </c>
      <c r="F856" s="185"/>
      <c r="G856" s="170">
        <f t="shared" si="343"/>
        <v>0</v>
      </c>
      <c r="H856" s="170">
        <v>0</v>
      </c>
      <c r="I856" s="11">
        <f t="shared" si="344"/>
        <v>33.100000000000009</v>
      </c>
      <c r="J856" s="11">
        <f t="shared" si="345"/>
        <v>4.2900000000000063</v>
      </c>
      <c r="K856" s="416">
        <f t="shared" si="360"/>
        <v>9632.1</v>
      </c>
      <c r="L856" s="180"/>
      <c r="M856" s="180"/>
      <c r="N856" s="186">
        <f t="shared" si="338"/>
        <v>9632.1</v>
      </c>
      <c r="O856" s="29">
        <f t="shared" si="346"/>
        <v>0</v>
      </c>
      <c r="P856" s="181">
        <f t="shared" si="361"/>
        <v>0</v>
      </c>
      <c r="Q856" s="182">
        <f t="shared" si="347"/>
        <v>0</v>
      </c>
      <c r="R856" s="182">
        <f t="shared" si="348"/>
        <v>0</v>
      </c>
      <c r="S856" s="182">
        <f t="shared" si="349"/>
        <v>0</v>
      </c>
      <c r="T856" s="182">
        <f t="shared" si="350"/>
        <v>0</v>
      </c>
      <c r="U856" s="182">
        <f t="shared" si="351"/>
        <v>0</v>
      </c>
      <c r="V856" s="14">
        <f t="shared" si="352"/>
        <v>9632.1</v>
      </c>
      <c r="W856" s="14">
        <f t="shared" si="353"/>
        <v>-9632.1</v>
      </c>
      <c r="Y856" s="14">
        <f t="shared" si="356"/>
        <v>1248.3900000000001</v>
      </c>
      <c r="Z856" s="14">
        <f t="shared" si="357"/>
        <v>-1248.3900000000001</v>
      </c>
      <c r="AA856" s="11">
        <f t="shared" si="359"/>
        <v>0.84</v>
      </c>
      <c r="AB856" s="9">
        <f t="shared" si="362"/>
        <v>244.44</v>
      </c>
      <c r="AD856" s="13">
        <f>IF(AH856&gt;AH855,AD855,IF(AD855&lt;MiscData!$F$1,EOMONTH(AD855,1),EOMONTH(AD855,-11)))</f>
        <v>42308</v>
      </c>
      <c r="AE856" s="7" t="str">
        <f t="shared" si="354"/>
        <v>20140101KUUM_469</v>
      </c>
      <c r="AF856" s="12" t="str">
        <f t="shared" si="355"/>
        <v>20140101RLS</v>
      </c>
      <c r="AG856" s="31"/>
      <c r="AH856">
        <f>IF(AH855=MiscData!$AB$91,1,AH855+1)</f>
        <v>63</v>
      </c>
      <c r="AI856">
        <f>IF(AD856&lt;=MiscData!$B$23,MiscData!$C$23,IF(AD856&lt;=MiscData!$B$24,MiscData!$C$24,MiscData!$C$25))</f>
        <v>20140101</v>
      </c>
      <c r="AK856" s="190" t="str">
        <f>VLOOKUP(AM856,MiscData!$AB$4:$ACB$113,2,FALSE)</f>
        <v>KUUM_469</v>
      </c>
      <c r="AL856" s="190" t="str">
        <f>VLOOKUP(AM856,MiscData!$AB$4:$AE$115,4,FALSE)</f>
        <v>RLS</v>
      </c>
      <c r="AM856">
        <f>IF(AM855=MiscData!$AB$91,1,AM855+1)</f>
        <v>63</v>
      </c>
    </row>
    <row r="857" spans="1:39">
      <c r="A857" s="7">
        <f t="shared" si="358"/>
        <v>856</v>
      </c>
      <c r="B857" s="13" t="str">
        <f t="shared" si="339"/>
        <v>Oct 2015</v>
      </c>
      <c r="C857" s="23" t="str">
        <f t="shared" si="340"/>
        <v>RLS</v>
      </c>
      <c r="D857" s="23" t="str">
        <f t="shared" si="341"/>
        <v>KUUM_470</v>
      </c>
      <c r="E857" s="170">
        <f t="shared" si="342"/>
        <v>-36</v>
      </c>
      <c r="F857" s="185"/>
      <c r="G857" s="170">
        <f t="shared" si="343"/>
        <v>0</v>
      </c>
      <c r="H857" s="170">
        <v>0</v>
      </c>
      <c r="I857" s="11">
        <f t="shared" si="344"/>
        <v>55.250000000000007</v>
      </c>
      <c r="J857" s="11">
        <f t="shared" si="345"/>
        <v>10.410000000000004</v>
      </c>
      <c r="K857" s="416">
        <f t="shared" si="360"/>
        <v>-1989</v>
      </c>
      <c r="L857" s="180"/>
      <c r="M857" s="180"/>
      <c r="N857" s="186">
        <f t="shared" si="338"/>
        <v>-1989</v>
      </c>
      <c r="O857" s="29">
        <f t="shared" si="346"/>
        <v>0</v>
      </c>
      <c r="P857" s="181">
        <f t="shared" si="361"/>
        <v>0</v>
      </c>
      <c r="Q857" s="182">
        <f t="shared" si="347"/>
        <v>0</v>
      </c>
      <c r="R857" s="182">
        <f t="shared" si="348"/>
        <v>0</v>
      </c>
      <c r="S857" s="182">
        <f t="shared" si="349"/>
        <v>0</v>
      </c>
      <c r="T857" s="182">
        <f t="shared" si="350"/>
        <v>0</v>
      </c>
      <c r="U857" s="182">
        <f t="shared" si="351"/>
        <v>0</v>
      </c>
      <c r="V857" s="14">
        <f t="shared" si="352"/>
        <v>-1989</v>
      </c>
      <c r="W857" s="14">
        <f t="shared" si="353"/>
        <v>1989</v>
      </c>
      <c r="Y857" s="14">
        <f t="shared" si="356"/>
        <v>-374.76</v>
      </c>
      <c r="Z857" s="14">
        <f t="shared" si="357"/>
        <v>374.76</v>
      </c>
      <c r="AA857" s="11">
        <f t="shared" si="359"/>
        <v>1.7</v>
      </c>
      <c r="AB857" s="9">
        <f t="shared" si="362"/>
        <v>-61.199999999999996</v>
      </c>
      <c r="AD857" s="13">
        <f>IF(AH857&gt;AH856,AD856,IF(AD856&lt;MiscData!$F$1,EOMONTH(AD856,1),EOMONTH(AD856,-11)))</f>
        <v>42308</v>
      </c>
      <c r="AE857" s="7" t="str">
        <f t="shared" si="354"/>
        <v>20140101KUUM_470</v>
      </c>
      <c r="AF857" s="12" t="str">
        <f t="shared" si="355"/>
        <v>20140101RLS</v>
      </c>
      <c r="AG857" s="31"/>
      <c r="AH857">
        <f>IF(AH856=MiscData!$AB$91,1,AH856+1)</f>
        <v>64</v>
      </c>
      <c r="AI857">
        <f>IF(AD857&lt;=MiscData!$B$23,MiscData!$C$23,IF(AD857&lt;=MiscData!$B$24,MiscData!$C$24,MiscData!$C$25))</f>
        <v>20140101</v>
      </c>
      <c r="AK857" s="190" t="str">
        <f>VLOOKUP(AM857,MiscData!$AB$4:$ACB$113,2,FALSE)</f>
        <v>KUUM_470</v>
      </c>
      <c r="AL857" s="190" t="str">
        <f>VLOOKUP(AM857,MiscData!$AB$4:$AE$115,4,FALSE)</f>
        <v>RLS</v>
      </c>
      <c r="AM857">
        <f>IF(AM856=MiscData!$AB$91,1,AM856+1)</f>
        <v>64</v>
      </c>
    </row>
    <row r="858" spans="1:39">
      <c r="A858" s="7">
        <f t="shared" si="358"/>
        <v>857</v>
      </c>
      <c r="B858" s="13" t="str">
        <f t="shared" si="339"/>
        <v>Oct 2015</v>
      </c>
      <c r="C858" s="23" t="str">
        <f t="shared" si="340"/>
        <v>RLS</v>
      </c>
      <c r="D858" s="23" t="str">
        <f t="shared" si="341"/>
        <v>KUUM_471</v>
      </c>
      <c r="E858" s="170">
        <f t="shared" si="342"/>
        <v>3400</v>
      </c>
      <c r="F858" s="185"/>
      <c r="G858" s="170">
        <f t="shared" si="343"/>
        <v>0</v>
      </c>
      <c r="H858" s="170">
        <v>0</v>
      </c>
      <c r="I858" s="11">
        <f t="shared" si="344"/>
        <v>10.49</v>
      </c>
      <c r="J858" s="11">
        <f t="shared" si="345"/>
        <v>0.56999999999999851</v>
      </c>
      <c r="K858" s="416">
        <f t="shared" si="360"/>
        <v>35666</v>
      </c>
      <c r="L858" s="180"/>
      <c r="M858" s="180"/>
      <c r="N858" s="186">
        <f t="shared" si="338"/>
        <v>35666</v>
      </c>
      <c r="O858" s="29">
        <f t="shared" si="346"/>
        <v>0</v>
      </c>
      <c r="P858" s="181">
        <f t="shared" si="361"/>
        <v>0</v>
      </c>
      <c r="Q858" s="182">
        <f t="shared" si="347"/>
        <v>0</v>
      </c>
      <c r="R858" s="182">
        <f t="shared" si="348"/>
        <v>0</v>
      </c>
      <c r="S858" s="182">
        <f t="shared" si="349"/>
        <v>0</v>
      </c>
      <c r="T858" s="182">
        <f t="shared" si="350"/>
        <v>0</v>
      </c>
      <c r="U858" s="182">
        <f t="shared" si="351"/>
        <v>0</v>
      </c>
      <c r="V858" s="14">
        <f t="shared" si="352"/>
        <v>35666</v>
      </c>
      <c r="W858" s="14">
        <f t="shared" si="353"/>
        <v>-35666</v>
      </c>
      <c r="Y858" s="14">
        <f t="shared" si="356"/>
        <v>1938</v>
      </c>
      <c r="Z858" s="14">
        <f t="shared" si="357"/>
        <v>-1938</v>
      </c>
      <c r="AA858" s="11">
        <f t="shared" si="359"/>
        <v>0.33</v>
      </c>
      <c r="AB858" s="9">
        <f t="shared" si="362"/>
        <v>1122</v>
      </c>
      <c r="AD858" s="13">
        <f>IF(AH858&gt;AH857,AD857,IF(AD857&lt;MiscData!$F$1,EOMONTH(AD857,1),EOMONTH(AD857,-11)))</f>
        <v>42308</v>
      </c>
      <c r="AE858" s="7" t="str">
        <f t="shared" si="354"/>
        <v>20140101KUUM_471</v>
      </c>
      <c r="AF858" s="12" t="str">
        <f t="shared" si="355"/>
        <v>20140101RLS</v>
      </c>
      <c r="AG858" s="31"/>
      <c r="AH858">
        <f>IF(AH857=MiscData!$AB$91,1,AH857+1)</f>
        <v>65</v>
      </c>
      <c r="AI858">
        <f>IF(AD858&lt;=MiscData!$B$23,MiscData!$C$23,IF(AD858&lt;=MiscData!$B$24,MiscData!$C$24,MiscData!$C$25))</f>
        <v>20140101</v>
      </c>
      <c r="AK858" s="190" t="str">
        <f>VLOOKUP(AM858,MiscData!$AB$4:$ACB$113,2,FALSE)</f>
        <v>KUUM_471</v>
      </c>
      <c r="AL858" s="190" t="str">
        <f>VLOOKUP(AM858,MiscData!$AB$4:$AE$115,4,FALSE)</f>
        <v>RLS</v>
      </c>
      <c r="AM858">
        <f>IF(AM857=MiscData!$AB$91,1,AM857+1)</f>
        <v>65</v>
      </c>
    </row>
    <row r="859" spans="1:39">
      <c r="A859" s="7">
        <f t="shared" si="358"/>
        <v>858</v>
      </c>
      <c r="B859" s="13" t="str">
        <f t="shared" si="339"/>
        <v>Oct 2015</v>
      </c>
      <c r="C859" s="23" t="str">
        <f t="shared" si="340"/>
        <v>LS</v>
      </c>
      <c r="D859" s="23" t="str">
        <f t="shared" si="341"/>
        <v>KUUM_472</v>
      </c>
      <c r="E859" s="170">
        <f t="shared" si="342"/>
        <v>8623</v>
      </c>
      <c r="F859" s="185"/>
      <c r="G859" s="170">
        <f t="shared" si="343"/>
        <v>0</v>
      </c>
      <c r="H859" s="170">
        <v>0</v>
      </c>
      <c r="I859" s="11">
        <f t="shared" si="344"/>
        <v>11.600000000000001</v>
      </c>
      <c r="J859" s="11">
        <f t="shared" si="345"/>
        <v>0.80000000000000071</v>
      </c>
      <c r="K859" s="416">
        <f t="shared" si="360"/>
        <v>100026.8</v>
      </c>
      <c r="L859" s="180"/>
      <c r="M859" s="180"/>
      <c r="N859" s="186">
        <f t="shared" si="338"/>
        <v>100026.8</v>
      </c>
      <c r="O859" s="29">
        <f t="shared" si="346"/>
        <v>0</v>
      </c>
      <c r="P859" s="181">
        <f t="shared" si="361"/>
        <v>0</v>
      </c>
      <c r="Q859" s="182">
        <f t="shared" si="347"/>
        <v>0</v>
      </c>
      <c r="R859" s="182">
        <f t="shared" si="348"/>
        <v>0</v>
      </c>
      <c r="S859" s="182">
        <f t="shared" si="349"/>
        <v>0</v>
      </c>
      <c r="T859" s="182">
        <f t="shared" si="350"/>
        <v>0</v>
      </c>
      <c r="U859" s="182">
        <f t="shared" si="351"/>
        <v>0</v>
      </c>
      <c r="V859" s="14">
        <f t="shared" si="352"/>
        <v>100026.8</v>
      </c>
      <c r="W859" s="14">
        <f t="shared" si="353"/>
        <v>-100026.8</v>
      </c>
      <c r="Y859" s="14">
        <f t="shared" si="356"/>
        <v>6898.4</v>
      </c>
      <c r="Z859" s="14">
        <f t="shared" si="357"/>
        <v>-6898.4</v>
      </c>
      <c r="AA859" s="11">
        <f t="shared" si="359"/>
        <v>0.43</v>
      </c>
      <c r="AB859" s="9">
        <f t="shared" si="362"/>
        <v>3707.89</v>
      </c>
      <c r="AD859" s="13">
        <f>IF(AH859&gt;AH858,AD858,IF(AD858&lt;MiscData!$F$1,EOMONTH(AD858,1),EOMONTH(AD858,-11)))</f>
        <v>42308</v>
      </c>
      <c r="AE859" s="7" t="str">
        <f t="shared" si="354"/>
        <v>20140101KUUM_472</v>
      </c>
      <c r="AF859" s="12" t="str">
        <f t="shared" si="355"/>
        <v>20140101LS</v>
      </c>
      <c r="AG859" s="31"/>
      <c r="AH859">
        <f>IF(AH858=MiscData!$AB$91,1,AH858+1)</f>
        <v>66</v>
      </c>
      <c r="AI859">
        <f>IF(AD859&lt;=MiscData!$B$23,MiscData!$C$23,IF(AD859&lt;=MiscData!$B$24,MiscData!$C$24,MiscData!$C$25))</f>
        <v>20140101</v>
      </c>
      <c r="AK859" s="190" t="str">
        <f>VLOOKUP(AM859,MiscData!$AB$4:$ACB$113,2,FALSE)</f>
        <v>KUUM_472</v>
      </c>
      <c r="AL859" s="190" t="str">
        <f>VLOOKUP(AM859,MiscData!$AB$4:$AE$115,4,FALSE)</f>
        <v>LS</v>
      </c>
      <c r="AM859">
        <f>IF(AM858=MiscData!$AB$91,1,AM858+1)</f>
        <v>66</v>
      </c>
    </row>
    <row r="860" spans="1:39">
      <c r="A860" s="7">
        <f t="shared" si="358"/>
        <v>859</v>
      </c>
      <c r="B860" s="13" t="str">
        <f t="shared" si="339"/>
        <v>Oct 2015</v>
      </c>
      <c r="C860" s="23" t="str">
        <f t="shared" si="340"/>
        <v>LS</v>
      </c>
      <c r="D860" s="23" t="str">
        <f t="shared" si="341"/>
        <v>KUUM_473</v>
      </c>
      <c r="E860" s="170">
        <f t="shared" si="342"/>
        <v>3232</v>
      </c>
      <c r="F860" s="185"/>
      <c r="G860" s="170">
        <f t="shared" si="343"/>
        <v>0</v>
      </c>
      <c r="H860" s="170">
        <v>0</v>
      </c>
      <c r="I860" s="11">
        <f t="shared" si="344"/>
        <v>12.3</v>
      </c>
      <c r="J860" s="11">
        <f t="shared" si="345"/>
        <v>1.129999999999999</v>
      </c>
      <c r="K860" s="416">
        <f t="shared" si="360"/>
        <v>39753.599999999999</v>
      </c>
      <c r="L860" s="180"/>
      <c r="M860" s="180"/>
      <c r="N860" s="186">
        <f t="shared" si="338"/>
        <v>39753.599999999999</v>
      </c>
      <c r="O860" s="29">
        <f t="shared" si="346"/>
        <v>0</v>
      </c>
      <c r="P860" s="181">
        <f t="shared" si="361"/>
        <v>0</v>
      </c>
      <c r="Q860" s="182">
        <f t="shared" si="347"/>
        <v>0</v>
      </c>
      <c r="R860" s="182">
        <f t="shared" si="348"/>
        <v>0</v>
      </c>
      <c r="S860" s="182">
        <f t="shared" si="349"/>
        <v>0</v>
      </c>
      <c r="T860" s="182">
        <f t="shared" si="350"/>
        <v>0</v>
      </c>
      <c r="U860" s="182">
        <f t="shared" si="351"/>
        <v>0</v>
      </c>
      <c r="V860" s="14">
        <f t="shared" si="352"/>
        <v>39753.599999999999</v>
      </c>
      <c r="W860" s="14">
        <f t="shared" si="353"/>
        <v>-39753.599999999999</v>
      </c>
      <c r="Y860" s="14">
        <f t="shared" si="356"/>
        <v>3652.16</v>
      </c>
      <c r="Z860" s="14">
        <f t="shared" si="357"/>
        <v>-3652.16</v>
      </c>
      <c r="AA860" s="11">
        <f t="shared" si="359"/>
        <v>0.34</v>
      </c>
      <c r="AB860" s="9">
        <f t="shared" si="362"/>
        <v>1098.8800000000001</v>
      </c>
      <c r="AD860" s="13">
        <f>IF(AH860&gt;AH859,AD859,IF(AD859&lt;MiscData!$F$1,EOMONTH(AD859,1),EOMONTH(AD859,-11)))</f>
        <v>42308</v>
      </c>
      <c r="AE860" s="7" t="str">
        <f t="shared" si="354"/>
        <v>20140101KUUM_473</v>
      </c>
      <c r="AF860" s="12" t="str">
        <f t="shared" si="355"/>
        <v>20140101LS</v>
      </c>
      <c r="AG860" s="31"/>
      <c r="AH860">
        <f>IF(AH859=MiscData!$AB$91,1,AH859+1)</f>
        <v>67</v>
      </c>
      <c r="AI860">
        <f>IF(AD860&lt;=MiscData!$B$23,MiscData!$C$23,IF(AD860&lt;=MiscData!$B$24,MiscData!$C$24,MiscData!$C$25))</f>
        <v>20140101</v>
      </c>
      <c r="AK860" s="190" t="str">
        <f>VLOOKUP(AM860,MiscData!$AB$4:$ACB$113,2,FALSE)</f>
        <v>KUUM_473</v>
      </c>
      <c r="AL860" s="190" t="str">
        <f>VLOOKUP(AM860,MiscData!$AB$4:$AE$115,4,FALSE)</f>
        <v>LS</v>
      </c>
      <c r="AM860">
        <f>IF(AM859=MiscData!$AB$91,1,AM859+1)</f>
        <v>67</v>
      </c>
    </row>
    <row r="861" spans="1:39">
      <c r="A861" s="7">
        <f t="shared" si="358"/>
        <v>860</v>
      </c>
      <c r="B861" s="13" t="str">
        <f t="shared" si="339"/>
        <v>Oct 2015</v>
      </c>
      <c r="C861" s="23" t="str">
        <f t="shared" si="340"/>
        <v>LS</v>
      </c>
      <c r="D861" s="23" t="str">
        <f t="shared" si="341"/>
        <v>KUUM_474</v>
      </c>
      <c r="E861" s="170">
        <f t="shared" si="342"/>
        <v>5197</v>
      </c>
      <c r="F861" s="185"/>
      <c r="G861" s="170">
        <f t="shared" si="343"/>
        <v>0</v>
      </c>
      <c r="H861" s="170">
        <v>0</v>
      </c>
      <c r="I861" s="11">
        <f t="shared" si="344"/>
        <v>17.41</v>
      </c>
      <c r="J861" s="11">
        <f t="shared" si="345"/>
        <v>2.33</v>
      </c>
      <c r="K861" s="416">
        <f t="shared" si="360"/>
        <v>90479.77</v>
      </c>
      <c r="L861" s="180"/>
      <c r="M861" s="180"/>
      <c r="N861" s="186">
        <f t="shared" si="338"/>
        <v>90479.77</v>
      </c>
      <c r="O861" s="29">
        <f t="shared" si="346"/>
        <v>0</v>
      </c>
      <c r="P861" s="181">
        <f t="shared" si="361"/>
        <v>0</v>
      </c>
      <c r="Q861" s="182">
        <f t="shared" si="347"/>
        <v>0</v>
      </c>
      <c r="R861" s="182">
        <f t="shared" si="348"/>
        <v>0</v>
      </c>
      <c r="S861" s="182">
        <f t="shared" si="349"/>
        <v>0</v>
      </c>
      <c r="T861" s="182">
        <f t="shared" si="350"/>
        <v>0</v>
      </c>
      <c r="U861" s="182">
        <f t="shared" si="351"/>
        <v>0</v>
      </c>
      <c r="V861" s="14">
        <f t="shared" si="352"/>
        <v>90479.77</v>
      </c>
      <c r="W861" s="14">
        <f t="shared" si="353"/>
        <v>-90479.77</v>
      </c>
      <c r="Y861" s="14">
        <f t="shared" si="356"/>
        <v>12109.01</v>
      </c>
      <c r="Z861" s="14">
        <f t="shared" si="357"/>
        <v>-12109.01</v>
      </c>
      <c r="AA861" s="11">
        <f t="shared" si="359"/>
        <v>0.57999999999999996</v>
      </c>
      <c r="AB861" s="9">
        <f t="shared" si="362"/>
        <v>3014.2599999999998</v>
      </c>
      <c r="AD861" s="13">
        <f>IF(AH861&gt;AH860,AD860,IF(AD860&lt;MiscData!$F$1,EOMONTH(AD860,1),EOMONTH(AD860,-11)))</f>
        <v>42308</v>
      </c>
      <c r="AE861" s="7" t="str">
        <f t="shared" si="354"/>
        <v>20140101KUUM_474</v>
      </c>
      <c r="AF861" s="12" t="str">
        <f t="shared" si="355"/>
        <v>20140101LS</v>
      </c>
      <c r="AG861" s="31"/>
      <c r="AH861">
        <f>IF(AH860=MiscData!$AB$91,1,AH860+1)</f>
        <v>68</v>
      </c>
      <c r="AI861">
        <f>IF(AD861&lt;=MiscData!$B$23,MiscData!$C$23,IF(AD861&lt;=MiscData!$B$24,MiscData!$C$24,MiscData!$C$25))</f>
        <v>20140101</v>
      </c>
      <c r="AK861" s="190" t="str">
        <f>VLOOKUP(AM861,MiscData!$AB$4:$ACB$113,2,FALSE)</f>
        <v>KUUM_474</v>
      </c>
      <c r="AL861" s="190" t="str">
        <f>VLOOKUP(AM861,MiscData!$AB$4:$AE$115,4,FALSE)</f>
        <v>LS</v>
      </c>
      <c r="AM861">
        <f>IF(AM860=MiscData!$AB$91,1,AM860+1)</f>
        <v>68</v>
      </c>
    </row>
    <row r="862" spans="1:39">
      <c r="A862" s="7">
        <f t="shared" si="358"/>
        <v>861</v>
      </c>
      <c r="B862" s="13" t="str">
        <f t="shared" si="339"/>
        <v>Oct 2015</v>
      </c>
      <c r="C862" s="23" t="str">
        <f t="shared" si="340"/>
        <v>LS</v>
      </c>
      <c r="D862" s="23" t="str">
        <f t="shared" si="341"/>
        <v>KUUM_475</v>
      </c>
      <c r="E862" s="170">
        <f t="shared" si="342"/>
        <v>453</v>
      </c>
      <c r="F862" s="185"/>
      <c r="G862" s="170">
        <f t="shared" si="343"/>
        <v>0</v>
      </c>
      <c r="H862" s="170">
        <v>0</v>
      </c>
      <c r="I862" s="11">
        <f t="shared" si="344"/>
        <v>24.46</v>
      </c>
      <c r="J862" s="11">
        <f t="shared" si="345"/>
        <v>4.5300000000000011</v>
      </c>
      <c r="K862" s="416">
        <f t="shared" si="360"/>
        <v>11080.38</v>
      </c>
      <c r="L862" s="180"/>
      <c r="M862" s="180"/>
      <c r="N862" s="186">
        <f t="shared" si="338"/>
        <v>11080.38</v>
      </c>
      <c r="O862" s="29">
        <f t="shared" si="346"/>
        <v>0</v>
      </c>
      <c r="P862" s="181">
        <f t="shared" si="361"/>
        <v>0</v>
      </c>
      <c r="Q862" s="182">
        <f t="shared" si="347"/>
        <v>0</v>
      </c>
      <c r="R862" s="182">
        <f t="shared" si="348"/>
        <v>0</v>
      </c>
      <c r="S862" s="182">
        <f t="shared" si="349"/>
        <v>0</v>
      </c>
      <c r="T862" s="182">
        <f t="shared" si="350"/>
        <v>0</v>
      </c>
      <c r="U862" s="182">
        <f t="shared" si="351"/>
        <v>0</v>
      </c>
      <c r="V862" s="14">
        <f t="shared" si="352"/>
        <v>11080.38</v>
      </c>
      <c r="W862" s="14">
        <f t="shared" si="353"/>
        <v>-11080.38</v>
      </c>
      <c r="Y862" s="14">
        <f t="shared" si="356"/>
        <v>2052.09</v>
      </c>
      <c r="Z862" s="14">
        <f t="shared" si="357"/>
        <v>-2052.09</v>
      </c>
      <c r="AA862" s="11">
        <f t="shared" si="359"/>
        <v>0.79</v>
      </c>
      <c r="AB862" s="9">
        <f t="shared" si="362"/>
        <v>357.87</v>
      </c>
      <c r="AD862" s="13">
        <f>IF(AH862&gt;AH861,AD861,IF(AD861&lt;MiscData!$F$1,EOMONTH(AD861,1),EOMONTH(AD861,-11)))</f>
        <v>42308</v>
      </c>
      <c r="AE862" s="7" t="str">
        <f t="shared" si="354"/>
        <v>20140101KUUM_475</v>
      </c>
      <c r="AF862" s="12" t="str">
        <f t="shared" si="355"/>
        <v>20140101LS</v>
      </c>
      <c r="AG862" s="31"/>
      <c r="AH862">
        <f>IF(AH861=MiscData!$AB$91,1,AH861+1)</f>
        <v>69</v>
      </c>
      <c r="AI862">
        <f>IF(AD862&lt;=MiscData!$B$23,MiscData!$C$23,IF(AD862&lt;=MiscData!$B$24,MiscData!$C$24,MiscData!$C$25))</f>
        <v>20140101</v>
      </c>
      <c r="AK862" s="190" t="str">
        <f>VLOOKUP(AM862,MiscData!$AB$4:$ACB$113,2,FALSE)</f>
        <v>KUUM_475</v>
      </c>
      <c r="AL862" s="190" t="str">
        <f>VLOOKUP(AM862,MiscData!$AB$4:$AE$115,4,FALSE)</f>
        <v>LS</v>
      </c>
      <c r="AM862">
        <f>IF(AM861=MiscData!$AB$91,1,AM861+1)</f>
        <v>69</v>
      </c>
    </row>
    <row r="863" spans="1:39">
      <c r="A863" s="7">
        <f t="shared" si="358"/>
        <v>862</v>
      </c>
      <c r="B863" s="13" t="str">
        <f t="shared" si="339"/>
        <v>Oct 2015</v>
      </c>
      <c r="C863" s="23" t="str">
        <f t="shared" si="340"/>
        <v>LS</v>
      </c>
      <c r="D863" s="23" t="str">
        <f t="shared" si="341"/>
        <v>KUUM_476</v>
      </c>
      <c r="E863" s="170">
        <f t="shared" si="342"/>
        <v>4555</v>
      </c>
      <c r="F863" s="185"/>
      <c r="G863" s="170">
        <f t="shared" si="343"/>
        <v>0</v>
      </c>
      <c r="H863" s="170">
        <v>0</v>
      </c>
      <c r="I863" s="11">
        <f t="shared" si="344"/>
        <v>16.79</v>
      </c>
      <c r="J863" s="11">
        <f t="shared" si="345"/>
        <v>0.79999999999999893</v>
      </c>
      <c r="K863" s="416">
        <f t="shared" si="360"/>
        <v>76478.45</v>
      </c>
      <c r="L863" s="180"/>
      <c r="M863" s="180"/>
      <c r="N863" s="186">
        <f t="shared" si="338"/>
        <v>76478.45</v>
      </c>
      <c r="O863" s="29">
        <f t="shared" si="346"/>
        <v>0</v>
      </c>
      <c r="P863" s="181">
        <f t="shared" si="361"/>
        <v>0</v>
      </c>
      <c r="Q863" s="182">
        <f t="shared" si="347"/>
        <v>0</v>
      </c>
      <c r="R863" s="182">
        <f t="shared" si="348"/>
        <v>0</v>
      </c>
      <c r="S863" s="182">
        <f t="shared" si="349"/>
        <v>0</v>
      </c>
      <c r="T863" s="182">
        <f t="shared" si="350"/>
        <v>0</v>
      </c>
      <c r="U863" s="182">
        <f t="shared" si="351"/>
        <v>0</v>
      </c>
      <c r="V863" s="14">
        <f t="shared" si="352"/>
        <v>76478.45</v>
      </c>
      <c r="W863" s="14">
        <f t="shared" si="353"/>
        <v>-76478.45</v>
      </c>
      <c r="Y863" s="14">
        <f t="shared" si="356"/>
        <v>3644</v>
      </c>
      <c r="Z863" s="14">
        <f t="shared" si="357"/>
        <v>-3644</v>
      </c>
      <c r="AA863" s="11">
        <f t="shared" si="359"/>
        <v>0.43</v>
      </c>
      <c r="AB863" s="9">
        <f t="shared" si="362"/>
        <v>1958.6499999999999</v>
      </c>
      <c r="AD863" s="13">
        <f>IF(AH863&gt;AH862,AD862,IF(AD862&lt;MiscData!$F$1,EOMONTH(AD862,1),EOMONTH(AD862,-11)))</f>
        <v>42308</v>
      </c>
      <c r="AE863" s="7" t="str">
        <f t="shared" si="354"/>
        <v>20140101KUUM_476</v>
      </c>
      <c r="AF863" s="12" t="str">
        <f t="shared" si="355"/>
        <v>20140101LS</v>
      </c>
      <c r="AG863" s="31"/>
      <c r="AH863">
        <f>IF(AH862=MiscData!$AB$91,1,AH862+1)</f>
        <v>70</v>
      </c>
      <c r="AI863">
        <f>IF(AD863&lt;=MiscData!$B$23,MiscData!$C$23,IF(AD863&lt;=MiscData!$B$24,MiscData!$C$24,MiscData!$C$25))</f>
        <v>20140101</v>
      </c>
      <c r="AK863" s="190" t="str">
        <f>VLOOKUP(AM863,MiscData!$AB$4:$ACB$113,2,FALSE)</f>
        <v>KUUM_476</v>
      </c>
      <c r="AL863" s="190" t="str">
        <f>VLOOKUP(AM863,MiscData!$AB$4:$AE$115,4,FALSE)</f>
        <v>LS</v>
      </c>
      <c r="AM863">
        <f>IF(AM862=MiscData!$AB$91,1,AM862+1)</f>
        <v>70</v>
      </c>
    </row>
    <row r="864" spans="1:39">
      <c r="A864" s="7">
        <f t="shared" si="358"/>
        <v>863</v>
      </c>
      <c r="B864" s="13" t="str">
        <f t="shared" si="339"/>
        <v>Oct 2015</v>
      </c>
      <c r="C864" s="23" t="str">
        <f t="shared" si="340"/>
        <v>LS</v>
      </c>
      <c r="D864" s="23" t="str">
        <f t="shared" si="341"/>
        <v>KUUM_477</v>
      </c>
      <c r="E864" s="170">
        <f t="shared" si="342"/>
        <v>1021</v>
      </c>
      <c r="F864" s="185"/>
      <c r="G864" s="170">
        <f t="shared" si="343"/>
        <v>0</v>
      </c>
      <c r="H864" s="170">
        <v>0</v>
      </c>
      <c r="I864" s="11">
        <f t="shared" si="344"/>
        <v>20.97</v>
      </c>
      <c r="J864" s="11">
        <f t="shared" si="345"/>
        <v>1.129999999999999</v>
      </c>
      <c r="K864" s="416">
        <f t="shared" si="360"/>
        <v>21410.37</v>
      </c>
      <c r="L864" s="180"/>
      <c r="M864" s="180"/>
      <c r="N864" s="186">
        <f t="shared" si="338"/>
        <v>21410.37</v>
      </c>
      <c r="O864" s="29">
        <f t="shared" si="346"/>
        <v>0</v>
      </c>
      <c r="P864" s="181">
        <f t="shared" si="361"/>
        <v>0</v>
      </c>
      <c r="Q864" s="182">
        <f t="shared" si="347"/>
        <v>0</v>
      </c>
      <c r="R864" s="182">
        <f t="shared" si="348"/>
        <v>0</v>
      </c>
      <c r="S864" s="182">
        <f t="shared" si="349"/>
        <v>0</v>
      </c>
      <c r="T864" s="182">
        <f t="shared" si="350"/>
        <v>0</v>
      </c>
      <c r="U864" s="182">
        <f t="shared" si="351"/>
        <v>0</v>
      </c>
      <c r="V864" s="14">
        <f t="shared" si="352"/>
        <v>21410.37</v>
      </c>
      <c r="W864" s="14">
        <f t="shared" si="353"/>
        <v>-21410.37</v>
      </c>
      <c r="Y864" s="14">
        <f t="shared" si="356"/>
        <v>1153.73</v>
      </c>
      <c r="Z864" s="14">
        <f t="shared" si="357"/>
        <v>-1153.73</v>
      </c>
      <c r="AA864" s="11">
        <f t="shared" si="359"/>
        <v>0.34</v>
      </c>
      <c r="AB864" s="9">
        <f t="shared" si="362"/>
        <v>347.14000000000004</v>
      </c>
      <c r="AD864" s="13">
        <f>IF(AH864&gt;AH863,AD863,IF(AD863&lt;MiscData!$F$1,EOMONTH(AD863,1),EOMONTH(AD863,-11)))</f>
        <v>42308</v>
      </c>
      <c r="AE864" s="7" t="str">
        <f t="shared" si="354"/>
        <v>20140101KUUM_477</v>
      </c>
      <c r="AF864" s="12" t="str">
        <f t="shared" si="355"/>
        <v>20140101LS</v>
      </c>
      <c r="AG864" s="31"/>
      <c r="AH864">
        <f>IF(AH863=MiscData!$AB$91,1,AH863+1)</f>
        <v>71</v>
      </c>
      <c r="AI864">
        <f>IF(AD864&lt;=MiscData!$B$23,MiscData!$C$23,IF(AD864&lt;=MiscData!$B$24,MiscData!$C$24,MiscData!$C$25))</f>
        <v>20140101</v>
      </c>
      <c r="AK864" s="190" t="str">
        <f>VLOOKUP(AM864,MiscData!$AB$4:$ACB$113,2,FALSE)</f>
        <v>KUUM_477</v>
      </c>
      <c r="AL864" s="190" t="str">
        <f>VLOOKUP(AM864,MiscData!$AB$4:$AE$115,4,FALSE)</f>
        <v>LS</v>
      </c>
      <c r="AM864">
        <f>IF(AM863=MiscData!$AB$91,1,AM863+1)</f>
        <v>71</v>
      </c>
    </row>
    <row r="865" spans="1:39">
      <c r="A865" s="7">
        <f t="shared" si="358"/>
        <v>864</v>
      </c>
      <c r="B865" s="13" t="str">
        <f t="shared" si="339"/>
        <v>Oct 2015</v>
      </c>
      <c r="C865" s="23" t="str">
        <f t="shared" si="340"/>
        <v>LS</v>
      </c>
      <c r="D865" s="23" t="str">
        <f t="shared" si="341"/>
        <v>KUUM_478</v>
      </c>
      <c r="E865" s="170">
        <f t="shared" si="342"/>
        <v>1392</v>
      </c>
      <c r="F865" s="185"/>
      <c r="G865" s="170">
        <f t="shared" si="343"/>
        <v>0</v>
      </c>
      <c r="H865" s="170">
        <v>0</v>
      </c>
      <c r="I865" s="11">
        <f t="shared" si="344"/>
        <v>26.86</v>
      </c>
      <c r="J865" s="11">
        <f t="shared" si="345"/>
        <v>2.3299999999999983</v>
      </c>
      <c r="K865" s="416">
        <f t="shared" si="360"/>
        <v>37389.120000000003</v>
      </c>
      <c r="L865" s="180"/>
      <c r="M865" s="180"/>
      <c r="N865" s="186">
        <f t="shared" si="338"/>
        <v>37389.120000000003</v>
      </c>
      <c r="O865" s="29">
        <f t="shared" si="346"/>
        <v>0</v>
      </c>
      <c r="P865" s="181">
        <f t="shared" si="361"/>
        <v>0</v>
      </c>
      <c r="Q865" s="182">
        <f t="shared" si="347"/>
        <v>0</v>
      </c>
      <c r="R865" s="182">
        <f t="shared" si="348"/>
        <v>0</v>
      </c>
      <c r="S865" s="182">
        <f t="shared" si="349"/>
        <v>0</v>
      </c>
      <c r="T865" s="182">
        <f t="shared" si="350"/>
        <v>0</v>
      </c>
      <c r="U865" s="182">
        <f t="shared" si="351"/>
        <v>0</v>
      </c>
      <c r="V865" s="14">
        <f t="shared" si="352"/>
        <v>37389.120000000003</v>
      </c>
      <c r="W865" s="14">
        <f t="shared" si="353"/>
        <v>-37389.120000000003</v>
      </c>
      <c r="Y865" s="14">
        <f t="shared" si="356"/>
        <v>3243.36</v>
      </c>
      <c r="Z865" s="14">
        <f t="shared" si="357"/>
        <v>-3243.36</v>
      </c>
      <c r="AA865" s="11">
        <f t="shared" si="359"/>
        <v>0.57999999999999996</v>
      </c>
      <c r="AB865" s="9">
        <f t="shared" si="362"/>
        <v>807.3599999999999</v>
      </c>
      <c r="AD865" s="13">
        <f>IF(AH865&gt;AH864,AD864,IF(AD864&lt;MiscData!$F$1,EOMONTH(AD864,1),EOMONTH(AD864,-11)))</f>
        <v>42308</v>
      </c>
      <c r="AE865" s="7" t="str">
        <f t="shared" si="354"/>
        <v>20140101KUUM_478</v>
      </c>
      <c r="AF865" s="12" t="str">
        <f t="shared" si="355"/>
        <v>20140101LS</v>
      </c>
      <c r="AG865" s="31"/>
      <c r="AH865">
        <f>IF(AH864=MiscData!$AB$91,1,AH864+1)</f>
        <v>72</v>
      </c>
      <c r="AI865">
        <f>IF(AD865&lt;=MiscData!$B$23,MiscData!$C$23,IF(AD865&lt;=MiscData!$B$24,MiscData!$C$24,MiscData!$C$25))</f>
        <v>20140101</v>
      </c>
      <c r="AK865" s="190" t="str">
        <f>VLOOKUP(AM865,MiscData!$AB$4:$ACB$113,2,FALSE)</f>
        <v>KUUM_478</v>
      </c>
      <c r="AL865" s="190" t="str">
        <f>VLOOKUP(AM865,MiscData!$AB$4:$AE$115,4,FALSE)</f>
        <v>LS</v>
      </c>
      <c r="AM865">
        <f>IF(AM864=MiscData!$AB$91,1,AM864+1)</f>
        <v>72</v>
      </c>
    </row>
    <row r="866" spans="1:39">
      <c r="A866" s="7">
        <f t="shared" si="358"/>
        <v>865</v>
      </c>
      <c r="B866" s="13" t="str">
        <f t="shared" si="339"/>
        <v>Oct 2015</v>
      </c>
      <c r="C866" s="23" t="str">
        <f t="shared" si="340"/>
        <v>LS</v>
      </c>
      <c r="D866" s="23" t="str">
        <f t="shared" si="341"/>
        <v>KUUM_479</v>
      </c>
      <c r="E866" s="170">
        <f t="shared" si="342"/>
        <v>999</v>
      </c>
      <c r="F866" s="185"/>
      <c r="G866" s="170">
        <f t="shared" si="343"/>
        <v>0</v>
      </c>
      <c r="H866" s="170">
        <v>0</v>
      </c>
      <c r="I866" s="11">
        <f t="shared" si="344"/>
        <v>33.119999999999997</v>
      </c>
      <c r="J866" s="11">
        <f t="shared" si="345"/>
        <v>4.529999999999994</v>
      </c>
      <c r="K866" s="416">
        <f t="shared" si="360"/>
        <v>33086.879999999997</v>
      </c>
      <c r="L866" s="180"/>
      <c r="M866" s="180"/>
      <c r="N866" s="186">
        <f t="shared" si="338"/>
        <v>33086.879999999997</v>
      </c>
      <c r="O866" s="29">
        <f t="shared" si="346"/>
        <v>0</v>
      </c>
      <c r="P866" s="181">
        <f t="shared" si="361"/>
        <v>0</v>
      </c>
      <c r="Q866" s="182">
        <f t="shared" si="347"/>
        <v>0</v>
      </c>
      <c r="R866" s="182">
        <f t="shared" si="348"/>
        <v>0</v>
      </c>
      <c r="S866" s="182">
        <f t="shared" si="349"/>
        <v>0</v>
      </c>
      <c r="T866" s="182">
        <f t="shared" si="350"/>
        <v>0</v>
      </c>
      <c r="U866" s="182">
        <f t="shared" si="351"/>
        <v>0</v>
      </c>
      <c r="V866" s="14">
        <f t="shared" si="352"/>
        <v>33086.879999999997</v>
      </c>
      <c r="W866" s="14">
        <f t="shared" si="353"/>
        <v>-33086.879999999997</v>
      </c>
      <c r="Y866" s="14">
        <f t="shared" si="356"/>
        <v>4525.47</v>
      </c>
      <c r="Z866" s="14">
        <f t="shared" si="357"/>
        <v>-4525.47</v>
      </c>
      <c r="AA866" s="11">
        <f t="shared" si="359"/>
        <v>0.79</v>
      </c>
      <c r="AB866" s="9">
        <f t="shared" si="362"/>
        <v>789.21</v>
      </c>
      <c r="AD866" s="13">
        <f>IF(AH866&gt;AH865,AD865,IF(AD865&lt;MiscData!$F$1,EOMONTH(AD865,1),EOMONTH(AD865,-11)))</f>
        <v>42308</v>
      </c>
      <c r="AE866" s="7" t="str">
        <f t="shared" si="354"/>
        <v>20140101KUUM_479</v>
      </c>
      <c r="AF866" s="12" t="str">
        <f t="shared" si="355"/>
        <v>20140101LS</v>
      </c>
      <c r="AG866" s="31"/>
      <c r="AH866">
        <f>IF(AH865=MiscData!$AB$91,1,AH865+1)</f>
        <v>73</v>
      </c>
      <c r="AI866">
        <f>IF(AD866&lt;=MiscData!$B$23,MiscData!$C$23,IF(AD866&lt;=MiscData!$B$24,MiscData!$C$24,MiscData!$C$25))</f>
        <v>20140101</v>
      </c>
      <c r="AK866" s="190" t="str">
        <f>VLOOKUP(AM866,MiscData!$AB$4:$ACB$113,2,FALSE)</f>
        <v>KUUM_479</v>
      </c>
      <c r="AL866" s="190" t="str">
        <f>VLOOKUP(AM866,MiscData!$AB$4:$AE$115,4,FALSE)</f>
        <v>LS</v>
      </c>
      <c r="AM866">
        <f>IF(AM865=MiscData!$AB$91,1,AM865+1)</f>
        <v>73</v>
      </c>
    </row>
    <row r="867" spans="1:39">
      <c r="A867" s="7">
        <f t="shared" si="358"/>
        <v>866</v>
      </c>
      <c r="B867" s="13" t="str">
        <f t="shared" si="339"/>
        <v>Oct 2015</v>
      </c>
      <c r="C867" s="23" t="str">
        <f t="shared" si="340"/>
        <v>LS</v>
      </c>
      <c r="D867" s="23" t="str">
        <f t="shared" si="341"/>
        <v>KUUM_486</v>
      </c>
      <c r="E867" s="170">
        <f t="shared" si="342"/>
        <v>0</v>
      </c>
      <c r="F867" s="185"/>
      <c r="G867" s="170">
        <f t="shared" si="343"/>
        <v>0</v>
      </c>
      <c r="H867" s="170">
        <v>0</v>
      </c>
      <c r="I867" s="11">
        <f t="shared" si="344"/>
        <v>0</v>
      </c>
      <c r="J867" s="11">
        <f t="shared" si="345"/>
        <v>0</v>
      </c>
      <c r="K867" s="416">
        <f t="shared" si="360"/>
        <v>0</v>
      </c>
      <c r="L867" s="180"/>
      <c r="M867" s="180"/>
      <c r="N867" s="186">
        <f t="shared" si="338"/>
        <v>0</v>
      </c>
      <c r="O867" s="29">
        <f t="shared" si="346"/>
        <v>0</v>
      </c>
      <c r="P867" s="181">
        <f t="shared" si="361"/>
        <v>1</v>
      </c>
      <c r="Q867" s="182">
        <f t="shared" si="347"/>
        <v>0</v>
      </c>
      <c r="R867" s="182">
        <f t="shared" si="348"/>
        <v>0</v>
      </c>
      <c r="S867" s="182">
        <f t="shared" si="349"/>
        <v>0</v>
      </c>
      <c r="T867" s="182">
        <f t="shared" si="350"/>
        <v>0</v>
      </c>
      <c r="U867" s="182">
        <f t="shared" si="351"/>
        <v>0</v>
      </c>
      <c r="V867" s="14">
        <f t="shared" si="352"/>
        <v>0</v>
      </c>
      <c r="W867" s="14">
        <f t="shared" si="353"/>
        <v>0</v>
      </c>
      <c r="Y867" s="14">
        <f t="shared" si="356"/>
        <v>0</v>
      </c>
      <c r="Z867" s="14">
        <f t="shared" si="357"/>
        <v>0</v>
      </c>
      <c r="AA867" s="11">
        <f t="shared" si="359"/>
        <v>0</v>
      </c>
      <c r="AB867" s="9">
        <f t="shared" si="362"/>
        <v>0</v>
      </c>
      <c r="AD867" s="13">
        <f>IF(AH867&gt;AH866,AD866,IF(AD866&lt;MiscData!$F$1,EOMONTH(AD866,1),EOMONTH(AD866,-11)))</f>
        <v>42308</v>
      </c>
      <c r="AE867" s="7" t="str">
        <f t="shared" si="354"/>
        <v>20140101KUUM_486</v>
      </c>
      <c r="AF867" s="12" t="str">
        <f t="shared" si="355"/>
        <v>20140101LS</v>
      </c>
      <c r="AG867" s="31"/>
      <c r="AH867">
        <f>IF(AH866=MiscData!$AB$91,1,AH866+1)</f>
        <v>74</v>
      </c>
      <c r="AI867">
        <f>IF(AD867&lt;=MiscData!$B$23,MiscData!$C$23,IF(AD867&lt;=MiscData!$B$24,MiscData!$C$24,MiscData!$C$25))</f>
        <v>20140101</v>
      </c>
      <c r="AK867" s="190" t="str">
        <f>VLOOKUP(AM867,MiscData!$AB$4:$ACB$113,2,FALSE)</f>
        <v>KUUM_486</v>
      </c>
      <c r="AL867" s="190" t="str">
        <f>VLOOKUP(AM867,MiscData!$AB$4:$AE$115,4,FALSE)</f>
        <v>LS</v>
      </c>
      <c r="AM867">
        <f>IF(AM866=MiscData!$AB$91,1,AM866+1)</f>
        <v>74</v>
      </c>
    </row>
    <row r="868" spans="1:39">
      <c r="A868" s="7">
        <f t="shared" si="358"/>
        <v>867</v>
      </c>
      <c r="B868" s="13" t="str">
        <f t="shared" si="339"/>
        <v>Oct 2015</v>
      </c>
      <c r="C868" s="23" t="str">
        <f t="shared" si="340"/>
        <v>LS</v>
      </c>
      <c r="D868" s="23" t="str">
        <f t="shared" si="341"/>
        <v>KUUM_487</v>
      </c>
      <c r="E868" s="170">
        <f t="shared" si="342"/>
        <v>10673</v>
      </c>
      <c r="F868" s="185"/>
      <c r="G868" s="170">
        <f t="shared" si="343"/>
        <v>0</v>
      </c>
      <c r="H868" s="170">
        <v>0</v>
      </c>
      <c r="I868" s="11">
        <f t="shared" si="344"/>
        <v>9</v>
      </c>
      <c r="J868" s="11">
        <f t="shared" si="345"/>
        <v>1.1299999999999999</v>
      </c>
      <c r="K868" s="416">
        <f t="shared" si="360"/>
        <v>96057</v>
      </c>
      <c r="L868" s="180"/>
      <c r="M868" s="180"/>
      <c r="N868" s="186">
        <f t="shared" si="338"/>
        <v>96057</v>
      </c>
      <c r="O868" s="29">
        <f t="shared" si="346"/>
        <v>0</v>
      </c>
      <c r="P868" s="181">
        <f t="shared" si="361"/>
        <v>0</v>
      </c>
      <c r="Q868" s="182">
        <f t="shared" si="347"/>
        <v>0</v>
      </c>
      <c r="R868" s="182">
        <f t="shared" si="348"/>
        <v>0</v>
      </c>
      <c r="S868" s="182">
        <f t="shared" si="349"/>
        <v>0</v>
      </c>
      <c r="T868" s="182">
        <f t="shared" si="350"/>
        <v>0</v>
      </c>
      <c r="U868" s="182">
        <f t="shared" si="351"/>
        <v>0</v>
      </c>
      <c r="V868" s="14">
        <f t="shared" si="352"/>
        <v>96057</v>
      </c>
      <c r="W868" s="14">
        <f t="shared" si="353"/>
        <v>-96057</v>
      </c>
      <c r="Y868" s="14">
        <f t="shared" si="356"/>
        <v>12060.49</v>
      </c>
      <c r="Z868" s="14">
        <f t="shared" si="357"/>
        <v>-12060.49</v>
      </c>
      <c r="AA868" s="11">
        <f t="shared" si="359"/>
        <v>0.34</v>
      </c>
      <c r="AB868" s="9">
        <f t="shared" si="362"/>
        <v>3628.82</v>
      </c>
      <c r="AD868" s="13">
        <f>IF(AH868&gt;AH867,AD867,IF(AD867&lt;MiscData!$F$1,EOMONTH(AD867,1),EOMONTH(AD867,-11)))</f>
        <v>42308</v>
      </c>
      <c r="AE868" s="7" t="str">
        <f t="shared" si="354"/>
        <v>20140101KUUM_487</v>
      </c>
      <c r="AF868" s="12" t="str">
        <f t="shared" si="355"/>
        <v>20140101LS</v>
      </c>
      <c r="AG868" s="31"/>
      <c r="AH868">
        <f>IF(AH867=MiscData!$AB$91,1,AH867+1)</f>
        <v>75</v>
      </c>
      <c r="AI868">
        <f>IF(AD868&lt;=MiscData!$B$23,MiscData!$C$23,IF(AD868&lt;=MiscData!$B$24,MiscData!$C$24,MiscData!$C$25))</f>
        <v>20140101</v>
      </c>
      <c r="AK868" s="190" t="str">
        <f>VLOOKUP(AM868,MiscData!$AB$4:$ACB$113,2,FALSE)</f>
        <v>KUUM_487</v>
      </c>
      <c r="AL868" s="190" t="str">
        <f>VLOOKUP(AM868,MiscData!$AB$4:$AE$115,4,FALSE)</f>
        <v>LS</v>
      </c>
      <c r="AM868">
        <f>IF(AM867=MiscData!$AB$91,1,AM867+1)</f>
        <v>75</v>
      </c>
    </row>
    <row r="869" spans="1:39">
      <c r="A869" s="7">
        <f t="shared" si="358"/>
        <v>868</v>
      </c>
      <c r="B869" s="13" t="str">
        <f t="shared" si="339"/>
        <v>Oct 2015</v>
      </c>
      <c r="C869" s="23" t="str">
        <f t="shared" si="340"/>
        <v>LS</v>
      </c>
      <c r="D869" s="23" t="str">
        <f t="shared" si="341"/>
        <v>KUUM_488</v>
      </c>
      <c r="E869" s="170">
        <f t="shared" si="342"/>
        <v>6332</v>
      </c>
      <c r="F869" s="185"/>
      <c r="G869" s="170">
        <f t="shared" si="343"/>
        <v>0</v>
      </c>
      <c r="H869" s="170">
        <v>0</v>
      </c>
      <c r="I869" s="11">
        <f t="shared" si="344"/>
        <v>13.639999999999999</v>
      </c>
      <c r="J869" s="11">
        <f t="shared" si="345"/>
        <v>2.33</v>
      </c>
      <c r="K869" s="416">
        <f t="shared" si="360"/>
        <v>86368.48</v>
      </c>
      <c r="L869" s="180"/>
      <c r="M869" s="180"/>
      <c r="N869" s="186">
        <f t="shared" si="338"/>
        <v>86368.48</v>
      </c>
      <c r="O869" s="29">
        <f t="shared" si="346"/>
        <v>0</v>
      </c>
      <c r="P869" s="181">
        <f t="shared" si="361"/>
        <v>0</v>
      </c>
      <c r="Q869" s="182">
        <f t="shared" si="347"/>
        <v>0</v>
      </c>
      <c r="R869" s="182">
        <f t="shared" si="348"/>
        <v>0</v>
      </c>
      <c r="S869" s="182">
        <f t="shared" si="349"/>
        <v>0</v>
      </c>
      <c r="T869" s="182">
        <f t="shared" si="350"/>
        <v>0</v>
      </c>
      <c r="U869" s="182">
        <f t="shared" si="351"/>
        <v>0</v>
      </c>
      <c r="V869" s="14">
        <f t="shared" si="352"/>
        <v>86368.48</v>
      </c>
      <c r="W869" s="14">
        <f t="shared" si="353"/>
        <v>-86368.48</v>
      </c>
      <c r="Y869" s="14">
        <f t="shared" si="356"/>
        <v>14753.56</v>
      </c>
      <c r="Z869" s="14">
        <f t="shared" si="357"/>
        <v>-14753.56</v>
      </c>
      <c r="AA869" s="11">
        <f t="shared" si="359"/>
        <v>0.57999999999999996</v>
      </c>
      <c r="AB869" s="9">
        <f t="shared" si="362"/>
        <v>3672.56</v>
      </c>
      <c r="AD869" s="13">
        <f>IF(AH869&gt;AH868,AD868,IF(AD868&lt;MiscData!$F$1,EOMONTH(AD868,1),EOMONTH(AD868,-11)))</f>
        <v>42308</v>
      </c>
      <c r="AE869" s="7" t="str">
        <f t="shared" si="354"/>
        <v>20140101KUUM_488</v>
      </c>
      <c r="AF869" s="12" t="str">
        <f t="shared" si="355"/>
        <v>20140101LS</v>
      </c>
      <c r="AG869" s="31"/>
      <c r="AH869">
        <f>IF(AH868=MiscData!$AB$91,1,AH868+1)</f>
        <v>76</v>
      </c>
      <c r="AI869">
        <f>IF(AD869&lt;=MiscData!$B$23,MiscData!$C$23,IF(AD869&lt;=MiscData!$B$24,MiscData!$C$24,MiscData!$C$25))</f>
        <v>20140101</v>
      </c>
      <c r="AK869" s="190" t="str">
        <f>VLOOKUP(AM869,MiscData!$AB$4:$ACB$113,2,FALSE)</f>
        <v>KUUM_488</v>
      </c>
      <c r="AL869" s="190" t="str">
        <f>VLOOKUP(AM869,MiscData!$AB$4:$AE$115,4,FALSE)</f>
        <v>LS</v>
      </c>
      <c r="AM869">
        <f>IF(AM868=MiscData!$AB$91,1,AM868+1)</f>
        <v>76</v>
      </c>
    </row>
    <row r="870" spans="1:39">
      <c r="A870" s="7">
        <f t="shared" si="358"/>
        <v>869</v>
      </c>
      <c r="B870" s="13" t="str">
        <f t="shared" si="339"/>
        <v>Oct 2015</v>
      </c>
      <c r="C870" s="23" t="str">
        <f t="shared" si="340"/>
        <v>LS</v>
      </c>
      <c r="D870" s="23" t="str">
        <f t="shared" si="341"/>
        <v>KUUM_489</v>
      </c>
      <c r="E870" s="170">
        <f t="shared" si="342"/>
        <v>8016</v>
      </c>
      <c r="F870" s="185"/>
      <c r="G870" s="170">
        <f t="shared" si="343"/>
        <v>0</v>
      </c>
      <c r="H870" s="170">
        <v>0</v>
      </c>
      <c r="I870" s="11">
        <f t="shared" si="344"/>
        <v>19.46</v>
      </c>
      <c r="J870" s="11">
        <f t="shared" si="345"/>
        <v>4.5300000000000011</v>
      </c>
      <c r="K870" s="416">
        <f t="shared" si="360"/>
        <v>155991.35999999999</v>
      </c>
      <c r="L870" s="180"/>
      <c r="M870" s="180"/>
      <c r="N870" s="186">
        <f t="shared" si="338"/>
        <v>155991.35999999999</v>
      </c>
      <c r="O870" s="29">
        <f t="shared" si="346"/>
        <v>0</v>
      </c>
      <c r="P870" s="181">
        <f t="shared" si="361"/>
        <v>0</v>
      </c>
      <c r="Q870" s="182">
        <f t="shared" si="347"/>
        <v>0</v>
      </c>
      <c r="R870" s="182">
        <f t="shared" si="348"/>
        <v>0</v>
      </c>
      <c r="S870" s="182">
        <f t="shared" si="349"/>
        <v>0</v>
      </c>
      <c r="T870" s="182">
        <f t="shared" si="350"/>
        <v>0</v>
      </c>
      <c r="U870" s="182">
        <f t="shared" si="351"/>
        <v>0</v>
      </c>
      <c r="V870" s="14">
        <f t="shared" si="352"/>
        <v>155991.35999999999</v>
      </c>
      <c r="W870" s="14">
        <f t="shared" si="353"/>
        <v>-155991.35999999999</v>
      </c>
      <c r="Y870" s="14">
        <f t="shared" si="356"/>
        <v>36312.480000000003</v>
      </c>
      <c r="Z870" s="14">
        <f t="shared" si="357"/>
        <v>-36312.480000000003</v>
      </c>
      <c r="AA870" s="11">
        <f t="shared" si="359"/>
        <v>0.79</v>
      </c>
      <c r="AB870" s="9">
        <f t="shared" si="362"/>
        <v>6332.64</v>
      </c>
      <c r="AD870" s="13">
        <f>IF(AH870&gt;AH869,AD869,IF(AD869&lt;MiscData!$F$1,EOMONTH(AD869,1),EOMONTH(AD869,-11)))</f>
        <v>42308</v>
      </c>
      <c r="AE870" s="7" t="str">
        <f t="shared" si="354"/>
        <v>20140101KUUM_489</v>
      </c>
      <c r="AF870" s="12" t="str">
        <f t="shared" si="355"/>
        <v>20140101LS</v>
      </c>
      <c r="AG870" s="31"/>
      <c r="AH870">
        <f>IF(AH869=MiscData!$AB$91,1,AH869+1)</f>
        <v>77</v>
      </c>
      <c r="AI870">
        <f>IF(AD870&lt;=MiscData!$B$23,MiscData!$C$23,IF(AD870&lt;=MiscData!$B$24,MiscData!$C$24,MiscData!$C$25))</f>
        <v>20140101</v>
      </c>
      <c r="AK870" s="190" t="str">
        <f>VLOOKUP(AM870,MiscData!$AB$4:$ACB$113,2,FALSE)</f>
        <v>KUUM_489</v>
      </c>
      <c r="AL870" s="190" t="str">
        <f>VLOOKUP(AM870,MiscData!$AB$4:$AE$115,4,FALSE)</f>
        <v>LS</v>
      </c>
      <c r="AM870">
        <f>IF(AM869=MiscData!$AB$91,1,AM869+1)</f>
        <v>77</v>
      </c>
    </row>
    <row r="871" spans="1:39" ht="12.75" thickBot="1">
      <c r="A871" s="7">
        <f t="shared" si="358"/>
        <v>870</v>
      </c>
      <c r="B871" s="13" t="str">
        <f t="shared" si="339"/>
        <v>Oct 2015</v>
      </c>
      <c r="C871" s="23" t="str">
        <f t="shared" si="340"/>
        <v>LS</v>
      </c>
      <c r="D871" s="23" t="str">
        <f t="shared" si="341"/>
        <v>KUUM_490</v>
      </c>
      <c r="E871" s="170">
        <f t="shared" si="342"/>
        <v>56</v>
      </c>
      <c r="F871" s="429"/>
      <c r="G871" s="170">
        <f t="shared" si="343"/>
        <v>0</v>
      </c>
      <c r="H871" s="425">
        <v>0</v>
      </c>
      <c r="I871" s="11">
        <f t="shared" si="344"/>
        <v>15.47</v>
      </c>
      <c r="J871" s="11">
        <f t="shared" si="345"/>
        <v>1.9700000000000006</v>
      </c>
      <c r="K871" s="416">
        <f t="shared" si="360"/>
        <v>866.32</v>
      </c>
      <c r="L871" s="430"/>
      <c r="M871" s="430"/>
      <c r="N871" s="186">
        <f t="shared" si="338"/>
        <v>866.32</v>
      </c>
      <c r="O871" s="29">
        <f t="shared" si="346"/>
        <v>0</v>
      </c>
      <c r="P871" s="181">
        <f t="shared" si="361"/>
        <v>0</v>
      </c>
      <c r="Q871" s="182">
        <f t="shared" si="347"/>
        <v>0</v>
      </c>
      <c r="R871" s="182">
        <f t="shared" si="348"/>
        <v>0</v>
      </c>
      <c r="S871" s="182">
        <f t="shared" si="349"/>
        <v>0</v>
      </c>
      <c r="T871" s="182">
        <f t="shared" si="350"/>
        <v>0</v>
      </c>
      <c r="U871" s="182">
        <f t="shared" si="351"/>
        <v>0</v>
      </c>
      <c r="V871" s="14">
        <f t="shared" si="352"/>
        <v>866.32</v>
      </c>
      <c r="W871" s="14">
        <f t="shared" si="353"/>
        <v>-866.32</v>
      </c>
      <c r="Y871" s="14">
        <f t="shared" si="356"/>
        <v>110.32</v>
      </c>
      <c r="Z871" s="14">
        <f t="shared" si="357"/>
        <v>-110.32</v>
      </c>
      <c r="AA871" s="11">
        <f t="shared" si="359"/>
        <v>0.66</v>
      </c>
      <c r="AB871" s="9">
        <f t="shared" si="362"/>
        <v>36.96</v>
      </c>
      <c r="AD871" s="13">
        <f>IF(AH871&gt;AH870,AD870,IF(AD870&lt;MiscData!$F$1,EOMONTH(AD870,1),EOMONTH(AD870,-11)))</f>
        <v>42308</v>
      </c>
      <c r="AE871" s="7" t="str">
        <f t="shared" si="354"/>
        <v>20140101KUUM_490</v>
      </c>
      <c r="AF871" s="12" t="str">
        <f t="shared" si="355"/>
        <v>20140101LS</v>
      </c>
      <c r="AG871" s="31"/>
      <c r="AH871">
        <f>IF(AH870=MiscData!$AB$91,1,AH870+1)</f>
        <v>78</v>
      </c>
      <c r="AI871">
        <f>IF(AD871&lt;=MiscData!$B$23,MiscData!$C$23,IF(AD871&lt;=MiscData!$B$24,MiscData!$C$24,MiscData!$C$25))</f>
        <v>20140101</v>
      </c>
      <c r="AK871" s="190" t="str">
        <f>VLOOKUP(AM871,MiscData!$AB$4:$ACB$113,2,FALSE)</f>
        <v>KUUM_490</v>
      </c>
      <c r="AL871" s="190" t="str">
        <f>VLOOKUP(AM871,MiscData!$AB$4:$AE$115,4,FALSE)</f>
        <v>LS</v>
      </c>
      <c r="AM871">
        <f>IF(AM870=MiscData!$AB$91,1,AM870+1)</f>
        <v>78</v>
      </c>
    </row>
    <row r="872" spans="1:39">
      <c r="A872" s="605">
        <f t="shared" si="358"/>
        <v>871</v>
      </c>
      <c r="B872" s="606" t="str">
        <f t="shared" si="339"/>
        <v>Oct 2015</v>
      </c>
      <c r="C872" s="607" t="str">
        <f t="shared" si="340"/>
        <v>LS</v>
      </c>
      <c r="D872" s="607" t="str">
        <f t="shared" si="341"/>
        <v>KUUM_491</v>
      </c>
      <c r="E872" s="608">
        <f t="shared" si="342"/>
        <v>317</v>
      </c>
      <c r="F872" s="609"/>
      <c r="G872" s="608">
        <f t="shared" si="343"/>
        <v>0</v>
      </c>
      <c r="H872" s="608">
        <v>0</v>
      </c>
      <c r="I872" s="610">
        <f t="shared" si="344"/>
        <v>21.930000000000003</v>
      </c>
      <c r="J872" s="610">
        <f t="shared" si="345"/>
        <v>4.2900000000000027</v>
      </c>
      <c r="K872" s="611">
        <f t="shared" si="360"/>
        <v>6951.81</v>
      </c>
      <c r="L872" s="612"/>
      <c r="M872" s="612"/>
      <c r="N872" s="613">
        <f t="shared" si="338"/>
        <v>6951.81</v>
      </c>
      <c r="O872" s="614">
        <f t="shared" si="346"/>
        <v>0</v>
      </c>
      <c r="P872" s="615">
        <f t="shared" si="361"/>
        <v>0</v>
      </c>
      <c r="Q872" s="613">
        <f t="shared" si="347"/>
        <v>0</v>
      </c>
      <c r="R872" s="613">
        <f t="shared" si="348"/>
        <v>0</v>
      </c>
      <c r="S872" s="613">
        <f t="shared" si="349"/>
        <v>0</v>
      </c>
      <c r="T872" s="613">
        <f t="shared" si="350"/>
        <v>0</v>
      </c>
      <c r="U872" s="613">
        <f t="shared" si="351"/>
        <v>0</v>
      </c>
      <c r="V872" s="616">
        <f t="shared" si="352"/>
        <v>6951.81</v>
      </c>
      <c r="W872" s="616">
        <f t="shared" si="353"/>
        <v>-6951.81</v>
      </c>
      <c r="X872" s="617"/>
      <c r="Y872" s="616">
        <f t="shared" si="356"/>
        <v>1359.93</v>
      </c>
      <c r="Z872" s="616">
        <f t="shared" si="357"/>
        <v>-1359.93</v>
      </c>
      <c r="AA872" s="11">
        <f t="shared" si="359"/>
        <v>0.84</v>
      </c>
      <c r="AB872" s="9">
        <f t="shared" si="362"/>
        <v>266.27999999999997</v>
      </c>
      <c r="AC872" s="617"/>
      <c r="AD872" s="606">
        <f>IF(AH872&gt;AH871,AD871,IF(AD871&lt;MiscData!$F$1,EOMONTH(AD871,1),EOMONTH(AD871,-11)))</f>
        <v>42308</v>
      </c>
      <c r="AE872" s="618" t="str">
        <f t="shared" si="354"/>
        <v>20140101KUUM_491</v>
      </c>
      <c r="AF872" s="619" t="str">
        <f t="shared" si="355"/>
        <v>20140101LS</v>
      </c>
      <c r="AG872" s="620"/>
      <c r="AH872" s="617">
        <f>IF(AH871=MiscData!$AB$91,1,AH871+1)</f>
        <v>79</v>
      </c>
      <c r="AI872" s="617">
        <f>IF(AD872&lt;=MiscData!$B$23,MiscData!$C$23,IF(AD872&lt;=MiscData!$B$24,MiscData!$C$24,MiscData!$C$25))</f>
        <v>20140101</v>
      </c>
      <c r="AJ872" s="617"/>
      <c r="AK872" s="621" t="str">
        <f>VLOOKUP(AM872,MiscData!$AB$4:$ACB$113,2,FALSE)</f>
        <v>KUUM_491</v>
      </c>
      <c r="AL872" s="621" t="str">
        <f>VLOOKUP(AM872,MiscData!$AB$4:$AE$115,4,FALSE)</f>
        <v>LS</v>
      </c>
      <c r="AM872" s="622">
        <f>IF(AM871=MiscData!$AB$91,1,AM871+1)</f>
        <v>79</v>
      </c>
    </row>
    <row r="873" spans="1:39">
      <c r="A873" s="413">
        <f t="shared" si="358"/>
        <v>872</v>
      </c>
      <c r="B873" s="427" t="str">
        <f t="shared" si="339"/>
        <v>Oct 2015</v>
      </c>
      <c r="C873" s="428" t="str">
        <f t="shared" si="340"/>
        <v>LS</v>
      </c>
      <c r="D873" s="428" t="str">
        <f t="shared" si="341"/>
        <v>KUUM_492</v>
      </c>
      <c r="E873" s="425">
        <f t="shared" si="342"/>
        <v>2</v>
      </c>
      <c r="F873" s="429"/>
      <c r="G873" s="425">
        <f t="shared" si="343"/>
        <v>0</v>
      </c>
      <c r="H873" s="425">
        <v>0</v>
      </c>
      <c r="I873" s="415">
        <f t="shared" si="344"/>
        <v>15.370000000000001</v>
      </c>
      <c r="J873" s="415">
        <f t="shared" si="345"/>
        <v>0.80000000000000071</v>
      </c>
      <c r="K873" s="416">
        <f t="shared" si="360"/>
        <v>30.74</v>
      </c>
      <c r="L873" s="430"/>
      <c r="M873" s="430"/>
      <c r="N873" s="186">
        <f t="shared" si="338"/>
        <v>30.74</v>
      </c>
      <c r="O873" s="431">
        <f t="shared" si="346"/>
        <v>0</v>
      </c>
      <c r="P873" s="417">
        <f t="shared" si="361"/>
        <v>0</v>
      </c>
      <c r="Q873" s="186">
        <f t="shared" si="347"/>
        <v>0</v>
      </c>
      <c r="R873" s="186">
        <f t="shared" si="348"/>
        <v>0</v>
      </c>
      <c r="S873" s="186">
        <f t="shared" si="349"/>
        <v>0</v>
      </c>
      <c r="T873" s="186">
        <f t="shared" si="350"/>
        <v>0</v>
      </c>
      <c r="U873" s="186">
        <f t="shared" si="351"/>
        <v>0</v>
      </c>
      <c r="V873" s="418">
        <f t="shared" si="352"/>
        <v>30.74</v>
      </c>
      <c r="W873" s="418">
        <f t="shared" si="353"/>
        <v>-30.74</v>
      </c>
      <c r="X873" s="41"/>
      <c r="Y873" s="418">
        <f t="shared" si="356"/>
        <v>1.6</v>
      </c>
      <c r="Z873" s="418">
        <f t="shared" si="357"/>
        <v>-1.6</v>
      </c>
      <c r="AA873" s="11">
        <f t="shared" si="359"/>
        <v>0.43</v>
      </c>
      <c r="AB873" s="9">
        <f t="shared" si="362"/>
        <v>0.86</v>
      </c>
      <c r="AC873" s="41"/>
      <c r="AD873" s="427">
        <f>IF(AH873&gt;AH872,AD872,IF(AD872&lt;MiscData!$F$1,EOMONTH(AD872,1),EOMONTH(AD872,-11)))</f>
        <v>42308</v>
      </c>
      <c r="AE873" s="414" t="str">
        <f t="shared" si="354"/>
        <v>20140101KUUM_492</v>
      </c>
      <c r="AF873" s="466" t="str">
        <f t="shared" si="355"/>
        <v>20140101LS</v>
      </c>
      <c r="AG873" s="467"/>
      <c r="AH873" s="41">
        <f>IF(AH872=MiscData!$AB$91,1,AH872+1)</f>
        <v>80</v>
      </c>
      <c r="AI873" s="41">
        <f>IF(AD873&lt;=MiscData!$B$23,MiscData!$C$23,IF(AD873&lt;=MiscData!$B$24,MiscData!$C$24,MiscData!$C$25))</f>
        <v>20140101</v>
      </c>
      <c r="AJ873" s="41"/>
      <c r="AK873" s="468" t="str">
        <f>VLOOKUP(AM873,MiscData!$AB$4:$ACB$113,2,FALSE)</f>
        <v>KUUM_492</v>
      </c>
      <c r="AL873" s="468" t="str">
        <f>VLOOKUP(AM873,MiscData!$AB$4:$AE$115,4,FALSE)</f>
        <v>LS</v>
      </c>
      <c r="AM873" s="469">
        <f>IF(AM872=MiscData!$AB$91,1,AM872+1)</f>
        <v>80</v>
      </c>
    </row>
    <row r="874" spans="1:39">
      <c r="A874" s="413">
        <f t="shared" si="358"/>
        <v>873</v>
      </c>
      <c r="B874" s="427" t="str">
        <f t="shared" si="339"/>
        <v>Oct 2015</v>
      </c>
      <c r="C874" s="428" t="str">
        <f t="shared" si="340"/>
        <v>LS</v>
      </c>
      <c r="D874" s="428" t="str">
        <f t="shared" si="341"/>
        <v>KUUM_493</v>
      </c>
      <c r="E874" s="425">
        <f t="shared" si="342"/>
        <v>47</v>
      </c>
      <c r="F874" s="429"/>
      <c r="G874" s="425">
        <f t="shared" si="343"/>
        <v>0</v>
      </c>
      <c r="H874" s="425">
        <v>0</v>
      </c>
      <c r="I874" s="415">
        <f t="shared" si="344"/>
        <v>45.7</v>
      </c>
      <c r="J874" s="415">
        <f t="shared" si="345"/>
        <v>10.409999999999997</v>
      </c>
      <c r="K874" s="416">
        <f t="shared" si="360"/>
        <v>2147.9</v>
      </c>
      <c r="L874" s="430"/>
      <c r="M874" s="430"/>
      <c r="N874" s="186">
        <f t="shared" si="338"/>
        <v>2147.9</v>
      </c>
      <c r="O874" s="431">
        <f t="shared" si="346"/>
        <v>0</v>
      </c>
      <c r="P874" s="417">
        <f t="shared" si="361"/>
        <v>0</v>
      </c>
      <c r="Q874" s="186">
        <f t="shared" si="347"/>
        <v>0</v>
      </c>
      <c r="R874" s="186">
        <f t="shared" si="348"/>
        <v>0</v>
      </c>
      <c r="S874" s="186">
        <f t="shared" si="349"/>
        <v>0</v>
      </c>
      <c r="T874" s="186">
        <f t="shared" si="350"/>
        <v>0</v>
      </c>
      <c r="U874" s="186">
        <f t="shared" si="351"/>
        <v>0</v>
      </c>
      <c r="V874" s="418">
        <f t="shared" si="352"/>
        <v>2147.9</v>
      </c>
      <c r="W874" s="418">
        <f t="shared" si="353"/>
        <v>-2147.9</v>
      </c>
      <c r="X874" s="41"/>
      <c r="Y874" s="418">
        <f t="shared" si="356"/>
        <v>489.27</v>
      </c>
      <c r="Z874" s="418">
        <f t="shared" si="357"/>
        <v>-489.27</v>
      </c>
      <c r="AA874" s="11">
        <f t="shared" si="359"/>
        <v>1.7</v>
      </c>
      <c r="AB874" s="9">
        <f t="shared" si="362"/>
        <v>79.899999999999991</v>
      </c>
      <c r="AC874" s="41"/>
      <c r="AD874" s="427">
        <f>IF(AH874&gt;AH873,AD873,IF(AD873&lt;MiscData!$F$1,EOMONTH(AD873,1),EOMONTH(AD873,-11)))</f>
        <v>42308</v>
      </c>
      <c r="AE874" s="414" t="str">
        <f t="shared" si="354"/>
        <v>20140101KUUM_493</v>
      </c>
      <c r="AF874" s="466" t="str">
        <f t="shared" si="355"/>
        <v>20140101LS</v>
      </c>
      <c r="AG874" s="467"/>
      <c r="AH874" s="41">
        <f>IF(AH873=MiscData!$AB$91,1,AH873+1)</f>
        <v>81</v>
      </c>
      <c r="AI874" s="41">
        <f>IF(AD874&lt;=MiscData!$B$23,MiscData!$C$23,IF(AD874&lt;=MiscData!$B$24,MiscData!$C$24,MiscData!$C$25))</f>
        <v>20140101</v>
      </c>
      <c r="AJ874" s="41"/>
      <c r="AK874" s="468" t="str">
        <f>VLOOKUP(AM874,MiscData!$AB$4:$ACB$113,2,FALSE)</f>
        <v>KUUM_493</v>
      </c>
      <c r="AL874" s="468" t="str">
        <f>VLOOKUP(AM874,MiscData!$AB$4:$AE$115,4,FALSE)</f>
        <v>LS</v>
      </c>
      <c r="AM874" s="469">
        <f>IF(AM873=MiscData!$AB$91,1,AM873+1)</f>
        <v>81</v>
      </c>
    </row>
    <row r="875" spans="1:39">
      <c r="A875" s="413">
        <f t="shared" si="358"/>
        <v>874</v>
      </c>
      <c r="B875" s="427" t="str">
        <f t="shared" si="339"/>
        <v>Oct 2015</v>
      </c>
      <c r="C875" s="428" t="str">
        <f t="shared" si="340"/>
        <v>LS</v>
      </c>
      <c r="D875" s="428" t="str">
        <f t="shared" si="341"/>
        <v>KUUM_494</v>
      </c>
      <c r="E875" s="425">
        <f t="shared" si="342"/>
        <v>191</v>
      </c>
      <c r="F875" s="429"/>
      <c r="G875" s="425">
        <f t="shared" si="343"/>
        <v>0</v>
      </c>
      <c r="H875" s="425">
        <v>0</v>
      </c>
      <c r="I875" s="415">
        <f t="shared" si="344"/>
        <v>28.37</v>
      </c>
      <c r="J875" s="415">
        <f t="shared" si="345"/>
        <v>1.9699999999999989</v>
      </c>
      <c r="K875" s="416">
        <f t="shared" si="360"/>
        <v>5418.67</v>
      </c>
      <c r="L875" s="430"/>
      <c r="M875" s="430"/>
      <c r="N875" s="186">
        <f t="shared" si="338"/>
        <v>5418.67</v>
      </c>
      <c r="O875" s="431">
        <f t="shared" si="346"/>
        <v>0</v>
      </c>
      <c r="P875" s="417">
        <f t="shared" si="361"/>
        <v>0</v>
      </c>
      <c r="Q875" s="186">
        <f t="shared" si="347"/>
        <v>0</v>
      </c>
      <c r="R875" s="186">
        <f t="shared" si="348"/>
        <v>0</v>
      </c>
      <c r="S875" s="186">
        <f>SUMIFS(_SBR_ECR,_SBR_Revenue_Month,$B875,_SBR_Rate_Category,$D875)</f>
        <v>0</v>
      </c>
      <c r="T875" s="186">
        <f t="shared" si="350"/>
        <v>0</v>
      </c>
      <c r="U875" s="186">
        <f t="shared" si="351"/>
        <v>0</v>
      </c>
      <c r="V875" s="418">
        <f t="shared" si="352"/>
        <v>5418.67</v>
      </c>
      <c r="W875" s="418">
        <f t="shared" si="353"/>
        <v>-5418.67</v>
      </c>
      <c r="X875" s="41"/>
      <c r="Y875" s="418">
        <f t="shared" si="356"/>
        <v>376.27</v>
      </c>
      <c r="Z875" s="418">
        <f t="shared" si="357"/>
        <v>-376.27</v>
      </c>
      <c r="AA875" s="11">
        <f t="shared" si="359"/>
        <v>0.66</v>
      </c>
      <c r="AB875" s="9">
        <f t="shared" si="362"/>
        <v>126.06</v>
      </c>
      <c r="AC875" s="41"/>
      <c r="AD875" s="427">
        <f>IF(AH875&gt;AH874,AD874,IF(AD874&lt;MiscData!$F$1,EOMONTH(AD874,1),EOMONTH(AD874,-11)))</f>
        <v>42308</v>
      </c>
      <c r="AE875" s="414" t="str">
        <f t="shared" si="354"/>
        <v>20140101KUUM_494</v>
      </c>
      <c r="AF875" s="466" t="str">
        <f t="shared" si="355"/>
        <v>20140101LS</v>
      </c>
      <c r="AG875" s="467"/>
      <c r="AH875" s="41">
        <f>IF(AH874=MiscData!$AB$91,1,AH874+1)</f>
        <v>82</v>
      </c>
      <c r="AI875" s="41">
        <f>IF(AD875&lt;=MiscData!$B$23,MiscData!$C$23,IF(AD875&lt;=MiscData!$B$24,MiscData!$C$24,MiscData!$C$25))</f>
        <v>20140101</v>
      </c>
      <c r="AJ875" s="41"/>
      <c r="AK875" s="468" t="str">
        <f>VLOOKUP(AM875,MiscData!$AB$4:$ACB$113,2,FALSE)</f>
        <v>KUUM_494</v>
      </c>
      <c r="AL875" s="468" t="str">
        <f>VLOOKUP(AM875,MiscData!$AB$4:$AE$115,4,FALSE)</f>
        <v>LS</v>
      </c>
      <c r="AM875" s="469">
        <f>IF(AM874=MiscData!$AB$91,1,AM874+1)</f>
        <v>82</v>
      </c>
    </row>
    <row r="876" spans="1:39">
      <c r="A876" s="413">
        <f t="shared" si="358"/>
        <v>875</v>
      </c>
      <c r="B876" s="427" t="str">
        <f t="shared" si="339"/>
        <v>Oct 2015</v>
      </c>
      <c r="C876" s="428" t="str">
        <f t="shared" si="340"/>
        <v>LS</v>
      </c>
      <c r="D876" s="428" t="str">
        <f t="shared" si="341"/>
        <v>KUUM_495</v>
      </c>
      <c r="E876" s="425">
        <f t="shared" si="342"/>
        <v>624</v>
      </c>
      <c r="F876" s="429"/>
      <c r="G876" s="425">
        <f t="shared" si="343"/>
        <v>0</v>
      </c>
      <c r="H876" s="425">
        <v>0</v>
      </c>
      <c r="I876" s="415">
        <f t="shared" si="344"/>
        <v>34.830000000000005</v>
      </c>
      <c r="J876" s="415">
        <f t="shared" si="345"/>
        <v>4.2899999999999991</v>
      </c>
      <c r="K876" s="416">
        <f t="shared" si="360"/>
        <v>21733.919999999998</v>
      </c>
      <c r="L876" s="430"/>
      <c r="M876" s="430"/>
      <c r="N876" s="186">
        <f t="shared" si="338"/>
        <v>21733.919999999998</v>
      </c>
      <c r="O876" s="431">
        <f t="shared" si="346"/>
        <v>0</v>
      </c>
      <c r="P876" s="417">
        <f t="shared" si="361"/>
        <v>0</v>
      </c>
      <c r="Q876" s="186">
        <f t="shared" si="347"/>
        <v>0</v>
      </c>
      <c r="R876" s="186">
        <f t="shared" si="348"/>
        <v>0</v>
      </c>
      <c r="S876" s="186">
        <f t="shared" si="349"/>
        <v>0</v>
      </c>
      <c r="T876" s="186">
        <f t="shared" si="350"/>
        <v>0</v>
      </c>
      <c r="U876" s="186">
        <f t="shared" si="351"/>
        <v>0</v>
      </c>
      <c r="V876" s="418">
        <f t="shared" si="352"/>
        <v>21733.919999999998</v>
      </c>
      <c r="W876" s="418">
        <f t="shared" si="353"/>
        <v>-21733.919999999998</v>
      </c>
      <c r="X876" s="41"/>
      <c r="Y876" s="418">
        <f t="shared" si="356"/>
        <v>2676.96</v>
      </c>
      <c r="Z876" s="418">
        <f t="shared" si="357"/>
        <v>-2676.96</v>
      </c>
      <c r="AA876" s="11">
        <f t="shared" si="359"/>
        <v>0.84</v>
      </c>
      <c r="AB876" s="9">
        <f t="shared" si="362"/>
        <v>524.16</v>
      </c>
      <c r="AC876" s="41"/>
      <c r="AD876" s="427">
        <f>IF(AH876&gt;AH875,AD875,IF(AD875&lt;MiscData!$F$1,EOMONTH(AD875,1),EOMONTH(AD875,-11)))</f>
        <v>42308</v>
      </c>
      <c r="AE876" s="414" t="str">
        <f t="shared" si="354"/>
        <v>20140101KUUM_495</v>
      </c>
      <c r="AF876" s="466" t="str">
        <f t="shared" si="355"/>
        <v>20140101LS</v>
      </c>
      <c r="AG876" s="467"/>
      <c r="AH876" s="41">
        <f>IF(AH875=MiscData!$AB$91,1,AH875+1)</f>
        <v>83</v>
      </c>
      <c r="AI876" s="41">
        <f>IF(AD876&lt;=MiscData!$B$23,MiscData!$C$23,IF(AD876&lt;=MiscData!$B$24,MiscData!$C$24,MiscData!$C$25))</f>
        <v>20140101</v>
      </c>
      <c r="AJ876" s="41"/>
      <c r="AK876" s="468" t="str">
        <f>VLOOKUP(AM876,MiscData!$AB$4:$ACB$113,2,FALSE)</f>
        <v>KUUM_495</v>
      </c>
      <c r="AL876" s="468" t="str">
        <f>VLOOKUP(AM876,MiscData!$AB$4:$AE$115,4,FALSE)</f>
        <v>LS</v>
      </c>
      <c r="AM876" s="469">
        <f>IF(AM875=MiscData!$AB$91,1,AM875+1)</f>
        <v>83</v>
      </c>
    </row>
    <row r="877" spans="1:39">
      <c r="A877" s="413">
        <f t="shared" si="358"/>
        <v>876</v>
      </c>
      <c r="B877" s="427" t="str">
        <f t="shared" si="339"/>
        <v>Oct 2015</v>
      </c>
      <c r="C877" s="428" t="str">
        <f t="shared" si="340"/>
        <v>LS</v>
      </c>
      <c r="D877" s="428" t="str">
        <f t="shared" si="341"/>
        <v>KUUM_496</v>
      </c>
      <c r="E877" s="425">
        <f t="shared" si="342"/>
        <v>159</v>
      </c>
      <c r="F877" s="429"/>
      <c r="G877" s="425">
        <f t="shared" si="343"/>
        <v>0</v>
      </c>
      <c r="H877" s="425">
        <v>0</v>
      </c>
      <c r="I877" s="415">
        <f t="shared" si="344"/>
        <v>58.59</v>
      </c>
      <c r="J877" s="415">
        <f t="shared" si="345"/>
        <v>10.409999999999997</v>
      </c>
      <c r="K877" s="416">
        <f t="shared" si="360"/>
        <v>9315.81</v>
      </c>
      <c r="L877" s="430"/>
      <c r="M877" s="430"/>
      <c r="N877" s="186">
        <f t="shared" si="338"/>
        <v>9315.81</v>
      </c>
      <c r="O877" s="431">
        <f t="shared" si="346"/>
        <v>0</v>
      </c>
      <c r="P877" s="417">
        <f t="shared" si="361"/>
        <v>0</v>
      </c>
      <c r="Q877" s="186">
        <f t="shared" si="347"/>
        <v>0</v>
      </c>
      <c r="R877" s="186">
        <f t="shared" si="348"/>
        <v>0</v>
      </c>
      <c r="S877" s="186">
        <f t="shared" si="349"/>
        <v>0</v>
      </c>
      <c r="T877" s="186">
        <f t="shared" si="350"/>
        <v>0</v>
      </c>
      <c r="U877" s="186">
        <f t="shared" si="351"/>
        <v>0</v>
      </c>
      <c r="V877" s="418">
        <f t="shared" si="352"/>
        <v>9315.81</v>
      </c>
      <c r="W877" s="418">
        <f t="shared" si="353"/>
        <v>-9315.81</v>
      </c>
      <c r="X877" s="41"/>
      <c r="Y877" s="418">
        <f t="shared" si="356"/>
        <v>1655.19</v>
      </c>
      <c r="Z877" s="418">
        <f t="shared" si="357"/>
        <v>-1655.19</v>
      </c>
      <c r="AA877" s="11">
        <f t="shared" si="359"/>
        <v>1.7</v>
      </c>
      <c r="AB877" s="9">
        <f t="shared" si="362"/>
        <v>270.3</v>
      </c>
      <c r="AC877" s="41"/>
      <c r="AD877" s="427">
        <f>IF(AH877&gt;AH876,AD876,IF(AD876&lt;MiscData!$F$1,EOMONTH(AD876,1),EOMONTH(AD876,-11)))</f>
        <v>42308</v>
      </c>
      <c r="AE877" s="414" t="str">
        <f t="shared" si="354"/>
        <v>20140101KUUM_496</v>
      </c>
      <c r="AF877" s="466" t="str">
        <f t="shared" si="355"/>
        <v>20140101LS</v>
      </c>
      <c r="AG877" s="467"/>
      <c r="AH877" s="41">
        <f>IF(AH876=MiscData!$AB$91,1,AH876+1)</f>
        <v>84</v>
      </c>
      <c r="AI877" s="41">
        <f>IF(AD877&lt;=MiscData!$B$23,MiscData!$C$23,IF(AD877&lt;=MiscData!$B$24,MiscData!$C$24,MiscData!$C$25))</f>
        <v>20140101</v>
      </c>
      <c r="AJ877" s="41"/>
      <c r="AK877" s="468" t="str">
        <f>VLOOKUP(AM877,MiscData!$AB$4:$ACB$113,2,FALSE)</f>
        <v>KUUM_496</v>
      </c>
      <c r="AL877" s="468" t="str">
        <f>VLOOKUP(AM877,MiscData!$AB$4:$AE$115,4,FALSE)</f>
        <v>LS</v>
      </c>
      <c r="AM877" s="469">
        <f>IF(AM876=MiscData!$AB$91,1,AM876+1)</f>
        <v>84</v>
      </c>
    </row>
    <row r="878" spans="1:39">
      <c r="A878" s="413">
        <f t="shared" si="358"/>
        <v>877</v>
      </c>
      <c r="B878" s="427" t="str">
        <f t="shared" si="339"/>
        <v>Oct 2015</v>
      </c>
      <c r="C878" s="428" t="str">
        <f t="shared" si="340"/>
        <v>LS</v>
      </c>
      <c r="D878" s="428" t="str">
        <f t="shared" si="341"/>
        <v>KUUM_497</v>
      </c>
      <c r="E878" s="425">
        <f t="shared" si="342"/>
        <v>7</v>
      </c>
      <c r="F878" s="429"/>
      <c r="G878" s="425">
        <f t="shared" si="343"/>
        <v>0</v>
      </c>
      <c r="H878" s="425">
        <v>0</v>
      </c>
      <c r="I878" s="415">
        <f t="shared" si="344"/>
        <v>15.35</v>
      </c>
      <c r="J878" s="415">
        <f t="shared" si="345"/>
        <v>1.1300000000000008</v>
      </c>
      <c r="K878" s="416">
        <f t="shared" si="360"/>
        <v>107.45</v>
      </c>
      <c r="L878" s="430"/>
      <c r="M878" s="430"/>
      <c r="N878" s="186">
        <f t="shared" si="338"/>
        <v>107.45</v>
      </c>
      <c r="O878" s="431">
        <f t="shared" si="346"/>
        <v>0</v>
      </c>
      <c r="P878" s="417">
        <f t="shared" si="361"/>
        <v>0</v>
      </c>
      <c r="Q878" s="186">
        <f t="shared" si="347"/>
        <v>0</v>
      </c>
      <c r="R878" s="186">
        <f t="shared" si="348"/>
        <v>0</v>
      </c>
      <c r="S878" s="186">
        <f t="shared" si="349"/>
        <v>0</v>
      </c>
      <c r="T878" s="186">
        <f t="shared" si="350"/>
        <v>0</v>
      </c>
      <c r="U878" s="186">
        <f t="shared" si="351"/>
        <v>0</v>
      </c>
      <c r="V878" s="418">
        <f t="shared" si="352"/>
        <v>107.45</v>
      </c>
      <c r="W878" s="418">
        <f t="shared" si="353"/>
        <v>-107.45</v>
      </c>
      <c r="X878" s="41"/>
      <c r="Y878" s="418">
        <f t="shared" si="356"/>
        <v>7.91</v>
      </c>
      <c r="Z878" s="418">
        <f t="shared" si="357"/>
        <v>-7.91</v>
      </c>
      <c r="AA878" s="11">
        <f t="shared" si="359"/>
        <v>0.34</v>
      </c>
      <c r="AB878" s="9">
        <f t="shared" si="362"/>
        <v>2.3800000000000003</v>
      </c>
      <c r="AC878" s="41"/>
      <c r="AD878" s="427">
        <f>IF(AH878&gt;AH877,AD877,IF(AD877&lt;MiscData!$F$1,EOMONTH(AD877,1),EOMONTH(AD877,-11)))</f>
        <v>42308</v>
      </c>
      <c r="AE878" s="414" t="str">
        <f t="shared" si="354"/>
        <v>20140101KUUM_497</v>
      </c>
      <c r="AF878" s="466" t="str">
        <f t="shared" si="355"/>
        <v>20140101LS</v>
      </c>
      <c r="AG878" s="467"/>
      <c r="AH878" s="41">
        <f>IF(AH877=MiscData!$AB$91,1,AH877+1)</f>
        <v>85</v>
      </c>
      <c r="AI878" s="41">
        <f>IF(AD878&lt;=MiscData!$B$23,MiscData!$C$23,IF(AD878&lt;=MiscData!$B$24,MiscData!$C$24,MiscData!$C$25))</f>
        <v>20140101</v>
      </c>
      <c r="AJ878" s="41"/>
      <c r="AK878" s="468" t="str">
        <f>VLOOKUP(AM878,MiscData!$AB$4:$ACB$113,2,FALSE)</f>
        <v>KUUM_497</v>
      </c>
      <c r="AL878" s="468" t="str">
        <f>VLOOKUP(AM878,MiscData!$AB$4:$AE$115,4,FALSE)</f>
        <v>LS</v>
      </c>
      <c r="AM878" s="469">
        <f>IF(AM877=MiscData!$AB$91,1,AM877+1)</f>
        <v>85</v>
      </c>
    </row>
    <row r="879" spans="1:39">
      <c r="A879" s="413">
        <f t="shared" si="358"/>
        <v>878</v>
      </c>
      <c r="B879" s="427" t="str">
        <f t="shared" si="339"/>
        <v>Oct 2015</v>
      </c>
      <c r="C879" s="428" t="str">
        <f t="shared" si="340"/>
        <v>LS</v>
      </c>
      <c r="D879" s="428" t="str">
        <f t="shared" si="341"/>
        <v>KUUM_498</v>
      </c>
      <c r="E879" s="425">
        <f t="shared" si="342"/>
        <v>20</v>
      </c>
      <c r="F879" s="429"/>
      <c r="G879" s="425">
        <f t="shared" si="343"/>
        <v>0</v>
      </c>
      <c r="H879" s="425">
        <v>0</v>
      </c>
      <c r="I879" s="415">
        <f t="shared" si="344"/>
        <v>17.72</v>
      </c>
      <c r="J879" s="415">
        <f t="shared" si="345"/>
        <v>2.33</v>
      </c>
      <c r="K879" s="416">
        <f t="shared" si="360"/>
        <v>354.4</v>
      </c>
      <c r="L879" s="430"/>
      <c r="M879" s="430"/>
      <c r="N879" s="186">
        <f t="shared" si="338"/>
        <v>354.4</v>
      </c>
      <c r="O879" s="431">
        <f t="shared" si="346"/>
        <v>0</v>
      </c>
      <c r="P879" s="417">
        <f t="shared" si="361"/>
        <v>0</v>
      </c>
      <c r="Q879" s="186">
        <f t="shared" si="347"/>
        <v>0</v>
      </c>
      <c r="R879" s="186">
        <f t="shared" si="348"/>
        <v>0</v>
      </c>
      <c r="S879" s="186">
        <f t="shared" si="349"/>
        <v>0</v>
      </c>
      <c r="T879" s="186">
        <f t="shared" si="350"/>
        <v>0</v>
      </c>
      <c r="U879" s="186">
        <f t="shared" si="351"/>
        <v>0</v>
      </c>
      <c r="V879" s="418">
        <f t="shared" si="352"/>
        <v>354.4</v>
      </c>
      <c r="W879" s="418">
        <f t="shared" si="353"/>
        <v>-354.4</v>
      </c>
      <c r="X879" s="41"/>
      <c r="Y879" s="418">
        <f t="shared" si="356"/>
        <v>46.6</v>
      </c>
      <c r="Z879" s="418">
        <f t="shared" si="357"/>
        <v>-46.6</v>
      </c>
      <c r="AA879" s="11">
        <f t="shared" si="359"/>
        <v>0.57999999999999996</v>
      </c>
      <c r="AB879" s="9">
        <f t="shared" si="362"/>
        <v>11.6</v>
      </c>
      <c r="AC879" s="41"/>
      <c r="AD879" s="427">
        <f>IF(AH879&gt;AH878,AD878,IF(AD878&lt;MiscData!$F$1,EOMONTH(AD878,1),EOMONTH(AD878,-11)))</f>
        <v>42308</v>
      </c>
      <c r="AE879" s="414" t="str">
        <f t="shared" si="354"/>
        <v>20140101KUUM_498</v>
      </c>
      <c r="AF879" s="466" t="str">
        <f t="shared" si="355"/>
        <v>20140101LS</v>
      </c>
      <c r="AG879" s="467"/>
      <c r="AH879" s="41">
        <f>IF(AH878=MiscData!$AB$91,1,AH878+1)</f>
        <v>86</v>
      </c>
      <c r="AI879" s="41">
        <f>IF(AD879&lt;=MiscData!$B$23,MiscData!$C$23,IF(AD879&lt;=MiscData!$B$24,MiscData!$C$24,MiscData!$C$25))</f>
        <v>20140101</v>
      </c>
      <c r="AJ879" s="41"/>
      <c r="AK879" s="468" t="str">
        <f>VLOOKUP(AM879,MiscData!$AB$4:$ACB$113,2,FALSE)</f>
        <v>KUUM_498</v>
      </c>
      <c r="AL879" s="468" t="str">
        <f>VLOOKUP(AM879,MiscData!$AB$4:$AE$115,4,FALSE)</f>
        <v>LS</v>
      </c>
      <c r="AM879" s="469">
        <f>IF(AM878=MiscData!$AB$91,1,AM878+1)</f>
        <v>86</v>
      </c>
    </row>
    <row r="880" spans="1:39">
      <c r="A880" s="413">
        <f t="shared" si="358"/>
        <v>879</v>
      </c>
      <c r="B880" s="427" t="str">
        <f t="shared" si="339"/>
        <v>Oct 2015</v>
      </c>
      <c r="C880" s="428" t="str">
        <f t="shared" si="340"/>
        <v>LS</v>
      </c>
      <c r="D880" s="428" t="str">
        <f t="shared" si="341"/>
        <v>KUUM_499</v>
      </c>
      <c r="E880" s="425">
        <f t="shared" si="342"/>
        <v>22</v>
      </c>
      <c r="F880" s="429"/>
      <c r="G880" s="425">
        <f t="shared" si="343"/>
        <v>0</v>
      </c>
      <c r="H880" s="425">
        <v>0</v>
      </c>
      <c r="I880" s="415">
        <f t="shared" si="344"/>
        <v>21.490000000000002</v>
      </c>
      <c r="J880" s="415">
        <f t="shared" si="345"/>
        <v>4.5300000000000011</v>
      </c>
      <c r="K880" s="416">
        <f t="shared" si="360"/>
        <v>472.78</v>
      </c>
      <c r="L880" s="430"/>
      <c r="M880" s="430"/>
      <c r="N880" s="186">
        <f t="shared" si="338"/>
        <v>472.78</v>
      </c>
      <c r="O880" s="431">
        <f t="shared" si="346"/>
        <v>0</v>
      </c>
      <c r="P880" s="417">
        <f t="shared" si="361"/>
        <v>0</v>
      </c>
      <c r="Q880" s="186">
        <f t="shared" si="347"/>
        <v>0</v>
      </c>
      <c r="R880" s="186">
        <f t="shared" si="348"/>
        <v>0</v>
      </c>
      <c r="S880" s="186">
        <f t="shared" si="349"/>
        <v>0</v>
      </c>
      <c r="T880" s="186">
        <f t="shared" si="350"/>
        <v>0</v>
      </c>
      <c r="U880" s="186">
        <f t="shared" si="351"/>
        <v>0</v>
      </c>
      <c r="V880" s="418">
        <f t="shared" si="352"/>
        <v>472.78</v>
      </c>
      <c r="W880" s="418">
        <f t="shared" si="353"/>
        <v>-472.78</v>
      </c>
      <c r="X880" s="41"/>
      <c r="Y880" s="418">
        <f t="shared" si="356"/>
        <v>99.66</v>
      </c>
      <c r="Z880" s="418">
        <f t="shared" si="357"/>
        <v>-99.66</v>
      </c>
      <c r="AA880" s="11">
        <f t="shared" si="359"/>
        <v>0.79</v>
      </c>
      <c r="AB880" s="9">
        <f t="shared" si="362"/>
        <v>17.380000000000003</v>
      </c>
      <c r="AC880" s="41"/>
      <c r="AD880" s="427">
        <f>IF(AH880&gt;AH879,AD879,IF(AD879&lt;MiscData!$F$1,EOMONTH(AD879,1),EOMONTH(AD879,-11)))</f>
        <v>42308</v>
      </c>
      <c r="AE880" s="414" t="str">
        <f t="shared" si="354"/>
        <v>20140101KUUM_499</v>
      </c>
      <c r="AF880" s="466" t="str">
        <f t="shared" si="355"/>
        <v>20140101LS</v>
      </c>
      <c r="AG880" s="467"/>
      <c r="AH880" s="41">
        <f>IF(AH879=MiscData!$AB$91,1,AH879+1)</f>
        <v>87</v>
      </c>
      <c r="AI880" s="41">
        <f>IF(AD880&lt;=MiscData!$B$23,MiscData!$C$23,IF(AD880&lt;=MiscData!$B$24,MiscData!$C$24,MiscData!$C$25))</f>
        <v>20140101</v>
      </c>
      <c r="AJ880" s="41"/>
      <c r="AK880" s="468" t="str">
        <f>VLOOKUP(AM880,MiscData!$AB$4:$ACB$113,2,FALSE)</f>
        <v>KUUM_499</v>
      </c>
      <c r="AL880" s="468" t="str">
        <f>VLOOKUP(AM880,MiscData!$AB$4:$AE$115,4,FALSE)</f>
        <v>LS</v>
      </c>
      <c r="AM880" s="469">
        <f>IF(AM879=MiscData!$AB$91,1,AM879+1)</f>
        <v>87</v>
      </c>
    </row>
    <row r="881" spans="1:39">
      <c r="A881" s="413">
        <f t="shared" si="358"/>
        <v>880</v>
      </c>
      <c r="B881" s="427" t="str">
        <f t="shared" si="339"/>
        <v>Oct 2015</v>
      </c>
      <c r="C881" s="428" t="str">
        <f t="shared" si="340"/>
        <v>ODL</v>
      </c>
      <c r="D881" s="428" t="str">
        <f t="shared" si="341"/>
        <v>ODL</v>
      </c>
      <c r="E881" s="425">
        <f t="shared" si="342"/>
        <v>0</v>
      </c>
      <c r="F881" s="185"/>
      <c r="G881" s="170">
        <f t="shared" si="343"/>
        <v>10338471</v>
      </c>
      <c r="H881" s="170">
        <v>0</v>
      </c>
      <c r="I881" s="415">
        <f t="shared" si="344"/>
        <v>0</v>
      </c>
      <c r="J881" s="415">
        <f t="shared" si="345"/>
        <v>0</v>
      </c>
      <c r="K881" s="416">
        <f t="shared" si="360"/>
        <v>0</v>
      </c>
      <c r="L881" s="180"/>
      <c r="M881" s="180"/>
      <c r="N881" s="186">
        <f t="shared" si="338"/>
        <v>0</v>
      </c>
      <c r="O881" s="431">
        <f t="shared" si="346"/>
        <v>2094086</v>
      </c>
      <c r="P881" s="417">
        <f t="shared" si="361"/>
        <v>0</v>
      </c>
      <c r="Q881" s="186">
        <f t="shared" si="347"/>
        <v>24506</v>
      </c>
      <c r="R881" s="186">
        <f t="shared" si="348"/>
        <v>0</v>
      </c>
      <c r="S881" s="186">
        <f t="shared" si="349"/>
        <v>64587</v>
      </c>
      <c r="T881" s="186">
        <f t="shared" si="350"/>
        <v>0</v>
      </c>
      <c r="U881" s="186">
        <f t="shared" si="351"/>
        <v>2183179</v>
      </c>
      <c r="V881" s="418">
        <f t="shared" si="352"/>
        <v>89093</v>
      </c>
      <c r="W881" s="418">
        <f t="shared" si="353"/>
        <v>2094086</v>
      </c>
      <c r="X881" s="41"/>
      <c r="Y881" s="418">
        <f t="shared" si="356"/>
        <v>0</v>
      </c>
      <c r="Z881" s="418">
        <f t="shared" si="357"/>
        <v>2094086</v>
      </c>
      <c r="AA881" s="11">
        <f t="shared" si="359"/>
        <v>0</v>
      </c>
      <c r="AB881" s="9">
        <f t="shared" si="362"/>
        <v>0</v>
      </c>
      <c r="AC881" s="41"/>
      <c r="AD881" s="427">
        <f>IF(AH881&gt;AH880,AD880,IF(AD880&lt;MiscData!$F$1,EOMONTH(AD880,1),EOMONTH(AD880,-11)))</f>
        <v>42308</v>
      </c>
      <c r="AE881" s="414" t="str">
        <f t="shared" si="354"/>
        <v>20140101ODL</v>
      </c>
      <c r="AF881" s="466" t="str">
        <f t="shared" si="355"/>
        <v>20140101ODL</v>
      </c>
      <c r="AG881" s="467"/>
      <c r="AH881" s="41">
        <f>IF(AH880=MiscData!$AB$91,1,AH880+1)</f>
        <v>88</v>
      </c>
      <c r="AI881" s="41">
        <f>IF(AD881&lt;=MiscData!$B$23,MiscData!$C$23,IF(AD881&lt;=MiscData!$B$24,MiscData!$C$24,MiscData!$C$25))</f>
        <v>20140101</v>
      </c>
      <c r="AJ881" s="41"/>
      <c r="AK881" s="468" t="str">
        <f>VLOOKUP(AM881,MiscData!$AB$4:$ACB$113,2,FALSE)</f>
        <v>ODL</v>
      </c>
      <c r="AL881" s="468" t="str">
        <f>VLOOKUP(AM881,MiscData!$AB$4:$AE$115,4,FALSE)</f>
        <v>ODL</v>
      </c>
      <c r="AM881" s="469">
        <f>IF(AM880=MiscData!$AB$91,1,AM880+1)</f>
        <v>88</v>
      </c>
    </row>
    <row r="882" spans="1:39">
      <c r="A882" s="7">
        <f t="shared" si="358"/>
        <v>881</v>
      </c>
      <c r="B882" s="13" t="str">
        <f t="shared" si="339"/>
        <v>Nov 2015</v>
      </c>
      <c r="C882" s="23" t="str">
        <f t="shared" si="340"/>
        <v>LS</v>
      </c>
      <c r="D882" s="23" t="str">
        <f t="shared" si="341"/>
        <v>KUUM_300</v>
      </c>
      <c r="E882" s="170">
        <f t="shared" si="342"/>
        <v>0</v>
      </c>
      <c r="F882" s="185"/>
      <c r="G882" s="170">
        <f t="shared" si="343"/>
        <v>0</v>
      </c>
      <c r="H882" s="170">
        <v>0</v>
      </c>
      <c r="I882" s="11">
        <f t="shared" si="344"/>
        <v>22.49</v>
      </c>
      <c r="J882" s="11">
        <f t="shared" si="345"/>
        <v>0.58000000000000185</v>
      </c>
      <c r="K882" s="416">
        <f t="shared" si="360"/>
        <v>0</v>
      </c>
      <c r="L882" s="180"/>
      <c r="M882" s="180"/>
      <c r="N882" s="186">
        <f t="shared" si="338"/>
        <v>0</v>
      </c>
      <c r="O882" s="29">
        <f t="shared" si="346"/>
        <v>0</v>
      </c>
      <c r="P882" s="181">
        <f t="shared" si="361"/>
        <v>1</v>
      </c>
      <c r="Q882" s="182">
        <f t="shared" si="347"/>
        <v>0</v>
      </c>
      <c r="R882" s="182">
        <f t="shared" si="348"/>
        <v>0</v>
      </c>
      <c r="S882" s="182">
        <f t="shared" si="349"/>
        <v>0</v>
      </c>
      <c r="T882" s="182">
        <f t="shared" si="350"/>
        <v>0</v>
      </c>
      <c r="U882" s="182">
        <f t="shared" si="351"/>
        <v>0</v>
      </c>
      <c r="V882" s="14">
        <f t="shared" si="352"/>
        <v>0</v>
      </c>
      <c r="W882" s="14">
        <f t="shared" si="353"/>
        <v>0</v>
      </c>
      <c r="Y882" s="14">
        <f t="shared" si="356"/>
        <v>0</v>
      </c>
      <c r="Z882" s="14">
        <f t="shared" si="357"/>
        <v>0</v>
      </c>
      <c r="AA882" s="11">
        <f t="shared" si="359"/>
        <v>0.33</v>
      </c>
      <c r="AB882" s="9">
        <f t="shared" si="362"/>
        <v>0</v>
      </c>
      <c r="AD882" s="13">
        <f>IF(AH882&gt;AH881,AD881,IF(AD881&lt;MiscData!$F$1,EOMONTH(AD881,1),EOMONTH(AD881,-11)))</f>
        <v>42338</v>
      </c>
      <c r="AE882" s="7" t="str">
        <f t="shared" si="354"/>
        <v>20140101KUUM_300</v>
      </c>
      <c r="AF882" s="12" t="str">
        <f t="shared" si="355"/>
        <v>20140101LS</v>
      </c>
      <c r="AG882" s="31"/>
      <c r="AH882">
        <f>IF(AH881=MiscData!$AB$91,1,AH881+1)</f>
        <v>1</v>
      </c>
      <c r="AI882">
        <f>IF(AD882&lt;=MiscData!$B$23,MiscData!$C$23,IF(AD882&lt;=MiscData!$B$24,MiscData!$C$24,MiscData!$C$25))</f>
        <v>20140101</v>
      </c>
      <c r="AK882" s="190" t="str">
        <f>VLOOKUP(AM882,MiscData!$AB$4:$ACB$113,2,FALSE)</f>
        <v>KUUM_300</v>
      </c>
      <c r="AL882" s="190" t="str">
        <f>VLOOKUP(AM882,MiscData!$AB$4:$AE$115,4,FALSE)</f>
        <v>LS</v>
      </c>
      <c r="AM882">
        <f>IF(AM881=MiscData!$AB$91,1,AM881+1)</f>
        <v>1</v>
      </c>
    </row>
    <row r="883" spans="1:39">
      <c r="A883" s="7">
        <f t="shared" si="358"/>
        <v>882</v>
      </c>
      <c r="B883" s="13" t="str">
        <f t="shared" si="339"/>
        <v>Nov 2015</v>
      </c>
      <c r="C883" s="23" t="str">
        <f t="shared" si="340"/>
        <v>LS</v>
      </c>
      <c r="D883" s="23" t="str">
        <f t="shared" si="341"/>
        <v>KUUM_301</v>
      </c>
      <c r="E883" s="170">
        <f t="shared" si="342"/>
        <v>0</v>
      </c>
      <c r="F883" s="185"/>
      <c r="G883" s="170">
        <f t="shared" si="343"/>
        <v>0</v>
      </c>
      <c r="H883" s="170">
        <v>0</v>
      </c>
      <c r="I883" s="11">
        <f t="shared" si="344"/>
        <v>23.5</v>
      </c>
      <c r="J883" s="11">
        <f t="shared" si="345"/>
        <v>1.129999999999999</v>
      </c>
      <c r="K883" s="416">
        <f t="shared" si="360"/>
        <v>0</v>
      </c>
      <c r="L883" s="180"/>
      <c r="M883" s="180"/>
      <c r="N883" s="186">
        <f t="shared" si="338"/>
        <v>0</v>
      </c>
      <c r="O883" s="29">
        <f t="shared" si="346"/>
        <v>0</v>
      </c>
      <c r="P883" s="181">
        <f t="shared" si="361"/>
        <v>1</v>
      </c>
      <c r="Q883" s="182">
        <f t="shared" si="347"/>
        <v>0</v>
      </c>
      <c r="R883" s="182">
        <f t="shared" si="348"/>
        <v>0</v>
      </c>
      <c r="S883" s="182">
        <f t="shared" si="349"/>
        <v>0</v>
      </c>
      <c r="T883" s="182">
        <f t="shared" si="350"/>
        <v>0</v>
      </c>
      <c r="U883" s="182">
        <f t="shared" si="351"/>
        <v>0</v>
      </c>
      <c r="V883" s="14">
        <f t="shared" si="352"/>
        <v>0</v>
      </c>
      <c r="W883" s="14">
        <f t="shared" si="353"/>
        <v>0</v>
      </c>
      <c r="Y883" s="14">
        <f t="shared" si="356"/>
        <v>0</v>
      </c>
      <c r="Z883" s="14">
        <f t="shared" si="357"/>
        <v>0</v>
      </c>
      <c r="AA883" s="11">
        <f t="shared" si="359"/>
        <v>0.34</v>
      </c>
      <c r="AB883" s="9">
        <f t="shared" si="362"/>
        <v>0</v>
      </c>
      <c r="AD883" s="13">
        <f>IF(AH883&gt;AH882,AD882,IF(AD882&lt;MiscData!$F$1,EOMONTH(AD882,1),EOMONTH(AD882,-11)))</f>
        <v>42338</v>
      </c>
      <c r="AE883" s="7" t="str">
        <f t="shared" si="354"/>
        <v>20140101KUUM_301</v>
      </c>
      <c r="AF883" s="12" t="str">
        <f t="shared" si="355"/>
        <v>20140101LS</v>
      </c>
      <c r="AG883" s="31"/>
      <c r="AH883">
        <f>IF(AH882=MiscData!$AB$91,1,AH882+1)</f>
        <v>2</v>
      </c>
      <c r="AI883">
        <f>IF(AD883&lt;=MiscData!$B$23,MiscData!$C$23,IF(AD883&lt;=MiscData!$B$24,MiscData!$C$24,MiscData!$C$25))</f>
        <v>20140101</v>
      </c>
      <c r="AK883" s="190" t="str">
        <f>VLOOKUP(AM883,MiscData!$AB$4:$ACB$113,2,FALSE)</f>
        <v>KUUM_301</v>
      </c>
      <c r="AL883" s="190" t="str">
        <f>VLOOKUP(AM883,MiscData!$AB$4:$AE$115,4,FALSE)</f>
        <v>LS</v>
      </c>
      <c r="AM883">
        <f>IF(AM882=MiscData!$AB$91,1,AM882+1)</f>
        <v>2</v>
      </c>
    </row>
    <row r="884" spans="1:39">
      <c r="A884" s="7">
        <f t="shared" si="358"/>
        <v>883</v>
      </c>
      <c r="B884" s="13" t="str">
        <f t="shared" si="339"/>
        <v>Nov 2015</v>
      </c>
      <c r="C884" s="23" t="str">
        <f t="shared" si="340"/>
        <v>LS</v>
      </c>
      <c r="D884" s="23" t="str">
        <f t="shared" si="341"/>
        <v>KUUM_360</v>
      </c>
      <c r="E884" s="170">
        <f t="shared" si="342"/>
        <v>172</v>
      </c>
      <c r="F884" s="185"/>
      <c r="G884" s="170">
        <f t="shared" si="343"/>
        <v>0</v>
      </c>
      <c r="H884" s="170">
        <v>0</v>
      </c>
      <c r="I884" s="11">
        <f t="shared" si="344"/>
        <v>55.33</v>
      </c>
      <c r="J884" s="11">
        <f t="shared" si="345"/>
        <v>1.75</v>
      </c>
      <c r="K884" s="416">
        <f t="shared" si="360"/>
        <v>9516.76</v>
      </c>
      <c r="L884" s="180"/>
      <c r="M884" s="180"/>
      <c r="N884" s="186">
        <f t="shared" si="338"/>
        <v>9516.76</v>
      </c>
      <c r="O884" s="29">
        <f t="shared" si="346"/>
        <v>0</v>
      </c>
      <c r="P884" s="181">
        <f t="shared" si="361"/>
        <v>0</v>
      </c>
      <c r="Q884" s="182">
        <f t="shared" si="347"/>
        <v>0</v>
      </c>
      <c r="R884" s="182">
        <f t="shared" si="348"/>
        <v>0</v>
      </c>
      <c r="S884" s="182">
        <f t="shared" si="349"/>
        <v>0</v>
      </c>
      <c r="T884" s="182">
        <f t="shared" si="350"/>
        <v>0</v>
      </c>
      <c r="U884" s="182">
        <f t="shared" si="351"/>
        <v>0</v>
      </c>
      <c r="V884" s="14">
        <f t="shared" si="352"/>
        <v>9516.76</v>
      </c>
      <c r="W884" s="14">
        <f t="shared" si="353"/>
        <v>-9516.76</v>
      </c>
      <c r="Y884" s="14">
        <f t="shared" si="356"/>
        <v>301</v>
      </c>
      <c r="Z884" s="14">
        <f t="shared" si="357"/>
        <v>-301</v>
      </c>
      <c r="AA884" s="11">
        <f t="shared" si="359"/>
        <v>2.41</v>
      </c>
      <c r="AB884" s="9">
        <f t="shared" si="362"/>
        <v>414.52000000000004</v>
      </c>
      <c r="AD884" s="13">
        <f>IF(AH884&gt;AH883,AD883,IF(AD883&lt;MiscData!$F$1,EOMONTH(AD883,1),EOMONTH(AD883,-11)))</f>
        <v>42338</v>
      </c>
      <c r="AE884" s="7" t="str">
        <f t="shared" si="354"/>
        <v>20140101KUUM_360</v>
      </c>
      <c r="AF884" s="12" t="str">
        <f t="shared" si="355"/>
        <v>20140101LS</v>
      </c>
      <c r="AG884" s="31"/>
      <c r="AH884">
        <f>IF(AH883=MiscData!$AB$91,1,AH883+1)</f>
        <v>3</v>
      </c>
      <c r="AI884">
        <f>IF(AD884&lt;=MiscData!$B$23,MiscData!$C$23,IF(AD884&lt;=MiscData!$B$24,MiscData!$C$24,MiscData!$C$25))</f>
        <v>20140101</v>
      </c>
      <c r="AK884" s="190" t="str">
        <f>VLOOKUP(AM884,MiscData!$AB$4:$ACB$113,2,FALSE)</f>
        <v>KUUM_360</v>
      </c>
      <c r="AL884" s="190" t="str">
        <f>VLOOKUP(AM884,MiscData!$AB$4:$AE$115,4,FALSE)</f>
        <v>LS</v>
      </c>
      <c r="AM884">
        <f>IF(AM883=MiscData!$AB$91,1,AM883+1)</f>
        <v>3</v>
      </c>
    </row>
    <row r="885" spans="1:39">
      <c r="A885" s="7">
        <f t="shared" si="358"/>
        <v>884</v>
      </c>
      <c r="B885" s="13" t="str">
        <f t="shared" si="339"/>
        <v>Nov 2015</v>
      </c>
      <c r="C885" s="23" t="str">
        <f t="shared" si="340"/>
        <v>LS</v>
      </c>
      <c r="D885" s="23" t="str">
        <f t="shared" si="341"/>
        <v>KUUM_361</v>
      </c>
      <c r="E885" s="170">
        <f t="shared" si="342"/>
        <v>26</v>
      </c>
      <c r="F885" s="185"/>
      <c r="G885" s="170">
        <f t="shared" si="343"/>
        <v>0</v>
      </c>
      <c r="H885" s="170">
        <v>0</v>
      </c>
      <c r="I885" s="11">
        <f t="shared" si="344"/>
        <v>83.16</v>
      </c>
      <c r="J885" s="11">
        <f t="shared" si="345"/>
        <v>1.75</v>
      </c>
      <c r="K885" s="416">
        <f t="shared" si="360"/>
        <v>2162.16</v>
      </c>
      <c r="L885" s="180"/>
      <c r="M885" s="180"/>
      <c r="N885" s="186">
        <f t="shared" si="338"/>
        <v>2162.16</v>
      </c>
      <c r="O885" s="29">
        <f t="shared" si="346"/>
        <v>0</v>
      </c>
      <c r="P885" s="181">
        <f t="shared" si="361"/>
        <v>0</v>
      </c>
      <c r="Q885" s="182">
        <f t="shared" si="347"/>
        <v>0</v>
      </c>
      <c r="R885" s="182">
        <f t="shared" si="348"/>
        <v>0</v>
      </c>
      <c r="S885" s="182">
        <f t="shared" si="349"/>
        <v>0</v>
      </c>
      <c r="T885" s="182">
        <f t="shared" si="350"/>
        <v>0</v>
      </c>
      <c r="U885" s="182">
        <f t="shared" si="351"/>
        <v>0</v>
      </c>
      <c r="V885" s="14">
        <f t="shared" si="352"/>
        <v>2162.16</v>
      </c>
      <c r="W885" s="14">
        <f t="shared" si="353"/>
        <v>-2162.16</v>
      </c>
      <c r="Y885" s="14">
        <f t="shared" si="356"/>
        <v>45.5</v>
      </c>
      <c r="Z885" s="14">
        <f t="shared" si="357"/>
        <v>-45.5</v>
      </c>
      <c r="AA885" s="11">
        <f t="shared" si="359"/>
        <v>2.41</v>
      </c>
      <c r="AB885" s="9">
        <f t="shared" si="362"/>
        <v>62.660000000000004</v>
      </c>
      <c r="AD885" s="13">
        <f>IF(AH885&gt;AH884,AD884,IF(AD884&lt;MiscData!$F$1,EOMONTH(AD884,1),EOMONTH(AD884,-11)))</f>
        <v>42338</v>
      </c>
      <c r="AE885" s="7" t="str">
        <f t="shared" si="354"/>
        <v>20140101KUUM_361</v>
      </c>
      <c r="AF885" s="12" t="str">
        <f t="shared" si="355"/>
        <v>20140101LS</v>
      </c>
      <c r="AG885" s="31"/>
      <c r="AH885">
        <f>IF(AH884=MiscData!$AB$91,1,AH884+1)</f>
        <v>4</v>
      </c>
      <c r="AI885">
        <f>IF(AD885&lt;=MiscData!$B$23,MiscData!$C$23,IF(AD885&lt;=MiscData!$B$24,MiscData!$C$24,MiscData!$C$25))</f>
        <v>20140101</v>
      </c>
      <c r="AK885" s="190" t="str">
        <f>VLOOKUP(AM885,MiscData!$AB$4:$ACB$113,2,FALSE)</f>
        <v>KUUM_361</v>
      </c>
      <c r="AL885" s="190" t="str">
        <f>VLOOKUP(AM885,MiscData!$AB$4:$AE$115,4,FALSE)</f>
        <v>LS</v>
      </c>
      <c r="AM885">
        <f>IF(AM884=MiscData!$AB$91,1,AM884+1)</f>
        <v>4</v>
      </c>
    </row>
    <row r="886" spans="1:39">
      <c r="A886" s="7">
        <f t="shared" si="358"/>
        <v>885</v>
      </c>
      <c r="B886" s="13" t="str">
        <f t="shared" si="339"/>
        <v>Nov 2015</v>
      </c>
      <c r="C886" s="23" t="str">
        <f t="shared" si="340"/>
        <v>LS</v>
      </c>
      <c r="D886" s="23" t="str">
        <f t="shared" si="341"/>
        <v>KUUM_362</v>
      </c>
      <c r="E886" s="170">
        <f t="shared" si="342"/>
        <v>44</v>
      </c>
      <c r="F886" s="185"/>
      <c r="G886" s="170">
        <f t="shared" si="343"/>
        <v>0</v>
      </c>
      <c r="H886" s="170">
        <v>0</v>
      </c>
      <c r="I886" s="11">
        <f t="shared" si="344"/>
        <v>59.78</v>
      </c>
      <c r="J886" s="11">
        <f t="shared" si="345"/>
        <v>1.75</v>
      </c>
      <c r="K886" s="416">
        <f t="shared" si="360"/>
        <v>2630.32</v>
      </c>
      <c r="L886" s="180"/>
      <c r="M886" s="180"/>
      <c r="N886" s="186">
        <f t="shared" si="338"/>
        <v>2630.32</v>
      </c>
      <c r="O886" s="29">
        <f t="shared" si="346"/>
        <v>0</v>
      </c>
      <c r="P886" s="181">
        <f t="shared" si="361"/>
        <v>0</v>
      </c>
      <c r="Q886" s="182">
        <f t="shared" si="347"/>
        <v>0</v>
      </c>
      <c r="R886" s="182">
        <f t="shared" si="348"/>
        <v>0</v>
      </c>
      <c r="S886" s="182">
        <f t="shared" si="349"/>
        <v>0</v>
      </c>
      <c r="T886" s="182">
        <f t="shared" si="350"/>
        <v>0</v>
      </c>
      <c r="U886" s="182">
        <f t="shared" si="351"/>
        <v>0</v>
      </c>
      <c r="V886" s="14">
        <f t="shared" si="352"/>
        <v>2630.32</v>
      </c>
      <c r="W886" s="14">
        <f t="shared" si="353"/>
        <v>-2630.32</v>
      </c>
      <c r="Y886" s="14">
        <f t="shared" si="356"/>
        <v>77</v>
      </c>
      <c r="Z886" s="14">
        <f t="shared" si="357"/>
        <v>-77</v>
      </c>
      <c r="AA886" s="11">
        <f t="shared" si="359"/>
        <v>2.41</v>
      </c>
      <c r="AB886" s="9">
        <f t="shared" si="362"/>
        <v>106.04</v>
      </c>
      <c r="AD886" s="13">
        <f>IF(AH886&gt;AH885,AD885,IF(AD885&lt;MiscData!$F$1,EOMONTH(AD885,1),EOMONTH(AD885,-11)))</f>
        <v>42338</v>
      </c>
      <c r="AE886" s="7" t="str">
        <f t="shared" si="354"/>
        <v>20140101KUUM_362</v>
      </c>
      <c r="AF886" s="12" t="str">
        <f t="shared" si="355"/>
        <v>20140101LS</v>
      </c>
      <c r="AG886" s="31"/>
      <c r="AH886">
        <f>IF(AH885=MiscData!$AB$91,1,AH885+1)</f>
        <v>5</v>
      </c>
      <c r="AI886">
        <f>IF(AD886&lt;=MiscData!$B$23,MiscData!$C$23,IF(AD886&lt;=MiscData!$B$24,MiscData!$C$24,MiscData!$C$25))</f>
        <v>20140101</v>
      </c>
      <c r="AK886" s="190" t="str">
        <f>VLOOKUP(AM886,MiscData!$AB$4:$ACB$113,2,FALSE)</f>
        <v>KUUM_362</v>
      </c>
      <c r="AL886" s="190" t="str">
        <f>VLOOKUP(AM886,MiscData!$AB$4:$AE$115,4,FALSE)</f>
        <v>LS</v>
      </c>
      <c r="AM886">
        <f>IF(AM885=MiscData!$AB$91,1,AM885+1)</f>
        <v>5</v>
      </c>
    </row>
    <row r="887" spans="1:39">
      <c r="A887" s="7">
        <f t="shared" si="358"/>
        <v>886</v>
      </c>
      <c r="B887" s="13" t="str">
        <f t="shared" si="339"/>
        <v>Nov 2015</v>
      </c>
      <c r="C887" s="23" t="str">
        <f t="shared" si="340"/>
        <v>LS</v>
      </c>
      <c r="D887" s="23" t="str">
        <f t="shared" si="341"/>
        <v>KUUM_363</v>
      </c>
      <c r="E887" s="170">
        <f t="shared" si="342"/>
        <v>5</v>
      </c>
      <c r="F887" s="185"/>
      <c r="G887" s="170">
        <f t="shared" si="343"/>
        <v>0</v>
      </c>
      <c r="H887" s="170">
        <v>0</v>
      </c>
      <c r="I887" s="11">
        <f t="shared" si="344"/>
        <v>61.75</v>
      </c>
      <c r="J887" s="11">
        <f t="shared" si="345"/>
        <v>1.75</v>
      </c>
      <c r="K887" s="416">
        <f t="shared" si="360"/>
        <v>308.75</v>
      </c>
      <c r="L887" s="180"/>
      <c r="M887" s="180"/>
      <c r="N887" s="186">
        <f t="shared" si="338"/>
        <v>308.75</v>
      </c>
      <c r="O887" s="29">
        <f t="shared" si="346"/>
        <v>0</v>
      </c>
      <c r="P887" s="181">
        <f t="shared" si="361"/>
        <v>0</v>
      </c>
      <c r="Q887" s="182">
        <f t="shared" si="347"/>
        <v>0</v>
      </c>
      <c r="R887" s="182">
        <f t="shared" si="348"/>
        <v>0</v>
      </c>
      <c r="S887" s="182">
        <f t="shared" si="349"/>
        <v>0</v>
      </c>
      <c r="T887" s="182">
        <f t="shared" si="350"/>
        <v>0</v>
      </c>
      <c r="U887" s="182">
        <f t="shared" si="351"/>
        <v>0</v>
      </c>
      <c r="V887" s="14">
        <f t="shared" si="352"/>
        <v>308.75</v>
      </c>
      <c r="W887" s="14">
        <f t="shared" si="353"/>
        <v>-308.75</v>
      </c>
      <c r="Y887" s="14">
        <f t="shared" si="356"/>
        <v>8.75</v>
      </c>
      <c r="Z887" s="14">
        <f t="shared" si="357"/>
        <v>-8.75</v>
      </c>
      <c r="AA887" s="11">
        <f t="shared" si="359"/>
        <v>2.41</v>
      </c>
      <c r="AB887" s="9">
        <f t="shared" si="362"/>
        <v>12.05</v>
      </c>
      <c r="AD887" s="13">
        <f>IF(AH887&gt;AH886,AD886,IF(AD886&lt;MiscData!$F$1,EOMONTH(AD886,1),EOMONTH(AD886,-11)))</f>
        <v>42338</v>
      </c>
      <c r="AE887" s="7" t="str">
        <f t="shared" si="354"/>
        <v>20140101KUUM_363</v>
      </c>
      <c r="AF887" s="12" t="str">
        <f t="shared" si="355"/>
        <v>20140101LS</v>
      </c>
      <c r="AG887" s="31"/>
      <c r="AH887">
        <f>IF(AH886=MiscData!$AB$91,1,AH886+1)</f>
        <v>6</v>
      </c>
      <c r="AI887">
        <f>IF(AD887&lt;=MiscData!$B$23,MiscData!$C$23,IF(AD887&lt;=MiscData!$B$24,MiscData!$C$24,MiscData!$C$25))</f>
        <v>20140101</v>
      </c>
      <c r="AK887" s="190" t="str">
        <f>VLOOKUP(AM887,MiscData!$AB$4:$ACB$113,2,FALSE)</f>
        <v>KUUM_363</v>
      </c>
      <c r="AL887" s="190" t="str">
        <f>VLOOKUP(AM887,MiscData!$AB$4:$AE$115,4,FALSE)</f>
        <v>LS</v>
      </c>
      <c r="AM887">
        <f>IF(AM886=MiscData!$AB$91,1,AM886+1)</f>
        <v>6</v>
      </c>
    </row>
    <row r="888" spans="1:39">
      <c r="A888" s="7">
        <f t="shared" si="358"/>
        <v>887</v>
      </c>
      <c r="B888" s="13" t="str">
        <f t="shared" si="339"/>
        <v>Nov 2015</v>
      </c>
      <c r="C888" s="23" t="str">
        <f t="shared" si="340"/>
        <v>LS</v>
      </c>
      <c r="D888" s="23" t="str">
        <f t="shared" si="341"/>
        <v>KUUM_364</v>
      </c>
      <c r="E888" s="170">
        <f t="shared" si="342"/>
        <v>1</v>
      </c>
      <c r="F888" s="185"/>
      <c r="G888" s="170">
        <f t="shared" si="343"/>
        <v>0</v>
      </c>
      <c r="H888" s="170">
        <v>0</v>
      </c>
      <c r="I888" s="11">
        <f t="shared" si="344"/>
        <v>63.11</v>
      </c>
      <c r="J888" s="11">
        <f t="shared" si="345"/>
        <v>1.75</v>
      </c>
      <c r="K888" s="416">
        <f t="shared" si="360"/>
        <v>63.11</v>
      </c>
      <c r="L888" s="180"/>
      <c r="M888" s="180"/>
      <c r="N888" s="186">
        <f t="shared" ref="N888:N951" si="363">SUM(K888:M888)</f>
        <v>63.11</v>
      </c>
      <c r="O888" s="29">
        <f t="shared" si="346"/>
        <v>0</v>
      </c>
      <c r="P888" s="181">
        <f t="shared" si="361"/>
        <v>0</v>
      </c>
      <c r="Q888" s="182">
        <f t="shared" si="347"/>
        <v>0</v>
      </c>
      <c r="R888" s="182">
        <f t="shared" si="348"/>
        <v>0</v>
      </c>
      <c r="S888" s="182">
        <f t="shared" si="349"/>
        <v>0</v>
      </c>
      <c r="T888" s="182">
        <f t="shared" si="350"/>
        <v>0</v>
      </c>
      <c r="U888" s="182">
        <f t="shared" si="351"/>
        <v>0</v>
      </c>
      <c r="V888" s="14">
        <f t="shared" si="352"/>
        <v>63.11</v>
      </c>
      <c r="W888" s="14">
        <f t="shared" si="353"/>
        <v>-63.11</v>
      </c>
      <c r="Y888" s="14">
        <f t="shared" si="356"/>
        <v>1.75</v>
      </c>
      <c r="Z888" s="14">
        <f t="shared" si="357"/>
        <v>-1.75</v>
      </c>
      <c r="AA888" s="11">
        <f t="shared" si="359"/>
        <v>2.41</v>
      </c>
      <c r="AB888" s="9">
        <f t="shared" si="362"/>
        <v>2.41</v>
      </c>
      <c r="AD888" s="13">
        <f>IF(AH888&gt;AH887,AD887,IF(AD887&lt;MiscData!$F$1,EOMONTH(AD887,1),EOMONTH(AD887,-11)))</f>
        <v>42338</v>
      </c>
      <c r="AE888" s="7" t="str">
        <f t="shared" si="354"/>
        <v>20140101KUUM_364</v>
      </c>
      <c r="AF888" s="12" t="str">
        <f t="shared" si="355"/>
        <v>20140101LS</v>
      </c>
      <c r="AG888" s="31"/>
      <c r="AH888">
        <f>IF(AH887=MiscData!$AB$91,1,AH887+1)</f>
        <v>7</v>
      </c>
      <c r="AI888">
        <f>IF(AD888&lt;=MiscData!$B$23,MiscData!$C$23,IF(AD888&lt;=MiscData!$B$24,MiscData!$C$24,MiscData!$C$25))</f>
        <v>20140101</v>
      </c>
      <c r="AK888" s="190" t="str">
        <f>VLOOKUP(AM888,MiscData!$AB$4:$ACB$113,2,FALSE)</f>
        <v>KUUM_364</v>
      </c>
      <c r="AL888" s="190" t="str">
        <f>VLOOKUP(AM888,MiscData!$AB$4:$AE$115,4,FALSE)</f>
        <v>LS</v>
      </c>
      <c r="AM888">
        <f>IF(AM887=MiscData!$AB$91,1,AM887+1)</f>
        <v>7</v>
      </c>
    </row>
    <row r="889" spans="1:39">
      <c r="A889" s="7">
        <f t="shared" si="358"/>
        <v>888</v>
      </c>
      <c r="B889" s="13" t="str">
        <f t="shared" si="339"/>
        <v>Nov 2015</v>
      </c>
      <c r="C889" s="23" t="str">
        <f t="shared" si="340"/>
        <v>LS</v>
      </c>
      <c r="D889" s="23" t="str">
        <f t="shared" si="341"/>
        <v>KUUM_365</v>
      </c>
      <c r="E889" s="170">
        <f t="shared" si="342"/>
        <v>5</v>
      </c>
      <c r="F889" s="185"/>
      <c r="G889" s="170">
        <f t="shared" ref="G889:G952" si="364">SUMIFS(_SBR_KWH,_SBR_Revenue_Month,$B889,_SBR_Rate_Category,$D889)</f>
        <v>0</v>
      </c>
      <c r="H889" s="170">
        <v>0</v>
      </c>
      <c r="I889" s="11">
        <f t="shared" si="344"/>
        <v>80.94</v>
      </c>
      <c r="J889" s="11">
        <f t="shared" si="345"/>
        <v>1.75</v>
      </c>
      <c r="K889" s="416">
        <f t="shared" si="360"/>
        <v>404.7</v>
      </c>
      <c r="L889" s="180"/>
      <c r="M889" s="180"/>
      <c r="N889" s="186">
        <f t="shared" si="363"/>
        <v>404.7</v>
      </c>
      <c r="O889" s="29">
        <f t="shared" si="346"/>
        <v>0</v>
      </c>
      <c r="P889" s="181">
        <f t="shared" si="361"/>
        <v>0</v>
      </c>
      <c r="Q889" s="182">
        <f t="shared" si="347"/>
        <v>0</v>
      </c>
      <c r="R889" s="182">
        <f t="shared" si="348"/>
        <v>0</v>
      </c>
      <c r="S889" s="182">
        <f t="shared" si="349"/>
        <v>0</v>
      </c>
      <c r="T889" s="182">
        <f t="shared" si="350"/>
        <v>0</v>
      </c>
      <c r="U889" s="182">
        <f t="shared" si="351"/>
        <v>0</v>
      </c>
      <c r="V889" s="14">
        <f t="shared" si="352"/>
        <v>404.7</v>
      </c>
      <c r="W889" s="14">
        <f t="shared" si="353"/>
        <v>-404.7</v>
      </c>
      <c r="Y889" s="14">
        <f t="shared" si="356"/>
        <v>8.75</v>
      </c>
      <c r="Z889" s="14">
        <f t="shared" si="357"/>
        <v>-8.75</v>
      </c>
      <c r="AA889" s="11">
        <f t="shared" si="359"/>
        <v>2.41</v>
      </c>
      <c r="AB889" s="9">
        <f t="shared" si="362"/>
        <v>12.05</v>
      </c>
      <c r="AD889" s="13">
        <f>IF(AH889&gt;AH888,AD888,IF(AD888&lt;MiscData!$F$1,EOMONTH(AD888,1),EOMONTH(AD888,-11)))</f>
        <v>42338</v>
      </c>
      <c r="AE889" s="7" t="str">
        <f t="shared" si="354"/>
        <v>20140101KUUM_365</v>
      </c>
      <c r="AF889" s="12" t="str">
        <f t="shared" si="355"/>
        <v>20140101LS</v>
      </c>
      <c r="AG889" s="31"/>
      <c r="AH889">
        <f>IF(AH888=MiscData!$AB$91,1,AH888+1)</f>
        <v>8</v>
      </c>
      <c r="AI889">
        <f>IF(AD889&lt;=MiscData!$B$23,MiscData!$C$23,IF(AD889&lt;=MiscData!$B$24,MiscData!$C$24,MiscData!$C$25))</f>
        <v>20140101</v>
      </c>
      <c r="AK889" s="190" t="str">
        <f>VLOOKUP(AM889,MiscData!$AB$4:$ACB$113,2,FALSE)</f>
        <v>KUUM_365</v>
      </c>
      <c r="AL889" s="190" t="str">
        <f>VLOOKUP(AM889,MiscData!$AB$4:$AE$115,4,FALSE)</f>
        <v>LS</v>
      </c>
      <c r="AM889">
        <f>IF(AM888=MiscData!$AB$91,1,AM888+1)</f>
        <v>8</v>
      </c>
    </row>
    <row r="890" spans="1:39">
      <c r="A890" s="7">
        <f t="shared" si="358"/>
        <v>889</v>
      </c>
      <c r="B890" s="13" t="str">
        <f t="shared" ref="B890:B953" si="365">TEXT(AD890,"mmm yyyy")</f>
        <v>Nov 2015</v>
      </c>
      <c r="C890" s="23" t="str">
        <f t="shared" ref="C890:C953" si="366">AL890</f>
        <v>LS</v>
      </c>
      <c r="D890" s="23" t="str">
        <f t="shared" ref="D890:D953" si="367">AK890</f>
        <v>KUUM_366</v>
      </c>
      <c r="E890" s="170">
        <f t="shared" ref="E890:E953" si="368">SUMIFS(_1055_Light_Count,_1055_RevMonth,$B890,_1055_RateCategory,$D890)</f>
        <v>10</v>
      </c>
      <c r="F890" s="185"/>
      <c r="G890" s="170">
        <f t="shared" si="364"/>
        <v>0</v>
      </c>
      <c r="H890" s="170">
        <v>0</v>
      </c>
      <c r="I890" s="11">
        <f t="shared" ref="I890:I953" si="369">SUMIF(_Lights_Tariff_Category,$AE890,_Lights_Rates)</f>
        <v>78.97</v>
      </c>
      <c r="J890" s="11">
        <f t="shared" ref="J890:J953" si="370">SUMIF(_Lights_Tariff_Category,$AE890,_Rates_Lights_BaseFAC)</f>
        <v>1.75</v>
      </c>
      <c r="K890" s="416">
        <f t="shared" si="360"/>
        <v>789.7</v>
      </c>
      <c r="L890" s="180"/>
      <c r="M890" s="180"/>
      <c r="N890" s="186">
        <f t="shared" si="363"/>
        <v>789.7</v>
      </c>
      <c r="O890" s="29">
        <f t="shared" ref="O890:O953" si="371">U890-SUM(Q890:T890)</f>
        <v>0</v>
      </c>
      <c r="P890" s="181">
        <f t="shared" si="361"/>
        <v>0</v>
      </c>
      <c r="Q890" s="182">
        <f t="shared" ref="Q890:Q953" si="372">SUMIFS(_SBR_FAC,_SBR_Revenue_Month,$B890,_SBR_Rate_Category,$D890)</f>
        <v>0</v>
      </c>
      <c r="R890" s="182">
        <f t="shared" ref="R890:R953" si="373">SUMIFS(_SBR_DSM,_SBR_Revenue_Month,$B890,_SBR_Rate_Category,$D890)</f>
        <v>0</v>
      </c>
      <c r="S890" s="182">
        <f t="shared" ref="S890:S953" si="374">SUMIFS(_SBR_ECR,_SBR_Revenue_Month,$B890,_SBR_Rate_Category,$D890)</f>
        <v>0</v>
      </c>
      <c r="T890" s="182">
        <f t="shared" ref="T890:T953" si="375">SUMIFS(_SBR_MSR,_SBR_Revenue_Month,$B890,_SBR_Rate_Category,$D890)</f>
        <v>0</v>
      </c>
      <c r="U890" s="182">
        <f t="shared" ref="U890:U953" si="376">SUMIFS(_SBR_Revenue_Actual,_SBR_Revenue_Month,$B890,_SBR_Rate_Category,$D890)</f>
        <v>0</v>
      </c>
      <c r="V890" s="14">
        <f t="shared" ref="V890:V953" si="377">SUM(N890,Q890:T890)</f>
        <v>789.7</v>
      </c>
      <c r="W890" s="14">
        <f t="shared" ref="W890:W953" si="378">U890-V890</f>
        <v>-789.7</v>
      </c>
      <c r="Y890" s="14">
        <f t="shared" si="356"/>
        <v>17.5</v>
      </c>
      <c r="Z890" s="14">
        <f t="shared" si="357"/>
        <v>-17.5</v>
      </c>
      <c r="AA890" s="11">
        <f t="shared" si="359"/>
        <v>2.41</v>
      </c>
      <c r="AB890" s="9">
        <f t="shared" si="362"/>
        <v>24.1</v>
      </c>
      <c r="AD890" s="13">
        <f>IF(AH890&gt;AH889,AD889,IF(AD889&lt;MiscData!$F$1,EOMONTH(AD889,1),EOMONTH(AD889,-11)))</f>
        <v>42338</v>
      </c>
      <c r="AE890" s="7" t="str">
        <f t="shared" ref="AE890:AE953" si="379">CONCATENATE(AI890&amp;AK890)</f>
        <v>20140101KUUM_366</v>
      </c>
      <c r="AF890" s="12" t="str">
        <f t="shared" ref="AF890:AF953" si="380">CONCATENATE(AI890&amp;AL890)</f>
        <v>20140101LS</v>
      </c>
      <c r="AG890" s="31"/>
      <c r="AH890">
        <f>IF(AH889=MiscData!$AB$91,1,AH889+1)</f>
        <v>9</v>
      </c>
      <c r="AI890">
        <f>IF(AD890&lt;=MiscData!$B$23,MiscData!$C$23,IF(AD890&lt;=MiscData!$B$24,MiscData!$C$24,MiscData!$C$25))</f>
        <v>20140101</v>
      </c>
      <c r="AK890" s="190" t="str">
        <f>VLOOKUP(AM890,MiscData!$AB$4:$ACB$113,2,FALSE)</f>
        <v>KUUM_366</v>
      </c>
      <c r="AL890" s="190" t="str">
        <f>VLOOKUP(AM890,MiscData!$AB$4:$AE$115,4,FALSE)</f>
        <v>LS</v>
      </c>
      <c r="AM890">
        <f>IF(AM889=MiscData!$AB$91,1,AM889+1)</f>
        <v>9</v>
      </c>
    </row>
    <row r="891" spans="1:39">
      <c r="A891" s="7">
        <f t="shared" si="358"/>
        <v>890</v>
      </c>
      <c r="B891" s="13" t="str">
        <f t="shared" si="365"/>
        <v>Nov 2015</v>
      </c>
      <c r="C891" s="23" t="str">
        <f t="shared" si="366"/>
        <v>LS</v>
      </c>
      <c r="D891" s="23" t="str">
        <f t="shared" si="367"/>
        <v>KUUM_367</v>
      </c>
      <c r="E891" s="170">
        <f t="shared" si="368"/>
        <v>24</v>
      </c>
      <c r="F891" s="185"/>
      <c r="G891" s="170">
        <f t="shared" si="364"/>
        <v>0</v>
      </c>
      <c r="H891" s="170">
        <v>0</v>
      </c>
      <c r="I891" s="11">
        <f t="shared" si="369"/>
        <v>61.230000000000004</v>
      </c>
      <c r="J891" s="11">
        <f t="shared" si="370"/>
        <v>1.75</v>
      </c>
      <c r="K891" s="416">
        <f t="shared" si="360"/>
        <v>1469.52</v>
      </c>
      <c r="L891" s="180"/>
      <c r="M891" s="180"/>
      <c r="N891" s="186">
        <f t="shared" si="363"/>
        <v>1469.52</v>
      </c>
      <c r="O891" s="29">
        <f t="shared" si="371"/>
        <v>0</v>
      </c>
      <c r="P891" s="181">
        <f t="shared" si="361"/>
        <v>0</v>
      </c>
      <c r="Q891" s="182">
        <f t="shared" si="372"/>
        <v>0</v>
      </c>
      <c r="R891" s="182">
        <f t="shared" si="373"/>
        <v>0</v>
      </c>
      <c r="S891" s="182">
        <f t="shared" si="374"/>
        <v>0</v>
      </c>
      <c r="T891" s="182">
        <f t="shared" si="375"/>
        <v>0</v>
      </c>
      <c r="U891" s="182">
        <f t="shared" si="376"/>
        <v>0</v>
      </c>
      <c r="V891" s="14">
        <f t="shared" si="377"/>
        <v>1469.52</v>
      </c>
      <c r="W891" s="14">
        <f t="shared" si="378"/>
        <v>-1469.52</v>
      </c>
      <c r="Y891" s="14">
        <f t="shared" ref="Y891:Y954" si="381">ROUND(E891*J891,2)</f>
        <v>42</v>
      </c>
      <c r="Z891" s="14">
        <f t="shared" ref="Z891:Z954" si="382">O891-Y891</f>
        <v>-42</v>
      </c>
      <c r="AA891" s="11">
        <f t="shared" si="359"/>
        <v>2.41</v>
      </c>
      <c r="AB891" s="9">
        <f t="shared" si="362"/>
        <v>57.84</v>
      </c>
      <c r="AD891" s="13">
        <f>IF(AH891&gt;AH890,AD890,IF(AD890&lt;MiscData!$F$1,EOMONTH(AD890,1),EOMONTH(AD890,-11)))</f>
        <v>42338</v>
      </c>
      <c r="AE891" s="7" t="str">
        <f t="shared" si="379"/>
        <v>20140101KUUM_367</v>
      </c>
      <c r="AF891" s="12" t="str">
        <f t="shared" si="380"/>
        <v>20140101LS</v>
      </c>
      <c r="AG891" s="31"/>
      <c r="AH891">
        <f>IF(AH890=MiscData!$AB$91,1,AH890+1)</f>
        <v>10</v>
      </c>
      <c r="AI891">
        <f>IF(AD891&lt;=MiscData!$B$23,MiscData!$C$23,IF(AD891&lt;=MiscData!$B$24,MiscData!$C$24,MiscData!$C$25))</f>
        <v>20140101</v>
      </c>
      <c r="AK891" s="190" t="str">
        <f>VLOOKUP(AM891,MiscData!$AB$4:$ACB$113,2,FALSE)</f>
        <v>KUUM_367</v>
      </c>
      <c r="AL891" s="190" t="str">
        <f>VLOOKUP(AM891,MiscData!$AB$4:$AE$115,4,FALSE)</f>
        <v>LS</v>
      </c>
      <c r="AM891">
        <f>IF(AM890=MiscData!$AB$91,1,AM890+1)</f>
        <v>10</v>
      </c>
    </row>
    <row r="892" spans="1:39">
      <c r="A892" s="7">
        <f t="shared" ref="A892:A955" si="383">A891+1</f>
        <v>891</v>
      </c>
      <c r="B892" s="13" t="str">
        <f t="shared" si="365"/>
        <v>Nov 2015</v>
      </c>
      <c r="C892" s="23" t="str">
        <f t="shared" si="366"/>
        <v>LS</v>
      </c>
      <c r="D892" s="23" t="str">
        <f t="shared" si="367"/>
        <v>KUUM_368</v>
      </c>
      <c r="E892" s="170">
        <f t="shared" si="368"/>
        <v>1</v>
      </c>
      <c r="F892" s="185"/>
      <c r="G892" s="170">
        <f t="shared" si="364"/>
        <v>0</v>
      </c>
      <c r="H892" s="170">
        <v>0</v>
      </c>
      <c r="I892" s="11">
        <f t="shared" si="369"/>
        <v>56.69</v>
      </c>
      <c r="J892" s="11">
        <f t="shared" si="370"/>
        <v>1.75</v>
      </c>
      <c r="K892" s="416">
        <f t="shared" si="360"/>
        <v>56.69</v>
      </c>
      <c r="L892" s="180"/>
      <c r="M892" s="180"/>
      <c r="N892" s="186">
        <f t="shared" si="363"/>
        <v>56.69</v>
      </c>
      <c r="O892" s="29">
        <f t="shared" si="371"/>
        <v>0</v>
      </c>
      <c r="P892" s="181">
        <f t="shared" si="361"/>
        <v>0</v>
      </c>
      <c r="Q892" s="182">
        <f t="shared" si="372"/>
        <v>0</v>
      </c>
      <c r="R892" s="182">
        <f t="shared" si="373"/>
        <v>0</v>
      </c>
      <c r="S892" s="182">
        <f t="shared" si="374"/>
        <v>0</v>
      </c>
      <c r="T892" s="182">
        <f t="shared" si="375"/>
        <v>0</v>
      </c>
      <c r="U892" s="182">
        <f t="shared" si="376"/>
        <v>0</v>
      </c>
      <c r="V892" s="14">
        <f t="shared" si="377"/>
        <v>56.69</v>
      </c>
      <c r="W892" s="14">
        <f t="shared" si="378"/>
        <v>-56.69</v>
      </c>
      <c r="Y892" s="14">
        <f t="shared" si="381"/>
        <v>1.75</v>
      </c>
      <c r="Z892" s="14">
        <f t="shared" si="382"/>
        <v>-1.75</v>
      </c>
      <c r="AA892" s="11">
        <f t="shared" si="359"/>
        <v>2.41</v>
      </c>
      <c r="AB892" s="9">
        <f t="shared" si="362"/>
        <v>2.41</v>
      </c>
      <c r="AD892" s="13">
        <f>IF(AH892&gt;AH891,AD891,IF(AD891&lt;MiscData!$F$1,EOMONTH(AD891,1),EOMONTH(AD891,-11)))</f>
        <v>42338</v>
      </c>
      <c r="AE892" s="7" t="str">
        <f t="shared" si="379"/>
        <v>20140101KUUM_368</v>
      </c>
      <c r="AF892" s="12" t="str">
        <f t="shared" si="380"/>
        <v>20140101LS</v>
      </c>
      <c r="AG892" s="31"/>
      <c r="AH892">
        <f>IF(AH891=MiscData!$AB$91,1,AH891+1)</f>
        <v>11</v>
      </c>
      <c r="AI892">
        <f>IF(AD892&lt;=MiscData!$B$23,MiscData!$C$23,IF(AD892&lt;=MiscData!$B$24,MiscData!$C$24,MiscData!$C$25))</f>
        <v>20140101</v>
      </c>
      <c r="AK892" s="190" t="str">
        <f>VLOOKUP(AM892,MiscData!$AB$4:$ACB$113,2,FALSE)</f>
        <v>KUUM_368</v>
      </c>
      <c r="AL892" s="190" t="str">
        <f>VLOOKUP(AM892,MiscData!$AB$4:$AE$115,4,FALSE)</f>
        <v>LS</v>
      </c>
      <c r="AM892">
        <f>IF(AM891=MiscData!$AB$91,1,AM891+1)</f>
        <v>11</v>
      </c>
    </row>
    <row r="893" spans="1:39">
      <c r="A893" s="7">
        <f t="shared" si="383"/>
        <v>892</v>
      </c>
      <c r="B893" s="13" t="str">
        <f t="shared" si="365"/>
        <v>Nov 2015</v>
      </c>
      <c r="C893" s="23" t="str">
        <f t="shared" si="366"/>
        <v>LS</v>
      </c>
      <c r="D893" s="23" t="str">
        <f t="shared" si="367"/>
        <v>KUUM_370</v>
      </c>
      <c r="E893" s="170">
        <f t="shared" si="368"/>
        <v>16</v>
      </c>
      <c r="F893" s="185"/>
      <c r="G893" s="170">
        <f t="shared" si="364"/>
        <v>0</v>
      </c>
      <c r="H893" s="170">
        <v>0</v>
      </c>
      <c r="I893" s="11">
        <f t="shared" si="369"/>
        <v>74.52</v>
      </c>
      <c r="J893" s="11">
        <f t="shared" si="370"/>
        <v>1.75</v>
      </c>
      <c r="K893" s="416">
        <f t="shared" si="360"/>
        <v>1192.32</v>
      </c>
      <c r="L893" s="180"/>
      <c r="M893" s="180"/>
      <c r="N893" s="186">
        <f t="shared" si="363"/>
        <v>1192.32</v>
      </c>
      <c r="O893" s="29">
        <f t="shared" si="371"/>
        <v>0</v>
      </c>
      <c r="P893" s="181">
        <f t="shared" si="361"/>
        <v>0</v>
      </c>
      <c r="Q893" s="182">
        <f t="shared" si="372"/>
        <v>0</v>
      </c>
      <c r="R893" s="182">
        <f t="shared" si="373"/>
        <v>0</v>
      </c>
      <c r="S893" s="182">
        <f t="shared" si="374"/>
        <v>0</v>
      </c>
      <c r="T893" s="182">
        <f t="shared" si="375"/>
        <v>0</v>
      </c>
      <c r="U893" s="182">
        <f t="shared" si="376"/>
        <v>0</v>
      </c>
      <c r="V893" s="14">
        <f t="shared" si="377"/>
        <v>1192.32</v>
      </c>
      <c r="W893" s="14">
        <f t="shared" si="378"/>
        <v>-1192.32</v>
      </c>
      <c r="Y893" s="14">
        <f t="shared" si="381"/>
        <v>28</v>
      </c>
      <c r="Z893" s="14">
        <f t="shared" si="382"/>
        <v>-28</v>
      </c>
      <c r="AA893" s="11">
        <f t="shared" si="359"/>
        <v>2.41</v>
      </c>
      <c r="AB893" s="9">
        <f t="shared" si="362"/>
        <v>38.56</v>
      </c>
      <c r="AD893" s="13">
        <f>IF(AH893&gt;AH892,AD892,IF(AD892&lt;MiscData!$F$1,EOMONTH(AD892,1),EOMONTH(AD892,-11)))</f>
        <v>42338</v>
      </c>
      <c r="AE893" s="7" t="str">
        <f t="shared" si="379"/>
        <v>20140101KUUM_370</v>
      </c>
      <c r="AF893" s="12" t="str">
        <f t="shared" si="380"/>
        <v>20140101LS</v>
      </c>
      <c r="AG893" s="31"/>
      <c r="AH893">
        <f>IF(AH892=MiscData!$AB$91,1,AH892+1)</f>
        <v>12</v>
      </c>
      <c r="AI893">
        <f>IF(AD893&lt;=MiscData!$B$23,MiscData!$C$23,IF(AD893&lt;=MiscData!$B$24,MiscData!$C$24,MiscData!$C$25))</f>
        <v>20140101</v>
      </c>
      <c r="AK893" s="190" t="str">
        <f>VLOOKUP(AM893,MiscData!$AB$4:$ACB$113,2,FALSE)</f>
        <v>KUUM_370</v>
      </c>
      <c r="AL893" s="190" t="str">
        <f>VLOOKUP(AM893,MiscData!$AB$4:$AE$115,4,FALSE)</f>
        <v>LS</v>
      </c>
      <c r="AM893">
        <f>IF(AM892=MiscData!$AB$91,1,AM892+1)</f>
        <v>12</v>
      </c>
    </row>
    <row r="894" spans="1:39">
      <c r="A894" s="7">
        <f t="shared" si="383"/>
        <v>893</v>
      </c>
      <c r="B894" s="13" t="str">
        <f t="shared" si="365"/>
        <v>Nov 2015</v>
      </c>
      <c r="C894" s="23" t="str">
        <f t="shared" si="366"/>
        <v>LS</v>
      </c>
      <c r="D894" s="23" t="str">
        <f t="shared" si="367"/>
        <v>KUUM_372</v>
      </c>
      <c r="E894" s="170">
        <f t="shared" si="368"/>
        <v>1</v>
      </c>
      <c r="F894" s="185"/>
      <c r="G894" s="170">
        <f t="shared" si="364"/>
        <v>0</v>
      </c>
      <c r="H894" s="170">
        <v>0</v>
      </c>
      <c r="I894" s="11">
        <f t="shared" si="369"/>
        <v>82.3</v>
      </c>
      <c r="J894" s="11">
        <f t="shared" si="370"/>
        <v>1.75</v>
      </c>
      <c r="K894" s="416">
        <f t="shared" si="360"/>
        <v>82.3</v>
      </c>
      <c r="L894" s="180"/>
      <c r="M894" s="180"/>
      <c r="N894" s="186">
        <f t="shared" si="363"/>
        <v>82.3</v>
      </c>
      <c r="O894" s="29">
        <f t="shared" si="371"/>
        <v>0</v>
      </c>
      <c r="P894" s="181">
        <f t="shared" si="361"/>
        <v>0</v>
      </c>
      <c r="Q894" s="182">
        <f t="shared" si="372"/>
        <v>0</v>
      </c>
      <c r="R894" s="182">
        <f t="shared" si="373"/>
        <v>0</v>
      </c>
      <c r="S894" s="182">
        <f t="shared" si="374"/>
        <v>0</v>
      </c>
      <c r="T894" s="182">
        <f t="shared" si="375"/>
        <v>0</v>
      </c>
      <c r="U894" s="182">
        <f t="shared" si="376"/>
        <v>0</v>
      </c>
      <c r="V894" s="14">
        <f t="shared" si="377"/>
        <v>82.3</v>
      </c>
      <c r="W894" s="14">
        <f t="shared" si="378"/>
        <v>-82.3</v>
      </c>
      <c r="Y894" s="14">
        <f t="shared" si="381"/>
        <v>1.75</v>
      </c>
      <c r="Z894" s="14">
        <f t="shared" si="382"/>
        <v>-1.75</v>
      </c>
      <c r="AA894" s="11">
        <f t="shared" si="359"/>
        <v>2.41</v>
      </c>
      <c r="AB894" s="9">
        <f t="shared" si="362"/>
        <v>2.41</v>
      </c>
      <c r="AD894" s="13">
        <f>IF(AH894&gt;AH893,AD893,IF(AD893&lt;MiscData!$F$1,EOMONTH(AD893,1),EOMONTH(AD893,-11)))</f>
        <v>42338</v>
      </c>
      <c r="AE894" s="7" t="str">
        <f t="shared" si="379"/>
        <v>20140101KUUM_372</v>
      </c>
      <c r="AF894" s="12" t="str">
        <f t="shared" si="380"/>
        <v>20140101LS</v>
      </c>
      <c r="AG894" s="31"/>
      <c r="AH894">
        <f>IF(AH893=MiscData!$AB$91,1,AH893+1)</f>
        <v>13</v>
      </c>
      <c r="AI894">
        <f>IF(AD894&lt;=MiscData!$B$23,MiscData!$C$23,IF(AD894&lt;=MiscData!$B$24,MiscData!$C$24,MiscData!$C$25))</f>
        <v>20140101</v>
      </c>
      <c r="AK894" s="190" t="str">
        <f>VLOOKUP(AM894,MiscData!$AB$4:$ACB$113,2,FALSE)</f>
        <v>KUUM_372</v>
      </c>
      <c r="AL894" s="190" t="str">
        <f>VLOOKUP(AM894,MiscData!$AB$4:$AE$115,4,FALSE)</f>
        <v>LS</v>
      </c>
      <c r="AM894">
        <f>IF(AM893=MiscData!$AB$91,1,AM893+1)</f>
        <v>13</v>
      </c>
    </row>
    <row r="895" spans="1:39">
      <c r="A895" s="7">
        <f t="shared" si="383"/>
        <v>894</v>
      </c>
      <c r="B895" s="13" t="str">
        <f t="shared" si="365"/>
        <v>Nov 2015</v>
      </c>
      <c r="C895" s="23" t="str">
        <f t="shared" si="366"/>
        <v>LS</v>
      </c>
      <c r="D895" s="23" t="str">
        <f t="shared" si="367"/>
        <v>KUUM_373</v>
      </c>
      <c r="E895" s="170">
        <f t="shared" si="368"/>
        <v>19</v>
      </c>
      <c r="F895" s="185"/>
      <c r="G895" s="170">
        <f t="shared" si="364"/>
        <v>0</v>
      </c>
      <c r="H895" s="170">
        <v>0</v>
      </c>
      <c r="I895" s="11">
        <f t="shared" si="369"/>
        <v>74.52</v>
      </c>
      <c r="J895" s="11">
        <f t="shared" si="370"/>
        <v>1.75</v>
      </c>
      <c r="K895" s="416">
        <f t="shared" si="360"/>
        <v>1415.88</v>
      </c>
      <c r="L895" s="180"/>
      <c r="M895" s="180"/>
      <c r="N895" s="186">
        <f t="shared" si="363"/>
        <v>1415.88</v>
      </c>
      <c r="O895" s="29">
        <f t="shared" si="371"/>
        <v>0</v>
      </c>
      <c r="P895" s="181">
        <f t="shared" si="361"/>
        <v>0</v>
      </c>
      <c r="Q895" s="182">
        <f t="shared" si="372"/>
        <v>0</v>
      </c>
      <c r="R895" s="182">
        <f t="shared" si="373"/>
        <v>0</v>
      </c>
      <c r="S895" s="182">
        <f t="shared" si="374"/>
        <v>0</v>
      </c>
      <c r="T895" s="182">
        <f t="shared" si="375"/>
        <v>0</v>
      </c>
      <c r="U895" s="182">
        <f t="shared" si="376"/>
        <v>0</v>
      </c>
      <c r="V895" s="14">
        <f t="shared" si="377"/>
        <v>1415.88</v>
      </c>
      <c r="W895" s="14">
        <f t="shared" si="378"/>
        <v>-1415.88</v>
      </c>
      <c r="Y895" s="14">
        <f t="shared" si="381"/>
        <v>33.25</v>
      </c>
      <c r="Z895" s="14">
        <f t="shared" si="382"/>
        <v>-33.25</v>
      </c>
      <c r="AA895" s="11">
        <f t="shared" si="359"/>
        <v>2.41</v>
      </c>
      <c r="AB895" s="9">
        <f t="shared" si="362"/>
        <v>45.790000000000006</v>
      </c>
      <c r="AD895" s="13">
        <f>IF(AH895&gt;AH894,AD894,IF(AD894&lt;MiscData!$F$1,EOMONTH(AD894,1),EOMONTH(AD894,-11)))</f>
        <v>42338</v>
      </c>
      <c r="AE895" s="7" t="str">
        <f t="shared" si="379"/>
        <v>20140101KUUM_373</v>
      </c>
      <c r="AF895" s="12" t="str">
        <f t="shared" si="380"/>
        <v>20140101LS</v>
      </c>
      <c r="AG895" s="31"/>
      <c r="AH895">
        <f>IF(AH894=MiscData!$AB$91,1,AH894+1)</f>
        <v>14</v>
      </c>
      <c r="AI895">
        <f>IF(AD895&lt;=MiscData!$B$23,MiscData!$C$23,IF(AD895&lt;=MiscData!$B$24,MiscData!$C$24,MiscData!$C$25))</f>
        <v>20140101</v>
      </c>
      <c r="AK895" s="190" t="str">
        <f>VLOOKUP(AM895,MiscData!$AB$4:$ACB$113,2,FALSE)</f>
        <v>KUUM_373</v>
      </c>
      <c r="AL895" s="190" t="str">
        <f>VLOOKUP(AM895,MiscData!$AB$4:$AE$115,4,FALSE)</f>
        <v>LS</v>
      </c>
      <c r="AM895">
        <f>IF(AM894=MiscData!$AB$91,1,AM894+1)</f>
        <v>14</v>
      </c>
    </row>
    <row r="896" spans="1:39">
      <c r="A896" s="7">
        <f t="shared" si="383"/>
        <v>895</v>
      </c>
      <c r="B896" s="13" t="str">
        <f t="shared" si="365"/>
        <v>Nov 2015</v>
      </c>
      <c r="C896" s="23" t="str">
        <f t="shared" si="366"/>
        <v>LS</v>
      </c>
      <c r="D896" s="23" t="str">
        <f t="shared" si="367"/>
        <v>KUUM_374</v>
      </c>
      <c r="E896" s="170">
        <f t="shared" si="368"/>
        <v>4</v>
      </c>
      <c r="F896" s="185"/>
      <c r="G896" s="170">
        <f t="shared" si="364"/>
        <v>0</v>
      </c>
      <c r="H896" s="170">
        <v>0</v>
      </c>
      <c r="I896" s="11">
        <f t="shared" si="369"/>
        <v>75.88</v>
      </c>
      <c r="J896" s="11">
        <f t="shared" si="370"/>
        <v>1.75</v>
      </c>
      <c r="K896" s="416">
        <f t="shared" si="360"/>
        <v>303.52</v>
      </c>
      <c r="L896" s="180"/>
      <c r="M896" s="180"/>
      <c r="N896" s="186">
        <f t="shared" si="363"/>
        <v>303.52</v>
      </c>
      <c r="O896" s="29">
        <f t="shared" si="371"/>
        <v>0</v>
      </c>
      <c r="P896" s="181">
        <f t="shared" si="361"/>
        <v>0</v>
      </c>
      <c r="Q896" s="182">
        <f t="shared" si="372"/>
        <v>0</v>
      </c>
      <c r="R896" s="182">
        <f t="shared" si="373"/>
        <v>0</v>
      </c>
      <c r="S896" s="182">
        <f t="shared" si="374"/>
        <v>0</v>
      </c>
      <c r="T896" s="182">
        <f t="shared" si="375"/>
        <v>0</v>
      </c>
      <c r="U896" s="182">
        <f t="shared" si="376"/>
        <v>0</v>
      </c>
      <c r="V896" s="14">
        <f t="shared" si="377"/>
        <v>303.52</v>
      </c>
      <c r="W896" s="14">
        <f t="shared" si="378"/>
        <v>-303.52</v>
      </c>
      <c r="Y896" s="14">
        <f t="shared" si="381"/>
        <v>7</v>
      </c>
      <c r="Z896" s="14">
        <f t="shared" si="382"/>
        <v>-7</v>
      </c>
      <c r="AA896" s="11">
        <f t="shared" si="359"/>
        <v>2.41</v>
      </c>
      <c r="AB896" s="9">
        <f t="shared" si="362"/>
        <v>9.64</v>
      </c>
      <c r="AD896" s="13">
        <f>IF(AH896&gt;AH895,AD895,IF(AD895&lt;MiscData!$F$1,EOMONTH(AD895,1),EOMONTH(AD895,-11)))</f>
        <v>42338</v>
      </c>
      <c r="AE896" s="7" t="str">
        <f t="shared" si="379"/>
        <v>20140101KUUM_374</v>
      </c>
      <c r="AF896" s="12" t="str">
        <f t="shared" si="380"/>
        <v>20140101LS</v>
      </c>
      <c r="AG896" s="31"/>
      <c r="AH896">
        <f>IF(AH895=MiscData!$AB$91,1,AH895+1)</f>
        <v>15</v>
      </c>
      <c r="AI896">
        <f>IF(AD896&lt;=MiscData!$B$23,MiscData!$C$23,IF(AD896&lt;=MiscData!$B$24,MiscData!$C$24,MiscData!$C$25))</f>
        <v>20140101</v>
      </c>
      <c r="AK896" s="190" t="str">
        <f>VLOOKUP(AM896,MiscData!$AB$4:$ACB$113,2,FALSE)</f>
        <v>KUUM_374</v>
      </c>
      <c r="AL896" s="190" t="str">
        <f>VLOOKUP(AM896,MiscData!$AB$4:$AE$115,4,FALSE)</f>
        <v>LS</v>
      </c>
      <c r="AM896">
        <f>IF(AM895=MiscData!$AB$91,1,AM895+1)</f>
        <v>15</v>
      </c>
    </row>
    <row r="897" spans="1:39">
      <c r="A897" s="7">
        <f t="shared" si="383"/>
        <v>896</v>
      </c>
      <c r="B897" s="13" t="str">
        <f t="shared" si="365"/>
        <v>Nov 2015</v>
      </c>
      <c r="C897" s="23" t="str">
        <f t="shared" si="366"/>
        <v>LS</v>
      </c>
      <c r="D897" s="23" t="str">
        <f t="shared" si="367"/>
        <v>KUUM_375</v>
      </c>
      <c r="E897" s="170">
        <f t="shared" si="368"/>
        <v>3</v>
      </c>
      <c r="F897" s="185"/>
      <c r="G897" s="170">
        <f t="shared" si="364"/>
        <v>0</v>
      </c>
      <c r="H897" s="170">
        <v>0</v>
      </c>
      <c r="I897" s="11">
        <f t="shared" si="369"/>
        <v>78.97</v>
      </c>
      <c r="J897" s="11">
        <f t="shared" si="370"/>
        <v>1.75</v>
      </c>
      <c r="K897" s="416">
        <f t="shared" si="360"/>
        <v>236.91</v>
      </c>
      <c r="L897" s="180"/>
      <c r="M897" s="180"/>
      <c r="N897" s="186">
        <f t="shared" si="363"/>
        <v>236.91</v>
      </c>
      <c r="O897" s="29">
        <f t="shared" si="371"/>
        <v>0</v>
      </c>
      <c r="P897" s="181">
        <f t="shared" si="361"/>
        <v>0</v>
      </c>
      <c r="Q897" s="182">
        <f t="shared" si="372"/>
        <v>0</v>
      </c>
      <c r="R897" s="182">
        <f t="shared" si="373"/>
        <v>0</v>
      </c>
      <c r="S897" s="182">
        <f t="shared" si="374"/>
        <v>0</v>
      </c>
      <c r="T897" s="182">
        <f t="shared" si="375"/>
        <v>0</v>
      </c>
      <c r="U897" s="182">
        <f t="shared" si="376"/>
        <v>0</v>
      </c>
      <c r="V897" s="14">
        <f t="shared" si="377"/>
        <v>236.91</v>
      </c>
      <c r="W897" s="14">
        <f t="shared" si="378"/>
        <v>-236.91</v>
      </c>
      <c r="Y897" s="14">
        <f t="shared" si="381"/>
        <v>5.25</v>
      </c>
      <c r="Z897" s="14">
        <f t="shared" si="382"/>
        <v>-5.25</v>
      </c>
      <c r="AA897" s="11">
        <f t="shared" si="359"/>
        <v>2.41</v>
      </c>
      <c r="AB897" s="9">
        <f t="shared" si="362"/>
        <v>7.23</v>
      </c>
      <c r="AD897" s="13">
        <f>IF(AH897&gt;AH896,AD896,IF(AD896&lt;MiscData!$F$1,EOMONTH(AD896,1),EOMONTH(AD896,-11)))</f>
        <v>42338</v>
      </c>
      <c r="AE897" s="7" t="str">
        <f t="shared" si="379"/>
        <v>20140101KUUM_375</v>
      </c>
      <c r="AF897" s="12" t="str">
        <f t="shared" si="380"/>
        <v>20140101LS</v>
      </c>
      <c r="AG897" s="31"/>
      <c r="AH897">
        <f>IF(AH896=MiscData!$AB$91,1,AH896+1)</f>
        <v>16</v>
      </c>
      <c r="AI897">
        <f>IF(AD897&lt;=MiscData!$B$23,MiscData!$C$23,IF(AD897&lt;=MiscData!$B$24,MiscData!$C$24,MiscData!$C$25))</f>
        <v>20140101</v>
      </c>
      <c r="AK897" s="190" t="str">
        <f>VLOOKUP(AM897,MiscData!$AB$4:$ACB$113,2,FALSE)</f>
        <v>KUUM_375</v>
      </c>
      <c r="AL897" s="190" t="str">
        <f>VLOOKUP(AM897,MiscData!$AB$4:$AE$115,4,FALSE)</f>
        <v>LS</v>
      </c>
      <c r="AM897">
        <f>IF(AM896=MiscData!$AB$91,1,AM896+1)</f>
        <v>16</v>
      </c>
    </row>
    <row r="898" spans="1:39">
      <c r="A898" s="7">
        <f t="shared" si="383"/>
        <v>897</v>
      </c>
      <c r="B898" s="13" t="str">
        <f t="shared" si="365"/>
        <v>Nov 2015</v>
      </c>
      <c r="C898" s="23" t="str">
        <f t="shared" si="366"/>
        <v>LS</v>
      </c>
      <c r="D898" s="23" t="str">
        <f t="shared" si="367"/>
        <v>KUUM_376</v>
      </c>
      <c r="E898" s="170">
        <f t="shared" si="368"/>
        <v>2</v>
      </c>
      <c r="F898" s="185"/>
      <c r="G898" s="170">
        <f t="shared" si="364"/>
        <v>0</v>
      </c>
      <c r="H898" s="170">
        <v>0</v>
      </c>
      <c r="I898" s="11">
        <f t="shared" si="369"/>
        <v>77.259999999999991</v>
      </c>
      <c r="J898" s="11">
        <f t="shared" si="370"/>
        <v>1.75</v>
      </c>
      <c r="K898" s="416">
        <f t="shared" si="360"/>
        <v>154.52000000000001</v>
      </c>
      <c r="L898" s="180"/>
      <c r="M898" s="180"/>
      <c r="N898" s="186">
        <f t="shared" si="363"/>
        <v>154.52000000000001</v>
      </c>
      <c r="O898" s="29">
        <f t="shared" si="371"/>
        <v>0</v>
      </c>
      <c r="P898" s="181">
        <f t="shared" si="361"/>
        <v>0</v>
      </c>
      <c r="Q898" s="182">
        <f t="shared" si="372"/>
        <v>0</v>
      </c>
      <c r="R898" s="182">
        <f t="shared" si="373"/>
        <v>0</v>
      </c>
      <c r="S898" s="182">
        <f t="shared" si="374"/>
        <v>0</v>
      </c>
      <c r="T898" s="182">
        <f t="shared" si="375"/>
        <v>0</v>
      </c>
      <c r="U898" s="182">
        <f t="shared" si="376"/>
        <v>0</v>
      </c>
      <c r="V898" s="14">
        <f t="shared" si="377"/>
        <v>154.52000000000001</v>
      </c>
      <c r="W898" s="14">
        <f t="shared" si="378"/>
        <v>-154.52000000000001</v>
      </c>
      <c r="Y898" s="14">
        <f t="shared" si="381"/>
        <v>3.5</v>
      </c>
      <c r="Z898" s="14">
        <f t="shared" si="382"/>
        <v>-3.5</v>
      </c>
      <c r="AA898" s="11">
        <f t="shared" ref="AA898:AA961" si="384">SUMIF(_Lights_Tariff_Category,$AE898,_Rates_Lights_ECR)</f>
        <v>2.41</v>
      </c>
      <c r="AB898" s="9">
        <f t="shared" si="362"/>
        <v>4.82</v>
      </c>
      <c r="AD898" s="13">
        <f>IF(AH898&gt;AH897,AD897,IF(AD897&lt;MiscData!$F$1,EOMONTH(AD897,1),EOMONTH(AD897,-11)))</f>
        <v>42338</v>
      </c>
      <c r="AE898" s="7" t="str">
        <f t="shared" si="379"/>
        <v>20140101KUUM_376</v>
      </c>
      <c r="AF898" s="12" t="str">
        <f t="shared" si="380"/>
        <v>20140101LS</v>
      </c>
      <c r="AG898" s="31"/>
      <c r="AH898">
        <f>IF(AH897=MiscData!$AB$91,1,AH897+1)</f>
        <v>17</v>
      </c>
      <c r="AI898">
        <f>IF(AD898&lt;=MiscData!$B$23,MiscData!$C$23,IF(AD898&lt;=MiscData!$B$24,MiscData!$C$24,MiscData!$C$25))</f>
        <v>20140101</v>
      </c>
      <c r="AK898" s="190" t="str">
        <f>VLOOKUP(AM898,MiscData!$AB$4:$ACB$113,2,FALSE)</f>
        <v>KUUM_376</v>
      </c>
      <c r="AL898" s="190" t="str">
        <f>VLOOKUP(AM898,MiscData!$AB$4:$AE$115,4,FALSE)</f>
        <v>LS</v>
      </c>
      <c r="AM898">
        <f>IF(AM897=MiscData!$AB$91,1,AM897+1)</f>
        <v>17</v>
      </c>
    </row>
    <row r="899" spans="1:39">
      <c r="A899" s="7">
        <f t="shared" si="383"/>
        <v>898</v>
      </c>
      <c r="B899" s="13" t="str">
        <f t="shared" si="365"/>
        <v>Nov 2015</v>
      </c>
      <c r="C899" s="23" t="str">
        <f t="shared" si="366"/>
        <v>LS</v>
      </c>
      <c r="D899" s="23" t="str">
        <f t="shared" si="367"/>
        <v>KUUM_377</v>
      </c>
      <c r="E899" s="170">
        <f t="shared" si="368"/>
        <v>49</v>
      </c>
      <c r="F899" s="185"/>
      <c r="G899" s="170">
        <f t="shared" si="364"/>
        <v>0</v>
      </c>
      <c r="H899" s="170">
        <v>0</v>
      </c>
      <c r="I899" s="11">
        <f t="shared" si="369"/>
        <v>64.19</v>
      </c>
      <c r="J899" s="11">
        <f t="shared" si="370"/>
        <v>1.75</v>
      </c>
      <c r="K899" s="416">
        <f t="shared" ref="K899:K962" si="385">ROUND(($E899+$F899)*$I899,2)</f>
        <v>3145.31</v>
      </c>
      <c r="L899" s="180"/>
      <c r="M899" s="180"/>
      <c r="N899" s="186">
        <f t="shared" si="363"/>
        <v>3145.31</v>
      </c>
      <c r="O899" s="29">
        <f t="shared" si="371"/>
        <v>0</v>
      </c>
      <c r="P899" s="181">
        <f t="shared" ref="P899:P962" si="386">IF(AND(N899=0,O899=0),1,IF(N899=0,0,ROUND(O899/N899,6)))</f>
        <v>0</v>
      </c>
      <c r="Q899" s="182">
        <f t="shared" si="372"/>
        <v>0</v>
      </c>
      <c r="R899" s="182">
        <f t="shared" si="373"/>
        <v>0</v>
      </c>
      <c r="S899" s="182">
        <f t="shared" si="374"/>
        <v>0</v>
      </c>
      <c r="T899" s="182">
        <f t="shared" si="375"/>
        <v>0</v>
      </c>
      <c r="U899" s="182">
        <f t="shared" si="376"/>
        <v>0</v>
      </c>
      <c r="V899" s="14">
        <f t="shared" si="377"/>
        <v>3145.31</v>
      </c>
      <c r="W899" s="14">
        <f t="shared" si="378"/>
        <v>-3145.31</v>
      </c>
      <c r="Y899" s="14">
        <f t="shared" si="381"/>
        <v>85.75</v>
      </c>
      <c r="Z899" s="14">
        <f t="shared" si="382"/>
        <v>-85.75</v>
      </c>
      <c r="AA899" s="11">
        <f t="shared" si="384"/>
        <v>2.41</v>
      </c>
      <c r="AB899" s="9">
        <f t="shared" ref="AB899:AB962" si="387">E899*AA899</f>
        <v>118.09</v>
      </c>
      <c r="AD899" s="13">
        <f>IF(AH899&gt;AH898,AD898,IF(AD898&lt;MiscData!$F$1,EOMONTH(AD898,1),EOMONTH(AD898,-11)))</f>
        <v>42338</v>
      </c>
      <c r="AE899" s="7" t="str">
        <f t="shared" si="379"/>
        <v>20140101KUUM_377</v>
      </c>
      <c r="AF899" s="12" t="str">
        <f t="shared" si="380"/>
        <v>20140101LS</v>
      </c>
      <c r="AG899" s="31"/>
      <c r="AH899">
        <f>IF(AH898=MiscData!$AB$91,1,AH898+1)</f>
        <v>18</v>
      </c>
      <c r="AI899">
        <f>IF(AD899&lt;=MiscData!$B$23,MiscData!$C$23,IF(AD899&lt;=MiscData!$B$24,MiscData!$C$24,MiscData!$C$25))</f>
        <v>20140101</v>
      </c>
      <c r="AK899" s="190" t="str">
        <f>VLOOKUP(AM899,MiscData!$AB$4:$ACB$113,2,FALSE)</f>
        <v>KUUM_377</v>
      </c>
      <c r="AL899" s="190" t="str">
        <f>VLOOKUP(AM899,MiscData!$AB$4:$AE$115,4,FALSE)</f>
        <v>LS</v>
      </c>
      <c r="AM899">
        <f>IF(AM898=MiscData!$AB$91,1,AM898+1)</f>
        <v>18</v>
      </c>
    </row>
    <row r="900" spans="1:39">
      <c r="A900" s="7">
        <f t="shared" si="383"/>
        <v>899</v>
      </c>
      <c r="B900" s="13" t="str">
        <f t="shared" si="365"/>
        <v>Nov 2015</v>
      </c>
      <c r="C900" s="23" t="str">
        <f t="shared" si="366"/>
        <v>LS</v>
      </c>
      <c r="D900" s="23" t="str">
        <f t="shared" si="367"/>
        <v>KUUM_378</v>
      </c>
      <c r="E900" s="170">
        <f t="shared" si="368"/>
        <v>2</v>
      </c>
      <c r="F900" s="185"/>
      <c r="G900" s="170">
        <f t="shared" si="364"/>
        <v>0</v>
      </c>
      <c r="H900" s="170">
        <v>0</v>
      </c>
      <c r="I900" s="11">
        <f t="shared" si="369"/>
        <v>75.899999999999991</v>
      </c>
      <c r="J900" s="11">
        <f t="shared" si="370"/>
        <v>1.75</v>
      </c>
      <c r="K900" s="416">
        <f t="shared" si="385"/>
        <v>151.80000000000001</v>
      </c>
      <c r="L900" s="180"/>
      <c r="M900" s="180"/>
      <c r="N900" s="186">
        <f t="shared" si="363"/>
        <v>151.80000000000001</v>
      </c>
      <c r="O900" s="29">
        <f t="shared" si="371"/>
        <v>0</v>
      </c>
      <c r="P900" s="181">
        <f t="shared" si="386"/>
        <v>0</v>
      </c>
      <c r="Q900" s="182">
        <f t="shared" si="372"/>
        <v>0</v>
      </c>
      <c r="R900" s="182">
        <f t="shared" si="373"/>
        <v>0</v>
      </c>
      <c r="S900" s="182">
        <f t="shared" si="374"/>
        <v>0</v>
      </c>
      <c r="T900" s="182">
        <f t="shared" si="375"/>
        <v>0</v>
      </c>
      <c r="U900" s="182">
        <f t="shared" si="376"/>
        <v>0</v>
      </c>
      <c r="V900" s="14">
        <f t="shared" si="377"/>
        <v>151.80000000000001</v>
      </c>
      <c r="W900" s="14">
        <f t="shared" si="378"/>
        <v>-151.80000000000001</v>
      </c>
      <c r="Y900" s="14">
        <f t="shared" si="381"/>
        <v>3.5</v>
      </c>
      <c r="Z900" s="14">
        <f t="shared" si="382"/>
        <v>-3.5</v>
      </c>
      <c r="AA900" s="11">
        <f t="shared" si="384"/>
        <v>2.41</v>
      </c>
      <c r="AB900" s="9">
        <f t="shared" si="387"/>
        <v>4.82</v>
      </c>
      <c r="AD900" s="13">
        <f>IF(AH900&gt;AH899,AD899,IF(AD899&lt;MiscData!$F$1,EOMONTH(AD899,1),EOMONTH(AD899,-11)))</f>
        <v>42338</v>
      </c>
      <c r="AE900" s="7" t="str">
        <f t="shared" si="379"/>
        <v>20140101KUUM_378</v>
      </c>
      <c r="AF900" s="12" t="str">
        <f t="shared" si="380"/>
        <v>20140101LS</v>
      </c>
      <c r="AG900" s="31"/>
      <c r="AH900">
        <f>IF(AH899=MiscData!$AB$91,1,AH899+1)</f>
        <v>19</v>
      </c>
      <c r="AI900">
        <f>IF(AD900&lt;=MiscData!$B$23,MiscData!$C$23,IF(AD900&lt;=MiscData!$B$24,MiscData!$C$24,MiscData!$C$25))</f>
        <v>20140101</v>
      </c>
      <c r="AK900" s="190" t="str">
        <f>VLOOKUP(AM900,MiscData!$AB$4:$ACB$113,2,FALSE)</f>
        <v>KUUM_378</v>
      </c>
      <c r="AL900" s="190" t="str">
        <f>VLOOKUP(AM900,MiscData!$AB$4:$AE$115,4,FALSE)</f>
        <v>LS</v>
      </c>
      <c r="AM900">
        <f>IF(AM899=MiscData!$AB$91,1,AM899+1)</f>
        <v>19</v>
      </c>
    </row>
    <row r="901" spans="1:39">
      <c r="A901" s="7">
        <f t="shared" si="383"/>
        <v>900</v>
      </c>
      <c r="B901" s="13" t="str">
        <f t="shared" si="365"/>
        <v>Nov 2015</v>
      </c>
      <c r="C901" s="23" t="str">
        <f t="shared" si="366"/>
        <v>LS</v>
      </c>
      <c r="D901" s="23" t="str">
        <f t="shared" si="367"/>
        <v>KUUM_401</v>
      </c>
      <c r="E901" s="170">
        <f t="shared" si="368"/>
        <v>45</v>
      </c>
      <c r="F901" s="185"/>
      <c r="G901" s="170">
        <f t="shared" si="364"/>
        <v>0</v>
      </c>
      <c r="H901" s="170">
        <v>0</v>
      </c>
      <c r="I901" s="11">
        <f t="shared" si="369"/>
        <v>14.860000000000001</v>
      </c>
      <c r="J901" s="11">
        <f t="shared" si="370"/>
        <v>0.80000000000000071</v>
      </c>
      <c r="K901" s="416">
        <f t="shared" si="385"/>
        <v>668.7</v>
      </c>
      <c r="L901" s="180"/>
      <c r="M901" s="180"/>
      <c r="N901" s="186">
        <f t="shared" si="363"/>
        <v>668.7</v>
      </c>
      <c r="O901" s="29">
        <f t="shared" si="371"/>
        <v>0</v>
      </c>
      <c r="P901" s="181">
        <f t="shared" si="386"/>
        <v>0</v>
      </c>
      <c r="Q901" s="182">
        <f t="shared" si="372"/>
        <v>0</v>
      </c>
      <c r="R901" s="182">
        <f t="shared" si="373"/>
        <v>0</v>
      </c>
      <c r="S901" s="182">
        <f t="shared" si="374"/>
        <v>0</v>
      </c>
      <c r="T901" s="182">
        <f t="shared" si="375"/>
        <v>0</v>
      </c>
      <c r="U901" s="182">
        <f t="shared" si="376"/>
        <v>0</v>
      </c>
      <c r="V901" s="14">
        <f t="shared" si="377"/>
        <v>668.7</v>
      </c>
      <c r="W901" s="14">
        <f t="shared" si="378"/>
        <v>-668.7</v>
      </c>
      <c r="Y901" s="14">
        <f t="shared" si="381"/>
        <v>36</v>
      </c>
      <c r="Z901" s="14">
        <f t="shared" si="382"/>
        <v>-36</v>
      </c>
      <c r="AA901" s="11">
        <f t="shared" si="384"/>
        <v>0.43</v>
      </c>
      <c r="AB901" s="9">
        <f t="shared" si="387"/>
        <v>19.350000000000001</v>
      </c>
      <c r="AD901" s="13">
        <f>IF(AH901&gt;AH900,AD900,IF(AD900&lt;MiscData!$F$1,EOMONTH(AD900,1),EOMONTH(AD900,-11)))</f>
        <v>42338</v>
      </c>
      <c r="AE901" s="7" t="str">
        <f t="shared" si="379"/>
        <v>20140101KUUM_401</v>
      </c>
      <c r="AF901" s="12" t="str">
        <f t="shared" si="380"/>
        <v>20140101LS</v>
      </c>
      <c r="AG901" s="31"/>
      <c r="AH901">
        <f>IF(AH900=MiscData!$AB$91,1,AH900+1)</f>
        <v>20</v>
      </c>
      <c r="AI901">
        <f>IF(AD901&lt;=MiscData!$B$23,MiscData!$C$23,IF(AD901&lt;=MiscData!$B$24,MiscData!$C$24,MiscData!$C$25))</f>
        <v>20140101</v>
      </c>
      <c r="AK901" s="190" t="str">
        <f>VLOOKUP(AM901,MiscData!$AB$4:$ACB$113,2,FALSE)</f>
        <v>KUUM_401</v>
      </c>
      <c r="AL901" s="190" t="str">
        <f>VLOOKUP(AM901,MiscData!$AB$4:$AE$115,4,FALSE)</f>
        <v>LS</v>
      </c>
      <c r="AM901">
        <f>IF(AM900=MiscData!$AB$91,1,AM900+1)</f>
        <v>20</v>
      </c>
    </row>
    <row r="902" spans="1:39">
      <c r="A902" s="7">
        <f t="shared" si="383"/>
        <v>901</v>
      </c>
      <c r="B902" s="13" t="str">
        <f t="shared" si="365"/>
        <v>Nov 2015</v>
      </c>
      <c r="C902" s="23" t="str">
        <f t="shared" si="366"/>
        <v>RLS</v>
      </c>
      <c r="D902" s="23" t="str">
        <f t="shared" si="367"/>
        <v>KUUM_404</v>
      </c>
      <c r="E902" s="170">
        <f t="shared" si="368"/>
        <v>7081</v>
      </c>
      <c r="F902" s="185"/>
      <c r="G902" s="170">
        <f t="shared" si="364"/>
        <v>0</v>
      </c>
      <c r="H902" s="170">
        <v>0</v>
      </c>
      <c r="I902" s="11">
        <f t="shared" si="369"/>
        <v>10.570000000000002</v>
      </c>
      <c r="J902" s="11">
        <f t="shared" si="370"/>
        <v>1.9900000000000002</v>
      </c>
      <c r="K902" s="416">
        <f t="shared" si="385"/>
        <v>74846.17</v>
      </c>
      <c r="L902" s="180"/>
      <c r="M902" s="180"/>
      <c r="N902" s="186">
        <f t="shared" si="363"/>
        <v>74846.17</v>
      </c>
      <c r="O902" s="29">
        <f t="shared" si="371"/>
        <v>0</v>
      </c>
      <c r="P902" s="181">
        <f t="shared" si="386"/>
        <v>0</v>
      </c>
      <c r="Q902" s="182">
        <f t="shared" si="372"/>
        <v>0</v>
      </c>
      <c r="R902" s="182">
        <f t="shared" si="373"/>
        <v>0</v>
      </c>
      <c r="S902" s="182">
        <f t="shared" si="374"/>
        <v>0</v>
      </c>
      <c r="T902" s="182">
        <f t="shared" si="375"/>
        <v>0</v>
      </c>
      <c r="U902" s="182">
        <f t="shared" si="376"/>
        <v>0</v>
      </c>
      <c r="V902" s="14">
        <f t="shared" si="377"/>
        <v>74846.17</v>
      </c>
      <c r="W902" s="14">
        <f t="shared" si="378"/>
        <v>-74846.17</v>
      </c>
      <c r="Y902" s="14">
        <f t="shared" si="381"/>
        <v>14091.19</v>
      </c>
      <c r="Z902" s="14">
        <f t="shared" si="382"/>
        <v>-14091.19</v>
      </c>
      <c r="AA902" s="11">
        <f t="shared" si="384"/>
        <v>0.39</v>
      </c>
      <c r="AB902" s="9">
        <f t="shared" si="387"/>
        <v>2761.59</v>
      </c>
      <c r="AD902" s="13">
        <f>IF(AH902&gt;AH901,AD901,IF(AD901&lt;MiscData!$F$1,EOMONTH(AD901,1),EOMONTH(AD901,-11)))</f>
        <v>42338</v>
      </c>
      <c r="AE902" s="7" t="str">
        <f t="shared" si="379"/>
        <v>20140101KUUM_404</v>
      </c>
      <c r="AF902" s="12" t="str">
        <f t="shared" si="380"/>
        <v>20140101RLS</v>
      </c>
      <c r="AG902" s="31"/>
      <c r="AH902">
        <f>IF(AH901=MiscData!$AB$91,1,AH901+1)</f>
        <v>21</v>
      </c>
      <c r="AI902">
        <f>IF(AD902&lt;=MiscData!$B$23,MiscData!$C$23,IF(AD902&lt;=MiscData!$B$24,MiscData!$C$24,MiscData!$C$25))</f>
        <v>20140101</v>
      </c>
      <c r="AK902" s="190" t="str">
        <f>VLOOKUP(AM902,MiscData!$AB$4:$ACB$113,2,FALSE)</f>
        <v>KUUM_404</v>
      </c>
      <c r="AL902" s="190" t="str">
        <f>VLOOKUP(AM902,MiscData!$AB$4:$AE$115,4,FALSE)</f>
        <v>RLS</v>
      </c>
      <c r="AM902">
        <f>IF(AM901=MiscData!$AB$91,1,AM901+1)</f>
        <v>21</v>
      </c>
    </row>
    <row r="903" spans="1:39">
      <c r="A903" s="7">
        <f t="shared" si="383"/>
        <v>902</v>
      </c>
      <c r="B903" s="13" t="str">
        <f t="shared" si="365"/>
        <v>Nov 2015</v>
      </c>
      <c r="C903" s="23" t="str">
        <f t="shared" si="366"/>
        <v>RLS</v>
      </c>
      <c r="D903" s="23" t="str">
        <f t="shared" si="367"/>
        <v>KUUM_405</v>
      </c>
      <c r="E903" s="170">
        <f t="shared" si="368"/>
        <v>0</v>
      </c>
      <c r="F903" s="185"/>
      <c r="G903" s="170">
        <f t="shared" si="364"/>
        <v>0</v>
      </c>
      <c r="H903" s="170">
        <v>0</v>
      </c>
      <c r="I903" s="11">
        <f t="shared" si="369"/>
        <v>0</v>
      </c>
      <c r="J903" s="11">
        <f t="shared" si="370"/>
        <v>0</v>
      </c>
      <c r="K903" s="416">
        <f t="shared" si="385"/>
        <v>0</v>
      </c>
      <c r="L903" s="180"/>
      <c r="M903" s="180"/>
      <c r="N903" s="186">
        <f t="shared" si="363"/>
        <v>0</v>
      </c>
      <c r="O903" s="29">
        <f t="shared" si="371"/>
        <v>0</v>
      </c>
      <c r="P903" s="181">
        <f t="shared" si="386"/>
        <v>1</v>
      </c>
      <c r="Q903" s="182">
        <f t="shared" si="372"/>
        <v>0</v>
      </c>
      <c r="R903" s="182">
        <f t="shared" si="373"/>
        <v>0</v>
      </c>
      <c r="S903" s="182">
        <f t="shared" si="374"/>
        <v>0</v>
      </c>
      <c r="T903" s="182">
        <f t="shared" si="375"/>
        <v>0</v>
      </c>
      <c r="U903" s="182">
        <f t="shared" si="376"/>
        <v>0</v>
      </c>
      <c r="V903" s="14">
        <f t="shared" si="377"/>
        <v>0</v>
      </c>
      <c r="W903" s="14">
        <f t="shared" si="378"/>
        <v>0</v>
      </c>
      <c r="Y903" s="14">
        <f t="shared" si="381"/>
        <v>0</v>
      </c>
      <c r="Z903" s="14">
        <f t="shared" si="382"/>
        <v>0</v>
      </c>
      <c r="AA903" s="11">
        <f t="shared" si="384"/>
        <v>0</v>
      </c>
      <c r="AB903" s="9">
        <f t="shared" si="387"/>
        <v>0</v>
      </c>
      <c r="AD903" s="13">
        <f>IF(AH903&gt;AH902,AD902,IF(AD902&lt;MiscData!$F$1,EOMONTH(AD902,1),EOMONTH(AD902,-11)))</f>
        <v>42338</v>
      </c>
      <c r="AE903" s="7" t="str">
        <f t="shared" si="379"/>
        <v>20140101KUUM_405</v>
      </c>
      <c r="AF903" s="12" t="str">
        <f t="shared" si="380"/>
        <v>20140101RLS</v>
      </c>
      <c r="AG903" s="31"/>
      <c r="AH903">
        <f>IF(AH902=MiscData!$AB$91,1,AH902+1)</f>
        <v>22</v>
      </c>
      <c r="AI903">
        <f>IF(AD903&lt;=MiscData!$B$23,MiscData!$C$23,IF(AD903&lt;=MiscData!$B$24,MiscData!$C$24,MiscData!$C$25))</f>
        <v>20140101</v>
      </c>
      <c r="AK903" s="190" t="str">
        <f>VLOOKUP(AM903,MiscData!$AB$4:$ACB$113,2,FALSE)</f>
        <v>KUUM_405</v>
      </c>
      <c r="AL903" s="190" t="str">
        <f>VLOOKUP(AM903,MiscData!$AB$4:$AE$115,4,FALSE)</f>
        <v>RLS</v>
      </c>
      <c r="AM903">
        <f>IF(AM902=MiscData!$AB$91,1,AM902+1)</f>
        <v>22</v>
      </c>
    </row>
    <row r="904" spans="1:39">
      <c r="A904" s="7">
        <f t="shared" si="383"/>
        <v>903</v>
      </c>
      <c r="B904" s="13" t="str">
        <f t="shared" si="365"/>
        <v>Nov 2015</v>
      </c>
      <c r="C904" s="23" t="str">
        <f t="shared" si="366"/>
        <v>LS</v>
      </c>
      <c r="D904" s="23" t="str">
        <f t="shared" si="367"/>
        <v>KUUM_407</v>
      </c>
      <c r="E904" s="170">
        <f t="shared" si="368"/>
        <v>0</v>
      </c>
      <c r="F904" s="185"/>
      <c r="G904" s="170">
        <f t="shared" si="364"/>
        <v>0</v>
      </c>
      <c r="H904" s="170">
        <v>0</v>
      </c>
      <c r="I904" s="11">
        <f t="shared" si="369"/>
        <v>0</v>
      </c>
      <c r="J904" s="11">
        <f t="shared" si="370"/>
        <v>0</v>
      </c>
      <c r="K904" s="416">
        <f t="shared" si="385"/>
        <v>0</v>
      </c>
      <c r="L904" s="180"/>
      <c r="M904" s="180"/>
      <c r="N904" s="186">
        <f t="shared" si="363"/>
        <v>0</v>
      </c>
      <c r="O904" s="29">
        <f t="shared" si="371"/>
        <v>0</v>
      </c>
      <c r="P904" s="181">
        <f t="shared" si="386"/>
        <v>1</v>
      </c>
      <c r="Q904" s="182">
        <f t="shared" si="372"/>
        <v>0</v>
      </c>
      <c r="R904" s="182">
        <f t="shared" si="373"/>
        <v>0</v>
      </c>
      <c r="S904" s="182">
        <f t="shared" si="374"/>
        <v>0</v>
      </c>
      <c r="T904" s="182">
        <f t="shared" si="375"/>
        <v>0</v>
      </c>
      <c r="U904" s="182">
        <f t="shared" si="376"/>
        <v>0</v>
      </c>
      <c r="V904" s="14">
        <f t="shared" si="377"/>
        <v>0</v>
      </c>
      <c r="W904" s="14">
        <f t="shared" si="378"/>
        <v>0</v>
      </c>
      <c r="Y904" s="14">
        <f t="shared" si="381"/>
        <v>0</v>
      </c>
      <c r="Z904" s="14">
        <f t="shared" si="382"/>
        <v>0</v>
      </c>
      <c r="AA904" s="11">
        <f t="shared" si="384"/>
        <v>0</v>
      </c>
      <c r="AB904" s="9">
        <f t="shared" si="387"/>
        <v>0</v>
      </c>
      <c r="AD904" s="13">
        <f>IF(AH904&gt;AH903,AD903,IF(AD903&lt;MiscData!$F$1,EOMONTH(AD903,1),EOMONTH(AD903,-11)))</f>
        <v>42338</v>
      </c>
      <c r="AE904" s="7" t="str">
        <f t="shared" si="379"/>
        <v>20140101KUUM_407</v>
      </c>
      <c r="AF904" s="12" t="str">
        <f t="shared" si="380"/>
        <v>20140101LS</v>
      </c>
      <c r="AG904" s="31"/>
      <c r="AH904">
        <f>IF(AH903=MiscData!$AB$91,1,AH903+1)</f>
        <v>23</v>
      </c>
      <c r="AI904">
        <f>IF(AD904&lt;=MiscData!$B$23,MiscData!$C$23,IF(AD904&lt;=MiscData!$B$24,MiscData!$C$24,MiscData!$C$25))</f>
        <v>20140101</v>
      </c>
      <c r="AK904" s="190" t="str">
        <f>VLOOKUP(AM904,MiscData!$AB$4:$ACB$113,2,FALSE)</f>
        <v>KUUM_407</v>
      </c>
      <c r="AL904" s="190" t="str">
        <f>VLOOKUP(AM904,MiscData!$AB$4:$AE$115,4,FALSE)</f>
        <v>LS</v>
      </c>
      <c r="AM904">
        <f>IF(AM903=MiscData!$AB$91,1,AM903+1)</f>
        <v>23</v>
      </c>
    </row>
    <row r="905" spans="1:39">
      <c r="A905" s="7">
        <f t="shared" si="383"/>
        <v>904</v>
      </c>
      <c r="B905" s="13" t="str">
        <f t="shared" si="365"/>
        <v>Nov 2015</v>
      </c>
      <c r="C905" s="23" t="str">
        <f t="shared" si="366"/>
        <v>RLS</v>
      </c>
      <c r="D905" s="23" t="str">
        <f t="shared" si="367"/>
        <v>KUUM_409</v>
      </c>
      <c r="E905" s="170">
        <f t="shared" si="368"/>
        <v>133</v>
      </c>
      <c r="F905" s="185"/>
      <c r="G905" s="170">
        <f t="shared" si="364"/>
        <v>0</v>
      </c>
      <c r="H905" s="170">
        <v>0</v>
      </c>
      <c r="I905" s="11">
        <f t="shared" si="369"/>
        <v>11.71</v>
      </c>
      <c r="J905" s="11">
        <f t="shared" si="370"/>
        <v>4.5299999999999994</v>
      </c>
      <c r="K905" s="416">
        <f t="shared" si="385"/>
        <v>1557.43</v>
      </c>
      <c r="L905" s="180"/>
      <c r="M905" s="180"/>
      <c r="N905" s="186">
        <f t="shared" si="363"/>
        <v>1557.43</v>
      </c>
      <c r="O905" s="29">
        <f t="shared" si="371"/>
        <v>0</v>
      </c>
      <c r="P905" s="181">
        <f t="shared" si="386"/>
        <v>0</v>
      </c>
      <c r="Q905" s="182">
        <f t="shared" si="372"/>
        <v>0</v>
      </c>
      <c r="R905" s="182">
        <f t="shared" si="373"/>
        <v>0</v>
      </c>
      <c r="S905" s="182">
        <f t="shared" si="374"/>
        <v>0</v>
      </c>
      <c r="T905" s="182">
        <f t="shared" si="375"/>
        <v>0</v>
      </c>
      <c r="U905" s="182">
        <f t="shared" si="376"/>
        <v>0</v>
      </c>
      <c r="V905" s="14">
        <f t="shared" si="377"/>
        <v>1557.43</v>
      </c>
      <c r="W905" s="14">
        <f t="shared" si="378"/>
        <v>-1557.43</v>
      </c>
      <c r="Y905" s="14">
        <f t="shared" si="381"/>
        <v>602.49</v>
      </c>
      <c r="Z905" s="14">
        <f t="shared" si="382"/>
        <v>-602.49</v>
      </c>
      <c r="AA905" s="11">
        <f t="shared" si="384"/>
        <v>0.79</v>
      </c>
      <c r="AB905" s="9">
        <f t="shared" si="387"/>
        <v>105.07000000000001</v>
      </c>
      <c r="AD905" s="13">
        <f>IF(AH905&gt;AH904,AD904,IF(AD904&lt;MiscData!$F$1,EOMONTH(AD904,1),EOMONTH(AD904,-11)))</f>
        <v>42338</v>
      </c>
      <c r="AE905" s="7" t="str">
        <f t="shared" si="379"/>
        <v>20140101KUUM_409</v>
      </c>
      <c r="AF905" s="12" t="str">
        <f t="shared" si="380"/>
        <v>20140101RLS</v>
      </c>
      <c r="AG905" s="31"/>
      <c r="AH905">
        <f>IF(AH904=MiscData!$AB$91,1,AH904+1)</f>
        <v>24</v>
      </c>
      <c r="AI905">
        <f>IF(AD905&lt;=MiscData!$B$23,MiscData!$C$23,IF(AD905&lt;=MiscData!$B$24,MiscData!$C$24,MiscData!$C$25))</f>
        <v>20140101</v>
      </c>
      <c r="AK905" s="190" t="str">
        <f>VLOOKUP(AM905,MiscData!$AB$4:$ACB$113,2,FALSE)</f>
        <v>KUUM_409</v>
      </c>
      <c r="AL905" s="190" t="str">
        <f>VLOOKUP(AM905,MiscData!$AB$4:$AE$115,4,FALSE)</f>
        <v>RLS</v>
      </c>
      <c r="AM905">
        <f>IF(AM904=MiscData!$AB$91,1,AM904+1)</f>
        <v>24</v>
      </c>
    </row>
    <row r="906" spans="1:39">
      <c r="A906" s="7">
        <f t="shared" si="383"/>
        <v>905</v>
      </c>
      <c r="B906" s="13" t="str">
        <f t="shared" si="365"/>
        <v>Nov 2015</v>
      </c>
      <c r="C906" s="23" t="str">
        <f t="shared" si="366"/>
        <v>RLS</v>
      </c>
      <c r="D906" s="23" t="str">
        <f t="shared" si="367"/>
        <v>KUUM_410</v>
      </c>
      <c r="E906" s="170">
        <f t="shared" si="368"/>
        <v>236</v>
      </c>
      <c r="F906" s="185"/>
      <c r="G906" s="170">
        <f t="shared" si="364"/>
        <v>0</v>
      </c>
      <c r="H906" s="170">
        <v>0</v>
      </c>
      <c r="I906" s="11">
        <f t="shared" si="369"/>
        <v>20.259999999999998</v>
      </c>
      <c r="J906" s="11">
        <f t="shared" si="370"/>
        <v>0.57000000000000028</v>
      </c>
      <c r="K906" s="416">
        <f t="shared" si="385"/>
        <v>4781.3599999999997</v>
      </c>
      <c r="L906" s="180"/>
      <c r="M906" s="180"/>
      <c r="N906" s="186">
        <f t="shared" si="363"/>
        <v>4781.3599999999997</v>
      </c>
      <c r="O906" s="29">
        <f t="shared" si="371"/>
        <v>0</v>
      </c>
      <c r="P906" s="181">
        <f t="shared" si="386"/>
        <v>0</v>
      </c>
      <c r="Q906" s="182">
        <f t="shared" si="372"/>
        <v>0</v>
      </c>
      <c r="R906" s="182">
        <f t="shared" si="373"/>
        <v>0</v>
      </c>
      <c r="S906" s="182">
        <f t="shared" si="374"/>
        <v>0</v>
      </c>
      <c r="T906" s="182">
        <f t="shared" si="375"/>
        <v>0</v>
      </c>
      <c r="U906" s="182">
        <f t="shared" si="376"/>
        <v>0</v>
      </c>
      <c r="V906" s="14">
        <f t="shared" si="377"/>
        <v>4781.3599999999997</v>
      </c>
      <c r="W906" s="14">
        <f t="shared" si="378"/>
        <v>-4781.3599999999997</v>
      </c>
      <c r="Y906" s="14">
        <f t="shared" si="381"/>
        <v>134.52000000000001</v>
      </c>
      <c r="Z906" s="14">
        <f t="shared" si="382"/>
        <v>-134.52000000000001</v>
      </c>
      <c r="AA906" s="11">
        <f t="shared" si="384"/>
        <v>0.33</v>
      </c>
      <c r="AB906" s="9">
        <f t="shared" si="387"/>
        <v>77.88000000000001</v>
      </c>
      <c r="AD906" s="13">
        <f>IF(AH906&gt;AH905,AD905,IF(AD905&lt;MiscData!$F$1,EOMONTH(AD905,1),EOMONTH(AD905,-11)))</f>
        <v>42338</v>
      </c>
      <c r="AE906" s="7" t="str">
        <f t="shared" si="379"/>
        <v>20140101KUUM_410</v>
      </c>
      <c r="AF906" s="12" t="str">
        <f t="shared" si="380"/>
        <v>20140101RLS</v>
      </c>
      <c r="AG906" s="31"/>
      <c r="AH906">
        <f>IF(AH905=MiscData!$AB$91,1,AH905+1)</f>
        <v>25</v>
      </c>
      <c r="AI906">
        <f>IF(AD906&lt;=MiscData!$B$23,MiscData!$C$23,IF(AD906&lt;=MiscData!$B$24,MiscData!$C$24,MiscData!$C$25))</f>
        <v>20140101</v>
      </c>
      <c r="AK906" s="190" t="str">
        <f>VLOOKUP(AM906,MiscData!$AB$4:$ACB$113,2,FALSE)</f>
        <v>KUUM_410</v>
      </c>
      <c r="AL906" s="190" t="str">
        <f>VLOOKUP(AM906,MiscData!$AB$4:$AE$115,4,FALSE)</f>
        <v>RLS</v>
      </c>
      <c r="AM906">
        <f>IF(AM905=MiscData!$AB$91,1,AM905+1)</f>
        <v>25</v>
      </c>
    </row>
    <row r="907" spans="1:39">
      <c r="A907" s="7">
        <f t="shared" si="383"/>
        <v>906</v>
      </c>
      <c r="B907" s="13" t="str">
        <f t="shared" si="365"/>
        <v>Nov 2015</v>
      </c>
      <c r="C907" s="23" t="str">
        <f t="shared" si="366"/>
        <v>LS</v>
      </c>
      <c r="D907" s="23" t="str">
        <f t="shared" si="367"/>
        <v>KUUM_411</v>
      </c>
      <c r="E907" s="170">
        <f t="shared" si="368"/>
        <v>142</v>
      </c>
      <c r="F907" s="185"/>
      <c r="G907" s="170">
        <f t="shared" si="364"/>
        <v>0</v>
      </c>
      <c r="H907" s="170">
        <v>0</v>
      </c>
      <c r="I907" s="11">
        <f t="shared" si="369"/>
        <v>21.38</v>
      </c>
      <c r="J907" s="11">
        <f t="shared" si="370"/>
        <v>0.79999999999999716</v>
      </c>
      <c r="K907" s="416">
        <f t="shared" si="385"/>
        <v>3035.96</v>
      </c>
      <c r="L907" s="180"/>
      <c r="M907" s="180"/>
      <c r="N907" s="186">
        <f t="shared" si="363"/>
        <v>3035.96</v>
      </c>
      <c r="O907" s="29">
        <f t="shared" si="371"/>
        <v>0</v>
      </c>
      <c r="P907" s="181">
        <f t="shared" si="386"/>
        <v>0</v>
      </c>
      <c r="Q907" s="182">
        <f t="shared" si="372"/>
        <v>0</v>
      </c>
      <c r="R907" s="182">
        <f t="shared" si="373"/>
        <v>0</v>
      </c>
      <c r="S907" s="182">
        <f t="shared" si="374"/>
        <v>0</v>
      </c>
      <c r="T907" s="182">
        <f t="shared" si="375"/>
        <v>0</v>
      </c>
      <c r="U907" s="182">
        <f t="shared" si="376"/>
        <v>0</v>
      </c>
      <c r="V907" s="14">
        <f t="shared" si="377"/>
        <v>3035.96</v>
      </c>
      <c r="W907" s="14">
        <f t="shared" si="378"/>
        <v>-3035.96</v>
      </c>
      <c r="Y907" s="14">
        <f t="shared" si="381"/>
        <v>113.6</v>
      </c>
      <c r="Z907" s="14">
        <f t="shared" si="382"/>
        <v>-113.6</v>
      </c>
      <c r="AA907" s="11">
        <f t="shared" si="384"/>
        <v>0.43</v>
      </c>
      <c r="AB907" s="9">
        <f t="shared" si="387"/>
        <v>61.06</v>
      </c>
      <c r="AD907" s="13">
        <f>IF(AH907&gt;AH906,AD906,IF(AD906&lt;MiscData!$F$1,EOMONTH(AD906,1),EOMONTH(AD906,-11)))</f>
        <v>42338</v>
      </c>
      <c r="AE907" s="7" t="str">
        <f t="shared" si="379"/>
        <v>20140101KUUM_411</v>
      </c>
      <c r="AF907" s="12" t="str">
        <f t="shared" si="380"/>
        <v>20140101LS</v>
      </c>
      <c r="AG907" s="31"/>
      <c r="AH907">
        <f>IF(AH906=MiscData!$AB$91,1,AH906+1)</f>
        <v>26</v>
      </c>
      <c r="AI907">
        <f>IF(AD907&lt;=MiscData!$B$23,MiscData!$C$23,IF(AD907&lt;=MiscData!$B$24,MiscData!$C$24,MiscData!$C$25))</f>
        <v>20140101</v>
      </c>
      <c r="AK907" s="190" t="str">
        <f>VLOOKUP(AM907,MiscData!$AB$4:$ACB$113,2,FALSE)</f>
        <v>KUUM_411</v>
      </c>
      <c r="AL907" s="190" t="str">
        <f>VLOOKUP(AM907,MiscData!$AB$4:$AE$115,4,FALSE)</f>
        <v>LS</v>
      </c>
      <c r="AM907">
        <f>IF(AM906=MiscData!$AB$91,1,AM906+1)</f>
        <v>26</v>
      </c>
    </row>
    <row r="908" spans="1:39">
      <c r="A908" s="7">
        <f t="shared" si="383"/>
        <v>907</v>
      </c>
      <c r="B908" s="13" t="str">
        <f t="shared" si="365"/>
        <v>Nov 2015</v>
      </c>
      <c r="C908" s="23" t="str">
        <f t="shared" si="366"/>
        <v>RLS</v>
      </c>
      <c r="D908" s="23" t="str">
        <f t="shared" si="367"/>
        <v>KUUM_412</v>
      </c>
      <c r="E908" s="170">
        <f t="shared" si="368"/>
        <v>28</v>
      </c>
      <c r="F908" s="185"/>
      <c r="G908" s="170">
        <f t="shared" si="364"/>
        <v>0</v>
      </c>
      <c r="H908" s="170">
        <v>0</v>
      </c>
      <c r="I908" s="11">
        <f t="shared" si="369"/>
        <v>30.84</v>
      </c>
      <c r="J908" s="11">
        <f t="shared" si="370"/>
        <v>0.79999999999999716</v>
      </c>
      <c r="K908" s="416">
        <f t="shared" si="385"/>
        <v>863.52</v>
      </c>
      <c r="L908" s="180"/>
      <c r="M908" s="180"/>
      <c r="N908" s="186">
        <f t="shared" si="363"/>
        <v>863.52</v>
      </c>
      <c r="O908" s="29">
        <f t="shared" si="371"/>
        <v>0</v>
      </c>
      <c r="P908" s="181">
        <f t="shared" si="386"/>
        <v>0</v>
      </c>
      <c r="Q908" s="182">
        <f t="shared" si="372"/>
        <v>0</v>
      </c>
      <c r="R908" s="182">
        <f t="shared" si="373"/>
        <v>0</v>
      </c>
      <c r="S908" s="182">
        <f t="shared" si="374"/>
        <v>0</v>
      </c>
      <c r="T908" s="182">
        <f t="shared" si="375"/>
        <v>0</v>
      </c>
      <c r="U908" s="182">
        <f t="shared" si="376"/>
        <v>0</v>
      </c>
      <c r="V908" s="14">
        <f t="shared" si="377"/>
        <v>863.52</v>
      </c>
      <c r="W908" s="14">
        <f t="shared" si="378"/>
        <v>-863.52</v>
      </c>
      <c r="Y908" s="14">
        <f t="shared" si="381"/>
        <v>22.4</v>
      </c>
      <c r="Z908" s="14">
        <f t="shared" si="382"/>
        <v>-22.4</v>
      </c>
      <c r="AA908" s="11">
        <f t="shared" si="384"/>
        <v>0.43</v>
      </c>
      <c r="AB908" s="9">
        <f t="shared" si="387"/>
        <v>12.04</v>
      </c>
      <c r="AD908" s="13">
        <f>IF(AH908&gt;AH907,AD907,IF(AD907&lt;MiscData!$F$1,EOMONTH(AD907,1),EOMONTH(AD907,-11)))</f>
        <v>42338</v>
      </c>
      <c r="AE908" s="7" t="str">
        <f t="shared" si="379"/>
        <v>20140101KUUM_412</v>
      </c>
      <c r="AF908" s="12" t="str">
        <f t="shared" si="380"/>
        <v>20140101RLS</v>
      </c>
      <c r="AG908" s="31"/>
      <c r="AH908">
        <f>IF(AH907=MiscData!$AB$91,1,AH907+1)</f>
        <v>27</v>
      </c>
      <c r="AI908">
        <f>IF(AD908&lt;=MiscData!$B$23,MiscData!$C$23,IF(AD908&lt;=MiscData!$B$24,MiscData!$C$24,MiscData!$C$25))</f>
        <v>20140101</v>
      </c>
      <c r="AK908" s="190" t="str">
        <f>VLOOKUP(AM908,MiscData!$AB$4:$ACB$113,2,FALSE)</f>
        <v>KUUM_412</v>
      </c>
      <c r="AL908" s="190" t="str">
        <f>VLOOKUP(AM908,MiscData!$AB$4:$AE$115,4,FALSE)</f>
        <v>RLS</v>
      </c>
      <c r="AM908">
        <f>IF(AM907=MiscData!$AB$91,1,AM907+1)</f>
        <v>27</v>
      </c>
    </row>
    <row r="909" spans="1:39">
      <c r="A909" s="7">
        <f t="shared" si="383"/>
        <v>908</v>
      </c>
      <c r="B909" s="13" t="str">
        <f t="shared" si="365"/>
        <v>Nov 2015</v>
      </c>
      <c r="C909" s="23" t="str">
        <f t="shared" si="366"/>
        <v>RLS</v>
      </c>
      <c r="D909" s="23" t="str">
        <f t="shared" si="367"/>
        <v>KUUM_413</v>
      </c>
      <c r="E909" s="170">
        <f t="shared" si="368"/>
        <v>95</v>
      </c>
      <c r="F909" s="185"/>
      <c r="G909" s="170">
        <f t="shared" si="364"/>
        <v>0</v>
      </c>
      <c r="H909" s="170">
        <v>0</v>
      </c>
      <c r="I909" s="11">
        <f t="shared" si="369"/>
        <v>31.22</v>
      </c>
      <c r="J909" s="11">
        <f t="shared" si="370"/>
        <v>1.129999999999999</v>
      </c>
      <c r="K909" s="416">
        <f t="shared" si="385"/>
        <v>2965.9</v>
      </c>
      <c r="L909" s="180"/>
      <c r="M909" s="180"/>
      <c r="N909" s="186">
        <f t="shared" si="363"/>
        <v>2965.9</v>
      </c>
      <c r="O909" s="29">
        <f t="shared" si="371"/>
        <v>0</v>
      </c>
      <c r="P909" s="181">
        <f t="shared" si="386"/>
        <v>0</v>
      </c>
      <c r="Q909" s="182">
        <f t="shared" si="372"/>
        <v>0</v>
      </c>
      <c r="R909" s="182">
        <f t="shared" si="373"/>
        <v>0</v>
      </c>
      <c r="S909" s="182">
        <f t="shared" si="374"/>
        <v>0</v>
      </c>
      <c r="T909" s="182">
        <f t="shared" si="375"/>
        <v>0</v>
      </c>
      <c r="U909" s="182">
        <f t="shared" si="376"/>
        <v>0</v>
      </c>
      <c r="V909" s="14">
        <f t="shared" si="377"/>
        <v>2965.9</v>
      </c>
      <c r="W909" s="14">
        <f t="shared" si="378"/>
        <v>-2965.9</v>
      </c>
      <c r="Y909" s="14">
        <f t="shared" si="381"/>
        <v>107.35</v>
      </c>
      <c r="Z909" s="14">
        <f t="shared" si="382"/>
        <v>-107.35</v>
      </c>
      <c r="AA909" s="11">
        <f t="shared" si="384"/>
        <v>0.34</v>
      </c>
      <c r="AB909" s="9">
        <f t="shared" si="387"/>
        <v>32.300000000000004</v>
      </c>
      <c r="AD909" s="13">
        <f>IF(AH909&gt;AH908,AD908,IF(AD908&lt;MiscData!$F$1,EOMONTH(AD908,1),EOMONTH(AD908,-11)))</f>
        <v>42338</v>
      </c>
      <c r="AE909" s="7" t="str">
        <f t="shared" si="379"/>
        <v>20140101KUUM_413</v>
      </c>
      <c r="AF909" s="12" t="str">
        <f t="shared" si="380"/>
        <v>20140101RLS</v>
      </c>
      <c r="AG909" s="31"/>
      <c r="AH909">
        <f>IF(AH908=MiscData!$AB$91,1,AH908+1)</f>
        <v>28</v>
      </c>
      <c r="AI909">
        <f>IF(AD909&lt;=MiscData!$B$23,MiscData!$C$23,IF(AD909&lt;=MiscData!$B$24,MiscData!$C$24,MiscData!$C$25))</f>
        <v>20140101</v>
      </c>
      <c r="AK909" s="190" t="str">
        <f>VLOOKUP(AM909,MiscData!$AB$4:$ACB$113,2,FALSE)</f>
        <v>KUUM_413</v>
      </c>
      <c r="AL909" s="190" t="str">
        <f>VLOOKUP(AM909,MiscData!$AB$4:$AE$115,4,FALSE)</f>
        <v>RLS</v>
      </c>
      <c r="AM909">
        <f>IF(AM908=MiscData!$AB$91,1,AM908+1)</f>
        <v>28</v>
      </c>
    </row>
    <row r="910" spans="1:39">
      <c r="A910" s="7">
        <f t="shared" si="383"/>
        <v>909</v>
      </c>
      <c r="B910" s="13" t="str">
        <f t="shared" si="365"/>
        <v>Nov 2015</v>
      </c>
      <c r="C910" s="23" t="str">
        <f t="shared" si="366"/>
        <v>LS</v>
      </c>
      <c r="D910" s="23" t="str">
        <f t="shared" si="367"/>
        <v>KUUM_414</v>
      </c>
      <c r="E910" s="170">
        <f t="shared" si="368"/>
        <v>21</v>
      </c>
      <c r="F910" s="185"/>
      <c r="G910" s="170">
        <f t="shared" si="364"/>
        <v>0</v>
      </c>
      <c r="H910" s="170">
        <v>0</v>
      </c>
      <c r="I910" s="11">
        <f t="shared" si="369"/>
        <v>30.84</v>
      </c>
      <c r="J910" s="11">
        <f t="shared" si="370"/>
        <v>0.79999999999999716</v>
      </c>
      <c r="K910" s="416">
        <f t="shared" si="385"/>
        <v>647.64</v>
      </c>
      <c r="L910" s="180"/>
      <c r="M910" s="180"/>
      <c r="N910" s="186">
        <f t="shared" si="363"/>
        <v>647.64</v>
      </c>
      <c r="O910" s="29">
        <f t="shared" si="371"/>
        <v>0</v>
      </c>
      <c r="P910" s="181">
        <f t="shared" si="386"/>
        <v>0</v>
      </c>
      <c r="Q910" s="182">
        <f t="shared" si="372"/>
        <v>0</v>
      </c>
      <c r="R910" s="182">
        <f t="shared" si="373"/>
        <v>0</v>
      </c>
      <c r="S910" s="182">
        <f t="shared" si="374"/>
        <v>0</v>
      </c>
      <c r="T910" s="182">
        <f t="shared" si="375"/>
        <v>0</v>
      </c>
      <c r="U910" s="182">
        <f t="shared" si="376"/>
        <v>0</v>
      </c>
      <c r="V910" s="14">
        <f t="shared" si="377"/>
        <v>647.64</v>
      </c>
      <c r="W910" s="14">
        <f t="shared" si="378"/>
        <v>-647.64</v>
      </c>
      <c r="Y910" s="14">
        <f t="shared" si="381"/>
        <v>16.8</v>
      </c>
      <c r="Z910" s="14">
        <f t="shared" si="382"/>
        <v>-16.8</v>
      </c>
      <c r="AA910" s="11">
        <f t="shared" si="384"/>
        <v>0.43</v>
      </c>
      <c r="AB910" s="9">
        <f t="shared" si="387"/>
        <v>9.0299999999999994</v>
      </c>
      <c r="AD910" s="13">
        <f>IF(AH910&gt;AH909,AD909,IF(AD909&lt;MiscData!$F$1,EOMONTH(AD909,1),EOMONTH(AD909,-11)))</f>
        <v>42338</v>
      </c>
      <c r="AE910" s="7" t="str">
        <f t="shared" si="379"/>
        <v>20140101KUUM_414</v>
      </c>
      <c r="AF910" s="12" t="str">
        <f t="shared" si="380"/>
        <v>20140101LS</v>
      </c>
      <c r="AG910" s="31"/>
      <c r="AH910">
        <f>IF(AH909=MiscData!$AB$91,1,AH909+1)</f>
        <v>29</v>
      </c>
      <c r="AI910">
        <f>IF(AD910&lt;=MiscData!$B$23,MiscData!$C$23,IF(AD910&lt;=MiscData!$B$24,MiscData!$C$24,MiscData!$C$25))</f>
        <v>20140101</v>
      </c>
      <c r="AK910" s="190" t="str">
        <f>VLOOKUP(AM910,MiscData!$AB$4:$ACB$113,2,FALSE)</f>
        <v>KUUM_414</v>
      </c>
      <c r="AL910" s="190" t="str">
        <f>VLOOKUP(AM910,MiscData!$AB$4:$AE$115,4,FALSE)</f>
        <v>LS</v>
      </c>
      <c r="AM910">
        <f>IF(AM909=MiscData!$AB$91,1,AM909+1)</f>
        <v>29</v>
      </c>
    </row>
    <row r="911" spans="1:39">
      <c r="A911" s="7">
        <f t="shared" si="383"/>
        <v>910</v>
      </c>
      <c r="B911" s="13" t="str">
        <f t="shared" si="365"/>
        <v>Nov 2015</v>
      </c>
      <c r="C911" s="23" t="str">
        <f t="shared" si="366"/>
        <v>LS</v>
      </c>
      <c r="D911" s="23" t="str">
        <f t="shared" si="367"/>
        <v>KUUM_415</v>
      </c>
      <c r="E911" s="170">
        <f t="shared" si="368"/>
        <v>10</v>
      </c>
      <c r="F911" s="185"/>
      <c r="G911" s="170">
        <f t="shared" si="364"/>
        <v>0</v>
      </c>
      <c r="H911" s="170">
        <v>0</v>
      </c>
      <c r="I911" s="11">
        <f t="shared" si="369"/>
        <v>31.22</v>
      </c>
      <c r="J911" s="11">
        <f t="shared" si="370"/>
        <v>1.129999999999999</v>
      </c>
      <c r="K911" s="416">
        <f t="shared" si="385"/>
        <v>312.2</v>
      </c>
      <c r="L911" s="180"/>
      <c r="M911" s="180"/>
      <c r="N911" s="186">
        <f t="shared" si="363"/>
        <v>312.2</v>
      </c>
      <c r="O911" s="29">
        <f t="shared" si="371"/>
        <v>0</v>
      </c>
      <c r="P911" s="181">
        <f t="shared" si="386"/>
        <v>0</v>
      </c>
      <c r="Q911" s="182">
        <f t="shared" si="372"/>
        <v>0</v>
      </c>
      <c r="R911" s="182">
        <f t="shared" si="373"/>
        <v>0</v>
      </c>
      <c r="S911" s="182">
        <f t="shared" si="374"/>
        <v>0</v>
      </c>
      <c r="T911" s="182">
        <f t="shared" si="375"/>
        <v>0</v>
      </c>
      <c r="U911" s="182">
        <f t="shared" si="376"/>
        <v>0</v>
      </c>
      <c r="V911" s="14">
        <f t="shared" si="377"/>
        <v>312.2</v>
      </c>
      <c r="W911" s="14">
        <f t="shared" si="378"/>
        <v>-312.2</v>
      </c>
      <c r="Y911" s="14">
        <f t="shared" si="381"/>
        <v>11.3</v>
      </c>
      <c r="Z911" s="14">
        <f t="shared" si="382"/>
        <v>-11.3</v>
      </c>
      <c r="AA911" s="11">
        <f t="shared" si="384"/>
        <v>0.34</v>
      </c>
      <c r="AB911" s="9">
        <f t="shared" si="387"/>
        <v>3.4000000000000004</v>
      </c>
      <c r="AD911" s="13">
        <f>IF(AH911&gt;AH910,AD910,IF(AD910&lt;MiscData!$F$1,EOMONTH(AD910,1),EOMONTH(AD910,-11)))</f>
        <v>42338</v>
      </c>
      <c r="AE911" s="7" t="str">
        <f t="shared" si="379"/>
        <v>20140101KUUM_415</v>
      </c>
      <c r="AF911" s="12" t="str">
        <f t="shared" si="380"/>
        <v>20140101LS</v>
      </c>
      <c r="AG911" s="31"/>
      <c r="AH911">
        <f>IF(AH910=MiscData!$AB$91,1,AH910+1)</f>
        <v>30</v>
      </c>
      <c r="AI911">
        <f>IF(AD911&lt;=MiscData!$B$23,MiscData!$C$23,IF(AD911&lt;=MiscData!$B$24,MiscData!$C$24,MiscData!$C$25))</f>
        <v>20140101</v>
      </c>
      <c r="AK911" s="190" t="str">
        <f>VLOOKUP(AM911,MiscData!$AB$4:$ACB$113,2,FALSE)</f>
        <v>KUUM_415</v>
      </c>
      <c r="AL911" s="190" t="str">
        <f>VLOOKUP(AM911,MiscData!$AB$4:$AE$115,4,FALSE)</f>
        <v>LS</v>
      </c>
      <c r="AM911">
        <f>IF(AM910=MiscData!$AB$91,1,AM910+1)</f>
        <v>30</v>
      </c>
    </row>
    <row r="912" spans="1:39">
      <c r="A912" s="7">
        <f t="shared" si="383"/>
        <v>911</v>
      </c>
      <c r="B912" s="13" t="str">
        <f t="shared" si="365"/>
        <v>Nov 2015</v>
      </c>
      <c r="C912" s="23" t="str">
        <f t="shared" si="366"/>
        <v>LS</v>
      </c>
      <c r="D912" s="23" t="str">
        <f t="shared" si="367"/>
        <v>KUUM_420</v>
      </c>
      <c r="E912" s="170">
        <f t="shared" si="368"/>
        <v>449</v>
      </c>
      <c r="F912" s="185"/>
      <c r="G912" s="170">
        <f t="shared" si="364"/>
        <v>0</v>
      </c>
      <c r="H912" s="170">
        <v>0</v>
      </c>
      <c r="I912" s="11">
        <f t="shared" si="369"/>
        <v>15.360000000000001</v>
      </c>
      <c r="J912" s="11">
        <f t="shared" si="370"/>
        <v>1.1300000000000008</v>
      </c>
      <c r="K912" s="416">
        <f t="shared" si="385"/>
        <v>6896.64</v>
      </c>
      <c r="L912" s="180"/>
      <c r="M912" s="180"/>
      <c r="N912" s="186">
        <f t="shared" si="363"/>
        <v>6896.64</v>
      </c>
      <c r="O912" s="29">
        <f t="shared" si="371"/>
        <v>0</v>
      </c>
      <c r="P912" s="181">
        <f t="shared" si="386"/>
        <v>0</v>
      </c>
      <c r="Q912" s="182">
        <f t="shared" si="372"/>
        <v>0</v>
      </c>
      <c r="R912" s="182">
        <f t="shared" si="373"/>
        <v>0</v>
      </c>
      <c r="S912" s="182">
        <f t="shared" si="374"/>
        <v>0</v>
      </c>
      <c r="T912" s="182">
        <f t="shared" si="375"/>
        <v>0</v>
      </c>
      <c r="U912" s="182">
        <f t="shared" si="376"/>
        <v>0</v>
      </c>
      <c r="V912" s="14">
        <f t="shared" si="377"/>
        <v>6896.64</v>
      </c>
      <c r="W912" s="14">
        <f t="shared" si="378"/>
        <v>-6896.64</v>
      </c>
      <c r="Y912" s="14">
        <f t="shared" si="381"/>
        <v>507.37</v>
      </c>
      <c r="Z912" s="14">
        <f t="shared" si="382"/>
        <v>-507.37</v>
      </c>
      <c r="AA912" s="11">
        <f t="shared" si="384"/>
        <v>0.34</v>
      </c>
      <c r="AB912" s="9">
        <f t="shared" si="387"/>
        <v>152.66000000000003</v>
      </c>
      <c r="AD912" s="13">
        <f>IF(AH912&gt;AH911,AD911,IF(AD911&lt;MiscData!$F$1,EOMONTH(AD911,1),EOMONTH(AD911,-11)))</f>
        <v>42338</v>
      </c>
      <c r="AE912" s="7" t="str">
        <f t="shared" si="379"/>
        <v>20140101KUUM_420</v>
      </c>
      <c r="AF912" s="12" t="str">
        <f t="shared" si="380"/>
        <v>20140101LS</v>
      </c>
      <c r="AG912" s="31"/>
      <c r="AH912">
        <f>IF(AH911=MiscData!$AB$91,1,AH911+1)</f>
        <v>31</v>
      </c>
      <c r="AI912">
        <f>IF(AD912&lt;=MiscData!$B$23,MiscData!$C$23,IF(AD912&lt;=MiscData!$B$24,MiscData!$C$24,MiscData!$C$25))</f>
        <v>20140101</v>
      </c>
      <c r="AK912" s="190" t="str">
        <f>VLOOKUP(AM912,MiscData!$AB$4:$ACB$113,2,FALSE)</f>
        <v>KUUM_420</v>
      </c>
      <c r="AL912" s="190" t="str">
        <f>VLOOKUP(AM912,MiscData!$AB$4:$AE$115,4,FALSE)</f>
        <v>LS</v>
      </c>
      <c r="AM912">
        <f>IF(AM911=MiscData!$AB$91,1,AM911+1)</f>
        <v>31</v>
      </c>
    </row>
    <row r="913" spans="1:39">
      <c r="A913" s="7">
        <f t="shared" si="383"/>
        <v>912</v>
      </c>
      <c r="B913" s="13" t="str">
        <f t="shared" si="365"/>
        <v>Nov 2015</v>
      </c>
      <c r="C913" s="23" t="str">
        <f t="shared" si="366"/>
        <v>RLS</v>
      </c>
      <c r="D913" s="23" t="str">
        <f t="shared" si="367"/>
        <v>KUUM_421</v>
      </c>
      <c r="E913" s="170">
        <f t="shared" si="368"/>
        <v>5</v>
      </c>
      <c r="F913" s="185"/>
      <c r="G913" s="170">
        <f t="shared" si="364"/>
        <v>0</v>
      </c>
      <c r="H913" s="170">
        <v>0</v>
      </c>
      <c r="I913" s="11">
        <f t="shared" si="369"/>
        <v>3.39</v>
      </c>
      <c r="J913" s="11">
        <f t="shared" si="370"/>
        <v>0.98999999999999977</v>
      </c>
      <c r="K913" s="416">
        <f t="shared" si="385"/>
        <v>16.95</v>
      </c>
      <c r="L913" s="180"/>
      <c r="M913" s="180"/>
      <c r="N913" s="186">
        <f t="shared" si="363"/>
        <v>16.95</v>
      </c>
      <c r="O913" s="29">
        <f t="shared" si="371"/>
        <v>0</v>
      </c>
      <c r="P913" s="181">
        <f t="shared" si="386"/>
        <v>0</v>
      </c>
      <c r="Q913" s="182">
        <f t="shared" si="372"/>
        <v>0</v>
      </c>
      <c r="R913" s="182">
        <f t="shared" si="373"/>
        <v>0</v>
      </c>
      <c r="S913" s="182">
        <f t="shared" si="374"/>
        <v>0</v>
      </c>
      <c r="T913" s="182">
        <f t="shared" si="375"/>
        <v>0</v>
      </c>
      <c r="U913" s="182">
        <f t="shared" si="376"/>
        <v>0</v>
      </c>
      <c r="V913" s="14">
        <f t="shared" si="377"/>
        <v>16.95</v>
      </c>
      <c r="W913" s="14">
        <f t="shared" si="378"/>
        <v>-16.95</v>
      </c>
      <c r="Y913" s="14">
        <f t="shared" si="381"/>
        <v>4.95</v>
      </c>
      <c r="Z913" s="14">
        <f t="shared" si="382"/>
        <v>-4.95</v>
      </c>
      <c r="AA913" s="11">
        <f t="shared" si="384"/>
        <v>0.12</v>
      </c>
      <c r="AB913" s="9">
        <f t="shared" si="387"/>
        <v>0.6</v>
      </c>
      <c r="AD913" s="13">
        <f>IF(AH913&gt;AH912,AD912,IF(AD912&lt;MiscData!$F$1,EOMONTH(AD912,1),EOMONTH(AD912,-11)))</f>
        <v>42338</v>
      </c>
      <c r="AE913" s="7" t="str">
        <f t="shared" si="379"/>
        <v>20140101KUUM_421</v>
      </c>
      <c r="AF913" s="12" t="str">
        <f t="shared" si="380"/>
        <v>20140101RLS</v>
      </c>
      <c r="AG913" s="31"/>
      <c r="AH913">
        <f>IF(AH912=MiscData!$AB$91,1,AH912+1)</f>
        <v>32</v>
      </c>
      <c r="AI913">
        <f>IF(AD913&lt;=MiscData!$B$23,MiscData!$C$23,IF(AD913&lt;=MiscData!$B$24,MiscData!$C$24,MiscData!$C$25))</f>
        <v>20140101</v>
      </c>
      <c r="AK913" s="190" t="str">
        <f>VLOOKUP(AM913,MiscData!$AB$4:$ACB$113,2,FALSE)</f>
        <v>KUUM_421</v>
      </c>
      <c r="AL913" s="190" t="str">
        <f>VLOOKUP(AM913,MiscData!$AB$4:$AE$115,4,FALSE)</f>
        <v>RLS</v>
      </c>
      <c r="AM913">
        <f>IF(AM912=MiscData!$AB$91,1,AM912+1)</f>
        <v>32</v>
      </c>
    </row>
    <row r="914" spans="1:39">
      <c r="A914" s="7">
        <f t="shared" si="383"/>
        <v>913</v>
      </c>
      <c r="B914" s="13" t="str">
        <f t="shared" si="365"/>
        <v>Nov 2015</v>
      </c>
      <c r="C914" s="23" t="str">
        <f t="shared" si="366"/>
        <v>RLS</v>
      </c>
      <c r="D914" s="23" t="str">
        <f t="shared" si="367"/>
        <v>KUUM_422</v>
      </c>
      <c r="E914" s="170">
        <f t="shared" si="368"/>
        <v>676</v>
      </c>
      <c r="F914" s="185"/>
      <c r="G914" s="170">
        <f t="shared" si="364"/>
        <v>0</v>
      </c>
      <c r="H914" s="170">
        <v>0</v>
      </c>
      <c r="I914" s="11">
        <f t="shared" si="369"/>
        <v>4.5400000000000009</v>
      </c>
      <c r="J914" s="11">
        <f t="shared" si="370"/>
        <v>1.9400000000000004</v>
      </c>
      <c r="K914" s="416">
        <f t="shared" si="385"/>
        <v>3069.04</v>
      </c>
      <c r="L914" s="180"/>
      <c r="M914" s="180"/>
      <c r="N914" s="186">
        <f t="shared" si="363"/>
        <v>3069.04</v>
      </c>
      <c r="O914" s="29">
        <f t="shared" si="371"/>
        <v>0</v>
      </c>
      <c r="P914" s="181">
        <f t="shared" si="386"/>
        <v>0</v>
      </c>
      <c r="Q914" s="182">
        <f t="shared" si="372"/>
        <v>0</v>
      </c>
      <c r="R914" s="182">
        <f t="shared" si="373"/>
        <v>0</v>
      </c>
      <c r="S914" s="182">
        <f t="shared" si="374"/>
        <v>0</v>
      </c>
      <c r="T914" s="182">
        <f t="shared" si="375"/>
        <v>0</v>
      </c>
      <c r="U914" s="182">
        <f t="shared" si="376"/>
        <v>0</v>
      </c>
      <c r="V914" s="14">
        <f t="shared" si="377"/>
        <v>3069.04</v>
      </c>
      <c r="W914" s="14">
        <f t="shared" si="378"/>
        <v>-3069.04</v>
      </c>
      <c r="Y914" s="14">
        <f t="shared" si="381"/>
        <v>1311.44</v>
      </c>
      <c r="Z914" s="14">
        <f t="shared" si="382"/>
        <v>-1311.44</v>
      </c>
      <c r="AA914" s="11">
        <f t="shared" si="384"/>
        <v>0.16</v>
      </c>
      <c r="AB914" s="9">
        <f t="shared" si="387"/>
        <v>108.16</v>
      </c>
      <c r="AD914" s="13">
        <f>IF(AH914&gt;AH913,AD913,IF(AD913&lt;MiscData!$F$1,EOMONTH(AD913,1),EOMONTH(AD913,-11)))</f>
        <v>42338</v>
      </c>
      <c r="AE914" s="7" t="str">
        <f t="shared" si="379"/>
        <v>20140101KUUM_422</v>
      </c>
      <c r="AF914" s="12" t="str">
        <f t="shared" si="380"/>
        <v>20140101RLS</v>
      </c>
      <c r="AG914" s="31"/>
      <c r="AH914">
        <f>IF(AH913=MiscData!$AB$91,1,AH913+1)</f>
        <v>33</v>
      </c>
      <c r="AI914">
        <f>IF(AD914&lt;=MiscData!$B$23,MiscData!$C$23,IF(AD914&lt;=MiscData!$B$24,MiscData!$C$24,MiscData!$C$25))</f>
        <v>20140101</v>
      </c>
      <c r="AK914" s="190" t="str">
        <f>VLOOKUP(AM914,MiscData!$AB$4:$ACB$113,2,FALSE)</f>
        <v>KUUM_422</v>
      </c>
      <c r="AL914" s="190" t="str">
        <f>VLOOKUP(AM914,MiscData!$AB$4:$AE$115,4,FALSE)</f>
        <v>RLS</v>
      </c>
      <c r="AM914">
        <f>IF(AM913=MiscData!$AB$91,1,AM913+1)</f>
        <v>33</v>
      </c>
    </row>
    <row r="915" spans="1:39">
      <c r="A915" s="7">
        <f t="shared" si="383"/>
        <v>914</v>
      </c>
      <c r="B915" s="13" t="str">
        <f t="shared" si="365"/>
        <v>Nov 2015</v>
      </c>
      <c r="C915" s="23" t="str">
        <f t="shared" si="366"/>
        <v>RLS</v>
      </c>
      <c r="D915" s="23" t="str">
        <f t="shared" si="367"/>
        <v>KUUM_424</v>
      </c>
      <c r="E915" s="170">
        <f t="shared" si="368"/>
        <v>113</v>
      </c>
      <c r="F915" s="185"/>
      <c r="G915" s="170">
        <f t="shared" si="364"/>
        <v>0</v>
      </c>
      <c r="H915" s="170">
        <v>0</v>
      </c>
      <c r="I915" s="11">
        <f t="shared" si="369"/>
        <v>6.78</v>
      </c>
      <c r="J915" s="11">
        <f t="shared" si="370"/>
        <v>0.69999999999999929</v>
      </c>
      <c r="K915" s="416">
        <f t="shared" si="385"/>
        <v>766.14</v>
      </c>
      <c r="L915" s="180"/>
      <c r="M915" s="180"/>
      <c r="N915" s="186">
        <f t="shared" si="363"/>
        <v>766.14</v>
      </c>
      <c r="O915" s="29">
        <f t="shared" si="371"/>
        <v>0</v>
      </c>
      <c r="P915" s="181">
        <f t="shared" si="386"/>
        <v>0</v>
      </c>
      <c r="Q915" s="182">
        <f t="shared" si="372"/>
        <v>0</v>
      </c>
      <c r="R915" s="182">
        <f t="shared" si="373"/>
        <v>0</v>
      </c>
      <c r="S915" s="182">
        <f t="shared" si="374"/>
        <v>0</v>
      </c>
      <c r="T915" s="182">
        <f t="shared" si="375"/>
        <v>0</v>
      </c>
      <c r="U915" s="182">
        <f t="shared" si="376"/>
        <v>0</v>
      </c>
      <c r="V915" s="14">
        <f t="shared" si="377"/>
        <v>766.14</v>
      </c>
      <c r="W915" s="14">
        <f t="shared" si="378"/>
        <v>-766.14</v>
      </c>
      <c r="Y915" s="14">
        <f t="shared" si="381"/>
        <v>79.099999999999994</v>
      </c>
      <c r="Z915" s="14">
        <f t="shared" si="382"/>
        <v>-79.099999999999994</v>
      </c>
      <c r="AA915" s="11">
        <f t="shared" si="384"/>
        <v>0.24</v>
      </c>
      <c r="AB915" s="9">
        <f t="shared" si="387"/>
        <v>27.119999999999997</v>
      </c>
      <c r="AD915" s="13">
        <f>IF(AH915&gt;AH914,AD914,IF(AD914&lt;MiscData!$F$1,EOMONTH(AD914,1),EOMONTH(AD914,-11)))</f>
        <v>42338</v>
      </c>
      <c r="AE915" s="7" t="str">
        <f t="shared" si="379"/>
        <v>20140101KUUM_424</v>
      </c>
      <c r="AF915" s="12" t="str">
        <f t="shared" si="380"/>
        <v>20140101RLS</v>
      </c>
      <c r="AG915" s="31"/>
      <c r="AH915">
        <f>IF(AH914=MiscData!$AB$91,1,AH914+1)</f>
        <v>34</v>
      </c>
      <c r="AI915">
        <f>IF(AD915&lt;=MiscData!$B$23,MiscData!$C$23,IF(AD915&lt;=MiscData!$B$24,MiscData!$C$24,MiscData!$C$25))</f>
        <v>20140101</v>
      </c>
      <c r="AK915" s="190" t="str">
        <f>VLOOKUP(AM915,MiscData!$AB$4:$ACB$113,2,FALSE)</f>
        <v>KUUM_424</v>
      </c>
      <c r="AL915" s="190" t="str">
        <f>VLOOKUP(AM915,MiscData!$AB$4:$AE$115,4,FALSE)</f>
        <v>RLS</v>
      </c>
      <c r="AM915">
        <f>IF(AM914=MiscData!$AB$91,1,AM914+1)</f>
        <v>34</v>
      </c>
    </row>
    <row r="916" spans="1:39">
      <c r="A916" s="7">
        <f t="shared" si="383"/>
        <v>915</v>
      </c>
      <c r="B916" s="13" t="str">
        <f t="shared" si="365"/>
        <v>Nov 2015</v>
      </c>
      <c r="C916" s="23" t="str">
        <f t="shared" si="366"/>
        <v>RLS</v>
      </c>
      <c r="D916" s="23" t="str">
        <f t="shared" si="367"/>
        <v>KUUM_425</v>
      </c>
      <c r="E916" s="170">
        <f t="shared" si="368"/>
        <v>2</v>
      </c>
      <c r="F916" s="185"/>
      <c r="G916" s="170">
        <f t="shared" si="364"/>
        <v>0</v>
      </c>
      <c r="H916" s="170">
        <v>0</v>
      </c>
      <c r="I916" s="11">
        <f t="shared" si="369"/>
        <v>9.06</v>
      </c>
      <c r="J916" s="11">
        <f t="shared" si="370"/>
        <v>4.3000000000000007</v>
      </c>
      <c r="K916" s="416">
        <f t="shared" si="385"/>
        <v>18.12</v>
      </c>
      <c r="L916" s="180"/>
      <c r="M916" s="180"/>
      <c r="N916" s="186">
        <f t="shared" si="363"/>
        <v>18.12</v>
      </c>
      <c r="O916" s="29">
        <f t="shared" si="371"/>
        <v>0</v>
      </c>
      <c r="P916" s="181">
        <f t="shared" si="386"/>
        <v>0</v>
      </c>
      <c r="Q916" s="182">
        <f t="shared" si="372"/>
        <v>0</v>
      </c>
      <c r="R916" s="182">
        <f t="shared" si="373"/>
        <v>0</v>
      </c>
      <c r="S916" s="182">
        <f t="shared" si="374"/>
        <v>0</v>
      </c>
      <c r="T916" s="182">
        <f t="shared" si="375"/>
        <v>0</v>
      </c>
      <c r="U916" s="182">
        <f t="shared" si="376"/>
        <v>0</v>
      </c>
      <c r="V916" s="14">
        <f t="shared" si="377"/>
        <v>18.12</v>
      </c>
      <c r="W916" s="14">
        <f t="shared" si="378"/>
        <v>-18.12</v>
      </c>
      <c r="Y916" s="14">
        <f t="shared" si="381"/>
        <v>8.6</v>
      </c>
      <c r="Z916" s="14">
        <f t="shared" si="382"/>
        <v>-8.6</v>
      </c>
      <c r="AA916" s="11">
        <f t="shared" si="384"/>
        <v>0.33</v>
      </c>
      <c r="AB916" s="9">
        <f t="shared" si="387"/>
        <v>0.66</v>
      </c>
      <c r="AD916" s="13">
        <f>IF(AH916&gt;AH915,AD915,IF(AD915&lt;MiscData!$F$1,EOMONTH(AD915,1),EOMONTH(AD915,-11)))</f>
        <v>42338</v>
      </c>
      <c r="AE916" s="7" t="str">
        <f t="shared" si="379"/>
        <v>20140101KUUM_425</v>
      </c>
      <c r="AF916" s="12" t="str">
        <f t="shared" si="380"/>
        <v>20140101RLS</v>
      </c>
      <c r="AG916" s="31"/>
      <c r="AH916">
        <f>IF(AH915=MiscData!$AB$91,1,AH915+1)</f>
        <v>35</v>
      </c>
      <c r="AI916">
        <f>IF(AD916&lt;=MiscData!$B$23,MiscData!$C$23,IF(AD916&lt;=MiscData!$B$24,MiscData!$C$24,MiscData!$C$25))</f>
        <v>20140101</v>
      </c>
      <c r="AK916" s="190" t="str">
        <f>VLOOKUP(AM916,MiscData!$AB$4:$ACB$113,2,FALSE)</f>
        <v>KUUM_425</v>
      </c>
      <c r="AL916" s="190" t="str">
        <f>VLOOKUP(AM916,MiscData!$AB$4:$AE$115,4,FALSE)</f>
        <v>RLS</v>
      </c>
      <c r="AM916">
        <f>IF(AM915=MiscData!$AB$91,1,AM915+1)</f>
        <v>35</v>
      </c>
    </row>
    <row r="917" spans="1:39">
      <c r="A917" s="7">
        <f t="shared" si="383"/>
        <v>916</v>
      </c>
      <c r="B917" s="13" t="str">
        <f t="shared" si="365"/>
        <v>Nov 2015</v>
      </c>
      <c r="C917" s="23" t="str">
        <f t="shared" si="366"/>
        <v>RLS</v>
      </c>
      <c r="D917" s="23" t="str">
        <f t="shared" si="367"/>
        <v>KUUM_426</v>
      </c>
      <c r="E917" s="170">
        <f t="shared" si="368"/>
        <v>162</v>
      </c>
      <c r="F917" s="185"/>
      <c r="G917" s="170">
        <f t="shared" si="364"/>
        <v>0</v>
      </c>
      <c r="H917" s="170">
        <v>0</v>
      </c>
      <c r="I917" s="11">
        <f t="shared" si="369"/>
        <v>7.4399999999999995</v>
      </c>
      <c r="J917" s="11">
        <f t="shared" si="370"/>
        <v>0.79999999999999982</v>
      </c>
      <c r="K917" s="416">
        <f t="shared" si="385"/>
        <v>1205.28</v>
      </c>
      <c r="L917" s="180"/>
      <c r="M917" s="180"/>
      <c r="N917" s="186">
        <f t="shared" si="363"/>
        <v>1205.28</v>
      </c>
      <c r="O917" s="29">
        <f t="shared" si="371"/>
        <v>0</v>
      </c>
      <c r="P917" s="181">
        <f t="shared" si="386"/>
        <v>0</v>
      </c>
      <c r="Q917" s="182">
        <f t="shared" si="372"/>
        <v>0</v>
      </c>
      <c r="R917" s="182">
        <f t="shared" si="373"/>
        <v>0</v>
      </c>
      <c r="S917" s="182">
        <f t="shared" si="374"/>
        <v>0</v>
      </c>
      <c r="T917" s="182">
        <f t="shared" si="375"/>
        <v>0</v>
      </c>
      <c r="U917" s="182">
        <f t="shared" si="376"/>
        <v>0</v>
      </c>
      <c r="V917" s="14">
        <f t="shared" si="377"/>
        <v>1205.28</v>
      </c>
      <c r="W917" s="14">
        <f t="shared" si="378"/>
        <v>-1205.28</v>
      </c>
      <c r="Y917" s="14">
        <f t="shared" si="381"/>
        <v>129.6</v>
      </c>
      <c r="Z917" s="14">
        <f t="shared" si="382"/>
        <v>-129.6</v>
      </c>
      <c r="AA917" s="11">
        <f t="shared" si="384"/>
        <v>0.43</v>
      </c>
      <c r="AB917" s="9">
        <f t="shared" si="387"/>
        <v>69.66</v>
      </c>
      <c r="AD917" s="13">
        <f>IF(AH917&gt;AH916,AD916,IF(AD916&lt;MiscData!$F$1,EOMONTH(AD916,1),EOMONTH(AD916,-11)))</f>
        <v>42338</v>
      </c>
      <c r="AE917" s="7" t="str">
        <f t="shared" si="379"/>
        <v>20140101KUUM_426</v>
      </c>
      <c r="AF917" s="12" t="str">
        <f t="shared" si="380"/>
        <v>20140101RLS</v>
      </c>
      <c r="AG917" s="31"/>
      <c r="AH917">
        <f>IF(AH916=MiscData!$AB$91,1,AH916+1)</f>
        <v>36</v>
      </c>
      <c r="AI917">
        <f>IF(AD917&lt;=MiscData!$B$23,MiscData!$C$23,IF(AD917&lt;=MiscData!$B$24,MiscData!$C$24,MiscData!$C$25))</f>
        <v>20140101</v>
      </c>
      <c r="AK917" s="190" t="str">
        <f>VLOOKUP(AM917,MiscData!$AB$4:$ACB$113,2,FALSE)</f>
        <v>KUUM_426</v>
      </c>
      <c r="AL917" s="190" t="str">
        <f>VLOOKUP(AM917,MiscData!$AB$4:$AE$115,4,FALSE)</f>
        <v>RLS</v>
      </c>
      <c r="AM917">
        <f>IF(AM916=MiscData!$AB$91,1,AM916+1)</f>
        <v>36</v>
      </c>
    </row>
    <row r="918" spans="1:39">
      <c r="A918" s="7">
        <f t="shared" si="383"/>
        <v>917</v>
      </c>
      <c r="B918" s="13" t="str">
        <f t="shared" si="365"/>
        <v>Nov 2015</v>
      </c>
      <c r="C918" s="23" t="str">
        <f t="shared" si="366"/>
        <v>LS</v>
      </c>
      <c r="D918" s="23" t="str">
        <f t="shared" si="367"/>
        <v>KUUM_428</v>
      </c>
      <c r="E918" s="170">
        <f t="shared" si="368"/>
        <v>34801</v>
      </c>
      <c r="F918" s="185"/>
      <c r="G918" s="170">
        <f t="shared" si="364"/>
        <v>0</v>
      </c>
      <c r="H918" s="170">
        <v>0</v>
      </c>
      <c r="I918" s="11">
        <f t="shared" si="369"/>
        <v>7.84</v>
      </c>
      <c r="J918" s="11">
        <f t="shared" si="370"/>
        <v>1.1299999999999999</v>
      </c>
      <c r="K918" s="416">
        <f t="shared" si="385"/>
        <v>272839.84000000003</v>
      </c>
      <c r="L918" s="180"/>
      <c r="M918" s="180"/>
      <c r="N918" s="186">
        <f t="shared" si="363"/>
        <v>272839.84000000003</v>
      </c>
      <c r="O918" s="29">
        <f t="shared" si="371"/>
        <v>0</v>
      </c>
      <c r="P918" s="181">
        <f t="shared" si="386"/>
        <v>0</v>
      </c>
      <c r="Q918" s="182">
        <f t="shared" si="372"/>
        <v>0</v>
      </c>
      <c r="R918" s="182">
        <f t="shared" si="373"/>
        <v>0</v>
      </c>
      <c r="S918" s="182">
        <f t="shared" si="374"/>
        <v>0</v>
      </c>
      <c r="T918" s="182">
        <f t="shared" si="375"/>
        <v>0</v>
      </c>
      <c r="U918" s="182">
        <f t="shared" si="376"/>
        <v>0</v>
      </c>
      <c r="V918" s="14">
        <f t="shared" si="377"/>
        <v>272839.84000000003</v>
      </c>
      <c r="W918" s="14">
        <f t="shared" si="378"/>
        <v>-272839.84000000003</v>
      </c>
      <c r="Y918" s="14">
        <f t="shared" si="381"/>
        <v>39325.129999999997</v>
      </c>
      <c r="Z918" s="14">
        <f t="shared" si="382"/>
        <v>-39325.129999999997</v>
      </c>
      <c r="AA918" s="11">
        <f t="shared" si="384"/>
        <v>0.34</v>
      </c>
      <c r="AB918" s="9">
        <f t="shared" si="387"/>
        <v>11832.34</v>
      </c>
      <c r="AD918" s="13">
        <f>IF(AH918&gt;AH917,AD917,IF(AD917&lt;MiscData!$F$1,EOMONTH(AD917,1),EOMONTH(AD917,-11)))</f>
        <v>42338</v>
      </c>
      <c r="AE918" s="7" t="str">
        <f t="shared" si="379"/>
        <v>20140101KUUM_428</v>
      </c>
      <c r="AF918" s="12" t="str">
        <f t="shared" si="380"/>
        <v>20140101LS</v>
      </c>
      <c r="AG918" s="31"/>
      <c r="AH918">
        <f>IF(AH917=MiscData!$AB$91,1,AH917+1)</f>
        <v>37</v>
      </c>
      <c r="AI918">
        <f>IF(AD918&lt;=MiscData!$B$23,MiscData!$C$23,IF(AD918&lt;=MiscData!$B$24,MiscData!$C$24,MiscData!$C$25))</f>
        <v>20140101</v>
      </c>
      <c r="AK918" s="190" t="str">
        <f>VLOOKUP(AM918,MiscData!$AB$4:$ACB$113,2,FALSE)</f>
        <v>KUUM_428</v>
      </c>
      <c r="AL918" s="190" t="str">
        <f>VLOOKUP(AM918,MiscData!$AB$4:$AE$115,4,FALSE)</f>
        <v>LS</v>
      </c>
      <c r="AM918">
        <f>IF(AM917=MiscData!$AB$91,1,AM917+1)</f>
        <v>37</v>
      </c>
    </row>
    <row r="919" spans="1:39">
      <c r="A919" s="7">
        <f t="shared" si="383"/>
        <v>918</v>
      </c>
      <c r="B919" s="13" t="str">
        <f t="shared" si="365"/>
        <v>Nov 2015</v>
      </c>
      <c r="C919" s="23" t="str">
        <f t="shared" si="366"/>
        <v>LS</v>
      </c>
      <c r="D919" s="23" t="str">
        <f t="shared" si="367"/>
        <v>KUUM_429</v>
      </c>
      <c r="E919" s="170">
        <f t="shared" si="368"/>
        <v>0</v>
      </c>
      <c r="F919" s="185"/>
      <c r="G919" s="170">
        <f t="shared" si="364"/>
        <v>0</v>
      </c>
      <c r="H919" s="170">
        <v>0</v>
      </c>
      <c r="I919" s="11">
        <f t="shared" si="369"/>
        <v>0</v>
      </c>
      <c r="J919" s="11">
        <f t="shared" si="370"/>
        <v>0</v>
      </c>
      <c r="K919" s="416">
        <f t="shared" si="385"/>
        <v>0</v>
      </c>
      <c r="L919" s="180"/>
      <c r="M919" s="180"/>
      <c r="N919" s="186">
        <f t="shared" si="363"/>
        <v>0</v>
      </c>
      <c r="O919" s="29">
        <f t="shared" si="371"/>
        <v>0</v>
      </c>
      <c r="P919" s="181">
        <f t="shared" si="386"/>
        <v>1</v>
      </c>
      <c r="Q919" s="182">
        <f t="shared" si="372"/>
        <v>0</v>
      </c>
      <c r="R919" s="182">
        <f t="shared" si="373"/>
        <v>0</v>
      </c>
      <c r="S919" s="182">
        <f t="shared" si="374"/>
        <v>0</v>
      </c>
      <c r="T919" s="182">
        <f t="shared" si="375"/>
        <v>0</v>
      </c>
      <c r="U919" s="182">
        <f t="shared" si="376"/>
        <v>0</v>
      </c>
      <c r="V919" s="14">
        <f t="shared" si="377"/>
        <v>0</v>
      </c>
      <c r="W919" s="14">
        <f t="shared" si="378"/>
        <v>0</v>
      </c>
      <c r="Y919" s="14">
        <f t="shared" si="381"/>
        <v>0</v>
      </c>
      <c r="Z919" s="14">
        <f t="shared" si="382"/>
        <v>0</v>
      </c>
      <c r="AA919" s="11">
        <f t="shared" si="384"/>
        <v>0</v>
      </c>
      <c r="AB919" s="9">
        <f t="shared" si="387"/>
        <v>0</v>
      </c>
      <c r="AD919" s="13">
        <f>IF(AH919&gt;AH918,AD918,IF(AD918&lt;MiscData!$F$1,EOMONTH(AD918,1),EOMONTH(AD918,-11)))</f>
        <v>42338</v>
      </c>
      <c r="AE919" s="7" t="str">
        <f t="shared" si="379"/>
        <v>20140101KUUM_429</v>
      </c>
      <c r="AF919" s="12" t="str">
        <f t="shared" si="380"/>
        <v>20140101LS</v>
      </c>
      <c r="AG919" s="31"/>
      <c r="AH919">
        <f>IF(AH918=MiscData!$AB$91,1,AH918+1)</f>
        <v>38</v>
      </c>
      <c r="AI919">
        <f>IF(AD919&lt;=MiscData!$B$23,MiscData!$C$23,IF(AD919&lt;=MiscData!$B$24,MiscData!$C$24,MiscData!$C$25))</f>
        <v>20140101</v>
      </c>
      <c r="AK919" s="190" t="str">
        <f>VLOOKUP(AM919,MiscData!$AB$4:$ACB$113,2,FALSE)</f>
        <v>KUUM_429</v>
      </c>
      <c r="AL919" s="190" t="str">
        <f>VLOOKUP(AM919,MiscData!$AB$4:$AE$115,4,FALSE)</f>
        <v>LS</v>
      </c>
      <c r="AM919">
        <f>IF(AM918=MiscData!$AB$91,1,AM918+1)</f>
        <v>38</v>
      </c>
    </row>
    <row r="920" spans="1:39">
      <c r="A920" s="7">
        <f t="shared" si="383"/>
        <v>919</v>
      </c>
      <c r="B920" s="13" t="str">
        <f t="shared" si="365"/>
        <v>Nov 2015</v>
      </c>
      <c r="C920" s="23" t="str">
        <f t="shared" si="366"/>
        <v>LS</v>
      </c>
      <c r="D920" s="23" t="str">
        <f t="shared" si="367"/>
        <v>KUUM_430</v>
      </c>
      <c r="E920" s="170">
        <f t="shared" si="368"/>
        <v>1089</v>
      </c>
      <c r="F920" s="185"/>
      <c r="G920" s="170">
        <f t="shared" si="364"/>
        <v>0</v>
      </c>
      <c r="H920" s="170">
        <v>0</v>
      </c>
      <c r="I920" s="11">
        <f t="shared" si="369"/>
        <v>22</v>
      </c>
      <c r="J920" s="11">
        <f t="shared" si="370"/>
        <v>1.129999999999999</v>
      </c>
      <c r="K920" s="416">
        <f t="shared" si="385"/>
        <v>23958</v>
      </c>
      <c r="L920" s="180"/>
      <c r="M920" s="180"/>
      <c r="N920" s="186">
        <f t="shared" si="363"/>
        <v>23958</v>
      </c>
      <c r="O920" s="29">
        <f t="shared" si="371"/>
        <v>0</v>
      </c>
      <c r="P920" s="181">
        <f t="shared" si="386"/>
        <v>0</v>
      </c>
      <c r="Q920" s="182">
        <f t="shared" si="372"/>
        <v>0</v>
      </c>
      <c r="R920" s="182">
        <f t="shared" si="373"/>
        <v>0</v>
      </c>
      <c r="S920" s="182">
        <f t="shared" si="374"/>
        <v>0</v>
      </c>
      <c r="T920" s="182">
        <f t="shared" si="375"/>
        <v>0</v>
      </c>
      <c r="U920" s="182">
        <f t="shared" si="376"/>
        <v>0</v>
      </c>
      <c r="V920" s="14">
        <f t="shared" si="377"/>
        <v>23958</v>
      </c>
      <c r="W920" s="14">
        <f t="shared" si="378"/>
        <v>-23958</v>
      </c>
      <c r="Y920" s="14">
        <f t="shared" si="381"/>
        <v>1230.57</v>
      </c>
      <c r="Z920" s="14">
        <f t="shared" si="382"/>
        <v>-1230.57</v>
      </c>
      <c r="AA920" s="11">
        <f t="shared" si="384"/>
        <v>0.34</v>
      </c>
      <c r="AB920" s="9">
        <f t="shared" si="387"/>
        <v>370.26000000000005</v>
      </c>
      <c r="AD920" s="13">
        <f>IF(AH920&gt;AH919,AD919,IF(AD919&lt;MiscData!$F$1,EOMONTH(AD919,1),EOMONTH(AD919,-11)))</f>
        <v>42338</v>
      </c>
      <c r="AE920" s="7" t="str">
        <f t="shared" si="379"/>
        <v>20140101KUUM_430</v>
      </c>
      <c r="AF920" s="12" t="str">
        <f t="shared" si="380"/>
        <v>20140101LS</v>
      </c>
      <c r="AG920" s="31"/>
      <c r="AH920">
        <f>IF(AH919=MiscData!$AB$91,1,AH919+1)</f>
        <v>39</v>
      </c>
      <c r="AI920">
        <f>IF(AD920&lt;=MiscData!$B$23,MiscData!$C$23,IF(AD920&lt;=MiscData!$B$24,MiscData!$C$24,MiscData!$C$25))</f>
        <v>20140101</v>
      </c>
      <c r="AK920" s="190" t="str">
        <f>VLOOKUP(AM920,MiscData!$AB$4:$ACB$113,2,FALSE)</f>
        <v>KUUM_430</v>
      </c>
      <c r="AL920" s="190" t="str">
        <f>VLOOKUP(AM920,MiscData!$AB$4:$AE$115,4,FALSE)</f>
        <v>LS</v>
      </c>
      <c r="AM920">
        <f>IF(AM919=MiscData!$AB$91,1,AM919+1)</f>
        <v>39</v>
      </c>
    </row>
    <row r="921" spans="1:39">
      <c r="A921" s="7">
        <f t="shared" si="383"/>
        <v>920</v>
      </c>
      <c r="B921" s="13" t="str">
        <f t="shared" si="365"/>
        <v>Nov 2015</v>
      </c>
      <c r="C921" s="23" t="str">
        <f t="shared" si="366"/>
        <v>RLS</v>
      </c>
      <c r="D921" s="23" t="str">
        <f t="shared" si="367"/>
        <v>KUUM_434</v>
      </c>
      <c r="E921" s="170">
        <f t="shared" si="368"/>
        <v>8</v>
      </c>
      <c r="F921" s="185"/>
      <c r="G921" s="170">
        <f t="shared" si="364"/>
        <v>0</v>
      </c>
      <c r="H921" s="170">
        <v>0</v>
      </c>
      <c r="I921" s="11">
        <f t="shared" si="369"/>
        <v>7.74</v>
      </c>
      <c r="J921" s="11">
        <f t="shared" si="370"/>
        <v>0.69999999999999929</v>
      </c>
      <c r="K921" s="416">
        <f t="shared" si="385"/>
        <v>61.92</v>
      </c>
      <c r="L921" s="180"/>
      <c r="M921" s="180"/>
      <c r="N921" s="186">
        <f t="shared" si="363"/>
        <v>61.92</v>
      </c>
      <c r="O921" s="29">
        <f t="shared" si="371"/>
        <v>0</v>
      </c>
      <c r="P921" s="181">
        <f t="shared" si="386"/>
        <v>0</v>
      </c>
      <c r="Q921" s="182">
        <f t="shared" si="372"/>
        <v>0</v>
      </c>
      <c r="R921" s="182">
        <f t="shared" si="373"/>
        <v>0</v>
      </c>
      <c r="S921" s="182">
        <f t="shared" si="374"/>
        <v>0</v>
      </c>
      <c r="T921" s="182">
        <f t="shared" si="375"/>
        <v>0</v>
      </c>
      <c r="U921" s="182">
        <f t="shared" si="376"/>
        <v>0</v>
      </c>
      <c r="V921" s="14">
        <f t="shared" si="377"/>
        <v>61.92</v>
      </c>
      <c r="W921" s="14">
        <f t="shared" si="378"/>
        <v>-61.92</v>
      </c>
      <c r="Y921" s="14">
        <f t="shared" si="381"/>
        <v>5.6</v>
      </c>
      <c r="Z921" s="14">
        <f t="shared" si="382"/>
        <v>-5.6</v>
      </c>
      <c r="AA921" s="11">
        <f t="shared" si="384"/>
        <v>0.24</v>
      </c>
      <c r="AB921" s="9">
        <f t="shared" si="387"/>
        <v>1.92</v>
      </c>
      <c r="AD921" s="13">
        <f>IF(AH921&gt;AH920,AD920,IF(AD920&lt;MiscData!$F$1,EOMONTH(AD920,1),EOMONTH(AD920,-11)))</f>
        <v>42338</v>
      </c>
      <c r="AE921" s="7" t="str">
        <f t="shared" si="379"/>
        <v>20140101KUUM_434</v>
      </c>
      <c r="AF921" s="12" t="str">
        <f t="shared" si="380"/>
        <v>20140101RLS</v>
      </c>
      <c r="AG921" s="31"/>
      <c r="AH921">
        <f>IF(AH920=MiscData!$AB$91,1,AH920+1)</f>
        <v>40</v>
      </c>
      <c r="AI921">
        <f>IF(AD921&lt;=MiscData!$B$23,MiscData!$C$23,IF(AD921&lt;=MiscData!$B$24,MiscData!$C$24,MiscData!$C$25))</f>
        <v>20140101</v>
      </c>
      <c r="AK921" s="190" t="str">
        <f>VLOOKUP(AM921,MiscData!$AB$4:$ACB$113,2,FALSE)</f>
        <v>KUUM_434</v>
      </c>
      <c r="AL921" s="190" t="str">
        <f>VLOOKUP(AM921,MiscData!$AB$4:$AE$115,4,FALSE)</f>
        <v>RLS</v>
      </c>
      <c r="AM921">
        <f>IF(AM920=MiscData!$AB$91,1,AM920+1)</f>
        <v>40</v>
      </c>
    </row>
    <row r="922" spans="1:39">
      <c r="A922" s="7">
        <f t="shared" si="383"/>
        <v>921</v>
      </c>
      <c r="B922" s="13" t="str">
        <f t="shared" si="365"/>
        <v>Nov 2015</v>
      </c>
      <c r="C922" s="23" t="str">
        <f t="shared" si="366"/>
        <v>RLS</v>
      </c>
      <c r="D922" s="23" t="str">
        <f t="shared" si="367"/>
        <v>KUUM_440</v>
      </c>
      <c r="E922" s="170">
        <f t="shared" si="368"/>
        <v>2</v>
      </c>
      <c r="F922" s="185"/>
      <c r="G922" s="170">
        <f t="shared" si="364"/>
        <v>0</v>
      </c>
      <c r="H922" s="170">
        <v>0</v>
      </c>
      <c r="I922" s="11">
        <f t="shared" si="369"/>
        <v>13.610000000000001</v>
      </c>
      <c r="J922" s="11">
        <f t="shared" si="370"/>
        <v>0.57000000000000028</v>
      </c>
      <c r="K922" s="416">
        <f t="shared" si="385"/>
        <v>27.22</v>
      </c>
      <c r="L922" s="180"/>
      <c r="M922" s="180"/>
      <c r="N922" s="186">
        <f t="shared" si="363"/>
        <v>27.22</v>
      </c>
      <c r="O922" s="29">
        <f t="shared" si="371"/>
        <v>0</v>
      </c>
      <c r="P922" s="181">
        <f t="shared" si="386"/>
        <v>0</v>
      </c>
      <c r="Q922" s="182">
        <f t="shared" si="372"/>
        <v>0</v>
      </c>
      <c r="R922" s="182">
        <f t="shared" si="373"/>
        <v>0</v>
      </c>
      <c r="S922" s="182">
        <f t="shared" si="374"/>
        <v>0</v>
      </c>
      <c r="T922" s="182">
        <f t="shared" si="375"/>
        <v>0</v>
      </c>
      <c r="U922" s="182">
        <f t="shared" si="376"/>
        <v>0</v>
      </c>
      <c r="V922" s="14">
        <f t="shared" si="377"/>
        <v>27.22</v>
      </c>
      <c r="W922" s="14">
        <f t="shared" si="378"/>
        <v>-27.22</v>
      </c>
      <c r="Y922" s="14">
        <f t="shared" si="381"/>
        <v>1.1399999999999999</v>
      </c>
      <c r="Z922" s="14">
        <f t="shared" si="382"/>
        <v>-1.1399999999999999</v>
      </c>
      <c r="AA922" s="11">
        <f t="shared" si="384"/>
        <v>0.33</v>
      </c>
      <c r="AB922" s="9">
        <f t="shared" si="387"/>
        <v>0.66</v>
      </c>
      <c r="AD922" s="13">
        <f>IF(AH922&gt;AH921,AD921,IF(AD921&lt;MiscData!$F$1,EOMONTH(AD921,1),EOMONTH(AD921,-11)))</f>
        <v>42338</v>
      </c>
      <c r="AE922" s="7" t="str">
        <f t="shared" si="379"/>
        <v>20140101KUUM_440</v>
      </c>
      <c r="AF922" s="12" t="str">
        <f t="shared" si="380"/>
        <v>20140101RLS</v>
      </c>
      <c r="AG922" s="31"/>
      <c r="AH922">
        <f>IF(AH921=MiscData!$AB$91,1,AH921+1)</f>
        <v>41</v>
      </c>
      <c r="AI922">
        <f>IF(AD922&lt;=MiscData!$B$23,MiscData!$C$23,IF(AD922&lt;=MiscData!$B$24,MiscData!$C$24,MiscData!$C$25))</f>
        <v>20140101</v>
      </c>
      <c r="AK922" s="190" t="str">
        <f>VLOOKUP(AM922,MiscData!$AB$4:$ACB$113,2,FALSE)</f>
        <v>KUUM_440</v>
      </c>
      <c r="AL922" s="190" t="str">
        <f>VLOOKUP(AM922,MiscData!$AB$4:$AE$115,4,FALSE)</f>
        <v>RLS</v>
      </c>
      <c r="AM922">
        <f>IF(AM921=MiscData!$AB$91,1,AM921+1)</f>
        <v>41</v>
      </c>
    </row>
    <row r="923" spans="1:39">
      <c r="A923" s="7">
        <f t="shared" si="383"/>
        <v>922</v>
      </c>
      <c r="B923" s="13" t="str">
        <f t="shared" si="365"/>
        <v>Nov 2015</v>
      </c>
      <c r="C923" s="23" t="str">
        <f t="shared" si="366"/>
        <v>RLS</v>
      </c>
      <c r="D923" s="23" t="str">
        <f t="shared" si="367"/>
        <v>KUUM_446</v>
      </c>
      <c r="E923" s="170">
        <f t="shared" si="368"/>
        <v>1035</v>
      </c>
      <c r="F923" s="185"/>
      <c r="G923" s="170">
        <f t="shared" si="364"/>
        <v>0</v>
      </c>
      <c r="H923" s="170">
        <v>0</v>
      </c>
      <c r="I923" s="11">
        <f t="shared" si="369"/>
        <v>9.5600000000000023</v>
      </c>
      <c r="J923" s="11">
        <f t="shared" si="370"/>
        <v>1.9900000000000002</v>
      </c>
      <c r="K923" s="416">
        <f t="shared" si="385"/>
        <v>9894.6</v>
      </c>
      <c r="L923" s="180"/>
      <c r="M923" s="180"/>
      <c r="N923" s="186">
        <f t="shared" si="363"/>
        <v>9894.6</v>
      </c>
      <c r="O923" s="29">
        <f t="shared" si="371"/>
        <v>0</v>
      </c>
      <c r="P923" s="181">
        <f t="shared" si="386"/>
        <v>0</v>
      </c>
      <c r="Q923" s="182">
        <f t="shared" si="372"/>
        <v>0</v>
      </c>
      <c r="R923" s="182">
        <f t="shared" si="373"/>
        <v>0</v>
      </c>
      <c r="S923" s="182">
        <f t="shared" si="374"/>
        <v>0</v>
      </c>
      <c r="T923" s="182">
        <f t="shared" si="375"/>
        <v>0</v>
      </c>
      <c r="U923" s="182">
        <f t="shared" si="376"/>
        <v>0</v>
      </c>
      <c r="V923" s="14">
        <f t="shared" si="377"/>
        <v>9894.6</v>
      </c>
      <c r="W923" s="14">
        <f t="shared" si="378"/>
        <v>-9894.6</v>
      </c>
      <c r="Y923" s="14">
        <f t="shared" si="381"/>
        <v>2059.65</v>
      </c>
      <c r="Z923" s="14">
        <f t="shared" si="382"/>
        <v>-2059.65</v>
      </c>
      <c r="AA923" s="11">
        <f t="shared" si="384"/>
        <v>0.39</v>
      </c>
      <c r="AB923" s="9">
        <f t="shared" si="387"/>
        <v>403.65000000000003</v>
      </c>
      <c r="AD923" s="13">
        <f>IF(AH923&gt;AH922,AD922,IF(AD922&lt;MiscData!$F$1,EOMONTH(AD922,1),EOMONTH(AD922,-11)))</f>
        <v>42338</v>
      </c>
      <c r="AE923" s="7" t="str">
        <f t="shared" si="379"/>
        <v>20140101KUUM_446</v>
      </c>
      <c r="AF923" s="12" t="str">
        <f t="shared" si="380"/>
        <v>20140101RLS</v>
      </c>
      <c r="AG923" s="31"/>
      <c r="AH923">
        <f>IF(AH922=MiscData!$AB$91,1,AH922+1)</f>
        <v>42</v>
      </c>
      <c r="AI923">
        <f>IF(AD923&lt;=MiscData!$B$23,MiscData!$C$23,IF(AD923&lt;=MiscData!$B$24,MiscData!$C$24,MiscData!$C$25))</f>
        <v>20140101</v>
      </c>
      <c r="AK923" s="190" t="str">
        <f>VLOOKUP(AM923,MiscData!$AB$4:$ACB$113,2,FALSE)</f>
        <v>KUUM_446</v>
      </c>
      <c r="AL923" s="190" t="str">
        <f>VLOOKUP(AM923,MiscData!$AB$4:$AE$115,4,FALSE)</f>
        <v>RLS</v>
      </c>
      <c r="AM923">
        <f>IF(AM922=MiscData!$AB$91,1,AM922+1)</f>
        <v>42</v>
      </c>
    </row>
    <row r="924" spans="1:39">
      <c r="A924" s="7">
        <f t="shared" si="383"/>
        <v>923</v>
      </c>
      <c r="B924" s="13" t="str">
        <f t="shared" si="365"/>
        <v>Nov 2015</v>
      </c>
      <c r="C924" s="23" t="str">
        <f t="shared" si="366"/>
        <v>RLS</v>
      </c>
      <c r="D924" s="23" t="str">
        <f t="shared" si="367"/>
        <v>KUUM_447</v>
      </c>
      <c r="E924" s="170">
        <f t="shared" si="368"/>
        <v>728</v>
      </c>
      <c r="F924" s="185"/>
      <c r="G924" s="170">
        <f t="shared" si="364"/>
        <v>0</v>
      </c>
      <c r="H924" s="170">
        <v>0</v>
      </c>
      <c r="I924" s="11">
        <f t="shared" si="369"/>
        <v>11.32</v>
      </c>
      <c r="J924" s="11">
        <f t="shared" si="370"/>
        <v>2.8400000000000016</v>
      </c>
      <c r="K924" s="416">
        <f t="shared" si="385"/>
        <v>8240.9599999999991</v>
      </c>
      <c r="L924" s="180"/>
      <c r="M924" s="180"/>
      <c r="N924" s="186">
        <f t="shared" si="363"/>
        <v>8240.9599999999991</v>
      </c>
      <c r="O924" s="29">
        <f t="shared" si="371"/>
        <v>0</v>
      </c>
      <c r="P924" s="181">
        <f t="shared" si="386"/>
        <v>0</v>
      </c>
      <c r="Q924" s="182">
        <f t="shared" si="372"/>
        <v>0</v>
      </c>
      <c r="R924" s="182">
        <f t="shared" si="373"/>
        <v>0</v>
      </c>
      <c r="S924" s="182">
        <f t="shared" si="374"/>
        <v>0</v>
      </c>
      <c r="T924" s="182">
        <f t="shared" si="375"/>
        <v>0</v>
      </c>
      <c r="U924" s="182">
        <f t="shared" si="376"/>
        <v>0</v>
      </c>
      <c r="V924" s="14">
        <f t="shared" si="377"/>
        <v>8240.9599999999991</v>
      </c>
      <c r="W924" s="14">
        <f t="shared" si="378"/>
        <v>-8240.9599999999991</v>
      </c>
      <c r="Y924" s="14">
        <f t="shared" si="381"/>
        <v>2067.52</v>
      </c>
      <c r="Z924" s="14">
        <f t="shared" si="382"/>
        <v>-2067.52</v>
      </c>
      <c r="AA924" s="11">
        <f t="shared" si="384"/>
        <v>0.44</v>
      </c>
      <c r="AB924" s="9">
        <f t="shared" si="387"/>
        <v>320.32</v>
      </c>
      <c r="AD924" s="13">
        <f>IF(AH924&gt;AH923,AD923,IF(AD923&lt;MiscData!$F$1,EOMONTH(AD923,1),EOMONTH(AD923,-11)))</f>
        <v>42338</v>
      </c>
      <c r="AE924" s="7" t="str">
        <f t="shared" si="379"/>
        <v>20140101KUUM_447</v>
      </c>
      <c r="AF924" s="12" t="str">
        <f t="shared" si="380"/>
        <v>20140101RLS</v>
      </c>
      <c r="AG924" s="31"/>
      <c r="AH924">
        <f>IF(AH923=MiscData!$AB$91,1,AH923+1)</f>
        <v>43</v>
      </c>
      <c r="AI924">
        <f>IF(AD924&lt;=MiscData!$B$23,MiscData!$C$23,IF(AD924&lt;=MiscData!$B$24,MiscData!$C$24,MiscData!$C$25))</f>
        <v>20140101</v>
      </c>
      <c r="AK924" s="190" t="str">
        <f>VLOOKUP(AM924,MiscData!$AB$4:$ACB$113,2,FALSE)</f>
        <v>KUUM_447</v>
      </c>
      <c r="AL924" s="190" t="str">
        <f>VLOOKUP(AM924,MiscData!$AB$4:$AE$115,4,FALSE)</f>
        <v>RLS</v>
      </c>
      <c r="AM924">
        <f>IF(AM923=MiscData!$AB$91,1,AM923+1)</f>
        <v>43</v>
      </c>
    </row>
    <row r="925" spans="1:39">
      <c r="A925" s="7">
        <f t="shared" si="383"/>
        <v>924</v>
      </c>
      <c r="B925" s="13" t="str">
        <f t="shared" si="365"/>
        <v>Nov 2015</v>
      </c>
      <c r="C925" s="23" t="str">
        <f t="shared" si="366"/>
        <v>RLS</v>
      </c>
      <c r="D925" s="23" t="str">
        <f t="shared" si="367"/>
        <v>KUUM_448</v>
      </c>
      <c r="E925" s="170">
        <f t="shared" si="368"/>
        <v>1364</v>
      </c>
      <c r="F925" s="185"/>
      <c r="G925" s="170">
        <f t="shared" si="364"/>
        <v>0</v>
      </c>
      <c r="H925" s="170">
        <v>0</v>
      </c>
      <c r="I925" s="11">
        <f t="shared" si="369"/>
        <v>12.809999999999999</v>
      </c>
      <c r="J925" s="11">
        <f t="shared" si="370"/>
        <v>4.37</v>
      </c>
      <c r="K925" s="416">
        <f t="shared" si="385"/>
        <v>17472.84</v>
      </c>
      <c r="L925" s="180"/>
      <c r="M925" s="180"/>
      <c r="N925" s="186">
        <f t="shared" si="363"/>
        <v>17472.84</v>
      </c>
      <c r="O925" s="29">
        <f t="shared" si="371"/>
        <v>0</v>
      </c>
      <c r="P925" s="181">
        <f t="shared" si="386"/>
        <v>0</v>
      </c>
      <c r="Q925" s="182">
        <f t="shared" si="372"/>
        <v>0</v>
      </c>
      <c r="R925" s="182">
        <f t="shared" si="373"/>
        <v>0</v>
      </c>
      <c r="S925" s="182">
        <f t="shared" si="374"/>
        <v>0</v>
      </c>
      <c r="T925" s="182">
        <f t="shared" si="375"/>
        <v>0</v>
      </c>
      <c r="U925" s="182">
        <f t="shared" si="376"/>
        <v>0</v>
      </c>
      <c r="V925" s="14">
        <f t="shared" si="377"/>
        <v>17472.84</v>
      </c>
      <c r="W925" s="14">
        <f t="shared" si="378"/>
        <v>-17472.84</v>
      </c>
      <c r="Y925" s="14">
        <f t="shared" si="381"/>
        <v>5960.68</v>
      </c>
      <c r="Z925" s="14">
        <f t="shared" si="382"/>
        <v>-5960.68</v>
      </c>
      <c r="AA925" s="11">
        <f t="shared" si="384"/>
        <v>0.51</v>
      </c>
      <c r="AB925" s="9">
        <f t="shared" si="387"/>
        <v>695.64</v>
      </c>
      <c r="AD925" s="13">
        <f>IF(AH925&gt;AH924,AD924,IF(AD924&lt;MiscData!$F$1,EOMONTH(AD924,1),EOMONTH(AD924,-11)))</f>
        <v>42338</v>
      </c>
      <c r="AE925" s="7" t="str">
        <f t="shared" si="379"/>
        <v>20140101KUUM_448</v>
      </c>
      <c r="AF925" s="12" t="str">
        <f t="shared" si="380"/>
        <v>20140101RLS</v>
      </c>
      <c r="AG925" s="31"/>
      <c r="AH925">
        <f>IF(AH924=MiscData!$AB$91,1,AH924+1)</f>
        <v>44</v>
      </c>
      <c r="AI925">
        <f>IF(AD925&lt;=MiscData!$B$23,MiscData!$C$23,IF(AD925&lt;=MiscData!$B$24,MiscData!$C$24,MiscData!$C$25))</f>
        <v>20140101</v>
      </c>
      <c r="AK925" s="190" t="str">
        <f>VLOOKUP(AM925,MiscData!$AB$4:$ACB$113,2,FALSE)</f>
        <v>KUUM_448</v>
      </c>
      <c r="AL925" s="190" t="str">
        <f>VLOOKUP(AM925,MiscData!$AB$4:$AE$115,4,FALSE)</f>
        <v>RLS</v>
      </c>
      <c r="AM925">
        <f>IF(AM924=MiscData!$AB$91,1,AM924+1)</f>
        <v>44</v>
      </c>
    </row>
    <row r="926" spans="1:39">
      <c r="A926" s="7">
        <f t="shared" si="383"/>
        <v>925</v>
      </c>
      <c r="B926" s="13" t="str">
        <f t="shared" si="365"/>
        <v>Nov 2015</v>
      </c>
      <c r="C926" s="23" t="str">
        <f t="shared" si="366"/>
        <v>LS</v>
      </c>
      <c r="D926" s="23" t="str">
        <f t="shared" si="367"/>
        <v>KUUM_450</v>
      </c>
      <c r="E926" s="170">
        <f t="shared" si="368"/>
        <v>612</v>
      </c>
      <c r="F926" s="185"/>
      <c r="G926" s="170">
        <f t="shared" si="364"/>
        <v>0</v>
      </c>
      <c r="H926" s="170">
        <v>0</v>
      </c>
      <c r="I926" s="11">
        <f t="shared" si="369"/>
        <v>14.25</v>
      </c>
      <c r="J926" s="11">
        <f t="shared" si="370"/>
        <v>1.9699999999999989</v>
      </c>
      <c r="K926" s="416">
        <f t="shared" si="385"/>
        <v>8721</v>
      </c>
      <c r="L926" s="180"/>
      <c r="M926" s="180"/>
      <c r="N926" s="186">
        <f t="shared" si="363"/>
        <v>8721</v>
      </c>
      <c r="O926" s="29">
        <f t="shared" si="371"/>
        <v>0</v>
      </c>
      <c r="P926" s="181">
        <f t="shared" si="386"/>
        <v>0</v>
      </c>
      <c r="Q926" s="182">
        <f t="shared" si="372"/>
        <v>0</v>
      </c>
      <c r="R926" s="182">
        <f t="shared" si="373"/>
        <v>0</v>
      </c>
      <c r="S926" s="182">
        <f t="shared" si="374"/>
        <v>0</v>
      </c>
      <c r="T926" s="182">
        <f t="shared" si="375"/>
        <v>0</v>
      </c>
      <c r="U926" s="182">
        <f t="shared" si="376"/>
        <v>0</v>
      </c>
      <c r="V926" s="14">
        <f t="shared" si="377"/>
        <v>8721</v>
      </c>
      <c r="W926" s="14">
        <f t="shared" si="378"/>
        <v>-8721</v>
      </c>
      <c r="Y926" s="14">
        <f t="shared" si="381"/>
        <v>1205.6400000000001</v>
      </c>
      <c r="Z926" s="14">
        <f t="shared" si="382"/>
        <v>-1205.6400000000001</v>
      </c>
      <c r="AA926" s="11">
        <f t="shared" si="384"/>
        <v>0.66</v>
      </c>
      <c r="AB926" s="9">
        <f t="shared" si="387"/>
        <v>403.92</v>
      </c>
      <c r="AD926" s="13">
        <f>IF(AH926&gt;AH925,AD925,IF(AD925&lt;MiscData!$F$1,EOMONTH(AD925,1),EOMONTH(AD925,-11)))</f>
        <v>42338</v>
      </c>
      <c r="AE926" s="7" t="str">
        <f t="shared" si="379"/>
        <v>20140101KUUM_450</v>
      </c>
      <c r="AF926" s="12" t="str">
        <f t="shared" si="380"/>
        <v>20140101LS</v>
      </c>
      <c r="AG926" s="31"/>
      <c r="AH926">
        <f>IF(AH925=MiscData!$AB$91,1,AH925+1)</f>
        <v>45</v>
      </c>
      <c r="AI926">
        <f>IF(AD926&lt;=MiscData!$B$23,MiscData!$C$23,IF(AD926&lt;=MiscData!$B$24,MiscData!$C$24,MiscData!$C$25))</f>
        <v>20140101</v>
      </c>
      <c r="AK926" s="190" t="str">
        <f>VLOOKUP(AM926,MiscData!$AB$4:$ACB$113,2,FALSE)</f>
        <v>KUUM_450</v>
      </c>
      <c r="AL926" s="190" t="str">
        <f>VLOOKUP(AM926,MiscData!$AB$4:$AE$115,4,FALSE)</f>
        <v>LS</v>
      </c>
      <c r="AM926">
        <f>IF(AM925=MiscData!$AB$91,1,AM925+1)</f>
        <v>45</v>
      </c>
    </row>
    <row r="927" spans="1:39">
      <c r="A927" s="7">
        <f t="shared" si="383"/>
        <v>926</v>
      </c>
      <c r="B927" s="13" t="str">
        <f t="shared" si="365"/>
        <v>Nov 2015</v>
      </c>
      <c r="C927" s="23" t="str">
        <f t="shared" si="366"/>
        <v>LS</v>
      </c>
      <c r="D927" s="23" t="str">
        <f t="shared" si="367"/>
        <v>KUUM_451</v>
      </c>
      <c r="E927" s="170">
        <f t="shared" si="368"/>
        <v>4819</v>
      </c>
      <c r="F927" s="185"/>
      <c r="G927" s="170">
        <f t="shared" si="364"/>
        <v>0</v>
      </c>
      <c r="H927" s="170">
        <v>0</v>
      </c>
      <c r="I927" s="11">
        <f t="shared" si="369"/>
        <v>20.200000000000003</v>
      </c>
      <c r="J927" s="11">
        <f t="shared" si="370"/>
        <v>4.2900000000000027</v>
      </c>
      <c r="K927" s="416">
        <f t="shared" si="385"/>
        <v>97343.8</v>
      </c>
      <c r="L927" s="180"/>
      <c r="M927" s="180"/>
      <c r="N927" s="186">
        <f t="shared" si="363"/>
        <v>97343.8</v>
      </c>
      <c r="O927" s="29">
        <f t="shared" si="371"/>
        <v>0</v>
      </c>
      <c r="P927" s="181">
        <f t="shared" si="386"/>
        <v>0</v>
      </c>
      <c r="Q927" s="182">
        <f t="shared" si="372"/>
        <v>0</v>
      </c>
      <c r="R927" s="182">
        <f t="shared" si="373"/>
        <v>0</v>
      </c>
      <c r="S927" s="182">
        <f t="shared" si="374"/>
        <v>0</v>
      </c>
      <c r="T927" s="182">
        <f t="shared" si="375"/>
        <v>0</v>
      </c>
      <c r="U927" s="182">
        <f t="shared" si="376"/>
        <v>0</v>
      </c>
      <c r="V927" s="14">
        <f t="shared" si="377"/>
        <v>97343.8</v>
      </c>
      <c r="W927" s="14">
        <f t="shared" si="378"/>
        <v>-97343.8</v>
      </c>
      <c r="Y927" s="14">
        <f t="shared" si="381"/>
        <v>20673.509999999998</v>
      </c>
      <c r="Z927" s="14">
        <f t="shared" si="382"/>
        <v>-20673.509999999998</v>
      </c>
      <c r="AA927" s="11">
        <f t="shared" si="384"/>
        <v>0.84</v>
      </c>
      <c r="AB927" s="9">
        <f t="shared" si="387"/>
        <v>4047.96</v>
      </c>
      <c r="AD927" s="13">
        <f>IF(AH927&gt;AH926,AD926,IF(AD926&lt;MiscData!$F$1,EOMONTH(AD926,1),EOMONTH(AD926,-11)))</f>
        <v>42338</v>
      </c>
      <c r="AE927" s="7" t="str">
        <f t="shared" si="379"/>
        <v>20140101KUUM_451</v>
      </c>
      <c r="AF927" s="12" t="str">
        <f t="shared" si="380"/>
        <v>20140101LS</v>
      </c>
      <c r="AG927" s="31"/>
      <c r="AH927">
        <f>IF(AH926=MiscData!$AB$91,1,AH926+1)</f>
        <v>46</v>
      </c>
      <c r="AI927">
        <f>IF(AD927&lt;=MiscData!$B$23,MiscData!$C$23,IF(AD927&lt;=MiscData!$B$24,MiscData!$C$24,MiscData!$C$25))</f>
        <v>20140101</v>
      </c>
      <c r="AK927" s="190" t="str">
        <f>VLOOKUP(AM927,MiscData!$AB$4:$ACB$113,2,FALSE)</f>
        <v>KUUM_451</v>
      </c>
      <c r="AL927" s="190" t="str">
        <f>VLOOKUP(AM927,MiscData!$AB$4:$AE$115,4,FALSE)</f>
        <v>LS</v>
      </c>
      <c r="AM927">
        <f>IF(AM926=MiscData!$AB$91,1,AM926+1)</f>
        <v>46</v>
      </c>
    </row>
    <row r="928" spans="1:39">
      <c r="A928" s="7">
        <f t="shared" si="383"/>
        <v>927</v>
      </c>
      <c r="B928" s="13" t="str">
        <f t="shared" si="365"/>
        <v>Nov 2015</v>
      </c>
      <c r="C928" s="23" t="str">
        <f t="shared" si="366"/>
        <v>LS</v>
      </c>
      <c r="D928" s="23" t="str">
        <f t="shared" si="367"/>
        <v>KUUM_452</v>
      </c>
      <c r="E928" s="170">
        <f t="shared" si="368"/>
        <v>1013</v>
      </c>
      <c r="F928" s="185"/>
      <c r="G928" s="170">
        <f t="shared" si="364"/>
        <v>0</v>
      </c>
      <c r="H928" s="170">
        <v>0</v>
      </c>
      <c r="I928" s="11">
        <f t="shared" si="369"/>
        <v>42.350000000000009</v>
      </c>
      <c r="J928" s="11">
        <f t="shared" si="370"/>
        <v>10.410000000000004</v>
      </c>
      <c r="K928" s="416">
        <f t="shared" si="385"/>
        <v>42900.55</v>
      </c>
      <c r="L928" s="180"/>
      <c r="M928" s="180"/>
      <c r="N928" s="186">
        <f t="shared" si="363"/>
        <v>42900.55</v>
      </c>
      <c r="O928" s="29">
        <f t="shared" si="371"/>
        <v>0</v>
      </c>
      <c r="P928" s="181">
        <f t="shared" si="386"/>
        <v>0</v>
      </c>
      <c r="Q928" s="182">
        <f t="shared" si="372"/>
        <v>0</v>
      </c>
      <c r="R928" s="182">
        <f t="shared" si="373"/>
        <v>0</v>
      </c>
      <c r="S928" s="182">
        <f t="shared" si="374"/>
        <v>0</v>
      </c>
      <c r="T928" s="182">
        <f t="shared" si="375"/>
        <v>0</v>
      </c>
      <c r="U928" s="182">
        <f t="shared" si="376"/>
        <v>0</v>
      </c>
      <c r="V928" s="14">
        <f t="shared" si="377"/>
        <v>42900.55</v>
      </c>
      <c r="W928" s="14">
        <f t="shared" si="378"/>
        <v>-42900.55</v>
      </c>
      <c r="Y928" s="14">
        <f t="shared" si="381"/>
        <v>10545.33</v>
      </c>
      <c r="Z928" s="14">
        <f t="shared" si="382"/>
        <v>-10545.33</v>
      </c>
      <c r="AA928" s="11">
        <f t="shared" si="384"/>
        <v>1.7</v>
      </c>
      <c r="AB928" s="9">
        <f t="shared" si="387"/>
        <v>1722.1</v>
      </c>
      <c r="AD928" s="13">
        <f>IF(AH928&gt;AH927,AD927,IF(AD927&lt;MiscData!$F$1,EOMONTH(AD927,1),EOMONTH(AD927,-11)))</f>
        <v>42338</v>
      </c>
      <c r="AE928" s="7" t="str">
        <f t="shared" si="379"/>
        <v>20140101KUUM_452</v>
      </c>
      <c r="AF928" s="12" t="str">
        <f t="shared" si="380"/>
        <v>20140101LS</v>
      </c>
      <c r="AG928" s="31"/>
      <c r="AH928">
        <f>IF(AH927=MiscData!$AB$91,1,AH927+1)</f>
        <v>47</v>
      </c>
      <c r="AI928">
        <f>IF(AD928&lt;=MiscData!$B$23,MiscData!$C$23,IF(AD928&lt;=MiscData!$B$24,MiscData!$C$24,MiscData!$C$25))</f>
        <v>20140101</v>
      </c>
      <c r="AK928" s="190" t="str">
        <f>VLOOKUP(AM928,MiscData!$AB$4:$ACB$113,2,FALSE)</f>
        <v>KUUM_452</v>
      </c>
      <c r="AL928" s="190" t="str">
        <f>VLOOKUP(AM928,MiscData!$AB$4:$AE$115,4,FALSE)</f>
        <v>LS</v>
      </c>
      <c r="AM928">
        <f>IF(AM927=MiscData!$AB$91,1,AM927+1)</f>
        <v>47</v>
      </c>
    </row>
    <row r="929" spans="1:39">
      <c r="A929" s="7">
        <f t="shared" si="383"/>
        <v>928</v>
      </c>
      <c r="B929" s="13" t="str">
        <f t="shared" si="365"/>
        <v>Nov 2015</v>
      </c>
      <c r="C929" s="23" t="str">
        <f t="shared" si="366"/>
        <v>RLS</v>
      </c>
      <c r="D929" s="23" t="str">
        <f t="shared" si="367"/>
        <v>KUUM_454</v>
      </c>
      <c r="E929" s="170">
        <f t="shared" si="368"/>
        <v>146</v>
      </c>
      <c r="F929" s="185"/>
      <c r="G929" s="170">
        <f t="shared" si="364"/>
        <v>0</v>
      </c>
      <c r="H929" s="170">
        <v>0</v>
      </c>
      <c r="I929" s="11">
        <f t="shared" si="369"/>
        <v>18.649999999999999</v>
      </c>
      <c r="J929" s="11">
        <f t="shared" si="370"/>
        <v>1.9699999999999989</v>
      </c>
      <c r="K929" s="416">
        <f t="shared" si="385"/>
        <v>2722.9</v>
      </c>
      <c r="L929" s="180"/>
      <c r="M929" s="180"/>
      <c r="N929" s="186">
        <f t="shared" si="363"/>
        <v>2722.9</v>
      </c>
      <c r="O929" s="29">
        <f t="shared" si="371"/>
        <v>0</v>
      </c>
      <c r="P929" s="181">
        <f t="shared" si="386"/>
        <v>0</v>
      </c>
      <c r="Q929" s="182">
        <f t="shared" si="372"/>
        <v>0</v>
      </c>
      <c r="R929" s="182">
        <f t="shared" si="373"/>
        <v>0</v>
      </c>
      <c r="S929" s="182">
        <f t="shared" si="374"/>
        <v>0</v>
      </c>
      <c r="T929" s="182">
        <f t="shared" si="375"/>
        <v>0</v>
      </c>
      <c r="U929" s="182">
        <f t="shared" si="376"/>
        <v>0</v>
      </c>
      <c r="V929" s="14">
        <f t="shared" si="377"/>
        <v>2722.9</v>
      </c>
      <c r="W929" s="14">
        <f t="shared" si="378"/>
        <v>-2722.9</v>
      </c>
      <c r="Y929" s="14">
        <f t="shared" si="381"/>
        <v>287.62</v>
      </c>
      <c r="Z929" s="14">
        <f t="shared" si="382"/>
        <v>-287.62</v>
      </c>
      <c r="AA929" s="11">
        <f t="shared" si="384"/>
        <v>0.66</v>
      </c>
      <c r="AB929" s="9">
        <f t="shared" si="387"/>
        <v>96.36</v>
      </c>
      <c r="AD929" s="13">
        <f>IF(AH929&gt;AH928,AD928,IF(AD928&lt;MiscData!$F$1,EOMONTH(AD928,1),EOMONTH(AD928,-11)))</f>
        <v>42338</v>
      </c>
      <c r="AE929" s="7" t="str">
        <f t="shared" si="379"/>
        <v>20140101KUUM_454</v>
      </c>
      <c r="AF929" s="12" t="str">
        <f t="shared" si="380"/>
        <v>20140101RLS</v>
      </c>
      <c r="AG929" s="31"/>
      <c r="AH929">
        <f>IF(AH928=MiscData!$AB$91,1,AH928+1)</f>
        <v>48</v>
      </c>
      <c r="AI929">
        <f>IF(AD929&lt;=MiscData!$B$23,MiscData!$C$23,IF(AD929&lt;=MiscData!$B$24,MiscData!$C$24,MiscData!$C$25))</f>
        <v>20140101</v>
      </c>
      <c r="AK929" s="190" t="str">
        <f>VLOOKUP(AM929,MiscData!$AB$4:$ACB$113,2,FALSE)</f>
        <v>KUUM_454</v>
      </c>
      <c r="AL929" s="190" t="str">
        <f>VLOOKUP(AM929,MiscData!$AB$4:$AE$115,4,FALSE)</f>
        <v>RLS</v>
      </c>
      <c r="AM929">
        <f>IF(AM928=MiscData!$AB$91,1,AM928+1)</f>
        <v>48</v>
      </c>
    </row>
    <row r="930" spans="1:39">
      <c r="A930" s="7">
        <f t="shared" si="383"/>
        <v>929</v>
      </c>
      <c r="B930" s="13" t="str">
        <f t="shared" si="365"/>
        <v>Nov 2015</v>
      </c>
      <c r="C930" s="23" t="str">
        <f t="shared" si="366"/>
        <v>RLS</v>
      </c>
      <c r="D930" s="23" t="str">
        <f t="shared" si="367"/>
        <v>KUUM_455</v>
      </c>
      <c r="E930" s="170">
        <f t="shared" si="368"/>
        <v>979</v>
      </c>
      <c r="F930" s="185"/>
      <c r="G930" s="170">
        <f t="shared" si="364"/>
        <v>0</v>
      </c>
      <c r="H930" s="170">
        <v>0</v>
      </c>
      <c r="I930" s="11">
        <f t="shared" si="369"/>
        <v>24.59</v>
      </c>
      <c r="J930" s="11">
        <f t="shared" si="370"/>
        <v>4.2899999999999991</v>
      </c>
      <c r="K930" s="416">
        <f t="shared" si="385"/>
        <v>24073.61</v>
      </c>
      <c r="L930" s="180"/>
      <c r="M930" s="180"/>
      <c r="N930" s="186">
        <f t="shared" si="363"/>
        <v>24073.61</v>
      </c>
      <c r="O930" s="29">
        <f t="shared" si="371"/>
        <v>0</v>
      </c>
      <c r="P930" s="181">
        <f t="shared" si="386"/>
        <v>0</v>
      </c>
      <c r="Q930" s="182">
        <f t="shared" si="372"/>
        <v>0</v>
      </c>
      <c r="R930" s="182">
        <f t="shared" si="373"/>
        <v>0</v>
      </c>
      <c r="S930" s="182">
        <f t="shared" si="374"/>
        <v>0</v>
      </c>
      <c r="T930" s="182">
        <f t="shared" si="375"/>
        <v>0</v>
      </c>
      <c r="U930" s="182">
        <f t="shared" si="376"/>
        <v>0</v>
      </c>
      <c r="V930" s="14">
        <f t="shared" si="377"/>
        <v>24073.61</v>
      </c>
      <c r="W930" s="14">
        <f t="shared" si="378"/>
        <v>-24073.61</v>
      </c>
      <c r="Y930" s="14">
        <f t="shared" si="381"/>
        <v>4199.91</v>
      </c>
      <c r="Z930" s="14">
        <f t="shared" si="382"/>
        <v>-4199.91</v>
      </c>
      <c r="AA930" s="11">
        <f t="shared" si="384"/>
        <v>0.84</v>
      </c>
      <c r="AB930" s="9">
        <f t="shared" si="387"/>
        <v>822.36</v>
      </c>
      <c r="AD930" s="13">
        <f>IF(AH930&gt;AH929,AD929,IF(AD929&lt;MiscData!$F$1,EOMONTH(AD929,1),EOMONTH(AD929,-11)))</f>
        <v>42338</v>
      </c>
      <c r="AE930" s="7" t="str">
        <f t="shared" si="379"/>
        <v>20140101KUUM_455</v>
      </c>
      <c r="AF930" s="12" t="str">
        <f t="shared" si="380"/>
        <v>20140101RLS</v>
      </c>
      <c r="AG930" s="31"/>
      <c r="AH930">
        <f>IF(AH929=MiscData!$AB$91,1,AH929+1)</f>
        <v>49</v>
      </c>
      <c r="AI930">
        <f>IF(AD930&lt;=MiscData!$B$23,MiscData!$C$23,IF(AD930&lt;=MiscData!$B$24,MiscData!$C$24,MiscData!$C$25))</f>
        <v>20140101</v>
      </c>
      <c r="AK930" s="190" t="str">
        <f>VLOOKUP(AM930,MiscData!$AB$4:$ACB$113,2,FALSE)</f>
        <v>KUUM_455</v>
      </c>
      <c r="AL930" s="190" t="str">
        <f>VLOOKUP(AM930,MiscData!$AB$4:$AE$115,4,FALSE)</f>
        <v>RLS</v>
      </c>
      <c r="AM930">
        <f>IF(AM929=MiscData!$AB$91,1,AM929+1)</f>
        <v>49</v>
      </c>
    </row>
    <row r="931" spans="1:39">
      <c r="A931" s="7">
        <f t="shared" si="383"/>
        <v>930</v>
      </c>
      <c r="B931" s="13" t="str">
        <f t="shared" si="365"/>
        <v>Nov 2015</v>
      </c>
      <c r="C931" s="23" t="str">
        <f t="shared" si="366"/>
        <v>RLS</v>
      </c>
      <c r="D931" s="23" t="str">
        <f t="shared" si="367"/>
        <v>KUUM_456</v>
      </c>
      <c r="E931" s="170">
        <f t="shared" si="368"/>
        <v>136</v>
      </c>
      <c r="F931" s="185"/>
      <c r="G931" s="170">
        <f t="shared" si="364"/>
        <v>0</v>
      </c>
      <c r="H931" s="170">
        <v>0</v>
      </c>
      <c r="I931" s="11">
        <f t="shared" si="369"/>
        <v>11.870000000000001</v>
      </c>
      <c r="J931" s="11">
        <f t="shared" si="370"/>
        <v>1.9900000000000002</v>
      </c>
      <c r="K931" s="416">
        <f t="shared" si="385"/>
        <v>1614.32</v>
      </c>
      <c r="L931" s="180"/>
      <c r="M931" s="180"/>
      <c r="N931" s="186">
        <f t="shared" si="363"/>
        <v>1614.32</v>
      </c>
      <c r="O931" s="29">
        <f t="shared" si="371"/>
        <v>0</v>
      </c>
      <c r="P931" s="181">
        <f t="shared" si="386"/>
        <v>0</v>
      </c>
      <c r="Q931" s="182">
        <f t="shared" si="372"/>
        <v>0</v>
      </c>
      <c r="R931" s="182">
        <f t="shared" si="373"/>
        <v>0</v>
      </c>
      <c r="S931" s="182">
        <f t="shared" si="374"/>
        <v>0</v>
      </c>
      <c r="T931" s="182">
        <f t="shared" si="375"/>
        <v>0</v>
      </c>
      <c r="U931" s="182">
        <f t="shared" si="376"/>
        <v>0</v>
      </c>
      <c r="V931" s="14">
        <f t="shared" si="377"/>
        <v>1614.32</v>
      </c>
      <c r="W931" s="14">
        <f t="shared" si="378"/>
        <v>-1614.32</v>
      </c>
      <c r="Y931" s="14">
        <f t="shared" si="381"/>
        <v>270.64</v>
      </c>
      <c r="Z931" s="14">
        <f t="shared" si="382"/>
        <v>-270.64</v>
      </c>
      <c r="AA931" s="11">
        <f t="shared" si="384"/>
        <v>0.39</v>
      </c>
      <c r="AB931" s="9">
        <f t="shared" si="387"/>
        <v>53.04</v>
      </c>
      <c r="AD931" s="13">
        <f>IF(AH931&gt;AH930,AD930,IF(AD930&lt;MiscData!$F$1,EOMONTH(AD930,1),EOMONTH(AD930,-11)))</f>
        <v>42338</v>
      </c>
      <c r="AE931" s="7" t="str">
        <f t="shared" si="379"/>
        <v>20140101KUUM_456</v>
      </c>
      <c r="AF931" s="12" t="str">
        <f t="shared" si="380"/>
        <v>20140101RLS</v>
      </c>
      <c r="AG931" s="31"/>
      <c r="AH931">
        <f>IF(AH930=MiscData!$AB$91,1,AH930+1)</f>
        <v>50</v>
      </c>
      <c r="AI931">
        <f>IF(AD931&lt;=MiscData!$B$23,MiscData!$C$23,IF(AD931&lt;=MiscData!$B$24,MiscData!$C$24,MiscData!$C$25))</f>
        <v>20140101</v>
      </c>
      <c r="AK931" s="190" t="str">
        <f>VLOOKUP(AM931,MiscData!$AB$4:$ACB$113,2,FALSE)</f>
        <v>KUUM_456</v>
      </c>
      <c r="AL931" s="190" t="str">
        <f>VLOOKUP(AM931,MiscData!$AB$4:$AE$115,4,FALSE)</f>
        <v>RLS</v>
      </c>
      <c r="AM931">
        <f>IF(AM930=MiscData!$AB$91,1,AM930+1)</f>
        <v>50</v>
      </c>
    </row>
    <row r="932" spans="1:39">
      <c r="A932" s="7">
        <f t="shared" si="383"/>
        <v>931</v>
      </c>
      <c r="B932" s="13" t="str">
        <f t="shared" si="365"/>
        <v>Nov 2015</v>
      </c>
      <c r="C932" s="23" t="str">
        <f t="shared" si="366"/>
        <v>RLS</v>
      </c>
      <c r="D932" s="23" t="str">
        <f t="shared" si="367"/>
        <v>KUUM_457</v>
      </c>
      <c r="E932" s="170">
        <f t="shared" si="368"/>
        <v>441</v>
      </c>
      <c r="F932" s="185"/>
      <c r="G932" s="170">
        <f t="shared" si="364"/>
        <v>0</v>
      </c>
      <c r="H932" s="170">
        <v>0</v>
      </c>
      <c r="I932" s="11">
        <f t="shared" si="369"/>
        <v>13.360000000000001</v>
      </c>
      <c r="J932" s="11">
        <f t="shared" si="370"/>
        <v>2.84</v>
      </c>
      <c r="K932" s="416">
        <f t="shared" si="385"/>
        <v>5891.76</v>
      </c>
      <c r="L932" s="180"/>
      <c r="M932" s="180"/>
      <c r="N932" s="186">
        <f t="shared" si="363"/>
        <v>5891.76</v>
      </c>
      <c r="O932" s="29">
        <f t="shared" si="371"/>
        <v>0</v>
      </c>
      <c r="P932" s="181">
        <f t="shared" si="386"/>
        <v>0</v>
      </c>
      <c r="Q932" s="182">
        <f t="shared" si="372"/>
        <v>0</v>
      </c>
      <c r="R932" s="182">
        <f t="shared" si="373"/>
        <v>0</v>
      </c>
      <c r="S932" s="182">
        <f t="shared" si="374"/>
        <v>0</v>
      </c>
      <c r="T932" s="182">
        <f t="shared" si="375"/>
        <v>0</v>
      </c>
      <c r="U932" s="182">
        <f t="shared" si="376"/>
        <v>0</v>
      </c>
      <c r="V932" s="14">
        <f t="shared" si="377"/>
        <v>5891.76</v>
      </c>
      <c r="W932" s="14">
        <f t="shared" si="378"/>
        <v>-5891.76</v>
      </c>
      <c r="Y932" s="14">
        <f t="shared" si="381"/>
        <v>1252.44</v>
      </c>
      <c r="Z932" s="14">
        <f t="shared" si="382"/>
        <v>-1252.44</v>
      </c>
      <c r="AA932" s="11">
        <f t="shared" si="384"/>
        <v>0.44</v>
      </c>
      <c r="AB932" s="9">
        <f t="shared" si="387"/>
        <v>194.04</v>
      </c>
      <c r="AD932" s="13">
        <f>IF(AH932&gt;AH931,AD931,IF(AD931&lt;MiscData!$F$1,EOMONTH(AD931,1),EOMONTH(AD931,-11)))</f>
        <v>42338</v>
      </c>
      <c r="AE932" s="7" t="str">
        <f t="shared" si="379"/>
        <v>20140101KUUM_457</v>
      </c>
      <c r="AF932" s="12" t="str">
        <f t="shared" si="380"/>
        <v>20140101RLS</v>
      </c>
      <c r="AG932" s="31"/>
      <c r="AH932">
        <f>IF(AH931=MiscData!$AB$91,1,AH931+1)</f>
        <v>51</v>
      </c>
      <c r="AI932">
        <f>IF(AD932&lt;=MiscData!$B$23,MiscData!$C$23,IF(AD932&lt;=MiscData!$B$24,MiscData!$C$24,MiscData!$C$25))</f>
        <v>20140101</v>
      </c>
      <c r="AK932" s="190" t="str">
        <f>VLOOKUP(AM932,MiscData!$AB$4:$ACB$113,2,FALSE)</f>
        <v>KUUM_457</v>
      </c>
      <c r="AL932" s="190" t="str">
        <f>VLOOKUP(AM932,MiscData!$AB$4:$AE$115,4,FALSE)</f>
        <v>RLS</v>
      </c>
      <c r="AM932">
        <f>IF(AM931=MiscData!$AB$91,1,AM931+1)</f>
        <v>51</v>
      </c>
    </row>
    <row r="933" spans="1:39">
      <c r="A933" s="7">
        <f t="shared" si="383"/>
        <v>932</v>
      </c>
      <c r="B933" s="13" t="str">
        <f t="shared" si="365"/>
        <v>Nov 2015</v>
      </c>
      <c r="C933" s="23" t="str">
        <f t="shared" si="366"/>
        <v>RLS</v>
      </c>
      <c r="D933" s="23" t="str">
        <f t="shared" si="367"/>
        <v>KUUM_458</v>
      </c>
      <c r="E933" s="170">
        <f t="shared" si="368"/>
        <v>1355</v>
      </c>
      <c r="F933" s="185"/>
      <c r="G933" s="170">
        <f t="shared" si="364"/>
        <v>0</v>
      </c>
      <c r="H933" s="170">
        <v>0</v>
      </c>
      <c r="I933" s="11">
        <f t="shared" si="369"/>
        <v>15.079999999999998</v>
      </c>
      <c r="J933" s="11">
        <f t="shared" si="370"/>
        <v>4.3699999999999992</v>
      </c>
      <c r="K933" s="416">
        <f t="shared" si="385"/>
        <v>20433.400000000001</v>
      </c>
      <c r="L933" s="180"/>
      <c r="M933" s="180"/>
      <c r="N933" s="186">
        <f t="shared" si="363"/>
        <v>20433.400000000001</v>
      </c>
      <c r="O933" s="29">
        <f t="shared" si="371"/>
        <v>0</v>
      </c>
      <c r="P933" s="181">
        <f t="shared" si="386"/>
        <v>0</v>
      </c>
      <c r="Q933" s="182">
        <f t="shared" si="372"/>
        <v>0</v>
      </c>
      <c r="R933" s="182">
        <f t="shared" si="373"/>
        <v>0</v>
      </c>
      <c r="S933" s="182">
        <f t="shared" si="374"/>
        <v>0</v>
      </c>
      <c r="T933" s="182">
        <f t="shared" si="375"/>
        <v>0</v>
      </c>
      <c r="U933" s="182">
        <f t="shared" si="376"/>
        <v>0</v>
      </c>
      <c r="V933" s="14">
        <f t="shared" si="377"/>
        <v>20433.400000000001</v>
      </c>
      <c r="W933" s="14">
        <f t="shared" si="378"/>
        <v>-20433.400000000001</v>
      </c>
      <c r="Y933" s="14">
        <f t="shared" si="381"/>
        <v>5921.35</v>
      </c>
      <c r="Z933" s="14">
        <f t="shared" si="382"/>
        <v>-5921.35</v>
      </c>
      <c r="AA933" s="11">
        <f t="shared" si="384"/>
        <v>0.51</v>
      </c>
      <c r="AB933" s="9">
        <f t="shared" si="387"/>
        <v>691.05000000000007</v>
      </c>
      <c r="AD933" s="13">
        <f>IF(AH933&gt;AH932,AD932,IF(AD932&lt;MiscData!$F$1,EOMONTH(AD932,1),EOMONTH(AD932,-11)))</f>
        <v>42338</v>
      </c>
      <c r="AE933" s="7" t="str">
        <f t="shared" si="379"/>
        <v>20140101KUUM_458</v>
      </c>
      <c r="AF933" s="12" t="str">
        <f t="shared" si="380"/>
        <v>20140101RLS</v>
      </c>
      <c r="AG933" s="31"/>
      <c r="AH933">
        <f>IF(AH932=MiscData!$AB$91,1,AH932+1)</f>
        <v>52</v>
      </c>
      <c r="AI933">
        <f>IF(AD933&lt;=MiscData!$B$23,MiscData!$C$23,IF(AD933&lt;=MiscData!$B$24,MiscData!$C$24,MiscData!$C$25))</f>
        <v>20140101</v>
      </c>
      <c r="AK933" s="190" t="str">
        <f>VLOOKUP(AM933,MiscData!$AB$4:$ACB$113,2,FALSE)</f>
        <v>KUUM_458</v>
      </c>
      <c r="AL933" s="190" t="str">
        <f>VLOOKUP(AM933,MiscData!$AB$4:$AE$115,4,FALSE)</f>
        <v>RLS</v>
      </c>
      <c r="AM933">
        <f>IF(AM932=MiscData!$AB$91,1,AM932+1)</f>
        <v>52</v>
      </c>
    </row>
    <row r="934" spans="1:39">
      <c r="A934" s="7">
        <f t="shared" si="383"/>
        <v>933</v>
      </c>
      <c r="B934" s="13" t="str">
        <f t="shared" si="365"/>
        <v>Nov 2015</v>
      </c>
      <c r="C934" s="23" t="str">
        <f t="shared" si="366"/>
        <v>RLS</v>
      </c>
      <c r="D934" s="23" t="str">
        <f t="shared" si="367"/>
        <v>KUUM_459</v>
      </c>
      <c r="E934" s="170">
        <f t="shared" si="368"/>
        <v>226</v>
      </c>
      <c r="F934" s="185"/>
      <c r="G934" s="170">
        <f t="shared" si="364"/>
        <v>0</v>
      </c>
      <c r="H934" s="170">
        <v>0</v>
      </c>
      <c r="I934" s="11">
        <f t="shared" si="369"/>
        <v>46.740000000000009</v>
      </c>
      <c r="J934" s="11">
        <f t="shared" si="370"/>
        <v>10.410000000000004</v>
      </c>
      <c r="K934" s="416">
        <f t="shared" si="385"/>
        <v>10563.24</v>
      </c>
      <c r="L934" s="180"/>
      <c r="M934" s="180"/>
      <c r="N934" s="186">
        <f t="shared" si="363"/>
        <v>10563.24</v>
      </c>
      <c r="O934" s="29">
        <f t="shared" si="371"/>
        <v>0</v>
      </c>
      <c r="P934" s="181">
        <f t="shared" si="386"/>
        <v>0</v>
      </c>
      <c r="Q934" s="182">
        <f t="shared" si="372"/>
        <v>0</v>
      </c>
      <c r="R934" s="182">
        <f t="shared" si="373"/>
        <v>0</v>
      </c>
      <c r="S934" s="182">
        <f t="shared" si="374"/>
        <v>0</v>
      </c>
      <c r="T934" s="182">
        <f t="shared" si="375"/>
        <v>0</v>
      </c>
      <c r="U934" s="182">
        <f t="shared" si="376"/>
        <v>0</v>
      </c>
      <c r="V934" s="14">
        <f t="shared" si="377"/>
        <v>10563.24</v>
      </c>
      <c r="W934" s="14">
        <f t="shared" si="378"/>
        <v>-10563.24</v>
      </c>
      <c r="Y934" s="14">
        <f t="shared" si="381"/>
        <v>2352.66</v>
      </c>
      <c r="Z934" s="14">
        <f t="shared" si="382"/>
        <v>-2352.66</v>
      </c>
      <c r="AA934" s="11">
        <f t="shared" si="384"/>
        <v>1.7</v>
      </c>
      <c r="AB934" s="9">
        <f t="shared" si="387"/>
        <v>384.2</v>
      </c>
      <c r="AD934" s="13">
        <f>IF(AH934&gt;AH933,AD933,IF(AD933&lt;MiscData!$F$1,EOMONTH(AD933,1),EOMONTH(AD933,-11)))</f>
        <v>42338</v>
      </c>
      <c r="AE934" s="7" t="str">
        <f t="shared" si="379"/>
        <v>20140101KUUM_459</v>
      </c>
      <c r="AF934" s="12" t="str">
        <f t="shared" si="380"/>
        <v>20140101RLS</v>
      </c>
      <c r="AG934" s="31"/>
      <c r="AH934">
        <f>IF(AH933=MiscData!$AB$91,1,AH933+1)</f>
        <v>53</v>
      </c>
      <c r="AI934">
        <f>IF(AD934&lt;=MiscData!$B$23,MiscData!$C$23,IF(AD934&lt;=MiscData!$B$24,MiscData!$C$24,MiscData!$C$25))</f>
        <v>20140101</v>
      </c>
      <c r="AK934" s="190" t="str">
        <f>VLOOKUP(AM934,MiscData!$AB$4:$ACB$113,2,FALSE)</f>
        <v>KUUM_459</v>
      </c>
      <c r="AL934" s="190" t="str">
        <f>VLOOKUP(AM934,MiscData!$AB$4:$AE$115,4,FALSE)</f>
        <v>RLS</v>
      </c>
      <c r="AM934">
        <f>IF(AM933=MiscData!$AB$91,1,AM933+1)</f>
        <v>53</v>
      </c>
    </row>
    <row r="935" spans="1:39">
      <c r="A935" s="7">
        <f t="shared" si="383"/>
        <v>934</v>
      </c>
      <c r="B935" s="13" t="str">
        <f t="shared" si="365"/>
        <v>Nov 2015</v>
      </c>
      <c r="C935" s="23" t="str">
        <f t="shared" si="366"/>
        <v>RLS</v>
      </c>
      <c r="D935" s="23" t="str">
        <f t="shared" si="367"/>
        <v>KUUM_460</v>
      </c>
      <c r="E935" s="170">
        <f t="shared" si="368"/>
        <v>26</v>
      </c>
      <c r="F935" s="185"/>
      <c r="G935" s="170">
        <f t="shared" si="364"/>
        <v>0</v>
      </c>
      <c r="H935" s="170">
        <v>0</v>
      </c>
      <c r="I935" s="11">
        <f t="shared" si="369"/>
        <v>27.15</v>
      </c>
      <c r="J935" s="11">
        <f t="shared" si="370"/>
        <v>1.9699999999999989</v>
      </c>
      <c r="K935" s="416">
        <f t="shared" si="385"/>
        <v>705.9</v>
      </c>
      <c r="L935" s="180"/>
      <c r="M935" s="180"/>
      <c r="N935" s="186">
        <f t="shared" si="363"/>
        <v>705.9</v>
      </c>
      <c r="O935" s="29">
        <f t="shared" si="371"/>
        <v>0</v>
      </c>
      <c r="P935" s="181">
        <f t="shared" si="386"/>
        <v>0</v>
      </c>
      <c r="Q935" s="182">
        <f t="shared" si="372"/>
        <v>0</v>
      </c>
      <c r="R935" s="182">
        <f t="shared" si="373"/>
        <v>0</v>
      </c>
      <c r="S935" s="182">
        <f t="shared" si="374"/>
        <v>0</v>
      </c>
      <c r="T935" s="182">
        <f t="shared" si="375"/>
        <v>0</v>
      </c>
      <c r="U935" s="182">
        <f t="shared" si="376"/>
        <v>0</v>
      </c>
      <c r="V935" s="14">
        <f t="shared" si="377"/>
        <v>705.9</v>
      </c>
      <c r="W935" s="14">
        <f t="shared" si="378"/>
        <v>-705.9</v>
      </c>
      <c r="Y935" s="14">
        <f t="shared" si="381"/>
        <v>51.22</v>
      </c>
      <c r="Z935" s="14">
        <f t="shared" si="382"/>
        <v>-51.22</v>
      </c>
      <c r="AA935" s="11">
        <f t="shared" si="384"/>
        <v>0.66</v>
      </c>
      <c r="AB935" s="9">
        <f t="shared" si="387"/>
        <v>17.16</v>
      </c>
      <c r="AD935" s="13">
        <f>IF(AH935&gt;AH934,AD934,IF(AD934&lt;MiscData!$F$1,EOMONTH(AD934,1),EOMONTH(AD934,-11)))</f>
        <v>42338</v>
      </c>
      <c r="AE935" s="7" t="str">
        <f t="shared" si="379"/>
        <v>20140101KUUM_460</v>
      </c>
      <c r="AF935" s="12" t="str">
        <f t="shared" si="380"/>
        <v>20140101RLS</v>
      </c>
      <c r="AG935" s="31"/>
      <c r="AH935">
        <f>IF(AH934=MiscData!$AB$91,1,AH934+1)</f>
        <v>54</v>
      </c>
      <c r="AI935">
        <f>IF(AD935&lt;=MiscData!$B$23,MiscData!$C$23,IF(AD935&lt;=MiscData!$B$24,MiscData!$C$24,MiscData!$C$25))</f>
        <v>20140101</v>
      </c>
      <c r="AK935" s="190" t="str">
        <f>VLOOKUP(AM935,MiscData!$AB$4:$ACB$113,2,FALSE)</f>
        <v>KUUM_460</v>
      </c>
      <c r="AL935" s="190" t="str">
        <f>VLOOKUP(AM935,MiscData!$AB$4:$AE$115,4,FALSE)</f>
        <v>RLS</v>
      </c>
      <c r="AM935">
        <f>IF(AM934=MiscData!$AB$91,1,AM934+1)</f>
        <v>54</v>
      </c>
    </row>
    <row r="936" spans="1:39">
      <c r="A936" s="7">
        <f t="shared" si="383"/>
        <v>935</v>
      </c>
      <c r="B936" s="13" t="str">
        <f t="shared" si="365"/>
        <v>Nov 2015</v>
      </c>
      <c r="C936" s="23" t="str">
        <f t="shared" si="366"/>
        <v>RLS</v>
      </c>
      <c r="D936" s="23" t="str">
        <f t="shared" si="367"/>
        <v>KUUM_461</v>
      </c>
      <c r="E936" s="170">
        <f t="shared" si="368"/>
        <v>6648</v>
      </c>
      <c r="F936" s="185"/>
      <c r="G936" s="170">
        <f t="shared" si="364"/>
        <v>0</v>
      </c>
      <c r="H936" s="170">
        <v>0</v>
      </c>
      <c r="I936" s="11">
        <f t="shared" si="369"/>
        <v>7.54</v>
      </c>
      <c r="J936" s="11">
        <f t="shared" si="370"/>
        <v>0.57000000000000028</v>
      </c>
      <c r="K936" s="416">
        <f t="shared" si="385"/>
        <v>50125.919999999998</v>
      </c>
      <c r="L936" s="180"/>
      <c r="M936" s="180"/>
      <c r="N936" s="186">
        <f t="shared" si="363"/>
        <v>50125.919999999998</v>
      </c>
      <c r="O936" s="29">
        <f t="shared" si="371"/>
        <v>0</v>
      </c>
      <c r="P936" s="181">
        <f t="shared" si="386"/>
        <v>0</v>
      </c>
      <c r="Q936" s="182">
        <f t="shared" si="372"/>
        <v>0</v>
      </c>
      <c r="R936" s="182">
        <f t="shared" si="373"/>
        <v>0</v>
      </c>
      <c r="S936" s="182">
        <f t="shared" si="374"/>
        <v>0</v>
      </c>
      <c r="T936" s="182">
        <f t="shared" si="375"/>
        <v>0</v>
      </c>
      <c r="U936" s="182">
        <f t="shared" si="376"/>
        <v>0</v>
      </c>
      <c r="V936" s="14">
        <f t="shared" si="377"/>
        <v>50125.919999999998</v>
      </c>
      <c r="W936" s="14">
        <f t="shared" si="378"/>
        <v>-50125.919999999998</v>
      </c>
      <c r="Y936" s="14">
        <f t="shared" si="381"/>
        <v>3789.36</v>
      </c>
      <c r="Z936" s="14">
        <f t="shared" si="382"/>
        <v>-3789.36</v>
      </c>
      <c r="AA936" s="11">
        <f t="shared" si="384"/>
        <v>0.33</v>
      </c>
      <c r="AB936" s="9">
        <f t="shared" si="387"/>
        <v>2193.84</v>
      </c>
      <c r="AD936" s="13">
        <f>IF(AH936&gt;AH935,AD935,IF(AD935&lt;MiscData!$F$1,EOMONTH(AD935,1),EOMONTH(AD935,-11)))</f>
        <v>42338</v>
      </c>
      <c r="AE936" s="7" t="str">
        <f t="shared" si="379"/>
        <v>20140101KUUM_461</v>
      </c>
      <c r="AF936" s="12" t="str">
        <f t="shared" si="380"/>
        <v>20140101RLS</v>
      </c>
      <c r="AG936" s="31"/>
      <c r="AH936">
        <f>IF(AH935=MiscData!$AB$91,1,AH935+1)</f>
        <v>55</v>
      </c>
      <c r="AI936">
        <f>IF(AD936&lt;=MiscData!$B$23,MiscData!$C$23,IF(AD936&lt;=MiscData!$B$24,MiscData!$C$24,MiscData!$C$25))</f>
        <v>20140101</v>
      </c>
      <c r="AK936" s="190" t="str">
        <f>VLOOKUP(AM936,MiscData!$AB$4:$ACB$113,2,FALSE)</f>
        <v>KUUM_461</v>
      </c>
      <c r="AL936" s="190" t="str">
        <f>VLOOKUP(AM936,MiscData!$AB$4:$AE$115,4,FALSE)</f>
        <v>RLS</v>
      </c>
      <c r="AM936">
        <f>IF(AM935=MiscData!$AB$91,1,AM935+1)</f>
        <v>55</v>
      </c>
    </row>
    <row r="937" spans="1:39">
      <c r="A937" s="7">
        <f t="shared" si="383"/>
        <v>936</v>
      </c>
      <c r="B937" s="13" t="str">
        <f t="shared" si="365"/>
        <v>Nov 2015</v>
      </c>
      <c r="C937" s="23" t="str">
        <f t="shared" si="366"/>
        <v>LS</v>
      </c>
      <c r="D937" s="23" t="str">
        <f t="shared" si="367"/>
        <v>KUUM_462</v>
      </c>
      <c r="E937" s="170">
        <f t="shared" si="368"/>
        <v>6813</v>
      </c>
      <c r="F937" s="185"/>
      <c r="G937" s="170">
        <f t="shared" si="364"/>
        <v>0</v>
      </c>
      <c r="H937" s="170">
        <v>0</v>
      </c>
      <c r="I937" s="11">
        <f t="shared" si="369"/>
        <v>8.66</v>
      </c>
      <c r="J937" s="11">
        <f t="shared" si="370"/>
        <v>0.79999999999999893</v>
      </c>
      <c r="K937" s="416">
        <f t="shared" si="385"/>
        <v>59000.58</v>
      </c>
      <c r="L937" s="180"/>
      <c r="M937" s="180"/>
      <c r="N937" s="186">
        <f t="shared" si="363"/>
        <v>59000.58</v>
      </c>
      <c r="O937" s="29">
        <f t="shared" si="371"/>
        <v>0</v>
      </c>
      <c r="P937" s="181">
        <f t="shared" si="386"/>
        <v>0</v>
      </c>
      <c r="Q937" s="182">
        <f t="shared" si="372"/>
        <v>0</v>
      </c>
      <c r="R937" s="182">
        <f t="shared" si="373"/>
        <v>0</v>
      </c>
      <c r="S937" s="182">
        <f t="shared" si="374"/>
        <v>0</v>
      </c>
      <c r="T937" s="182">
        <f t="shared" si="375"/>
        <v>0</v>
      </c>
      <c r="U937" s="182">
        <f t="shared" si="376"/>
        <v>0</v>
      </c>
      <c r="V937" s="14">
        <f t="shared" si="377"/>
        <v>59000.58</v>
      </c>
      <c r="W937" s="14">
        <f t="shared" si="378"/>
        <v>-59000.58</v>
      </c>
      <c r="Y937" s="14">
        <f t="shared" si="381"/>
        <v>5450.4</v>
      </c>
      <c r="Z937" s="14">
        <f t="shared" si="382"/>
        <v>-5450.4</v>
      </c>
      <c r="AA937" s="11">
        <f t="shared" si="384"/>
        <v>0.43</v>
      </c>
      <c r="AB937" s="9">
        <f t="shared" si="387"/>
        <v>2929.59</v>
      </c>
      <c r="AD937" s="13">
        <f>IF(AH937&gt;AH936,AD936,IF(AD936&lt;MiscData!$F$1,EOMONTH(AD936,1),EOMONTH(AD936,-11)))</f>
        <v>42338</v>
      </c>
      <c r="AE937" s="7" t="str">
        <f t="shared" si="379"/>
        <v>20140101KUUM_462</v>
      </c>
      <c r="AF937" s="12" t="str">
        <f t="shared" si="380"/>
        <v>20140101LS</v>
      </c>
      <c r="AG937" s="31"/>
      <c r="AH937">
        <f>IF(AH936=MiscData!$AB$91,1,AH936+1)</f>
        <v>56</v>
      </c>
      <c r="AI937">
        <f>IF(AD937&lt;=MiscData!$B$23,MiscData!$C$23,IF(AD937&lt;=MiscData!$B$24,MiscData!$C$24,MiscData!$C$25))</f>
        <v>20140101</v>
      </c>
      <c r="AK937" s="190" t="str">
        <f>VLOOKUP(AM937,MiscData!$AB$4:$ACB$113,2,FALSE)</f>
        <v>KUUM_462</v>
      </c>
      <c r="AL937" s="190" t="str">
        <f>VLOOKUP(AM937,MiscData!$AB$4:$AE$115,4,FALSE)</f>
        <v>LS</v>
      </c>
      <c r="AM937">
        <f>IF(AM936=MiscData!$AB$91,1,AM936+1)</f>
        <v>56</v>
      </c>
    </row>
    <row r="938" spans="1:39">
      <c r="A938" s="7">
        <f t="shared" si="383"/>
        <v>937</v>
      </c>
      <c r="B938" s="13" t="str">
        <f t="shared" si="365"/>
        <v>Nov 2015</v>
      </c>
      <c r="C938" s="23" t="str">
        <f t="shared" si="366"/>
        <v>LS</v>
      </c>
      <c r="D938" s="23" t="str">
        <f t="shared" si="367"/>
        <v>KUUM_463</v>
      </c>
      <c r="E938" s="170">
        <f t="shared" si="368"/>
        <v>19649</v>
      </c>
      <c r="F938" s="185"/>
      <c r="G938" s="170">
        <f t="shared" si="364"/>
        <v>0</v>
      </c>
      <c r="H938" s="170">
        <v>0</v>
      </c>
      <c r="I938" s="11">
        <f t="shared" si="369"/>
        <v>9.14</v>
      </c>
      <c r="J938" s="11">
        <f t="shared" si="370"/>
        <v>1.1299999999999999</v>
      </c>
      <c r="K938" s="416">
        <f t="shared" si="385"/>
        <v>179591.86</v>
      </c>
      <c r="L938" s="180"/>
      <c r="M938" s="180"/>
      <c r="N938" s="186">
        <f t="shared" si="363"/>
        <v>179591.86</v>
      </c>
      <c r="O938" s="29">
        <f t="shared" si="371"/>
        <v>0</v>
      </c>
      <c r="P938" s="181">
        <f t="shared" si="386"/>
        <v>0</v>
      </c>
      <c r="Q938" s="182">
        <f t="shared" si="372"/>
        <v>0</v>
      </c>
      <c r="R938" s="182">
        <f t="shared" si="373"/>
        <v>0</v>
      </c>
      <c r="S938" s="182">
        <f t="shared" si="374"/>
        <v>0</v>
      </c>
      <c r="T938" s="182">
        <f t="shared" si="375"/>
        <v>0</v>
      </c>
      <c r="U938" s="182">
        <f t="shared" si="376"/>
        <v>0</v>
      </c>
      <c r="V938" s="14">
        <f t="shared" si="377"/>
        <v>179591.86</v>
      </c>
      <c r="W938" s="14">
        <f t="shared" si="378"/>
        <v>-179591.86</v>
      </c>
      <c r="Y938" s="14">
        <f t="shared" si="381"/>
        <v>22203.37</v>
      </c>
      <c r="Z938" s="14">
        <f t="shared" si="382"/>
        <v>-22203.37</v>
      </c>
      <c r="AA938" s="11">
        <f t="shared" si="384"/>
        <v>0.34</v>
      </c>
      <c r="AB938" s="9">
        <f t="shared" si="387"/>
        <v>6680.6600000000008</v>
      </c>
      <c r="AD938" s="13">
        <f>IF(AH938&gt;AH937,AD937,IF(AD937&lt;MiscData!$F$1,EOMONTH(AD937,1),EOMONTH(AD937,-11)))</f>
        <v>42338</v>
      </c>
      <c r="AE938" s="7" t="str">
        <f t="shared" si="379"/>
        <v>20140101KUUM_463</v>
      </c>
      <c r="AF938" s="12" t="str">
        <f t="shared" si="380"/>
        <v>20140101LS</v>
      </c>
      <c r="AG938" s="31"/>
      <c r="AH938">
        <f>IF(AH937=MiscData!$AB$91,1,AH937+1)</f>
        <v>57</v>
      </c>
      <c r="AI938">
        <f>IF(AD938&lt;=MiscData!$B$23,MiscData!$C$23,IF(AD938&lt;=MiscData!$B$24,MiscData!$C$24,MiscData!$C$25))</f>
        <v>20140101</v>
      </c>
      <c r="AK938" s="190" t="str">
        <f>VLOOKUP(AM938,MiscData!$AB$4:$ACB$113,2,FALSE)</f>
        <v>KUUM_463</v>
      </c>
      <c r="AL938" s="190" t="str">
        <f>VLOOKUP(AM938,MiscData!$AB$4:$AE$115,4,FALSE)</f>
        <v>LS</v>
      </c>
      <c r="AM938">
        <f>IF(AM937=MiscData!$AB$91,1,AM937+1)</f>
        <v>57</v>
      </c>
    </row>
    <row r="939" spans="1:39">
      <c r="A939" s="7">
        <f t="shared" si="383"/>
        <v>938</v>
      </c>
      <c r="B939" s="13" t="str">
        <f t="shared" si="365"/>
        <v>Nov 2015</v>
      </c>
      <c r="C939" s="23" t="str">
        <f t="shared" si="366"/>
        <v>LS</v>
      </c>
      <c r="D939" s="23" t="str">
        <f t="shared" si="367"/>
        <v>KUUM_464</v>
      </c>
      <c r="E939" s="170">
        <f t="shared" si="368"/>
        <v>7024</v>
      </c>
      <c r="F939" s="185"/>
      <c r="G939" s="170">
        <f t="shared" si="364"/>
        <v>0</v>
      </c>
      <c r="H939" s="170">
        <v>0</v>
      </c>
      <c r="I939" s="11">
        <f t="shared" si="369"/>
        <v>14.25</v>
      </c>
      <c r="J939" s="11">
        <f t="shared" si="370"/>
        <v>2.33</v>
      </c>
      <c r="K939" s="416">
        <f t="shared" si="385"/>
        <v>100092</v>
      </c>
      <c r="L939" s="180"/>
      <c r="M939" s="180"/>
      <c r="N939" s="186">
        <f t="shared" si="363"/>
        <v>100092</v>
      </c>
      <c r="O939" s="29">
        <f t="shared" si="371"/>
        <v>0</v>
      </c>
      <c r="P939" s="181">
        <f t="shared" si="386"/>
        <v>0</v>
      </c>
      <c r="Q939" s="182">
        <f t="shared" si="372"/>
        <v>0</v>
      </c>
      <c r="R939" s="182">
        <f t="shared" si="373"/>
        <v>0</v>
      </c>
      <c r="S939" s="182">
        <f t="shared" si="374"/>
        <v>0</v>
      </c>
      <c r="T939" s="182">
        <f t="shared" si="375"/>
        <v>0</v>
      </c>
      <c r="U939" s="182">
        <f t="shared" si="376"/>
        <v>0</v>
      </c>
      <c r="V939" s="14">
        <f t="shared" si="377"/>
        <v>100092</v>
      </c>
      <c r="W939" s="14">
        <f t="shared" si="378"/>
        <v>-100092</v>
      </c>
      <c r="Y939" s="14">
        <f t="shared" si="381"/>
        <v>16365.92</v>
      </c>
      <c r="Z939" s="14">
        <f t="shared" si="382"/>
        <v>-16365.92</v>
      </c>
      <c r="AA939" s="11">
        <f t="shared" si="384"/>
        <v>0.57999999999999996</v>
      </c>
      <c r="AB939" s="9">
        <f t="shared" si="387"/>
        <v>4073.9199999999996</v>
      </c>
      <c r="AD939" s="13">
        <f>IF(AH939&gt;AH938,AD938,IF(AD938&lt;MiscData!$F$1,EOMONTH(AD938,1),EOMONTH(AD938,-11)))</f>
        <v>42338</v>
      </c>
      <c r="AE939" s="7" t="str">
        <f t="shared" si="379"/>
        <v>20140101KUUM_464</v>
      </c>
      <c r="AF939" s="12" t="str">
        <f t="shared" si="380"/>
        <v>20140101LS</v>
      </c>
      <c r="AG939" s="31"/>
      <c r="AH939">
        <f>IF(AH938=MiscData!$AB$91,1,AH938+1)</f>
        <v>58</v>
      </c>
      <c r="AI939">
        <f>IF(AD939&lt;=MiscData!$B$23,MiscData!$C$23,IF(AD939&lt;=MiscData!$B$24,MiscData!$C$24,MiscData!$C$25))</f>
        <v>20140101</v>
      </c>
      <c r="AK939" s="190" t="str">
        <f>VLOOKUP(AM939,MiscData!$AB$4:$ACB$113,2,FALSE)</f>
        <v>KUUM_464</v>
      </c>
      <c r="AL939" s="190" t="str">
        <f>VLOOKUP(AM939,MiscData!$AB$4:$AE$115,4,FALSE)</f>
        <v>LS</v>
      </c>
      <c r="AM939">
        <f>IF(AM938=MiscData!$AB$91,1,AM938+1)</f>
        <v>58</v>
      </c>
    </row>
    <row r="940" spans="1:39">
      <c r="A940" s="7">
        <f t="shared" si="383"/>
        <v>939</v>
      </c>
      <c r="B940" s="13" t="str">
        <f t="shared" si="365"/>
        <v>Nov 2015</v>
      </c>
      <c r="C940" s="23" t="str">
        <f t="shared" si="366"/>
        <v>LS</v>
      </c>
      <c r="D940" s="23" t="str">
        <f t="shared" si="367"/>
        <v>KUUM_465</v>
      </c>
      <c r="E940" s="170">
        <f t="shared" si="368"/>
        <v>2645</v>
      </c>
      <c r="F940" s="185"/>
      <c r="G940" s="170">
        <f t="shared" si="364"/>
        <v>0</v>
      </c>
      <c r="H940" s="170">
        <v>0</v>
      </c>
      <c r="I940" s="11">
        <f t="shared" si="369"/>
        <v>22.84</v>
      </c>
      <c r="J940" s="11">
        <f t="shared" si="370"/>
        <v>4.5299999999999976</v>
      </c>
      <c r="K940" s="416">
        <f t="shared" si="385"/>
        <v>60411.8</v>
      </c>
      <c r="L940" s="180"/>
      <c r="M940" s="180"/>
      <c r="N940" s="186">
        <f t="shared" si="363"/>
        <v>60411.8</v>
      </c>
      <c r="O940" s="29">
        <f t="shared" si="371"/>
        <v>0</v>
      </c>
      <c r="P940" s="181">
        <f t="shared" si="386"/>
        <v>0</v>
      </c>
      <c r="Q940" s="182">
        <f t="shared" si="372"/>
        <v>0</v>
      </c>
      <c r="R940" s="182">
        <f t="shared" si="373"/>
        <v>0</v>
      </c>
      <c r="S940" s="182">
        <f t="shared" si="374"/>
        <v>0</v>
      </c>
      <c r="T940" s="182">
        <f t="shared" si="375"/>
        <v>0</v>
      </c>
      <c r="U940" s="182">
        <f t="shared" si="376"/>
        <v>0</v>
      </c>
      <c r="V940" s="14">
        <f t="shared" si="377"/>
        <v>60411.8</v>
      </c>
      <c r="W940" s="14">
        <f t="shared" si="378"/>
        <v>-60411.8</v>
      </c>
      <c r="Y940" s="14">
        <f t="shared" si="381"/>
        <v>11981.85</v>
      </c>
      <c r="Z940" s="14">
        <f t="shared" si="382"/>
        <v>-11981.85</v>
      </c>
      <c r="AA940" s="11">
        <f t="shared" si="384"/>
        <v>0.79</v>
      </c>
      <c r="AB940" s="9">
        <f t="shared" si="387"/>
        <v>2089.5500000000002</v>
      </c>
      <c r="AD940" s="13">
        <f>IF(AH940&gt;AH939,AD939,IF(AD939&lt;MiscData!$F$1,EOMONTH(AD939,1),EOMONTH(AD939,-11)))</f>
        <v>42338</v>
      </c>
      <c r="AE940" s="7" t="str">
        <f t="shared" si="379"/>
        <v>20140101KUUM_465</v>
      </c>
      <c r="AF940" s="12" t="str">
        <f t="shared" si="380"/>
        <v>20140101LS</v>
      </c>
      <c r="AG940" s="31"/>
      <c r="AH940">
        <f>IF(AH939=MiscData!$AB$91,1,AH939+1)</f>
        <v>59</v>
      </c>
      <c r="AI940">
        <f>IF(AD940&lt;=MiscData!$B$23,MiscData!$C$23,IF(AD940&lt;=MiscData!$B$24,MiscData!$C$24,MiscData!$C$25))</f>
        <v>20140101</v>
      </c>
      <c r="AK940" s="190" t="str">
        <f>VLOOKUP(AM940,MiscData!$AB$4:$ACB$113,2,FALSE)</f>
        <v>KUUM_465</v>
      </c>
      <c r="AL940" s="190" t="str">
        <f>VLOOKUP(AM940,MiscData!$AB$4:$AE$115,4,FALSE)</f>
        <v>LS</v>
      </c>
      <c r="AM940">
        <f>IF(AM939=MiscData!$AB$91,1,AM939+1)</f>
        <v>59</v>
      </c>
    </row>
    <row r="941" spans="1:39">
      <c r="A941" s="7">
        <f t="shared" si="383"/>
        <v>940</v>
      </c>
      <c r="B941" s="13" t="str">
        <f t="shared" si="365"/>
        <v>Nov 2015</v>
      </c>
      <c r="C941" s="23" t="str">
        <f t="shared" si="366"/>
        <v>RLS</v>
      </c>
      <c r="D941" s="23" t="str">
        <f t="shared" si="367"/>
        <v>KUUM_466</v>
      </c>
      <c r="E941" s="170">
        <f t="shared" si="368"/>
        <v>829</v>
      </c>
      <c r="F941" s="185"/>
      <c r="G941" s="170">
        <f t="shared" si="364"/>
        <v>0</v>
      </c>
      <c r="H941" s="170">
        <v>0</v>
      </c>
      <c r="I941" s="11">
        <f t="shared" si="369"/>
        <v>9.620000000000001</v>
      </c>
      <c r="J941" s="11">
        <f t="shared" si="370"/>
        <v>0.57000000000000028</v>
      </c>
      <c r="K941" s="416">
        <f t="shared" si="385"/>
        <v>7974.98</v>
      </c>
      <c r="L941" s="180"/>
      <c r="M941" s="180"/>
      <c r="N941" s="186">
        <f t="shared" si="363"/>
        <v>7974.98</v>
      </c>
      <c r="O941" s="29">
        <f t="shared" si="371"/>
        <v>0</v>
      </c>
      <c r="P941" s="181">
        <f t="shared" si="386"/>
        <v>0</v>
      </c>
      <c r="Q941" s="182">
        <f t="shared" si="372"/>
        <v>0</v>
      </c>
      <c r="R941" s="182">
        <f t="shared" si="373"/>
        <v>0</v>
      </c>
      <c r="S941" s="182">
        <f t="shared" si="374"/>
        <v>0</v>
      </c>
      <c r="T941" s="182">
        <f t="shared" si="375"/>
        <v>0</v>
      </c>
      <c r="U941" s="182">
        <f t="shared" si="376"/>
        <v>0</v>
      </c>
      <c r="V941" s="14">
        <f t="shared" si="377"/>
        <v>7974.98</v>
      </c>
      <c r="W941" s="14">
        <f t="shared" si="378"/>
        <v>-7974.98</v>
      </c>
      <c r="Y941" s="14">
        <f t="shared" si="381"/>
        <v>472.53</v>
      </c>
      <c r="Z941" s="14">
        <f t="shared" si="382"/>
        <v>-472.53</v>
      </c>
      <c r="AA941" s="11">
        <f t="shared" si="384"/>
        <v>0.33</v>
      </c>
      <c r="AB941" s="9">
        <f t="shared" si="387"/>
        <v>273.57</v>
      </c>
      <c r="AD941" s="13">
        <f>IF(AH941&gt;AH940,AD940,IF(AD940&lt;MiscData!$F$1,EOMONTH(AD940,1),EOMONTH(AD940,-11)))</f>
        <v>42338</v>
      </c>
      <c r="AE941" s="7" t="str">
        <f t="shared" si="379"/>
        <v>20140101KUUM_466</v>
      </c>
      <c r="AF941" s="12" t="str">
        <f t="shared" si="380"/>
        <v>20140101RLS</v>
      </c>
      <c r="AG941" s="31"/>
      <c r="AH941">
        <f>IF(AH940=MiscData!$AB$91,1,AH940+1)</f>
        <v>60</v>
      </c>
      <c r="AI941">
        <f>IF(AD941&lt;=MiscData!$B$23,MiscData!$C$23,IF(AD941&lt;=MiscData!$B$24,MiscData!$C$24,MiscData!$C$25))</f>
        <v>20140101</v>
      </c>
      <c r="AK941" s="190" t="str">
        <f>VLOOKUP(AM941,MiscData!$AB$4:$ACB$113,2,FALSE)</f>
        <v>KUUM_466</v>
      </c>
      <c r="AL941" s="190" t="str">
        <f>VLOOKUP(AM941,MiscData!$AB$4:$AE$115,4,FALSE)</f>
        <v>RLS</v>
      </c>
      <c r="AM941">
        <f>IF(AM940=MiscData!$AB$91,1,AM940+1)</f>
        <v>60</v>
      </c>
    </row>
    <row r="942" spans="1:39">
      <c r="A942" s="7">
        <f t="shared" si="383"/>
        <v>941</v>
      </c>
      <c r="B942" s="13" t="str">
        <f t="shared" si="365"/>
        <v>Nov 2015</v>
      </c>
      <c r="C942" s="23" t="str">
        <f t="shared" si="366"/>
        <v>LS</v>
      </c>
      <c r="D942" s="23" t="str">
        <f t="shared" si="367"/>
        <v>KUUM_467</v>
      </c>
      <c r="E942" s="170">
        <f t="shared" si="368"/>
        <v>1213</v>
      </c>
      <c r="F942" s="185"/>
      <c r="G942" s="170">
        <f t="shared" si="364"/>
        <v>0</v>
      </c>
      <c r="H942" s="170">
        <v>0</v>
      </c>
      <c r="I942" s="11">
        <f t="shared" si="369"/>
        <v>10.770000000000001</v>
      </c>
      <c r="J942" s="11">
        <f t="shared" si="370"/>
        <v>0.80000000000000071</v>
      </c>
      <c r="K942" s="416">
        <f t="shared" si="385"/>
        <v>13064.01</v>
      </c>
      <c r="L942" s="180"/>
      <c r="M942" s="180"/>
      <c r="N942" s="186">
        <f t="shared" si="363"/>
        <v>13064.01</v>
      </c>
      <c r="O942" s="29">
        <f t="shared" si="371"/>
        <v>0</v>
      </c>
      <c r="P942" s="181">
        <f t="shared" si="386"/>
        <v>0</v>
      </c>
      <c r="Q942" s="182">
        <f t="shared" si="372"/>
        <v>0</v>
      </c>
      <c r="R942" s="182">
        <f t="shared" si="373"/>
        <v>0</v>
      </c>
      <c r="S942" s="182">
        <f t="shared" si="374"/>
        <v>0</v>
      </c>
      <c r="T942" s="182">
        <f t="shared" si="375"/>
        <v>0</v>
      </c>
      <c r="U942" s="182">
        <f t="shared" si="376"/>
        <v>0</v>
      </c>
      <c r="V942" s="14">
        <f t="shared" si="377"/>
        <v>13064.01</v>
      </c>
      <c r="W942" s="14">
        <f t="shared" si="378"/>
        <v>-13064.01</v>
      </c>
      <c r="Y942" s="14">
        <f t="shared" si="381"/>
        <v>970.4</v>
      </c>
      <c r="Z942" s="14">
        <f t="shared" si="382"/>
        <v>-970.4</v>
      </c>
      <c r="AA942" s="11">
        <f t="shared" si="384"/>
        <v>0.43</v>
      </c>
      <c r="AB942" s="9">
        <f t="shared" si="387"/>
        <v>521.59</v>
      </c>
      <c r="AD942" s="13">
        <f>IF(AH942&gt;AH941,AD941,IF(AD941&lt;MiscData!$F$1,EOMONTH(AD941,1),EOMONTH(AD941,-11)))</f>
        <v>42338</v>
      </c>
      <c r="AE942" s="7" t="str">
        <f t="shared" si="379"/>
        <v>20140101KUUM_467</v>
      </c>
      <c r="AF942" s="12" t="str">
        <f t="shared" si="380"/>
        <v>20140101LS</v>
      </c>
      <c r="AG942" s="31"/>
      <c r="AH942">
        <f>IF(AH941=MiscData!$AB$91,1,AH941+1)</f>
        <v>61</v>
      </c>
      <c r="AI942">
        <f>IF(AD942&lt;=MiscData!$B$23,MiscData!$C$23,IF(AD942&lt;=MiscData!$B$24,MiscData!$C$24,MiscData!$C$25))</f>
        <v>20140101</v>
      </c>
      <c r="AK942" s="190" t="str">
        <f>VLOOKUP(AM942,MiscData!$AB$4:$ACB$113,2,FALSE)</f>
        <v>KUUM_467</v>
      </c>
      <c r="AL942" s="190" t="str">
        <f>VLOOKUP(AM942,MiscData!$AB$4:$AE$115,4,FALSE)</f>
        <v>LS</v>
      </c>
      <c r="AM942">
        <f>IF(AM941=MiscData!$AB$91,1,AM941+1)</f>
        <v>61</v>
      </c>
    </row>
    <row r="943" spans="1:39">
      <c r="A943" s="7">
        <f t="shared" si="383"/>
        <v>942</v>
      </c>
      <c r="B943" s="13" t="str">
        <f t="shared" si="365"/>
        <v>Nov 2015</v>
      </c>
      <c r="C943" s="23" t="str">
        <f t="shared" si="366"/>
        <v>LS</v>
      </c>
      <c r="D943" s="23" t="str">
        <f t="shared" si="367"/>
        <v>KUUM_468</v>
      </c>
      <c r="E943" s="170">
        <f t="shared" si="368"/>
        <v>3824</v>
      </c>
      <c r="F943" s="185"/>
      <c r="G943" s="170">
        <f t="shared" si="364"/>
        <v>0</v>
      </c>
      <c r="H943" s="170">
        <v>0</v>
      </c>
      <c r="I943" s="11">
        <f t="shared" si="369"/>
        <v>11.16</v>
      </c>
      <c r="J943" s="11">
        <f t="shared" si="370"/>
        <v>1.129999999999999</v>
      </c>
      <c r="K943" s="416">
        <f t="shared" si="385"/>
        <v>42675.839999999997</v>
      </c>
      <c r="L943" s="180"/>
      <c r="M943" s="180"/>
      <c r="N943" s="186">
        <f t="shared" si="363"/>
        <v>42675.839999999997</v>
      </c>
      <c r="O943" s="29">
        <f t="shared" si="371"/>
        <v>0</v>
      </c>
      <c r="P943" s="181">
        <f t="shared" si="386"/>
        <v>0</v>
      </c>
      <c r="Q943" s="182">
        <f t="shared" si="372"/>
        <v>0</v>
      </c>
      <c r="R943" s="182">
        <f t="shared" si="373"/>
        <v>0</v>
      </c>
      <c r="S943" s="182">
        <f t="shared" si="374"/>
        <v>0</v>
      </c>
      <c r="T943" s="182">
        <f t="shared" si="375"/>
        <v>0</v>
      </c>
      <c r="U943" s="182">
        <f t="shared" si="376"/>
        <v>0</v>
      </c>
      <c r="V943" s="14">
        <f t="shared" si="377"/>
        <v>42675.839999999997</v>
      </c>
      <c r="W943" s="14">
        <f t="shared" si="378"/>
        <v>-42675.839999999997</v>
      </c>
      <c r="Y943" s="14">
        <f t="shared" si="381"/>
        <v>4321.12</v>
      </c>
      <c r="Z943" s="14">
        <f t="shared" si="382"/>
        <v>-4321.12</v>
      </c>
      <c r="AA943" s="11">
        <f t="shared" si="384"/>
        <v>0.34</v>
      </c>
      <c r="AB943" s="9">
        <f t="shared" si="387"/>
        <v>1300.1600000000001</v>
      </c>
      <c r="AD943" s="13">
        <f>IF(AH943&gt;AH942,AD942,IF(AD942&lt;MiscData!$F$1,EOMONTH(AD942,1),EOMONTH(AD942,-11)))</f>
        <v>42338</v>
      </c>
      <c r="AE943" s="7" t="str">
        <f t="shared" si="379"/>
        <v>20140101KUUM_468</v>
      </c>
      <c r="AF943" s="12" t="str">
        <f t="shared" si="380"/>
        <v>20140101LS</v>
      </c>
      <c r="AG943" s="31"/>
      <c r="AH943">
        <f>IF(AH942=MiscData!$AB$91,1,AH942+1)</f>
        <v>62</v>
      </c>
      <c r="AI943">
        <f>IF(AD943&lt;=MiscData!$B$23,MiscData!$C$23,IF(AD943&lt;=MiscData!$B$24,MiscData!$C$24,MiscData!$C$25))</f>
        <v>20140101</v>
      </c>
      <c r="AK943" s="190" t="str">
        <f>VLOOKUP(AM943,MiscData!$AB$4:$ACB$113,2,FALSE)</f>
        <v>KUUM_468</v>
      </c>
      <c r="AL943" s="190" t="str">
        <f>VLOOKUP(AM943,MiscData!$AB$4:$AE$115,4,FALSE)</f>
        <v>LS</v>
      </c>
      <c r="AM943">
        <f>IF(AM942=MiscData!$AB$91,1,AM942+1)</f>
        <v>62</v>
      </c>
    </row>
    <row r="944" spans="1:39">
      <c r="A944" s="7">
        <f t="shared" si="383"/>
        <v>943</v>
      </c>
      <c r="B944" s="13" t="str">
        <f t="shared" si="365"/>
        <v>Nov 2015</v>
      </c>
      <c r="C944" s="23" t="str">
        <f t="shared" si="366"/>
        <v>RLS</v>
      </c>
      <c r="D944" s="23" t="str">
        <f t="shared" si="367"/>
        <v>KUUM_469</v>
      </c>
      <c r="E944" s="170">
        <f t="shared" si="368"/>
        <v>284</v>
      </c>
      <c r="F944" s="185"/>
      <c r="G944" s="170">
        <f t="shared" si="364"/>
        <v>0</v>
      </c>
      <c r="H944" s="170">
        <v>0</v>
      </c>
      <c r="I944" s="11">
        <f t="shared" si="369"/>
        <v>33.100000000000009</v>
      </c>
      <c r="J944" s="11">
        <f t="shared" si="370"/>
        <v>4.2900000000000063</v>
      </c>
      <c r="K944" s="416">
        <f t="shared" si="385"/>
        <v>9400.4</v>
      </c>
      <c r="L944" s="180"/>
      <c r="M944" s="180"/>
      <c r="N944" s="186">
        <f t="shared" si="363"/>
        <v>9400.4</v>
      </c>
      <c r="O944" s="29">
        <f t="shared" si="371"/>
        <v>0</v>
      </c>
      <c r="P944" s="181">
        <f t="shared" si="386"/>
        <v>0</v>
      </c>
      <c r="Q944" s="182">
        <f t="shared" si="372"/>
        <v>0</v>
      </c>
      <c r="R944" s="182">
        <f t="shared" si="373"/>
        <v>0</v>
      </c>
      <c r="S944" s="182">
        <f t="shared" si="374"/>
        <v>0</v>
      </c>
      <c r="T944" s="182">
        <f t="shared" si="375"/>
        <v>0</v>
      </c>
      <c r="U944" s="182">
        <f t="shared" si="376"/>
        <v>0</v>
      </c>
      <c r="V944" s="14">
        <f t="shared" si="377"/>
        <v>9400.4</v>
      </c>
      <c r="W944" s="14">
        <f t="shared" si="378"/>
        <v>-9400.4</v>
      </c>
      <c r="Y944" s="14">
        <f t="shared" si="381"/>
        <v>1218.3599999999999</v>
      </c>
      <c r="Z944" s="14">
        <f t="shared" si="382"/>
        <v>-1218.3599999999999</v>
      </c>
      <c r="AA944" s="11">
        <f t="shared" si="384"/>
        <v>0.84</v>
      </c>
      <c r="AB944" s="9">
        <f t="shared" si="387"/>
        <v>238.56</v>
      </c>
      <c r="AD944" s="13">
        <f>IF(AH944&gt;AH943,AD943,IF(AD943&lt;MiscData!$F$1,EOMONTH(AD943,1),EOMONTH(AD943,-11)))</f>
        <v>42338</v>
      </c>
      <c r="AE944" s="7" t="str">
        <f t="shared" si="379"/>
        <v>20140101KUUM_469</v>
      </c>
      <c r="AF944" s="12" t="str">
        <f t="shared" si="380"/>
        <v>20140101RLS</v>
      </c>
      <c r="AG944" s="31"/>
      <c r="AH944">
        <f>IF(AH943=MiscData!$AB$91,1,AH943+1)</f>
        <v>63</v>
      </c>
      <c r="AI944">
        <f>IF(AD944&lt;=MiscData!$B$23,MiscData!$C$23,IF(AD944&lt;=MiscData!$B$24,MiscData!$C$24,MiscData!$C$25))</f>
        <v>20140101</v>
      </c>
      <c r="AK944" s="190" t="str">
        <f>VLOOKUP(AM944,MiscData!$AB$4:$ACB$113,2,FALSE)</f>
        <v>KUUM_469</v>
      </c>
      <c r="AL944" s="190" t="str">
        <f>VLOOKUP(AM944,MiscData!$AB$4:$AE$115,4,FALSE)</f>
        <v>RLS</v>
      </c>
      <c r="AM944">
        <f>IF(AM943=MiscData!$AB$91,1,AM943+1)</f>
        <v>63</v>
      </c>
    </row>
    <row r="945" spans="1:39">
      <c r="A945" s="7">
        <f t="shared" si="383"/>
        <v>944</v>
      </c>
      <c r="B945" s="13" t="str">
        <f t="shared" si="365"/>
        <v>Nov 2015</v>
      </c>
      <c r="C945" s="23" t="str">
        <f t="shared" si="366"/>
        <v>RLS</v>
      </c>
      <c r="D945" s="23" t="str">
        <f t="shared" si="367"/>
        <v>KUUM_470</v>
      </c>
      <c r="E945" s="170">
        <f t="shared" si="368"/>
        <v>63</v>
      </c>
      <c r="F945" s="185"/>
      <c r="G945" s="170">
        <f t="shared" si="364"/>
        <v>0</v>
      </c>
      <c r="H945" s="170">
        <v>0</v>
      </c>
      <c r="I945" s="11">
        <f t="shared" si="369"/>
        <v>55.250000000000007</v>
      </c>
      <c r="J945" s="11">
        <f t="shared" si="370"/>
        <v>10.410000000000004</v>
      </c>
      <c r="K945" s="416">
        <f t="shared" si="385"/>
        <v>3480.75</v>
      </c>
      <c r="L945" s="180"/>
      <c r="M945" s="180"/>
      <c r="N945" s="186">
        <f t="shared" si="363"/>
        <v>3480.75</v>
      </c>
      <c r="O945" s="29">
        <f t="shared" si="371"/>
        <v>0</v>
      </c>
      <c r="P945" s="181">
        <f t="shared" si="386"/>
        <v>0</v>
      </c>
      <c r="Q945" s="182">
        <f t="shared" si="372"/>
        <v>0</v>
      </c>
      <c r="R945" s="182">
        <f t="shared" si="373"/>
        <v>0</v>
      </c>
      <c r="S945" s="182">
        <f t="shared" si="374"/>
        <v>0</v>
      </c>
      <c r="T945" s="182">
        <f t="shared" si="375"/>
        <v>0</v>
      </c>
      <c r="U945" s="182">
        <f t="shared" si="376"/>
        <v>0</v>
      </c>
      <c r="V945" s="14">
        <f t="shared" si="377"/>
        <v>3480.75</v>
      </c>
      <c r="W945" s="14">
        <f t="shared" si="378"/>
        <v>-3480.75</v>
      </c>
      <c r="Y945" s="14">
        <f t="shared" si="381"/>
        <v>655.83</v>
      </c>
      <c r="Z945" s="14">
        <f t="shared" si="382"/>
        <v>-655.83</v>
      </c>
      <c r="AA945" s="11">
        <f t="shared" si="384"/>
        <v>1.7</v>
      </c>
      <c r="AB945" s="9">
        <f t="shared" si="387"/>
        <v>107.1</v>
      </c>
      <c r="AD945" s="13">
        <f>IF(AH945&gt;AH944,AD944,IF(AD944&lt;MiscData!$F$1,EOMONTH(AD944,1),EOMONTH(AD944,-11)))</f>
        <v>42338</v>
      </c>
      <c r="AE945" s="7" t="str">
        <f t="shared" si="379"/>
        <v>20140101KUUM_470</v>
      </c>
      <c r="AF945" s="12" t="str">
        <f t="shared" si="380"/>
        <v>20140101RLS</v>
      </c>
      <c r="AG945" s="31"/>
      <c r="AH945">
        <f>IF(AH944=MiscData!$AB$91,1,AH944+1)</f>
        <v>64</v>
      </c>
      <c r="AI945">
        <f>IF(AD945&lt;=MiscData!$B$23,MiscData!$C$23,IF(AD945&lt;=MiscData!$B$24,MiscData!$C$24,MiscData!$C$25))</f>
        <v>20140101</v>
      </c>
      <c r="AK945" s="190" t="str">
        <f>VLOOKUP(AM945,MiscData!$AB$4:$ACB$113,2,FALSE)</f>
        <v>KUUM_470</v>
      </c>
      <c r="AL945" s="190" t="str">
        <f>VLOOKUP(AM945,MiscData!$AB$4:$AE$115,4,FALSE)</f>
        <v>RLS</v>
      </c>
      <c r="AM945">
        <f>IF(AM944=MiscData!$AB$91,1,AM944+1)</f>
        <v>64</v>
      </c>
    </row>
    <row r="946" spans="1:39">
      <c r="A946" s="7">
        <f t="shared" si="383"/>
        <v>945</v>
      </c>
      <c r="B946" s="13" t="str">
        <f t="shared" si="365"/>
        <v>Nov 2015</v>
      </c>
      <c r="C946" s="23" t="str">
        <f t="shared" si="366"/>
        <v>RLS</v>
      </c>
      <c r="D946" s="23" t="str">
        <f t="shared" si="367"/>
        <v>KUUM_471</v>
      </c>
      <c r="E946" s="170">
        <f t="shared" si="368"/>
        <v>3585</v>
      </c>
      <c r="F946" s="185"/>
      <c r="G946" s="170">
        <f t="shared" si="364"/>
        <v>0</v>
      </c>
      <c r="H946" s="170">
        <v>0</v>
      </c>
      <c r="I946" s="11">
        <f t="shared" si="369"/>
        <v>10.49</v>
      </c>
      <c r="J946" s="11">
        <f t="shared" si="370"/>
        <v>0.56999999999999851</v>
      </c>
      <c r="K946" s="416">
        <f t="shared" si="385"/>
        <v>37606.65</v>
      </c>
      <c r="L946" s="180"/>
      <c r="M946" s="180"/>
      <c r="N946" s="186">
        <f t="shared" si="363"/>
        <v>37606.65</v>
      </c>
      <c r="O946" s="29">
        <f t="shared" si="371"/>
        <v>0</v>
      </c>
      <c r="P946" s="181">
        <f t="shared" si="386"/>
        <v>0</v>
      </c>
      <c r="Q946" s="182">
        <f t="shared" si="372"/>
        <v>0</v>
      </c>
      <c r="R946" s="182">
        <f t="shared" si="373"/>
        <v>0</v>
      </c>
      <c r="S946" s="182">
        <f t="shared" si="374"/>
        <v>0</v>
      </c>
      <c r="T946" s="182">
        <f t="shared" si="375"/>
        <v>0</v>
      </c>
      <c r="U946" s="182">
        <f t="shared" si="376"/>
        <v>0</v>
      </c>
      <c r="V946" s="14">
        <f t="shared" si="377"/>
        <v>37606.65</v>
      </c>
      <c r="W946" s="14">
        <f t="shared" si="378"/>
        <v>-37606.65</v>
      </c>
      <c r="Y946" s="14">
        <f t="shared" si="381"/>
        <v>2043.45</v>
      </c>
      <c r="Z946" s="14">
        <f t="shared" si="382"/>
        <v>-2043.45</v>
      </c>
      <c r="AA946" s="11">
        <f t="shared" si="384"/>
        <v>0.33</v>
      </c>
      <c r="AB946" s="9">
        <f t="shared" si="387"/>
        <v>1183.05</v>
      </c>
      <c r="AD946" s="13">
        <f>IF(AH946&gt;AH945,AD945,IF(AD945&lt;MiscData!$F$1,EOMONTH(AD945,1),EOMONTH(AD945,-11)))</f>
        <v>42338</v>
      </c>
      <c r="AE946" s="7" t="str">
        <f t="shared" si="379"/>
        <v>20140101KUUM_471</v>
      </c>
      <c r="AF946" s="12" t="str">
        <f t="shared" si="380"/>
        <v>20140101RLS</v>
      </c>
      <c r="AG946" s="31"/>
      <c r="AH946">
        <f>IF(AH945=MiscData!$AB$91,1,AH945+1)</f>
        <v>65</v>
      </c>
      <c r="AI946">
        <f>IF(AD946&lt;=MiscData!$B$23,MiscData!$C$23,IF(AD946&lt;=MiscData!$B$24,MiscData!$C$24,MiscData!$C$25))</f>
        <v>20140101</v>
      </c>
      <c r="AK946" s="190" t="str">
        <f>VLOOKUP(AM946,MiscData!$AB$4:$ACB$113,2,FALSE)</f>
        <v>KUUM_471</v>
      </c>
      <c r="AL946" s="190" t="str">
        <f>VLOOKUP(AM946,MiscData!$AB$4:$AE$115,4,FALSE)</f>
        <v>RLS</v>
      </c>
      <c r="AM946">
        <f>IF(AM945=MiscData!$AB$91,1,AM945+1)</f>
        <v>65</v>
      </c>
    </row>
    <row r="947" spans="1:39">
      <c r="A947" s="7">
        <f t="shared" si="383"/>
        <v>946</v>
      </c>
      <c r="B947" s="13" t="str">
        <f t="shared" si="365"/>
        <v>Nov 2015</v>
      </c>
      <c r="C947" s="23" t="str">
        <f t="shared" si="366"/>
        <v>LS</v>
      </c>
      <c r="D947" s="23" t="str">
        <f t="shared" si="367"/>
        <v>KUUM_472</v>
      </c>
      <c r="E947" s="170">
        <f t="shared" si="368"/>
        <v>8388</v>
      </c>
      <c r="F947" s="185"/>
      <c r="G947" s="170">
        <f t="shared" si="364"/>
        <v>0</v>
      </c>
      <c r="H947" s="170">
        <v>0</v>
      </c>
      <c r="I947" s="11">
        <f t="shared" si="369"/>
        <v>11.600000000000001</v>
      </c>
      <c r="J947" s="11">
        <f t="shared" si="370"/>
        <v>0.80000000000000071</v>
      </c>
      <c r="K947" s="416">
        <f t="shared" si="385"/>
        <v>97300.800000000003</v>
      </c>
      <c r="L947" s="180"/>
      <c r="M947" s="180"/>
      <c r="N947" s="186">
        <f t="shared" si="363"/>
        <v>97300.800000000003</v>
      </c>
      <c r="O947" s="29">
        <f t="shared" si="371"/>
        <v>0</v>
      </c>
      <c r="P947" s="181">
        <f t="shared" si="386"/>
        <v>0</v>
      </c>
      <c r="Q947" s="182">
        <f t="shared" si="372"/>
        <v>0</v>
      </c>
      <c r="R947" s="182">
        <f t="shared" si="373"/>
        <v>0</v>
      </c>
      <c r="S947" s="182">
        <f t="shared" si="374"/>
        <v>0</v>
      </c>
      <c r="T947" s="182">
        <f t="shared" si="375"/>
        <v>0</v>
      </c>
      <c r="U947" s="182">
        <f t="shared" si="376"/>
        <v>0</v>
      </c>
      <c r="V947" s="14">
        <f t="shared" si="377"/>
        <v>97300.800000000003</v>
      </c>
      <c r="W947" s="14">
        <f t="shared" si="378"/>
        <v>-97300.800000000003</v>
      </c>
      <c r="Y947" s="14">
        <f t="shared" si="381"/>
        <v>6710.4</v>
      </c>
      <c r="Z947" s="14">
        <f t="shared" si="382"/>
        <v>-6710.4</v>
      </c>
      <c r="AA947" s="11">
        <f t="shared" si="384"/>
        <v>0.43</v>
      </c>
      <c r="AB947" s="9">
        <f t="shared" si="387"/>
        <v>3606.84</v>
      </c>
      <c r="AD947" s="13">
        <f>IF(AH947&gt;AH946,AD946,IF(AD946&lt;MiscData!$F$1,EOMONTH(AD946,1),EOMONTH(AD946,-11)))</f>
        <v>42338</v>
      </c>
      <c r="AE947" s="7" t="str">
        <f t="shared" si="379"/>
        <v>20140101KUUM_472</v>
      </c>
      <c r="AF947" s="12" t="str">
        <f t="shared" si="380"/>
        <v>20140101LS</v>
      </c>
      <c r="AG947" s="31"/>
      <c r="AH947">
        <f>IF(AH946=MiscData!$AB$91,1,AH946+1)</f>
        <v>66</v>
      </c>
      <c r="AI947">
        <f>IF(AD947&lt;=MiscData!$B$23,MiscData!$C$23,IF(AD947&lt;=MiscData!$B$24,MiscData!$C$24,MiscData!$C$25))</f>
        <v>20140101</v>
      </c>
      <c r="AK947" s="190" t="str">
        <f>VLOOKUP(AM947,MiscData!$AB$4:$ACB$113,2,FALSE)</f>
        <v>KUUM_472</v>
      </c>
      <c r="AL947" s="190" t="str">
        <f>VLOOKUP(AM947,MiscData!$AB$4:$AE$115,4,FALSE)</f>
        <v>LS</v>
      </c>
      <c r="AM947">
        <f>IF(AM946=MiscData!$AB$91,1,AM946+1)</f>
        <v>66</v>
      </c>
    </row>
    <row r="948" spans="1:39">
      <c r="A948" s="7">
        <f t="shared" si="383"/>
        <v>947</v>
      </c>
      <c r="B948" s="13" t="str">
        <f t="shared" si="365"/>
        <v>Nov 2015</v>
      </c>
      <c r="C948" s="23" t="str">
        <f t="shared" si="366"/>
        <v>LS</v>
      </c>
      <c r="D948" s="23" t="str">
        <f t="shared" si="367"/>
        <v>KUUM_473</v>
      </c>
      <c r="E948" s="170">
        <f t="shared" si="368"/>
        <v>3296</v>
      </c>
      <c r="F948" s="185"/>
      <c r="G948" s="170">
        <f t="shared" si="364"/>
        <v>0</v>
      </c>
      <c r="H948" s="170">
        <v>0</v>
      </c>
      <c r="I948" s="11">
        <f t="shared" si="369"/>
        <v>12.3</v>
      </c>
      <c r="J948" s="11">
        <f t="shared" si="370"/>
        <v>1.129999999999999</v>
      </c>
      <c r="K948" s="416">
        <f t="shared" si="385"/>
        <v>40540.800000000003</v>
      </c>
      <c r="L948" s="180"/>
      <c r="M948" s="180"/>
      <c r="N948" s="186">
        <f t="shared" si="363"/>
        <v>40540.800000000003</v>
      </c>
      <c r="O948" s="29">
        <f t="shared" si="371"/>
        <v>0</v>
      </c>
      <c r="P948" s="181">
        <f t="shared" si="386"/>
        <v>0</v>
      </c>
      <c r="Q948" s="182">
        <f t="shared" si="372"/>
        <v>0</v>
      </c>
      <c r="R948" s="182">
        <f t="shared" si="373"/>
        <v>0</v>
      </c>
      <c r="S948" s="182">
        <f t="shared" si="374"/>
        <v>0</v>
      </c>
      <c r="T948" s="182">
        <f t="shared" si="375"/>
        <v>0</v>
      </c>
      <c r="U948" s="182">
        <f t="shared" si="376"/>
        <v>0</v>
      </c>
      <c r="V948" s="14">
        <f t="shared" si="377"/>
        <v>40540.800000000003</v>
      </c>
      <c r="W948" s="14">
        <f t="shared" si="378"/>
        <v>-40540.800000000003</v>
      </c>
      <c r="Y948" s="14">
        <f t="shared" si="381"/>
        <v>3724.48</v>
      </c>
      <c r="Z948" s="14">
        <f t="shared" si="382"/>
        <v>-3724.48</v>
      </c>
      <c r="AA948" s="11">
        <f t="shared" si="384"/>
        <v>0.34</v>
      </c>
      <c r="AB948" s="9">
        <f t="shared" si="387"/>
        <v>1120.6400000000001</v>
      </c>
      <c r="AD948" s="13">
        <f>IF(AH948&gt;AH947,AD947,IF(AD947&lt;MiscData!$F$1,EOMONTH(AD947,1),EOMONTH(AD947,-11)))</f>
        <v>42338</v>
      </c>
      <c r="AE948" s="7" t="str">
        <f t="shared" si="379"/>
        <v>20140101KUUM_473</v>
      </c>
      <c r="AF948" s="12" t="str">
        <f t="shared" si="380"/>
        <v>20140101LS</v>
      </c>
      <c r="AG948" s="31"/>
      <c r="AH948">
        <f>IF(AH947=MiscData!$AB$91,1,AH947+1)</f>
        <v>67</v>
      </c>
      <c r="AI948">
        <f>IF(AD948&lt;=MiscData!$B$23,MiscData!$C$23,IF(AD948&lt;=MiscData!$B$24,MiscData!$C$24,MiscData!$C$25))</f>
        <v>20140101</v>
      </c>
      <c r="AK948" s="190" t="str">
        <f>VLOOKUP(AM948,MiscData!$AB$4:$ACB$113,2,FALSE)</f>
        <v>KUUM_473</v>
      </c>
      <c r="AL948" s="190" t="str">
        <f>VLOOKUP(AM948,MiscData!$AB$4:$AE$115,4,FALSE)</f>
        <v>LS</v>
      </c>
      <c r="AM948">
        <f>IF(AM947=MiscData!$AB$91,1,AM947+1)</f>
        <v>67</v>
      </c>
    </row>
    <row r="949" spans="1:39">
      <c r="A949" s="7">
        <f t="shared" si="383"/>
        <v>948</v>
      </c>
      <c r="B949" s="13" t="str">
        <f t="shared" si="365"/>
        <v>Nov 2015</v>
      </c>
      <c r="C949" s="23" t="str">
        <f t="shared" si="366"/>
        <v>LS</v>
      </c>
      <c r="D949" s="23" t="str">
        <f t="shared" si="367"/>
        <v>KUUM_474</v>
      </c>
      <c r="E949" s="170">
        <f t="shared" si="368"/>
        <v>4926</v>
      </c>
      <c r="F949" s="185"/>
      <c r="G949" s="170">
        <f t="shared" si="364"/>
        <v>0</v>
      </c>
      <c r="H949" s="170">
        <v>0</v>
      </c>
      <c r="I949" s="11">
        <f t="shared" si="369"/>
        <v>17.41</v>
      </c>
      <c r="J949" s="11">
        <f t="shared" si="370"/>
        <v>2.33</v>
      </c>
      <c r="K949" s="416">
        <f t="shared" si="385"/>
        <v>85761.66</v>
      </c>
      <c r="L949" s="180"/>
      <c r="M949" s="180"/>
      <c r="N949" s="186">
        <f t="shared" si="363"/>
        <v>85761.66</v>
      </c>
      <c r="O949" s="29">
        <f t="shared" si="371"/>
        <v>0</v>
      </c>
      <c r="P949" s="181">
        <f t="shared" si="386"/>
        <v>0</v>
      </c>
      <c r="Q949" s="182">
        <f t="shared" si="372"/>
        <v>0</v>
      </c>
      <c r="R949" s="182">
        <f t="shared" si="373"/>
        <v>0</v>
      </c>
      <c r="S949" s="182">
        <f t="shared" si="374"/>
        <v>0</v>
      </c>
      <c r="T949" s="182">
        <f t="shared" si="375"/>
        <v>0</v>
      </c>
      <c r="U949" s="182">
        <f t="shared" si="376"/>
        <v>0</v>
      </c>
      <c r="V949" s="14">
        <f t="shared" si="377"/>
        <v>85761.66</v>
      </c>
      <c r="W949" s="14">
        <f t="shared" si="378"/>
        <v>-85761.66</v>
      </c>
      <c r="Y949" s="14">
        <f t="shared" si="381"/>
        <v>11477.58</v>
      </c>
      <c r="Z949" s="14">
        <f t="shared" si="382"/>
        <v>-11477.58</v>
      </c>
      <c r="AA949" s="11">
        <f t="shared" si="384"/>
        <v>0.57999999999999996</v>
      </c>
      <c r="AB949" s="9">
        <f t="shared" si="387"/>
        <v>2857.08</v>
      </c>
      <c r="AD949" s="13">
        <f>IF(AH949&gt;AH948,AD948,IF(AD948&lt;MiscData!$F$1,EOMONTH(AD948,1),EOMONTH(AD948,-11)))</f>
        <v>42338</v>
      </c>
      <c r="AE949" s="7" t="str">
        <f t="shared" si="379"/>
        <v>20140101KUUM_474</v>
      </c>
      <c r="AF949" s="12" t="str">
        <f t="shared" si="380"/>
        <v>20140101LS</v>
      </c>
      <c r="AG949" s="31"/>
      <c r="AH949">
        <f>IF(AH948=MiscData!$AB$91,1,AH948+1)</f>
        <v>68</v>
      </c>
      <c r="AI949">
        <f>IF(AD949&lt;=MiscData!$B$23,MiscData!$C$23,IF(AD949&lt;=MiscData!$B$24,MiscData!$C$24,MiscData!$C$25))</f>
        <v>20140101</v>
      </c>
      <c r="AK949" s="190" t="str">
        <f>VLOOKUP(AM949,MiscData!$AB$4:$ACB$113,2,FALSE)</f>
        <v>KUUM_474</v>
      </c>
      <c r="AL949" s="190" t="str">
        <f>VLOOKUP(AM949,MiscData!$AB$4:$AE$115,4,FALSE)</f>
        <v>LS</v>
      </c>
      <c r="AM949">
        <f>IF(AM948=MiscData!$AB$91,1,AM948+1)</f>
        <v>68</v>
      </c>
    </row>
    <row r="950" spans="1:39">
      <c r="A950" s="7">
        <f t="shared" si="383"/>
        <v>949</v>
      </c>
      <c r="B950" s="13" t="str">
        <f t="shared" si="365"/>
        <v>Nov 2015</v>
      </c>
      <c r="C950" s="23" t="str">
        <f t="shared" si="366"/>
        <v>LS</v>
      </c>
      <c r="D950" s="23" t="str">
        <f t="shared" si="367"/>
        <v>KUUM_475</v>
      </c>
      <c r="E950" s="170">
        <f t="shared" si="368"/>
        <v>466</v>
      </c>
      <c r="F950" s="185"/>
      <c r="G950" s="170">
        <f t="shared" si="364"/>
        <v>0</v>
      </c>
      <c r="H950" s="170">
        <v>0</v>
      </c>
      <c r="I950" s="11">
        <f t="shared" si="369"/>
        <v>24.46</v>
      </c>
      <c r="J950" s="11">
        <f t="shared" si="370"/>
        <v>4.5300000000000011</v>
      </c>
      <c r="K950" s="416">
        <f t="shared" si="385"/>
        <v>11398.36</v>
      </c>
      <c r="L950" s="180"/>
      <c r="M950" s="180"/>
      <c r="N950" s="186">
        <f t="shared" si="363"/>
        <v>11398.36</v>
      </c>
      <c r="O950" s="29">
        <f t="shared" si="371"/>
        <v>0</v>
      </c>
      <c r="P950" s="181">
        <f t="shared" si="386"/>
        <v>0</v>
      </c>
      <c r="Q950" s="182">
        <f t="shared" si="372"/>
        <v>0</v>
      </c>
      <c r="R950" s="182">
        <f t="shared" si="373"/>
        <v>0</v>
      </c>
      <c r="S950" s="182">
        <f t="shared" si="374"/>
        <v>0</v>
      </c>
      <c r="T950" s="182">
        <f t="shared" si="375"/>
        <v>0</v>
      </c>
      <c r="U950" s="182">
        <f t="shared" si="376"/>
        <v>0</v>
      </c>
      <c r="V950" s="14">
        <f t="shared" si="377"/>
        <v>11398.36</v>
      </c>
      <c r="W950" s="14">
        <f t="shared" si="378"/>
        <v>-11398.36</v>
      </c>
      <c r="Y950" s="14">
        <f t="shared" si="381"/>
        <v>2110.98</v>
      </c>
      <c r="Z950" s="14">
        <f t="shared" si="382"/>
        <v>-2110.98</v>
      </c>
      <c r="AA950" s="11">
        <f t="shared" si="384"/>
        <v>0.79</v>
      </c>
      <c r="AB950" s="9">
        <f t="shared" si="387"/>
        <v>368.14000000000004</v>
      </c>
      <c r="AD950" s="13">
        <f>IF(AH950&gt;AH949,AD949,IF(AD949&lt;MiscData!$F$1,EOMONTH(AD949,1),EOMONTH(AD949,-11)))</f>
        <v>42338</v>
      </c>
      <c r="AE950" s="7" t="str">
        <f t="shared" si="379"/>
        <v>20140101KUUM_475</v>
      </c>
      <c r="AF950" s="12" t="str">
        <f t="shared" si="380"/>
        <v>20140101LS</v>
      </c>
      <c r="AG950" s="31"/>
      <c r="AH950">
        <f>IF(AH949=MiscData!$AB$91,1,AH949+1)</f>
        <v>69</v>
      </c>
      <c r="AI950">
        <f>IF(AD950&lt;=MiscData!$B$23,MiscData!$C$23,IF(AD950&lt;=MiscData!$B$24,MiscData!$C$24,MiscData!$C$25))</f>
        <v>20140101</v>
      </c>
      <c r="AK950" s="190" t="str">
        <f>VLOOKUP(AM950,MiscData!$AB$4:$ACB$113,2,FALSE)</f>
        <v>KUUM_475</v>
      </c>
      <c r="AL950" s="190" t="str">
        <f>VLOOKUP(AM950,MiscData!$AB$4:$AE$115,4,FALSE)</f>
        <v>LS</v>
      </c>
      <c r="AM950">
        <f>IF(AM949=MiscData!$AB$91,1,AM949+1)</f>
        <v>69</v>
      </c>
    </row>
    <row r="951" spans="1:39">
      <c r="A951" s="7">
        <f t="shared" si="383"/>
        <v>950</v>
      </c>
      <c r="B951" s="13" t="str">
        <f t="shared" si="365"/>
        <v>Nov 2015</v>
      </c>
      <c r="C951" s="23" t="str">
        <f t="shared" si="366"/>
        <v>LS</v>
      </c>
      <c r="D951" s="23" t="str">
        <f t="shared" si="367"/>
        <v>KUUM_476</v>
      </c>
      <c r="E951" s="170">
        <f t="shared" si="368"/>
        <v>4461</v>
      </c>
      <c r="F951" s="185"/>
      <c r="G951" s="170">
        <f t="shared" si="364"/>
        <v>0</v>
      </c>
      <c r="H951" s="170">
        <v>0</v>
      </c>
      <c r="I951" s="11">
        <f t="shared" si="369"/>
        <v>16.79</v>
      </c>
      <c r="J951" s="11">
        <f t="shared" si="370"/>
        <v>0.79999999999999893</v>
      </c>
      <c r="K951" s="416">
        <f t="shared" si="385"/>
        <v>74900.19</v>
      </c>
      <c r="L951" s="180"/>
      <c r="M951" s="180"/>
      <c r="N951" s="186">
        <f t="shared" si="363"/>
        <v>74900.19</v>
      </c>
      <c r="O951" s="29">
        <f t="shared" si="371"/>
        <v>0</v>
      </c>
      <c r="P951" s="181">
        <f t="shared" si="386"/>
        <v>0</v>
      </c>
      <c r="Q951" s="182">
        <f t="shared" si="372"/>
        <v>0</v>
      </c>
      <c r="R951" s="182">
        <f t="shared" si="373"/>
        <v>0</v>
      </c>
      <c r="S951" s="182">
        <f t="shared" si="374"/>
        <v>0</v>
      </c>
      <c r="T951" s="182">
        <f t="shared" si="375"/>
        <v>0</v>
      </c>
      <c r="U951" s="182">
        <f t="shared" si="376"/>
        <v>0</v>
      </c>
      <c r="V951" s="14">
        <f t="shared" si="377"/>
        <v>74900.19</v>
      </c>
      <c r="W951" s="14">
        <f t="shared" si="378"/>
        <v>-74900.19</v>
      </c>
      <c r="Y951" s="14">
        <f t="shared" si="381"/>
        <v>3568.8</v>
      </c>
      <c r="Z951" s="14">
        <f t="shared" si="382"/>
        <v>-3568.8</v>
      </c>
      <c r="AA951" s="11">
        <f t="shared" si="384"/>
        <v>0.43</v>
      </c>
      <c r="AB951" s="9">
        <f t="shared" si="387"/>
        <v>1918.23</v>
      </c>
      <c r="AD951" s="13">
        <f>IF(AH951&gt;AH950,AD950,IF(AD950&lt;MiscData!$F$1,EOMONTH(AD950,1),EOMONTH(AD950,-11)))</f>
        <v>42338</v>
      </c>
      <c r="AE951" s="7" t="str">
        <f t="shared" si="379"/>
        <v>20140101KUUM_476</v>
      </c>
      <c r="AF951" s="12" t="str">
        <f t="shared" si="380"/>
        <v>20140101LS</v>
      </c>
      <c r="AG951" s="31"/>
      <c r="AH951">
        <f>IF(AH950=MiscData!$AB$91,1,AH950+1)</f>
        <v>70</v>
      </c>
      <c r="AI951">
        <f>IF(AD951&lt;=MiscData!$B$23,MiscData!$C$23,IF(AD951&lt;=MiscData!$B$24,MiscData!$C$24,MiscData!$C$25))</f>
        <v>20140101</v>
      </c>
      <c r="AK951" s="190" t="str">
        <f>VLOOKUP(AM951,MiscData!$AB$4:$ACB$113,2,FALSE)</f>
        <v>KUUM_476</v>
      </c>
      <c r="AL951" s="190" t="str">
        <f>VLOOKUP(AM951,MiscData!$AB$4:$AE$115,4,FALSE)</f>
        <v>LS</v>
      </c>
      <c r="AM951">
        <f>IF(AM950=MiscData!$AB$91,1,AM950+1)</f>
        <v>70</v>
      </c>
    </row>
    <row r="952" spans="1:39">
      <c r="A952" s="7">
        <f t="shared" si="383"/>
        <v>951</v>
      </c>
      <c r="B952" s="13" t="str">
        <f t="shared" si="365"/>
        <v>Nov 2015</v>
      </c>
      <c r="C952" s="23" t="str">
        <f t="shared" si="366"/>
        <v>LS</v>
      </c>
      <c r="D952" s="23" t="str">
        <f t="shared" si="367"/>
        <v>KUUM_477</v>
      </c>
      <c r="E952" s="170">
        <f t="shared" si="368"/>
        <v>1034</v>
      </c>
      <c r="F952" s="185"/>
      <c r="G952" s="170">
        <f t="shared" si="364"/>
        <v>0</v>
      </c>
      <c r="H952" s="170">
        <v>0</v>
      </c>
      <c r="I952" s="11">
        <f t="shared" si="369"/>
        <v>20.97</v>
      </c>
      <c r="J952" s="11">
        <f t="shared" si="370"/>
        <v>1.129999999999999</v>
      </c>
      <c r="K952" s="416">
        <f t="shared" si="385"/>
        <v>21682.98</v>
      </c>
      <c r="L952" s="180"/>
      <c r="M952" s="180"/>
      <c r="N952" s="186">
        <f t="shared" ref="N952:N1015" si="388">SUM(K952:M952)</f>
        <v>21682.98</v>
      </c>
      <c r="O952" s="29">
        <f t="shared" si="371"/>
        <v>0</v>
      </c>
      <c r="P952" s="181">
        <f t="shared" si="386"/>
        <v>0</v>
      </c>
      <c r="Q952" s="182">
        <f t="shared" si="372"/>
        <v>0</v>
      </c>
      <c r="R952" s="182">
        <f t="shared" si="373"/>
        <v>0</v>
      </c>
      <c r="S952" s="182">
        <f t="shared" si="374"/>
        <v>0</v>
      </c>
      <c r="T952" s="182">
        <f t="shared" si="375"/>
        <v>0</v>
      </c>
      <c r="U952" s="182">
        <f t="shared" si="376"/>
        <v>0</v>
      </c>
      <c r="V952" s="14">
        <f t="shared" si="377"/>
        <v>21682.98</v>
      </c>
      <c r="W952" s="14">
        <f t="shared" si="378"/>
        <v>-21682.98</v>
      </c>
      <c r="Y952" s="14">
        <f t="shared" si="381"/>
        <v>1168.42</v>
      </c>
      <c r="Z952" s="14">
        <f t="shared" si="382"/>
        <v>-1168.42</v>
      </c>
      <c r="AA952" s="11">
        <f t="shared" si="384"/>
        <v>0.34</v>
      </c>
      <c r="AB952" s="9">
        <f t="shared" si="387"/>
        <v>351.56</v>
      </c>
      <c r="AD952" s="13">
        <f>IF(AH952&gt;AH951,AD951,IF(AD951&lt;MiscData!$F$1,EOMONTH(AD951,1),EOMONTH(AD951,-11)))</f>
        <v>42338</v>
      </c>
      <c r="AE952" s="7" t="str">
        <f t="shared" si="379"/>
        <v>20140101KUUM_477</v>
      </c>
      <c r="AF952" s="12" t="str">
        <f t="shared" si="380"/>
        <v>20140101LS</v>
      </c>
      <c r="AG952" s="31"/>
      <c r="AH952">
        <f>IF(AH951=MiscData!$AB$91,1,AH951+1)</f>
        <v>71</v>
      </c>
      <c r="AI952">
        <f>IF(AD952&lt;=MiscData!$B$23,MiscData!$C$23,IF(AD952&lt;=MiscData!$B$24,MiscData!$C$24,MiscData!$C$25))</f>
        <v>20140101</v>
      </c>
      <c r="AK952" s="190" t="str">
        <f>VLOOKUP(AM952,MiscData!$AB$4:$ACB$113,2,FALSE)</f>
        <v>KUUM_477</v>
      </c>
      <c r="AL952" s="190" t="str">
        <f>VLOOKUP(AM952,MiscData!$AB$4:$AE$115,4,FALSE)</f>
        <v>LS</v>
      </c>
      <c r="AM952">
        <f>IF(AM951=MiscData!$AB$91,1,AM951+1)</f>
        <v>71</v>
      </c>
    </row>
    <row r="953" spans="1:39">
      <c r="A953" s="7">
        <f t="shared" si="383"/>
        <v>952</v>
      </c>
      <c r="B953" s="13" t="str">
        <f t="shared" si="365"/>
        <v>Nov 2015</v>
      </c>
      <c r="C953" s="23" t="str">
        <f t="shared" si="366"/>
        <v>LS</v>
      </c>
      <c r="D953" s="23" t="str">
        <f t="shared" si="367"/>
        <v>KUUM_478</v>
      </c>
      <c r="E953" s="170">
        <f t="shared" si="368"/>
        <v>1369</v>
      </c>
      <c r="F953" s="185"/>
      <c r="G953" s="170">
        <f t="shared" ref="G953:G1016" si="389">SUMIFS(_SBR_KWH,_SBR_Revenue_Month,$B953,_SBR_Rate_Category,$D953)</f>
        <v>0</v>
      </c>
      <c r="H953" s="170">
        <v>0</v>
      </c>
      <c r="I953" s="11">
        <f t="shared" si="369"/>
        <v>26.86</v>
      </c>
      <c r="J953" s="11">
        <f t="shared" si="370"/>
        <v>2.3299999999999983</v>
      </c>
      <c r="K953" s="416">
        <f t="shared" si="385"/>
        <v>36771.339999999997</v>
      </c>
      <c r="L953" s="180"/>
      <c r="M953" s="180"/>
      <c r="N953" s="186">
        <f t="shared" si="388"/>
        <v>36771.339999999997</v>
      </c>
      <c r="O953" s="29">
        <f t="shared" si="371"/>
        <v>0</v>
      </c>
      <c r="P953" s="181">
        <f t="shared" si="386"/>
        <v>0</v>
      </c>
      <c r="Q953" s="182">
        <f t="shared" si="372"/>
        <v>0</v>
      </c>
      <c r="R953" s="182">
        <f t="shared" si="373"/>
        <v>0</v>
      </c>
      <c r="S953" s="182">
        <f t="shared" si="374"/>
        <v>0</v>
      </c>
      <c r="T953" s="182">
        <f t="shared" si="375"/>
        <v>0</v>
      </c>
      <c r="U953" s="182">
        <f t="shared" si="376"/>
        <v>0</v>
      </c>
      <c r="V953" s="14">
        <f t="shared" si="377"/>
        <v>36771.339999999997</v>
      </c>
      <c r="W953" s="14">
        <f t="shared" si="378"/>
        <v>-36771.339999999997</v>
      </c>
      <c r="Y953" s="14">
        <f t="shared" si="381"/>
        <v>3189.77</v>
      </c>
      <c r="Z953" s="14">
        <f t="shared" si="382"/>
        <v>-3189.77</v>
      </c>
      <c r="AA953" s="11">
        <f t="shared" si="384"/>
        <v>0.57999999999999996</v>
      </c>
      <c r="AB953" s="9">
        <f t="shared" si="387"/>
        <v>794.02</v>
      </c>
      <c r="AD953" s="13">
        <f>IF(AH953&gt;AH952,AD952,IF(AD952&lt;MiscData!$F$1,EOMONTH(AD952,1),EOMONTH(AD952,-11)))</f>
        <v>42338</v>
      </c>
      <c r="AE953" s="7" t="str">
        <f t="shared" si="379"/>
        <v>20140101KUUM_478</v>
      </c>
      <c r="AF953" s="12" t="str">
        <f t="shared" si="380"/>
        <v>20140101LS</v>
      </c>
      <c r="AG953" s="31"/>
      <c r="AH953">
        <f>IF(AH952=MiscData!$AB$91,1,AH952+1)</f>
        <v>72</v>
      </c>
      <c r="AI953">
        <f>IF(AD953&lt;=MiscData!$B$23,MiscData!$C$23,IF(AD953&lt;=MiscData!$B$24,MiscData!$C$24,MiscData!$C$25))</f>
        <v>20140101</v>
      </c>
      <c r="AK953" s="190" t="str">
        <f>VLOOKUP(AM953,MiscData!$AB$4:$ACB$113,2,FALSE)</f>
        <v>KUUM_478</v>
      </c>
      <c r="AL953" s="190" t="str">
        <f>VLOOKUP(AM953,MiscData!$AB$4:$AE$115,4,FALSE)</f>
        <v>LS</v>
      </c>
      <c r="AM953">
        <f>IF(AM952=MiscData!$AB$91,1,AM952+1)</f>
        <v>72</v>
      </c>
    </row>
    <row r="954" spans="1:39">
      <c r="A954" s="7">
        <f t="shared" si="383"/>
        <v>953</v>
      </c>
      <c r="B954" s="13" t="str">
        <f t="shared" ref="B954:B1017" si="390">TEXT(AD954,"mmm yyyy")</f>
        <v>Nov 2015</v>
      </c>
      <c r="C954" s="23" t="str">
        <f t="shared" ref="C954:C1017" si="391">AL954</f>
        <v>LS</v>
      </c>
      <c r="D954" s="23" t="str">
        <f t="shared" ref="D954:D1017" si="392">AK954</f>
        <v>KUUM_479</v>
      </c>
      <c r="E954" s="170">
        <f t="shared" ref="E954:E1017" si="393">SUMIFS(_1055_Light_Count,_1055_RevMonth,$B954,_1055_RateCategory,$D954)</f>
        <v>917</v>
      </c>
      <c r="F954" s="185"/>
      <c r="G954" s="170">
        <f t="shared" si="389"/>
        <v>0</v>
      </c>
      <c r="H954" s="170">
        <v>0</v>
      </c>
      <c r="I954" s="11">
        <f t="shared" ref="I954:I1017" si="394">SUMIF(_Lights_Tariff_Category,$AE954,_Lights_Rates)</f>
        <v>33.119999999999997</v>
      </c>
      <c r="J954" s="11">
        <f t="shared" ref="J954:J1017" si="395">SUMIF(_Lights_Tariff_Category,$AE954,_Rates_Lights_BaseFAC)</f>
        <v>4.529999999999994</v>
      </c>
      <c r="K954" s="416">
        <f t="shared" si="385"/>
        <v>30371.040000000001</v>
      </c>
      <c r="L954" s="180"/>
      <c r="M954" s="180"/>
      <c r="N954" s="186">
        <f t="shared" si="388"/>
        <v>30371.040000000001</v>
      </c>
      <c r="O954" s="29">
        <f t="shared" ref="O954:O1017" si="396">U954-SUM(Q954:T954)</f>
        <v>0</v>
      </c>
      <c r="P954" s="181">
        <f t="shared" si="386"/>
        <v>0</v>
      </c>
      <c r="Q954" s="182">
        <f t="shared" ref="Q954:Q1017" si="397">SUMIFS(_SBR_FAC,_SBR_Revenue_Month,$B954,_SBR_Rate_Category,$D954)</f>
        <v>0</v>
      </c>
      <c r="R954" s="182">
        <f t="shared" ref="R954:R1017" si="398">SUMIFS(_SBR_DSM,_SBR_Revenue_Month,$B954,_SBR_Rate_Category,$D954)</f>
        <v>0</v>
      </c>
      <c r="S954" s="182">
        <f t="shared" ref="S954:S1017" si="399">SUMIFS(_SBR_ECR,_SBR_Revenue_Month,$B954,_SBR_Rate_Category,$D954)</f>
        <v>0</v>
      </c>
      <c r="T954" s="182">
        <f t="shared" ref="T954:T1017" si="400">SUMIFS(_SBR_MSR,_SBR_Revenue_Month,$B954,_SBR_Rate_Category,$D954)</f>
        <v>0</v>
      </c>
      <c r="U954" s="182">
        <f t="shared" ref="U954:U1017" si="401">SUMIFS(_SBR_Revenue_Actual,_SBR_Revenue_Month,$B954,_SBR_Rate_Category,$D954)</f>
        <v>0</v>
      </c>
      <c r="V954" s="14">
        <f t="shared" ref="V954:V1017" si="402">SUM(N954,Q954:T954)</f>
        <v>30371.040000000001</v>
      </c>
      <c r="W954" s="14">
        <f t="shared" ref="W954:W1017" si="403">U954-V954</f>
        <v>-30371.040000000001</v>
      </c>
      <c r="Y954" s="14">
        <f t="shared" si="381"/>
        <v>4154.01</v>
      </c>
      <c r="Z954" s="14">
        <f t="shared" si="382"/>
        <v>-4154.01</v>
      </c>
      <c r="AA954" s="11">
        <f t="shared" si="384"/>
        <v>0.79</v>
      </c>
      <c r="AB954" s="9">
        <f t="shared" si="387"/>
        <v>724.43000000000006</v>
      </c>
      <c r="AD954" s="13">
        <f>IF(AH954&gt;AH953,AD953,IF(AD953&lt;MiscData!$F$1,EOMONTH(AD953,1),EOMONTH(AD953,-11)))</f>
        <v>42338</v>
      </c>
      <c r="AE954" s="7" t="str">
        <f t="shared" ref="AE954:AE1017" si="404">CONCATENATE(AI954&amp;AK954)</f>
        <v>20140101KUUM_479</v>
      </c>
      <c r="AF954" s="12" t="str">
        <f t="shared" ref="AF954:AF1017" si="405">CONCATENATE(AI954&amp;AL954)</f>
        <v>20140101LS</v>
      </c>
      <c r="AG954" s="31"/>
      <c r="AH954">
        <f>IF(AH953=MiscData!$AB$91,1,AH953+1)</f>
        <v>73</v>
      </c>
      <c r="AI954">
        <f>IF(AD954&lt;=MiscData!$B$23,MiscData!$C$23,IF(AD954&lt;=MiscData!$B$24,MiscData!$C$24,MiscData!$C$25))</f>
        <v>20140101</v>
      </c>
      <c r="AK954" s="190" t="str">
        <f>VLOOKUP(AM954,MiscData!$AB$4:$ACB$113,2,FALSE)</f>
        <v>KUUM_479</v>
      </c>
      <c r="AL954" s="190" t="str">
        <f>VLOOKUP(AM954,MiscData!$AB$4:$AE$115,4,FALSE)</f>
        <v>LS</v>
      </c>
      <c r="AM954">
        <f>IF(AM953=MiscData!$AB$91,1,AM953+1)</f>
        <v>73</v>
      </c>
    </row>
    <row r="955" spans="1:39">
      <c r="A955" s="7">
        <f t="shared" si="383"/>
        <v>954</v>
      </c>
      <c r="B955" s="13" t="str">
        <f t="shared" si="390"/>
        <v>Nov 2015</v>
      </c>
      <c r="C955" s="23" t="str">
        <f t="shared" si="391"/>
        <v>LS</v>
      </c>
      <c r="D955" s="23" t="str">
        <f t="shared" si="392"/>
        <v>KUUM_486</v>
      </c>
      <c r="E955" s="170">
        <f t="shared" si="393"/>
        <v>0</v>
      </c>
      <c r="F955" s="185"/>
      <c r="G955" s="170">
        <f t="shared" si="389"/>
        <v>0</v>
      </c>
      <c r="H955" s="170">
        <v>0</v>
      </c>
      <c r="I955" s="11">
        <f t="shared" si="394"/>
        <v>0</v>
      </c>
      <c r="J955" s="11">
        <f t="shared" si="395"/>
        <v>0</v>
      </c>
      <c r="K955" s="416">
        <f t="shared" si="385"/>
        <v>0</v>
      </c>
      <c r="L955" s="180"/>
      <c r="M955" s="180"/>
      <c r="N955" s="186">
        <f t="shared" si="388"/>
        <v>0</v>
      </c>
      <c r="O955" s="29">
        <f t="shared" si="396"/>
        <v>0</v>
      </c>
      <c r="P955" s="181">
        <f t="shared" si="386"/>
        <v>1</v>
      </c>
      <c r="Q955" s="182">
        <f t="shared" si="397"/>
        <v>0</v>
      </c>
      <c r="R955" s="182">
        <f t="shared" si="398"/>
        <v>0</v>
      </c>
      <c r="S955" s="182">
        <f t="shared" si="399"/>
        <v>0</v>
      </c>
      <c r="T955" s="182">
        <f t="shared" si="400"/>
        <v>0</v>
      </c>
      <c r="U955" s="182">
        <f t="shared" si="401"/>
        <v>0</v>
      </c>
      <c r="V955" s="14">
        <f t="shared" si="402"/>
        <v>0</v>
      </c>
      <c r="W955" s="14">
        <f t="shared" si="403"/>
        <v>0</v>
      </c>
      <c r="Y955" s="14">
        <f t="shared" ref="Y955:Y1018" si="406">ROUND(E955*J955,2)</f>
        <v>0</v>
      </c>
      <c r="Z955" s="14">
        <f t="shared" ref="Z955:Z1018" si="407">O955-Y955</f>
        <v>0</v>
      </c>
      <c r="AA955" s="11">
        <f t="shared" si="384"/>
        <v>0</v>
      </c>
      <c r="AB955" s="9">
        <f t="shared" si="387"/>
        <v>0</v>
      </c>
      <c r="AD955" s="13">
        <f>IF(AH955&gt;AH954,AD954,IF(AD954&lt;MiscData!$F$1,EOMONTH(AD954,1),EOMONTH(AD954,-11)))</f>
        <v>42338</v>
      </c>
      <c r="AE955" s="7" t="str">
        <f t="shared" si="404"/>
        <v>20140101KUUM_486</v>
      </c>
      <c r="AF955" s="12" t="str">
        <f t="shared" si="405"/>
        <v>20140101LS</v>
      </c>
      <c r="AG955" s="31"/>
      <c r="AH955">
        <f>IF(AH954=MiscData!$AB$91,1,AH954+1)</f>
        <v>74</v>
      </c>
      <c r="AI955">
        <f>IF(AD955&lt;=MiscData!$B$23,MiscData!$C$23,IF(AD955&lt;=MiscData!$B$24,MiscData!$C$24,MiscData!$C$25))</f>
        <v>20140101</v>
      </c>
      <c r="AK955" s="190" t="str">
        <f>VLOOKUP(AM955,MiscData!$AB$4:$ACB$113,2,FALSE)</f>
        <v>KUUM_486</v>
      </c>
      <c r="AL955" s="190" t="str">
        <f>VLOOKUP(AM955,MiscData!$AB$4:$AE$115,4,FALSE)</f>
        <v>LS</v>
      </c>
      <c r="AM955">
        <f>IF(AM954=MiscData!$AB$91,1,AM954+1)</f>
        <v>74</v>
      </c>
    </row>
    <row r="956" spans="1:39">
      <c r="A956" s="7">
        <f t="shared" ref="A956:A1019" si="408">A955+1</f>
        <v>955</v>
      </c>
      <c r="B956" s="13" t="str">
        <f t="shared" si="390"/>
        <v>Nov 2015</v>
      </c>
      <c r="C956" s="23" t="str">
        <f t="shared" si="391"/>
        <v>LS</v>
      </c>
      <c r="D956" s="23" t="str">
        <f t="shared" si="392"/>
        <v>KUUM_487</v>
      </c>
      <c r="E956" s="170">
        <f t="shared" si="393"/>
        <v>10653</v>
      </c>
      <c r="F956" s="185"/>
      <c r="G956" s="170">
        <f t="shared" si="389"/>
        <v>0</v>
      </c>
      <c r="H956" s="170">
        <v>0</v>
      </c>
      <c r="I956" s="11">
        <f t="shared" si="394"/>
        <v>9</v>
      </c>
      <c r="J956" s="11">
        <f t="shared" si="395"/>
        <v>1.1299999999999999</v>
      </c>
      <c r="K956" s="416">
        <f t="shared" si="385"/>
        <v>95877</v>
      </c>
      <c r="L956" s="180"/>
      <c r="M956" s="180"/>
      <c r="N956" s="186">
        <f t="shared" si="388"/>
        <v>95877</v>
      </c>
      <c r="O956" s="29">
        <f t="shared" si="396"/>
        <v>0</v>
      </c>
      <c r="P956" s="181">
        <f t="shared" si="386"/>
        <v>0</v>
      </c>
      <c r="Q956" s="182">
        <f t="shared" si="397"/>
        <v>0</v>
      </c>
      <c r="R956" s="182">
        <f t="shared" si="398"/>
        <v>0</v>
      </c>
      <c r="S956" s="182">
        <f t="shared" si="399"/>
        <v>0</v>
      </c>
      <c r="T956" s="182">
        <f t="shared" si="400"/>
        <v>0</v>
      </c>
      <c r="U956" s="182">
        <f t="shared" si="401"/>
        <v>0</v>
      </c>
      <c r="V956" s="14">
        <f t="shared" si="402"/>
        <v>95877</v>
      </c>
      <c r="W956" s="14">
        <f t="shared" si="403"/>
        <v>-95877</v>
      </c>
      <c r="Y956" s="14">
        <f t="shared" si="406"/>
        <v>12037.89</v>
      </c>
      <c r="Z956" s="14">
        <f t="shared" si="407"/>
        <v>-12037.89</v>
      </c>
      <c r="AA956" s="11">
        <f t="shared" si="384"/>
        <v>0.34</v>
      </c>
      <c r="AB956" s="9">
        <f t="shared" si="387"/>
        <v>3622.0200000000004</v>
      </c>
      <c r="AD956" s="13">
        <f>IF(AH956&gt;AH955,AD955,IF(AD955&lt;MiscData!$F$1,EOMONTH(AD955,1),EOMONTH(AD955,-11)))</f>
        <v>42338</v>
      </c>
      <c r="AE956" s="7" t="str">
        <f t="shared" si="404"/>
        <v>20140101KUUM_487</v>
      </c>
      <c r="AF956" s="12" t="str">
        <f t="shared" si="405"/>
        <v>20140101LS</v>
      </c>
      <c r="AG956" s="31"/>
      <c r="AH956">
        <f>IF(AH955=MiscData!$AB$91,1,AH955+1)</f>
        <v>75</v>
      </c>
      <c r="AI956">
        <f>IF(AD956&lt;=MiscData!$B$23,MiscData!$C$23,IF(AD956&lt;=MiscData!$B$24,MiscData!$C$24,MiscData!$C$25))</f>
        <v>20140101</v>
      </c>
      <c r="AK956" s="190" t="str">
        <f>VLOOKUP(AM956,MiscData!$AB$4:$ACB$113,2,FALSE)</f>
        <v>KUUM_487</v>
      </c>
      <c r="AL956" s="190" t="str">
        <f>VLOOKUP(AM956,MiscData!$AB$4:$AE$115,4,FALSE)</f>
        <v>LS</v>
      </c>
      <c r="AM956">
        <f>IF(AM955=MiscData!$AB$91,1,AM955+1)</f>
        <v>75</v>
      </c>
    </row>
    <row r="957" spans="1:39">
      <c r="A957" s="7">
        <f t="shared" si="408"/>
        <v>956</v>
      </c>
      <c r="B957" s="13" t="str">
        <f t="shared" si="390"/>
        <v>Nov 2015</v>
      </c>
      <c r="C957" s="23" t="str">
        <f t="shared" si="391"/>
        <v>LS</v>
      </c>
      <c r="D957" s="23" t="str">
        <f t="shared" si="392"/>
        <v>KUUM_488</v>
      </c>
      <c r="E957" s="170">
        <f t="shared" si="393"/>
        <v>6273</v>
      </c>
      <c r="F957" s="185"/>
      <c r="G957" s="170">
        <f t="shared" si="389"/>
        <v>0</v>
      </c>
      <c r="H957" s="170">
        <v>0</v>
      </c>
      <c r="I957" s="11">
        <f t="shared" si="394"/>
        <v>13.639999999999999</v>
      </c>
      <c r="J957" s="11">
        <f t="shared" si="395"/>
        <v>2.33</v>
      </c>
      <c r="K957" s="416">
        <f t="shared" si="385"/>
        <v>85563.72</v>
      </c>
      <c r="L957" s="180"/>
      <c r="M957" s="180"/>
      <c r="N957" s="186">
        <f t="shared" si="388"/>
        <v>85563.72</v>
      </c>
      <c r="O957" s="29">
        <f t="shared" si="396"/>
        <v>0</v>
      </c>
      <c r="P957" s="181">
        <f t="shared" si="386"/>
        <v>0</v>
      </c>
      <c r="Q957" s="182">
        <f t="shared" si="397"/>
        <v>0</v>
      </c>
      <c r="R957" s="182">
        <f t="shared" si="398"/>
        <v>0</v>
      </c>
      <c r="S957" s="182">
        <f t="shared" si="399"/>
        <v>0</v>
      </c>
      <c r="T957" s="182">
        <f t="shared" si="400"/>
        <v>0</v>
      </c>
      <c r="U957" s="182">
        <f t="shared" si="401"/>
        <v>0</v>
      </c>
      <c r="V957" s="14">
        <f t="shared" si="402"/>
        <v>85563.72</v>
      </c>
      <c r="W957" s="14">
        <f t="shared" si="403"/>
        <v>-85563.72</v>
      </c>
      <c r="Y957" s="14">
        <f t="shared" si="406"/>
        <v>14616.09</v>
      </c>
      <c r="Z957" s="14">
        <f t="shared" si="407"/>
        <v>-14616.09</v>
      </c>
      <c r="AA957" s="11">
        <f t="shared" si="384"/>
        <v>0.57999999999999996</v>
      </c>
      <c r="AB957" s="9">
        <f t="shared" si="387"/>
        <v>3638.3399999999997</v>
      </c>
      <c r="AD957" s="13">
        <f>IF(AH957&gt;AH956,AD956,IF(AD956&lt;MiscData!$F$1,EOMONTH(AD956,1),EOMONTH(AD956,-11)))</f>
        <v>42338</v>
      </c>
      <c r="AE957" s="7" t="str">
        <f t="shared" si="404"/>
        <v>20140101KUUM_488</v>
      </c>
      <c r="AF957" s="12" t="str">
        <f t="shared" si="405"/>
        <v>20140101LS</v>
      </c>
      <c r="AG957" s="31"/>
      <c r="AH957">
        <f>IF(AH956=MiscData!$AB$91,1,AH956+1)</f>
        <v>76</v>
      </c>
      <c r="AI957">
        <f>IF(AD957&lt;=MiscData!$B$23,MiscData!$C$23,IF(AD957&lt;=MiscData!$B$24,MiscData!$C$24,MiscData!$C$25))</f>
        <v>20140101</v>
      </c>
      <c r="AK957" s="190" t="str">
        <f>VLOOKUP(AM957,MiscData!$AB$4:$ACB$113,2,FALSE)</f>
        <v>KUUM_488</v>
      </c>
      <c r="AL957" s="190" t="str">
        <f>VLOOKUP(AM957,MiscData!$AB$4:$AE$115,4,FALSE)</f>
        <v>LS</v>
      </c>
      <c r="AM957">
        <f>IF(AM956=MiscData!$AB$91,1,AM956+1)</f>
        <v>76</v>
      </c>
    </row>
    <row r="958" spans="1:39" ht="12.75" thickBot="1">
      <c r="A958" s="7">
        <f t="shared" si="408"/>
        <v>957</v>
      </c>
      <c r="B958" s="13" t="str">
        <f t="shared" si="390"/>
        <v>Nov 2015</v>
      </c>
      <c r="C958" s="23" t="str">
        <f t="shared" si="391"/>
        <v>LS</v>
      </c>
      <c r="D958" s="23" t="str">
        <f t="shared" si="392"/>
        <v>KUUM_489</v>
      </c>
      <c r="E958" s="170">
        <f t="shared" si="393"/>
        <v>7884</v>
      </c>
      <c r="F958" s="429"/>
      <c r="G958" s="170">
        <f t="shared" si="389"/>
        <v>0</v>
      </c>
      <c r="H958" s="425"/>
      <c r="I958" s="11">
        <f t="shared" si="394"/>
        <v>19.46</v>
      </c>
      <c r="J958" s="11">
        <f t="shared" si="395"/>
        <v>4.5300000000000011</v>
      </c>
      <c r="K958" s="416">
        <f t="shared" si="385"/>
        <v>153422.64000000001</v>
      </c>
      <c r="L958" s="180"/>
      <c r="M958" s="430"/>
      <c r="N958" s="186">
        <f t="shared" si="388"/>
        <v>153422.64000000001</v>
      </c>
      <c r="O958" s="29">
        <f t="shared" si="396"/>
        <v>0</v>
      </c>
      <c r="P958" s="181">
        <f t="shared" si="386"/>
        <v>0</v>
      </c>
      <c r="Q958" s="182">
        <f t="shared" si="397"/>
        <v>0</v>
      </c>
      <c r="R958" s="182">
        <f t="shared" si="398"/>
        <v>0</v>
      </c>
      <c r="S958" s="182">
        <f t="shared" si="399"/>
        <v>0</v>
      </c>
      <c r="T958" s="182">
        <f t="shared" si="400"/>
        <v>0</v>
      </c>
      <c r="U958" s="182">
        <f t="shared" si="401"/>
        <v>0</v>
      </c>
      <c r="V958" s="14">
        <f t="shared" si="402"/>
        <v>153422.64000000001</v>
      </c>
      <c r="W958" s="14">
        <f t="shared" si="403"/>
        <v>-153422.64000000001</v>
      </c>
      <c r="Y958" s="14">
        <f t="shared" si="406"/>
        <v>35714.519999999997</v>
      </c>
      <c r="Z958" s="14">
        <f t="shared" si="407"/>
        <v>-35714.519999999997</v>
      </c>
      <c r="AA958" s="11">
        <f t="shared" si="384"/>
        <v>0.79</v>
      </c>
      <c r="AB958" s="9">
        <f t="shared" si="387"/>
        <v>6228.3600000000006</v>
      </c>
      <c r="AD958" s="13">
        <f>IF(AH958&gt;AH957,AD957,IF(AD957&lt;MiscData!$F$1,EOMONTH(AD957,1),EOMONTH(AD957,-11)))</f>
        <v>42338</v>
      </c>
      <c r="AE958" s="7" t="str">
        <f t="shared" si="404"/>
        <v>20140101KUUM_489</v>
      </c>
      <c r="AF958" s="12" t="str">
        <f t="shared" si="405"/>
        <v>20140101LS</v>
      </c>
      <c r="AG958" s="31"/>
      <c r="AH958">
        <f>IF(AH957=MiscData!$AB$91,1,AH957+1)</f>
        <v>77</v>
      </c>
      <c r="AI958">
        <f>IF(AD958&lt;=MiscData!$B$23,MiscData!$C$23,IF(AD958&lt;=MiscData!$B$24,MiscData!$C$24,MiscData!$C$25))</f>
        <v>20140101</v>
      </c>
      <c r="AK958" s="190" t="str">
        <f>VLOOKUP(AM958,MiscData!$AB$4:$ACB$113,2,FALSE)</f>
        <v>KUUM_489</v>
      </c>
      <c r="AL958" s="190" t="str">
        <f>VLOOKUP(AM958,MiscData!$AB$4:$AE$115,4,FALSE)</f>
        <v>LS</v>
      </c>
      <c r="AM958">
        <f>IF(AM957=MiscData!$AB$91,1,AM957+1)</f>
        <v>77</v>
      </c>
    </row>
    <row r="959" spans="1:39">
      <c r="A959" s="605">
        <f t="shared" si="408"/>
        <v>958</v>
      </c>
      <c r="B959" s="606" t="str">
        <f t="shared" si="390"/>
        <v>Nov 2015</v>
      </c>
      <c r="C959" s="607" t="str">
        <f t="shared" si="391"/>
        <v>LS</v>
      </c>
      <c r="D959" s="607" t="str">
        <f t="shared" si="392"/>
        <v>KUUM_490</v>
      </c>
      <c r="E959" s="608">
        <f t="shared" si="393"/>
        <v>56</v>
      </c>
      <c r="F959" s="609"/>
      <c r="G959" s="608">
        <f t="shared" si="389"/>
        <v>0</v>
      </c>
      <c r="H959" s="608">
        <v>0</v>
      </c>
      <c r="I959" s="610">
        <f t="shared" si="394"/>
        <v>15.47</v>
      </c>
      <c r="J959" s="610">
        <f t="shared" si="395"/>
        <v>1.9700000000000006</v>
      </c>
      <c r="K959" s="611">
        <f t="shared" si="385"/>
        <v>866.32</v>
      </c>
      <c r="L959" s="180"/>
      <c r="M959" s="612"/>
      <c r="N959" s="613">
        <f t="shared" si="388"/>
        <v>866.32</v>
      </c>
      <c r="O959" s="614">
        <f t="shared" si="396"/>
        <v>0</v>
      </c>
      <c r="P959" s="615">
        <f t="shared" si="386"/>
        <v>0</v>
      </c>
      <c r="Q959" s="613">
        <f t="shared" si="397"/>
        <v>0</v>
      </c>
      <c r="R959" s="613">
        <f t="shared" si="398"/>
        <v>0</v>
      </c>
      <c r="S959" s="613">
        <f t="shared" si="399"/>
        <v>0</v>
      </c>
      <c r="T959" s="613">
        <f t="shared" si="400"/>
        <v>0</v>
      </c>
      <c r="U959" s="613">
        <f t="shared" si="401"/>
        <v>0</v>
      </c>
      <c r="V959" s="616">
        <f t="shared" si="402"/>
        <v>866.32</v>
      </c>
      <c r="W959" s="616">
        <f t="shared" si="403"/>
        <v>-866.32</v>
      </c>
      <c r="X959" s="617"/>
      <c r="Y959" s="616">
        <f t="shared" si="406"/>
        <v>110.32</v>
      </c>
      <c r="Z959" s="616">
        <f t="shared" si="407"/>
        <v>-110.32</v>
      </c>
      <c r="AA959" s="11">
        <f t="shared" si="384"/>
        <v>0.66</v>
      </c>
      <c r="AB959" s="9">
        <f t="shared" si="387"/>
        <v>36.96</v>
      </c>
      <c r="AC959" s="617"/>
      <c r="AD959" s="606">
        <f>IF(AH959&gt;AH958,AD958,IF(AD958&lt;MiscData!$F$1,EOMONTH(AD958,1),EOMONTH(AD958,-11)))</f>
        <v>42338</v>
      </c>
      <c r="AE959" s="618" t="str">
        <f t="shared" si="404"/>
        <v>20140101KUUM_490</v>
      </c>
      <c r="AF959" s="619" t="str">
        <f t="shared" si="405"/>
        <v>20140101LS</v>
      </c>
      <c r="AG959" s="620"/>
      <c r="AH959" s="617">
        <f>IF(AH958=MiscData!$AB$91,1,AH958+1)</f>
        <v>78</v>
      </c>
      <c r="AI959" s="617">
        <f>IF(AD959&lt;=MiscData!$B$23,MiscData!$C$23,IF(AD959&lt;=MiscData!$B$24,MiscData!$C$24,MiscData!$C$25))</f>
        <v>20140101</v>
      </c>
      <c r="AJ959" s="617"/>
      <c r="AK959" s="621" t="str">
        <f>VLOOKUP(AM959,MiscData!$AB$4:$ACB$113,2,FALSE)</f>
        <v>KUUM_490</v>
      </c>
      <c r="AL959" s="621" t="str">
        <f>VLOOKUP(AM959,MiscData!$AB$4:$AE$115,4,FALSE)</f>
        <v>LS</v>
      </c>
      <c r="AM959" s="622">
        <f>IF(AM958=MiscData!$AB$91,1,AM958+1)</f>
        <v>78</v>
      </c>
    </row>
    <row r="960" spans="1:39">
      <c r="A960" s="413">
        <f t="shared" si="408"/>
        <v>959</v>
      </c>
      <c r="B960" s="427" t="str">
        <f t="shared" si="390"/>
        <v>Nov 2015</v>
      </c>
      <c r="C960" s="428" t="str">
        <f t="shared" si="391"/>
        <v>LS</v>
      </c>
      <c r="D960" s="428" t="str">
        <f t="shared" si="392"/>
        <v>KUUM_491</v>
      </c>
      <c r="E960" s="425">
        <f t="shared" si="393"/>
        <v>287</v>
      </c>
      <c r="F960" s="429"/>
      <c r="G960" s="425">
        <f t="shared" si="389"/>
        <v>0</v>
      </c>
      <c r="H960" s="425">
        <v>0</v>
      </c>
      <c r="I960" s="415">
        <f t="shared" si="394"/>
        <v>21.930000000000003</v>
      </c>
      <c r="J960" s="415">
        <f t="shared" si="395"/>
        <v>4.2900000000000027</v>
      </c>
      <c r="K960" s="416">
        <f t="shared" si="385"/>
        <v>6293.91</v>
      </c>
      <c r="L960" s="180"/>
      <c r="M960" s="430"/>
      <c r="N960" s="186">
        <f t="shared" si="388"/>
        <v>6293.91</v>
      </c>
      <c r="O960" s="431">
        <f t="shared" si="396"/>
        <v>0</v>
      </c>
      <c r="P960" s="417">
        <f t="shared" si="386"/>
        <v>0</v>
      </c>
      <c r="Q960" s="186">
        <f t="shared" si="397"/>
        <v>0</v>
      </c>
      <c r="R960" s="186">
        <f t="shared" si="398"/>
        <v>0</v>
      </c>
      <c r="S960" s="186">
        <f t="shared" si="399"/>
        <v>0</v>
      </c>
      <c r="T960" s="186">
        <f t="shared" si="400"/>
        <v>0</v>
      </c>
      <c r="U960" s="186">
        <f t="shared" si="401"/>
        <v>0</v>
      </c>
      <c r="V960" s="418">
        <f t="shared" si="402"/>
        <v>6293.91</v>
      </c>
      <c r="W960" s="418">
        <f t="shared" si="403"/>
        <v>-6293.91</v>
      </c>
      <c r="X960" s="41"/>
      <c r="Y960" s="418">
        <f t="shared" si="406"/>
        <v>1231.23</v>
      </c>
      <c r="Z960" s="418">
        <f t="shared" si="407"/>
        <v>-1231.23</v>
      </c>
      <c r="AA960" s="11">
        <f t="shared" si="384"/>
        <v>0.84</v>
      </c>
      <c r="AB960" s="9">
        <f t="shared" si="387"/>
        <v>241.07999999999998</v>
      </c>
      <c r="AC960" s="41"/>
      <c r="AD960" s="427">
        <f>IF(AH960&gt;AH959,AD959,IF(AD959&lt;MiscData!$F$1,EOMONTH(AD959,1),EOMONTH(AD959,-11)))</f>
        <v>42338</v>
      </c>
      <c r="AE960" s="414" t="str">
        <f t="shared" si="404"/>
        <v>20140101KUUM_491</v>
      </c>
      <c r="AF960" s="466" t="str">
        <f t="shared" si="405"/>
        <v>20140101LS</v>
      </c>
      <c r="AG960" s="467"/>
      <c r="AH960" s="41">
        <f>IF(AH959=MiscData!$AB$91,1,AH959+1)</f>
        <v>79</v>
      </c>
      <c r="AI960" s="41">
        <f>IF(AD960&lt;=MiscData!$B$23,MiscData!$C$23,IF(AD960&lt;=MiscData!$B$24,MiscData!$C$24,MiscData!$C$25))</f>
        <v>20140101</v>
      </c>
      <c r="AJ960" s="41"/>
      <c r="AK960" s="468" t="str">
        <f>VLOOKUP(AM960,MiscData!$AB$4:$ACB$113,2,FALSE)</f>
        <v>KUUM_491</v>
      </c>
      <c r="AL960" s="468" t="str">
        <f>VLOOKUP(AM960,MiscData!$AB$4:$AE$115,4,FALSE)</f>
        <v>LS</v>
      </c>
      <c r="AM960" s="469">
        <f>IF(AM959=MiscData!$AB$91,1,AM959+1)</f>
        <v>79</v>
      </c>
    </row>
    <row r="961" spans="1:39">
      <c r="A961" s="413">
        <f t="shared" si="408"/>
        <v>960</v>
      </c>
      <c r="B961" s="427" t="str">
        <f t="shared" si="390"/>
        <v>Nov 2015</v>
      </c>
      <c r="C961" s="428" t="str">
        <f t="shared" si="391"/>
        <v>LS</v>
      </c>
      <c r="D961" s="428" t="str">
        <f t="shared" si="392"/>
        <v>KUUM_492</v>
      </c>
      <c r="E961" s="425">
        <f t="shared" si="393"/>
        <v>2</v>
      </c>
      <c r="F961" s="429"/>
      <c r="G961" s="425">
        <f t="shared" si="389"/>
        <v>0</v>
      </c>
      <c r="H961" s="425">
        <v>0</v>
      </c>
      <c r="I961" s="415">
        <f t="shared" si="394"/>
        <v>15.370000000000001</v>
      </c>
      <c r="J961" s="415">
        <f t="shared" si="395"/>
        <v>0.80000000000000071</v>
      </c>
      <c r="K961" s="416">
        <f t="shared" si="385"/>
        <v>30.74</v>
      </c>
      <c r="L961" s="180"/>
      <c r="M961" s="430"/>
      <c r="N961" s="186">
        <f t="shared" si="388"/>
        <v>30.74</v>
      </c>
      <c r="O961" s="431">
        <f t="shared" si="396"/>
        <v>0</v>
      </c>
      <c r="P961" s="417">
        <f t="shared" si="386"/>
        <v>0</v>
      </c>
      <c r="Q961" s="186">
        <f t="shared" si="397"/>
        <v>0</v>
      </c>
      <c r="R961" s="186">
        <f t="shared" si="398"/>
        <v>0</v>
      </c>
      <c r="S961" s="186">
        <f t="shared" si="399"/>
        <v>0</v>
      </c>
      <c r="T961" s="186">
        <f t="shared" si="400"/>
        <v>0</v>
      </c>
      <c r="U961" s="186">
        <f t="shared" si="401"/>
        <v>0</v>
      </c>
      <c r="V961" s="418">
        <f t="shared" si="402"/>
        <v>30.74</v>
      </c>
      <c r="W961" s="418">
        <f t="shared" si="403"/>
        <v>-30.74</v>
      </c>
      <c r="X961" s="41"/>
      <c r="Y961" s="418">
        <f t="shared" si="406"/>
        <v>1.6</v>
      </c>
      <c r="Z961" s="418">
        <f t="shared" si="407"/>
        <v>-1.6</v>
      </c>
      <c r="AA961" s="11">
        <f t="shared" si="384"/>
        <v>0.43</v>
      </c>
      <c r="AB961" s="9">
        <f t="shared" si="387"/>
        <v>0.86</v>
      </c>
      <c r="AC961" s="41"/>
      <c r="AD961" s="427">
        <f>IF(AH961&gt;AH960,AD960,IF(AD960&lt;MiscData!$F$1,EOMONTH(AD960,1),EOMONTH(AD960,-11)))</f>
        <v>42338</v>
      </c>
      <c r="AE961" s="414" t="str">
        <f t="shared" si="404"/>
        <v>20140101KUUM_492</v>
      </c>
      <c r="AF961" s="466" t="str">
        <f t="shared" si="405"/>
        <v>20140101LS</v>
      </c>
      <c r="AG961" s="467"/>
      <c r="AH961" s="41">
        <f>IF(AH960=MiscData!$AB$91,1,AH960+1)</f>
        <v>80</v>
      </c>
      <c r="AI961" s="41">
        <f>IF(AD961&lt;=MiscData!$B$23,MiscData!$C$23,IF(AD961&lt;=MiscData!$B$24,MiscData!$C$24,MiscData!$C$25))</f>
        <v>20140101</v>
      </c>
      <c r="AJ961" s="41"/>
      <c r="AK961" s="468" t="str">
        <f>VLOOKUP(AM961,MiscData!$AB$4:$ACB$113,2,FALSE)</f>
        <v>KUUM_492</v>
      </c>
      <c r="AL961" s="468" t="str">
        <f>VLOOKUP(AM961,MiscData!$AB$4:$AE$115,4,FALSE)</f>
        <v>LS</v>
      </c>
      <c r="AM961" s="469">
        <f>IF(AM960=MiscData!$AB$91,1,AM960+1)</f>
        <v>80</v>
      </c>
    </row>
    <row r="962" spans="1:39">
      <c r="A962" s="413">
        <f t="shared" si="408"/>
        <v>961</v>
      </c>
      <c r="B962" s="427" t="str">
        <f t="shared" si="390"/>
        <v>Nov 2015</v>
      </c>
      <c r="C962" s="428" t="str">
        <f t="shared" si="391"/>
        <v>LS</v>
      </c>
      <c r="D962" s="428" t="str">
        <f t="shared" si="392"/>
        <v>KUUM_493</v>
      </c>
      <c r="E962" s="425">
        <f t="shared" si="393"/>
        <v>45</v>
      </c>
      <c r="F962" s="429"/>
      <c r="G962" s="425">
        <f t="shared" si="389"/>
        <v>0</v>
      </c>
      <c r="H962" s="425">
        <v>0</v>
      </c>
      <c r="I962" s="415">
        <f t="shared" si="394"/>
        <v>45.7</v>
      </c>
      <c r="J962" s="415">
        <f t="shared" si="395"/>
        <v>10.409999999999997</v>
      </c>
      <c r="K962" s="416">
        <f t="shared" si="385"/>
        <v>2056.5</v>
      </c>
      <c r="L962" s="180"/>
      <c r="M962" s="430"/>
      <c r="N962" s="186">
        <f t="shared" si="388"/>
        <v>2056.5</v>
      </c>
      <c r="O962" s="431">
        <f t="shared" si="396"/>
        <v>0</v>
      </c>
      <c r="P962" s="417">
        <f t="shared" si="386"/>
        <v>0</v>
      </c>
      <c r="Q962" s="186">
        <f t="shared" si="397"/>
        <v>0</v>
      </c>
      <c r="R962" s="186">
        <f t="shared" si="398"/>
        <v>0</v>
      </c>
      <c r="S962" s="186">
        <f t="shared" si="399"/>
        <v>0</v>
      </c>
      <c r="T962" s="186">
        <f t="shared" si="400"/>
        <v>0</v>
      </c>
      <c r="U962" s="186">
        <f t="shared" si="401"/>
        <v>0</v>
      </c>
      <c r="V962" s="418">
        <f t="shared" si="402"/>
        <v>2056.5</v>
      </c>
      <c r="W962" s="418">
        <f t="shared" si="403"/>
        <v>-2056.5</v>
      </c>
      <c r="X962" s="41"/>
      <c r="Y962" s="418">
        <f t="shared" si="406"/>
        <v>468.45</v>
      </c>
      <c r="Z962" s="418">
        <f t="shared" si="407"/>
        <v>-468.45</v>
      </c>
      <c r="AA962" s="11">
        <f t="shared" ref="AA962:AA1025" si="409">SUMIF(_Lights_Tariff_Category,$AE962,_Rates_Lights_ECR)</f>
        <v>1.7</v>
      </c>
      <c r="AB962" s="9">
        <f t="shared" si="387"/>
        <v>76.5</v>
      </c>
      <c r="AC962" s="41"/>
      <c r="AD962" s="427">
        <f>IF(AH962&gt;AH961,AD961,IF(AD961&lt;MiscData!$F$1,EOMONTH(AD961,1),EOMONTH(AD961,-11)))</f>
        <v>42338</v>
      </c>
      <c r="AE962" s="414" t="str">
        <f t="shared" si="404"/>
        <v>20140101KUUM_493</v>
      </c>
      <c r="AF962" s="466" t="str">
        <f t="shared" si="405"/>
        <v>20140101LS</v>
      </c>
      <c r="AG962" s="467"/>
      <c r="AH962" s="41">
        <f>IF(AH961=MiscData!$AB$91,1,AH961+1)</f>
        <v>81</v>
      </c>
      <c r="AI962" s="41">
        <f>IF(AD962&lt;=MiscData!$B$23,MiscData!$C$23,IF(AD962&lt;=MiscData!$B$24,MiscData!$C$24,MiscData!$C$25))</f>
        <v>20140101</v>
      </c>
      <c r="AJ962" s="41"/>
      <c r="AK962" s="468" t="str">
        <f>VLOOKUP(AM962,MiscData!$AB$4:$ACB$113,2,FALSE)</f>
        <v>KUUM_493</v>
      </c>
      <c r="AL962" s="468" t="str">
        <f>VLOOKUP(AM962,MiscData!$AB$4:$AE$115,4,FALSE)</f>
        <v>LS</v>
      </c>
      <c r="AM962" s="469">
        <f>IF(AM961=MiscData!$AB$91,1,AM961+1)</f>
        <v>81</v>
      </c>
    </row>
    <row r="963" spans="1:39">
      <c r="A963" s="413">
        <f t="shared" si="408"/>
        <v>962</v>
      </c>
      <c r="B963" s="427" t="str">
        <f t="shared" si="390"/>
        <v>Nov 2015</v>
      </c>
      <c r="C963" s="428" t="str">
        <f t="shared" si="391"/>
        <v>LS</v>
      </c>
      <c r="D963" s="428" t="str">
        <f t="shared" si="392"/>
        <v>KUUM_494</v>
      </c>
      <c r="E963" s="425">
        <f t="shared" si="393"/>
        <v>191</v>
      </c>
      <c r="F963" s="429"/>
      <c r="G963" s="425">
        <f t="shared" si="389"/>
        <v>0</v>
      </c>
      <c r="H963" s="425">
        <v>0</v>
      </c>
      <c r="I963" s="415">
        <f t="shared" si="394"/>
        <v>28.37</v>
      </c>
      <c r="J963" s="415">
        <f t="shared" si="395"/>
        <v>1.9699999999999989</v>
      </c>
      <c r="K963" s="416">
        <f t="shared" ref="K963:K1026" si="410">ROUND(($E963+$F963)*$I963,2)</f>
        <v>5418.67</v>
      </c>
      <c r="L963" s="180"/>
      <c r="M963" s="430"/>
      <c r="N963" s="186">
        <f t="shared" si="388"/>
        <v>5418.67</v>
      </c>
      <c r="O963" s="431">
        <f t="shared" si="396"/>
        <v>0</v>
      </c>
      <c r="P963" s="417">
        <f t="shared" ref="P963:P1026" si="411">IF(AND(N963=0,O963=0),1,IF(N963=0,0,ROUND(O963/N963,6)))</f>
        <v>0</v>
      </c>
      <c r="Q963" s="186">
        <f t="shared" si="397"/>
        <v>0</v>
      </c>
      <c r="R963" s="186">
        <f t="shared" si="398"/>
        <v>0</v>
      </c>
      <c r="S963" s="186">
        <f t="shared" si="399"/>
        <v>0</v>
      </c>
      <c r="T963" s="186">
        <f t="shared" si="400"/>
        <v>0</v>
      </c>
      <c r="U963" s="186">
        <f t="shared" si="401"/>
        <v>0</v>
      </c>
      <c r="V963" s="418">
        <f t="shared" si="402"/>
        <v>5418.67</v>
      </c>
      <c r="W963" s="418">
        <f t="shared" si="403"/>
        <v>-5418.67</v>
      </c>
      <c r="X963" s="41"/>
      <c r="Y963" s="418">
        <f t="shared" si="406"/>
        <v>376.27</v>
      </c>
      <c r="Z963" s="418">
        <f t="shared" si="407"/>
        <v>-376.27</v>
      </c>
      <c r="AA963" s="11">
        <f t="shared" si="409"/>
        <v>0.66</v>
      </c>
      <c r="AB963" s="9">
        <f t="shared" ref="AB963:AB1026" si="412">E963*AA963</f>
        <v>126.06</v>
      </c>
      <c r="AC963" s="41"/>
      <c r="AD963" s="427">
        <f>IF(AH963&gt;AH962,AD962,IF(AD962&lt;MiscData!$F$1,EOMONTH(AD962,1),EOMONTH(AD962,-11)))</f>
        <v>42338</v>
      </c>
      <c r="AE963" s="414" t="str">
        <f t="shared" si="404"/>
        <v>20140101KUUM_494</v>
      </c>
      <c r="AF963" s="466" t="str">
        <f t="shared" si="405"/>
        <v>20140101LS</v>
      </c>
      <c r="AG963" s="467"/>
      <c r="AH963" s="41">
        <f>IF(AH962=MiscData!$AB$91,1,AH962+1)</f>
        <v>82</v>
      </c>
      <c r="AI963" s="41">
        <f>IF(AD963&lt;=MiscData!$B$23,MiscData!$C$23,IF(AD963&lt;=MiscData!$B$24,MiscData!$C$24,MiscData!$C$25))</f>
        <v>20140101</v>
      </c>
      <c r="AJ963" s="41"/>
      <c r="AK963" s="468" t="str">
        <f>VLOOKUP(AM963,MiscData!$AB$4:$ACB$113,2,FALSE)</f>
        <v>KUUM_494</v>
      </c>
      <c r="AL963" s="468" t="str">
        <f>VLOOKUP(AM963,MiscData!$AB$4:$AE$115,4,FALSE)</f>
        <v>LS</v>
      </c>
      <c r="AM963" s="469">
        <f>IF(AM962=MiscData!$AB$91,1,AM962+1)</f>
        <v>82</v>
      </c>
    </row>
    <row r="964" spans="1:39">
      <c r="A964" s="413">
        <f t="shared" si="408"/>
        <v>963</v>
      </c>
      <c r="B964" s="427" t="str">
        <f t="shared" si="390"/>
        <v>Nov 2015</v>
      </c>
      <c r="C964" s="428" t="str">
        <f t="shared" si="391"/>
        <v>LS</v>
      </c>
      <c r="D964" s="428" t="str">
        <f t="shared" si="392"/>
        <v>KUUM_495</v>
      </c>
      <c r="E964" s="425">
        <f t="shared" si="393"/>
        <v>593</v>
      </c>
      <c r="F964" s="429"/>
      <c r="G964" s="425">
        <f t="shared" si="389"/>
        <v>0</v>
      </c>
      <c r="H964" s="425">
        <v>0</v>
      </c>
      <c r="I964" s="415">
        <f t="shared" si="394"/>
        <v>34.830000000000005</v>
      </c>
      <c r="J964" s="415">
        <f t="shared" si="395"/>
        <v>4.2899999999999991</v>
      </c>
      <c r="K964" s="416">
        <f t="shared" si="410"/>
        <v>20654.189999999999</v>
      </c>
      <c r="L964" s="180"/>
      <c r="M964" s="430"/>
      <c r="N964" s="186">
        <f t="shared" si="388"/>
        <v>20654.189999999999</v>
      </c>
      <c r="O964" s="431">
        <f t="shared" si="396"/>
        <v>0</v>
      </c>
      <c r="P964" s="417">
        <f t="shared" si="411"/>
        <v>0</v>
      </c>
      <c r="Q964" s="186">
        <f t="shared" si="397"/>
        <v>0</v>
      </c>
      <c r="R964" s="186">
        <f t="shared" si="398"/>
        <v>0</v>
      </c>
      <c r="S964" s="186">
        <f t="shared" si="399"/>
        <v>0</v>
      </c>
      <c r="T964" s="186">
        <f t="shared" si="400"/>
        <v>0</v>
      </c>
      <c r="U964" s="186">
        <f t="shared" si="401"/>
        <v>0</v>
      </c>
      <c r="V964" s="418">
        <f t="shared" si="402"/>
        <v>20654.189999999999</v>
      </c>
      <c r="W964" s="418">
        <f t="shared" si="403"/>
        <v>-20654.189999999999</v>
      </c>
      <c r="X964" s="41"/>
      <c r="Y964" s="418">
        <f t="shared" si="406"/>
        <v>2543.9699999999998</v>
      </c>
      <c r="Z964" s="418">
        <f t="shared" si="407"/>
        <v>-2543.9699999999998</v>
      </c>
      <c r="AA964" s="11">
        <f t="shared" si="409"/>
        <v>0.84</v>
      </c>
      <c r="AB964" s="9">
        <f t="shared" si="412"/>
        <v>498.12</v>
      </c>
      <c r="AC964" s="41"/>
      <c r="AD964" s="427">
        <f>IF(AH964&gt;AH963,AD963,IF(AD963&lt;MiscData!$F$1,EOMONTH(AD963,1),EOMONTH(AD963,-11)))</f>
        <v>42338</v>
      </c>
      <c r="AE964" s="414" t="str">
        <f t="shared" si="404"/>
        <v>20140101KUUM_495</v>
      </c>
      <c r="AF964" s="466" t="str">
        <f t="shared" si="405"/>
        <v>20140101LS</v>
      </c>
      <c r="AG964" s="467"/>
      <c r="AH964" s="41">
        <f>IF(AH963=MiscData!$AB$91,1,AH963+1)</f>
        <v>83</v>
      </c>
      <c r="AI964" s="41">
        <f>IF(AD964&lt;=MiscData!$B$23,MiscData!$C$23,IF(AD964&lt;=MiscData!$B$24,MiscData!$C$24,MiscData!$C$25))</f>
        <v>20140101</v>
      </c>
      <c r="AJ964" s="41"/>
      <c r="AK964" s="468" t="str">
        <f>VLOOKUP(AM964,MiscData!$AB$4:$ACB$113,2,FALSE)</f>
        <v>KUUM_495</v>
      </c>
      <c r="AL964" s="468" t="str">
        <f>VLOOKUP(AM964,MiscData!$AB$4:$AE$115,4,FALSE)</f>
        <v>LS</v>
      </c>
      <c r="AM964" s="469">
        <f>IF(AM963=MiscData!$AB$91,1,AM963+1)</f>
        <v>83</v>
      </c>
    </row>
    <row r="965" spans="1:39">
      <c r="A965" s="413">
        <f t="shared" si="408"/>
        <v>964</v>
      </c>
      <c r="B965" s="427" t="str">
        <f t="shared" si="390"/>
        <v>Nov 2015</v>
      </c>
      <c r="C965" s="428" t="str">
        <f t="shared" si="391"/>
        <v>LS</v>
      </c>
      <c r="D965" s="428" t="str">
        <f t="shared" si="392"/>
        <v>KUUM_496</v>
      </c>
      <c r="E965" s="425">
        <f t="shared" si="393"/>
        <v>159</v>
      </c>
      <c r="F965" s="429"/>
      <c r="G965" s="425">
        <f t="shared" si="389"/>
        <v>0</v>
      </c>
      <c r="H965" s="425">
        <v>0</v>
      </c>
      <c r="I965" s="415">
        <f t="shared" si="394"/>
        <v>58.59</v>
      </c>
      <c r="J965" s="415">
        <f t="shared" si="395"/>
        <v>10.409999999999997</v>
      </c>
      <c r="K965" s="416">
        <f t="shared" si="410"/>
        <v>9315.81</v>
      </c>
      <c r="L965" s="180"/>
      <c r="M965" s="430"/>
      <c r="N965" s="186">
        <f t="shared" si="388"/>
        <v>9315.81</v>
      </c>
      <c r="O965" s="431">
        <f t="shared" si="396"/>
        <v>0</v>
      </c>
      <c r="P965" s="417">
        <f t="shared" si="411"/>
        <v>0</v>
      </c>
      <c r="Q965" s="186">
        <f t="shared" si="397"/>
        <v>0</v>
      </c>
      <c r="R965" s="186">
        <f t="shared" si="398"/>
        <v>0</v>
      </c>
      <c r="S965" s="186">
        <f t="shared" si="399"/>
        <v>0</v>
      </c>
      <c r="T965" s="186">
        <f t="shared" si="400"/>
        <v>0</v>
      </c>
      <c r="U965" s="186">
        <f t="shared" si="401"/>
        <v>0</v>
      </c>
      <c r="V965" s="418">
        <f t="shared" si="402"/>
        <v>9315.81</v>
      </c>
      <c r="W965" s="418">
        <f t="shared" si="403"/>
        <v>-9315.81</v>
      </c>
      <c r="X965" s="41"/>
      <c r="Y965" s="418">
        <f t="shared" si="406"/>
        <v>1655.19</v>
      </c>
      <c r="Z965" s="418">
        <f t="shared" si="407"/>
        <v>-1655.19</v>
      </c>
      <c r="AA965" s="11">
        <f t="shared" si="409"/>
        <v>1.7</v>
      </c>
      <c r="AB965" s="9">
        <f t="shared" si="412"/>
        <v>270.3</v>
      </c>
      <c r="AC965" s="41"/>
      <c r="AD965" s="427">
        <f>IF(AH965&gt;AH964,AD964,IF(AD964&lt;MiscData!$F$1,EOMONTH(AD964,1),EOMONTH(AD964,-11)))</f>
        <v>42338</v>
      </c>
      <c r="AE965" s="414" t="str">
        <f t="shared" si="404"/>
        <v>20140101KUUM_496</v>
      </c>
      <c r="AF965" s="466" t="str">
        <f t="shared" si="405"/>
        <v>20140101LS</v>
      </c>
      <c r="AG965" s="467"/>
      <c r="AH965" s="41">
        <f>IF(AH964=MiscData!$AB$91,1,AH964+1)</f>
        <v>84</v>
      </c>
      <c r="AI965" s="41">
        <f>IF(AD965&lt;=MiscData!$B$23,MiscData!$C$23,IF(AD965&lt;=MiscData!$B$24,MiscData!$C$24,MiscData!$C$25))</f>
        <v>20140101</v>
      </c>
      <c r="AJ965" s="41"/>
      <c r="AK965" s="468" t="str">
        <f>VLOOKUP(AM965,MiscData!$AB$4:$ACB$113,2,FALSE)</f>
        <v>KUUM_496</v>
      </c>
      <c r="AL965" s="468" t="str">
        <f>VLOOKUP(AM965,MiscData!$AB$4:$AE$115,4,FALSE)</f>
        <v>LS</v>
      </c>
      <c r="AM965" s="469">
        <f>IF(AM964=MiscData!$AB$91,1,AM964+1)</f>
        <v>84</v>
      </c>
    </row>
    <row r="966" spans="1:39">
      <c r="A966" s="413">
        <f t="shared" si="408"/>
        <v>965</v>
      </c>
      <c r="B966" s="427" t="str">
        <f t="shared" si="390"/>
        <v>Nov 2015</v>
      </c>
      <c r="C966" s="428" t="str">
        <f t="shared" si="391"/>
        <v>LS</v>
      </c>
      <c r="D966" s="428" t="str">
        <f t="shared" si="392"/>
        <v>KUUM_497</v>
      </c>
      <c r="E966" s="425">
        <f t="shared" si="393"/>
        <v>8</v>
      </c>
      <c r="F966" s="429"/>
      <c r="G966" s="425">
        <f t="shared" si="389"/>
        <v>0</v>
      </c>
      <c r="H966" s="425">
        <v>0</v>
      </c>
      <c r="I966" s="415">
        <f t="shared" si="394"/>
        <v>15.35</v>
      </c>
      <c r="J966" s="415">
        <f t="shared" si="395"/>
        <v>1.1300000000000008</v>
      </c>
      <c r="K966" s="416">
        <f t="shared" si="410"/>
        <v>122.8</v>
      </c>
      <c r="L966" s="180"/>
      <c r="M966" s="430"/>
      <c r="N966" s="186">
        <f t="shared" si="388"/>
        <v>122.8</v>
      </c>
      <c r="O966" s="431">
        <f t="shared" si="396"/>
        <v>0</v>
      </c>
      <c r="P966" s="417">
        <f t="shared" si="411"/>
        <v>0</v>
      </c>
      <c r="Q966" s="186">
        <f t="shared" si="397"/>
        <v>0</v>
      </c>
      <c r="R966" s="186">
        <f t="shared" si="398"/>
        <v>0</v>
      </c>
      <c r="S966" s="186">
        <f t="shared" si="399"/>
        <v>0</v>
      </c>
      <c r="T966" s="186">
        <f t="shared" si="400"/>
        <v>0</v>
      </c>
      <c r="U966" s="186">
        <f t="shared" si="401"/>
        <v>0</v>
      </c>
      <c r="V966" s="418">
        <f t="shared" si="402"/>
        <v>122.8</v>
      </c>
      <c r="W966" s="418">
        <f t="shared" si="403"/>
        <v>-122.8</v>
      </c>
      <c r="X966" s="41"/>
      <c r="Y966" s="418">
        <f t="shared" si="406"/>
        <v>9.0399999999999991</v>
      </c>
      <c r="Z966" s="418">
        <f t="shared" si="407"/>
        <v>-9.0399999999999991</v>
      </c>
      <c r="AA966" s="11">
        <f t="shared" si="409"/>
        <v>0.34</v>
      </c>
      <c r="AB966" s="9">
        <f t="shared" si="412"/>
        <v>2.72</v>
      </c>
      <c r="AC966" s="41"/>
      <c r="AD966" s="427">
        <f>IF(AH966&gt;AH965,AD965,IF(AD965&lt;MiscData!$F$1,EOMONTH(AD965,1),EOMONTH(AD965,-11)))</f>
        <v>42338</v>
      </c>
      <c r="AE966" s="414" t="str">
        <f t="shared" si="404"/>
        <v>20140101KUUM_497</v>
      </c>
      <c r="AF966" s="466" t="str">
        <f t="shared" si="405"/>
        <v>20140101LS</v>
      </c>
      <c r="AG966" s="467"/>
      <c r="AH966" s="41">
        <f>IF(AH965=MiscData!$AB$91,1,AH965+1)</f>
        <v>85</v>
      </c>
      <c r="AI966" s="41">
        <f>IF(AD966&lt;=MiscData!$B$23,MiscData!$C$23,IF(AD966&lt;=MiscData!$B$24,MiscData!$C$24,MiscData!$C$25))</f>
        <v>20140101</v>
      </c>
      <c r="AJ966" s="41"/>
      <c r="AK966" s="468" t="str">
        <f>VLOOKUP(AM966,MiscData!$AB$4:$ACB$113,2,FALSE)</f>
        <v>KUUM_497</v>
      </c>
      <c r="AL966" s="468" t="str">
        <f>VLOOKUP(AM966,MiscData!$AB$4:$AE$115,4,FALSE)</f>
        <v>LS</v>
      </c>
      <c r="AM966" s="469">
        <f>IF(AM965=MiscData!$AB$91,1,AM965+1)</f>
        <v>85</v>
      </c>
    </row>
    <row r="967" spans="1:39">
      <c r="A967" s="413">
        <f t="shared" si="408"/>
        <v>966</v>
      </c>
      <c r="B967" s="427" t="str">
        <f t="shared" si="390"/>
        <v>Nov 2015</v>
      </c>
      <c r="C967" s="428" t="str">
        <f t="shared" si="391"/>
        <v>LS</v>
      </c>
      <c r="D967" s="428" t="str">
        <f t="shared" si="392"/>
        <v>KUUM_498</v>
      </c>
      <c r="E967" s="425">
        <f t="shared" si="393"/>
        <v>20</v>
      </c>
      <c r="F967" s="429"/>
      <c r="G967" s="425">
        <f t="shared" si="389"/>
        <v>0</v>
      </c>
      <c r="H967" s="425">
        <v>0</v>
      </c>
      <c r="I967" s="415">
        <f t="shared" si="394"/>
        <v>17.72</v>
      </c>
      <c r="J967" s="415">
        <f t="shared" si="395"/>
        <v>2.33</v>
      </c>
      <c r="K967" s="416">
        <f t="shared" si="410"/>
        <v>354.4</v>
      </c>
      <c r="L967" s="180"/>
      <c r="M967" s="430"/>
      <c r="N967" s="186">
        <f t="shared" si="388"/>
        <v>354.4</v>
      </c>
      <c r="O967" s="431">
        <f t="shared" si="396"/>
        <v>0</v>
      </c>
      <c r="P967" s="417">
        <f t="shared" si="411"/>
        <v>0</v>
      </c>
      <c r="Q967" s="186">
        <f t="shared" si="397"/>
        <v>0</v>
      </c>
      <c r="R967" s="186">
        <f t="shared" si="398"/>
        <v>0</v>
      </c>
      <c r="S967" s="186">
        <f t="shared" si="399"/>
        <v>0</v>
      </c>
      <c r="T967" s="186">
        <f t="shared" si="400"/>
        <v>0</v>
      </c>
      <c r="U967" s="186">
        <f t="shared" si="401"/>
        <v>0</v>
      </c>
      <c r="V967" s="418">
        <f t="shared" si="402"/>
        <v>354.4</v>
      </c>
      <c r="W967" s="418">
        <f t="shared" si="403"/>
        <v>-354.4</v>
      </c>
      <c r="X967" s="41"/>
      <c r="Y967" s="418">
        <f t="shared" si="406"/>
        <v>46.6</v>
      </c>
      <c r="Z967" s="418">
        <f t="shared" si="407"/>
        <v>-46.6</v>
      </c>
      <c r="AA967" s="11">
        <f t="shared" si="409"/>
        <v>0.57999999999999996</v>
      </c>
      <c r="AB967" s="9">
        <f t="shared" si="412"/>
        <v>11.6</v>
      </c>
      <c r="AC967" s="41"/>
      <c r="AD967" s="427">
        <f>IF(AH967&gt;AH966,AD966,IF(AD966&lt;MiscData!$F$1,EOMONTH(AD966,1),EOMONTH(AD966,-11)))</f>
        <v>42338</v>
      </c>
      <c r="AE967" s="414" t="str">
        <f t="shared" si="404"/>
        <v>20140101KUUM_498</v>
      </c>
      <c r="AF967" s="466" t="str">
        <f t="shared" si="405"/>
        <v>20140101LS</v>
      </c>
      <c r="AG967" s="467"/>
      <c r="AH967" s="41">
        <f>IF(AH966=MiscData!$AB$91,1,AH966+1)</f>
        <v>86</v>
      </c>
      <c r="AI967" s="41">
        <f>IF(AD967&lt;=MiscData!$B$23,MiscData!$C$23,IF(AD967&lt;=MiscData!$B$24,MiscData!$C$24,MiscData!$C$25))</f>
        <v>20140101</v>
      </c>
      <c r="AJ967" s="41"/>
      <c r="AK967" s="468" t="str">
        <f>VLOOKUP(AM967,MiscData!$AB$4:$ACB$113,2,FALSE)</f>
        <v>KUUM_498</v>
      </c>
      <c r="AL967" s="468" t="str">
        <f>VLOOKUP(AM967,MiscData!$AB$4:$AE$115,4,FALSE)</f>
        <v>LS</v>
      </c>
      <c r="AM967" s="469">
        <f>IF(AM966=MiscData!$AB$91,1,AM966+1)</f>
        <v>86</v>
      </c>
    </row>
    <row r="968" spans="1:39">
      <c r="A968" s="413">
        <f t="shared" si="408"/>
        <v>967</v>
      </c>
      <c r="B968" s="427" t="str">
        <f t="shared" si="390"/>
        <v>Nov 2015</v>
      </c>
      <c r="C968" s="428" t="str">
        <f t="shared" si="391"/>
        <v>LS</v>
      </c>
      <c r="D968" s="428" t="str">
        <f t="shared" si="392"/>
        <v>KUUM_499</v>
      </c>
      <c r="E968" s="425">
        <f t="shared" si="393"/>
        <v>23</v>
      </c>
      <c r="F968" s="429"/>
      <c r="G968" s="425">
        <f t="shared" si="389"/>
        <v>0</v>
      </c>
      <c r="H968" s="425">
        <v>0</v>
      </c>
      <c r="I968" s="415">
        <f t="shared" si="394"/>
        <v>21.490000000000002</v>
      </c>
      <c r="J968" s="415">
        <f t="shared" si="395"/>
        <v>4.5300000000000011</v>
      </c>
      <c r="K968" s="416">
        <f t="shared" si="410"/>
        <v>494.27</v>
      </c>
      <c r="L968" s="180"/>
      <c r="M968" s="430"/>
      <c r="N968" s="186">
        <f t="shared" si="388"/>
        <v>494.27</v>
      </c>
      <c r="O968" s="431">
        <f t="shared" si="396"/>
        <v>0</v>
      </c>
      <c r="P968" s="417">
        <f t="shared" si="411"/>
        <v>0</v>
      </c>
      <c r="Q968" s="186">
        <f t="shared" si="397"/>
        <v>0</v>
      </c>
      <c r="R968" s="186">
        <f t="shared" si="398"/>
        <v>0</v>
      </c>
      <c r="S968" s="186">
        <f t="shared" si="399"/>
        <v>0</v>
      </c>
      <c r="T968" s="186">
        <f t="shared" si="400"/>
        <v>0</v>
      </c>
      <c r="U968" s="186">
        <f t="shared" si="401"/>
        <v>0</v>
      </c>
      <c r="V968" s="418">
        <f t="shared" si="402"/>
        <v>494.27</v>
      </c>
      <c r="W968" s="418">
        <f t="shared" si="403"/>
        <v>-494.27</v>
      </c>
      <c r="X968" s="41"/>
      <c r="Y968" s="418">
        <f t="shared" si="406"/>
        <v>104.19</v>
      </c>
      <c r="Z968" s="418">
        <f t="shared" si="407"/>
        <v>-104.19</v>
      </c>
      <c r="AA968" s="11">
        <f t="shared" si="409"/>
        <v>0.79</v>
      </c>
      <c r="AB968" s="9">
        <f t="shared" si="412"/>
        <v>18.170000000000002</v>
      </c>
      <c r="AC968" s="41"/>
      <c r="AD968" s="427">
        <f>IF(AH968&gt;AH967,AD967,IF(AD967&lt;MiscData!$F$1,EOMONTH(AD967,1),EOMONTH(AD967,-11)))</f>
        <v>42338</v>
      </c>
      <c r="AE968" s="414" t="str">
        <f t="shared" si="404"/>
        <v>20140101KUUM_499</v>
      </c>
      <c r="AF968" s="466" t="str">
        <f t="shared" si="405"/>
        <v>20140101LS</v>
      </c>
      <c r="AG968" s="467"/>
      <c r="AH968" s="41">
        <f>IF(AH967=MiscData!$AB$91,1,AH967+1)</f>
        <v>87</v>
      </c>
      <c r="AI968" s="41">
        <f>IF(AD968&lt;=MiscData!$B$23,MiscData!$C$23,IF(AD968&lt;=MiscData!$B$24,MiscData!$C$24,MiscData!$C$25))</f>
        <v>20140101</v>
      </c>
      <c r="AJ968" s="41"/>
      <c r="AK968" s="468" t="str">
        <f>VLOOKUP(AM968,MiscData!$AB$4:$ACB$113,2,FALSE)</f>
        <v>KUUM_499</v>
      </c>
      <c r="AL968" s="468" t="str">
        <f>VLOOKUP(AM968,MiscData!$AB$4:$AE$115,4,FALSE)</f>
        <v>LS</v>
      </c>
      <c r="AM968" s="469">
        <f>IF(AM967=MiscData!$AB$91,1,AM967+1)</f>
        <v>87</v>
      </c>
    </row>
    <row r="969" spans="1:39">
      <c r="A969" s="413">
        <f t="shared" si="408"/>
        <v>968</v>
      </c>
      <c r="B969" s="427" t="str">
        <f t="shared" si="390"/>
        <v>Nov 2015</v>
      </c>
      <c r="C969" s="428" t="str">
        <f t="shared" si="391"/>
        <v>ODL</v>
      </c>
      <c r="D969" s="428" t="str">
        <f t="shared" si="392"/>
        <v>ODL</v>
      </c>
      <c r="E969" s="425">
        <f t="shared" si="393"/>
        <v>0</v>
      </c>
      <c r="F969" s="429"/>
      <c r="G969" s="425">
        <f t="shared" si="389"/>
        <v>10615610</v>
      </c>
      <c r="H969" s="425">
        <v>0</v>
      </c>
      <c r="I969" s="415">
        <f t="shared" si="394"/>
        <v>0</v>
      </c>
      <c r="J969" s="415">
        <f t="shared" si="395"/>
        <v>0</v>
      </c>
      <c r="K969" s="416">
        <f t="shared" si="410"/>
        <v>0</v>
      </c>
      <c r="L969" s="180"/>
      <c r="M969" s="430"/>
      <c r="N969" s="186">
        <f t="shared" si="388"/>
        <v>0</v>
      </c>
      <c r="O969" s="431">
        <f t="shared" si="396"/>
        <v>2027330</v>
      </c>
      <c r="P969" s="417">
        <f t="shared" si="411"/>
        <v>0</v>
      </c>
      <c r="Q969" s="186">
        <f t="shared" si="397"/>
        <v>34427</v>
      </c>
      <c r="R969" s="186">
        <f t="shared" si="398"/>
        <v>0</v>
      </c>
      <c r="S969" s="186">
        <f t="shared" si="399"/>
        <v>64181</v>
      </c>
      <c r="T969" s="186">
        <f t="shared" si="400"/>
        <v>0</v>
      </c>
      <c r="U969" s="186">
        <f t="shared" si="401"/>
        <v>2125938</v>
      </c>
      <c r="V969" s="418">
        <f t="shared" si="402"/>
        <v>98608</v>
      </c>
      <c r="W969" s="418">
        <f t="shared" si="403"/>
        <v>2027330</v>
      </c>
      <c r="X969" s="41"/>
      <c r="Y969" s="418">
        <f t="shared" si="406"/>
        <v>0</v>
      </c>
      <c r="Z969" s="418">
        <f t="shared" si="407"/>
        <v>2027330</v>
      </c>
      <c r="AA969" s="11">
        <f t="shared" si="409"/>
        <v>0</v>
      </c>
      <c r="AB969" s="9">
        <f t="shared" si="412"/>
        <v>0</v>
      </c>
      <c r="AC969" s="41"/>
      <c r="AD969" s="427">
        <f>IF(AH969&gt;AH968,AD968,IF(AD968&lt;MiscData!$F$1,EOMONTH(AD968,1),EOMONTH(AD968,-11)))</f>
        <v>42338</v>
      </c>
      <c r="AE969" s="414" t="str">
        <f t="shared" si="404"/>
        <v>20140101ODL</v>
      </c>
      <c r="AF969" s="466" t="str">
        <f t="shared" si="405"/>
        <v>20140101ODL</v>
      </c>
      <c r="AG969" s="467"/>
      <c r="AH969" s="41">
        <f>IF(AH968=MiscData!$AB$91,1,AH968+1)</f>
        <v>88</v>
      </c>
      <c r="AI969" s="41">
        <f>IF(AD969&lt;=MiscData!$B$23,MiscData!$C$23,IF(AD969&lt;=MiscData!$B$24,MiscData!$C$24,MiscData!$C$25))</f>
        <v>20140101</v>
      </c>
      <c r="AJ969" s="41"/>
      <c r="AK969" s="468" t="str">
        <f>VLOOKUP(AM969,MiscData!$AB$4:$ACB$113,2,FALSE)</f>
        <v>ODL</v>
      </c>
      <c r="AL969" s="468" t="str">
        <f>VLOOKUP(AM969,MiscData!$AB$4:$AE$115,4,FALSE)</f>
        <v>ODL</v>
      </c>
      <c r="AM969" s="469">
        <f>IF(AM968=MiscData!$AB$91,1,AM968+1)</f>
        <v>88</v>
      </c>
    </row>
    <row r="970" spans="1:39">
      <c r="A970" s="7">
        <f t="shared" si="408"/>
        <v>969</v>
      </c>
      <c r="B970" s="13" t="str">
        <f t="shared" si="390"/>
        <v>Dec 2015</v>
      </c>
      <c r="C970" s="23" t="str">
        <f t="shared" si="391"/>
        <v>LS</v>
      </c>
      <c r="D970" s="23" t="str">
        <f t="shared" si="392"/>
        <v>KUUM_300</v>
      </c>
      <c r="E970" s="170">
        <f t="shared" si="393"/>
        <v>0</v>
      </c>
      <c r="F970" s="185"/>
      <c r="G970" s="170">
        <f t="shared" si="389"/>
        <v>0</v>
      </c>
      <c r="H970" s="170">
        <v>0</v>
      </c>
      <c r="I970" s="11">
        <f t="shared" si="394"/>
        <v>22.49</v>
      </c>
      <c r="J970" s="11">
        <f t="shared" si="395"/>
        <v>0.58000000000000185</v>
      </c>
      <c r="K970" s="416">
        <f t="shared" si="410"/>
        <v>0</v>
      </c>
      <c r="L970" s="180"/>
      <c r="M970" s="180"/>
      <c r="N970" s="186">
        <f t="shared" si="388"/>
        <v>0</v>
      </c>
      <c r="O970" s="29">
        <f t="shared" si="396"/>
        <v>0</v>
      </c>
      <c r="P970" s="181">
        <f t="shared" si="411"/>
        <v>1</v>
      </c>
      <c r="Q970" s="182">
        <f t="shared" si="397"/>
        <v>0</v>
      </c>
      <c r="R970" s="182">
        <f t="shared" si="398"/>
        <v>0</v>
      </c>
      <c r="S970" s="182">
        <f t="shared" si="399"/>
        <v>0</v>
      </c>
      <c r="T970" s="182">
        <f t="shared" si="400"/>
        <v>0</v>
      </c>
      <c r="U970" s="182">
        <f t="shared" si="401"/>
        <v>0</v>
      </c>
      <c r="V970" s="14">
        <f t="shared" si="402"/>
        <v>0</v>
      </c>
      <c r="W970" s="14">
        <f t="shared" si="403"/>
        <v>0</v>
      </c>
      <c r="Y970" s="14">
        <f t="shared" si="406"/>
        <v>0</v>
      </c>
      <c r="Z970" s="14">
        <f t="shared" si="407"/>
        <v>0</v>
      </c>
      <c r="AA970" s="11">
        <f t="shared" si="409"/>
        <v>0.33</v>
      </c>
      <c r="AB970" s="9">
        <f t="shared" si="412"/>
        <v>0</v>
      </c>
      <c r="AD970" s="13">
        <f>IF(AH970&gt;AH969,AD969,IF(AD969&lt;MiscData!$F$1,EOMONTH(AD969,1),EOMONTH(AD969,-11)))</f>
        <v>42369</v>
      </c>
      <c r="AE970" s="7" t="str">
        <f t="shared" si="404"/>
        <v>20140101KUUM_300</v>
      </c>
      <c r="AF970" s="12" t="str">
        <f t="shared" si="405"/>
        <v>20140101LS</v>
      </c>
      <c r="AG970" s="31"/>
      <c r="AH970">
        <f>IF(AH969=MiscData!$AB$91,1,AH969+1)</f>
        <v>1</v>
      </c>
      <c r="AI970">
        <f>IF(AD970&lt;=MiscData!$B$23,MiscData!$C$23,IF(AD970&lt;=MiscData!$B$24,MiscData!$C$24,MiscData!$C$25))</f>
        <v>20140101</v>
      </c>
      <c r="AK970" s="190" t="str">
        <f>VLOOKUP(AM970,MiscData!$AB$4:$ACB$113,2,FALSE)</f>
        <v>KUUM_300</v>
      </c>
      <c r="AL970" s="190" t="str">
        <f>VLOOKUP(AM970,MiscData!$AB$4:$AE$115,4,FALSE)</f>
        <v>LS</v>
      </c>
      <c r="AM970">
        <f>IF(AM969=MiscData!$AB$91,1,AM969+1)</f>
        <v>1</v>
      </c>
    </row>
    <row r="971" spans="1:39">
      <c r="A971" s="7">
        <f t="shared" si="408"/>
        <v>970</v>
      </c>
      <c r="B971" s="13" t="str">
        <f t="shared" si="390"/>
        <v>Dec 2015</v>
      </c>
      <c r="C971" s="23" t="str">
        <f t="shared" si="391"/>
        <v>LS</v>
      </c>
      <c r="D971" s="23" t="str">
        <f t="shared" si="392"/>
        <v>KUUM_301</v>
      </c>
      <c r="E971" s="170">
        <f t="shared" si="393"/>
        <v>0</v>
      </c>
      <c r="F971" s="185"/>
      <c r="G971" s="170">
        <f t="shared" si="389"/>
        <v>0</v>
      </c>
      <c r="H971" s="170">
        <v>0</v>
      </c>
      <c r="I971" s="11">
        <f t="shared" si="394"/>
        <v>23.5</v>
      </c>
      <c r="J971" s="11">
        <f t="shared" si="395"/>
        <v>1.129999999999999</v>
      </c>
      <c r="K971" s="416">
        <f t="shared" si="410"/>
        <v>0</v>
      </c>
      <c r="L971" s="180"/>
      <c r="M971" s="180"/>
      <c r="N971" s="186">
        <f t="shared" si="388"/>
        <v>0</v>
      </c>
      <c r="O971" s="29">
        <f t="shared" si="396"/>
        <v>0</v>
      </c>
      <c r="P971" s="181">
        <f t="shared" si="411"/>
        <v>1</v>
      </c>
      <c r="Q971" s="182">
        <f t="shared" si="397"/>
        <v>0</v>
      </c>
      <c r="R971" s="182">
        <f t="shared" si="398"/>
        <v>0</v>
      </c>
      <c r="S971" s="182">
        <f t="shared" si="399"/>
        <v>0</v>
      </c>
      <c r="T971" s="182">
        <f t="shared" si="400"/>
        <v>0</v>
      </c>
      <c r="U971" s="182">
        <f t="shared" si="401"/>
        <v>0</v>
      </c>
      <c r="V971" s="14">
        <f t="shared" si="402"/>
        <v>0</v>
      </c>
      <c r="W971" s="14">
        <f t="shared" si="403"/>
        <v>0</v>
      </c>
      <c r="Y971" s="14">
        <f t="shared" si="406"/>
        <v>0</v>
      </c>
      <c r="Z971" s="14">
        <f t="shared" si="407"/>
        <v>0</v>
      </c>
      <c r="AA971" s="11">
        <f t="shared" si="409"/>
        <v>0.34</v>
      </c>
      <c r="AB971" s="9">
        <f t="shared" si="412"/>
        <v>0</v>
      </c>
      <c r="AD971" s="13">
        <f>IF(AH971&gt;AH970,AD970,IF(AD970&lt;MiscData!$F$1,EOMONTH(AD970,1),EOMONTH(AD970,-11)))</f>
        <v>42369</v>
      </c>
      <c r="AE971" s="7" t="str">
        <f t="shared" si="404"/>
        <v>20140101KUUM_301</v>
      </c>
      <c r="AF971" s="12" t="str">
        <f t="shared" si="405"/>
        <v>20140101LS</v>
      </c>
      <c r="AG971" s="31"/>
      <c r="AH971">
        <f>IF(AH970=MiscData!$AB$91,1,AH970+1)</f>
        <v>2</v>
      </c>
      <c r="AI971">
        <f>IF(AD971&lt;=MiscData!$B$23,MiscData!$C$23,IF(AD971&lt;=MiscData!$B$24,MiscData!$C$24,MiscData!$C$25))</f>
        <v>20140101</v>
      </c>
      <c r="AK971" s="190" t="str">
        <f>VLOOKUP(AM971,MiscData!$AB$4:$ACB$113,2,FALSE)</f>
        <v>KUUM_301</v>
      </c>
      <c r="AL971" s="190" t="str">
        <f>VLOOKUP(AM971,MiscData!$AB$4:$AE$115,4,FALSE)</f>
        <v>LS</v>
      </c>
      <c r="AM971">
        <f>IF(AM970=MiscData!$AB$91,1,AM970+1)</f>
        <v>2</v>
      </c>
    </row>
    <row r="972" spans="1:39">
      <c r="A972" s="7">
        <f t="shared" si="408"/>
        <v>971</v>
      </c>
      <c r="B972" s="13" t="str">
        <f t="shared" si="390"/>
        <v>Dec 2015</v>
      </c>
      <c r="C972" s="23" t="str">
        <f t="shared" si="391"/>
        <v>LS</v>
      </c>
      <c r="D972" s="23" t="str">
        <f t="shared" si="392"/>
        <v>KUUM_360</v>
      </c>
      <c r="E972" s="170">
        <f t="shared" si="393"/>
        <v>172</v>
      </c>
      <c r="F972" s="185"/>
      <c r="G972" s="170">
        <f t="shared" si="389"/>
        <v>0</v>
      </c>
      <c r="H972" s="170">
        <v>0</v>
      </c>
      <c r="I972" s="11">
        <f t="shared" si="394"/>
        <v>55.33</v>
      </c>
      <c r="J972" s="11">
        <f t="shared" si="395"/>
        <v>1.75</v>
      </c>
      <c r="K972" s="416">
        <f t="shared" si="410"/>
        <v>9516.76</v>
      </c>
      <c r="L972" s="180"/>
      <c r="M972" s="180"/>
      <c r="N972" s="186">
        <f t="shared" si="388"/>
        <v>9516.76</v>
      </c>
      <c r="O972" s="29">
        <f t="shared" si="396"/>
        <v>0</v>
      </c>
      <c r="P972" s="181">
        <f t="shared" si="411"/>
        <v>0</v>
      </c>
      <c r="Q972" s="182">
        <f t="shared" si="397"/>
        <v>0</v>
      </c>
      <c r="R972" s="182">
        <f t="shared" si="398"/>
        <v>0</v>
      </c>
      <c r="S972" s="182">
        <f t="shared" si="399"/>
        <v>0</v>
      </c>
      <c r="T972" s="182">
        <f t="shared" si="400"/>
        <v>0</v>
      </c>
      <c r="U972" s="182">
        <f t="shared" si="401"/>
        <v>0</v>
      </c>
      <c r="V972" s="14">
        <f t="shared" si="402"/>
        <v>9516.76</v>
      </c>
      <c r="W972" s="14">
        <f t="shared" si="403"/>
        <v>-9516.76</v>
      </c>
      <c r="Y972" s="14">
        <f t="shared" si="406"/>
        <v>301</v>
      </c>
      <c r="Z972" s="14">
        <f t="shared" si="407"/>
        <v>-301</v>
      </c>
      <c r="AA972" s="11">
        <f t="shared" si="409"/>
        <v>2.41</v>
      </c>
      <c r="AB972" s="9">
        <f t="shared" si="412"/>
        <v>414.52000000000004</v>
      </c>
      <c r="AD972" s="13">
        <f>IF(AH972&gt;AH971,AD971,IF(AD971&lt;MiscData!$F$1,EOMONTH(AD971,1),EOMONTH(AD971,-11)))</f>
        <v>42369</v>
      </c>
      <c r="AE972" s="7" t="str">
        <f t="shared" si="404"/>
        <v>20140101KUUM_360</v>
      </c>
      <c r="AF972" s="12" t="str">
        <f t="shared" si="405"/>
        <v>20140101LS</v>
      </c>
      <c r="AG972" s="31"/>
      <c r="AH972">
        <f>IF(AH971=MiscData!$AB$91,1,AH971+1)</f>
        <v>3</v>
      </c>
      <c r="AI972">
        <f>IF(AD972&lt;=MiscData!$B$23,MiscData!$C$23,IF(AD972&lt;=MiscData!$B$24,MiscData!$C$24,MiscData!$C$25))</f>
        <v>20140101</v>
      </c>
      <c r="AK972" s="190" t="str">
        <f>VLOOKUP(AM972,MiscData!$AB$4:$ACB$113,2,FALSE)</f>
        <v>KUUM_360</v>
      </c>
      <c r="AL972" s="190" t="str">
        <f>VLOOKUP(AM972,MiscData!$AB$4:$AE$115,4,FALSE)</f>
        <v>LS</v>
      </c>
      <c r="AM972">
        <f>IF(AM971=MiscData!$AB$91,1,AM971+1)</f>
        <v>3</v>
      </c>
    </row>
    <row r="973" spans="1:39">
      <c r="A973" s="7">
        <f t="shared" si="408"/>
        <v>972</v>
      </c>
      <c r="B973" s="13" t="str">
        <f t="shared" si="390"/>
        <v>Dec 2015</v>
      </c>
      <c r="C973" s="23" t="str">
        <f t="shared" si="391"/>
        <v>LS</v>
      </c>
      <c r="D973" s="23" t="str">
        <f t="shared" si="392"/>
        <v>KUUM_361</v>
      </c>
      <c r="E973" s="170">
        <f t="shared" si="393"/>
        <v>26</v>
      </c>
      <c r="F973" s="185"/>
      <c r="G973" s="170">
        <f t="shared" si="389"/>
        <v>0</v>
      </c>
      <c r="H973" s="170">
        <v>0</v>
      </c>
      <c r="I973" s="11">
        <f t="shared" si="394"/>
        <v>83.16</v>
      </c>
      <c r="J973" s="11">
        <f t="shared" si="395"/>
        <v>1.75</v>
      </c>
      <c r="K973" s="416">
        <f t="shared" si="410"/>
        <v>2162.16</v>
      </c>
      <c r="L973" s="180"/>
      <c r="M973" s="180"/>
      <c r="N973" s="186">
        <f t="shared" si="388"/>
        <v>2162.16</v>
      </c>
      <c r="O973" s="29">
        <f t="shared" si="396"/>
        <v>0</v>
      </c>
      <c r="P973" s="181">
        <f t="shared" si="411"/>
        <v>0</v>
      </c>
      <c r="Q973" s="182">
        <f t="shared" si="397"/>
        <v>0</v>
      </c>
      <c r="R973" s="182">
        <f t="shared" si="398"/>
        <v>0</v>
      </c>
      <c r="S973" s="182">
        <f t="shared" si="399"/>
        <v>0</v>
      </c>
      <c r="T973" s="182">
        <f t="shared" si="400"/>
        <v>0</v>
      </c>
      <c r="U973" s="182">
        <f t="shared" si="401"/>
        <v>0</v>
      </c>
      <c r="V973" s="14">
        <f t="shared" si="402"/>
        <v>2162.16</v>
      </c>
      <c r="W973" s="14">
        <f t="shared" si="403"/>
        <v>-2162.16</v>
      </c>
      <c r="Y973" s="14">
        <f t="shared" si="406"/>
        <v>45.5</v>
      </c>
      <c r="Z973" s="14">
        <f t="shared" si="407"/>
        <v>-45.5</v>
      </c>
      <c r="AA973" s="11">
        <f t="shared" si="409"/>
        <v>2.41</v>
      </c>
      <c r="AB973" s="9">
        <f t="shared" si="412"/>
        <v>62.660000000000004</v>
      </c>
      <c r="AD973" s="13">
        <f>IF(AH973&gt;AH972,AD972,IF(AD972&lt;MiscData!$F$1,EOMONTH(AD972,1),EOMONTH(AD972,-11)))</f>
        <v>42369</v>
      </c>
      <c r="AE973" s="7" t="str">
        <f t="shared" si="404"/>
        <v>20140101KUUM_361</v>
      </c>
      <c r="AF973" s="12" t="str">
        <f t="shared" si="405"/>
        <v>20140101LS</v>
      </c>
      <c r="AG973" s="31"/>
      <c r="AH973">
        <f>IF(AH972=MiscData!$AB$91,1,AH972+1)</f>
        <v>4</v>
      </c>
      <c r="AI973">
        <f>IF(AD973&lt;=MiscData!$B$23,MiscData!$C$23,IF(AD973&lt;=MiscData!$B$24,MiscData!$C$24,MiscData!$C$25))</f>
        <v>20140101</v>
      </c>
      <c r="AK973" s="190" t="str">
        <f>VLOOKUP(AM973,MiscData!$AB$4:$ACB$113,2,FALSE)</f>
        <v>KUUM_361</v>
      </c>
      <c r="AL973" s="190" t="str">
        <f>VLOOKUP(AM973,MiscData!$AB$4:$AE$115,4,FALSE)</f>
        <v>LS</v>
      </c>
      <c r="AM973">
        <f>IF(AM972=MiscData!$AB$91,1,AM972+1)</f>
        <v>4</v>
      </c>
    </row>
    <row r="974" spans="1:39">
      <c r="A974" s="7">
        <f t="shared" si="408"/>
        <v>973</v>
      </c>
      <c r="B974" s="13" t="str">
        <f t="shared" si="390"/>
        <v>Dec 2015</v>
      </c>
      <c r="C974" s="23" t="str">
        <f t="shared" si="391"/>
        <v>LS</v>
      </c>
      <c r="D974" s="23" t="str">
        <f t="shared" si="392"/>
        <v>KUUM_362</v>
      </c>
      <c r="E974" s="170">
        <f t="shared" si="393"/>
        <v>44</v>
      </c>
      <c r="F974" s="185"/>
      <c r="G974" s="170">
        <f t="shared" si="389"/>
        <v>0</v>
      </c>
      <c r="H974" s="170">
        <v>0</v>
      </c>
      <c r="I974" s="11">
        <f t="shared" si="394"/>
        <v>59.78</v>
      </c>
      <c r="J974" s="11">
        <f t="shared" si="395"/>
        <v>1.75</v>
      </c>
      <c r="K974" s="416">
        <f t="shared" si="410"/>
        <v>2630.32</v>
      </c>
      <c r="L974" s="180"/>
      <c r="M974" s="180"/>
      <c r="N974" s="186">
        <f t="shared" si="388"/>
        <v>2630.32</v>
      </c>
      <c r="O974" s="29">
        <f t="shared" si="396"/>
        <v>0</v>
      </c>
      <c r="P974" s="181">
        <f t="shared" si="411"/>
        <v>0</v>
      </c>
      <c r="Q974" s="182">
        <f t="shared" si="397"/>
        <v>0</v>
      </c>
      <c r="R974" s="182">
        <f t="shared" si="398"/>
        <v>0</v>
      </c>
      <c r="S974" s="182">
        <f t="shared" si="399"/>
        <v>0</v>
      </c>
      <c r="T974" s="182">
        <f t="shared" si="400"/>
        <v>0</v>
      </c>
      <c r="U974" s="182">
        <f t="shared" si="401"/>
        <v>0</v>
      </c>
      <c r="V974" s="14">
        <f t="shared" si="402"/>
        <v>2630.32</v>
      </c>
      <c r="W974" s="14">
        <f t="shared" si="403"/>
        <v>-2630.32</v>
      </c>
      <c r="Y974" s="14">
        <f t="shared" si="406"/>
        <v>77</v>
      </c>
      <c r="Z974" s="14">
        <f t="shared" si="407"/>
        <v>-77</v>
      </c>
      <c r="AA974" s="11">
        <f t="shared" si="409"/>
        <v>2.41</v>
      </c>
      <c r="AB974" s="9">
        <f t="shared" si="412"/>
        <v>106.04</v>
      </c>
      <c r="AD974" s="13">
        <f>IF(AH974&gt;AH973,AD973,IF(AD973&lt;MiscData!$F$1,EOMONTH(AD973,1),EOMONTH(AD973,-11)))</f>
        <v>42369</v>
      </c>
      <c r="AE974" s="7" t="str">
        <f t="shared" si="404"/>
        <v>20140101KUUM_362</v>
      </c>
      <c r="AF974" s="12" t="str">
        <f t="shared" si="405"/>
        <v>20140101LS</v>
      </c>
      <c r="AG974" s="31"/>
      <c r="AH974">
        <f>IF(AH973=MiscData!$AB$91,1,AH973+1)</f>
        <v>5</v>
      </c>
      <c r="AI974">
        <f>IF(AD974&lt;=MiscData!$B$23,MiscData!$C$23,IF(AD974&lt;=MiscData!$B$24,MiscData!$C$24,MiscData!$C$25))</f>
        <v>20140101</v>
      </c>
      <c r="AK974" s="190" t="str">
        <f>VLOOKUP(AM974,MiscData!$AB$4:$ACB$113,2,FALSE)</f>
        <v>KUUM_362</v>
      </c>
      <c r="AL974" s="190" t="str">
        <f>VLOOKUP(AM974,MiscData!$AB$4:$AE$115,4,FALSE)</f>
        <v>LS</v>
      </c>
      <c r="AM974">
        <f>IF(AM973=MiscData!$AB$91,1,AM973+1)</f>
        <v>5</v>
      </c>
    </row>
    <row r="975" spans="1:39">
      <c r="A975" s="7">
        <f t="shared" si="408"/>
        <v>974</v>
      </c>
      <c r="B975" s="13" t="str">
        <f t="shared" si="390"/>
        <v>Dec 2015</v>
      </c>
      <c r="C975" s="23" t="str">
        <f t="shared" si="391"/>
        <v>LS</v>
      </c>
      <c r="D975" s="23" t="str">
        <f t="shared" si="392"/>
        <v>KUUM_363</v>
      </c>
      <c r="E975" s="170">
        <f t="shared" si="393"/>
        <v>5</v>
      </c>
      <c r="F975" s="185"/>
      <c r="G975" s="170">
        <f t="shared" si="389"/>
        <v>0</v>
      </c>
      <c r="H975" s="170">
        <v>0</v>
      </c>
      <c r="I975" s="11">
        <f t="shared" si="394"/>
        <v>61.75</v>
      </c>
      <c r="J975" s="11">
        <f t="shared" si="395"/>
        <v>1.75</v>
      </c>
      <c r="K975" s="416">
        <f t="shared" si="410"/>
        <v>308.75</v>
      </c>
      <c r="L975" s="180"/>
      <c r="M975" s="180"/>
      <c r="N975" s="186">
        <f t="shared" si="388"/>
        <v>308.75</v>
      </c>
      <c r="O975" s="29">
        <f t="shared" si="396"/>
        <v>0</v>
      </c>
      <c r="P975" s="181">
        <f t="shared" si="411"/>
        <v>0</v>
      </c>
      <c r="Q975" s="182">
        <f t="shared" si="397"/>
        <v>0</v>
      </c>
      <c r="R975" s="182">
        <f t="shared" si="398"/>
        <v>0</v>
      </c>
      <c r="S975" s="182">
        <f t="shared" si="399"/>
        <v>0</v>
      </c>
      <c r="T975" s="182">
        <f t="shared" si="400"/>
        <v>0</v>
      </c>
      <c r="U975" s="182">
        <f t="shared" si="401"/>
        <v>0</v>
      </c>
      <c r="V975" s="14">
        <f t="shared" si="402"/>
        <v>308.75</v>
      </c>
      <c r="W975" s="14">
        <f t="shared" si="403"/>
        <v>-308.75</v>
      </c>
      <c r="Y975" s="14">
        <f t="shared" si="406"/>
        <v>8.75</v>
      </c>
      <c r="Z975" s="14">
        <f t="shared" si="407"/>
        <v>-8.75</v>
      </c>
      <c r="AA975" s="11">
        <f t="shared" si="409"/>
        <v>2.41</v>
      </c>
      <c r="AB975" s="9">
        <f t="shared" si="412"/>
        <v>12.05</v>
      </c>
      <c r="AD975" s="13">
        <f>IF(AH975&gt;AH974,AD974,IF(AD974&lt;MiscData!$F$1,EOMONTH(AD974,1),EOMONTH(AD974,-11)))</f>
        <v>42369</v>
      </c>
      <c r="AE975" s="7" t="str">
        <f t="shared" si="404"/>
        <v>20140101KUUM_363</v>
      </c>
      <c r="AF975" s="12" t="str">
        <f t="shared" si="405"/>
        <v>20140101LS</v>
      </c>
      <c r="AG975" s="31"/>
      <c r="AH975">
        <f>IF(AH974=MiscData!$AB$91,1,AH974+1)</f>
        <v>6</v>
      </c>
      <c r="AI975">
        <f>IF(AD975&lt;=MiscData!$B$23,MiscData!$C$23,IF(AD975&lt;=MiscData!$B$24,MiscData!$C$24,MiscData!$C$25))</f>
        <v>20140101</v>
      </c>
      <c r="AK975" s="190" t="str">
        <f>VLOOKUP(AM975,MiscData!$AB$4:$ACB$113,2,FALSE)</f>
        <v>KUUM_363</v>
      </c>
      <c r="AL975" s="190" t="str">
        <f>VLOOKUP(AM975,MiscData!$AB$4:$AE$115,4,FALSE)</f>
        <v>LS</v>
      </c>
      <c r="AM975">
        <f>IF(AM974=MiscData!$AB$91,1,AM974+1)</f>
        <v>6</v>
      </c>
    </row>
    <row r="976" spans="1:39">
      <c r="A976" s="7">
        <f t="shared" si="408"/>
        <v>975</v>
      </c>
      <c r="B976" s="13" t="str">
        <f t="shared" si="390"/>
        <v>Dec 2015</v>
      </c>
      <c r="C976" s="23" t="str">
        <f t="shared" si="391"/>
        <v>LS</v>
      </c>
      <c r="D976" s="23" t="str">
        <f t="shared" si="392"/>
        <v>KUUM_364</v>
      </c>
      <c r="E976" s="170">
        <f t="shared" si="393"/>
        <v>1</v>
      </c>
      <c r="F976" s="185"/>
      <c r="G976" s="170">
        <f t="shared" si="389"/>
        <v>0</v>
      </c>
      <c r="H976" s="170">
        <v>0</v>
      </c>
      <c r="I976" s="11">
        <f t="shared" si="394"/>
        <v>63.11</v>
      </c>
      <c r="J976" s="11">
        <f t="shared" si="395"/>
        <v>1.75</v>
      </c>
      <c r="K976" s="416">
        <f t="shared" si="410"/>
        <v>63.11</v>
      </c>
      <c r="L976" s="180"/>
      <c r="M976" s="180"/>
      <c r="N976" s="186">
        <f t="shared" si="388"/>
        <v>63.11</v>
      </c>
      <c r="O976" s="29">
        <f t="shared" si="396"/>
        <v>0</v>
      </c>
      <c r="P976" s="181">
        <f t="shared" si="411"/>
        <v>0</v>
      </c>
      <c r="Q976" s="182">
        <f t="shared" si="397"/>
        <v>0</v>
      </c>
      <c r="R976" s="182">
        <f t="shared" si="398"/>
        <v>0</v>
      </c>
      <c r="S976" s="182">
        <f t="shared" si="399"/>
        <v>0</v>
      </c>
      <c r="T976" s="182">
        <f t="shared" si="400"/>
        <v>0</v>
      </c>
      <c r="U976" s="182">
        <f t="shared" si="401"/>
        <v>0</v>
      </c>
      <c r="V976" s="14">
        <f t="shared" si="402"/>
        <v>63.11</v>
      </c>
      <c r="W976" s="14">
        <f t="shared" si="403"/>
        <v>-63.11</v>
      </c>
      <c r="Y976" s="14">
        <f t="shared" si="406"/>
        <v>1.75</v>
      </c>
      <c r="Z976" s="14">
        <f t="shared" si="407"/>
        <v>-1.75</v>
      </c>
      <c r="AA976" s="11">
        <f t="shared" si="409"/>
        <v>2.41</v>
      </c>
      <c r="AB976" s="9">
        <f t="shared" si="412"/>
        <v>2.41</v>
      </c>
      <c r="AD976" s="13">
        <f>IF(AH976&gt;AH975,AD975,IF(AD975&lt;MiscData!$F$1,EOMONTH(AD975,1),EOMONTH(AD975,-11)))</f>
        <v>42369</v>
      </c>
      <c r="AE976" s="7" t="str">
        <f t="shared" si="404"/>
        <v>20140101KUUM_364</v>
      </c>
      <c r="AF976" s="12" t="str">
        <f t="shared" si="405"/>
        <v>20140101LS</v>
      </c>
      <c r="AG976" s="31"/>
      <c r="AH976">
        <f>IF(AH975=MiscData!$AB$91,1,AH975+1)</f>
        <v>7</v>
      </c>
      <c r="AI976">
        <f>IF(AD976&lt;=MiscData!$B$23,MiscData!$C$23,IF(AD976&lt;=MiscData!$B$24,MiscData!$C$24,MiscData!$C$25))</f>
        <v>20140101</v>
      </c>
      <c r="AK976" s="190" t="str">
        <f>VLOOKUP(AM976,MiscData!$AB$4:$ACB$113,2,FALSE)</f>
        <v>KUUM_364</v>
      </c>
      <c r="AL976" s="190" t="str">
        <f>VLOOKUP(AM976,MiscData!$AB$4:$AE$115,4,FALSE)</f>
        <v>LS</v>
      </c>
      <c r="AM976">
        <f>IF(AM975=MiscData!$AB$91,1,AM975+1)</f>
        <v>7</v>
      </c>
    </row>
    <row r="977" spans="1:39">
      <c r="A977" s="7">
        <f t="shared" si="408"/>
        <v>976</v>
      </c>
      <c r="B977" s="13" t="str">
        <f t="shared" si="390"/>
        <v>Dec 2015</v>
      </c>
      <c r="C977" s="23" t="str">
        <f t="shared" si="391"/>
        <v>LS</v>
      </c>
      <c r="D977" s="23" t="str">
        <f t="shared" si="392"/>
        <v>KUUM_365</v>
      </c>
      <c r="E977" s="170">
        <f t="shared" si="393"/>
        <v>5</v>
      </c>
      <c r="F977" s="185"/>
      <c r="G977" s="170">
        <f t="shared" si="389"/>
        <v>0</v>
      </c>
      <c r="H977" s="170">
        <v>0</v>
      </c>
      <c r="I977" s="11">
        <f t="shared" si="394"/>
        <v>80.94</v>
      </c>
      <c r="J977" s="11">
        <f t="shared" si="395"/>
        <v>1.75</v>
      </c>
      <c r="K977" s="416">
        <f t="shared" si="410"/>
        <v>404.7</v>
      </c>
      <c r="L977" s="180"/>
      <c r="M977" s="180"/>
      <c r="N977" s="186">
        <f t="shared" si="388"/>
        <v>404.7</v>
      </c>
      <c r="O977" s="29">
        <f t="shared" si="396"/>
        <v>0</v>
      </c>
      <c r="P977" s="181">
        <f t="shared" si="411"/>
        <v>0</v>
      </c>
      <c r="Q977" s="182">
        <f t="shared" si="397"/>
        <v>0</v>
      </c>
      <c r="R977" s="182">
        <f t="shared" si="398"/>
        <v>0</v>
      </c>
      <c r="S977" s="182">
        <f t="shared" si="399"/>
        <v>0</v>
      </c>
      <c r="T977" s="182">
        <f t="shared" si="400"/>
        <v>0</v>
      </c>
      <c r="U977" s="182">
        <f t="shared" si="401"/>
        <v>0</v>
      </c>
      <c r="V977" s="14">
        <f t="shared" si="402"/>
        <v>404.7</v>
      </c>
      <c r="W977" s="14">
        <f t="shared" si="403"/>
        <v>-404.7</v>
      </c>
      <c r="Y977" s="14">
        <f t="shared" si="406"/>
        <v>8.75</v>
      </c>
      <c r="Z977" s="14">
        <f t="shared" si="407"/>
        <v>-8.75</v>
      </c>
      <c r="AA977" s="11">
        <f t="shared" si="409"/>
        <v>2.41</v>
      </c>
      <c r="AB977" s="9">
        <f t="shared" si="412"/>
        <v>12.05</v>
      </c>
      <c r="AD977" s="13">
        <f>IF(AH977&gt;AH976,AD976,IF(AD976&lt;MiscData!$F$1,EOMONTH(AD976,1),EOMONTH(AD976,-11)))</f>
        <v>42369</v>
      </c>
      <c r="AE977" s="7" t="str">
        <f t="shared" si="404"/>
        <v>20140101KUUM_365</v>
      </c>
      <c r="AF977" s="12" t="str">
        <f t="shared" si="405"/>
        <v>20140101LS</v>
      </c>
      <c r="AG977" s="31"/>
      <c r="AH977">
        <f>IF(AH976=MiscData!$AB$91,1,AH976+1)</f>
        <v>8</v>
      </c>
      <c r="AI977">
        <f>IF(AD977&lt;=MiscData!$B$23,MiscData!$C$23,IF(AD977&lt;=MiscData!$B$24,MiscData!$C$24,MiscData!$C$25))</f>
        <v>20140101</v>
      </c>
      <c r="AK977" s="190" t="str">
        <f>VLOOKUP(AM977,MiscData!$AB$4:$ACB$113,2,FALSE)</f>
        <v>KUUM_365</v>
      </c>
      <c r="AL977" s="190" t="str">
        <f>VLOOKUP(AM977,MiscData!$AB$4:$AE$115,4,FALSE)</f>
        <v>LS</v>
      </c>
      <c r="AM977">
        <f>IF(AM976=MiscData!$AB$91,1,AM976+1)</f>
        <v>8</v>
      </c>
    </row>
    <row r="978" spans="1:39">
      <c r="A978" s="7">
        <f t="shared" si="408"/>
        <v>977</v>
      </c>
      <c r="B978" s="13" t="str">
        <f t="shared" si="390"/>
        <v>Dec 2015</v>
      </c>
      <c r="C978" s="23" t="str">
        <f t="shared" si="391"/>
        <v>LS</v>
      </c>
      <c r="D978" s="23" t="str">
        <f t="shared" si="392"/>
        <v>KUUM_366</v>
      </c>
      <c r="E978" s="170">
        <f t="shared" si="393"/>
        <v>10</v>
      </c>
      <c r="F978" s="185"/>
      <c r="G978" s="170">
        <f t="shared" si="389"/>
        <v>0</v>
      </c>
      <c r="H978" s="170">
        <v>0</v>
      </c>
      <c r="I978" s="11">
        <f t="shared" si="394"/>
        <v>78.97</v>
      </c>
      <c r="J978" s="11">
        <f t="shared" si="395"/>
        <v>1.75</v>
      </c>
      <c r="K978" s="416">
        <f t="shared" si="410"/>
        <v>789.7</v>
      </c>
      <c r="L978" s="180"/>
      <c r="M978" s="180"/>
      <c r="N978" s="186">
        <f t="shared" si="388"/>
        <v>789.7</v>
      </c>
      <c r="O978" s="29">
        <f t="shared" si="396"/>
        <v>0</v>
      </c>
      <c r="P978" s="181">
        <f t="shared" si="411"/>
        <v>0</v>
      </c>
      <c r="Q978" s="182">
        <f t="shared" si="397"/>
        <v>0</v>
      </c>
      <c r="R978" s="182">
        <f t="shared" si="398"/>
        <v>0</v>
      </c>
      <c r="S978" s="182">
        <f t="shared" si="399"/>
        <v>0</v>
      </c>
      <c r="T978" s="182">
        <f t="shared" si="400"/>
        <v>0</v>
      </c>
      <c r="U978" s="182">
        <f t="shared" si="401"/>
        <v>0</v>
      </c>
      <c r="V978" s="14">
        <f t="shared" si="402"/>
        <v>789.7</v>
      </c>
      <c r="W978" s="14">
        <f t="shared" si="403"/>
        <v>-789.7</v>
      </c>
      <c r="Y978" s="14">
        <f t="shared" si="406"/>
        <v>17.5</v>
      </c>
      <c r="Z978" s="14">
        <f t="shared" si="407"/>
        <v>-17.5</v>
      </c>
      <c r="AA978" s="11">
        <f t="shared" si="409"/>
        <v>2.41</v>
      </c>
      <c r="AB978" s="9">
        <f t="shared" si="412"/>
        <v>24.1</v>
      </c>
      <c r="AD978" s="13">
        <f>IF(AH978&gt;AH977,AD977,IF(AD977&lt;MiscData!$F$1,EOMONTH(AD977,1),EOMONTH(AD977,-11)))</f>
        <v>42369</v>
      </c>
      <c r="AE978" s="7" t="str">
        <f t="shared" si="404"/>
        <v>20140101KUUM_366</v>
      </c>
      <c r="AF978" s="12" t="str">
        <f t="shared" si="405"/>
        <v>20140101LS</v>
      </c>
      <c r="AG978" s="31"/>
      <c r="AH978">
        <f>IF(AH977=MiscData!$AB$91,1,AH977+1)</f>
        <v>9</v>
      </c>
      <c r="AI978">
        <f>IF(AD978&lt;=MiscData!$B$23,MiscData!$C$23,IF(AD978&lt;=MiscData!$B$24,MiscData!$C$24,MiscData!$C$25))</f>
        <v>20140101</v>
      </c>
      <c r="AK978" s="190" t="str">
        <f>VLOOKUP(AM978,MiscData!$AB$4:$ACB$113,2,FALSE)</f>
        <v>KUUM_366</v>
      </c>
      <c r="AL978" s="190" t="str">
        <f>VLOOKUP(AM978,MiscData!$AB$4:$AE$115,4,FALSE)</f>
        <v>LS</v>
      </c>
      <c r="AM978">
        <f>IF(AM977=MiscData!$AB$91,1,AM977+1)</f>
        <v>9</v>
      </c>
    </row>
    <row r="979" spans="1:39">
      <c r="A979" s="7">
        <f t="shared" si="408"/>
        <v>978</v>
      </c>
      <c r="B979" s="13" t="str">
        <f t="shared" si="390"/>
        <v>Dec 2015</v>
      </c>
      <c r="C979" s="23" t="str">
        <f t="shared" si="391"/>
        <v>LS</v>
      </c>
      <c r="D979" s="23" t="str">
        <f t="shared" si="392"/>
        <v>KUUM_367</v>
      </c>
      <c r="E979" s="170">
        <f t="shared" si="393"/>
        <v>24</v>
      </c>
      <c r="F979" s="185"/>
      <c r="G979" s="170">
        <f t="shared" si="389"/>
        <v>0</v>
      </c>
      <c r="H979" s="170">
        <v>0</v>
      </c>
      <c r="I979" s="11">
        <f t="shared" si="394"/>
        <v>61.230000000000004</v>
      </c>
      <c r="J979" s="11">
        <f t="shared" si="395"/>
        <v>1.75</v>
      </c>
      <c r="K979" s="416">
        <f t="shared" si="410"/>
        <v>1469.52</v>
      </c>
      <c r="L979" s="180"/>
      <c r="M979" s="180"/>
      <c r="N979" s="186">
        <f t="shared" si="388"/>
        <v>1469.52</v>
      </c>
      <c r="O979" s="29">
        <f t="shared" si="396"/>
        <v>0</v>
      </c>
      <c r="P979" s="181">
        <f t="shared" si="411"/>
        <v>0</v>
      </c>
      <c r="Q979" s="182">
        <f t="shared" si="397"/>
        <v>0</v>
      </c>
      <c r="R979" s="182">
        <f t="shared" si="398"/>
        <v>0</v>
      </c>
      <c r="S979" s="182">
        <f t="shared" si="399"/>
        <v>0</v>
      </c>
      <c r="T979" s="182">
        <f t="shared" si="400"/>
        <v>0</v>
      </c>
      <c r="U979" s="182">
        <f t="shared" si="401"/>
        <v>0</v>
      </c>
      <c r="V979" s="14">
        <f t="shared" si="402"/>
        <v>1469.52</v>
      </c>
      <c r="W979" s="14">
        <f t="shared" si="403"/>
        <v>-1469.52</v>
      </c>
      <c r="Y979" s="14">
        <f t="shared" si="406"/>
        <v>42</v>
      </c>
      <c r="Z979" s="14">
        <f t="shared" si="407"/>
        <v>-42</v>
      </c>
      <c r="AA979" s="11">
        <f t="shared" si="409"/>
        <v>2.41</v>
      </c>
      <c r="AB979" s="9">
        <f t="shared" si="412"/>
        <v>57.84</v>
      </c>
      <c r="AD979" s="13">
        <f>IF(AH979&gt;AH978,AD978,IF(AD978&lt;MiscData!$F$1,EOMONTH(AD978,1),EOMONTH(AD978,-11)))</f>
        <v>42369</v>
      </c>
      <c r="AE979" s="7" t="str">
        <f t="shared" si="404"/>
        <v>20140101KUUM_367</v>
      </c>
      <c r="AF979" s="12" t="str">
        <f t="shared" si="405"/>
        <v>20140101LS</v>
      </c>
      <c r="AG979" s="31"/>
      <c r="AH979">
        <f>IF(AH978=MiscData!$AB$91,1,AH978+1)</f>
        <v>10</v>
      </c>
      <c r="AI979">
        <f>IF(AD979&lt;=MiscData!$B$23,MiscData!$C$23,IF(AD979&lt;=MiscData!$B$24,MiscData!$C$24,MiscData!$C$25))</f>
        <v>20140101</v>
      </c>
      <c r="AK979" s="190" t="str">
        <f>VLOOKUP(AM979,MiscData!$AB$4:$ACB$113,2,FALSE)</f>
        <v>KUUM_367</v>
      </c>
      <c r="AL979" s="190" t="str">
        <f>VLOOKUP(AM979,MiscData!$AB$4:$AE$115,4,FALSE)</f>
        <v>LS</v>
      </c>
      <c r="AM979">
        <f>IF(AM978=MiscData!$AB$91,1,AM978+1)</f>
        <v>10</v>
      </c>
    </row>
    <row r="980" spans="1:39">
      <c r="A980" s="7">
        <f t="shared" si="408"/>
        <v>979</v>
      </c>
      <c r="B980" s="13" t="str">
        <f t="shared" si="390"/>
        <v>Dec 2015</v>
      </c>
      <c r="C980" s="23" t="str">
        <f t="shared" si="391"/>
        <v>LS</v>
      </c>
      <c r="D980" s="23" t="str">
        <f t="shared" si="392"/>
        <v>KUUM_368</v>
      </c>
      <c r="E980" s="170">
        <f t="shared" si="393"/>
        <v>1</v>
      </c>
      <c r="F980" s="185"/>
      <c r="G980" s="170">
        <f t="shared" si="389"/>
        <v>0</v>
      </c>
      <c r="H980" s="170">
        <v>0</v>
      </c>
      <c r="I980" s="11">
        <f t="shared" si="394"/>
        <v>56.69</v>
      </c>
      <c r="J980" s="11">
        <f t="shared" si="395"/>
        <v>1.75</v>
      </c>
      <c r="K980" s="416">
        <f t="shared" si="410"/>
        <v>56.69</v>
      </c>
      <c r="L980" s="180"/>
      <c r="M980" s="180"/>
      <c r="N980" s="186">
        <f t="shared" si="388"/>
        <v>56.69</v>
      </c>
      <c r="O980" s="29">
        <f t="shared" si="396"/>
        <v>0</v>
      </c>
      <c r="P980" s="181">
        <f t="shared" si="411"/>
        <v>0</v>
      </c>
      <c r="Q980" s="182">
        <f t="shared" si="397"/>
        <v>0</v>
      </c>
      <c r="R980" s="182">
        <f t="shared" si="398"/>
        <v>0</v>
      </c>
      <c r="S980" s="182">
        <f t="shared" si="399"/>
        <v>0</v>
      </c>
      <c r="T980" s="182">
        <f t="shared" si="400"/>
        <v>0</v>
      </c>
      <c r="U980" s="182">
        <f t="shared" si="401"/>
        <v>0</v>
      </c>
      <c r="V980" s="14">
        <f t="shared" si="402"/>
        <v>56.69</v>
      </c>
      <c r="W980" s="14">
        <f t="shared" si="403"/>
        <v>-56.69</v>
      </c>
      <c r="Y980" s="14">
        <f t="shared" si="406"/>
        <v>1.75</v>
      </c>
      <c r="Z980" s="14">
        <f t="shared" si="407"/>
        <v>-1.75</v>
      </c>
      <c r="AA980" s="11">
        <f t="shared" si="409"/>
        <v>2.41</v>
      </c>
      <c r="AB980" s="9">
        <f t="shared" si="412"/>
        <v>2.41</v>
      </c>
      <c r="AD980" s="13">
        <f>IF(AH980&gt;AH979,AD979,IF(AD979&lt;MiscData!$F$1,EOMONTH(AD979,1),EOMONTH(AD979,-11)))</f>
        <v>42369</v>
      </c>
      <c r="AE980" s="7" t="str">
        <f t="shared" si="404"/>
        <v>20140101KUUM_368</v>
      </c>
      <c r="AF980" s="12" t="str">
        <f t="shared" si="405"/>
        <v>20140101LS</v>
      </c>
      <c r="AG980" s="31"/>
      <c r="AH980">
        <f>IF(AH979=MiscData!$AB$91,1,AH979+1)</f>
        <v>11</v>
      </c>
      <c r="AI980">
        <f>IF(AD980&lt;=MiscData!$B$23,MiscData!$C$23,IF(AD980&lt;=MiscData!$B$24,MiscData!$C$24,MiscData!$C$25))</f>
        <v>20140101</v>
      </c>
      <c r="AK980" s="190" t="str">
        <f>VLOOKUP(AM980,MiscData!$AB$4:$ACB$113,2,FALSE)</f>
        <v>KUUM_368</v>
      </c>
      <c r="AL980" s="190" t="str">
        <f>VLOOKUP(AM980,MiscData!$AB$4:$AE$115,4,FALSE)</f>
        <v>LS</v>
      </c>
      <c r="AM980">
        <f>IF(AM979=MiscData!$AB$91,1,AM979+1)</f>
        <v>11</v>
      </c>
    </row>
    <row r="981" spans="1:39">
      <c r="A981" s="7">
        <f t="shared" si="408"/>
        <v>980</v>
      </c>
      <c r="B981" s="13" t="str">
        <f t="shared" si="390"/>
        <v>Dec 2015</v>
      </c>
      <c r="C981" s="23" t="str">
        <f t="shared" si="391"/>
        <v>LS</v>
      </c>
      <c r="D981" s="23" t="str">
        <f t="shared" si="392"/>
        <v>KUUM_370</v>
      </c>
      <c r="E981" s="170">
        <f t="shared" si="393"/>
        <v>16</v>
      </c>
      <c r="F981" s="185"/>
      <c r="G981" s="170">
        <f t="shared" si="389"/>
        <v>0</v>
      </c>
      <c r="H981" s="170">
        <v>0</v>
      </c>
      <c r="I981" s="11">
        <f t="shared" si="394"/>
        <v>74.52</v>
      </c>
      <c r="J981" s="11">
        <f t="shared" si="395"/>
        <v>1.75</v>
      </c>
      <c r="K981" s="416">
        <f t="shared" si="410"/>
        <v>1192.32</v>
      </c>
      <c r="L981" s="180"/>
      <c r="M981" s="180"/>
      <c r="N981" s="186">
        <f t="shared" si="388"/>
        <v>1192.32</v>
      </c>
      <c r="O981" s="29">
        <f t="shared" si="396"/>
        <v>0</v>
      </c>
      <c r="P981" s="181">
        <f t="shared" si="411"/>
        <v>0</v>
      </c>
      <c r="Q981" s="182">
        <f t="shared" si="397"/>
        <v>0</v>
      </c>
      <c r="R981" s="182">
        <f t="shared" si="398"/>
        <v>0</v>
      </c>
      <c r="S981" s="182">
        <f t="shared" si="399"/>
        <v>0</v>
      </c>
      <c r="T981" s="182">
        <f t="shared" si="400"/>
        <v>0</v>
      </c>
      <c r="U981" s="182">
        <f t="shared" si="401"/>
        <v>0</v>
      </c>
      <c r="V981" s="14">
        <f t="shared" si="402"/>
        <v>1192.32</v>
      </c>
      <c r="W981" s="14">
        <f t="shared" si="403"/>
        <v>-1192.32</v>
      </c>
      <c r="Y981" s="14">
        <f t="shared" si="406"/>
        <v>28</v>
      </c>
      <c r="Z981" s="14">
        <f t="shared" si="407"/>
        <v>-28</v>
      </c>
      <c r="AA981" s="11">
        <f t="shared" si="409"/>
        <v>2.41</v>
      </c>
      <c r="AB981" s="9">
        <f t="shared" si="412"/>
        <v>38.56</v>
      </c>
      <c r="AD981" s="13">
        <f>IF(AH981&gt;AH980,AD980,IF(AD980&lt;MiscData!$F$1,EOMONTH(AD980,1),EOMONTH(AD980,-11)))</f>
        <v>42369</v>
      </c>
      <c r="AE981" s="7" t="str">
        <f t="shared" si="404"/>
        <v>20140101KUUM_370</v>
      </c>
      <c r="AF981" s="12" t="str">
        <f t="shared" si="405"/>
        <v>20140101LS</v>
      </c>
      <c r="AG981" s="31"/>
      <c r="AH981">
        <f>IF(AH980=MiscData!$AB$91,1,AH980+1)</f>
        <v>12</v>
      </c>
      <c r="AI981">
        <f>IF(AD981&lt;=MiscData!$B$23,MiscData!$C$23,IF(AD981&lt;=MiscData!$B$24,MiscData!$C$24,MiscData!$C$25))</f>
        <v>20140101</v>
      </c>
      <c r="AK981" s="190" t="str">
        <f>VLOOKUP(AM981,MiscData!$AB$4:$ACB$113,2,FALSE)</f>
        <v>KUUM_370</v>
      </c>
      <c r="AL981" s="190" t="str">
        <f>VLOOKUP(AM981,MiscData!$AB$4:$AE$115,4,FALSE)</f>
        <v>LS</v>
      </c>
      <c r="AM981">
        <f>IF(AM980=MiscData!$AB$91,1,AM980+1)</f>
        <v>12</v>
      </c>
    </row>
    <row r="982" spans="1:39">
      <c r="A982" s="7">
        <f t="shared" si="408"/>
        <v>981</v>
      </c>
      <c r="B982" s="13" t="str">
        <f t="shared" si="390"/>
        <v>Dec 2015</v>
      </c>
      <c r="C982" s="23" t="str">
        <f t="shared" si="391"/>
        <v>LS</v>
      </c>
      <c r="D982" s="23" t="str">
        <f t="shared" si="392"/>
        <v>KUUM_372</v>
      </c>
      <c r="E982" s="170">
        <f t="shared" si="393"/>
        <v>1</v>
      </c>
      <c r="F982" s="185"/>
      <c r="G982" s="170">
        <f t="shared" si="389"/>
        <v>0</v>
      </c>
      <c r="H982" s="170">
        <v>0</v>
      </c>
      <c r="I982" s="11">
        <f t="shared" si="394"/>
        <v>82.3</v>
      </c>
      <c r="J982" s="11">
        <f t="shared" si="395"/>
        <v>1.75</v>
      </c>
      <c r="K982" s="416">
        <f t="shared" si="410"/>
        <v>82.3</v>
      </c>
      <c r="L982" s="180"/>
      <c r="M982" s="180"/>
      <c r="N982" s="186">
        <f t="shared" si="388"/>
        <v>82.3</v>
      </c>
      <c r="O982" s="29">
        <f t="shared" si="396"/>
        <v>0</v>
      </c>
      <c r="P982" s="181">
        <f t="shared" si="411"/>
        <v>0</v>
      </c>
      <c r="Q982" s="182">
        <f t="shared" si="397"/>
        <v>0</v>
      </c>
      <c r="R982" s="182">
        <f t="shared" si="398"/>
        <v>0</v>
      </c>
      <c r="S982" s="182">
        <f t="shared" si="399"/>
        <v>0</v>
      </c>
      <c r="T982" s="182">
        <f t="shared" si="400"/>
        <v>0</v>
      </c>
      <c r="U982" s="182">
        <f t="shared" si="401"/>
        <v>0</v>
      </c>
      <c r="V982" s="14">
        <f t="shared" si="402"/>
        <v>82.3</v>
      </c>
      <c r="W982" s="14">
        <f t="shared" si="403"/>
        <v>-82.3</v>
      </c>
      <c r="Y982" s="14">
        <f t="shared" si="406"/>
        <v>1.75</v>
      </c>
      <c r="Z982" s="14">
        <f t="shared" si="407"/>
        <v>-1.75</v>
      </c>
      <c r="AA982" s="11">
        <f t="shared" si="409"/>
        <v>2.41</v>
      </c>
      <c r="AB982" s="9">
        <f t="shared" si="412"/>
        <v>2.41</v>
      </c>
      <c r="AD982" s="13">
        <f>IF(AH982&gt;AH981,AD981,IF(AD981&lt;MiscData!$F$1,EOMONTH(AD981,1),EOMONTH(AD981,-11)))</f>
        <v>42369</v>
      </c>
      <c r="AE982" s="7" t="str">
        <f t="shared" si="404"/>
        <v>20140101KUUM_372</v>
      </c>
      <c r="AF982" s="12" t="str">
        <f t="shared" si="405"/>
        <v>20140101LS</v>
      </c>
      <c r="AG982" s="31"/>
      <c r="AH982">
        <f>IF(AH981=MiscData!$AB$91,1,AH981+1)</f>
        <v>13</v>
      </c>
      <c r="AI982">
        <f>IF(AD982&lt;=MiscData!$B$23,MiscData!$C$23,IF(AD982&lt;=MiscData!$B$24,MiscData!$C$24,MiscData!$C$25))</f>
        <v>20140101</v>
      </c>
      <c r="AK982" s="190" t="str">
        <f>VLOOKUP(AM982,MiscData!$AB$4:$ACB$113,2,FALSE)</f>
        <v>KUUM_372</v>
      </c>
      <c r="AL982" s="190" t="str">
        <f>VLOOKUP(AM982,MiscData!$AB$4:$AE$115,4,FALSE)</f>
        <v>LS</v>
      </c>
      <c r="AM982">
        <f>IF(AM981=MiscData!$AB$91,1,AM981+1)</f>
        <v>13</v>
      </c>
    </row>
    <row r="983" spans="1:39">
      <c r="A983" s="7">
        <f t="shared" si="408"/>
        <v>982</v>
      </c>
      <c r="B983" s="13" t="str">
        <f t="shared" si="390"/>
        <v>Dec 2015</v>
      </c>
      <c r="C983" s="23" t="str">
        <f t="shared" si="391"/>
        <v>LS</v>
      </c>
      <c r="D983" s="23" t="str">
        <f t="shared" si="392"/>
        <v>KUUM_373</v>
      </c>
      <c r="E983" s="170">
        <f t="shared" si="393"/>
        <v>19</v>
      </c>
      <c r="F983" s="185"/>
      <c r="G983" s="170">
        <f t="shared" si="389"/>
        <v>0</v>
      </c>
      <c r="H983" s="170">
        <v>0</v>
      </c>
      <c r="I983" s="11">
        <f t="shared" si="394"/>
        <v>74.52</v>
      </c>
      <c r="J983" s="11">
        <f t="shared" si="395"/>
        <v>1.75</v>
      </c>
      <c r="K983" s="416">
        <f t="shared" si="410"/>
        <v>1415.88</v>
      </c>
      <c r="L983" s="180"/>
      <c r="M983" s="180"/>
      <c r="N983" s="186">
        <f t="shared" si="388"/>
        <v>1415.88</v>
      </c>
      <c r="O983" s="29">
        <f t="shared" si="396"/>
        <v>0</v>
      </c>
      <c r="P983" s="181">
        <f t="shared" si="411"/>
        <v>0</v>
      </c>
      <c r="Q983" s="182">
        <f t="shared" si="397"/>
        <v>0</v>
      </c>
      <c r="R983" s="182">
        <f t="shared" si="398"/>
        <v>0</v>
      </c>
      <c r="S983" s="182">
        <f t="shared" si="399"/>
        <v>0</v>
      </c>
      <c r="T983" s="182">
        <f t="shared" si="400"/>
        <v>0</v>
      </c>
      <c r="U983" s="182">
        <f t="shared" si="401"/>
        <v>0</v>
      </c>
      <c r="V983" s="14">
        <f t="shared" si="402"/>
        <v>1415.88</v>
      </c>
      <c r="W983" s="14">
        <f t="shared" si="403"/>
        <v>-1415.88</v>
      </c>
      <c r="Y983" s="14">
        <f t="shared" si="406"/>
        <v>33.25</v>
      </c>
      <c r="Z983" s="14">
        <f t="shared" si="407"/>
        <v>-33.25</v>
      </c>
      <c r="AA983" s="11">
        <f t="shared" si="409"/>
        <v>2.41</v>
      </c>
      <c r="AB983" s="9">
        <f t="shared" si="412"/>
        <v>45.790000000000006</v>
      </c>
      <c r="AD983" s="13">
        <f>IF(AH983&gt;AH982,AD982,IF(AD982&lt;MiscData!$F$1,EOMONTH(AD982,1),EOMONTH(AD982,-11)))</f>
        <v>42369</v>
      </c>
      <c r="AE983" s="7" t="str">
        <f t="shared" si="404"/>
        <v>20140101KUUM_373</v>
      </c>
      <c r="AF983" s="12" t="str">
        <f t="shared" si="405"/>
        <v>20140101LS</v>
      </c>
      <c r="AG983" s="31"/>
      <c r="AH983">
        <f>IF(AH982=MiscData!$AB$91,1,AH982+1)</f>
        <v>14</v>
      </c>
      <c r="AI983">
        <f>IF(AD983&lt;=MiscData!$B$23,MiscData!$C$23,IF(AD983&lt;=MiscData!$B$24,MiscData!$C$24,MiscData!$C$25))</f>
        <v>20140101</v>
      </c>
      <c r="AK983" s="190" t="str">
        <f>VLOOKUP(AM983,MiscData!$AB$4:$ACB$113,2,FALSE)</f>
        <v>KUUM_373</v>
      </c>
      <c r="AL983" s="190" t="str">
        <f>VLOOKUP(AM983,MiscData!$AB$4:$AE$115,4,FALSE)</f>
        <v>LS</v>
      </c>
      <c r="AM983">
        <f>IF(AM982=MiscData!$AB$91,1,AM982+1)</f>
        <v>14</v>
      </c>
    </row>
    <row r="984" spans="1:39">
      <c r="A984" s="7">
        <f t="shared" si="408"/>
        <v>983</v>
      </c>
      <c r="B984" s="13" t="str">
        <f t="shared" si="390"/>
        <v>Dec 2015</v>
      </c>
      <c r="C984" s="23" t="str">
        <f t="shared" si="391"/>
        <v>LS</v>
      </c>
      <c r="D984" s="23" t="str">
        <f t="shared" si="392"/>
        <v>KUUM_374</v>
      </c>
      <c r="E984" s="170">
        <f t="shared" si="393"/>
        <v>4</v>
      </c>
      <c r="F984" s="185"/>
      <c r="G984" s="170">
        <f t="shared" si="389"/>
        <v>0</v>
      </c>
      <c r="H984" s="170">
        <v>0</v>
      </c>
      <c r="I984" s="11">
        <f t="shared" si="394"/>
        <v>75.88</v>
      </c>
      <c r="J984" s="11">
        <f t="shared" si="395"/>
        <v>1.75</v>
      </c>
      <c r="K984" s="416">
        <f t="shared" si="410"/>
        <v>303.52</v>
      </c>
      <c r="L984" s="180"/>
      <c r="M984" s="180"/>
      <c r="N984" s="186">
        <f t="shared" si="388"/>
        <v>303.52</v>
      </c>
      <c r="O984" s="29">
        <f t="shared" si="396"/>
        <v>0</v>
      </c>
      <c r="P984" s="181">
        <f t="shared" si="411"/>
        <v>0</v>
      </c>
      <c r="Q984" s="182">
        <f t="shared" si="397"/>
        <v>0</v>
      </c>
      <c r="R984" s="182">
        <f t="shared" si="398"/>
        <v>0</v>
      </c>
      <c r="S984" s="182">
        <f t="shared" si="399"/>
        <v>0</v>
      </c>
      <c r="T984" s="182">
        <f t="shared" si="400"/>
        <v>0</v>
      </c>
      <c r="U984" s="182">
        <f t="shared" si="401"/>
        <v>0</v>
      </c>
      <c r="V984" s="14">
        <f t="shared" si="402"/>
        <v>303.52</v>
      </c>
      <c r="W984" s="14">
        <f t="shared" si="403"/>
        <v>-303.52</v>
      </c>
      <c r="Y984" s="14">
        <f t="shared" si="406"/>
        <v>7</v>
      </c>
      <c r="Z984" s="14">
        <f t="shared" si="407"/>
        <v>-7</v>
      </c>
      <c r="AA984" s="11">
        <f t="shared" si="409"/>
        <v>2.41</v>
      </c>
      <c r="AB984" s="9">
        <f t="shared" si="412"/>
        <v>9.64</v>
      </c>
      <c r="AD984" s="13">
        <f>IF(AH984&gt;AH983,AD983,IF(AD983&lt;MiscData!$F$1,EOMONTH(AD983,1),EOMONTH(AD983,-11)))</f>
        <v>42369</v>
      </c>
      <c r="AE984" s="7" t="str">
        <f t="shared" si="404"/>
        <v>20140101KUUM_374</v>
      </c>
      <c r="AF984" s="12" t="str">
        <f t="shared" si="405"/>
        <v>20140101LS</v>
      </c>
      <c r="AG984" s="31"/>
      <c r="AH984">
        <f>IF(AH983=MiscData!$AB$91,1,AH983+1)</f>
        <v>15</v>
      </c>
      <c r="AI984">
        <f>IF(AD984&lt;=MiscData!$B$23,MiscData!$C$23,IF(AD984&lt;=MiscData!$B$24,MiscData!$C$24,MiscData!$C$25))</f>
        <v>20140101</v>
      </c>
      <c r="AK984" s="190" t="str">
        <f>VLOOKUP(AM984,MiscData!$AB$4:$ACB$113,2,FALSE)</f>
        <v>KUUM_374</v>
      </c>
      <c r="AL984" s="190" t="str">
        <f>VLOOKUP(AM984,MiscData!$AB$4:$AE$115,4,FALSE)</f>
        <v>LS</v>
      </c>
      <c r="AM984">
        <f>IF(AM983=MiscData!$AB$91,1,AM983+1)</f>
        <v>15</v>
      </c>
    </row>
    <row r="985" spans="1:39">
      <c r="A985" s="7">
        <f t="shared" si="408"/>
        <v>984</v>
      </c>
      <c r="B985" s="13" t="str">
        <f t="shared" si="390"/>
        <v>Dec 2015</v>
      </c>
      <c r="C985" s="23" t="str">
        <f t="shared" si="391"/>
        <v>LS</v>
      </c>
      <c r="D985" s="23" t="str">
        <f t="shared" si="392"/>
        <v>KUUM_375</v>
      </c>
      <c r="E985" s="170">
        <f t="shared" si="393"/>
        <v>3</v>
      </c>
      <c r="F985" s="185"/>
      <c r="G985" s="170">
        <f t="shared" si="389"/>
        <v>0</v>
      </c>
      <c r="H985" s="170">
        <v>0</v>
      </c>
      <c r="I985" s="11">
        <f t="shared" si="394"/>
        <v>78.97</v>
      </c>
      <c r="J985" s="11">
        <f t="shared" si="395"/>
        <v>1.75</v>
      </c>
      <c r="K985" s="416">
        <f t="shared" si="410"/>
        <v>236.91</v>
      </c>
      <c r="L985" s="180"/>
      <c r="M985" s="180"/>
      <c r="N985" s="186">
        <f t="shared" si="388"/>
        <v>236.91</v>
      </c>
      <c r="O985" s="29">
        <f t="shared" si="396"/>
        <v>0</v>
      </c>
      <c r="P985" s="181">
        <f t="shared" si="411"/>
        <v>0</v>
      </c>
      <c r="Q985" s="182">
        <f t="shared" si="397"/>
        <v>0</v>
      </c>
      <c r="R985" s="182">
        <f t="shared" si="398"/>
        <v>0</v>
      </c>
      <c r="S985" s="182">
        <f t="shared" si="399"/>
        <v>0</v>
      </c>
      <c r="T985" s="182">
        <f t="shared" si="400"/>
        <v>0</v>
      </c>
      <c r="U985" s="182">
        <f t="shared" si="401"/>
        <v>0</v>
      </c>
      <c r="V985" s="14">
        <f t="shared" si="402"/>
        <v>236.91</v>
      </c>
      <c r="W985" s="14">
        <f t="shared" si="403"/>
        <v>-236.91</v>
      </c>
      <c r="Y985" s="14">
        <f t="shared" si="406"/>
        <v>5.25</v>
      </c>
      <c r="Z985" s="14">
        <f t="shared" si="407"/>
        <v>-5.25</v>
      </c>
      <c r="AA985" s="11">
        <f t="shared" si="409"/>
        <v>2.41</v>
      </c>
      <c r="AB985" s="9">
        <f t="shared" si="412"/>
        <v>7.23</v>
      </c>
      <c r="AD985" s="13">
        <f>IF(AH985&gt;AH984,AD984,IF(AD984&lt;MiscData!$F$1,EOMONTH(AD984,1),EOMONTH(AD984,-11)))</f>
        <v>42369</v>
      </c>
      <c r="AE985" s="7" t="str">
        <f t="shared" si="404"/>
        <v>20140101KUUM_375</v>
      </c>
      <c r="AF985" s="12" t="str">
        <f t="shared" si="405"/>
        <v>20140101LS</v>
      </c>
      <c r="AG985" s="31"/>
      <c r="AH985">
        <f>IF(AH984=MiscData!$AB$91,1,AH984+1)</f>
        <v>16</v>
      </c>
      <c r="AI985">
        <f>IF(AD985&lt;=MiscData!$B$23,MiscData!$C$23,IF(AD985&lt;=MiscData!$B$24,MiscData!$C$24,MiscData!$C$25))</f>
        <v>20140101</v>
      </c>
      <c r="AK985" s="190" t="str">
        <f>VLOOKUP(AM985,MiscData!$AB$4:$ACB$113,2,FALSE)</f>
        <v>KUUM_375</v>
      </c>
      <c r="AL985" s="190" t="str">
        <f>VLOOKUP(AM985,MiscData!$AB$4:$AE$115,4,FALSE)</f>
        <v>LS</v>
      </c>
      <c r="AM985">
        <f>IF(AM984=MiscData!$AB$91,1,AM984+1)</f>
        <v>16</v>
      </c>
    </row>
    <row r="986" spans="1:39">
      <c r="A986" s="7">
        <f t="shared" si="408"/>
        <v>985</v>
      </c>
      <c r="B986" s="13" t="str">
        <f t="shared" si="390"/>
        <v>Dec 2015</v>
      </c>
      <c r="C986" s="23" t="str">
        <f t="shared" si="391"/>
        <v>LS</v>
      </c>
      <c r="D986" s="23" t="str">
        <f t="shared" si="392"/>
        <v>KUUM_376</v>
      </c>
      <c r="E986" s="170">
        <f t="shared" si="393"/>
        <v>2</v>
      </c>
      <c r="F986" s="185"/>
      <c r="G986" s="170">
        <f t="shared" si="389"/>
        <v>0</v>
      </c>
      <c r="H986" s="170">
        <v>0</v>
      </c>
      <c r="I986" s="11">
        <f t="shared" si="394"/>
        <v>77.259999999999991</v>
      </c>
      <c r="J986" s="11">
        <f t="shared" si="395"/>
        <v>1.75</v>
      </c>
      <c r="K986" s="416">
        <f t="shared" si="410"/>
        <v>154.52000000000001</v>
      </c>
      <c r="L986" s="180"/>
      <c r="M986" s="180"/>
      <c r="N986" s="186">
        <f t="shared" si="388"/>
        <v>154.52000000000001</v>
      </c>
      <c r="O986" s="29">
        <f t="shared" si="396"/>
        <v>0</v>
      </c>
      <c r="P986" s="181">
        <f t="shared" si="411"/>
        <v>0</v>
      </c>
      <c r="Q986" s="182">
        <f t="shared" si="397"/>
        <v>0</v>
      </c>
      <c r="R986" s="182">
        <f t="shared" si="398"/>
        <v>0</v>
      </c>
      <c r="S986" s="182">
        <f t="shared" si="399"/>
        <v>0</v>
      </c>
      <c r="T986" s="182">
        <f t="shared" si="400"/>
        <v>0</v>
      </c>
      <c r="U986" s="182">
        <f t="shared" si="401"/>
        <v>0</v>
      </c>
      <c r="V986" s="14">
        <f t="shared" si="402"/>
        <v>154.52000000000001</v>
      </c>
      <c r="W986" s="14">
        <f t="shared" si="403"/>
        <v>-154.52000000000001</v>
      </c>
      <c r="Y986" s="14">
        <f t="shared" si="406"/>
        <v>3.5</v>
      </c>
      <c r="Z986" s="14">
        <f t="shared" si="407"/>
        <v>-3.5</v>
      </c>
      <c r="AA986" s="11">
        <f t="shared" si="409"/>
        <v>2.41</v>
      </c>
      <c r="AB986" s="9">
        <f t="shared" si="412"/>
        <v>4.82</v>
      </c>
      <c r="AD986" s="13">
        <f>IF(AH986&gt;AH985,AD985,IF(AD985&lt;MiscData!$F$1,EOMONTH(AD985,1),EOMONTH(AD985,-11)))</f>
        <v>42369</v>
      </c>
      <c r="AE986" s="7" t="str">
        <f t="shared" si="404"/>
        <v>20140101KUUM_376</v>
      </c>
      <c r="AF986" s="12" t="str">
        <f t="shared" si="405"/>
        <v>20140101LS</v>
      </c>
      <c r="AG986" s="31"/>
      <c r="AH986">
        <f>IF(AH985=MiscData!$AB$91,1,AH985+1)</f>
        <v>17</v>
      </c>
      <c r="AI986">
        <f>IF(AD986&lt;=MiscData!$B$23,MiscData!$C$23,IF(AD986&lt;=MiscData!$B$24,MiscData!$C$24,MiscData!$C$25))</f>
        <v>20140101</v>
      </c>
      <c r="AK986" s="190" t="str">
        <f>VLOOKUP(AM986,MiscData!$AB$4:$ACB$113,2,FALSE)</f>
        <v>KUUM_376</v>
      </c>
      <c r="AL986" s="190" t="str">
        <f>VLOOKUP(AM986,MiscData!$AB$4:$AE$115,4,FALSE)</f>
        <v>LS</v>
      </c>
      <c r="AM986">
        <f>IF(AM985=MiscData!$AB$91,1,AM985+1)</f>
        <v>17</v>
      </c>
    </row>
    <row r="987" spans="1:39">
      <c r="A987" s="7">
        <f t="shared" si="408"/>
        <v>986</v>
      </c>
      <c r="B987" s="13" t="str">
        <f t="shared" si="390"/>
        <v>Dec 2015</v>
      </c>
      <c r="C987" s="23" t="str">
        <f t="shared" si="391"/>
        <v>LS</v>
      </c>
      <c r="D987" s="23" t="str">
        <f t="shared" si="392"/>
        <v>KUUM_377</v>
      </c>
      <c r="E987" s="170">
        <f t="shared" si="393"/>
        <v>52</v>
      </c>
      <c r="F987" s="185"/>
      <c r="G987" s="170">
        <f t="shared" si="389"/>
        <v>0</v>
      </c>
      <c r="H987" s="170">
        <v>0</v>
      </c>
      <c r="I987" s="11">
        <f t="shared" si="394"/>
        <v>64.19</v>
      </c>
      <c r="J987" s="11">
        <f t="shared" si="395"/>
        <v>1.75</v>
      </c>
      <c r="K987" s="416">
        <f t="shared" si="410"/>
        <v>3337.88</v>
      </c>
      <c r="L987" s="180"/>
      <c r="M987" s="180"/>
      <c r="N987" s="186">
        <f t="shared" si="388"/>
        <v>3337.88</v>
      </c>
      <c r="O987" s="29">
        <f t="shared" si="396"/>
        <v>0</v>
      </c>
      <c r="P987" s="181">
        <f t="shared" si="411"/>
        <v>0</v>
      </c>
      <c r="Q987" s="182">
        <f t="shared" si="397"/>
        <v>0</v>
      </c>
      <c r="R987" s="182">
        <f t="shared" si="398"/>
        <v>0</v>
      </c>
      <c r="S987" s="182">
        <f t="shared" si="399"/>
        <v>0</v>
      </c>
      <c r="T987" s="182">
        <f t="shared" si="400"/>
        <v>0</v>
      </c>
      <c r="U987" s="182">
        <f t="shared" si="401"/>
        <v>0</v>
      </c>
      <c r="V987" s="14">
        <f t="shared" si="402"/>
        <v>3337.88</v>
      </c>
      <c r="W987" s="14">
        <f t="shared" si="403"/>
        <v>-3337.88</v>
      </c>
      <c r="Y987" s="14">
        <f t="shared" si="406"/>
        <v>91</v>
      </c>
      <c r="Z987" s="14">
        <f t="shared" si="407"/>
        <v>-91</v>
      </c>
      <c r="AA987" s="11">
        <f t="shared" si="409"/>
        <v>2.41</v>
      </c>
      <c r="AB987" s="9">
        <f t="shared" si="412"/>
        <v>125.32000000000001</v>
      </c>
      <c r="AD987" s="13">
        <f>IF(AH987&gt;AH986,AD986,IF(AD986&lt;MiscData!$F$1,EOMONTH(AD986,1),EOMONTH(AD986,-11)))</f>
        <v>42369</v>
      </c>
      <c r="AE987" s="7" t="str">
        <f t="shared" si="404"/>
        <v>20140101KUUM_377</v>
      </c>
      <c r="AF987" s="12" t="str">
        <f t="shared" si="405"/>
        <v>20140101LS</v>
      </c>
      <c r="AG987" s="31"/>
      <c r="AH987">
        <f>IF(AH986=MiscData!$AB$91,1,AH986+1)</f>
        <v>18</v>
      </c>
      <c r="AI987">
        <f>IF(AD987&lt;=MiscData!$B$23,MiscData!$C$23,IF(AD987&lt;=MiscData!$B$24,MiscData!$C$24,MiscData!$C$25))</f>
        <v>20140101</v>
      </c>
      <c r="AK987" s="190" t="str">
        <f>VLOOKUP(AM987,MiscData!$AB$4:$ACB$113,2,FALSE)</f>
        <v>KUUM_377</v>
      </c>
      <c r="AL987" s="190" t="str">
        <f>VLOOKUP(AM987,MiscData!$AB$4:$AE$115,4,FALSE)</f>
        <v>LS</v>
      </c>
      <c r="AM987">
        <f>IF(AM986=MiscData!$AB$91,1,AM986+1)</f>
        <v>18</v>
      </c>
    </row>
    <row r="988" spans="1:39">
      <c r="A988" s="7">
        <f t="shared" si="408"/>
        <v>987</v>
      </c>
      <c r="B988" s="13" t="str">
        <f t="shared" si="390"/>
        <v>Dec 2015</v>
      </c>
      <c r="C988" s="23" t="str">
        <f t="shared" si="391"/>
        <v>LS</v>
      </c>
      <c r="D988" s="23" t="str">
        <f t="shared" si="392"/>
        <v>KUUM_378</v>
      </c>
      <c r="E988" s="170">
        <f t="shared" si="393"/>
        <v>2</v>
      </c>
      <c r="F988" s="185"/>
      <c r="G988" s="170">
        <f t="shared" si="389"/>
        <v>0</v>
      </c>
      <c r="H988" s="170">
        <v>0</v>
      </c>
      <c r="I988" s="11">
        <f t="shared" si="394"/>
        <v>75.899999999999991</v>
      </c>
      <c r="J988" s="11">
        <f t="shared" si="395"/>
        <v>1.75</v>
      </c>
      <c r="K988" s="416">
        <f t="shared" si="410"/>
        <v>151.80000000000001</v>
      </c>
      <c r="L988" s="180"/>
      <c r="M988" s="180"/>
      <c r="N988" s="186">
        <f t="shared" si="388"/>
        <v>151.80000000000001</v>
      </c>
      <c r="O988" s="29">
        <f t="shared" si="396"/>
        <v>0</v>
      </c>
      <c r="P988" s="181">
        <f t="shared" si="411"/>
        <v>0</v>
      </c>
      <c r="Q988" s="182">
        <f t="shared" si="397"/>
        <v>0</v>
      </c>
      <c r="R988" s="182">
        <f t="shared" si="398"/>
        <v>0</v>
      </c>
      <c r="S988" s="182">
        <f t="shared" si="399"/>
        <v>0</v>
      </c>
      <c r="T988" s="182">
        <f t="shared" si="400"/>
        <v>0</v>
      </c>
      <c r="U988" s="182">
        <f t="shared" si="401"/>
        <v>0</v>
      </c>
      <c r="V988" s="14">
        <f t="shared" si="402"/>
        <v>151.80000000000001</v>
      </c>
      <c r="W988" s="14">
        <f t="shared" si="403"/>
        <v>-151.80000000000001</v>
      </c>
      <c r="Y988" s="14">
        <f t="shared" si="406"/>
        <v>3.5</v>
      </c>
      <c r="Z988" s="14">
        <f t="shared" si="407"/>
        <v>-3.5</v>
      </c>
      <c r="AA988" s="11">
        <f t="shared" si="409"/>
        <v>2.41</v>
      </c>
      <c r="AB988" s="9">
        <f t="shared" si="412"/>
        <v>4.82</v>
      </c>
      <c r="AD988" s="13">
        <f>IF(AH988&gt;AH987,AD987,IF(AD987&lt;MiscData!$F$1,EOMONTH(AD987,1),EOMONTH(AD987,-11)))</f>
        <v>42369</v>
      </c>
      <c r="AE988" s="7" t="str">
        <f t="shared" si="404"/>
        <v>20140101KUUM_378</v>
      </c>
      <c r="AF988" s="12" t="str">
        <f t="shared" si="405"/>
        <v>20140101LS</v>
      </c>
      <c r="AG988" s="31"/>
      <c r="AH988">
        <f>IF(AH987=MiscData!$AB$91,1,AH987+1)</f>
        <v>19</v>
      </c>
      <c r="AI988">
        <f>IF(AD988&lt;=MiscData!$B$23,MiscData!$C$23,IF(AD988&lt;=MiscData!$B$24,MiscData!$C$24,MiscData!$C$25))</f>
        <v>20140101</v>
      </c>
      <c r="AK988" s="190" t="str">
        <f>VLOOKUP(AM988,MiscData!$AB$4:$ACB$113,2,FALSE)</f>
        <v>KUUM_378</v>
      </c>
      <c r="AL988" s="190" t="str">
        <f>VLOOKUP(AM988,MiscData!$AB$4:$AE$115,4,FALSE)</f>
        <v>LS</v>
      </c>
      <c r="AM988">
        <f>IF(AM987=MiscData!$AB$91,1,AM987+1)</f>
        <v>19</v>
      </c>
    </row>
    <row r="989" spans="1:39">
      <c r="A989" s="7">
        <f t="shared" si="408"/>
        <v>988</v>
      </c>
      <c r="B989" s="13" t="str">
        <f t="shared" si="390"/>
        <v>Dec 2015</v>
      </c>
      <c r="C989" s="23" t="str">
        <f t="shared" si="391"/>
        <v>LS</v>
      </c>
      <c r="D989" s="23" t="str">
        <f t="shared" si="392"/>
        <v>KUUM_401</v>
      </c>
      <c r="E989" s="170">
        <f t="shared" si="393"/>
        <v>51</v>
      </c>
      <c r="F989" s="185"/>
      <c r="G989" s="170">
        <f t="shared" si="389"/>
        <v>0</v>
      </c>
      <c r="H989" s="170">
        <v>0</v>
      </c>
      <c r="I989" s="11">
        <f t="shared" si="394"/>
        <v>14.860000000000001</v>
      </c>
      <c r="J989" s="11">
        <f t="shared" si="395"/>
        <v>0.80000000000000071</v>
      </c>
      <c r="K989" s="416">
        <f t="shared" si="410"/>
        <v>757.86</v>
      </c>
      <c r="L989" s="180"/>
      <c r="M989" s="180"/>
      <c r="N989" s="186">
        <f t="shared" si="388"/>
        <v>757.86</v>
      </c>
      <c r="O989" s="29">
        <f t="shared" si="396"/>
        <v>0</v>
      </c>
      <c r="P989" s="181">
        <f t="shared" si="411"/>
        <v>0</v>
      </c>
      <c r="Q989" s="182">
        <f t="shared" si="397"/>
        <v>0</v>
      </c>
      <c r="R989" s="182">
        <f t="shared" si="398"/>
        <v>0</v>
      </c>
      <c r="S989" s="182">
        <f t="shared" si="399"/>
        <v>0</v>
      </c>
      <c r="T989" s="182">
        <f t="shared" si="400"/>
        <v>0</v>
      </c>
      <c r="U989" s="182">
        <f t="shared" si="401"/>
        <v>0</v>
      </c>
      <c r="V989" s="14">
        <f t="shared" si="402"/>
        <v>757.86</v>
      </c>
      <c r="W989" s="14">
        <f t="shared" si="403"/>
        <v>-757.86</v>
      </c>
      <c r="Y989" s="14">
        <f t="shared" si="406"/>
        <v>40.799999999999997</v>
      </c>
      <c r="Z989" s="14">
        <f t="shared" si="407"/>
        <v>-40.799999999999997</v>
      </c>
      <c r="AA989" s="11">
        <f t="shared" si="409"/>
        <v>0.43</v>
      </c>
      <c r="AB989" s="9">
        <f t="shared" si="412"/>
        <v>21.93</v>
      </c>
      <c r="AD989" s="13">
        <f>IF(AH989&gt;AH988,AD988,IF(AD988&lt;MiscData!$F$1,EOMONTH(AD988,1),EOMONTH(AD988,-11)))</f>
        <v>42369</v>
      </c>
      <c r="AE989" s="7" t="str">
        <f t="shared" si="404"/>
        <v>20140101KUUM_401</v>
      </c>
      <c r="AF989" s="12" t="str">
        <f t="shared" si="405"/>
        <v>20140101LS</v>
      </c>
      <c r="AG989" s="31"/>
      <c r="AH989">
        <f>IF(AH988=MiscData!$AB$91,1,AH988+1)</f>
        <v>20</v>
      </c>
      <c r="AI989">
        <f>IF(AD989&lt;=MiscData!$B$23,MiscData!$C$23,IF(AD989&lt;=MiscData!$B$24,MiscData!$C$24,MiscData!$C$25))</f>
        <v>20140101</v>
      </c>
      <c r="AK989" s="190" t="str">
        <f>VLOOKUP(AM989,MiscData!$AB$4:$ACB$113,2,FALSE)</f>
        <v>KUUM_401</v>
      </c>
      <c r="AL989" s="190" t="str">
        <f>VLOOKUP(AM989,MiscData!$AB$4:$AE$115,4,FALSE)</f>
        <v>LS</v>
      </c>
      <c r="AM989">
        <f>IF(AM988=MiscData!$AB$91,1,AM988+1)</f>
        <v>20</v>
      </c>
    </row>
    <row r="990" spans="1:39">
      <c r="A990" s="7">
        <f t="shared" si="408"/>
        <v>989</v>
      </c>
      <c r="B990" s="13" t="str">
        <f t="shared" si="390"/>
        <v>Dec 2015</v>
      </c>
      <c r="C990" s="23" t="str">
        <f t="shared" si="391"/>
        <v>RLS</v>
      </c>
      <c r="D990" s="23" t="str">
        <f t="shared" si="392"/>
        <v>KUUM_404</v>
      </c>
      <c r="E990" s="170">
        <f t="shared" si="393"/>
        <v>7046</v>
      </c>
      <c r="F990" s="185"/>
      <c r="G990" s="170">
        <f t="shared" si="389"/>
        <v>0</v>
      </c>
      <c r="H990" s="170">
        <v>0</v>
      </c>
      <c r="I990" s="11">
        <f t="shared" si="394"/>
        <v>10.570000000000002</v>
      </c>
      <c r="J990" s="11">
        <f t="shared" si="395"/>
        <v>1.9900000000000002</v>
      </c>
      <c r="K990" s="416">
        <f t="shared" si="410"/>
        <v>74476.22</v>
      </c>
      <c r="L990" s="180"/>
      <c r="M990" s="180"/>
      <c r="N990" s="186">
        <f t="shared" si="388"/>
        <v>74476.22</v>
      </c>
      <c r="O990" s="29">
        <f t="shared" si="396"/>
        <v>0</v>
      </c>
      <c r="P990" s="181">
        <f t="shared" si="411"/>
        <v>0</v>
      </c>
      <c r="Q990" s="182">
        <f t="shared" si="397"/>
        <v>0</v>
      </c>
      <c r="R990" s="182">
        <f t="shared" si="398"/>
        <v>0</v>
      </c>
      <c r="S990" s="182">
        <f t="shared" si="399"/>
        <v>0</v>
      </c>
      <c r="T990" s="182">
        <f t="shared" si="400"/>
        <v>0</v>
      </c>
      <c r="U990" s="182">
        <f t="shared" si="401"/>
        <v>0</v>
      </c>
      <c r="V990" s="14">
        <f t="shared" si="402"/>
        <v>74476.22</v>
      </c>
      <c r="W990" s="14">
        <f t="shared" si="403"/>
        <v>-74476.22</v>
      </c>
      <c r="Y990" s="14">
        <f t="shared" si="406"/>
        <v>14021.54</v>
      </c>
      <c r="Z990" s="14">
        <f t="shared" si="407"/>
        <v>-14021.54</v>
      </c>
      <c r="AA990" s="11">
        <f t="shared" si="409"/>
        <v>0.39</v>
      </c>
      <c r="AB990" s="9">
        <f t="shared" si="412"/>
        <v>2747.94</v>
      </c>
      <c r="AD990" s="13">
        <f>IF(AH990&gt;AH989,AD989,IF(AD989&lt;MiscData!$F$1,EOMONTH(AD989,1),EOMONTH(AD989,-11)))</f>
        <v>42369</v>
      </c>
      <c r="AE990" s="7" t="str">
        <f t="shared" si="404"/>
        <v>20140101KUUM_404</v>
      </c>
      <c r="AF990" s="12" t="str">
        <f t="shared" si="405"/>
        <v>20140101RLS</v>
      </c>
      <c r="AG990" s="31"/>
      <c r="AH990">
        <f>IF(AH989=MiscData!$AB$91,1,AH989+1)</f>
        <v>21</v>
      </c>
      <c r="AI990">
        <f>IF(AD990&lt;=MiscData!$B$23,MiscData!$C$23,IF(AD990&lt;=MiscData!$B$24,MiscData!$C$24,MiscData!$C$25))</f>
        <v>20140101</v>
      </c>
      <c r="AK990" s="190" t="str">
        <f>VLOOKUP(AM990,MiscData!$AB$4:$ACB$113,2,FALSE)</f>
        <v>KUUM_404</v>
      </c>
      <c r="AL990" s="190" t="str">
        <f>VLOOKUP(AM990,MiscData!$AB$4:$AE$115,4,FALSE)</f>
        <v>RLS</v>
      </c>
      <c r="AM990">
        <f>IF(AM989=MiscData!$AB$91,1,AM989+1)</f>
        <v>21</v>
      </c>
    </row>
    <row r="991" spans="1:39">
      <c r="A991" s="7">
        <f t="shared" si="408"/>
        <v>990</v>
      </c>
      <c r="B991" s="13" t="str">
        <f t="shared" si="390"/>
        <v>Dec 2015</v>
      </c>
      <c r="C991" s="23" t="str">
        <f t="shared" si="391"/>
        <v>RLS</v>
      </c>
      <c r="D991" s="23" t="str">
        <f t="shared" si="392"/>
        <v>KUUM_405</v>
      </c>
      <c r="E991" s="170">
        <f t="shared" si="393"/>
        <v>0</v>
      </c>
      <c r="F991" s="185"/>
      <c r="G991" s="170">
        <f t="shared" si="389"/>
        <v>0</v>
      </c>
      <c r="H991" s="170">
        <v>0</v>
      </c>
      <c r="I991" s="11">
        <f t="shared" si="394"/>
        <v>0</v>
      </c>
      <c r="J991" s="11">
        <f t="shared" si="395"/>
        <v>0</v>
      </c>
      <c r="K991" s="416">
        <f t="shared" si="410"/>
        <v>0</v>
      </c>
      <c r="L991" s="180"/>
      <c r="M991" s="180"/>
      <c r="N991" s="186">
        <f t="shared" si="388"/>
        <v>0</v>
      </c>
      <c r="O991" s="29">
        <f t="shared" si="396"/>
        <v>0</v>
      </c>
      <c r="P991" s="181">
        <f t="shared" si="411"/>
        <v>1</v>
      </c>
      <c r="Q991" s="182">
        <f t="shared" si="397"/>
        <v>0</v>
      </c>
      <c r="R991" s="182">
        <f t="shared" si="398"/>
        <v>0</v>
      </c>
      <c r="S991" s="182">
        <f t="shared" si="399"/>
        <v>0</v>
      </c>
      <c r="T991" s="182">
        <f t="shared" si="400"/>
        <v>0</v>
      </c>
      <c r="U991" s="182">
        <f t="shared" si="401"/>
        <v>0</v>
      </c>
      <c r="V991" s="14">
        <f t="shared" si="402"/>
        <v>0</v>
      </c>
      <c r="W991" s="14">
        <f t="shared" si="403"/>
        <v>0</v>
      </c>
      <c r="Y991" s="14">
        <f t="shared" si="406"/>
        <v>0</v>
      </c>
      <c r="Z991" s="14">
        <f t="shared" si="407"/>
        <v>0</v>
      </c>
      <c r="AA991" s="11">
        <f t="shared" si="409"/>
        <v>0</v>
      </c>
      <c r="AB991" s="9">
        <f t="shared" si="412"/>
        <v>0</v>
      </c>
      <c r="AD991" s="13">
        <f>IF(AH991&gt;AH990,AD990,IF(AD990&lt;MiscData!$F$1,EOMONTH(AD990,1),EOMONTH(AD990,-11)))</f>
        <v>42369</v>
      </c>
      <c r="AE991" s="7" t="str">
        <f t="shared" si="404"/>
        <v>20140101KUUM_405</v>
      </c>
      <c r="AF991" s="12" t="str">
        <f t="shared" si="405"/>
        <v>20140101RLS</v>
      </c>
      <c r="AG991" s="31"/>
      <c r="AH991">
        <f>IF(AH990=MiscData!$AB$91,1,AH990+1)</f>
        <v>22</v>
      </c>
      <c r="AI991">
        <f>IF(AD991&lt;=MiscData!$B$23,MiscData!$C$23,IF(AD991&lt;=MiscData!$B$24,MiscData!$C$24,MiscData!$C$25))</f>
        <v>20140101</v>
      </c>
      <c r="AK991" s="190" t="str">
        <f>VLOOKUP(AM991,MiscData!$AB$4:$ACB$113,2,FALSE)</f>
        <v>KUUM_405</v>
      </c>
      <c r="AL991" s="190" t="str">
        <f>VLOOKUP(AM991,MiscData!$AB$4:$AE$115,4,FALSE)</f>
        <v>RLS</v>
      </c>
      <c r="AM991">
        <f>IF(AM990=MiscData!$AB$91,1,AM990+1)</f>
        <v>22</v>
      </c>
    </row>
    <row r="992" spans="1:39">
      <c r="A992" s="7">
        <f t="shared" si="408"/>
        <v>991</v>
      </c>
      <c r="B992" s="13" t="str">
        <f t="shared" si="390"/>
        <v>Dec 2015</v>
      </c>
      <c r="C992" s="23" t="str">
        <f t="shared" si="391"/>
        <v>LS</v>
      </c>
      <c r="D992" s="23" t="str">
        <f t="shared" si="392"/>
        <v>KUUM_407</v>
      </c>
      <c r="E992" s="170">
        <f t="shared" si="393"/>
        <v>0</v>
      </c>
      <c r="F992" s="185"/>
      <c r="G992" s="170">
        <f t="shared" si="389"/>
        <v>0</v>
      </c>
      <c r="H992" s="170">
        <v>0</v>
      </c>
      <c r="I992" s="11">
        <f t="shared" si="394"/>
        <v>0</v>
      </c>
      <c r="J992" s="11">
        <f t="shared" si="395"/>
        <v>0</v>
      </c>
      <c r="K992" s="416">
        <f t="shared" si="410"/>
        <v>0</v>
      </c>
      <c r="L992" s="180"/>
      <c r="M992" s="180"/>
      <c r="N992" s="186">
        <f t="shared" si="388"/>
        <v>0</v>
      </c>
      <c r="O992" s="29">
        <f t="shared" si="396"/>
        <v>0</v>
      </c>
      <c r="P992" s="181">
        <f t="shared" si="411"/>
        <v>1</v>
      </c>
      <c r="Q992" s="182">
        <f t="shared" si="397"/>
        <v>0</v>
      </c>
      <c r="R992" s="182">
        <f t="shared" si="398"/>
        <v>0</v>
      </c>
      <c r="S992" s="182">
        <f t="shared" si="399"/>
        <v>0</v>
      </c>
      <c r="T992" s="182">
        <f t="shared" si="400"/>
        <v>0</v>
      </c>
      <c r="U992" s="182">
        <f t="shared" si="401"/>
        <v>0</v>
      </c>
      <c r="V992" s="14">
        <f t="shared" si="402"/>
        <v>0</v>
      </c>
      <c r="W992" s="14">
        <f t="shared" si="403"/>
        <v>0</v>
      </c>
      <c r="Y992" s="14">
        <f t="shared" si="406"/>
        <v>0</v>
      </c>
      <c r="Z992" s="14">
        <f t="shared" si="407"/>
        <v>0</v>
      </c>
      <c r="AA992" s="11">
        <f t="shared" si="409"/>
        <v>0</v>
      </c>
      <c r="AB992" s="9">
        <f t="shared" si="412"/>
        <v>0</v>
      </c>
      <c r="AD992" s="13">
        <f>IF(AH992&gt;AH991,AD991,IF(AD991&lt;MiscData!$F$1,EOMONTH(AD991,1),EOMONTH(AD991,-11)))</f>
        <v>42369</v>
      </c>
      <c r="AE992" s="7" t="str">
        <f t="shared" si="404"/>
        <v>20140101KUUM_407</v>
      </c>
      <c r="AF992" s="12" t="str">
        <f t="shared" si="405"/>
        <v>20140101LS</v>
      </c>
      <c r="AG992" s="31"/>
      <c r="AH992">
        <f>IF(AH991=MiscData!$AB$91,1,AH991+1)</f>
        <v>23</v>
      </c>
      <c r="AI992">
        <f>IF(AD992&lt;=MiscData!$B$23,MiscData!$C$23,IF(AD992&lt;=MiscData!$B$24,MiscData!$C$24,MiscData!$C$25))</f>
        <v>20140101</v>
      </c>
      <c r="AK992" s="190" t="str">
        <f>VLOOKUP(AM992,MiscData!$AB$4:$ACB$113,2,FALSE)</f>
        <v>KUUM_407</v>
      </c>
      <c r="AL992" s="190" t="str">
        <f>VLOOKUP(AM992,MiscData!$AB$4:$AE$115,4,FALSE)</f>
        <v>LS</v>
      </c>
      <c r="AM992">
        <f>IF(AM991=MiscData!$AB$91,1,AM991+1)</f>
        <v>23</v>
      </c>
    </row>
    <row r="993" spans="1:39">
      <c r="A993" s="7">
        <f t="shared" si="408"/>
        <v>992</v>
      </c>
      <c r="B993" s="13" t="str">
        <f t="shared" si="390"/>
        <v>Dec 2015</v>
      </c>
      <c r="C993" s="23" t="str">
        <f t="shared" si="391"/>
        <v>RLS</v>
      </c>
      <c r="D993" s="23" t="str">
        <f t="shared" si="392"/>
        <v>KUUM_409</v>
      </c>
      <c r="E993" s="170">
        <f t="shared" si="393"/>
        <v>130</v>
      </c>
      <c r="F993" s="185"/>
      <c r="G993" s="170">
        <f t="shared" si="389"/>
        <v>0</v>
      </c>
      <c r="H993" s="170">
        <v>0</v>
      </c>
      <c r="I993" s="11">
        <f t="shared" si="394"/>
        <v>11.71</v>
      </c>
      <c r="J993" s="11">
        <f t="shared" si="395"/>
        <v>4.5299999999999994</v>
      </c>
      <c r="K993" s="416">
        <f t="shared" si="410"/>
        <v>1522.3</v>
      </c>
      <c r="L993" s="180"/>
      <c r="M993" s="180"/>
      <c r="N993" s="186">
        <f t="shared" si="388"/>
        <v>1522.3</v>
      </c>
      <c r="O993" s="29">
        <f t="shared" si="396"/>
        <v>0</v>
      </c>
      <c r="P993" s="181">
        <f t="shared" si="411"/>
        <v>0</v>
      </c>
      <c r="Q993" s="182">
        <f t="shared" si="397"/>
        <v>0</v>
      </c>
      <c r="R993" s="182">
        <f t="shared" si="398"/>
        <v>0</v>
      </c>
      <c r="S993" s="182">
        <f t="shared" si="399"/>
        <v>0</v>
      </c>
      <c r="T993" s="182">
        <f t="shared" si="400"/>
        <v>0</v>
      </c>
      <c r="U993" s="182">
        <f t="shared" si="401"/>
        <v>0</v>
      </c>
      <c r="V993" s="14">
        <f t="shared" si="402"/>
        <v>1522.3</v>
      </c>
      <c r="W993" s="14">
        <f t="shared" si="403"/>
        <v>-1522.3</v>
      </c>
      <c r="Y993" s="14">
        <f t="shared" si="406"/>
        <v>588.9</v>
      </c>
      <c r="Z993" s="14">
        <f t="shared" si="407"/>
        <v>-588.9</v>
      </c>
      <c r="AA993" s="11">
        <f t="shared" si="409"/>
        <v>0.79</v>
      </c>
      <c r="AB993" s="9">
        <f t="shared" si="412"/>
        <v>102.7</v>
      </c>
      <c r="AD993" s="13">
        <f>IF(AH993&gt;AH992,AD992,IF(AD992&lt;MiscData!$F$1,EOMONTH(AD992,1),EOMONTH(AD992,-11)))</f>
        <v>42369</v>
      </c>
      <c r="AE993" s="7" t="str">
        <f t="shared" si="404"/>
        <v>20140101KUUM_409</v>
      </c>
      <c r="AF993" s="12" t="str">
        <f t="shared" si="405"/>
        <v>20140101RLS</v>
      </c>
      <c r="AG993" s="31"/>
      <c r="AH993">
        <f>IF(AH992=MiscData!$AB$91,1,AH992+1)</f>
        <v>24</v>
      </c>
      <c r="AI993">
        <f>IF(AD993&lt;=MiscData!$B$23,MiscData!$C$23,IF(AD993&lt;=MiscData!$B$24,MiscData!$C$24,MiscData!$C$25))</f>
        <v>20140101</v>
      </c>
      <c r="AK993" s="190" t="str">
        <f>VLOOKUP(AM993,MiscData!$AB$4:$ACB$113,2,FALSE)</f>
        <v>KUUM_409</v>
      </c>
      <c r="AL993" s="190" t="str">
        <f>VLOOKUP(AM993,MiscData!$AB$4:$AE$115,4,FALSE)</f>
        <v>RLS</v>
      </c>
      <c r="AM993">
        <f>IF(AM992=MiscData!$AB$91,1,AM992+1)</f>
        <v>24</v>
      </c>
    </row>
    <row r="994" spans="1:39">
      <c r="A994" s="7">
        <f t="shared" si="408"/>
        <v>993</v>
      </c>
      <c r="B994" s="13" t="str">
        <f t="shared" si="390"/>
        <v>Dec 2015</v>
      </c>
      <c r="C994" s="23" t="str">
        <f t="shared" si="391"/>
        <v>RLS</v>
      </c>
      <c r="D994" s="23" t="str">
        <f t="shared" si="392"/>
        <v>KUUM_410</v>
      </c>
      <c r="E994" s="170">
        <f t="shared" si="393"/>
        <v>236</v>
      </c>
      <c r="F994" s="185"/>
      <c r="G994" s="170">
        <f t="shared" si="389"/>
        <v>0</v>
      </c>
      <c r="H994" s="170">
        <v>0</v>
      </c>
      <c r="I994" s="11">
        <f t="shared" si="394"/>
        <v>20.259999999999998</v>
      </c>
      <c r="J994" s="11">
        <f t="shared" si="395"/>
        <v>0.57000000000000028</v>
      </c>
      <c r="K994" s="416">
        <f t="shared" si="410"/>
        <v>4781.3599999999997</v>
      </c>
      <c r="L994" s="180"/>
      <c r="M994" s="180"/>
      <c r="N994" s="186">
        <f t="shared" si="388"/>
        <v>4781.3599999999997</v>
      </c>
      <c r="O994" s="29">
        <f t="shared" si="396"/>
        <v>0</v>
      </c>
      <c r="P994" s="181">
        <f t="shared" si="411"/>
        <v>0</v>
      </c>
      <c r="Q994" s="182">
        <f t="shared" si="397"/>
        <v>0</v>
      </c>
      <c r="R994" s="182">
        <f t="shared" si="398"/>
        <v>0</v>
      </c>
      <c r="S994" s="182">
        <f t="shared" si="399"/>
        <v>0</v>
      </c>
      <c r="T994" s="182">
        <f t="shared" si="400"/>
        <v>0</v>
      </c>
      <c r="U994" s="182">
        <f t="shared" si="401"/>
        <v>0</v>
      </c>
      <c r="V994" s="14">
        <f t="shared" si="402"/>
        <v>4781.3599999999997</v>
      </c>
      <c r="W994" s="14">
        <f t="shared" si="403"/>
        <v>-4781.3599999999997</v>
      </c>
      <c r="Y994" s="14">
        <f t="shared" si="406"/>
        <v>134.52000000000001</v>
      </c>
      <c r="Z994" s="14">
        <f t="shared" si="407"/>
        <v>-134.52000000000001</v>
      </c>
      <c r="AA994" s="11">
        <f t="shared" si="409"/>
        <v>0.33</v>
      </c>
      <c r="AB994" s="9">
        <f t="shared" si="412"/>
        <v>77.88000000000001</v>
      </c>
      <c r="AD994" s="13">
        <f>IF(AH994&gt;AH993,AD993,IF(AD993&lt;MiscData!$F$1,EOMONTH(AD993,1),EOMONTH(AD993,-11)))</f>
        <v>42369</v>
      </c>
      <c r="AE994" s="7" t="str">
        <f t="shared" si="404"/>
        <v>20140101KUUM_410</v>
      </c>
      <c r="AF994" s="12" t="str">
        <f t="shared" si="405"/>
        <v>20140101RLS</v>
      </c>
      <c r="AG994" s="31"/>
      <c r="AH994">
        <f>IF(AH993=MiscData!$AB$91,1,AH993+1)</f>
        <v>25</v>
      </c>
      <c r="AI994">
        <f>IF(AD994&lt;=MiscData!$B$23,MiscData!$C$23,IF(AD994&lt;=MiscData!$B$24,MiscData!$C$24,MiscData!$C$25))</f>
        <v>20140101</v>
      </c>
      <c r="AK994" s="190" t="str">
        <f>VLOOKUP(AM994,MiscData!$AB$4:$ACB$113,2,FALSE)</f>
        <v>KUUM_410</v>
      </c>
      <c r="AL994" s="190" t="str">
        <f>VLOOKUP(AM994,MiscData!$AB$4:$AE$115,4,FALSE)</f>
        <v>RLS</v>
      </c>
      <c r="AM994">
        <f>IF(AM993=MiscData!$AB$91,1,AM993+1)</f>
        <v>25</v>
      </c>
    </row>
    <row r="995" spans="1:39">
      <c r="A995" s="7">
        <f t="shared" si="408"/>
        <v>994</v>
      </c>
      <c r="B995" s="13" t="str">
        <f t="shared" si="390"/>
        <v>Dec 2015</v>
      </c>
      <c r="C995" s="23" t="str">
        <f t="shared" si="391"/>
        <v>LS</v>
      </c>
      <c r="D995" s="23" t="str">
        <f t="shared" si="392"/>
        <v>KUUM_411</v>
      </c>
      <c r="E995" s="170">
        <f t="shared" si="393"/>
        <v>142</v>
      </c>
      <c r="F995" s="185"/>
      <c r="G995" s="170">
        <f t="shared" si="389"/>
        <v>0</v>
      </c>
      <c r="H995" s="170">
        <v>0</v>
      </c>
      <c r="I995" s="11">
        <f t="shared" si="394"/>
        <v>21.38</v>
      </c>
      <c r="J995" s="11">
        <f t="shared" si="395"/>
        <v>0.79999999999999716</v>
      </c>
      <c r="K995" s="416">
        <f t="shared" si="410"/>
        <v>3035.96</v>
      </c>
      <c r="L995" s="180"/>
      <c r="M995" s="180"/>
      <c r="N995" s="186">
        <f t="shared" si="388"/>
        <v>3035.96</v>
      </c>
      <c r="O995" s="29">
        <f t="shared" si="396"/>
        <v>0</v>
      </c>
      <c r="P995" s="181">
        <f t="shared" si="411"/>
        <v>0</v>
      </c>
      <c r="Q995" s="182">
        <f t="shared" si="397"/>
        <v>0</v>
      </c>
      <c r="R995" s="182">
        <f t="shared" si="398"/>
        <v>0</v>
      </c>
      <c r="S995" s="182">
        <f t="shared" si="399"/>
        <v>0</v>
      </c>
      <c r="T995" s="182">
        <f t="shared" si="400"/>
        <v>0</v>
      </c>
      <c r="U995" s="182">
        <f t="shared" si="401"/>
        <v>0</v>
      </c>
      <c r="V995" s="14">
        <f t="shared" si="402"/>
        <v>3035.96</v>
      </c>
      <c r="W995" s="14">
        <f t="shared" si="403"/>
        <v>-3035.96</v>
      </c>
      <c r="Y995" s="14">
        <f t="shared" si="406"/>
        <v>113.6</v>
      </c>
      <c r="Z995" s="14">
        <f t="shared" si="407"/>
        <v>-113.6</v>
      </c>
      <c r="AA995" s="11">
        <f t="shared" si="409"/>
        <v>0.43</v>
      </c>
      <c r="AB995" s="9">
        <f t="shared" si="412"/>
        <v>61.06</v>
      </c>
      <c r="AD995" s="13">
        <f>IF(AH995&gt;AH994,AD994,IF(AD994&lt;MiscData!$F$1,EOMONTH(AD994,1),EOMONTH(AD994,-11)))</f>
        <v>42369</v>
      </c>
      <c r="AE995" s="7" t="str">
        <f t="shared" si="404"/>
        <v>20140101KUUM_411</v>
      </c>
      <c r="AF995" s="12" t="str">
        <f t="shared" si="405"/>
        <v>20140101LS</v>
      </c>
      <c r="AG995" s="31"/>
      <c r="AH995">
        <f>IF(AH994=MiscData!$AB$91,1,AH994+1)</f>
        <v>26</v>
      </c>
      <c r="AI995">
        <f>IF(AD995&lt;=MiscData!$B$23,MiscData!$C$23,IF(AD995&lt;=MiscData!$B$24,MiscData!$C$24,MiscData!$C$25))</f>
        <v>20140101</v>
      </c>
      <c r="AK995" s="190" t="str">
        <f>VLOOKUP(AM995,MiscData!$AB$4:$ACB$113,2,FALSE)</f>
        <v>KUUM_411</v>
      </c>
      <c r="AL995" s="190" t="str">
        <f>VLOOKUP(AM995,MiscData!$AB$4:$AE$115,4,FALSE)</f>
        <v>LS</v>
      </c>
      <c r="AM995">
        <f>IF(AM994=MiscData!$AB$91,1,AM994+1)</f>
        <v>26</v>
      </c>
    </row>
    <row r="996" spans="1:39">
      <c r="A996" s="7">
        <f t="shared" si="408"/>
        <v>995</v>
      </c>
      <c r="B996" s="13" t="str">
        <f t="shared" si="390"/>
        <v>Dec 2015</v>
      </c>
      <c r="C996" s="23" t="str">
        <f t="shared" si="391"/>
        <v>RLS</v>
      </c>
      <c r="D996" s="23" t="str">
        <f t="shared" si="392"/>
        <v>KUUM_412</v>
      </c>
      <c r="E996" s="170">
        <f t="shared" si="393"/>
        <v>28</v>
      </c>
      <c r="F996" s="185"/>
      <c r="G996" s="170">
        <f t="shared" si="389"/>
        <v>0</v>
      </c>
      <c r="H996" s="170">
        <v>0</v>
      </c>
      <c r="I996" s="11">
        <f t="shared" si="394"/>
        <v>30.84</v>
      </c>
      <c r="J996" s="11">
        <f t="shared" si="395"/>
        <v>0.79999999999999716</v>
      </c>
      <c r="K996" s="416">
        <f t="shared" si="410"/>
        <v>863.52</v>
      </c>
      <c r="L996" s="180"/>
      <c r="M996" s="180"/>
      <c r="N996" s="186">
        <f t="shared" si="388"/>
        <v>863.52</v>
      </c>
      <c r="O996" s="29">
        <f t="shared" si="396"/>
        <v>0</v>
      </c>
      <c r="P996" s="181">
        <f t="shared" si="411"/>
        <v>0</v>
      </c>
      <c r="Q996" s="182">
        <f t="shared" si="397"/>
        <v>0</v>
      </c>
      <c r="R996" s="182">
        <f t="shared" si="398"/>
        <v>0</v>
      </c>
      <c r="S996" s="182">
        <f t="shared" si="399"/>
        <v>0</v>
      </c>
      <c r="T996" s="182">
        <f t="shared" si="400"/>
        <v>0</v>
      </c>
      <c r="U996" s="182">
        <f t="shared" si="401"/>
        <v>0</v>
      </c>
      <c r="V996" s="14">
        <f t="shared" si="402"/>
        <v>863.52</v>
      </c>
      <c r="W996" s="14">
        <f t="shared" si="403"/>
        <v>-863.52</v>
      </c>
      <c r="Y996" s="14">
        <f t="shared" si="406"/>
        <v>22.4</v>
      </c>
      <c r="Z996" s="14">
        <f t="shared" si="407"/>
        <v>-22.4</v>
      </c>
      <c r="AA996" s="11">
        <f t="shared" si="409"/>
        <v>0.43</v>
      </c>
      <c r="AB996" s="9">
        <f t="shared" si="412"/>
        <v>12.04</v>
      </c>
      <c r="AD996" s="13">
        <f>IF(AH996&gt;AH995,AD995,IF(AD995&lt;MiscData!$F$1,EOMONTH(AD995,1),EOMONTH(AD995,-11)))</f>
        <v>42369</v>
      </c>
      <c r="AE996" s="7" t="str">
        <f t="shared" si="404"/>
        <v>20140101KUUM_412</v>
      </c>
      <c r="AF996" s="12" t="str">
        <f t="shared" si="405"/>
        <v>20140101RLS</v>
      </c>
      <c r="AG996" s="31"/>
      <c r="AH996">
        <f>IF(AH995=MiscData!$AB$91,1,AH995+1)</f>
        <v>27</v>
      </c>
      <c r="AI996">
        <f>IF(AD996&lt;=MiscData!$B$23,MiscData!$C$23,IF(AD996&lt;=MiscData!$B$24,MiscData!$C$24,MiscData!$C$25))</f>
        <v>20140101</v>
      </c>
      <c r="AK996" s="190" t="str">
        <f>VLOOKUP(AM996,MiscData!$AB$4:$ACB$113,2,FALSE)</f>
        <v>KUUM_412</v>
      </c>
      <c r="AL996" s="190" t="str">
        <f>VLOOKUP(AM996,MiscData!$AB$4:$AE$115,4,FALSE)</f>
        <v>RLS</v>
      </c>
      <c r="AM996">
        <f>IF(AM995=MiscData!$AB$91,1,AM995+1)</f>
        <v>27</v>
      </c>
    </row>
    <row r="997" spans="1:39">
      <c r="A997" s="7">
        <f t="shared" si="408"/>
        <v>996</v>
      </c>
      <c r="B997" s="13" t="str">
        <f t="shared" si="390"/>
        <v>Dec 2015</v>
      </c>
      <c r="C997" s="23" t="str">
        <f t="shared" si="391"/>
        <v>RLS</v>
      </c>
      <c r="D997" s="23" t="str">
        <f t="shared" si="392"/>
        <v>KUUM_413</v>
      </c>
      <c r="E997" s="170">
        <f t="shared" si="393"/>
        <v>97</v>
      </c>
      <c r="F997" s="185"/>
      <c r="G997" s="170">
        <f t="shared" si="389"/>
        <v>0</v>
      </c>
      <c r="H997" s="170">
        <v>0</v>
      </c>
      <c r="I997" s="11">
        <f t="shared" si="394"/>
        <v>31.22</v>
      </c>
      <c r="J997" s="11">
        <f t="shared" si="395"/>
        <v>1.129999999999999</v>
      </c>
      <c r="K997" s="416">
        <f t="shared" si="410"/>
        <v>3028.34</v>
      </c>
      <c r="L997" s="180"/>
      <c r="M997" s="180"/>
      <c r="N997" s="186">
        <f t="shared" si="388"/>
        <v>3028.34</v>
      </c>
      <c r="O997" s="29">
        <f t="shared" si="396"/>
        <v>0</v>
      </c>
      <c r="P997" s="181">
        <f t="shared" si="411"/>
        <v>0</v>
      </c>
      <c r="Q997" s="182">
        <f t="shared" si="397"/>
        <v>0</v>
      </c>
      <c r="R997" s="182">
        <f t="shared" si="398"/>
        <v>0</v>
      </c>
      <c r="S997" s="182">
        <f t="shared" si="399"/>
        <v>0</v>
      </c>
      <c r="T997" s="182">
        <f t="shared" si="400"/>
        <v>0</v>
      </c>
      <c r="U997" s="182">
        <f t="shared" si="401"/>
        <v>0</v>
      </c>
      <c r="V997" s="14">
        <f t="shared" si="402"/>
        <v>3028.34</v>
      </c>
      <c r="W997" s="14">
        <f t="shared" si="403"/>
        <v>-3028.34</v>
      </c>
      <c r="Y997" s="14">
        <f t="shared" si="406"/>
        <v>109.61</v>
      </c>
      <c r="Z997" s="14">
        <f t="shared" si="407"/>
        <v>-109.61</v>
      </c>
      <c r="AA997" s="11">
        <f t="shared" si="409"/>
        <v>0.34</v>
      </c>
      <c r="AB997" s="9">
        <f t="shared" si="412"/>
        <v>32.980000000000004</v>
      </c>
      <c r="AD997" s="13">
        <f>IF(AH997&gt;AH996,AD996,IF(AD996&lt;MiscData!$F$1,EOMONTH(AD996,1),EOMONTH(AD996,-11)))</f>
        <v>42369</v>
      </c>
      <c r="AE997" s="7" t="str">
        <f t="shared" si="404"/>
        <v>20140101KUUM_413</v>
      </c>
      <c r="AF997" s="12" t="str">
        <f t="shared" si="405"/>
        <v>20140101RLS</v>
      </c>
      <c r="AG997" s="31"/>
      <c r="AH997">
        <f>IF(AH996=MiscData!$AB$91,1,AH996+1)</f>
        <v>28</v>
      </c>
      <c r="AI997">
        <f>IF(AD997&lt;=MiscData!$B$23,MiscData!$C$23,IF(AD997&lt;=MiscData!$B$24,MiscData!$C$24,MiscData!$C$25))</f>
        <v>20140101</v>
      </c>
      <c r="AK997" s="190" t="str">
        <f>VLOOKUP(AM997,MiscData!$AB$4:$ACB$113,2,FALSE)</f>
        <v>KUUM_413</v>
      </c>
      <c r="AL997" s="190" t="str">
        <f>VLOOKUP(AM997,MiscData!$AB$4:$AE$115,4,FALSE)</f>
        <v>RLS</v>
      </c>
      <c r="AM997">
        <f>IF(AM996=MiscData!$AB$91,1,AM996+1)</f>
        <v>28</v>
      </c>
    </row>
    <row r="998" spans="1:39">
      <c r="A998" s="7">
        <f t="shared" si="408"/>
        <v>997</v>
      </c>
      <c r="B998" s="13" t="str">
        <f t="shared" si="390"/>
        <v>Dec 2015</v>
      </c>
      <c r="C998" s="23" t="str">
        <f t="shared" si="391"/>
        <v>LS</v>
      </c>
      <c r="D998" s="23" t="str">
        <f t="shared" si="392"/>
        <v>KUUM_414</v>
      </c>
      <c r="E998" s="170">
        <f t="shared" si="393"/>
        <v>21</v>
      </c>
      <c r="F998" s="185"/>
      <c r="G998" s="170">
        <f t="shared" si="389"/>
        <v>0</v>
      </c>
      <c r="H998" s="170">
        <v>0</v>
      </c>
      <c r="I998" s="11">
        <f t="shared" si="394"/>
        <v>30.84</v>
      </c>
      <c r="J998" s="11">
        <f t="shared" si="395"/>
        <v>0.79999999999999716</v>
      </c>
      <c r="K998" s="416">
        <f t="shared" si="410"/>
        <v>647.64</v>
      </c>
      <c r="L998" s="180"/>
      <c r="M998" s="180"/>
      <c r="N998" s="186">
        <f t="shared" si="388"/>
        <v>647.64</v>
      </c>
      <c r="O998" s="29">
        <f t="shared" si="396"/>
        <v>0</v>
      </c>
      <c r="P998" s="181">
        <f t="shared" si="411"/>
        <v>0</v>
      </c>
      <c r="Q998" s="182">
        <f t="shared" si="397"/>
        <v>0</v>
      </c>
      <c r="R998" s="182">
        <f t="shared" si="398"/>
        <v>0</v>
      </c>
      <c r="S998" s="182">
        <f t="shared" si="399"/>
        <v>0</v>
      </c>
      <c r="T998" s="182">
        <f t="shared" si="400"/>
        <v>0</v>
      </c>
      <c r="U998" s="182">
        <f t="shared" si="401"/>
        <v>0</v>
      </c>
      <c r="V998" s="14">
        <f t="shared" si="402"/>
        <v>647.64</v>
      </c>
      <c r="W998" s="14">
        <f t="shared" si="403"/>
        <v>-647.64</v>
      </c>
      <c r="Y998" s="14">
        <f t="shared" si="406"/>
        <v>16.8</v>
      </c>
      <c r="Z998" s="14">
        <f t="shared" si="407"/>
        <v>-16.8</v>
      </c>
      <c r="AA998" s="11">
        <f t="shared" si="409"/>
        <v>0.43</v>
      </c>
      <c r="AB998" s="9">
        <f t="shared" si="412"/>
        <v>9.0299999999999994</v>
      </c>
      <c r="AD998" s="13">
        <f>IF(AH998&gt;AH997,AD997,IF(AD997&lt;MiscData!$F$1,EOMONTH(AD997,1),EOMONTH(AD997,-11)))</f>
        <v>42369</v>
      </c>
      <c r="AE998" s="7" t="str">
        <f t="shared" si="404"/>
        <v>20140101KUUM_414</v>
      </c>
      <c r="AF998" s="12" t="str">
        <f t="shared" si="405"/>
        <v>20140101LS</v>
      </c>
      <c r="AG998" s="31"/>
      <c r="AH998">
        <f>IF(AH997=MiscData!$AB$91,1,AH997+1)</f>
        <v>29</v>
      </c>
      <c r="AI998">
        <f>IF(AD998&lt;=MiscData!$B$23,MiscData!$C$23,IF(AD998&lt;=MiscData!$B$24,MiscData!$C$24,MiscData!$C$25))</f>
        <v>20140101</v>
      </c>
      <c r="AK998" s="190" t="str">
        <f>VLOOKUP(AM998,MiscData!$AB$4:$ACB$113,2,FALSE)</f>
        <v>KUUM_414</v>
      </c>
      <c r="AL998" s="190" t="str">
        <f>VLOOKUP(AM998,MiscData!$AB$4:$AE$115,4,FALSE)</f>
        <v>LS</v>
      </c>
      <c r="AM998">
        <f>IF(AM997=MiscData!$AB$91,1,AM997+1)</f>
        <v>29</v>
      </c>
    </row>
    <row r="999" spans="1:39">
      <c r="A999" s="7">
        <f t="shared" si="408"/>
        <v>998</v>
      </c>
      <c r="B999" s="13" t="str">
        <f t="shared" si="390"/>
        <v>Dec 2015</v>
      </c>
      <c r="C999" s="23" t="str">
        <f t="shared" si="391"/>
        <v>LS</v>
      </c>
      <c r="D999" s="23" t="str">
        <f t="shared" si="392"/>
        <v>KUUM_415</v>
      </c>
      <c r="E999" s="170">
        <f t="shared" si="393"/>
        <v>10</v>
      </c>
      <c r="F999" s="185"/>
      <c r="G999" s="170">
        <f t="shared" si="389"/>
        <v>0</v>
      </c>
      <c r="H999" s="170">
        <v>0</v>
      </c>
      <c r="I999" s="11">
        <f t="shared" si="394"/>
        <v>31.22</v>
      </c>
      <c r="J999" s="11">
        <f t="shared" si="395"/>
        <v>1.129999999999999</v>
      </c>
      <c r="K999" s="416">
        <f t="shared" si="410"/>
        <v>312.2</v>
      </c>
      <c r="L999" s="180"/>
      <c r="M999" s="180"/>
      <c r="N999" s="186">
        <f t="shared" si="388"/>
        <v>312.2</v>
      </c>
      <c r="O999" s="29">
        <f t="shared" si="396"/>
        <v>0</v>
      </c>
      <c r="P999" s="181">
        <f t="shared" si="411"/>
        <v>0</v>
      </c>
      <c r="Q999" s="182">
        <f t="shared" si="397"/>
        <v>0</v>
      </c>
      <c r="R999" s="182">
        <f t="shared" si="398"/>
        <v>0</v>
      </c>
      <c r="S999" s="182">
        <f t="shared" si="399"/>
        <v>0</v>
      </c>
      <c r="T999" s="182">
        <f t="shared" si="400"/>
        <v>0</v>
      </c>
      <c r="U999" s="182">
        <f t="shared" si="401"/>
        <v>0</v>
      </c>
      <c r="V999" s="14">
        <f t="shared" si="402"/>
        <v>312.2</v>
      </c>
      <c r="W999" s="14">
        <f t="shared" si="403"/>
        <v>-312.2</v>
      </c>
      <c r="Y999" s="14">
        <f t="shared" si="406"/>
        <v>11.3</v>
      </c>
      <c r="Z999" s="14">
        <f t="shared" si="407"/>
        <v>-11.3</v>
      </c>
      <c r="AA999" s="11">
        <f t="shared" si="409"/>
        <v>0.34</v>
      </c>
      <c r="AB999" s="9">
        <f t="shared" si="412"/>
        <v>3.4000000000000004</v>
      </c>
      <c r="AD999" s="13">
        <f>IF(AH999&gt;AH998,AD998,IF(AD998&lt;MiscData!$F$1,EOMONTH(AD998,1),EOMONTH(AD998,-11)))</f>
        <v>42369</v>
      </c>
      <c r="AE999" s="7" t="str">
        <f t="shared" si="404"/>
        <v>20140101KUUM_415</v>
      </c>
      <c r="AF999" s="12" t="str">
        <f t="shared" si="405"/>
        <v>20140101LS</v>
      </c>
      <c r="AG999" s="31"/>
      <c r="AH999">
        <f>IF(AH998=MiscData!$AB$91,1,AH998+1)</f>
        <v>30</v>
      </c>
      <c r="AI999">
        <f>IF(AD999&lt;=MiscData!$B$23,MiscData!$C$23,IF(AD999&lt;=MiscData!$B$24,MiscData!$C$24,MiscData!$C$25))</f>
        <v>20140101</v>
      </c>
      <c r="AK999" s="190" t="str">
        <f>VLOOKUP(AM999,MiscData!$AB$4:$ACB$113,2,FALSE)</f>
        <v>KUUM_415</v>
      </c>
      <c r="AL999" s="190" t="str">
        <f>VLOOKUP(AM999,MiscData!$AB$4:$AE$115,4,FALSE)</f>
        <v>LS</v>
      </c>
      <c r="AM999">
        <f>IF(AM998=MiscData!$AB$91,1,AM998+1)</f>
        <v>30</v>
      </c>
    </row>
    <row r="1000" spans="1:39">
      <c r="A1000" s="7">
        <f t="shared" si="408"/>
        <v>999</v>
      </c>
      <c r="B1000" s="13" t="str">
        <f t="shared" si="390"/>
        <v>Dec 2015</v>
      </c>
      <c r="C1000" s="23" t="str">
        <f t="shared" si="391"/>
        <v>LS</v>
      </c>
      <c r="D1000" s="23" t="str">
        <f t="shared" si="392"/>
        <v>KUUM_420</v>
      </c>
      <c r="E1000" s="170">
        <f t="shared" si="393"/>
        <v>458</v>
      </c>
      <c r="F1000" s="185"/>
      <c r="G1000" s="170">
        <f t="shared" si="389"/>
        <v>0</v>
      </c>
      <c r="H1000" s="170">
        <v>0</v>
      </c>
      <c r="I1000" s="11">
        <f t="shared" si="394"/>
        <v>15.360000000000001</v>
      </c>
      <c r="J1000" s="11">
        <f t="shared" si="395"/>
        <v>1.1300000000000008</v>
      </c>
      <c r="K1000" s="416">
        <f t="shared" si="410"/>
        <v>7034.88</v>
      </c>
      <c r="L1000" s="180"/>
      <c r="M1000" s="180"/>
      <c r="N1000" s="186">
        <f t="shared" si="388"/>
        <v>7034.88</v>
      </c>
      <c r="O1000" s="29">
        <f t="shared" si="396"/>
        <v>0</v>
      </c>
      <c r="P1000" s="181">
        <f t="shared" si="411"/>
        <v>0</v>
      </c>
      <c r="Q1000" s="182">
        <f t="shared" si="397"/>
        <v>0</v>
      </c>
      <c r="R1000" s="182">
        <f t="shared" si="398"/>
        <v>0</v>
      </c>
      <c r="S1000" s="182">
        <f t="shared" si="399"/>
        <v>0</v>
      </c>
      <c r="T1000" s="182">
        <f t="shared" si="400"/>
        <v>0</v>
      </c>
      <c r="U1000" s="182">
        <f t="shared" si="401"/>
        <v>0</v>
      </c>
      <c r="V1000" s="14">
        <f t="shared" si="402"/>
        <v>7034.88</v>
      </c>
      <c r="W1000" s="14">
        <f t="shared" si="403"/>
        <v>-7034.88</v>
      </c>
      <c r="Y1000" s="14">
        <f t="shared" si="406"/>
        <v>517.54</v>
      </c>
      <c r="Z1000" s="14">
        <f t="shared" si="407"/>
        <v>-517.54</v>
      </c>
      <c r="AA1000" s="11">
        <f t="shared" si="409"/>
        <v>0.34</v>
      </c>
      <c r="AB1000" s="9">
        <f t="shared" si="412"/>
        <v>155.72</v>
      </c>
      <c r="AD1000" s="13">
        <f>IF(AH1000&gt;AH999,AD999,IF(AD999&lt;MiscData!$F$1,EOMONTH(AD999,1),EOMONTH(AD999,-11)))</f>
        <v>42369</v>
      </c>
      <c r="AE1000" s="7" t="str">
        <f t="shared" si="404"/>
        <v>20140101KUUM_420</v>
      </c>
      <c r="AF1000" s="12" t="str">
        <f t="shared" si="405"/>
        <v>20140101LS</v>
      </c>
      <c r="AG1000" s="31"/>
      <c r="AH1000">
        <f>IF(AH999=MiscData!$AB$91,1,AH999+1)</f>
        <v>31</v>
      </c>
      <c r="AI1000">
        <f>IF(AD1000&lt;=MiscData!$B$23,MiscData!$C$23,IF(AD1000&lt;=MiscData!$B$24,MiscData!$C$24,MiscData!$C$25))</f>
        <v>20140101</v>
      </c>
      <c r="AK1000" s="190" t="str">
        <f>VLOOKUP(AM1000,MiscData!$AB$4:$ACB$113,2,FALSE)</f>
        <v>KUUM_420</v>
      </c>
      <c r="AL1000" s="190" t="str">
        <f>VLOOKUP(AM1000,MiscData!$AB$4:$AE$115,4,FALSE)</f>
        <v>LS</v>
      </c>
      <c r="AM1000">
        <f>IF(AM999=MiscData!$AB$91,1,AM999+1)</f>
        <v>31</v>
      </c>
    </row>
    <row r="1001" spans="1:39">
      <c r="A1001" s="7">
        <f t="shared" si="408"/>
        <v>1000</v>
      </c>
      <c r="B1001" s="13" t="str">
        <f t="shared" si="390"/>
        <v>Dec 2015</v>
      </c>
      <c r="C1001" s="23" t="str">
        <f t="shared" si="391"/>
        <v>RLS</v>
      </c>
      <c r="D1001" s="23" t="str">
        <f t="shared" si="392"/>
        <v>KUUM_421</v>
      </c>
      <c r="E1001" s="170">
        <f t="shared" si="393"/>
        <v>5</v>
      </c>
      <c r="F1001" s="185"/>
      <c r="G1001" s="170">
        <f t="shared" si="389"/>
        <v>0</v>
      </c>
      <c r="H1001" s="170">
        <v>0</v>
      </c>
      <c r="I1001" s="11">
        <f t="shared" si="394"/>
        <v>3.39</v>
      </c>
      <c r="J1001" s="11">
        <f t="shared" si="395"/>
        <v>0.98999999999999977</v>
      </c>
      <c r="K1001" s="416">
        <f t="shared" si="410"/>
        <v>16.95</v>
      </c>
      <c r="L1001" s="180"/>
      <c r="M1001" s="180"/>
      <c r="N1001" s="186">
        <f t="shared" si="388"/>
        <v>16.95</v>
      </c>
      <c r="O1001" s="29">
        <f t="shared" si="396"/>
        <v>0</v>
      </c>
      <c r="P1001" s="181">
        <f t="shared" si="411"/>
        <v>0</v>
      </c>
      <c r="Q1001" s="182">
        <f t="shared" si="397"/>
        <v>0</v>
      </c>
      <c r="R1001" s="182">
        <f t="shared" si="398"/>
        <v>0</v>
      </c>
      <c r="S1001" s="182">
        <f t="shared" si="399"/>
        <v>0</v>
      </c>
      <c r="T1001" s="182">
        <f t="shared" si="400"/>
        <v>0</v>
      </c>
      <c r="U1001" s="182">
        <f t="shared" si="401"/>
        <v>0</v>
      </c>
      <c r="V1001" s="14">
        <f t="shared" si="402"/>
        <v>16.95</v>
      </c>
      <c r="W1001" s="14">
        <f t="shared" si="403"/>
        <v>-16.95</v>
      </c>
      <c r="Y1001" s="14">
        <f t="shared" si="406"/>
        <v>4.95</v>
      </c>
      <c r="Z1001" s="14">
        <f t="shared" si="407"/>
        <v>-4.95</v>
      </c>
      <c r="AA1001" s="11">
        <f t="shared" si="409"/>
        <v>0.12</v>
      </c>
      <c r="AB1001" s="9">
        <f t="shared" si="412"/>
        <v>0.6</v>
      </c>
      <c r="AD1001" s="13">
        <f>IF(AH1001&gt;AH1000,AD1000,IF(AD1000&lt;MiscData!$F$1,EOMONTH(AD1000,1),EOMONTH(AD1000,-11)))</f>
        <v>42369</v>
      </c>
      <c r="AE1001" s="7" t="str">
        <f t="shared" si="404"/>
        <v>20140101KUUM_421</v>
      </c>
      <c r="AF1001" s="12" t="str">
        <f t="shared" si="405"/>
        <v>20140101RLS</v>
      </c>
      <c r="AG1001" s="31"/>
      <c r="AH1001">
        <f>IF(AH1000=MiscData!$AB$91,1,AH1000+1)</f>
        <v>32</v>
      </c>
      <c r="AI1001">
        <f>IF(AD1001&lt;=MiscData!$B$23,MiscData!$C$23,IF(AD1001&lt;=MiscData!$B$24,MiscData!$C$24,MiscData!$C$25))</f>
        <v>20140101</v>
      </c>
      <c r="AK1001" s="190" t="str">
        <f>VLOOKUP(AM1001,MiscData!$AB$4:$ACB$113,2,FALSE)</f>
        <v>KUUM_421</v>
      </c>
      <c r="AL1001" s="190" t="str">
        <f>VLOOKUP(AM1001,MiscData!$AB$4:$AE$115,4,FALSE)</f>
        <v>RLS</v>
      </c>
      <c r="AM1001">
        <f>IF(AM1000=MiscData!$AB$91,1,AM1000+1)</f>
        <v>32</v>
      </c>
    </row>
    <row r="1002" spans="1:39">
      <c r="A1002" s="7">
        <f t="shared" si="408"/>
        <v>1001</v>
      </c>
      <c r="B1002" s="13" t="str">
        <f t="shared" si="390"/>
        <v>Dec 2015</v>
      </c>
      <c r="C1002" s="23" t="str">
        <f t="shared" si="391"/>
        <v>RLS</v>
      </c>
      <c r="D1002" s="23" t="str">
        <f t="shared" si="392"/>
        <v>KUUM_422</v>
      </c>
      <c r="E1002" s="170">
        <f t="shared" si="393"/>
        <v>674</v>
      </c>
      <c r="F1002" s="185"/>
      <c r="G1002" s="170">
        <f t="shared" si="389"/>
        <v>0</v>
      </c>
      <c r="H1002" s="170">
        <v>0</v>
      </c>
      <c r="I1002" s="11">
        <f t="shared" si="394"/>
        <v>4.5400000000000009</v>
      </c>
      <c r="J1002" s="11">
        <f t="shared" si="395"/>
        <v>1.9400000000000004</v>
      </c>
      <c r="K1002" s="416">
        <f t="shared" si="410"/>
        <v>3059.96</v>
      </c>
      <c r="L1002" s="180"/>
      <c r="M1002" s="180"/>
      <c r="N1002" s="186">
        <f t="shared" si="388"/>
        <v>3059.96</v>
      </c>
      <c r="O1002" s="29">
        <f t="shared" si="396"/>
        <v>0</v>
      </c>
      <c r="P1002" s="181">
        <f t="shared" si="411"/>
        <v>0</v>
      </c>
      <c r="Q1002" s="182">
        <f t="shared" si="397"/>
        <v>0</v>
      </c>
      <c r="R1002" s="182">
        <f t="shared" si="398"/>
        <v>0</v>
      </c>
      <c r="S1002" s="182">
        <f t="shared" si="399"/>
        <v>0</v>
      </c>
      <c r="T1002" s="182">
        <f t="shared" si="400"/>
        <v>0</v>
      </c>
      <c r="U1002" s="182">
        <f t="shared" si="401"/>
        <v>0</v>
      </c>
      <c r="V1002" s="14">
        <f t="shared" si="402"/>
        <v>3059.96</v>
      </c>
      <c r="W1002" s="14">
        <f t="shared" si="403"/>
        <v>-3059.96</v>
      </c>
      <c r="Y1002" s="14">
        <f t="shared" si="406"/>
        <v>1307.56</v>
      </c>
      <c r="Z1002" s="14">
        <f t="shared" si="407"/>
        <v>-1307.56</v>
      </c>
      <c r="AA1002" s="11">
        <f t="shared" si="409"/>
        <v>0.16</v>
      </c>
      <c r="AB1002" s="9">
        <f t="shared" si="412"/>
        <v>107.84</v>
      </c>
      <c r="AD1002" s="13">
        <f>IF(AH1002&gt;AH1001,AD1001,IF(AD1001&lt;MiscData!$F$1,EOMONTH(AD1001,1),EOMONTH(AD1001,-11)))</f>
        <v>42369</v>
      </c>
      <c r="AE1002" s="7" t="str">
        <f t="shared" si="404"/>
        <v>20140101KUUM_422</v>
      </c>
      <c r="AF1002" s="12" t="str">
        <f t="shared" si="405"/>
        <v>20140101RLS</v>
      </c>
      <c r="AG1002" s="31"/>
      <c r="AH1002">
        <f>IF(AH1001=MiscData!$AB$91,1,AH1001+1)</f>
        <v>33</v>
      </c>
      <c r="AI1002">
        <f>IF(AD1002&lt;=MiscData!$B$23,MiscData!$C$23,IF(AD1002&lt;=MiscData!$B$24,MiscData!$C$24,MiscData!$C$25))</f>
        <v>20140101</v>
      </c>
      <c r="AK1002" s="190" t="str">
        <f>VLOOKUP(AM1002,MiscData!$AB$4:$ACB$113,2,FALSE)</f>
        <v>KUUM_422</v>
      </c>
      <c r="AL1002" s="190" t="str">
        <f>VLOOKUP(AM1002,MiscData!$AB$4:$AE$115,4,FALSE)</f>
        <v>RLS</v>
      </c>
      <c r="AM1002">
        <f>IF(AM1001=MiscData!$AB$91,1,AM1001+1)</f>
        <v>33</v>
      </c>
    </row>
    <row r="1003" spans="1:39">
      <c r="A1003" s="7">
        <f t="shared" si="408"/>
        <v>1002</v>
      </c>
      <c r="B1003" s="13" t="str">
        <f t="shared" si="390"/>
        <v>Dec 2015</v>
      </c>
      <c r="C1003" s="23" t="str">
        <f t="shared" si="391"/>
        <v>RLS</v>
      </c>
      <c r="D1003" s="23" t="str">
        <f t="shared" si="392"/>
        <v>KUUM_424</v>
      </c>
      <c r="E1003" s="170">
        <f t="shared" si="393"/>
        <v>113</v>
      </c>
      <c r="F1003" s="185"/>
      <c r="G1003" s="170">
        <f t="shared" si="389"/>
        <v>0</v>
      </c>
      <c r="H1003" s="170">
        <v>0</v>
      </c>
      <c r="I1003" s="11">
        <f t="shared" si="394"/>
        <v>6.78</v>
      </c>
      <c r="J1003" s="11">
        <f t="shared" si="395"/>
        <v>0.69999999999999929</v>
      </c>
      <c r="K1003" s="416">
        <f t="shared" si="410"/>
        <v>766.14</v>
      </c>
      <c r="L1003" s="180"/>
      <c r="M1003" s="180"/>
      <c r="N1003" s="186">
        <f t="shared" si="388"/>
        <v>766.14</v>
      </c>
      <c r="O1003" s="29">
        <f t="shared" si="396"/>
        <v>0</v>
      </c>
      <c r="P1003" s="181">
        <f t="shared" si="411"/>
        <v>0</v>
      </c>
      <c r="Q1003" s="182">
        <f t="shared" si="397"/>
        <v>0</v>
      </c>
      <c r="R1003" s="182">
        <f t="shared" si="398"/>
        <v>0</v>
      </c>
      <c r="S1003" s="182">
        <f t="shared" si="399"/>
        <v>0</v>
      </c>
      <c r="T1003" s="182">
        <f t="shared" si="400"/>
        <v>0</v>
      </c>
      <c r="U1003" s="182">
        <f t="shared" si="401"/>
        <v>0</v>
      </c>
      <c r="V1003" s="14">
        <f t="shared" si="402"/>
        <v>766.14</v>
      </c>
      <c r="W1003" s="14">
        <f t="shared" si="403"/>
        <v>-766.14</v>
      </c>
      <c r="Y1003" s="14">
        <f t="shared" si="406"/>
        <v>79.099999999999994</v>
      </c>
      <c r="Z1003" s="14">
        <f t="shared" si="407"/>
        <v>-79.099999999999994</v>
      </c>
      <c r="AA1003" s="11">
        <f t="shared" si="409"/>
        <v>0.24</v>
      </c>
      <c r="AB1003" s="9">
        <f t="shared" si="412"/>
        <v>27.119999999999997</v>
      </c>
      <c r="AD1003" s="13">
        <f>IF(AH1003&gt;AH1002,AD1002,IF(AD1002&lt;MiscData!$F$1,EOMONTH(AD1002,1),EOMONTH(AD1002,-11)))</f>
        <v>42369</v>
      </c>
      <c r="AE1003" s="7" t="str">
        <f t="shared" si="404"/>
        <v>20140101KUUM_424</v>
      </c>
      <c r="AF1003" s="12" t="str">
        <f t="shared" si="405"/>
        <v>20140101RLS</v>
      </c>
      <c r="AG1003" s="31"/>
      <c r="AH1003">
        <f>IF(AH1002=MiscData!$AB$91,1,AH1002+1)</f>
        <v>34</v>
      </c>
      <c r="AI1003">
        <f>IF(AD1003&lt;=MiscData!$B$23,MiscData!$C$23,IF(AD1003&lt;=MiscData!$B$24,MiscData!$C$24,MiscData!$C$25))</f>
        <v>20140101</v>
      </c>
      <c r="AK1003" s="190" t="str">
        <f>VLOOKUP(AM1003,MiscData!$AB$4:$ACB$113,2,FALSE)</f>
        <v>KUUM_424</v>
      </c>
      <c r="AL1003" s="190" t="str">
        <f>VLOOKUP(AM1003,MiscData!$AB$4:$AE$115,4,FALSE)</f>
        <v>RLS</v>
      </c>
      <c r="AM1003">
        <f>IF(AM1002=MiscData!$AB$91,1,AM1002+1)</f>
        <v>34</v>
      </c>
    </row>
    <row r="1004" spans="1:39">
      <c r="A1004" s="7">
        <f t="shared" si="408"/>
        <v>1003</v>
      </c>
      <c r="B1004" s="13" t="str">
        <f t="shared" si="390"/>
        <v>Dec 2015</v>
      </c>
      <c r="C1004" s="23" t="str">
        <f t="shared" si="391"/>
        <v>RLS</v>
      </c>
      <c r="D1004" s="23" t="str">
        <f t="shared" si="392"/>
        <v>KUUM_425</v>
      </c>
      <c r="E1004" s="170">
        <f t="shared" si="393"/>
        <v>2</v>
      </c>
      <c r="F1004" s="185"/>
      <c r="G1004" s="170">
        <f t="shared" si="389"/>
        <v>0</v>
      </c>
      <c r="H1004" s="170">
        <v>0</v>
      </c>
      <c r="I1004" s="11">
        <f t="shared" si="394"/>
        <v>9.06</v>
      </c>
      <c r="J1004" s="11">
        <f t="shared" si="395"/>
        <v>4.3000000000000007</v>
      </c>
      <c r="K1004" s="416">
        <f t="shared" si="410"/>
        <v>18.12</v>
      </c>
      <c r="L1004" s="180"/>
      <c r="M1004" s="180"/>
      <c r="N1004" s="186">
        <f t="shared" si="388"/>
        <v>18.12</v>
      </c>
      <c r="O1004" s="29">
        <f t="shared" si="396"/>
        <v>0</v>
      </c>
      <c r="P1004" s="181">
        <f t="shared" si="411"/>
        <v>0</v>
      </c>
      <c r="Q1004" s="182">
        <f t="shared" si="397"/>
        <v>0</v>
      </c>
      <c r="R1004" s="182">
        <f t="shared" si="398"/>
        <v>0</v>
      </c>
      <c r="S1004" s="182">
        <f t="shared" si="399"/>
        <v>0</v>
      </c>
      <c r="T1004" s="182">
        <f t="shared" si="400"/>
        <v>0</v>
      </c>
      <c r="U1004" s="182">
        <f t="shared" si="401"/>
        <v>0</v>
      </c>
      <c r="V1004" s="14">
        <f t="shared" si="402"/>
        <v>18.12</v>
      </c>
      <c r="W1004" s="14">
        <f t="shared" si="403"/>
        <v>-18.12</v>
      </c>
      <c r="Y1004" s="14">
        <f t="shared" si="406"/>
        <v>8.6</v>
      </c>
      <c r="Z1004" s="14">
        <f t="shared" si="407"/>
        <v>-8.6</v>
      </c>
      <c r="AA1004" s="11">
        <f t="shared" si="409"/>
        <v>0.33</v>
      </c>
      <c r="AB1004" s="9">
        <f t="shared" si="412"/>
        <v>0.66</v>
      </c>
      <c r="AD1004" s="13">
        <f>IF(AH1004&gt;AH1003,AD1003,IF(AD1003&lt;MiscData!$F$1,EOMONTH(AD1003,1),EOMONTH(AD1003,-11)))</f>
        <v>42369</v>
      </c>
      <c r="AE1004" s="7" t="str">
        <f t="shared" si="404"/>
        <v>20140101KUUM_425</v>
      </c>
      <c r="AF1004" s="12" t="str">
        <f t="shared" si="405"/>
        <v>20140101RLS</v>
      </c>
      <c r="AG1004" s="31"/>
      <c r="AH1004">
        <f>IF(AH1003=MiscData!$AB$91,1,AH1003+1)</f>
        <v>35</v>
      </c>
      <c r="AI1004">
        <f>IF(AD1004&lt;=MiscData!$B$23,MiscData!$C$23,IF(AD1004&lt;=MiscData!$B$24,MiscData!$C$24,MiscData!$C$25))</f>
        <v>20140101</v>
      </c>
      <c r="AK1004" s="190" t="str">
        <f>VLOOKUP(AM1004,MiscData!$AB$4:$ACB$113,2,FALSE)</f>
        <v>KUUM_425</v>
      </c>
      <c r="AL1004" s="190" t="str">
        <f>VLOOKUP(AM1004,MiscData!$AB$4:$AE$115,4,FALSE)</f>
        <v>RLS</v>
      </c>
      <c r="AM1004">
        <f>IF(AM1003=MiscData!$AB$91,1,AM1003+1)</f>
        <v>35</v>
      </c>
    </row>
    <row r="1005" spans="1:39">
      <c r="A1005" s="7">
        <f t="shared" si="408"/>
        <v>1004</v>
      </c>
      <c r="B1005" s="13" t="str">
        <f t="shared" si="390"/>
        <v>Dec 2015</v>
      </c>
      <c r="C1005" s="23" t="str">
        <f t="shared" si="391"/>
        <v>RLS</v>
      </c>
      <c r="D1005" s="23" t="str">
        <f t="shared" si="392"/>
        <v>KUUM_426</v>
      </c>
      <c r="E1005" s="170">
        <f t="shared" si="393"/>
        <v>161</v>
      </c>
      <c r="F1005" s="185"/>
      <c r="G1005" s="170">
        <f t="shared" si="389"/>
        <v>0</v>
      </c>
      <c r="H1005" s="170">
        <v>0</v>
      </c>
      <c r="I1005" s="11">
        <f t="shared" si="394"/>
        <v>7.4399999999999995</v>
      </c>
      <c r="J1005" s="11">
        <f t="shared" si="395"/>
        <v>0.79999999999999982</v>
      </c>
      <c r="K1005" s="416">
        <f t="shared" si="410"/>
        <v>1197.8399999999999</v>
      </c>
      <c r="L1005" s="180"/>
      <c r="M1005" s="180"/>
      <c r="N1005" s="186">
        <f t="shared" si="388"/>
        <v>1197.8399999999999</v>
      </c>
      <c r="O1005" s="29">
        <f t="shared" si="396"/>
        <v>0</v>
      </c>
      <c r="P1005" s="181">
        <f t="shared" si="411"/>
        <v>0</v>
      </c>
      <c r="Q1005" s="182">
        <f t="shared" si="397"/>
        <v>0</v>
      </c>
      <c r="R1005" s="182">
        <f t="shared" si="398"/>
        <v>0</v>
      </c>
      <c r="S1005" s="182">
        <f t="shared" si="399"/>
        <v>0</v>
      </c>
      <c r="T1005" s="182">
        <f t="shared" si="400"/>
        <v>0</v>
      </c>
      <c r="U1005" s="182">
        <f t="shared" si="401"/>
        <v>0</v>
      </c>
      <c r="V1005" s="14">
        <f t="shared" si="402"/>
        <v>1197.8399999999999</v>
      </c>
      <c r="W1005" s="14">
        <f t="shared" si="403"/>
        <v>-1197.8399999999999</v>
      </c>
      <c r="Y1005" s="14">
        <f t="shared" si="406"/>
        <v>128.80000000000001</v>
      </c>
      <c r="Z1005" s="14">
        <f t="shared" si="407"/>
        <v>-128.80000000000001</v>
      </c>
      <c r="AA1005" s="11">
        <f t="shared" si="409"/>
        <v>0.43</v>
      </c>
      <c r="AB1005" s="9">
        <f t="shared" si="412"/>
        <v>69.23</v>
      </c>
      <c r="AD1005" s="13">
        <f>IF(AH1005&gt;AH1004,AD1004,IF(AD1004&lt;MiscData!$F$1,EOMONTH(AD1004,1),EOMONTH(AD1004,-11)))</f>
        <v>42369</v>
      </c>
      <c r="AE1005" s="7" t="str">
        <f t="shared" si="404"/>
        <v>20140101KUUM_426</v>
      </c>
      <c r="AF1005" s="12" t="str">
        <f t="shared" si="405"/>
        <v>20140101RLS</v>
      </c>
      <c r="AG1005" s="31"/>
      <c r="AH1005">
        <f>IF(AH1004=MiscData!$AB$91,1,AH1004+1)</f>
        <v>36</v>
      </c>
      <c r="AI1005">
        <f>IF(AD1005&lt;=MiscData!$B$23,MiscData!$C$23,IF(AD1005&lt;=MiscData!$B$24,MiscData!$C$24,MiscData!$C$25))</f>
        <v>20140101</v>
      </c>
      <c r="AK1005" s="190" t="str">
        <f>VLOOKUP(AM1005,MiscData!$AB$4:$ACB$113,2,FALSE)</f>
        <v>KUUM_426</v>
      </c>
      <c r="AL1005" s="190" t="str">
        <f>VLOOKUP(AM1005,MiscData!$AB$4:$AE$115,4,FALSE)</f>
        <v>RLS</v>
      </c>
      <c r="AM1005">
        <f>IF(AM1004=MiscData!$AB$91,1,AM1004+1)</f>
        <v>36</v>
      </c>
    </row>
    <row r="1006" spans="1:39">
      <c r="A1006" s="7">
        <f t="shared" si="408"/>
        <v>1005</v>
      </c>
      <c r="B1006" s="13" t="str">
        <f t="shared" si="390"/>
        <v>Dec 2015</v>
      </c>
      <c r="C1006" s="23" t="str">
        <f t="shared" si="391"/>
        <v>LS</v>
      </c>
      <c r="D1006" s="23" t="str">
        <f t="shared" si="392"/>
        <v>KUUM_428</v>
      </c>
      <c r="E1006" s="170">
        <f t="shared" si="393"/>
        <v>34888</v>
      </c>
      <c r="F1006" s="185"/>
      <c r="G1006" s="170">
        <f t="shared" si="389"/>
        <v>0</v>
      </c>
      <c r="H1006" s="170">
        <v>0</v>
      </c>
      <c r="I1006" s="11">
        <f t="shared" si="394"/>
        <v>7.84</v>
      </c>
      <c r="J1006" s="11">
        <f t="shared" si="395"/>
        <v>1.1299999999999999</v>
      </c>
      <c r="K1006" s="416">
        <f t="shared" si="410"/>
        <v>273521.91999999998</v>
      </c>
      <c r="L1006" s="180"/>
      <c r="M1006" s="180"/>
      <c r="N1006" s="186">
        <f t="shared" si="388"/>
        <v>273521.91999999998</v>
      </c>
      <c r="O1006" s="29">
        <f t="shared" si="396"/>
        <v>0</v>
      </c>
      <c r="P1006" s="181">
        <f t="shared" si="411"/>
        <v>0</v>
      </c>
      <c r="Q1006" s="182">
        <f t="shared" si="397"/>
        <v>0</v>
      </c>
      <c r="R1006" s="182">
        <f t="shared" si="398"/>
        <v>0</v>
      </c>
      <c r="S1006" s="182">
        <f t="shared" si="399"/>
        <v>0</v>
      </c>
      <c r="T1006" s="182">
        <f t="shared" si="400"/>
        <v>0</v>
      </c>
      <c r="U1006" s="182">
        <f t="shared" si="401"/>
        <v>0</v>
      </c>
      <c r="V1006" s="14">
        <f t="shared" si="402"/>
        <v>273521.91999999998</v>
      </c>
      <c r="W1006" s="14">
        <f t="shared" si="403"/>
        <v>-273521.91999999998</v>
      </c>
      <c r="Y1006" s="14">
        <f t="shared" si="406"/>
        <v>39423.440000000002</v>
      </c>
      <c r="Z1006" s="14">
        <f t="shared" si="407"/>
        <v>-39423.440000000002</v>
      </c>
      <c r="AA1006" s="11">
        <f t="shared" si="409"/>
        <v>0.34</v>
      </c>
      <c r="AB1006" s="9">
        <f t="shared" si="412"/>
        <v>11861.92</v>
      </c>
      <c r="AD1006" s="13">
        <f>IF(AH1006&gt;AH1005,AD1005,IF(AD1005&lt;MiscData!$F$1,EOMONTH(AD1005,1),EOMONTH(AD1005,-11)))</f>
        <v>42369</v>
      </c>
      <c r="AE1006" s="7" t="str">
        <f t="shared" si="404"/>
        <v>20140101KUUM_428</v>
      </c>
      <c r="AF1006" s="12" t="str">
        <f t="shared" si="405"/>
        <v>20140101LS</v>
      </c>
      <c r="AG1006" s="31"/>
      <c r="AH1006">
        <f>IF(AH1005=MiscData!$AB$91,1,AH1005+1)</f>
        <v>37</v>
      </c>
      <c r="AI1006">
        <f>IF(AD1006&lt;=MiscData!$B$23,MiscData!$C$23,IF(AD1006&lt;=MiscData!$B$24,MiscData!$C$24,MiscData!$C$25))</f>
        <v>20140101</v>
      </c>
      <c r="AK1006" s="190" t="str">
        <f>VLOOKUP(AM1006,MiscData!$AB$4:$ACB$113,2,FALSE)</f>
        <v>KUUM_428</v>
      </c>
      <c r="AL1006" s="190" t="str">
        <f>VLOOKUP(AM1006,MiscData!$AB$4:$AE$115,4,FALSE)</f>
        <v>LS</v>
      </c>
      <c r="AM1006">
        <f>IF(AM1005=MiscData!$AB$91,1,AM1005+1)</f>
        <v>37</v>
      </c>
    </row>
    <row r="1007" spans="1:39">
      <c r="A1007" s="7">
        <f t="shared" si="408"/>
        <v>1006</v>
      </c>
      <c r="B1007" s="13" t="str">
        <f t="shared" si="390"/>
        <v>Dec 2015</v>
      </c>
      <c r="C1007" s="23" t="str">
        <f t="shared" si="391"/>
        <v>LS</v>
      </c>
      <c r="D1007" s="23" t="str">
        <f t="shared" si="392"/>
        <v>KUUM_429</v>
      </c>
      <c r="E1007" s="170">
        <f t="shared" si="393"/>
        <v>0</v>
      </c>
      <c r="F1007" s="185"/>
      <c r="G1007" s="170">
        <f t="shared" si="389"/>
        <v>0</v>
      </c>
      <c r="H1007" s="170">
        <v>0</v>
      </c>
      <c r="I1007" s="11">
        <f t="shared" si="394"/>
        <v>0</v>
      </c>
      <c r="J1007" s="11">
        <f t="shared" si="395"/>
        <v>0</v>
      </c>
      <c r="K1007" s="416">
        <f t="shared" si="410"/>
        <v>0</v>
      </c>
      <c r="L1007" s="180"/>
      <c r="M1007" s="180"/>
      <c r="N1007" s="186">
        <f t="shared" si="388"/>
        <v>0</v>
      </c>
      <c r="O1007" s="29">
        <f t="shared" si="396"/>
        <v>0</v>
      </c>
      <c r="P1007" s="181">
        <f t="shared" si="411"/>
        <v>1</v>
      </c>
      <c r="Q1007" s="182">
        <f t="shared" si="397"/>
        <v>0</v>
      </c>
      <c r="R1007" s="182">
        <f t="shared" si="398"/>
        <v>0</v>
      </c>
      <c r="S1007" s="182">
        <f t="shared" si="399"/>
        <v>0</v>
      </c>
      <c r="T1007" s="182">
        <f t="shared" si="400"/>
        <v>0</v>
      </c>
      <c r="U1007" s="182">
        <f t="shared" si="401"/>
        <v>0</v>
      </c>
      <c r="V1007" s="14">
        <f t="shared" si="402"/>
        <v>0</v>
      </c>
      <c r="W1007" s="14">
        <f t="shared" si="403"/>
        <v>0</v>
      </c>
      <c r="Y1007" s="14">
        <f t="shared" si="406"/>
        <v>0</v>
      </c>
      <c r="Z1007" s="14">
        <f t="shared" si="407"/>
        <v>0</v>
      </c>
      <c r="AA1007" s="11">
        <f t="shared" si="409"/>
        <v>0</v>
      </c>
      <c r="AB1007" s="9">
        <f t="shared" si="412"/>
        <v>0</v>
      </c>
      <c r="AD1007" s="13">
        <f>IF(AH1007&gt;AH1006,AD1006,IF(AD1006&lt;MiscData!$F$1,EOMONTH(AD1006,1),EOMONTH(AD1006,-11)))</f>
        <v>42369</v>
      </c>
      <c r="AE1007" s="7" t="str">
        <f t="shared" si="404"/>
        <v>20140101KUUM_429</v>
      </c>
      <c r="AF1007" s="12" t="str">
        <f t="shared" si="405"/>
        <v>20140101LS</v>
      </c>
      <c r="AG1007" s="31"/>
      <c r="AH1007">
        <f>IF(AH1006=MiscData!$AB$91,1,AH1006+1)</f>
        <v>38</v>
      </c>
      <c r="AI1007">
        <f>IF(AD1007&lt;=MiscData!$B$23,MiscData!$C$23,IF(AD1007&lt;=MiscData!$B$24,MiscData!$C$24,MiscData!$C$25))</f>
        <v>20140101</v>
      </c>
      <c r="AK1007" s="190" t="str">
        <f>VLOOKUP(AM1007,MiscData!$AB$4:$ACB$113,2,FALSE)</f>
        <v>KUUM_429</v>
      </c>
      <c r="AL1007" s="190" t="str">
        <f>VLOOKUP(AM1007,MiscData!$AB$4:$AE$115,4,FALSE)</f>
        <v>LS</v>
      </c>
      <c r="AM1007">
        <f>IF(AM1006=MiscData!$AB$91,1,AM1006+1)</f>
        <v>38</v>
      </c>
    </row>
    <row r="1008" spans="1:39">
      <c r="A1008" s="7">
        <f t="shared" si="408"/>
        <v>1007</v>
      </c>
      <c r="B1008" s="13" t="str">
        <f t="shared" si="390"/>
        <v>Dec 2015</v>
      </c>
      <c r="C1008" s="23" t="str">
        <f t="shared" si="391"/>
        <v>LS</v>
      </c>
      <c r="D1008" s="23" t="str">
        <f t="shared" si="392"/>
        <v>KUUM_430</v>
      </c>
      <c r="E1008" s="170">
        <f t="shared" si="393"/>
        <v>1109</v>
      </c>
      <c r="F1008" s="185"/>
      <c r="G1008" s="170">
        <f t="shared" si="389"/>
        <v>0</v>
      </c>
      <c r="H1008" s="170">
        <v>0</v>
      </c>
      <c r="I1008" s="11">
        <f t="shared" si="394"/>
        <v>22</v>
      </c>
      <c r="J1008" s="11">
        <f t="shared" si="395"/>
        <v>1.129999999999999</v>
      </c>
      <c r="K1008" s="416">
        <f t="shared" si="410"/>
        <v>24398</v>
      </c>
      <c r="L1008" s="180"/>
      <c r="M1008" s="180"/>
      <c r="N1008" s="186">
        <f t="shared" si="388"/>
        <v>24398</v>
      </c>
      <c r="O1008" s="29">
        <f t="shared" si="396"/>
        <v>0</v>
      </c>
      <c r="P1008" s="181">
        <f t="shared" si="411"/>
        <v>0</v>
      </c>
      <c r="Q1008" s="182">
        <f t="shared" si="397"/>
        <v>0</v>
      </c>
      <c r="R1008" s="182">
        <f t="shared" si="398"/>
        <v>0</v>
      </c>
      <c r="S1008" s="182">
        <f t="shared" si="399"/>
        <v>0</v>
      </c>
      <c r="T1008" s="182">
        <f t="shared" si="400"/>
        <v>0</v>
      </c>
      <c r="U1008" s="182">
        <f t="shared" si="401"/>
        <v>0</v>
      </c>
      <c r="V1008" s="14">
        <f t="shared" si="402"/>
        <v>24398</v>
      </c>
      <c r="W1008" s="14">
        <f t="shared" si="403"/>
        <v>-24398</v>
      </c>
      <c r="Y1008" s="14">
        <f t="shared" si="406"/>
        <v>1253.17</v>
      </c>
      <c r="Z1008" s="14">
        <f t="shared" si="407"/>
        <v>-1253.17</v>
      </c>
      <c r="AA1008" s="11">
        <f t="shared" si="409"/>
        <v>0.34</v>
      </c>
      <c r="AB1008" s="9">
        <f t="shared" si="412"/>
        <v>377.06</v>
      </c>
      <c r="AD1008" s="13">
        <f>IF(AH1008&gt;AH1007,AD1007,IF(AD1007&lt;MiscData!$F$1,EOMONTH(AD1007,1),EOMONTH(AD1007,-11)))</f>
        <v>42369</v>
      </c>
      <c r="AE1008" s="7" t="str">
        <f t="shared" si="404"/>
        <v>20140101KUUM_430</v>
      </c>
      <c r="AF1008" s="12" t="str">
        <f t="shared" si="405"/>
        <v>20140101LS</v>
      </c>
      <c r="AG1008" s="31"/>
      <c r="AH1008">
        <f>IF(AH1007=MiscData!$AB$91,1,AH1007+1)</f>
        <v>39</v>
      </c>
      <c r="AI1008">
        <f>IF(AD1008&lt;=MiscData!$B$23,MiscData!$C$23,IF(AD1008&lt;=MiscData!$B$24,MiscData!$C$24,MiscData!$C$25))</f>
        <v>20140101</v>
      </c>
      <c r="AK1008" s="190" t="str">
        <f>VLOOKUP(AM1008,MiscData!$AB$4:$ACB$113,2,FALSE)</f>
        <v>KUUM_430</v>
      </c>
      <c r="AL1008" s="190" t="str">
        <f>VLOOKUP(AM1008,MiscData!$AB$4:$AE$115,4,FALSE)</f>
        <v>LS</v>
      </c>
      <c r="AM1008">
        <f>IF(AM1007=MiscData!$AB$91,1,AM1007+1)</f>
        <v>39</v>
      </c>
    </row>
    <row r="1009" spans="1:39">
      <c r="A1009" s="7">
        <f t="shared" si="408"/>
        <v>1008</v>
      </c>
      <c r="B1009" s="13" t="str">
        <f t="shared" si="390"/>
        <v>Dec 2015</v>
      </c>
      <c r="C1009" s="23" t="str">
        <f t="shared" si="391"/>
        <v>RLS</v>
      </c>
      <c r="D1009" s="23" t="str">
        <f t="shared" si="392"/>
        <v>KUUM_434</v>
      </c>
      <c r="E1009" s="170">
        <f t="shared" si="393"/>
        <v>8</v>
      </c>
      <c r="F1009" s="185"/>
      <c r="G1009" s="170">
        <f t="shared" si="389"/>
        <v>0</v>
      </c>
      <c r="H1009" s="170">
        <v>0</v>
      </c>
      <c r="I1009" s="11">
        <f t="shared" si="394"/>
        <v>7.74</v>
      </c>
      <c r="J1009" s="11">
        <f t="shared" si="395"/>
        <v>0.69999999999999929</v>
      </c>
      <c r="K1009" s="416">
        <f t="shared" si="410"/>
        <v>61.92</v>
      </c>
      <c r="L1009" s="180"/>
      <c r="M1009" s="180"/>
      <c r="N1009" s="186">
        <f t="shared" si="388"/>
        <v>61.92</v>
      </c>
      <c r="O1009" s="29">
        <f t="shared" si="396"/>
        <v>0</v>
      </c>
      <c r="P1009" s="181">
        <f t="shared" si="411"/>
        <v>0</v>
      </c>
      <c r="Q1009" s="182">
        <f t="shared" si="397"/>
        <v>0</v>
      </c>
      <c r="R1009" s="182">
        <f t="shared" si="398"/>
        <v>0</v>
      </c>
      <c r="S1009" s="182">
        <f t="shared" si="399"/>
        <v>0</v>
      </c>
      <c r="T1009" s="182">
        <f t="shared" si="400"/>
        <v>0</v>
      </c>
      <c r="U1009" s="182">
        <f t="shared" si="401"/>
        <v>0</v>
      </c>
      <c r="V1009" s="14">
        <f t="shared" si="402"/>
        <v>61.92</v>
      </c>
      <c r="W1009" s="14">
        <f t="shared" si="403"/>
        <v>-61.92</v>
      </c>
      <c r="Y1009" s="14">
        <f t="shared" si="406"/>
        <v>5.6</v>
      </c>
      <c r="Z1009" s="14">
        <f t="shared" si="407"/>
        <v>-5.6</v>
      </c>
      <c r="AA1009" s="11">
        <f t="shared" si="409"/>
        <v>0.24</v>
      </c>
      <c r="AB1009" s="9">
        <f t="shared" si="412"/>
        <v>1.92</v>
      </c>
      <c r="AD1009" s="13">
        <f>IF(AH1009&gt;AH1008,AD1008,IF(AD1008&lt;MiscData!$F$1,EOMONTH(AD1008,1),EOMONTH(AD1008,-11)))</f>
        <v>42369</v>
      </c>
      <c r="AE1009" s="7" t="str">
        <f t="shared" si="404"/>
        <v>20140101KUUM_434</v>
      </c>
      <c r="AF1009" s="12" t="str">
        <f t="shared" si="405"/>
        <v>20140101RLS</v>
      </c>
      <c r="AG1009" s="31"/>
      <c r="AH1009">
        <f>IF(AH1008=MiscData!$AB$91,1,AH1008+1)</f>
        <v>40</v>
      </c>
      <c r="AI1009">
        <f>IF(AD1009&lt;=MiscData!$B$23,MiscData!$C$23,IF(AD1009&lt;=MiscData!$B$24,MiscData!$C$24,MiscData!$C$25))</f>
        <v>20140101</v>
      </c>
      <c r="AK1009" s="190" t="str">
        <f>VLOOKUP(AM1009,MiscData!$AB$4:$ACB$113,2,FALSE)</f>
        <v>KUUM_434</v>
      </c>
      <c r="AL1009" s="190" t="str">
        <f>VLOOKUP(AM1009,MiscData!$AB$4:$AE$115,4,FALSE)</f>
        <v>RLS</v>
      </c>
      <c r="AM1009">
        <f>IF(AM1008=MiscData!$AB$91,1,AM1008+1)</f>
        <v>40</v>
      </c>
    </row>
    <row r="1010" spans="1:39">
      <c r="A1010" s="7">
        <f t="shared" si="408"/>
        <v>1009</v>
      </c>
      <c r="B1010" s="13" t="str">
        <f t="shared" si="390"/>
        <v>Dec 2015</v>
      </c>
      <c r="C1010" s="23" t="str">
        <f t="shared" si="391"/>
        <v>RLS</v>
      </c>
      <c r="D1010" s="23" t="str">
        <f t="shared" si="392"/>
        <v>KUUM_440</v>
      </c>
      <c r="E1010" s="170">
        <f t="shared" si="393"/>
        <v>2</v>
      </c>
      <c r="F1010" s="185"/>
      <c r="G1010" s="170">
        <f t="shared" si="389"/>
        <v>0</v>
      </c>
      <c r="H1010" s="170">
        <v>0</v>
      </c>
      <c r="I1010" s="11">
        <f t="shared" si="394"/>
        <v>13.610000000000001</v>
      </c>
      <c r="J1010" s="11">
        <f t="shared" si="395"/>
        <v>0.57000000000000028</v>
      </c>
      <c r="K1010" s="416">
        <f t="shared" si="410"/>
        <v>27.22</v>
      </c>
      <c r="L1010" s="180"/>
      <c r="M1010" s="180"/>
      <c r="N1010" s="186">
        <f t="shared" si="388"/>
        <v>27.22</v>
      </c>
      <c r="O1010" s="29">
        <f t="shared" si="396"/>
        <v>0</v>
      </c>
      <c r="P1010" s="181">
        <f t="shared" si="411"/>
        <v>0</v>
      </c>
      <c r="Q1010" s="182">
        <f t="shared" si="397"/>
        <v>0</v>
      </c>
      <c r="R1010" s="182">
        <f t="shared" si="398"/>
        <v>0</v>
      </c>
      <c r="S1010" s="182">
        <f t="shared" si="399"/>
        <v>0</v>
      </c>
      <c r="T1010" s="182">
        <f t="shared" si="400"/>
        <v>0</v>
      </c>
      <c r="U1010" s="182">
        <f t="shared" si="401"/>
        <v>0</v>
      </c>
      <c r="V1010" s="14">
        <f t="shared" si="402"/>
        <v>27.22</v>
      </c>
      <c r="W1010" s="14">
        <f t="shared" si="403"/>
        <v>-27.22</v>
      </c>
      <c r="Y1010" s="14">
        <f t="shared" si="406"/>
        <v>1.1399999999999999</v>
      </c>
      <c r="Z1010" s="14">
        <f t="shared" si="407"/>
        <v>-1.1399999999999999</v>
      </c>
      <c r="AA1010" s="11">
        <f t="shared" si="409"/>
        <v>0.33</v>
      </c>
      <c r="AB1010" s="9">
        <f t="shared" si="412"/>
        <v>0.66</v>
      </c>
      <c r="AD1010" s="13">
        <f>IF(AH1010&gt;AH1009,AD1009,IF(AD1009&lt;MiscData!$F$1,EOMONTH(AD1009,1),EOMONTH(AD1009,-11)))</f>
        <v>42369</v>
      </c>
      <c r="AE1010" s="7" t="str">
        <f t="shared" si="404"/>
        <v>20140101KUUM_440</v>
      </c>
      <c r="AF1010" s="12" t="str">
        <f t="shared" si="405"/>
        <v>20140101RLS</v>
      </c>
      <c r="AG1010" s="31"/>
      <c r="AH1010">
        <f>IF(AH1009=MiscData!$AB$91,1,AH1009+1)</f>
        <v>41</v>
      </c>
      <c r="AI1010">
        <f>IF(AD1010&lt;=MiscData!$B$23,MiscData!$C$23,IF(AD1010&lt;=MiscData!$B$24,MiscData!$C$24,MiscData!$C$25))</f>
        <v>20140101</v>
      </c>
      <c r="AK1010" s="190" t="str">
        <f>VLOOKUP(AM1010,MiscData!$AB$4:$ACB$113,2,FALSE)</f>
        <v>KUUM_440</v>
      </c>
      <c r="AL1010" s="190" t="str">
        <f>VLOOKUP(AM1010,MiscData!$AB$4:$AE$115,4,FALSE)</f>
        <v>RLS</v>
      </c>
      <c r="AM1010">
        <f>IF(AM1009=MiscData!$AB$91,1,AM1009+1)</f>
        <v>41</v>
      </c>
    </row>
    <row r="1011" spans="1:39">
      <c r="A1011" s="7">
        <f t="shared" si="408"/>
        <v>1010</v>
      </c>
      <c r="B1011" s="13" t="str">
        <f t="shared" si="390"/>
        <v>Dec 2015</v>
      </c>
      <c r="C1011" s="23" t="str">
        <f t="shared" si="391"/>
        <v>RLS</v>
      </c>
      <c r="D1011" s="23" t="str">
        <f t="shared" si="392"/>
        <v>KUUM_446</v>
      </c>
      <c r="E1011" s="170">
        <f t="shared" si="393"/>
        <v>1048</v>
      </c>
      <c r="F1011" s="185"/>
      <c r="G1011" s="170">
        <f t="shared" si="389"/>
        <v>0</v>
      </c>
      <c r="H1011" s="170">
        <v>0</v>
      </c>
      <c r="I1011" s="11">
        <f t="shared" si="394"/>
        <v>9.5600000000000023</v>
      </c>
      <c r="J1011" s="11">
        <f t="shared" si="395"/>
        <v>1.9900000000000002</v>
      </c>
      <c r="K1011" s="416">
        <f t="shared" si="410"/>
        <v>10018.879999999999</v>
      </c>
      <c r="L1011" s="180"/>
      <c r="M1011" s="180"/>
      <c r="N1011" s="186">
        <f t="shared" si="388"/>
        <v>10018.879999999999</v>
      </c>
      <c r="O1011" s="29">
        <f t="shared" si="396"/>
        <v>0</v>
      </c>
      <c r="P1011" s="181">
        <f t="shared" si="411"/>
        <v>0</v>
      </c>
      <c r="Q1011" s="182">
        <f t="shared" si="397"/>
        <v>0</v>
      </c>
      <c r="R1011" s="182">
        <f t="shared" si="398"/>
        <v>0</v>
      </c>
      <c r="S1011" s="182">
        <f t="shared" si="399"/>
        <v>0</v>
      </c>
      <c r="T1011" s="182">
        <f t="shared" si="400"/>
        <v>0</v>
      </c>
      <c r="U1011" s="182">
        <f t="shared" si="401"/>
        <v>0</v>
      </c>
      <c r="V1011" s="14">
        <f t="shared" si="402"/>
        <v>10018.879999999999</v>
      </c>
      <c r="W1011" s="14">
        <f t="shared" si="403"/>
        <v>-10018.879999999999</v>
      </c>
      <c r="Y1011" s="14">
        <f t="shared" si="406"/>
        <v>2085.52</v>
      </c>
      <c r="Z1011" s="14">
        <f t="shared" si="407"/>
        <v>-2085.52</v>
      </c>
      <c r="AA1011" s="11">
        <f t="shared" si="409"/>
        <v>0.39</v>
      </c>
      <c r="AB1011" s="9">
        <f t="shared" si="412"/>
        <v>408.72</v>
      </c>
      <c r="AD1011" s="13">
        <f>IF(AH1011&gt;AH1010,AD1010,IF(AD1010&lt;MiscData!$F$1,EOMONTH(AD1010,1),EOMONTH(AD1010,-11)))</f>
        <v>42369</v>
      </c>
      <c r="AE1011" s="7" t="str">
        <f t="shared" si="404"/>
        <v>20140101KUUM_446</v>
      </c>
      <c r="AF1011" s="12" t="str">
        <f t="shared" si="405"/>
        <v>20140101RLS</v>
      </c>
      <c r="AG1011" s="31"/>
      <c r="AH1011">
        <f>IF(AH1010=MiscData!$AB$91,1,AH1010+1)</f>
        <v>42</v>
      </c>
      <c r="AI1011">
        <f>IF(AD1011&lt;=MiscData!$B$23,MiscData!$C$23,IF(AD1011&lt;=MiscData!$B$24,MiscData!$C$24,MiscData!$C$25))</f>
        <v>20140101</v>
      </c>
      <c r="AK1011" s="190" t="str">
        <f>VLOOKUP(AM1011,MiscData!$AB$4:$ACB$113,2,FALSE)</f>
        <v>KUUM_446</v>
      </c>
      <c r="AL1011" s="190" t="str">
        <f>VLOOKUP(AM1011,MiscData!$AB$4:$AE$115,4,FALSE)</f>
        <v>RLS</v>
      </c>
      <c r="AM1011">
        <f>IF(AM1010=MiscData!$AB$91,1,AM1010+1)</f>
        <v>42</v>
      </c>
    </row>
    <row r="1012" spans="1:39">
      <c r="A1012" s="7">
        <f t="shared" si="408"/>
        <v>1011</v>
      </c>
      <c r="B1012" s="13" t="str">
        <f t="shared" si="390"/>
        <v>Dec 2015</v>
      </c>
      <c r="C1012" s="23" t="str">
        <f t="shared" si="391"/>
        <v>RLS</v>
      </c>
      <c r="D1012" s="23" t="str">
        <f t="shared" si="392"/>
        <v>KUUM_447</v>
      </c>
      <c r="E1012" s="170">
        <f t="shared" si="393"/>
        <v>729</v>
      </c>
      <c r="F1012" s="185"/>
      <c r="G1012" s="170">
        <f t="shared" si="389"/>
        <v>0</v>
      </c>
      <c r="H1012" s="170">
        <v>0</v>
      </c>
      <c r="I1012" s="11">
        <f t="shared" si="394"/>
        <v>11.32</v>
      </c>
      <c r="J1012" s="11">
        <f t="shared" si="395"/>
        <v>2.8400000000000016</v>
      </c>
      <c r="K1012" s="416">
        <f t="shared" si="410"/>
        <v>8252.2800000000007</v>
      </c>
      <c r="L1012" s="180"/>
      <c r="M1012" s="180"/>
      <c r="N1012" s="186">
        <f t="shared" si="388"/>
        <v>8252.2800000000007</v>
      </c>
      <c r="O1012" s="29">
        <f t="shared" si="396"/>
        <v>0</v>
      </c>
      <c r="P1012" s="181">
        <f t="shared" si="411"/>
        <v>0</v>
      </c>
      <c r="Q1012" s="182">
        <f t="shared" si="397"/>
        <v>0</v>
      </c>
      <c r="R1012" s="182">
        <f t="shared" si="398"/>
        <v>0</v>
      </c>
      <c r="S1012" s="182">
        <f t="shared" si="399"/>
        <v>0</v>
      </c>
      <c r="T1012" s="182">
        <f t="shared" si="400"/>
        <v>0</v>
      </c>
      <c r="U1012" s="182">
        <f t="shared" si="401"/>
        <v>0</v>
      </c>
      <c r="V1012" s="14">
        <f t="shared" si="402"/>
        <v>8252.2800000000007</v>
      </c>
      <c r="W1012" s="14">
        <f t="shared" si="403"/>
        <v>-8252.2800000000007</v>
      </c>
      <c r="Y1012" s="14">
        <f t="shared" si="406"/>
        <v>2070.36</v>
      </c>
      <c r="Z1012" s="14">
        <f t="shared" si="407"/>
        <v>-2070.36</v>
      </c>
      <c r="AA1012" s="11">
        <f t="shared" si="409"/>
        <v>0.44</v>
      </c>
      <c r="AB1012" s="9">
        <f t="shared" si="412"/>
        <v>320.76</v>
      </c>
      <c r="AD1012" s="13">
        <f>IF(AH1012&gt;AH1011,AD1011,IF(AD1011&lt;MiscData!$F$1,EOMONTH(AD1011,1),EOMONTH(AD1011,-11)))</f>
        <v>42369</v>
      </c>
      <c r="AE1012" s="7" t="str">
        <f t="shared" si="404"/>
        <v>20140101KUUM_447</v>
      </c>
      <c r="AF1012" s="12" t="str">
        <f t="shared" si="405"/>
        <v>20140101RLS</v>
      </c>
      <c r="AG1012" s="31"/>
      <c r="AH1012">
        <f>IF(AH1011=MiscData!$AB$91,1,AH1011+1)</f>
        <v>43</v>
      </c>
      <c r="AI1012">
        <f>IF(AD1012&lt;=MiscData!$B$23,MiscData!$C$23,IF(AD1012&lt;=MiscData!$B$24,MiscData!$C$24,MiscData!$C$25))</f>
        <v>20140101</v>
      </c>
      <c r="AK1012" s="190" t="str">
        <f>VLOOKUP(AM1012,MiscData!$AB$4:$ACB$113,2,FALSE)</f>
        <v>KUUM_447</v>
      </c>
      <c r="AL1012" s="190" t="str">
        <f>VLOOKUP(AM1012,MiscData!$AB$4:$AE$115,4,FALSE)</f>
        <v>RLS</v>
      </c>
      <c r="AM1012">
        <f>IF(AM1011=MiscData!$AB$91,1,AM1011+1)</f>
        <v>43</v>
      </c>
    </row>
    <row r="1013" spans="1:39">
      <c r="A1013" s="7">
        <f t="shared" si="408"/>
        <v>1012</v>
      </c>
      <c r="B1013" s="13" t="str">
        <f t="shared" si="390"/>
        <v>Dec 2015</v>
      </c>
      <c r="C1013" s="23" t="str">
        <f t="shared" si="391"/>
        <v>RLS</v>
      </c>
      <c r="D1013" s="23" t="str">
        <f t="shared" si="392"/>
        <v>KUUM_448</v>
      </c>
      <c r="E1013" s="170">
        <f t="shared" si="393"/>
        <v>1465</v>
      </c>
      <c r="F1013" s="185"/>
      <c r="G1013" s="170">
        <f t="shared" si="389"/>
        <v>0</v>
      </c>
      <c r="H1013" s="170">
        <v>0</v>
      </c>
      <c r="I1013" s="11">
        <f t="shared" si="394"/>
        <v>12.809999999999999</v>
      </c>
      <c r="J1013" s="11">
        <f t="shared" si="395"/>
        <v>4.37</v>
      </c>
      <c r="K1013" s="416">
        <f t="shared" si="410"/>
        <v>18766.650000000001</v>
      </c>
      <c r="L1013" s="180"/>
      <c r="M1013" s="180"/>
      <c r="N1013" s="186">
        <f t="shared" si="388"/>
        <v>18766.650000000001</v>
      </c>
      <c r="O1013" s="29">
        <f t="shared" si="396"/>
        <v>0</v>
      </c>
      <c r="P1013" s="181">
        <f t="shared" si="411"/>
        <v>0</v>
      </c>
      <c r="Q1013" s="182">
        <f t="shared" si="397"/>
        <v>0</v>
      </c>
      <c r="R1013" s="182">
        <f t="shared" si="398"/>
        <v>0</v>
      </c>
      <c r="S1013" s="182">
        <f t="shared" si="399"/>
        <v>0</v>
      </c>
      <c r="T1013" s="182">
        <f t="shared" si="400"/>
        <v>0</v>
      </c>
      <c r="U1013" s="182">
        <f t="shared" si="401"/>
        <v>0</v>
      </c>
      <c r="V1013" s="14">
        <f t="shared" si="402"/>
        <v>18766.650000000001</v>
      </c>
      <c r="W1013" s="14">
        <f t="shared" si="403"/>
        <v>-18766.650000000001</v>
      </c>
      <c r="Y1013" s="14">
        <f t="shared" si="406"/>
        <v>6402.05</v>
      </c>
      <c r="Z1013" s="14">
        <f t="shared" si="407"/>
        <v>-6402.05</v>
      </c>
      <c r="AA1013" s="11">
        <f t="shared" si="409"/>
        <v>0.51</v>
      </c>
      <c r="AB1013" s="9">
        <f t="shared" si="412"/>
        <v>747.15</v>
      </c>
      <c r="AD1013" s="13">
        <f>IF(AH1013&gt;AH1012,AD1012,IF(AD1012&lt;MiscData!$F$1,EOMONTH(AD1012,1),EOMONTH(AD1012,-11)))</f>
        <v>42369</v>
      </c>
      <c r="AE1013" s="7" t="str">
        <f t="shared" si="404"/>
        <v>20140101KUUM_448</v>
      </c>
      <c r="AF1013" s="12" t="str">
        <f t="shared" si="405"/>
        <v>20140101RLS</v>
      </c>
      <c r="AG1013" s="31"/>
      <c r="AH1013">
        <f>IF(AH1012=MiscData!$AB$91,1,AH1012+1)</f>
        <v>44</v>
      </c>
      <c r="AI1013">
        <f>IF(AD1013&lt;=MiscData!$B$23,MiscData!$C$23,IF(AD1013&lt;=MiscData!$B$24,MiscData!$C$24,MiscData!$C$25))</f>
        <v>20140101</v>
      </c>
      <c r="AK1013" s="190" t="str">
        <f>VLOOKUP(AM1013,MiscData!$AB$4:$ACB$113,2,FALSE)</f>
        <v>KUUM_448</v>
      </c>
      <c r="AL1013" s="190" t="str">
        <f>VLOOKUP(AM1013,MiscData!$AB$4:$AE$115,4,FALSE)</f>
        <v>RLS</v>
      </c>
      <c r="AM1013">
        <f>IF(AM1012=MiscData!$AB$91,1,AM1012+1)</f>
        <v>44</v>
      </c>
    </row>
    <row r="1014" spans="1:39">
      <c r="A1014" s="7">
        <f t="shared" si="408"/>
        <v>1013</v>
      </c>
      <c r="B1014" s="13" t="str">
        <f t="shared" si="390"/>
        <v>Dec 2015</v>
      </c>
      <c r="C1014" s="23" t="str">
        <f t="shared" si="391"/>
        <v>LS</v>
      </c>
      <c r="D1014" s="23" t="str">
        <f t="shared" si="392"/>
        <v>KUUM_450</v>
      </c>
      <c r="E1014" s="170">
        <f t="shared" si="393"/>
        <v>632</v>
      </c>
      <c r="F1014" s="185"/>
      <c r="G1014" s="170">
        <f t="shared" si="389"/>
        <v>0</v>
      </c>
      <c r="H1014" s="170">
        <v>0</v>
      </c>
      <c r="I1014" s="11">
        <f t="shared" si="394"/>
        <v>14.25</v>
      </c>
      <c r="J1014" s="11">
        <f t="shared" si="395"/>
        <v>1.9699999999999989</v>
      </c>
      <c r="K1014" s="416">
        <f t="shared" si="410"/>
        <v>9006</v>
      </c>
      <c r="L1014" s="180"/>
      <c r="M1014" s="180"/>
      <c r="N1014" s="186">
        <f t="shared" si="388"/>
        <v>9006</v>
      </c>
      <c r="O1014" s="29">
        <f t="shared" si="396"/>
        <v>0</v>
      </c>
      <c r="P1014" s="181">
        <f t="shared" si="411"/>
        <v>0</v>
      </c>
      <c r="Q1014" s="182">
        <f t="shared" si="397"/>
        <v>0</v>
      </c>
      <c r="R1014" s="182">
        <f t="shared" si="398"/>
        <v>0</v>
      </c>
      <c r="S1014" s="182">
        <f t="shared" si="399"/>
        <v>0</v>
      </c>
      <c r="T1014" s="182">
        <f t="shared" si="400"/>
        <v>0</v>
      </c>
      <c r="U1014" s="182">
        <f t="shared" si="401"/>
        <v>0</v>
      </c>
      <c r="V1014" s="14">
        <f t="shared" si="402"/>
        <v>9006</v>
      </c>
      <c r="W1014" s="14">
        <f t="shared" si="403"/>
        <v>-9006</v>
      </c>
      <c r="Y1014" s="14">
        <f t="shared" si="406"/>
        <v>1245.04</v>
      </c>
      <c r="Z1014" s="14">
        <f t="shared" si="407"/>
        <v>-1245.04</v>
      </c>
      <c r="AA1014" s="11">
        <f t="shared" si="409"/>
        <v>0.66</v>
      </c>
      <c r="AB1014" s="9">
        <f t="shared" si="412"/>
        <v>417.12</v>
      </c>
      <c r="AD1014" s="13">
        <f>IF(AH1014&gt;AH1013,AD1013,IF(AD1013&lt;MiscData!$F$1,EOMONTH(AD1013,1),EOMONTH(AD1013,-11)))</f>
        <v>42369</v>
      </c>
      <c r="AE1014" s="7" t="str">
        <f t="shared" si="404"/>
        <v>20140101KUUM_450</v>
      </c>
      <c r="AF1014" s="12" t="str">
        <f t="shared" si="405"/>
        <v>20140101LS</v>
      </c>
      <c r="AG1014" s="31"/>
      <c r="AH1014">
        <f>IF(AH1013=MiscData!$AB$91,1,AH1013+1)</f>
        <v>45</v>
      </c>
      <c r="AI1014">
        <f>IF(AD1014&lt;=MiscData!$B$23,MiscData!$C$23,IF(AD1014&lt;=MiscData!$B$24,MiscData!$C$24,MiscData!$C$25))</f>
        <v>20140101</v>
      </c>
      <c r="AK1014" s="190" t="str">
        <f>VLOOKUP(AM1014,MiscData!$AB$4:$ACB$113,2,FALSE)</f>
        <v>KUUM_450</v>
      </c>
      <c r="AL1014" s="190" t="str">
        <f>VLOOKUP(AM1014,MiscData!$AB$4:$AE$115,4,FALSE)</f>
        <v>LS</v>
      </c>
      <c r="AM1014">
        <f>IF(AM1013=MiscData!$AB$91,1,AM1013+1)</f>
        <v>45</v>
      </c>
    </row>
    <row r="1015" spans="1:39">
      <c r="A1015" s="7">
        <f t="shared" si="408"/>
        <v>1014</v>
      </c>
      <c r="B1015" s="13" t="str">
        <f t="shared" si="390"/>
        <v>Dec 2015</v>
      </c>
      <c r="C1015" s="23" t="str">
        <f t="shared" si="391"/>
        <v>LS</v>
      </c>
      <c r="D1015" s="23" t="str">
        <f t="shared" si="392"/>
        <v>KUUM_451</v>
      </c>
      <c r="E1015" s="170">
        <f t="shared" si="393"/>
        <v>4824</v>
      </c>
      <c r="F1015" s="185"/>
      <c r="G1015" s="170">
        <f t="shared" si="389"/>
        <v>0</v>
      </c>
      <c r="H1015" s="170">
        <v>0</v>
      </c>
      <c r="I1015" s="11">
        <f t="shared" si="394"/>
        <v>20.200000000000003</v>
      </c>
      <c r="J1015" s="11">
        <f t="shared" si="395"/>
        <v>4.2900000000000027</v>
      </c>
      <c r="K1015" s="416">
        <f t="shared" si="410"/>
        <v>97444.800000000003</v>
      </c>
      <c r="L1015" s="180"/>
      <c r="M1015" s="180"/>
      <c r="N1015" s="186">
        <f t="shared" si="388"/>
        <v>97444.800000000003</v>
      </c>
      <c r="O1015" s="29">
        <f t="shared" si="396"/>
        <v>0</v>
      </c>
      <c r="P1015" s="181">
        <f t="shared" si="411"/>
        <v>0</v>
      </c>
      <c r="Q1015" s="182">
        <f t="shared" si="397"/>
        <v>0</v>
      </c>
      <c r="R1015" s="182">
        <f t="shared" si="398"/>
        <v>0</v>
      </c>
      <c r="S1015" s="182">
        <f t="shared" si="399"/>
        <v>0</v>
      </c>
      <c r="T1015" s="182">
        <f t="shared" si="400"/>
        <v>0</v>
      </c>
      <c r="U1015" s="182">
        <f t="shared" si="401"/>
        <v>0</v>
      </c>
      <c r="V1015" s="14">
        <f t="shared" si="402"/>
        <v>97444.800000000003</v>
      </c>
      <c r="W1015" s="14">
        <f t="shared" si="403"/>
        <v>-97444.800000000003</v>
      </c>
      <c r="Y1015" s="14">
        <f t="shared" si="406"/>
        <v>20694.96</v>
      </c>
      <c r="Z1015" s="14">
        <f t="shared" si="407"/>
        <v>-20694.96</v>
      </c>
      <c r="AA1015" s="11">
        <f t="shared" si="409"/>
        <v>0.84</v>
      </c>
      <c r="AB1015" s="9">
        <f t="shared" si="412"/>
        <v>4052.16</v>
      </c>
      <c r="AD1015" s="13">
        <f>IF(AH1015&gt;AH1014,AD1014,IF(AD1014&lt;MiscData!$F$1,EOMONTH(AD1014,1),EOMONTH(AD1014,-11)))</f>
        <v>42369</v>
      </c>
      <c r="AE1015" s="7" t="str">
        <f t="shared" si="404"/>
        <v>20140101KUUM_451</v>
      </c>
      <c r="AF1015" s="12" t="str">
        <f t="shared" si="405"/>
        <v>20140101LS</v>
      </c>
      <c r="AG1015" s="31"/>
      <c r="AH1015">
        <f>IF(AH1014=MiscData!$AB$91,1,AH1014+1)</f>
        <v>46</v>
      </c>
      <c r="AI1015">
        <f>IF(AD1015&lt;=MiscData!$B$23,MiscData!$C$23,IF(AD1015&lt;=MiscData!$B$24,MiscData!$C$24,MiscData!$C$25))</f>
        <v>20140101</v>
      </c>
      <c r="AK1015" s="190" t="str">
        <f>VLOOKUP(AM1015,MiscData!$AB$4:$ACB$113,2,FALSE)</f>
        <v>KUUM_451</v>
      </c>
      <c r="AL1015" s="190" t="str">
        <f>VLOOKUP(AM1015,MiscData!$AB$4:$AE$115,4,FALSE)</f>
        <v>LS</v>
      </c>
      <c r="AM1015">
        <f>IF(AM1014=MiscData!$AB$91,1,AM1014+1)</f>
        <v>46</v>
      </c>
    </row>
    <row r="1016" spans="1:39">
      <c r="A1016" s="7">
        <f t="shared" si="408"/>
        <v>1015</v>
      </c>
      <c r="B1016" s="13" t="str">
        <f t="shared" si="390"/>
        <v>Dec 2015</v>
      </c>
      <c r="C1016" s="23" t="str">
        <f t="shared" si="391"/>
        <v>LS</v>
      </c>
      <c r="D1016" s="23" t="str">
        <f t="shared" si="392"/>
        <v>KUUM_452</v>
      </c>
      <c r="E1016" s="170">
        <f t="shared" si="393"/>
        <v>1015</v>
      </c>
      <c r="F1016" s="185"/>
      <c r="G1016" s="170">
        <f t="shared" si="389"/>
        <v>0</v>
      </c>
      <c r="H1016" s="170">
        <v>0</v>
      </c>
      <c r="I1016" s="11">
        <f t="shared" si="394"/>
        <v>42.350000000000009</v>
      </c>
      <c r="J1016" s="11">
        <f t="shared" si="395"/>
        <v>10.410000000000004</v>
      </c>
      <c r="K1016" s="416">
        <f t="shared" si="410"/>
        <v>42985.25</v>
      </c>
      <c r="L1016" s="180"/>
      <c r="M1016" s="180"/>
      <c r="N1016" s="186">
        <f t="shared" ref="N1016:N1057" si="413">SUM(K1016:M1016)</f>
        <v>42985.25</v>
      </c>
      <c r="O1016" s="29">
        <f t="shared" si="396"/>
        <v>0</v>
      </c>
      <c r="P1016" s="181">
        <f t="shared" si="411"/>
        <v>0</v>
      </c>
      <c r="Q1016" s="182">
        <f t="shared" si="397"/>
        <v>0</v>
      </c>
      <c r="R1016" s="182">
        <f t="shared" si="398"/>
        <v>0</v>
      </c>
      <c r="S1016" s="182">
        <f t="shared" si="399"/>
        <v>0</v>
      </c>
      <c r="T1016" s="182">
        <f t="shared" si="400"/>
        <v>0</v>
      </c>
      <c r="U1016" s="182">
        <f t="shared" si="401"/>
        <v>0</v>
      </c>
      <c r="V1016" s="14">
        <f t="shared" si="402"/>
        <v>42985.25</v>
      </c>
      <c r="W1016" s="14">
        <f t="shared" si="403"/>
        <v>-42985.25</v>
      </c>
      <c r="Y1016" s="14">
        <f t="shared" si="406"/>
        <v>10566.15</v>
      </c>
      <c r="Z1016" s="14">
        <f t="shared" si="407"/>
        <v>-10566.15</v>
      </c>
      <c r="AA1016" s="11">
        <f t="shared" si="409"/>
        <v>1.7</v>
      </c>
      <c r="AB1016" s="9">
        <f t="shared" si="412"/>
        <v>1725.5</v>
      </c>
      <c r="AD1016" s="13">
        <f>IF(AH1016&gt;AH1015,AD1015,IF(AD1015&lt;MiscData!$F$1,EOMONTH(AD1015,1),EOMONTH(AD1015,-11)))</f>
        <v>42369</v>
      </c>
      <c r="AE1016" s="7" t="str">
        <f t="shared" si="404"/>
        <v>20140101KUUM_452</v>
      </c>
      <c r="AF1016" s="12" t="str">
        <f t="shared" si="405"/>
        <v>20140101LS</v>
      </c>
      <c r="AG1016" s="31"/>
      <c r="AH1016">
        <f>IF(AH1015=MiscData!$AB$91,1,AH1015+1)</f>
        <v>47</v>
      </c>
      <c r="AI1016">
        <f>IF(AD1016&lt;=MiscData!$B$23,MiscData!$C$23,IF(AD1016&lt;=MiscData!$B$24,MiscData!$C$24,MiscData!$C$25))</f>
        <v>20140101</v>
      </c>
      <c r="AK1016" s="190" t="str">
        <f>VLOOKUP(AM1016,MiscData!$AB$4:$ACB$113,2,FALSE)</f>
        <v>KUUM_452</v>
      </c>
      <c r="AL1016" s="190" t="str">
        <f>VLOOKUP(AM1016,MiscData!$AB$4:$AE$115,4,FALSE)</f>
        <v>LS</v>
      </c>
      <c r="AM1016">
        <f>IF(AM1015=MiscData!$AB$91,1,AM1015+1)</f>
        <v>47</v>
      </c>
    </row>
    <row r="1017" spans="1:39">
      <c r="A1017" s="7">
        <f t="shared" si="408"/>
        <v>1016</v>
      </c>
      <c r="B1017" s="13" t="str">
        <f t="shared" si="390"/>
        <v>Dec 2015</v>
      </c>
      <c r="C1017" s="23" t="str">
        <f t="shared" si="391"/>
        <v>RLS</v>
      </c>
      <c r="D1017" s="23" t="str">
        <f t="shared" si="392"/>
        <v>KUUM_454</v>
      </c>
      <c r="E1017" s="170">
        <f t="shared" si="393"/>
        <v>150</v>
      </c>
      <c r="F1017" s="185"/>
      <c r="G1017" s="170">
        <f t="shared" ref="G1017:G1057" si="414">SUMIFS(_SBR_KWH,_SBR_Revenue_Month,$B1017,_SBR_Rate_Category,$D1017)</f>
        <v>0</v>
      </c>
      <c r="H1017" s="170">
        <v>0</v>
      </c>
      <c r="I1017" s="11">
        <f t="shared" si="394"/>
        <v>18.649999999999999</v>
      </c>
      <c r="J1017" s="11">
        <f t="shared" si="395"/>
        <v>1.9699999999999989</v>
      </c>
      <c r="K1017" s="416">
        <f t="shared" si="410"/>
        <v>2797.5</v>
      </c>
      <c r="L1017" s="180"/>
      <c r="M1017" s="180"/>
      <c r="N1017" s="186">
        <f t="shared" si="413"/>
        <v>2797.5</v>
      </c>
      <c r="O1017" s="29">
        <f t="shared" si="396"/>
        <v>0</v>
      </c>
      <c r="P1017" s="181">
        <f t="shared" si="411"/>
        <v>0</v>
      </c>
      <c r="Q1017" s="182">
        <f t="shared" si="397"/>
        <v>0</v>
      </c>
      <c r="R1017" s="182">
        <f t="shared" si="398"/>
        <v>0</v>
      </c>
      <c r="S1017" s="182">
        <f t="shared" si="399"/>
        <v>0</v>
      </c>
      <c r="T1017" s="182">
        <f t="shared" si="400"/>
        <v>0</v>
      </c>
      <c r="U1017" s="182">
        <f t="shared" si="401"/>
        <v>0</v>
      </c>
      <c r="V1017" s="14">
        <f t="shared" si="402"/>
        <v>2797.5</v>
      </c>
      <c r="W1017" s="14">
        <f t="shared" si="403"/>
        <v>-2797.5</v>
      </c>
      <c r="Y1017" s="14">
        <f t="shared" si="406"/>
        <v>295.5</v>
      </c>
      <c r="Z1017" s="14">
        <f t="shared" si="407"/>
        <v>-295.5</v>
      </c>
      <c r="AA1017" s="11">
        <f t="shared" si="409"/>
        <v>0.66</v>
      </c>
      <c r="AB1017" s="9">
        <f t="shared" si="412"/>
        <v>99</v>
      </c>
      <c r="AD1017" s="13">
        <f>IF(AH1017&gt;AH1016,AD1016,IF(AD1016&lt;MiscData!$F$1,EOMONTH(AD1016,1),EOMONTH(AD1016,-11)))</f>
        <v>42369</v>
      </c>
      <c r="AE1017" s="7" t="str">
        <f t="shared" si="404"/>
        <v>20140101KUUM_454</v>
      </c>
      <c r="AF1017" s="12" t="str">
        <f t="shared" si="405"/>
        <v>20140101RLS</v>
      </c>
      <c r="AG1017" s="31"/>
      <c r="AH1017">
        <f>IF(AH1016=MiscData!$AB$91,1,AH1016+1)</f>
        <v>48</v>
      </c>
      <c r="AI1017">
        <f>IF(AD1017&lt;=MiscData!$B$23,MiscData!$C$23,IF(AD1017&lt;=MiscData!$B$24,MiscData!$C$24,MiscData!$C$25))</f>
        <v>20140101</v>
      </c>
      <c r="AK1017" s="190" t="str">
        <f>VLOOKUP(AM1017,MiscData!$AB$4:$ACB$113,2,FALSE)</f>
        <v>KUUM_454</v>
      </c>
      <c r="AL1017" s="190" t="str">
        <f>VLOOKUP(AM1017,MiscData!$AB$4:$AE$115,4,FALSE)</f>
        <v>RLS</v>
      </c>
      <c r="AM1017">
        <f>IF(AM1016=MiscData!$AB$91,1,AM1016+1)</f>
        <v>48</v>
      </c>
    </row>
    <row r="1018" spans="1:39">
      <c r="A1018" s="7">
        <f t="shared" si="408"/>
        <v>1017</v>
      </c>
      <c r="B1018" s="13" t="str">
        <f t="shared" ref="B1018:B1057" si="415">TEXT(AD1018,"mmm yyyy")</f>
        <v>Dec 2015</v>
      </c>
      <c r="C1018" s="23" t="str">
        <f t="shared" ref="C1018:C1057" si="416">AL1018</f>
        <v>RLS</v>
      </c>
      <c r="D1018" s="23" t="str">
        <f t="shared" ref="D1018:D1057" si="417">AK1018</f>
        <v>KUUM_455</v>
      </c>
      <c r="E1018" s="170">
        <f t="shared" ref="E1018:E1057" si="418">SUMIFS(_1055_Light_Count,_1055_RevMonth,$B1018,_1055_RateCategory,$D1018)</f>
        <v>998</v>
      </c>
      <c r="F1018" s="185"/>
      <c r="G1018" s="170">
        <f t="shared" si="414"/>
        <v>0</v>
      </c>
      <c r="H1018" s="170">
        <v>0</v>
      </c>
      <c r="I1018" s="11">
        <f t="shared" ref="I1018:I1057" si="419">SUMIF(_Lights_Tariff_Category,$AE1018,_Lights_Rates)</f>
        <v>24.59</v>
      </c>
      <c r="J1018" s="11">
        <f t="shared" ref="J1018:J1057" si="420">SUMIF(_Lights_Tariff_Category,$AE1018,_Rates_Lights_BaseFAC)</f>
        <v>4.2899999999999991</v>
      </c>
      <c r="K1018" s="416">
        <f t="shared" si="410"/>
        <v>24540.82</v>
      </c>
      <c r="L1018" s="180"/>
      <c r="M1018" s="180"/>
      <c r="N1018" s="186">
        <f t="shared" si="413"/>
        <v>24540.82</v>
      </c>
      <c r="O1018" s="29">
        <f t="shared" ref="O1018:O1057" si="421">U1018-SUM(Q1018:T1018)</f>
        <v>0</v>
      </c>
      <c r="P1018" s="181">
        <f t="shared" si="411"/>
        <v>0</v>
      </c>
      <c r="Q1018" s="182">
        <f t="shared" ref="Q1018:Q1057" si="422">SUMIFS(_SBR_FAC,_SBR_Revenue_Month,$B1018,_SBR_Rate_Category,$D1018)</f>
        <v>0</v>
      </c>
      <c r="R1018" s="182">
        <f t="shared" ref="R1018:R1057" si="423">SUMIFS(_SBR_DSM,_SBR_Revenue_Month,$B1018,_SBR_Rate_Category,$D1018)</f>
        <v>0</v>
      </c>
      <c r="S1018" s="182">
        <f t="shared" ref="S1018:S1057" si="424">SUMIFS(_SBR_ECR,_SBR_Revenue_Month,$B1018,_SBR_Rate_Category,$D1018)</f>
        <v>0</v>
      </c>
      <c r="T1018" s="182">
        <f t="shared" ref="T1018:T1057" si="425">SUMIFS(_SBR_MSR,_SBR_Revenue_Month,$B1018,_SBR_Rate_Category,$D1018)</f>
        <v>0</v>
      </c>
      <c r="U1018" s="182">
        <f t="shared" ref="U1018:U1057" si="426">SUMIFS(_SBR_Revenue_Actual,_SBR_Revenue_Month,$B1018,_SBR_Rate_Category,$D1018)</f>
        <v>0</v>
      </c>
      <c r="V1018" s="14">
        <f t="shared" ref="V1018:V1057" si="427">SUM(N1018,Q1018:T1018)</f>
        <v>24540.82</v>
      </c>
      <c r="W1018" s="14">
        <f t="shared" ref="W1018:W1057" si="428">U1018-V1018</f>
        <v>-24540.82</v>
      </c>
      <c r="Y1018" s="14">
        <f t="shared" si="406"/>
        <v>4281.42</v>
      </c>
      <c r="Z1018" s="14">
        <f t="shared" si="407"/>
        <v>-4281.42</v>
      </c>
      <c r="AA1018" s="11">
        <f t="shared" si="409"/>
        <v>0.84</v>
      </c>
      <c r="AB1018" s="9">
        <f t="shared" si="412"/>
        <v>838.31999999999994</v>
      </c>
      <c r="AD1018" s="13">
        <f>IF(AH1018&gt;AH1017,AD1017,IF(AD1017&lt;MiscData!$F$1,EOMONTH(AD1017,1),EOMONTH(AD1017,-11)))</f>
        <v>42369</v>
      </c>
      <c r="AE1018" s="7" t="str">
        <f t="shared" ref="AE1018:AE1057" si="429">CONCATENATE(AI1018&amp;AK1018)</f>
        <v>20140101KUUM_455</v>
      </c>
      <c r="AF1018" s="12" t="str">
        <f t="shared" ref="AF1018:AF1057" si="430">CONCATENATE(AI1018&amp;AL1018)</f>
        <v>20140101RLS</v>
      </c>
      <c r="AG1018" s="31"/>
      <c r="AH1018">
        <f>IF(AH1017=MiscData!$AB$91,1,AH1017+1)</f>
        <v>49</v>
      </c>
      <c r="AI1018">
        <f>IF(AD1018&lt;=MiscData!$B$23,MiscData!$C$23,IF(AD1018&lt;=MiscData!$B$24,MiscData!$C$24,MiscData!$C$25))</f>
        <v>20140101</v>
      </c>
      <c r="AK1018" s="190" t="str">
        <f>VLOOKUP(AM1018,MiscData!$AB$4:$ACB$113,2,FALSE)</f>
        <v>KUUM_455</v>
      </c>
      <c r="AL1018" s="190" t="str">
        <f>VLOOKUP(AM1018,MiscData!$AB$4:$AE$115,4,FALSE)</f>
        <v>RLS</v>
      </c>
      <c r="AM1018">
        <f>IF(AM1017=MiscData!$AB$91,1,AM1017+1)</f>
        <v>49</v>
      </c>
    </row>
    <row r="1019" spans="1:39">
      <c r="A1019" s="7">
        <f t="shared" si="408"/>
        <v>1018</v>
      </c>
      <c r="B1019" s="13" t="str">
        <f t="shared" si="415"/>
        <v>Dec 2015</v>
      </c>
      <c r="C1019" s="23" t="str">
        <f t="shared" si="416"/>
        <v>RLS</v>
      </c>
      <c r="D1019" s="23" t="str">
        <f t="shared" si="417"/>
        <v>KUUM_456</v>
      </c>
      <c r="E1019" s="170">
        <f t="shared" si="418"/>
        <v>136</v>
      </c>
      <c r="F1019" s="185"/>
      <c r="G1019" s="170">
        <f t="shared" si="414"/>
        <v>0</v>
      </c>
      <c r="H1019" s="170">
        <v>0</v>
      </c>
      <c r="I1019" s="11">
        <f t="shared" si="419"/>
        <v>11.870000000000001</v>
      </c>
      <c r="J1019" s="11">
        <f t="shared" si="420"/>
        <v>1.9900000000000002</v>
      </c>
      <c r="K1019" s="416">
        <f t="shared" si="410"/>
        <v>1614.32</v>
      </c>
      <c r="L1019" s="180"/>
      <c r="M1019" s="180"/>
      <c r="N1019" s="186">
        <f t="shared" si="413"/>
        <v>1614.32</v>
      </c>
      <c r="O1019" s="29">
        <f t="shared" si="421"/>
        <v>0</v>
      </c>
      <c r="P1019" s="181">
        <f t="shared" si="411"/>
        <v>0</v>
      </c>
      <c r="Q1019" s="182">
        <f t="shared" si="422"/>
        <v>0</v>
      </c>
      <c r="R1019" s="182">
        <f t="shared" si="423"/>
        <v>0</v>
      </c>
      <c r="S1019" s="182">
        <f t="shared" si="424"/>
        <v>0</v>
      </c>
      <c r="T1019" s="182">
        <f t="shared" si="425"/>
        <v>0</v>
      </c>
      <c r="U1019" s="182">
        <f t="shared" si="426"/>
        <v>0</v>
      </c>
      <c r="V1019" s="14">
        <f t="shared" si="427"/>
        <v>1614.32</v>
      </c>
      <c r="W1019" s="14">
        <f t="shared" si="428"/>
        <v>-1614.32</v>
      </c>
      <c r="Y1019" s="14">
        <f t="shared" ref="Y1019:Y1057" si="431">ROUND(E1019*J1019,2)</f>
        <v>270.64</v>
      </c>
      <c r="Z1019" s="14">
        <f t="shared" ref="Z1019:Z1057" si="432">O1019-Y1019</f>
        <v>-270.64</v>
      </c>
      <c r="AA1019" s="11">
        <f t="shared" si="409"/>
        <v>0.39</v>
      </c>
      <c r="AB1019" s="9">
        <f t="shared" si="412"/>
        <v>53.04</v>
      </c>
      <c r="AD1019" s="13">
        <f>IF(AH1019&gt;AH1018,AD1018,IF(AD1018&lt;MiscData!$F$1,EOMONTH(AD1018,1),EOMONTH(AD1018,-11)))</f>
        <v>42369</v>
      </c>
      <c r="AE1019" s="7" t="str">
        <f t="shared" si="429"/>
        <v>20140101KUUM_456</v>
      </c>
      <c r="AF1019" s="12" t="str">
        <f t="shared" si="430"/>
        <v>20140101RLS</v>
      </c>
      <c r="AG1019" s="31"/>
      <c r="AH1019">
        <f>IF(AH1018=MiscData!$AB$91,1,AH1018+1)</f>
        <v>50</v>
      </c>
      <c r="AI1019">
        <f>IF(AD1019&lt;=MiscData!$B$23,MiscData!$C$23,IF(AD1019&lt;=MiscData!$B$24,MiscData!$C$24,MiscData!$C$25))</f>
        <v>20140101</v>
      </c>
      <c r="AK1019" s="190" t="str">
        <f>VLOOKUP(AM1019,MiscData!$AB$4:$ACB$113,2,FALSE)</f>
        <v>KUUM_456</v>
      </c>
      <c r="AL1019" s="190" t="str">
        <f>VLOOKUP(AM1019,MiscData!$AB$4:$AE$115,4,FALSE)</f>
        <v>RLS</v>
      </c>
      <c r="AM1019">
        <f>IF(AM1018=MiscData!$AB$91,1,AM1018+1)</f>
        <v>50</v>
      </c>
    </row>
    <row r="1020" spans="1:39">
      <c r="A1020" s="7">
        <f t="shared" ref="A1020:A1057" si="433">A1019+1</f>
        <v>1019</v>
      </c>
      <c r="B1020" s="13" t="str">
        <f t="shared" si="415"/>
        <v>Dec 2015</v>
      </c>
      <c r="C1020" s="23" t="str">
        <f t="shared" si="416"/>
        <v>RLS</v>
      </c>
      <c r="D1020" s="23" t="str">
        <f t="shared" si="417"/>
        <v>KUUM_457</v>
      </c>
      <c r="E1020" s="170">
        <f t="shared" si="418"/>
        <v>440</v>
      </c>
      <c r="F1020" s="185"/>
      <c r="G1020" s="170">
        <f t="shared" si="414"/>
        <v>0</v>
      </c>
      <c r="H1020" s="170">
        <v>0</v>
      </c>
      <c r="I1020" s="11">
        <f t="shared" si="419"/>
        <v>13.360000000000001</v>
      </c>
      <c r="J1020" s="11">
        <f t="shared" si="420"/>
        <v>2.84</v>
      </c>
      <c r="K1020" s="416">
        <f t="shared" si="410"/>
        <v>5878.4</v>
      </c>
      <c r="L1020" s="180"/>
      <c r="M1020" s="180"/>
      <c r="N1020" s="186">
        <f t="shared" si="413"/>
        <v>5878.4</v>
      </c>
      <c r="O1020" s="29">
        <f t="shared" si="421"/>
        <v>0</v>
      </c>
      <c r="P1020" s="181">
        <f t="shared" si="411"/>
        <v>0</v>
      </c>
      <c r="Q1020" s="182">
        <f t="shared" si="422"/>
        <v>0</v>
      </c>
      <c r="R1020" s="182">
        <f t="shared" si="423"/>
        <v>0</v>
      </c>
      <c r="S1020" s="182">
        <f t="shared" si="424"/>
        <v>0</v>
      </c>
      <c r="T1020" s="182">
        <f t="shared" si="425"/>
        <v>0</v>
      </c>
      <c r="U1020" s="182">
        <f t="shared" si="426"/>
        <v>0</v>
      </c>
      <c r="V1020" s="14">
        <f t="shared" si="427"/>
        <v>5878.4</v>
      </c>
      <c r="W1020" s="14">
        <f t="shared" si="428"/>
        <v>-5878.4</v>
      </c>
      <c r="Y1020" s="14">
        <f t="shared" si="431"/>
        <v>1249.5999999999999</v>
      </c>
      <c r="Z1020" s="14">
        <f t="shared" si="432"/>
        <v>-1249.5999999999999</v>
      </c>
      <c r="AA1020" s="11">
        <f t="shared" si="409"/>
        <v>0.44</v>
      </c>
      <c r="AB1020" s="9">
        <f t="shared" si="412"/>
        <v>193.6</v>
      </c>
      <c r="AD1020" s="13">
        <f>IF(AH1020&gt;AH1019,AD1019,IF(AD1019&lt;MiscData!$F$1,EOMONTH(AD1019,1),EOMONTH(AD1019,-11)))</f>
        <v>42369</v>
      </c>
      <c r="AE1020" s="7" t="str">
        <f t="shared" si="429"/>
        <v>20140101KUUM_457</v>
      </c>
      <c r="AF1020" s="12" t="str">
        <f t="shared" si="430"/>
        <v>20140101RLS</v>
      </c>
      <c r="AG1020" s="31"/>
      <c r="AH1020">
        <f>IF(AH1019=MiscData!$AB$91,1,AH1019+1)</f>
        <v>51</v>
      </c>
      <c r="AI1020">
        <f>IF(AD1020&lt;=MiscData!$B$23,MiscData!$C$23,IF(AD1020&lt;=MiscData!$B$24,MiscData!$C$24,MiscData!$C$25))</f>
        <v>20140101</v>
      </c>
      <c r="AK1020" s="190" t="str">
        <f>VLOOKUP(AM1020,MiscData!$AB$4:$ACB$113,2,FALSE)</f>
        <v>KUUM_457</v>
      </c>
      <c r="AL1020" s="190" t="str">
        <f>VLOOKUP(AM1020,MiscData!$AB$4:$AE$115,4,FALSE)</f>
        <v>RLS</v>
      </c>
      <c r="AM1020">
        <f>IF(AM1019=MiscData!$AB$91,1,AM1019+1)</f>
        <v>51</v>
      </c>
    </row>
    <row r="1021" spans="1:39">
      <c r="A1021" s="7">
        <f t="shared" si="433"/>
        <v>1020</v>
      </c>
      <c r="B1021" s="13" t="str">
        <f t="shared" si="415"/>
        <v>Dec 2015</v>
      </c>
      <c r="C1021" s="23" t="str">
        <f t="shared" si="416"/>
        <v>RLS</v>
      </c>
      <c r="D1021" s="23" t="str">
        <f t="shared" si="417"/>
        <v>KUUM_458</v>
      </c>
      <c r="E1021" s="170">
        <f t="shared" si="418"/>
        <v>1463</v>
      </c>
      <c r="F1021" s="185"/>
      <c r="G1021" s="170">
        <f t="shared" si="414"/>
        <v>0</v>
      </c>
      <c r="H1021" s="170">
        <v>0</v>
      </c>
      <c r="I1021" s="11">
        <f t="shared" si="419"/>
        <v>15.079999999999998</v>
      </c>
      <c r="J1021" s="11">
        <f t="shared" si="420"/>
        <v>4.3699999999999992</v>
      </c>
      <c r="K1021" s="416">
        <f t="shared" si="410"/>
        <v>22062.04</v>
      </c>
      <c r="L1021" s="180"/>
      <c r="M1021" s="180"/>
      <c r="N1021" s="186">
        <f t="shared" si="413"/>
        <v>22062.04</v>
      </c>
      <c r="O1021" s="29">
        <f t="shared" si="421"/>
        <v>0</v>
      </c>
      <c r="P1021" s="181">
        <f t="shared" si="411"/>
        <v>0</v>
      </c>
      <c r="Q1021" s="182">
        <f t="shared" si="422"/>
        <v>0</v>
      </c>
      <c r="R1021" s="182">
        <f t="shared" si="423"/>
        <v>0</v>
      </c>
      <c r="S1021" s="182">
        <f t="shared" si="424"/>
        <v>0</v>
      </c>
      <c r="T1021" s="182">
        <f t="shared" si="425"/>
        <v>0</v>
      </c>
      <c r="U1021" s="182">
        <f t="shared" si="426"/>
        <v>0</v>
      </c>
      <c r="V1021" s="14">
        <f t="shared" si="427"/>
        <v>22062.04</v>
      </c>
      <c r="W1021" s="14">
        <f t="shared" si="428"/>
        <v>-22062.04</v>
      </c>
      <c r="Y1021" s="14">
        <f t="shared" si="431"/>
        <v>6393.31</v>
      </c>
      <c r="Z1021" s="14">
        <f t="shared" si="432"/>
        <v>-6393.31</v>
      </c>
      <c r="AA1021" s="11">
        <f t="shared" si="409"/>
        <v>0.51</v>
      </c>
      <c r="AB1021" s="9">
        <f t="shared" si="412"/>
        <v>746.13</v>
      </c>
      <c r="AD1021" s="13">
        <f>IF(AH1021&gt;AH1020,AD1020,IF(AD1020&lt;MiscData!$F$1,EOMONTH(AD1020,1),EOMONTH(AD1020,-11)))</f>
        <v>42369</v>
      </c>
      <c r="AE1021" s="7" t="str">
        <f t="shared" si="429"/>
        <v>20140101KUUM_458</v>
      </c>
      <c r="AF1021" s="12" t="str">
        <f t="shared" si="430"/>
        <v>20140101RLS</v>
      </c>
      <c r="AG1021" s="31"/>
      <c r="AH1021">
        <f>IF(AH1020=MiscData!$AB$91,1,AH1020+1)</f>
        <v>52</v>
      </c>
      <c r="AI1021">
        <f>IF(AD1021&lt;=MiscData!$B$23,MiscData!$C$23,IF(AD1021&lt;=MiscData!$B$24,MiscData!$C$24,MiscData!$C$25))</f>
        <v>20140101</v>
      </c>
      <c r="AK1021" s="190" t="str">
        <f>VLOOKUP(AM1021,MiscData!$AB$4:$ACB$113,2,FALSE)</f>
        <v>KUUM_458</v>
      </c>
      <c r="AL1021" s="190" t="str">
        <f>VLOOKUP(AM1021,MiscData!$AB$4:$AE$115,4,FALSE)</f>
        <v>RLS</v>
      </c>
      <c r="AM1021">
        <f>IF(AM1020=MiscData!$AB$91,1,AM1020+1)</f>
        <v>52</v>
      </c>
    </row>
    <row r="1022" spans="1:39">
      <c r="A1022" s="7">
        <f t="shared" si="433"/>
        <v>1021</v>
      </c>
      <c r="B1022" s="13" t="str">
        <f t="shared" si="415"/>
        <v>Dec 2015</v>
      </c>
      <c r="C1022" s="23" t="str">
        <f t="shared" si="416"/>
        <v>RLS</v>
      </c>
      <c r="D1022" s="23" t="str">
        <f t="shared" si="417"/>
        <v>KUUM_459</v>
      </c>
      <c r="E1022" s="170">
        <f t="shared" si="418"/>
        <v>223</v>
      </c>
      <c r="F1022" s="185"/>
      <c r="G1022" s="170">
        <f t="shared" si="414"/>
        <v>0</v>
      </c>
      <c r="H1022" s="170">
        <v>0</v>
      </c>
      <c r="I1022" s="11">
        <f t="shared" si="419"/>
        <v>46.740000000000009</v>
      </c>
      <c r="J1022" s="11">
        <f t="shared" si="420"/>
        <v>10.410000000000004</v>
      </c>
      <c r="K1022" s="416">
        <f t="shared" si="410"/>
        <v>10423.02</v>
      </c>
      <c r="L1022" s="180"/>
      <c r="M1022" s="180"/>
      <c r="N1022" s="186">
        <f t="shared" si="413"/>
        <v>10423.02</v>
      </c>
      <c r="O1022" s="29">
        <f t="shared" si="421"/>
        <v>0</v>
      </c>
      <c r="P1022" s="181">
        <f t="shared" si="411"/>
        <v>0</v>
      </c>
      <c r="Q1022" s="182">
        <f t="shared" si="422"/>
        <v>0</v>
      </c>
      <c r="R1022" s="182">
        <f t="shared" si="423"/>
        <v>0</v>
      </c>
      <c r="S1022" s="182">
        <f t="shared" si="424"/>
        <v>0</v>
      </c>
      <c r="T1022" s="182">
        <f t="shared" si="425"/>
        <v>0</v>
      </c>
      <c r="U1022" s="182">
        <f t="shared" si="426"/>
        <v>0</v>
      </c>
      <c r="V1022" s="14">
        <f t="shared" si="427"/>
        <v>10423.02</v>
      </c>
      <c r="W1022" s="14">
        <f t="shared" si="428"/>
        <v>-10423.02</v>
      </c>
      <c r="Y1022" s="14">
        <f t="shared" si="431"/>
        <v>2321.4299999999998</v>
      </c>
      <c r="Z1022" s="14">
        <f t="shared" si="432"/>
        <v>-2321.4299999999998</v>
      </c>
      <c r="AA1022" s="11">
        <f t="shared" si="409"/>
        <v>1.7</v>
      </c>
      <c r="AB1022" s="9">
        <f t="shared" si="412"/>
        <v>379.09999999999997</v>
      </c>
      <c r="AD1022" s="13">
        <f>IF(AH1022&gt;AH1021,AD1021,IF(AD1021&lt;MiscData!$F$1,EOMONTH(AD1021,1),EOMONTH(AD1021,-11)))</f>
        <v>42369</v>
      </c>
      <c r="AE1022" s="7" t="str">
        <f t="shared" si="429"/>
        <v>20140101KUUM_459</v>
      </c>
      <c r="AF1022" s="12" t="str">
        <f t="shared" si="430"/>
        <v>20140101RLS</v>
      </c>
      <c r="AG1022" s="31"/>
      <c r="AH1022">
        <f>IF(AH1021=MiscData!$AB$91,1,AH1021+1)</f>
        <v>53</v>
      </c>
      <c r="AI1022">
        <f>IF(AD1022&lt;=MiscData!$B$23,MiscData!$C$23,IF(AD1022&lt;=MiscData!$B$24,MiscData!$C$24,MiscData!$C$25))</f>
        <v>20140101</v>
      </c>
      <c r="AK1022" s="190" t="str">
        <f>VLOOKUP(AM1022,MiscData!$AB$4:$ACB$113,2,FALSE)</f>
        <v>KUUM_459</v>
      </c>
      <c r="AL1022" s="190" t="str">
        <f>VLOOKUP(AM1022,MiscData!$AB$4:$AE$115,4,FALSE)</f>
        <v>RLS</v>
      </c>
      <c r="AM1022">
        <f>IF(AM1021=MiscData!$AB$91,1,AM1021+1)</f>
        <v>53</v>
      </c>
    </row>
    <row r="1023" spans="1:39">
      <c r="A1023" s="7">
        <f t="shared" si="433"/>
        <v>1022</v>
      </c>
      <c r="B1023" s="13" t="str">
        <f t="shared" si="415"/>
        <v>Dec 2015</v>
      </c>
      <c r="C1023" s="23" t="str">
        <f t="shared" si="416"/>
        <v>RLS</v>
      </c>
      <c r="D1023" s="23" t="str">
        <f t="shared" si="417"/>
        <v>KUUM_460</v>
      </c>
      <c r="E1023" s="170">
        <f t="shared" si="418"/>
        <v>26</v>
      </c>
      <c r="F1023" s="185"/>
      <c r="G1023" s="170">
        <f t="shared" si="414"/>
        <v>0</v>
      </c>
      <c r="H1023" s="170">
        <v>0</v>
      </c>
      <c r="I1023" s="11">
        <f t="shared" si="419"/>
        <v>27.15</v>
      </c>
      <c r="J1023" s="11">
        <f t="shared" si="420"/>
        <v>1.9699999999999989</v>
      </c>
      <c r="K1023" s="416">
        <f t="shared" si="410"/>
        <v>705.9</v>
      </c>
      <c r="L1023" s="180"/>
      <c r="M1023" s="180"/>
      <c r="N1023" s="186">
        <f t="shared" si="413"/>
        <v>705.9</v>
      </c>
      <c r="O1023" s="29">
        <f t="shared" si="421"/>
        <v>0</v>
      </c>
      <c r="P1023" s="181">
        <f t="shared" si="411"/>
        <v>0</v>
      </c>
      <c r="Q1023" s="182">
        <f t="shared" si="422"/>
        <v>0</v>
      </c>
      <c r="R1023" s="182">
        <f t="shared" si="423"/>
        <v>0</v>
      </c>
      <c r="S1023" s="182">
        <f t="shared" si="424"/>
        <v>0</v>
      </c>
      <c r="T1023" s="182">
        <f t="shared" si="425"/>
        <v>0</v>
      </c>
      <c r="U1023" s="182">
        <f t="shared" si="426"/>
        <v>0</v>
      </c>
      <c r="V1023" s="14">
        <f t="shared" si="427"/>
        <v>705.9</v>
      </c>
      <c r="W1023" s="14">
        <f t="shared" si="428"/>
        <v>-705.9</v>
      </c>
      <c r="Y1023" s="14">
        <f t="shared" si="431"/>
        <v>51.22</v>
      </c>
      <c r="Z1023" s="14">
        <f t="shared" si="432"/>
        <v>-51.22</v>
      </c>
      <c r="AA1023" s="11">
        <f t="shared" si="409"/>
        <v>0.66</v>
      </c>
      <c r="AB1023" s="9">
        <f t="shared" si="412"/>
        <v>17.16</v>
      </c>
      <c r="AD1023" s="13">
        <f>IF(AH1023&gt;AH1022,AD1022,IF(AD1022&lt;MiscData!$F$1,EOMONTH(AD1022,1),EOMONTH(AD1022,-11)))</f>
        <v>42369</v>
      </c>
      <c r="AE1023" s="7" t="str">
        <f t="shared" si="429"/>
        <v>20140101KUUM_460</v>
      </c>
      <c r="AF1023" s="12" t="str">
        <f t="shared" si="430"/>
        <v>20140101RLS</v>
      </c>
      <c r="AG1023" s="31"/>
      <c r="AH1023">
        <f>IF(AH1022=MiscData!$AB$91,1,AH1022+1)</f>
        <v>54</v>
      </c>
      <c r="AI1023">
        <f>IF(AD1023&lt;=MiscData!$B$23,MiscData!$C$23,IF(AD1023&lt;=MiscData!$B$24,MiscData!$C$24,MiscData!$C$25))</f>
        <v>20140101</v>
      </c>
      <c r="AK1023" s="190" t="str">
        <f>VLOOKUP(AM1023,MiscData!$AB$4:$ACB$113,2,FALSE)</f>
        <v>KUUM_460</v>
      </c>
      <c r="AL1023" s="190" t="str">
        <f>VLOOKUP(AM1023,MiscData!$AB$4:$AE$115,4,FALSE)</f>
        <v>RLS</v>
      </c>
      <c r="AM1023">
        <f>IF(AM1022=MiscData!$AB$91,1,AM1022+1)</f>
        <v>54</v>
      </c>
    </row>
    <row r="1024" spans="1:39">
      <c r="A1024" s="7">
        <f t="shared" si="433"/>
        <v>1023</v>
      </c>
      <c r="B1024" s="13" t="str">
        <f t="shared" si="415"/>
        <v>Dec 2015</v>
      </c>
      <c r="C1024" s="23" t="str">
        <f t="shared" si="416"/>
        <v>RLS</v>
      </c>
      <c r="D1024" s="23" t="str">
        <f t="shared" si="417"/>
        <v>KUUM_461</v>
      </c>
      <c r="E1024" s="170">
        <f t="shared" si="418"/>
        <v>6310</v>
      </c>
      <c r="F1024" s="185"/>
      <c r="G1024" s="170">
        <f t="shared" si="414"/>
        <v>0</v>
      </c>
      <c r="H1024" s="170">
        <v>0</v>
      </c>
      <c r="I1024" s="11">
        <f t="shared" si="419"/>
        <v>7.54</v>
      </c>
      <c r="J1024" s="11">
        <f t="shared" si="420"/>
        <v>0.57000000000000028</v>
      </c>
      <c r="K1024" s="416">
        <f t="shared" si="410"/>
        <v>47577.4</v>
      </c>
      <c r="L1024" s="180"/>
      <c r="M1024" s="180"/>
      <c r="N1024" s="186">
        <f t="shared" si="413"/>
        <v>47577.4</v>
      </c>
      <c r="O1024" s="29">
        <f t="shared" si="421"/>
        <v>0</v>
      </c>
      <c r="P1024" s="181">
        <f t="shared" si="411"/>
        <v>0</v>
      </c>
      <c r="Q1024" s="182">
        <f t="shared" si="422"/>
        <v>0</v>
      </c>
      <c r="R1024" s="182">
        <f t="shared" si="423"/>
        <v>0</v>
      </c>
      <c r="S1024" s="182">
        <f t="shared" si="424"/>
        <v>0</v>
      </c>
      <c r="T1024" s="182">
        <f t="shared" si="425"/>
        <v>0</v>
      </c>
      <c r="U1024" s="182">
        <f t="shared" si="426"/>
        <v>0</v>
      </c>
      <c r="V1024" s="14">
        <f t="shared" si="427"/>
        <v>47577.4</v>
      </c>
      <c r="W1024" s="14">
        <f t="shared" si="428"/>
        <v>-47577.4</v>
      </c>
      <c r="Y1024" s="14">
        <f t="shared" si="431"/>
        <v>3596.7</v>
      </c>
      <c r="Z1024" s="14">
        <f t="shared" si="432"/>
        <v>-3596.7</v>
      </c>
      <c r="AA1024" s="11">
        <f t="shared" si="409"/>
        <v>0.33</v>
      </c>
      <c r="AB1024" s="9">
        <f t="shared" si="412"/>
        <v>2082.3000000000002</v>
      </c>
      <c r="AD1024" s="13">
        <f>IF(AH1024&gt;AH1023,AD1023,IF(AD1023&lt;MiscData!$F$1,EOMONTH(AD1023,1),EOMONTH(AD1023,-11)))</f>
        <v>42369</v>
      </c>
      <c r="AE1024" s="7" t="str">
        <f t="shared" si="429"/>
        <v>20140101KUUM_461</v>
      </c>
      <c r="AF1024" s="12" t="str">
        <f t="shared" si="430"/>
        <v>20140101RLS</v>
      </c>
      <c r="AG1024" s="31"/>
      <c r="AH1024">
        <f>IF(AH1023=MiscData!$AB$91,1,AH1023+1)</f>
        <v>55</v>
      </c>
      <c r="AI1024">
        <f>IF(AD1024&lt;=MiscData!$B$23,MiscData!$C$23,IF(AD1024&lt;=MiscData!$B$24,MiscData!$C$24,MiscData!$C$25))</f>
        <v>20140101</v>
      </c>
      <c r="AK1024" s="190" t="str">
        <f>VLOOKUP(AM1024,MiscData!$AB$4:$ACB$113,2,FALSE)</f>
        <v>KUUM_461</v>
      </c>
      <c r="AL1024" s="190" t="str">
        <f>VLOOKUP(AM1024,MiscData!$AB$4:$AE$115,4,FALSE)</f>
        <v>RLS</v>
      </c>
      <c r="AM1024">
        <f>IF(AM1023=MiscData!$AB$91,1,AM1023+1)</f>
        <v>55</v>
      </c>
    </row>
    <row r="1025" spans="1:39">
      <c r="A1025" s="7">
        <f t="shared" si="433"/>
        <v>1024</v>
      </c>
      <c r="B1025" s="13" t="str">
        <f t="shared" si="415"/>
        <v>Dec 2015</v>
      </c>
      <c r="C1025" s="23" t="str">
        <f t="shared" si="416"/>
        <v>LS</v>
      </c>
      <c r="D1025" s="23" t="str">
        <f t="shared" si="417"/>
        <v>KUUM_462</v>
      </c>
      <c r="E1025" s="170">
        <f t="shared" si="418"/>
        <v>8386</v>
      </c>
      <c r="F1025" s="185"/>
      <c r="G1025" s="170">
        <f t="shared" si="414"/>
        <v>0</v>
      </c>
      <c r="H1025" s="170">
        <v>0</v>
      </c>
      <c r="I1025" s="11">
        <f t="shared" si="419"/>
        <v>8.66</v>
      </c>
      <c r="J1025" s="11">
        <f t="shared" si="420"/>
        <v>0.79999999999999893</v>
      </c>
      <c r="K1025" s="416">
        <f t="shared" si="410"/>
        <v>72622.759999999995</v>
      </c>
      <c r="L1025" s="180"/>
      <c r="M1025" s="180"/>
      <c r="N1025" s="186">
        <f t="shared" si="413"/>
        <v>72622.759999999995</v>
      </c>
      <c r="O1025" s="29">
        <f t="shared" si="421"/>
        <v>0</v>
      </c>
      <c r="P1025" s="181">
        <f t="shared" si="411"/>
        <v>0</v>
      </c>
      <c r="Q1025" s="182">
        <f t="shared" si="422"/>
        <v>0</v>
      </c>
      <c r="R1025" s="182">
        <f t="shared" si="423"/>
        <v>0</v>
      </c>
      <c r="S1025" s="182">
        <f t="shared" si="424"/>
        <v>0</v>
      </c>
      <c r="T1025" s="182">
        <f t="shared" si="425"/>
        <v>0</v>
      </c>
      <c r="U1025" s="182">
        <f t="shared" si="426"/>
        <v>0</v>
      </c>
      <c r="V1025" s="14">
        <f t="shared" si="427"/>
        <v>72622.759999999995</v>
      </c>
      <c r="W1025" s="14">
        <f t="shared" si="428"/>
        <v>-72622.759999999995</v>
      </c>
      <c r="Y1025" s="14">
        <f t="shared" si="431"/>
        <v>6708.8</v>
      </c>
      <c r="Z1025" s="14">
        <f t="shared" si="432"/>
        <v>-6708.8</v>
      </c>
      <c r="AA1025" s="11">
        <f t="shared" si="409"/>
        <v>0.43</v>
      </c>
      <c r="AB1025" s="9">
        <f t="shared" si="412"/>
        <v>3605.98</v>
      </c>
      <c r="AD1025" s="13">
        <f>IF(AH1025&gt;AH1024,AD1024,IF(AD1024&lt;MiscData!$F$1,EOMONTH(AD1024,1),EOMONTH(AD1024,-11)))</f>
        <v>42369</v>
      </c>
      <c r="AE1025" s="7" t="str">
        <f t="shared" si="429"/>
        <v>20140101KUUM_462</v>
      </c>
      <c r="AF1025" s="12" t="str">
        <f t="shared" si="430"/>
        <v>20140101LS</v>
      </c>
      <c r="AG1025" s="31"/>
      <c r="AH1025">
        <f>IF(AH1024=MiscData!$AB$91,1,AH1024+1)</f>
        <v>56</v>
      </c>
      <c r="AI1025">
        <f>IF(AD1025&lt;=MiscData!$B$23,MiscData!$C$23,IF(AD1025&lt;=MiscData!$B$24,MiscData!$C$24,MiscData!$C$25))</f>
        <v>20140101</v>
      </c>
      <c r="AK1025" s="190" t="str">
        <f>VLOOKUP(AM1025,MiscData!$AB$4:$ACB$113,2,FALSE)</f>
        <v>KUUM_462</v>
      </c>
      <c r="AL1025" s="190" t="str">
        <f>VLOOKUP(AM1025,MiscData!$AB$4:$AE$115,4,FALSE)</f>
        <v>LS</v>
      </c>
      <c r="AM1025">
        <f>IF(AM1024=MiscData!$AB$91,1,AM1024+1)</f>
        <v>56</v>
      </c>
    </row>
    <row r="1026" spans="1:39">
      <c r="A1026" s="7">
        <f t="shared" si="433"/>
        <v>1025</v>
      </c>
      <c r="B1026" s="13" t="str">
        <f t="shared" si="415"/>
        <v>Dec 2015</v>
      </c>
      <c r="C1026" s="23" t="str">
        <f t="shared" si="416"/>
        <v>LS</v>
      </c>
      <c r="D1026" s="23" t="str">
        <f t="shared" si="417"/>
        <v>KUUM_463</v>
      </c>
      <c r="E1026" s="170">
        <f t="shared" si="418"/>
        <v>19399</v>
      </c>
      <c r="F1026" s="185"/>
      <c r="G1026" s="170">
        <f t="shared" si="414"/>
        <v>0</v>
      </c>
      <c r="H1026" s="170">
        <v>0</v>
      </c>
      <c r="I1026" s="11">
        <f t="shared" si="419"/>
        <v>9.14</v>
      </c>
      <c r="J1026" s="11">
        <f t="shared" si="420"/>
        <v>1.1299999999999999</v>
      </c>
      <c r="K1026" s="416">
        <f t="shared" si="410"/>
        <v>177306.86</v>
      </c>
      <c r="L1026" s="180"/>
      <c r="M1026" s="180"/>
      <c r="N1026" s="186">
        <f t="shared" si="413"/>
        <v>177306.86</v>
      </c>
      <c r="O1026" s="29">
        <f t="shared" si="421"/>
        <v>0</v>
      </c>
      <c r="P1026" s="181">
        <f t="shared" si="411"/>
        <v>0</v>
      </c>
      <c r="Q1026" s="182">
        <f t="shared" si="422"/>
        <v>0</v>
      </c>
      <c r="R1026" s="182">
        <f t="shared" si="423"/>
        <v>0</v>
      </c>
      <c r="S1026" s="182">
        <f t="shared" si="424"/>
        <v>0</v>
      </c>
      <c r="T1026" s="182">
        <f t="shared" si="425"/>
        <v>0</v>
      </c>
      <c r="U1026" s="182">
        <f t="shared" si="426"/>
        <v>0</v>
      </c>
      <c r="V1026" s="14">
        <f t="shared" si="427"/>
        <v>177306.86</v>
      </c>
      <c r="W1026" s="14">
        <f t="shared" si="428"/>
        <v>-177306.86</v>
      </c>
      <c r="Y1026" s="14">
        <f t="shared" si="431"/>
        <v>21920.87</v>
      </c>
      <c r="Z1026" s="14">
        <f t="shared" si="432"/>
        <v>-21920.87</v>
      </c>
      <c r="AA1026" s="11">
        <f t="shared" ref="AA1026:AA1057" si="434">SUMIF(_Lights_Tariff_Category,$AE1026,_Rates_Lights_ECR)</f>
        <v>0.34</v>
      </c>
      <c r="AB1026" s="9">
        <f t="shared" si="412"/>
        <v>6595.6600000000008</v>
      </c>
      <c r="AD1026" s="13">
        <f>IF(AH1026&gt;AH1025,AD1025,IF(AD1025&lt;MiscData!$F$1,EOMONTH(AD1025,1),EOMONTH(AD1025,-11)))</f>
        <v>42369</v>
      </c>
      <c r="AE1026" s="7" t="str">
        <f t="shared" si="429"/>
        <v>20140101KUUM_463</v>
      </c>
      <c r="AF1026" s="12" t="str">
        <f t="shared" si="430"/>
        <v>20140101LS</v>
      </c>
      <c r="AG1026" s="31"/>
      <c r="AH1026">
        <f>IF(AH1025=MiscData!$AB$91,1,AH1025+1)</f>
        <v>57</v>
      </c>
      <c r="AI1026">
        <f>IF(AD1026&lt;=MiscData!$B$23,MiscData!$C$23,IF(AD1026&lt;=MiscData!$B$24,MiscData!$C$24,MiscData!$C$25))</f>
        <v>20140101</v>
      </c>
      <c r="AK1026" s="190" t="str">
        <f>VLOOKUP(AM1026,MiscData!$AB$4:$ACB$113,2,FALSE)</f>
        <v>KUUM_463</v>
      </c>
      <c r="AL1026" s="190" t="str">
        <f>VLOOKUP(AM1026,MiscData!$AB$4:$AE$115,4,FALSE)</f>
        <v>LS</v>
      </c>
      <c r="AM1026">
        <f>IF(AM1025=MiscData!$AB$91,1,AM1025+1)</f>
        <v>57</v>
      </c>
    </row>
    <row r="1027" spans="1:39">
      <c r="A1027" s="7">
        <f t="shared" si="433"/>
        <v>1026</v>
      </c>
      <c r="B1027" s="13" t="str">
        <f t="shared" si="415"/>
        <v>Dec 2015</v>
      </c>
      <c r="C1027" s="23" t="str">
        <f t="shared" si="416"/>
        <v>LS</v>
      </c>
      <c r="D1027" s="23" t="str">
        <f t="shared" si="417"/>
        <v>KUUM_464</v>
      </c>
      <c r="E1027" s="170">
        <f t="shared" si="418"/>
        <v>7205</v>
      </c>
      <c r="F1027" s="185"/>
      <c r="G1027" s="170">
        <f t="shared" si="414"/>
        <v>0</v>
      </c>
      <c r="H1027" s="170">
        <v>0</v>
      </c>
      <c r="I1027" s="11">
        <f t="shared" si="419"/>
        <v>14.25</v>
      </c>
      <c r="J1027" s="11">
        <f t="shared" si="420"/>
        <v>2.33</v>
      </c>
      <c r="K1027" s="416">
        <f t="shared" ref="K1027:K1057" si="435">ROUND(($E1027+$F1027)*$I1027,2)</f>
        <v>102671.25</v>
      </c>
      <c r="L1027" s="180"/>
      <c r="M1027" s="180"/>
      <c r="N1027" s="186">
        <f t="shared" si="413"/>
        <v>102671.25</v>
      </c>
      <c r="O1027" s="29">
        <f t="shared" si="421"/>
        <v>0</v>
      </c>
      <c r="P1027" s="181">
        <f t="shared" ref="P1027:P1057" si="436">IF(AND(N1027=0,O1027=0),1,IF(N1027=0,0,ROUND(O1027/N1027,6)))</f>
        <v>0</v>
      </c>
      <c r="Q1027" s="182">
        <f t="shared" si="422"/>
        <v>0</v>
      </c>
      <c r="R1027" s="182">
        <f t="shared" si="423"/>
        <v>0</v>
      </c>
      <c r="S1027" s="182">
        <f t="shared" si="424"/>
        <v>0</v>
      </c>
      <c r="T1027" s="182">
        <f t="shared" si="425"/>
        <v>0</v>
      </c>
      <c r="U1027" s="182">
        <f t="shared" si="426"/>
        <v>0</v>
      </c>
      <c r="V1027" s="14">
        <f t="shared" si="427"/>
        <v>102671.25</v>
      </c>
      <c r="W1027" s="14">
        <f t="shared" si="428"/>
        <v>-102671.25</v>
      </c>
      <c r="Y1027" s="14">
        <f t="shared" si="431"/>
        <v>16787.650000000001</v>
      </c>
      <c r="Z1027" s="14">
        <f t="shared" si="432"/>
        <v>-16787.650000000001</v>
      </c>
      <c r="AA1027" s="11">
        <f t="shared" si="434"/>
        <v>0.57999999999999996</v>
      </c>
      <c r="AB1027" s="9">
        <f t="shared" ref="AB1027:AB1057" si="437">E1027*AA1027</f>
        <v>4178.8999999999996</v>
      </c>
      <c r="AD1027" s="13">
        <f>IF(AH1027&gt;AH1026,AD1026,IF(AD1026&lt;MiscData!$F$1,EOMONTH(AD1026,1),EOMONTH(AD1026,-11)))</f>
        <v>42369</v>
      </c>
      <c r="AE1027" s="7" t="str">
        <f t="shared" si="429"/>
        <v>20140101KUUM_464</v>
      </c>
      <c r="AF1027" s="12" t="str">
        <f t="shared" si="430"/>
        <v>20140101LS</v>
      </c>
      <c r="AG1027" s="31"/>
      <c r="AH1027">
        <f>IF(AH1026=MiscData!$AB$91,1,AH1026+1)</f>
        <v>58</v>
      </c>
      <c r="AI1027">
        <f>IF(AD1027&lt;=MiscData!$B$23,MiscData!$C$23,IF(AD1027&lt;=MiscData!$B$24,MiscData!$C$24,MiscData!$C$25))</f>
        <v>20140101</v>
      </c>
      <c r="AK1027" s="190" t="str">
        <f>VLOOKUP(AM1027,MiscData!$AB$4:$ACB$113,2,FALSE)</f>
        <v>KUUM_464</v>
      </c>
      <c r="AL1027" s="190" t="str">
        <f>VLOOKUP(AM1027,MiscData!$AB$4:$AE$115,4,FALSE)</f>
        <v>LS</v>
      </c>
      <c r="AM1027">
        <f>IF(AM1026=MiscData!$AB$91,1,AM1026+1)</f>
        <v>58</v>
      </c>
    </row>
    <row r="1028" spans="1:39">
      <c r="A1028" s="7">
        <f t="shared" si="433"/>
        <v>1027</v>
      </c>
      <c r="B1028" s="13" t="str">
        <f t="shared" si="415"/>
        <v>Dec 2015</v>
      </c>
      <c r="C1028" s="23" t="str">
        <f t="shared" si="416"/>
        <v>LS</v>
      </c>
      <c r="D1028" s="23" t="str">
        <f t="shared" si="417"/>
        <v>KUUM_465</v>
      </c>
      <c r="E1028" s="170">
        <f t="shared" si="418"/>
        <v>2683</v>
      </c>
      <c r="F1028" s="185"/>
      <c r="G1028" s="170">
        <f t="shared" si="414"/>
        <v>0</v>
      </c>
      <c r="H1028" s="170">
        <v>0</v>
      </c>
      <c r="I1028" s="11">
        <f t="shared" si="419"/>
        <v>22.84</v>
      </c>
      <c r="J1028" s="11">
        <f t="shared" si="420"/>
        <v>4.5299999999999976</v>
      </c>
      <c r="K1028" s="416">
        <f t="shared" si="435"/>
        <v>61279.72</v>
      </c>
      <c r="L1028" s="180"/>
      <c r="M1028" s="180"/>
      <c r="N1028" s="186">
        <f t="shared" si="413"/>
        <v>61279.72</v>
      </c>
      <c r="O1028" s="29">
        <f t="shared" si="421"/>
        <v>0</v>
      </c>
      <c r="P1028" s="181">
        <f t="shared" si="436"/>
        <v>0</v>
      </c>
      <c r="Q1028" s="182">
        <f t="shared" si="422"/>
        <v>0</v>
      </c>
      <c r="R1028" s="182">
        <f t="shared" si="423"/>
        <v>0</v>
      </c>
      <c r="S1028" s="182">
        <f t="shared" si="424"/>
        <v>0</v>
      </c>
      <c r="T1028" s="182">
        <f t="shared" si="425"/>
        <v>0</v>
      </c>
      <c r="U1028" s="182">
        <f t="shared" si="426"/>
        <v>0</v>
      </c>
      <c r="V1028" s="14">
        <f t="shared" si="427"/>
        <v>61279.72</v>
      </c>
      <c r="W1028" s="14">
        <f t="shared" si="428"/>
        <v>-61279.72</v>
      </c>
      <c r="Y1028" s="14">
        <f t="shared" si="431"/>
        <v>12153.99</v>
      </c>
      <c r="Z1028" s="14">
        <f t="shared" si="432"/>
        <v>-12153.99</v>
      </c>
      <c r="AA1028" s="11">
        <f t="shared" si="434"/>
        <v>0.79</v>
      </c>
      <c r="AB1028" s="9">
        <f t="shared" si="437"/>
        <v>2119.5700000000002</v>
      </c>
      <c r="AD1028" s="13">
        <f>IF(AH1028&gt;AH1027,AD1027,IF(AD1027&lt;MiscData!$F$1,EOMONTH(AD1027,1),EOMONTH(AD1027,-11)))</f>
        <v>42369</v>
      </c>
      <c r="AE1028" s="7" t="str">
        <f t="shared" si="429"/>
        <v>20140101KUUM_465</v>
      </c>
      <c r="AF1028" s="12" t="str">
        <f t="shared" si="430"/>
        <v>20140101LS</v>
      </c>
      <c r="AG1028" s="31"/>
      <c r="AH1028">
        <f>IF(AH1027=MiscData!$AB$91,1,AH1027+1)</f>
        <v>59</v>
      </c>
      <c r="AI1028">
        <f>IF(AD1028&lt;=MiscData!$B$23,MiscData!$C$23,IF(AD1028&lt;=MiscData!$B$24,MiscData!$C$24,MiscData!$C$25))</f>
        <v>20140101</v>
      </c>
      <c r="AK1028" s="190" t="str">
        <f>VLOOKUP(AM1028,MiscData!$AB$4:$ACB$113,2,FALSE)</f>
        <v>KUUM_465</v>
      </c>
      <c r="AL1028" s="190" t="str">
        <f>VLOOKUP(AM1028,MiscData!$AB$4:$AE$115,4,FALSE)</f>
        <v>LS</v>
      </c>
      <c r="AM1028">
        <f>IF(AM1027=MiscData!$AB$91,1,AM1027+1)</f>
        <v>59</v>
      </c>
    </row>
    <row r="1029" spans="1:39">
      <c r="A1029" s="7">
        <f t="shared" si="433"/>
        <v>1028</v>
      </c>
      <c r="B1029" s="13" t="str">
        <f t="shared" si="415"/>
        <v>Dec 2015</v>
      </c>
      <c r="C1029" s="23" t="str">
        <f t="shared" si="416"/>
        <v>RLS</v>
      </c>
      <c r="D1029" s="23" t="str">
        <f t="shared" si="417"/>
        <v>KUUM_466</v>
      </c>
      <c r="E1029" s="170">
        <f t="shared" si="418"/>
        <v>828</v>
      </c>
      <c r="F1029" s="185"/>
      <c r="G1029" s="170">
        <f t="shared" si="414"/>
        <v>0</v>
      </c>
      <c r="H1029" s="170">
        <v>0</v>
      </c>
      <c r="I1029" s="11">
        <f t="shared" si="419"/>
        <v>9.620000000000001</v>
      </c>
      <c r="J1029" s="11">
        <f t="shared" si="420"/>
        <v>0.57000000000000028</v>
      </c>
      <c r="K1029" s="416">
        <f t="shared" si="435"/>
        <v>7965.36</v>
      </c>
      <c r="L1029" s="180"/>
      <c r="M1029" s="180"/>
      <c r="N1029" s="186">
        <f t="shared" si="413"/>
        <v>7965.36</v>
      </c>
      <c r="O1029" s="29">
        <f t="shared" si="421"/>
        <v>0</v>
      </c>
      <c r="P1029" s="181">
        <f t="shared" si="436"/>
        <v>0</v>
      </c>
      <c r="Q1029" s="182">
        <f t="shared" si="422"/>
        <v>0</v>
      </c>
      <c r="R1029" s="182">
        <f t="shared" si="423"/>
        <v>0</v>
      </c>
      <c r="S1029" s="182">
        <f t="shared" si="424"/>
        <v>0</v>
      </c>
      <c r="T1029" s="182">
        <f t="shared" si="425"/>
        <v>0</v>
      </c>
      <c r="U1029" s="182">
        <f t="shared" si="426"/>
        <v>0</v>
      </c>
      <c r="V1029" s="14">
        <f t="shared" si="427"/>
        <v>7965.36</v>
      </c>
      <c r="W1029" s="14">
        <f t="shared" si="428"/>
        <v>-7965.36</v>
      </c>
      <c r="Y1029" s="14">
        <f t="shared" si="431"/>
        <v>471.96</v>
      </c>
      <c r="Z1029" s="14">
        <f t="shared" si="432"/>
        <v>-471.96</v>
      </c>
      <c r="AA1029" s="11">
        <f t="shared" si="434"/>
        <v>0.33</v>
      </c>
      <c r="AB1029" s="9">
        <f t="shared" si="437"/>
        <v>273.24</v>
      </c>
      <c r="AD1029" s="13">
        <f>IF(AH1029&gt;AH1028,AD1028,IF(AD1028&lt;MiscData!$F$1,EOMONTH(AD1028,1),EOMONTH(AD1028,-11)))</f>
        <v>42369</v>
      </c>
      <c r="AE1029" s="7" t="str">
        <f t="shared" si="429"/>
        <v>20140101KUUM_466</v>
      </c>
      <c r="AF1029" s="12" t="str">
        <f t="shared" si="430"/>
        <v>20140101RLS</v>
      </c>
      <c r="AG1029" s="31"/>
      <c r="AH1029">
        <f>IF(AH1028=MiscData!$AB$91,1,AH1028+1)</f>
        <v>60</v>
      </c>
      <c r="AI1029">
        <f>IF(AD1029&lt;=MiscData!$B$23,MiscData!$C$23,IF(AD1029&lt;=MiscData!$B$24,MiscData!$C$24,MiscData!$C$25))</f>
        <v>20140101</v>
      </c>
      <c r="AK1029" s="190" t="str">
        <f>VLOOKUP(AM1029,MiscData!$AB$4:$ACB$113,2,FALSE)</f>
        <v>KUUM_466</v>
      </c>
      <c r="AL1029" s="190" t="str">
        <f>VLOOKUP(AM1029,MiscData!$AB$4:$AE$115,4,FALSE)</f>
        <v>RLS</v>
      </c>
      <c r="AM1029">
        <f>IF(AM1028=MiscData!$AB$91,1,AM1028+1)</f>
        <v>60</v>
      </c>
    </row>
    <row r="1030" spans="1:39">
      <c r="A1030" s="7">
        <f t="shared" si="433"/>
        <v>1029</v>
      </c>
      <c r="B1030" s="13" t="str">
        <f t="shared" si="415"/>
        <v>Dec 2015</v>
      </c>
      <c r="C1030" s="23" t="str">
        <f t="shared" si="416"/>
        <v>LS</v>
      </c>
      <c r="D1030" s="23" t="str">
        <f t="shared" si="417"/>
        <v>KUUM_467</v>
      </c>
      <c r="E1030" s="170">
        <f t="shared" si="418"/>
        <v>1298</v>
      </c>
      <c r="F1030" s="185"/>
      <c r="G1030" s="170">
        <f t="shared" si="414"/>
        <v>0</v>
      </c>
      <c r="H1030" s="170">
        <v>0</v>
      </c>
      <c r="I1030" s="11">
        <f t="shared" si="419"/>
        <v>10.770000000000001</v>
      </c>
      <c r="J1030" s="11">
        <f t="shared" si="420"/>
        <v>0.80000000000000071</v>
      </c>
      <c r="K1030" s="416">
        <f t="shared" si="435"/>
        <v>13979.46</v>
      </c>
      <c r="L1030" s="180"/>
      <c r="M1030" s="180"/>
      <c r="N1030" s="186">
        <f t="shared" si="413"/>
        <v>13979.46</v>
      </c>
      <c r="O1030" s="29">
        <f t="shared" si="421"/>
        <v>0</v>
      </c>
      <c r="P1030" s="181">
        <f t="shared" si="436"/>
        <v>0</v>
      </c>
      <c r="Q1030" s="182">
        <f t="shared" si="422"/>
        <v>0</v>
      </c>
      <c r="R1030" s="182">
        <f t="shared" si="423"/>
        <v>0</v>
      </c>
      <c r="S1030" s="182">
        <f t="shared" si="424"/>
        <v>0</v>
      </c>
      <c r="T1030" s="182">
        <f t="shared" si="425"/>
        <v>0</v>
      </c>
      <c r="U1030" s="182">
        <f t="shared" si="426"/>
        <v>0</v>
      </c>
      <c r="V1030" s="14">
        <f t="shared" si="427"/>
        <v>13979.46</v>
      </c>
      <c r="W1030" s="14">
        <f t="shared" si="428"/>
        <v>-13979.46</v>
      </c>
      <c r="Y1030" s="14">
        <f t="shared" si="431"/>
        <v>1038.4000000000001</v>
      </c>
      <c r="Z1030" s="14">
        <f t="shared" si="432"/>
        <v>-1038.4000000000001</v>
      </c>
      <c r="AA1030" s="11">
        <f t="shared" si="434"/>
        <v>0.43</v>
      </c>
      <c r="AB1030" s="9">
        <f t="shared" si="437"/>
        <v>558.14</v>
      </c>
      <c r="AD1030" s="13">
        <f>IF(AH1030&gt;AH1029,AD1029,IF(AD1029&lt;MiscData!$F$1,EOMONTH(AD1029,1),EOMONTH(AD1029,-11)))</f>
        <v>42369</v>
      </c>
      <c r="AE1030" s="7" t="str">
        <f t="shared" si="429"/>
        <v>20140101KUUM_467</v>
      </c>
      <c r="AF1030" s="12" t="str">
        <f t="shared" si="430"/>
        <v>20140101LS</v>
      </c>
      <c r="AG1030" s="31"/>
      <c r="AH1030">
        <f>IF(AH1029=MiscData!$AB$91,1,AH1029+1)</f>
        <v>61</v>
      </c>
      <c r="AI1030">
        <f>IF(AD1030&lt;=MiscData!$B$23,MiscData!$C$23,IF(AD1030&lt;=MiscData!$B$24,MiscData!$C$24,MiscData!$C$25))</f>
        <v>20140101</v>
      </c>
      <c r="AK1030" s="190" t="str">
        <f>VLOOKUP(AM1030,MiscData!$AB$4:$ACB$113,2,FALSE)</f>
        <v>KUUM_467</v>
      </c>
      <c r="AL1030" s="190" t="str">
        <f>VLOOKUP(AM1030,MiscData!$AB$4:$AE$115,4,FALSE)</f>
        <v>LS</v>
      </c>
      <c r="AM1030">
        <f>IF(AM1029=MiscData!$AB$91,1,AM1029+1)</f>
        <v>61</v>
      </c>
    </row>
    <row r="1031" spans="1:39">
      <c r="A1031" s="7">
        <f t="shared" si="433"/>
        <v>1030</v>
      </c>
      <c r="B1031" s="13" t="str">
        <f t="shared" si="415"/>
        <v>Dec 2015</v>
      </c>
      <c r="C1031" s="23" t="str">
        <f t="shared" si="416"/>
        <v>LS</v>
      </c>
      <c r="D1031" s="23" t="str">
        <f t="shared" si="417"/>
        <v>KUUM_468</v>
      </c>
      <c r="E1031" s="170">
        <f t="shared" si="418"/>
        <v>3842</v>
      </c>
      <c r="F1031" s="185"/>
      <c r="G1031" s="170">
        <f t="shared" si="414"/>
        <v>0</v>
      </c>
      <c r="H1031" s="170">
        <v>0</v>
      </c>
      <c r="I1031" s="11">
        <f t="shared" si="419"/>
        <v>11.16</v>
      </c>
      <c r="J1031" s="11">
        <f t="shared" si="420"/>
        <v>1.129999999999999</v>
      </c>
      <c r="K1031" s="416">
        <f t="shared" si="435"/>
        <v>42876.72</v>
      </c>
      <c r="L1031" s="180"/>
      <c r="M1031" s="180"/>
      <c r="N1031" s="186">
        <f t="shared" si="413"/>
        <v>42876.72</v>
      </c>
      <c r="O1031" s="29">
        <f t="shared" si="421"/>
        <v>0</v>
      </c>
      <c r="P1031" s="181">
        <f t="shared" si="436"/>
        <v>0</v>
      </c>
      <c r="Q1031" s="182">
        <f t="shared" si="422"/>
        <v>0</v>
      </c>
      <c r="R1031" s="182">
        <f t="shared" si="423"/>
        <v>0</v>
      </c>
      <c r="S1031" s="182">
        <f t="shared" si="424"/>
        <v>0</v>
      </c>
      <c r="T1031" s="182">
        <f t="shared" si="425"/>
        <v>0</v>
      </c>
      <c r="U1031" s="182">
        <f t="shared" si="426"/>
        <v>0</v>
      </c>
      <c r="V1031" s="14">
        <f t="shared" si="427"/>
        <v>42876.72</v>
      </c>
      <c r="W1031" s="14">
        <f t="shared" si="428"/>
        <v>-42876.72</v>
      </c>
      <c r="Y1031" s="14">
        <f t="shared" si="431"/>
        <v>4341.46</v>
      </c>
      <c r="Z1031" s="14">
        <f t="shared" si="432"/>
        <v>-4341.46</v>
      </c>
      <c r="AA1031" s="11">
        <f t="shared" si="434"/>
        <v>0.34</v>
      </c>
      <c r="AB1031" s="9">
        <f t="shared" si="437"/>
        <v>1306.2800000000002</v>
      </c>
      <c r="AD1031" s="13">
        <f>IF(AH1031&gt;AH1030,AD1030,IF(AD1030&lt;MiscData!$F$1,EOMONTH(AD1030,1),EOMONTH(AD1030,-11)))</f>
        <v>42369</v>
      </c>
      <c r="AE1031" s="7" t="str">
        <f t="shared" si="429"/>
        <v>20140101KUUM_468</v>
      </c>
      <c r="AF1031" s="12" t="str">
        <f t="shared" si="430"/>
        <v>20140101LS</v>
      </c>
      <c r="AG1031" s="31"/>
      <c r="AH1031">
        <f>IF(AH1030=MiscData!$AB$91,1,AH1030+1)</f>
        <v>62</v>
      </c>
      <c r="AI1031">
        <f>IF(AD1031&lt;=MiscData!$B$23,MiscData!$C$23,IF(AD1031&lt;=MiscData!$B$24,MiscData!$C$24,MiscData!$C$25))</f>
        <v>20140101</v>
      </c>
      <c r="AK1031" s="190" t="str">
        <f>VLOOKUP(AM1031,MiscData!$AB$4:$ACB$113,2,FALSE)</f>
        <v>KUUM_468</v>
      </c>
      <c r="AL1031" s="190" t="str">
        <f>VLOOKUP(AM1031,MiscData!$AB$4:$AE$115,4,FALSE)</f>
        <v>LS</v>
      </c>
      <c r="AM1031">
        <f>IF(AM1030=MiscData!$AB$91,1,AM1030+1)</f>
        <v>62</v>
      </c>
    </row>
    <row r="1032" spans="1:39">
      <c r="A1032" s="7">
        <f t="shared" si="433"/>
        <v>1031</v>
      </c>
      <c r="B1032" s="13" t="str">
        <f t="shared" si="415"/>
        <v>Dec 2015</v>
      </c>
      <c r="C1032" s="23" t="str">
        <f t="shared" si="416"/>
        <v>RLS</v>
      </c>
      <c r="D1032" s="23" t="str">
        <f t="shared" si="417"/>
        <v>KUUM_469</v>
      </c>
      <c r="E1032" s="170">
        <f t="shared" si="418"/>
        <v>288</v>
      </c>
      <c r="F1032" s="185"/>
      <c r="G1032" s="170">
        <f t="shared" si="414"/>
        <v>0</v>
      </c>
      <c r="H1032" s="170">
        <v>0</v>
      </c>
      <c r="I1032" s="11">
        <f t="shared" si="419"/>
        <v>33.100000000000009</v>
      </c>
      <c r="J1032" s="11">
        <f t="shared" si="420"/>
        <v>4.2900000000000063</v>
      </c>
      <c r="K1032" s="416">
        <f t="shared" si="435"/>
        <v>9532.7999999999993</v>
      </c>
      <c r="L1032" s="180"/>
      <c r="M1032" s="180"/>
      <c r="N1032" s="186">
        <f t="shared" si="413"/>
        <v>9532.7999999999993</v>
      </c>
      <c r="O1032" s="29">
        <f t="shared" si="421"/>
        <v>0</v>
      </c>
      <c r="P1032" s="181">
        <f t="shared" si="436"/>
        <v>0</v>
      </c>
      <c r="Q1032" s="182">
        <f t="shared" si="422"/>
        <v>0</v>
      </c>
      <c r="R1032" s="182">
        <f t="shared" si="423"/>
        <v>0</v>
      </c>
      <c r="S1032" s="182">
        <f t="shared" si="424"/>
        <v>0</v>
      </c>
      <c r="T1032" s="182">
        <f t="shared" si="425"/>
        <v>0</v>
      </c>
      <c r="U1032" s="182">
        <f t="shared" si="426"/>
        <v>0</v>
      </c>
      <c r="V1032" s="14">
        <f t="shared" si="427"/>
        <v>9532.7999999999993</v>
      </c>
      <c r="W1032" s="14">
        <f t="shared" si="428"/>
        <v>-9532.7999999999993</v>
      </c>
      <c r="Y1032" s="14">
        <f t="shared" si="431"/>
        <v>1235.52</v>
      </c>
      <c r="Z1032" s="14">
        <f t="shared" si="432"/>
        <v>-1235.52</v>
      </c>
      <c r="AA1032" s="11">
        <f t="shared" si="434"/>
        <v>0.84</v>
      </c>
      <c r="AB1032" s="9">
        <f t="shared" si="437"/>
        <v>241.92</v>
      </c>
      <c r="AD1032" s="13">
        <f>IF(AH1032&gt;AH1031,AD1031,IF(AD1031&lt;MiscData!$F$1,EOMONTH(AD1031,1),EOMONTH(AD1031,-11)))</f>
        <v>42369</v>
      </c>
      <c r="AE1032" s="7" t="str">
        <f t="shared" si="429"/>
        <v>20140101KUUM_469</v>
      </c>
      <c r="AF1032" s="12" t="str">
        <f t="shared" si="430"/>
        <v>20140101RLS</v>
      </c>
      <c r="AG1032" s="31"/>
      <c r="AH1032">
        <f>IF(AH1031=MiscData!$AB$91,1,AH1031+1)</f>
        <v>63</v>
      </c>
      <c r="AI1032">
        <f>IF(AD1032&lt;=MiscData!$B$23,MiscData!$C$23,IF(AD1032&lt;=MiscData!$B$24,MiscData!$C$24,MiscData!$C$25))</f>
        <v>20140101</v>
      </c>
      <c r="AK1032" s="190" t="str">
        <f>VLOOKUP(AM1032,MiscData!$AB$4:$ACB$113,2,FALSE)</f>
        <v>KUUM_469</v>
      </c>
      <c r="AL1032" s="190" t="str">
        <f>VLOOKUP(AM1032,MiscData!$AB$4:$AE$115,4,FALSE)</f>
        <v>RLS</v>
      </c>
      <c r="AM1032">
        <f>IF(AM1031=MiscData!$AB$91,1,AM1031+1)</f>
        <v>63</v>
      </c>
    </row>
    <row r="1033" spans="1:39">
      <c r="A1033" s="7">
        <f t="shared" si="433"/>
        <v>1032</v>
      </c>
      <c r="B1033" s="13" t="str">
        <f t="shared" ref="B1033:B1044" si="438">TEXT(AD1033,"mmm yyyy")</f>
        <v>Dec 2015</v>
      </c>
      <c r="C1033" s="23" t="str">
        <f t="shared" ref="C1033:C1044" si="439">AL1033</f>
        <v>RLS</v>
      </c>
      <c r="D1033" s="23" t="str">
        <f t="shared" ref="D1033:D1044" si="440">AK1033</f>
        <v>KUUM_470</v>
      </c>
      <c r="E1033" s="170">
        <f t="shared" si="418"/>
        <v>62</v>
      </c>
      <c r="F1033" s="185"/>
      <c r="G1033" s="170">
        <f t="shared" si="414"/>
        <v>0</v>
      </c>
      <c r="H1033" s="170">
        <v>0</v>
      </c>
      <c r="I1033" s="11">
        <f t="shared" si="419"/>
        <v>55.250000000000007</v>
      </c>
      <c r="J1033" s="11">
        <f t="shared" si="420"/>
        <v>10.410000000000004</v>
      </c>
      <c r="K1033" s="416">
        <f t="shared" si="435"/>
        <v>3425.5</v>
      </c>
      <c r="L1033" s="180"/>
      <c r="M1033" s="180"/>
      <c r="N1033" s="186">
        <f t="shared" ref="N1033:N1044" si="441">SUM(K1033:M1033)</f>
        <v>3425.5</v>
      </c>
      <c r="O1033" s="29">
        <f t="shared" ref="O1033:O1044" si="442">U1033-SUM(Q1033:T1033)</f>
        <v>0</v>
      </c>
      <c r="P1033" s="181">
        <f t="shared" ref="P1033:P1044" si="443">IF(AND(N1033=0,O1033=0),1,IF(N1033=0,0,ROUND(O1033/N1033,6)))</f>
        <v>0</v>
      </c>
      <c r="Q1033" s="182">
        <f t="shared" si="422"/>
        <v>0</v>
      </c>
      <c r="R1033" s="182">
        <f t="shared" si="423"/>
        <v>0</v>
      </c>
      <c r="S1033" s="182">
        <f t="shared" si="424"/>
        <v>0</v>
      </c>
      <c r="T1033" s="182">
        <f t="shared" si="425"/>
        <v>0</v>
      </c>
      <c r="U1033" s="182">
        <f t="shared" si="426"/>
        <v>0</v>
      </c>
      <c r="V1033" s="14">
        <f t="shared" ref="V1033:V1044" si="444">SUM(N1033,Q1033:T1033)</f>
        <v>3425.5</v>
      </c>
      <c r="W1033" s="14">
        <f t="shared" ref="W1033:W1044" si="445">U1033-V1033</f>
        <v>-3425.5</v>
      </c>
      <c r="Y1033" s="14">
        <f t="shared" ref="Y1033:Y1044" si="446">ROUND(E1033*J1033,2)</f>
        <v>645.41999999999996</v>
      </c>
      <c r="Z1033" s="14">
        <f t="shared" ref="Z1033:Z1044" si="447">O1033-Y1033</f>
        <v>-645.41999999999996</v>
      </c>
      <c r="AA1033" s="11">
        <f t="shared" si="434"/>
        <v>1.7</v>
      </c>
      <c r="AB1033" s="9">
        <f t="shared" si="437"/>
        <v>105.39999999999999</v>
      </c>
      <c r="AD1033" s="13">
        <f>IF(AH1033&gt;AH1020,AD1020,IF(AD1020&lt;MiscData!$F$1,EOMONTH(AD1020,1),EOMONTH(AD1020,-11)))</f>
        <v>42369</v>
      </c>
      <c r="AE1033" s="7" t="str">
        <f t="shared" ref="AE1033:AE1044" si="448">CONCATENATE(AI1033&amp;AK1033)</f>
        <v>20140101KUUM_470</v>
      </c>
      <c r="AF1033" s="12" t="str">
        <f t="shared" ref="AF1033:AF1044" si="449">CONCATENATE(AI1033&amp;AL1033)</f>
        <v>20140101RLS</v>
      </c>
      <c r="AG1033" s="31"/>
      <c r="AH1033">
        <f>IF(AH1032=MiscData!$AB$91,1,AH1032+1)</f>
        <v>64</v>
      </c>
      <c r="AI1033">
        <f>IF(AD1033&lt;=MiscData!$B$23,MiscData!$C$23,IF(AD1033&lt;=MiscData!$B$24,MiscData!$C$24,MiscData!$C$25))</f>
        <v>20140101</v>
      </c>
      <c r="AK1033" s="190" t="str">
        <f>VLOOKUP(AM1033,MiscData!$AB$4:$ACB$113,2,FALSE)</f>
        <v>KUUM_470</v>
      </c>
      <c r="AL1033" s="190" t="str">
        <f>VLOOKUP(AM1033,MiscData!$AB$4:$AE$115,4,FALSE)</f>
        <v>RLS</v>
      </c>
      <c r="AM1033">
        <f>IF(AM1032=MiscData!$AB$91,1,AM1032+1)</f>
        <v>64</v>
      </c>
    </row>
    <row r="1034" spans="1:39">
      <c r="A1034" s="7">
        <f t="shared" si="433"/>
        <v>1033</v>
      </c>
      <c r="B1034" s="13" t="str">
        <f t="shared" si="438"/>
        <v>Dec 2015</v>
      </c>
      <c r="C1034" s="23" t="str">
        <f t="shared" si="439"/>
        <v>RLS</v>
      </c>
      <c r="D1034" s="23" t="str">
        <f t="shared" si="440"/>
        <v>KUUM_471</v>
      </c>
      <c r="E1034" s="170">
        <f t="shared" si="418"/>
        <v>3578</v>
      </c>
      <c r="F1034" s="185"/>
      <c r="G1034" s="170">
        <f t="shared" si="414"/>
        <v>0</v>
      </c>
      <c r="H1034" s="170">
        <v>0</v>
      </c>
      <c r="I1034" s="11">
        <f t="shared" si="419"/>
        <v>10.49</v>
      </c>
      <c r="J1034" s="11">
        <f t="shared" si="420"/>
        <v>0.56999999999999851</v>
      </c>
      <c r="K1034" s="416">
        <f t="shared" si="435"/>
        <v>37533.22</v>
      </c>
      <c r="L1034" s="180"/>
      <c r="M1034" s="180"/>
      <c r="N1034" s="186">
        <f t="shared" si="441"/>
        <v>37533.22</v>
      </c>
      <c r="O1034" s="29">
        <f t="shared" si="442"/>
        <v>0</v>
      </c>
      <c r="P1034" s="181">
        <f t="shared" si="443"/>
        <v>0</v>
      </c>
      <c r="Q1034" s="182">
        <f t="shared" si="422"/>
        <v>0</v>
      </c>
      <c r="R1034" s="182">
        <f t="shared" si="423"/>
        <v>0</v>
      </c>
      <c r="S1034" s="182">
        <f t="shared" si="424"/>
        <v>0</v>
      </c>
      <c r="T1034" s="182">
        <f t="shared" si="425"/>
        <v>0</v>
      </c>
      <c r="U1034" s="182">
        <f t="shared" si="426"/>
        <v>0</v>
      </c>
      <c r="V1034" s="14">
        <f t="shared" si="444"/>
        <v>37533.22</v>
      </c>
      <c r="W1034" s="14">
        <f t="shared" si="445"/>
        <v>-37533.22</v>
      </c>
      <c r="Y1034" s="14">
        <f t="shared" si="446"/>
        <v>2039.46</v>
      </c>
      <c r="Z1034" s="14">
        <f t="shared" si="447"/>
        <v>-2039.46</v>
      </c>
      <c r="AA1034" s="11">
        <f t="shared" si="434"/>
        <v>0.33</v>
      </c>
      <c r="AB1034" s="9">
        <f t="shared" si="437"/>
        <v>1180.74</v>
      </c>
      <c r="AD1034" s="13">
        <f>IF(AH1034&gt;AH1033,AD1033,IF(AD1033&lt;MiscData!$F$1,EOMONTH(AD1033,1),EOMONTH(AD1033,-11)))</f>
        <v>42369</v>
      </c>
      <c r="AE1034" s="7" t="str">
        <f t="shared" si="448"/>
        <v>20140101KUUM_471</v>
      </c>
      <c r="AF1034" s="12" t="str">
        <f t="shared" si="449"/>
        <v>20140101RLS</v>
      </c>
      <c r="AG1034" s="31"/>
      <c r="AH1034">
        <f>IF(AH1033=MiscData!$AB$91,1,AH1033+1)</f>
        <v>65</v>
      </c>
      <c r="AI1034">
        <f>IF(AD1034&lt;=MiscData!$B$23,MiscData!$C$23,IF(AD1034&lt;=MiscData!$B$24,MiscData!$C$24,MiscData!$C$25))</f>
        <v>20140101</v>
      </c>
      <c r="AK1034" s="190" t="str">
        <f>VLOOKUP(AM1034,MiscData!$AB$4:$ACB$113,2,FALSE)</f>
        <v>KUUM_471</v>
      </c>
      <c r="AL1034" s="190" t="str">
        <f>VLOOKUP(AM1034,MiscData!$AB$4:$AE$115,4,FALSE)</f>
        <v>RLS</v>
      </c>
      <c r="AM1034">
        <f>IF(AM1033=MiscData!$AB$91,1,AM1033+1)</f>
        <v>65</v>
      </c>
    </row>
    <row r="1035" spans="1:39">
      <c r="A1035" s="7">
        <f t="shared" si="433"/>
        <v>1034</v>
      </c>
      <c r="B1035" s="13" t="str">
        <f t="shared" si="438"/>
        <v>Dec 2015</v>
      </c>
      <c r="C1035" s="23" t="str">
        <f t="shared" si="439"/>
        <v>LS</v>
      </c>
      <c r="D1035" s="23" t="str">
        <f t="shared" si="440"/>
        <v>KUUM_472</v>
      </c>
      <c r="E1035" s="170">
        <f t="shared" si="418"/>
        <v>8410</v>
      </c>
      <c r="F1035" s="185"/>
      <c r="G1035" s="170">
        <f t="shared" si="414"/>
        <v>0</v>
      </c>
      <c r="H1035" s="170">
        <v>0</v>
      </c>
      <c r="I1035" s="11">
        <f t="shared" si="419"/>
        <v>11.600000000000001</v>
      </c>
      <c r="J1035" s="11">
        <f t="shared" si="420"/>
        <v>0.80000000000000071</v>
      </c>
      <c r="K1035" s="416">
        <f t="shared" si="435"/>
        <v>97556</v>
      </c>
      <c r="L1035" s="180"/>
      <c r="M1035" s="180"/>
      <c r="N1035" s="186">
        <f t="shared" si="441"/>
        <v>97556</v>
      </c>
      <c r="O1035" s="29">
        <f t="shared" si="442"/>
        <v>0</v>
      </c>
      <c r="P1035" s="181">
        <f t="shared" si="443"/>
        <v>0</v>
      </c>
      <c r="Q1035" s="182">
        <f t="shared" si="422"/>
        <v>0</v>
      </c>
      <c r="R1035" s="182">
        <f t="shared" si="423"/>
        <v>0</v>
      </c>
      <c r="S1035" s="182">
        <f t="shared" si="424"/>
        <v>0</v>
      </c>
      <c r="T1035" s="182">
        <f t="shared" si="425"/>
        <v>0</v>
      </c>
      <c r="U1035" s="182">
        <f t="shared" si="426"/>
        <v>0</v>
      </c>
      <c r="V1035" s="14">
        <f t="shared" si="444"/>
        <v>97556</v>
      </c>
      <c r="W1035" s="14">
        <f t="shared" si="445"/>
        <v>-97556</v>
      </c>
      <c r="Y1035" s="14">
        <f t="shared" si="446"/>
        <v>6728</v>
      </c>
      <c r="Z1035" s="14">
        <f t="shared" si="447"/>
        <v>-6728</v>
      </c>
      <c r="AA1035" s="11">
        <f t="shared" si="434"/>
        <v>0.43</v>
      </c>
      <c r="AB1035" s="9">
        <f t="shared" si="437"/>
        <v>3616.2999999999997</v>
      </c>
      <c r="AD1035" s="13">
        <f>IF(AH1035&gt;AH1034,AD1034,IF(AD1034&lt;MiscData!$F$1,EOMONTH(AD1034,1),EOMONTH(AD1034,-11)))</f>
        <v>42369</v>
      </c>
      <c r="AE1035" s="7" t="str">
        <f t="shared" si="448"/>
        <v>20140101KUUM_472</v>
      </c>
      <c r="AF1035" s="12" t="str">
        <f t="shared" si="449"/>
        <v>20140101LS</v>
      </c>
      <c r="AG1035" s="31"/>
      <c r="AH1035">
        <f>IF(AH1034=MiscData!$AB$91,1,AH1034+1)</f>
        <v>66</v>
      </c>
      <c r="AI1035">
        <f>IF(AD1035&lt;=MiscData!$B$23,MiscData!$C$23,IF(AD1035&lt;=MiscData!$B$24,MiscData!$C$24,MiscData!$C$25))</f>
        <v>20140101</v>
      </c>
      <c r="AK1035" s="190" t="str">
        <f>VLOOKUP(AM1035,MiscData!$AB$4:$ACB$113,2,FALSE)</f>
        <v>KUUM_472</v>
      </c>
      <c r="AL1035" s="190" t="str">
        <f>VLOOKUP(AM1035,MiscData!$AB$4:$AE$115,4,FALSE)</f>
        <v>LS</v>
      </c>
      <c r="AM1035">
        <f>IF(AM1034=MiscData!$AB$91,1,AM1034+1)</f>
        <v>66</v>
      </c>
    </row>
    <row r="1036" spans="1:39">
      <c r="A1036" s="7">
        <f t="shared" si="433"/>
        <v>1035</v>
      </c>
      <c r="B1036" s="13" t="str">
        <f t="shared" si="438"/>
        <v>Dec 2015</v>
      </c>
      <c r="C1036" s="23" t="str">
        <f t="shared" si="439"/>
        <v>LS</v>
      </c>
      <c r="D1036" s="23" t="str">
        <f t="shared" si="440"/>
        <v>KUUM_473</v>
      </c>
      <c r="E1036" s="170">
        <f t="shared" si="418"/>
        <v>3238</v>
      </c>
      <c r="F1036" s="185"/>
      <c r="G1036" s="170">
        <f t="shared" si="414"/>
        <v>0</v>
      </c>
      <c r="H1036" s="170">
        <v>0</v>
      </c>
      <c r="I1036" s="11">
        <f t="shared" si="419"/>
        <v>12.3</v>
      </c>
      <c r="J1036" s="11">
        <f t="shared" si="420"/>
        <v>1.129999999999999</v>
      </c>
      <c r="K1036" s="416">
        <f t="shared" si="435"/>
        <v>39827.4</v>
      </c>
      <c r="L1036" s="180"/>
      <c r="M1036" s="180"/>
      <c r="N1036" s="186">
        <f t="shared" si="441"/>
        <v>39827.4</v>
      </c>
      <c r="O1036" s="29">
        <f t="shared" si="442"/>
        <v>0</v>
      </c>
      <c r="P1036" s="181">
        <f t="shared" si="443"/>
        <v>0</v>
      </c>
      <c r="Q1036" s="182">
        <f t="shared" si="422"/>
        <v>0</v>
      </c>
      <c r="R1036" s="182">
        <f t="shared" si="423"/>
        <v>0</v>
      </c>
      <c r="S1036" s="182">
        <f t="shared" si="424"/>
        <v>0</v>
      </c>
      <c r="T1036" s="182">
        <f t="shared" si="425"/>
        <v>0</v>
      </c>
      <c r="U1036" s="182">
        <f t="shared" si="426"/>
        <v>0</v>
      </c>
      <c r="V1036" s="14">
        <f t="shared" si="444"/>
        <v>39827.4</v>
      </c>
      <c r="W1036" s="14">
        <f t="shared" si="445"/>
        <v>-39827.4</v>
      </c>
      <c r="Y1036" s="14">
        <f t="shared" si="446"/>
        <v>3658.94</v>
      </c>
      <c r="Z1036" s="14">
        <f t="shared" si="447"/>
        <v>-3658.94</v>
      </c>
      <c r="AA1036" s="11">
        <f t="shared" si="434"/>
        <v>0.34</v>
      </c>
      <c r="AB1036" s="9">
        <f t="shared" si="437"/>
        <v>1100.92</v>
      </c>
      <c r="AD1036" s="13">
        <f>IF(AH1036&gt;AH1035,AD1035,IF(AD1035&lt;MiscData!$F$1,EOMONTH(AD1035,1),EOMONTH(AD1035,-11)))</f>
        <v>42369</v>
      </c>
      <c r="AE1036" s="7" t="str">
        <f t="shared" si="448"/>
        <v>20140101KUUM_473</v>
      </c>
      <c r="AF1036" s="12" t="str">
        <f t="shared" si="449"/>
        <v>20140101LS</v>
      </c>
      <c r="AG1036" s="31"/>
      <c r="AH1036">
        <f>IF(AH1035=MiscData!$AB$91,1,AH1035+1)</f>
        <v>67</v>
      </c>
      <c r="AI1036">
        <f>IF(AD1036&lt;=MiscData!$B$23,MiscData!$C$23,IF(AD1036&lt;=MiscData!$B$24,MiscData!$C$24,MiscData!$C$25))</f>
        <v>20140101</v>
      </c>
      <c r="AK1036" s="190" t="str">
        <f>VLOOKUP(AM1036,MiscData!$AB$4:$ACB$113,2,FALSE)</f>
        <v>KUUM_473</v>
      </c>
      <c r="AL1036" s="190" t="str">
        <f>VLOOKUP(AM1036,MiscData!$AB$4:$AE$115,4,FALSE)</f>
        <v>LS</v>
      </c>
      <c r="AM1036">
        <f>IF(AM1035=MiscData!$AB$91,1,AM1035+1)</f>
        <v>67</v>
      </c>
    </row>
    <row r="1037" spans="1:39">
      <c r="A1037" s="7">
        <f t="shared" si="433"/>
        <v>1036</v>
      </c>
      <c r="B1037" s="13" t="str">
        <f t="shared" si="438"/>
        <v>Dec 2015</v>
      </c>
      <c r="C1037" s="23" t="str">
        <f t="shared" si="439"/>
        <v>LS</v>
      </c>
      <c r="D1037" s="23" t="str">
        <f t="shared" si="440"/>
        <v>KUUM_474</v>
      </c>
      <c r="E1037" s="170">
        <f t="shared" si="418"/>
        <v>4981</v>
      </c>
      <c r="F1037" s="185"/>
      <c r="G1037" s="170">
        <f t="shared" si="414"/>
        <v>0</v>
      </c>
      <c r="H1037" s="170">
        <v>0</v>
      </c>
      <c r="I1037" s="11">
        <f t="shared" si="419"/>
        <v>17.41</v>
      </c>
      <c r="J1037" s="11">
        <f t="shared" si="420"/>
        <v>2.33</v>
      </c>
      <c r="K1037" s="416">
        <f t="shared" si="435"/>
        <v>86719.21</v>
      </c>
      <c r="L1037" s="180"/>
      <c r="M1037" s="180"/>
      <c r="N1037" s="186">
        <f t="shared" si="441"/>
        <v>86719.21</v>
      </c>
      <c r="O1037" s="29">
        <f t="shared" si="442"/>
        <v>0</v>
      </c>
      <c r="P1037" s="181">
        <f t="shared" si="443"/>
        <v>0</v>
      </c>
      <c r="Q1037" s="182">
        <f t="shared" si="422"/>
        <v>0</v>
      </c>
      <c r="R1037" s="182">
        <f t="shared" si="423"/>
        <v>0</v>
      </c>
      <c r="S1037" s="182">
        <f t="shared" si="424"/>
        <v>0</v>
      </c>
      <c r="T1037" s="182">
        <f t="shared" si="425"/>
        <v>0</v>
      </c>
      <c r="U1037" s="182">
        <f t="shared" si="426"/>
        <v>0</v>
      </c>
      <c r="V1037" s="14">
        <f t="shared" si="444"/>
        <v>86719.21</v>
      </c>
      <c r="W1037" s="14">
        <f t="shared" si="445"/>
        <v>-86719.21</v>
      </c>
      <c r="Y1037" s="14">
        <f t="shared" si="446"/>
        <v>11605.73</v>
      </c>
      <c r="Z1037" s="14">
        <f t="shared" si="447"/>
        <v>-11605.73</v>
      </c>
      <c r="AA1037" s="11">
        <f t="shared" si="434"/>
        <v>0.57999999999999996</v>
      </c>
      <c r="AB1037" s="9">
        <f t="shared" si="437"/>
        <v>2888.98</v>
      </c>
      <c r="AD1037" s="13">
        <f>IF(AH1037&gt;AH1036,AD1036,IF(AD1036&lt;MiscData!$F$1,EOMONTH(AD1036,1),EOMONTH(AD1036,-11)))</f>
        <v>42369</v>
      </c>
      <c r="AE1037" s="7" t="str">
        <f t="shared" si="448"/>
        <v>20140101KUUM_474</v>
      </c>
      <c r="AF1037" s="12" t="str">
        <f t="shared" si="449"/>
        <v>20140101LS</v>
      </c>
      <c r="AG1037" s="31"/>
      <c r="AH1037">
        <f>IF(AH1036=MiscData!$AB$91,1,AH1036+1)</f>
        <v>68</v>
      </c>
      <c r="AI1037">
        <f>IF(AD1037&lt;=MiscData!$B$23,MiscData!$C$23,IF(AD1037&lt;=MiscData!$B$24,MiscData!$C$24,MiscData!$C$25))</f>
        <v>20140101</v>
      </c>
      <c r="AK1037" s="190" t="str">
        <f>VLOOKUP(AM1037,MiscData!$AB$4:$ACB$113,2,FALSE)</f>
        <v>KUUM_474</v>
      </c>
      <c r="AL1037" s="190" t="str">
        <f>VLOOKUP(AM1037,MiscData!$AB$4:$AE$115,4,FALSE)</f>
        <v>LS</v>
      </c>
      <c r="AM1037">
        <f>IF(AM1036=MiscData!$AB$91,1,AM1036+1)</f>
        <v>68</v>
      </c>
    </row>
    <row r="1038" spans="1:39">
      <c r="A1038" s="7">
        <f t="shared" si="433"/>
        <v>1037</v>
      </c>
      <c r="B1038" s="13" t="str">
        <f t="shared" si="438"/>
        <v>Dec 2015</v>
      </c>
      <c r="C1038" s="23" t="str">
        <f t="shared" si="439"/>
        <v>LS</v>
      </c>
      <c r="D1038" s="23" t="str">
        <f t="shared" si="440"/>
        <v>KUUM_475</v>
      </c>
      <c r="E1038" s="170">
        <f t="shared" si="418"/>
        <v>499</v>
      </c>
      <c r="F1038" s="185"/>
      <c r="G1038" s="170">
        <f t="shared" si="414"/>
        <v>0</v>
      </c>
      <c r="H1038" s="170">
        <v>0</v>
      </c>
      <c r="I1038" s="11">
        <f t="shared" si="419"/>
        <v>24.46</v>
      </c>
      <c r="J1038" s="11">
        <f t="shared" si="420"/>
        <v>4.5300000000000011</v>
      </c>
      <c r="K1038" s="416">
        <f t="shared" si="435"/>
        <v>12205.54</v>
      </c>
      <c r="L1038" s="180"/>
      <c r="M1038" s="180"/>
      <c r="N1038" s="186">
        <f t="shared" si="441"/>
        <v>12205.54</v>
      </c>
      <c r="O1038" s="29">
        <f t="shared" si="442"/>
        <v>0</v>
      </c>
      <c r="P1038" s="181">
        <f t="shared" si="443"/>
        <v>0</v>
      </c>
      <c r="Q1038" s="182">
        <f t="shared" si="422"/>
        <v>0</v>
      </c>
      <c r="R1038" s="182">
        <f t="shared" si="423"/>
        <v>0</v>
      </c>
      <c r="S1038" s="182">
        <f t="shared" si="424"/>
        <v>0</v>
      </c>
      <c r="T1038" s="182">
        <f t="shared" si="425"/>
        <v>0</v>
      </c>
      <c r="U1038" s="182">
        <f t="shared" si="426"/>
        <v>0</v>
      </c>
      <c r="V1038" s="14">
        <f t="shared" si="444"/>
        <v>12205.54</v>
      </c>
      <c r="W1038" s="14">
        <f t="shared" si="445"/>
        <v>-12205.54</v>
      </c>
      <c r="Y1038" s="14">
        <f t="shared" si="446"/>
        <v>2260.4699999999998</v>
      </c>
      <c r="Z1038" s="14">
        <f t="shared" si="447"/>
        <v>-2260.4699999999998</v>
      </c>
      <c r="AA1038" s="11">
        <f t="shared" si="434"/>
        <v>0.79</v>
      </c>
      <c r="AB1038" s="9">
        <f t="shared" si="437"/>
        <v>394.21000000000004</v>
      </c>
      <c r="AD1038" s="13">
        <f>IF(AH1038&gt;AH1037,AD1037,IF(AD1037&lt;MiscData!$F$1,EOMONTH(AD1037,1),EOMONTH(AD1037,-11)))</f>
        <v>42369</v>
      </c>
      <c r="AE1038" s="7" t="str">
        <f t="shared" si="448"/>
        <v>20140101KUUM_475</v>
      </c>
      <c r="AF1038" s="12" t="str">
        <f t="shared" si="449"/>
        <v>20140101LS</v>
      </c>
      <c r="AG1038" s="31"/>
      <c r="AH1038">
        <f>IF(AH1037=MiscData!$AB$91,1,AH1037+1)</f>
        <v>69</v>
      </c>
      <c r="AI1038">
        <f>IF(AD1038&lt;=MiscData!$B$23,MiscData!$C$23,IF(AD1038&lt;=MiscData!$B$24,MiscData!$C$24,MiscData!$C$25))</f>
        <v>20140101</v>
      </c>
      <c r="AK1038" s="190" t="str">
        <f>VLOOKUP(AM1038,MiscData!$AB$4:$ACB$113,2,FALSE)</f>
        <v>KUUM_475</v>
      </c>
      <c r="AL1038" s="190" t="str">
        <f>VLOOKUP(AM1038,MiscData!$AB$4:$AE$115,4,FALSE)</f>
        <v>LS</v>
      </c>
      <c r="AM1038">
        <f>IF(AM1037=MiscData!$AB$91,1,AM1037+1)</f>
        <v>69</v>
      </c>
    </row>
    <row r="1039" spans="1:39">
      <c r="A1039" s="7">
        <f t="shared" si="433"/>
        <v>1038</v>
      </c>
      <c r="B1039" s="13" t="str">
        <f t="shared" si="438"/>
        <v>Dec 2015</v>
      </c>
      <c r="C1039" s="23" t="str">
        <f t="shared" si="439"/>
        <v>LS</v>
      </c>
      <c r="D1039" s="23" t="str">
        <f t="shared" si="440"/>
        <v>KUUM_476</v>
      </c>
      <c r="E1039" s="170">
        <f t="shared" si="418"/>
        <v>4457</v>
      </c>
      <c r="F1039" s="185"/>
      <c r="G1039" s="170">
        <f t="shared" si="414"/>
        <v>0</v>
      </c>
      <c r="H1039" s="170">
        <v>0</v>
      </c>
      <c r="I1039" s="11">
        <f t="shared" si="419"/>
        <v>16.79</v>
      </c>
      <c r="J1039" s="11">
        <f t="shared" si="420"/>
        <v>0.79999999999999893</v>
      </c>
      <c r="K1039" s="416">
        <f t="shared" si="435"/>
        <v>74833.03</v>
      </c>
      <c r="L1039" s="180"/>
      <c r="M1039" s="180"/>
      <c r="N1039" s="186">
        <f t="shared" si="441"/>
        <v>74833.03</v>
      </c>
      <c r="O1039" s="29">
        <f t="shared" si="442"/>
        <v>0</v>
      </c>
      <c r="P1039" s="181">
        <f t="shared" si="443"/>
        <v>0</v>
      </c>
      <c r="Q1039" s="182">
        <f t="shared" si="422"/>
        <v>0</v>
      </c>
      <c r="R1039" s="182">
        <f t="shared" si="423"/>
        <v>0</v>
      </c>
      <c r="S1039" s="182">
        <f t="shared" si="424"/>
        <v>0</v>
      </c>
      <c r="T1039" s="182">
        <f t="shared" si="425"/>
        <v>0</v>
      </c>
      <c r="U1039" s="182">
        <f t="shared" si="426"/>
        <v>0</v>
      </c>
      <c r="V1039" s="14">
        <f t="shared" si="444"/>
        <v>74833.03</v>
      </c>
      <c r="W1039" s="14">
        <f t="shared" si="445"/>
        <v>-74833.03</v>
      </c>
      <c r="Y1039" s="14">
        <f t="shared" si="446"/>
        <v>3565.6</v>
      </c>
      <c r="Z1039" s="14">
        <f t="shared" si="447"/>
        <v>-3565.6</v>
      </c>
      <c r="AA1039" s="11">
        <f t="shared" si="434"/>
        <v>0.43</v>
      </c>
      <c r="AB1039" s="9">
        <f t="shared" si="437"/>
        <v>1916.51</v>
      </c>
      <c r="AD1039" s="13">
        <f>IF(AH1039&gt;AH1038,AD1038,IF(AD1038&lt;MiscData!$F$1,EOMONTH(AD1038,1),EOMONTH(AD1038,-11)))</f>
        <v>42369</v>
      </c>
      <c r="AE1039" s="7" t="str">
        <f t="shared" si="448"/>
        <v>20140101KUUM_476</v>
      </c>
      <c r="AF1039" s="12" t="str">
        <f t="shared" si="449"/>
        <v>20140101LS</v>
      </c>
      <c r="AG1039" s="31"/>
      <c r="AH1039">
        <f>IF(AH1038=MiscData!$AB$91,1,AH1038+1)</f>
        <v>70</v>
      </c>
      <c r="AI1039">
        <f>IF(AD1039&lt;=MiscData!$B$23,MiscData!$C$23,IF(AD1039&lt;=MiscData!$B$24,MiscData!$C$24,MiscData!$C$25))</f>
        <v>20140101</v>
      </c>
      <c r="AK1039" s="190" t="str">
        <f>VLOOKUP(AM1039,MiscData!$AB$4:$ACB$113,2,FALSE)</f>
        <v>KUUM_476</v>
      </c>
      <c r="AL1039" s="190" t="str">
        <f>VLOOKUP(AM1039,MiscData!$AB$4:$AE$115,4,FALSE)</f>
        <v>LS</v>
      </c>
      <c r="AM1039">
        <f>IF(AM1038=MiscData!$AB$91,1,AM1038+1)</f>
        <v>70</v>
      </c>
    </row>
    <row r="1040" spans="1:39">
      <c r="A1040" s="7">
        <f t="shared" si="433"/>
        <v>1039</v>
      </c>
      <c r="B1040" s="13" t="str">
        <f t="shared" si="438"/>
        <v>Dec 2015</v>
      </c>
      <c r="C1040" s="23" t="str">
        <f t="shared" si="439"/>
        <v>LS</v>
      </c>
      <c r="D1040" s="23" t="str">
        <f t="shared" si="440"/>
        <v>KUUM_477</v>
      </c>
      <c r="E1040" s="170">
        <f t="shared" si="418"/>
        <v>1033</v>
      </c>
      <c r="F1040" s="185"/>
      <c r="G1040" s="170">
        <f t="shared" si="414"/>
        <v>0</v>
      </c>
      <c r="H1040" s="170">
        <v>0</v>
      </c>
      <c r="I1040" s="11">
        <f t="shared" si="419"/>
        <v>20.97</v>
      </c>
      <c r="J1040" s="11">
        <f t="shared" si="420"/>
        <v>1.129999999999999</v>
      </c>
      <c r="K1040" s="416">
        <f t="shared" si="435"/>
        <v>21662.01</v>
      </c>
      <c r="L1040" s="180"/>
      <c r="M1040" s="180"/>
      <c r="N1040" s="186">
        <f t="shared" si="441"/>
        <v>21662.01</v>
      </c>
      <c r="O1040" s="29">
        <f t="shared" si="442"/>
        <v>0</v>
      </c>
      <c r="P1040" s="181">
        <f t="shared" si="443"/>
        <v>0</v>
      </c>
      <c r="Q1040" s="182">
        <f t="shared" si="422"/>
        <v>0</v>
      </c>
      <c r="R1040" s="182">
        <f t="shared" si="423"/>
        <v>0</v>
      </c>
      <c r="S1040" s="182">
        <f t="shared" si="424"/>
        <v>0</v>
      </c>
      <c r="T1040" s="182">
        <f t="shared" si="425"/>
        <v>0</v>
      </c>
      <c r="U1040" s="182">
        <f t="shared" si="426"/>
        <v>0</v>
      </c>
      <c r="V1040" s="14">
        <f t="shared" si="444"/>
        <v>21662.01</v>
      </c>
      <c r="W1040" s="14">
        <f t="shared" si="445"/>
        <v>-21662.01</v>
      </c>
      <c r="Y1040" s="14">
        <f t="shared" si="446"/>
        <v>1167.29</v>
      </c>
      <c r="Z1040" s="14">
        <f t="shared" si="447"/>
        <v>-1167.29</v>
      </c>
      <c r="AA1040" s="11">
        <f t="shared" si="434"/>
        <v>0.34</v>
      </c>
      <c r="AB1040" s="9">
        <f t="shared" si="437"/>
        <v>351.22</v>
      </c>
      <c r="AD1040" s="13">
        <f>IF(AH1040&gt;AH1039,AD1039,IF(AD1039&lt;MiscData!$F$1,EOMONTH(AD1039,1),EOMONTH(AD1039,-11)))</f>
        <v>42369</v>
      </c>
      <c r="AE1040" s="7" t="str">
        <f t="shared" si="448"/>
        <v>20140101KUUM_477</v>
      </c>
      <c r="AF1040" s="12" t="str">
        <f t="shared" si="449"/>
        <v>20140101LS</v>
      </c>
      <c r="AG1040" s="31"/>
      <c r="AH1040">
        <f>IF(AH1039=MiscData!$AB$91,1,AH1039+1)</f>
        <v>71</v>
      </c>
      <c r="AI1040">
        <f>IF(AD1040&lt;=MiscData!$B$23,MiscData!$C$23,IF(AD1040&lt;=MiscData!$B$24,MiscData!$C$24,MiscData!$C$25))</f>
        <v>20140101</v>
      </c>
      <c r="AK1040" s="190" t="str">
        <f>VLOOKUP(AM1040,MiscData!$AB$4:$ACB$113,2,FALSE)</f>
        <v>KUUM_477</v>
      </c>
      <c r="AL1040" s="190" t="str">
        <f>VLOOKUP(AM1040,MiscData!$AB$4:$AE$115,4,FALSE)</f>
        <v>LS</v>
      </c>
      <c r="AM1040">
        <f>IF(AM1039=MiscData!$AB$91,1,AM1039+1)</f>
        <v>71</v>
      </c>
    </row>
    <row r="1041" spans="1:39">
      <c r="A1041" s="7">
        <f t="shared" si="433"/>
        <v>1040</v>
      </c>
      <c r="B1041" s="13" t="str">
        <f t="shared" si="438"/>
        <v>Dec 2015</v>
      </c>
      <c r="C1041" s="23" t="str">
        <f t="shared" si="439"/>
        <v>LS</v>
      </c>
      <c r="D1041" s="23" t="str">
        <f t="shared" si="440"/>
        <v>KUUM_478</v>
      </c>
      <c r="E1041" s="170">
        <f t="shared" si="418"/>
        <v>1361</v>
      </c>
      <c r="F1041" s="185"/>
      <c r="G1041" s="170">
        <f t="shared" si="414"/>
        <v>0</v>
      </c>
      <c r="H1041" s="170">
        <v>0</v>
      </c>
      <c r="I1041" s="11">
        <f t="shared" si="419"/>
        <v>26.86</v>
      </c>
      <c r="J1041" s="11">
        <f t="shared" si="420"/>
        <v>2.3299999999999983</v>
      </c>
      <c r="K1041" s="416">
        <f t="shared" si="435"/>
        <v>36556.46</v>
      </c>
      <c r="L1041" s="180"/>
      <c r="M1041" s="180"/>
      <c r="N1041" s="186">
        <f t="shared" si="441"/>
        <v>36556.46</v>
      </c>
      <c r="O1041" s="29">
        <f t="shared" si="442"/>
        <v>0</v>
      </c>
      <c r="P1041" s="181">
        <f t="shared" si="443"/>
        <v>0</v>
      </c>
      <c r="Q1041" s="182">
        <f t="shared" si="422"/>
        <v>0</v>
      </c>
      <c r="R1041" s="182">
        <f t="shared" si="423"/>
        <v>0</v>
      </c>
      <c r="S1041" s="182">
        <f t="shared" si="424"/>
        <v>0</v>
      </c>
      <c r="T1041" s="182">
        <f t="shared" si="425"/>
        <v>0</v>
      </c>
      <c r="U1041" s="182">
        <f t="shared" si="426"/>
        <v>0</v>
      </c>
      <c r="V1041" s="14">
        <f t="shared" si="444"/>
        <v>36556.46</v>
      </c>
      <c r="W1041" s="14">
        <f t="shared" si="445"/>
        <v>-36556.46</v>
      </c>
      <c r="Y1041" s="14">
        <f t="shared" si="446"/>
        <v>3171.13</v>
      </c>
      <c r="Z1041" s="14">
        <f t="shared" si="447"/>
        <v>-3171.13</v>
      </c>
      <c r="AA1041" s="11">
        <f t="shared" si="434"/>
        <v>0.57999999999999996</v>
      </c>
      <c r="AB1041" s="9">
        <f t="shared" si="437"/>
        <v>789.38</v>
      </c>
      <c r="AD1041" s="13">
        <f>IF(AH1041&gt;AH1040,AD1040,IF(AD1040&lt;MiscData!$F$1,EOMONTH(AD1040,1),EOMONTH(AD1040,-11)))</f>
        <v>42369</v>
      </c>
      <c r="AE1041" s="7" t="str">
        <f t="shared" si="448"/>
        <v>20140101KUUM_478</v>
      </c>
      <c r="AF1041" s="12" t="str">
        <f t="shared" si="449"/>
        <v>20140101LS</v>
      </c>
      <c r="AG1041" s="31"/>
      <c r="AH1041">
        <f>IF(AH1040=MiscData!$AB$91,1,AH1040+1)</f>
        <v>72</v>
      </c>
      <c r="AI1041">
        <f>IF(AD1041&lt;=MiscData!$B$23,MiscData!$C$23,IF(AD1041&lt;=MiscData!$B$24,MiscData!$C$24,MiscData!$C$25))</f>
        <v>20140101</v>
      </c>
      <c r="AK1041" s="190" t="str">
        <f>VLOOKUP(AM1041,MiscData!$AB$4:$ACB$113,2,FALSE)</f>
        <v>KUUM_478</v>
      </c>
      <c r="AL1041" s="190" t="str">
        <f>VLOOKUP(AM1041,MiscData!$AB$4:$AE$115,4,FALSE)</f>
        <v>LS</v>
      </c>
      <c r="AM1041">
        <f>IF(AM1040=MiscData!$AB$91,1,AM1040+1)</f>
        <v>72</v>
      </c>
    </row>
    <row r="1042" spans="1:39">
      <c r="A1042" s="7">
        <f t="shared" si="433"/>
        <v>1041</v>
      </c>
      <c r="B1042" s="13" t="str">
        <f t="shared" si="438"/>
        <v>Dec 2015</v>
      </c>
      <c r="C1042" s="23" t="str">
        <f t="shared" si="439"/>
        <v>LS</v>
      </c>
      <c r="D1042" s="23" t="str">
        <f t="shared" si="440"/>
        <v>KUUM_479</v>
      </c>
      <c r="E1042" s="170">
        <f t="shared" si="418"/>
        <v>920</v>
      </c>
      <c r="F1042" s="185"/>
      <c r="G1042" s="170">
        <f t="shared" si="414"/>
        <v>0</v>
      </c>
      <c r="H1042" s="170">
        <v>0</v>
      </c>
      <c r="I1042" s="11">
        <f t="shared" si="419"/>
        <v>33.119999999999997</v>
      </c>
      <c r="J1042" s="11">
        <f t="shared" si="420"/>
        <v>4.529999999999994</v>
      </c>
      <c r="K1042" s="416">
        <f t="shared" si="435"/>
        <v>30470.400000000001</v>
      </c>
      <c r="L1042" s="180"/>
      <c r="M1042" s="180"/>
      <c r="N1042" s="186">
        <f t="shared" si="441"/>
        <v>30470.400000000001</v>
      </c>
      <c r="O1042" s="29">
        <f t="shared" si="442"/>
        <v>0</v>
      </c>
      <c r="P1042" s="181">
        <f t="shared" si="443"/>
        <v>0</v>
      </c>
      <c r="Q1042" s="182">
        <f t="shared" si="422"/>
        <v>0</v>
      </c>
      <c r="R1042" s="182">
        <f t="shared" si="423"/>
        <v>0</v>
      </c>
      <c r="S1042" s="182">
        <f t="shared" si="424"/>
        <v>0</v>
      </c>
      <c r="T1042" s="182">
        <f t="shared" si="425"/>
        <v>0</v>
      </c>
      <c r="U1042" s="182">
        <f t="shared" si="426"/>
        <v>0</v>
      </c>
      <c r="V1042" s="14">
        <f t="shared" si="444"/>
        <v>30470.400000000001</v>
      </c>
      <c r="W1042" s="14">
        <f t="shared" si="445"/>
        <v>-30470.400000000001</v>
      </c>
      <c r="Y1042" s="14">
        <f t="shared" si="446"/>
        <v>4167.6000000000004</v>
      </c>
      <c r="Z1042" s="14">
        <f t="shared" si="447"/>
        <v>-4167.6000000000004</v>
      </c>
      <c r="AA1042" s="11">
        <f t="shared" si="434"/>
        <v>0.79</v>
      </c>
      <c r="AB1042" s="9">
        <f t="shared" si="437"/>
        <v>726.80000000000007</v>
      </c>
      <c r="AD1042" s="13">
        <f>IF(AH1042&gt;AH1041,AD1041,IF(AD1041&lt;MiscData!$F$1,EOMONTH(AD1041,1),EOMONTH(AD1041,-11)))</f>
        <v>42369</v>
      </c>
      <c r="AE1042" s="7" t="str">
        <f t="shared" si="448"/>
        <v>20140101KUUM_479</v>
      </c>
      <c r="AF1042" s="12" t="str">
        <f t="shared" si="449"/>
        <v>20140101LS</v>
      </c>
      <c r="AG1042" s="31"/>
      <c r="AH1042">
        <f>IF(AH1041=MiscData!$AB$91,1,AH1041+1)</f>
        <v>73</v>
      </c>
      <c r="AI1042">
        <f>IF(AD1042&lt;=MiscData!$B$23,MiscData!$C$23,IF(AD1042&lt;=MiscData!$B$24,MiscData!$C$24,MiscData!$C$25))</f>
        <v>20140101</v>
      </c>
      <c r="AK1042" s="190" t="str">
        <f>VLOOKUP(AM1042,MiscData!$AB$4:$ACB$113,2,FALSE)</f>
        <v>KUUM_479</v>
      </c>
      <c r="AL1042" s="190" t="str">
        <f>VLOOKUP(AM1042,MiscData!$AB$4:$AE$115,4,FALSE)</f>
        <v>LS</v>
      </c>
      <c r="AM1042">
        <f>IF(AM1041=MiscData!$AB$91,1,AM1041+1)</f>
        <v>73</v>
      </c>
    </row>
    <row r="1043" spans="1:39">
      <c r="A1043" s="7">
        <f t="shared" si="433"/>
        <v>1042</v>
      </c>
      <c r="B1043" s="13" t="str">
        <f t="shared" si="438"/>
        <v>Dec 2015</v>
      </c>
      <c r="C1043" s="23" t="str">
        <f t="shared" si="439"/>
        <v>LS</v>
      </c>
      <c r="D1043" s="23" t="str">
        <f t="shared" si="440"/>
        <v>KUUM_486</v>
      </c>
      <c r="E1043" s="170">
        <f t="shared" si="418"/>
        <v>0</v>
      </c>
      <c r="F1043" s="185"/>
      <c r="G1043" s="170">
        <f t="shared" si="414"/>
        <v>0</v>
      </c>
      <c r="H1043" s="170">
        <v>0</v>
      </c>
      <c r="I1043" s="11">
        <f t="shared" si="419"/>
        <v>0</v>
      </c>
      <c r="J1043" s="11">
        <f t="shared" si="420"/>
        <v>0</v>
      </c>
      <c r="K1043" s="416">
        <f t="shared" si="435"/>
        <v>0</v>
      </c>
      <c r="L1043" s="180"/>
      <c r="M1043" s="180"/>
      <c r="N1043" s="186">
        <f t="shared" si="441"/>
        <v>0</v>
      </c>
      <c r="O1043" s="29">
        <f t="shared" si="442"/>
        <v>0</v>
      </c>
      <c r="P1043" s="181">
        <f t="shared" si="443"/>
        <v>1</v>
      </c>
      <c r="Q1043" s="182">
        <f t="shared" si="422"/>
        <v>0</v>
      </c>
      <c r="R1043" s="182">
        <f t="shared" si="423"/>
        <v>0</v>
      </c>
      <c r="S1043" s="182">
        <f t="shared" si="424"/>
        <v>0</v>
      </c>
      <c r="T1043" s="182">
        <f t="shared" si="425"/>
        <v>0</v>
      </c>
      <c r="U1043" s="182">
        <f t="shared" si="426"/>
        <v>0</v>
      </c>
      <c r="V1043" s="14">
        <f t="shared" si="444"/>
        <v>0</v>
      </c>
      <c r="W1043" s="14">
        <f t="shared" si="445"/>
        <v>0</v>
      </c>
      <c r="Y1043" s="14">
        <f t="shared" si="446"/>
        <v>0</v>
      </c>
      <c r="Z1043" s="14">
        <f t="shared" si="447"/>
        <v>0</v>
      </c>
      <c r="AA1043" s="11">
        <f t="shared" si="434"/>
        <v>0</v>
      </c>
      <c r="AB1043" s="9">
        <f t="shared" si="437"/>
        <v>0</v>
      </c>
      <c r="AD1043" s="13">
        <f>IF(AH1043&gt;AH1042,AD1042,IF(AD1042&lt;MiscData!$F$1,EOMONTH(AD1042,1),EOMONTH(AD1042,-11)))</f>
        <v>42369</v>
      </c>
      <c r="AE1043" s="7" t="str">
        <f t="shared" si="448"/>
        <v>20140101KUUM_486</v>
      </c>
      <c r="AF1043" s="12" t="str">
        <f t="shared" si="449"/>
        <v>20140101LS</v>
      </c>
      <c r="AG1043" s="31"/>
      <c r="AH1043">
        <f>IF(AH1042=MiscData!$AB$91,1,AH1042+1)</f>
        <v>74</v>
      </c>
      <c r="AI1043">
        <f>IF(AD1043&lt;=MiscData!$B$23,MiscData!$C$23,IF(AD1043&lt;=MiscData!$B$24,MiscData!$C$24,MiscData!$C$25))</f>
        <v>20140101</v>
      </c>
      <c r="AK1043" s="190" t="str">
        <f>VLOOKUP(AM1043,MiscData!$AB$4:$ACB$113,2,FALSE)</f>
        <v>KUUM_486</v>
      </c>
      <c r="AL1043" s="190" t="str">
        <f>VLOOKUP(AM1043,MiscData!$AB$4:$AE$115,4,FALSE)</f>
        <v>LS</v>
      </c>
      <c r="AM1043">
        <f>IF(AM1042=MiscData!$AB$91,1,AM1042+1)</f>
        <v>74</v>
      </c>
    </row>
    <row r="1044" spans="1:39">
      <c r="A1044" s="7">
        <f t="shared" si="433"/>
        <v>1043</v>
      </c>
      <c r="B1044" s="13" t="str">
        <f t="shared" si="438"/>
        <v>Dec 2015</v>
      </c>
      <c r="C1044" s="23" t="str">
        <f t="shared" si="439"/>
        <v>LS</v>
      </c>
      <c r="D1044" s="23" t="str">
        <f t="shared" si="440"/>
        <v>KUUM_487</v>
      </c>
      <c r="E1044" s="170">
        <f t="shared" si="418"/>
        <v>10668</v>
      </c>
      <c r="F1044" s="185"/>
      <c r="G1044" s="170">
        <f t="shared" si="414"/>
        <v>0</v>
      </c>
      <c r="H1044" s="170">
        <v>0</v>
      </c>
      <c r="I1044" s="11">
        <f t="shared" si="419"/>
        <v>9</v>
      </c>
      <c r="J1044" s="11">
        <f t="shared" si="420"/>
        <v>1.1299999999999999</v>
      </c>
      <c r="K1044" s="416">
        <f t="shared" si="435"/>
        <v>96012</v>
      </c>
      <c r="L1044" s="180"/>
      <c r="M1044" s="180"/>
      <c r="N1044" s="186">
        <f t="shared" si="441"/>
        <v>96012</v>
      </c>
      <c r="O1044" s="29">
        <f t="shared" si="442"/>
        <v>0</v>
      </c>
      <c r="P1044" s="181">
        <f t="shared" si="443"/>
        <v>0</v>
      </c>
      <c r="Q1044" s="182">
        <f t="shared" si="422"/>
        <v>0</v>
      </c>
      <c r="R1044" s="182">
        <f t="shared" si="423"/>
        <v>0</v>
      </c>
      <c r="S1044" s="182">
        <f t="shared" si="424"/>
        <v>0</v>
      </c>
      <c r="T1044" s="182">
        <f t="shared" si="425"/>
        <v>0</v>
      </c>
      <c r="U1044" s="182">
        <f t="shared" si="426"/>
        <v>0</v>
      </c>
      <c r="V1044" s="14">
        <f t="shared" si="444"/>
        <v>96012</v>
      </c>
      <c r="W1044" s="14">
        <f t="shared" si="445"/>
        <v>-96012</v>
      </c>
      <c r="Y1044" s="14">
        <f t="shared" si="446"/>
        <v>12054.84</v>
      </c>
      <c r="Z1044" s="14">
        <f t="shared" si="447"/>
        <v>-12054.84</v>
      </c>
      <c r="AA1044" s="11">
        <f t="shared" si="434"/>
        <v>0.34</v>
      </c>
      <c r="AB1044" s="9">
        <f t="shared" si="437"/>
        <v>3627.1200000000003</v>
      </c>
      <c r="AD1044" s="13">
        <f>IF(AH1044&gt;AH1043,AD1043,IF(AD1043&lt;MiscData!$F$1,EOMONTH(AD1043,1),EOMONTH(AD1043,-11)))</f>
        <v>42369</v>
      </c>
      <c r="AE1044" s="7" t="str">
        <f t="shared" si="448"/>
        <v>20140101KUUM_487</v>
      </c>
      <c r="AF1044" s="12" t="str">
        <f t="shared" si="449"/>
        <v>20140101LS</v>
      </c>
      <c r="AG1044" s="31"/>
      <c r="AH1044">
        <f>IF(AH1043=MiscData!$AB$91,1,AH1043+1)</f>
        <v>75</v>
      </c>
      <c r="AI1044">
        <f>IF(AD1044&lt;=MiscData!$B$23,MiscData!$C$23,IF(AD1044&lt;=MiscData!$B$24,MiscData!$C$24,MiscData!$C$25))</f>
        <v>20140101</v>
      </c>
      <c r="AK1044" s="190" t="str">
        <f>VLOOKUP(AM1044,MiscData!$AB$4:$ACB$113,2,FALSE)</f>
        <v>KUUM_487</v>
      </c>
      <c r="AL1044" s="190" t="str">
        <f>VLOOKUP(AM1044,MiscData!$AB$4:$AE$115,4,FALSE)</f>
        <v>LS</v>
      </c>
      <c r="AM1044">
        <f>IF(AM1043=MiscData!$AB$91,1,AM1043+1)</f>
        <v>75</v>
      </c>
    </row>
    <row r="1045" spans="1:39">
      <c r="A1045" s="7">
        <f t="shared" si="433"/>
        <v>1044</v>
      </c>
      <c r="B1045" s="13" t="str">
        <f t="shared" si="415"/>
        <v>Dec 2015</v>
      </c>
      <c r="C1045" s="23" t="str">
        <f t="shared" si="416"/>
        <v>LS</v>
      </c>
      <c r="D1045" s="23" t="str">
        <f t="shared" si="417"/>
        <v>KUUM_488</v>
      </c>
      <c r="E1045" s="170">
        <f t="shared" si="418"/>
        <v>6284</v>
      </c>
      <c r="F1045" s="185"/>
      <c r="G1045" s="170">
        <f t="shared" si="414"/>
        <v>0</v>
      </c>
      <c r="H1045" s="170">
        <v>0</v>
      </c>
      <c r="I1045" s="11">
        <f t="shared" si="419"/>
        <v>13.639999999999999</v>
      </c>
      <c r="J1045" s="11">
        <f t="shared" si="420"/>
        <v>2.33</v>
      </c>
      <c r="K1045" s="416">
        <f t="shared" si="435"/>
        <v>85713.76</v>
      </c>
      <c r="L1045" s="180"/>
      <c r="M1045" s="180"/>
      <c r="N1045" s="186">
        <f t="shared" si="413"/>
        <v>85713.76</v>
      </c>
      <c r="O1045" s="29">
        <f t="shared" si="421"/>
        <v>0</v>
      </c>
      <c r="P1045" s="181">
        <f t="shared" si="436"/>
        <v>0</v>
      </c>
      <c r="Q1045" s="182">
        <f t="shared" si="422"/>
        <v>0</v>
      </c>
      <c r="R1045" s="182">
        <f t="shared" si="423"/>
        <v>0</v>
      </c>
      <c r="S1045" s="182">
        <f t="shared" si="424"/>
        <v>0</v>
      </c>
      <c r="T1045" s="182">
        <f t="shared" si="425"/>
        <v>0</v>
      </c>
      <c r="U1045" s="182">
        <f t="shared" si="426"/>
        <v>0</v>
      </c>
      <c r="V1045" s="14">
        <f t="shared" si="427"/>
        <v>85713.76</v>
      </c>
      <c r="W1045" s="14">
        <f t="shared" si="428"/>
        <v>-85713.76</v>
      </c>
      <c r="Y1045" s="14">
        <f t="shared" si="431"/>
        <v>14641.72</v>
      </c>
      <c r="Z1045" s="14">
        <f t="shared" si="432"/>
        <v>-14641.72</v>
      </c>
      <c r="AA1045" s="11">
        <f t="shared" si="434"/>
        <v>0.57999999999999996</v>
      </c>
      <c r="AB1045" s="9">
        <f t="shared" si="437"/>
        <v>3644.72</v>
      </c>
      <c r="AD1045" s="13">
        <f>IF(AH1045&gt;AH1032,AD1032,IF(AD1032&lt;MiscData!$F$1,EOMONTH(AD1032,1),EOMONTH(AD1032,-11)))</f>
        <v>42369</v>
      </c>
      <c r="AE1045" s="7" t="str">
        <f t="shared" si="429"/>
        <v>20140101KUUM_488</v>
      </c>
      <c r="AF1045" s="12" t="str">
        <f t="shared" si="430"/>
        <v>20140101LS</v>
      </c>
      <c r="AG1045" s="31"/>
      <c r="AH1045">
        <f>IF(AH1044=MiscData!$AB$91,1,AH1044+1)</f>
        <v>76</v>
      </c>
      <c r="AI1045">
        <f>IF(AD1045&lt;=MiscData!$B$23,MiscData!$C$23,IF(AD1045&lt;=MiscData!$B$24,MiscData!$C$24,MiscData!$C$25))</f>
        <v>20140101</v>
      </c>
      <c r="AK1045" s="190" t="str">
        <f>VLOOKUP(AM1045,MiscData!$AB$4:$ACB$113,2,FALSE)</f>
        <v>KUUM_488</v>
      </c>
      <c r="AL1045" s="190" t="str">
        <f>VLOOKUP(AM1045,MiscData!$AB$4:$AE$115,4,FALSE)</f>
        <v>LS</v>
      </c>
      <c r="AM1045">
        <f>IF(AM1044=MiscData!$AB$91,1,AM1044+1)</f>
        <v>76</v>
      </c>
    </row>
    <row r="1046" spans="1:39">
      <c r="A1046" s="7">
        <f t="shared" si="433"/>
        <v>1045</v>
      </c>
      <c r="B1046" s="13" t="str">
        <f t="shared" si="415"/>
        <v>Dec 2015</v>
      </c>
      <c r="C1046" s="23" t="str">
        <f t="shared" si="416"/>
        <v>LS</v>
      </c>
      <c r="D1046" s="23" t="str">
        <f t="shared" si="417"/>
        <v>KUUM_489</v>
      </c>
      <c r="E1046" s="170">
        <f t="shared" si="418"/>
        <v>7982</v>
      </c>
      <c r="F1046" s="185"/>
      <c r="G1046" s="170">
        <f t="shared" si="414"/>
        <v>0</v>
      </c>
      <c r="H1046" s="170">
        <v>0</v>
      </c>
      <c r="I1046" s="11">
        <f t="shared" si="419"/>
        <v>19.46</v>
      </c>
      <c r="J1046" s="11">
        <f t="shared" si="420"/>
        <v>4.5300000000000011</v>
      </c>
      <c r="K1046" s="416">
        <f t="shared" si="435"/>
        <v>155329.72</v>
      </c>
      <c r="L1046" s="180"/>
      <c r="M1046" s="180"/>
      <c r="N1046" s="186">
        <f t="shared" si="413"/>
        <v>155329.72</v>
      </c>
      <c r="O1046" s="29">
        <f t="shared" si="421"/>
        <v>0</v>
      </c>
      <c r="P1046" s="181">
        <f t="shared" si="436"/>
        <v>0</v>
      </c>
      <c r="Q1046" s="182">
        <f t="shared" si="422"/>
        <v>0</v>
      </c>
      <c r="R1046" s="182">
        <f t="shared" si="423"/>
        <v>0</v>
      </c>
      <c r="S1046" s="182">
        <f t="shared" si="424"/>
        <v>0</v>
      </c>
      <c r="T1046" s="182">
        <f t="shared" si="425"/>
        <v>0</v>
      </c>
      <c r="U1046" s="182">
        <f t="shared" si="426"/>
        <v>0</v>
      </c>
      <c r="V1046" s="14">
        <f t="shared" si="427"/>
        <v>155329.72</v>
      </c>
      <c r="W1046" s="14">
        <f t="shared" si="428"/>
        <v>-155329.72</v>
      </c>
      <c r="Y1046" s="14">
        <f t="shared" si="431"/>
        <v>36158.46</v>
      </c>
      <c r="Z1046" s="14">
        <f t="shared" si="432"/>
        <v>-36158.46</v>
      </c>
      <c r="AA1046" s="11">
        <f t="shared" si="434"/>
        <v>0.79</v>
      </c>
      <c r="AB1046" s="9">
        <f t="shared" si="437"/>
        <v>6305.7800000000007</v>
      </c>
      <c r="AD1046" s="13">
        <f>IF(AH1046&gt;AH1045,AD1045,IF(AD1045&lt;MiscData!$F$1,EOMONTH(AD1045,1),EOMONTH(AD1045,-11)))</f>
        <v>42369</v>
      </c>
      <c r="AE1046" s="7" t="str">
        <f t="shared" si="429"/>
        <v>20140101KUUM_489</v>
      </c>
      <c r="AF1046" s="12" t="str">
        <f t="shared" si="430"/>
        <v>20140101LS</v>
      </c>
      <c r="AG1046" s="31"/>
      <c r="AH1046">
        <f>IF(AH1045=MiscData!$AB$91,1,AH1045+1)</f>
        <v>77</v>
      </c>
      <c r="AI1046">
        <f>IF(AD1046&lt;=MiscData!$B$23,MiscData!$C$23,IF(AD1046&lt;=MiscData!$B$24,MiscData!$C$24,MiscData!$C$25))</f>
        <v>20140101</v>
      </c>
      <c r="AK1046" s="190" t="str">
        <f>VLOOKUP(AM1046,MiscData!$AB$4:$ACB$113,2,FALSE)</f>
        <v>KUUM_489</v>
      </c>
      <c r="AL1046" s="190" t="str">
        <f>VLOOKUP(AM1046,MiscData!$AB$4:$AE$115,4,FALSE)</f>
        <v>LS</v>
      </c>
      <c r="AM1046">
        <f>IF(AM1045=MiscData!$AB$91,1,AM1045+1)</f>
        <v>77</v>
      </c>
    </row>
    <row r="1047" spans="1:39">
      <c r="A1047" s="7">
        <f t="shared" si="433"/>
        <v>1046</v>
      </c>
      <c r="B1047" s="13" t="str">
        <f t="shared" si="415"/>
        <v>Dec 2015</v>
      </c>
      <c r="C1047" s="23" t="str">
        <f t="shared" si="416"/>
        <v>LS</v>
      </c>
      <c r="D1047" s="23" t="str">
        <f t="shared" si="417"/>
        <v>KUUM_490</v>
      </c>
      <c r="E1047" s="170">
        <f t="shared" si="418"/>
        <v>56</v>
      </c>
      <c r="F1047" s="185"/>
      <c r="G1047" s="170">
        <f t="shared" si="414"/>
        <v>0</v>
      </c>
      <c r="H1047" s="170">
        <v>0</v>
      </c>
      <c r="I1047" s="11">
        <f t="shared" si="419"/>
        <v>15.47</v>
      </c>
      <c r="J1047" s="11">
        <f t="shared" si="420"/>
        <v>1.9700000000000006</v>
      </c>
      <c r="K1047" s="416">
        <f t="shared" si="435"/>
        <v>866.32</v>
      </c>
      <c r="L1047" s="180"/>
      <c r="M1047" s="180"/>
      <c r="N1047" s="186">
        <f t="shared" si="413"/>
        <v>866.32</v>
      </c>
      <c r="O1047" s="29">
        <f t="shared" si="421"/>
        <v>0</v>
      </c>
      <c r="P1047" s="181">
        <f t="shared" si="436"/>
        <v>0</v>
      </c>
      <c r="Q1047" s="182">
        <f t="shared" si="422"/>
        <v>0</v>
      </c>
      <c r="R1047" s="182">
        <f t="shared" si="423"/>
        <v>0</v>
      </c>
      <c r="S1047" s="182">
        <f t="shared" si="424"/>
        <v>0</v>
      </c>
      <c r="T1047" s="182">
        <f t="shared" si="425"/>
        <v>0</v>
      </c>
      <c r="U1047" s="182">
        <f t="shared" si="426"/>
        <v>0</v>
      </c>
      <c r="V1047" s="14">
        <f t="shared" si="427"/>
        <v>866.32</v>
      </c>
      <c r="W1047" s="14">
        <f t="shared" si="428"/>
        <v>-866.32</v>
      </c>
      <c r="Y1047" s="14">
        <f t="shared" si="431"/>
        <v>110.32</v>
      </c>
      <c r="Z1047" s="14">
        <f t="shared" si="432"/>
        <v>-110.32</v>
      </c>
      <c r="AA1047" s="11">
        <f t="shared" si="434"/>
        <v>0.66</v>
      </c>
      <c r="AB1047" s="9">
        <f t="shared" si="437"/>
        <v>36.96</v>
      </c>
      <c r="AD1047" s="13">
        <f>IF(AH1047&gt;AH1046,AD1046,IF(AD1046&lt;MiscData!$F$1,EOMONTH(AD1046,1),EOMONTH(AD1046,-11)))</f>
        <v>42369</v>
      </c>
      <c r="AE1047" s="7" t="str">
        <f t="shared" si="429"/>
        <v>20140101KUUM_490</v>
      </c>
      <c r="AF1047" s="12" t="str">
        <f t="shared" si="430"/>
        <v>20140101LS</v>
      </c>
      <c r="AG1047" s="31"/>
      <c r="AH1047">
        <f>IF(AH1046=MiscData!$AB$91,1,AH1046+1)</f>
        <v>78</v>
      </c>
      <c r="AI1047">
        <f>IF(AD1047&lt;=MiscData!$B$23,MiscData!$C$23,IF(AD1047&lt;=MiscData!$B$24,MiscData!$C$24,MiscData!$C$25))</f>
        <v>20140101</v>
      </c>
      <c r="AK1047" s="190" t="str">
        <f>VLOOKUP(AM1047,MiscData!$AB$4:$ACB$113,2,FALSE)</f>
        <v>KUUM_490</v>
      </c>
      <c r="AL1047" s="190" t="str">
        <f>VLOOKUP(AM1047,MiscData!$AB$4:$AE$115,4,FALSE)</f>
        <v>LS</v>
      </c>
      <c r="AM1047">
        <f>IF(AM1046=MiscData!$AB$91,1,AM1046+1)</f>
        <v>78</v>
      </c>
    </row>
    <row r="1048" spans="1:39">
      <c r="A1048" s="7">
        <f t="shared" si="433"/>
        <v>1047</v>
      </c>
      <c r="B1048" s="13" t="str">
        <f t="shared" si="415"/>
        <v>Dec 2015</v>
      </c>
      <c r="C1048" s="23" t="str">
        <f t="shared" si="416"/>
        <v>LS</v>
      </c>
      <c r="D1048" s="23" t="str">
        <f t="shared" si="417"/>
        <v>KUUM_491</v>
      </c>
      <c r="E1048" s="170">
        <f t="shared" si="418"/>
        <v>286</v>
      </c>
      <c r="F1048" s="185"/>
      <c r="G1048" s="170">
        <f t="shared" si="414"/>
        <v>0</v>
      </c>
      <c r="H1048" s="170">
        <v>0</v>
      </c>
      <c r="I1048" s="11">
        <f t="shared" si="419"/>
        <v>21.930000000000003</v>
      </c>
      <c r="J1048" s="11">
        <f t="shared" si="420"/>
        <v>4.2900000000000027</v>
      </c>
      <c r="K1048" s="416">
        <f t="shared" si="435"/>
        <v>6271.98</v>
      </c>
      <c r="L1048" s="180"/>
      <c r="M1048" s="180"/>
      <c r="N1048" s="186">
        <f t="shared" si="413"/>
        <v>6271.98</v>
      </c>
      <c r="O1048" s="29">
        <f t="shared" si="421"/>
        <v>0</v>
      </c>
      <c r="P1048" s="181">
        <f t="shared" si="436"/>
        <v>0</v>
      </c>
      <c r="Q1048" s="182">
        <f t="shared" si="422"/>
        <v>0</v>
      </c>
      <c r="R1048" s="182">
        <f t="shared" si="423"/>
        <v>0</v>
      </c>
      <c r="S1048" s="182">
        <f t="shared" si="424"/>
        <v>0</v>
      </c>
      <c r="T1048" s="182">
        <f t="shared" si="425"/>
        <v>0</v>
      </c>
      <c r="U1048" s="182">
        <f t="shared" si="426"/>
        <v>0</v>
      </c>
      <c r="V1048" s="14">
        <f t="shared" si="427"/>
        <v>6271.98</v>
      </c>
      <c r="W1048" s="14">
        <f t="shared" si="428"/>
        <v>-6271.98</v>
      </c>
      <c r="Y1048" s="14">
        <f t="shared" si="431"/>
        <v>1226.94</v>
      </c>
      <c r="Z1048" s="14">
        <f t="shared" si="432"/>
        <v>-1226.94</v>
      </c>
      <c r="AA1048" s="11">
        <f t="shared" si="434"/>
        <v>0.84</v>
      </c>
      <c r="AB1048" s="9">
        <f t="shared" si="437"/>
        <v>240.23999999999998</v>
      </c>
      <c r="AD1048" s="13">
        <f>IF(AH1048&gt;AH1047,AD1047,IF(AD1047&lt;MiscData!$F$1,EOMONTH(AD1047,1),EOMONTH(AD1047,-11)))</f>
        <v>42369</v>
      </c>
      <c r="AE1048" s="7" t="str">
        <f t="shared" si="429"/>
        <v>20140101KUUM_491</v>
      </c>
      <c r="AF1048" s="12" t="str">
        <f t="shared" si="430"/>
        <v>20140101LS</v>
      </c>
      <c r="AG1048" s="31"/>
      <c r="AH1048">
        <f>IF(AH1047=MiscData!$AB$91,1,AH1047+1)</f>
        <v>79</v>
      </c>
      <c r="AI1048">
        <f>IF(AD1048&lt;=MiscData!$B$23,MiscData!$C$23,IF(AD1048&lt;=MiscData!$B$24,MiscData!$C$24,MiscData!$C$25))</f>
        <v>20140101</v>
      </c>
      <c r="AK1048" s="190" t="str">
        <f>VLOOKUP(AM1048,MiscData!$AB$4:$ACB$113,2,FALSE)</f>
        <v>KUUM_491</v>
      </c>
      <c r="AL1048" s="190" t="str">
        <f>VLOOKUP(AM1048,MiscData!$AB$4:$AE$115,4,FALSE)</f>
        <v>LS</v>
      </c>
      <c r="AM1048">
        <f>IF(AM1047=MiscData!$AB$91,1,AM1047+1)</f>
        <v>79</v>
      </c>
    </row>
    <row r="1049" spans="1:39">
      <c r="A1049" s="7">
        <f t="shared" si="433"/>
        <v>1048</v>
      </c>
      <c r="B1049" s="13" t="str">
        <f t="shared" si="415"/>
        <v>Dec 2015</v>
      </c>
      <c r="C1049" s="23" t="str">
        <f t="shared" si="416"/>
        <v>LS</v>
      </c>
      <c r="D1049" s="23" t="str">
        <f t="shared" si="417"/>
        <v>KUUM_492</v>
      </c>
      <c r="E1049" s="170">
        <f t="shared" si="418"/>
        <v>2</v>
      </c>
      <c r="F1049" s="185"/>
      <c r="G1049" s="170">
        <f t="shared" si="414"/>
        <v>0</v>
      </c>
      <c r="H1049" s="170">
        <v>0</v>
      </c>
      <c r="I1049" s="11">
        <f t="shared" si="419"/>
        <v>15.370000000000001</v>
      </c>
      <c r="J1049" s="11">
        <f t="shared" si="420"/>
        <v>0.80000000000000071</v>
      </c>
      <c r="K1049" s="416">
        <f t="shared" si="435"/>
        <v>30.74</v>
      </c>
      <c r="L1049" s="180"/>
      <c r="M1049" s="180"/>
      <c r="N1049" s="186">
        <f t="shared" si="413"/>
        <v>30.74</v>
      </c>
      <c r="O1049" s="29">
        <f t="shared" si="421"/>
        <v>0</v>
      </c>
      <c r="P1049" s="181">
        <f t="shared" si="436"/>
        <v>0</v>
      </c>
      <c r="Q1049" s="182">
        <f t="shared" si="422"/>
        <v>0</v>
      </c>
      <c r="R1049" s="182">
        <f t="shared" si="423"/>
        <v>0</v>
      </c>
      <c r="S1049" s="182">
        <f t="shared" si="424"/>
        <v>0</v>
      </c>
      <c r="T1049" s="182">
        <f t="shared" si="425"/>
        <v>0</v>
      </c>
      <c r="U1049" s="182">
        <f t="shared" si="426"/>
        <v>0</v>
      </c>
      <c r="V1049" s="14">
        <f t="shared" si="427"/>
        <v>30.74</v>
      </c>
      <c r="W1049" s="14">
        <f t="shared" si="428"/>
        <v>-30.74</v>
      </c>
      <c r="Y1049" s="14">
        <f t="shared" si="431"/>
        <v>1.6</v>
      </c>
      <c r="Z1049" s="14">
        <f t="shared" si="432"/>
        <v>-1.6</v>
      </c>
      <c r="AA1049" s="11">
        <f t="shared" si="434"/>
        <v>0.43</v>
      </c>
      <c r="AB1049" s="9">
        <f t="shared" si="437"/>
        <v>0.86</v>
      </c>
      <c r="AD1049" s="13">
        <f>IF(AH1049&gt;AH1048,AD1048,IF(AD1048&lt;MiscData!$F$1,EOMONTH(AD1048,1),EOMONTH(AD1048,-11)))</f>
        <v>42369</v>
      </c>
      <c r="AE1049" s="7" t="str">
        <f t="shared" si="429"/>
        <v>20140101KUUM_492</v>
      </c>
      <c r="AF1049" s="12" t="str">
        <f t="shared" si="430"/>
        <v>20140101LS</v>
      </c>
      <c r="AG1049" s="31"/>
      <c r="AH1049">
        <f>IF(AH1048=MiscData!$AB$91,1,AH1048+1)</f>
        <v>80</v>
      </c>
      <c r="AI1049">
        <f>IF(AD1049&lt;=MiscData!$B$23,MiscData!$C$23,IF(AD1049&lt;=MiscData!$B$24,MiscData!$C$24,MiscData!$C$25))</f>
        <v>20140101</v>
      </c>
      <c r="AK1049" s="190" t="str">
        <f>VLOOKUP(AM1049,MiscData!$AB$4:$ACB$113,2,FALSE)</f>
        <v>KUUM_492</v>
      </c>
      <c r="AL1049" s="190" t="str">
        <f>VLOOKUP(AM1049,MiscData!$AB$4:$AE$115,4,FALSE)</f>
        <v>LS</v>
      </c>
      <c r="AM1049">
        <f>IF(AM1048=MiscData!$AB$91,1,AM1048+1)</f>
        <v>80</v>
      </c>
    </row>
    <row r="1050" spans="1:39">
      <c r="A1050" s="7">
        <f t="shared" si="433"/>
        <v>1049</v>
      </c>
      <c r="B1050" s="13" t="str">
        <f t="shared" si="415"/>
        <v>Dec 2015</v>
      </c>
      <c r="C1050" s="23" t="str">
        <f t="shared" si="416"/>
        <v>LS</v>
      </c>
      <c r="D1050" s="23" t="str">
        <f t="shared" si="417"/>
        <v>KUUM_493</v>
      </c>
      <c r="E1050" s="170">
        <f t="shared" si="418"/>
        <v>45</v>
      </c>
      <c r="F1050" s="185"/>
      <c r="G1050" s="170">
        <f t="shared" si="414"/>
        <v>0</v>
      </c>
      <c r="H1050" s="170">
        <v>0</v>
      </c>
      <c r="I1050" s="11">
        <f t="shared" si="419"/>
        <v>45.7</v>
      </c>
      <c r="J1050" s="11">
        <f t="shared" si="420"/>
        <v>10.409999999999997</v>
      </c>
      <c r="K1050" s="416">
        <f t="shared" si="435"/>
        <v>2056.5</v>
      </c>
      <c r="L1050" s="180"/>
      <c r="M1050" s="180"/>
      <c r="N1050" s="186">
        <f t="shared" si="413"/>
        <v>2056.5</v>
      </c>
      <c r="O1050" s="29">
        <f t="shared" si="421"/>
        <v>0</v>
      </c>
      <c r="P1050" s="181">
        <f t="shared" si="436"/>
        <v>0</v>
      </c>
      <c r="Q1050" s="182">
        <f t="shared" si="422"/>
        <v>0</v>
      </c>
      <c r="R1050" s="182">
        <f t="shared" si="423"/>
        <v>0</v>
      </c>
      <c r="S1050" s="182">
        <f t="shared" si="424"/>
        <v>0</v>
      </c>
      <c r="T1050" s="182">
        <f t="shared" si="425"/>
        <v>0</v>
      </c>
      <c r="U1050" s="182">
        <f t="shared" si="426"/>
        <v>0</v>
      </c>
      <c r="V1050" s="14">
        <f t="shared" si="427"/>
        <v>2056.5</v>
      </c>
      <c r="W1050" s="14">
        <f t="shared" si="428"/>
        <v>-2056.5</v>
      </c>
      <c r="Y1050" s="14">
        <f t="shared" si="431"/>
        <v>468.45</v>
      </c>
      <c r="Z1050" s="14">
        <f t="shared" si="432"/>
        <v>-468.45</v>
      </c>
      <c r="AA1050" s="11">
        <f t="shared" si="434"/>
        <v>1.7</v>
      </c>
      <c r="AB1050" s="9">
        <f t="shared" si="437"/>
        <v>76.5</v>
      </c>
      <c r="AD1050" s="13">
        <f>IF(AH1050&gt;AH1049,AD1049,IF(AD1049&lt;MiscData!$F$1,EOMONTH(AD1049,1),EOMONTH(AD1049,-11)))</f>
        <v>42369</v>
      </c>
      <c r="AE1050" s="7" t="str">
        <f t="shared" si="429"/>
        <v>20140101KUUM_493</v>
      </c>
      <c r="AF1050" s="12" t="str">
        <f t="shared" si="430"/>
        <v>20140101LS</v>
      </c>
      <c r="AG1050" s="31"/>
      <c r="AH1050">
        <f>IF(AH1049=MiscData!$AB$91,1,AH1049+1)</f>
        <v>81</v>
      </c>
      <c r="AI1050">
        <f>IF(AD1050&lt;=MiscData!$B$23,MiscData!$C$23,IF(AD1050&lt;=MiscData!$B$24,MiscData!$C$24,MiscData!$C$25))</f>
        <v>20140101</v>
      </c>
      <c r="AK1050" s="190" t="str">
        <f>VLOOKUP(AM1050,MiscData!$AB$4:$ACB$113,2,FALSE)</f>
        <v>KUUM_493</v>
      </c>
      <c r="AL1050" s="190" t="str">
        <f>VLOOKUP(AM1050,MiscData!$AB$4:$AE$115,4,FALSE)</f>
        <v>LS</v>
      </c>
      <c r="AM1050">
        <f>IF(AM1049=MiscData!$AB$91,1,AM1049+1)</f>
        <v>81</v>
      </c>
    </row>
    <row r="1051" spans="1:39">
      <c r="A1051" s="7">
        <f t="shared" si="433"/>
        <v>1050</v>
      </c>
      <c r="B1051" s="13" t="str">
        <f t="shared" si="415"/>
        <v>Dec 2015</v>
      </c>
      <c r="C1051" s="23" t="str">
        <f t="shared" si="416"/>
        <v>LS</v>
      </c>
      <c r="D1051" s="23" t="str">
        <f t="shared" si="417"/>
        <v>KUUM_494</v>
      </c>
      <c r="E1051" s="170">
        <f t="shared" si="418"/>
        <v>174</v>
      </c>
      <c r="F1051" s="185"/>
      <c r="G1051" s="170">
        <f t="shared" si="414"/>
        <v>0</v>
      </c>
      <c r="H1051" s="170">
        <v>0</v>
      </c>
      <c r="I1051" s="11">
        <f t="shared" si="419"/>
        <v>28.37</v>
      </c>
      <c r="J1051" s="11">
        <f t="shared" si="420"/>
        <v>1.9699999999999989</v>
      </c>
      <c r="K1051" s="416">
        <f t="shared" si="435"/>
        <v>4936.38</v>
      </c>
      <c r="L1051" s="180"/>
      <c r="M1051" s="180"/>
      <c r="N1051" s="186">
        <f t="shared" si="413"/>
        <v>4936.38</v>
      </c>
      <c r="O1051" s="29">
        <f t="shared" si="421"/>
        <v>0</v>
      </c>
      <c r="P1051" s="181">
        <f t="shared" si="436"/>
        <v>0</v>
      </c>
      <c r="Q1051" s="182">
        <f t="shared" si="422"/>
        <v>0</v>
      </c>
      <c r="R1051" s="182">
        <f t="shared" si="423"/>
        <v>0</v>
      </c>
      <c r="S1051" s="182">
        <f t="shared" si="424"/>
        <v>0</v>
      </c>
      <c r="T1051" s="182">
        <f t="shared" si="425"/>
        <v>0</v>
      </c>
      <c r="U1051" s="182">
        <f t="shared" si="426"/>
        <v>0</v>
      </c>
      <c r="V1051" s="14">
        <f t="shared" si="427"/>
        <v>4936.38</v>
      </c>
      <c r="W1051" s="14">
        <f t="shared" si="428"/>
        <v>-4936.38</v>
      </c>
      <c r="Y1051" s="14">
        <f t="shared" si="431"/>
        <v>342.78</v>
      </c>
      <c r="Z1051" s="14">
        <f t="shared" si="432"/>
        <v>-342.78</v>
      </c>
      <c r="AA1051" s="11">
        <f t="shared" si="434"/>
        <v>0.66</v>
      </c>
      <c r="AB1051" s="9">
        <f t="shared" si="437"/>
        <v>114.84</v>
      </c>
      <c r="AD1051" s="13">
        <f>IF(AH1051&gt;AH1050,AD1050,IF(AD1050&lt;MiscData!$F$1,EOMONTH(AD1050,1),EOMONTH(AD1050,-11)))</f>
        <v>42369</v>
      </c>
      <c r="AE1051" s="7" t="str">
        <f t="shared" si="429"/>
        <v>20140101KUUM_494</v>
      </c>
      <c r="AF1051" s="12" t="str">
        <f t="shared" si="430"/>
        <v>20140101LS</v>
      </c>
      <c r="AG1051" s="31"/>
      <c r="AH1051">
        <f>IF(AH1050=MiscData!$AB$91,1,AH1050+1)</f>
        <v>82</v>
      </c>
      <c r="AI1051">
        <f>IF(AD1051&lt;=MiscData!$B$23,MiscData!$C$23,IF(AD1051&lt;=MiscData!$B$24,MiscData!$C$24,MiscData!$C$25))</f>
        <v>20140101</v>
      </c>
      <c r="AK1051" s="190" t="str">
        <f>VLOOKUP(AM1051,MiscData!$AB$4:$ACB$113,2,FALSE)</f>
        <v>KUUM_494</v>
      </c>
      <c r="AL1051" s="190" t="str">
        <f>VLOOKUP(AM1051,MiscData!$AB$4:$AE$115,4,FALSE)</f>
        <v>LS</v>
      </c>
      <c r="AM1051">
        <f>IF(AM1050=MiscData!$AB$91,1,AM1050+1)</f>
        <v>82</v>
      </c>
    </row>
    <row r="1052" spans="1:39">
      <c r="A1052" s="7">
        <f t="shared" si="433"/>
        <v>1051</v>
      </c>
      <c r="B1052" s="13" t="str">
        <f t="shared" si="415"/>
        <v>Dec 2015</v>
      </c>
      <c r="C1052" s="23" t="str">
        <f t="shared" si="416"/>
        <v>LS</v>
      </c>
      <c r="D1052" s="23" t="str">
        <f t="shared" si="417"/>
        <v>KUUM_495</v>
      </c>
      <c r="E1052" s="170">
        <f t="shared" si="418"/>
        <v>593</v>
      </c>
      <c r="F1052" s="185"/>
      <c r="G1052" s="170">
        <f t="shared" si="414"/>
        <v>0</v>
      </c>
      <c r="H1052" s="170">
        <v>0</v>
      </c>
      <c r="I1052" s="11">
        <f t="shared" si="419"/>
        <v>34.830000000000005</v>
      </c>
      <c r="J1052" s="11">
        <f t="shared" si="420"/>
        <v>4.2899999999999991</v>
      </c>
      <c r="K1052" s="416">
        <f t="shared" si="435"/>
        <v>20654.189999999999</v>
      </c>
      <c r="L1052" s="180"/>
      <c r="M1052" s="180"/>
      <c r="N1052" s="186">
        <f t="shared" si="413"/>
        <v>20654.189999999999</v>
      </c>
      <c r="O1052" s="29">
        <f t="shared" si="421"/>
        <v>0</v>
      </c>
      <c r="P1052" s="181">
        <f t="shared" si="436"/>
        <v>0</v>
      </c>
      <c r="Q1052" s="182">
        <f t="shared" si="422"/>
        <v>0</v>
      </c>
      <c r="R1052" s="182">
        <f t="shared" si="423"/>
        <v>0</v>
      </c>
      <c r="S1052" s="182">
        <f t="shared" si="424"/>
        <v>0</v>
      </c>
      <c r="T1052" s="182">
        <f t="shared" si="425"/>
        <v>0</v>
      </c>
      <c r="U1052" s="182">
        <f t="shared" si="426"/>
        <v>0</v>
      </c>
      <c r="V1052" s="14">
        <f t="shared" si="427"/>
        <v>20654.189999999999</v>
      </c>
      <c r="W1052" s="14">
        <f t="shared" si="428"/>
        <v>-20654.189999999999</v>
      </c>
      <c r="Y1052" s="14">
        <f t="shared" si="431"/>
        <v>2543.9699999999998</v>
      </c>
      <c r="Z1052" s="14">
        <f t="shared" si="432"/>
        <v>-2543.9699999999998</v>
      </c>
      <c r="AA1052" s="11">
        <f t="shared" si="434"/>
        <v>0.84</v>
      </c>
      <c r="AB1052" s="9">
        <f t="shared" si="437"/>
        <v>498.12</v>
      </c>
      <c r="AD1052" s="13">
        <f>IF(AH1052&gt;AH1051,AD1051,IF(AD1051&lt;MiscData!$F$1,EOMONTH(AD1051,1),EOMONTH(AD1051,-11)))</f>
        <v>42369</v>
      </c>
      <c r="AE1052" s="7" t="str">
        <f t="shared" si="429"/>
        <v>20140101KUUM_495</v>
      </c>
      <c r="AF1052" s="12" t="str">
        <f t="shared" si="430"/>
        <v>20140101LS</v>
      </c>
      <c r="AG1052" s="31"/>
      <c r="AH1052">
        <f>IF(AH1051=MiscData!$AB$91,1,AH1051+1)</f>
        <v>83</v>
      </c>
      <c r="AI1052">
        <f>IF(AD1052&lt;=MiscData!$B$23,MiscData!$C$23,IF(AD1052&lt;=MiscData!$B$24,MiscData!$C$24,MiscData!$C$25))</f>
        <v>20140101</v>
      </c>
      <c r="AK1052" s="190" t="str">
        <f>VLOOKUP(AM1052,MiscData!$AB$4:$ACB$113,2,FALSE)</f>
        <v>KUUM_495</v>
      </c>
      <c r="AL1052" s="190" t="str">
        <f>VLOOKUP(AM1052,MiscData!$AB$4:$AE$115,4,FALSE)</f>
        <v>LS</v>
      </c>
      <c r="AM1052">
        <f>IF(AM1051=MiscData!$AB$91,1,AM1051+1)</f>
        <v>83</v>
      </c>
    </row>
    <row r="1053" spans="1:39">
      <c r="A1053" s="7">
        <f t="shared" si="433"/>
        <v>1052</v>
      </c>
      <c r="B1053" s="13" t="str">
        <f t="shared" si="415"/>
        <v>Dec 2015</v>
      </c>
      <c r="C1053" s="23" t="str">
        <f t="shared" si="416"/>
        <v>LS</v>
      </c>
      <c r="D1053" s="23" t="str">
        <f t="shared" si="417"/>
        <v>KUUM_496</v>
      </c>
      <c r="E1053" s="170">
        <f t="shared" si="418"/>
        <v>168</v>
      </c>
      <c r="F1053" s="185"/>
      <c r="G1053" s="170">
        <f t="shared" si="414"/>
        <v>0</v>
      </c>
      <c r="H1053" s="170">
        <v>0</v>
      </c>
      <c r="I1053" s="11">
        <f t="shared" si="419"/>
        <v>58.59</v>
      </c>
      <c r="J1053" s="11">
        <f t="shared" si="420"/>
        <v>10.409999999999997</v>
      </c>
      <c r="K1053" s="416">
        <f t="shared" si="435"/>
        <v>9843.1200000000008</v>
      </c>
      <c r="L1053" s="180"/>
      <c r="M1053" s="180"/>
      <c r="N1053" s="186">
        <f t="shared" si="413"/>
        <v>9843.1200000000008</v>
      </c>
      <c r="O1053" s="29">
        <f t="shared" si="421"/>
        <v>0</v>
      </c>
      <c r="P1053" s="181">
        <f t="shared" si="436"/>
        <v>0</v>
      </c>
      <c r="Q1053" s="182">
        <f t="shared" si="422"/>
        <v>0</v>
      </c>
      <c r="R1053" s="182">
        <f t="shared" si="423"/>
        <v>0</v>
      </c>
      <c r="S1053" s="182">
        <f t="shared" si="424"/>
        <v>0</v>
      </c>
      <c r="T1053" s="182">
        <f t="shared" si="425"/>
        <v>0</v>
      </c>
      <c r="U1053" s="182">
        <f t="shared" si="426"/>
        <v>0</v>
      </c>
      <c r="V1053" s="14">
        <f t="shared" si="427"/>
        <v>9843.1200000000008</v>
      </c>
      <c r="W1053" s="14">
        <f t="shared" si="428"/>
        <v>-9843.1200000000008</v>
      </c>
      <c r="Y1053" s="14">
        <f t="shared" si="431"/>
        <v>1748.88</v>
      </c>
      <c r="Z1053" s="14">
        <f t="shared" si="432"/>
        <v>-1748.88</v>
      </c>
      <c r="AA1053" s="11">
        <f t="shared" si="434"/>
        <v>1.7</v>
      </c>
      <c r="AB1053" s="9">
        <f t="shared" si="437"/>
        <v>285.59999999999997</v>
      </c>
      <c r="AD1053" s="13">
        <f>IF(AH1053&gt;AH1052,AD1052,IF(AD1052&lt;MiscData!$F$1,EOMONTH(AD1052,1),EOMONTH(AD1052,-11)))</f>
        <v>42369</v>
      </c>
      <c r="AE1053" s="7" t="str">
        <f t="shared" si="429"/>
        <v>20140101KUUM_496</v>
      </c>
      <c r="AF1053" s="12" t="str">
        <f t="shared" si="430"/>
        <v>20140101LS</v>
      </c>
      <c r="AG1053" s="31"/>
      <c r="AH1053">
        <f>IF(AH1052=MiscData!$AB$91,1,AH1052+1)</f>
        <v>84</v>
      </c>
      <c r="AI1053">
        <f>IF(AD1053&lt;=MiscData!$B$23,MiscData!$C$23,IF(AD1053&lt;=MiscData!$B$24,MiscData!$C$24,MiscData!$C$25))</f>
        <v>20140101</v>
      </c>
      <c r="AK1053" s="190" t="str">
        <f>VLOOKUP(AM1053,MiscData!$AB$4:$ACB$113,2,FALSE)</f>
        <v>KUUM_496</v>
      </c>
      <c r="AL1053" s="190" t="str">
        <f>VLOOKUP(AM1053,MiscData!$AB$4:$AE$115,4,FALSE)</f>
        <v>LS</v>
      </c>
      <c r="AM1053">
        <f>IF(AM1052=MiscData!$AB$91,1,AM1052+1)</f>
        <v>84</v>
      </c>
    </row>
    <row r="1054" spans="1:39">
      <c r="A1054" s="7">
        <f t="shared" si="433"/>
        <v>1053</v>
      </c>
      <c r="B1054" s="13" t="str">
        <f t="shared" si="415"/>
        <v>Dec 2015</v>
      </c>
      <c r="C1054" s="23" t="str">
        <f t="shared" si="416"/>
        <v>LS</v>
      </c>
      <c r="D1054" s="23" t="str">
        <f t="shared" si="417"/>
        <v>KUUM_497</v>
      </c>
      <c r="E1054" s="170">
        <f t="shared" si="418"/>
        <v>8</v>
      </c>
      <c r="F1054" s="185"/>
      <c r="G1054" s="170">
        <f t="shared" si="414"/>
        <v>0</v>
      </c>
      <c r="H1054" s="170">
        <v>0</v>
      </c>
      <c r="I1054" s="11">
        <f t="shared" si="419"/>
        <v>15.35</v>
      </c>
      <c r="J1054" s="11">
        <f t="shared" si="420"/>
        <v>1.1300000000000008</v>
      </c>
      <c r="K1054" s="416">
        <f t="shared" si="435"/>
        <v>122.8</v>
      </c>
      <c r="L1054" s="180"/>
      <c r="M1054" s="180"/>
      <c r="N1054" s="186">
        <f t="shared" si="413"/>
        <v>122.8</v>
      </c>
      <c r="O1054" s="29">
        <f t="shared" si="421"/>
        <v>0</v>
      </c>
      <c r="P1054" s="181">
        <f t="shared" si="436"/>
        <v>0</v>
      </c>
      <c r="Q1054" s="182">
        <f t="shared" si="422"/>
        <v>0</v>
      </c>
      <c r="R1054" s="182">
        <f t="shared" si="423"/>
        <v>0</v>
      </c>
      <c r="S1054" s="182">
        <f t="shared" si="424"/>
        <v>0</v>
      </c>
      <c r="T1054" s="182">
        <f t="shared" si="425"/>
        <v>0</v>
      </c>
      <c r="U1054" s="182">
        <f t="shared" si="426"/>
        <v>0</v>
      </c>
      <c r="V1054" s="14">
        <f t="shared" si="427"/>
        <v>122.8</v>
      </c>
      <c r="W1054" s="14">
        <f t="shared" si="428"/>
        <v>-122.8</v>
      </c>
      <c r="Y1054" s="14">
        <f t="shared" si="431"/>
        <v>9.0399999999999991</v>
      </c>
      <c r="Z1054" s="14">
        <f t="shared" si="432"/>
        <v>-9.0399999999999991</v>
      </c>
      <c r="AA1054" s="11">
        <f t="shared" si="434"/>
        <v>0.34</v>
      </c>
      <c r="AB1054" s="9">
        <f t="shared" si="437"/>
        <v>2.72</v>
      </c>
      <c r="AD1054" s="13">
        <f>IF(AH1054&gt;AH1053,AD1053,IF(AD1053&lt;MiscData!$F$1,EOMONTH(AD1053,1),EOMONTH(AD1053,-11)))</f>
        <v>42369</v>
      </c>
      <c r="AE1054" s="7" t="str">
        <f t="shared" si="429"/>
        <v>20140101KUUM_497</v>
      </c>
      <c r="AF1054" s="12" t="str">
        <f t="shared" si="430"/>
        <v>20140101LS</v>
      </c>
      <c r="AG1054" s="31"/>
      <c r="AH1054">
        <f>IF(AH1053=MiscData!$AB$91,1,AH1053+1)</f>
        <v>85</v>
      </c>
      <c r="AI1054">
        <f>IF(AD1054&lt;=MiscData!$B$23,MiscData!$C$23,IF(AD1054&lt;=MiscData!$B$24,MiscData!$C$24,MiscData!$C$25))</f>
        <v>20140101</v>
      </c>
      <c r="AK1054" s="190" t="str">
        <f>VLOOKUP(AM1054,MiscData!$AB$4:$ACB$113,2,FALSE)</f>
        <v>KUUM_497</v>
      </c>
      <c r="AL1054" s="190" t="str">
        <f>VLOOKUP(AM1054,MiscData!$AB$4:$AE$115,4,FALSE)</f>
        <v>LS</v>
      </c>
      <c r="AM1054">
        <f>IF(AM1053=MiscData!$AB$91,1,AM1053+1)</f>
        <v>85</v>
      </c>
    </row>
    <row r="1055" spans="1:39">
      <c r="A1055" s="7">
        <f t="shared" si="433"/>
        <v>1054</v>
      </c>
      <c r="B1055" s="13" t="str">
        <f t="shared" si="415"/>
        <v>Dec 2015</v>
      </c>
      <c r="C1055" s="23" t="str">
        <f t="shared" si="416"/>
        <v>LS</v>
      </c>
      <c r="D1055" s="23" t="str">
        <f t="shared" si="417"/>
        <v>KUUM_498</v>
      </c>
      <c r="E1055" s="170">
        <f t="shared" si="418"/>
        <v>20</v>
      </c>
      <c r="F1055" s="185"/>
      <c r="G1055" s="170">
        <f t="shared" si="414"/>
        <v>0</v>
      </c>
      <c r="H1055" s="170">
        <v>0</v>
      </c>
      <c r="I1055" s="11">
        <f t="shared" si="419"/>
        <v>17.72</v>
      </c>
      <c r="J1055" s="11">
        <f t="shared" si="420"/>
        <v>2.33</v>
      </c>
      <c r="K1055" s="416">
        <f t="shared" si="435"/>
        <v>354.4</v>
      </c>
      <c r="L1055" s="180"/>
      <c r="M1055" s="180"/>
      <c r="N1055" s="186">
        <f t="shared" si="413"/>
        <v>354.4</v>
      </c>
      <c r="O1055" s="29">
        <f t="shared" si="421"/>
        <v>0</v>
      </c>
      <c r="P1055" s="181">
        <f t="shared" si="436"/>
        <v>0</v>
      </c>
      <c r="Q1055" s="182">
        <f t="shared" si="422"/>
        <v>0</v>
      </c>
      <c r="R1055" s="182">
        <f t="shared" si="423"/>
        <v>0</v>
      </c>
      <c r="S1055" s="182">
        <f t="shared" si="424"/>
        <v>0</v>
      </c>
      <c r="T1055" s="182">
        <f t="shared" si="425"/>
        <v>0</v>
      </c>
      <c r="U1055" s="182">
        <f t="shared" si="426"/>
        <v>0</v>
      </c>
      <c r="V1055" s="14">
        <f t="shared" si="427"/>
        <v>354.4</v>
      </c>
      <c r="W1055" s="14">
        <f t="shared" si="428"/>
        <v>-354.4</v>
      </c>
      <c r="Y1055" s="14">
        <f t="shared" si="431"/>
        <v>46.6</v>
      </c>
      <c r="Z1055" s="14">
        <f t="shared" si="432"/>
        <v>-46.6</v>
      </c>
      <c r="AA1055" s="11">
        <f t="shared" si="434"/>
        <v>0.57999999999999996</v>
      </c>
      <c r="AB1055" s="9">
        <f t="shared" si="437"/>
        <v>11.6</v>
      </c>
      <c r="AD1055" s="13">
        <f>IF(AH1055&gt;AH1054,AD1054,IF(AD1054&lt;MiscData!$F$1,EOMONTH(AD1054,1),EOMONTH(AD1054,-11)))</f>
        <v>42369</v>
      </c>
      <c r="AE1055" s="7" t="str">
        <f t="shared" si="429"/>
        <v>20140101KUUM_498</v>
      </c>
      <c r="AF1055" s="12" t="str">
        <f t="shared" si="430"/>
        <v>20140101LS</v>
      </c>
      <c r="AG1055" s="31"/>
      <c r="AH1055">
        <f>IF(AH1054=MiscData!$AB$91,1,AH1054+1)</f>
        <v>86</v>
      </c>
      <c r="AI1055">
        <f>IF(AD1055&lt;=MiscData!$B$23,MiscData!$C$23,IF(AD1055&lt;=MiscData!$B$24,MiscData!$C$24,MiscData!$C$25))</f>
        <v>20140101</v>
      </c>
      <c r="AK1055" s="190" t="str">
        <f>VLOOKUP(AM1055,MiscData!$AB$4:$ACB$113,2,FALSE)</f>
        <v>KUUM_498</v>
      </c>
      <c r="AL1055" s="190" t="str">
        <f>VLOOKUP(AM1055,MiscData!$AB$4:$AE$115,4,FALSE)</f>
        <v>LS</v>
      </c>
      <c r="AM1055">
        <f>IF(AM1054=MiscData!$AB$91,1,AM1054+1)</f>
        <v>86</v>
      </c>
    </row>
    <row r="1056" spans="1:39">
      <c r="A1056" s="7">
        <f t="shared" si="433"/>
        <v>1055</v>
      </c>
      <c r="B1056" s="13" t="str">
        <f t="shared" si="415"/>
        <v>Dec 2015</v>
      </c>
      <c r="C1056" s="23" t="str">
        <f t="shared" si="416"/>
        <v>LS</v>
      </c>
      <c r="D1056" s="23" t="str">
        <f t="shared" si="417"/>
        <v>KUUM_499</v>
      </c>
      <c r="E1056" s="170">
        <f t="shared" si="418"/>
        <v>23</v>
      </c>
      <c r="F1056" s="185"/>
      <c r="G1056" s="170">
        <f t="shared" si="414"/>
        <v>0</v>
      </c>
      <c r="H1056" s="170">
        <v>0</v>
      </c>
      <c r="I1056" s="11">
        <f t="shared" si="419"/>
        <v>21.490000000000002</v>
      </c>
      <c r="J1056" s="11">
        <f t="shared" si="420"/>
        <v>4.5300000000000011</v>
      </c>
      <c r="K1056" s="416">
        <f t="shared" si="435"/>
        <v>494.27</v>
      </c>
      <c r="L1056" s="180"/>
      <c r="M1056" s="180"/>
      <c r="N1056" s="186">
        <f t="shared" si="413"/>
        <v>494.27</v>
      </c>
      <c r="O1056" s="29">
        <f t="shared" si="421"/>
        <v>0</v>
      </c>
      <c r="P1056" s="181">
        <f t="shared" si="436"/>
        <v>0</v>
      </c>
      <c r="Q1056" s="182">
        <f t="shared" si="422"/>
        <v>0</v>
      </c>
      <c r="R1056" s="182">
        <f t="shared" si="423"/>
        <v>0</v>
      </c>
      <c r="S1056" s="182">
        <f t="shared" si="424"/>
        <v>0</v>
      </c>
      <c r="T1056" s="182">
        <f t="shared" si="425"/>
        <v>0</v>
      </c>
      <c r="U1056" s="182">
        <f t="shared" si="426"/>
        <v>0</v>
      </c>
      <c r="V1056" s="14">
        <f t="shared" si="427"/>
        <v>494.27</v>
      </c>
      <c r="W1056" s="14">
        <f t="shared" si="428"/>
        <v>-494.27</v>
      </c>
      <c r="Y1056" s="14">
        <f t="shared" si="431"/>
        <v>104.19</v>
      </c>
      <c r="Z1056" s="14">
        <f t="shared" si="432"/>
        <v>-104.19</v>
      </c>
      <c r="AA1056" s="11">
        <f t="shared" si="434"/>
        <v>0.79</v>
      </c>
      <c r="AB1056" s="9">
        <f t="shared" si="437"/>
        <v>18.170000000000002</v>
      </c>
      <c r="AD1056" s="13">
        <f>IF(AH1056&gt;AH1055,AD1055,IF(AD1055&lt;MiscData!$F$1,EOMONTH(AD1055,1),EOMONTH(AD1055,-11)))</f>
        <v>42369</v>
      </c>
      <c r="AE1056" s="7" t="str">
        <f t="shared" si="429"/>
        <v>20140101KUUM_499</v>
      </c>
      <c r="AF1056" s="12" t="str">
        <f t="shared" si="430"/>
        <v>20140101LS</v>
      </c>
      <c r="AG1056" s="31"/>
      <c r="AH1056">
        <f>IF(AH1055=MiscData!$AB$91,1,AH1055+1)</f>
        <v>87</v>
      </c>
      <c r="AI1056">
        <f>IF(AD1056&lt;=MiscData!$B$23,MiscData!$C$23,IF(AD1056&lt;=MiscData!$B$24,MiscData!$C$24,MiscData!$C$25))</f>
        <v>20140101</v>
      </c>
      <c r="AK1056" s="190" t="str">
        <f>VLOOKUP(AM1056,MiscData!$AB$4:$ACB$113,2,FALSE)</f>
        <v>KUUM_499</v>
      </c>
      <c r="AL1056" s="190" t="str">
        <f>VLOOKUP(AM1056,MiscData!$AB$4:$AE$115,4,FALSE)</f>
        <v>LS</v>
      </c>
      <c r="AM1056">
        <f>IF(AM1055=MiscData!$AB$91,1,AM1055+1)</f>
        <v>87</v>
      </c>
    </row>
    <row r="1057" spans="1:39">
      <c r="A1057" s="7">
        <f t="shared" si="433"/>
        <v>1056</v>
      </c>
      <c r="B1057" s="13" t="str">
        <f t="shared" si="415"/>
        <v>Dec 2015</v>
      </c>
      <c r="C1057" s="23" t="str">
        <f t="shared" si="416"/>
        <v>ODL</v>
      </c>
      <c r="D1057" s="23" t="str">
        <f t="shared" si="417"/>
        <v>ODL</v>
      </c>
      <c r="E1057" s="170">
        <f t="shared" si="418"/>
        <v>0</v>
      </c>
      <c r="F1057" s="185"/>
      <c r="G1057" s="170">
        <f t="shared" si="414"/>
        <v>12296879</v>
      </c>
      <c r="H1057" s="170">
        <v>0</v>
      </c>
      <c r="I1057" s="11">
        <f t="shared" si="419"/>
        <v>0</v>
      </c>
      <c r="J1057" s="11">
        <f t="shared" si="420"/>
        <v>0</v>
      </c>
      <c r="K1057" s="416">
        <f t="shared" si="435"/>
        <v>0</v>
      </c>
      <c r="L1057" s="180"/>
      <c r="M1057" s="180"/>
      <c r="N1057" s="186">
        <f t="shared" si="413"/>
        <v>0</v>
      </c>
      <c r="O1057" s="29">
        <f t="shared" si="421"/>
        <v>2050706</v>
      </c>
      <c r="P1057" s="181">
        <f t="shared" si="436"/>
        <v>0</v>
      </c>
      <c r="Q1057" s="182">
        <f t="shared" si="422"/>
        <v>28964</v>
      </c>
      <c r="R1057" s="182">
        <f t="shared" si="423"/>
        <v>0</v>
      </c>
      <c r="S1057" s="182">
        <f t="shared" si="424"/>
        <v>62136</v>
      </c>
      <c r="T1057" s="182">
        <f t="shared" si="425"/>
        <v>0</v>
      </c>
      <c r="U1057" s="182">
        <f t="shared" si="426"/>
        <v>2141806</v>
      </c>
      <c r="V1057" s="14">
        <f t="shared" si="427"/>
        <v>91100</v>
      </c>
      <c r="W1057" s="14">
        <f t="shared" si="428"/>
        <v>2050706</v>
      </c>
      <c r="Y1057" s="14">
        <f t="shared" si="431"/>
        <v>0</v>
      </c>
      <c r="Z1057" s="14">
        <f t="shared" si="432"/>
        <v>2050706</v>
      </c>
      <c r="AA1057" s="11">
        <f t="shared" si="434"/>
        <v>0</v>
      </c>
      <c r="AB1057" s="9">
        <f t="shared" si="437"/>
        <v>0</v>
      </c>
      <c r="AD1057" s="13">
        <f>IF(AH1057&gt;AH1056,AD1056,IF(AD1056&lt;MiscData!$F$1,EOMONTH(AD1056,1),EOMONTH(AD1056,-11)))</f>
        <v>42369</v>
      </c>
      <c r="AE1057" s="7" t="str">
        <f t="shared" si="429"/>
        <v>20140101ODL</v>
      </c>
      <c r="AF1057" s="12" t="str">
        <f t="shared" si="430"/>
        <v>20140101ODL</v>
      </c>
      <c r="AG1057" s="31"/>
      <c r="AH1057">
        <f>IF(AH1056=MiscData!$AB$91,1,AH1056+1)</f>
        <v>88</v>
      </c>
      <c r="AI1057">
        <f>IF(AD1057&lt;=MiscData!$B$23,MiscData!$C$23,IF(AD1057&lt;=MiscData!$B$24,MiscData!$C$24,MiscData!$C$25))</f>
        <v>20140101</v>
      </c>
      <c r="AK1057" s="190" t="str">
        <f>VLOOKUP(AM1057,MiscData!$AB$4:$ACB$113,2,FALSE)</f>
        <v>ODL</v>
      </c>
      <c r="AL1057" s="190" t="str">
        <f>VLOOKUP(AM1057,MiscData!$AB$4:$AE$115,4,FALSE)</f>
        <v>ODL</v>
      </c>
      <c r="AM1057">
        <f>IF(AM1056=MiscData!$AB$91,1,AM1056+1)</f>
        <v>88</v>
      </c>
    </row>
    <row r="1058" spans="1:39">
      <c r="A1058" s="7"/>
      <c r="B1058" s="13"/>
      <c r="C1058" s="23"/>
      <c r="D1058" s="23"/>
      <c r="E1058" s="170"/>
      <c r="F1058" s="185"/>
      <c r="G1058" s="170"/>
      <c r="H1058" s="170"/>
      <c r="I1058" s="11"/>
      <c r="J1058" s="11"/>
      <c r="K1058" s="416"/>
      <c r="L1058" s="180"/>
      <c r="M1058" s="180"/>
      <c r="N1058" s="186"/>
      <c r="O1058" s="29"/>
      <c r="P1058" s="181"/>
      <c r="Q1058" s="182"/>
      <c r="R1058" s="182"/>
      <c r="S1058" s="182"/>
      <c r="T1058" s="182"/>
      <c r="U1058" s="182"/>
      <c r="V1058" s="14"/>
      <c r="W1058" s="14"/>
      <c r="Y1058" s="14"/>
      <c r="Z1058" s="14"/>
      <c r="AD1058" s="13"/>
      <c r="AE1058" s="7"/>
      <c r="AF1058" s="12"/>
      <c r="AG1058" s="31"/>
      <c r="AK1058" s="190"/>
      <c r="AL1058" s="190"/>
    </row>
    <row r="1059" spans="1:39">
      <c r="A1059" s="7"/>
      <c r="B1059" s="13"/>
      <c r="C1059" s="23"/>
      <c r="D1059" s="23"/>
      <c r="E1059" s="170"/>
      <c r="F1059" s="185"/>
      <c r="G1059" s="170"/>
      <c r="H1059" s="170"/>
      <c r="I1059" s="11"/>
      <c r="J1059" s="11"/>
      <c r="K1059" s="416"/>
      <c r="L1059" s="180"/>
      <c r="M1059" s="180"/>
      <c r="N1059" s="186"/>
      <c r="O1059" s="29"/>
      <c r="P1059" s="181"/>
      <c r="Q1059" s="182"/>
      <c r="R1059" s="182"/>
      <c r="S1059" s="182"/>
      <c r="T1059" s="182"/>
      <c r="U1059" s="182"/>
      <c r="V1059" s="14"/>
      <c r="W1059" s="14"/>
      <c r="Y1059" s="14"/>
      <c r="Z1059" s="14"/>
      <c r="AD1059" s="13"/>
      <c r="AE1059" s="7"/>
      <c r="AF1059" s="12"/>
      <c r="AG1059" s="31"/>
      <c r="AK1059" s="190"/>
      <c r="AL1059" s="190"/>
    </row>
    <row r="1060" spans="1:39">
      <c r="A1060" s="7"/>
      <c r="B1060" s="13"/>
      <c r="C1060" s="23"/>
      <c r="D1060" s="23"/>
      <c r="E1060" s="170"/>
      <c r="F1060" s="185"/>
      <c r="G1060" s="170"/>
      <c r="H1060" s="170"/>
      <c r="I1060" s="11"/>
      <c r="J1060" s="11"/>
      <c r="K1060" s="416"/>
      <c r="L1060" s="180"/>
      <c r="M1060" s="180"/>
      <c r="N1060" s="186"/>
      <c r="O1060" s="29"/>
      <c r="P1060" s="181"/>
      <c r="Q1060" s="182"/>
      <c r="R1060" s="182"/>
      <c r="S1060" s="182"/>
      <c r="T1060" s="182"/>
      <c r="U1060" s="182"/>
      <c r="V1060" s="14"/>
      <c r="W1060" s="14"/>
      <c r="Y1060" s="14"/>
      <c r="Z1060" s="14"/>
      <c r="AD1060" s="13"/>
      <c r="AE1060" s="7"/>
      <c r="AF1060" s="12"/>
      <c r="AG1060" s="31"/>
      <c r="AK1060" s="190"/>
      <c r="AL1060" s="190"/>
    </row>
    <row r="1061" spans="1:39">
      <c r="A1061" s="7"/>
      <c r="B1061" s="13"/>
      <c r="C1061" s="23"/>
      <c r="D1061" s="23"/>
      <c r="E1061" s="170"/>
      <c r="F1061" s="185"/>
      <c r="G1061" s="170"/>
      <c r="H1061" s="170"/>
      <c r="I1061" s="11"/>
      <c r="J1061" s="11"/>
      <c r="K1061" s="416"/>
      <c r="L1061" s="180"/>
      <c r="M1061" s="180"/>
      <c r="N1061" s="186"/>
      <c r="O1061" s="29"/>
      <c r="P1061" s="181"/>
      <c r="Q1061" s="182"/>
      <c r="R1061" s="182"/>
      <c r="S1061" s="182"/>
      <c r="T1061" s="182"/>
      <c r="U1061" s="182"/>
      <c r="V1061" s="14"/>
      <c r="W1061" s="14"/>
      <c r="Y1061" s="14"/>
      <c r="Z1061" s="14"/>
      <c r="AD1061" s="13"/>
      <c r="AE1061" s="7"/>
      <c r="AF1061" s="12"/>
      <c r="AG1061" s="31"/>
      <c r="AK1061" s="190"/>
      <c r="AL1061" s="190"/>
    </row>
    <row r="1062" spans="1:39">
      <c r="A1062" s="7"/>
      <c r="B1062" s="13"/>
      <c r="C1062" s="23"/>
      <c r="D1062" s="23"/>
      <c r="E1062" s="170"/>
      <c r="F1062" s="185"/>
      <c r="G1062" s="170"/>
      <c r="H1062" s="170"/>
      <c r="I1062" s="11"/>
      <c r="J1062" s="11"/>
      <c r="K1062" s="416"/>
      <c r="L1062" s="180"/>
      <c r="M1062" s="180"/>
      <c r="N1062" s="186"/>
      <c r="O1062" s="29"/>
      <c r="P1062" s="181"/>
      <c r="Q1062" s="182"/>
      <c r="R1062" s="182"/>
      <c r="S1062" s="182"/>
      <c r="T1062" s="182"/>
      <c r="U1062" s="182"/>
      <c r="V1062" s="14"/>
      <c r="W1062" s="14"/>
      <c r="Y1062" s="14"/>
      <c r="Z1062" s="14"/>
      <c r="AD1062" s="13"/>
      <c r="AE1062" s="7"/>
      <c r="AF1062" s="12"/>
      <c r="AG1062" s="31"/>
      <c r="AK1062" s="190"/>
      <c r="AL1062" s="190"/>
    </row>
    <row r="1063" spans="1:39">
      <c r="A1063" s="7"/>
      <c r="B1063" s="13"/>
      <c r="C1063" s="23"/>
      <c r="D1063" s="23"/>
      <c r="E1063" s="170"/>
      <c r="F1063" s="185"/>
      <c r="G1063" s="170"/>
      <c r="H1063" s="170"/>
      <c r="I1063" s="11"/>
      <c r="J1063" s="11"/>
      <c r="K1063" s="416"/>
      <c r="L1063" s="180"/>
      <c r="M1063" s="180"/>
      <c r="N1063" s="186"/>
      <c r="O1063" s="29"/>
      <c r="P1063" s="181"/>
      <c r="Q1063" s="182"/>
      <c r="R1063" s="182"/>
      <c r="S1063" s="182"/>
      <c r="T1063" s="182"/>
      <c r="U1063" s="182"/>
      <c r="V1063" s="14"/>
      <c r="W1063" s="14"/>
      <c r="Y1063" s="14"/>
      <c r="Z1063" s="14"/>
      <c r="AD1063" s="13"/>
      <c r="AE1063" s="7"/>
      <c r="AF1063" s="12"/>
      <c r="AG1063" s="31"/>
      <c r="AK1063" s="190"/>
      <c r="AL1063" s="190"/>
    </row>
    <row r="1064" spans="1:39">
      <c r="A1064" s="7"/>
      <c r="B1064" s="13"/>
      <c r="C1064" s="23"/>
      <c r="D1064" s="23"/>
      <c r="E1064" s="170"/>
      <c r="F1064" s="185"/>
      <c r="G1064" s="170"/>
      <c r="H1064" s="170"/>
      <c r="I1064" s="11"/>
      <c r="J1064" s="11"/>
      <c r="K1064" s="416"/>
      <c r="L1064" s="180"/>
      <c r="M1064" s="180"/>
      <c r="N1064" s="186"/>
      <c r="O1064" s="29"/>
      <c r="P1064" s="181"/>
      <c r="Q1064" s="182"/>
      <c r="R1064" s="182"/>
      <c r="S1064" s="182"/>
      <c r="T1064" s="182"/>
      <c r="U1064" s="182"/>
      <c r="V1064" s="14"/>
      <c r="W1064" s="14"/>
      <c r="Y1064" s="14"/>
      <c r="Z1064" s="14"/>
      <c r="AD1064" s="13"/>
      <c r="AE1064" s="7"/>
      <c r="AF1064" s="12"/>
      <c r="AG1064" s="31"/>
      <c r="AK1064" s="190"/>
      <c r="AL1064" s="190"/>
    </row>
    <row r="1065" spans="1:39">
      <c r="A1065" s="7"/>
      <c r="B1065" s="13"/>
      <c r="C1065" s="23"/>
      <c r="D1065" s="23"/>
      <c r="E1065" s="170"/>
      <c r="F1065" s="185"/>
      <c r="G1065" s="170"/>
      <c r="H1065" s="170"/>
      <c r="I1065" s="11"/>
      <c r="J1065" s="11"/>
      <c r="K1065" s="416"/>
      <c r="L1065" s="180"/>
      <c r="M1065" s="180"/>
      <c r="N1065" s="186"/>
      <c r="O1065" s="29"/>
      <c r="P1065" s="181"/>
      <c r="Q1065" s="182"/>
      <c r="R1065" s="182"/>
      <c r="S1065" s="182"/>
      <c r="T1065" s="182"/>
      <c r="U1065" s="182"/>
      <c r="V1065" s="14"/>
      <c r="W1065" s="14"/>
      <c r="Y1065" s="14"/>
      <c r="Z1065" s="14"/>
      <c r="AD1065" s="13"/>
      <c r="AE1065" s="7"/>
      <c r="AF1065" s="12"/>
      <c r="AG1065" s="31"/>
      <c r="AK1065" s="190"/>
      <c r="AL1065" s="190"/>
    </row>
    <row r="1066" spans="1:39">
      <c r="A1066" s="7"/>
      <c r="B1066" s="13"/>
      <c r="C1066" s="23"/>
      <c r="D1066" s="23"/>
      <c r="E1066" s="170"/>
      <c r="F1066" s="185"/>
      <c r="G1066" s="170"/>
      <c r="H1066" s="170"/>
      <c r="I1066" s="11"/>
      <c r="J1066" s="11"/>
      <c r="K1066" s="416"/>
      <c r="L1066" s="180"/>
      <c r="M1066" s="180"/>
      <c r="N1066" s="186"/>
      <c r="O1066" s="29"/>
      <c r="P1066" s="181"/>
      <c r="Q1066" s="182"/>
      <c r="R1066" s="182"/>
      <c r="S1066" s="182"/>
      <c r="T1066" s="182"/>
      <c r="U1066" s="182"/>
      <c r="V1066" s="14"/>
      <c r="W1066" s="14"/>
      <c r="Y1066" s="14"/>
      <c r="Z1066" s="14"/>
      <c r="AD1066" s="13"/>
      <c r="AE1066" s="7"/>
      <c r="AF1066" s="12"/>
      <c r="AG1066" s="31"/>
      <c r="AK1066" s="190"/>
      <c r="AL1066" s="190"/>
    </row>
    <row r="1067" spans="1:39">
      <c r="A1067" s="7"/>
      <c r="B1067" s="13"/>
      <c r="C1067" s="23"/>
      <c r="D1067" s="23"/>
      <c r="E1067" s="170"/>
      <c r="F1067" s="185"/>
      <c r="G1067" s="170"/>
      <c r="H1067" s="170"/>
      <c r="I1067" s="11"/>
      <c r="J1067" s="11"/>
      <c r="K1067" s="416"/>
      <c r="L1067" s="180"/>
      <c r="M1067" s="180"/>
      <c r="N1067" s="186"/>
      <c r="O1067" s="29"/>
      <c r="P1067" s="181"/>
      <c r="Q1067" s="182"/>
      <c r="R1067" s="182"/>
      <c r="S1067" s="182"/>
      <c r="T1067" s="182"/>
      <c r="U1067" s="182"/>
      <c r="V1067" s="14"/>
      <c r="W1067" s="14"/>
      <c r="Y1067" s="14"/>
      <c r="Z1067" s="14"/>
      <c r="AD1067" s="13"/>
      <c r="AE1067" s="7"/>
      <c r="AF1067" s="12"/>
      <c r="AG1067" s="31"/>
      <c r="AK1067" s="190"/>
      <c r="AL1067" s="190"/>
    </row>
    <row r="1068" spans="1:39">
      <c r="A1068" s="7"/>
      <c r="B1068" s="13"/>
      <c r="C1068" s="23"/>
      <c r="D1068" s="23"/>
      <c r="E1068" s="170"/>
      <c r="F1068" s="185"/>
      <c r="G1068" s="170"/>
      <c r="H1068" s="170"/>
      <c r="I1068" s="11"/>
      <c r="J1068" s="11"/>
      <c r="K1068" s="416"/>
      <c r="L1068" s="180"/>
      <c r="M1068" s="180"/>
      <c r="N1068" s="186"/>
      <c r="O1068" s="29"/>
      <c r="P1068" s="181"/>
      <c r="Q1068" s="182"/>
      <c r="R1068" s="182"/>
      <c r="S1068" s="182"/>
      <c r="T1068" s="182"/>
      <c r="U1068" s="182"/>
      <c r="V1068" s="14"/>
      <c r="W1068" s="14"/>
      <c r="Y1068" s="14"/>
      <c r="Z1068" s="14"/>
      <c r="AD1068" s="13"/>
      <c r="AE1068" s="7"/>
      <c r="AF1068" s="12"/>
      <c r="AG1068" s="31"/>
      <c r="AK1068" s="190"/>
      <c r="AL1068" s="190"/>
    </row>
    <row r="1069" spans="1:39">
      <c r="A1069" s="7"/>
      <c r="B1069" s="13"/>
      <c r="C1069" s="23"/>
      <c r="D1069" s="23"/>
      <c r="E1069" s="170"/>
      <c r="F1069" s="185"/>
      <c r="G1069" s="170"/>
      <c r="H1069" s="170"/>
      <c r="I1069" s="11"/>
      <c r="J1069" s="11"/>
      <c r="K1069" s="416"/>
      <c r="L1069" s="180"/>
      <c r="M1069" s="180"/>
      <c r="N1069" s="186"/>
      <c r="O1069" s="29"/>
      <c r="P1069" s="181"/>
      <c r="Q1069" s="182"/>
      <c r="R1069" s="182"/>
      <c r="S1069" s="182"/>
      <c r="T1069" s="182"/>
      <c r="U1069" s="182"/>
      <c r="V1069" s="14"/>
      <c r="W1069" s="14"/>
      <c r="Y1069" s="14"/>
      <c r="Z1069" s="14"/>
      <c r="AD1069" s="13"/>
      <c r="AE1069" s="7"/>
      <c r="AF1069" s="12"/>
      <c r="AG1069" s="31"/>
      <c r="AK1069" s="190"/>
      <c r="AL1069" s="190"/>
    </row>
    <row r="1070" spans="1:39" s="183" customFormat="1">
      <c r="A1070" s="7"/>
      <c r="B1070" s="17"/>
      <c r="C1070" s="17"/>
      <c r="D1070" s="17"/>
      <c r="E1070" s="79"/>
      <c r="F1070" s="79"/>
      <c r="G1070" s="17"/>
      <c r="H1070" s="17"/>
      <c r="I1070" s="17"/>
      <c r="J1070" s="17"/>
      <c r="K1070" s="17"/>
      <c r="L1070"/>
      <c r="M1070"/>
      <c r="N1070"/>
      <c r="O1070"/>
      <c r="P1070"/>
      <c r="Q1070"/>
      <c r="R1070"/>
      <c r="S1070"/>
      <c r="T1070"/>
      <c r="U1070"/>
      <c r="V1070"/>
      <c r="W1070"/>
      <c r="X1070"/>
      <c r="Y1070"/>
      <c r="Z1070"/>
      <c r="AA1070"/>
      <c r="AB1070"/>
      <c r="AC1070"/>
      <c r="AD1070" s="13"/>
      <c r="AE1070" s="7"/>
      <c r="AF1070" s="12"/>
      <c r="AH1070"/>
      <c r="AI1070"/>
      <c r="AJ1070"/>
      <c r="AK1070" s="190"/>
      <c r="AL1070" s="190"/>
      <c r="AM1070"/>
    </row>
    <row r="1071" spans="1:39" s="183" customFormat="1">
      <c r="A1071"/>
      <c r="B1071" s="17"/>
      <c r="C1071" s="17"/>
      <c r="D1071" s="17"/>
      <c r="E1071" s="169">
        <f>SUM(E2:E1069)</f>
        <v>2024381</v>
      </c>
      <c r="F1071" s="169">
        <f>SUM(F2:F1070)</f>
        <v>0</v>
      </c>
      <c r="G1071" s="169">
        <f>SUM(G2:G1069)</f>
        <v>118735664</v>
      </c>
      <c r="H1071" s="169">
        <f>SUM(H2:H1069)</f>
        <v>27460</v>
      </c>
      <c r="I1071" s="17"/>
      <c r="J1071" s="17"/>
      <c r="K1071" s="169">
        <f>SUM(K2:K1069)</f>
        <v>25141585.369999975</v>
      </c>
      <c r="L1071" s="169">
        <f>SUM(L2:L1069)</f>
        <v>0</v>
      </c>
      <c r="M1071" s="169"/>
      <c r="N1071" s="169">
        <f>SUM(N2:N1069)</f>
        <v>25141585.369999975</v>
      </c>
      <c r="O1071" s="169">
        <f>SUM(O2:O1069)</f>
        <v>25280308</v>
      </c>
      <c r="P1071"/>
      <c r="Q1071" s="169">
        <f t="shared" ref="Q1071:V1071" si="450">SUM(Q2:Q1069)</f>
        <v>293403</v>
      </c>
      <c r="R1071" s="169">
        <f t="shared" si="450"/>
        <v>0</v>
      </c>
      <c r="S1071" s="169">
        <f t="shared" si="450"/>
        <v>664888</v>
      </c>
      <c r="T1071" s="169">
        <f t="shared" si="450"/>
        <v>0</v>
      </c>
      <c r="U1071" s="283">
        <f t="shared" si="450"/>
        <v>26238599</v>
      </c>
      <c r="V1071" s="283">
        <f t="shared" si="450"/>
        <v>26099876.369999979</v>
      </c>
      <c r="W1071"/>
      <c r="X1071"/>
      <c r="Y1071"/>
      <c r="Z1071"/>
      <c r="AA1071"/>
      <c r="AB1071"/>
      <c r="AC1071"/>
      <c r="AD1071" s="13"/>
      <c r="AE1071" s="7"/>
      <c r="AF1071" s="12"/>
      <c r="AH1071"/>
      <c r="AI1071"/>
      <c r="AJ1071"/>
      <c r="AK1071" s="190"/>
      <c r="AL1071" s="190"/>
      <c r="AM1071"/>
    </row>
    <row r="1072" spans="1:39" s="183" customFormat="1">
      <c r="A1072"/>
      <c r="B1072" s="17"/>
      <c r="C1072" s="17"/>
      <c r="D1072" s="17"/>
      <c r="E1072" s="79"/>
      <c r="F1072" s="17"/>
      <c r="G1072" s="17"/>
      <c r="H1072" s="17"/>
      <c r="I1072" s="17"/>
      <c r="J1072" s="17"/>
      <c r="K1072" s="17"/>
      <c r="L1072"/>
      <c r="M1072"/>
      <c r="N1072"/>
      <c r="O1072"/>
      <c r="P1072"/>
      <c r="Q1072"/>
      <c r="R1072"/>
      <c r="S1072"/>
      <c r="T1072"/>
      <c r="U1072"/>
      <c r="V1072"/>
      <c r="W1072"/>
      <c r="X1072"/>
      <c r="Y1072"/>
      <c r="Z1072"/>
      <c r="AA1072"/>
      <c r="AB1072"/>
      <c r="AC1072"/>
      <c r="AD1072" s="17"/>
      <c r="AE1072" s="7"/>
      <c r="AF1072" s="12"/>
      <c r="AH1072"/>
      <c r="AI1072"/>
      <c r="AJ1072"/>
      <c r="AK1072"/>
      <c r="AL1072"/>
      <c r="AM1072"/>
    </row>
    <row r="1073" spans="1:39" s="183" customFormat="1">
      <c r="A1073"/>
      <c r="B1073" s="17"/>
      <c r="C1073" s="17" t="s">
        <v>1139</v>
      </c>
      <c r="D1073" s="17"/>
      <c r="E1073" s="22">
        <f>SUMIF($C$2:$C$1069,$C$1073,E$2:E$1069)</f>
        <v>1703604</v>
      </c>
      <c r="F1073" s="22">
        <f>SUMIF($C$2:$C$1069,$C$1073,F$2:F$1069)</f>
        <v>0</v>
      </c>
      <c r="G1073" s="17"/>
      <c r="H1073" s="17"/>
      <c r="I1073" s="17"/>
      <c r="J1073" s="17"/>
      <c r="K1073" s="9">
        <f>SUMIF($C$2:$C$1069,$C$1073,K$2:K$1069)</f>
        <v>21481073.61999999</v>
      </c>
      <c r="L1073" s="9">
        <f>SUMIF($C$2:$C$1069,$C$1073,L$2:L$1069)</f>
        <v>0</v>
      </c>
      <c r="M1073" s="9">
        <f>SUMIF($C$2:$C$1069,$C$1073,M$2:M$1069)</f>
        <v>0</v>
      </c>
      <c r="N1073" s="9">
        <f>SUMIF($C$2:$C$1069,$C$1073,N$2:N$1069)</f>
        <v>21481073.61999999</v>
      </c>
      <c r="O1073" s="9">
        <f>SUMIF($C$2:$C$1069,$C$1073,O$2:O$1069)</f>
        <v>0</v>
      </c>
      <c r="P1073"/>
      <c r="Q1073"/>
      <c r="R1073"/>
      <c r="S1073"/>
      <c r="T1073"/>
      <c r="U1073"/>
      <c r="V1073"/>
      <c r="W1073"/>
      <c r="X1073"/>
      <c r="Y1073"/>
      <c r="Z1073"/>
      <c r="AA1073"/>
      <c r="AB1073"/>
      <c r="AC1073"/>
      <c r="AD1073" s="17"/>
      <c r="AE1073" s="7"/>
      <c r="AF1073" s="12"/>
      <c r="AH1073"/>
      <c r="AI1073"/>
      <c r="AJ1073"/>
      <c r="AK1073"/>
      <c r="AL1073"/>
      <c r="AM1073"/>
    </row>
    <row r="1074" spans="1:39" s="183" customFormat="1">
      <c r="A1074"/>
      <c r="B1074" s="17"/>
      <c r="C1074" s="17" t="s">
        <v>1140</v>
      </c>
      <c r="D1074" s="17"/>
      <c r="E1074" s="22">
        <f>SUMIF($C$2:$C$1069,$C$1074,E$2:E$1069)</f>
        <v>320777</v>
      </c>
      <c r="F1074" s="22">
        <f>SUMIF($C$2:$C$1069,$C$1074,F$2:F$1069)</f>
        <v>0</v>
      </c>
      <c r="G1074" s="17"/>
      <c r="H1074" s="17"/>
      <c r="I1074" s="17"/>
      <c r="J1074" s="17"/>
      <c r="K1074" s="9">
        <f>SUMIF($C$2:$C$1069,$C$1074,K$2:K$1069)</f>
        <v>3660511.7499999995</v>
      </c>
      <c r="L1074" s="9">
        <f>SUMIF($C$2:$C$1069,$C$1074,L$2:L$1069)</f>
        <v>0</v>
      </c>
      <c r="M1074" s="9">
        <f>SUMIF($C$2:$C$1069,$C$1074,M$2:M$1069)</f>
        <v>0</v>
      </c>
      <c r="N1074" s="9">
        <f>SUMIF($C$2:$C$1069,$C$1074,N$2:N$1069)</f>
        <v>3660511.7499999995</v>
      </c>
      <c r="O1074" s="9">
        <f>SUMIF($C$2:$C$1069,$C$1074,O$2:O$1069)</f>
        <v>0</v>
      </c>
      <c r="P1074"/>
      <c r="Q1074"/>
      <c r="R1074"/>
      <c r="S1074"/>
      <c r="T1074"/>
      <c r="U1074"/>
      <c r="V1074"/>
      <c r="W1074"/>
      <c r="X1074"/>
      <c r="Y1074"/>
      <c r="Z1074"/>
      <c r="AA1074"/>
      <c r="AB1074"/>
      <c r="AC1074"/>
      <c r="AD1074" s="17"/>
      <c r="AE1074" s="7"/>
      <c r="AF1074" s="12"/>
      <c r="AH1074"/>
      <c r="AI1074"/>
      <c r="AJ1074"/>
      <c r="AK1074"/>
      <c r="AL1074"/>
      <c r="AM1074"/>
    </row>
    <row r="1075" spans="1:39" s="183" customFormat="1">
      <c r="A1075"/>
      <c r="B1075" s="17"/>
      <c r="C1075" s="17"/>
      <c r="D1075" s="17"/>
      <c r="E1075" s="79"/>
      <c r="F1075" s="17"/>
      <c r="G1075" s="17"/>
      <c r="H1075" s="17"/>
      <c r="I1075" s="17"/>
      <c r="J1075" s="17"/>
      <c r="K1075" s="17"/>
      <c r="L1075"/>
      <c r="M1075"/>
      <c r="N1075"/>
      <c r="O1075"/>
      <c r="P1075"/>
      <c r="Q1075"/>
      <c r="R1075"/>
      <c r="S1075"/>
      <c r="T1075"/>
      <c r="U1075"/>
      <c r="V1075"/>
      <c r="W1075"/>
      <c r="X1075"/>
      <c r="Y1075"/>
      <c r="Z1075"/>
      <c r="AA1075"/>
      <c r="AB1075"/>
      <c r="AC1075"/>
      <c r="AD1075" s="17"/>
      <c r="AE1075" s="7"/>
      <c r="AF1075" s="12"/>
      <c r="AH1075"/>
      <c r="AI1075"/>
      <c r="AJ1075"/>
      <c r="AK1075"/>
      <c r="AL1075"/>
      <c r="AM1075"/>
    </row>
    <row r="1076" spans="1:39" s="183" customFormat="1">
      <c r="A1076"/>
      <c r="B1076" s="17"/>
      <c r="C1076" s="17"/>
      <c r="D1076" s="17"/>
      <c r="E1076" s="79"/>
      <c r="F1076" s="25">
        <f>E1073-F1073</f>
        <v>1703604</v>
      </c>
      <c r="G1076" s="17"/>
      <c r="H1076" s="17"/>
      <c r="I1076" s="17"/>
      <c r="J1076" s="17"/>
      <c r="K1076" s="17"/>
      <c r="L1076"/>
      <c r="M1076"/>
      <c r="N1076"/>
      <c r="O1076"/>
      <c r="P1076"/>
      <c r="Q1076"/>
      <c r="R1076"/>
      <c r="S1076"/>
      <c r="T1076"/>
      <c r="U1076"/>
      <c r="V1076"/>
      <c r="W1076"/>
      <c r="X1076"/>
      <c r="Y1076"/>
      <c r="Z1076"/>
      <c r="AA1076"/>
      <c r="AB1076"/>
      <c r="AC1076"/>
      <c r="AD1076" s="17"/>
      <c r="AE1076" s="7"/>
      <c r="AF1076" s="12"/>
      <c r="AH1076"/>
      <c r="AI1076"/>
      <c r="AJ1076"/>
      <c r="AK1076"/>
      <c r="AL1076"/>
      <c r="AM1076"/>
    </row>
    <row r="1077" spans="1:39" s="183" customFormat="1">
      <c r="A1077"/>
      <c r="B1077" s="17"/>
      <c r="C1077" s="17"/>
      <c r="D1077" s="17"/>
      <c r="E1077" s="79"/>
      <c r="F1077" s="25">
        <f>E1074-F1074</f>
        <v>320777</v>
      </c>
      <c r="G1077" s="17"/>
      <c r="H1077" s="17"/>
      <c r="I1077" s="17"/>
      <c r="J1077" s="17"/>
      <c r="K1077" s="17"/>
      <c r="L1077"/>
      <c r="M1077"/>
      <c r="N1077"/>
      <c r="O1077"/>
      <c r="P1077"/>
      <c r="Q1077"/>
      <c r="R1077"/>
      <c r="S1077"/>
      <c r="T1077"/>
      <c r="U1077"/>
      <c r="V1077"/>
      <c r="W1077"/>
      <c r="X1077"/>
      <c r="Y1077"/>
      <c r="Z1077"/>
      <c r="AA1077"/>
      <c r="AB1077"/>
      <c r="AC1077"/>
      <c r="AD1077" s="17"/>
      <c r="AE1077" s="7"/>
      <c r="AF1077" s="12"/>
      <c r="AH1077"/>
      <c r="AI1077"/>
      <c r="AJ1077"/>
      <c r="AK1077"/>
      <c r="AL1077"/>
      <c r="AM1077"/>
    </row>
    <row r="1078" spans="1:39" s="183" customFormat="1">
      <c r="A1078"/>
      <c r="B1078" s="17"/>
      <c r="C1078" s="17"/>
      <c r="D1078" s="17"/>
      <c r="E1078" s="79"/>
      <c r="F1078" s="17"/>
      <c r="G1078" s="17"/>
      <c r="H1078" s="17"/>
      <c r="I1078" s="17"/>
      <c r="J1078" s="17"/>
      <c r="K1078" s="17">
        <v>3101725</v>
      </c>
      <c r="L1078"/>
      <c r="M1078"/>
      <c r="N1078"/>
      <c r="O1078"/>
      <c r="P1078"/>
      <c r="Q1078"/>
      <c r="R1078"/>
      <c r="S1078"/>
      <c r="T1078"/>
      <c r="U1078"/>
      <c r="V1078"/>
      <c r="W1078"/>
      <c r="X1078"/>
      <c r="Y1078"/>
      <c r="Z1078"/>
      <c r="AA1078"/>
      <c r="AB1078"/>
      <c r="AC1078"/>
      <c r="AD1078" s="17"/>
      <c r="AE1078" s="7"/>
      <c r="AF1078" s="12"/>
      <c r="AH1078"/>
      <c r="AI1078"/>
      <c r="AJ1078"/>
      <c r="AK1078"/>
      <c r="AL1078"/>
      <c r="AM1078"/>
    </row>
    <row r="1079" spans="1:39" s="183" customFormat="1">
      <c r="A1079"/>
      <c r="B1079" s="17"/>
      <c r="C1079" s="17"/>
      <c r="D1079" s="17"/>
      <c r="E1079" s="79"/>
      <c r="F1079" s="17"/>
      <c r="G1079" s="17"/>
      <c r="H1079" s="17"/>
      <c r="I1079" s="17"/>
      <c r="J1079" s="17"/>
      <c r="K1079" s="33">
        <f>K1078-K1073</f>
        <v>-18379348.61999999</v>
      </c>
      <c r="L1079"/>
      <c r="M1079"/>
      <c r="N1079"/>
      <c r="O1079"/>
      <c r="P1079"/>
      <c r="Q1079"/>
      <c r="R1079"/>
      <c r="S1079"/>
      <c r="T1079"/>
      <c r="U1079"/>
      <c r="V1079"/>
      <c r="W1079"/>
      <c r="X1079"/>
      <c r="Y1079"/>
      <c r="Z1079"/>
      <c r="AA1079"/>
      <c r="AB1079"/>
      <c r="AC1079"/>
      <c r="AD1079" s="17"/>
      <c r="AE1079" s="7"/>
      <c r="AF1079" s="12"/>
      <c r="AH1079"/>
      <c r="AI1079"/>
      <c r="AJ1079"/>
      <c r="AK1079"/>
      <c r="AL1079"/>
      <c r="AM1079"/>
    </row>
    <row r="1080" spans="1:39" s="183" customFormat="1">
      <c r="A1080"/>
      <c r="B1080" s="17"/>
      <c r="C1080" s="17"/>
      <c r="D1080" s="17"/>
      <c r="E1080" s="79"/>
      <c r="F1080" s="17"/>
      <c r="G1080" s="17"/>
      <c r="H1080" s="17"/>
      <c r="I1080" s="17"/>
      <c r="J1080" s="17"/>
      <c r="K1080" s="17"/>
      <c r="L1080"/>
      <c r="M1080"/>
      <c r="N1080"/>
      <c r="O1080"/>
      <c r="P1080"/>
      <c r="Q1080"/>
      <c r="R1080"/>
      <c r="S1080"/>
      <c r="T1080"/>
      <c r="U1080"/>
      <c r="V1080"/>
      <c r="W1080"/>
      <c r="X1080"/>
      <c r="Y1080"/>
      <c r="Z1080"/>
      <c r="AA1080"/>
      <c r="AB1080"/>
      <c r="AC1080"/>
      <c r="AD1080" s="17"/>
      <c r="AE1080" s="7"/>
      <c r="AF1080" s="12"/>
      <c r="AH1080"/>
      <c r="AI1080"/>
      <c r="AJ1080"/>
      <c r="AK1080"/>
      <c r="AL1080"/>
      <c r="AM1080"/>
    </row>
    <row r="1081" spans="1:39" s="183" customFormat="1">
      <c r="A1081"/>
      <c r="B1081" s="17"/>
      <c r="C1081" s="17"/>
      <c r="D1081" s="17"/>
      <c r="E1081" s="79"/>
      <c r="F1081" s="17"/>
      <c r="G1081" s="17"/>
      <c r="H1081" s="17"/>
      <c r="I1081" s="17"/>
      <c r="J1081" s="17"/>
      <c r="K1081" s="17"/>
      <c r="L1081"/>
      <c r="M1081"/>
      <c r="N1081"/>
      <c r="O1081"/>
      <c r="P1081"/>
      <c r="Q1081"/>
      <c r="R1081"/>
      <c r="S1081"/>
      <c r="T1081"/>
      <c r="U1081"/>
      <c r="V1081"/>
      <c r="W1081"/>
      <c r="X1081"/>
      <c r="Y1081"/>
      <c r="Z1081"/>
      <c r="AA1081"/>
      <c r="AB1081"/>
      <c r="AC1081"/>
      <c r="AD1081" s="17"/>
      <c r="AE1081" s="7"/>
      <c r="AF1081" s="12"/>
      <c r="AH1081"/>
      <c r="AI1081"/>
      <c r="AJ1081"/>
      <c r="AK1081"/>
      <c r="AL1081"/>
      <c r="AM1081"/>
    </row>
    <row r="1082" spans="1:39" s="183" customFormat="1">
      <c r="A1082"/>
      <c r="B1082" s="17"/>
      <c r="C1082" s="17"/>
      <c r="D1082" s="17"/>
      <c r="E1082" s="79"/>
      <c r="F1082" s="17"/>
      <c r="G1082" s="17"/>
      <c r="H1082" s="17"/>
      <c r="I1082" s="17"/>
      <c r="J1082" s="17"/>
      <c r="K1082" s="17"/>
      <c r="L1082"/>
      <c r="M1082"/>
      <c r="N1082"/>
      <c r="O1082"/>
      <c r="P1082"/>
      <c r="Q1082"/>
      <c r="R1082"/>
      <c r="S1082"/>
      <c r="T1082"/>
      <c r="U1082"/>
      <c r="V1082"/>
      <c r="W1082"/>
      <c r="X1082"/>
      <c r="Y1082"/>
      <c r="Z1082"/>
      <c r="AA1082"/>
      <c r="AB1082"/>
      <c r="AC1082"/>
      <c r="AD1082" s="17"/>
      <c r="AE1082" s="7"/>
      <c r="AF1082" s="12"/>
      <c r="AH1082"/>
      <c r="AI1082"/>
      <c r="AJ1082"/>
      <c r="AK1082"/>
      <c r="AL1082"/>
      <c r="AM1082"/>
    </row>
    <row r="1083" spans="1:39" s="183" customFormat="1">
      <c r="A1083"/>
      <c r="B1083" s="17"/>
      <c r="C1083" s="17" t="s">
        <v>1139</v>
      </c>
      <c r="D1083" s="17"/>
      <c r="E1083" s="79"/>
      <c r="F1083" s="17"/>
      <c r="G1083" s="17"/>
      <c r="H1083" s="17"/>
      <c r="I1083" s="17"/>
      <c r="J1083" s="17"/>
      <c r="K1083" s="17"/>
      <c r="L1083"/>
      <c r="M1083"/>
      <c r="N1083" s="9">
        <f>ROUND(SUMIFS(_12MonLights_Revenue_Calculated,_12MonLights_RateClass,$C1083),0)</f>
        <v>21481074</v>
      </c>
      <c r="O1083" s="9">
        <f>SUMIFS(_12MonLights_Revenue_Actual,_12MonLights_RateClass,$C1083)</f>
        <v>0</v>
      </c>
      <c r="P1083"/>
      <c r="Q1083"/>
      <c r="R1083"/>
      <c r="S1083"/>
      <c r="T1083"/>
      <c r="U1083"/>
      <c r="V1083"/>
      <c r="W1083"/>
      <c r="X1083"/>
      <c r="Y1083"/>
      <c r="Z1083"/>
      <c r="AA1083"/>
      <c r="AB1083"/>
      <c r="AC1083"/>
      <c r="AD1083" s="17"/>
      <c r="AE1083" s="7"/>
      <c r="AF1083" s="12"/>
      <c r="AH1083"/>
      <c r="AI1083"/>
      <c r="AJ1083"/>
      <c r="AK1083"/>
      <c r="AL1083"/>
      <c r="AM1083"/>
    </row>
    <row r="1084" spans="1:39" s="183" customFormat="1">
      <c r="A1084"/>
      <c r="B1084" s="17"/>
      <c r="C1084" s="17" t="s">
        <v>1140</v>
      </c>
      <c r="D1084" s="17"/>
      <c r="E1084" s="79"/>
      <c r="F1084" s="17"/>
      <c r="G1084" s="17"/>
      <c r="H1084" s="17"/>
      <c r="I1084" s="17"/>
      <c r="J1084" s="17"/>
      <c r="K1084" s="17"/>
      <c r="L1084"/>
      <c r="M1084"/>
      <c r="N1084" s="9">
        <f>ROUND(SUMIFS(_12MonLights_Revenue_Calculated,_12MonLights_RateClass,$C1084),0)</f>
        <v>3660512</v>
      </c>
      <c r="O1084" s="9">
        <f>SUMIFS(_12MonLights_Revenue_Actual,_12MonLights_RateClass,$C1084)</f>
        <v>0</v>
      </c>
      <c r="P1084"/>
      <c r="Q1084"/>
      <c r="R1084"/>
      <c r="S1084"/>
      <c r="T1084"/>
      <c r="U1084"/>
      <c r="V1084"/>
      <c r="W1084"/>
      <c r="X1084"/>
      <c r="Y1084"/>
      <c r="Z1084"/>
      <c r="AA1084"/>
      <c r="AB1084"/>
      <c r="AC1084"/>
      <c r="AD1084" s="17"/>
      <c r="AE1084" s="7"/>
      <c r="AF1084" s="12"/>
      <c r="AH1084"/>
      <c r="AI1084"/>
      <c r="AJ1084"/>
      <c r="AK1084"/>
      <c r="AL1084"/>
      <c r="AM1084"/>
    </row>
    <row r="1085" spans="1:39" s="183" customFormat="1">
      <c r="A1085"/>
      <c r="B1085" s="17"/>
      <c r="C1085" s="17" t="s">
        <v>73</v>
      </c>
      <c r="D1085" s="17"/>
      <c r="E1085" s="79"/>
      <c r="F1085" s="17"/>
      <c r="G1085" s="17"/>
      <c r="H1085" s="17"/>
      <c r="I1085" s="17"/>
      <c r="J1085" s="17"/>
      <c r="K1085" s="16"/>
      <c r="L1085"/>
      <c r="M1085"/>
      <c r="N1085" s="9">
        <f>SUMIFS(_12MonLights_Revenue_Calculated,_12MonLights_RateClass,$C1085)</f>
        <v>0</v>
      </c>
      <c r="O1085" s="9">
        <f>ROUND(Lighting!$E$25,0)</f>
        <v>25141642</v>
      </c>
      <c r="P1085"/>
      <c r="Q1085"/>
      <c r="R1085"/>
      <c r="S1085"/>
      <c r="T1085"/>
      <c r="U1085"/>
      <c r="V1085"/>
      <c r="W1085"/>
      <c r="X1085"/>
      <c r="Y1085"/>
      <c r="Z1085"/>
      <c r="AA1085"/>
      <c r="AB1085"/>
      <c r="AC1085"/>
      <c r="AD1085" s="17"/>
      <c r="AE1085" s="7"/>
      <c r="AF1085" s="12"/>
      <c r="AH1085"/>
      <c r="AI1085"/>
      <c r="AJ1085"/>
      <c r="AK1085"/>
      <c r="AL1085"/>
      <c r="AM1085"/>
    </row>
    <row r="1086" spans="1:39" s="183" customFormat="1">
      <c r="A1086"/>
      <c r="B1086" s="17"/>
      <c r="C1086" s="17"/>
      <c r="D1086" s="17"/>
      <c r="E1086" s="79"/>
      <c r="F1086" s="17"/>
      <c r="G1086" s="17"/>
      <c r="H1086" s="17"/>
      <c r="I1086" s="17"/>
      <c r="J1086" s="17"/>
      <c r="K1086" s="16"/>
      <c r="L1086"/>
      <c r="M1086"/>
      <c r="N1086"/>
      <c r="O1086"/>
      <c r="P1086"/>
      <c r="Q1086"/>
      <c r="R1086"/>
      <c r="S1086"/>
      <c r="T1086"/>
      <c r="U1086"/>
      <c r="V1086"/>
      <c r="W1086"/>
      <c r="X1086"/>
      <c r="Y1086"/>
      <c r="Z1086"/>
      <c r="AA1086"/>
      <c r="AB1086"/>
      <c r="AC1086"/>
      <c r="AD1086" s="17"/>
      <c r="AE1086" s="7"/>
      <c r="AF1086" s="12"/>
      <c r="AH1086"/>
      <c r="AI1086"/>
      <c r="AJ1086"/>
      <c r="AK1086"/>
      <c r="AL1086"/>
      <c r="AM1086"/>
    </row>
    <row r="1087" spans="1:39" s="183" customFormat="1">
      <c r="A1087"/>
      <c r="B1087" s="17"/>
      <c r="C1087" s="17"/>
      <c r="D1087" s="17"/>
      <c r="E1087" s="79"/>
      <c r="F1087" s="17"/>
      <c r="G1087" s="17"/>
      <c r="H1087" s="17"/>
      <c r="I1087" s="17"/>
      <c r="J1087" s="17"/>
      <c r="K1087" s="16"/>
      <c r="L1087"/>
      <c r="M1087"/>
      <c r="N1087" s="14">
        <f>SUM(N1083:N1085)</f>
        <v>25141586</v>
      </c>
      <c r="O1087" s="14">
        <f>SUM(O1083:O1085)</f>
        <v>25141642</v>
      </c>
      <c r="P1087">
        <f>N1087/O1087</f>
        <v>0.99999777261962441</v>
      </c>
      <c r="Q1087"/>
      <c r="R1087"/>
      <c r="S1087"/>
      <c r="T1087"/>
      <c r="U1087"/>
      <c r="V1087"/>
      <c r="W1087"/>
      <c r="X1087"/>
      <c r="Y1087"/>
      <c r="Z1087"/>
      <c r="AA1087"/>
      <c r="AB1087"/>
      <c r="AC1087"/>
      <c r="AD1087" s="17"/>
      <c r="AE1087" s="7"/>
      <c r="AF1087" s="12"/>
      <c r="AH1087"/>
      <c r="AI1087"/>
      <c r="AJ1087"/>
      <c r="AK1087"/>
      <c r="AL1087"/>
      <c r="AM1087"/>
    </row>
    <row r="1088" spans="1:39" s="183" customFormat="1">
      <c r="A1088"/>
      <c r="B1088" s="17"/>
      <c r="C1088" s="17"/>
      <c r="D1088" s="17"/>
      <c r="E1088" s="79"/>
      <c r="F1088" s="17"/>
      <c r="G1088" s="17"/>
      <c r="H1088" s="17"/>
      <c r="I1088" s="17"/>
      <c r="J1088" s="17"/>
      <c r="K1088" s="16"/>
      <c r="L1088"/>
      <c r="M1088"/>
      <c r="N1088"/>
      <c r="O1088"/>
      <c r="P1088"/>
      <c r="Q1088"/>
      <c r="R1088"/>
      <c r="S1088"/>
      <c r="T1088"/>
      <c r="U1088"/>
      <c r="V1088"/>
      <c r="W1088"/>
      <c r="X1088"/>
      <c r="Y1088"/>
      <c r="Z1088"/>
      <c r="AA1088"/>
      <c r="AB1088"/>
      <c r="AC1088"/>
      <c r="AD1088" s="17"/>
      <c r="AE1088" s="7"/>
      <c r="AF1088" s="12"/>
      <c r="AH1088"/>
      <c r="AI1088"/>
      <c r="AJ1088"/>
      <c r="AK1088"/>
      <c r="AL1088"/>
      <c r="AM1088"/>
    </row>
    <row r="1089" spans="1:39" s="183" customFormat="1">
      <c r="A1089"/>
      <c r="B1089" s="17"/>
      <c r="C1089" s="17"/>
      <c r="D1089" s="17"/>
      <c r="E1089" s="79"/>
      <c r="F1089" s="17"/>
      <c r="G1089" s="17"/>
      <c r="H1089" s="17"/>
      <c r="I1089" s="17"/>
      <c r="J1089" s="17"/>
      <c r="K1089" s="16"/>
      <c r="L1089"/>
      <c r="M1089"/>
      <c r="N1089"/>
      <c r="O1089"/>
      <c r="P1089"/>
      <c r="Q1089"/>
      <c r="R1089"/>
      <c r="S1089"/>
      <c r="T1089"/>
      <c r="U1089"/>
      <c r="V1089"/>
      <c r="W1089"/>
      <c r="X1089"/>
      <c r="Y1089"/>
      <c r="Z1089"/>
      <c r="AA1089"/>
      <c r="AB1089"/>
      <c r="AC1089"/>
      <c r="AD1089" s="17"/>
      <c r="AE1089" s="7"/>
      <c r="AF1089" s="12"/>
      <c r="AH1089"/>
      <c r="AI1089"/>
      <c r="AJ1089"/>
      <c r="AK1089"/>
      <c r="AL1089"/>
      <c r="AM1089"/>
    </row>
    <row r="1090" spans="1:39" s="183" customFormat="1">
      <c r="A1090"/>
      <c r="B1090" s="17"/>
      <c r="C1090" s="17"/>
      <c r="D1090" s="17"/>
      <c r="E1090" s="79"/>
      <c r="F1090" s="17"/>
      <c r="G1090" s="17"/>
      <c r="H1090" s="17"/>
      <c r="I1090" s="17"/>
      <c r="J1090" s="17"/>
      <c r="K1090" s="16"/>
      <c r="L1090"/>
      <c r="M1090"/>
      <c r="N1090"/>
      <c r="O1090"/>
      <c r="P1090"/>
      <c r="Q1090"/>
      <c r="R1090"/>
      <c r="S1090"/>
      <c r="T1090"/>
      <c r="U1090"/>
      <c r="V1090"/>
      <c r="W1090"/>
      <c r="X1090"/>
      <c r="Y1090"/>
      <c r="Z1090"/>
      <c r="AA1090"/>
      <c r="AB1090"/>
      <c r="AC1090"/>
      <c r="AD1090" s="17"/>
      <c r="AE1090" s="7"/>
      <c r="AF1090" s="12"/>
      <c r="AH1090"/>
      <c r="AI1090"/>
      <c r="AJ1090"/>
      <c r="AK1090"/>
      <c r="AL1090"/>
      <c r="AM1090"/>
    </row>
    <row r="1091" spans="1:39" s="183" customFormat="1">
      <c r="A1091"/>
      <c r="B1091" s="17"/>
      <c r="C1091" s="17"/>
      <c r="D1091" s="17"/>
      <c r="E1091" s="79"/>
      <c r="F1091" s="17"/>
      <c r="G1091" s="17"/>
      <c r="H1091" s="17"/>
      <c r="I1091" s="17"/>
      <c r="J1091" s="17"/>
      <c r="K1091" s="16"/>
      <c r="L1091"/>
      <c r="M1091"/>
      <c r="N1091"/>
      <c r="O1091"/>
      <c r="P1091"/>
      <c r="Q1091"/>
      <c r="R1091"/>
      <c r="S1091"/>
      <c r="T1091"/>
      <c r="U1091"/>
      <c r="V1091"/>
      <c r="W1091"/>
      <c r="X1091"/>
      <c r="Y1091"/>
      <c r="Z1091"/>
      <c r="AA1091"/>
      <c r="AB1091"/>
      <c r="AC1091"/>
      <c r="AD1091" s="17"/>
      <c r="AE1091" s="7"/>
      <c r="AF1091" s="12"/>
      <c r="AH1091"/>
      <c r="AI1091"/>
      <c r="AJ1091"/>
      <c r="AK1091"/>
      <c r="AL1091"/>
      <c r="AM1091"/>
    </row>
    <row r="1092" spans="1:39" s="183" customFormat="1">
      <c r="A1092"/>
      <c r="B1092" s="17"/>
      <c r="C1092" s="17"/>
      <c r="D1092" s="17"/>
      <c r="E1092" s="79"/>
      <c r="F1092" s="17"/>
      <c r="G1092" s="17"/>
      <c r="H1092" s="17"/>
      <c r="I1092" s="17"/>
      <c r="J1092" s="17"/>
      <c r="K1092" s="16"/>
      <c r="L1092"/>
      <c r="M1092"/>
      <c r="N1092"/>
      <c r="O1092"/>
      <c r="P1092"/>
      <c r="Q1092"/>
      <c r="R1092"/>
      <c r="S1092"/>
      <c r="T1092"/>
      <c r="U1092"/>
      <c r="V1092"/>
      <c r="W1092"/>
      <c r="X1092"/>
      <c r="Y1092"/>
      <c r="Z1092"/>
      <c r="AA1092"/>
      <c r="AB1092"/>
      <c r="AC1092"/>
      <c r="AD1092" s="17"/>
      <c r="AE1092" s="7"/>
      <c r="AF1092" s="12"/>
      <c r="AH1092"/>
      <c r="AI1092"/>
      <c r="AJ1092"/>
      <c r="AK1092"/>
      <c r="AL1092"/>
      <c r="AM1092"/>
    </row>
    <row r="1093" spans="1:39" s="183" customFormat="1">
      <c r="A1093"/>
      <c r="B1093" s="17"/>
      <c r="C1093" s="17"/>
      <c r="D1093" s="17"/>
      <c r="E1093" s="79"/>
      <c r="F1093" s="17"/>
      <c r="G1093" s="17"/>
      <c r="H1093" s="17"/>
      <c r="I1093" s="17"/>
      <c r="J1093" s="17"/>
      <c r="K1093" s="16"/>
      <c r="L1093"/>
      <c r="M1093"/>
      <c r="N1093"/>
      <c r="O1093"/>
      <c r="P1093"/>
      <c r="Q1093"/>
      <c r="R1093"/>
      <c r="S1093"/>
      <c r="T1093"/>
      <c r="U1093"/>
      <c r="V1093"/>
      <c r="W1093"/>
      <c r="X1093"/>
      <c r="Y1093"/>
      <c r="Z1093"/>
      <c r="AA1093"/>
      <c r="AB1093"/>
      <c r="AC1093"/>
      <c r="AD1093" s="17"/>
      <c r="AE1093" s="7"/>
      <c r="AF1093" s="12"/>
      <c r="AH1093"/>
      <c r="AI1093"/>
      <c r="AJ1093"/>
      <c r="AK1093"/>
      <c r="AL1093"/>
      <c r="AM1093"/>
    </row>
    <row r="1094" spans="1:39" s="183" customFormat="1">
      <c r="A1094"/>
      <c r="B1094" s="17"/>
      <c r="C1094" s="17"/>
      <c r="D1094" s="17"/>
      <c r="E1094" s="79"/>
      <c r="F1094" s="17"/>
      <c r="G1094" s="17"/>
      <c r="H1094" s="17"/>
      <c r="I1094" s="17"/>
      <c r="J1094" s="17"/>
      <c r="K1094" s="16"/>
      <c r="L1094"/>
      <c r="M1094"/>
      <c r="N1094"/>
      <c r="O1094"/>
      <c r="P1094"/>
      <c r="Q1094"/>
      <c r="R1094"/>
      <c r="S1094"/>
      <c r="T1094"/>
      <c r="U1094"/>
      <c r="V1094"/>
      <c r="W1094"/>
      <c r="X1094"/>
      <c r="Y1094"/>
      <c r="Z1094"/>
      <c r="AA1094"/>
      <c r="AB1094"/>
      <c r="AC1094"/>
      <c r="AD1094" s="17"/>
      <c r="AE1094" s="7"/>
      <c r="AF1094" s="12"/>
      <c r="AH1094"/>
      <c r="AI1094"/>
      <c r="AJ1094"/>
      <c r="AK1094"/>
      <c r="AL1094"/>
      <c r="AM1094"/>
    </row>
    <row r="1095" spans="1:39" s="183" customFormat="1">
      <c r="A1095"/>
      <c r="B1095" s="17"/>
      <c r="C1095" s="17"/>
      <c r="D1095" s="17"/>
      <c r="E1095" s="79"/>
      <c r="F1095" s="17"/>
      <c r="G1095" s="17"/>
      <c r="H1095" s="17"/>
      <c r="I1095" s="17"/>
      <c r="J1095" s="17"/>
      <c r="K1095" s="16"/>
      <c r="L1095"/>
      <c r="M1095"/>
      <c r="N1095"/>
      <c r="O1095"/>
      <c r="P1095"/>
      <c r="Q1095"/>
      <c r="R1095"/>
      <c r="S1095"/>
      <c r="T1095"/>
      <c r="U1095"/>
      <c r="V1095"/>
      <c r="W1095"/>
      <c r="X1095"/>
      <c r="Y1095"/>
      <c r="Z1095"/>
      <c r="AA1095"/>
      <c r="AB1095"/>
      <c r="AC1095"/>
      <c r="AD1095" s="17"/>
      <c r="AE1095" s="7"/>
      <c r="AF1095" s="12"/>
      <c r="AH1095"/>
      <c r="AI1095"/>
      <c r="AJ1095"/>
      <c r="AK1095"/>
      <c r="AL1095"/>
      <c r="AM1095"/>
    </row>
    <row r="1096" spans="1:39" s="183" customFormat="1">
      <c r="A1096"/>
      <c r="B1096" s="17"/>
      <c r="C1096" s="17"/>
      <c r="D1096" s="17"/>
      <c r="E1096" s="79"/>
      <c r="F1096" s="17"/>
      <c r="G1096" s="17"/>
      <c r="H1096" s="17"/>
      <c r="I1096" s="17"/>
      <c r="J1096" s="17"/>
      <c r="K1096" s="16"/>
      <c r="L1096"/>
      <c r="M1096"/>
      <c r="N1096"/>
      <c r="O1096"/>
      <c r="P1096"/>
      <c r="Q1096"/>
      <c r="R1096"/>
      <c r="S1096"/>
      <c r="T1096"/>
      <c r="U1096"/>
      <c r="V1096"/>
      <c r="W1096"/>
      <c r="X1096"/>
      <c r="Y1096"/>
      <c r="Z1096"/>
      <c r="AA1096"/>
      <c r="AB1096"/>
      <c r="AC1096"/>
      <c r="AD1096" s="17"/>
      <c r="AE1096" s="7"/>
      <c r="AF1096" s="12"/>
      <c r="AH1096"/>
      <c r="AI1096"/>
      <c r="AJ1096"/>
      <c r="AK1096"/>
      <c r="AL1096"/>
      <c r="AM1096"/>
    </row>
    <row r="1097" spans="1:39" s="183" customFormat="1">
      <c r="A1097"/>
      <c r="B1097" s="17"/>
      <c r="C1097" s="17"/>
      <c r="D1097" s="17"/>
      <c r="E1097" s="79"/>
      <c r="F1097" s="17"/>
      <c r="G1097" s="17"/>
      <c r="H1097" s="17"/>
      <c r="I1097" s="17"/>
      <c r="J1097" s="17"/>
      <c r="K1097" s="16"/>
      <c r="L1097"/>
      <c r="M1097"/>
      <c r="N1097"/>
      <c r="O1097"/>
      <c r="P1097"/>
      <c r="Q1097"/>
      <c r="R1097"/>
      <c r="S1097"/>
      <c r="T1097"/>
      <c r="U1097"/>
      <c r="V1097"/>
      <c r="W1097"/>
      <c r="X1097"/>
      <c r="Y1097"/>
      <c r="Z1097"/>
      <c r="AA1097"/>
      <c r="AB1097"/>
      <c r="AC1097"/>
      <c r="AD1097" s="17"/>
      <c r="AE1097" s="7"/>
      <c r="AF1097" s="12"/>
      <c r="AH1097"/>
      <c r="AI1097"/>
      <c r="AJ1097"/>
      <c r="AK1097"/>
      <c r="AL1097"/>
      <c r="AM1097"/>
    </row>
    <row r="1098" spans="1:39" s="183" customFormat="1">
      <c r="A1098"/>
      <c r="B1098" s="17"/>
      <c r="C1098" s="17"/>
      <c r="D1098" s="17"/>
      <c r="E1098" s="79"/>
      <c r="F1098" s="17"/>
      <c r="G1098" s="17"/>
      <c r="H1098" s="17"/>
      <c r="I1098" s="17"/>
      <c r="J1098" s="17"/>
      <c r="K1098" s="16"/>
      <c r="L1098"/>
      <c r="M1098"/>
      <c r="N1098"/>
      <c r="O1098"/>
      <c r="P1098"/>
      <c r="Q1098"/>
      <c r="R1098"/>
      <c r="S1098"/>
      <c r="T1098"/>
      <c r="U1098"/>
      <c r="V1098"/>
      <c r="W1098"/>
      <c r="X1098"/>
      <c r="Y1098"/>
      <c r="Z1098"/>
      <c r="AA1098"/>
      <c r="AB1098"/>
      <c r="AC1098"/>
      <c r="AD1098" s="17"/>
      <c r="AE1098" s="7"/>
      <c r="AF1098" s="12"/>
      <c r="AH1098"/>
      <c r="AI1098"/>
      <c r="AJ1098"/>
      <c r="AK1098"/>
      <c r="AL1098"/>
      <c r="AM1098"/>
    </row>
    <row r="1099" spans="1:39" s="183" customFormat="1">
      <c r="A1099"/>
      <c r="B1099" s="17"/>
      <c r="C1099" s="17"/>
      <c r="D1099" s="17"/>
      <c r="E1099" s="79"/>
      <c r="F1099" s="17"/>
      <c r="G1099" s="17"/>
      <c r="H1099" s="17"/>
      <c r="I1099" s="17"/>
      <c r="J1099" s="17"/>
      <c r="K1099" s="16"/>
      <c r="L1099"/>
      <c r="M1099"/>
      <c r="N1099"/>
      <c r="O1099"/>
      <c r="P1099"/>
      <c r="Q1099"/>
      <c r="R1099"/>
      <c r="S1099"/>
      <c r="T1099"/>
      <c r="U1099"/>
      <c r="V1099"/>
      <c r="W1099"/>
      <c r="X1099"/>
      <c r="Y1099"/>
      <c r="Z1099"/>
      <c r="AA1099"/>
      <c r="AB1099"/>
      <c r="AC1099"/>
      <c r="AD1099" s="17"/>
      <c r="AE1099" s="7"/>
      <c r="AF1099" s="12"/>
      <c r="AH1099"/>
      <c r="AI1099"/>
      <c r="AJ1099"/>
      <c r="AK1099"/>
      <c r="AL1099"/>
      <c r="AM1099"/>
    </row>
    <row r="1100" spans="1:39" s="183" customFormat="1">
      <c r="A1100"/>
      <c r="B1100" s="17"/>
      <c r="C1100" s="17"/>
      <c r="D1100" s="17"/>
      <c r="E1100" s="79"/>
      <c r="F1100" s="17"/>
      <c r="G1100" s="17"/>
      <c r="H1100" s="17"/>
      <c r="I1100" s="17"/>
      <c r="J1100" s="17"/>
      <c r="K1100" s="16"/>
      <c r="L1100"/>
      <c r="M1100"/>
      <c r="N1100"/>
      <c r="O1100"/>
      <c r="P1100"/>
      <c r="Q1100"/>
      <c r="R1100"/>
      <c r="S1100"/>
      <c r="T1100"/>
      <c r="U1100"/>
      <c r="V1100"/>
      <c r="W1100"/>
      <c r="X1100"/>
      <c r="Y1100"/>
      <c r="Z1100"/>
      <c r="AA1100"/>
      <c r="AB1100"/>
      <c r="AC1100"/>
      <c r="AD1100" s="17"/>
      <c r="AE1100" s="7"/>
      <c r="AF1100" s="12"/>
      <c r="AH1100"/>
      <c r="AI1100"/>
      <c r="AJ1100"/>
      <c r="AK1100"/>
      <c r="AL1100"/>
      <c r="AM1100"/>
    </row>
    <row r="1101" spans="1:39" s="183" customFormat="1">
      <c r="A1101"/>
      <c r="B1101" s="17"/>
      <c r="C1101" s="17"/>
      <c r="D1101" s="17"/>
      <c r="E1101" s="79"/>
      <c r="F1101" s="17"/>
      <c r="G1101" s="17"/>
      <c r="H1101" s="17"/>
      <c r="I1101" s="17"/>
      <c r="J1101" s="17"/>
      <c r="K1101" s="16"/>
      <c r="L1101"/>
      <c r="M1101"/>
      <c r="N1101"/>
      <c r="O1101"/>
      <c r="P1101"/>
      <c r="Q1101"/>
      <c r="R1101"/>
      <c r="S1101"/>
      <c r="T1101"/>
      <c r="U1101"/>
      <c r="V1101"/>
      <c r="W1101"/>
      <c r="X1101"/>
      <c r="Y1101"/>
      <c r="Z1101"/>
      <c r="AA1101"/>
      <c r="AB1101"/>
      <c r="AC1101"/>
      <c r="AD1101" s="17"/>
      <c r="AE1101" s="7"/>
      <c r="AF1101" s="12"/>
      <c r="AH1101"/>
      <c r="AI1101"/>
      <c r="AJ1101"/>
      <c r="AK1101"/>
      <c r="AL1101"/>
      <c r="AM1101"/>
    </row>
    <row r="1102" spans="1:39" s="183" customFormat="1">
      <c r="A1102"/>
      <c r="B1102" s="17"/>
      <c r="C1102" s="17"/>
      <c r="D1102" s="17"/>
      <c r="E1102" s="79"/>
      <c r="F1102" s="17"/>
      <c r="G1102" s="17"/>
      <c r="H1102" s="17"/>
      <c r="I1102" s="17"/>
      <c r="J1102" s="17"/>
      <c r="K1102" s="16"/>
      <c r="L1102"/>
      <c r="M1102"/>
      <c r="N1102"/>
      <c r="O1102"/>
      <c r="P1102"/>
      <c r="Q1102"/>
      <c r="R1102"/>
      <c r="S1102"/>
      <c r="T1102"/>
      <c r="U1102"/>
      <c r="V1102"/>
      <c r="W1102"/>
      <c r="X1102"/>
      <c r="Y1102"/>
      <c r="Z1102"/>
      <c r="AA1102"/>
      <c r="AB1102"/>
      <c r="AC1102"/>
      <c r="AD1102" s="17"/>
      <c r="AE1102" s="7"/>
      <c r="AF1102" s="12"/>
      <c r="AH1102"/>
      <c r="AI1102"/>
      <c r="AJ1102"/>
      <c r="AK1102"/>
      <c r="AL1102"/>
      <c r="AM1102"/>
    </row>
    <row r="1103" spans="1:39" s="183" customFormat="1">
      <c r="A1103"/>
      <c r="B1103" s="17"/>
      <c r="C1103" s="17"/>
      <c r="D1103" s="17"/>
      <c r="E1103" s="79"/>
      <c r="F1103" s="17"/>
      <c r="G1103" s="17"/>
      <c r="H1103" s="17"/>
      <c r="I1103" s="17"/>
      <c r="J1103" s="17"/>
      <c r="K1103" s="16"/>
      <c r="L1103"/>
      <c r="M1103"/>
      <c r="N1103"/>
      <c r="O1103"/>
      <c r="P1103"/>
      <c r="Q1103"/>
      <c r="R1103"/>
      <c r="S1103"/>
      <c r="T1103"/>
      <c r="U1103"/>
      <c r="V1103"/>
      <c r="W1103"/>
      <c r="X1103"/>
      <c r="Y1103"/>
      <c r="Z1103"/>
      <c r="AA1103"/>
      <c r="AB1103"/>
      <c r="AC1103"/>
      <c r="AD1103" s="17"/>
      <c r="AE1103" s="7"/>
      <c r="AF1103" s="12"/>
      <c r="AH1103"/>
      <c r="AI1103"/>
      <c r="AJ1103"/>
      <c r="AK1103"/>
      <c r="AL1103"/>
      <c r="AM1103"/>
    </row>
    <row r="1104" spans="1:39" s="183" customFormat="1">
      <c r="A1104"/>
      <c r="B1104" s="17"/>
      <c r="C1104" s="17"/>
      <c r="D1104" s="17"/>
      <c r="E1104" s="79"/>
      <c r="F1104" s="17"/>
      <c r="G1104" s="17"/>
      <c r="H1104" s="17"/>
      <c r="I1104" s="17"/>
      <c r="J1104" s="17"/>
      <c r="K1104" s="16"/>
      <c r="L1104"/>
      <c r="M1104"/>
      <c r="N1104"/>
      <c r="O1104"/>
      <c r="P1104"/>
      <c r="Q1104"/>
      <c r="R1104"/>
      <c r="S1104"/>
      <c r="T1104"/>
      <c r="U1104"/>
      <c r="V1104"/>
      <c r="W1104"/>
      <c r="X1104"/>
      <c r="Y1104"/>
      <c r="Z1104"/>
      <c r="AA1104"/>
      <c r="AB1104"/>
      <c r="AC1104"/>
      <c r="AD1104" s="17"/>
      <c r="AE1104" s="7"/>
      <c r="AF1104" s="12"/>
      <c r="AH1104"/>
      <c r="AI1104"/>
      <c r="AJ1104"/>
      <c r="AK1104"/>
      <c r="AL1104"/>
      <c r="AM1104"/>
    </row>
    <row r="1105" spans="1:39" s="183" customFormat="1">
      <c r="A1105"/>
      <c r="B1105" s="17"/>
      <c r="C1105" s="17"/>
      <c r="D1105" s="17"/>
      <c r="E1105" s="79"/>
      <c r="F1105" s="17"/>
      <c r="G1105" s="17"/>
      <c r="H1105" s="17"/>
      <c r="I1105" s="17"/>
      <c r="J1105" s="17"/>
      <c r="K1105" s="16"/>
      <c r="L1105"/>
      <c r="M1105"/>
      <c r="N1105"/>
      <c r="O1105"/>
      <c r="P1105"/>
      <c r="Q1105"/>
      <c r="R1105"/>
      <c r="S1105"/>
      <c r="T1105"/>
      <c r="U1105"/>
      <c r="V1105"/>
      <c r="W1105"/>
      <c r="X1105"/>
      <c r="Y1105"/>
      <c r="Z1105"/>
      <c r="AA1105"/>
      <c r="AB1105"/>
      <c r="AC1105"/>
      <c r="AD1105" s="17"/>
      <c r="AE1105" s="7"/>
      <c r="AF1105" s="12"/>
      <c r="AH1105"/>
      <c r="AI1105"/>
      <c r="AJ1105"/>
      <c r="AK1105"/>
      <c r="AL1105"/>
      <c r="AM1105"/>
    </row>
    <row r="1106" spans="1:39" s="183" customFormat="1">
      <c r="A1106"/>
      <c r="B1106" s="17"/>
      <c r="C1106" s="17"/>
      <c r="D1106" s="17"/>
      <c r="E1106" s="79"/>
      <c r="F1106" s="17"/>
      <c r="G1106" s="17"/>
      <c r="H1106" s="17"/>
      <c r="I1106" s="17"/>
      <c r="J1106" s="17"/>
      <c r="K1106" s="16"/>
      <c r="L1106"/>
      <c r="M1106"/>
      <c r="N1106"/>
      <c r="O1106"/>
      <c r="P1106"/>
      <c r="Q1106"/>
      <c r="R1106"/>
      <c r="S1106"/>
      <c r="T1106"/>
      <c r="U1106"/>
      <c r="V1106"/>
      <c r="W1106"/>
      <c r="X1106"/>
      <c r="Y1106"/>
      <c r="Z1106"/>
      <c r="AA1106"/>
      <c r="AB1106"/>
      <c r="AC1106"/>
      <c r="AD1106" s="17"/>
      <c r="AE1106" s="7"/>
      <c r="AF1106" s="12"/>
      <c r="AH1106"/>
      <c r="AI1106"/>
      <c r="AJ1106"/>
      <c r="AK1106"/>
      <c r="AL1106"/>
      <c r="AM1106"/>
    </row>
    <row r="1107" spans="1:39" s="183" customFormat="1">
      <c r="A1107"/>
      <c r="B1107" s="17"/>
      <c r="C1107" s="17"/>
      <c r="D1107" s="17"/>
      <c r="E1107" s="79"/>
      <c r="F1107" s="17"/>
      <c r="G1107" s="17"/>
      <c r="H1107" s="17"/>
      <c r="I1107" s="17"/>
      <c r="J1107" s="17"/>
      <c r="K1107" s="16"/>
      <c r="L1107"/>
      <c r="M1107"/>
      <c r="N1107"/>
      <c r="O1107"/>
      <c r="P1107"/>
      <c r="Q1107"/>
      <c r="R1107"/>
      <c r="S1107"/>
      <c r="T1107"/>
      <c r="U1107"/>
      <c r="V1107"/>
      <c r="W1107"/>
      <c r="X1107"/>
      <c r="Y1107"/>
      <c r="Z1107"/>
      <c r="AA1107"/>
      <c r="AB1107"/>
      <c r="AC1107"/>
      <c r="AD1107" s="17"/>
      <c r="AE1107" s="7"/>
      <c r="AF1107" s="12"/>
      <c r="AH1107"/>
      <c r="AI1107"/>
      <c r="AJ1107"/>
      <c r="AK1107"/>
      <c r="AL1107"/>
      <c r="AM1107"/>
    </row>
    <row r="1108" spans="1:39" s="183" customFormat="1">
      <c r="A1108"/>
      <c r="B1108" s="17"/>
      <c r="C1108" s="17"/>
      <c r="D1108" s="17"/>
      <c r="E1108" s="79"/>
      <c r="F1108" s="17"/>
      <c r="G1108" s="17"/>
      <c r="H1108" s="17"/>
      <c r="I1108" s="17"/>
      <c r="J1108" s="17"/>
      <c r="K1108" s="16"/>
      <c r="L1108"/>
      <c r="M1108"/>
      <c r="N1108"/>
      <c r="O1108"/>
      <c r="P1108"/>
      <c r="Q1108"/>
      <c r="R1108"/>
      <c r="S1108"/>
      <c r="T1108"/>
      <c r="U1108"/>
      <c r="V1108"/>
      <c r="W1108"/>
      <c r="X1108"/>
      <c r="Y1108"/>
      <c r="Z1108"/>
      <c r="AA1108"/>
      <c r="AB1108"/>
      <c r="AC1108"/>
      <c r="AD1108" s="17"/>
      <c r="AE1108" s="7"/>
      <c r="AF1108" s="12"/>
      <c r="AH1108"/>
      <c r="AI1108"/>
      <c r="AJ1108"/>
      <c r="AK1108"/>
      <c r="AL1108"/>
      <c r="AM1108"/>
    </row>
    <row r="1109" spans="1:39" s="183" customFormat="1">
      <c r="A1109"/>
      <c r="B1109" s="17"/>
      <c r="C1109" s="17"/>
      <c r="D1109" s="17"/>
      <c r="E1109" s="79"/>
      <c r="F1109" s="17"/>
      <c r="G1109" s="17"/>
      <c r="H1109" s="17"/>
      <c r="I1109" s="17"/>
      <c r="J1109" s="17"/>
      <c r="K1109" s="16"/>
      <c r="L1109"/>
      <c r="M1109"/>
      <c r="N1109"/>
      <c r="O1109"/>
      <c r="P1109"/>
      <c r="Q1109"/>
      <c r="R1109"/>
      <c r="S1109"/>
      <c r="T1109"/>
      <c r="U1109"/>
      <c r="V1109"/>
      <c r="W1109"/>
      <c r="X1109"/>
      <c r="Y1109"/>
      <c r="Z1109"/>
      <c r="AA1109"/>
      <c r="AB1109"/>
      <c r="AC1109"/>
      <c r="AD1109" s="17"/>
      <c r="AE1109" s="7"/>
      <c r="AF1109" s="12"/>
      <c r="AH1109"/>
      <c r="AI1109"/>
      <c r="AJ1109"/>
      <c r="AK1109"/>
      <c r="AL1109"/>
      <c r="AM1109"/>
    </row>
    <row r="1110" spans="1:39" s="183" customFormat="1">
      <c r="A1110"/>
      <c r="B1110" s="17"/>
      <c r="C1110" s="17"/>
      <c r="D1110" s="17"/>
      <c r="E1110" s="79"/>
      <c r="F1110" s="17"/>
      <c r="G1110" s="17"/>
      <c r="H1110" s="17"/>
      <c r="I1110" s="17"/>
      <c r="J1110" s="17"/>
      <c r="K1110" s="16"/>
      <c r="L1110"/>
      <c r="M1110"/>
      <c r="N1110"/>
      <c r="O1110"/>
      <c r="P1110"/>
      <c r="Q1110"/>
      <c r="R1110"/>
      <c r="S1110"/>
      <c r="T1110"/>
      <c r="U1110"/>
      <c r="V1110"/>
      <c r="W1110"/>
      <c r="X1110"/>
      <c r="Y1110"/>
      <c r="Z1110"/>
      <c r="AA1110"/>
      <c r="AB1110"/>
      <c r="AC1110"/>
      <c r="AD1110" s="17"/>
      <c r="AE1110" s="7"/>
      <c r="AF1110" s="12"/>
      <c r="AH1110"/>
      <c r="AI1110"/>
      <c r="AJ1110"/>
      <c r="AK1110"/>
      <c r="AL1110"/>
      <c r="AM1110"/>
    </row>
    <row r="1111" spans="1:39" s="183" customFormat="1">
      <c r="A1111"/>
      <c r="B1111" s="17"/>
      <c r="C1111" s="17"/>
      <c r="D1111" s="17"/>
      <c r="E1111" s="79"/>
      <c r="F1111" s="17"/>
      <c r="G1111" s="17"/>
      <c r="H1111" s="17"/>
      <c r="I1111" s="17"/>
      <c r="J1111" s="17"/>
      <c r="K1111" s="16"/>
      <c r="L1111"/>
      <c r="M1111"/>
      <c r="N1111"/>
      <c r="O1111"/>
      <c r="P1111"/>
      <c r="Q1111"/>
      <c r="R1111"/>
      <c r="S1111"/>
      <c r="T1111"/>
      <c r="U1111"/>
      <c r="V1111"/>
      <c r="W1111"/>
      <c r="X1111"/>
      <c r="Y1111"/>
      <c r="Z1111"/>
      <c r="AA1111"/>
      <c r="AB1111"/>
      <c r="AC1111"/>
      <c r="AD1111" s="17"/>
      <c r="AE1111" s="7"/>
      <c r="AF1111" s="12"/>
      <c r="AH1111"/>
      <c r="AI1111"/>
      <c r="AJ1111"/>
      <c r="AK1111"/>
      <c r="AL1111"/>
      <c r="AM1111"/>
    </row>
    <row r="1112" spans="1:39" s="183" customFormat="1">
      <c r="A1112"/>
      <c r="B1112" s="17"/>
      <c r="C1112" s="17"/>
      <c r="D1112" s="17"/>
      <c r="E1112" s="79"/>
      <c r="F1112" s="17"/>
      <c r="G1112" s="17"/>
      <c r="H1112" s="17"/>
      <c r="I1112" s="17"/>
      <c r="J1112" s="17"/>
      <c r="K1112" s="16"/>
      <c r="L1112"/>
      <c r="M1112"/>
      <c r="N1112"/>
      <c r="O1112"/>
      <c r="P1112"/>
      <c r="Q1112"/>
      <c r="R1112"/>
      <c r="S1112"/>
      <c r="T1112"/>
      <c r="U1112"/>
      <c r="V1112"/>
      <c r="W1112"/>
      <c r="X1112"/>
      <c r="Y1112"/>
      <c r="Z1112"/>
      <c r="AA1112"/>
      <c r="AB1112"/>
      <c r="AC1112"/>
      <c r="AD1112" s="17"/>
      <c r="AE1112" s="7"/>
      <c r="AF1112" s="12"/>
      <c r="AH1112"/>
      <c r="AI1112"/>
      <c r="AJ1112"/>
      <c r="AK1112"/>
      <c r="AL1112"/>
      <c r="AM1112"/>
    </row>
    <row r="1113" spans="1:39" s="183" customFormat="1">
      <c r="A1113"/>
      <c r="B1113" s="17"/>
      <c r="C1113" s="17"/>
      <c r="D1113" s="17"/>
      <c r="E1113" s="79"/>
      <c r="F1113" s="17"/>
      <c r="G1113" s="17"/>
      <c r="H1113" s="17"/>
      <c r="I1113" s="17"/>
      <c r="J1113" s="17"/>
      <c r="K1113" s="16"/>
      <c r="L1113"/>
      <c r="M1113"/>
      <c r="N1113"/>
      <c r="O1113"/>
      <c r="P1113"/>
      <c r="Q1113"/>
      <c r="R1113"/>
      <c r="S1113"/>
      <c r="T1113"/>
      <c r="U1113"/>
      <c r="V1113"/>
      <c r="W1113"/>
      <c r="X1113"/>
      <c r="Y1113"/>
      <c r="Z1113"/>
      <c r="AA1113"/>
      <c r="AB1113"/>
      <c r="AC1113"/>
      <c r="AD1113" s="17"/>
      <c r="AE1113" s="7"/>
      <c r="AF1113" s="12"/>
      <c r="AH1113"/>
      <c r="AI1113"/>
      <c r="AJ1113"/>
      <c r="AK1113"/>
      <c r="AL1113"/>
      <c r="AM1113"/>
    </row>
    <row r="1114" spans="1:39" s="183" customFormat="1">
      <c r="A1114"/>
      <c r="B1114" s="17"/>
      <c r="C1114" s="17"/>
      <c r="D1114" s="17"/>
      <c r="E1114" s="79"/>
      <c r="F1114" s="17"/>
      <c r="G1114" s="17"/>
      <c r="H1114" s="17"/>
      <c r="I1114" s="17"/>
      <c r="J1114" s="17"/>
      <c r="K1114" s="16"/>
      <c r="L1114"/>
      <c r="M1114"/>
      <c r="N1114"/>
      <c r="O1114"/>
      <c r="P1114"/>
      <c r="Q1114"/>
      <c r="R1114"/>
      <c r="S1114"/>
      <c r="T1114"/>
      <c r="U1114"/>
      <c r="V1114"/>
      <c r="W1114"/>
      <c r="X1114"/>
      <c r="Y1114"/>
      <c r="Z1114"/>
      <c r="AA1114"/>
      <c r="AB1114"/>
      <c r="AC1114"/>
      <c r="AD1114" s="17"/>
      <c r="AE1114" s="7"/>
      <c r="AF1114" s="12"/>
      <c r="AH1114"/>
      <c r="AI1114"/>
      <c r="AJ1114"/>
      <c r="AK1114"/>
      <c r="AL1114"/>
      <c r="AM1114"/>
    </row>
    <row r="1115" spans="1:39" s="183" customFormat="1">
      <c r="A1115"/>
      <c r="B1115" s="17"/>
      <c r="C1115" s="17"/>
      <c r="D1115" s="17"/>
      <c r="E1115" s="79"/>
      <c r="F1115" s="17"/>
      <c r="G1115" s="17"/>
      <c r="H1115" s="17"/>
      <c r="I1115" s="17"/>
      <c r="J1115" s="17"/>
      <c r="K1115" s="16"/>
      <c r="L1115"/>
      <c r="M1115"/>
      <c r="N1115"/>
      <c r="O1115"/>
      <c r="P1115"/>
      <c r="Q1115"/>
      <c r="R1115"/>
      <c r="S1115"/>
      <c r="T1115"/>
      <c r="U1115"/>
      <c r="V1115"/>
      <c r="W1115"/>
      <c r="X1115"/>
      <c r="Y1115"/>
      <c r="Z1115"/>
      <c r="AA1115"/>
      <c r="AB1115"/>
      <c r="AC1115"/>
      <c r="AD1115" s="17"/>
      <c r="AE1115" s="7"/>
      <c r="AF1115" s="12"/>
      <c r="AH1115"/>
      <c r="AI1115"/>
      <c r="AJ1115"/>
      <c r="AK1115"/>
      <c r="AL1115"/>
      <c r="AM1115"/>
    </row>
    <row r="1116" spans="1:39" s="183" customFormat="1">
      <c r="A1116"/>
      <c r="B1116" s="17"/>
      <c r="C1116" s="17"/>
      <c r="D1116" s="17"/>
      <c r="E1116" s="79"/>
      <c r="F1116" s="17"/>
      <c r="G1116" s="17"/>
      <c r="H1116" s="17"/>
      <c r="I1116" s="17"/>
      <c r="J1116" s="17"/>
      <c r="K1116" s="16"/>
      <c r="L1116"/>
      <c r="M1116"/>
      <c r="N1116"/>
      <c r="O1116"/>
      <c r="P1116"/>
      <c r="Q1116"/>
      <c r="R1116"/>
      <c r="S1116"/>
      <c r="T1116"/>
      <c r="U1116"/>
      <c r="V1116"/>
      <c r="W1116"/>
      <c r="X1116"/>
      <c r="Y1116"/>
      <c r="Z1116"/>
      <c r="AA1116"/>
      <c r="AB1116"/>
      <c r="AC1116"/>
      <c r="AD1116" s="17"/>
      <c r="AE1116" s="7"/>
      <c r="AF1116" s="12"/>
      <c r="AH1116"/>
      <c r="AI1116"/>
      <c r="AJ1116"/>
      <c r="AK1116"/>
      <c r="AL1116"/>
      <c r="AM1116"/>
    </row>
    <row r="1117" spans="1:39" s="183" customFormat="1">
      <c r="A1117"/>
      <c r="B1117" s="17"/>
      <c r="C1117" s="17"/>
      <c r="D1117" s="17"/>
      <c r="E1117" s="79"/>
      <c r="F1117" s="17"/>
      <c r="G1117" s="17"/>
      <c r="H1117" s="17"/>
      <c r="I1117" s="17"/>
      <c r="J1117" s="17"/>
      <c r="K1117" s="16"/>
      <c r="L1117"/>
      <c r="M1117"/>
      <c r="N1117"/>
      <c r="O1117"/>
      <c r="P1117"/>
      <c r="Q1117"/>
      <c r="R1117"/>
      <c r="S1117"/>
      <c r="T1117"/>
      <c r="U1117"/>
      <c r="V1117"/>
      <c r="W1117"/>
      <c r="X1117"/>
      <c r="Y1117"/>
      <c r="Z1117"/>
      <c r="AA1117"/>
      <c r="AB1117"/>
      <c r="AC1117"/>
      <c r="AD1117" s="17"/>
      <c r="AE1117" s="7"/>
      <c r="AF1117" s="12"/>
      <c r="AH1117"/>
      <c r="AI1117"/>
      <c r="AJ1117"/>
      <c r="AK1117"/>
      <c r="AL1117"/>
      <c r="AM1117"/>
    </row>
    <row r="1118" spans="1:39" s="183" customFormat="1">
      <c r="A1118"/>
      <c r="B1118" s="17"/>
      <c r="C1118" s="17"/>
      <c r="D1118" s="17"/>
      <c r="E1118" s="79"/>
      <c r="F1118" s="17"/>
      <c r="G1118" s="17"/>
      <c r="H1118" s="17"/>
      <c r="I1118" s="17"/>
      <c r="J1118" s="17"/>
      <c r="K1118" s="16"/>
      <c r="L1118"/>
      <c r="M1118"/>
      <c r="N1118"/>
      <c r="O1118"/>
      <c r="P1118"/>
      <c r="Q1118"/>
      <c r="R1118"/>
      <c r="S1118"/>
      <c r="T1118"/>
      <c r="U1118"/>
      <c r="V1118"/>
      <c r="W1118"/>
      <c r="X1118"/>
      <c r="Y1118"/>
      <c r="Z1118"/>
      <c r="AA1118"/>
      <c r="AB1118"/>
      <c r="AC1118"/>
      <c r="AD1118" s="17"/>
      <c r="AE1118" s="7"/>
      <c r="AF1118" s="12"/>
      <c r="AH1118"/>
      <c r="AI1118"/>
      <c r="AJ1118"/>
      <c r="AK1118"/>
      <c r="AL1118"/>
      <c r="AM1118"/>
    </row>
    <row r="1119" spans="1:39" s="183" customFormat="1">
      <c r="A1119"/>
      <c r="B1119" s="17"/>
      <c r="C1119" s="17"/>
      <c r="D1119" s="17"/>
      <c r="E1119" s="79"/>
      <c r="F1119" s="17"/>
      <c r="G1119" s="17"/>
      <c r="H1119" s="17"/>
      <c r="I1119" s="17"/>
      <c r="J1119" s="17"/>
      <c r="K1119" s="16"/>
      <c r="L1119"/>
      <c r="M1119"/>
      <c r="N1119"/>
      <c r="O1119"/>
      <c r="P1119"/>
      <c r="Q1119"/>
      <c r="R1119"/>
      <c r="S1119"/>
      <c r="T1119"/>
      <c r="U1119"/>
      <c r="V1119"/>
      <c r="W1119"/>
      <c r="X1119"/>
      <c r="Y1119"/>
      <c r="Z1119"/>
      <c r="AA1119"/>
      <c r="AB1119"/>
      <c r="AC1119"/>
      <c r="AD1119" s="17"/>
      <c r="AE1119" s="7"/>
      <c r="AF1119" s="12"/>
      <c r="AH1119"/>
      <c r="AI1119"/>
      <c r="AJ1119"/>
      <c r="AK1119"/>
      <c r="AL1119"/>
      <c r="AM1119"/>
    </row>
    <row r="1120" spans="1:39">
      <c r="K1120" s="16"/>
      <c r="AE1120" s="7"/>
      <c r="AF1120" s="12"/>
    </row>
    <row r="1121" spans="4:32">
      <c r="K1121" s="16"/>
      <c r="AE1121" s="7"/>
      <c r="AF1121" s="12"/>
    </row>
    <row r="1122" spans="4:32">
      <c r="K1122" s="16"/>
      <c r="AE1122" s="7"/>
      <c r="AF1122" s="12"/>
    </row>
    <row r="1123" spans="4:32">
      <c r="K1123" s="16"/>
      <c r="AE1123" s="7"/>
      <c r="AF1123" s="12"/>
    </row>
    <row r="1124" spans="4:32">
      <c r="D1124"/>
      <c r="AE1124" s="7"/>
      <c r="AF1124" s="12"/>
    </row>
    <row r="1125" spans="4:32">
      <c r="D1125"/>
      <c r="AE1125" s="7"/>
      <c r="AF1125" s="12"/>
    </row>
    <row r="1126" spans="4:32">
      <c r="D1126"/>
      <c r="AE1126" s="7"/>
      <c r="AF1126" s="12"/>
    </row>
    <row r="1127" spans="4:32">
      <c r="D1127"/>
      <c r="AE1127" s="7"/>
      <c r="AF1127" s="12"/>
    </row>
    <row r="1128" spans="4:32">
      <c r="D1128"/>
      <c r="AE1128" s="7"/>
      <c r="AF1128" s="12"/>
    </row>
    <row r="1129" spans="4:32">
      <c r="D1129"/>
      <c r="AE1129" s="7"/>
      <c r="AF1129" s="12"/>
    </row>
    <row r="1130" spans="4:32">
      <c r="D1130"/>
      <c r="AE1130" s="7"/>
      <c r="AF1130" s="12"/>
    </row>
    <row r="1131" spans="4:32">
      <c r="D1131"/>
      <c r="AE1131" s="7"/>
      <c r="AF1131" s="12"/>
    </row>
    <row r="1132" spans="4:32">
      <c r="D1132"/>
      <c r="AE1132" s="7"/>
      <c r="AF1132" s="12"/>
    </row>
    <row r="1133" spans="4:32">
      <c r="D1133"/>
      <c r="AE1133" s="7"/>
      <c r="AF1133" s="12"/>
    </row>
    <row r="1134" spans="4:32">
      <c r="D1134"/>
      <c r="AE1134" s="7"/>
      <c r="AF1134" s="12"/>
    </row>
    <row r="1135" spans="4:32">
      <c r="D1135"/>
      <c r="AE1135" s="7"/>
      <c r="AF1135" s="12"/>
    </row>
    <row r="1136" spans="4:32">
      <c r="D1136"/>
      <c r="AE1136" s="7"/>
      <c r="AF1136" s="12"/>
    </row>
    <row r="1137" spans="4:32">
      <c r="D1137"/>
      <c r="AE1137" s="7"/>
      <c r="AF1137" s="12"/>
    </row>
    <row r="1138" spans="4:32">
      <c r="D1138"/>
      <c r="AE1138" s="7"/>
      <c r="AF1138" s="12"/>
    </row>
    <row r="1139" spans="4:32">
      <c r="D1139"/>
      <c r="AE1139" s="7"/>
      <c r="AF1139" s="12"/>
    </row>
    <row r="1140" spans="4:32">
      <c r="D1140"/>
      <c r="AE1140" s="7"/>
      <c r="AF1140" s="12"/>
    </row>
    <row r="1141" spans="4:32">
      <c r="AE1141" s="7"/>
      <c r="AF1141" s="12"/>
    </row>
    <row r="1142" spans="4:32">
      <c r="AE1142" s="7"/>
      <c r="AF1142" s="12"/>
    </row>
    <row r="1143" spans="4:32">
      <c r="AE1143" s="7"/>
      <c r="AF1143" s="12"/>
    </row>
    <row r="1144" spans="4:32">
      <c r="AE1144" s="7"/>
      <c r="AF1144" s="12"/>
    </row>
    <row r="1145" spans="4:32">
      <c r="AE1145" s="7"/>
      <c r="AF1145" s="12"/>
    </row>
    <row r="1146" spans="4:32">
      <c r="AE1146" s="7"/>
      <c r="AF1146" s="12"/>
    </row>
    <row r="1147" spans="4:32">
      <c r="AE1147" s="7"/>
      <c r="AF1147" s="12"/>
    </row>
    <row r="1148" spans="4:32">
      <c r="AE1148" s="7"/>
      <c r="AF1148" s="12"/>
    </row>
    <row r="1149" spans="4:32">
      <c r="AE1149" s="7"/>
      <c r="AF1149" s="12"/>
    </row>
    <row r="1150" spans="4:32">
      <c r="AE1150" s="7"/>
      <c r="AF1150" s="12"/>
    </row>
    <row r="1151" spans="4:32">
      <c r="AE1151" s="7"/>
      <c r="AF1151" s="12"/>
    </row>
    <row r="1152" spans="4:32">
      <c r="AE1152" s="7"/>
      <c r="AF1152" s="12"/>
    </row>
    <row r="1153" spans="31:32">
      <c r="AE1153" s="7"/>
      <c r="AF1153" s="12"/>
    </row>
    <row r="1154" spans="31:32">
      <c r="AE1154" s="7"/>
      <c r="AF1154" s="12"/>
    </row>
    <row r="1155" spans="31:32">
      <c r="AE1155" s="7"/>
      <c r="AF1155" s="12"/>
    </row>
    <row r="1156" spans="31:32">
      <c r="AE1156" s="7"/>
      <c r="AF1156" s="12"/>
    </row>
    <row r="1157" spans="31:32">
      <c r="AE1157" s="7"/>
      <c r="AF1157" s="12"/>
    </row>
    <row r="1158" spans="31:32">
      <c r="AE1158" s="7"/>
      <c r="AF1158" s="12"/>
    </row>
    <row r="1159" spans="31:32">
      <c r="AE1159" s="7"/>
      <c r="AF1159" s="12"/>
    </row>
    <row r="1160" spans="31:32">
      <c r="AE1160" s="7"/>
      <c r="AF1160" s="12"/>
    </row>
    <row r="1161" spans="31:32">
      <c r="AE1161" s="7"/>
      <c r="AF1161" s="12"/>
    </row>
    <row r="1162" spans="31:32">
      <c r="AE1162" s="7"/>
      <c r="AF1162" s="12"/>
    </row>
    <row r="1163" spans="31:32">
      <c r="AE1163" s="7"/>
      <c r="AF1163" s="12"/>
    </row>
    <row r="1164" spans="31:32">
      <c r="AE1164" s="7"/>
      <c r="AF1164" s="12"/>
    </row>
    <row r="1165" spans="31:32">
      <c r="AE1165" s="7"/>
      <c r="AF1165" s="12"/>
    </row>
    <row r="1166" spans="31:32">
      <c r="AE1166" s="7"/>
      <c r="AF1166" s="12"/>
    </row>
    <row r="1167" spans="31:32">
      <c r="AE1167" s="7"/>
      <c r="AF1167" s="12"/>
    </row>
  </sheetData>
  <autoFilter ref="A1:AM1069"/>
  <conditionalFormatting sqref="P2:P1032 P1045:P1069">
    <cfRule type="cellIs" dxfId="4" priority="2" operator="notEqual">
      <formula>1</formula>
    </cfRule>
  </conditionalFormatting>
  <conditionalFormatting sqref="P1033:P1044">
    <cfRule type="cellIs" dxfId="3" priority="1" operator="notEqual">
      <formula>1</formula>
    </cfRule>
  </conditionalFormatting>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B17"/>
  <sheetViews>
    <sheetView workbookViewId="0"/>
  </sheetViews>
  <sheetFormatPr defaultRowHeight="12"/>
  <cols>
    <col min="1" max="1" width="12.5" bestFit="1" customWidth="1"/>
  </cols>
  <sheetData>
    <row r="1" spans="1:2">
      <c r="A1">
        <v>1022</v>
      </c>
      <c r="B1" s="15" t="s">
        <v>117</v>
      </c>
    </row>
    <row r="2" spans="1:2">
      <c r="A2">
        <v>1040</v>
      </c>
      <c r="B2" s="15" t="s">
        <v>116</v>
      </c>
    </row>
    <row r="3" spans="1:2">
      <c r="A3">
        <v>1055</v>
      </c>
      <c r="B3" s="15" t="s">
        <v>115</v>
      </c>
    </row>
    <row r="4" spans="1:2">
      <c r="A4">
        <v>1051</v>
      </c>
      <c r="B4" s="15" t="s">
        <v>114</v>
      </c>
    </row>
    <row r="6" spans="1:2">
      <c r="A6" t="s">
        <v>118</v>
      </c>
      <c r="B6" t="s">
        <v>119</v>
      </c>
    </row>
    <row r="8" spans="1:2">
      <c r="A8" t="s">
        <v>120</v>
      </c>
      <c r="B8" s="15" t="s">
        <v>121</v>
      </c>
    </row>
    <row r="10" spans="1:2">
      <c r="A10" t="s">
        <v>122</v>
      </c>
      <c r="B10" t="s">
        <v>123</v>
      </c>
    </row>
    <row r="11" spans="1:2">
      <c r="B11" s="15" t="s">
        <v>124</v>
      </c>
    </row>
    <row r="12" spans="1:2">
      <c r="B12" s="50" t="s">
        <v>125</v>
      </c>
    </row>
    <row r="13" spans="1:2">
      <c r="B13" t="s">
        <v>126</v>
      </c>
    </row>
    <row r="14" spans="1:2">
      <c r="B14" t="s">
        <v>127</v>
      </c>
    </row>
    <row r="15" spans="1:2">
      <c r="B15" t="s">
        <v>128</v>
      </c>
    </row>
    <row r="16" spans="1:2">
      <c r="B16" s="50" t="s">
        <v>129</v>
      </c>
    </row>
    <row r="17" spans="2:2">
      <c r="B17" t="s">
        <v>130</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12"/>
  <sheetViews>
    <sheetView workbookViewId="0"/>
  </sheetViews>
  <sheetFormatPr defaultRowHeight="12"/>
  <cols>
    <col min="1" max="1" width="12.6640625" style="439" bestFit="1" customWidth="1"/>
    <col min="2" max="2" width="12.6640625" style="439" customWidth="1"/>
    <col min="3" max="3" width="9.33203125" style="599"/>
    <col min="4" max="4" width="15" style="599" bestFit="1" customWidth="1"/>
    <col min="5" max="5" width="23.33203125" style="599" bestFit="1" customWidth="1"/>
    <col min="6" max="6" width="15.1640625" style="439" bestFit="1" customWidth="1"/>
    <col min="7" max="8" width="14.33203125" style="439" customWidth="1"/>
    <col min="9" max="9" width="12" style="439" customWidth="1"/>
    <col min="10" max="10" width="9.33203125" style="435"/>
    <col min="11" max="15" width="9.33203125" style="439"/>
    <col min="16" max="16" width="11.1640625" style="439" customWidth="1"/>
    <col min="17" max="18" width="11.5" style="439" customWidth="1"/>
    <col min="19" max="20" width="9.33203125" style="435"/>
    <col min="21" max="23" width="9.33203125" style="439"/>
    <col min="24" max="16384" width="9.33203125" style="599"/>
  </cols>
  <sheetData>
    <row r="1" spans="1:27">
      <c r="A1" s="599"/>
      <c r="B1" s="599"/>
      <c r="F1" s="599"/>
      <c r="G1" s="599"/>
      <c r="H1" s="599"/>
      <c r="I1" s="599">
        <v>2.6679999999999999E-2</v>
      </c>
      <c r="J1" s="623"/>
      <c r="K1" s="599"/>
      <c r="L1" s="599"/>
      <c r="M1" s="599"/>
      <c r="N1" s="599"/>
      <c r="O1" s="1312" t="s">
        <v>465</v>
      </c>
      <c r="P1" s="1313"/>
      <c r="Q1" s="1313"/>
      <c r="R1" s="1312" t="s">
        <v>466</v>
      </c>
      <c r="S1" s="1314"/>
      <c r="T1" s="1314"/>
      <c r="U1" s="1312" t="s">
        <v>467</v>
      </c>
      <c r="V1" s="1313"/>
      <c r="W1" s="1313"/>
    </row>
    <row r="2" spans="1:27" ht="72">
      <c r="A2" s="439" t="s">
        <v>9</v>
      </c>
      <c r="B2" s="439" t="s">
        <v>858</v>
      </c>
      <c r="C2" s="624" t="s">
        <v>10</v>
      </c>
      <c r="D2" s="624" t="s">
        <v>5</v>
      </c>
      <c r="E2" s="624" t="s">
        <v>11</v>
      </c>
      <c r="F2" s="625" t="s">
        <v>28</v>
      </c>
      <c r="G2" s="625" t="s">
        <v>459</v>
      </c>
      <c r="H2" s="626" t="s">
        <v>460</v>
      </c>
      <c r="I2" s="625" t="s">
        <v>461</v>
      </c>
      <c r="J2" s="627" t="s">
        <v>12</v>
      </c>
      <c r="K2" s="625" t="s">
        <v>13</v>
      </c>
      <c r="L2" s="625" t="s">
        <v>462</v>
      </c>
      <c r="M2" s="626" t="s">
        <v>463</v>
      </c>
      <c r="N2" s="626" t="s">
        <v>464</v>
      </c>
      <c r="O2" s="481" t="s">
        <v>21</v>
      </c>
      <c r="P2" s="628" t="s">
        <v>1142</v>
      </c>
      <c r="Q2" s="481" t="s">
        <v>479</v>
      </c>
      <c r="R2" s="439" t="s">
        <v>21</v>
      </c>
      <c r="S2" s="435" t="s">
        <v>22</v>
      </c>
      <c r="T2" s="435" t="s">
        <v>23</v>
      </c>
      <c r="U2" s="439" t="s">
        <v>21</v>
      </c>
      <c r="V2" s="439" t="s">
        <v>22</v>
      </c>
      <c r="W2" s="439" t="s">
        <v>23</v>
      </c>
      <c r="X2" s="624"/>
      <c r="Y2" s="624"/>
      <c r="Z2" s="624"/>
      <c r="AA2" s="624"/>
    </row>
    <row r="3" spans="1:27">
      <c r="A3" s="439">
        <v>1</v>
      </c>
      <c r="B3" s="439">
        <f t="shared" ref="B3:I3" si="0">A3+1</f>
        <v>2</v>
      </c>
      <c r="C3" s="439">
        <f t="shared" si="0"/>
        <v>3</v>
      </c>
      <c r="D3" s="439">
        <f t="shared" si="0"/>
        <v>4</v>
      </c>
      <c r="E3" s="439">
        <f t="shared" si="0"/>
        <v>5</v>
      </c>
      <c r="F3" s="439">
        <f t="shared" si="0"/>
        <v>6</v>
      </c>
      <c r="G3" s="439">
        <f t="shared" si="0"/>
        <v>7</v>
      </c>
      <c r="H3" s="439">
        <f t="shared" si="0"/>
        <v>8</v>
      </c>
      <c r="I3" s="439">
        <f t="shared" si="0"/>
        <v>9</v>
      </c>
      <c r="J3" s="439">
        <f t="shared" ref="J3:W3" si="1">I3+1</f>
        <v>10</v>
      </c>
      <c r="K3" s="439">
        <f t="shared" si="1"/>
        <v>11</v>
      </c>
      <c r="L3" s="439">
        <f t="shared" si="1"/>
        <v>12</v>
      </c>
      <c r="M3" s="439">
        <f t="shared" si="1"/>
        <v>13</v>
      </c>
      <c r="N3" s="439">
        <f t="shared" si="1"/>
        <v>14</v>
      </c>
      <c r="O3" s="439">
        <f t="shared" si="1"/>
        <v>15</v>
      </c>
      <c r="P3" s="439">
        <f t="shared" si="1"/>
        <v>16</v>
      </c>
      <c r="Q3" s="439">
        <f t="shared" si="1"/>
        <v>17</v>
      </c>
      <c r="R3" s="439">
        <f t="shared" si="1"/>
        <v>18</v>
      </c>
      <c r="S3" s="439">
        <f t="shared" si="1"/>
        <v>19</v>
      </c>
      <c r="T3" s="439">
        <f t="shared" si="1"/>
        <v>20</v>
      </c>
      <c r="U3" s="439">
        <f t="shared" si="1"/>
        <v>21</v>
      </c>
      <c r="V3" s="439">
        <f t="shared" si="1"/>
        <v>22</v>
      </c>
      <c r="W3" s="439">
        <f t="shared" si="1"/>
        <v>23</v>
      </c>
    </row>
    <row r="4" spans="1:27">
      <c r="A4" s="485">
        <v>20100801</v>
      </c>
      <c r="B4" s="629" t="s">
        <v>14</v>
      </c>
      <c r="C4" s="630" t="s">
        <v>14</v>
      </c>
      <c r="D4" s="630" t="s">
        <v>174</v>
      </c>
      <c r="E4" s="599" t="str">
        <f t="shared" ref="E4:E35" si="2">A4&amp;D4</f>
        <v>20100801KURSE010</v>
      </c>
      <c r="F4" s="631">
        <v>8.5</v>
      </c>
      <c r="G4" s="632">
        <f>SUM(J4:L4)</f>
        <v>6.8049999999999999E-2</v>
      </c>
      <c r="H4" s="632">
        <f>IF(M4=0,0,SUM(J4:K4,M4))</f>
        <v>0</v>
      </c>
      <c r="I4" s="632">
        <f>IF(N4=0,0,SUM(J4:K4,N4))</f>
        <v>0</v>
      </c>
      <c r="J4" s="633">
        <v>6.8399999999999997E-3</v>
      </c>
      <c r="K4" s="633">
        <v>2.7539999999999999E-2</v>
      </c>
      <c r="L4" s="633">
        <v>3.3670000000000005E-2</v>
      </c>
      <c r="M4" s="633"/>
      <c r="N4" s="633"/>
      <c r="O4" s="631"/>
      <c r="P4" s="631"/>
      <c r="Q4" s="631"/>
      <c r="R4" s="631"/>
      <c r="S4" s="631"/>
      <c r="T4" s="631"/>
      <c r="U4" s="436"/>
      <c r="V4" s="436"/>
      <c r="W4" s="436"/>
    </row>
    <row r="5" spans="1:27">
      <c r="A5" s="634">
        <f>A4</f>
        <v>20100801</v>
      </c>
      <c r="B5" s="629" t="s">
        <v>14</v>
      </c>
      <c r="C5" s="630" t="s">
        <v>14</v>
      </c>
      <c r="D5" s="635" t="s">
        <v>175</v>
      </c>
      <c r="E5" s="599" t="str">
        <f t="shared" si="2"/>
        <v>20100801KURSE020</v>
      </c>
      <c r="F5" s="631">
        <v>8.5</v>
      </c>
      <c r="G5" s="632">
        <f t="shared" ref="G5:G71" si="3">SUM(J5:L5)</f>
        <v>6.8049999999999999E-2</v>
      </c>
      <c r="H5" s="632">
        <f t="shared" ref="H5:H71" si="4">IF(M5=0,0,SUM(J5:K5,M5))</f>
        <v>0</v>
      </c>
      <c r="I5" s="632">
        <f t="shared" ref="I5:I71" si="5">IF(N5=0,0,SUM(J5:K5,N5))</f>
        <v>0</v>
      </c>
      <c r="J5" s="633">
        <v>6.8399999999999997E-3</v>
      </c>
      <c r="K5" s="633">
        <v>2.7539999999999999E-2</v>
      </c>
      <c r="L5" s="633">
        <v>3.3670000000000005E-2</v>
      </c>
      <c r="M5" s="633"/>
      <c r="N5" s="633"/>
      <c r="O5" s="631"/>
      <c r="P5" s="631"/>
      <c r="Q5" s="631"/>
      <c r="R5" s="631"/>
      <c r="S5" s="631"/>
      <c r="T5" s="631"/>
      <c r="U5" s="436"/>
      <c r="V5" s="436"/>
      <c r="W5" s="436"/>
    </row>
    <row r="6" spans="1:27">
      <c r="A6" s="634">
        <f t="shared" ref="A6:A36" si="6">A5</f>
        <v>20100801</v>
      </c>
      <c r="B6" s="629" t="s">
        <v>14</v>
      </c>
      <c r="C6" s="635" t="s">
        <v>207</v>
      </c>
      <c r="D6" s="635" t="s">
        <v>176</v>
      </c>
      <c r="E6" s="599" t="str">
        <f t="shared" si="2"/>
        <v>20100801KURSE025</v>
      </c>
      <c r="F6" s="631">
        <v>8.5</v>
      </c>
      <c r="G6" s="632">
        <f t="shared" si="3"/>
        <v>6.8049999999999999E-2</v>
      </c>
      <c r="H6" s="632">
        <f t="shared" si="4"/>
        <v>0</v>
      </c>
      <c r="I6" s="632">
        <f t="shared" si="5"/>
        <v>0</v>
      </c>
      <c r="J6" s="633">
        <v>6.8399999999999997E-3</v>
      </c>
      <c r="K6" s="633">
        <v>2.7539999999999999E-2</v>
      </c>
      <c r="L6" s="633">
        <v>3.3670000000000005E-2</v>
      </c>
      <c r="M6" s="633"/>
      <c r="N6" s="633"/>
      <c r="O6" s="631"/>
      <c r="P6" s="631"/>
      <c r="Q6" s="631"/>
      <c r="R6" s="631"/>
      <c r="S6" s="631"/>
      <c r="T6" s="631"/>
      <c r="U6" s="436"/>
      <c r="V6" s="436"/>
      <c r="W6" s="436"/>
    </row>
    <row r="7" spans="1:27">
      <c r="A7" s="634">
        <f t="shared" si="6"/>
        <v>20100801</v>
      </c>
      <c r="B7" s="629" t="s">
        <v>831</v>
      </c>
      <c r="C7" s="630" t="s">
        <v>16</v>
      </c>
      <c r="D7" s="635" t="s">
        <v>177</v>
      </c>
      <c r="E7" s="599" t="str">
        <f t="shared" si="2"/>
        <v>20100801KURSE080</v>
      </c>
      <c r="F7" s="631">
        <v>8.5</v>
      </c>
      <c r="G7" s="632">
        <f t="shared" si="3"/>
        <v>6.8049999999999999E-2</v>
      </c>
      <c r="H7" s="632">
        <f t="shared" si="4"/>
        <v>0</v>
      </c>
      <c r="I7" s="632">
        <f t="shared" si="5"/>
        <v>0</v>
      </c>
      <c r="J7" s="633">
        <v>6.8399999999999997E-3</v>
      </c>
      <c r="K7" s="633">
        <v>2.7539999999999999E-2</v>
      </c>
      <c r="L7" s="633">
        <v>3.3670000000000005E-2</v>
      </c>
      <c r="M7" s="633"/>
      <c r="N7" s="633"/>
      <c r="O7" s="631"/>
      <c r="P7" s="631"/>
      <c r="Q7" s="631"/>
      <c r="R7" s="631"/>
      <c r="S7" s="631"/>
      <c r="T7" s="631"/>
      <c r="U7" s="436"/>
      <c r="V7" s="436"/>
      <c r="W7" s="436"/>
    </row>
    <row r="8" spans="1:27">
      <c r="A8" s="634">
        <f t="shared" si="6"/>
        <v>20100801</v>
      </c>
      <c r="B8" s="629" t="s">
        <v>14</v>
      </c>
      <c r="C8" s="630" t="s">
        <v>15</v>
      </c>
      <c r="D8" s="635" t="s">
        <v>178</v>
      </c>
      <c r="E8" s="599" t="str">
        <f t="shared" si="2"/>
        <v>20100801KURSE715</v>
      </c>
      <c r="F8" s="631">
        <v>8.5</v>
      </c>
      <c r="G8" s="632">
        <f t="shared" si="3"/>
        <v>6.8049999999999999E-2</v>
      </c>
      <c r="H8" s="632">
        <f t="shared" si="4"/>
        <v>0</v>
      </c>
      <c r="I8" s="632">
        <f t="shared" si="5"/>
        <v>0</v>
      </c>
      <c r="J8" s="633">
        <v>6.8399999999999997E-3</v>
      </c>
      <c r="K8" s="633">
        <v>2.7539999999999999E-2</v>
      </c>
      <c r="L8" s="633">
        <v>3.3670000000000005E-2</v>
      </c>
      <c r="M8" s="633"/>
      <c r="N8" s="633"/>
      <c r="O8" s="631"/>
      <c r="P8" s="631"/>
      <c r="Q8" s="631"/>
      <c r="R8" s="631"/>
      <c r="S8" s="631"/>
      <c r="T8" s="631"/>
      <c r="U8" s="436"/>
      <c r="V8" s="436"/>
      <c r="W8" s="436"/>
    </row>
    <row r="9" spans="1:27">
      <c r="A9" s="634">
        <f t="shared" si="6"/>
        <v>20100801</v>
      </c>
      <c r="B9" s="629" t="s">
        <v>1363</v>
      </c>
      <c r="C9" s="630" t="s">
        <v>206</v>
      </c>
      <c r="D9" s="635" t="s">
        <v>458</v>
      </c>
      <c r="E9" s="599" t="str">
        <f t="shared" si="2"/>
        <v>20100801KURSE040</v>
      </c>
      <c r="F9" s="631">
        <v>8.5</v>
      </c>
      <c r="G9" s="632">
        <f t="shared" si="3"/>
        <v>4.7219999999999998E-2</v>
      </c>
      <c r="H9" s="632">
        <f t="shared" si="4"/>
        <v>6.8230000000000013E-2</v>
      </c>
      <c r="I9" s="632">
        <f t="shared" si="5"/>
        <v>0.13133</v>
      </c>
      <c r="J9" s="633">
        <f>$J8</f>
        <v>6.8399999999999997E-3</v>
      </c>
      <c r="K9" s="633">
        <f>K8</f>
        <v>2.7539999999999999E-2</v>
      </c>
      <c r="L9" s="633">
        <v>1.2840000000000001E-2</v>
      </c>
      <c r="M9" s="633">
        <v>3.3850000000000005E-2</v>
      </c>
      <c r="N9" s="633">
        <v>9.6950000000000008E-2</v>
      </c>
      <c r="O9" s="631"/>
      <c r="P9" s="631"/>
      <c r="Q9" s="631"/>
      <c r="R9" s="631"/>
      <c r="S9" s="631"/>
      <c r="T9" s="631"/>
      <c r="U9" s="436"/>
      <c r="V9" s="436"/>
      <c r="W9" s="436"/>
    </row>
    <row r="10" spans="1:27">
      <c r="A10" s="634">
        <f t="shared" si="6"/>
        <v>20100801</v>
      </c>
      <c r="B10" s="629" t="s">
        <v>208</v>
      </c>
      <c r="C10" s="630" t="s">
        <v>208</v>
      </c>
      <c r="D10" s="630" t="s">
        <v>161</v>
      </c>
      <c r="E10" s="599" t="str">
        <f t="shared" si="2"/>
        <v>20100801KUCME110</v>
      </c>
      <c r="F10" s="631">
        <v>17.5</v>
      </c>
      <c r="G10" s="632">
        <f t="shared" si="3"/>
        <v>7.7960000000000015E-2</v>
      </c>
      <c r="H10" s="632">
        <f t="shared" si="4"/>
        <v>0</v>
      </c>
      <c r="I10" s="632">
        <f t="shared" si="5"/>
        <v>0</v>
      </c>
      <c r="J10" s="633">
        <v>7.9299999999999995E-3</v>
      </c>
      <c r="K10" s="633">
        <v>2.7539999999999999E-2</v>
      </c>
      <c r="L10" s="633">
        <v>4.2490000000000014E-2</v>
      </c>
      <c r="M10" s="633"/>
      <c r="N10" s="633"/>
      <c r="O10" s="631"/>
      <c r="P10" s="631"/>
      <c r="Q10" s="631"/>
      <c r="R10" s="631"/>
      <c r="S10" s="631"/>
      <c r="T10" s="631"/>
      <c r="U10" s="436"/>
      <c r="V10" s="436"/>
      <c r="W10" s="436"/>
    </row>
    <row r="11" spans="1:27">
      <c r="A11" s="634">
        <f t="shared" si="6"/>
        <v>20100801</v>
      </c>
      <c r="B11" s="629" t="s">
        <v>208</v>
      </c>
      <c r="C11" s="630" t="s">
        <v>208</v>
      </c>
      <c r="D11" s="635" t="s">
        <v>162</v>
      </c>
      <c r="E11" s="599" t="str">
        <f t="shared" si="2"/>
        <v>20100801KUCME112</v>
      </c>
      <c r="F11" s="631">
        <v>17.5</v>
      </c>
      <c r="G11" s="632">
        <f t="shared" si="3"/>
        <v>7.7960000000000015E-2</v>
      </c>
      <c r="H11" s="632">
        <f t="shared" si="4"/>
        <v>0</v>
      </c>
      <c r="I11" s="632">
        <f t="shared" si="5"/>
        <v>0</v>
      </c>
      <c r="J11" s="633">
        <v>7.9299999999999995E-3</v>
      </c>
      <c r="K11" s="633">
        <v>2.7539999999999999E-2</v>
      </c>
      <c r="L11" s="633">
        <v>4.2490000000000014E-2</v>
      </c>
      <c r="M11" s="633"/>
      <c r="N11" s="633"/>
      <c r="O11" s="631"/>
      <c r="P11" s="631"/>
      <c r="Q11" s="631"/>
      <c r="R11" s="631"/>
      <c r="S11" s="631"/>
      <c r="T11" s="631"/>
      <c r="U11" s="436"/>
      <c r="V11" s="436"/>
      <c r="W11" s="436"/>
    </row>
    <row r="12" spans="1:27">
      <c r="A12" s="634">
        <f t="shared" si="6"/>
        <v>20100801</v>
      </c>
      <c r="B12" s="629" t="s">
        <v>208</v>
      </c>
      <c r="C12" s="630" t="s">
        <v>209</v>
      </c>
      <c r="D12" s="630" t="s">
        <v>169</v>
      </c>
      <c r="E12" s="599" t="str">
        <f t="shared" si="2"/>
        <v>20100801KUCME710</v>
      </c>
      <c r="F12" s="631">
        <v>17.5</v>
      </c>
      <c r="G12" s="632">
        <f t="shared" si="3"/>
        <v>7.7960000000000015E-2</v>
      </c>
      <c r="H12" s="632">
        <f t="shared" si="4"/>
        <v>0</v>
      </c>
      <c r="I12" s="632">
        <f t="shared" si="5"/>
        <v>0</v>
      </c>
      <c r="J12" s="633">
        <v>7.9299999999999995E-3</v>
      </c>
      <c r="K12" s="633">
        <v>2.7539999999999999E-2</v>
      </c>
      <c r="L12" s="633">
        <v>4.2490000000000014E-2</v>
      </c>
      <c r="M12" s="633"/>
      <c r="N12" s="633"/>
      <c r="O12" s="631"/>
      <c r="P12" s="631"/>
      <c r="Q12" s="631"/>
      <c r="R12" s="631"/>
      <c r="S12" s="631"/>
      <c r="T12" s="631"/>
      <c r="U12" s="436"/>
      <c r="V12" s="436"/>
      <c r="W12" s="436"/>
    </row>
    <row r="13" spans="1:27">
      <c r="A13" s="634">
        <f t="shared" si="6"/>
        <v>20100801</v>
      </c>
      <c r="B13" s="636" t="s">
        <v>17</v>
      </c>
      <c r="C13" s="630" t="s">
        <v>17</v>
      </c>
      <c r="D13" s="635" t="s">
        <v>163</v>
      </c>
      <c r="E13" s="599" t="str">
        <f t="shared" si="2"/>
        <v>20100801KUCME113</v>
      </c>
      <c r="F13" s="631">
        <v>32.5</v>
      </c>
      <c r="G13" s="632">
        <f t="shared" si="3"/>
        <v>7.7960000000000015E-2</v>
      </c>
      <c r="H13" s="632">
        <f t="shared" si="4"/>
        <v>0</v>
      </c>
      <c r="I13" s="632">
        <f t="shared" si="5"/>
        <v>0</v>
      </c>
      <c r="J13" s="633">
        <v>7.9299999999999995E-3</v>
      </c>
      <c r="K13" s="633">
        <v>2.7539999999999999E-2</v>
      </c>
      <c r="L13" s="633">
        <v>4.2490000000000014E-2</v>
      </c>
      <c r="M13" s="633"/>
      <c r="N13" s="633"/>
      <c r="O13" s="631"/>
      <c r="P13" s="631"/>
      <c r="Q13" s="631"/>
      <c r="R13" s="631"/>
      <c r="S13" s="631"/>
      <c r="T13" s="631"/>
      <c r="U13" s="436"/>
      <c r="V13" s="436"/>
      <c r="W13" s="436"/>
    </row>
    <row r="14" spans="1:27">
      <c r="A14" s="634">
        <f t="shared" si="6"/>
        <v>20100801</v>
      </c>
      <c r="B14" s="629" t="s">
        <v>208</v>
      </c>
      <c r="C14" s="630" t="s">
        <v>210</v>
      </c>
      <c r="D14" s="635" t="s">
        <v>170</v>
      </c>
      <c r="E14" s="599" t="str">
        <f t="shared" si="2"/>
        <v>20100801KUCME713</v>
      </c>
      <c r="F14" s="631">
        <v>32.5</v>
      </c>
      <c r="G14" s="632">
        <f t="shared" si="3"/>
        <v>7.7960000000000015E-2</v>
      </c>
      <c r="H14" s="632">
        <f t="shared" si="4"/>
        <v>0</v>
      </c>
      <c r="I14" s="632">
        <f t="shared" si="5"/>
        <v>0</v>
      </c>
      <c r="J14" s="633">
        <v>7.9299999999999995E-3</v>
      </c>
      <c r="K14" s="633">
        <v>2.7539999999999999E-2</v>
      </c>
      <c r="L14" s="633">
        <v>4.2490000000000014E-2</v>
      </c>
      <c r="M14" s="633"/>
      <c r="N14" s="633"/>
      <c r="O14" s="631"/>
      <c r="P14" s="631"/>
      <c r="Q14" s="631"/>
      <c r="R14" s="631"/>
      <c r="S14" s="631"/>
      <c r="T14" s="631"/>
      <c r="U14" s="436"/>
      <c r="V14" s="436"/>
      <c r="W14" s="436"/>
    </row>
    <row r="15" spans="1:27">
      <c r="A15" s="634">
        <f t="shared" si="6"/>
        <v>20100801</v>
      </c>
      <c r="B15" s="629" t="s">
        <v>203</v>
      </c>
      <c r="C15" s="630" t="s">
        <v>203</v>
      </c>
      <c r="D15" s="630" t="s">
        <v>164</v>
      </c>
      <c r="E15" s="599" t="str">
        <f t="shared" si="2"/>
        <v>20100801KUCME220</v>
      </c>
      <c r="F15" s="631">
        <v>17.5</v>
      </c>
      <c r="G15" s="632">
        <f t="shared" si="3"/>
        <v>6.7059999999999995E-2</v>
      </c>
      <c r="H15" s="632">
        <f t="shared" si="4"/>
        <v>0</v>
      </c>
      <c r="I15" s="632">
        <f t="shared" si="5"/>
        <v>0</v>
      </c>
      <c r="J15" s="633">
        <v>7.9299999999999995E-3</v>
      </c>
      <c r="K15" s="633">
        <v>2.7539999999999999E-2</v>
      </c>
      <c r="L15" s="633">
        <v>3.1589999999999993E-2</v>
      </c>
      <c r="M15" s="633"/>
      <c r="N15" s="633"/>
      <c r="O15" s="631"/>
      <c r="P15" s="631"/>
      <c r="Q15" s="631"/>
      <c r="R15" s="631"/>
      <c r="S15" s="631"/>
      <c r="T15" s="631"/>
      <c r="U15" s="436"/>
      <c r="V15" s="436"/>
      <c r="W15" s="436"/>
    </row>
    <row r="16" spans="1:27">
      <c r="A16" s="634">
        <f t="shared" si="6"/>
        <v>20100801</v>
      </c>
      <c r="B16" s="629" t="s">
        <v>203</v>
      </c>
      <c r="C16" s="630" t="s">
        <v>211</v>
      </c>
      <c r="D16" s="630" t="s">
        <v>165</v>
      </c>
      <c r="E16" s="599" t="str">
        <f t="shared" si="2"/>
        <v>20100801KUCME221</v>
      </c>
      <c r="F16" s="631">
        <v>17.5</v>
      </c>
      <c r="G16" s="632">
        <f t="shared" si="3"/>
        <v>6.7059999999999995E-2</v>
      </c>
      <c r="H16" s="632">
        <f t="shared" si="4"/>
        <v>0</v>
      </c>
      <c r="I16" s="632">
        <f t="shared" si="5"/>
        <v>0</v>
      </c>
      <c r="J16" s="633">
        <v>7.9299999999999995E-3</v>
      </c>
      <c r="K16" s="633">
        <v>2.7539999999999999E-2</v>
      </c>
      <c r="L16" s="633">
        <v>3.1589999999999993E-2</v>
      </c>
      <c r="M16" s="633"/>
      <c r="N16" s="633"/>
      <c r="O16" s="631"/>
      <c r="P16" s="631"/>
      <c r="Q16" s="631"/>
      <c r="R16" s="631"/>
      <c r="S16" s="631"/>
      <c r="T16" s="631"/>
      <c r="U16" s="436"/>
      <c r="V16" s="436"/>
      <c r="W16" s="436"/>
    </row>
    <row r="17" spans="1:23">
      <c r="A17" s="634">
        <f t="shared" si="6"/>
        <v>20100801</v>
      </c>
      <c r="B17" s="629" t="s">
        <v>203</v>
      </c>
      <c r="C17" s="630" t="s">
        <v>212</v>
      </c>
      <c r="D17" s="630" t="s">
        <v>166</v>
      </c>
      <c r="E17" s="599" t="str">
        <f t="shared" si="2"/>
        <v>20100801KUCME223</v>
      </c>
      <c r="F17" s="631">
        <v>32.5</v>
      </c>
      <c r="G17" s="632">
        <f t="shared" si="3"/>
        <v>6.7059999999999995E-2</v>
      </c>
      <c r="H17" s="632">
        <f t="shared" si="4"/>
        <v>0</v>
      </c>
      <c r="I17" s="632">
        <f t="shared" si="5"/>
        <v>0</v>
      </c>
      <c r="J17" s="633">
        <v>7.9299999999999995E-3</v>
      </c>
      <c r="K17" s="633">
        <v>2.7539999999999999E-2</v>
      </c>
      <c r="L17" s="633">
        <v>3.1589999999999993E-2</v>
      </c>
      <c r="M17" s="633"/>
      <c r="N17" s="633"/>
      <c r="O17" s="631"/>
      <c r="P17" s="631"/>
      <c r="Q17" s="631"/>
      <c r="R17" s="631"/>
      <c r="S17" s="631"/>
      <c r="T17" s="631"/>
      <c r="U17" s="436"/>
      <c r="V17" s="436"/>
      <c r="W17" s="436"/>
    </row>
    <row r="18" spans="1:23">
      <c r="A18" s="634">
        <f>A16</f>
        <v>20100801</v>
      </c>
      <c r="B18" s="629" t="s">
        <v>203</v>
      </c>
      <c r="C18" s="630" t="s">
        <v>213</v>
      </c>
      <c r="D18" s="630" t="s">
        <v>167</v>
      </c>
      <c r="E18" s="599" t="str">
        <f t="shared" si="2"/>
        <v>20100801KUCME224</v>
      </c>
      <c r="F18" s="631">
        <v>32.5</v>
      </c>
      <c r="G18" s="632">
        <f>SUM(J18:L18)</f>
        <v>6.7059999999999995E-2</v>
      </c>
      <c r="H18" s="632">
        <f>IF(M18=0,0,SUM(J18:K18,M18))</f>
        <v>0</v>
      </c>
      <c r="I18" s="632">
        <f>IF(N18=0,0,SUM(J18:K18,N18))</f>
        <v>0</v>
      </c>
      <c r="J18" s="633">
        <v>7.9299999999999995E-3</v>
      </c>
      <c r="K18" s="633">
        <v>2.7539999999999999E-2</v>
      </c>
      <c r="L18" s="633">
        <v>3.1589999999999993E-2</v>
      </c>
      <c r="M18" s="633"/>
      <c r="N18" s="633"/>
      <c r="O18" s="631"/>
      <c r="P18" s="631"/>
      <c r="Q18" s="631"/>
      <c r="R18" s="631"/>
      <c r="S18" s="631"/>
      <c r="T18" s="631"/>
      <c r="U18" s="436"/>
      <c r="V18" s="436"/>
      <c r="W18" s="436"/>
    </row>
    <row r="19" spans="1:23">
      <c r="A19" s="634">
        <f>A16</f>
        <v>20100801</v>
      </c>
      <c r="B19" s="629" t="s">
        <v>203</v>
      </c>
      <c r="C19" s="635" t="s">
        <v>212</v>
      </c>
      <c r="D19" s="635" t="s">
        <v>683</v>
      </c>
      <c r="E19" s="599" t="str">
        <f t="shared" si="2"/>
        <v>20100801KUCME225</v>
      </c>
      <c r="F19" s="631">
        <v>32.5</v>
      </c>
      <c r="G19" s="632">
        <f>SUM(J19:L19)</f>
        <v>6.7059999999999995E-2</v>
      </c>
      <c r="H19" s="632">
        <f>IF(M19=0,0,SUM(J19:K19,M19))</f>
        <v>0</v>
      </c>
      <c r="I19" s="632">
        <f>IF(N19=0,0,SUM(J19:K19,N19))</f>
        <v>0</v>
      </c>
      <c r="J19" s="633">
        <v>7.9299999999999995E-3</v>
      </c>
      <c r="K19" s="633">
        <v>2.7539999999999999E-2</v>
      </c>
      <c r="L19" s="633">
        <v>3.1589999999999993E-2</v>
      </c>
      <c r="M19" s="633"/>
      <c r="N19" s="633"/>
      <c r="O19" s="631"/>
      <c r="P19" s="631"/>
      <c r="Q19" s="631"/>
      <c r="R19" s="631"/>
      <c r="S19" s="631"/>
      <c r="T19" s="631"/>
      <c r="U19" s="436"/>
      <c r="V19" s="436"/>
      <c r="W19" s="436"/>
    </row>
    <row r="20" spans="1:23">
      <c r="A20" s="634">
        <f>A16</f>
        <v>20100801</v>
      </c>
      <c r="B20" s="629" t="s">
        <v>203</v>
      </c>
      <c r="C20" s="637" t="s">
        <v>707</v>
      </c>
      <c r="D20" s="635" t="s">
        <v>684</v>
      </c>
      <c r="E20" s="599" t="str">
        <f t="shared" si="2"/>
        <v>20100801KUCME226</v>
      </c>
      <c r="F20" s="631">
        <v>17.5</v>
      </c>
      <c r="G20" s="632">
        <f>SUM(J20:L20)</f>
        <v>6.7059999999999995E-2</v>
      </c>
      <c r="H20" s="632">
        <f>IF(M20=0,0,SUM(J20:K20,M20))</f>
        <v>0</v>
      </c>
      <c r="I20" s="632">
        <f>IF(N20=0,0,SUM(J20:K20,N20))</f>
        <v>0</v>
      </c>
      <c r="J20" s="633">
        <v>7.9299999999999995E-3</v>
      </c>
      <c r="K20" s="633">
        <v>2.7539999999999999E-2</v>
      </c>
      <c r="L20" s="633">
        <v>3.1589999999999993E-2</v>
      </c>
      <c r="M20" s="633"/>
      <c r="N20" s="633"/>
      <c r="O20" s="631"/>
      <c r="P20" s="631"/>
      <c r="Q20" s="631"/>
      <c r="R20" s="631"/>
      <c r="S20" s="631"/>
      <c r="T20" s="631"/>
      <c r="U20" s="436"/>
      <c r="V20" s="436"/>
      <c r="W20" s="436"/>
    </row>
    <row r="21" spans="1:23">
      <c r="A21" s="634">
        <f>A17</f>
        <v>20100801</v>
      </c>
      <c r="B21" s="629" t="s">
        <v>203</v>
      </c>
      <c r="C21" s="635" t="s">
        <v>720</v>
      </c>
      <c r="D21" s="635" t="s">
        <v>685</v>
      </c>
      <c r="E21" s="599" t="str">
        <f t="shared" si="2"/>
        <v>20100801KUCME227</v>
      </c>
      <c r="F21" s="631">
        <v>32.5</v>
      </c>
      <c r="G21" s="632">
        <f t="shared" si="3"/>
        <v>6.7059999999999995E-2</v>
      </c>
      <c r="H21" s="632">
        <f t="shared" si="4"/>
        <v>0</v>
      </c>
      <c r="I21" s="632">
        <f t="shared" si="5"/>
        <v>0</v>
      </c>
      <c r="J21" s="633">
        <v>7.9299999999999995E-3</v>
      </c>
      <c r="K21" s="633">
        <v>2.7539999999999999E-2</v>
      </c>
      <c r="L21" s="633">
        <v>3.1589999999999993E-2</v>
      </c>
      <c r="M21" s="633"/>
      <c r="N21" s="633"/>
      <c r="O21" s="631"/>
      <c r="P21" s="631"/>
      <c r="Q21" s="631"/>
      <c r="R21" s="631"/>
      <c r="S21" s="631"/>
      <c r="T21" s="631"/>
      <c r="U21" s="436"/>
      <c r="V21" s="436"/>
      <c r="W21" s="436"/>
    </row>
    <row r="22" spans="1:23">
      <c r="A22" s="634">
        <f t="shared" si="6"/>
        <v>20100801</v>
      </c>
      <c r="B22" s="629" t="s">
        <v>25</v>
      </c>
      <c r="C22" s="630" t="s">
        <v>25</v>
      </c>
      <c r="D22" s="635" t="s">
        <v>153</v>
      </c>
      <c r="E22" s="599" t="str">
        <f t="shared" si="2"/>
        <v>20100801KUCIE561</v>
      </c>
      <c r="F22" s="631">
        <v>90</v>
      </c>
      <c r="G22" s="632">
        <f t="shared" si="3"/>
        <v>3.3860000000000001E-2</v>
      </c>
      <c r="H22" s="632">
        <f t="shared" si="4"/>
        <v>0</v>
      </c>
      <c r="I22" s="632">
        <f t="shared" si="5"/>
        <v>0</v>
      </c>
      <c r="J22" s="633"/>
      <c r="K22" s="633">
        <v>2.7539999999999999E-2</v>
      </c>
      <c r="L22" s="633">
        <v>6.3200000000000027E-3</v>
      </c>
      <c r="M22" s="633"/>
      <c r="N22" s="633"/>
      <c r="O22" s="633"/>
      <c r="P22" s="631">
        <v>10.33</v>
      </c>
      <c r="Q22" s="631">
        <v>12.6</v>
      </c>
      <c r="R22" s="631"/>
      <c r="S22" s="631">
        <v>2.2799999999999998</v>
      </c>
      <c r="T22" s="631">
        <f>$S22</f>
        <v>2.2799999999999998</v>
      </c>
      <c r="U22" s="436">
        <f t="shared" ref="U22:W37" si="7">O22-R22</f>
        <v>0</v>
      </c>
      <c r="V22" s="436">
        <f>P22-S22</f>
        <v>8.0500000000000007</v>
      </c>
      <c r="W22" s="436">
        <f t="shared" si="7"/>
        <v>10.32</v>
      </c>
    </row>
    <row r="23" spans="1:23">
      <c r="A23" s="634">
        <f t="shared" si="6"/>
        <v>20100801</v>
      </c>
      <c r="B23" s="629" t="s">
        <v>25</v>
      </c>
      <c r="C23" s="630" t="s">
        <v>25</v>
      </c>
      <c r="D23" s="635" t="s">
        <v>156</v>
      </c>
      <c r="E23" s="599" t="str">
        <f t="shared" si="2"/>
        <v>20100801KUCIE566</v>
      </c>
      <c r="F23" s="631">
        <v>90</v>
      </c>
      <c r="G23" s="632">
        <f t="shared" si="3"/>
        <v>3.3860000000000001E-2</v>
      </c>
      <c r="H23" s="632">
        <f t="shared" si="4"/>
        <v>0</v>
      </c>
      <c r="I23" s="632">
        <f t="shared" si="5"/>
        <v>0</v>
      </c>
      <c r="J23" s="633"/>
      <c r="K23" s="633">
        <v>2.7539999999999999E-2</v>
      </c>
      <c r="L23" s="633">
        <v>6.3200000000000001E-3</v>
      </c>
      <c r="M23" s="633"/>
      <c r="N23" s="633"/>
      <c r="O23" s="633"/>
      <c r="P23" s="631">
        <v>10.33</v>
      </c>
      <c r="Q23" s="631">
        <v>12.6</v>
      </c>
      <c r="R23" s="631"/>
      <c r="S23" s="631">
        <v>2.2799999999999998</v>
      </c>
      <c r="T23" s="631">
        <f t="shared" ref="T23:T26" si="8">$S23</f>
        <v>2.2799999999999998</v>
      </c>
      <c r="U23" s="436">
        <f t="shared" si="7"/>
        <v>0</v>
      </c>
      <c r="V23" s="436">
        <f t="shared" si="7"/>
        <v>8.0500000000000007</v>
      </c>
      <c r="W23" s="436">
        <f t="shared" si="7"/>
        <v>10.32</v>
      </c>
    </row>
    <row r="24" spans="1:23">
      <c r="A24" s="634">
        <f t="shared" si="6"/>
        <v>20100801</v>
      </c>
      <c r="B24" s="629" t="s">
        <v>24</v>
      </c>
      <c r="C24" s="630" t="s">
        <v>24</v>
      </c>
      <c r="D24" s="637" t="s">
        <v>154</v>
      </c>
      <c r="E24" s="599" t="str">
        <f t="shared" si="2"/>
        <v>20100801KUCIE562</v>
      </c>
      <c r="F24" s="631">
        <v>90</v>
      </c>
      <c r="G24" s="632">
        <f t="shared" si="3"/>
        <v>3.3860000000000001E-2</v>
      </c>
      <c r="H24" s="632">
        <f t="shared" si="4"/>
        <v>0</v>
      </c>
      <c r="I24" s="632">
        <f t="shared" si="5"/>
        <v>0</v>
      </c>
      <c r="J24" s="633"/>
      <c r="K24" s="633">
        <v>2.7539999999999999E-2</v>
      </c>
      <c r="L24" s="633">
        <v>6.3200000000000001E-3</v>
      </c>
      <c r="M24" s="633"/>
      <c r="N24" s="633"/>
      <c r="O24" s="633"/>
      <c r="P24" s="631">
        <v>10.53</v>
      </c>
      <c r="Q24" s="631">
        <v>12.78</v>
      </c>
      <c r="R24" s="631"/>
      <c r="S24" s="631">
        <v>2.2799999999999998</v>
      </c>
      <c r="T24" s="631">
        <f t="shared" si="8"/>
        <v>2.2799999999999998</v>
      </c>
      <c r="U24" s="436">
        <f t="shared" si="7"/>
        <v>0</v>
      </c>
      <c r="V24" s="436">
        <f t="shared" si="7"/>
        <v>8.25</v>
      </c>
      <c r="W24" s="436">
        <f t="shared" si="7"/>
        <v>10.5</v>
      </c>
    </row>
    <row r="25" spans="1:23">
      <c r="A25" s="634">
        <f t="shared" si="6"/>
        <v>20100801</v>
      </c>
      <c r="B25" s="629" t="s">
        <v>24</v>
      </c>
      <c r="C25" s="630" t="s">
        <v>24</v>
      </c>
      <c r="D25" s="630" t="s">
        <v>157</v>
      </c>
      <c r="E25" s="599" t="str">
        <f t="shared" si="2"/>
        <v>20100801KUCIE568</v>
      </c>
      <c r="F25" s="631">
        <v>90</v>
      </c>
      <c r="G25" s="632">
        <f t="shared" si="3"/>
        <v>3.3860000000000001E-2</v>
      </c>
      <c r="H25" s="632">
        <f t="shared" si="4"/>
        <v>0</v>
      </c>
      <c r="I25" s="632">
        <f t="shared" si="5"/>
        <v>0</v>
      </c>
      <c r="J25" s="633"/>
      <c r="K25" s="633">
        <v>2.7539999999999999E-2</v>
      </c>
      <c r="L25" s="633">
        <v>6.3200000000000001E-3</v>
      </c>
      <c r="M25" s="633"/>
      <c r="N25" s="633"/>
      <c r="O25" s="633"/>
      <c r="P25" s="631">
        <v>10.53</v>
      </c>
      <c r="Q25" s="631">
        <v>12.78</v>
      </c>
      <c r="R25" s="631"/>
      <c r="S25" s="631">
        <v>2.2799999999999998</v>
      </c>
      <c r="T25" s="631">
        <f t="shared" si="8"/>
        <v>2.2799999999999998</v>
      </c>
      <c r="U25" s="436">
        <f t="shared" si="7"/>
        <v>0</v>
      </c>
      <c r="V25" s="436">
        <f t="shared" si="7"/>
        <v>8.25</v>
      </c>
      <c r="W25" s="436">
        <f t="shared" si="7"/>
        <v>10.5</v>
      </c>
    </row>
    <row r="26" spans="1:23">
      <c r="A26" s="634">
        <f t="shared" si="6"/>
        <v>20100801</v>
      </c>
      <c r="B26" s="629" t="s">
        <v>24</v>
      </c>
      <c r="C26" s="630" t="s">
        <v>214</v>
      </c>
      <c r="D26" s="630" t="s">
        <v>160</v>
      </c>
      <c r="E26" s="599" t="str">
        <f t="shared" si="2"/>
        <v>20100801KUCIE717</v>
      </c>
      <c r="F26" s="631">
        <v>90</v>
      </c>
      <c r="G26" s="632">
        <f t="shared" si="3"/>
        <v>3.3860000000000001E-2</v>
      </c>
      <c r="H26" s="632">
        <f t="shared" si="4"/>
        <v>0</v>
      </c>
      <c r="I26" s="632">
        <f t="shared" si="5"/>
        <v>0</v>
      </c>
      <c r="J26" s="633"/>
      <c r="K26" s="633">
        <v>2.7539999999999999E-2</v>
      </c>
      <c r="L26" s="633">
        <v>6.3200000000000001E-3</v>
      </c>
      <c r="M26" s="633"/>
      <c r="N26" s="633"/>
      <c r="O26" s="633"/>
      <c r="P26" s="631">
        <v>10.53</v>
      </c>
      <c r="Q26" s="631">
        <v>12.78</v>
      </c>
      <c r="R26" s="631"/>
      <c r="S26" s="631">
        <v>2.2799999999999998</v>
      </c>
      <c r="T26" s="631">
        <f t="shared" si="8"/>
        <v>2.2799999999999998</v>
      </c>
      <c r="U26" s="436">
        <f t="shared" si="7"/>
        <v>0</v>
      </c>
      <c r="V26" s="436">
        <f t="shared" si="7"/>
        <v>8.25</v>
      </c>
      <c r="W26" s="436">
        <f t="shared" si="7"/>
        <v>10.5</v>
      </c>
    </row>
    <row r="27" spans="1:23">
      <c r="A27" s="634">
        <f t="shared" si="6"/>
        <v>20100801</v>
      </c>
      <c r="B27" s="629" t="s">
        <v>205</v>
      </c>
      <c r="C27" s="630" t="s">
        <v>205</v>
      </c>
      <c r="D27" s="630" t="s">
        <v>155</v>
      </c>
      <c r="E27" s="599" t="str">
        <f t="shared" si="2"/>
        <v>20100801KUCIE563</v>
      </c>
      <c r="F27" s="631">
        <v>300</v>
      </c>
      <c r="G27" s="632">
        <f t="shared" si="3"/>
        <v>3.6080000000000001E-2</v>
      </c>
      <c r="H27" s="632">
        <f t="shared" si="4"/>
        <v>0</v>
      </c>
      <c r="I27" s="632">
        <f t="shared" si="5"/>
        <v>0</v>
      </c>
      <c r="J27" s="633"/>
      <c r="K27" s="633">
        <v>2.7539999999999999E-2</v>
      </c>
      <c r="L27" s="633">
        <v>8.5400000000000025E-3</v>
      </c>
      <c r="M27" s="633"/>
      <c r="N27" s="633"/>
      <c r="O27" s="631">
        <v>1.7</v>
      </c>
      <c r="P27" s="631">
        <v>2.73</v>
      </c>
      <c r="Q27" s="631">
        <v>4.09</v>
      </c>
      <c r="R27" s="631">
        <v>1.21</v>
      </c>
      <c r="S27" s="436">
        <f t="shared" ref="S27:S32" si="9">R27</f>
        <v>1.21</v>
      </c>
      <c r="T27" s="436">
        <f t="shared" ref="T27:T32" si="10">R27</f>
        <v>1.21</v>
      </c>
      <c r="U27" s="436">
        <f t="shared" si="7"/>
        <v>0.49</v>
      </c>
      <c r="V27" s="436">
        <f t="shared" si="7"/>
        <v>1.52</v>
      </c>
      <c r="W27" s="436">
        <f t="shared" si="7"/>
        <v>2.88</v>
      </c>
    </row>
    <row r="28" spans="1:23">
      <c r="A28" s="634">
        <f t="shared" si="6"/>
        <v>20100801</v>
      </c>
      <c r="B28" s="629" t="s">
        <v>205</v>
      </c>
      <c r="C28" s="630" t="s">
        <v>205</v>
      </c>
      <c r="D28" s="630" t="s">
        <v>158</v>
      </c>
      <c r="E28" s="599" t="str">
        <f t="shared" si="2"/>
        <v>20100801KUCIE571</v>
      </c>
      <c r="F28" s="631">
        <v>300</v>
      </c>
      <c r="G28" s="632">
        <f t="shared" si="3"/>
        <v>3.6080000000000001E-2</v>
      </c>
      <c r="H28" s="632">
        <f t="shared" si="4"/>
        <v>0</v>
      </c>
      <c r="I28" s="632">
        <f t="shared" si="5"/>
        <v>0</v>
      </c>
      <c r="J28" s="633"/>
      <c r="K28" s="633">
        <v>2.7539999999999999E-2</v>
      </c>
      <c r="L28" s="633">
        <v>8.5400000000000007E-3</v>
      </c>
      <c r="M28" s="633"/>
      <c r="N28" s="633"/>
      <c r="O28" s="631">
        <v>1.7</v>
      </c>
      <c r="P28" s="631">
        <v>2.73</v>
      </c>
      <c r="Q28" s="631">
        <v>4.09</v>
      </c>
      <c r="R28" s="631">
        <v>1.21</v>
      </c>
      <c r="S28" s="436">
        <f t="shared" si="9"/>
        <v>1.21</v>
      </c>
      <c r="T28" s="436">
        <f t="shared" si="10"/>
        <v>1.21</v>
      </c>
      <c r="U28" s="436">
        <f t="shared" si="7"/>
        <v>0.49</v>
      </c>
      <c r="V28" s="436">
        <f t="shared" si="7"/>
        <v>1.52</v>
      </c>
      <c r="W28" s="436">
        <f t="shared" si="7"/>
        <v>2.88</v>
      </c>
    </row>
    <row r="29" spans="1:23">
      <c r="A29" s="634">
        <f t="shared" si="6"/>
        <v>20100801</v>
      </c>
      <c r="B29" s="629" t="s">
        <v>204</v>
      </c>
      <c r="C29" s="630" t="s">
        <v>204</v>
      </c>
      <c r="D29" s="630" t="s">
        <v>159</v>
      </c>
      <c r="E29" s="599" t="str">
        <f t="shared" si="2"/>
        <v>20100801KUCIE572</v>
      </c>
      <c r="F29" s="631">
        <v>200</v>
      </c>
      <c r="G29" s="632">
        <f t="shared" si="3"/>
        <v>3.576E-2</v>
      </c>
      <c r="H29" s="632">
        <f t="shared" si="4"/>
        <v>0</v>
      </c>
      <c r="I29" s="632">
        <f t="shared" si="5"/>
        <v>0</v>
      </c>
      <c r="J29" s="633"/>
      <c r="K29" s="633">
        <v>2.7539999999999999E-2</v>
      </c>
      <c r="L29" s="633">
        <v>8.2200000000000016E-3</v>
      </c>
      <c r="M29" s="633"/>
      <c r="N29" s="633"/>
      <c r="O29" s="631">
        <v>3.53</v>
      </c>
      <c r="P29" s="631">
        <v>2.91</v>
      </c>
      <c r="Q29" s="631">
        <v>4.37</v>
      </c>
      <c r="R29" s="631">
        <v>1.21</v>
      </c>
      <c r="S29" s="436">
        <f t="shared" si="9"/>
        <v>1.21</v>
      </c>
      <c r="T29" s="436">
        <f t="shared" si="10"/>
        <v>1.21</v>
      </c>
      <c r="U29" s="436">
        <f t="shared" si="7"/>
        <v>2.3199999999999998</v>
      </c>
      <c r="V29" s="436">
        <f t="shared" si="7"/>
        <v>1.7000000000000002</v>
      </c>
      <c r="W29" s="436">
        <f t="shared" si="7"/>
        <v>3.16</v>
      </c>
    </row>
    <row r="30" spans="1:23">
      <c r="A30" s="634">
        <f t="shared" si="6"/>
        <v>20100801</v>
      </c>
      <c r="B30" s="629" t="s">
        <v>18</v>
      </c>
      <c r="C30" s="630" t="s">
        <v>18</v>
      </c>
      <c r="D30" s="630" t="s">
        <v>152</v>
      </c>
      <c r="E30" s="599" t="str">
        <f t="shared" si="2"/>
        <v>20100801KUCIE550</v>
      </c>
      <c r="F30" s="631">
        <v>500</v>
      </c>
      <c r="G30" s="632">
        <f t="shared" si="3"/>
        <v>3.5000000000000003E-2</v>
      </c>
      <c r="H30" s="632">
        <f t="shared" si="4"/>
        <v>0</v>
      </c>
      <c r="I30" s="632">
        <f t="shared" si="5"/>
        <v>0</v>
      </c>
      <c r="J30" s="633"/>
      <c r="K30" s="633">
        <v>2.7539999999999999E-2</v>
      </c>
      <c r="L30" s="633">
        <v>7.4600000000000048E-3</v>
      </c>
      <c r="M30" s="633"/>
      <c r="N30" s="633"/>
      <c r="O30" s="631">
        <v>1.04</v>
      </c>
      <c r="P30" s="631">
        <v>2.4900000000000002</v>
      </c>
      <c r="Q30" s="631">
        <v>3.73</v>
      </c>
      <c r="R30" s="631">
        <v>0.9</v>
      </c>
      <c r="S30" s="436">
        <f t="shared" si="9"/>
        <v>0.9</v>
      </c>
      <c r="T30" s="436">
        <f t="shared" si="10"/>
        <v>0.9</v>
      </c>
      <c r="U30" s="436">
        <f t="shared" si="7"/>
        <v>0.14000000000000001</v>
      </c>
      <c r="V30" s="436">
        <f t="shared" si="7"/>
        <v>1.5900000000000003</v>
      </c>
      <c r="W30" s="436">
        <f t="shared" si="7"/>
        <v>2.83</v>
      </c>
    </row>
    <row r="31" spans="1:23">
      <c r="A31" s="634">
        <f t="shared" si="6"/>
        <v>20100801</v>
      </c>
      <c r="B31" s="629" t="s">
        <v>26</v>
      </c>
      <c r="C31" s="630" t="s">
        <v>26</v>
      </c>
      <c r="D31" s="630" t="s">
        <v>215</v>
      </c>
      <c r="E31" s="599" t="str">
        <f t="shared" si="2"/>
        <v>20100801KUINE731</v>
      </c>
      <c r="F31" s="631">
        <v>500</v>
      </c>
      <c r="G31" s="632">
        <f t="shared" si="3"/>
        <v>3.5049999999999998E-2</v>
      </c>
      <c r="H31" s="632">
        <f t="shared" si="4"/>
        <v>0</v>
      </c>
      <c r="I31" s="632">
        <f t="shared" si="5"/>
        <v>0</v>
      </c>
      <c r="J31" s="633"/>
      <c r="K31" s="633">
        <v>2.7539999999999999E-2</v>
      </c>
      <c r="L31" s="633">
        <v>7.5099999999999993E-3</v>
      </c>
      <c r="M31" s="633"/>
      <c r="N31" s="633"/>
      <c r="O31" s="631">
        <v>1.75</v>
      </c>
      <c r="P31" s="631">
        <v>1.59</v>
      </c>
      <c r="Q31" s="631">
        <v>2.48</v>
      </c>
      <c r="R31" s="631">
        <v>0.6</v>
      </c>
      <c r="S31" s="436">
        <f t="shared" si="9"/>
        <v>0.6</v>
      </c>
      <c r="T31" s="436">
        <f t="shared" si="10"/>
        <v>0.6</v>
      </c>
      <c r="U31" s="436">
        <f t="shared" si="7"/>
        <v>1.1499999999999999</v>
      </c>
      <c r="V31" s="436">
        <f t="shared" si="7"/>
        <v>0.9900000000000001</v>
      </c>
      <c r="W31" s="436">
        <f t="shared" si="7"/>
        <v>1.88</v>
      </c>
    </row>
    <row r="32" spans="1:23">
      <c r="A32" s="634">
        <f t="shared" si="6"/>
        <v>20100801</v>
      </c>
      <c r="B32" s="629" t="s">
        <v>27</v>
      </c>
      <c r="C32" s="635" t="s">
        <v>27</v>
      </c>
      <c r="D32" s="635" t="s">
        <v>173</v>
      </c>
      <c r="E32" s="599" t="str">
        <f t="shared" si="2"/>
        <v>20100801KUINE730</v>
      </c>
      <c r="F32" s="631">
        <v>500</v>
      </c>
      <c r="G32" s="632">
        <f t="shared" si="3"/>
        <v>3.0329999999999999E-2</v>
      </c>
      <c r="H32" s="632">
        <f t="shared" si="4"/>
        <v>0</v>
      </c>
      <c r="I32" s="632">
        <f t="shared" si="5"/>
        <v>0</v>
      </c>
      <c r="J32" s="633"/>
      <c r="K32" s="633">
        <v>2.7539999999999999E-2</v>
      </c>
      <c r="L32" s="633">
        <v>2.7900000000000008E-3</v>
      </c>
      <c r="M32" s="633"/>
      <c r="N32" s="633"/>
      <c r="O32" s="631">
        <v>1</v>
      </c>
      <c r="P32" s="631">
        <v>1.59</v>
      </c>
      <c r="Q32" s="631">
        <v>2.48</v>
      </c>
      <c r="R32" s="631">
        <v>0.6</v>
      </c>
      <c r="S32" s="436">
        <f t="shared" si="9"/>
        <v>0.6</v>
      </c>
      <c r="T32" s="436">
        <f t="shared" si="10"/>
        <v>0.6</v>
      </c>
      <c r="U32" s="436">
        <f t="shared" si="7"/>
        <v>0.4</v>
      </c>
      <c r="V32" s="436">
        <f t="shared" si="7"/>
        <v>0.9900000000000001</v>
      </c>
      <c r="W32" s="436">
        <f t="shared" si="7"/>
        <v>1.88</v>
      </c>
    </row>
    <row r="33" spans="1:23">
      <c r="A33" s="634">
        <f>A31</f>
        <v>20100801</v>
      </c>
      <c r="B33" s="629" t="s">
        <v>20</v>
      </c>
      <c r="C33" s="630" t="s">
        <v>20</v>
      </c>
      <c r="D33" s="630" t="s">
        <v>168</v>
      </c>
      <c r="E33" s="599" t="str">
        <f t="shared" si="2"/>
        <v>20100801KUCME295</v>
      </c>
      <c r="F33" s="631">
        <v>3.14</v>
      </c>
      <c r="G33" s="632">
        <f t="shared" si="3"/>
        <v>7.0000000000000007E-2</v>
      </c>
      <c r="H33" s="632">
        <f t="shared" si="4"/>
        <v>0</v>
      </c>
      <c r="I33" s="632">
        <f t="shared" si="5"/>
        <v>0</v>
      </c>
      <c r="J33" s="633">
        <v>6.8399999999999997E-3</v>
      </c>
      <c r="K33" s="633">
        <v>2.7539999999999999E-2</v>
      </c>
      <c r="L33" s="633">
        <v>3.5620000000000013E-2</v>
      </c>
      <c r="M33" s="633"/>
      <c r="N33" s="633"/>
      <c r="O33" s="631"/>
      <c r="P33" s="631"/>
      <c r="Q33" s="631"/>
      <c r="R33" s="631"/>
      <c r="S33" s="631"/>
      <c r="T33" s="631"/>
      <c r="U33" s="436">
        <f t="shared" si="7"/>
        <v>0</v>
      </c>
      <c r="V33" s="436">
        <f t="shared" si="7"/>
        <v>0</v>
      </c>
      <c r="W33" s="436">
        <f t="shared" si="7"/>
        <v>0</v>
      </c>
    </row>
    <row r="34" spans="1:23">
      <c r="A34" s="634">
        <f>A32</f>
        <v>20100801</v>
      </c>
      <c r="B34" s="629" t="s">
        <v>20</v>
      </c>
      <c r="C34" s="630" t="s">
        <v>20</v>
      </c>
      <c r="D34" s="635" t="s">
        <v>623</v>
      </c>
      <c r="E34" s="599" t="str">
        <f t="shared" si="2"/>
        <v>20100801KUCME297</v>
      </c>
      <c r="F34" s="631">
        <v>3.14</v>
      </c>
      <c r="G34" s="632">
        <f t="shared" si="3"/>
        <v>7.0000000000000007E-2</v>
      </c>
      <c r="H34" s="632">
        <f t="shared" si="4"/>
        <v>0</v>
      </c>
      <c r="I34" s="632">
        <f t="shared" si="5"/>
        <v>0</v>
      </c>
      <c r="J34" s="633">
        <v>6.8399999999999997E-3</v>
      </c>
      <c r="K34" s="633">
        <v>2.7539999999999999E-2</v>
      </c>
      <c r="L34" s="633">
        <v>3.5620000000000013E-2</v>
      </c>
      <c r="M34" s="633"/>
      <c r="N34" s="633"/>
      <c r="O34" s="631"/>
      <c r="P34" s="631"/>
      <c r="Q34" s="631"/>
      <c r="R34" s="631"/>
      <c r="S34" s="631"/>
      <c r="T34" s="631"/>
      <c r="U34" s="436">
        <f t="shared" si="7"/>
        <v>0</v>
      </c>
      <c r="V34" s="436">
        <f t="shared" si="7"/>
        <v>0</v>
      </c>
      <c r="W34" s="436">
        <f t="shared" si="7"/>
        <v>0</v>
      </c>
    </row>
    <row r="35" spans="1:23">
      <c r="A35" s="634">
        <f t="shared" si="6"/>
        <v>20100801</v>
      </c>
      <c r="B35" s="629" t="s">
        <v>19</v>
      </c>
      <c r="C35" s="630" t="s">
        <v>19</v>
      </c>
      <c r="D35" s="635" t="s">
        <v>217</v>
      </c>
      <c r="E35" s="599" t="str">
        <f t="shared" si="2"/>
        <v>20100801KUCME290</v>
      </c>
      <c r="F35" s="631">
        <v>0</v>
      </c>
      <c r="G35" s="632">
        <f t="shared" si="3"/>
        <v>5.4650000000000004E-2</v>
      </c>
      <c r="H35" s="632">
        <f t="shared" si="4"/>
        <v>0</v>
      </c>
      <c r="I35" s="632">
        <f t="shared" si="5"/>
        <v>0</v>
      </c>
      <c r="J35" s="633">
        <v>6.8399999999999997E-3</v>
      </c>
      <c r="K35" s="633">
        <v>2.7539999999999999E-2</v>
      </c>
      <c r="L35" s="633">
        <v>2.027E-2</v>
      </c>
      <c r="M35" s="633"/>
      <c r="N35" s="633"/>
      <c r="O35" s="631"/>
      <c r="P35" s="631"/>
      <c r="Q35" s="631"/>
      <c r="R35" s="631"/>
      <c r="S35" s="631"/>
      <c r="T35" s="631"/>
      <c r="U35" s="436">
        <f t="shared" si="7"/>
        <v>0</v>
      </c>
      <c r="V35" s="436">
        <f t="shared" si="7"/>
        <v>0</v>
      </c>
      <c r="W35" s="436">
        <f t="shared" si="7"/>
        <v>0</v>
      </c>
    </row>
    <row r="36" spans="1:23">
      <c r="A36" s="634">
        <f t="shared" si="6"/>
        <v>20100801</v>
      </c>
      <c r="B36" s="629" t="s">
        <v>19</v>
      </c>
      <c r="C36" s="630" t="s">
        <v>19</v>
      </c>
      <c r="D36" s="630" t="s">
        <v>216</v>
      </c>
      <c r="E36" s="599" t="str">
        <f t="shared" ref="E36:E67" si="11">A36&amp;D36</f>
        <v>20100801KUCME291</v>
      </c>
      <c r="F36" s="631">
        <v>0</v>
      </c>
      <c r="G36" s="632">
        <f t="shared" si="3"/>
        <v>5.4650000000000004E-2</v>
      </c>
      <c r="H36" s="632">
        <f t="shared" si="4"/>
        <v>0</v>
      </c>
      <c r="I36" s="632">
        <f t="shared" si="5"/>
        <v>0</v>
      </c>
      <c r="J36" s="633">
        <v>6.8399999999999997E-3</v>
      </c>
      <c r="K36" s="633">
        <v>2.7539999999999999E-2</v>
      </c>
      <c r="L36" s="633">
        <v>2.027E-2</v>
      </c>
      <c r="M36" s="633"/>
      <c r="N36" s="633"/>
      <c r="O36" s="631"/>
      <c r="P36" s="631"/>
      <c r="Q36" s="631"/>
      <c r="R36" s="631"/>
      <c r="S36" s="631"/>
      <c r="T36" s="631"/>
      <c r="U36" s="436">
        <f t="shared" si="7"/>
        <v>0</v>
      </c>
      <c r="V36" s="436">
        <f t="shared" si="7"/>
        <v>0</v>
      </c>
      <c r="W36" s="436">
        <f t="shared" si="7"/>
        <v>0</v>
      </c>
    </row>
    <row r="37" spans="1:23">
      <c r="A37" s="634">
        <f>A36</f>
        <v>20100801</v>
      </c>
      <c r="B37" s="629" t="s">
        <v>19</v>
      </c>
      <c r="C37" s="630" t="s">
        <v>19</v>
      </c>
      <c r="D37" s="635" t="s">
        <v>218</v>
      </c>
      <c r="E37" s="599" t="str">
        <f t="shared" si="11"/>
        <v>20100801KUCME292</v>
      </c>
      <c r="F37" s="631">
        <v>0</v>
      </c>
      <c r="G37" s="632">
        <f t="shared" si="3"/>
        <v>5.4650000000000004E-2</v>
      </c>
      <c r="H37" s="632">
        <f t="shared" si="4"/>
        <v>0</v>
      </c>
      <c r="I37" s="632">
        <f t="shared" si="5"/>
        <v>0</v>
      </c>
      <c r="J37" s="633">
        <v>6.8399999999999997E-3</v>
      </c>
      <c r="K37" s="633">
        <v>2.7539999999999999E-2</v>
      </c>
      <c r="L37" s="633">
        <v>2.027E-2</v>
      </c>
      <c r="M37" s="633"/>
      <c r="N37" s="633"/>
      <c r="O37" s="631"/>
      <c r="P37" s="631"/>
      <c r="Q37" s="631"/>
      <c r="R37" s="631"/>
      <c r="S37" s="631"/>
      <c r="T37" s="631"/>
      <c r="U37" s="436">
        <f t="shared" si="7"/>
        <v>0</v>
      </c>
      <c r="V37" s="436">
        <f t="shared" si="7"/>
        <v>0</v>
      </c>
      <c r="W37" s="436">
        <f t="shared" si="7"/>
        <v>0</v>
      </c>
    </row>
    <row r="38" spans="1:23">
      <c r="A38" s="638">
        <v>20110701</v>
      </c>
      <c r="B38" s="639" t="s">
        <v>14</v>
      </c>
      <c r="C38" s="640" t="s">
        <v>14</v>
      </c>
      <c r="D38" s="640" t="s">
        <v>174</v>
      </c>
      <c r="E38" s="641" t="str">
        <f t="shared" si="11"/>
        <v>20110701KURSE010</v>
      </c>
      <c r="F38" s="642">
        <v>8.5</v>
      </c>
      <c r="G38" s="643">
        <f t="shared" si="3"/>
        <v>6.719E-2</v>
      </c>
      <c r="H38" s="643">
        <f t="shared" si="4"/>
        <v>0</v>
      </c>
      <c r="I38" s="643">
        <f t="shared" si="5"/>
        <v>0</v>
      </c>
      <c r="J38" s="643">
        <v>6.8399999999999997E-3</v>
      </c>
      <c r="K38" s="643">
        <v>2.6679999999999999E-2</v>
      </c>
      <c r="L38" s="643">
        <v>3.3670000000000005E-2</v>
      </c>
      <c r="M38" s="643"/>
      <c r="N38" s="643"/>
      <c r="O38" s="642"/>
      <c r="P38" s="642"/>
      <c r="Q38" s="642"/>
      <c r="R38" s="642"/>
      <c r="S38" s="642"/>
      <c r="T38" s="642"/>
      <c r="U38" s="642">
        <f t="shared" ref="U38:W105" si="12">O38-R38</f>
        <v>0</v>
      </c>
      <c r="V38" s="642">
        <f t="shared" si="12"/>
        <v>0</v>
      </c>
      <c r="W38" s="642">
        <f t="shared" si="12"/>
        <v>0</v>
      </c>
    </row>
    <row r="39" spans="1:23">
      <c r="A39" s="644">
        <f>A38</f>
        <v>20110701</v>
      </c>
      <c r="B39" s="639" t="s">
        <v>14</v>
      </c>
      <c r="C39" s="640" t="s">
        <v>14</v>
      </c>
      <c r="D39" s="645" t="s">
        <v>175</v>
      </c>
      <c r="E39" s="641" t="str">
        <f t="shared" si="11"/>
        <v>20110701KURSE020</v>
      </c>
      <c r="F39" s="642">
        <v>8.5</v>
      </c>
      <c r="G39" s="643">
        <f t="shared" si="3"/>
        <v>6.719E-2</v>
      </c>
      <c r="H39" s="643">
        <f t="shared" si="4"/>
        <v>0</v>
      </c>
      <c r="I39" s="643">
        <f t="shared" si="5"/>
        <v>0</v>
      </c>
      <c r="J39" s="643">
        <v>6.8399999999999997E-3</v>
      </c>
      <c r="K39" s="643">
        <v>2.6679999999999999E-2</v>
      </c>
      <c r="L39" s="643">
        <v>3.3670000000000005E-2</v>
      </c>
      <c r="M39" s="643"/>
      <c r="N39" s="643"/>
      <c r="O39" s="642"/>
      <c r="P39" s="642"/>
      <c r="Q39" s="642"/>
      <c r="R39" s="642"/>
      <c r="S39" s="642"/>
      <c r="T39" s="642"/>
      <c r="U39" s="642">
        <f t="shared" si="12"/>
        <v>0</v>
      </c>
      <c r="V39" s="642">
        <f t="shared" si="12"/>
        <v>0</v>
      </c>
      <c r="W39" s="642">
        <f t="shared" si="12"/>
        <v>0</v>
      </c>
    </row>
    <row r="40" spans="1:23">
      <c r="A40" s="644">
        <f t="shared" ref="A40:A71" si="13">A39</f>
        <v>20110701</v>
      </c>
      <c r="B40" s="639" t="s">
        <v>14</v>
      </c>
      <c r="C40" s="645" t="s">
        <v>207</v>
      </c>
      <c r="D40" s="645" t="s">
        <v>176</v>
      </c>
      <c r="E40" s="641" t="str">
        <f t="shared" si="11"/>
        <v>20110701KURSE025</v>
      </c>
      <c r="F40" s="642">
        <v>8.5</v>
      </c>
      <c r="G40" s="643">
        <f t="shared" si="3"/>
        <v>6.719E-2</v>
      </c>
      <c r="H40" s="643">
        <f t="shared" si="4"/>
        <v>0</v>
      </c>
      <c r="I40" s="643">
        <f t="shared" si="5"/>
        <v>0</v>
      </c>
      <c r="J40" s="643">
        <v>6.8399999999999997E-3</v>
      </c>
      <c r="K40" s="643">
        <v>2.6679999999999999E-2</v>
      </c>
      <c r="L40" s="643">
        <v>3.3670000000000005E-2</v>
      </c>
      <c r="M40" s="643"/>
      <c r="N40" s="643"/>
      <c r="O40" s="642"/>
      <c r="P40" s="642"/>
      <c r="Q40" s="642"/>
      <c r="R40" s="642"/>
      <c r="S40" s="642"/>
      <c r="T40" s="642"/>
      <c r="U40" s="642">
        <f t="shared" si="12"/>
        <v>0</v>
      </c>
      <c r="V40" s="642">
        <f t="shared" si="12"/>
        <v>0</v>
      </c>
      <c r="W40" s="642">
        <f t="shared" si="12"/>
        <v>0</v>
      </c>
    </row>
    <row r="41" spans="1:23">
      <c r="A41" s="644">
        <f t="shared" si="13"/>
        <v>20110701</v>
      </c>
      <c r="B41" s="639" t="s">
        <v>831</v>
      </c>
      <c r="C41" s="640" t="s">
        <v>16</v>
      </c>
      <c r="D41" s="645" t="s">
        <v>177</v>
      </c>
      <c r="E41" s="641" t="str">
        <f t="shared" si="11"/>
        <v>20110701KURSE080</v>
      </c>
      <c r="F41" s="642">
        <v>8.5</v>
      </c>
      <c r="G41" s="643">
        <f t="shared" si="3"/>
        <v>6.719E-2</v>
      </c>
      <c r="H41" s="643">
        <f t="shared" si="4"/>
        <v>0</v>
      </c>
      <c r="I41" s="643">
        <f t="shared" si="5"/>
        <v>0</v>
      </c>
      <c r="J41" s="643">
        <v>6.8399999999999997E-3</v>
      </c>
      <c r="K41" s="643">
        <v>2.6679999999999999E-2</v>
      </c>
      <c r="L41" s="643">
        <v>3.3670000000000005E-2</v>
      </c>
      <c r="M41" s="643"/>
      <c r="N41" s="643"/>
      <c r="O41" s="642"/>
      <c r="P41" s="642"/>
      <c r="Q41" s="642"/>
      <c r="R41" s="642"/>
      <c r="S41" s="642"/>
      <c r="T41" s="642"/>
      <c r="U41" s="642">
        <f t="shared" si="12"/>
        <v>0</v>
      </c>
      <c r="V41" s="642">
        <f t="shared" si="12"/>
        <v>0</v>
      </c>
      <c r="W41" s="642">
        <f t="shared" si="12"/>
        <v>0</v>
      </c>
    </row>
    <row r="42" spans="1:23">
      <c r="A42" s="644">
        <f t="shared" si="13"/>
        <v>20110701</v>
      </c>
      <c r="B42" s="639" t="s">
        <v>14</v>
      </c>
      <c r="C42" s="640" t="s">
        <v>15</v>
      </c>
      <c r="D42" s="645" t="s">
        <v>178</v>
      </c>
      <c r="E42" s="641" t="str">
        <f t="shared" si="11"/>
        <v>20110701KURSE715</v>
      </c>
      <c r="F42" s="642">
        <v>8.5</v>
      </c>
      <c r="G42" s="643">
        <f t="shared" si="3"/>
        <v>6.719E-2</v>
      </c>
      <c r="H42" s="643">
        <f t="shared" si="4"/>
        <v>0</v>
      </c>
      <c r="I42" s="643">
        <f t="shared" si="5"/>
        <v>0</v>
      </c>
      <c r="J42" s="643">
        <v>6.8399999999999997E-3</v>
      </c>
      <c r="K42" s="643">
        <v>2.6679999999999999E-2</v>
      </c>
      <c r="L42" s="643">
        <v>3.3670000000000005E-2</v>
      </c>
      <c r="M42" s="643"/>
      <c r="N42" s="643"/>
      <c r="O42" s="642"/>
      <c r="P42" s="642"/>
      <c r="Q42" s="642"/>
      <c r="R42" s="642"/>
      <c r="S42" s="642"/>
      <c r="T42" s="642"/>
      <c r="U42" s="642">
        <f t="shared" si="12"/>
        <v>0</v>
      </c>
      <c r="V42" s="642">
        <f t="shared" si="12"/>
        <v>0</v>
      </c>
      <c r="W42" s="642">
        <f t="shared" si="12"/>
        <v>0</v>
      </c>
    </row>
    <row r="43" spans="1:23">
      <c r="A43" s="644">
        <f t="shared" si="13"/>
        <v>20110701</v>
      </c>
      <c r="B43" s="639" t="s">
        <v>828</v>
      </c>
      <c r="C43" s="640" t="s">
        <v>206</v>
      </c>
      <c r="D43" s="645" t="s">
        <v>458</v>
      </c>
      <c r="E43" s="641" t="str">
        <f t="shared" si="11"/>
        <v>20110701KURSE040</v>
      </c>
      <c r="F43" s="642">
        <v>8.5</v>
      </c>
      <c r="G43" s="643">
        <f t="shared" si="3"/>
        <v>4.6359999999999998E-2</v>
      </c>
      <c r="H43" s="643">
        <f t="shared" si="4"/>
        <v>6.7370000000000013E-2</v>
      </c>
      <c r="I43" s="643">
        <f t="shared" si="5"/>
        <v>0.13047</v>
      </c>
      <c r="J43" s="643">
        <f>$J42</f>
        <v>6.8399999999999997E-3</v>
      </c>
      <c r="K43" s="643">
        <f>K42</f>
        <v>2.6679999999999999E-2</v>
      </c>
      <c r="L43" s="643">
        <v>1.2840000000000001E-2</v>
      </c>
      <c r="M43" s="643">
        <v>3.3850000000000005E-2</v>
      </c>
      <c r="N43" s="643">
        <v>9.6950000000000008E-2</v>
      </c>
      <c r="O43" s="642"/>
      <c r="P43" s="642"/>
      <c r="Q43" s="642"/>
      <c r="R43" s="642"/>
      <c r="S43" s="642"/>
      <c r="T43" s="642"/>
      <c r="U43" s="642">
        <f t="shared" si="12"/>
        <v>0</v>
      </c>
      <c r="V43" s="642">
        <f t="shared" si="12"/>
        <v>0</v>
      </c>
      <c r="W43" s="642">
        <f t="shared" si="12"/>
        <v>0</v>
      </c>
    </row>
    <row r="44" spans="1:23">
      <c r="A44" s="644">
        <f t="shared" si="13"/>
        <v>20110701</v>
      </c>
      <c r="B44" s="639" t="s">
        <v>208</v>
      </c>
      <c r="C44" s="640" t="s">
        <v>208</v>
      </c>
      <c r="D44" s="640" t="s">
        <v>161</v>
      </c>
      <c r="E44" s="641" t="str">
        <f t="shared" si="11"/>
        <v>20110701KUCME110</v>
      </c>
      <c r="F44" s="642">
        <v>17.5</v>
      </c>
      <c r="G44" s="643">
        <f t="shared" si="3"/>
        <v>7.7100000000000016E-2</v>
      </c>
      <c r="H44" s="643">
        <f t="shared" si="4"/>
        <v>0</v>
      </c>
      <c r="I44" s="643">
        <f t="shared" si="5"/>
        <v>0</v>
      </c>
      <c r="J44" s="643">
        <v>7.9299999999999995E-3</v>
      </c>
      <c r="K44" s="643">
        <v>2.6679999999999999E-2</v>
      </c>
      <c r="L44" s="643">
        <v>4.2490000000000014E-2</v>
      </c>
      <c r="M44" s="643"/>
      <c r="N44" s="643"/>
      <c r="O44" s="642"/>
      <c r="P44" s="642"/>
      <c r="Q44" s="642"/>
      <c r="R44" s="642"/>
      <c r="S44" s="642"/>
      <c r="T44" s="642"/>
      <c r="U44" s="642">
        <f t="shared" si="12"/>
        <v>0</v>
      </c>
      <c r="V44" s="642">
        <f t="shared" si="12"/>
        <v>0</v>
      </c>
      <c r="W44" s="642">
        <f t="shared" si="12"/>
        <v>0</v>
      </c>
    </row>
    <row r="45" spans="1:23">
      <c r="A45" s="644">
        <f t="shared" si="13"/>
        <v>20110701</v>
      </c>
      <c r="B45" s="639" t="s">
        <v>208</v>
      </c>
      <c r="C45" s="640" t="s">
        <v>208</v>
      </c>
      <c r="D45" s="645" t="s">
        <v>162</v>
      </c>
      <c r="E45" s="641" t="str">
        <f t="shared" si="11"/>
        <v>20110701KUCME112</v>
      </c>
      <c r="F45" s="642">
        <v>17.5</v>
      </c>
      <c r="G45" s="643">
        <f t="shared" si="3"/>
        <v>7.7100000000000016E-2</v>
      </c>
      <c r="H45" s="643">
        <f t="shared" si="4"/>
        <v>0</v>
      </c>
      <c r="I45" s="643">
        <f t="shared" si="5"/>
        <v>0</v>
      </c>
      <c r="J45" s="643">
        <v>7.9299999999999995E-3</v>
      </c>
      <c r="K45" s="643">
        <v>2.6679999999999999E-2</v>
      </c>
      <c r="L45" s="643">
        <v>4.2490000000000014E-2</v>
      </c>
      <c r="M45" s="643"/>
      <c r="N45" s="643"/>
      <c r="O45" s="642"/>
      <c r="P45" s="642"/>
      <c r="Q45" s="642"/>
      <c r="R45" s="642"/>
      <c r="S45" s="642"/>
      <c r="T45" s="642"/>
      <c r="U45" s="642">
        <f t="shared" si="12"/>
        <v>0</v>
      </c>
      <c r="V45" s="642">
        <f t="shared" si="12"/>
        <v>0</v>
      </c>
      <c r="W45" s="642">
        <f t="shared" si="12"/>
        <v>0</v>
      </c>
    </row>
    <row r="46" spans="1:23">
      <c r="A46" s="644">
        <f t="shared" si="13"/>
        <v>20110701</v>
      </c>
      <c r="B46" s="639" t="s">
        <v>208</v>
      </c>
      <c r="C46" s="640" t="s">
        <v>209</v>
      </c>
      <c r="D46" s="640" t="s">
        <v>169</v>
      </c>
      <c r="E46" s="641" t="str">
        <f t="shared" si="11"/>
        <v>20110701KUCME710</v>
      </c>
      <c r="F46" s="642">
        <v>17.5</v>
      </c>
      <c r="G46" s="643">
        <f t="shared" si="3"/>
        <v>7.7100000000000016E-2</v>
      </c>
      <c r="H46" s="643">
        <f t="shared" si="4"/>
        <v>0</v>
      </c>
      <c r="I46" s="643">
        <f t="shared" si="5"/>
        <v>0</v>
      </c>
      <c r="J46" s="643">
        <v>7.9299999999999995E-3</v>
      </c>
      <c r="K46" s="643">
        <v>2.6679999999999999E-2</v>
      </c>
      <c r="L46" s="643">
        <v>4.2490000000000014E-2</v>
      </c>
      <c r="M46" s="643"/>
      <c r="N46" s="643"/>
      <c r="O46" s="642"/>
      <c r="P46" s="642"/>
      <c r="Q46" s="642"/>
      <c r="R46" s="642"/>
      <c r="S46" s="642"/>
      <c r="T46" s="642"/>
      <c r="U46" s="642">
        <f t="shared" si="12"/>
        <v>0</v>
      </c>
      <c r="V46" s="642">
        <f t="shared" si="12"/>
        <v>0</v>
      </c>
      <c r="W46" s="642">
        <f t="shared" si="12"/>
        <v>0</v>
      </c>
    </row>
    <row r="47" spans="1:23">
      <c r="A47" s="644">
        <f t="shared" si="13"/>
        <v>20110701</v>
      </c>
      <c r="B47" s="646" t="s">
        <v>17</v>
      </c>
      <c r="C47" s="640" t="s">
        <v>17</v>
      </c>
      <c r="D47" s="640" t="s">
        <v>163</v>
      </c>
      <c r="E47" s="641" t="str">
        <f t="shared" si="11"/>
        <v>20110701KUCME113</v>
      </c>
      <c r="F47" s="642">
        <v>32.5</v>
      </c>
      <c r="G47" s="643">
        <f t="shared" si="3"/>
        <v>7.7100000000000016E-2</v>
      </c>
      <c r="H47" s="643">
        <f t="shared" si="4"/>
        <v>0</v>
      </c>
      <c r="I47" s="643">
        <f t="shared" si="5"/>
        <v>0</v>
      </c>
      <c r="J47" s="643">
        <v>7.9299999999999995E-3</v>
      </c>
      <c r="K47" s="643">
        <v>2.6679999999999999E-2</v>
      </c>
      <c r="L47" s="643">
        <v>4.2490000000000014E-2</v>
      </c>
      <c r="M47" s="643"/>
      <c r="N47" s="643"/>
      <c r="O47" s="642"/>
      <c r="P47" s="642"/>
      <c r="Q47" s="642"/>
      <c r="R47" s="642"/>
      <c r="S47" s="642"/>
      <c r="T47" s="642"/>
      <c r="U47" s="642">
        <f t="shared" si="12"/>
        <v>0</v>
      </c>
      <c r="V47" s="642">
        <f t="shared" si="12"/>
        <v>0</v>
      </c>
      <c r="W47" s="642">
        <f t="shared" si="12"/>
        <v>0</v>
      </c>
    </row>
    <row r="48" spans="1:23">
      <c r="A48" s="644">
        <f t="shared" si="13"/>
        <v>20110701</v>
      </c>
      <c r="B48" s="639" t="s">
        <v>208</v>
      </c>
      <c r="C48" s="640" t="s">
        <v>210</v>
      </c>
      <c r="D48" s="645" t="s">
        <v>170</v>
      </c>
      <c r="E48" s="641" t="str">
        <f t="shared" si="11"/>
        <v>20110701KUCME713</v>
      </c>
      <c r="F48" s="642">
        <v>32.5</v>
      </c>
      <c r="G48" s="643">
        <f t="shared" si="3"/>
        <v>7.7100000000000016E-2</v>
      </c>
      <c r="H48" s="643">
        <f t="shared" si="4"/>
        <v>0</v>
      </c>
      <c r="I48" s="643">
        <f t="shared" si="5"/>
        <v>0</v>
      </c>
      <c r="J48" s="643">
        <v>7.9299999999999995E-3</v>
      </c>
      <c r="K48" s="643">
        <v>2.6679999999999999E-2</v>
      </c>
      <c r="L48" s="643">
        <v>4.2490000000000014E-2</v>
      </c>
      <c r="M48" s="643"/>
      <c r="N48" s="643"/>
      <c r="O48" s="642"/>
      <c r="P48" s="642"/>
      <c r="Q48" s="642"/>
      <c r="R48" s="642"/>
      <c r="S48" s="642"/>
      <c r="T48" s="642"/>
      <c r="U48" s="642">
        <f t="shared" si="12"/>
        <v>0</v>
      </c>
      <c r="V48" s="642">
        <f t="shared" si="12"/>
        <v>0</v>
      </c>
      <c r="W48" s="642">
        <f t="shared" si="12"/>
        <v>0</v>
      </c>
    </row>
    <row r="49" spans="1:23">
      <c r="A49" s="644">
        <f t="shared" si="13"/>
        <v>20110701</v>
      </c>
      <c r="B49" s="639" t="s">
        <v>203</v>
      </c>
      <c r="C49" s="640" t="s">
        <v>203</v>
      </c>
      <c r="D49" s="640" t="s">
        <v>164</v>
      </c>
      <c r="E49" s="641" t="str">
        <f t="shared" si="11"/>
        <v>20110701KUCME220</v>
      </c>
      <c r="F49" s="642">
        <v>17.5</v>
      </c>
      <c r="G49" s="643">
        <f t="shared" si="3"/>
        <v>6.6200000000000009E-2</v>
      </c>
      <c r="H49" s="643">
        <f t="shared" si="4"/>
        <v>0</v>
      </c>
      <c r="I49" s="643">
        <f t="shared" si="5"/>
        <v>0</v>
      </c>
      <c r="J49" s="643">
        <v>7.9299999999999995E-3</v>
      </c>
      <c r="K49" s="643">
        <v>2.6679999999999999E-2</v>
      </c>
      <c r="L49" s="643">
        <v>3.159E-2</v>
      </c>
      <c r="M49" s="643"/>
      <c r="N49" s="643"/>
      <c r="O49" s="642"/>
      <c r="P49" s="642"/>
      <c r="Q49" s="642"/>
      <c r="R49" s="642"/>
      <c r="S49" s="642"/>
      <c r="T49" s="642"/>
      <c r="U49" s="642">
        <f t="shared" si="12"/>
        <v>0</v>
      </c>
      <c r="V49" s="642">
        <f t="shared" si="12"/>
        <v>0</v>
      </c>
      <c r="W49" s="642">
        <f t="shared" si="12"/>
        <v>0</v>
      </c>
    </row>
    <row r="50" spans="1:23">
      <c r="A50" s="644">
        <f t="shared" si="13"/>
        <v>20110701</v>
      </c>
      <c r="B50" s="639" t="s">
        <v>203</v>
      </c>
      <c r="C50" s="640" t="s">
        <v>211</v>
      </c>
      <c r="D50" s="640" t="s">
        <v>165</v>
      </c>
      <c r="E50" s="641" t="str">
        <f t="shared" si="11"/>
        <v>20110701KUCME221</v>
      </c>
      <c r="F50" s="642">
        <v>17.5</v>
      </c>
      <c r="G50" s="643">
        <f t="shared" si="3"/>
        <v>6.6200000000000009E-2</v>
      </c>
      <c r="H50" s="643">
        <f t="shared" si="4"/>
        <v>0</v>
      </c>
      <c r="I50" s="643">
        <f t="shared" si="5"/>
        <v>0</v>
      </c>
      <c r="J50" s="643">
        <v>7.9299999999999995E-3</v>
      </c>
      <c r="K50" s="643">
        <v>2.6679999999999999E-2</v>
      </c>
      <c r="L50" s="643">
        <v>3.159E-2</v>
      </c>
      <c r="M50" s="643"/>
      <c r="N50" s="643"/>
      <c r="O50" s="642"/>
      <c r="P50" s="642"/>
      <c r="Q50" s="642"/>
      <c r="R50" s="642"/>
      <c r="S50" s="642"/>
      <c r="T50" s="642"/>
      <c r="U50" s="642">
        <f t="shared" si="12"/>
        <v>0</v>
      </c>
      <c r="V50" s="642">
        <f t="shared" si="12"/>
        <v>0</v>
      </c>
      <c r="W50" s="642">
        <f t="shared" si="12"/>
        <v>0</v>
      </c>
    </row>
    <row r="51" spans="1:23">
      <c r="A51" s="644">
        <f t="shared" si="13"/>
        <v>20110701</v>
      </c>
      <c r="B51" s="639" t="s">
        <v>203</v>
      </c>
      <c r="C51" s="640" t="s">
        <v>212</v>
      </c>
      <c r="D51" s="640" t="s">
        <v>166</v>
      </c>
      <c r="E51" s="641" t="str">
        <f t="shared" si="11"/>
        <v>20110701KUCME223</v>
      </c>
      <c r="F51" s="642">
        <v>32.5</v>
      </c>
      <c r="G51" s="643">
        <f t="shared" si="3"/>
        <v>6.6200000000000009E-2</v>
      </c>
      <c r="H51" s="643">
        <f t="shared" si="4"/>
        <v>0</v>
      </c>
      <c r="I51" s="643">
        <f t="shared" si="5"/>
        <v>0</v>
      </c>
      <c r="J51" s="643">
        <v>7.9299999999999995E-3</v>
      </c>
      <c r="K51" s="643">
        <v>2.6679999999999999E-2</v>
      </c>
      <c r="L51" s="643">
        <v>3.159E-2</v>
      </c>
      <c r="M51" s="643"/>
      <c r="N51" s="643"/>
      <c r="O51" s="642"/>
      <c r="P51" s="642"/>
      <c r="Q51" s="642"/>
      <c r="R51" s="642"/>
      <c r="S51" s="642"/>
      <c r="T51" s="642"/>
      <c r="U51" s="642">
        <f t="shared" si="12"/>
        <v>0</v>
      </c>
      <c r="V51" s="642">
        <f t="shared" si="12"/>
        <v>0</v>
      </c>
      <c r="W51" s="642">
        <f t="shared" si="12"/>
        <v>0</v>
      </c>
    </row>
    <row r="52" spans="1:23">
      <c r="A52" s="644">
        <f>A50</f>
        <v>20110701</v>
      </c>
      <c r="B52" s="639" t="s">
        <v>203</v>
      </c>
      <c r="C52" s="640" t="s">
        <v>213</v>
      </c>
      <c r="D52" s="640" t="s">
        <v>167</v>
      </c>
      <c r="E52" s="641" t="str">
        <f t="shared" si="11"/>
        <v>20110701KUCME224</v>
      </c>
      <c r="F52" s="642">
        <v>32.5</v>
      </c>
      <c r="G52" s="643">
        <f>SUM(J52:L52)</f>
        <v>6.6200000000000009E-2</v>
      </c>
      <c r="H52" s="643">
        <f>IF(M52=0,0,SUM(J52:K52,M52))</f>
        <v>0</v>
      </c>
      <c r="I52" s="643">
        <f>IF(N52=0,0,SUM(J52:K52,N52))</f>
        <v>0</v>
      </c>
      <c r="J52" s="643">
        <v>7.9299999999999995E-3</v>
      </c>
      <c r="K52" s="643">
        <v>2.6679999999999999E-2</v>
      </c>
      <c r="L52" s="643">
        <v>3.159E-2</v>
      </c>
      <c r="M52" s="643"/>
      <c r="N52" s="643"/>
      <c r="O52" s="642"/>
      <c r="P52" s="642"/>
      <c r="Q52" s="642"/>
      <c r="R52" s="642"/>
      <c r="S52" s="642"/>
      <c r="T52" s="642"/>
      <c r="U52" s="642">
        <f t="shared" ref="U52:W54" si="14">O52-R52</f>
        <v>0</v>
      </c>
      <c r="V52" s="642">
        <f t="shared" si="14"/>
        <v>0</v>
      </c>
      <c r="W52" s="642">
        <f t="shared" si="14"/>
        <v>0</v>
      </c>
    </row>
    <row r="53" spans="1:23">
      <c r="A53" s="644">
        <f>A50</f>
        <v>20110701</v>
      </c>
      <c r="B53" s="639" t="s">
        <v>203</v>
      </c>
      <c r="C53" s="640" t="s">
        <v>213</v>
      </c>
      <c r="D53" s="645" t="s">
        <v>683</v>
      </c>
      <c r="E53" s="641" t="str">
        <f t="shared" si="11"/>
        <v>20110701KUCME225</v>
      </c>
      <c r="F53" s="642">
        <v>32.5</v>
      </c>
      <c r="G53" s="643">
        <f>SUM(J53:L53)</f>
        <v>6.6200000000000009E-2</v>
      </c>
      <c r="H53" s="643">
        <f>IF(M53=0,0,SUM(J53:K53,M53))</f>
        <v>0</v>
      </c>
      <c r="I53" s="643">
        <f>IF(N53=0,0,SUM(J53:K53,N53))</f>
        <v>0</v>
      </c>
      <c r="J53" s="643">
        <v>7.9299999999999995E-3</v>
      </c>
      <c r="K53" s="643">
        <v>2.6679999999999999E-2</v>
      </c>
      <c r="L53" s="643">
        <v>3.159E-2</v>
      </c>
      <c r="M53" s="643"/>
      <c r="N53" s="643"/>
      <c r="O53" s="642"/>
      <c r="P53" s="642"/>
      <c r="Q53" s="642"/>
      <c r="R53" s="642"/>
      <c r="S53" s="642"/>
      <c r="T53" s="642"/>
      <c r="U53" s="642">
        <f t="shared" si="14"/>
        <v>0</v>
      </c>
      <c r="V53" s="642">
        <f t="shared" si="14"/>
        <v>0</v>
      </c>
      <c r="W53" s="642">
        <f t="shared" si="14"/>
        <v>0</v>
      </c>
    </row>
    <row r="54" spans="1:23">
      <c r="A54" s="644">
        <f>A50</f>
        <v>20110701</v>
      </c>
      <c r="B54" s="639" t="s">
        <v>203</v>
      </c>
      <c r="C54" s="640" t="s">
        <v>213</v>
      </c>
      <c r="D54" s="645" t="s">
        <v>684</v>
      </c>
      <c r="E54" s="641" t="str">
        <f t="shared" si="11"/>
        <v>20110701KUCME226</v>
      </c>
      <c r="F54" s="642">
        <v>17.5</v>
      </c>
      <c r="G54" s="643">
        <f>SUM(J54:L54)</f>
        <v>6.6200000000000009E-2</v>
      </c>
      <c r="H54" s="643">
        <f>IF(M54=0,0,SUM(J54:K54,M54))</f>
        <v>0</v>
      </c>
      <c r="I54" s="643">
        <f>IF(N54=0,0,SUM(J54:K54,N54))</f>
        <v>0</v>
      </c>
      <c r="J54" s="643">
        <v>7.9299999999999995E-3</v>
      </c>
      <c r="K54" s="643">
        <v>2.6679999999999999E-2</v>
      </c>
      <c r="L54" s="643">
        <v>3.159E-2</v>
      </c>
      <c r="M54" s="643"/>
      <c r="N54" s="643"/>
      <c r="O54" s="642"/>
      <c r="P54" s="642"/>
      <c r="Q54" s="642"/>
      <c r="R54" s="642"/>
      <c r="S54" s="642"/>
      <c r="T54" s="642"/>
      <c r="U54" s="642">
        <f t="shared" si="14"/>
        <v>0</v>
      </c>
      <c r="V54" s="642">
        <f t="shared" si="14"/>
        <v>0</v>
      </c>
      <c r="W54" s="642">
        <f t="shared" si="14"/>
        <v>0</v>
      </c>
    </row>
    <row r="55" spans="1:23">
      <c r="A55" s="644">
        <f>A51</f>
        <v>20110701</v>
      </c>
      <c r="B55" s="639" t="s">
        <v>203</v>
      </c>
      <c r="C55" s="640" t="s">
        <v>213</v>
      </c>
      <c r="D55" s="645" t="s">
        <v>685</v>
      </c>
      <c r="E55" s="641" t="str">
        <f t="shared" si="11"/>
        <v>20110701KUCME227</v>
      </c>
      <c r="F55" s="642">
        <v>32.5</v>
      </c>
      <c r="G55" s="643">
        <f t="shared" si="3"/>
        <v>6.6200000000000009E-2</v>
      </c>
      <c r="H55" s="643">
        <f t="shared" si="4"/>
        <v>0</v>
      </c>
      <c r="I55" s="643">
        <f t="shared" si="5"/>
        <v>0</v>
      </c>
      <c r="J55" s="643">
        <v>7.9299999999999995E-3</v>
      </c>
      <c r="K55" s="643">
        <v>2.6679999999999999E-2</v>
      </c>
      <c r="L55" s="643">
        <v>3.159E-2</v>
      </c>
      <c r="M55" s="643"/>
      <c r="N55" s="643"/>
      <c r="O55" s="642"/>
      <c r="P55" s="642"/>
      <c r="Q55" s="642"/>
      <c r="R55" s="642"/>
      <c r="S55" s="642"/>
      <c r="T55" s="642"/>
      <c r="U55" s="642">
        <f t="shared" si="12"/>
        <v>0</v>
      </c>
      <c r="V55" s="642">
        <f t="shared" si="12"/>
        <v>0</v>
      </c>
      <c r="W55" s="642">
        <f t="shared" si="12"/>
        <v>0</v>
      </c>
    </row>
    <row r="56" spans="1:23">
      <c r="A56" s="644">
        <f t="shared" si="13"/>
        <v>20110701</v>
      </c>
      <c r="B56" s="639" t="s">
        <v>25</v>
      </c>
      <c r="C56" s="640" t="s">
        <v>25</v>
      </c>
      <c r="D56" s="645" t="s">
        <v>153</v>
      </c>
      <c r="E56" s="641" t="str">
        <f t="shared" si="11"/>
        <v>20110701KUCIE561</v>
      </c>
      <c r="F56" s="642">
        <v>90</v>
      </c>
      <c r="G56" s="643">
        <f t="shared" si="3"/>
        <v>3.3000000000000002E-2</v>
      </c>
      <c r="H56" s="643">
        <f t="shared" si="4"/>
        <v>0</v>
      </c>
      <c r="I56" s="643">
        <f t="shared" si="5"/>
        <v>0</v>
      </c>
      <c r="J56" s="643"/>
      <c r="K56" s="643">
        <v>2.6679999999999999E-2</v>
      </c>
      <c r="L56" s="643">
        <v>6.3200000000000027E-3</v>
      </c>
      <c r="M56" s="643"/>
      <c r="N56" s="643"/>
      <c r="O56" s="642"/>
      <c r="P56" s="642">
        <v>10.33</v>
      </c>
      <c r="Q56" s="642">
        <v>12.6</v>
      </c>
      <c r="R56" s="642"/>
      <c r="S56" s="642">
        <v>2.2799999999999998</v>
      </c>
      <c r="T56" s="642">
        <v>2.2799999999999998</v>
      </c>
      <c r="U56" s="642">
        <f t="shared" si="12"/>
        <v>0</v>
      </c>
      <c r="V56" s="642">
        <f t="shared" si="12"/>
        <v>8.0500000000000007</v>
      </c>
      <c r="W56" s="642">
        <f t="shared" si="12"/>
        <v>10.32</v>
      </c>
    </row>
    <row r="57" spans="1:23">
      <c r="A57" s="644">
        <f t="shared" si="13"/>
        <v>20110701</v>
      </c>
      <c r="B57" s="639" t="s">
        <v>25</v>
      </c>
      <c r="C57" s="640" t="s">
        <v>25</v>
      </c>
      <c r="D57" s="645" t="s">
        <v>156</v>
      </c>
      <c r="E57" s="641" t="str">
        <f t="shared" si="11"/>
        <v>20110701KUCIE566</v>
      </c>
      <c r="F57" s="642">
        <v>90</v>
      </c>
      <c r="G57" s="643">
        <f t="shared" si="3"/>
        <v>3.3000000000000002E-2</v>
      </c>
      <c r="H57" s="643">
        <f t="shared" si="4"/>
        <v>0</v>
      </c>
      <c r="I57" s="643">
        <f t="shared" si="5"/>
        <v>0</v>
      </c>
      <c r="J57" s="643"/>
      <c r="K57" s="643">
        <v>2.6679999999999999E-2</v>
      </c>
      <c r="L57" s="643">
        <v>6.3200000000000001E-3</v>
      </c>
      <c r="M57" s="643"/>
      <c r="N57" s="643"/>
      <c r="O57" s="642"/>
      <c r="P57" s="642">
        <v>10.33</v>
      </c>
      <c r="Q57" s="642">
        <v>12.6</v>
      </c>
      <c r="R57" s="642"/>
      <c r="S57" s="642">
        <v>2.2799999999999998</v>
      </c>
      <c r="T57" s="642">
        <v>2.2799999999999998</v>
      </c>
      <c r="U57" s="642">
        <f t="shared" si="12"/>
        <v>0</v>
      </c>
      <c r="V57" s="642">
        <f t="shared" si="12"/>
        <v>8.0500000000000007</v>
      </c>
      <c r="W57" s="642">
        <f t="shared" si="12"/>
        <v>10.32</v>
      </c>
    </row>
    <row r="58" spans="1:23">
      <c r="A58" s="644">
        <f t="shared" si="13"/>
        <v>20110701</v>
      </c>
      <c r="B58" s="639" t="s">
        <v>24</v>
      </c>
      <c r="C58" s="640" t="s">
        <v>24</v>
      </c>
      <c r="D58" s="647" t="s">
        <v>154</v>
      </c>
      <c r="E58" s="641" t="str">
        <f t="shared" si="11"/>
        <v>20110701KUCIE562</v>
      </c>
      <c r="F58" s="642">
        <v>90</v>
      </c>
      <c r="G58" s="643">
        <f t="shared" si="3"/>
        <v>3.3000000000000002E-2</v>
      </c>
      <c r="H58" s="643">
        <f t="shared" si="4"/>
        <v>0</v>
      </c>
      <c r="I58" s="643">
        <f t="shared" si="5"/>
        <v>0</v>
      </c>
      <c r="J58" s="643"/>
      <c r="K58" s="643">
        <v>2.6679999999999999E-2</v>
      </c>
      <c r="L58" s="643">
        <v>6.3200000000000001E-3</v>
      </c>
      <c r="M58" s="643"/>
      <c r="N58" s="643"/>
      <c r="O58" s="642"/>
      <c r="P58" s="642">
        <v>10.53</v>
      </c>
      <c r="Q58" s="642">
        <v>12.78</v>
      </c>
      <c r="R58" s="642"/>
      <c r="S58" s="642">
        <v>2.2799999999999998</v>
      </c>
      <c r="T58" s="642">
        <v>2.2799999999999998</v>
      </c>
      <c r="U58" s="642">
        <f t="shared" si="12"/>
        <v>0</v>
      </c>
      <c r="V58" s="642">
        <f t="shared" si="12"/>
        <v>8.25</v>
      </c>
      <c r="W58" s="642">
        <f t="shared" si="12"/>
        <v>10.5</v>
      </c>
    </row>
    <row r="59" spans="1:23">
      <c r="A59" s="644">
        <f t="shared" si="13"/>
        <v>20110701</v>
      </c>
      <c r="B59" s="639" t="s">
        <v>24</v>
      </c>
      <c r="C59" s="640" t="s">
        <v>24</v>
      </c>
      <c r="D59" s="640" t="s">
        <v>157</v>
      </c>
      <c r="E59" s="641" t="str">
        <f t="shared" si="11"/>
        <v>20110701KUCIE568</v>
      </c>
      <c r="F59" s="642">
        <v>90</v>
      </c>
      <c r="G59" s="643">
        <f t="shared" si="3"/>
        <v>3.3000000000000002E-2</v>
      </c>
      <c r="H59" s="643">
        <f t="shared" si="4"/>
        <v>0</v>
      </c>
      <c r="I59" s="643">
        <f t="shared" si="5"/>
        <v>0</v>
      </c>
      <c r="J59" s="643"/>
      <c r="K59" s="643">
        <v>2.6679999999999999E-2</v>
      </c>
      <c r="L59" s="643">
        <v>6.3200000000000001E-3</v>
      </c>
      <c r="M59" s="643"/>
      <c r="N59" s="643"/>
      <c r="O59" s="642"/>
      <c r="P59" s="642">
        <v>10.53</v>
      </c>
      <c r="Q59" s="642">
        <v>12.78</v>
      </c>
      <c r="R59" s="642"/>
      <c r="S59" s="642">
        <v>2.2799999999999998</v>
      </c>
      <c r="T59" s="642">
        <v>2.2799999999999998</v>
      </c>
      <c r="U59" s="642">
        <f t="shared" si="12"/>
        <v>0</v>
      </c>
      <c r="V59" s="642">
        <f t="shared" si="12"/>
        <v>8.25</v>
      </c>
      <c r="W59" s="642">
        <f t="shared" si="12"/>
        <v>10.5</v>
      </c>
    </row>
    <row r="60" spans="1:23">
      <c r="A60" s="644">
        <f t="shared" si="13"/>
        <v>20110701</v>
      </c>
      <c r="B60" s="639" t="s">
        <v>24</v>
      </c>
      <c r="C60" s="640" t="s">
        <v>214</v>
      </c>
      <c r="D60" s="640" t="s">
        <v>160</v>
      </c>
      <c r="E60" s="641" t="str">
        <f t="shared" si="11"/>
        <v>20110701KUCIE717</v>
      </c>
      <c r="F60" s="642">
        <v>90</v>
      </c>
      <c r="G60" s="643">
        <f t="shared" si="3"/>
        <v>3.3000000000000002E-2</v>
      </c>
      <c r="H60" s="643">
        <f t="shared" si="4"/>
        <v>0</v>
      </c>
      <c r="I60" s="643">
        <f t="shared" si="5"/>
        <v>0</v>
      </c>
      <c r="J60" s="643"/>
      <c r="K60" s="643">
        <v>2.6679999999999999E-2</v>
      </c>
      <c r="L60" s="643">
        <v>6.3200000000000001E-3</v>
      </c>
      <c r="M60" s="643"/>
      <c r="N60" s="643"/>
      <c r="O60" s="642"/>
      <c r="P60" s="642">
        <v>10.53</v>
      </c>
      <c r="Q60" s="642">
        <v>12.78</v>
      </c>
      <c r="R60" s="642"/>
      <c r="S60" s="642">
        <v>2.2799999999999998</v>
      </c>
      <c r="T60" s="642">
        <v>2.2799999999999998</v>
      </c>
      <c r="U60" s="642">
        <f t="shared" si="12"/>
        <v>0</v>
      </c>
      <c r="V60" s="642">
        <f t="shared" si="12"/>
        <v>8.25</v>
      </c>
      <c r="W60" s="642">
        <f t="shared" si="12"/>
        <v>10.5</v>
      </c>
    </row>
    <row r="61" spans="1:23">
      <c r="A61" s="644">
        <f t="shared" si="13"/>
        <v>20110701</v>
      </c>
      <c r="B61" s="639" t="s">
        <v>205</v>
      </c>
      <c r="C61" s="640" t="s">
        <v>205</v>
      </c>
      <c r="D61" s="640" t="s">
        <v>155</v>
      </c>
      <c r="E61" s="641" t="str">
        <f t="shared" si="11"/>
        <v>20110701KUCIE563</v>
      </c>
      <c r="F61" s="642">
        <v>300</v>
      </c>
      <c r="G61" s="643">
        <f t="shared" si="3"/>
        <v>3.5220000000000001E-2</v>
      </c>
      <c r="H61" s="643">
        <f t="shared" si="4"/>
        <v>0</v>
      </c>
      <c r="I61" s="643">
        <f t="shared" si="5"/>
        <v>0</v>
      </c>
      <c r="J61" s="643"/>
      <c r="K61" s="643">
        <v>2.6679999999999999E-2</v>
      </c>
      <c r="L61" s="643">
        <v>8.5400000000000025E-3</v>
      </c>
      <c r="M61" s="643"/>
      <c r="N61" s="643"/>
      <c r="O61" s="642">
        <v>1.7</v>
      </c>
      <c r="P61" s="642">
        <v>2.73</v>
      </c>
      <c r="Q61" s="642">
        <v>4.09</v>
      </c>
      <c r="R61" s="642">
        <v>1.21</v>
      </c>
      <c r="S61" s="642">
        <f t="shared" ref="S61:S66" si="15">R61</f>
        <v>1.21</v>
      </c>
      <c r="T61" s="642">
        <f t="shared" ref="T61:T66" si="16">R61</f>
        <v>1.21</v>
      </c>
      <c r="U61" s="642">
        <f t="shared" si="12"/>
        <v>0.49</v>
      </c>
      <c r="V61" s="642">
        <f t="shared" si="12"/>
        <v>1.52</v>
      </c>
      <c r="W61" s="642">
        <f t="shared" si="12"/>
        <v>2.88</v>
      </c>
    </row>
    <row r="62" spans="1:23">
      <c r="A62" s="644">
        <f t="shared" si="13"/>
        <v>20110701</v>
      </c>
      <c r="B62" s="639" t="s">
        <v>205</v>
      </c>
      <c r="C62" s="640" t="s">
        <v>205</v>
      </c>
      <c r="D62" s="640" t="s">
        <v>158</v>
      </c>
      <c r="E62" s="641" t="str">
        <f t="shared" si="11"/>
        <v>20110701KUCIE571</v>
      </c>
      <c r="F62" s="642">
        <v>300</v>
      </c>
      <c r="G62" s="643">
        <f t="shared" si="3"/>
        <v>3.5220000000000001E-2</v>
      </c>
      <c r="H62" s="643">
        <f t="shared" si="4"/>
        <v>0</v>
      </c>
      <c r="I62" s="643">
        <f t="shared" si="5"/>
        <v>0</v>
      </c>
      <c r="J62" s="643"/>
      <c r="K62" s="643">
        <v>2.6679999999999999E-2</v>
      </c>
      <c r="L62" s="643">
        <v>8.5400000000000025E-3</v>
      </c>
      <c r="M62" s="643"/>
      <c r="N62" s="643"/>
      <c r="O62" s="642">
        <v>1.7</v>
      </c>
      <c r="P62" s="642">
        <v>2.73</v>
      </c>
      <c r="Q62" s="642">
        <v>4.09</v>
      </c>
      <c r="R62" s="642">
        <v>1.21</v>
      </c>
      <c r="S62" s="642">
        <f t="shared" si="15"/>
        <v>1.21</v>
      </c>
      <c r="T62" s="642">
        <f t="shared" si="16"/>
        <v>1.21</v>
      </c>
      <c r="U62" s="642">
        <f t="shared" si="12"/>
        <v>0.49</v>
      </c>
      <c r="V62" s="642">
        <f t="shared" si="12"/>
        <v>1.52</v>
      </c>
      <c r="W62" s="642">
        <f t="shared" si="12"/>
        <v>2.88</v>
      </c>
    </row>
    <row r="63" spans="1:23">
      <c r="A63" s="644">
        <f t="shared" si="13"/>
        <v>20110701</v>
      </c>
      <c r="B63" s="639" t="s">
        <v>204</v>
      </c>
      <c r="C63" s="640" t="s">
        <v>204</v>
      </c>
      <c r="D63" s="640" t="s">
        <v>159</v>
      </c>
      <c r="E63" s="641" t="str">
        <f t="shared" si="11"/>
        <v>20110701KUCIE572</v>
      </c>
      <c r="F63" s="642">
        <v>200</v>
      </c>
      <c r="G63" s="643">
        <f t="shared" si="3"/>
        <v>3.49E-2</v>
      </c>
      <c r="H63" s="643">
        <f t="shared" si="4"/>
        <v>0</v>
      </c>
      <c r="I63" s="643">
        <f t="shared" si="5"/>
        <v>0</v>
      </c>
      <c r="J63" s="643"/>
      <c r="K63" s="643">
        <v>2.6679999999999999E-2</v>
      </c>
      <c r="L63" s="643">
        <v>8.2200000000000016E-3</v>
      </c>
      <c r="M63" s="643"/>
      <c r="N63" s="643"/>
      <c r="O63" s="642">
        <v>3.53</v>
      </c>
      <c r="P63" s="642">
        <v>2.91</v>
      </c>
      <c r="Q63" s="642">
        <v>4.37</v>
      </c>
      <c r="R63" s="642">
        <v>1.52</v>
      </c>
      <c r="S63" s="642">
        <f t="shared" si="15"/>
        <v>1.52</v>
      </c>
      <c r="T63" s="642">
        <f t="shared" si="16"/>
        <v>1.52</v>
      </c>
      <c r="U63" s="642">
        <f t="shared" si="12"/>
        <v>2.0099999999999998</v>
      </c>
      <c r="V63" s="642">
        <f t="shared" si="12"/>
        <v>1.3900000000000001</v>
      </c>
      <c r="W63" s="642">
        <f t="shared" si="12"/>
        <v>2.85</v>
      </c>
    </row>
    <row r="64" spans="1:23">
      <c r="A64" s="644">
        <f t="shared" si="13"/>
        <v>20110701</v>
      </c>
      <c r="B64" s="639" t="s">
        <v>18</v>
      </c>
      <c r="C64" s="640" t="s">
        <v>18</v>
      </c>
      <c r="D64" s="640" t="s">
        <v>152</v>
      </c>
      <c r="E64" s="641" t="str">
        <f t="shared" si="11"/>
        <v>20110701KUCIE550</v>
      </c>
      <c r="F64" s="642">
        <v>500</v>
      </c>
      <c r="G64" s="643">
        <f t="shared" si="3"/>
        <v>3.4140000000000004E-2</v>
      </c>
      <c r="H64" s="643">
        <f t="shared" si="4"/>
        <v>0</v>
      </c>
      <c r="I64" s="643">
        <f t="shared" si="5"/>
        <v>0</v>
      </c>
      <c r="J64" s="643"/>
      <c r="K64" s="643">
        <v>2.6679999999999999E-2</v>
      </c>
      <c r="L64" s="643">
        <v>7.4600000000000048E-3</v>
      </c>
      <c r="M64" s="643"/>
      <c r="N64" s="643"/>
      <c r="O64" s="642">
        <v>1.04</v>
      </c>
      <c r="P64" s="642">
        <v>2.4900000000000002</v>
      </c>
      <c r="Q64" s="642">
        <v>3.73</v>
      </c>
      <c r="R64" s="642">
        <v>0.9</v>
      </c>
      <c r="S64" s="642">
        <f t="shared" si="15"/>
        <v>0.9</v>
      </c>
      <c r="T64" s="642">
        <f t="shared" si="16"/>
        <v>0.9</v>
      </c>
      <c r="U64" s="642">
        <f t="shared" si="12"/>
        <v>0.14000000000000001</v>
      </c>
      <c r="V64" s="642">
        <f t="shared" si="12"/>
        <v>1.5900000000000003</v>
      </c>
      <c r="W64" s="642">
        <f t="shared" si="12"/>
        <v>2.83</v>
      </c>
    </row>
    <row r="65" spans="1:23">
      <c r="A65" s="644">
        <f t="shared" si="13"/>
        <v>20110701</v>
      </c>
      <c r="B65" s="639" t="s">
        <v>26</v>
      </c>
      <c r="C65" s="640" t="s">
        <v>26</v>
      </c>
      <c r="D65" s="640" t="s">
        <v>215</v>
      </c>
      <c r="E65" s="641" t="str">
        <f t="shared" si="11"/>
        <v>20110701KUINE731</v>
      </c>
      <c r="F65" s="642">
        <v>500</v>
      </c>
      <c r="G65" s="643">
        <f t="shared" si="3"/>
        <v>3.4189999999999998E-2</v>
      </c>
      <c r="H65" s="643">
        <f t="shared" si="4"/>
        <v>0</v>
      </c>
      <c r="I65" s="643">
        <f t="shared" si="5"/>
        <v>0</v>
      </c>
      <c r="J65" s="643"/>
      <c r="K65" s="643">
        <v>2.6679999999999999E-2</v>
      </c>
      <c r="L65" s="643">
        <v>7.5099999999999993E-3</v>
      </c>
      <c r="M65" s="643"/>
      <c r="N65" s="643"/>
      <c r="O65" s="642">
        <v>1.75</v>
      </c>
      <c r="P65" s="642">
        <v>1.59</v>
      </c>
      <c r="Q65" s="642">
        <v>2.48</v>
      </c>
      <c r="R65" s="642">
        <v>0.6</v>
      </c>
      <c r="S65" s="642">
        <f t="shared" si="15"/>
        <v>0.6</v>
      </c>
      <c r="T65" s="642">
        <f t="shared" si="16"/>
        <v>0.6</v>
      </c>
      <c r="U65" s="642">
        <f t="shared" si="12"/>
        <v>1.1499999999999999</v>
      </c>
      <c r="V65" s="642">
        <f t="shared" si="12"/>
        <v>0.9900000000000001</v>
      </c>
      <c r="W65" s="642">
        <f t="shared" si="12"/>
        <v>1.88</v>
      </c>
    </row>
    <row r="66" spans="1:23">
      <c r="A66" s="644">
        <f t="shared" si="13"/>
        <v>20110701</v>
      </c>
      <c r="B66" s="639" t="s">
        <v>27</v>
      </c>
      <c r="C66" s="645" t="s">
        <v>27</v>
      </c>
      <c r="D66" s="645" t="s">
        <v>173</v>
      </c>
      <c r="E66" s="641" t="str">
        <f t="shared" si="11"/>
        <v>20110701KUINE730</v>
      </c>
      <c r="F66" s="642">
        <v>500</v>
      </c>
      <c r="G66" s="643">
        <f t="shared" si="3"/>
        <v>2.947E-2</v>
      </c>
      <c r="H66" s="643">
        <f t="shared" si="4"/>
        <v>0</v>
      </c>
      <c r="I66" s="643">
        <f t="shared" si="5"/>
        <v>0</v>
      </c>
      <c r="J66" s="643"/>
      <c r="K66" s="643">
        <v>2.6679999999999999E-2</v>
      </c>
      <c r="L66" s="643">
        <v>2.7900000000000008E-3</v>
      </c>
      <c r="M66" s="643"/>
      <c r="N66" s="643"/>
      <c r="O66" s="642">
        <v>1</v>
      </c>
      <c r="P66" s="642">
        <v>1.59</v>
      </c>
      <c r="Q66" s="642">
        <v>2.48</v>
      </c>
      <c r="R66" s="642">
        <v>0.6</v>
      </c>
      <c r="S66" s="642">
        <f t="shared" si="15"/>
        <v>0.6</v>
      </c>
      <c r="T66" s="642">
        <f t="shared" si="16"/>
        <v>0.6</v>
      </c>
      <c r="U66" s="642">
        <f t="shared" si="12"/>
        <v>0.4</v>
      </c>
      <c r="V66" s="642">
        <f t="shared" si="12"/>
        <v>0.9900000000000001</v>
      </c>
      <c r="W66" s="642">
        <f t="shared" si="12"/>
        <v>1.88</v>
      </c>
    </row>
    <row r="67" spans="1:23">
      <c r="A67" s="644">
        <f t="shared" si="13"/>
        <v>20110701</v>
      </c>
      <c r="B67" s="639" t="s">
        <v>20</v>
      </c>
      <c r="C67" s="640" t="s">
        <v>20</v>
      </c>
      <c r="D67" s="640" t="s">
        <v>168</v>
      </c>
      <c r="E67" s="641" t="str">
        <f t="shared" si="11"/>
        <v>20110701KUCME295</v>
      </c>
      <c r="F67" s="642">
        <v>3.14</v>
      </c>
      <c r="G67" s="643">
        <f t="shared" si="3"/>
        <v>6.9140000000000007E-2</v>
      </c>
      <c r="H67" s="643">
        <f t="shared" si="4"/>
        <v>0</v>
      </c>
      <c r="I67" s="643">
        <f t="shared" si="5"/>
        <v>0</v>
      </c>
      <c r="J67" s="643">
        <v>6.8399999999999997E-3</v>
      </c>
      <c r="K67" s="643">
        <v>2.6679999999999999E-2</v>
      </c>
      <c r="L67" s="643">
        <v>3.5620000000000013E-2</v>
      </c>
      <c r="M67" s="643"/>
      <c r="N67" s="643"/>
      <c r="O67" s="642"/>
      <c r="P67" s="642"/>
      <c r="Q67" s="642"/>
      <c r="R67" s="642"/>
      <c r="S67" s="642"/>
      <c r="T67" s="642"/>
      <c r="U67" s="642">
        <f t="shared" si="12"/>
        <v>0</v>
      </c>
      <c r="V67" s="642">
        <f t="shared" si="12"/>
        <v>0</v>
      </c>
      <c r="W67" s="642">
        <f t="shared" si="12"/>
        <v>0</v>
      </c>
    </row>
    <row r="68" spans="1:23">
      <c r="A68" s="644">
        <f t="shared" si="13"/>
        <v>20110701</v>
      </c>
      <c r="B68" s="639" t="s">
        <v>20</v>
      </c>
      <c r="C68" s="640" t="s">
        <v>20</v>
      </c>
      <c r="D68" s="645" t="s">
        <v>623</v>
      </c>
      <c r="E68" s="641" t="str">
        <f t="shared" ref="E68:E99" si="17">A68&amp;D68</f>
        <v>20110701KUCME297</v>
      </c>
      <c r="F68" s="642">
        <v>3.14</v>
      </c>
      <c r="G68" s="643">
        <f t="shared" si="3"/>
        <v>6.9140000000000007E-2</v>
      </c>
      <c r="H68" s="643">
        <f t="shared" si="4"/>
        <v>0</v>
      </c>
      <c r="I68" s="643">
        <f t="shared" si="5"/>
        <v>0</v>
      </c>
      <c r="J68" s="643">
        <v>6.8399999999999997E-3</v>
      </c>
      <c r="K68" s="643">
        <v>2.6679999999999999E-2</v>
      </c>
      <c r="L68" s="643">
        <v>3.5619999999999999E-2</v>
      </c>
      <c r="M68" s="643"/>
      <c r="N68" s="643"/>
      <c r="O68" s="642"/>
      <c r="P68" s="642"/>
      <c r="Q68" s="642"/>
      <c r="R68" s="642"/>
      <c r="S68" s="642"/>
      <c r="T68" s="642"/>
      <c r="U68" s="642">
        <f t="shared" si="12"/>
        <v>0</v>
      </c>
      <c r="V68" s="642">
        <f t="shared" si="12"/>
        <v>0</v>
      </c>
      <c r="W68" s="642">
        <f t="shared" si="12"/>
        <v>0</v>
      </c>
    </row>
    <row r="69" spans="1:23">
      <c r="A69" s="644">
        <f t="shared" si="13"/>
        <v>20110701</v>
      </c>
      <c r="B69" s="639" t="s">
        <v>19</v>
      </c>
      <c r="C69" s="640" t="s">
        <v>19</v>
      </c>
      <c r="D69" s="645" t="s">
        <v>217</v>
      </c>
      <c r="E69" s="641" t="str">
        <f t="shared" si="17"/>
        <v>20110701KUCME290</v>
      </c>
      <c r="F69" s="642">
        <v>0</v>
      </c>
      <c r="G69" s="643">
        <f t="shared" si="3"/>
        <v>5.3790000000000004E-2</v>
      </c>
      <c r="H69" s="643">
        <f t="shared" si="4"/>
        <v>0</v>
      </c>
      <c r="I69" s="643">
        <f t="shared" si="5"/>
        <v>0</v>
      </c>
      <c r="J69" s="643">
        <v>6.8399999999999997E-3</v>
      </c>
      <c r="K69" s="643">
        <v>2.6679999999999999E-2</v>
      </c>
      <c r="L69" s="643">
        <v>2.027E-2</v>
      </c>
      <c r="M69" s="643"/>
      <c r="N69" s="643"/>
      <c r="O69" s="642"/>
      <c r="P69" s="642"/>
      <c r="Q69" s="642"/>
      <c r="R69" s="642"/>
      <c r="S69" s="642"/>
      <c r="T69" s="642"/>
      <c r="U69" s="642">
        <f t="shared" si="12"/>
        <v>0</v>
      </c>
      <c r="V69" s="642">
        <f t="shared" si="12"/>
        <v>0</v>
      </c>
      <c r="W69" s="642">
        <f t="shared" si="12"/>
        <v>0</v>
      </c>
    </row>
    <row r="70" spans="1:23">
      <c r="A70" s="644">
        <f t="shared" si="13"/>
        <v>20110701</v>
      </c>
      <c r="B70" s="639" t="s">
        <v>19</v>
      </c>
      <c r="C70" s="640" t="s">
        <v>19</v>
      </c>
      <c r="D70" s="640" t="s">
        <v>216</v>
      </c>
      <c r="E70" s="641" t="str">
        <f t="shared" si="17"/>
        <v>20110701KUCME291</v>
      </c>
      <c r="F70" s="642">
        <v>0</v>
      </c>
      <c r="G70" s="643">
        <f t="shared" si="3"/>
        <v>5.3790000000000004E-2</v>
      </c>
      <c r="H70" s="643">
        <f t="shared" si="4"/>
        <v>0</v>
      </c>
      <c r="I70" s="643">
        <f t="shared" si="5"/>
        <v>0</v>
      </c>
      <c r="J70" s="643">
        <v>6.8399999999999997E-3</v>
      </c>
      <c r="K70" s="643">
        <v>2.6679999999999999E-2</v>
      </c>
      <c r="L70" s="643">
        <v>2.027E-2</v>
      </c>
      <c r="M70" s="643"/>
      <c r="N70" s="643"/>
      <c r="O70" s="642"/>
      <c r="P70" s="642"/>
      <c r="Q70" s="642"/>
      <c r="R70" s="642"/>
      <c r="S70" s="642"/>
      <c r="T70" s="642"/>
      <c r="U70" s="642">
        <f t="shared" si="12"/>
        <v>0</v>
      </c>
      <c r="V70" s="642">
        <f t="shared" si="12"/>
        <v>0</v>
      </c>
      <c r="W70" s="642">
        <f t="shared" si="12"/>
        <v>0</v>
      </c>
    </row>
    <row r="71" spans="1:23">
      <c r="A71" s="644">
        <f t="shared" si="13"/>
        <v>20110701</v>
      </c>
      <c r="B71" s="639" t="s">
        <v>19</v>
      </c>
      <c r="C71" s="640" t="s">
        <v>19</v>
      </c>
      <c r="D71" s="645" t="s">
        <v>218</v>
      </c>
      <c r="E71" s="641" t="str">
        <f t="shared" si="17"/>
        <v>20110701KUCME292</v>
      </c>
      <c r="F71" s="642">
        <v>0</v>
      </c>
      <c r="G71" s="643">
        <f t="shared" si="3"/>
        <v>5.3790000000000004E-2</v>
      </c>
      <c r="H71" s="643">
        <f t="shared" si="4"/>
        <v>0</v>
      </c>
      <c r="I71" s="643">
        <f t="shared" si="5"/>
        <v>0</v>
      </c>
      <c r="J71" s="643">
        <v>6.8399999999999997E-3</v>
      </c>
      <c r="K71" s="643">
        <v>2.6679999999999999E-2</v>
      </c>
      <c r="L71" s="643">
        <v>2.027E-2</v>
      </c>
      <c r="M71" s="643"/>
      <c r="N71" s="643"/>
      <c r="O71" s="642"/>
      <c r="P71" s="642"/>
      <c r="Q71" s="642"/>
      <c r="R71" s="642"/>
      <c r="S71" s="642"/>
      <c r="T71" s="642"/>
      <c r="U71" s="642">
        <f t="shared" si="12"/>
        <v>0</v>
      </c>
      <c r="V71" s="642">
        <f t="shared" si="12"/>
        <v>0</v>
      </c>
      <c r="W71" s="642">
        <f t="shared" si="12"/>
        <v>0</v>
      </c>
    </row>
    <row r="72" spans="1:23">
      <c r="A72" s="648">
        <v>20120301</v>
      </c>
      <c r="B72" s="649" t="s">
        <v>14</v>
      </c>
      <c r="C72" s="650" t="s">
        <v>14</v>
      </c>
      <c r="D72" s="650" t="s">
        <v>174</v>
      </c>
      <c r="E72" s="651" t="str">
        <f t="shared" si="17"/>
        <v>20120301KURSE010</v>
      </c>
      <c r="F72" s="652">
        <v>8.5</v>
      </c>
      <c r="G72" s="653">
        <v>6.9870000000000002E-2</v>
      </c>
      <c r="H72" s="653">
        <v>0</v>
      </c>
      <c r="I72" s="653">
        <v>0</v>
      </c>
      <c r="J72" s="653">
        <v>9.5200000000000007E-3</v>
      </c>
      <c r="K72" s="653">
        <v>2.6679999999999999E-2</v>
      </c>
      <c r="L72" s="653">
        <f>G72-J72-K72</f>
        <v>3.3670000000000005E-2</v>
      </c>
      <c r="M72" s="653"/>
      <c r="N72" s="653"/>
      <c r="O72" s="652"/>
      <c r="P72" s="652"/>
      <c r="Q72" s="652"/>
      <c r="R72" s="652"/>
      <c r="S72" s="652"/>
      <c r="T72" s="652"/>
      <c r="U72" s="652">
        <f t="shared" si="12"/>
        <v>0</v>
      </c>
      <c r="V72" s="652">
        <f t="shared" si="12"/>
        <v>0</v>
      </c>
      <c r="W72" s="652">
        <f t="shared" si="12"/>
        <v>0</v>
      </c>
    </row>
    <row r="73" spans="1:23">
      <c r="A73" s="648">
        <v>20120301</v>
      </c>
      <c r="B73" s="649" t="s">
        <v>14</v>
      </c>
      <c r="C73" s="650" t="s">
        <v>14</v>
      </c>
      <c r="D73" s="654" t="s">
        <v>175</v>
      </c>
      <c r="E73" s="651" t="str">
        <f t="shared" si="17"/>
        <v>20120301KURSE020</v>
      </c>
      <c r="F73" s="652">
        <v>8.5</v>
      </c>
      <c r="G73" s="653">
        <v>6.9870000000000002E-2</v>
      </c>
      <c r="H73" s="653">
        <v>0</v>
      </c>
      <c r="I73" s="653">
        <v>0</v>
      </c>
      <c r="J73" s="653">
        <v>9.5200000000000007E-3</v>
      </c>
      <c r="K73" s="653">
        <v>2.6679999999999999E-2</v>
      </c>
      <c r="L73" s="653">
        <f t="shared" ref="L73:L105" si="18">G73-J73-K73</f>
        <v>3.3670000000000005E-2</v>
      </c>
      <c r="M73" s="653"/>
      <c r="N73" s="653"/>
      <c r="O73" s="652"/>
      <c r="P73" s="652"/>
      <c r="Q73" s="652"/>
      <c r="R73" s="652"/>
      <c r="S73" s="652"/>
      <c r="T73" s="652"/>
      <c r="U73" s="652">
        <f t="shared" si="12"/>
        <v>0</v>
      </c>
      <c r="V73" s="652">
        <f t="shared" si="12"/>
        <v>0</v>
      </c>
      <c r="W73" s="652">
        <f t="shared" si="12"/>
        <v>0</v>
      </c>
    </row>
    <row r="74" spans="1:23">
      <c r="A74" s="648">
        <v>20120301</v>
      </c>
      <c r="B74" s="649" t="s">
        <v>14</v>
      </c>
      <c r="C74" s="654" t="s">
        <v>207</v>
      </c>
      <c r="D74" s="654" t="s">
        <v>176</v>
      </c>
      <c r="E74" s="651" t="str">
        <f t="shared" si="17"/>
        <v>20120301KURSE025</v>
      </c>
      <c r="F74" s="652">
        <v>8.5</v>
      </c>
      <c r="G74" s="653">
        <v>6.9870000000000002E-2</v>
      </c>
      <c r="H74" s="653">
        <v>0</v>
      </c>
      <c r="I74" s="653">
        <v>0</v>
      </c>
      <c r="J74" s="653">
        <v>9.5200000000000007E-3</v>
      </c>
      <c r="K74" s="653">
        <v>2.6679999999999999E-2</v>
      </c>
      <c r="L74" s="653">
        <f t="shared" si="18"/>
        <v>3.3670000000000005E-2</v>
      </c>
      <c r="M74" s="653"/>
      <c r="N74" s="653"/>
      <c r="O74" s="652"/>
      <c r="P74" s="652"/>
      <c r="Q74" s="652"/>
      <c r="R74" s="652"/>
      <c r="S74" s="652"/>
      <c r="T74" s="652"/>
      <c r="U74" s="652">
        <f t="shared" si="12"/>
        <v>0</v>
      </c>
      <c r="V74" s="652">
        <f t="shared" si="12"/>
        <v>0</v>
      </c>
      <c r="W74" s="652">
        <f t="shared" si="12"/>
        <v>0</v>
      </c>
    </row>
    <row r="75" spans="1:23">
      <c r="A75" s="648">
        <v>20120301</v>
      </c>
      <c r="B75" s="649" t="s">
        <v>831</v>
      </c>
      <c r="C75" s="650" t="s">
        <v>16</v>
      </c>
      <c r="D75" s="654" t="s">
        <v>177</v>
      </c>
      <c r="E75" s="651" t="str">
        <f t="shared" si="17"/>
        <v>20120301KURSE080</v>
      </c>
      <c r="F75" s="652">
        <v>8.5</v>
      </c>
      <c r="G75" s="653">
        <v>6.9870000000000002E-2</v>
      </c>
      <c r="H75" s="653">
        <v>0</v>
      </c>
      <c r="I75" s="653">
        <v>0</v>
      </c>
      <c r="J75" s="653">
        <v>9.5200000000000007E-3</v>
      </c>
      <c r="K75" s="653">
        <v>2.6679999999999999E-2</v>
      </c>
      <c r="L75" s="653">
        <f t="shared" si="18"/>
        <v>3.3670000000000005E-2</v>
      </c>
      <c r="M75" s="653"/>
      <c r="N75" s="653"/>
      <c r="O75" s="652"/>
      <c r="P75" s="652"/>
      <c r="Q75" s="652"/>
      <c r="R75" s="652"/>
      <c r="S75" s="652"/>
      <c r="T75" s="652"/>
      <c r="U75" s="652">
        <f t="shared" si="12"/>
        <v>0</v>
      </c>
      <c r="V75" s="652">
        <f t="shared" si="12"/>
        <v>0</v>
      </c>
      <c r="W75" s="652">
        <f t="shared" si="12"/>
        <v>0</v>
      </c>
    </row>
    <row r="76" spans="1:23">
      <c r="A76" s="648">
        <v>20120301</v>
      </c>
      <c r="B76" s="649" t="s">
        <v>14</v>
      </c>
      <c r="C76" s="650" t="s">
        <v>15</v>
      </c>
      <c r="D76" s="654" t="s">
        <v>178</v>
      </c>
      <c r="E76" s="651" t="str">
        <f t="shared" si="17"/>
        <v>20120301KURSE715</v>
      </c>
      <c r="F76" s="652">
        <v>8.5</v>
      </c>
      <c r="G76" s="653">
        <v>6.9870000000000002E-2</v>
      </c>
      <c r="H76" s="653">
        <v>0</v>
      </c>
      <c r="I76" s="653">
        <v>0</v>
      </c>
      <c r="J76" s="653">
        <v>9.5200000000000007E-3</v>
      </c>
      <c r="K76" s="653">
        <v>2.6679999999999999E-2</v>
      </c>
      <c r="L76" s="653">
        <f t="shared" si="18"/>
        <v>3.3670000000000005E-2</v>
      </c>
      <c r="M76" s="653"/>
      <c r="N76" s="653"/>
      <c r="O76" s="652"/>
      <c r="P76" s="652"/>
      <c r="Q76" s="652"/>
      <c r="R76" s="652"/>
      <c r="S76" s="652"/>
      <c r="T76" s="652"/>
      <c r="U76" s="652">
        <f t="shared" si="12"/>
        <v>0</v>
      </c>
      <c r="V76" s="652">
        <f t="shared" si="12"/>
        <v>0</v>
      </c>
      <c r="W76" s="652">
        <f t="shared" si="12"/>
        <v>0</v>
      </c>
    </row>
    <row r="77" spans="1:23">
      <c r="A77" s="648">
        <v>20120301</v>
      </c>
      <c r="B77" s="649" t="s">
        <v>828</v>
      </c>
      <c r="C77" s="650" t="s">
        <v>206</v>
      </c>
      <c r="D77" s="654" t="s">
        <v>458</v>
      </c>
      <c r="E77" s="651" t="str">
        <f t="shared" si="17"/>
        <v>20120301KURSE040</v>
      </c>
      <c r="F77" s="652">
        <v>8.5</v>
      </c>
      <c r="G77" s="653">
        <v>4.904E-2</v>
      </c>
      <c r="H77" s="653">
        <v>7.0050000000000001E-2</v>
      </c>
      <c r="I77" s="653">
        <v>0.13314999999999999</v>
      </c>
      <c r="J77" s="653">
        <v>9.5200000000000007E-3</v>
      </c>
      <c r="K77" s="653">
        <f>K76</f>
        <v>2.6679999999999999E-2</v>
      </c>
      <c r="L77" s="653">
        <f t="shared" si="18"/>
        <v>1.2840000000000001E-2</v>
      </c>
      <c r="M77" s="653">
        <f>H77-J77-K77</f>
        <v>3.3850000000000005E-2</v>
      </c>
      <c r="N77" s="653">
        <f>I77-J77-K77</f>
        <v>9.6949999999999995E-2</v>
      </c>
      <c r="O77" s="652"/>
      <c r="P77" s="652"/>
      <c r="Q77" s="652"/>
      <c r="R77" s="652"/>
      <c r="S77" s="652"/>
      <c r="T77" s="652"/>
      <c r="U77" s="652">
        <f t="shared" si="12"/>
        <v>0</v>
      </c>
      <c r="V77" s="652">
        <f t="shared" si="12"/>
        <v>0</v>
      </c>
      <c r="W77" s="652">
        <f t="shared" si="12"/>
        <v>0</v>
      </c>
    </row>
    <row r="78" spans="1:23">
      <c r="A78" s="648">
        <v>20120301</v>
      </c>
      <c r="B78" s="649" t="s">
        <v>208</v>
      </c>
      <c r="C78" s="650" t="s">
        <v>208</v>
      </c>
      <c r="D78" s="650" t="s">
        <v>161</v>
      </c>
      <c r="E78" s="651" t="str">
        <f t="shared" si="17"/>
        <v>20120301KUCME110</v>
      </c>
      <c r="F78" s="652">
        <v>17.5</v>
      </c>
      <c r="G78" s="653">
        <v>8.3320000000000005E-2</v>
      </c>
      <c r="H78" s="653">
        <v>0</v>
      </c>
      <c r="I78" s="653">
        <v>0</v>
      </c>
      <c r="J78" s="653">
        <v>1.4149999999999999E-2</v>
      </c>
      <c r="K78" s="653">
        <v>2.6679999999999999E-2</v>
      </c>
      <c r="L78" s="653">
        <f t="shared" si="18"/>
        <v>4.2490000000000014E-2</v>
      </c>
      <c r="M78" s="653"/>
      <c r="N78" s="653"/>
      <c r="O78" s="652"/>
      <c r="P78" s="652"/>
      <c r="Q78" s="652"/>
      <c r="R78" s="652"/>
      <c r="S78" s="652"/>
      <c r="T78" s="652"/>
      <c r="U78" s="652">
        <f t="shared" si="12"/>
        <v>0</v>
      </c>
      <c r="V78" s="652">
        <f t="shared" si="12"/>
        <v>0</v>
      </c>
      <c r="W78" s="652">
        <f t="shared" si="12"/>
        <v>0</v>
      </c>
    </row>
    <row r="79" spans="1:23">
      <c r="A79" s="648">
        <v>20120301</v>
      </c>
      <c r="B79" s="649" t="s">
        <v>208</v>
      </c>
      <c r="C79" s="650" t="s">
        <v>208</v>
      </c>
      <c r="D79" s="654" t="s">
        <v>162</v>
      </c>
      <c r="E79" s="651" t="str">
        <f t="shared" si="17"/>
        <v>20120301KUCME112</v>
      </c>
      <c r="F79" s="652">
        <v>17.5</v>
      </c>
      <c r="G79" s="653">
        <v>8.3320000000000005E-2</v>
      </c>
      <c r="H79" s="653">
        <v>0</v>
      </c>
      <c r="I79" s="653">
        <v>0</v>
      </c>
      <c r="J79" s="653">
        <v>1.4149999999999999E-2</v>
      </c>
      <c r="K79" s="653">
        <v>2.6679999999999999E-2</v>
      </c>
      <c r="L79" s="653">
        <f t="shared" si="18"/>
        <v>4.2490000000000014E-2</v>
      </c>
      <c r="M79" s="653"/>
      <c r="N79" s="653"/>
      <c r="O79" s="652"/>
      <c r="P79" s="652"/>
      <c r="Q79" s="652"/>
      <c r="R79" s="652"/>
      <c r="S79" s="652"/>
      <c r="T79" s="652"/>
      <c r="U79" s="652">
        <f t="shared" si="12"/>
        <v>0</v>
      </c>
      <c r="V79" s="652">
        <f t="shared" si="12"/>
        <v>0</v>
      </c>
      <c r="W79" s="652">
        <f t="shared" si="12"/>
        <v>0</v>
      </c>
    </row>
    <row r="80" spans="1:23">
      <c r="A80" s="648">
        <v>20120301</v>
      </c>
      <c r="B80" s="649" t="s">
        <v>208</v>
      </c>
      <c r="C80" s="650" t="s">
        <v>209</v>
      </c>
      <c r="D80" s="650" t="s">
        <v>169</v>
      </c>
      <c r="E80" s="651" t="str">
        <f t="shared" si="17"/>
        <v>20120301KUCME710</v>
      </c>
      <c r="F80" s="652">
        <v>17.5</v>
      </c>
      <c r="G80" s="653">
        <v>8.3320000000000005E-2</v>
      </c>
      <c r="H80" s="653">
        <v>0</v>
      </c>
      <c r="I80" s="653">
        <v>0</v>
      </c>
      <c r="J80" s="653">
        <v>1.4149999999999999E-2</v>
      </c>
      <c r="K80" s="653">
        <v>2.6679999999999999E-2</v>
      </c>
      <c r="L80" s="653">
        <f t="shared" si="18"/>
        <v>4.2490000000000014E-2</v>
      </c>
      <c r="M80" s="653"/>
      <c r="N80" s="653"/>
      <c r="O80" s="652"/>
      <c r="P80" s="652"/>
      <c r="Q80" s="652"/>
      <c r="R80" s="652"/>
      <c r="S80" s="652"/>
      <c r="T80" s="652"/>
      <c r="U80" s="652">
        <f t="shared" si="12"/>
        <v>0</v>
      </c>
      <c r="V80" s="652">
        <f t="shared" si="12"/>
        <v>0</v>
      </c>
      <c r="W80" s="652">
        <f t="shared" si="12"/>
        <v>0</v>
      </c>
    </row>
    <row r="81" spans="1:23">
      <c r="A81" s="648">
        <v>20120301</v>
      </c>
      <c r="B81" s="655" t="s">
        <v>17</v>
      </c>
      <c r="C81" s="650" t="s">
        <v>17</v>
      </c>
      <c r="D81" s="650" t="s">
        <v>163</v>
      </c>
      <c r="E81" s="651" t="str">
        <f t="shared" si="17"/>
        <v>20120301KUCME113</v>
      </c>
      <c r="F81" s="652">
        <v>32.5</v>
      </c>
      <c r="G81" s="653">
        <v>8.3320000000000005E-2</v>
      </c>
      <c r="H81" s="653">
        <v>0</v>
      </c>
      <c r="I81" s="653">
        <v>0</v>
      </c>
      <c r="J81" s="653">
        <v>1.4149999999999999E-2</v>
      </c>
      <c r="K81" s="653">
        <v>2.6679999999999999E-2</v>
      </c>
      <c r="L81" s="653">
        <f t="shared" si="18"/>
        <v>4.2490000000000014E-2</v>
      </c>
      <c r="M81" s="653"/>
      <c r="N81" s="653"/>
      <c r="O81" s="652"/>
      <c r="P81" s="652"/>
      <c r="Q81" s="652"/>
      <c r="R81" s="652"/>
      <c r="S81" s="652"/>
      <c r="T81" s="652"/>
      <c r="U81" s="652">
        <f t="shared" si="12"/>
        <v>0</v>
      </c>
      <c r="V81" s="652">
        <f t="shared" si="12"/>
        <v>0</v>
      </c>
      <c r="W81" s="652">
        <f t="shared" si="12"/>
        <v>0</v>
      </c>
    </row>
    <row r="82" spans="1:23">
      <c r="A82" s="648">
        <v>20120301</v>
      </c>
      <c r="B82" s="649" t="s">
        <v>208</v>
      </c>
      <c r="C82" s="650" t="s">
        <v>210</v>
      </c>
      <c r="D82" s="654" t="s">
        <v>170</v>
      </c>
      <c r="E82" s="651" t="str">
        <f t="shared" si="17"/>
        <v>20120301KUCME713</v>
      </c>
      <c r="F82" s="652">
        <v>32.5</v>
      </c>
      <c r="G82" s="653">
        <v>8.3320000000000005E-2</v>
      </c>
      <c r="H82" s="653">
        <v>0</v>
      </c>
      <c r="I82" s="653">
        <v>0</v>
      </c>
      <c r="J82" s="653">
        <v>1.4149999999999999E-2</v>
      </c>
      <c r="K82" s="653">
        <v>2.6679999999999999E-2</v>
      </c>
      <c r="L82" s="653">
        <f t="shared" si="18"/>
        <v>4.2490000000000014E-2</v>
      </c>
      <c r="M82" s="653"/>
      <c r="N82" s="653"/>
      <c r="O82" s="652"/>
      <c r="P82" s="652"/>
      <c r="Q82" s="652"/>
      <c r="R82" s="652"/>
      <c r="S82" s="652"/>
      <c r="T82" s="652"/>
      <c r="U82" s="652">
        <f t="shared" si="12"/>
        <v>0</v>
      </c>
      <c r="V82" s="652">
        <f t="shared" si="12"/>
        <v>0</v>
      </c>
      <c r="W82" s="652">
        <f t="shared" si="12"/>
        <v>0</v>
      </c>
    </row>
    <row r="83" spans="1:23">
      <c r="A83" s="648">
        <v>20120301</v>
      </c>
      <c r="B83" s="649" t="s">
        <v>203</v>
      </c>
      <c r="C83" s="650" t="s">
        <v>203</v>
      </c>
      <c r="D83" s="650" t="s">
        <v>164</v>
      </c>
      <c r="E83" s="651" t="str">
        <f t="shared" si="17"/>
        <v>20120301KUCME220</v>
      </c>
      <c r="F83" s="652">
        <v>17.5</v>
      </c>
      <c r="G83" s="653">
        <v>6.6699999999999995E-2</v>
      </c>
      <c r="H83" s="653">
        <v>0</v>
      </c>
      <c r="I83" s="653">
        <v>0</v>
      </c>
      <c r="J83" s="653">
        <v>8.43E-3</v>
      </c>
      <c r="K83" s="653">
        <v>2.6679999999999999E-2</v>
      </c>
      <c r="L83" s="653">
        <f t="shared" si="18"/>
        <v>3.1589999999999993E-2</v>
      </c>
      <c r="M83" s="653"/>
      <c r="N83" s="653"/>
      <c r="O83" s="652"/>
      <c r="P83" s="652"/>
      <c r="Q83" s="652"/>
      <c r="R83" s="652"/>
      <c r="S83" s="652"/>
      <c r="T83" s="652"/>
      <c r="U83" s="652">
        <f t="shared" si="12"/>
        <v>0</v>
      </c>
      <c r="V83" s="652">
        <f t="shared" si="12"/>
        <v>0</v>
      </c>
      <c r="W83" s="652">
        <f t="shared" si="12"/>
        <v>0</v>
      </c>
    </row>
    <row r="84" spans="1:23">
      <c r="A84" s="648">
        <v>20120301</v>
      </c>
      <c r="B84" s="649" t="s">
        <v>203</v>
      </c>
      <c r="C84" s="650" t="s">
        <v>203</v>
      </c>
      <c r="D84" s="650" t="s">
        <v>165</v>
      </c>
      <c r="E84" s="651" t="str">
        <f t="shared" si="17"/>
        <v>20120301KUCME221</v>
      </c>
      <c r="F84" s="652">
        <v>17.5</v>
      </c>
      <c r="G84" s="653">
        <v>6.6699999999999995E-2</v>
      </c>
      <c r="H84" s="653">
        <v>0</v>
      </c>
      <c r="I84" s="653">
        <v>0</v>
      </c>
      <c r="J84" s="653">
        <v>8.43E-3</v>
      </c>
      <c r="K84" s="653">
        <v>2.6679999999999999E-2</v>
      </c>
      <c r="L84" s="653">
        <f t="shared" si="18"/>
        <v>3.1589999999999993E-2</v>
      </c>
      <c r="M84" s="653"/>
      <c r="N84" s="653"/>
      <c r="O84" s="652"/>
      <c r="P84" s="652"/>
      <c r="Q84" s="652"/>
      <c r="R84" s="652"/>
      <c r="S84" s="652"/>
      <c r="T84" s="652"/>
      <c r="U84" s="652">
        <f t="shared" ref="U84:W86" si="19">O84-R84</f>
        <v>0</v>
      </c>
      <c r="V84" s="652">
        <f t="shared" si="19"/>
        <v>0</v>
      </c>
      <c r="W84" s="652">
        <f t="shared" si="19"/>
        <v>0</v>
      </c>
    </row>
    <row r="85" spans="1:23">
      <c r="A85" s="648">
        <v>20120301</v>
      </c>
      <c r="B85" s="649" t="s">
        <v>203</v>
      </c>
      <c r="C85" s="650" t="s">
        <v>212</v>
      </c>
      <c r="D85" s="650" t="s">
        <v>166</v>
      </c>
      <c r="E85" s="651" t="str">
        <f t="shared" si="17"/>
        <v>20120301KUCME223</v>
      </c>
      <c r="F85" s="652">
        <v>32.5</v>
      </c>
      <c r="G85" s="653">
        <v>6.6699999999999995E-2</v>
      </c>
      <c r="H85" s="653">
        <v>0</v>
      </c>
      <c r="I85" s="653">
        <v>0</v>
      </c>
      <c r="J85" s="653">
        <v>8.43E-3</v>
      </c>
      <c r="K85" s="653">
        <v>2.6679999999999999E-2</v>
      </c>
      <c r="L85" s="653">
        <f t="shared" si="18"/>
        <v>3.1589999999999993E-2</v>
      </c>
      <c r="M85" s="653"/>
      <c r="N85" s="653"/>
      <c r="O85" s="652"/>
      <c r="P85" s="652"/>
      <c r="Q85" s="652"/>
      <c r="R85" s="652"/>
      <c r="S85" s="652"/>
      <c r="T85" s="652"/>
      <c r="U85" s="652">
        <f t="shared" si="19"/>
        <v>0</v>
      </c>
      <c r="V85" s="652">
        <f t="shared" si="19"/>
        <v>0</v>
      </c>
      <c r="W85" s="652">
        <f t="shared" si="19"/>
        <v>0</v>
      </c>
    </row>
    <row r="86" spans="1:23">
      <c r="A86" s="648">
        <v>20120301</v>
      </c>
      <c r="B86" s="649" t="s">
        <v>203</v>
      </c>
      <c r="C86" s="650" t="s">
        <v>212</v>
      </c>
      <c r="D86" s="650" t="s">
        <v>167</v>
      </c>
      <c r="E86" s="651" t="str">
        <f t="shared" si="17"/>
        <v>20120301KUCME224</v>
      </c>
      <c r="F86" s="652">
        <v>32.5</v>
      </c>
      <c r="G86" s="653">
        <v>6.6699999999999995E-2</v>
      </c>
      <c r="H86" s="653">
        <v>0</v>
      </c>
      <c r="I86" s="653">
        <v>0</v>
      </c>
      <c r="J86" s="653">
        <v>8.43E-3</v>
      </c>
      <c r="K86" s="653">
        <v>2.6679999999999999E-2</v>
      </c>
      <c r="L86" s="653">
        <f t="shared" si="18"/>
        <v>3.1589999999999993E-2</v>
      </c>
      <c r="M86" s="653"/>
      <c r="N86" s="653"/>
      <c r="O86" s="652"/>
      <c r="P86" s="652"/>
      <c r="Q86" s="652"/>
      <c r="R86" s="652"/>
      <c r="S86" s="652"/>
      <c r="T86" s="652"/>
      <c r="U86" s="652">
        <f t="shared" si="19"/>
        <v>0</v>
      </c>
      <c r="V86" s="652">
        <f t="shared" si="19"/>
        <v>0</v>
      </c>
      <c r="W86" s="652">
        <f t="shared" si="19"/>
        <v>0</v>
      </c>
    </row>
    <row r="87" spans="1:23">
      <c r="A87" s="648">
        <v>20120301</v>
      </c>
      <c r="B87" s="649" t="s">
        <v>203</v>
      </c>
      <c r="C87" s="650" t="s">
        <v>212</v>
      </c>
      <c r="D87" s="654" t="s">
        <v>683</v>
      </c>
      <c r="E87" s="651" t="str">
        <f t="shared" si="17"/>
        <v>20120301KUCME225</v>
      </c>
      <c r="F87" s="652">
        <v>32.5</v>
      </c>
      <c r="G87" s="653">
        <v>6.6699999999999995E-2</v>
      </c>
      <c r="H87" s="653">
        <v>0</v>
      </c>
      <c r="I87" s="653">
        <v>0</v>
      </c>
      <c r="J87" s="653">
        <v>8.43E-3</v>
      </c>
      <c r="K87" s="653">
        <v>2.6679999999999999E-2</v>
      </c>
      <c r="L87" s="653">
        <f t="shared" si="18"/>
        <v>3.1589999999999993E-2</v>
      </c>
      <c r="M87" s="653"/>
      <c r="N87" s="653"/>
      <c r="O87" s="652"/>
      <c r="P87" s="652"/>
      <c r="Q87" s="652"/>
      <c r="R87" s="652"/>
      <c r="S87" s="652"/>
      <c r="T87" s="652"/>
      <c r="U87" s="652">
        <f t="shared" si="12"/>
        <v>0</v>
      </c>
      <c r="V87" s="652">
        <f t="shared" si="12"/>
        <v>0</v>
      </c>
      <c r="W87" s="652">
        <f t="shared" si="12"/>
        <v>0</v>
      </c>
    </row>
    <row r="88" spans="1:23">
      <c r="A88" s="648">
        <v>20120301</v>
      </c>
      <c r="B88" s="649" t="s">
        <v>203</v>
      </c>
      <c r="C88" s="650" t="s">
        <v>203</v>
      </c>
      <c r="D88" s="654" t="s">
        <v>684</v>
      </c>
      <c r="E88" s="651" t="str">
        <f t="shared" si="17"/>
        <v>20120301KUCME226</v>
      </c>
      <c r="F88" s="652">
        <v>17.5</v>
      </c>
      <c r="G88" s="653">
        <v>6.6699999999999995E-2</v>
      </c>
      <c r="H88" s="653">
        <v>0</v>
      </c>
      <c r="I88" s="653">
        <v>0</v>
      </c>
      <c r="J88" s="653">
        <v>8.43E-3</v>
      </c>
      <c r="K88" s="653">
        <v>2.6679999999999999E-2</v>
      </c>
      <c r="L88" s="653">
        <f t="shared" si="18"/>
        <v>3.1589999999999993E-2</v>
      </c>
      <c r="M88" s="653"/>
      <c r="N88" s="653"/>
      <c r="O88" s="652"/>
      <c r="P88" s="652"/>
      <c r="Q88" s="652"/>
      <c r="R88" s="652"/>
      <c r="S88" s="652"/>
      <c r="T88" s="652"/>
      <c r="U88" s="652">
        <f t="shared" si="12"/>
        <v>0</v>
      </c>
      <c r="V88" s="652">
        <f t="shared" si="12"/>
        <v>0</v>
      </c>
      <c r="W88" s="652">
        <f t="shared" si="12"/>
        <v>0</v>
      </c>
    </row>
    <row r="89" spans="1:23">
      <c r="A89" s="648">
        <v>20120301</v>
      </c>
      <c r="B89" s="649" t="s">
        <v>203</v>
      </c>
      <c r="C89" s="654" t="s">
        <v>212</v>
      </c>
      <c r="D89" s="654" t="s">
        <v>685</v>
      </c>
      <c r="E89" s="651" t="str">
        <f t="shared" si="17"/>
        <v>20120301KUCME227</v>
      </c>
      <c r="F89" s="652">
        <v>32.5</v>
      </c>
      <c r="G89" s="653">
        <v>6.6699999999999995E-2</v>
      </c>
      <c r="H89" s="653">
        <v>0</v>
      </c>
      <c r="I89" s="653">
        <v>0</v>
      </c>
      <c r="J89" s="653">
        <v>8.43E-3</v>
      </c>
      <c r="K89" s="653">
        <v>2.6679999999999999E-2</v>
      </c>
      <c r="L89" s="653">
        <f t="shared" si="18"/>
        <v>3.1589999999999993E-2</v>
      </c>
      <c r="M89" s="653"/>
      <c r="N89" s="653"/>
      <c r="O89" s="652"/>
      <c r="P89" s="652"/>
      <c r="Q89" s="652"/>
      <c r="R89" s="652"/>
      <c r="S89" s="652"/>
      <c r="T89" s="652"/>
      <c r="U89" s="652">
        <f t="shared" si="12"/>
        <v>0</v>
      </c>
      <c r="V89" s="652">
        <f t="shared" si="12"/>
        <v>0</v>
      </c>
      <c r="W89" s="652">
        <f t="shared" si="12"/>
        <v>0</v>
      </c>
    </row>
    <row r="90" spans="1:23">
      <c r="A90" s="648">
        <v>20120301</v>
      </c>
      <c r="B90" s="649" t="s">
        <v>25</v>
      </c>
      <c r="C90" s="650" t="s">
        <v>25</v>
      </c>
      <c r="D90" s="654" t="s">
        <v>153</v>
      </c>
      <c r="E90" s="651" t="str">
        <f t="shared" si="17"/>
        <v>20120301KUCIE561</v>
      </c>
      <c r="F90" s="652">
        <v>90</v>
      </c>
      <c r="G90" s="653">
        <v>3.3000000000000002E-2</v>
      </c>
      <c r="H90" s="653">
        <v>0</v>
      </c>
      <c r="I90" s="653">
        <v>0</v>
      </c>
      <c r="J90" s="653"/>
      <c r="K90" s="653">
        <v>2.6679999999999999E-2</v>
      </c>
      <c r="L90" s="653">
        <f t="shared" si="18"/>
        <v>6.3200000000000027E-3</v>
      </c>
      <c r="M90" s="653"/>
      <c r="N90" s="653"/>
      <c r="O90" s="652"/>
      <c r="P90" s="652">
        <v>11.45</v>
      </c>
      <c r="Q90" s="652">
        <v>13.72</v>
      </c>
      <c r="R90" s="652"/>
      <c r="S90" s="652">
        <v>3.4</v>
      </c>
      <c r="T90" s="652">
        <v>3.4</v>
      </c>
      <c r="U90" s="652">
        <f t="shared" si="12"/>
        <v>0</v>
      </c>
      <c r="V90" s="652">
        <f t="shared" si="12"/>
        <v>8.0499999999999989</v>
      </c>
      <c r="W90" s="652">
        <f t="shared" si="12"/>
        <v>10.32</v>
      </c>
    </row>
    <row r="91" spans="1:23">
      <c r="A91" s="648">
        <v>20120301</v>
      </c>
      <c r="B91" s="649" t="s">
        <v>25</v>
      </c>
      <c r="C91" s="650" t="s">
        <v>25</v>
      </c>
      <c r="D91" s="654" t="s">
        <v>156</v>
      </c>
      <c r="E91" s="651" t="str">
        <f t="shared" si="17"/>
        <v>20120301KUCIE566</v>
      </c>
      <c r="F91" s="652">
        <v>90</v>
      </c>
      <c r="G91" s="653">
        <v>3.3000000000000002E-2</v>
      </c>
      <c r="H91" s="653">
        <v>0</v>
      </c>
      <c r="I91" s="653">
        <v>0</v>
      </c>
      <c r="J91" s="653"/>
      <c r="K91" s="653">
        <v>2.6679999999999999E-2</v>
      </c>
      <c r="L91" s="653">
        <f t="shared" si="18"/>
        <v>6.3200000000000027E-3</v>
      </c>
      <c r="M91" s="653"/>
      <c r="N91" s="653"/>
      <c r="O91" s="652"/>
      <c r="P91" s="652">
        <v>11.45</v>
      </c>
      <c r="Q91" s="652">
        <v>13.72</v>
      </c>
      <c r="R91" s="652"/>
      <c r="S91" s="652">
        <v>3.4</v>
      </c>
      <c r="T91" s="652">
        <v>3.4</v>
      </c>
      <c r="U91" s="652">
        <f t="shared" si="12"/>
        <v>0</v>
      </c>
      <c r="V91" s="652">
        <f t="shared" si="12"/>
        <v>8.0499999999999989</v>
      </c>
      <c r="W91" s="652">
        <f t="shared" si="12"/>
        <v>10.32</v>
      </c>
    </row>
    <row r="92" spans="1:23">
      <c r="A92" s="648">
        <v>20120301</v>
      </c>
      <c r="B92" s="649" t="s">
        <v>24</v>
      </c>
      <c r="C92" s="650" t="s">
        <v>24</v>
      </c>
      <c r="D92" s="656" t="s">
        <v>154</v>
      </c>
      <c r="E92" s="651" t="str">
        <f t="shared" si="17"/>
        <v>20120301KUCIE562</v>
      </c>
      <c r="F92" s="652">
        <v>90</v>
      </c>
      <c r="G92" s="653">
        <v>3.3000000000000002E-2</v>
      </c>
      <c r="H92" s="653">
        <v>0</v>
      </c>
      <c r="I92" s="653">
        <v>0</v>
      </c>
      <c r="J92" s="653"/>
      <c r="K92" s="653">
        <v>2.6679999999999999E-2</v>
      </c>
      <c r="L92" s="653">
        <f t="shared" si="18"/>
        <v>6.3200000000000027E-3</v>
      </c>
      <c r="M92" s="653"/>
      <c r="N92" s="653"/>
      <c r="O92" s="652"/>
      <c r="P92" s="652">
        <v>11.65</v>
      </c>
      <c r="Q92" s="652">
        <v>13.9</v>
      </c>
      <c r="R92" s="652"/>
      <c r="S92" s="652">
        <v>3.4</v>
      </c>
      <c r="T92" s="652">
        <v>3.4</v>
      </c>
      <c r="U92" s="652">
        <f t="shared" si="12"/>
        <v>0</v>
      </c>
      <c r="V92" s="652">
        <f t="shared" si="12"/>
        <v>8.25</v>
      </c>
      <c r="W92" s="652">
        <f t="shared" si="12"/>
        <v>10.5</v>
      </c>
    </row>
    <row r="93" spans="1:23">
      <c r="A93" s="648">
        <v>20120301</v>
      </c>
      <c r="B93" s="649" t="s">
        <v>24</v>
      </c>
      <c r="C93" s="650" t="s">
        <v>24</v>
      </c>
      <c r="D93" s="650" t="s">
        <v>157</v>
      </c>
      <c r="E93" s="651" t="str">
        <f t="shared" si="17"/>
        <v>20120301KUCIE568</v>
      </c>
      <c r="F93" s="652">
        <v>90</v>
      </c>
      <c r="G93" s="653">
        <v>3.3000000000000002E-2</v>
      </c>
      <c r="H93" s="653">
        <v>0</v>
      </c>
      <c r="I93" s="653">
        <v>0</v>
      </c>
      <c r="J93" s="653"/>
      <c r="K93" s="653">
        <v>2.6679999999999999E-2</v>
      </c>
      <c r="L93" s="653">
        <f t="shared" si="18"/>
        <v>6.3200000000000027E-3</v>
      </c>
      <c r="M93" s="653"/>
      <c r="N93" s="653"/>
      <c r="O93" s="652"/>
      <c r="P93" s="652">
        <v>11.65</v>
      </c>
      <c r="Q93" s="652">
        <v>13.9</v>
      </c>
      <c r="R93" s="652"/>
      <c r="S93" s="652">
        <v>3.4</v>
      </c>
      <c r="T93" s="652">
        <v>3.4</v>
      </c>
      <c r="U93" s="652">
        <f t="shared" si="12"/>
        <v>0</v>
      </c>
      <c r="V93" s="652">
        <f t="shared" si="12"/>
        <v>8.25</v>
      </c>
      <c r="W93" s="652">
        <f t="shared" si="12"/>
        <v>10.5</v>
      </c>
    </row>
    <row r="94" spans="1:23">
      <c r="A94" s="648">
        <v>20120301</v>
      </c>
      <c r="B94" s="649" t="s">
        <v>24</v>
      </c>
      <c r="C94" s="650" t="s">
        <v>214</v>
      </c>
      <c r="D94" s="650" t="s">
        <v>160</v>
      </c>
      <c r="E94" s="651" t="str">
        <f t="shared" si="17"/>
        <v>20120301KUCIE717</v>
      </c>
      <c r="F94" s="652">
        <v>90</v>
      </c>
      <c r="G94" s="653">
        <v>3.3000000000000002E-2</v>
      </c>
      <c r="H94" s="653">
        <v>0</v>
      </c>
      <c r="I94" s="653">
        <v>0</v>
      </c>
      <c r="J94" s="653"/>
      <c r="K94" s="653">
        <v>2.6679999999999999E-2</v>
      </c>
      <c r="L94" s="653">
        <f t="shared" si="18"/>
        <v>6.3200000000000027E-3</v>
      </c>
      <c r="M94" s="653"/>
      <c r="N94" s="653"/>
      <c r="O94" s="652"/>
      <c r="P94" s="652">
        <v>11.65</v>
      </c>
      <c r="Q94" s="652">
        <v>13.9</v>
      </c>
      <c r="R94" s="652"/>
      <c r="S94" s="652">
        <v>3.4</v>
      </c>
      <c r="T94" s="652">
        <v>3.4</v>
      </c>
      <c r="U94" s="652">
        <f t="shared" si="12"/>
        <v>0</v>
      </c>
      <c r="V94" s="652">
        <f t="shared" si="12"/>
        <v>8.25</v>
      </c>
      <c r="W94" s="652">
        <f t="shared" si="12"/>
        <v>10.5</v>
      </c>
    </row>
    <row r="95" spans="1:23">
      <c r="A95" s="648">
        <v>20120301</v>
      </c>
      <c r="B95" s="649" t="s">
        <v>205</v>
      </c>
      <c r="C95" s="650" t="s">
        <v>205</v>
      </c>
      <c r="D95" s="650" t="s">
        <v>155</v>
      </c>
      <c r="E95" s="651" t="str">
        <f t="shared" si="17"/>
        <v>20120301KUCIE563</v>
      </c>
      <c r="F95" s="652">
        <v>300</v>
      </c>
      <c r="G95" s="653">
        <v>3.5220000000000001E-2</v>
      </c>
      <c r="H95" s="653">
        <v>0</v>
      </c>
      <c r="I95" s="653">
        <v>0</v>
      </c>
      <c r="J95" s="653"/>
      <c r="K95" s="653">
        <v>2.6679999999999999E-2</v>
      </c>
      <c r="L95" s="653">
        <f t="shared" si="18"/>
        <v>8.5400000000000025E-3</v>
      </c>
      <c r="M95" s="653"/>
      <c r="N95" s="653"/>
      <c r="O95" s="652">
        <v>1.28</v>
      </c>
      <c r="P95" s="652">
        <v>2.31</v>
      </c>
      <c r="Q95" s="652">
        <v>3.67</v>
      </c>
      <c r="R95" s="652">
        <v>0.79</v>
      </c>
      <c r="S95" s="652">
        <v>0.79</v>
      </c>
      <c r="T95" s="652">
        <v>0.79</v>
      </c>
      <c r="U95" s="652">
        <f t="shared" si="12"/>
        <v>0.49</v>
      </c>
      <c r="V95" s="652">
        <f t="shared" si="12"/>
        <v>1.52</v>
      </c>
      <c r="W95" s="652">
        <f t="shared" si="12"/>
        <v>2.88</v>
      </c>
    </row>
    <row r="96" spans="1:23">
      <c r="A96" s="648">
        <v>20120301</v>
      </c>
      <c r="B96" s="649" t="s">
        <v>205</v>
      </c>
      <c r="C96" s="650" t="s">
        <v>205</v>
      </c>
      <c r="D96" s="650" t="s">
        <v>158</v>
      </c>
      <c r="E96" s="651" t="str">
        <f t="shared" si="17"/>
        <v>20120301KUCIE571</v>
      </c>
      <c r="F96" s="652">
        <v>300</v>
      </c>
      <c r="G96" s="653">
        <v>3.5220000000000001E-2</v>
      </c>
      <c r="H96" s="653">
        <v>0</v>
      </c>
      <c r="I96" s="653">
        <v>0</v>
      </c>
      <c r="J96" s="653"/>
      <c r="K96" s="653">
        <v>2.6679999999999999E-2</v>
      </c>
      <c r="L96" s="653">
        <f t="shared" si="18"/>
        <v>8.5400000000000025E-3</v>
      </c>
      <c r="M96" s="653"/>
      <c r="N96" s="653"/>
      <c r="O96" s="652">
        <v>1.28</v>
      </c>
      <c r="P96" s="652">
        <v>2.31</v>
      </c>
      <c r="Q96" s="652">
        <v>3.67</v>
      </c>
      <c r="R96" s="652">
        <v>0.79</v>
      </c>
      <c r="S96" s="652">
        <v>0.79</v>
      </c>
      <c r="T96" s="652">
        <v>0.79</v>
      </c>
      <c r="U96" s="652">
        <f t="shared" si="12"/>
        <v>0.49</v>
      </c>
      <c r="V96" s="652">
        <f t="shared" si="12"/>
        <v>1.52</v>
      </c>
      <c r="W96" s="652">
        <f t="shared" si="12"/>
        <v>2.88</v>
      </c>
    </row>
    <row r="97" spans="1:23">
      <c r="A97" s="648">
        <v>20120301</v>
      </c>
      <c r="B97" s="649" t="s">
        <v>204</v>
      </c>
      <c r="C97" s="650" t="s">
        <v>204</v>
      </c>
      <c r="D97" s="650" t="s">
        <v>159</v>
      </c>
      <c r="E97" s="651" t="str">
        <f t="shared" si="17"/>
        <v>20120301KUCIE572</v>
      </c>
      <c r="F97" s="652">
        <v>200</v>
      </c>
      <c r="G97" s="653">
        <v>3.49E-2</v>
      </c>
      <c r="H97" s="653">
        <v>0</v>
      </c>
      <c r="I97" s="653">
        <v>0</v>
      </c>
      <c r="J97" s="653"/>
      <c r="K97" s="653">
        <v>2.6679999999999999E-2</v>
      </c>
      <c r="L97" s="653">
        <f t="shared" si="18"/>
        <v>8.2200000000000016E-3</v>
      </c>
      <c r="M97" s="653"/>
      <c r="N97" s="653"/>
      <c r="O97" s="652">
        <v>3.05</v>
      </c>
      <c r="P97" s="652">
        <v>2.4300000000000002</v>
      </c>
      <c r="Q97" s="652">
        <v>3.89</v>
      </c>
      <c r="R97" s="652">
        <v>1.04</v>
      </c>
      <c r="S97" s="652">
        <v>1.04</v>
      </c>
      <c r="T97" s="652">
        <v>1.04</v>
      </c>
      <c r="U97" s="652">
        <f t="shared" si="12"/>
        <v>2.0099999999999998</v>
      </c>
      <c r="V97" s="652">
        <f t="shared" si="12"/>
        <v>1.3900000000000001</v>
      </c>
      <c r="W97" s="652">
        <f t="shared" si="12"/>
        <v>2.85</v>
      </c>
    </row>
    <row r="98" spans="1:23">
      <c r="A98" s="648">
        <v>20120301</v>
      </c>
      <c r="B98" s="649" t="s">
        <v>18</v>
      </c>
      <c r="C98" s="650" t="s">
        <v>18</v>
      </c>
      <c r="D98" s="650" t="s">
        <v>152</v>
      </c>
      <c r="E98" s="651" t="str">
        <f t="shared" si="17"/>
        <v>20120301KUCIE550</v>
      </c>
      <c r="F98" s="652">
        <v>500</v>
      </c>
      <c r="G98" s="653">
        <v>3.4140000000000004E-2</v>
      </c>
      <c r="H98" s="653">
        <v>0</v>
      </c>
      <c r="I98" s="653">
        <v>0</v>
      </c>
      <c r="J98" s="653"/>
      <c r="K98" s="653">
        <v>2.6679999999999999E-2</v>
      </c>
      <c r="L98" s="653">
        <f t="shared" si="18"/>
        <v>7.4600000000000048E-3</v>
      </c>
      <c r="M98" s="653"/>
      <c r="N98" s="653"/>
      <c r="O98" s="652">
        <v>0.85</v>
      </c>
      <c r="P98" s="652">
        <v>2.2999999999999998</v>
      </c>
      <c r="Q98" s="652">
        <v>3.54</v>
      </c>
      <c r="R98" s="652">
        <v>0.71</v>
      </c>
      <c r="S98" s="652">
        <v>0.71</v>
      </c>
      <c r="T98" s="652">
        <v>0.71</v>
      </c>
      <c r="U98" s="652">
        <f t="shared" si="12"/>
        <v>0.14000000000000001</v>
      </c>
      <c r="V98" s="652">
        <f t="shared" si="12"/>
        <v>1.5899999999999999</v>
      </c>
      <c r="W98" s="652">
        <f t="shared" si="12"/>
        <v>2.83</v>
      </c>
    </row>
    <row r="99" spans="1:23">
      <c r="A99" s="648">
        <v>20120301</v>
      </c>
      <c r="B99" s="649" t="s">
        <v>26</v>
      </c>
      <c r="C99" s="650" t="s">
        <v>26</v>
      </c>
      <c r="D99" s="650" t="s">
        <v>215</v>
      </c>
      <c r="E99" s="651" t="str">
        <f t="shared" si="17"/>
        <v>20120301KUINE731</v>
      </c>
      <c r="F99" s="652">
        <v>500</v>
      </c>
      <c r="G99" s="653">
        <v>3.4189999999999998E-2</v>
      </c>
      <c r="H99" s="653">
        <v>0</v>
      </c>
      <c r="I99" s="653">
        <v>0</v>
      </c>
      <c r="J99" s="653"/>
      <c r="K99" s="653">
        <v>2.6679999999999999E-2</v>
      </c>
      <c r="L99" s="653">
        <f t="shared" si="18"/>
        <v>7.5099999999999993E-3</v>
      </c>
      <c r="M99" s="653"/>
      <c r="N99" s="653"/>
      <c r="O99" s="652">
        <v>1.57</v>
      </c>
      <c r="P99" s="652">
        <v>1.41</v>
      </c>
      <c r="Q99" s="652">
        <v>2.2999999999999998</v>
      </c>
      <c r="R99" s="652">
        <v>0.42</v>
      </c>
      <c r="S99" s="652">
        <v>0.42</v>
      </c>
      <c r="T99" s="652">
        <v>0.42</v>
      </c>
      <c r="U99" s="652">
        <f t="shared" si="12"/>
        <v>1.1500000000000001</v>
      </c>
      <c r="V99" s="652">
        <f t="shared" si="12"/>
        <v>0.99</v>
      </c>
      <c r="W99" s="652">
        <f t="shared" si="12"/>
        <v>1.88</v>
      </c>
    </row>
    <row r="100" spans="1:23">
      <c r="A100" s="648">
        <v>20120301</v>
      </c>
      <c r="B100" s="649" t="s">
        <v>27</v>
      </c>
      <c r="C100" s="654" t="s">
        <v>27</v>
      </c>
      <c r="D100" s="654" t="s">
        <v>173</v>
      </c>
      <c r="E100" s="651" t="str">
        <f t="shared" ref="E100:E165" si="20">A100&amp;D100</f>
        <v>20120301KUINE730</v>
      </c>
      <c r="F100" s="652">
        <v>500</v>
      </c>
      <c r="G100" s="653">
        <v>2.947E-2</v>
      </c>
      <c r="H100" s="653">
        <v>0</v>
      </c>
      <c r="I100" s="653">
        <v>0</v>
      </c>
      <c r="J100" s="653"/>
      <c r="K100" s="653">
        <v>2.6679999999999999E-2</v>
      </c>
      <c r="L100" s="653">
        <f t="shared" si="18"/>
        <v>2.7900000000000008E-3</v>
      </c>
      <c r="M100" s="653"/>
      <c r="N100" s="653"/>
      <c r="O100" s="652">
        <v>0.82</v>
      </c>
      <c r="P100" s="652">
        <v>1.41</v>
      </c>
      <c r="Q100" s="652">
        <v>2.2999999999999998</v>
      </c>
      <c r="R100" s="652">
        <v>0.42</v>
      </c>
      <c r="S100" s="652">
        <v>0.42</v>
      </c>
      <c r="T100" s="652">
        <v>0.42</v>
      </c>
      <c r="U100" s="652">
        <f t="shared" si="12"/>
        <v>0.39999999999999997</v>
      </c>
      <c r="V100" s="652">
        <f t="shared" si="12"/>
        <v>0.99</v>
      </c>
      <c r="W100" s="652">
        <f t="shared" si="12"/>
        <v>1.88</v>
      </c>
    </row>
    <row r="101" spans="1:23">
      <c r="A101" s="648">
        <v>20120301</v>
      </c>
      <c r="B101" s="649" t="s">
        <v>20</v>
      </c>
      <c r="C101" s="650" t="s">
        <v>20</v>
      </c>
      <c r="D101" s="650" t="s">
        <v>168</v>
      </c>
      <c r="E101" s="651" t="str">
        <f t="shared" si="20"/>
        <v>20120301KUCME295</v>
      </c>
      <c r="F101" s="652">
        <v>3.14</v>
      </c>
      <c r="G101" s="653">
        <v>7.1819999999999995E-2</v>
      </c>
      <c r="H101" s="653">
        <v>0</v>
      </c>
      <c r="I101" s="653">
        <v>0</v>
      </c>
      <c r="J101" s="653">
        <v>9.5200000000000007E-3</v>
      </c>
      <c r="K101" s="653">
        <v>2.6679999999999999E-2</v>
      </c>
      <c r="L101" s="653">
        <f t="shared" si="18"/>
        <v>3.5619999999999999E-2</v>
      </c>
      <c r="M101" s="653"/>
      <c r="N101" s="653"/>
      <c r="O101" s="652"/>
      <c r="P101" s="652"/>
      <c r="Q101" s="652"/>
      <c r="R101" s="652"/>
      <c r="S101" s="652"/>
      <c r="T101" s="652"/>
      <c r="U101" s="652">
        <f t="shared" si="12"/>
        <v>0</v>
      </c>
      <c r="V101" s="652">
        <f t="shared" si="12"/>
        <v>0</v>
      </c>
      <c r="W101" s="652">
        <f t="shared" si="12"/>
        <v>0</v>
      </c>
    </row>
    <row r="102" spans="1:23">
      <c r="A102" s="648">
        <v>20120301</v>
      </c>
      <c r="B102" s="649" t="s">
        <v>20</v>
      </c>
      <c r="C102" s="650" t="s">
        <v>20</v>
      </c>
      <c r="D102" s="654" t="s">
        <v>623</v>
      </c>
      <c r="E102" s="651" t="str">
        <f t="shared" si="20"/>
        <v>20120301KUCME297</v>
      </c>
      <c r="F102" s="652">
        <v>3.14</v>
      </c>
      <c r="G102" s="653">
        <v>7.1819999999999995E-2</v>
      </c>
      <c r="H102" s="653">
        <v>0</v>
      </c>
      <c r="I102" s="653">
        <v>0</v>
      </c>
      <c r="J102" s="653">
        <v>9.5200000000000007E-3</v>
      </c>
      <c r="K102" s="653">
        <v>2.6679999999999999E-2</v>
      </c>
      <c r="L102" s="653">
        <f t="shared" si="18"/>
        <v>3.5619999999999999E-2</v>
      </c>
      <c r="M102" s="653"/>
      <c r="N102" s="653"/>
      <c r="O102" s="652"/>
      <c r="P102" s="652"/>
      <c r="Q102" s="652"/>
      <c r="R102" s="652"/>
      <c r="S102" s="652"/>
      <c r="T102" s="652"/>
      <c r="U102" s="652">
        <f t="shared" si="12"/>
        <v>0</v>
      </c>
      <c r="V102" s="652">
        <f t="shared" si="12"/>
        <v>0</v>
      </c>
      <c r="W102" s="652">
        <f t="shared" si="12"/>
        <v>0</v>
      </c>
    </row>
    <row r="103" spans="1:23">
      <c r="A103" s="648">
        <v>20120301</v>
      </c>
      <c r="B103" s="649" t="s">
        <v>19</v>
      </c>
      <c r="C103" s="650" t="s">
        <v>19</v>
      </c>
      <c r="D103" s="654" t="s">
        <v>217</v>
      </c>
      <c r="E103" s="651" t="str">
        <f t="shared" si="20"/>
        <v>20120301KUCME290</v>
      </c>
      <c r="F103" s="652">
        <v>0</v>
      </c>
      <c r="G103" s="653">
        <v>5.6469999999999999E-2</v>
      </c>
      <c r="H103" s="653">
        <v>0</v>
      </c>
      <c r="I103" s="653">
        <v>0</v>
      </c>
      <c r="J103" s="653">
        <v>9.5200000000000007E-3</v>
      </c>
      <c r="K103" s="653">
        <v>2.6679999999999999E-2</v>
      </c>
      <c r="L103" s="653">
        <f t="shared" si="18"/>
        <v>2.027E-2</v>
      </c>
      <c r="M103" s="653"/>
      <c r="N103" s="653"/>
      <c r="O103" s="652"/>
      <c r="P103" s="652"/>
      <c r="Q103" s="652"/>
      <c r="R103" s="652"/>
      <c r="S103" s="652"/>
      <c r="T103" s="652"/>
      <c r="U103" s="652">
        <f t="shared" si="12"/>
        <v>0</v>
      </c>
      <c r="V103" s="652">
        <f t="shared" si="12"/>
        <v>0</v>
      </c>
      <c r="W103" s="652">
        <f t="shared" si="12"/>
        <v>0</v>
      </c>
    </row>
    <row r="104" spans="1:23">
      <c r="A104" s="648">
        <v>20120301</v>
      </c>
      <c r="B104" s="649" t="s">
        <v>19</v>
      </c>
      <c r="C104" s="650" t="s">
        <v>19</v>
      </c>
      <c r="D104" s="650" t="s">
        <v>216</v>
      </c>
      <c r="E104" s="651" t="str">
        <f t="shared" si="20"/>
        <v>20120301KUCME291</v>
      </c>
      <c r="F104" s="652">
        <v>0</v>
      </c>
      <c r="G104" s="653">
        <v>5.6469999999999999E-2</v>
      </c>
      <c r="H104" s="653">
        <v>0</v>
      </c>
      <c r="I104" s="653">
        <v>0</v>
      </c>
      <c r="J104" s="653">
        <v>9.5200000000000007E-3</v>
      </c>
      <c r="K104" s="653">
        <v>2.6679999999999999E-2</v>
      </c>
      <c r="L104" s="653">
        <f t="shared" si="18"/>
        <v>2.027E-2</v>
      </c>
      <c r="M104" s="653"/>
      <c r="N104" s="653"/>
      <c r="O104" s="652"/>
      <c r="P104" s="652"/>
      <c r="Q104" s="652"/>
      <c r="R104" s="652"/>
      <c r="S104" s="652"/>
      <c r="T104" s="652"/>
      <c r="U104" s="652">
        <f t="shared" si="12"/>
        <v>0</v>
      </c>
      <c r="V104" s="652">
        <f t="shared" si="12"/>
        <v>0</v>
      </c>
      <c r="W104" s="652">
        <f t="shared" si="12"/>
        <v>0</v>
      </c>
    </row>
    <row r="105" spans="1:23">
      <c r="A105" s="648">
        <v>20120301</v>
      </c>
      <c r="B105" s="649" t="s">
        <v>19</v>
      </c>
      <c r="C105" s="650" t="s">
        <v>19</v>
      </c>
      <c r="D105" s="654" t="s">
        <v>218</v>
      </c>
      <c r="E105" s="651" t="str">
        <f t="shared" si="20"/>
        <v>20120301KUCME292</v>
      </c>
      <c r="F105" s="652">
        <v>0</v>
      </c>
      <c r="G105" s="653">
        <v>5.6469999999999999E-2</v>
      </c>
      <c r="H105" s="653">
        <v>0</v>
      </c>
      <c r="I105" s="653">
        <v>0</v>
      </c>
      <c r="J105" s="653">
        <v>9.5200000000000007E-3</v>
      </c>
      <c r="K105" s="653">
        <v>2.6679999999999999E-2</v>
      </c>
      <c r="L105" s="653">
        <f t="shared" si="18"/>
        <v>2.027E-2</v>
      </c>
      <c r="M105" s="653"/>
      <c r="N105" s="653"/>
      <c r="O105" s="652"/>
      <c r="P105" s="652"/>
      <c r="Q105" s="652"/>
      <c r="R105" s="652"/>
      <c r="S105" s="652"/>
      <c r="T105" s="652"/>
      <c r="U105" s="652">
        <f t="shared" si="12"/>
        <v>0</v>
      </c>
      <c r="V105" s="652">
        <f t="shared" si="12"/>
        <v>0</v>
      </c>
      <c r="W105" s="652">
        <f t="shared" si="12"/>
        <v>0</v>
      </c>
    </row>
    <row r="106" spans="1:23">
      <c r="A106" s="657">
        <v>20130101</v>
      </c>
      <c r="B106" s="658" t="s">
        <v>14</v>
      </c>
      <c r="C106" s="659" t="s">
        <v>14</v>
      </c>
      <c r="D106" s="659" t="s">
        <v>174</v>
      </c>
      <c r="E106" s="660" t="str">
        <f t="shared" ref="E106:E139" si="21">A106&amp;D106</f>
        <v>20130101KURSE010</v>
      </c>
      <c r="F106" s="661">
        <v>10.75</v>
      </c>
      <c r="G106" s="662">
        <v>7.2349999999999998E-2</v>
      </c>
      <c r="H106" s="662">
        <v>0</v>
      </c>
      <c r="I106" s="662">
        <v>0</v>
      </c>
      <c r="J106" s="662">
        <v>2.9999999999999997E-4</v>
      </c>
      <c r="K106" s="662">
        <v>2.6679999999999999E-2</v>
      </c>
      <c r="L106" s="662">
        <f>G106-J106-K106</f>
        <v>4.5370000000000008E-2</v>
      </c>
      <c r="M106" s="662"/>
      <c r="N106" s="662"/>
      <c r="O106" s="661"/>
      <c r="P106" s="661"/>
      <c r="Q106" s="661"/>
      <c r="R106" s="661"/>
      <c r="S106" s="661"/>
      <c r="T106" s="661"/>
      <c r="U106" s="661">
        <f t="shared" ref="U106:U139" si="22">O106-R106</f>
        <v>0</v>
      </c>
      <c r="V106" s="661">
        <f t="shared" ref="V106:V139" si="23">P106-S106</f>
        <v>0</v>
      </c>
      <c r="W106" s="661">
        <f t="shared" ref="W106:W139" si="24">Q106-T106</f>
        <v>0</v>
      </c>
    </row>
    <row r="107" spans="1:23">
      <c r="A107" s="657">
        <v>20130101</v>
      </c>
      <c r="B107" s="658" t="s">
        <v>14</v>
      </c>
      <c r="C107" s="659" t="s">
        <v>14</v>
      </c>
      <c r="D107" s="489" t="s">
        <v>175</v>
      </c>
      <c r="E107" s="660" t="str">
        <f t="shared" si="21"/>
        <v>20130101KURSE020</v>
      </c>
      <c r="F107" s="661">
        <v>10.75</v>
      </c>
      <c r="G107" s="662">
        <v>7.2349999999999998E-2</v>
      </c>
      <c r="H107" s="662">
        <v>0</v>
      </c>
      <c r="I107" s="662">
        <v>0</v>
      </c>
      <c r="J107" s="662">
        <v>2.9999999999999997E-4</v>
      </c>
      <c r="K107" s="662">
        <v>2.6679999999999999E-2</v>
      </c>
      <c r="L107" s="662">
        <f t="shared" ref="L107:L139" si="25">G107-J107-K107</f>
        <v>4.5370000000000008E-2</v>
      </c>
      <c r="M107" s="662"/>
      <c r="N107" s="662"/>
      <c r="O107" s="661"/>
      <c r="P107" s="661"/>
      <c r="Q107" s="661"/>
      <c r="R107" s="661"/>
      <c r="S107" s="661"/>
      <c r="T107" s="661"/>
      <c r="U107" s="661">
        <f t="shared" si="22"/>
        <v>0</v>
      </c>
      <c r="V107" s="661">
        <f t="shared" si="23"/>
        <v>0</v>
      </c>
      <c r="W107" s="661">
        <f t="shared" si="24"/>
        <v>0</v>
      </c>
    </row>
    <row r="108" spans="1:23">
      <c r="A108" s="657">
        <v>20130101</v>
      </c>
      <c r="B108" s="658" t="s">
        <v>14</v>
      </c>
      <c r="C108" s="489" t="s">
        <v>207</v>
      </c>
      <c r="D108" s="489" t="s">
        <v>176</v>
      </c>
      <c r="E108" s="660" t="str">
        <f t="shared" si="21"/>
        <v>20130101KURSE025</v>
      </c>
      <c r="F108" s="661">
        <v>10.75</v>
      </c>
      <c r="G108" s="662">
        <v>7.2349999999999998E-2</v>
      </c>
      <c r="H108" s="662">
        <v>0</v>
      </c>
      <c r="I108" s="662">
        <v>0</v>
      </c>
      <c r="J108" s="662">
        <v>2.9999999999999997E-4</v>
      </c>
      <c r="K108" s="662">
        <v>2.6679999999999999E-2</v>
      </c>
      <c r="L108" s="662">
        <f t="shared" si="25"/>
        <v>4.5370000000000008E-2</v>
      </c>
      <c r="M108" s="662"/>
      <c r="N108" s="662"/>
      <c r="O108" s="661"/>
      <c r="P108" s="661"/>
      <c r="Q108" s="661"/>
      <c r="R108" s="661"/>
      <c r="S108" s="661"/>
      <c r="T108" s="661"/>
      <c r="U108" s="661">
        <f t="shared" si="22"/>
        <v>0</v>
      </c>
      <c r="V108" s="661">
        <f t="shared" si="23"/>
        <v>0</v>
      </c>
      <c r="W108" s="661">
        <f t="shared" si="24"/>
        <v>0</v>
      </c>
    </row>
    <row r="109" spans="1:23">
      <c r="A109" s="657">
        <v>20130101</v>
      </c>
      <c r="B109" s="658" t="s">
        <v>831</v>
      </c>
      <c r="C109" s="659" t="s">
        <v>16</v>
      </c>
      <c r="D109" s="489" t="s">
        <v>177</v>
      </c>
      <c r="E109" s="660" t="str">
        <f t="shared" si="21"/>
        <v>20130101KURSE080</v>
      </c>
      <c r="F109" s="661">
        <v>10.75</v>
      </c>
      <c r="G109" s="662">
        <v>7.2349999999999998E-2</v>
      </c>
      <c r="H109" s="662">
        <v>0</v>
      </c>
      <c r="I109" s="662">
        <v>0</v>
      </c>
      <c r="J109" s="662">
        <v>2.9999999999999997E-4</v>
      </c>
      <c r="K109" s="662">
        <v>2.6679999999999999E-2</v>
      </c>
      <c r="L109" s="662">
        <f t="shared" si="25"/>
        <v>4.5370000000000008E-2</v>
      </c>
      <c r="M109" s="662"/>
      <c r="N109" s="662"/>
      <c r="O109" s="661"/>
      <c r="P109" s="661"/>
      <c r="Q109" s="661"/>
      <c r="R109" s="661"/>
      <c r="S109" s="661"/>
      <c r="T109" s="661"/>
      <c r="U109" s="661">
        <f t="shared" si="22"/>
        <v>0</v>
      </c>
      <c r="V109" s="661">
        <f t="shared" si="23"/>
        <v>0</v>
      </c>
      <c r="W109" s="661">
        <f t="shared" si="24"/>
        <v>0</v>
      </c>
    </row>
    <row r="110" spans="1:23">
      <c r="A110" s="657">
        <v>20130101</v>
      </c>
      <c r="B110" s="658" t="s">
        <v>14</v>
      </c>
      <c r="C110" s="659" t="s">
        <v>15</v>
      </c>
      <c r="D110" s="489" t="s">
        <v>178</v>
      </c>
      <c r="E110" s="660" t="str">
        <f t="shared" si="21"/>
        <v>20130101KURSE715</v>
      </c>
      <c r="F110" s="661">
        <v>10.75</v>
      </c>
      <c r="G110" s="662">
        <v>7.2349999999999998E-2</v>
      </c>
      <c r="H110" s="662">
        <v>0</v>
      </c>
      <c r="I110" s="662">
        <v>0</v>
      </c>
      <c r="J110" s="662">
        <v>2.9999999999999997E-4</v>
      </c>
      <c r="K110" s="662">
        <v>2.6679999999999999E-2</v>
      </c>
      <c r="L110" s="662">
        <f t="shared" si="25"/>
        <v>4.5370000000000008E-2</v>
      </c>
      <c r="M110" s="662"/>
      <c r="N110" s="662"/>
      <c r="O110" s="661"/>
      <c r="P110" s="661"/>
      <c r="Q110" s="661"/>
      <c r="R110" s="661"/>
      <c r="S110" s="661"/>
      <c r="T110" s="661"/>
      <c r="U110" s="661">
        <f t="shared" si="22"/>
        <v>0</v>
      </c>
      <c r="V110" s="661">
        <f t="shared" si="23"/>
        <v>0</v>
      </c>
      <c r="W110" s="661">
        <f t="shared" si="24"/>
        <v>0</v>
      </c>
    </row>
    <row r="111" spans="1:23">
      <c r="A111" s="657">
        <v>20130101</v>
      </c>
      <c r="B111" s="658" t="s">
        <v>828</v>
      </c>
      <c r="C111" s="659" t="s">
        <v>206</v>
      </c>
      <c r="D111" s="489" t="s">
        <v>458</v>
      </c>
      <c r="E111" s="660" t="str">
        <f t="shared" si="21"/>
        <v>20130101KURSE040</v>
      </c>
      <c r="F111" s="661">
        <v>10.75</v>
      </c>
      <c r="G111" s="662">
        <v>5.0779999999999999E-2</v>
      </c>
      <c r="H111" s="662">
        <v>7.2539999999999993E-2</v>
      </c>
      <c r="I111" s="662">
        <v>0.13788</v>
      </c>
      <c r="J111" s="662">
        <v>2.9999999999999997E-4</v>
      </c>
      <c r="K111" s="662">
        <f>K110</f>
        <v>2.6679999999999999E-2</v>
      </c>
      <c r="L111" s="662">
        <f t="shared" si="25"/>
        <v>2.3799999999999998E-2</v>
      </c>
      <c r="M111" s="662">
        <f>H111-J111-K111</f>
        <v>4.5560000000000003E-2</v>
      </c>
      <c r="N111" s="662">
        <f>I111-J111-K111</f>
        <v>0.11090000000000001</v>
      </c>
      <c r="O111" s="661"/>
      <c r="P111" s="661"/>
      <c r="Q111" s="661"/>
      <c r="R111" s="661"/>
      <c r="S111" s="661"/>
      <c r="T111" s="661"/>
      <c r="U111" s="661">
        <f t="shared" si="22"/>
        <v>0</v>
      </c>
      <c r="V111" s="661">
        <f t="shared" si="23"/>
        <v>0</v>
      </c>
      <c r="W111" s="661">
        <f t="shared" si="24"/>
        <v>0</v>
      </c>
    </row>
    <row r="112" spans="1:23">
      <c r="A112" s="657">
        <v>20130101</v>
      </c>
      <c r="B112" s="658" t="s">
        <v>208</v>
      </c>
      <c r="C112" s="659" t="s">
        <v>208</v>
      </c>
      <c r="D112" s="659" t="s">
        <v>161</v>
      </c>
      <c r="E112" s="660" t="str">
        <f t="shared" si="21"/>
        <v>20130101KUCME110</v>
      </c>
      <c r="F112" s="661">
        <v>20</v>
      </c>
      <c r="G112" s="662">
        <v>8.5750000000000007E-2</v>
      </c>
      <c r="H112" s="662">
        <v>0</v>
      </c>
      <c r="I112" s="662">
        <v>0</v>
      </c>
      <c r="J112" s="662">
        <v>4.4999999999999999E-4</v>
      </c>
      <c r="K112" s="662">
        <v>2.6679999999999999E-2</v>
      </c>
      <c r="L112" s="662">
        <f t="shared" si="25"/>
        <v>5.8620000000000005E-2</v>
      </c>
      <c r="M112" s="662"/>
      <c r="N112" s="662"/>
      <c r="O112" s="661"/>
      <c r="P112" s="661"/>
      <c r="Q112" s="661"/>
      <c r="R112" s="661"/>
      <c r="S112" s="661"/>
      <c r="T112" s="661"/>
      <c r="U112" s="661">
        <f t="shared" si="22"/>
        <v>0</v>
      </c>
      <c r="V112" s="661">
        <f t="shared" si="23"/>
        <v>0</v>
      </c>
      <c r="W112" s="661">
        <f t="shared" si="24"/>
        <v>0</v>
      </c>
    </row>
    <row r="113" spans="1:23">
      <c r="A113" s="657">
        <v>20130101</v>
      </c>
      <c r="B113" s="658" t="s">
        <v>208</v>
      </c>
      <c r="C113" s="659" t="s">
        <v>208</v>
      </c>
      <c r="D113" s="489" t="s">
        <v>162</v>
      </c>
      <c r="E113" s="660" t="str">
        <f t="shared" si="21"/>
        <v>20130101KUCME112</v>
      </c>
      <c r="F113" s="661">
        <v>20</v>
      </c>
      <c r="G113" s="662">
        <v>8.5750000000000007E-2</v>
      </c>
      <c r="H113" s="662">
        <v>0</v>
      </c>
      <c r="I113" s="662">
        <v>0</v>
      </c>
      <c r="J113" s="662">
        <v>4.4999999999999999E-4</v>
      </c>
      <c r="K113" s="662">
        <v>2.6679999999999999E-2</v>
      </c>
      <c r="L113" s="662">
        <f t="shared" si="25"/>
        <v>5.8620000000000005E-2</v>
      </c>
      <c r="M113" s="662"/>
      <c r="N113" s="662"/>
      <c r="O113" s="661"/>
      <c r="P113" s="661"/>
      <c r="Q113" s="661"/>
      <c r="R113" s="661"/>
      <c r="S113" s="661"/>
      <c r="T113" s="661"/>
      <c r="U113" s="661">
        <f t="shared" si="22"/>
        <v>0</v>
      </c>
      <c r="V113" s="661">
        <f t="shared" si="23"/>
        <v>0</v>
      </c>
      <c r="W113" s="661">
        <f t="shared" si="24"/>
        <v>0</v>
      </c>
    </row>
    <row r="114" spans="1:23">
      <c r="A114" s="657">
        <v>20130101</v>
      </c>
      <c r="B114" s="658" t="s">
        <v>208</v>
      </c>
      <c r="C114" s="659" t="s">
        <v>209</v>
      </c>
      <c r="D114" s="659" t="s">
        <v>169</v>
      </c>
      <c r="E114" s="660" t="str">
        <f t="shared" si="21"/>
        <v>20130101KUCME710</v>
      </c>
      <c r="F114" s="661">
        <v>20</v>
      </c>
      <c r="G114" s="662">
        <v>8.5750000000000007E-2</v>
      </c>
      <c r="H114" s="662">
        <v>0</v>
      </c>
      <c r="I114" s="662">
        <v>0</v>
      </c>
      <c r="J114" s="662">
        <v>4.4999999999999999E-4</v>
      </c>
      <c r="K114" s="662">
        <v>2.6679999999999999E-2</v>
      </c>
      <c r="L114" s="662">
        <f t="shared" si="25"/>
        <v>5.8620000000000005E-2</v>
      </c>
      <c r="M114" s="662"/>
      <c r="N114" s="662"/>
      <c r="O114" s="661"/>
      <c r="P114" s="661"/>
      <c r="Q114" s="661"/>
      <c r="R114" s="661"/>
      <c r="S114" s="661"/>
      <c r="T114" s="661"/>
      <c r="U114" s="661">
        <f t="shared" si="22"/>
        <v>0</v>
      </c>
      <c r="V114" s="661">
        <f t="shared" si="23"/>
        <v>0</v>
      </c>
      <c r="W114" s="661">
        <f t="shared" si="24"/>
        <v>0</v>
      </c>
    </row>
    <row r="115" spans="1:23">
      <c r="A115" s="657">
        <v>20130101</v>
      </c>
      <c r="B115" s="663" t="s">
        <v>17</v>
      </c>
      <c r="C115" s="659" t="s">
        <v>17</v>
      </c>
      <c r="D115" s="659" t="s">
        <v>163</v>
      </c>
      <c r="E115" s="660" t="str">
        <f t="shared" si="21"/>
        <v>20130101KUCME113</v>
      </c>
      <c r="F115" s="661">
        <v>35</v>
      </c>
      <c r="G115" s="662">
        <v>8.5750000000000007E-2</v>
      </c>
      <c r="H115" s="662">
        <v>0</v>
      </c>
      <c r="I115" s="662">
        <v>0</v>
      </c>
      <c r="J115" s="662">
        <v>4.4999999999999999E-4</v>
      </c>
      <c r="K115" s="662">
        <v>2.6679999999999999E-2</v>
      </c>
      <c r="L115" s="662">
        <f t="shared" si="25"/>
        <v>5.8620000000000005E-2</v>
      </c>
      <c r="M115" s="662"/>
      <c r="N115" s="662"/>
      <c r="O115" s="661"/>
      <c r="P115" s="661"/>
      <c r="Q115" s="661"/>
      <c r="R115" s="661"/>
      <c r="S115" s="661"/>
      <c r="T115" s="661"/>
      <c r="U115" s="661">
        <f t="shared" si="22"/>
        <v>0</v>
      </c>
      <c r="V115" s="661">
        <f t="shared" si="23"/>
        <v>0</v>
      </c>
      <c r="W115" s="661">
        <f t="shared" si="24"/>
        <v>0</v>
      </c>
    </row>
    <row r="116" spans="1:23">
      <c r="A116" s="657">
        <v>20130101</v>
      </c>
      <c r="B116" s="658" t="s">
        <v>208</v>
      </c>
      <c r="C116" s="659" t="s">
        <v>210</v>
      </c>
      <c r="D116" s="489" t="s">
        <v>170</v>
      </c>
      <c r="E116" s="660" t="str">
        <f t="shared" si="21"/>
        <v>20130101KUCME713</v>
      </c>
      <c r="F116" s="661">
        <v>35</v>
      </c>
      <c r="G116" s="662">
        <v>8.5750000000000007E-2</v>
      </c>
      <c r="H116" s="662">
        <v>0</v>
      </c>
      <c r="I116" s="662">
        <v>0</v>
      </c>
      <c r="J116" s="662">
        <v>4.4999999999999999E-4</v>
      </c>
      <c r="K116" s="662">
        <v>2.6679999999999999E-2</v>
      </c>
      <c r="L116" s="662">
        <f t="shared" si="25"/>
        <v>5.8620000000000005E-2</v>
      </c>
      <c r="M116" s="662"/>
      <c r="N116" s="662"/>
      <c r="O116" s="661"/>
      <c r="P116" s="661"/>
      <c r="Q116" s="661"/>
      <c r="R116" s="661"/>
      <c r="S116" s="661"/>
      <c r="T116" s="661"/>
      <c r="U116" s="661">
        <f t="shared" si="22"/>
        <v>0</v>
      </c>
      <c r="V116" s="661">
        <f t="shared" si="23"/>
        <v>0</v>
      </c>
      <c r="W116" s="661">
        <f t="shared" si="24"/>
        <v>0</v>
      </c>
    </row>
    <row r="117" spans="1:23">
      <c r="A117" s="657">
        <v>20130101</v>
      </c>
      <c r="B117" s="658" t="s">
        <v>203</v>
      </c>
      <c r="C117" s="659" t="s">
        <v>203</v>
      </c>
      <c r="D117" s="659" t="s">
        <v>164</v>
      </c>
      <c r="E117" s="660" t="str">
        <f t="shared" si="21"/>
        <v>20130101KUCME220</v>
      </c>
      <c r="F117" s="661">
        <v>20</v>
      </c>
      <c r="G117" s="662">
        <v>6.9279999999999994E-2</v>
      </c>
      <c r="H117" s="662">
        <v>0</v>
      </c>
      <c r="I117" s="662">
        <v>0</v>
      </c>
      <c r="J117" s="662">
        <v>2.7E-4</v>
      </c>
      <c r="K117" s="662">
        <v>2.6679999999999999E-2</v>
      </c>
      <c r="L117" s="662">
        <f t="shared" si="25"/>
        <v>4.2329999999999993E-2</v>
      </c>
      <c r="M117" s="662"/>
      <c r="N117" s="662"/>
      <c r="O117" s="661"/>
      <c r="P117" s="661"/>
      <c r="Q117" s="661"/>
      <c r="R117" s="661"/>
      <c r="S117" s="661"/>
      <c r="T117" s="661"/>
      <c r="U117" s="661">
        <f t="shared" si="22"/>
        <v>0</v>
      </c>
      <c r="V117" s="661">
        <f t="shared" si="23"/>
        <v>0</v>
      </c>
      <c r="W117" s="661">
        <f t="shared" si="24"/>
        <v>0</v>
      </c>
    </row>
    <row r="118" spans="1:23">
      <c r="A118" s="657">
        <v>20130101</v>
      </c>
      <c r="B118" s="658" t="s">
        <v>203</v>
      </c>
      <c r="C118" s="659" t="s">
        <v>211</v>
      </c>
      <c r="D118" s="659" t="s">
        <v>165</v>
      </c>
      <c r="E118" s="660" t="str">
        <f t="shared" si="21"/>
        <v>20130101KUCME221</v>
      </c>
      <c r="F118" s="661">
        <v>20</v>
      </c>
      <c r="G118" s="662">
        <v>6.9279999999999994E-2</v>
      </c>
      <c r="H118" s="662">
        <v>0</v>
      </c>
      <c r="I118" s="662">
        <v>0</v>
      </c>
      <c r="J118" s="662">
        <v>2.7E-4</v>
      </c>
      <c r="K118" s="662">
        <v>2.6679999999999999E-2</v>
      </c>
      <c r="L118" s="662">
        <f t="shared" si="25"/>
        <v>4.2329999999999993E-2</v>
      </c>
      <c r="M118" s="662"/>
      <c r="N118" s="662"/>
      <c r="O118" s="661"/>
      <c r="P118" s="661"/>
      <c r="Q118" s="661"/>
      <c r="R118" s="661"/>
      <c r="S118" s="661"/>
      <c r="T118" s="661"/>
      <c r="U118" s="661">
        <f t="shared" si="22"/>
        <v>0</v>
      </c>
      <c r="V118" s="661">
        <f t="shared" si="23"/>
        <v>0</v>
      </c>
      <c r="W118" s="661">
        <f t="shared" si="24"/>
        <v>0</v>
      </c>
    </row>
    <row r="119" spans="1:23">
      <c r="A119" s="657">
        <v>20130101</v>
      </c>
      <c r="B119" s="658" t="s">
        <v>203</v>
      </c>
      <c r="C119" s="659" t="s">
        <v>212</v>
      </c>
      <c r="D119" s="659" t="s">
        <v>166</v>
      </c>
      <c r="E119" s="660" t="str">
        <f t="shared" si="21"/>
        <v>20130101KUCME223</v>
      </c>
      <c r="F119" s="661">
        <v>35</v>
      </c>
      <c r="G119" s="662">
        <v>6.9279999999999994E-2</v>
      </c>
      <c r="H119" s="662">
        <v>0</v>
      </c>
      <c r="I119" s="662">
        <v>0</v>
      </c>
      <c r="J119" s="662">
        <v>2.7E-4</v>
      </c>
      <c r="K119" s="662">
        <v>2.6679999999999999E-2</v>
      </c>
      <c r="L119" s="662">
        <f t="shared" si="25"/>
        <v>4.2329999999999993E-2</v>
      </c>
      <c r="M119" s="662"/>
      <c r="N119" s="662"/>
      <c r="O119" s="661"/>
      <c r="P119" s="661"/>
      <c r="Q119" s="661"/>
      <c r="R119" s="661"/>
      <c r="S119" s="661"/>
      <c r="T119" s="661"/>
      <c r="U119" s="661">
        <f t="shared" si="22"/>
        <v>0</v>
      </c>
      <c r="V119" s="661">
        <f t="shared" si="23"/>
        <v>0</v>
      </c>
      <c r="W119" s="661">
        <f t="shared" si="24"/>
        <v>0</v>
      </c>
    </row>
    <row r="120" spans="1:23">
      <c r="A120" s="657">
        <v>20130101</v>
      </c>
      <c r="B120" s="658" t="s">
        <v>203</v>
      </c>
      <c r="C120" s="659" t="s">
        <v>213</v>
      </c>
      <c r="D120" s="659" t="s">
        <v>167</v>
      </c>
      <c r="E120" s="660" t="str">
        <f t="shared" si="21"/>
        <v>20130101KUCME224</v>
      </c>
      <c r="F120" s="661">
        <v>35</v>
      </c>
      <c r="G120" s="662">
        <v>6.9279999999999994E-2</v>
      </c>
      <c r="H120" s="662">
        <v>0</v>
      </c>
      <c r="I120" s="662">
        <v>0</v>
      </c>
      <c r="J120" s="662">
        <v>2.7E-4</v>
      </c>
      <c r="K120" s="662">
        <v>2.6679999999999999E-2</v>
      </c>
      <c r="L120" s="662">
        <f t="shared" si="25"/>
        <v>4.2329999999999993E-2</v>
      </c>
      <c r="M120" s="662"/>
      <c r="N120" s="662"/>
      <c r="O120" s="661"/>
      <c r="P120" s="661"/>
      <c r="Q120" s="661"/>
      <c r="R120" s="661"/>
      <c r="S120" s="661"/>
      <c r="T120" s="661"/>
      <c r="U120" s="661">
        <f t="shared" si="22"/>
        <v>0</v>
      </c>
      <c r="V120" s="661">
        <f t="shared" si="23"/>
        <v>0</v>
      </c>
      <c r="W120" s="661">
        <f t="shared" si="24"/>
        <v>0</v>
      </c>
    </row>
    <row r="121" spans="1:23">
      <c r="A121" s="657">
        <v>20130101</v>
      </c>
      <c r="B121" s="658" t="s">
        <v>203</v>
      </c>
      <c r="C121" s="659" t="s">
        <v>707</v>
      </c>
      <c r="D121" s="489" t="s">
        <v>683</v>
      </c>
      <c r="E121" s="660" t="str">
        <f t="shared" si="21"/>
        <v>20130101KUCME225</v>
      </c>
      <c r="F121" s="661">
        <v>35</v>
      </c>
      <c r="G121" s="662">
        <v>6.9279999999999994E-2</v>
      </c>
      <c r="H121" s="662">
        <v>0</v>
      </c>
      <c r="I121" s="662">
        <v>0</v>
      </c>
      <c r="J121" s="662">
        <v>2.7E-4</v>
      </c>
      <c r="K121" s="662">
        <v>2.6679999999999999E-2</v>
      </c>
      <c r="L121" s="662">
        <f t="shared" si="25"/>
        <v>4.2329999999999993E-2</v>
      </c>
      <c r="M121" s="662"/>
      <c r="N121" s="662"/>
      <c r="O121" s="661"/>
      <c r="P121" s="661"/>
      <c r="Q121" s="661"/>
      <c r="R121" s="661"/>
      <c r="S121" s="661"/>
      <c r="T121" s="661"/>
      <c r="U121" s="661">
        <f t="shared" si="22"/>
        <v>0</v>
      </c>
      <c r="V121" s="661">
        <f t="shared" si="23"/>
        <v>0</v>
      </c>
      <c r="W121" s="661">
        <f t="shared" si="24"/>
        <v>0</v>
      </c>
    </row>
    <row r="122" spans="1:23">
      <c r="A122" s="657">
        <v>20130101</v>
      </c>
      <c r="B122" s="658" t="s">
        <v>203</v>
      </c>
      <c r="C122" s="659" t="s">
        <v>707</v>
      </c>
      <c r="D122" s="489" t="s">
        <v>684</v>
      </c>
      <c r="E122" s="660" t="str">
        <f t="shared" si="21"/>
        <v>20130101KUCME226</v>
      </c>
      <c r="F122" s="661">
        <v>20</v>
      </c>
      <c r="G122" s="662">
        <v>6.9279999999999994E-2</v>
      </c>
      <c r="H122" s="662">
        <v>0</v>
      </c>
      <c r="I122" s="662">
        <v>0</v>
      </c>
      <c r="J122" s="662">
        <v>2.7E-4</v>
      </c>
      <c r="K122" s="662">
        <v>2.6679999999999999E-2</v>
      </c>
      <c r="L122" s="662">
        <f t="shared" si="25"/>
        <v>4.2329999999999993E-2</v>
      </c>
      <c r="M122" s="662"/>
      <c r="N122" s="662"/>
      <c r="O122" s="661"/>
      <c r="P122" s="661"/>
      <c r="Q122" s="661"/>
      <c r="R122" s="661"/>
      <c r="S122" s="661"/>
      <c r="T122" s="661"/>
      <c r="U122" s="661">
        <f t="shared" si="22"/>
        <v>0</v>
      </c>
      <c r="V122" s="661">
        <f t="shared" si="23"/>
        <v>0</v>
      </c>
      <c r="W122" s="661">
        <f t="shared" si="24"/>
        <v>0</v>
      </c>
    </row>
    <row r="123" spans="1:23">
      <c r="A123" s="657">
        <v>20130101</v>
      </c>
      <c r="B123" s="658" t="s">
        <v>203</v>
      </c>
      <c r="C123" s="489" t="s">
        <v>1145</v>
      </c>
      <c r="D123" s="489" t="s">
        <v>685</v>
      </c>
      <c r="E123" s="660" t="str">
        <f t="shared" si="21"/>
        <v>20130101KUCME227</v>
      </c>
      <c r="F123" s="661">
        <v>35</v>
      </c>
      <c r="G123" s="662">
        <v>6.9279999999999994E-2</v>
      </c>
      <c r="H123" s="662">
        <v>0</v>
      </c>
      <c r="I123" s="662">
        <v>0</v>
      </c>
      <c r="J123" s="662">
        <v>2.7E-4</v>
      </c>
      <c r="K123" s="662">
        <v>2.6679999999999999E-2</v>
      </c>
      <c r="L123" s="662">
        <f t="shared" si="25"/>
        <v>4.2329999999999993E-2</v>
      </c>
      <c r="M123" s="662"/>
      <c r="N123" s="662"/>
      <c r="O123" s="661"/>
      <c r="P123" s="661"/>
      <c r="Q123" s="661"/>
      <c r="R123" s="661"/>
      <c r="S123" s="661"/>
      <c r="T123" s="661"/>
      <c r="U123" s="661">
        <f t="shared" si="22"/>
        <v>0</v>
      </c>
      <c r="V123" s="661">
        <f t="shared" si="23"/>
        <v>0</v>
      </c>
      <c r="W123" s="661">
        <f t="shared" si="24"/>
        <v>0</v>
      </c>
    </row>
    <row r="124" spans="1:23">
      <c r="A124" s="657">
        <v>20130101</v>
      </c>
      <c r="B124" s="658" t="s">
        <v>25</v>
      </c>
      <c r="C124" s="659" t="s">
        <v>25</v>
      </c>
      <c r="D124" s="489" t="s">
        <v>153</v>
      </c>
      <c r="E124" s="660" t="str">
        <f t="shared" si="21"/>
        <v>20130101KUCIE561</v>
      </c>
      <c r="F124" s="661">
        <v>170</v>
      </c>
      <c r="G124" s="662">
        <v>3.338E-2</v>
      </c>
      <c r="H124" s="662">
        <v>0</v>
      </c>
      <c r="I124" s="662">
        <v>0</v>
      </c>
      <c r="J124" s="662"/>
      <c r="K124" s="662">
        <v>2.6679999999999999E-2</v>
      </c>
      <c r="L124" s="662">
        <f t="shared" si="25"/>
        <v>6.7000000000000011E-3</v>
      </c>
      <c r="M124" s="662"/>
      <c r="N124" s="662"/>
      <c r="O124" s="661"/>
      <c r="P124" s="661">
        <v>12.21</v>
      </c>
      <c r="Q124" s="661">
        <v>14.31</v>
      </c>
      <c r="R124" s="661"/>
      <c r="S124" s="661">
        <v>0.11</v>
      </c>
      <c r="T124" s="661">
        <v>0.11</v>
      </c>
      <c r="U124" s="661">
        <f t="shared" si="22"/>
        <v>0</v>
      </c>
      <c r="V124" s="661">
        <f t="shared" si="23"/>
        <v>12.100000000000001</v>
      </c>
      <c r="W124" s="661">
        <f t="shared" si="24"/>
        <v>14.200000000000001</v>
      </c>
    </row>
    <row r="125" spans="1:23">
      <c r="A125" s="657">
        <v>20130101</v>
      </c>
      <c r="B125" s="658" t="s">
        <v>25</v>
      </c>
      <c r="C125" s="659" t="s">
        <v>25</v>
      </c>
      <c r="D125" s="489" t="s">
        <v>156</v>
      </c>
      <c r="E125" s="660" t="str">
        <f t="shared" si="21"/>
        <v>20130101KUCIE566</v>
      </c>
      <c r="F125" s="661">
        <v>170</v>
      </c>
      <c r="G125" s="662">
        <v>3.338E-2</v>
      </c>
      <c r="H125" s="662">
        <v>0</v>
      </c>
      <c r="I125" s="662">
        <v>0</v>
      </c>
      <c r="J125" s="662"/>
      <c r="K125" s="662">
        <v>2.6679999999999999E-2</v>
      </c>
      <c r="L125" s="662">
        <f t="shared" si="25"/>
        <v>6.7000000000000011E-3</v>
      </c>
      <c r="M125" s="662"/>
      <c r="N125" s="662"/>
      <c r="O125" s="661"/>
      <c r="P125" s="661">
        <v>12.21</v>
      </c>
      <c r="Q125" s="661">
        <v>14.31</v>
      </c>
      <c r="R125" s="661"/>
      <c r="S125" s="661">
        <v>0.11</v>
      </c>
      <c r="T125" s="661">
        <v>0.11</v>
      </c>
      <c r="U125" s="661">
        <f t="shared" si="22"/>
        <v>0</v>
      </c>
      <c r="V125" s="661">
        <f t="shared" si="23"/>
        <v>12.100000000000001</v>
      </c>
      <c r="W125" s="661">
        <f t="shared" si="24"/>
        <v>14.200000000000001</v>
      </c>
    </row>
    <row r="126" spans="1:23">
      <c r="A126" s="657">
        <v>20130101</v>
      </c>
      <c r="B126" s="658" t="s">
        <v>24</v>
      </c>
      <c r="C126" s="659" t="s">
        <v>24</v>
      </c>
      <c r="D126" s="664" t="s">
        <v>154</v>
      </c>
      <c r="E126" s="660" t="str">
        <f t="shared" si="21"/>
        <v>20130101KUCIE562</v>
      </c>
      <c r="F126" s="661">
        <v>90</v>
      </c>
      <c r="G126" s="662">
        <v>3.3399999999999999E-2</v>
      </c>
      <c r="H126" s="662">
        <v>0</v>
      </c>
      <c r="I126" s="662">
        <v>0</v>
      </c>
      <c r="J126" s="662"/>
      <c r="K126" s="662">
        <v>2.6679999999999999E-2</v>
      </c>
      <c r="L126" s="662">
        <f t="shared" si="25"/>
        <v>6.7200000000000003E-3</v>
      </c>
      <c r="M126" s="662"/>
      <c r="N126" s="662"/>
      <c r="O126" s="661"/>
      <c r="P126" s="661">
        <v>12.23</v>
      </c>
      <c r="Q126" s="661">
        <v>14.33</v>
      </c>
      <c r="R126" s="661"/>
      <c r="S126" s="661">
        <v>0.11</v>
      </c>
      <c r="T126" s="661">
        <v>0.11</v>
      </c>
      <c r="U126" s="661">
        <f t="shared" si="22"/>
        <v>0</v>
      </c>
      <c r="V126" s="661">
        <f t="shared" si="23"/>
        <v>12.120000000000001</v>
      </c>
      <c r="W126" s="661">
        <f t="shared" si="24"/>
        <v>14.22</v>
      </c>
    </row>
    <row r="127" spans="1:23">
      <c r="A127" s="657">
        <v>20130101</v>
      </c>
      <c r="B127" s="658" t="s">
        <v>24</v>
      </c>
      <c r="C127" s="659" t="s">
        <v>24</v>
      </c>
      <c r="D127" s="659" t="s">
        <v>157</v>
      </c>
      <c r="E127" s="660" t="str">
        <f t="shared" si="21"/>
        <v>20130101KUCIE568</v>
      </c>
      <c r="F127" s="661">
        <v>90</v>
      </c>
      <c r="G127" s="662">
        <v>3.3399999999999999E-2</v>
      </c>
      <c r="H127" s="662">
        <v>0</v>
      </c>
      <c r="I127" s="662">
        <v>0</v>
      </c>
      <c r="J127" s="662"/>
      <c r="K127" s="662">
        <v>2.6679999999999999E-2</v>
      </c>
      <c r="L127" s="662">
        <f t="shared" si="25"/>
        <v>6.7200000000000003E-3</v>
      </c>
      <c r="M127" s="662"/>
      <c r="N127" s="662"/>
      <c r="O127" s="661"/>
      <c r="P127" s="661">
        <v>12.23</v>
      </c>
      <c r="Q127" s="661">
        <v>14.33</v>
      </c>
      <c r="R127" s="661"/>
      <c r="S127" s="661">
        <v>0.11</v>
      </c>
      <c r="T127" s="661">
        <v>0.11</v>
      </c>
      <c r="U127" s="661">
        <f t="shared" si="22"/>
        <v>0</v>
      </c>
      <c r="V127" s="661">
        <f t="shared" si="23"/>
        <v>12.120000000000001</v>
      </c>
      <c r="W127" s="661">
        <f t="shared" si="24"/>
        <v>14.22</v>
      </c>
    </row>
    <row r="128" spans="1:23">
      <c r="A128" s="657">
        <v>20130101</v>
      </c>
      <c r="B128" s="658" t="s">
        <v>24</v>
      </c>
      <c r="C128" s="659" t="s">
        <v>214</v>
      </c>
      <c r="D128" s="659" t="s">
        <v>160</v>
      </c>
      <c r="E128" s="660" t="str">
        <f t="shared" si="21"/>
        <v>20130101KUCIE717</v>
      </c>
      <c r="F128" s="661">
        <v>90</v>
      </c>
      <c r="G128" s="662">
        <v>3.3399999999999999E-2</v>
      </c>
      <c r="H128" s="662">
        <v>0</v>
      </c>
      <c r="I128" s="662">
        <v>0</v>
      </c>
      <c r="J128" s="662"/>
      <c r="K128" s="662">
        <v>2.6679999999999999E-2</v>
      </c>
      <c r="L128" s="662">
        <f t="shared" si="25"/>
        <v>6.7200000000000003E-3</v>
      </c>
      <c r="M128" s="662"/>
      <c r="N128" s="662"/>
      <c r="O128" s="661"/>
      <c r="P128" s="661">
        <v>12.23</v>
      </c>
      <c r="Q128" s="661">
        <v>14.33</v>
      </c>
      <c r="R128" s="661"/>
      <c r="S128" s="661">
        <v>0.11</v>
      </c>
      <c r="T128" s="661">
        <v>0.11</v>
      </c>
      <c r="U128" s="661">
        <f t="shared" si="22"/>
        <v>0</v>
      </c>
      <c r="V128" s="661">
        <f t="shared" si="23"/>
        <v>12.120000000000001</v>
      </c>
      <c r="W128" s="661">
        <f t="shared" si="24"/>
        <v>14.22</v>
      </c>
    </row>
    <row r="129" spans="1:23">
      <c r="A129" s="657">
        <v>20130101</v>
      </c>
      <c r="B129" s="658" t="s">
        <v>205</v>
      </c>
      <c r="C129" s="659" t="s">
        <v>205</v>
      </c>
      <c r="D129" s="659" t="s">
        <v>155</v>
      </c>
      <c r="E129" s="660" t="str">
        <f t="shared" si="21"/>
        <v>20130101KUCIE563</v>
      </c>
      <c r="F129" s="661">
        <v>300</v>
      </c>
      <c r="G129" s="662">
        <v>3.5409999999999997E-2</v>
      </c>
      <c r="H129" s="662">
        <v>0</v>
      </c>
      <c r="I129" s="662">
        <v>0</v>
      </c>
      <c r="J129" s="662"/>
      <c r="K129" s="662">
        <v>2.6679999999999999E-2</v>
      </c>
      <c r="L129" s="662">
        <f t="shared" si="25"/>
        <v>8.7299999999999982E-3</v>
      </c>
      <c r="M129" s="662"/>
      <c r="N129" s="662"/>
      <c r="O129" s="661">
        <v>1.48</v>
      </c>
      <c r="P129" s="661">
        <v>2.5299999999999998</v>
      </c>
      <c r="Q129" s="661">
        <v>4.03</v>
      </c>
      <c r="R129" s="661">
        <v>0.03</v>
      </c>
      <c r="S129" s="661">
        <v>0.03</v>
      </c>
      <c r="T129" s="661">
        <v>0.03</v>
      </c>
      <c r="U129" s="661">
        <f t="shared" si="22"/>
        <v>1.45</v>
      </c>
      <c r="V129" s="661">
        <f t="shared" si="23"/>
        <v>2.5</v>
      </c>
      <c r="W129" s="661">
        <f t="shared" si="24"/>
        <v>4</v>
      </c>
    </row>
    <row r="130" spans="1:23">
      <c r="A130" s="657">
        <v>20130101</v>
      </c>
      <c r="B130" s="658" t="s">
        <v>205</v>
      </c>
      <c r="C130" s="659" t="s">
        <v>205</v>
      </c>
      <c r="D130" s="659" t="s">
        <v>158</v>
      </c>
      <c r="E130" s="660" t="str">
        <f t="shared" si="21"/>
        <v>20130101KUCIE571</v>
      </c>
      <c r="F130" s="661">
        <v>300</v>
      </c>
      <c r="G130" s="662">
        <v>3.5409999999999997E-2</v>
      </c>
      <c r="H130" s="662">
        <v>0</v>
      </c>
      <c r="I130" s="662">
        <v>0</v>
      </c>
      <c r="J130" s="662"/>
      <c r="K130" s="662">
        <v>2.6679999999999999E-2</v>
      </c>
      <c r="L130" s="662">
        <f t="shared" si="25"/>
        <v>8.7299999999999982E-3</v>
      </c>
      <c r="M130" s="662"/>
      <c r="N130" s="662"/>
      <c r="O130" s="661">
        <v>1.48</v>
      </c>
      <c r="P130" s="661">
        <v>2.5299999999999998</v>
      </c>
      <c r="Q130" s="661">
        <v>4.03</v>
      </c>
      <c r="R130" s="661">
        <v>0.03</v>
      </c>
      <c r="S130" s="661">
        <v>0.03</v>
      </c>
      <c r="T130" s="661">
        <v>0.03</v>
      </c>
      <c r="U130" s="661">
        <f t="shared" si="22"/>
        <v>1.45</v>
      </c>
      <c r="V130" s="661">
        <f t="shared" si="23"/>
        <v>2.5</v>
      </c>
      <c r="W130" s="661">
        <f t="shared" si="24"/>
        <v>4</v>
      </c>
    </row>
    <row r="131" spans="1:23">
      <c r="A131" s="657">
        <v>20130101</v>
      </c>
      <c r="B131" s="658" t="s">
        <v>204</v>
      </c>
      <c r="C131" s="659" t="s">
        <v>204</v>
      </c>
      <c r="D131" s="659" t="s">
        <v>159</v>
      </c>
      <c r="E131" s="660" t="str">
        <f t="shared" si="21"/>
        <v>20130101KUCIE572</v>
      </c>
      <c r="F131" s="661">
        <v>200</v>
      </c>
      <c r="G131" s="662">
        <v>3.5490000000000001E-2</v>
      </c>
      <c r="H131" s="662">
        <v>0</v>
      </c>
      <c r="I131" s="662">
        <v>0</v>
      </c>
      <c r="J131" s="662"/>
      <c r="K131" s="662">
        <v>2.6679999999999999E-2</v>
      </c>
      <c r="L131" s="662">
        <f t="shared" si="25"/>
        <v>8.8100000000000019E-3</v>
      </c>
      <c r="M131" s="662"/>
      <c r="N131" s="662"/>
      <c r="O131" s="661">
        <v>3.32</v>
      </c>
      <c r="P131" s="661">
        <v>2.65</v>
      </c>
      <c r="Q131" s="661">
        <v>4.25</v>
      </c>
      <c r="R131" s="661">
        <v>0.03</v>
      </c>
      <c r="S131" s="661">
        <v>0.03</v>
      </c>
      <c r="T131" s="661">
        <v>0.03</v>
      </c>
      <c r="U131" s="661">
        <f t="shared" si="22"/>
        <v>3.29</v>
      </c>
      <c r="V131" s="661">
        <f t="shared" si="23"/>
        <v>2.62</v>
      </c>
      <c r="W131" s="661">
        <f t="shared" si="24"/>
        <v>4.22</v>
      </c>
    </row>
    <row r="132" spans="1:23">
      <c r="A132" s="657">
        <v>20130101</v>
      </c>
      <c r="B132" s="658" t="s">
        <v>18</v>
      </c>
      <c r="C132" s="659" t="s">
        <v>18</v>
      </c>
      <c r="D132" s="659" t="s">
        <v>152</v>
      </c>
      <c r="E132" s="660" t="str">
        <f t="shared" si="21"/>
        <v>20130101KUCIE550</v>
      </c>
      <c r="F132" s="661">
        <v>750</v>
      </c>
      <c r="G132" s="662">
        <v>3.4099999999999998E-2</v>
      </c>
      <c r="H132" s="662">
        <v>0</v>
      </c>
      <c r="I132" s="662">
        <v>0</v>
      </c>
      <c r="J132" s="662"/>
      <c r="K132" s="662">
        <v>2.6679999999999999E-2</v>
      </c>
      <c r="L132" s="662">
        <f t="shared" si="25"/>
        <v>7.4199999999999995E-3</v>
      </c>
      <c r="M132" s="662"/>
      <c r="N132" s="662"/>
      <c r="O132" s="661">
        <v>1.1200000000000001</v>
      </c>
      <c r="P132" s="661">
        <v>2.65</v>
      </c>
      <c r="Q132" s="661">
        <v>3.75</v>
      </c>
      <c r="R132" s="661">
        <v>0.02</v>
      </c>
      <c r="S132" s="661">
        <v>0.02</v>
      </c>
      <c r="T132" s="661">
        <v>0.02</v>
      </c>
      <c r="U132" s="661">
        <f t="shared" si="22"/>
        <v>1.1000000000000001</v>
      </c>
      <c r="V132" s="661">
        <f t="shared" si="23"/>
        <v>2.63</v>
      </c>
      <c r="W132" s="661">
        <f t="shared" si="24"/>
        <v>3.73</v>
      </c>
    </row>
    <row r="133" spans="1:23">
      <c r="A133" s="657">
        <v>20130101</v>
      </c>
      <c r="B133" s="658" t="s">
        <v>26</v>
      </c>
      <c r="C133" s="659" t="s">
        <v>26</v>
      </c>
      <c r="D133" s="659" t="s">
        <v>215</v>
      </c>
      <c r="E133" s="660" t="str">
        <f t="shared" si="21"/>
        <v>20130101KUINE731</v>
      </c>
      <c r="F133" s="661">
        <v>750</v>
      </c>
      <c r="G133" s="662">
        <v>3.4189999999999998E-2</v>
      </c>
      <c r="H133" s="662">
        <v>0</v>
      </c>
      <c r="I133" s="662">
        <v>0</v>
      </c>
      <c r="J133" s="662"/>
      <c r="K133" s="662">
        <v>2.6679999999999999E-2</v>
      </c>
      <c r="L133" s="662">
        <f t="shared" si="25"/>
        <v>7.5099999999999993E-3</v>
      </c>
      <c r="M133" s="662"/>
      <c r="N133" s="662"/>
      <c r="O133" s="661">
        <v>1.7</v>
      </c>
      <c r="P133" s="661">
        <v>1.42</v>
      </c>
      <c r="Q133" s="661">
        <v>2.31</v>
      </c>
      <c r="R133" s="661">
        <v>0.01</v>
      </c>
      <c r="S133" s="661">
        <v>0.01</v>
      </c>
      <c r="T133" s="661">
        <v>0.01</v>
      </c>
      <c r="U133" s="661">
        <f t="shared" si="22"/>
        <v>1.69</v>
      </c>
      <c r="V133" s="661">
        <f t="shared" si="23"/>
        <v>1.41</v>
      </c>
      <c r="W133" s="661">
        <f t="shared" si="24"/>
        <v>2.3000000000000003</v>
      </c>
    </row>
    <row r="134" spans="1:23">
      <c r="A134" s="657">
        <v>20130101</v>
      </c>
      <c r="B134" s="658" t="s">
        <v>27</v>
      </c>
      <c r="C134" s="489" t="s">
        <v>27</v>
      </c>
      <c r="D134" s="489" t="s">
        <v>173</v>
      </c>
      <c r="E134" s="660" t="str">
        <f t="shared" si="21"/>
        <v>20130101KUINE730</v>
      </c>
      <c r="F134" s="661">
        <v>750</v>
      </c>
      <c r="G134" s="662">
        <v>3.0370000000000001E-2</v>
      </c>
      <c r="H134" s="662">
        <v>0</v>
      </c>
      <c r="I134" s="662">
        <v>0</v>
      </c>
      <c r="J134" s="662"/>
      <c r="K134" s="662">
        <v>2.6679999999999999E-2</v>
      </c>
      <c r="L134" s="662">
        <f t="shared" si="25"/>
        <v>3.6900000000000023E-3</v>
      </c>
      <c r="M134" s="662"/>
      <c r="N134" s="662"/>
      <c r="O134" s="661">
        <v>0.95</v>
      </c>
      <c r="P134" s="661">
        <v>1.42</v>
      </c>
      <c r="Q134" s="661">
        <v>2.31</v>
      </c>
      <c r="R134" s="661">
        <v>0.01</v>
      </c>
      <c r="S134" s="661">
        <v>0.01</v>
      </c>
      <c r="T134" s="661">
        <v>0.01</v>
      </c>
      <c r="U134" s="661">
        <f t="shared" si="22"/>
        <v>0.94</v>
      </c>
      <c r="V134" s="661">
        <f t="shared" si="23"/>
        <v>1.41</v>
      </c>
      <c r="W134" s="661">
        <f t="shared" si="24"/>
        <v>2.3000000000000003</v>
      </c>
    </row>
    <row r="135" spans="1:23">
      <c r="A135" s="657">
        <v>20130101</v>
      </c>
      <c r="B135" s="658" t="s">
        <v>20</v>
      </c>
      <c r="C135" s="659" t="s">
        <v>20</v>
      </c>
      <c r="D135" s="659" t="s">
        <v>168</v>
      </c>
      <c r="E135" s="660" t="str">
        <f t="shared" si="21"/>
        <v>20130101KUCME295</v>
      </c>
      <c r="F135" s="661">
        <v>3.25</v>
      </c>
      <c r="G135" s="662">
        <v>7.4690000000000006E-2</v>
      </c>
      <c r="H135" s="662">
        <v>0</v>
      </c>
      <c r="I135" s="662">
        <v>0</v>
      </c>
      <c r="J135" s="662">
        <v>2.9999999999999997E-4</v>
      </c>
      <c r="K135" s="662">
        <v>2.6679999999999999E-2</v>
      </c>
      <c r="L135" s="662">
        <f t="shared" si="25"/>
        <v>4.7710000000000016E-2</v>
      </c>
      <c r="M135" s="662"/>
      <c r="N135" s="662"/>
      <c r="O135" s="661"/>
      <c r="P135" s="661"/>
      <c r="Q135" s="661"/>
      <c r="R135" s="661"/>
      <c r="S135" s="661"/>
      <c r="T135" s="661"/>
      <c r="U135" s="661">
        <f t="shared" si="22"/>
        <v>0</v>
      </c>
      <c r="V135" s="661">
        <f t="shared" si="23"/>
        <v>0</v>
      </c>
      <c r="W135" s="661">
        <f t="shared" si="24"/>
        <v>0</v>
      </c>
    </row>
    <row r="136" spans="1:23">
      <c r="A136" s="657">
        <v>20130101</v>
      </c>
      <c r="B136" s="658" t="s">
        <v>20</v>
      </c>
      <c r="C136" s="659" t="s">
        <v>20</v>
      </c>
      <c r="D136" s="489" t="s">
        <v>623</v>
      </c>
      <c r="E136" s="660" t="str">
        <f t="shared" si="21"/>
        <v>20130101KUCME297</v>
      </c>
      <c r="F136" s="661">
        <v>3.25</v>
      </c>
      <c r="G136" s="662">
        <v>7.4690000000000006E-2</v>
      </c>
      <c r="H136" s="662">
        <v>0</v>
      </c>
      <c r="I136" s="662">
        <v>0</v>
      </c>
      <c r="J136" s="662">
        <v>2.9999999999999997E-4</v>
      </c>
      <c r="K136" s="662">
        <v>2.6679999999999999E-2</v>
      </c>
      <c r="L136" s="662">
        <f t="shared" si="25"/>
        <v>4.7710000000000016E-2</v>
      </c>
      <c r="M136" s="662"/>
      <c r="N136" s="662"/>
      <c r="O136" s="661"/>
      <c r="P136" s="661"/>
      <c r="Q136" s="661"/>
      <c r="R136" s="661"/>
      <c r="S136" s="661"/>
      <c r="T136" s="661"/>
      <c r="U136" s="661">
        <f t="shared" si="22"/>
        <v>0</v>
      </c>
      <c r="V136" s="661">
        <f t="shared" si="23"/>
        <v>0</v>
      </c>
      <c r="W136" s="661">
        <f t="shared" si="24"/>
        <v>0</v>
      </c>
    </row>
    <row r="137" spans="1:23">
      <c r="A137" s="657">
        <v>20130101</v>
      </c>
      <c r="B137" s="658" t="s">
        <v>19</v>
      </c>
      <c r="C137" s="659" t="s">
        <v>19</v>
      </c>
      <c r="D137" s="489" t="s">
        <v>217</v>
      </c>
      <c r="E137" s="660" t="str">
        <f t="shared" si="21"/>
        <v>20130101KUCME290</v>
      </c>
      <c r="F137" s="661">
        <v>0</v>
      </c>
      <c r="G137" s="662">
        <v>5.8709999999999998E-2</v>
      </c>
      <c r="H137" s="662">
        <v>0</v>
      </c>
      <c r="I137" s="662">
        <v>0</v>
      </c>
      <c r="J137" s="662">
        <v>2.9999999999999997E-4</v>
      </c>
      <c r="K137" s="662">
        <v>2.6679999999999999E-2</v>
      </c>
      <c r="L137" s="662">
        <f t="shared" si="25"/>
        <v>3.1729999999999994E-2</v>
      </c>
      <c r="M137" s="662"/>
      <c r="N137" s="662"/>
      <c r="O137" s="661"/>
      <c r="P137" s="661"/>
      <c r="Q137" s="661"/>
      <c r="R137" s="661"/>
      <c r="S137" s="661"/>
      <c r="T137" s="661"/>
      <c r="U137" s="661">
        <f t="shared" si="22"/>
        <v>0</v>
      </c>
      <c r="V137" s="661">
        <f t="shared" si="23"/>
        <v>0</v>
      </c>
      <c r="W137" s="661">
        <f t="shared" si="24"/>
        <v>0</v>
      </c>
    </row>
    <row r="138" spans="1:23">
      <c r="A138" s="657">
        <v>20130101</v>
      </c>
      <c r="B138" s="658" t="s">
        <v>19</v>
      </c>
      <c r="C138" s="659" t="s">
        <v>19</v>
      </c>
      <c r="D138" s="659" t="s">
        <v>216</v>
      </c>
      <c r="E138" s="660" t="str">
        <f t="shared" si="21"/>
        <v>20130101KUCME291</v>
      </c>
      <c r="F138" s="661">
        <v>0</v>
      </c>
      <c r="G138" s="662">
        <v>5.8709999999999998E-2</v>
      </c>
      <c r="H138" s="662">
        <v>0</v>
      </c>
      <c r="I138" s="662">
        <v>0</v>
      </c>
      <c r="J138" s="662">
        <v>2.9999999999999997E-4</v>
      </c>
      <c r="K138" s="662">
        <v>2.6679999999999999E-2</v>
      </c>
      <c r="L138" s="662">
        <f t="shared" si="25"/>
        <v>3.1729999999999994E-2</v>
      </c>
      <c r="M138" s="662"/>
      <c r="N138" s="662"/>
      <c r="O138" s="661"/>
      <c r="P138" s="661"/>
      <c r="Q138" s="661"/>
      <c r="R138" s="661"/>
      <c r="S138" s="661"/>
      <c r="T138" s="661"/>
      <c r="U138" s="661">
        <f t="shared" si="22"/>
        <v>0</v>
      </c>
      <c r="V138" s="661">
        <f t="shared" si="23"/>
        <v>0</v>
      </c>
      <c r="W138" s="661">
        <f t="shared" si="24"/>
        <v>0</v>
      </c>
    </row>
    <row r="139" spans="1:23">
      <c r="A139" s="657">
        <v>20130101</v>
      </c>
      <c r="B139" s="658" t="s">
        <v>19</v>
      </c>
      <c r="C139" s="659" t="s">
        <v>19</v>
      </c>
      <c r="D139" s="489" t="s">
        <v>218</v>
      </c>
      <c r="E139" s="660" t="str">
        <f t="shared" si="21"/>
        <v>20130101KUCME292</v>
      </c>
      <c r="F139" s="661">
        <v>0</v>
      </c>
      <c r="G139" s="662">
        <v>5.8709999999999998E-2</v>
      </c>
      <c r="H139" s="662">
        <v>0</v>
      </c>
      <c r="I139" s="662">
        <v>0</v>
      </c>
      <c r="J139" s="662">
        <v>2.9999999999999997E-4</v>
      </c>
      <c r="K139" s="662">
        <v>2.6679999999999999E-2</v>
      </c>
      <c r="L139" s="662">
        <f t="shared" si="25"/>
        <v>3.1729999999999994E-2</v>
      </c>
      <c r="M139" s="662"/>
      <c r="N139" s="662"/>
      <c r="O139" s="661"/>
      <c r="P139" s="661"/>
      <c r="Q139" s="661"/>
      <c r="R139" s="661"/>
      <c r="S139" s="661"/>
      <c r="T139" s="661"/>
      <c r="U139" s="661">
        <f t="shared" si="22"/>
        <v>0</v>
      </c>
      <c r="V139" s="661">
        <f t="shared" si="23"/>
        <v>0</v>
      </c>
      <c r="W139" s="661">
        <f t="shared" si="24"/>
        <v>0</v>
      </c>
    </row>
    <row r="140" spans="1:23">
      <c r="A140" s="665">
        <v>20130701</v>
      </c>
      <c r="B140" s="666" t="s">
        <v>14</v>
      </c>
      <c r="C140" s="667" t="s">
        <v>14</v>
      </c>
      <c r="D140" s="667" t="s">
        <v>174</v>
      </c>
      <c r="E140" s="668" t="str">
        <f t="shared" si="20"/>
        <v>20130701KURSE010</v>
      </c>
      <c r="F140" s="669">
        <v>10.75</v>
      </c>
      <c r="G140" s="670">
        <v>7.4590000000000017E-2</v>
      </c>
      <c r="H140" s="670">
        <v>0</v>
      </c>
      <c r="I140" s="670">
        <v>0</v>
      </c>
      <c r="J140" s="670">
        <v>2.9999999999999997E-4</v>
      </c>
      <c r="K140" s="670">
        <v>2.8920000000000001E-2</v>
      </c>
      <c r="L140" s="670">
        <f>G140-J140-K140</f>
        <v>4.5370000000000021E-2</v>
      </c>
      <c r="M140" s="670"/>
      <c r="N140" s="670"/>
      <c r="O140" s="669"/>
      <c r="P140" s="669"/>
      <c r="Q140" s="669"/>
      <c r="R140" s="669"/>
      <c r="S140" s="669"/>
      <c r="T140" s="669"/>
      <c r="U140" s="669">
        <f t="shared" ref="U140:U173" si="26">O140-R140</f>
        <v>0</v>
      </c>
      <c r="V140" s="669">
        <f t="shared" ref="V140:V173" si="27">P140-S140</f>
        <v>0</v>
      </c>
      <c r="W140" s="669">
        <f t="shared" ref="W140:W173" si="28">Q140-T140</f>
        <v>0</v>
      </c>
    </row>
    <row r="141" spans="1:23">
      <c r="A141" s="665">
        <v>20130701</v>
      </c>
      <c r="B141" s="666" t="s">
        <v>14</v>
      </c>
      <c r="C141" s="667" t="s">
        <v>14</v>
      </c>
      <c r="D141" s="671" t="s">
        <v>175</v>
      </c>
      <c r="E141" s="668" t="str">
        <f t="shared" si="20"/>
        <v>20130701KURSE020</v>
      </c>
      <c r="F141" s="669">
        <v>10.75</v>
      </c>
      <c r="G141" s="670">
        <v>7.4590000000000017E-2</v>
      </c>
      <c r="H141" s="670">
        <v>0</v>
      </c>
      <c r="I141" s="670">
        <v>0</v>
      </c>
      <c r="J141" s="670">
        <v>2.9999999999999997E-4</v>
      </c>
      <c r="K141" s="670">
        <v>2.8920000000000001E-2</v>
      </c>
      <c r="L141" s="670">
        <f t="shared" ref="L141:L173" si="29">G141-J141-K141</f>
        <v>4.5370000000000021E-2</v>
      </c>
      <c r="M141" s="670"/>
      <c r="N141" s="670"/>
      <c r="O141" s="669"/>
      <c r="P141" s="669"/>
      <c r="Q141" s="669"/>
      <c r="R141" s="669"/>
      <c r="S141" s="669"/>
      <c r="T141" s="669"/>
      <c r="U141" s="669">
        <f t="shared" si="26"/>
        <v>0</v>
      </c>
      <c r="V141" s="669">
        <f t="shared" si="27"/>
        <v>0</v>
      </c>
      <c r="W141" s="669">
        <f t="shared" si="28"/>
        <v>0</v>
      </c>
    </row>
    <row r="142" spans="1:23">
      <c r="A142" s="665">
        <v>20130701</v>
      </c>
      <c r="B142" s="666" t="s">
        <v>14</v>
      </c>
      <c r="C142" s="671" t="s">
        <v>207</v>
      </c>
      <c r="D142" s="671" t="s">
        <v>176</v>
      </c>
      <c r="E142" s="668" t="str">
        <f t="shared" si="20"/>
        <v>20130701KURSE025</v>
      </c>
      <c r="F142" s="669">
        <v>10.75</v>
      </c>
      <c r="G142" s="670">
        <v>7.4590000000000017E-2</v>
      </c>
      <c r="H142" s="670">
        <v>0</v>
      </c>
      <c r="I142" s="670">
        <v>0</v>
      </c>
      <c r="J142" s="670">
        <v>2.9999999999999997E-4</v>
      </c>
      <c r="K142" s="670">
        <v>2.8920000000000001E-2</v>
      </c>
      <c r="L142" s="670">
        <f t="shared" si="29"/>
        <v>4.5370000000000021E-2</v>
      </c>
      <c r="M142" s="670"/>
      <c r="N142" s="670"/>
      <c r="O142" s="669"/>
      <c r="P142" s="669"/>
      <c r="Q142" s="669"/>
      <c r="R142" s="669"/>
      <c r="S142" s="669"/>
      <c r="T142" s="669"/>
      <c r="U142" s="669">
        <f t="shared" si="26"/>
        <v>0</v>
      </c>
      <c r="V142" s="669">
        <f t="shared" si="27"/>
        <v>0</v>
      </c>
      <c r="W142" s="669">
        <f t="shared" si="28"/>
        <v>0</v>
      </c>
    </row>
    <row r="143" spans="1:23">
      <c r="A143" s="665">
        <v>20130701</v>
      </c>
      <c r="B143" s="666" t="s">
        <v>831</v>
      </c>
      <c r="C143" s="667" t="s">
        <v>16</v>
      </c>
      <c r="D143" s="671" t="s">
        <v>177</v>
      </c>
      <c r="E143" s="668" t="str">
        <f t="shared" si="20"/>
        <v>20130701KURSE080</v>
      </c>
      <c r="F143" s="669">
        <v>10.75</v>
      </c>
      <c r="G143" s="670">
        <v>7.4590000000000017E-2</v>
      </c>
      <c r="H143" s="670">
        <v>0</v>
      </c>
      <c r="I143" s="670">
        <v>0</v>
      </c>
      <c r="J143" s="670">
        <v>2.9999999999999997E-4</v>
      </c>
      <c r="K143" s="670">
        <v>2.8920000000000001E-2</v>
      </c>
      <c r="L143" s="670">
        <f t="shared" si="29"/>
        <v>4.5370000000000021E-2</v>
      </c>
      <c r="M143" s="670"/>
      <c r="N143" s="670"/>
      <c r="O143" s="669"/>
      <c r="P143" s="669"/>
      <c r="Q143" s="669"/>
      <c r="R143" s="669"/>
      <c r="S143" s="669"/>
      <c r="T143" s="669"/>
      <c r="U143" s="669">
        <f t="shared" si="26"/>
        <v>0</v>
      </c>
      <c r="V143" s="669">
        <f t="shared" si="27"/>
        <v>0</v>
      </c>
      <c r="W143" s="669">
        <f t="shared" si="28"/>
        <v>0</v>
      </c>
    </row>
    <row r="144" spans="1:23">
      <c r="A144" s="665">
        <v>20130701</v>
      </c>
      <c r="B144" s="666" t="s">
        <v>14</v>
      </c>
      <c r="C144" s="667" t="s">
        <v>15</v>
      </c>
      <c r="D144" s="671" t="s">
        <v>178</v>
      </c>
      <c r="E144" s="668" t="str">
        <f t="shared" si="20"/>
        <v>20130701KURSE715</v>
      </c>
      <c r="F144" s="669">
        <v>10.75</v>
      </c>
      <c r="G144" s="670">
        <v>7.4590000000000017E-2</v>
      </c>
      <c r="H144" s="670">
        <v>0</v>
      </c>
      <c r="I144" s="670">
        <v>0</v>
      </c>
      <c r="J144" s="670">
        <v>2.9999999999999997E-4</v>
      </c>
      <c r="K144" s="670">
        <v>2.8920000000000001E-2</v>
      </c>
      <c r="L144" s="670">
        <f t="shared" si="29"/>
        <v>4.5370000000000021E-2</v>
      </c>
      <c r="M144" s="670"/>
      <c r="N144" s="670"/>
      <c r="O144" s="669"/>
      <c r="P144" s="669"/>
      <c r="Q144" s="669"/>
      <c r="R144" s="669"/>
      <c r="S144" s="669"/>
      <c r="T144" s="669"/>
      <c r="U144" s="669">
        <f t="shared" si="26"/>
        <v>0</v>
      </c>
      <c r="V144" s="669">
        <f t="shared" si="27"/>
        <v>0</v>
      </c>
      <c r="W144" s="669">
        <f t="shared" si="28"/>
        <v>0</v>
      </c>
    </row>
    <row r="145" spans="1:23">
      <c r="A145" s="665">
        <v>20130701</v>
      </c>
      <c r="B145" s="666" t="s">
        <v>828</v>
      </c>
      <c r="C145" s="667" t="s">
        <v>206</v>
      </c>
      <c r="D145" s="671" t="s">
        <v>458</v>
      </c>
      <c r="E145" s="668" t="str">
        <f t="shared" si="20"/>
        <v>20130701KURSE040</v>
      </c>
      <c r="F145" s="669">
        <v>10.75</v>
      </c>
      <c r="G145" s="670">
        <v>5.3019999999999998E-2</v>
      </c>
      <c r="H145" s="670">
        <v>7.4779999999999999E-2</v>
      </c>
      <c r="I145" s="670">
        <v>0.14011999999999999</v>
      </c>
      <c r="J145" s="670">
        <v>2.9999999999999997E-4</v>
      </c>
      <c r="K145" s="670">
        <v>2.8920000000000001E-2</v>
      </c>
      <c r="L145" s="670">
        <f>G145-J145-K145</f>
        <v>2.3799999999999995E-2</v>
      </c>
      <c r="M145" s="670">
        <f>H145-J145-K145</f>
        <v>4.5560000000000003E-2</v>
      </c>
      <c r="N145" s="670">
        <f>I145-J145-K145</f>
        <v>0.1109</v>
      </c>
      <c r="O145" s="669"/>
      <c r="P145" s="669"/>
      <c r="Q145" s="669"/>
      <c r="R145" s="669"/>
      <c r="S145" s="669"/>
      <c r="T145" s="669"/>
      <c r="U145" s="669">
        <f t="shared" si="26"/>
        <v>0</v>
      </c>
      <c r="V145" s="669">
        <f t="shared" si="27"/>
        <v>0</v>
      </c>
      <c r="W145" s="669">
        <f t="shared" si="28"/>
        <v>0</v>
      </c>
    </row>
    <row r="146" spans="1:23">
      <c r="A146" s="665">
        <v>20130701</v>
      </c>
      <c r="B146" s="666" t="s">
        <v>208</v>
      </c>
      <c r="C146" s="667" t="s">
        <v>208</v>
      </c>
      <c r="D146" s="667" t="s">
        <v>161</v>
      </c>
      <c r="E146" s="668" t="str">
        <f t="shared" si="20"/>
        <v>20130701KUCME110</v>
      </c>
      <c r="F146" s="669">
        <v>20</v>
      </c>
      <c r="G146" s="670">
        <v>8.7990000000000013E-2</v>
      </c>
      <c r="H146" s="670">
        <v>0</v>
      </c>
      <c r="I146" s="670">
        <v>0</v>
      </c>
      <c r="J146" s="670">
        <v>4.4999999999999999E-4</v>
      </c>
      <c r="K146" s="670">
        <v>2.8920000000000001E-2</v>
      </c>
      <c r="L146" s="670">
        <f t="shared" si="29"/>
        <v>5.8620000000000005E-2</v>
      </c>
      <c r="M146" s="670"/>
      <c r="N146" s="670"/>
      <c r="O146" s="669"/>
      <c r="P146" s="669"/>
      <c r="Q146" s="669"/>
      <c r="R146" s="669"/>
      <c r="S146" s="669"/>
      <c r="T146" s="669"/>
      <c r="U146" s="669">
        <f t="shared" si="26"/>
        <v>0</v>
      </c>
      <c r="V146" s="669">
        <f t="shared" si="27"/>
        <v>0</v>
      </c>
      <c r="W146" s="669">
        <f t="shared" si="28"/>
        <v>0</v>
      </c>
    </row>
    <row r="147" spans="1:23">
      <c r="A147" s="665">
        <v>20130701</v>
      </c>
      <c r="B147" s="666" t="s">
        <v>208</v>
      </c>
      <c r="C147" s="667" t="s">
        <v>208</v>
      </c>
      <c r="D147" s="671" t="s">
        <v>162</v>
      </c>
      <c r="E147" s="668" t="str">
        <f t="shared" si="20"/>
        <v>20130701KUCME112</v>
      </c>
      <c r="F147" s="669">
        <v>20</v>
      </c>
      <c r="G147" s="670">
        <v>8.7990000000000013E-2</v>
      </c>
      <c r="H147" s="670">
        <v>0</v>
      </c>
      <c r="I147" s="670">
        <v>0</v>
      </c>
      <c r="J147" s="670">
        <v>4.4999999999999999E-4</v>
      </c>
      <c r="K147" s="670">
        <v>2.8920000000000001E-2</v>
      </c>
      <c r="L147" s="670">
        <f t="shared" si="29"/>
        <v>5.8620000000000005E-2</v>
      </c>
      <c r="M147" s="670"/>
      <c r="N147" s="670"/>
      <c r="O147" s="669"/>
      <c r="P147" s="669"/>
      <c r="Q147" s="669"/>
      <c r="R147" s="669"/>
      <c r="S147" s="669"/>
      <c r="T147" s="669"/>
      <c r="U147" s="669">
        <f t="shared" si="26"/>
        <v>0</v>
      </c>
      <c r="V147" s="669">
        <f t="shared" si="27"/>
        <v>0</v>
      </c>
      <c r="W147" s="669">
        <f t="shared" si="28"/>
        <v>0</v>
      </c>
    </row>
    <row r="148" spans="1:23">
      <c r="A148" s="665">
        <v>20130701</v>
      </c>
      <c r="B148" s="666" t="s">
        <v>208</v>
      </c>
      <c r="C148" s="667" t="s">
        <v>209</v>
      </c>
      <c r="D148" s="667" t="s">
        <v>169</v>
      </c>
      <c r="E148" s="668" t="str">
        <f t="shared" si="20"/>
        <v>20130701KUCME710</v>
      </c>
      <c r="F148" s="669">
        <v>20</v>
      </c>
      <c r="G148" s="670">
        <v>8.7990000000000013E-2</v>
      </c>
      <c r="H148" s="670">
        <v>0</v>
      </c>
      <c r="I148" s="670">
        <v>0</v>
      </c>
      <c r="J148" s="670">
        <v>4.4999999999999999E-4</v>
      </c>
      <c r="K148" s="670">
        <v>2.8920000000000001E-2</v>
      </c>
      <c r="L148" s="670">
        <f t="shared" si="29"/>
        <v>5.8620000000000005E-2</v>
      </c>
      <c r="M148" s="670"/>
      <c r="N148" s="670"/>
      <c r="O148" s="669"/>
      <c r="P148" s="669"/>
      <c r="Q148" s="669"/>
      <c r="R148" s="669"/>
      <c r="S148" s="669"/>
      <c r="T148" s="669"/>
      <c r="U148" s="669">
        <f t="shared" si="26"/>
        <v>0</v>
      </c>
      <c r="V148" s="669">
        <f t="shared" si="27"/>
        <v>0</v>
      </c>
      <c r="W148" s="669">
        <f t="shared" si="28"/>
        <v>0</v>
      </c>
    </row>
    <row r="149" spans="1:23">
      <c r="A149" s="665">
        <v>20130701</v>
      </c>
      <c r="B149" s="672" t="s">
        <v>17</v>
      </c>
      <c r="C149" s="667" t="s">
        <v>17</v>
      </c>
      <c r="D149" s="667" t="s">
        <v>163</v>
      </c>
      <c r="E149" s="668" t="str">
        <f t="shared" si="20"/>
        <v>20130701KUCME113</v>
      </c>
      <c r="F149" s="669">
        <v>35</v>
      </c>
      <c r="G149" s="670">
        <v>8.7990000000000013E-2</v>
      </c>
      <c r="H149" s="670">
        <v>0</v>
      </c>
      <c r="I149" s="670">
        <v>0</v>
      </c>
      <c r="J149" s="670">
        <v>4.4999999999999999E-4</v>
      </c>
      <c r="K149" s="670">
        <v>2.8920000000000001E-2</v>
      </c>
      <c r="L149" s="670">
        <f t="shared" si="29"/>
        <v>5.8620000000000005E-2</v>
      </c>
      <c r="M149" s="670"/>
      <c r="N149" s="670"/>
      <c r="O149" s="669"/>
      <c r="P149" s="669"/>
      <c r="Q149" s="669"/>
      <c r="R149" s="669"/>
      <c r="S149" s="669"/>
      <c r="T149" s="669"/>
      <c r="U149" s="669">
        <f t="shared" si="26"/>
        <v>0</v>
      </c>
      <c r="V149" s="669">
        <f t="shared" si="27"/>
        <v>0</v>
      </c>
      <c r="W149" s="669">
        <f t="shared" si="28"/>
        <v>0</v>
      </c>
    </row>
    <row r="150" spans="1:23">
      <c r="A150" s="665">
        <v>20130701</v>
      </c>
      <c r="B150" s="666" t="s">
        <v>208</v>
      </c>
      <c r="C150" s="667" t="s">
        <v>210</v>
      </c>
      <c r="D150" s="671" t="s">
        <v>170</v>
      </c>
      <c r="E150" s="668" t="str">
        <f t="shared" si="20"/>
        <v>20130701KUCME713</v>
      </c>
      <c r="F150" s="669">
        <v>35</v>
      </c>
      <c r="G150" s="670">
        <v>8.7990000000000013E-2</v>
      </c>
      <c r="H150" s="670">
        <v>0</v>
      </c>
      <c r="I150" s="670">
        <v>0</v>
      </c>
      <c r="J150" s="670">
        <v>4.4999999999999999E-4</v>
      </c>
      <c r="K150" s="670">
        <v>2.8920000000000001E-2</v>
      </c>
      <c r="L150" s="670">
        <f t="shared" si="29"/>
        <v>5.8620000000000005E-2</v>
      </c>
      <c r="M150" s="670"/>
      <c r="N150" s="670"/>
      <c r="O150" s="669"/>
      <c r="P150" s="669"/>
      <c r="Q150" s="669"/>
      <c r="R150" s="669"/>
      <c r="S150" s="669"/>
      <c r="T150" s="669"/>
      <c r="U150" s="669">
        <f t="shared" si="26"/>
        <v>0</v>
      </c>
      <c r="V150" s="669">
        <f t="shared" si="27"/>
        <v>0</v>
      </c>
      <c r="W150" s="669">
        <f t="shared" si="28"/>
        <v>0</v>
      </c>
    </row>
    <row r="151" spans="1:23">
      <c r="A151" s="665">
        <v>20130701</v>
      </c>
      <c r="B151" s="666" t="s">
        <v>203</v>
      </c>
      <c r="C151" s="667" t="s">
        <v>203</v>
      </c>
      <c r="D151" s="667" t="s">
        <v>164</v>
      </c>
      <c r="E151" s="668" t="str">
        <f t="shared" si="20"/>
        <v>20130701KUCME220</v>
      </c>
      <c r="F151" s="669">
        <v>20</v>
      </c>
      <c r="G151" s="670">
        <v>7.152E-2</v>
      </c>
      <c r="H151" s="670">
        <v>0</v>
      </c>
      <c r="I151" s="670">
        <v>0</v>
      </c>
      <c r="J151" s="670">
        <v>2.7E-4</v>
      </c>
      <c r="K151" s="670">
        <v>2.8920000000000001E-2</v>
      </c>
      <c r="L151" s="670">
        <f t="shared" si="29"/>
        <v>4.2329999999999993E-2</v>
      </c>
      <c r="M151" s="670"/>
      <c r="N151" s="670"/>
      <c r="O151" s="669"/>
      <c r="P151" s="669"/>
      <c r="Q151" s="669"/>
      <c r="R151" s="669"/>
      <c r="S151" s="669"/>
      <c r="T151" s="669"/>
      <c r="U151" s="669">
        <f t="shared" si="26"/>
        <v>0</v>
      </c>
      <c r="V151" s="669">
        <f t="shared" si="27"/>
        <v>0</v>
      </c>
      <c r="W151" s="669">
        <f t="shared" si="28"/>
        <v>0</v>
      </c>
    </row>
    <row r="152" spans="1:23">
      <c r="A152" s="665">
        <v>20130701</v>
      </c>
      <c r="B152" s="666" t="s">
        <v>203</v>
      </c>
      <c r="C152" s="667" t="s">
        <v>211</v>
      </c>
      <c r="D152" s="667" t="s">
        <v>165</v>
      </c>
      <c r="E152" s="668" t="str">
        <f t="shared" si="20"/>
        <v>20130701KUCME221</v>
      </c>
      <c r="F152" s="669">
        <v>20</v>
      </c>
      <c r="G152" s="670">
        <v>7.152E-2</v>
      </c>
      <c r="H152" s="670">
        <v>0</v>
      </c>
      <c r="I152" s="670">
        <v>0</v>
      </c>
      <c r="J152" s="670">
        <v>2.7E-4</v>
      </c>
      <c r="K152" s="670">
        <v>2.8920000000000001E-2</v>
      </c>
      <c r="L152" s="670">
        <f t="shared" si="29"/>
        <v>4.2329999999999993E-2</v>
      </c>
      <c r="M152" s="670"/>
      <c r="N152" s="670"/>
      <c r="O152" s="669"/>
      <c r="P152" s="669"/>
      <c r="Q152" s="669"/>
      <c r="R152" s="669"/>
      <c r="S152" s="669"/>
      <c r="T152" s="669"/>
      <c r="U152" s="669">
        <f t="shared" si="26"/>
        <v>0</v>
      </c>
      <c r="V152" s="669">
        <f t="shared" si="27"/>
        <v>0</v>
      </c>
      <c r="W152" s="669">
        <f t="shared" si="28"/>
        <v>0</v>
      </c>
    </row>
    <row r="153" spans="1:23">
      <c r="A153" s="665">
        <v>20130701</v>
      </c>
      <c r="B153" s="666" t="s">
        <v>203</v>
      </c>
      <c r="C153" s="667" t="s">
        <v>212</v>
      </c>
      <c r="D153" s="667" t="s">
        <v>166</v>
      </c>
      <c r="E153" s="668" t="str">
        <f t="shared" si="20"/>
        <v>20130701KUCME223</v>
      </c>
      <c r="F153" s="669">
        <v>35</v>
      </c>
      <c r="G153" s="670">
        <v>7.152E-2</v>
      </c>
      <c r="H153" s="670">
        <v>0</v>
      </c>
      <c r="I153" s="670">
        <v>0</v>
      </c>
      <c r="J153" s="670">
        <v>2.7E-4</v>
      </c>
      <c r="K153" s="670">
        <v>2.8920000000000001E-2</v>
      </c>
      <c r="L153" s="670">
        <f t="shared" si="29"/>
        <v>4.2329999999999993E-2</v>
      </c>
      <c r="M153" s="670"/>
      <c r="N153" s="670"/>
      <c r="O153" s="669"/>
      <c r="P153" s="669"/>
      <c r="Q153" s="669"/>
      <c r="R153" s="669"/>
      <c r="S153" s="669"/>
      <c r="T153" s="669"/>
      <c r="U153" s="669">
        <f t="shared" si="26"/>
        <v>0</v>
      </c>
      <c r="V153" s="669">
        <f t="shared" si="27"/>
        <v>0</v>
      </c>
      <c r="W153" s="669">
        <f t="shared" si="28"/>
        <v>0</v>
      </c>
    </row>
    <row r="154" spans="1:23">
      <c r="A154" s="665">
        <v>20130701</v>
      </c>
      <c r="B154" s="666" t="s">
        <v>203</v>
      </c>
      <c r="C154" s="667" t="s">
        <v>213</v>
      </c>
      <c r="D154" s="667" t="s">
        <v>167</v>
      </c>
      <c r="E154" s="668" t="str">
        <f t="shared" si="20"/>
        <v>20130701KUCME224</v>
      </c>
      <c r="F154" s="669">
        <v>35</v>
      </c>
      <c r="G154" s="670">
        <v>7.152E-2</v>
      </c>
      <c r="H154" s="670">
        <v>0</v>
      </c>
      <c r="I154" s="670">
        <v>0</v>
      </c>
      <c r="J154" s="670">
        <v>2.7E-4</v>
      </c>
      <c r="K154" s="670">
        <v>2.8920000000000001E-2</v>
      </c>
      <c r="L154" s="670">
        <f t="shared" si="29"/>
        <v>4.2329999999999993E-2</v>
      </c>
      <c r="M154" s="670"/>
      <c r="N154" s="670"/>
      <c r="O154" s="669"/>
      <c r="P154" s="669"/>
      <c r="Q154" s="669"/>
      <c r="R154" s="669"/>
      <c r="S154" s="669"/>
      <c r="T154" s="669"/>
      <c r="U154" s="669">
        <f t="shared" si="26"/>
        <v>0</v>
      </c>
      <c r="V154" s="669">
        <f t="shared" si="27"/>
        <v>0</v>
      </c>
      <c r="W154" s="669">
        <f t="shared" si="28"/>
        <v>0</v>
      </c>
    </row>
    <row r="155" spans="1:23">
      <c r="A155" s="665">
        <v>20130701</v>
      </c>
      <c r="B155" s="666" t="s">
        <v>203</v>
      </c>
      <c r="C155" s="667" t="s">
        <v>707</v>
      </c>
      <c r="D155" s="671" t="s">
        <v>683</v>
      </c>
      <c r="E155" s="668" t="str">
        <f t="shared" si="20"/>
        <v>20130701KUCME225</v>
      </c>
      <c r="F155" s="669">
        <v>35</v>
      </c>
      <c r="G155" s="670">
        <v>7.152E-2</v>
      </c>
      <c r="H155" s="670">
        <v>0</v>
      </c>
      <c r="I155" s="670">
        <v>0</v>
      </c>
      <c r="J155" s="670">
        <v>2.7E-4</v>
      </c>
      <c r="K155" s="670">
        <v>2.8920000000000001E-2</v>
      </c>
      <c r="L155" s="670">
        <f t="shared" si="29"/>
        <v>4.2329999999999993E-2</v>
      </c>
      <c r="M155" s="670"/>
      <c r="N155" s="670"/>
      <c r="O155" s="669"/>
      <c r="P155" s="669"/>
      <c r="Q155" s="669"/>
      <c r="R155" s="669"/>
      <c r="S155" s="669"/>
      <c r="T155" s="669"/>
      <c r="U155" s="669">
        <f t="shared" si="26"/>
        <v>0</v>
      </c>
      <c r="V155" s="669">
        <f t="shared" si="27"/>
        <v>0</v>
      </c>
      <c r="W155" s="669">
        <f t="shared" si="28"/>
        <v>0</v>
      </c>
    </row>
    <row r="156" spans="1:23">
      <c r="A156" s="665">
        <v>20130701</v>
      </c>
      <c r="B156" s="666" t="s">
        <v>203</v>
      </c>
      <c r="C156" s="667" t="s">
        <v>707</v>
      </c>
      <c r="D156" s="671" t="s">
        <v>684</v>
      </c>
      <c r="E156" s="668" t="str">
        <f t="shared" si="20"/>
        <v>20130701KUCME226</v>
      </c>
      <c r="F156" s="669">
        <v>20</v>
      </c>
      <c r="G156" s="670">
        <v>7.152E-2</v>
      </c>
      <c r="H156" s="670">
        <v>0</v>
      </c>
      <c r="I156" s="670">
        <v>0</v>
      </c>
      <c r="J156" s="670">
        <v>2.7E-4</v>
      </c>
      <c r="K156" s="670">
        <v>2.8920000000000001E-2</v>
      </c>
      <c r="L156" s="670">
        <f t="shared" si="29"/>
        <v>4.2329999999999993E-2</v>
      </c>
      <c r="M156" s="670"/>
      <c r="N156" s="670"/>
      <c r="O156" s="669"/>
      <c r="P156" s="669"/>
      <c r="Q156" s="669"/>
      <c r="R156" s="669"/>
      <c r="S156" s="669"/>
      <c r="T156" s="669"/>
      <c r="U156" s="669">
        <f t="shared" si="26"/>
        <v>0</v>
      </c>
      <c r="V156" s="669">
        <f t="shared" si="27"/>
        <v>0</v>
      </c>
      <c r="W156" s="669">
        <f t="shared" si="28"/>
        <v>0</v>
      </c>
    </row>
    <row r="157" spans="1:23">
      <c r="A157" s="665">
        <v>20130701</v>
      </c>
      <c r="B157" s="666" t="s">
        <v>203</v>
      </c>
      <c r="C157" s="671" t="s">
        <v>1145</v>
      </c>
      <c r="D157" s="671" t="s">
        <v>685</v>
      </c>
      <c r="E157" s="668" t="str">
        <f t="shared" si="20"/>
        <v>20130701KUCME227</v>
      </c>
      <c r="F157" s="669">
        <v>35</v>
      </c>
      <c r="G157" s="670">
        <v>7.152E-2</v>
      </c>
      <c r="H157" s="670">
        <v>0</v>
      </c>
      <c r="I157" s="670">
        <v>0</v>
      </c>
      <c r="J157" s="670">
        <v>2.7E-4</v>
      </c>
      <c r="K157" s="670">
        <v>2.8920000000000001E-2</v>
      </c>
      <c r="L157" s="670">
        <f t="shared" si="29"/>
        <v>4.2329999999999993E-2</v>
      </c>
      <c r="M157" s="670"/>
      <c r="N157" s="670"/>
      <c r="O157" s="669"/>
      <c r="P157" s="669"/>
      <c r="Q157" s="669"/>
      <c r="R157" s="669"/>
      <c r="S157" s="669"/>
      <c r="T157" s="669"/>
      <c r="U157" s="669">
        <f t="shared" si="26"/>
        <v>0</v>
      </c>
      <c r="V157" s="669">
        <f t="shared" si="27"/>
        <v>0</v>
      </c>
      <c r="W157" s="669">
        <f t="shared" si="28"/>
        <v>0</v>
      </c>
    </row>
    <row r="158" spans="1:23">
      <c r="A158" s="665">
        <v>20130701</v>
      </c>
      <c r="B158" s="666" t="s">
        <v>25</v>
      </c>
      <c r="C158" s="667" t="s">
        <v>25</v>
      </c>
      <c r="D158" s="671" t="s">
        <v>153</v>
      </c>
      <c r="E158" s="668" t="str">
        <f t="shared" si="20"/>
        <v>20130701KUCIE561</v>
      </c>
      <c r="F158" s="669">
        <v>170</v>
      </c>
      <c r="G158" s="670">
        <v>3.5619999999999999E-2</v>
      </c>
      <c r="H158" s="670">
        <v>0</v>
      </c>
      <c r="I158" s="670">
        <v>0</v>
      </c>
      <c r="J158" s="670"/>
      <c r="K158" s="670">
        <v>2.8920000000000001E-2</v>
      </c>
      <c r="L158" s="670">
        <f t="shared" si="29"/>
        <v>6.6999999999999976E-3</v>
      </c>
      <c r="M158" s="670"/>
      <c r="N158" s="670"/>
      <c r="O158" s="669"/>
      <c r="P158" s="669">
        <v>12.21</v>
      </c>
      <c r="Q158" s="669">
        <v>14.31</v>
      </c>
      <c r="R158" s="669"/>
      <c r="S158" s="669">
        <v>0.11</v>
      </c>
      <c r="T158" s="669">
        <v>0.11</v>
      </c>
      <c r="U158" s="669">
        <f t="shared" si="26"/>
        <v>0</v>
      </c>
      <c r="V158" s="669">
        <f t="shared" si="27"/>
        <v>12.100000000000001</v>
      </c>
      <c r="W158" s="669">
        <f t="shared" si="28"/>
        <v>14.200000000000001</v>
      </c>
    </row>
    <row r="159" spans="1:23">
      <c r="A159" s="665">
        <v>20130701</v>
      </c>
      <c r="B159" s="666" t="s">
        <v>25</v>
      </c>
      <c r="C159" s="667" t="s">
        <v>25</v>
      </c>
      <c r="D159" s="671" t="s">
        <v>156</v>
      </c>
      <c r="E159" s="668" t="str">
        <f t="shared" si="20"/>
        <v>20130701KUCIE566</v>
      </c>
      <c r="F159" s="669">
        <v>170</v>
      </c>
      <c r="G159" s="670">
        <v>3.5619999999999999E-2</v>
      </c>
      <c r="H159" s="670">
        <v>0</v>
      </c>
      <c r="I159" s="670">
        <v>0</v>
      </c>
      <c r="J159" s="670"/>
      <c r="K159" s="670">
        <v>2.8920000000000001E-2</v>
      </c>
      <c r="L159" s="670">
        <f t="shared" si="29"/>
        <v>6.6999999999999976E-3</v>
      </c>
      <c r="M159" s="670"/>
      <c r="N159" s="670"/>
      <c r="O159" s="669"/>
      <c r="P159" s="669">
        <v>12.21</v>
      </c>
      <c r="Q159" s="669">
        <v>14.31</v>
      </c>
      <c r="R159" s="669"/>
      <c r="S159" s="669">
        <v>0.11</v>
      </c>
      <c r="T159" s="669">
        <v>0.11</v>
      </c>
      <c r="U159" s="669">
        <f t="shared" si="26"/>
        <v>0</v>
      </c>
      <c r="V159" s="669">
        <f t="shared" si="27"/>
        <v>12.100000000000001</v>
      </c>
      <c r="W159" s="669">
        <f t="shared" si="28"/>
        <v>14.200000000000001</v>
      </c>
    </row>
    <row r="160" spans="1:23">
      <c r="A160" s="665">
        <v>20130701</v>
      </c>
      <c r="B160" s="666" t="s">
        <v>24</v>
      </c>
      <c r="C160" s="667" t="s">
        <v>24</v>
      </c>
      <c r="D160" s="673" t="s">
        <v>154</v>
      </c>
      <c r="E160" s="668" t="str">
        <f t="shared" si="20"/>
        <v>20130701KUCIE562</v>
      </c>
      <c r="F160" s="669">
        <v>90</v>
      </c>
      <c r="G160" s="670">
        <v>3.5640000000000005E-2</v>
      </c>
      <c r="H160" s="670">
        <v>0</v>
      </c>
      <c r="I160" s="670">
        <v>0</v>
      </c>
      <c r="J160" s="670"/>
      <c r="K160" s="670">
        <v>2.8920000000000001E-2</v>
      </c>
      <c r="L160" s="670">
        <f t="shared" si="29"/>
        <v>6.7200000000000037E-3</v>
      </c>
      <c r="M160" s="670"/>
      <c r="N160" s="670"/>
      <c r="O160" s="669"/>
      <c r="P160" s="669">
        <v>12.23</v>
      </c>
      <c r="Q160" s="669">
        <v>14.33</v>
      </c>
      <c r="R160" s="669"/>
      <c r="S160" s="669">
        <v>0.11</v>
      </c>
      <c r="T160" s="669">
        <v>0.11</v>
      </c>
      <c r="U160" s="669">
        <f t="shared" si="26"/>
        <v>0</v>
      </c>
      <c r="V160" s="669">
        <f t="shared" si="27"/>
        <v>12.120000000000001</v>
      </c>
      <c r="W160" s="669">
        <f t="shared" si="28"/>
        <v>14.22</v>
      </c>
    </row>
    <row r="161" spans="1:23">
      <c r="A161" s="665">
        <v>20130701</v>
      </c>
      <c r="B161" s="666" t="s">
        <v>24</v>
      </c>
      <c r="C161" s="667" t="s">
        <v>24</v>
      </c>
      <c r="D161" s="667" t="s">
        <v>157</v>
      </c>
      <c r="E161" s="668" t="str">
        <f t="shared" si="20"/>
        <v>20130701KUCIE568</v>
      </c>
      <c r="F161" s="669">
        <v>90</v>
      </c>
      <c r="G161" s="670">
        <v>3.5640000000000005E-2</v>
      </c>
      <c r="H161" s="670">
        <v>0</v>
      </c>
      <c r="I161" s="670">
        <v>0</v>
      </c>
      <c r="J161" s="670"/>
      <c r="K161" s="670">
        <v>2.8920000000000001E-2</v>
      </c>
      <c r="L161" s="670">
        <f t="shared" si="29"/>
        <v>6.7200000000000037E-3</v>
      </c>
      <c r="M161" s="670"/>
      <c r="N161" s="670"/>
      <c r="O161" s="669"/>
      <c r="P161" s="669">
        <v>12.23</v>
      </c>
      <c r="Q161" s="669">
        <v>14.33</v>
      </c>
      <c r="R161" s="669"/>
      <c r="S161" s="669">
        <v>0.11</v>
      </c>
      <c r="T161" s="669">
        <v>0.11</v>
      </c>
      <c r="U161" s="669">
        <f t="shared" si="26"/>
        <v>0</v>
      </c>
      <c r="V161" s="669">
        <f t="shared" si="27"/>
        <v>12.120000000000001</v>
      </c>
      <c r="W161" s="669">
        <f t="shared" si="28"/>
        <v>14.22</v>
      </c>
    </row>
    <row r="162" spans="1:23">
      <c r="A162" s="665">
        <v>20130701</v>
      </c>
      <c r="B162" s="666" t="s">
        <v>24</v>
      </c>
      <c r="C162" s="667" t="s">
        <v>214</v>
      </c>
      <c r="D162" s="667" t="s">
        <v>160</v>
      </c>
      <c r="E162" s="668" t="str">
        <f t="shared" si="20"/>
        <v>20130701KUCIE717</v>
      </c>
      <c r="F162" s="669">
        <v>90</v>
      </c>
      <c r="G162" s="670">
        <v>3.5640000000000005E-2</v>
      </c>
      <c r="H162" s="670">
        <v>0</v>
      </c>
      <c r="I162" s="670">
        <v>0</v>
      </c>
      <c r="J162" s="670"/>
      <c r="K162" s="670">
        <v>2.8920000000000001E-2</v>
      </c>
      <c r="L162" s="670">
        <f t="shared" si="29"/>
        <v>6.7200000000000037E-3</v>
      </c>
      <c r="M162" s="670"/>
      <c r="N162" s="670"/>
      <c r="O162" s="669"/>
      <c r="P162" s="669">
        <v>12.23</v>
      </c>
      <c r="Q162" s="669">
        <v>14.33</v>
      </c>
      <c r="R162" s="669"/>
      <c r="S162" s="669">
        <v>0.11</v>
      </c>
      <c r="T162" s="669">
        <v>0.11</v>
      </c>
      <c r="U162" s="669">
        <f t="shared" si="26"/>
        <v>0</v>
      </c>
      <c r="V162" s="669">
        <f t="shared" si="27"/>
        <v>12.120000000000001</v>
      </c>
      <c r="W162" s="669">
        <f t="shared" si="28"/>
        <v>14.22</v>
      </c>
    </row>
    <row r="163" spans="1:23">
      <c r="A163" s="665">
        <v>20130701</v>
      </c>
      <c r="B163" s="666" t="s">
        <v>205</v>
      </c>
      <c r="C163" s="667" t="s">
        <v>205</v>
      </c>
      <c r="D163" s="667" t="s">
        <v>155</v>
      </c>
      <c r="E163" s="668" t="str">
        <f t="shared" si="20"/>
        <v>20130701KUCIE563</v>
      </c>
      <c r="F163" s="669">
        <v>300</v>
      </c>
      <c r="G163" s="670">
        <v>3.7650000000000003E-2</v>
      </c>
      <c r="H163" s="670">
        <v>0</v>
      </c>
      <c r="I163" s="670">
        <v>0</v>
      </c>
      <c r="J163" s="670"/>
      <c r="K163" s="670">
        <v>2.8920000000000001E-2</v>
      </c>
      <c r="L163" s="670">
        <f t="shared" si="29"/>
        <v>8.7300000000000016E-3</v>
      </c>
      <c r="M163" s="670"/>
      <c r="N163" s="670"/>
      <c r="O163" s="669">
        <v>1.48</v>
      </c>
      <c r="P163" s="669">
        <v>2.5299999999999998</v>
      </c>
      <c r="Q163" s="669">
        <v>4.03</v>
      </c>
      <c r="R163" s="669">
        <v>0.03</v>
      </c>
      <c r="S163" s="669">
        <v>0.03</v>
      </c>
      <c r="T163" s="669">
        <v>0.03</v>
      </c>
      <c r="U163" s="669">
        <f t="shared" si="26"/>
        <v>1.45</v>
      </c>
      <c r="V163" s="669">
        <f t="shared" si="27"/>
        <v>2.5</v>
      </c>
      <c r="W163" s="669">
        <f t="shared" si="28"/>
        <v>4</v>
      </c>
    </row>
    <row r="164" spans="1:23">
      <c r="A164" s="665">
        <v>20130701</v>
      </c>
      <c r="B164" s="666" t="s">
        <v>205</v>
      </c>
      <c r="C164" s="667" t="s">
        <v>205</v>
      </c>
      <c r="D164" s="667" t="s">
        <v>158</v>
      </c>
      <c r="E164" s="668" t="str">
        <f t="shared" si="20"/>
        <v>20130701KUCIE571</v>
      </c>
      <c r="F164" s="669">
        <v>300</v>
      </c>
      <c r="G164" s="670">
        <v>3.7650000000000003E-2</v>
      </c>
      <c r="H164" s="670">
        <v>0</v>
      </c>
      <c r="I164" s="670">
        <v>0</v>
      </c>
      <c r="J164" s="670"/>
      <c r="K164" s="670">
        <v>2.8920000000000001E-2</v>
      </c>
      <c r="L164" s="670">
        <f t="shared" si="29"/>
        <v>8.7300000000000016E-3</v>
      </c>
      <c r="M164" s="670"/>
      <c r="N164" s="670"/>
      <c r="O164" s="669">
        <v>1.48</v>
      </c>
      <c r="P164" s="669">
        <v>2.5299999999999998</v>
      </c>
      <c r="Q164" s="669">
        <v>4.03</v>
      </c>
      <c r="R164" s="669">
        <v>0.03</v>
      </c>
      <c r="S164" s="669">
        <v>0.03</v>
      </c>
      <c r="T164" s="669">
        <v>0.03</v>
      </c>
      <c r="U164" s="669">
        <f t="shared" si="26"/>
        <v>1.45</v>
      </c>
      <c r="V164" s="669">
        <f t="shared" si="27"/>
        <v>2.5</v>
      </c>
      <c r="W164" s="669">
        <f t="shared" si="28"/>
        <v>4</v>
      </c>
    </row>
    <row r="165" spans="1:23">
      <c r="A165" s="665">
        <v>20130701</v>
      </c>
      <c r="B165" s="666" t="s">
        <v>204</v>
      </c>
      <c r="C165" s="667" t="s">
        <v>204</v>
      </c>
      <c r="D165" s="667" t="s">
        <v>159</v>
      </c>
      <c r="E165" s="668" t="str">
        <f t="shared" si="20"/>
        <v>20130701KUCIE572</v>
      </c>
      <c r="F165" s="669">
        <v>200</v>
      </c>
      <c r="G165" s="670">
        <v>3.773E-2</v>
      </c>
      <c r="H165" s="670">
        <v>0</v>
      </c>
      <c r="I165" s="670">
        <v>0</v>
      </c>
      <c r="J165" s="670"/>
      <c r="K165" s="670">
        <v>2.8920000000000001E-2</v>
      </c>
      <c r="L165" s="670">
        <f t="shared" si="29"/>
        <v>8.8099999999999984E-3</v>
      </c>
      <c r="M165" s="670"/>
      <c r="N165" s="670"/>
      <c r="O165" s="669">
        <v>3.32</v>
      </c>
      <c r="P165" s="669">
        <v>2.65</v>
      </c>
      <c r="Q165" s="669">
        <v>4.25</v>
      </c>
      <c r="R165" s="669">
        <v>0.03</v>
      </c>
      <c r="S165" s="669">
        <v>0.03</v>
      </c>
      <c r="T165" s="669">
        <v>0.03</v>
      </c>
      <c r="U165" s="669">
        <f t="shared" si="26"/>
        <v>3.29</v>
      </c>
      <c r="V165" s="669">
        <f t="shared" si="27"/>
        <v>2.62</v>
      </c>
      <c r="W165" s="669">
        <f t="shared" si="28"/>
        <v>4.22</v>
      </c>
    </row>
    <row r="166" spans="1:23">
      <c r="A166" s="665">
        <v>20130701</v>
      </c>
      <c r="B166" s="666" t="s">
        <v>18</v>
      </c>
      <c r="C166" s="667" t="s">
        <v>18</v>
      </c>
      <c r="D166" s="667" t="s">
        <v>152</v>
      </c>
      <c r="E166" s="668" t="str">
        <f t="shared" ref="E166:E199" si="30">A166&amp;D166</f>
        <v>20130701KUCIE550</v>
      </c>
      <c r="F166" s="669">
        <v>750</v>
      </c>
      <c r="G166" s="670">
        <v>3.6339999999999997E-2</v>
      </c>
      <c r="H166" s="670">
        <v>0</v>
      </c>
      <c r="I166" s="670">
        <v>0</v>
      </c>
      <c r="J166" s="670"/>
      <c r="K166" s="670">
        <v>2.8920000000000001E-2</v>
      </c>
      <c r="L166" s="670">
        <f t="shared" si="29"/>
        <v>7.419999999999996E-3</v>
      </c>
      <c r="M166" s="670"/>
      <c r="N166" s="670"/>
      <c r="O166" s="669">
        <v>1.1200000000000001</v>
      </c>
      <c r="P166" s="669">
        <v>2.65</v>
      </c>
      <c r="Q166" s="669">
        <v>3.75</v>
      </c>
      <c r="R166" s="669">
        <v>0.02</v>
      </c>
      <c r="S166" s="669">
        <v>0.02</v>
      </c>
      <c r="T166" s="669">
        <v>0.02</v>
      </c>
      <c r="U166" s="669">
        <f t="shared" si="26"/>
        <v>1.1000000000000001</v>
      </c>
      <c r="V166" s="669">
        <f t="shared" si="27"/>
        <v>2.63</v>
      </c>
      <c r="W166" s="669">
        <f t="shared" si="28"/>
        <v>3.73</v>
      </c>
    </row>
    <row r="167" spans="1:23">
      <c r="A167" s="665">
        <v>20130701</v>
      </c>
      <c r="B167" s="666" t="s">
        <v>26</v>
      </c>
      <c r="C167" s="667" t="s">
        <v>26</v>
      </c>
      <c r="D167" s="667" t="s">
        <v>215</v>
      </c>
      <c r="E167" s="668" t="str">
        <f t="shared" si="30"/>
        <v>20130701KUINE731</v>
      </c>
      <c r="F167" s="669">
        <v>750</v>
      </c>
      <c r="G167" s="670">
        <v>3.6430000000000004E-2</v>
      </c>
      <c r="H167" s="670">
        <v>0</v>
      </c>
      <c r="I167" s="670">
        <v>0</v>
      </c>
      <c r="J167" s="670"/>
      <c r="K167" s="670">
        <v>2.8920000000000001E-2</v>
      </c>
      <c r="L167" s="670">
        <f t="shared" si="29"/>
        <v>7.5100000000000028E-3</v>
      </c>
      <c r="M167" s="670"/>
      <c r="N167" s="670"/>
      <c r="O167" s="669">
        <v>1.7</v>
      </c>
      <c r="P167" s="669">
        <v>1.42</v>
      </c>
      <c r="Q167" s="669">
        <v>2.31</v>
      </c>
      <c r="R167" s="669">
        <v>0.01</v>
      </c>
      <c r="S167" s="669">
        <v>0.01</v>
      </c>
      <c r="T167" s="669">
        <v>0.01</v>
      </c>
      <c r="U167" s="669">
        <f t="shared" si="26"/>
        <v>1.69</v>
      </c>
      <c r="V167" s="669">
        <f t="shared" si="27"/>
        <v>1.41</v>
      </c>
      <c r="W167" s="669">
        <f t="shared" si="28"/>
        <v>2.3000000000000003</v>
      </c>
    </row>
    <row r="168" spans="1:23">
      <c r="A168" s="665">
        <v>20130701</v>
      </c>
      <c r="B168" s="666" t="s">
        <v>27</v>
      </c>
      <c r="C168" s="671" t="s">
        <v>27</v>
      </c>
      <c r="D168" s="671" t="s">
        <v>173</v>
      </c>
      <c r="E168" s="668" t="str">
        <f t="shared" si="30"/>
        <v>20130701KUINE730</v>
      </c>
      <c r="F168" s="669">
        <v>750</v>
      </c>
      <c r="G168" s="670">
        <v>3.261E-2</v>
      </c>
      <c r="H168" s="670">
        <v>0</v>
      </c>
      <c r="I168" s="670">
        <v>0</v>
      </c>
      <c r="J168" s="670"/>
      <c r="K168" s="670">
        <v>2.8920000000000001E-2</v>
      </c>
      <c r="L168" s="670">
        <f t="shared" si="29"/>
        <v>3.6899999999999988E-3</v>
      </c>
      <c r="M168" s="670"/>
      <c r="N168" s="670"/>
      <c r="O168" s="669">
        <v>0.95</v>
      </c>
      <c r="P168" s="669">
        <v>1.42</v>
      </c>
      <c r="Q168" s="669">
        <v>2.31</v>
      </c>
      <c r="R168" s="669">
        <v>0.01</v>
      </c>
      <c r="S168" s="669">
        <v>0.01</v>
      </c>
      <c r="T168" s="669">
        <v>0.01</v>
      </c>
      <c r="U168" s="669">
        <f t="shared" si="26"/>
        <v>0.94</v>
      </c>
      <c r="V168" s="669">
        <f t="shared" si="27"/>
        <v>1.41</v>
      </c>
      <c r="W168" s="669">
        <f t="shared" si="28"/>
        <v>2.3000000000000003</v>
      </c>
    </row>
    <row r="169" spans="1:23">
      <c r="A169" s="665">
        <v>20130701</v>
      </c>
      <c r="B169" s="666" t="s">
        <v>20</v>
      </c>
      <c r="C169" s="667" t="s">
        <v>20</v>
      </c>
      <c r="D169" s="667" t="s">
        <v>168</v>
      </c>
      <c r="E169" s="668" t="str">
        <f t="shared" si="30"/>
        <v>20130701KUCME295</v>
      </c>
      <c r="F169" s="669">
        <v>3.25</v>
      </c>
      <c r="G169" s="670">
        <v>7.6930000000000026E-2</v>
      </c>
      <c r="H169" s="670">
        <v>0</v>
      </c>
      <c r="I169" s="670">
        <v>0</v>
      </c>
      <c r="J169" s="670">
        <v>2.9999999999999997E-4</v>
      </c>
      <c r="K169" s="670">
        <v>2.8920000000000001E-2</v>
      </c>
      <c r="L169" s="670">
        <f t="shared" si="29"/>
        <v>4.771000000000003E-2</v>
      </c>
      <c r="M169" s="670"/>
      <c r="N169" s="670"/>
      <c r="O169" s="669"/>
      <c r="P169" s="669"/>
      <c r="Q169" s="669"/>
      <c r="R169" s="669"/>
      <c r="S169" s="669"/>
      <c r="T169" s="669"/>
      <c r="U169" s="669">
        <f t="shared" si="26"/>
        <v>0</v>
      </c>
      <c r="V169" s="669">
        <f t="shared" si="27"/>
        <v>0</v>
      </c>
      <c r="W169" s="669">
        <f t="shared" si="28"/>
        <v>0</v>
      </c>
    </row>
    <row r="170" spans="1:23">
      <c r="A170" s="665">
        <v>20130701</v>
      </c>
      <c r="B170" s="666" t="s">
        <v>20</v>
      </c>
      <c r="C170" s="667" t="s">
        <v>20</v>
      </c>
      <c r="D170" s="671" t="s">
        <v>623</v>
      </c>
      <c r="E170" s="668" t="str">
        <f t="shared" si="30"/>
        <v>20130701KUCME297</v>
      </c>
      <c r="F170" s="669">
        <v>3.25</v>
      </c>
      <c r="G170" s="670">
        <v>7.6930000000000026E-2</v>
      </c>
      <c r="H170" s="670">
        <v>0</v>
      </c>
      <c r="I170" s="670">
        <v>0</v>
      </c>
      <c r="J170" s="670">
        <v>2.9999999999999997E-4</v>
      </c>
      <c r="K170" s="670">
        <v>2.8920000000000001E-2</v>
      </c>
      <c r="L170" s="670">
        <f t="shared" si="29"/>
        <v>4.771000000000003E-2</v>
      </c>
      <c r="M170" s="670"/>
      <c r="N170" s="670"/>
      <c r="O170" s="669"/>
      <c r="P170" s="669"/>
      <c r="Q170" s="669"/>
      <c r="R170" s="669"/>
      <c r="S170" s="669"/>
      <c r="T170" s="669"/>
      <c r="U170" s="669">
        <f t="shared" si="26"/>
        <v>0</v>
      </c>
      <c r="V170" s="669">
        <f t="shared" si="27"/>
        <v>0</v>
      </c>
      <c r="W170" s="669">
        <f t="shared" si="28"/>
        <v>0</v>
      </c>
    </row>
    <row r="171" spans="1:23">
      <c r="A171" s="665">
        <v>20130701</v>
      </c>
      <c r="B171" s="666" t="s">
        <v>19</v>
      </c>
      <c r="C171" s="667" t="s">
        <v>19</v>
      </c>
      <c r="D171" s="671" t="s">
        <v>217</v>
      </c>
      <c r="E171" s="668" t="str">
        <f t="shared" si="30"/>
        <v>20130701KUCME290</v>
      </c>
      <c r="F171" s="669">
        <v>0</v>
      </c>
      <c r="G171" s="670">
        <v>6.0949999999999997E-2</v>
      </c>
      <c r="H171" s="670">
        <v>0</v>
      </c>
      <c r="I171" s="670">
        <v>0</v>
      </c>
      <c r="J171" s="670">
        <v>2.9999999999999997E-4</v>
      </c>
      <c r="K171" s="670">
        <v>2.8920000000000001E-2</v>
      </c>
      <c r="L171" s="670">
        <f t="shared" si="29"/>
        <v>3.1729999999999994E-2</v>
      </c>
      <c r="M171" s="670"/>
      <c r="N171" s="670"/>
      <c r="O171" s="669"/>
      <c r="P171" s="669"/>
      <c r="Q171" s="669"/>
      <c r="R171" s="669"/>
      <c r="S171" s="669"/>
      <c r="T171" s="669"/>
      <c r="U171" s="669">
        <f t="shared" si="26"/>
        <v>0</v>
      </c>
      <c r="V171" s="669">
        <f t="shared" si="27"/>
        <v>0</v>
      </c>
      <c r="W171" s="669">
        <f t="shared" si="28"/>
        <v>0</v>
      </c>
    </row>
    <row r="172" spans="1:23">
      <c r="A172" s="665">
        <v>20130701</v>
      </c>
      <c r="B172" s="666" t="s">
        <v>19</v>
      </c>
      <c r="C172" s="667" t="s">
        <v>19</v>
      </c>
      <c r="D172" s="667" t="s">
        <v>216</v>
      </c>
      <c r="E172" s="668" t="str">
        <f t="shared" si="30"/>
        <v>20130701KUCME291</v>
      </c>
      <c r="F172" s="669">
        <v>0</v>
      </c>
      <c r="G172" s="670">
        <v>6.0949999999999997E-2</v>
      </c>
      <c r="H172" s="670">
        <v>0</v>
      </c>
      <c r="I172" s="670">
        <v>0</v>
      </c>
      <c r="J172" s="670">
        <v>2.9999999999999997E-4</v>
      </c>
      <c r="K172" s="670">
        <v>2.8920000000000001E-2</v>
      </c>
      <c r="L172" s="670">
        <f t="shared" si="29"/>
        <v>3.1729999999999994E-2</v>
      </c>
      <c r="M172" s="670"/>
      <c r="N172" s="670"/>
      <c r="O172" s="669"/>
      <c r="P172" s="669"/>
      <c r="Q172" s="669"/>
      <c r="R172" s="669"/>
      <c r="S172" s="669"/>
      <c r="T172" s="669"/>
      <c r="U172" s="669">
        <f t="shared" si="26"/>
        <v>0</v>
      </c>
      <c r="V172" s="669">
        <f t="shared" si="27"/>
        <v>0</v>
      </c>
      <c r="W172" s="669">
        <f t="shared" si="28"/>
        <v>0</v>
      </c>
    </row>
    <row r="173" spans="1:23">
      <c r="A173" s="665">
        <v>20130701</v>
      </c>
      <c r="B173" s="666" t="s">
        <v>19</v>
      </c>
      <c r="C173" s="667" t="s">
        <v>19</v>
      </c>
      <c r="D173" s="671" t="s">
        <v>218</v>
      </c>
      <c r="E173" s="668" t="str">
        <f t="shared" si="30"/>
        <v>20130701KUCME292</v>
      </c>
      <c r="F173" s="669">
        <v>0</v>
      </c>
      <c r="G173" s="670">
        <v>6.0949999999999997E-2</v>
      </c>
      <c r="H173" s="670">
        <v>0</v>
      </c>
      <c r="I173" s="670">
        <v>0</v>
      </c>
      <c r="J173" s="670">
        <v>2.9999999999999997E-4</v>
      </c>
      <c r="K173" s="670">
        <v>2.8920000000000001E-2</v>
      </c>
      <c r="L173" s="670">
        <f t="shared" si="29"/>
        <v>3.1729999999999994E-2</v>
      </c>
      <c r="M173" s="670"/>
      <c r="N173" s="670"/>
      <c r="O173" s="669"/>
      <c r="P173" s="669"/>
      <c r="Q173" s="669"/>
      <c r="R173" s="669"/>
      <c r="S173" s="669"/>
      <c r="T173" s="669"/>
      <c r="U173" s="669">
        <f t="shared" si="26"/>
        <v>0</v>
      </c>
      <c r="V173" s="669">
        <f t="shared" si="27"/>
        <v>0</v>
      </c>
      <c r="W173" s="669">
        <f t="shared" si="28"/>
        <v>0</v>
      </c>
    </row>
    <row r="174" spans="1:23">
      <c r="A174" s="674">
        <v>20140101</v>
      </c>
      <c r="B174" s="675" t="s">
        <v>14</v>
      </c>
      <c r="C174" s="676" t="s">
        <v>14</v>
      </c>
      <c r="D174" s="676" t="s">
        <v>174</v>
      </c>
      <c r="E174" s="677" t="str">
        <f t="shared" si="30"/>
        <v>20140101KURSE010</v>
      </c>
      <c r="F174" s="678">
        <v>10.75</v>
      </c>
      <c r="G174" s="679">
        <v>7.7439999999999995E-2</v>
      </c>
      <c r="H174" s="679">
        <v>0</v>
      </c>
      <c r="I174" s="679">
        <v>0</v>
      </c>
      <c r="J174" s="679">
        <v>3.15E-3</v>
      </c>
      <c r="K174" s="679">
        <v>2.8920000000000001E-2</v>
      </c>
      <c r="L174" s="679">
        <f>G174-J174-K174</f>
        <v>4.5369999999999994E-2</v>
      </c>
      <c r="M174" s="679"/>
      <c r="N174" s="679"/>
      <c r="O174" s="678"/>
      <c r="P174" s="678"/>
      <c r="Q174" s="678"/>
      <c r="R174" s="678"/>
      <c r="S174" s="678"/>
      <c r="T174" s="678"/>
      <c r="U174" s="678">
        <f t="shared" ref="U174:U212" si="31">O174-R174</f>
        <v>0</v>
      </c>
      <c r="V174" s="678">
        <f t="shared" ref="V174:V212" si="32">P174-S174</f>
        <v>0</v>
      </c>
      <c r="W174" s="678">
        <f t="shared" ref="W174:W212" si="33">Q174-T174</f>
        <v>0</v>
      </c>
    </row>
    <row r="175" spans="1:23">
      <c r="A175" s="674">
        <v>20140101</v>
      </c>
      <c r="B175" s="675" t="s">
        <v>14</v>
      </c>
      <c r="C175" s="676" t="s">
        <v>14</v>
      </c>
      <c r="D175" s="680" t="s">
        <v>175</v>
      </c>
      <c r="E175" s="677" t="str">
        <f t="shared" si="30"/>
        <v>20140101KURSE020</v>
      </c>
      <c r="F175" s="678">
        <v>10.75</v>
      </c>
      <c r="G175" s="679">
        <v>7.7439999999999995E-2</v>
      </c>
      <c r="H175" s="679">
        <v>0</v>
      </c>
      <c r="I175" s="679">
        <v>0</v>
      </c>
      <c r="J175" s="679">
        <v>3.15E-3</v>
      </c>
      <c r="K175" s="679">
        <v>2.8920000000000001E-2</v>
      </c>
      <c r="L175" s="679">
        <f t="shared" ref="L175:L212" si="34">G175-J175-K175</f>
        <v>4.5369999999999994E-2</v>
      </c>
      <c r="M175" s="679"/>
      <c r="N175" s="679"/>
      <c r="O175" s="678"/>
      <c r="P175" s="678"/>
      <c r="Q175" s="678"/>
      <c r="R175" s="678"/>
      <c r="S175" s="678"/>
      <c r="T175" s="678"/>
      <c r="U175" s="678">
        <f t="shared" si="31"/>
        <v>0</v>
      </c>
      <c r="V175" s="678">
        <f t="shared" si="32"/>
        <v>0</v>
      </c>
      <c r="W175" s="678">
        <f t="shared" si="33"/>
        <v>0</v>
      </c>
    </row>
    <row r="176" spans="1:23">
      <c r="A176" s="674">
        <v>20140101</v>
      </c>
      <c r="B176" s="675" t="s">
        <v>14</v>
      </c>
      <c r="C176" s="680" t="s">
        <v>207</v>
      </c>
      <c r="D176" s="680" t="s">
        <v>176</v>
      </c>
      <c r="E176" s="677" t="str">
        <f t="shared" si="30"/>
        <v>20140101KURSE025</v>
      </c>
      <c r="F176" s="678">
        <v>10.75</v>
      </c>
      <c r="G176" s="679">
        <v>7.7439999999999995E-2</v>
      </c>
      <c r="H176" s="679">
        <v>0</v>
      </c>
      <c r="I176" s="679">
        <v>0</v>
      </c>
      <c r="J176" s="679">
        <v>3.15E-3</v>
      </c>
      <c r="K176" s="679">
        <v>2.8920000000000001E-2</v>
      </c>
      <c r="L176" s="679">
        <f t="shared" si="34"/>
        <v>4.5369999999999994E-2</v>
      </c>
      <c r="M176" s="679"/>
      <c r="N176" s="679"/>
      <c r="O176" s="678"/>
      <c r="P176" s="678"/>
      <c r="Q176" s="678"/>
      <c r="R176" s="678"/>
      <c r="S176" s="678"/>
      <c r="T176" s="678"/>
      <c r="U176" s="678">
        <f t="shared" si="31"/>
        <v>0</v>
      </c>
      <c r="V176" s="678">
        <f t="shared" si="32"/>
        <v>0</v>
      </c>
      <c r="W176" s="678">
        <f t="shared" si="33"/>
        <v>0</v>
      </c>
    </row>
    <row r="177" spans="1:23">
      <c r="A177" s="674">
        <v>20140101</v>
      </c>
      <c r="B177" s="675" t="s">
        <v>831</v>
      </c>
      <c r="C177" s="676" t="s">
        <v>16</v>
      </c>
      <c r="D177" s="680" t="s">
        <v>177</v>
      </c>
      <c r="E177" s="677" t="str">
        <f t="shared" si="30"/>
        <v>20140101KURSE080</v>
      </c>
      <c r="F177" s="678">
        <v>10.75</v>
      </c>
      <c r="G177" s="679">
        <v>7.7439999999999995E-2</v>
      </c>
      <c r="H177" s="679">
        <v>0</v>
      </c>
      <c r="I177" s="679">
        <v>0</v>
      </c>
      <c r="J177" s="679">
        <v>3.15E-3</v>
      </c>
      <c r="K177" s="679">
        <v>2.8920000000000001E-2</v>
      </c>
      <c r="L177" s="679">
        <f t="shared" si="34"/>
        <v>4.5369999999999994E-2</v>
      </c>
      <c r="M177" s="679"/>
      <c r="N177" s="679"/>
      <c r="O177" s="678"/>
      <c r="P177" s="678"/>
      <c r="Q177" s="678"/>
      <c r="R177" s="678"/>
      <c r="S177" s="678"/>
      <c r="T177" s="678"/>
      <c r="U177" s="678">
        <f t="shared" si="31"/>
        <v>0</v>
      </c>
      <c r="V177" s="678">
        <f t="shared" si="32"/>
        <v>0</v>
      </c>
      <c r="W177" s="678">
        <f t="shared" si="33"/>
        <v>0</v>
      </c>
    </row>
    <row r="178" spans="1:23">
      <c r="A178" s="674">
        <v>20140101</v>
      </c>
      <c r="B178" s="675" t="s">
        <v>14</v>
      </c>
      <c r="C178" s="676" t="s">
        <v>15</v>
      </c>
      <c r="D178" s="680" t="s">
        <v>178</v>
      </c>
      <c r="E178" s="677" t="str">
        <f t="shared" si="30"/>
        <v>20140101KURSE715</v>
      </c>
      <c r="F178" s="678">
        <v>10.75</v>
      </c>
      <c r="G178" s="679">
        <v>7.7439999999999995E-2</v>
      </c>
      <c r="H178" s="679">
        <v>0</v>
      </c>
      <c r="I178" s="679">
        <v>0</v>
      </c>
      <c r="J178" s="679">
        <v>3.15E-3</v>
      </c>
      <c r="K178" s="679">
        <v>2.8920000000000001E-2</v>
      </c>
      <c r="L178" s="679">
        <f t="shared" si="34"/>
        <v>4.5369999999999994E-2</v>
      </c>
      <c r="M178" s="679"/>
      <c r="N178" s="679"/>
      <c r="O178" s="678"/>
      <c r="P178" s="678"/>
      <c r="Q178" s="678"/>
      <c r="R178" s="678"/>
      <c r="S178" s="678"/>
      <c r="T178" s="678"/>
      <c r="U178" s="678">
        <f t="shared" si="31"/>
        <v>0</v>
      </c>
      <c r="V178" s="678">
        <f t="shared" si="32"/>
        <v>0</v>
      </c>
      <c r="W178" s="678">
        <f t="shared" si="33"/>
        <v>0</v>
      </c>
    </row>
    <row r="179" spans="1:23">
      <c r="A179" s="674">
        <v>20140101</v>
      </c>
      <c r="B179" s="675" t="s">
        <v>828</v>
      </c>
      <c r="C179" s="676" t="s">
        <v>206</v>
      </c>
      <c r="D179" s="680" t="s">
        <v>458</v>
      </c>
      <c r="E179" s="677" t="str">
        <f t="shared" si="30"/>
        <v>20140101KURSE040</v>
      </c>
      <c r="F179" s="678">
        <v>10.75</v>
      </c>
      <c r="G179" s="679">
        <v>5.5870000000000003E-2</v>
      </c>
      <c r="H179" s="679">
        <v>7.7630000000000005E-2</v>
      </c>
      <c r="I179" s="679">
        <v>0.14297000000000001</v>
      </c>
      <c r="J179" s="679">
        <v>3.15E-3</v>
      </c>
      <c r="K179" s="679">
        <v>2.8920000000000001E-2</v>
      </c>
      <c r="L179" s="679">
        <f>G179-J179-K179</f>
        <v>2.3800000000000002E-2</v>
      </c>
      <c r="M179" s="679">
        <f>H179-J179-K179</f>
        <v>4.5560000000000003E-2</v>
      </c>
      <c r="N179" s="679">
        <f>I179-J179-K179</f>
        <v>0.1109</v>
      </c>
      <c r="O179" s="678"/>
      <c r="P179" s="678"/>
      <c r="Q179" s="678"/>
      <c r="R179" s="678"/>
      <c r="S179" s="678"/>
      <c r="T179" s="678"/>
      <c r="U179" s="678">
        <f t="shared" si="31"/>
        <v>0</v>
      </c>
      <c r="V179" s="678">
        <f t="shared" si="32"/>
        <v>0</v>
      </c>
      <c r="W179" s="678">
        <f t="shared" si="33"/>
        <v>0</v>
      </c>
    </row>
    <row r="180" spans="1:23">
      <c r="A180" s="674">
        <v>20140101</v>
      </c>
      <c r="B180" s="675" t="s">
        <v>208</v>
      </c>
      <c r="C180" s="676" t="s">
        <v>208</v>
      </c>
      <c r="D180" s="676" t="s">
        <v>161</v>
      </c>
      <c r="E180" s="677" t="str">
        <f t="shared" si="30"/>
        <v>20140101KUCME110</v>
      </c>
      <c r="F180" s="678">
        <v>20</v>
      </c>
      <c r="G180" s="679">
        <v>9.2249999999999999E-2</v>
      </c>
      <c r="H180" s="679">
        <v>0</v>
      </c>
      <c r="I180" s="679">
        <v>0</v>
      </c>
      <c r="J180" s="679">
        <v>4.7099999999999998E-3</v>
      </c>
      <c r="K180" s="679">
        <v>2.8920000000000001E-2</v>
      </c>
      <c r="L180" s="679">
        <f t="shared" si="34"/>
        <v>5.8619999999999992E-2</v>
      </c>
      <c r="M180" s="679"/>
      <c r="N180" s="679"/>
      <c r="O180" s="678"/>
      <c r="P180" s="678"/>
      <c r="Q180" s="678"/>
      <c r="R180" s="678"/>
      <c r="S180" s="678"/>
      <c r="T180" s="678"/>
      <c r="U180" s="678">
        <f t="shared" si="31"/>
        <v>0</v>
      </c>
      <c r="V180" s="678">
        <f t="shared" si="32"/>
        <v>0</v>
      </c>
      <c r="W180" s="678">
        <f t="shared" si="33"/>
        <v>0</v>
      </c>
    </row>
    <row r="181" spans="1:23">
      <c r="A181" s="674">
        <v>20140101</v>
      </c>
      <c r="B181" s="675" t="s">
        <v>208</v>
      </c>
      <c r="C181" s="676" t="s">
        <v>208</v>
      </c>
      <c r="D181" s="680" t="s">
        <v>162</v>
      </c>
      <c r="E181" s="677" t="str">
        <f t="shared" si="30"/>
        <v>20140101KUCME112</v>
      </c>
      <c r="F181" s="678">
        <v>20</v>
      </c>
      <c r="G181" s="679">
        <v>9.2249999999999999E-2</v>
      </c>
      <c r="H181" s="679">
        <v>0</v>
      </c>
      <c r="I181" s="679">
        <v>0</v>
      </c>
      <c r="J181" s="679">
        <v>4.7099999999999998E-3</v>
      </c>
      <c r="K181" s="679">
        <v>2.8920000000000001E-2</v>
      </c>
      <c r="L181" s="679">
        <f t="shared" si="34"/>
        <v>5.8619999999999992E-2</v>
      </c>
      <c r="M181" s="679"/>
      <c r="N181" s="679"/>
      <c r="O181" s="678"/>
      <c r="P181" s="678"/>
      <c r="Q181" s="678"/>
      <c r="R181" s="678"/>
      <c r="S181" s="678"/>
      <c r="T181" s="678"/>
      <c r="U181" s="678">
        <f t="shared" si="31"/>
        <v>0</v>
      </c>
      <c r="V181" s="678">
        <f t="shared" si="32"/>
        <v>0</v>
      </c>
      <c r="W181" s="678">
        <f t="shared" si="33"/>
        <v>0</v>
      </c>
    </row>
    <row r="182" spans="1:23">
      <c r="A182" s="674">
        <v>20140101</v>
      </c>
      <c r="B182" s="675" t="s">
        <v>208</v>
      </c>
      <c r="C182" s="676" t="s">
        <v>209</v>
      </c>
      <c r="D182" s="676" t="s">
        <v>169</v>
      </c>
      <c r="E182" s="677" t="str">
        <f t="shared" si="30"/>
        <v>20140101KUCME710</v>
      </c>
      <c r="F182" s="678">
        <v>20</v>
      </c>
      <c r="G182" s="679">
        <v>9.2249999999999999E-2</v>
      </c>
      <c r="H182" s="679">
        <v>0</v>
      </c>
      <c r="I182" s="679">
        <v>0</v>
      </c>
      <c r="J182" s="679">
        <v>4.7099999999999998E-3</v>
      </c>
      <c r="K182" s="679">
        <v>2.8920000000000001E-2</v>
      </c>
      <c r="L182" s="679">
        <f t="shared" si="34"/>
        <v>5.8619999999999992E-2</v>
      </c>
      <c r="M182" s="679"/>
      <c r="N182" s="679"/>
      <c r="O182" s="678"/>
      <c r="P182" s="678"/>
      <c r="Q182" s="678"/>
      <c r="R182" s="678"/>
      <c r="S182" s="678"/>
      <c r="T182" s="678"/>
      <c r="U182" s="678">
        <f t="shared" si="31"/>
        <v>0</v>
      </c>
      <c r="V182" s="678">
        <f t="shared" si="32"/>
        <v>0</v>
      </c>
      <c r="W182" s="678">
        <f t="shared" si="33"/>
        <v>0</v>
      </c>
    </row>
    <row r="183" spans="1:23">
      <c r="A183" s="674">
        <v>20140101</v>
      </c>
      <c r="B183" s="681" t="s">
        <v>17</v>
      </c>
      <c r="C183" s="676" t="s">
        <v>17</v>
      </c>
      <c r="D183" s="676" t="s">
        <v>163</v>
      </c>
      <c r="E183" s="677" t="str">
        <f t="shared" si="30"/>
        <v>20140101KUCME113</v>
      </c>
      <c r="F183" s="678">
        <v>35</v>
      </c>
      <c r="G183" s="679">
        <v>9.2249999999999999E-2</v>
      </c>
      <c r="H183" s="679">
        <v>0</v>
      </c>
      <c r="I183" s="679">
        <v>0</v>
      </c>
      <c r="J183" s="679">
        <v>4.7099999999999998E-3</v>
      </c>
      <c r="K183" s="679">
        <v>2.8920000000000001E-2</v>
      </c>
      <c r="L183" s="679">
        <f t="shared" si="34"/>
        <v>5.8619999999999992E-2</v>
      </c>
      <c r="M183" s="679"/>
      <c r="N183" s="679"/>
      <c r="O183" s="678"/>
      <c r="P183" s="678"/>
      <c r="Q183" s="678"/>
      <c r="R183" s="678"/>
      <c r="S183" s="678"/>
      <c r="T183" s="678"/>
      <c r="U183" s="678">
        <f t="shared" si="31"/>
        <v>0</v>
      </c>
      <c r="V183" s="678">
        <f t="shared" si="32"/>
        <v>0</v>
      </c>
      <c r="W183" s="678">
        <f t="shared" si="33"/>
        <v>0</v>
      </c>
    </row>
    <row r="184" spans="1:23">
      <c r="A184" s="674">
        <v>20140101</v>
      </c>
      <c r="B184" s="675" t="s">
        <v>208</v>
      </c>
      <c r="C184" s="676" t="s">
        <v>210</v>
      </c>
      <c r="D184" s="680" t="s">
        <v>170</v>
      </c>
      <c r="E184" s="677" t="str">
        <f t="shared" si="30"/>
        <v>20140101KUCME713</v>
      </c>
      <c r="F184" s="678">
        <v>35</v>
      </c>
      <c r="G184" s="679">
        <v>9.2249999999999999E-2</v>
      </c>
      <c r="H184" s="679">
        <v>0</v>
      </c>
      <c r="I184" s="679">
        <v>0</v>
      </c>
      <c r="J184" s="679">
        <v>4.7099999999999998E-3</v>
      </c>
      <c r="K184" s="679">
        <v>2.8920000000000001E-2</v>
      </c>
      <c r="L184" s="679">
        <f t="shared" si="34"/>
        <v>5.8619999999999992E-2</v>
      </c>
      <c r="M184" s="679"/>
      <c r="N184" s="679"/>
      <c r="O184" s="678"/>
      <c r="P184" s="678"/>
      <c r="Q184" s="678"/>
      <c r="R184" s="678"/>
      <c r="S184" s="678"/>
      <c r="T184" s="678"/>
      <c r="U184" s="678">
        <f t="shared" si="31"/>
        <v>0</v>
      </c>
      <c r="V184" s="678">
        <f t="shared" si="32"/>
        <v>0</v>
      </c>
      <c r="W184" s="678">
        <f t="shared" si="33"/>
        <v>0</v>
      </c>
    </row>
    <row r="185" spans="1:23">
      <c r="A185" s="674">
        <v>20140101</v>
      </c>
      <c r="B185" s="675" t="s">
        <v>203</v>
      </c>
      <c r="C185" s="676" t="s">
        <v>203</v>
      </c>
      <c r="D185" s="676" t="s">
        <v>164</v>
      </c>
      <c r="E185" s="677" t="str">
        <f t="shared" si="30"/>
        <v>20140101KUCME220</v>
      </c>
      <c r="F185" s="678">
        <v>20</v>
      </c>
      <c r="G185" s="679">
        <v>7.4399999999999994E-2</v>
      </c>
      <c r="H185" s="679">
        <v>0</v>
      </c>
      <c r="I185" s="679">
        <v>0</v>
      </c>
      <c r="J185" s="679">
        <v>3.15E-3</v>
      </c>
      <c r="K185" s="679">
        <v>2.8920000000000001E-2</v>
      </c>
      <c r="L185" s="679">
        <f t="shared" si="34"/>
        <v>4.2329999999999993E-2</v>
      </c>
      <c r="M185" s="679"/>
      <c r="N185" s="679"/>
      <c r="O185" s="678"/>
      <c r="P185" s="678"/>
      <c r="Q185" s="678"/>
      <c r="R185" s="678"/>
      <c r="S185" s="678"/>
      <c r="T185" s="678"/>
      <c r="U185" s="678">
        <f t="shared" si="31"/>
        <v>0</v>
      </c>
      <c r="V185" s="678">
        <f t="shared" si="32"/>
        <v>0</v>
      </c>
      <c r="W185" s="678">
        <f t="shared" si="33"/>
        <v>0</v>
      </c>
    </row>
    <row r="186" spans="1:23">
      <c r="A186" s="674">
        <v>20140101</v>
      </c>
      <c r="B186" s="675" t="s">
        <v>203</v>
      </c>
      <c r="C186" s="676" t="s">
        <v>211</v>
      </c>
      <c r="D186" s="676" t="s">
        <v>165</v>
      </c>
      <c r="E186" s="677" t="str">
        <f t="shared" si="30"/>
        <v>20140101KUCME221</v>
      </c>
      <c r="F186" s="678">
        <v>20</v>
      </c>
      <c r="G186" s="679">
        <v>7.4399999999999994E-2</v>
      </c>
      <c r="H186" s="679">
        <v>0</v>
      </c>
      <c r="I186" s="679">
        <v>0</v>
      </c>
      <c r="J186" s="679">
        <v>3.15E-3</v>
      </c>
      <c r="K186" s="679">
        <v>2.8920000000000001E-2</v>
      </c>
      <c r="L186" s="679">
        <f t="shared" si="34"/>
        <v>4.2329999999999993E-2</v>
      </c>
      <c r="M186" s="679"/>
      <c r="N186" s="679"/>
      <c r="O186" s="678"/>
      <c r="P186" s="678"/>
      <c r="Q186" s="678"/>
      <c r="R186" s="678"/>
      <c r="S186" s="678"/>
      <c r="T186" s="678"/>
      <c r="U186" s="678">
        <f t="shared" si="31"/>
        <v>0</v>
      </c>
      <c r="V186" s="678">
        <f t="shared" si="32"/>
        <v>0</v>
      </c>
      <c r="W186" s="678">
        <f t="shared" si="33"/>
        <v>0</v>
      </c>
    </row>
    <row r="187" spans="1:23">
      <c r="A187" s="674">
        <v>20140101</v>
      </c>
      <c r="B187" s="675" t="s">
        <v>203</v>
      </c>
      <c r="C187" s="676" t="s">
        <v>212</v>
      </c>
      <c r="D187" s="676" t="s">
        <v>166</v>
      </c>
      <c r="E187" s="677" t="str">
        <f t="shared" si="30"/>
        <v>20140101KUCME223</v>
      </c>
      <c r="F187" s="678">
        <v>35</v>
      </c>
      <c r="G187" s="679">
        <v>7.4399999999999994E-2</v>
      </c>
      <c r="H187" s="679">
        <v>0</v>
      </c>
      <c r="I187" s="679">
        <v>0</v>
      </c>
      <c r="J187" s="679">
        <v>3.15E-3</v>
      </c>
      <c r="K187" s="679">
        <v>2.8920000000000001E-2</v>
      </c>
      <c r="L187" s="679">
        <f t="shared" si="34"/>
        <v>4.2329999999999993E-2</v>
      </c>
      <c r="M187" s="679"/>
      <c r="N187" s="679"/>
      <c r="O187" s="678"/>
      <c r="P187" s="678"/>
      <c r="Q187" s="678"/>
      <c r="R187" s="678"/>
      <c r="S187" s="678"/>
      <c r="T187" s="678"/>
      <c r="U187" s="678">
        <f t="shared" si="31"/>
        <v>0</v>
      </c>
      <c r="V187" s="678">
        <f t="shared" si="32"/>
        <v>0</v>
      </c>
      <c r="W187" s="678">
        <f t="shared" si="33"/>
        <v>0</v>
      </c>
    </row>
    <row r="188" spans="1:23">
      <c r="A188" s="674">
        <v>20140101</v>
      </c>
      <c r="B188" s="675" t="s">
        <v>203</v>
      </c>
      <c r="C188" s="676" t="s">
        <v>213</v>
      </c>
      <c r="D188" s="676" t="s">
        <v>167</v>
      </c>
      <c r="E188" s="677" t="str">
        <f t="shared" si="30"/>
        <v>20140101KUCME224</v>
      </c>
      <c r="F188" s="678">
        <v>35</v>
      </c>
      <c r="G188" s="679">
        <v>7.4399999999999994E-2</v>
      </c>
      <c r="H188" s="679">
        <v>0</v>
      </c>
      <c r="I188" s="679">
        <v>0</v>
      </c>
      <c r="J188" s="679">
        <v>3.15E-3</v>
      </c>
      <c r="K188" s="679">
        <v>2.8920000000000001E-2</v>
      </c>
      <c r="L188" s="679">
        <f t="shared" si="34"/>
        <v>4.2329999999999993E-2</v>
      </c>
      <c r="M188" s="679"/>
      <c r="N188" s="679"/>
      <c r="O188" s="678"/>
      <c r="P188" s="678"/>
      <c r="Q188" s="678"/>
      <c r="R188" s="678"/>
      <c r="S188" s="678"/>
      <c r="T188" s="678"/>
      <c r="U188" s="678">
        <f t="shared" si="31"/>
        <v>0</v>
      </c>
      <c r="V188" s="678">
        <f t="shared" si="32"/>
        <v>0</v>
      </c>
      <c r="W188" s="678">
        <f t="shared" si="33"/>
        <v>0</v>
      </c>
    </row>
    <row r="189" spans="1:23">
      <c r="A189" s="674">
        <v>20140101</v>
      </c>
      <c r="B189" s="675" t="s">
        <v>203</v>
      </c>
      <c r="C189" s="676" t="s">
        <v>707</v>
      </c>
      <c r="D189" s="680" t="s">
        <v>683</v>
      </c>
      <c r="E189" s="677" t="str">
        <f t="shared" si="30"/>
        <v>20140101KUCME225</v>
      </c>
      <c r="F189" s="678">
        <v>35</v>
      </c>
      <c r="G189" s="679">
        <v>7.4399999999999994E-2</v>
      </c>
      <c r="H189" s="679">
        <v>0</v>
      </c>
      <c r="I189" s="679">
        <v>0</v>
      </c>
      <c r="J189" s="679">
        <v>3.15E-3</v>
      </c>
      <c r="K189" s="679">
        <v>2.8920000000000001E-2</v>
      </c>
      <c r="L189" s="679">
        <f t="shared" si="34"/>
        <v>4.2329999999999993E-2</v>
      </c>
      <c r="M189" s="679"/>
      <c r="N189" s="679"/>
      <c r="O189" s="678"/>
      <c r="P189" s="678"/>
      <c r="Q189" s="678"/>
      <c r="R189" s="678"/>
      <c r="S189" s="678"/>
      <c r="T189" s="678"/>
      <c r="U189" s="678">
        <f t="shared" si="31"/>
        <v>0</v>
      </c>
      <c r="V189" s="678">
        <f t="shared" si="32"/>
        <v>0</v>
      </c>
      <c r="W189" s="678">
        <f t="shared" si="33"/>
        <v>0</v>
      </c>
    </row>
    <row r="190" spans="1:23">
      <c r="A190" s="674">
        <v>20140101</v>
      </c>
      <c r="B190" s="675" t="s">
        <v>203</v>
      </c>
      <c r="C190" s="676" t="s">
        <v>707</v>
      </c>
      <c r="D190" s="680" t="s">
        <v>684</v>
      </c>
      <c r="E190" s="677" t="str">
        <f t="shared" si="30"/>
        <v>20140101KUCME226</v>
      </c>
      <c r="F190" s="678">
        <v>20</v>
      </c>
      <c r="G190" s="679">
        <v>7.4399999999999994E-2</v>
      </c>
      <c r="H190" s="679">
        <v>0</v>
      </c>
      <c r="I190" s="679">
        <v>0</v>
      </c>
      <c r="J190" s="679">
        <v>3.15E-3</v>
      </c>
      <c r="K190" s="679">
        <v>2.8920000000000001E-2</v>
      </c>
      <c r="L190" s="679">
        <f t="shared" si="34"/>
        <v>4.2329999999999993E-2</v>
      </c>
      <c r="M190" s="679"/>
      <c r="N190" s="679"/>
      <c r="O190" s="678"/>
      <c r="P190" s="678"/>
      <c r="Q190" s="678"/>
      <c r="R190" s="678"/>
      <c r="S190" s="678"/>
      <c r="T190" s="678"/>
      <c r="U190" s="678">
        <f t="shared" si="31"/>
        <v>0</v>
      </c>
      <c r="V190" s="678">
        <f t="shared" si="32"/>
        <v>0</v>
      </c>
      <c r="W190" s="678">
        <f t="shared" si="33"/>
        <v>0</v>
      </c>
    </row>
    <row r="191" spans="1:23">
      <c r="A191" s="674">
        <v>20140101</v>
      </c>
      <c r="B191" s="675" t="s">
        <v>203</v>
      </c>
      <c r="C191" s="680" t="s">
        <v>1145</v>
      </c>
      <c r="D191" s="680" t="s">
        <v>685</v>
      </c>
      <c r="E191" s="677" t="str">
        <f t="shared" si="30"/>
        <v>20140101KUCME227</v>
      </c>
      <c r="F191" s="678">
        <v>35</v>
      </c>
      <c r="G191" s="679">
        <v>7.4399999999999994E-2</v>
      </c>
      <c r="H191" s="679">
        <v>0</v>
      </c>
      <c r="I191" s="679">
        <v>0</v>
      </c>
      <c r="J191" s="679">
        <v>3.15E-3</v>
      </c>
      <c r="K191" s="679">
        <v>2.8920000000000001E-2</v>
      </c>
      <c r="L191" s="679">
        <f t="shared" si="34"/>
        <v>4.2329999999999993E-2</v>
      </c>
      <c r="M191" s="679"/>
      <c r="N191" s="679"/>
      <c r="O191" s="678"/>
      <c r="P191" s="678"/>
      <c r="Q191" s="678"/>
      <c r="R191" s="678"/>
      <c r="S191" s="678"/>
      <c r="T191" s="678"/>
      <c r="U191" s="678">
        <f t="shared" si="31"/>
        <v>0</v>
      </c>
      <c r="V191" s="678">
        <f t="shared" si="32"/>
        <v>0</v>
      </c>
      <c r="W191" s="678">
        <f t="shared" si="33"/>
        <v>0</v>
      </c>
    </row>
    <row r="192" spans="1:23">
      <c r="A192" s="674">
        <v>20140101</v>
      </c>
      <c r="B192" s="675" t="s">
        <v>25</v>
      </c>
      <c r="C192" s="676" t="s">
        <v>25</v>
      </c>
      <c r="D192" s="680" t="s">
        <v>153</v>
      </c>
      <c r="E192" s="677" t="str">
        <f t="shared" si="30"/>
        <v>20140101KUCIE561</v>
      </c>
      <c r="F192" s="678">
        <v>170</v>
      </c>
      <c r="G192" s="679">
        <v>3.5619999999999999E-2</v>
      </c>
      <c r="H192" s="679">
        <v>0</v>
      </c>
      <c r="I192" s="679">
        <v>0</v>
      </c>
      <c r="J192" s="679"/>
      <c r="K192" s="679">
        <v>2.8920000000000001E-2</v>
      </c>
      <c r="L192" s="679">
        <f t="shared" si="34"/>
        <v>6.6999999999999976E-3</v>
      </c>
      <c r="M192" s="679"/>
      <c r="N192" s="679"/>
      <c r="O192" s="678"/>
      <c r="P192" s="678">
        <v>13.18</v>
      </c>
      <c r="Q192" s="678">
        <v>15.28</v>
      </c>
      <c r="R192" s="678"/>
      <c r="S192" s="678">
        <v>1.08</v>
      </c>
      <c r="T192" s="678">
        <v>1.08</v>
      </c>
      <c r="U192" s="678">
        <f t="shared" si="31"/>
        <v>0</v>
      </c>
      <c r="V192" s="678">
        <f t="shared" si="32"/>
        <v>12.1</v>
      </c>
      <c r="W192" s="678">
        <f t="shared" si="33"/>
        <v>14.2</v>
      </c>
    </row>
    <row r="193" spans="1:23">
      <c r="A193" s="674">
        <v>20140101</v>
      </c>
      <c r="B193" s="675" t="s">
        <v>25</v>
      </c>
      <c r="C193" s="676" t="s">
        <v>25</v>
      </c>
      <c r="D193" s="680" t="s">
        <v>156</v>
      </c>
      <c r="E193" s="677" t="str">
        <f t="shared" si="30"/>
        <v>20140101KUCIE566</v>
      </c>
      <c r="F193" s="678">
        <v>170</v>
      </c>
      <c r="G193" s="679">
        <v>3.5619999999999999E-2</v>
      </c>
      <c r="H193" s="679">
        <v>0</v>
      </c>
      <c r="I193" s="679">
        <v>0</v>
      </c>
      <c r="J193" s="679"/>
      <c r="K193" s="679">
        <v>2.8920000000000001E-2</v>
      </c>
      <c r="L193" s="679">
        <f t="shared" si="34"/>
        <v>6.6999999999999976E-3</v>
      </c>
      <c r="M193" s="679"/>
      <c r="N193" s="679"/>
      <c r="O193" s="678"/>
      <c r="P193" s="678">
        <v>13.18</v>
      </c>
      <c r="Q193" s="678">
        <v>15.28</v>
      </c>
      <c r="R193" s="678"/>
      <c r="S193" s="678">
        <v>1.08</v>
      </c>
      <c r="T193" s="678">
        <v>1.08</v>
      </c>
      <c r="U193" s="678">
        <f t="shared" si="31"/>
        <v>0</v>
      </c>
      <c r="V193" s="678">
        <f t="shared" si="32"/>
        <v>12.1</v>
      </c>
      <c r="W193" s="678">
        <f t="shared" si="33"/>
        <v>14.2</v>
      </c>
    </row>
    <row r="194" spans="1:23">
      <c r="A194" s="674">
        <v>20140101</v>
      </c>
      <c r="B194" s="675" t="s">
        <v>24</v>
      </c>
      <c r="C194" s="676" t="s">
        <v>24</v>
      </c>
      <c r="D194" s="682" t="s">
        <v>154</v>
      </c>
      <c r="E194" s="677" t="str">
        <f t="shared" si="30"/>
        <v>20140101KUCIE562</v>
      </c>
      <c r="F194" s="678">
        <v>90</v>
      </c>
      <c r="G194" s="679">
        <v>3.5640000000000005E-2</v>
      </c>
      <c r="H194" s="679">
        <v>0</v>
      </c>
      <c r="I194" s="679">
        <v>0</v>
      </c>
      <c r="J194" s="679"/>
      <c r="K194" s="679">
        <v>2.8920000000000001E-2</v>
      </c>
      <c r="L194" s="679">
        <f t="shared" si="34"/>
        <v>6.7200000000000037E-3</v>
      </c>
      <c r="M194" s="679"/>
      <c r="N194" s="679"/>
      <c r="O194" s="678"/>
      <c r="P194" s="678">
        <v>13.2</v>
      </c>
      <c r="Q194" s="678">
        <v>15.3</v>
      </c>
      <c r="R194" s="678"/>
      <c r="S194" s="678">
        <v>1.08</v>
      </c>
      <c r="T194" s="678">
        <v>1.08</v>
      </c>
      <c r="U194" s="678">
        <f t="shared" si="31"/>
        <v>0</v>
      </c>
      <c r="V194" s="678">
        <f t="shared" si="32"/>
        <v>12.12</v>
      </c>
      <c r="W194" s="678">
        <f t="shared" si="33"/>
        <v>14.22</v>
      </c>
    </row>
    <row r="195" spans="1:23">
      <c r="A195" s="674">
        <v>20140101</v>
      </c>
      <c r="B195" s="675" t="s">
        <v>24</v>
      </c>
      <c r="C195" s="676" t="s">
        <v>24</v>
      </c>
      <c r="D195" s="676" t="s">
        <v>157</v>
      </c>
      <c r="E195" s="677" t="str">
        <f t="shared" si="30"/>
        <v>20140101KUCIE568</v>
      </c>
      <c r="F195" s="678">
        <v>90</v>
      </c>
      <c r="G195" s="679">
        <v>3.5640000000000005E-2</v>
      </c>
      <c r="H195" s="679">
        <v>0</v>
      </c>
      <c r="I195" s="679">
        <v>0</v>
      </c>
      <c r="J195" s="679"/>
      <c r="K195" s="679">
        <v>2.8920000000000001E-2</v>
      </c>
      <c r="L195" s="679">
        <f t="shared" si="34"/>
        <v>6.7200000000000037E-3</v>
      </c>
      <c r="M195" s="679"/>
      <c r="N195" s="679"/>
      <c r="O195" s="678"/>
      <c r="P195" s="678">
        <v>13.2</v>
      </c>
      <c r="Q195" s="678">
        <v>15.3</v>
      </c>
      <c r="R195" s="678"/>
      <c r="S195" s="678">
        <v>1.08</v>
      </c>
      <c r="T195" s="678">
        <v>1.08</v>
      </c>
      <c r="U195" s="678">
        <f t="shared" si="31"/>
        <v>0</v>
      </c>
      <c r="V195" s="678">
        <f t="shared" si="32"/>
        <v>12.12</v>
      </c>
      <c r="W195" s="678">
        <f t="shared" si="33"/>
        <v>14.22</v>
      </c>
    </row>
    <row r="196" spans="1:23">
      <c r="A196" s="674">
        <v>20140101</v>
      </c>
      <c r="B196" s="675" t="s">
        <v>24</v>
      </c>
      <c r="C196" s="676" t="s">
        <v>214</v>
      </c>
      <c r="D196" s="676" t="s">
        <v>160</v>
      </c>
      <c r="E196" s="677" t="str">
        <f t="shared" si="30"/>
        <v>20140101KUCIE717</v>
      </c>
      <c r="F196" s="678">
        <v>90</v>
      </c>
      <c r="G196" s="679">
        <v>3.5640000000000005E-2</v>
      </c>
      <c r="H196" s="679">
        <v>0</v>
      </c>
      <c r="I196" s="679">
        <v>0</v>
      </c>
      <c r="J196" s="679"/>
      <c r="K196" s="679">
        <v>2.8920000000000001E-2</v>
      </c>
      <c r="L196" s="679">
        <f t="shared" si="34"/>
        <v>6.7200000000000037E-3</v>
      </c>
      <c r="M196" s="679"/>
      <c r="N196" s="679"/>
      <c r="O196" s="678"/>
      <c r="P196" s="678">
        <v>13.2</v>
      </c>
      <c r="Q196" s="678">
        <v>15.3</v>
      </c>
      <c r="R196" s="678"/>
      <c r="S196" s="678">
        <v>1.08</v>
      </c>
      <c r="T196" s="678">
        <v>1.08</v>
      </c>
      <c r="U196" s="678">
        <f t="shared" si="31"/>
        <v>0</v>
      </c>
      <c r="V196" s="678">
        <f t="shared" si="32"/>
        <v>12.12</v>
      </c>
      <c r="W196" s="678">
        <f t="shared" si="33"/>
        <v>14.22</v>
      </c>
    </row>
    <row r="197" spans="1:23">
      <c r="A197" s="674">
        <v>20140101</v>
      </c>
      <c r="B197" s="675" t="s">
        <v>205</v>
      </c>
      <c r="C197" s="676" t="s">
        <v>205</v>
      </c>
      <c r="D197" s="676" t="s">
        <v>155</v>
      </c>
      <c r="E197" s="677" t="str">
        <f t="shared" si="30"/>
        <v>20140101KUCIE563</v>
      </c>
      <c r="F197" s="678">
        <v>300</v>
      </c>
      <c r="G197" s="679">
        <v>3.7650000000000003E-2</v>
      </c>
      <c r="H197" s="679">
        <v>0</v>
      </c>
      <c r="I197" s="679">
        <v>0</v>
      </c>
      <c r="J197" s="679"/>
      <c r="K197" s="679">
        <v>2.8920000000000001E-2</v>
      </c>
      <c r="L197" s="679">
        <f t="shared" si="34"/>
        <v>8.7300000000000016E-3</v>
      </c>
      <c r="M197" s="679"/>
      <c r="N197" s="679"/>
      <c r="O197" s="678">
        <v>1.71</v>
      </c>
      <c r="P197" s="678">
        <v>2.76</v>
      </c>
      <c r="Q197" s="678">
        <v>4.26</v>
      </c>
      <c r="R197" s="678">
        <v>0.26</v>
      </c>
      <c r="S197" s="678">
        <v>0.26</v>
      </c>
      <c r="T197" s="678">
        <v>0.26</v>
      </c>
      <c r="U197" s="678">
        <f t="shared" si="31"/>
        <v>1.45</v>
      </c>
      <c r="V197" s="678">
        <f t="shared" si="32"/>
        <v>2.5</v>
      </c>
      <c r="W197" s="678">
        <f t="shared" si="33"/>
        <v>4</v>
      </c>
    </row>
    <row r="198" spans="1:23">
      <c r="A198" s="674">
        <v>20140101</v>
      </c>
      <c r="B198" s="675" t="s">
        <v>205</v>
      </c>
      <c r="C198" s="676" t="s">
        <v>205</v>
      </c>
      <c r="D198" s="676" t="s">
        <v>158</v>
      </c>
      <c r="E198" s="677" t="str">
        <f t="shared" si="30"/>
        <v>20140101KUCIE571</v>
      </c>
      <c r="F198" s="678">
        <v>300</v>
      </c>
      <c r="G198" s="679">
        <v>3.7650000000000003E-2</v>
      </c>
      <c r="H198" s="679">
        <v>0</v>
      </c>
      <c r="I198" s="679">
        <v>0</v>
      </c>
      <c r="J198" s="679"/>
      <c r="K198" s="679">
        <v>2.8920000000000001E-2</v>
      </c>
      <c r="L198" s="679">
        <f t="shared" si="34"/>
        <v>8.7300000000000016E-3</v>
      </c>
      <c r="M198" s="679"/>
      <c r="N198" s="679"/>
      <c r="O198" s="678">
        <v>1.71</v>
      </c>
      <c r="P198" s="678">
        <v>2.76</v>
      </c>
      <c r="Q198" s="678">
        <v>4.26</v>
      </c>
      <c r="R198" s="678">
        <v>0.26</v>
      </c>
      <c r="S198" s="678">
        <v>0.26</v>
      </c>
      <c r="T198" s="678">
        <v>0.26</v>
      </c>
      <c r="U198" s="678">
        <f t="shared" si="31"/>
        <v>1.45</v>
      </c>
      <c r="V198" s="678">
        <f t="shared" si="32"/>
        <v>2.5</v>
      </c>
      <c r="W198" s="678">
        <f t="shared" si="33"/>
        <v>4</v>
      </c>
    </row>
    <row r="199" spans="1:23">
      <c r="A199" s="674">
        <v>20140101</v>
      </c>
      <c r="B199" s="675" t="s">
        <v>204</v>
      </c>
      <c r="C199" s="676" t="s">
        <v>204</v>
      </c>
      <c r="D199" s="676" t="s">
        <v>159</v>
      </c>
      <c r="E199" s="677" t="str">
        <f t="shared" si="30"/>
        <v>20140101KUCIE572</v>
      </c>
      <c r="F199" s="678">
        <v>200</v>
      </c>
      <c r="G199" s="679">
        <v>3.773E-2</v>
      </c>
      <c r="H199" s="679">
        <v>0</v>
      </c>
      <c r="I199" s="679">
        <v>0</v>
      </c>
      <c r="J199" s="679"/>
      <c r="K199" s="679">
        <v>2.8920000000000001E-2</v>
      </c>
      <c r="L199" s="679">
        <f t="shared" si="34"/>
        <v>8.8099999999999984E-3</v>
      </c>
      <c r="M199" s="679"/>
      <c r="N199" s="679"/>
      <c r="O199" s="678">
        <v>3.62</v>
      </c>
      <c r="P199" s="678">
        <v>2.95</v>
      </c>
      <c r="Q199" s="678">
        <v>4.55</v>
      </c>
      <c r="R199" s="678">
        <v>0.33</v>
      </c>
      <c r="S199" s="678">
        <v>0.33</v>
      </c>
      <c r="T199" s="678">
        <v>0.33</v>
      </c>
      <c r="U199" s="678">
        <f t="shared" si="31"/>
        <v>3.29</v>
      </c>
      <c r="V199" s="678">
        <f t="shared" si="32"/>
        <v>2.62</v>
      </c>
      <c r="W199" s="678">
        <f t="shared" si="33"/>
        <v>4.22</v>
      </c>
    </row>
    <row r="200" spans="1:23">
      <c r="A200" s="674">
        <v>20140101</v>
      </c>
      <c r="B200" s="675" t="s">
        <v>18</v>
      </c>
      <c r="C200" s="676" t="s">
        <v>18</v>
      </c>
      <c r="D200" s="676" t="s">
        <v>152</v>
      </c>
      <c r="E200" s="677" t="str">
        <f t="shared" ref="E200:E212" si="35">A200&amp;D200</f>
        <v>20140101KUCIE550</v>
      </c>
      <c r="F200" s="678">
        <v>750</v>
      </c>
      <c r="G200" s="679">
        <v>3.6339999999999997E-2</v>
      </c>
      <c r="H200" s="679">
        <v>0</v>
      </c>
      <c r="I200" s="679">
        <v>0</v>
      </c>
      <c r="J200" s="679"/>
      <c r="K200" s="679">
        <v>2.8920000000000001E-2</v>
      </c>
      <c r="L200" s="679">
        <f t="shared" si="34"/>
        <v>7.419999999999996E-3</v>
      </c>
      <c r="M200" s="679"/>
      <c r="N200" s="679"/>
      <c r="O200" s="678">
        <v>1.34</v>
      </c>
      <c r="P200" s="678">
        <v>2.87</v>
      </c>
      <c r="Q200" s="678">
        <v>3.97</v>
      </c>
      <c r="R200" s="678">
        <v>0.24</v>
      </c>
      <c r="S200" s="678">
        <v>0.24</v>
      </c>
      <c r="T200" s="678">
        <v>0.24</v>
      </c>
      <c r="U200" s="678">
        <f t="shared" si="31"/>
        <v>1.1000000000000001</v>
      </c>
      <c r="V200" s="678">
        <f t="shared" si="32"/>
        <v>2.63</v>
      </c>
      <c r="W200" s="678">
        <f t="shared" si="33"/>
        <v>3.7300000000000004</v>
      </c>
    </row>
    <row r="201" spans="1:23">
      <c r="A201" s="674">
        <v>20140101</v>
      </c>
      <c r="B201" s="675" t="s">
        <v>26</v>
      </c>
      <c r="C201" s="676" t="s">
        <v>26</v>
      </c>
      <c r="D201" s="676" t="s">
        <v>215</v>
      </c>
      <c r="E201" s="677" t="str">
        <f t="shared" si="35"/>
        <v>20140101KUINE731</v>
      </c>
      <c r="F201" s="678">
        <v>750</v>
      </c>
      <c r="G201" s="679">
        <v>3.6430000000000004E-2</v>
      </c>
      <c r="H201" s="679">
        <v>0</v>
      </c>
      <c r="I201" s="679">
        <v>0</v>
      </c>
      <c r="J201" s="679"/>
      <c r="K201" s="679">
        <v>2.8920000000000001E-2</v>
      </c>
      <c r="L201" s="679">
        <f t="shared" si="34"/>
        <v>7.5100000000000028E-3</v>
      </c>
      <c r="M201" s="679"/>
      <c r="N201" s="679"/>
      <c r="O201" s="678">
        <v>1.8</v>
      </c>
      <c r="P201" s="678">
        <v>1.52</v>
      </c>
      <c r="Q201" s="678">
        <v>2.41</v>
      </c>
      <c r="R201" s="678">
        <v>0.11</v>
      </c>
      <c r="S201" s="678">
        <v>0.11</v>
      </c>
      <c r="T201" s="678">
        <v>0.11</v>
      </c>
      <c r="U201" s="678">
        <f t="shared" si="31"/>
        <v>1.69</v>
      </c>
      <c r="V201" s="678">
        <f t="shared" si="32"/>
        <v>1.41</v>
      </c>
      <c r="W201" s="678">
        <f t="shared" si="33"/>
        <v>2.3000000000000003</v>
      </c>
    </row>
    <row r="202" spans="1:23">
      <c r="A202" s="674">
        <v>20140101</v>
      </c>
      <c r="B202" s="675" t="s">
        <v>27</v>
      </c>
      <c r="C202" s="680" t="s">
        <v>27</v>
      </c>
      <c r="D202" s="680" t="s">
        <v>173</v>
      </c>
      <c r="E202" s="677" t="str">
        <f t="shared" si="35"/>
        <v>20140101KUINE730</v>
      </c>
      <c r="F202" s="678">
        <v>750</v>
      </c>
      <c r="G202" s="679">
        <v>3.261E-2</v>
      </c>
      <c r="H202" s="679">
        <v>0</v>
      </c>
      <c r="I202" s="679">
        <v>0</v>
      </c>
      <c r="J202" s="679"/>
      <c r="K202" s="679">
        <v>2.8920000000000001E-2</v>
      </c>
      <c r="L202" s="679">
        <f t="shared" si="34"/>
        <v>3.6899999999999988E-3</v>
      </c>
      <c r="M202" s="679"/>
      <c r="N202" s="679"/>
      <c r="O202" s="678">
        <v>1.05</v>
      </c>
      <c r="P202" s="678">
        <v>1.52</v>
      </c>
      <c r="Q202" s="678">
        <v>2.41</v>
      </c>
      <c r="R202" s="678">
        <v>0.11</v>
      </c>
      <c r="S202" s="678">
        <v>0.11</v>
      </c>
      <c r="T202" s="678">
        <v>0.11</v>
      </c>
      <c r="U202" s="678">
        <f t="shared" si="31"/>
        <v>0.94000000000000006</v>
      </c>
      <c r="V202" s="678">
        <f t="shared" si="32"/>
        <v>1.41</v>
      </c>
      <c r="W202" s="678">
        <f t="shared" si="33"/>
        <v>2.3000000000000003</v>
      </c>
    </row>
    <row r="203" spans="1:23">
      <c r="A203" s="674">
        <v>20140101</v>
      </c>
      <c r="B203" s="675" t="s">
        <v>1467</v>
      </c>
      <c r="C203" s="676" t="s">
        <v>1471</v>
      </c>
      <c r="D203" s="676" t="s">
        <v>171</v>
      </c>
      <c r="E203" s="677" t="str">
        <f t="shared" ref="E203" si="36">A203&amp;D203</f>
        <v>20140101KUCSR760</v>
      </c>
      <c r="F203" s="678">
        <v>0</v>
      </c>
      <c r="G203" s="679">
        <v>0</v>
      </c>
      <c r="H203" s="679">
        <v>0</v>
      </c>
      <c r="I203" s="679">
        <v>0</v>
      </c>
      <c r="J203" s="679">
        <v>0</v>
      </c>
      <c r="K203" s="679">
        <v>0</v>
      </c>
      <c r="L203" s="679">
        <f t="shared" ref="L203" si="37">G203-J203-K203</f>
        <v>0</v>
      </c>
      <c r="M203" s="679"/>
      <c r="N203" s="679"/>
      <c r="O203" s="678">
        <v>-5.4</v>
      </c>
      <c r="P203" s="678">
        <v>0</v>
      </c>
      <c r="Q203" s="678">
        <v>0</v>
      </c>
      <c r="R203" s="678">
        <v>0</v>
      </c>
      <c r="S203" s="678">
        <v>0</v>
      </c>
      <c r="T203" s="678">
        <v>0</v>
      </c>
      <c r="U203" s="678">
        <f t="shared" ref="U203" si="38">O203-R203</f>
        <v>-5.4</v>
      </c>
      <c r="V203" s="678">
        <f t="shared" ref="V203" si="39">P203-S203</f>
        <v>0</v>
      </c>
      <c r="W203" s="678">
        <f t="shared" ref="W203" si="40">Q203-T203</f>
        <v>0</v>
      </c>
    </row>
    <row r="204" spans="1:23">
      <c r="A204" s="674">
        <v>20140101</v>
      </c>
      <c r="B204" s="681" t="s">
        <v>1468</v>
      </c>
      <c r="C204" s="676" t="s">
        <v>1471</v>
      </c>
      <c r="D204" s="680" t="s">
        <v>172</v>
      </c>
      <c r="E204" s="677" t="str">
        <f t="shared" ref="E204:E205" si="41">A204&amp;D204</f>
        <v>20140101KUCSR761</v>
      </c>
      <c r="F204" s="678">
        <v>0</v>
      </c>
      <c r="G204" s="679">
        <v>0</v>
      </c>
      <c r="H204" s="679">
        <v>0</v>
      </c>
      <c r="I204" s="679">
        <v>0</v>
      </c>
      <c r="J204" s="679">
        <v>0</v>
      </c>
      <c r="K204" s="679">
        <v>0</v>
      </c>
      <c r="L204" s="679">
        <f t="shared" ref="L204:L205" si="42">G204-J204-K204</f>
        <v>0</v>
      </c>
      <c r="M204" s="679"/>
      <c r="N204" s="679"/>
      <c r="O204" s="678">
        <v>-5.5</v>
      </c>
      <c r="P204" s="678">
        <v>0</v>
      </c>
      <c r="Q204" s="678">
        <v>0</v>
      </c>
      <c r="R204" s="678">
        <v>0</v>
      </c>
      <c r="S204" s="678">
        <v>0</v>
      </c>
      <c r="T204" s="678">
        <v>0</v>
      </c>
      <c r="U204" s="678">
        <f t="shared" ref="U204:U205" si="43">O204-R204</f>
        <v>-5.5</v>
      </c>
      <c r="V204" s="678">
        <f t="shared" ref="V204:V205" si="44">P204-S204</f>
        <v>0</v>
      </c>
      <c r="W204" s="678">
        <f t="shared" ref="W204:W205" si="45">Q204-T204</f>
        <v>0</v>
      </c>
    </row>
    <row r="205" spans="1:23">
      <c r="A205" s="674">
        <v>20140101</v>
      </c>
      <c r="B205" s="681" t="s">
        <v>1469</v>
      </c>
      <c r="C205" s="680" t="s">
        <v>1472</v>
      </c>
      <c r="D205" s="680" t="s">
        <v>1399</v>
      </c>
      <c r="E205" s="677" t="str">
        <f t="shared" si="41"/>
        <v>20140101KUCSR780</v>
      </c>
      <c r="F205" s="678">
        <v>0</v>
      </c>
      <c r="G205" s="679">
        <v>0</v>
      </c>
      <c r="H205" s="679">
        <v>0</v>
      </c>
      <c r="I205" s="679">
        <v>0</v>
      </c>
      <c r="J205" s="679">
        <v>0</v>
      </c>
      <c r="K205" s="679">
        <v>0</v>
      </c>
      <c r="L205" s="679">
        <f t="shared" si="42"/>
        <v>0</v>
      </c>
      <c r="M205" s="679"/>
      <c r="N205" s="679"/>
      <c r="O205" s="678">
        <v>-4.3</v>
      </c>
      <c r="P205" s="678">
        <v>0</v>
      </c>
      <c r="Q205" s="678">
        <v>0</v>
      </c>
      <c r="R205" s="678">
        <v>0</v>
      </c>
      <c r="S205" s="678">
        <v>0</v>
      </c>
      <c r="T205" s="678">
        <v>0</v>
      </c>
      <c r="U205" s="678">
        <f t="shared" si="43"/>
        <v>-4.3</v>
      </c>
      <c r="V205" s="678">
        <f t="shared" si="44"/>
        <v>0</v>
      </c>
      <c r="W205" s="678">
        <f t="shared" si="45"/>
        <v>0</v>
      </c>
    </row>
    <row r="206" spans="1:23">
      <c r="A206" s="674">
        <v>20140101</v>
      </c>
      <c r="B206" s="681" t="s">
        <v>1470</v>
      </c>
      <c r="C206" s="680" t="s">
        <v>1472</v>
      </c>
      <c r="D206" s="680" t="s">
        <v>1397</v>
      </c>
      <c r="E206" s="677" t="str">
        <f t="shared" ref="E206" si="46">A206&amp;D206</f>
        <v>20140101KUCSR781</v>
      </c>
      <c r="F206" s="678">
        <v>0</v>
      </c>
      <c r="G206" s="679">
        <v>0</v>
      </c>
      <c r="H206" s="679">
        <v>0</v>
      </c>
      <c r="I206" s="679">
        <v>0</v>
      </c>
      <c r="J206" s="679">
        <v>0</v>
      </c>
      <c r="K206" s="679">
        <v>0</v>
      </c>
      <c r="L206" s="679">
        <f t="shared" ref="L206" si="47">G206-J206-K206</f>
        <v>0</v>
      </c>
      <c r="M206" s="679"/>
      <c r="N206" s="679"/>
      <c r="O206" s="678">
        <v>-4.4000000000000004</v>
      </c>
      <c r="P206" s="678">
        <v>0</v>
      </c>
      <c r="Q206" s="678">
        <v>0</v>
      </c>
      <c r="R206" s="678">
        <v>0</v>
      </c>
      <c r="S206" s="678">
        <v>0</v>
      </c>
      <c r="T206" s="678">
        <v>0</v>
      </c>
      <c r="U206" s="678">
        <f t="shared" ref="U206" si="48">O206-R206</f>
        <v>-4.4000000000000004</v>
      </c>
      <c r="V206" s="678">
        <f t="shared" ref="V206" si="49">P206-S206</f>
        <v>0</v>
      </c>
      <c r="W206" s="678">
        <f t="shared" ref="W206" si="50">Q206-T206</f>
        <v>0</v>
      </c>
    </row>
    <row r="207" spans="1:23">
      <c r="A207" s="674">
        <v>20140101</v>
      </c>
      <c r="B207" s="681" t="s">
        <v>1470</v>
      </c>
      <c r="C207" s="680" t="s">
        <v>1472</v>
      </c>
      <c r="D207" s="680" t="s">
        <v>1149</v>
      </c>
      <c r="E207" s="677" t="str">
        <f t="shared" ref="E207" si="51">A207&amp;D207</f>
        <v>20140101KUCSR783</v>
      </c>
      <c r="F207" s="678">
        <v>0</v>
      </c>
      <c r="G207" s="679">
        <v>0</v>
      </c>
      <c r="H207" s="679">
        <v>0</v>
      </c>
      <c r="I207" s="679">
        <v>0</v>
      </c>
      <c r="J207" s="679">
        <v>0</v>
      </c>
      <c r="K207" s="679">
        <v>0</v>
      </c>
      <c r="L207" s="679">
        <f t="shared" ref="L207" si="52">G207-J207-K207</f>
        <v>0</v>
      </c>
      <c r="M207" s="679"/>
      <c r="N207" s="679"/>
      <c r="O207" s="678">
        <v>-4.4000000000000004</v>
      </c>
      <c r="P207" s="678">
        <v>0</v>
      </c>
      <c r="Q207" s="678">
        <v>0</v>
      </c>
      <c r="R207" s="678">
        <v>0</v>
      </c>
      <c r="S207" s="678">
        <v>0</v>
      </c>
      <c r="T207" s="678">
        <v>0</v>
      </c>
      <c r="U207" s="678">
        <f t="shared" ref="U207" si="53">O207-R207</f>
        <v>-4.4000000000000004</v>
      </c>
      <c r="V207" s="678">
        <f t="shared" ref="V207" si="54">P207-S207</f>
        <v>0</v>
      </c>
      <c r="W207" s="678">
        <f t="shared" ref="W207" si="55">Q207-T207</f>
        <v>0</v>
      </c>
    </row>
    <row r="208" spans="1:23">
      <c r="A208" s="674">
        <v>20140101</v>
      </c>
      <c r="B208" s="675" t="s">
        <v>20</v>
      </c>
      <c r="C208" s="676" t="s">
        <v>20</v>
      </c>
      <c r="D208" s="676" t="s">
        <v>168</v>
      </c>
      <c r="E208" s="677" t="str">
        <f t="shared" si="35"/>
        <v>20140101KUCME295</v>
      </c>
      <c r="F208" s="678">
        <v>3.25</v>
      </c>
      <c r="G208" s="679">
        <v>7.9780000000000004E-2</v>
      </c>
      <c r="H208" s="679">
        <v>0</v>
      </c>
      <c r="I208" s="679">
        <v>0</v>
      </c>
      <c r="J208" s="679">
        <v>3.15E-3</v>
      </c>
      <c r="K208" s="679">
        <v>2.8920000000000001E-2</v>
      </c>
      <c r="L208" s="679">
        <f t="shared" si="34"/>
        <v>4.7710000000000002E-2</v>
      </c>
      <c r="M208" s="679"/>
      <c r="N208" s="679"/>
      <c r="O208" s="678"/>
      <c r="P208" s="678"/>
      <c r="Q208" s="678"/>
      <c r="R208" s="678"/>
      <c r="S208" s="678"/>
      <c r="T208" s="678"/>
      <c r="U208" s="678">
        <f t="shared" si="31"/>
        <v>0</v>
      </c>
      <c r="V208" s="678">
        <f t="shared" si="32"/>
        <v>0</v>
      </c>
      <c r="W208" s="678">
        <f t="shared" si="33"/>
        <v>0</v>
      </c>
    </row>
    <row r="209" spans="1:23">
      <c r="A209" s="674">
        <v>20140101</v>
      </c>
      <c r="B209" s="675" t="s">
        <v>20</v>
      </c>
      <c r="C209" s="676" t="s">
        <v>20</v>
      </c>
      <c r="D209" s="680" t="s">
        <v>623</v>
      </c>
      <c r="E209" s="677" t="str">
        <f t="shared" si="35"/>
        <v>20140101KUCME297</v>
      </c>
      <c r="F209" s="678">
        <v>3.25</v>
      </c>
      <c r="G209" s="679">
        <v>7.9780000000000004E-2</v>
      </c>
      <c r="H209" s="679">
        <v>0</v>
      </c>
      <c r="I209" s="679">
        <v>0</v>
      </c>
      <c r="J209" s="679">
        <v>3.15E-3</v>
      </c>
      <c r="K209" s="679">
        <v>2.8920000000000001E-2</v>
      </c>
      <c r="L209" s="679">
        <f t="shared" si="34"/>
        <v>4.7710000000000002E-2</v>
      </c>
      <c r="M209" s="679"/>
      <c r="N209" s="679"/>
      <c r="O209" s="678"/>
      <c r="P209" s="678"/>
      <c r="Q209" s="678"/>
      <c r="R209" s="678"/>
      <c r="S209" s="678"/>
      <c r="T209" s="678"/>
      <c r="U209" s="678">
        <f t="shared" si="31"/>
        <v>0</v>
      </c>
      <c r="V209" s="678">
        <f t="shared" si="32"/>
        <v>0</v>
      </c>
      <c r="W209" s="678">
        <f t="shared" si="33"/>
        <v>0</v>
      </c>
    </row>
    <row r="210" spans="1:23">
      <c r="A210" s="674">
        <v>20140101</v>
      </c>
      <c r="B210" s="675" t="s">
        <v>19</v>
      </c>
      <c r="C210" s="676" t="s">
        <v>19</v>
      </c>
      <c r="D210" s="680" t="s">
        <v>217</v>
      </c>
      <c r="E210" s="677" t="str">
        <f t="shared" si="35"/>
        <v>20140101KUCME290</v>
      </c>
      <c r="F210" s="678">
        <v>0</v>
      </c>
      <c r="G210" s="679">
        <v>6.3799999999999996E-2</v>
      </c>
      <c r="H210" s="679">
        <v>0</v>
      </c>
      <c r="I210" s="679">
        <v>0</v>
      </c>
      <c r="J210" s="679">
        <v>3.15E-3</v>
      </c>
      <c r="K210" s="679">
        <v>2.8920000000000001E-2</v>
      </c>
      <c r="L210" s="679">
        <f t="shared" si="34"/>
        <v>3.1729999999999994E-2</v>
      </c>
      <c r="M210" s="679"/>
      <c r="N210" s="679"/>
      <c r="O210" s="678"/>
      <c r="P210" s="678"/>
      <c r="Q210" s="678"/>
      <c r="R210" s="678"/>
      <c r="S210" s="678"/>
      <c r="T210" s="678"/>
      <c r="U210" s="678">
        <f t="shared" si="31"/>
        <v>0</v>
      </c>
      <c r="V210" s="678">
        <f t="shared" si="32"/>
        <v>0</v>
      </c>
      <c r="W210" s="678">
        <f t="shared" si="33"/>
        <v>0</v>
      </c>
    </row>
    <row r="211" spans="1:23">
      <c r="A211" s="674">
        <v>20140101</v>
      </c>
      <c r="B211" s="675" t="s">
        <v>19</v>
      </c>
      <c r="C211" s="676" t="s">
        <v>19</v>
      </c>
      <c r="D211" s="676" t="s">
        <v>216</v>
      </c>
      <c r="E211" s="677" t="str">
        <f t="shared" si="35"/>
        <v>20140101KUCME291</v>
      </c>
      <c r="F211" s="678">
        <v>0</v>
      </c>
      <c r="G211" s="679">
        <v>6.3799999999999996E-2</v>
      </c>
      <c r="H211" s="679">
        <v>0</v>
      </c>
      <c r="I211" s="679">
        <v>0</v>
      </c>
      <c r="J211" s="679">
        <v>3.15E-3</v>
      </c>
      <c r="K211" s="679">
        <v>2.8920000000000001E-2</v>
      </c>
      <c r="L211" s="679">
        <f t="shared" si="34"/>
        <v>3.1729999999999994E-2</v>
      </c>
      <c r="M211" s="679"/>
      <c r="N211" s="679"/>
      <c r="O211" s="678"/>
      <c r="P211" s="678"/>
      <c r="Q211" s="678"/>
      <c r="R211" s="678"/>
      <c r="S211" s="678"/>
      <c r="T211" s="678"/>
      <c r="U211" s="678">
        <f t="shared" si="31"/>
        <v>0</v>
      </c>
      <c r="V211" s="678">
        <f t="shared" si="32"/>
        <v>0</v>
      </c>
      <c r="W211" s="678">
        <f t="shared" si="33"/>
        <v>0</v>
      </c>
    </row>
    <row r="212" spans="1:23">
      <c r="A212" s="674">
        <v>20140101</v>
      </c>
      <c r="B212" s="675" t="s">
        <v>19</v>
      </c>
      <c r="C212" s="676" t="s">
        <v>19</v>
      </c>
      <c r="D212" s="680" t="s">
        <v>218</v>
      </c>
      <c r="E212" s="677" t="str">
        <f t="shared" si="35"/>
        <v>20140101KUCME292</v>
      </c>
      <c r="F212" s="678">
        <v>0</v>
      </c>
      <c r="G212" s="679">
        <v>6.3799999999999996E-2</v>
      </c>
      <c r="H212" s="679">
        <v>0</v>
      </c>
      <c r="I212" s="679">
        <v>0</v>
      </c>
      <c r="J212" s="679">
        <v>3.15E-3</v>
      </c>
      <c r="K212" s="679">
        <v>2.8920000000000001E-2</v>
      </c>
      <c r="L212" s="679">
        <f t="shared" si="34"/>
        <v>3.1729999999999994E-2</v>
      </c>
      <c r="M212" s="679"/>
      <c r="N212" s="679"/>
      <c r="O212" s="678"/>
      <c r="P212" s="678"/>
      <c r="Q212" s="678"/>
      <c r="R212" s="678"/>
      <c r="S212" s="678"/>
      <c r="T212" s="678"/>
      <c r="U212" s="678">
        <f t="shared" si="31"/>
        <v>0</v>
      </c>
      <c r="V212" s="678">
        <f t="shared" si="32"/>
        <v>0</v>
      </c>
      <c r="W212" s="678">
        <f t="shared" si="33"/>
        <v>0</v>
      </c>
    </row>
  </sheetData>
  <autoFilter ref="A2:W173"/>
  <sortState ref="D658:M759">
    <sortCondition ref="D658:D759"/>
  </sortState>
  <mergeCells count="3">
    <mergeCell ref="O1:Q1"/>
    <mergeCell ref="R1:T1"/>
    <mergeCell ref="U1:W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V770"/>
  <sheetViews>
    <sheetView workbookViewId="0"/>
  </sheetViews>
  <sheetFormatPr defaultRowHeight="12"/>
  <cols>
    <col min="1" max="1" width="9.33203125" style="439"/>
    <col min="2" max="2" width="9.33203125" style="599"/>
    <col min="3" max="3" width="15" style="599" bestFit="1" customWidth="1"/>
    <col min="4" max="4" width="23.33203125" style="623" bestFit="1" customWidth="1"/>
    <col min="5" max="5" width="15.1640625" style="435" bestFit="1" customWidth="1"/>
    <col min="6" max="6" width="14.33203125" style="439" customWidth="1"/>
    <col min="7" max="7" width="9.33203125" style="435"/>
    <col min="8" max="9" width="9.33203125" style="439"/>
    <col min="10" max="10" width="9.33203125" style="435"/>
    <col min="11" max="11" width="11.1640625" style="439" customWidth="1"/>
    <col min="12" max="13" width="11.5" style="439" customWidth="1"/>
    <col min="14" max="18" width="9.33203125" style="439"/>
    <col min="19" max="16384" width="9.33203125" style="599"/>
  </cols>
  <sheetData>
    <row r="1" spans="1:22">
      <c r="A1" s="599"/>
      <c r="E1" s="623"/>
      <c r="F1" s="599"/>
      <c r="G1" s="623"/>
      <c r="H1" s="599"/>
      <c r="I1" s="599"/>
      <c r="J1" s="683"/>
      <c r="K1" s="684"/>
      <c r="L1" s="447" t="s">
        <v>718</v>
      </c>
      <c r="M1" s="1312"/>
      <c r="N1" s="1313"/>
      <c r="O1" s="1313"/>
      <c r="P1" s="1312"/>
      <c r="Q1" s="1313"/>
      <c r="R1" s="1313"/>
    </row>
    <row r="2" spans="1:22" ht="48">
      <c r="A2" s="439" t="s">
        <v>9</v>
      </c>
      <c r="B2" s="624" t="s">
        <v>10</v>
      </c>
      <c r="C2" s="624" t="s">
        <v>5</v>
      </c>
      <c r="D2" s="685" t="s">
        <v>11</v>
      </c>
      <c r="E2" s="627" t="s">
        <v>675</v>
      </c>
      <c r="F2" s="626" t="s">
        <v>676</v>
      </c>
      <c r="G2" s="627" t="s">
        <v>12</v>
      </c>
      <c r="H2" s="625" t="s">
        <v>13</v>
      </c>
      <c r="I2" s="625" t="s">
        <v>1400</v>
      </c>
      <c r="J2" s="686"/>
      <c r="L2" s="481"/>
      <c r="S2" s="624"/>
      <c r="T2" s="624"/>
      <c r="U2" s="624"/>
      <c r="V2" s="624"/>
    </row>
    <row r="3" spans="1:22">
      <c r="A3" s="439">
        <v>1</v>
      </c>
      <c r="B3" s="599">
        <v>2</v>
      </c>
      <c r="C3" s="599">
        <v>3</v>
      </c>
      <c r="D3" s="623">
        <v>4</v>
      </c>
      <c r="E3" s="435">
        <v>5</v>
      </c>
      <c r="F3" s="439">
        <v>6</v>
      </c>
      <c r="G3" s="435">
        <v>8</v>
      </c>
      <c r="H3" s="439">
        <v>9</v>
      </c>
      <c r="I3" s="439">
        <v>10</v>
      </c>
    </row>
    <row r="4" spans="1:22">
      <c r="A4" s="634">
        <v>20100801</v>
      </c>
      <c r="B4" s="630" t="s">
        <v>708</v>
      </c>
      <c r="C4" s="635" t="s">
        <v>416</v>
      </c>
      <c r="D4" s="687" t="str">
        <f t="shared" ref="D4:D67" si="0">A4&amp;C4</f>
        <v>20100801KUUM_300</v>
      </c>
      <c r="E4" s="631">
        <f>SUM(G4:I4)</f>
        <v>21.040000000000003</v>
      </c>
      <c r="F4" s="688">
        <v>200</v>
      </c>
      <c r="G4" s="631">
        <v>0.73</v>
      </c>
      <c r="H4" s="631">
        <v>0.55000000000000004</v>
      </c>
      <c r="I4" s="631">
        <v>19.760000000000002</v>
      </c>
      <c r="J4" s="435" t="s">
        <v>418</v>
      </c>
      <c r="K4" s="436"/>
      <c r="L4" s="436"/>
      <c r="M4" s="436"/>
      <c r="N4" s="436"/>
      <c r="O4" s="436"/>
      <c r="P4" s="436"/>
      <c r="Q4" s="600"/>
      <c r="R4" s="600"/>
    </row>
    <row r="5" spans="1:22">
      <c r="A5" s="634">
        <f t="shared" ref="A5:A68" si="1">A4</f>
        <v>20100801</v>
      </c>
      <c r="B5" s="630" t="s">
        <v>708</v>
      </c>
      <c r="C5" s="635" t="s">
        <v>417</v>
      </c>
      <c r="D5" s="687" t="str">
        <f t="shared" si="0"/>
        <v>20100801KUUM_301</v>
      </c>
      <c r="E5" s="631">
        <f t="shared" ref="E5:E68" si="2">SUM(G5:I5)</f>
        <v>21.96</v>
      </c>
      <c r="F5" s="688">
        <v>400</v>
      </c>
      <c r="G5" s="631">
        <v>0.75</v>
      </c>
      <c r="H5" s="631">
        <v>1.07</v>
      </c>
      <c r="I5" s="631">
        <v>20.14</v>
      </c>
      <c r="J5" s="442" t="s">
        <v>419</v>
      </c>
      <c r="K5" s="436"/>
      <c r="L5" s="436"/>
      <c r="M5" s="436"/>
      <c r="N5" s="436"/>
      <c r="O5" s="436"/>
      <c r="P5" s="436"/>
      <c r="Q5" s="600"/>
      <c r="R5" s="600"/>
    </row>
    <row r="6" spans="1:22">
      <c r="A6" s="634">
        <f t="shared" si="1"/>
        <v>20100801</v>
      </c>
      <c r="B6" s="630" t="s">
        <v>665</v>
      </c>
      <c r="C6" s="630" t="s">
        <v>323</v>
      </c>
      <c r="D6" s="687" t="str">
        <f t="shared" si="0"/>
        <v>20100801KUUM_360</v>
      </c>
      <c r="E6" s="631">
        <f t="shared" si="2"/>
        <v>49.340000000000011</v>
      </c>
      <c r="F6" s="688">
        <v>724</v>
      </c>
      <c r="G6" s="631">
        <v>5.44</v>
      </c>
      <c r="H6" s="631">
        <v>1.66</v>
      </c>
      <c r="I6" s="631">
        <v>42.240000000000009</v>
      </c>
      <c r="J6" s="435" t="s">
        <v>232</v>
      </c>
      <c r="K6" s="436"/>
      <c r="L6" s="436"/>
      <c r="M6" s="436"/>
      <c r="N6" s="436"/>
      <c r="O6" s="436"/>
      <c r="P6" s="436"/>
      <c r="Q6" s="600"/>
      <c r="R6" s="600"/>
    </row>
    <row r="7" spans="1:22">
      <c r="A7" s="634">
        <f t="shared" si="1"/>
        <v>20100801</v>
      </c>
      <c r="B7" s="630" t="s">
        <v>665</v>
      </c>
      <c r="C7" s="630" t="s">
        <v>328</v>
      </c>
      <c r="D7" s="687" t="str">
        <f t="shared" si="0"/>
        <v>20100801KUUM_361</v>
      </c>
      <c r="E7" s="631">
        <f t="shared" si="2"/>
        <v>76.12</v>
      </c>
      <c r="F7" s="688">
        <v>724</v>
      </c>
      <c r="G7" s="631">
        <v>5.44</v>
      </c>
      <c r="H7" s="631">
        <v>1.66</v>
      </c>
      <c r="I7" s="631">
        <v>69.02000000000001</v>
      </c>
      <c r="J7" s="435" t="s">
        <v>237</v>
      </c>
      <c r="K7" s="436"/>
      <c r="L7" s="436"/>
      <c r="M7" s="436"/>
      <c r="N7" s="436"/>
      <c r="O7" s="436"/>
      <c r="P7" s="436"/>
      <c r="Q7" s="600"/>
      <c r="R7" s="600"/>
    </row>
    <row r="8" spans="1:22">
      <c r="A8" s="634">
        <f t="shared" si="1"/>
        <v>20100801</v>
      </c>
      <c r="B8" s="630" t="s">
        <v>665</v>
      </c>
      <c r="C8" s="630" t="s">
        <v>331</v>
      </c>
      <c r="D8" s="687" t="str">
        <f t="shared" si="0"/>
        <v>20100801KUUM_362</v>
      </c>
      <c r="E8" s="631">
        <f t="shared" si="2"/>
        <v>53.620000000000005</v>
      </c>
      <c r="F8" s="688">
        <v>724</v>
      </c>
      <c r="G8" s="631">
        <v>5.44</v>
      </c>
      <c r="H8" s="631">
        <v>1.66</v>
      </c>
      <c r="I8" s="631">
        <v>46.52</v>
      </c>
      <c r="J8" s="435" t="s">
        <v>240</v>
      </c>
      <c r="K8" s="600"/>
      <c r="L8" s="600"/>
      <c r="M8" s="600"/>
      <c r="N8" s="600"/>
      <c r="O8" s="600"/>
      <c r="P8" s="600"/>
      <c r="Q8" s="600"/>
      <c r="R8" s="600"/>
    </row>
    <row r="9" spans="1:22">
      <c r="A9" s="634">
        <f t="shared" si="1"/>
        <v>20100801</v>
      </c>
      <c r="B9" s="630" t="s">
        <v>665</v>
      </c>
      <c r="C9" s="630" t="s">
        <v>332</v>
      </c>
      <c r="D9" s="687" t="str">
        <f t="shared" si="0"/>
        <v>20100801KUUM_363</v>
      </c>
      <c r="E9" s="631">
        <f t="shared" si="2"/>
        <v>55.52000000000001</v>
      </c>
      <c r="F9" s="688">
        <v>724</v>
      </c>
      <c r="G9" s="631">
        <v>5.44</v>
      </c>
      <c r="H9" s="631">
        <v>1.66</v>
      </c>
      <c r="I9" s="631">
        <v>48.420000000000009</v>
      </c>
      <c r="J9" s="435" t="s">
        <v>241</v>
      </c>
    </row>
    <row r="10" spans="1:22">
      <c r="A10" s="634">
        <f t="shared" si="1"/>
        <v>20100801</v>
      </c>
      <c r="B10" s="630" t="s">
        <v>665</v>
      </c>
      <c r="C10" s="630" t="s">
        <v>333</v>
      </c>
      <c r="D10" s="687" t="str">
        <f t="shared" si="0"/>
        <v>20100801KUUM_364</v>
      </c>
      <c r="E10" s="631">
        <f t="shared" si="2"/>
        <v>56.830000000000005</v>
      </c>
      <c r="F10" s="688">
        <v>724</v>
      </c>
      <c r="G10" s="631">
        <v>5.44</v>
      </c>
      <c r="H10" s="631">
        <v>1.66</v>
      </c>
      <c r="I10" s="631">
        <v>49.730000000000004</v>
      </c>
      <c r="J10" s="435" t="s">
        <v>242</v>
      </c>
    </row>
    <row r="11" spans="1:22">
      <c r="A11" s="634">
        <f t="shared" si="1"/>
        <v>20100801</v>
      </c>
      <c r="B11" s="630" t="s">
        <v>665</v>
      </c>
      <c r="C11" s="630" t="s">
        <v>335</v>
      </c>
      <c r="D11" s="687" t="str">
        <f t="shared" si="0"/>
        <v>20100801KUUM_365</v>
      </c>
      <c r="E11" s="631">
        <f t="shared" si="2"/>
        <v>73.98</v>
      </c>
      <c r="F11" s="688">
        <v>724</v>
      </c>
      <c r="G11" s="631">
        <v>5.44</v>
      </c>
      <c r="H11" s="631">
        <v>1.66</v>
      </c>
      <c r="I11" s="631">
        <v>66.88000000000001</v>
      </c>
      <c r="J11" s="435" t="s">
        <v>244</v>
      </c>
    </row>
    <row r="12" spans="1:22">
      <c r="A12" s="634">
        <f t="shared" si="1"/>
        <v>20100801</v>
      </c>
      <c r="B12" s="630" t="s">
        <v>665</v>
      </c>
      <c r="C12" s="630" t="s">
        <v>336</v>
      </c>
      <c r="D12" s="687" t="str">
        <f t="shared" si="0"/>
        <v>20100801KUUM_366</v>
      </c>
      <c r="E12" s="631">
        <f t="shared" si="2"/>
        <v>72.08</v>
      </c>
      <c r="F12" s="688">
        <v>724</v>
      </c>
      <c r="G12" s="631">
        <v>5.44</v>
      </c>
      <c r="H12" s="631">
        <v>1.66</v>
      </c>
      <c r="I12" s="631">
        <v>64.98</v>
      </c>
      <c r="J12" s="435" t="s">
        <v>245</v>
      </c>
    </row>
    <row r="13" spans="1:22">
      <c r="A13" s="634">
        <f t="shared" si="1"/>
        <v>20100801</v>
      </c>
      <c r="B13" s="630" t="s">
        <v>665</v>
      </c>
      <c r="C13" s="630" t="s">
        <v>338</v>
      </c>
      <c r="D13" s="687" t="str">
        <f t="shared" si="0"/>
        <v>20100801KUUM_367</v>
      </c>
      <c r="E13" s="631">
        <f t="shared" si="2"/>
        <v>55.02000000000001</v>
      </c>
      <c r="F13" s="688">
        <v>724</v>
      </c>
      <c r="G13" s="631">
        <v>5.44</v>
      </c>
      <c r="H13" s="631">
        <v>1.66</v>
      </c>
      <c r="I13" s="631">
        <v>47.920000000000009</v>
      </c>
      <c r="J13" s="435" t="s">
        <v>247</v>
      </c>
    </row>
    <row r="14" spans="1:22">
      <c r="A14" s="634">
        <f t="shared" si="1"/>
        <v>20100801</v>
      </c>
      <c r="B14" s="630" t="s">
        <v>665</v>
      </c>
      <c r="C14" s="630" t="s">
        <v>339</v>
      </c>
      <c r="D14" s="687" t="str">
        <f t="shared" si="0"/>
        <v>20100801KUUM_368</v>
      </c>
      <c r="E14" s="631">
        <f t="shared" si="2"/>
        <v>50.650000000000006</v>
      </c>
      <c r="F14" s="688">
        <v>724</v>
      </c>
      <c r="G14" s="631">
        <v>5.44</v>
      </c>
      <c r="H14" s="631">
        <v>1.66</v>
      </c>
      <c r="I14" s="631">
        <v>43.550000000000004</v>
      </c>
      <c r="J14" s="435" t="s">
        <v>248</v>
      </c>
    </row>
    <row r="15" spans="1:22">
      <c r="A15" s="634">
        <f t="shared" si="1"/>
        <v>20100801</v>
      </c>
      <c r="B15" s="630" t="s">
        <v>665</v>
      </c>
      <c r="C15" s="630" t="s">
        <v>325</v>
      </c>
      <c r="D15" s="687" t="str">
        <f t="shared" si="0"/>
        <v>20100801KUUM_370</v>
      </c>
      <c r="E15" s="631">
        <f t="shared" si="2"/>
        <v>67.8</v>
      </c>
      <c r="F15" s="688">
        <v>724</v>
      </c>
      <c r="G15" s="631">
        <v>5.44</v>
      </c>
      <c r="H15" s="631">
        <v>1.66</v>
      </c>
      <c r="I15" s="631">
        <v>60.7</v>
      </c>
      <c r="J15" s="435" t="s">
        <v>234</v>
      </c>
    </row>
    <row r="16" spans="1:22">
      <c r="A16" s="634">
        <f t="shared" si="1"/>
        <v>20100801</v>
      </c>
      <c r="B16" s="630" t="s">
        <v>665</v>
      </c>
      <c r="C16" s="630" t="s">
        <v>334</v>
      </c>
      <c r="D16" s="687" t="str">
        <f t="shared" si="0"/>
        <v>20100801KUUM_372</v>
      </c>
      <c r="E16" s="631">
        <f t="shared" si="2"/>
        <v>75.290000000000006</v>
      </c>
      <c r="F16" s="688">
        <v>724</v>
      </c>
      <c r="G16" s="631">
        <v>5.44</v>
      </c>
      <c r="H16" s="631">
        <v>1.66</v>
      </c>
      <c r="I16" s="631">
        <v>68.190000000000012</v>
      </c>
      <c r="J16" s="435" t="s">
        <v>243</v>
      </c>
    </row>
    <row r="17" spans="1:22">
      <c r="A17" s="634">
        <f t="shared" si="1"/>
        <v>20100801</v>
      </c>
      <c r="B17" s="630" t="s">
        <v>665</v>
      </c>
      <c r="C17" s="630" t="s">
        <v>326</v>
      </c>
      <c r="D17" s="687" t="str">
        <f t="shared" si="0"/>
        <v>20100801KUUM_373</v>
      </c>
      <c r="E17" s="631">
        <f t="shared" si="2"/>
        <v>67.8</v>
      </c>
      <c r="F17" s="688">
        <v>724</v>
      </c>
      <c r="G17" s="631">
        <v>5.44</v>
      </c>
      <c r="H17" s="631">
        <v>1.66</v>
      </c>
      <c r="I17" s="631">
        <v>60.7</v>
      </c>
      <c r="J17" s="435" t="s">
        <v>235</v>
      </c>
    </row>
    <row r="18" spans="1:22">
      <c r="A18" s="634">
        <f t="shared" si="1"/>
        <v>20100801</v>
      </c>
      <c r="B18" s="630" t="s">
        <v>665</v>
      </c>
      <c r="C18" s="630" t="s">
        <v>330</v>
      </c>
      <c r="D18" s="687" t="str">
        <f t="shared" si="0"/>
        <v>20100801KUUM_374</v>
      </c>
      <c r="E18" s="631">
        <f t="shared" si="2"/>
        <v>69.11</v>
      </c>
      <c r="F18" s="688">
        <v>724</v>
      </c>
      <c r="G18" s="631">
        <v>5.44</v>
      </c>
      <c r="H18" s="631">
        <v>1.66</v>
      </c>
      <c r="I18" s="631">
        <v>62.010000000000005</v>
      </c>
      <c r="J18" s="435" t="s">
        <v>239</v>
      </c>
    </row>
    <row r="19" spans="1:22" s="439" customFormat="1">
      <c r="A19" s="634">
        <f t="shared" si="1"/>
        <v>20100801</v>
      </c>
      <c r="B19" s="630" t="s">
        <v>665</v>
      </c>
      <c r="C19" s="630" t="s">
        <v>337</v>
      </c>
      <c r="D19" s="687" t="str">
        <f t="shared" si="0"/>
        <v>20100801KUUM_375</v>
      </c>
      <c r="E19" s="631">
        <f t="shared" si="2"/>
        <v>72.08</v>
      </c>
      <c r="F19" s="688">
        <v>724</v>
      </c>
      <c r="G19" s="631">
        <v>5.44</v>
      </c>
      <c r="H19" s="631">
        <v>1.66</v>
      </c>
      <c r="I19" s="631">
        <v>64.98</v>
      </c>
      <c r="J19" s="435" t="s">
        <v>246</v>
      </c>
      <c r="S19" s="599"/>
      <c r="T19" s="599"/>
      <c r="U19" s="599"/>
      <c r="V19" s="599"/>
    </row>
    <row r="20" spans="1:22" s="439" customFormat="1">
      <c r="A20" s="634">
        <f t="shared" si="1"/>
        <v>20100801</v>
      </c>
      <c r="B20" s="630" t="s">
        <v>665</v>
      </c>
      <c r="C20" s="630" t="s">
        <v>329</v>
      </c>
      <c r="D20" s="687" t="str">
        <f t="shared" si="0"/>
        <v>20100801KUUM_376</v>
      </c>
      <c r="E20" s="631">
        <f t="shared" si="2"/>
        <v>70.44</v>
      </c>
      <c r="F20" s="688">
        <v>724</v>
      </c>
      <c r="G20" s="631">
        <v>5.44</v>
      </c>
      <c r="H20" s="631">
        <v>1.66</v>
      </c>
      <c r="I20" s="631">
        <v>63.34</v>
      </c>
      <c r="J20" s="435" t="s">
        <v>238</v>
      </c>
      <c r="S20" s="599"/>
      <c r="T20" s="599"/>
      <c r="U20" s="599"/>
      <c r="V20" s="599"/>
    </row>
    <row r="21" spans="1:22" s="439" customFormat="1">
      <c r="A21" s="634">
        <f t="shared" si="1"/>
        <v>20100801</v>
      </c>
      <c r="B21" s="630" t="s">
        <v>665</v>
      </c>
      <c r="C21" s="630" t="s">
        <v>327</v>
      </c>
      <c r="D21" s="687" t="str">
        <f t="shared" si="0"/>
        <v>20100801KUUM_377</v>
      </c>
      <c r="E21" s="631">
        <f t="shared" si="2"/>
        <v>57.860000000000007</v>
      </c>
      <c r="F21" s="688">
        <v>724</v>
      </c>
      <c r="G21" s="631">
        <v>5.44</v>
      </c>
      <c r="H21" s="631">
        <v>1.66</v>
      </c>
      <c r="I21" s="631">
        <v>50.760000000000005</v>
      </c>
      <c r="J21" s="435" t="s">
        <v>236</v>
      </c>
      <c r="S21" s="599"/>
      <c r="T21" s="599"/>
      <c r="U21" s="599"/>
      <c r="V21" s="599"/>
    </row>
    <row r="22" spans="1:22" s="439" customFormat="1">
      <c r="A22" s="634">
        <f t="shared" si="1"/>
        <v>20100801</v>
      </c>
      <c r="B22" s="630" t="s">
        <v>665</v>
      </c>
      <c r="C22" s="635" t="s">
        <v>453</v>
      </c>
      <c r="D22" s="687" t="str">
        <f t="shared" si="0"/>
        <v>20100801KUUM_378</v>
      </c>
      <c r="E22" s="631">
        <f t="shared" si="2"/>
        <v>69.13</v>
      </c>
      <c r="F22" s="688">
        <v>724</v>
      </c>
      <c r="G22" s="631">
        <v>5.44</v>
      </c>
      <c r="H22" s="631">
        <v>1.66</v>
      </c>
      <c r="I22" s="631">
        <v>62.03</v>
      </c>
      <c r="J22" s="442" t="s">
        <v>677</v>
      </c>
      <c r="S22" s="599"/>
      <c r="T22" s="599"/>
      <c r="U22" s="599"/>
      <c r="V22" s="599"/>
    </row>
    <row r="23" spans="1:22" s="439" customFormat="1">
      <c r="A23" s="634">
        <f>A21</f>
        <v>20100801</v>
      </c>
      <c r="B23" s="630" t="s">
        <v>666</v>
      </c>
      <c r="C23" s="630" t="s">
        <v>324</v>
      </c>
      <c r="D23" s="687" t="str">
        <f t="shared" si="0"/>
        <v>20100801KUUM_395</v>
      </c>
      <c r="E23" s="631">
        <f t="shared" si="2"/>
        <v>49.340000000000011</v>
      </c>
      <c r="F23" s="688">
        <v>724</v>
      </c>
      <c r="G23" s="631">
        <v>5.44</v>
      </c>
      <c r="H23" s="631">
        <v>1.66</v>
      </c>
      <c r="I23" s="631">
        <v>42.240000000000009</v>
      </c>
      <c r="J23" s="435" t="s">
        <v>233</v>
      </c>
      <c r="S23" s="599"/>
      <c r="T23" s="599"/>
      <c r="U23" s="599"/>
      <c r="V23" s="599"/>
    </row>
    <row r="24" spans="1:22" s="439" customFormat="1">
      <c r="A24" s="634">
        <f t="shared" si="1"/>
        <v>20100801</v>
      </c>
      <c r="B24" s="630" t="s">
        <v>665</v>
      </c>
      <c r="C24" s="635" t="s">
        <v>410</v>
      </c>
      <c r="D24" s="687" t="str">
        <f t="shared" si="0"/>
        <v>20100801KUUM_400</v>
      </c>
      <c r="E24" s="631">
        <f t="shared" si="2"/>
        <v>12.51</v>
      </c>
      <c r="F24" s="688">
        <v>240</v>
      </c>
      <c r="G24" s="631">
        <v>0.73</v>
      </c>
      <c r="H24" s="631">
        <v>0.55000000000000004</v>
      </c>
      <c r="I24" s="631">
        <v>11.23</v>
      </c>
      <c r="J24" s="442" t="s">
        <v>411</v>
      </c>
      <c r="S24" s="599"/>
      <c r="T24" s="599"/>
      <c r="U24" s="599"/>
      <c r="V24" s="599"/>
    </row>
    <row r="25" spans="1:22" s="439" customFormat="1">
      <c r="A25" s="634">
        <f t="shared" si="1"/>
        <v>20100801</v>
      </c>
      <c r="B25" s="630" t="s">
        <v>665</v>
      </c>
      <c r="C25" s="630" t="s">
        <v>366</v>
      </c>
      <c r="D25" s="687" t="str">
        <f t="shared" si="0"/>
        <v>20100801KUUM_401</v>
      </c>
      <c r="E25" s="631">
        <f t="shared" si="2"/>
        <v>13.5</v>
      </c>
      <c r="F25" s="688">
        <v>332</v>
      </c>
      <c r="G25" s="631">
        <v>0.94</v>
      </c>
      <c r="H25" s="631">
        <v>0.76</v>
      </c>
      <c r="I25" s="631">
        <v>11.8</v>
      </c>
      <c r="J25" s="435" t="s">
        <v>275</v>
      </c>
      <c r="S25" s="599"/>
      <c r="T25" s="599"/>
      <c r="U25" s="599"/>
      <c r="V25" s="599"/>
    </row>
    <row r="26" spans="1:22" s="439" customFormat="1">
      <c r="A26" s="634">
        <f t="shared" si="1"/>
        <v>20100801</v>
      </c>
      <c r="B26" s="630" t="s">
        <v>666</v>
      </c>
      <c r="C26" s="630" t="s">
        <v>386</v>
      </c>
      <c r="D26" s="687" t="str">
        <f t="shared" si="0"/>
        <v>20100801KUUM_404</v>
      </c>
      <c r="E26" s="631">
        <f t="shared" si="2"/>
        <v>9.52</v>
      </c>
      <c r="F26" s="688">
        <v>828</v>
      </c>
      <c r="G26" s="631">
        <v>0.95</v>
      </c>
      <c r="H26" s="631">
        <v>1.9</v>
      </c>
      <c r="I26" s="631">
        <v>6.67</v>
      </c>
      <c r="J26" s="435" t="s">
        <v>295</v>
      </c>
      <c r="S26" s="599"/>
      <c r="T26" s="599"/>
      <c r="U26" s="599"/>
      <c r="V26" s="599"/>
    </row>
    <row r="27" spans="1:22" s="439" customFormat="1">
      <c r="A27" s="634">
        <f t="shared" si="1"/>
        <v>20100801</v>
      </c>
      <c r="B27" s="630" t="s">
        <v>666</v>
      </c>
      <c r="C27" s="630" t="s">
        <v>342</v>
      </c>
      <c r="D27" s="687" t="str">
        <f t="shared" si="0"/>
        <v>20100801KUUM_405</v>
      </c>
      <c r="E27" s="631">
        <f t="shared" si="2"/>
        <v>12.35</v>
      </c>
      <c r="F27" s="688">
        <v>1812</v>
      </c>
      <c r="G27" s="631">
        <v>1.24</v>
      </c>
      <c r="H27" s="631">
        <v>4.16</v>
      </c>
      <c r="I27" s="631">
        <v>6.9499999999999993</v>
      </c>
      <c r="J27" s="435" t="s">
        <v>251</v>
      </c>
      <c r="S27" s="599"/>
      <c r="T27" s="599"/>
      <c r="U27" s="599"/>
      <c r="V27" s="599"/>
    </row>
    <row r="28" spans="1:22" s="439" customFormat="1">
      <c r="A28" s="634">
        <f t="shared" si="1"/>
        <v>20100801</v>
      </c>
      <c r="B28" s="630" t="s">
        <v>666</v>
      </c>
      <c r="C28" s="630" t="s">
        <v>378</v>
      </c>
      <c r="D28" s="687" t="str">
        <f t="shared" si="0"/>
        <v>20100801KUUM_407</v>
      </c>
      <c r="E28" s="631">
        <f t="shared" si="2"/>
        <v>20.5</v>
      </c>
      <c r="F28" s="688">
        <v>1884</v>
      </c>
      <c r="G28" s="631">
        <v>1.83</v>
      </c>
      <c r="H28" s="631">
        <v>4.32</v>
      </c>
      <c r="I28" s="631">
        <v>14.350000000000001</v>
      </c>
      <c r="J28" s="435" t="s">
        <v>287</v>
      </c>
      <c r="S28" s="599"/>
      <c r="T28" s="599"/>
      <c r="U28" s="599"/>
      <c r="V28" s="599"/>
    </row>
    <row r="29" spans="1:22" s="439" customFormat="1">
      <c r="A29" s="634">
        <f t="shared" si="1"/>
        <v>20100801</v>
      </c>
      <c r="B29" s="630" t="s">
        <v>666</v>
      </c>
      <c r="C29" s="630" t="s">
        <v>343</v>
      </c>
      <c r="D29" s="687" t="str">
        <f t="shared" si="0"/>
        <v>20100801KUUM_408</v>
      </c>
      <c r="E29" s="631">
        <f t="shared" si="2"/>
        <v>7.63</v>
      </c>
      <c r="F29" s="688">
        <v>1812</v>
      </c>
      <c r="G29" s="631">
        <v>1.24</v>
      </c>
      <c r="H29" s="631">
        <v>4.16</v>
      </c>
      <c r="I29" s="631">
        <v>2.2299999999999995</v>
      </c>
      <c r="J29" s="435" t="s">
        <v>252</v>
      </c>
      <c r="S29" s="599"/>
      <c r="T29" s="599"/>
      <c r="U29" s="599"/>
      <c r="V29" s="599"/>
    </row>
    <row r="30" spans="1:22" s="439" customFormat="1">
      <c r="A30" s="634">
        <f t="shared" si="1"/>
        <v>20100801</v>
      </c>
      <c r="B30" s="630" t="s">
        <v>666</v>
      </c>
      <c r="C30" s="630" t="s">
        <v>382</v>
      </c>
      <c r="D30" s="687" t="str">
        <f t="shared" si="0"/>
        <v>20100801KUUM_409</v>
      </c>
      <c r="E30" s="631">
        <f t="shared" si="2"/>
        <v>9.8000000000000007</v>
      </c>
      <c r="F30" s="688">
        <v>1884</v>
      </c>
      <c r="G30" s="631">
        <v>1.83</v>
      </c>
      <c r="H30" s="631">
        <v>4.32</v>
      </c>
      <c r="I30" s="631">
        <v>3.6500000000000004</v>
      </c>
      <c r="J30" s="435" t="s">
        <v>291</v>
      </c>
      <c r="S30" s="599"/>
      <c r="T30" s="599"/>
      <c r="U30" s="599"/>
      <c r="V30" s="599"/>
    </row>
    <row r="31" spans="1:22" s="439" customFormat="1">
      <c r="A31" s="634">
        <f t="shared" si="1"/>
        <v>20100801</v>
      </c>
      <c r="B31" s="630" t="s">
        <v>665</v>
      </c>
      <c r="C31" s="630" t="s">
        <v>360</v>
      </c>
      <c r="D31" s="687" t="str">
        <f t="shared" si="0"/>
        <v>20100801KUUM_410</v>
      </c>
      <c r="E31" s="631">
        <f t="shared" si="2"/>
        <v>18.900000000000002</v>
      </c>
      <c r="F31" s="688">
        <v>240</v>
      </c>
      <c r="G31" s="631">
        <v>0.73</v>
      </c>
      <c r="H31" s="631">
        <v>0.55000000000000004</v>
      </c>
      <c r="I31" s="631">
        <v>17.62</v>
      </c>
      <c r="J31" s="435" t="s">
        <v>269</v>
      </c>
      <c r="S31" s="599"/>
      <c r="T31" s="599"/>
      <c r="U31" s="599"/>
      <c r="V31" s="599"/>
    </row>
    <row r="32" spans="1:22" s="439" customFormat="1">
      <c r="A32" s="634">
        <f t="shared" si="1"/>
        <v>20100801</v>
      </c>
      <c r="B32" s="630" t="s">
        <v>665</v>
      </c>
      <c r="C32" s="630" t="s">
        <v>368</v>
      </c>
      <c r="D32" s="687" t="str">
        <f t="shared" si="0"/>
        <v>20100801KUUM_411</v>
      </c>
      <c r="E32" s="631">
        <f t="shared" si="2"/>
        <v>19.779999999999998</v>
      </c>
      <c r="F32" s="688">
        <v>332</v>
      </c>
      <c r="G32" s="631">
        <v>0.94</v>
      </c>
      <c r="H32" s="631">
        <v>0.76</v>
      </c>
      <c r="I32" s="631">
        <v>18.079999999999998</v>
      </c>
      <c r="J32" s="435" t="s">
        <v>277</v>
      </c>
      <c r="S32" s="599"/>
      <c r="T32" s="599"/>
      <c r="U32" s="599"/>
      <c r="V32" s="599"/>
    </row>
    <row r="33" spans="1:22" s="439" customFormat="1">
      <c r="A33" s="634">
        <f t="shared" si="1"/>
        <v>20100801</v>
      </c>
      <c r="B33" s="630" t="s">
        <v>665</v>
      </c>
      <c r="C33" s="630" t="s">
        <v>370</v>
      </c>
      <c r="D33" s="687" t="str">
        <f t="shared" si="0"/>
        <v>20100801KUUM_412</v>
      </c>
      <c r="E33" s="631">
        <f t="shared" si="2"/>
        <v>28.879999999999995</v>
      </c>
      <c r="F33" s="688">
        <v>332</v>
      </c>
      <c r="G33" s="631">
        <v>0.94</v>
      </c>
      <c r="H33" s="631">
        <v>0.76</v>
      </c>
      <c r="I33" s="631">
        <v>27.179999999999996</v>
      </c>
      <c r="J33" s="435" t="s">
        <v>279</v>
      </c>
      <c r="S33" s="599"/>
      <c r="T33" s="599"/>
      <c r="U33" s="599"/>
      <c r="V33" s="599"/>
    </row>
    <row r="34" spans="1:22" s="439" customFormat="1">
      <c r="A34" s="634">
        <f t="shared" si="1"/>
        <v>20100801</v>
      </c>
      <c r="B34" s="630" t="s">
        <v>665</v>
      </c>
      <c r="C34" s="630" t="s">
        <v>393</v>
      </c>
      <c r="D34" s="687" t="str">
        <f t="shared" si="0"/>
        <v>20100801KUUM_413</v>
      </c>
      <c r="E34" s="631">
        <f t="shared" si="2"/>
        <v>29.39</v>
      </c>
      <c r="F34" s="688">
        <v>468</v>
      </c>
      <c r="G34" s="631">
        <v>0.75</v>
      </c>
      <c r="H34" s="631">
        <v>1.07</v>
      </c>
      <c r="I34" s="631">
        <v>27.57</v>
      </c>
      <c r="J34" s="435" t="s">
        <v>302</v>
      </c>
      <c r="S34" s="599"/>
      <c r="T34" s="599"/>
      <c r="U34" s="599"/>
      <c r="V34" s="599"/>
    </row>
    <row r="35" spans="1:22" s="439" customFormat="1">
      <c r="A35" s="634">
        <f t="shared" si="1"/>
        <v>20100801</v>
      </c>
      <c r="B35" s="630" t="s">
        <v>73</v>
      </c>
      <c r="C35" s="630" t="s">
        <v>371</v>
      </c>
      <c r="D35" s="687" t="str">
        <f t="shared" si="0"/>
        <v>20100801KUUM_414</v>
      </c>
      <c r="E35" s="631">
        <f t="shared" si="2"/>
        <v>28.879999999999995</v>
      </c>
      <c r="F35" s="688">
        <v>332</v>
      </c>
      <c r="G35" s="631">
        <v>0.94</v>
      </c>
      <c r="H35" s="631">
        <v>0.76</v>
      </c>
      <c r="I35" s="631">
        <v>27.179999999999996</v>
      </c>
      <c r="J35" s="435" t="s">
        <v>280</v>
      </c>
      <c r="S35" s="599"/>
      <c r="T35" s="599"/>
      <c r="U35" s="599"/>
      <c r="V35" s="599"/>
    </row>
    <row r="36" spans="1:22" s="439" customFormat="1">
      <c r="A36" s="634">
        <f t="shared" si="1"/>
        <v>20100801</v>
      </c>
      <c r="B36" s="630" t="s">
        <v>73</v>
      </c>
      <c r="C36" s="630" t="s">
        <v>394</v>
      </c>
      <c r="D36" s="687" t="str">
        <f t="shared" si="0"/>
        <v>20100801KUUM_415</v>
      </c>
      <c r="E36" s="631">
        <f t="shared" si="2"/>
        <v>29.39</v>
      </c>
      <c r="F36" s="688">
        <v>468</v>
      </c>
      <c r="G36" s="631">
        <v>0.75</v>
      </c>
      <c r="H36" s="631">
        <v>1.07</v>
      </c>
      <c r="I36" s="631">
        <v>27.57</v>
      </c>
      <c r="J36" s="435" t="s">
        <v>303</v>
      </c>
      <c r="S36" s="599"/>
      <c r="T36" s="599"/>
      <c r="U36" s="599"/>
      <c r="V36" s="599"/>
    </row>
    <row r="37" spans="1:22" s="439" customFormat="1">
      <c r="A37" s="634">
        <f t="shared" si="1"/>
        <v>20100801</v>
      </c>
      <c r="B37" s="630" t="s">
        <v>666</v>
      </c>
      <c r="C37" s="630" t="s">
        <v>389</v>
      </c>
      <c r="D37" s="687" t="str">
        <f t="shared" si="0"/>
        <v>20100801KUUM_420</v>
      </c>
      <c r="E37" s="631">
        <f t="shared" si="2"/>
        <v>14.13</v>
      </c>
      <c r="F37" s="688">
        <v>468</v>
      </c>
      <c r="G37" s="631">
        <v>0.75</v>
      </c>
      <c r="H37" s="631">
        <v>1.07</v>
      </c>
      <c r="I37" s="631">
        <v>12.31</v>
      </c>
      <c r="J37" s="435" t="s">
        <v>298</v>
      </c>
      <c r="S37" s="599"/>
      <c r="T37" s="599"/>
      <c r="U37" s="599"/>
      <c r="V37" s="599"/>
    </row>
    <row r="38" spans="1:22" s="439" customFormat="1">
      <c r="A38" s="634">
        <f t="shared" si="1"/>
        <v>20100801</v>
      </c>
      <c r="B38" s="630" t="s">
        <v>665</v>
      </c>
      <c r="C38" s="630" t="s">
        <v>310</v>
      </c>
      <c r="D38" s="623" t="str">
        <f t="shared" si="0"/>
        <v>20100801KUUM_421</v>
      </c>
      <c r="E38" s="436">
        <f t="shared" si="2"/>
        <v>3.04</v>
      </c>
      <c r="F38" s="528">
        <v>408</v>
      </c>
      <c r="G38" s="631">
        <v>0.31</v>
      </c>
      <c r="H38" s="631">
        <v>0.94</v>
      </c>
      <c r="I38" s="631">
        <v>1.79</v>
      </c>
      <c r="J38" s="436" t="s">
        <v>219</v>
      </c>
      <c r="S38" s="599"/>
      <c r="T38" s="599"/>
      <c r="U38" s="599"/>
      <c r="V38" s="599"/>
    </row>
    <row r="39" spans="1:22" s="439" customFormat="1">
      <c r="A39" s="634">
        <f t="shared" si="1"/>
        <v>20100801</v>
      </c>
      <c r="B39" s="630" t="s">
        <v>665</v>
      </c>
      <c r="C39" s="630" t="s">
        <v>340</v>
      </c>
      <c r="D39" s="623" t="str">
        <f t="shared" si="0"/>
        <v>20100801KUUM_422</v>
      </c>
      <c r="E39" s="436">
        <f t="shared" si="2"/>
        <v>4.05</v>
      </c>
      <c r="F39" s="528">
        <v>804</v>
      </c>
      <c r="G39" s="631">
        <v>0.4</v>
      </c>
      <c r="H39" s="631">
        <v>1.85</v>
      </c>
      <c r="I39" s="631">
        <v>1.7999999999999998</v>
      </c>
      <c r="J39" s="435" t="s">
        <v>249</v>
      </c>
      <c r="S39" s="599"/>
      <c r="T39" s="599"/>
      <c r="U39" s="599"/>
      <c r="V39" s="599"/>
    </row>
    <row r="40" spans="1:22" s="439" customFormat="1">
      <c r="A40" s="634">
        <f t="shared" si="1"/>
        <v>20100801</v>
      </c>
      <c r="B40" s="630" t="s">
        <v>665</v>
      </c>
      <c r="C40" s="630" t="s">
        <v>358</v>
      </c>
      <c r="D40" s="623" t="str">
        <f t="shared" si="0"/>
        <v>20100801KUUM_424</v>
      </c>
      <c r="E40" s="436">
        <f t="shared" si="2"/>
        <v>6.15</v>
      </c>
      <c r="F40" s="602">
        <v>1308</v>
      </c>
      <c r="G40" s="631">
        <v>0.73</v>
      </c>
      <c r="H40" s="631">
        <v>0.55000000000000004</v>
      </c>
      <c r="I40" s="631">
        <v>4.87</v>
      </c>
      <c r="J40" s="435" t="s">
        <v>267</v>
      </c>
      <c r="S40" s="599"/>
      <c r="T40" s="599"/>
      <c r="U40" s="599"/>
      <c r="V40" s="599"/>
    </row>
    <row r="41" spans="1:22" s="439" customFormat="1">
      <c r="A41" s="634">
        <f t="shared" si="1"/>
        <v>20100801</v>
      </c>
      <c r="B41" s="630" t="s">
        <v>665</v>
      </c>
      <c r="C41" s="630" t="s">
        <v>383</v>
      </c>
      <c r="D41" s="623" t="str">
        <f t="shared" si="0"/>
        <v>20100801KUUM_425</v>
      </c>
      <c r="E41" s="436">
        <f t="shared" si="2"/>
        <v>8.06</v>
      </c>
      <c r="F41" s="528">
        <v>1788</v>
      </c>
      <c r="G41" s="631">
        <v>0.83</v>
      </c>
      <c r="H41" s="631">
        <v>4.0999999999999996</v>
      </c>
      <c r="I41" s="631">
        <v>3.1300000000000008</v>
      </c>
      <c r="J41" s="435" t="s">
        <v>292</v>
      </c>
      <c r="S41" s="599"/>
      <c r="T41" s="599"/>
      <c r="U41" s="599"/>
      <c r="V41" s="599"/>
    </row>
    <row r="42" spans="1:22" s="439" customFormat="1">
      <c r="A42" s="634">
        <f t="shared" si="1"/>
        <v>20100801</v>
      </c>
      <c r="B42" s="630" t="s">
        <v>666</v>
      </c>
      <c r="C42" s="630" t="s">
        <v>375</v>
      </c>
      <c r="D42" s="687" t="str">
        <f t="shared" si="0"/>
        <v>20100801KUUM_426</v>
      </c>
      <c r="E42" s="631">
        <f t="shared" si="2"/>
        <v>6.36</v>
      </c>
      <c r="F42" s="688">
        <v>332</v>
      </c>
      <c r="G42" s="631">
        <v>0.94</v>
      </c>
      <c r="H42" s="631">
        <v>0.76</v>
      </c>
      <c r="I42" s="631">
        <v>4.66</v>
      </c>
      <c r="J42" s="435" t="s">
        <v>284</v>
      </c>
      <c r="S42" s="599"/>
      <c r="T42" s="599"/>
      <c r="U42" s="599"/>
      <c r="V42" s="599"/>
    </row>
    <row r="43" spans="1:22" s="439" customFormat="1">
      <c r="A43" s="634">
        <f t="shared" si="1"/>
        <v>20100801</v>
      </c>
      <c r="B43" s="630" t="s">
        <v>666</v>
      </c>
      <c r="C43" s="630" t="s">
        <v>400</v>
      </c>
      <c r="D43" s="687" t="str">
        <f t="shared" si="0"/>
        <v>20100801KUUM_428</v>
      </c>
      <c r="E43" s="631">
        <f t="shared" si="2"/>
        <v>6.9</v>
      </c>
      <c r="F43" s="688">
        <v>468</v>
      </c>
      <c r="G43" s="631">
        <v>0.75</v>
      </c>
      <c r="H43" s="631">
        <v>1.07</v>
      </c>
      <c r="I43" s="631">
        <v>5.08</v>
      </c>
      <c r="J43" s="435" t="s">
        <v>309</v>
      </c>
      <c r="S43" s="599"/>
      <c r="T43" s="599"/>
      <c r="U43" s="599"/>
      <c r="V43" s="599"/>
    </row>
    <row r="44" spans="1:22" s="439" customFormat="1">
      <c r="A44" s="634">
        <f t="shared" si="1"/>
        <v>20100801</v>
      </c>
      <c r="B44" s="630" t="s">
        <v>666</v>
      </c>
      <c r="C44" s="630" t="s">
        <v>346</v>
      </c>
      <c r="D44" s="687" t="str">
        <f t="shared" si="0"/>
        <v>20100801KUUM_429</v>
      </c>
      <c r="E44" s="631">
        <f t="shared" si="2"/>
        <v>12.58</v>
      </c>
      <c r="F44" s="688">
        <v>968</v>
      </c>
      <c r="G44" s="631">
        <v>1.25</v>
      </c>
      <c r="H44" s="631">
        <v>2.2200000000000002</v>
      </c>
      <c r="I44" s="631">
        <v>9.11</v>
      </c>
      <c r="J44" s="435" t="s">
        <v>255</v>
      </c>
      <c r="S44" s="599"/>
      <c r="T44" s="599"/>
      <c r="U44" s="599"/>
      <c r="V44" s="599"/>
    </row>
    <row r="45" spans="1:22" s="439" customFormat="1">
      <c r="A45" s="634">
        <f t="shared" si="1"/>
        <v>20100801</v>
      </c>
      <c r="B45" s="630" t="s">
        <v>666</v>
      </c>
      <c r="C45" s="630" t="s">
        <v>391</v>
      </c>
      <c r="D45" s="687" t="str">
        <f t="shared" si="0"/>
        <v>20100801KUUM_430</v>
      </c>
      <c r="E45" s="631">
        <f t="shared" si="2"/>
        <v>20.52</v>
      </c>
      <c r="F45" s="688">
        <v>468</v>
      </c>
      <c r="G45" s="631">
        <v>0.75</v>
      </c>
      <c r="H45" s="631">
        <v>1.07</v>
      </c>
      <c r="I45" s="631">
        <v>18.7</v>
      </c>
      <c r="J45" s="435" t="s">
        <v>300</v>
      </c>
      <c r="S45" s="599"/>
      <c r="T45" s="599"/>
      <c r="U45" s="599"/>
      <c r="V45" s="599"/>
    </row>
    <row r="46" spans="1:22" s="439" customFormat="1">
      <c r="A46" s="634">
        <f t="shared" si="1"/>
        <v>20100801</v>
      </c>
      <c r="B46" s="630" t="s">
        <v>665</v>
      </c>
      <c r="C46" s="635" t="s">
        <v>402</v>
      </c>
      <c r="D46" s="687" t="str">
        <f t="shared" si="0"/>
        <v>20100801KUUM_431</v>
      </c>
      <c r="E46" s="631">
        <f t="shared" si="2"/>
        <v>3.69</v>
      </c>
      <c r="F46" s="688">
        <v>408</v>
      </c>
      <c r="G46" s="631">
        <v>0.31</v>
      </c>
      <c r="H46" s="631">
        <v>0.94</v>
      </c>
      <c r="I46" s="631">
        <v>2.44</v>
      </c>
      <c r="J46" s="455" t="s">
        <v>403</v>
      </c>
      <c r="S46" s="599"/>
      <c r="T46" s="599"/>
      <c r="U46" s="599"/>
      <c r="V46" s="599"/>
    </row>
    <row r="47" spans="1:22" s="439" customFormat="1">
      <c r="A47" s="634">
        <f t="shared" si="1"/>
        <v>20100801</v>
      </c>
      <c r="B47" s="630" t="s">
        <v>665</v>
      </c>
      <c r="C47" s="635" t="s">
        <v>404</v>
      </c>
      <c r="D47" s="687" t="str">
        <f t="shared" si="0"/>
        <v>20100801KUUM_432</v>
      </c>
      <c r="E47" s="631">
        <f t="shared" si="2"/>
        <v>4.84</v>
      </c>
      <c r="F47" s="688">
        <v>804</v>
      </c>
      <c r="G47" s="631">
        <v>0.4</v>
      </c>
      <c r="H47" s="631">
        <v>1.85</v>
      </c>
      <c r="I47" s="631">
        <v>2.5899999999999994</v>
      </c>
      <c r="J47" s="442" t="s">
        <v>405</v>
      </c>
      <c r="S47" s="599"/>
      <c r="T47" s="599"/>
      <c r="U47" s="599"/>
      <c r="V47" s="599"/>
    </row>
    <row r="48" spans="1:22" s="439" customFormat="1">
      <c r="A48" s="634">
        <f t="shared" si="1"/>
        <v>20100801</v>
      </c>
      <c r="B48" s="630" t="s">
        <v>73</v>
      </c>
      <c r="C48" s="635" t="s">
        <v>406</v>
      </c>
      <c r="D48" s="623" t="str">
        <f t="shared" si="0"/>
        <v>20100801KUUM_433</v>
      </c>
      <c r="E48" s="436">
        <f t="shared" si="2"/>
        <v>49.34</v>
      </c>
      <c r="F48" s="602">
        <v>724</v>
      </c>
      <c r="G48" s="631">
        <v>5.44</v>
      </c>
      <c r="H48" s="631">
        <v>1.66</v>
      </c>
      <c r="I48" s="631">
        <v>42.24</v>
      </c>
      <c r="J48" s="442" t="s">
        <v>407</v>
      </c>
      <c r="S48" s="599"/>
      <c r="T48" s="599"/>
      <c r="U48" s="599"/>
      <c r="V48" s="599"/>
    </row>
    <row r="49" spans="1:22" s="439" customFormat="1">
      <c r="A49" s="634">
        <f t="shared" si="1"/>
        <v>20100801</v>
      </c>
      <c r="B49" s="630" t="s">
        <v>665</v>
      </c>
      <c r="C49" s="630" t="s">
        <v>357</v>
      </c>
      <c r="D49" s="687" t="str">
        <f t="shared" si="0"/>
        <v>20100801KUUM_434</v>
      </c>
      <c r="E49" s="631">
        <f t="shared" si="2"/>
        <v>7.07</v>
      </c>
      <c r="F49" s="688">
        <v>1308</v>
      </c>
      <c r="G49" s="631">
        <v>0.73</v>
      </c>
      <c r="H49" s="631">
        <v>0.55000000000000004</v>
      </c>
      <c r="I49" s="631">
        <v>5.79</v>
      </c>
      <c r="J49" s="435" t="s">
        <v>266</v>
      </c>
      <c r="S49" s="599"/>
      <c r="T49" s="599"/>
      <c r="U49" s="599"/>
      <c r="V49" s="599"/>
    </row>
    <row r="50" spans="1:22" s="439" customFormat="1">
      <c r="A50" s="634">
        <f t="shared" si="1"/>
        <v>20100801</v>
      </c>
      <c r="B50" s="630" t="s">
        <v>665</v>
      </c>
      <c r="C50" s="635" t="s">
        <v>408</v>
      </c>
      <c r="D50" s="687" t="str">
        <f t="shared" si="0"/>
        <v>20100801KUUM_435</v>
      </c>
      <c r="E50" s="631">
        <f t="shared" si="2"/>
        <v>8.06</v>
      </c>
      <c r="F50" s="688">
        <v>1788</v>
      </c>
      <c r="G50" s="631">
        <v>0.83</v>
      </c>
      <c r="H50" s="631">
        <v>4.0999999999999996</v>
      </c>
      <c r="I50" s="631">
        <v>3.1300000000000008</v>
      </c>
      <c r="J50" s="442" t="s">
        <v>409</v>
      </c>
      <c r="S50" s="599"/>
      <c r="T50" s="599"/>
      <c r="U50" s="599"/>
      <c r="V50" s="599"/>
    </row>
    <row r="51" spans="1:22" s="439" customFormat="1">
      <c r="A51" s="634">
        <f t="shared" si="1"/>
        <v>20100801</v>
      </c>
      <c r="B51" s="630" t="s">
        <v>73</v>
      </c>
      <c r="C51" s="630" t="s">
        <v>359</v>
      </c>
      <c r="D51" s="687" t="str">
        <f t="shared" si="0"/>
        <v>20100801KUUM_440</v>
      </c>
      <c r="E51" s="631">
        <f t="shared" si="2"/>
        <v>12.51</v>
      </c>
      <c r="F51" s="688">
        <v>240</v>
      </c>
      <c r="G51" s="631">
        <v>0.73</v>
      </c>
      <c r="H51" s="631">
        <v>0.55000000000000004</v>
      </c>
      <c r="I51" s="631">
        <v>11.23</v>
      </c>
      <c r="J51" s="435" t="s">
        <v>268</v>
      </c>
      <c r="S51" s="599"/>
      <c r="T51" s="599"/>
      <c r="U51" s="599"/>
      <c r="V51" s="599"/>
    </row>
    <row r="52" spans="1:22" s="439" customFormat="1">
      <c r="A52" s="634">
        <f t="shared" si="1"/>
        <v>20100801</v>
      </c>
      <c r="B52" s="630" t="s">
        <v>73</v>
      </c>
      <c r="C52" s="630" t="s">
        <v>367</v>
      </c>
      <c r="D52" s="687" t="str">
        <f t="shared" si="0"/>
        <v>20100801KUUM_441</v>
      </c>
      <c r="E52" s="631">
        <f t="shared" si="2"/>
        <v>13.5</v>
      </c>
      <c r="F52" s="688">
        <v>332</v>
      </c>
      <c r="G52" s="631">
        <v>0.94</v>
      </c>
      <c r="H52" s="631">
        <v>0.76</v>
      </c>
      <c r="I52" s="631">
        <v>11.8</v>
      </c>
      <c r="J52" s="435" t="s">
        <v>276</v>
      </c>
      <c r="S52" s="599"/>
      <c r="T52" s="599"/>
      <c r="U52" s="599"/>
      <c r="V52" s="599"/>
    </row>
    <row r="53" spans="1:22" s="439" customFormat="1">
      <c r="A53" s="634">
        <f t="shared" si="1"/>
        <v>20100801</v>
      </c>
      <c r="B53" s="630" t="s">
        <v>73</v>
      </c>
      <c r="C53" s="630" t="s">
        <v>390</v>
      </c>
      <c r="D53" s="623" t="str">
        <f t="shared" si="0"/>
        <v>20100801KUUM_442</v>
      </c>
      <c r="E53" s="436">
        <f t="shared" si="2"/>
        <v>14.13</v>
      </c>
      <c r="F53" s="602">
        <v>468</v>
      </c>
      <c r="G53" s="631">
        <v>0.75</v>
      </c>
      <c r="H53" s="631">
        <v>1.07</v>
      </c>
      <c r="I53" s="631">
        <v>12.31</v>
      </c>
      <c r="J53" s="435" t="s">
        <v>299</v>
      </c>
      <c r="S53" s="599"/>
      <c r="T53" s="599"/>
      <c r="U53" s="599"/>
      <c r="V53" s="599"/>
    </row>
    <row r="54" spans="1:22" s="439" customFormat="1">
      <c r="A54" s="634">
        <f t="shared" si="1"/>
        <v>20100801</v>
      </c>
      <c r="B54" s="630" t="s">
        <v>73</v>
      </c>
      <c r="C54" s="630" t="s">
        <v>361</v>
      </c>
      <c r="D54" s="687" t="str">
        <f t="shared" si="0"/>
        <v>20100801KUUM_444</v>
      </c>
      <c r="E54" s="631">
        <f t="shared" si="2"/>
        <v>18.900000000000002</v>
      </c>
      <c r="F54" s="688">
        <v>240</v>
      </c>
      <c r="G54" s="631">
        <v>0.73</v>
      </c>
      <c r="H54" s="631">
        <v>0.55000000000000004</v>
      </c>
      <c r="I54" s="631">
        <v>17.62</v>
      </c>
      <c r="J54" s="435" t="s">
        <v>270</v>
      </c>
      <c r="S54" s="599"/>
      <c r="T54" s="599"/>
      <c r="U54" s="599"/>
      <c r="V54" s="599"/>
    </row>
    <row r="55" spans="1:22" s="439" customFormat="1">
      <c r="A55" s="634">
        <f t="shared" si="1"/>
        <v>20100801</v>
      </c>
      <c r="B55" s="630" t="s">
        <v>73</v>
      </c>
      <c r="C55" s="630" t="s">
        <v>369</v>
      </c>
      <c r="D55" s="687" t="str">
        <f t="shared" si="0"/>
        <v>20100801KUUM_445</v>
      </c>
      <c r="E55" s="631">
        <f t="shared" si="2"/>
        <v>19.779999999999998</v>
      </c>
      <c r="F55" s="688">
        <v>332</v>
      </c>
      <c r="G55" s="631">
        <v>0.94</v>
      </c>
      <c r="H55" s="631">
        <v>0.76</v>
      </c>
      <c r="I55" s="631">
        <v>18.079999999999998</v>
      </c>
      <c r="J55" s="435" t="s">
        <v>278</v>
      </c>
      <c r="S55" s="599"/>
      <c r="T55" s="599"/>
      <c r="U55" s="599"/>
      <c r="V55" s="599"/>
    </row>
    <row r="56" spans="1:22" s="439" customFormat="1">
      <c r="A56" s="634">
        <f t="shared" si="1"/>
        <v>20100801</v>
      </c>
      <c r="B56" s="630" t="s">
        <v>665</v>
      </c>
      <c r="C56" s="630" t="s">
        <v>385</v>
      </c>
      <c r="D56" s="687" t="str">
        <f t="shared" si="0"/>
        <v>20100801KUUM_446</v>
      </c>
      <c r="E56" s="631">
        <f t="shared" si="2"/>
        <v>8.5500000000000007</v>
      </c>
      <c r="F56" s="688">
        <v>828</v>
      </c>
      <c r="G56" s="631">
        <v>0.95</v>
      </c>
      <c r="H56" s="631">
        <v>1.9</v>
      </c>
      <c r="I56" s="631">
        <v>5.7000000000000011</v>
      </c>
      <c r="J56" s="448" t="s">
        <v>294</v>
      </c>
      <c r="K56" s="448"/>
      <c r="L56" s="448"/>
      <c r="M56" s="448"/>
      <c r="S56" s="599"/>
      <c r="T56" s="599"/>
      <c r="U56" s="599"/>
      <c r="V56" s="599"/>
    </row>
    <row r="57" spans="1:22" s="439" customFormat="1">
      <c r="A57" s="634">
        <f t="shared" si="1"/>
        <v>20100801</v>
      </c>
      <c r="B57" s="630" t="s">
        <v>665</v>
      </c>
      <c r="C57" s="630" t="s">
        <v>312</v>
      </c>
      <c r="D57" s="623" t="str">
        <f t="shared" si="0"/>
        <v>20100801KUUM_447</v>
      </c>
      <c r="E57" s="436">
        <f t="shared" si="2"/>
        <v>10.09</v>
      </c>
      <c r="F57" s="602">
        <v>1176</v>
      </c>
      <c r="G57" s="631">
        <v>1.0900000000000001</v>
      </c>
      <c r="H57" s="631">
        <v>2.7</v>
      </c>
      <c r="I57" s="631">
        <v>6.3</v>
      </c>
      <c r="J57" s="436" t="s">
        <v>221</v>
      </c>
      <c r="S57" s="599"/>
      <c r="T57" s="599"/>
      <c r="U57" s="599"/>
      <c r="V57" s="599"/>
    </row>
    <row r="58" spans="1:22" s="439" customFormat="1">
      <c r="A58" s="634">
        <f t="shared" si="1"/>
        <v>20100801</v>
      </c>
      <c r="B58" s="630" t="s">
        <v>665</v>
      </c>
      <c r="C58" s="635" t="s">
        <v>421</v>
      </c>
      <c r="D58" s="623" t="str">
        <f t="shared" si="0"/>
        <v>20100801KUUM_448</v>
      </c>
      <c r="E58" s="436">
        <f t="shared" si="2"/>
        <v>12.35</v>
      </c>
      <c r="F58" s="602">
        <v>1812</v>
      </c>
      <c r="G58" s="631">
        <v>1.24</v>
      </c>
      <c r="H58" s="631">
        <v>4.16</v>
      </c>
      <c r="I58" s="631">
        <v>6.9499999999999993</v>
      </c>
      <c r="J58" s="435" t="s">
        <v>422</v>
      </c>
      <c r="S58" s="599"/>
      <c r="T58" s="599"/>
      <c r="U58" s="599"/>
      <c r="V58" s="599"/>
    </row>
    <row r="59" spans="1:22" s="439" customFormat="1">
      <c r="A59" s="634">
        <f t="shared" si="1"/>
        <v>20100801</v>
      </c>
      <c r="B59" s="630" t="s">
        <v>73</v>
      </c>
      <c r="C59" s="630" t="s">
        <v>392</v>
      </c>
      <c r="D59" s="687" t="str">
        <f t="shared" si="0"/>
        <v>20100801KUUM_449</v>
      </c>
      <c r="E59" s="631">
        <f t="shared" si="2"/>
        <v>20.52</v>
      </c>
      <c r="F59" s="688">
        <v>468</v>
      </c>
      <c r="G59" s="631">
        <v>0.75</v>
      </c>
      <c r="H59" s="631">
        <v>1.07</v>
      </c>
      <c r="I59" s="631">
        <v>18.7</v>
      </c>
      <c r="J59" s="435" t="s">
        <v>301</v>
      </c>
      <c r="S59" s="599"/>
      <c r="T59" s="599"/>
      <c r="U59" s="599"/>
      <c r="V59" s="599"/>
    </row>
    <row r="60" spans="1:22" s="439" customFormat="1">
      <c r="A60" s="634">
        <f t="shared" si="1"/>
        <v>20100801</v>
      </c>
      <c r="B60" s="630" t="s">
        <v>666</v>
      </c>
      <c r="C60" s="630" t="s">
        <v>322</v>
      </c>
      <c r="D60" s="687" t="str">
        <f t="shared" si="0"/>
        <v>20100801KUUM_450</v>
      </c>
      <c r="E60" s="631">
        <f t="shared" si="2"/>
        <v>12.379999999999999</v>
      </c>
      <c r="F60" s="688">
        <v>600</v>
      </c>
      <c r="G60" s="631">
        <v>1.38</v>
      </c>
      <c r="H60" s="631">
        <v>1.9</v>
      </c>
      <c r="I60" s="631">
        <v>9.1</v>
      </c>
      <c r="J60" s="435" t="s">
        <v>231</v>
      </c>
      <c r="S60" s="599"/>
      <c r="T60" s="599"/>
      <c r="U60" s="599"/>
      <c r="V60" s="599"/>
    </row>
    <row r="61" spans="1:22" s="439" customFormat="1">
      <c r="A61" s="634">
        <f t="shared" si="1"/>
        <v>20100801</v>
      </c>
      <c r="B61" s="630" t="s">
        <v>666</v>
      </c>
      <c r="C61" s="630" t="s">
        <v>354</v>
      </c>
      <c r="D61" s="687" t="str">
        <f t="shared" si="0"/>
        <v>20100801KUUM_451</v>
      </c>
      <c r="E61" s="631">
        <f t="shared" si="2"/>
        <v>17.75</v>
      </c>
      <c r="F61" s="688">
        <v>1400</v>
      </c>
      <c r="G61" s="631">
        <v>1.79</v>
      </c>
      <c r="H61" s="631">
        <v>4.13</v>
      </c>
      <c r="I61" s="631">
        <v>11.830000000000002</v>
      </c>
      <c r="J61" s="435" t="s">
        <v>263</v>
      </c>
      <c r="S61" s="599"/>
      <c r="T61" s="599"/>
      <c r="U61" s="599"/>
      <c r="V61" s="599"/>
    </row>
    <row r="62" spans="1:22" s="439" customFormat="1">
      <c r="A62" s="634">
        <f t="shared" si="1"/>
        <v>20100801</v>
      </c>
      <c r="B62" s="630" t="s">
        <v>666</v>
      </c>
      <c r="C62" s="630" t="s">
        <v>317</v>
      </c>
      <c r="D62" s="687" t="str">
        <f t="shared" si="0"/>
        <v>20100801KUUM_452</v>
      </c>
      <c r="E62" s="631">
        <f t="shared" si="2"/>
        <v>37.260000000000005</v>
      </c>
      <c r="F62" s="688">
        <v>4320</v>
      </c>
      <c r="G62" s="631">
        <v>3.59</v>
      </c>
      <c r="H62" s="631">
        <v>9.91</v>
      </c>
      <c r="I62" s="631">
        <v>23.76</v>
      </c>
      <c r="J62" s="435" t="s">
        <v>226</v>
      </c>
      <c r="S62" s="599"/>
      <c r="T62" s="599"/>
      <c r="U62" s="599"/>
      <c r="V62" s="599"/>
    </row>
    <row r="63" spans="1:22" s="439" customFormat="1">
      <c r="A63" s="634">
        <f t="shared" si="1"/>
        <v>20100801</v>
      </c>
      <c r="B63" s="630" t="s">
        <v>666</v>
      </c>
      <c r="C63" s="630" t="s">
        <v>320</v>
      </c>
      <c r="D63" s="687" t="str">
        <f t="shared" si="0"/>
        <v>20100801KUUM_454</v>
      </c>
      <c r="E63" s="631">
        <f t="shared" si="2"/>
        <v>16.61</v>
      </c>
      <c r="F63" s="688">
        <v>600</v>
      </c>
      <c r="G63" s="631">
        <v>1.38</v>
      </c>
      <c r="H63" s="631">
        <v>1.9</v>
      </c>
      <c r="I63" s="631">
        <v>13.33</v>
      </c>
      <c r="J63" s="435" t="s">
        <v>229</v>
      </c>
      <c r="S63" s="599"/>
      <c r="T63" s="599"/>
      <c r="U63" s="599"/>
      <c r="V63" s="599"/>
    </row>
    <row r="64" spans="1:22" s="439" customFormat="1">
      <c r="A64" s="634">
        <f t="shared" si="1"/>
        <v>20100801</v>
      </c>
      <c r="B64" s="630" t="s">
        <v>666</v>
      </c>
      <c r="C64" s="630" t="s">
        <v>352</v>
      </c>
      <c r="D64" s="687" t="str">
        <f t="shared" si="0"/>
        <v>20100801KUUM_455</v>
      </c>
      <c r="E64" s="631">
        <f t="shared" si="2"/>
        <v>21.980000000000004</v>
      </c>
      <c r="F64" s="688">
        <v>1400</v>
      </c>
      <c r="G64" s="631">
        <v>1.79</v>
      </c>
      <c r="H64" s="631">
        <v>4.13</v>
      </c>
      <c r="I64" s="631">
        <v>16.060000000000002</v>
      </c>
      <c r="J64" s="435" t="s">
        <v>261</v>
      </c>
      <c r="S64" s="599"/>
      <c r="T64" s="599"/>
      <c r="U64" s="599"/>
      <c r="V64" s="599"/>
    </row>
    <row r="65" spans="1:22" s="439" customFormat="1">
      <c r="A65" s="634">
        <f t="shared" si="1"/>
        <v>20100801</v>
      </c>
      <c r="B65" s="630" t="s">
        <v>665</v>
      </c>
      <c r="C65" s="630" t="s">
        <v>384</v>
      </c>
      <c r="D65" s="687" t="str">
        <f t="shared" si="0"/>
        <v>20100801KUUM_456</v>
      </c>
      <c r="E65" s="631">
        <f t="shared" si="2"/>
        <v>10.77</v>
      </c>
      <c r="F65" s="688">
        <v>828</v>
      </c>
      <c r="G65" s="631">
        <v>0.95</v>
      </c>
      <c r="H65" s="631">
        <v>1.9</v>
      </c>
      <c r="I65" s="631">
        <v>7.92</v>
      </c>
      <c r="J65" s="435" t="s">
        <v>293</v>
      </c>
      <c r="S65" s="599"/>
      <c r="T65" s="599"/>
      <c r="U65" s="599"/>
      <c r="V65" s="599"/>
    </row>
    <row r="66" spans="1:22" s="439" customFormat="1">
      <c r="A66" s="634">
        <f t="shared" si="1"/>
        <v>20100801</v>
      </c>
      <c r="B66" s="630" t="s">
        <v>665</v>
      </c>
      <c r="C66" s="630" t="s">
        <v>311</v>
      </c>
      <c r="D66" s="687" t="str">
        <f t="shared" si="0"/>
        <v>20100801KUUM_457</v>
      </c>
      <c r="E66" s="631">
        <f t="shared" si="2"/>
        <v>12.059999999999999</v>
      </c>
      <c r="F66" s="688">
        <v>1176</v>
      </c>
      <c r="G66" s="631">
        <v>1.0900000000000001</v>
      </c>
      <c r="H66" s="631">
        <v>2.7</v>
      </c>
      <c r="I66" s="631">
        <v>8.27</v>
      </c>
      <c r="J66" s="436" t="s">
        <v>220</v>
      </c>
      <c r="S66" s="599"/>
      <c r="T66" s="599"/>
      <c r="U66" s="599"/>
      <c r="V66" s="599"/>
    </row>
    <row r="67" spans="1:22" s="439" customFormat="1">
      <c r="A67" s="634">
        <f t="shared" si="1"/>
        <v>20100801</v>
      </c>
      <c r="B67" s="630" t="s">
        <v>665</v>
      </c>
      <c r="C67" s="630" t="s">
        <v>341</v>
      </c>
      <c r="D67" s="687" t="str">
        <f t="shared" si="0"/>
        <v>20100801KUUM_458</v>
      </c>
      <c r="E67" s="631">
        <f t="shared" si="2"/>
        <v>13.92</v>
      </c>
      <c r="F67" s="688">
        <v>1812</v>
      </c>
      <c r="G67" s="631">
        <v>1.24</v>
      </c>
      <c r="H67" s="631">
        <v>4.16</v>
      </c>
      <c r="I67" s="631">
        <v>8.52</v>
      </c>
      <c r="J67" s="435" t="s">
        <v>250</v>
      </c>
      <c r="S67" s="599"/>
      <c r="T67" s="599"/>
      <c r="U67" s="599"/>
      <c r="V67" s="599"/>
    </row>
    <row r="68" spans="1:22" s="439" customFormat="1">
      <c r="A68" s="634">
        <f t="shared" si="1"/>
        <v>20100801</v>
      </c>
      <c r="B68" s="630" t="s">
        <v>666</v>
      </c>
      <c r="C68" s="630" t="s">
        <v>315</v>
      </c>
      <c r="D68" s="687" t="str">
        <f t="shared" ref="D68:D136" si="3">A68&amp;C68</f>
        <v>20100801KUUM_459</v>
      </c>
      <c r="E68" s="631">
        <f t="shared" si="2"/>
        <v>41.489999999999995</v>
      </c>
      <c r="F68" s="688">
        <v>4320</v>
      </c>
      <c r="G68" s="631">
        <v>3.59</v>
      </c>
      <c r="H68" s="631">
        <v>9.91</v>
      </c>
      <c r="I68" s="631">
        <v>27.99</v>
      </c>
      <c r="J68" s="436" t="s">
        <v>224</v>
      </c>
      <c r="S68" s="599"/>
      <c r="T68" s="599"/>
      <c r="U68" s="599"/>
      <c r="V68" s="599"/>
    </row>
    <row r="69" spans="1:22" s="439" customFormat="1">
      <c r="A69" s="634">
        <f t="shared" ref="A69:A107" si="4">A68</f>
        <v>20100801</v>
      </c>
      <c r="B69" s="630" t="s">
        <v>666</v>
      </c>
      <c r="C69" s="630" t="s">
        <v>319</v>
      </c>
      <c r="D69" s="687" t="str">
        <f t="shared" si="3"/>
        <v>20100801KUUM_460</v>
      </c>
      <c r="E69" s="631">
        <f t="shared" ref="E69:E137" si="5">SUM(G69:I69)</f>
        <v>24.790000000000003</v>
      </c>
      <c r="F69" s="688">
        <v>600</v>
      </c>
      <c r="G69" s="631">
        <v>1.38</v>
      </c>
      <c r="H69" s="631">
        <v>1.9</v>
      </c>
      <c r="I69" s="631">
        <v>21.51</v>
      </c>
      <c r="J69" s="435" t="s">
        <v>228</v>
      </c>
      <c r="S69" s="599"/>
      <c r="T69" s="599"/>
      <c r="U69" s="599"/>
      <c r="V69" s="599"/>
    </row>
    <row r="70" spans="1:22" s="439" customFormat="1">
      <c r="A70" s="634">
        <f t="shared" si="4"/>
        <v>20100801</v>
      </c>
      <c r="B70" s="630" t="s">
        <v>665</v>
      </c>
      <c r="C70" s="630" t="s">
        <v>356</v>
      </c>
      <c r="D70" s="623" t="str">
        <f t="shared" si="3"/>
        <v>20100801KUUM_461</v>
      </c>
      <c r="E70" s="436">
        <f t="shared" si="5"/>
        <v>6.67</v>
      </c>
      <c r="F70" s="602">
        <v>240</v>
      </c>
      <c r="G70" s="631">
        <v>0.73</v>
      </c>
      <c r="H70" s="631">
        <v>0.55000000000000004</v>
      </c>
      <c r="I70" s="631">
        <v>5.39</v>
      </c>
      <c r="J70" s="435" t="s">
        <v>265</v>
      </c>
      <c r="S70" s="599"/>
      <c r="T70" s="599"/>
      <c r="U70" s="599"/>
      <c r="V70" s="599"/>
    </row>
    <row r="71" spans="1:22" s="439" customFormat="1">
      <c r="A71" s="634">
        <f t="shared" si="4"/>
        <v>20100801</v>
      </c>
      <c r="B71" s="630" t="s">
        <v>665</v>
      </c>
      <c r="C71" s="630" t="s">
        <v>365</v>
      </c>
      <c r="D71" s="623" t="str">
        <f t="shared" si="3"/>
        <v>20100801KUUM_462</v>
      </c>
      <c r="E71" s="436">
        <f t="shared" si="5"/>
        <v>7.54</v>
      </c>
      <c r="F71" s="602">
        <v>332</v>
      </c>
      <c r="G71" s="631">
        <v>0.94</v>
      </c>
      <c r="H71" s="631">
        <v>0.76</v>
      </c>
      <c r="I71" s="631">
        <v>5.84</v>
      </c>
      <c r="J71" s="435" t="s">
        <v>274</v>
      </c>
      <c r="S71" s="599"/>
      <c r="T71" s="599"/>
      <c r="U71" s="599"/>
      <c r="V71" s="599"/>
    </row>
    <row r="72" spans="1:22" s="439" customFormat="1">
      <c r="A72" s="634">
        <f t="shared" si="4"/>
        <v>20100801</v>
      </c>
      <c r="B72" s="630" t="s">
        <v>665</v>
      </c>
      <c r="C72" s="630" t="s">
        <v>388</v>
      </c>
      <c r="D72" s="623" t="str">
        <f t="shared" si="3"/>
        <v>20100801KUUM_463</v>
      </c>
      <c r="E72" s="436">
        <f t="shared" si="5"/>
        <v>8.15</v>
      </c>
      <c r="F72" s="602">
        <v>468</v>
      </c>
      <c r="G72" s="631">
        <v>0.75</v>
      </c>
      <c r="H72" s="631">
        <v>1.07</v>
      </c>
      <c r="I72" s="631">
        <v>6.33</v>
      </c>
      <c r="J72" s="435" t="s">
        <v>297</v>
      </c>
      <c r="S72" s="599"/>
      <c r="T72" s="599"/>
      <c r="U72" s="599"/>
      <c r="V72" s="599"/>
    </row>
    <row r="73" spans="1:22" s="439" customFormat="1">
      <c r="A73" s="634">
        <f t="shared" si="4"/>
        <v>20100801</v>
      </c>
      <c r="B73" s="630" t="s">
        <v>665</v>
      </c>
      <c r="C73" s="630" t="s">
        <v>345</v>
      </c>
      <c r="D73" s="687" t="str">
        <f t="shared" si="3"/>
        <v>20100801KUUM_464</v>
      </c>
      <c r="E73" s="631">
        <f t="shared" si="5"/>
        <v>12.58</v>
      </c>
      <c r="F73" s="688">
        <v>968</v>
      </c>
      <c r="G73" s="631">
        <v>1.25</v>
      </c>
      <c r="H73" s="631">
        <v>2.2200000000000002</v>
      </c>
      <c r="I73" s="631">
        <v>9.11</v>
      </c>
      <c r="J73" s="448" t="s">
        <v>254</v>
      </c>
      <c r="K73" s="448"/>
      <c r="L73" s="448"/>
      <c r="M73" s="448"/>
      <c r="S73" s="599"/>
      <c r="T73" s="599"/>
      <c r="U73" s="599"/>
      <c r="V73" s="599"/>
    </row>
    <row r="74" spans="1:22" s="439" customFormat="1">
      <c r="A74" s="634">
        <f t="shared" si="4"/>
        <v>20100801</v>
      </c>
      <c r="B74" s="630" t="s">
        <v>665</v>
      </c>
      <c r="C74" s="630" t="s">
        <v>377</v>
      </c>
      <c r="D74" s="623" t="str">
        <f t="shared" si="3"/>
        <v>20100801KUUM_465</v>
      </c>
      <c r="E74" s="436">
        <f t="shared" si="5"/>
        <v>20.5</v>
      </c>
      <c r="F74" s="602">
        <v>1884</v>
      </c>
      <c r="G74" s="631">
        <v>1.83</v>
      </c>
      <c r="H74" s="631">
        <v>4.32</v>
      </c>
      <c r="I74" s="631">
        <v>14.350000000000001</v>
      </c>
      <c r="J74" s="435" t="s">
        <v>286</v>
      </c>
      <c r="S74" s="599"/>
      <c r="T74" s="599"/>
      <c r="U74" s="599"/>
      <c r="V74" s="599"/>
    </row>
    <row r="75" spans="1:22" s="439" customFormat="1">
      <c r="A75" s="634">
        <f t="shared" si="4"/>
        <v>20100801</v>
      </c>
      <c r="B75" s="630" t="s">
        <v>665</v>
      </c>
      <c r="C75" s="630" t="s">
        <v>363</v>
      </c>
      <c r="D75" s="687" t="str">
        <f t="shared" si="3"/>
        <v>20100801KUUM_466</v>
      </c>
      <c r="E75" s="631">
        <f t="shared" si="5"/>
        <v>8.67</v>
      </c>
      <c r="F75" s="688">
        <v>240</v>
      </c>
      <c r="G75" s="631">
        <v>0.73</v>
      </c>
      <c r="H75" s="631">
        <v>0.55000000000000004</v>
      </c>
      <c r="I75" s="631">
        <v>7.39</v>
      </c>
      <c r="J75" s="435" t="s">
        <v>272</v>
      </c>
      <c r="S75" s="599"/>
      <c r="T75" s="599"/>
      <c r="U75" s="599"/>
      <c r="V75" s="599"/>
    </row>
    <row r="76" spans="1:22" s="439" customFormat="1">
      <c r="A76" s="634">
        <f t="shared" si="4"/>
        <v>20100801</v>
      </c>
      <c r="B76" s="630" t="s">
        <v>665</v>
      </c>
      <c r="C76" s="630" t="s">
        <v>373</v>
      </c>
      <c r="D76" s="687" t="str">
        <f t="shared" si="3"/>
        <v>20100801KUUM_467</v>
      </c>
      <c r="E76" s="631">
        <f t="shared" si="5"/>
        <v>9.57</v>
      </c>
      <c r="F76" s="688">
        <v>332</v>
      </c>
      <c r="G76" s="631">
        <v>0.94</v>
      </c>
      <c r="H76" s="631">
        <v>0.76</v>
      </c>
      <c r="I76" s="631">
        <v>7.870000000000001</v>
      </c>
      <c r="J76" s="435" t="s">
        <v>282</v>
      </c>
      <c r="S76" s="599"/>
      <c r="T76" s="599"/>
      <c r="U76" s="599"/>
      <c r="V76" s="599"/>
    </row>
    <row r="77" spans="1:22" s="439" customFormat="1">
      <c r="A77" s="634">
        <f t="shared" si="4"/>
        <v>20100801</v>
      </c>
      <c r="B77" s="630" t="s">
        <v>665</v>
      </c>
      <c r="C77" s="630" t="s">
        <v>396</v>
      </c>
      <c r="D77" s="687" t="str">
        <f t="shared" si="3"/>
        <v>20100801KUUM_468</v>
      </c>
      <c r="E77" s="631">
        <f t="shared" si="5"/>
        <v>10.09</v>
      </c>
      <c r="F77" s="688">
        <v>468</v>
      </c>
      <c r="G77" s="631">
        <v>0.75</v>
      </c>
      <c r="H77" s="631">
        <v>1.07</v>
      </c>
      <c r="I77" s="631">
        <v>8.27</v>
      </c>
      <c r="J77" s="435" t="s">
        <v>305</v>
      </c>
      <c r="S77" s="599"/>
      <c r="T77" s="599"/>
      <c r="U77" s="599"/>
      <c r="V77" s="599"/>
    </row>
    <row r="78" spans="1:22" s="439" customFormat="1">
      <c r="A78" s="634">
        <f t="shared" si="4"/>
        <v>20100801</v>
      </c>
      <c r="B78" s="630" t="s">
        <v>666</v>
      </c>
      <c r="C78" s="630" t="s">
        <v>351</v>
      </c>
      <c r="D78" s="687" t="str">
        <f t="shared" si="3"/>
        <v>20100801KUUM_469</v>
      </c>
      <c r="E78" s="631">
        <f t="shared" si="5"/>
        <v>30.160000000000004</v>
      </c>
      <c r="F78" s="688">
        <v>1400</v>
      </c>
      <c r="G78" s="631">
        <v>1.79</v>
      </c>
      <c r="H78" s="631">
        <v>4.13</v>
      </c>
      <c r="I78" s="631">
        <v>24.240000000000002</v>
      </c>
      <c r="J78" s="435" t="s">
        <v>260</v>
      </c>
      <c r="S78" s="599"/>
      <c r="T78" s="599"/>
      <c r="U78" s="599"/>
      <c r="V78" s="599"/>
    </row>
    <row r="79" spans="1:22" s="439" customFormat="1">
      <c r="A79" s="634">
        <f t="shared" si="4"/>
        <v>20100801</v>
      </c>
      <c r="B79" s="630" t="s">
        <v>666</v>
      </c>
      <c r="C79" s="630" t="s">
        <v>314</v>
      </c>
      <c r="D79" s="687" t="str">
        <f t="shared" si="3"/>
        <v>20100801KUUM_470</v>
      </c>
      <c r="E79" s="631">
        <f t="shared" si="5"/>
        <v>49.67</v>
      </c>
      <c r="F79" s="688">
        <v>4320</v>
      </c>
      <c r="G79" s="631">
        <v>3.59</v>
      </c>
      <c r="H79" s="631">
        <v>9.91</v>
      </c>
      <c r="I79" s="631">
        <v>36.17</v>
      </c>
      <c r="J79" s="436" t="s">
        <v>223</v>
      </c>
      <c r="S79" s="599"/>
      <c r="T79" s="599"/>
      <c r="U79" s="599"/>
      <c r="V79" s="599"/>
    </row>
    <row r="80" spans="1:22" s="439" customFormat="1">
      <c r="A80" s="634">
        <f t="shared" si="4"/>
        <v>20100801</v>
      </c>
      <c r="B80" s="630" t="s">
        <v>665</v>
      </c>
      <c r="C80" s="630" t="s">
        <v>355</v>
      </c>
      <c r="D80" s="687" t="str">
        <f t="shared" si="3"/>
        <v>20100801KUUM_471</v>
      </c>
      <c r="E80" s="631">
        <f t="shared" si="5"/>
        <v>9.5</v>
      </c>
      <c r="F80" s="688">
        <v>240</v>
      </c>
      <c r="G80" s="631">
        <v>0.73</v>
      </c>
      <c r="H80" s="631">
        <v>0.55000000000000004</v>
      </c>
      <c r="I80" s="631">
        <v>8.2200000000000006</v>
      </c>
      <c r="J80" s="435" t="s">
        <v>264</v>
      </c>
      <c r="S80" s="599"/>
      <c r="T80" s="599"/>
      <c r="U80" s="599"/>
      <c r="V80" s="599"/>
    </row>
    <row r="81" spans="1:22" s="439" customFormat="1">
      <c r="A81" s="634">
        <f t="shared" si="4"/>
        <v>20100801</v>
      </c>
      <c r="B81" s="630" t="s">
        <v>665</v>
      </c>
      <c r="C81" s="630" t="s">
        <v>364</v>
      </c>
      <c r="D81" s="687" t="str">
        <f t="shared" si="3"/>
        <v>20100801KUUM_472</v>
      </c>
      <c r="E81" s="631">
        <f t="shared" si="5"/>
        <v>10.37</v>
      </c>
      <c r="F81" s="688">
        <v>332</v>
      </c>
      <c r="G81" s="631">
        <v>0.94</v>
      </c>
      <c r="H81" s="631">
        <v>0.76</v>
      </c>
      <c r="I81" s="631">
        <v>8.67</v>
      </c>
      <c r="J81" s="435" t="s">
        <v>273</v>
      </c>
      <c r="S81" s="599"/>
      <c r="T81" s="599"/>
      <c r="U81" s="599"/>
      <c r="V81" s="599"/>
    </row>
    <row r="82" spans="1:22" s="439" customFormat="1">
      <c r="A82" s="634">
        <f t="shared" si="4"/>
        <v>20100801</v>
      </c>
      <c r="B82" s="630" t="s">
        <v>665</v>
      </c>
      <c r="C82" s="630" t="s">
        <v>387</v>
      </c>
      <c r="D82" s="687" t="str">
        <f t="shared" si="3"/>
        <v>20100801KUUM_473</v>
      </c>
      <c r="E82" s="631">
        <f t="shared" si="5"/>
        <v>11.19</v>
      </c>
      <c r="F82" s="688">
        <v>468</v>
      </c>
      <c r="G82" s="631">
        <v>0.75</v>
      </c>
      <c r="H82" s="631">
        <v>1.07</v>
      </c>
      <c r="I82" s="631">
        <v>9.3699999999999992</v>
      </c>
      <c r="J82" s="448" t="s">
        <v>296</v>
      </c>
      <c r="K82" s="448"/>
      <c r="L82" s="448"/>
      <c r="M82" s="448"/>
      <c r="S82" s="599"/>
      <c r="T82" s="599"/>
      <c r="U82" s="599"/>
      <c r="V82" s="599"/>
    </row>
    <row r="83" spans="1:22" s="439" customFormat="1">
      <c r="A83" s="634">
        <f t="shared" si="4"/>
        <v>20100801</v>
      </c>
      <c r="B83" s="630" t="s">
        <v>665</v>
      </c>
      <c r="C83" s="630" t="s">
        <v>344</v>
      </c>
      <c r="D83" s="687" t="str">
        <f t="shared" si="3"/>
        <v>20100801KUUM_474</v>
      </c>
      <c r="E83" s="631">
        <f t="shared" si="5"/>
        <v>15.62</v>
      </c>
      <c r="F83" s="688">
        <v>968</v>
      </c>
      <c r="G83" s="631">
        <v>1.25</v>
      </c>
      <c r="H83" s="631">
        <v>2.2200000000000002</v>
      </c>
      <c r="I83" s="631">
        <v>12.149999999999999</v>
      </c>
      <c r="J83" s="448" t="s">
        <v>253</v>
      </c>
      <c r="K83" s="448"/>
      <c r="L83" s="448"/>
      <c r="M83" s="448"/>
      <c r="S83" s="599"/>
      <c r="T83" s="599"/>
      <c r="U83" s="599"/>
      <c r="V83" s="599"/>
    </row>
    <row r="84" spans="1:22" s="439" customFormat="1">
      <c r="A84" s="634">
        <f t="shared" si="4"/>
        <v>20100801</v>
      </c>
      <c r="B84" s="630" t="s">
        <v>665</v>
      </c>
      <c r="C84" s="630" t="s">
        <v>376</v>
      </c>
      <c r="D84" s="687" t="str">
        <f t="shared" si="3"/>
        <v>20100801KUUM_475</v>
      </c>
      <c r="E84" s="631">
        <f t="shared" si="5"/>
        <v>22.059999999999995</v>
      </c>
      <c r="F84" s="688">
        <v>1884</v>
      </c>
      <c r="G84" s="631">
        <v>1.83</v>
      </c>
      <c r="H84" s="631">
        <v>4.32</v>
      </c>
      <c r="I84" s="631">
        <v>15.909999999999997</v>
      </c>
      <c r="J84" s="435" t="s">
        <v>285</v>
      </c>
      <c r="S84" s="599"/>
      <c r="T84" s="599"/>
      <c r="U84" s="599"/>
      <c r="V84" s="599"/>
    </row>
    <row r="85" spans="1:22" s="439" customFormat="1">
      <c r="A85" s="634">
        <f t="shared" si="4"/>
        <v>20100801</v>
      </c>
      <c r="B85" s="630" t="s">
        <v>73</v>
      </c>
      <c r="C85" s="630" t="s">
        <v>374</v>
      </c>
      <c r="D85" s="687" t="str">
        <f t="shared" si="3"/>
        <v>20100801KUUM_476</v>
      </c>
      <c r="E85" s="631">
        <v>15.3</v>
      </c>
      <c r="F85" s="688">
        <v>332</v>
      </c>
      <c r="G85" s="631">
        <v>0.94</v>
      </c>
      <c r="H85" s="631">
        <v>0.76</v>
      </c>
      <c r="I85" s="631">
        <v>13.600000000000001</v>
      </c>
      <c r="J85" s="435" t="s">
        <v>283</v>
      </c>
      <c r="S85" s="599"/>
      <c r="T85" s="599"/>
      <c r="U85" s="599"/>
      <c r="V85" s="599"/>
    </row>
    <row r="86" spans="1:22" s="439" customFormat="1">
      <c r="A86" s="634">
        <f t="shared" si="4"/>
        <v>20100801</v>
      </c>
      <c r="B86" s="630" t="s">
        <v>73</v>
      </c>
      <c r="C86" s="630" t="s">
        <v>398</v>
      </c>
      <c r="D86" s="687" t="str">
        <f t="shared" si="3"/>
        <v>20100801KUUM_477</v>
      </c>
      <c r="E86" s="631">
        <v>17.93</v>
      </c>
      <c r="F86" s="688">
        <v>468</v>
      </c>
      <c r="G86" s="631">
        <v>0.75</v>
      </c>
      <c r="H86" s="631">
        <v>1.07</v>
      </c>
      <c r="I86" s="631">
        <v>16.11</v>
      </c>
      <c r="J86" s="435" t="s">
        <v>307</v>
      </c>
      <c r="S86" s="599"/>
      <c r="T86" s="599"/>
      <c r="U86" s="599"/>
      <c r="V86" s="599"/>
    </row>
    <row r="87" spans="1:22" s="439" customFormat="1">
      <c r="A87" s="634">
        <f t="shared" si="4"/>
        <v>20100801</v>
      </c>
      <c r="B87" s="630" t="s">
        <v>73</v>
      </c>
      <c r="C87" s="630" t="s">
        <v>348</v>
      </c>
      <c r="D87" s="687" t="str">
        <f t="shared" si="3"/>
        <v>20100801KUUM_478</v>
      </c>
      <c r="E87" s="631">
        <v>21.65</v>
      </c>
      <c r="F87" s="688">
        <v>968</v>
      </c>
      <c r="G87" s="631">
        <v>1.25</v>
      </c>
      <c r="H87" s="631">
        <v>2.2200000000000002</v>
      </c>
      <c r="I87" s="631">
        <v>18.18</v>
      </c>
      <c r="J87" s="435" t="s">
        <v>257</v>
      </c>
      <c r="S87" s="599"/>
      <c r="T87" s="599"/>
      <c r="U87" s="599"/>
      <c r="V87" s="599"/>
    </row>
    <row r="88" spans="1:22" s="439" customFormat="1">
      <c r="A88" s="634">
        <f t="shared" si="4"/>
        <v>20100801</v>
      </c>
      <c r="B88" s="630" t="s">
        <v>73</v>
      </c>
      <c r="C88" s="630" t="s">
        <v>380</v>
      </c>
      <c r="D88" s="687" t="str">
        <f t="shared" si="3"/>
        <v>20100801KUUM_479</v>
      </c>
      <c r="E88" s="631">
        <v>27.68</v>
      </c>
      <c r="F88" s="688">
        <v>1884</v>
      </c>
      <c r="G88" s="631">
        <v>1.83</v>
      </c>
      <c r="H88" s="631">
        <v>4.32</v>
      </c>
      <c r="I88" s="631">
        <v>21.53</v>
      </c>
      <c r="J88" s="435" t="s">
        <v>289</v>
      </c>
      <c r="S88" s="599"/>
      <c r="T88" s="599"/>
      <c r="U88" s="599"/>
      <c r="V88" s="599"/>
    </row>
    <row r="89" spans="1:22" s="439" customFormat="1">
      <c r="A89" s="634">
        <f t="shared" si="4"/>
        <v>20100801</v>
      </c>
      <c r="B89" s="630" t="s">
        <v>73</v>
      </c>
      <c r="C89" s="630" t="s">
        <v>362</v>
      </c>
      <c r="D89" s="687" t="str">
        <f t="shared" si="3"/>
        <v>20100801KUUM_480</v>
      </c>
      <c r="E89" s="631">
        <f t="shared" si="5"/>
        <v>8.67</v>
      </c>
      <c r="F89" s="688">
        <v>240</v>
      </c>
      <c r="G89" s="631">
        <v>0.73</v>
      </c>
      <c r="H89" s="631">
        <v>0.55000000000000004</v>
      </c>
      <c r="I89" s="631">
        <v>7.39</v>
      </c>
      <c r="J89" s="435" t="s">
        <v>271</v>
      </c>
      <c r="S89" s="599"/>
      <c r="T89" s="599"/>
      <c r="U89" s="599"/>
      <c r="V89" s="599"/>
    </row>
    <row r="90" spans="1:22" s="439" customFormat="1">
      <c r="A90" s="634">
        <f t="shared" si="4"/>
        <v>20100801</v>
      </c>
      <c r="B90" s="630" t="s">
        <v>73</v>
      </c>
      <c r="C90" s="630" t="s">
        <v>372</v>
      </c>
      <c r="D90" s="687" t="str">
        <f t="shared" si="3"/>
        <v>20100801KUUM_481</v>
      </c>
      <c r="E90" s="631">
        <f t="shared" si="5"/>
        <v>9.57</v>
      </c>
      <c r="F90" s="688">
        <v>332</v>
      </c>
      <c r="G90" s="631">
        <v>0.94</v>
      </c>
      <c r="H90" s="631">
        <v>0.76</v>
      </c>
      <c r="I90" s="631">
        <v>7.870000000000001</v>
      </c>
      <c r="J90" s="435" t="s">
        <v>281</v>
      </c>
      <c r="S90" s="599"/>
      <c r="T90" s="599"/>
      <c r="U90" s="599"/>
      <c r="V90" s="599"/>
    </row>
    <row r="91" spans="1:22" s="439" customFormat="1">
      <c r="A91" s="634">
        <f t="shared" si="4"/>
        <v>20100801</v>
      </c>
      <c r="B91" s="630" t="s">
        <v>73</v>
      </c>
      <c r="C91" s="630" t="s">
        <v>395</v>
      </c>
      <c r="D91" s="687" t="str">
        <f t="shared" si="3"/>
        <v>20100801KUUM_482</v>
      </c>
      <c r="E91" s="631">
        <f t="shared" si="5"/>
        <v>10.09</v>
      </c>
      <c r="F91" s="688">
        <v>468</v>
      </c>
      <c r="G91" s="631">
        <v>0.75</v>
      </c>
      <c r="H91" s="631">
        <v>1.07</v>
      </c>
      <c r="I91" s="631">
        <v>8.27</v>
      </c>
      <c r="J91" s="435" t="s">
        <v>304</v>
      </c>
      <c r="S91" s="599"/>
      <c r="T91" s="599"/>
      <c r="U91" s="599"/>
      <c r="V91" s="599"/>
    </row>
    <row r="92" spans="1:22" s="439" customFormat="1">
      <c r="A92" s="634">
        <f t="shared" si="4"/>
        <v>20100801</v>
      </c>
      <c r="B92" s="630" t="s">
        <v>666</v>
      </c>
      <c r="C92" s="635" t="s">
        <v>423</v>
      </c>
      <c r="D92" s="687" t="str">
        <f t="shared" si="3"/>
        <v>20100801KUUM_483</v>
      </c>
      <c r="E92" s="631">
        <f t="shared" si="5"/>
        <v>21.449999999999996</v>
      </c>
      <c r="F92" s="688">
        <v>332</v>
      </c>
      <c r="G92" s="631">
        <v>0.94</v>
      </c>
      <c r="H92" s="631">
        <v>0.76</v>
      </c>
      <c r="I92" s="631">
        <v>19.749999999999996</v>
      </c>
      <c r="J92" s="442" t="s">
        <v>401</v>
      </c>
      <c r="S92" s="599"/>
      <c r="T92" s="599"/>
      <c r="U92" s="599"/>
      <c r="V92" s="599"/>
    </row>
    <row r="93" spans="1:22" s="439" customFormat="1">
      <c r="A93" s="634">
        <f t="shared" si="4"/>
        <v>20100801</v>
      </c>
      <c r="B93" s="630" t="s">
        <v>666</v>
      </c>
      <c r="C93" s="630" t="s">
        <v>397</v>
      </c>
      <c r="D93" s="687" t="str">
        <f t="shared" si="3"/>
        <v>20100801KUUM_484</v>
      </c>
      <c r="E93" s="631">
        <f t="shared" si="5"/>
        <v>21.59</v>
      </c>
      <c r="F93" s="688">
        <v>468</v>
      </c>
      <c r="G93" s="631">
        <v>0.75</v>
      </c>
      <c r="H93" s="631">
        <v>1.07</v>
      </c>
      <c r="I93" s="631">
        <v>19.77</v>
      </c>
      <c r="J93" s="435" t="s">
        <v>306</v>
      </c>
      <c r="S93" s="599"/>
      <c r="T93" s="599"/>
      <c r="U93" s="599"/>
      <c r="V93" s="599"/>
    </row>
    <row r="94" spans="1:22" s="439" customFormat="1">
      <c r="A94" s="634">
        <f t="shared" si="4"/>
        <v>20100801</v>
      </c>
      <c r="B94" s="630" t="s">
        <v>73</v>
      </c>
      <c r="C94" s="635" t="s">
        <v>412</v>
      </c>
      <c r="D94" s="623" t="str">
        <f t="shared" si="3"/>
        <v>20100801KUUM_484.1</v>
      </c>
      <c r="E94" s="436">
        <f t="shared" si="5"/>
        <v>14.12</v>
      </c>
      <c r="F94" s="602">
        <v>468</v>
      </c>
      <c r="G94" s="631">
        <v>0.75</v>
      </c>
      <c r="H94" s="631">
        <v>1.07</v>
      </c>
      <c r="I94" s="631">
        <v>12.299999999999999</v>
      </c>
      <c r="J94" s="442" t="s">
        <v>413</v>
      </c>
      <c r="S94" s="599"/>
      <c r="T94" s="599"/>
      <c r="U94" s="599"/>
      <c r="V94" s="599"/>
    </row>
    <row r="95" spans="1:22" s="439" customFormat="1">
      <c r="A95" s="634">
        <f t="shared" si="4"/>
        <v>20100801</v>
      </c>
      <c r="B95" s="630" t="s">
        <v>666</v>
      </c>
      <c r="C95" s="630" t="s">
        <v>347</v>
      </c>
      <c r="D95" s="687" t="str">
        <f t="shared" si="3"/>
        <v>20100801KUUM_485</v>
      </c>
      <c r="E95" s="631">
        <f t="shared" si="5"/>
        <v>27.38</v>
      </c>
      <c r="F95" s="688">
        <v>968</v>
      </c>
      <c r="G95" s="631">
        <v>1.25</v>
      </c>
      <c r="H95" s="631">
        <v>2.2200000000000002</v>
      </c>
      <c r="I95" s="631">
        <v>23.91</v>
      </c>
      <c r="J95" s="435" t="s">
        <v>256</v>
      </c>
      <c r="S95" s="599"/>
      <c r="T95" s="599"/>
      <c r="U95" s="599"/>
      <c r="V95" s="599"/>
    </row>
    <row r="96" spans="1:22" s="439" customFormat="1">
      <c r="A96" s="634">
        <f t="shared" si="4"/>
        <v>20100801</v>
      </c>
      <c r="B96" s="630" t="s">
        <v>73</v>
      </c>
      <c r="C96" s="635" t="s">
        <v>447</v>
      </c>
      <c r="D96" s="687" t="str">
        <f t="shared" si="3"/>
        <v>20100801KUUM_498</v>
      </c>
      <c r="E96" s="631">
        <v>15.91</v>
      </c>
      <c r="F96" s="688">
        <v>968</v>
      </c>
      <c r="G96" s="631">
        <v>1.25</v>
      </c>
      <c r="H96" s="631">
        <v>2.2200000000000002</v>
      </c>
      <c r="I96" s="631">
        <v>12.44</v>
      </c>
      <c r="J96" s="442" t="s">
        <v>415</v>
      </c>
      <c r="S96" s="599"/>
      <c r="T96" s="599"/>
      <c r="U96" s="599"/>
      <c r="V96" s="599"/>
    </row>
    <row r="97" spans="1:22" s="439" customFormat="1">
      <c r="A97" s="634">
        <f t="shared" si="4"/>
        <v>20100801</v>
      </c>
      <c r="B97" s="630" t="s">
        <v>666</v>
      </c>
      <c r="C97" s="630" t="s">
        <v>379</v>
      </c>
      <c r="D97" s="687" t="str">
        <f t="shared" si="3"/>
        <v>20100801KUUM_486</v>
      </c>
      <c r="E97" s="631">
        <f t="shared" si="5"/>
        <v>30.67</v>
      </c>
      <c r="F97" s="688">
        <v>1884</v>
      </c>
      <c r="G97" s="631">
        <v>1.83</v>
      </c>
      <c r="H97" s="631">
        <v>4.32</v>
      </c>
      <c r="I97" s="631">
        <v>24.520000000000003</v>
      </c>
      <c r="J97" s="435" t="s">
        <v>288</v>
      </c>
      <c r="S97" s="599"/>
      <c r="T97" s="599"/>
      <c r="U97" s="599"/>
      <c r="V97" s="599"/>
    </row>
    <row r="98" spans="1:22" s="439" customFormat="1">
      <c r="A98" s="634">
        <f t="shared" si="4"/>
        <v>20100801</v>
      </c>
      <c r="B98" s="630" t="s">
        <v>73</v>
      </c>
      <c r="C98" s="635" t="s">
        <v>624</v>
      </c>
      <c r="D98" s="687" t="str">
        <f t="shared" si="3"/>
        <v>20100801KUUM_499</v>
      </c>
      <c r="E98" s="631">
        <v>19.22</v>
      </c>
      <c r="F98" s="688">
        <v>1884</v>
      </c>
      <c r="G98" s="631">
        <v>1.83</v>
      </c>
      <c r="H98" s="631">
        <v>4.32</v>
      </c>
      <c r="I98" s="631">
        <v>13.07</v>
      </c>
      <c r="J98" s="442" t="s">
        <v>414</v>
      </c>
      <c r="S98" s="599"/>
      <c r="T98" s="599"/>
      <c r="U98" s="599"/>
      <c r="V98" s="599"/>
    </row>
    <row r="99" spans="1:22" s="439" customFormat="1">
      <c r="A99" s="634">
        <f t="shared" si="4"/>
        <v>20100801</v>
      </c>
      <c r="B99" s="630" t="s">
        <v>666</v>
      </c>
      <c r="C99" s="630" t="s">
        <v>399</v>
      </c>
      <c r="D99" s="687" t="str">
        <f t="shared" si="3"/>
        <v>20100801KUUM_487</v>
      </c>
      <c r="E99" s="631">
        <f t="shared" si="5"/>
        <v>8.01</v>
      </c>
      <c r="F99" s="688">
        <v>468</v>
      </c>
      <c r="G99" s="631">
        <v>0.75</v>
      </c>
      <c r="H99" s="631">
        <v>1.07</v>
      </c>
      <c r="I99" s="631">
        <v>6.1899999999999995</v>
      </c>
      <c r="J99" s="435" t="s">
        <v>308</v>
      </c>
      <c r="S99" s="599"/>
      <c r="T99" s="599"/>
      <c r="U99" s="599"/>
      <c r="V99" s="599"/>
    </row>
    <row r="100" spans="1:22">
      <c r="A100" s="634">
        <f t="shared" si="4"/>
        <v>20100801</v>
      </c>
      <c r="B100" s="630" t="s">
        <v>666</v>
      </c>
      <c r="C100" s="630" t="s">
        <v>349</v>
      </c>
      <c r="D100" s="687" t="str">
        <f t="shared" si="3"/>
        <v>20100801KUUM_488</v>
      </c>
      <c r="E100" s="631">
        <f t="shared" si="5"/>
        <v>11.99</v>
      </c>
      <c r="F100" s="688">
        <v>968</v>
      </c>
      <c r="G100" s="631">
        <v>1.25</v>
      </c>
      <c r="H100" s="631">
        <v>2.2200000000000002</v>
      </c>
      <c r="I100" s="631">
        <v>8.52</v>
      </c>
      <c r="J100" s="435" t="s">
        <v>258</v>
      </c>
    </row>
    <row r="101" spans="1:22">
      <c r="A101" s="634">
        <f t="shared" si="4"/>
        <v>20100801</v>
      </c>
      <c r="B101" s="630" t="s">
        <v>666</v>
      </c>
      <c r="C101" s="630" t="s">
        <v>381</v>
      </c>
      <c r="D101" s="687" t="str">
        <f t="shared" si="3"/>
        <v>20100801KUUM_489</v>
      </c>
      <c r="E101" s="631">
        <f t="shared" si="5"/>
        <v>17.25</v>
      </c>
      <c r="F101" s="688">
        <v>1884</v>
      </c>
      <c r="G101" s="631">
        <v>1.83</v>
      </c>
      <c r="H101" s="631">
        <v>4.32</v>
      </c>
      <c r="I101" s="631">
        <v>11.1</v>
      </c>
      <c r="J101" s="435" t="s">
        <v>290</v>
      </c>
    </row>
    <row r="102" spans="1:22">
      <c r="A102" s="634">
        <f t="shared" si="4"/>
        <v>20100801</v>
      </c>
      <c r="B102" s="630" t="s">
        <v>666</v>
      </c>
      <c r="C102" s="630" t="s">
        <v>321</v>
      </c>
      <c r="D102" s="687" t="str">
        <f t="shared" si="3"/>
        <v>20100801KUUM_490</v>
      </c>
      <c r="E102" s="631">
        <f t="shared" si="5"/>
        <v>13.55</v>
      </c>
      <c r="F102" s="688">
        <v>600</v>
      </c>
      <c r="G102" s="631">
        <v>1.38</v>
      </c>
      <c r="H102" s="631">
        <v>1.9</v>
      </c>
      <c r="I102" s="631">
        <v>10.270000000000001</v>
      </c>
      <c r="J102" s="435" t="s">
        <v>230</v>
      </c>
    </row>
    <row r="103" spans="1:22">
      <c r="A103" s="634">
        <f t="shared" si="4"/>
        <v>20100801</v>
      </c>
      <c r="B103" s="630" t="s">
        <v>666</v>
      </c>
      <c r="C103" s="630" t="s">
        <v>353</v>
      </c>
      <c r="D103" s="687" t="str">
        <f t="shared" si="3"/>
        <v>20100801KUUM_491</v>
      </c>
      <c r="E103" s="631">
        <f t="shared" si="5"/>
        <v>19.420000000000002</v>
      </c>
      <c r="F103" s="688">
        <v>1400</v>
      </c>
      <c r="G103" s="631">
        <v>1.79</v>
      </c>
      <c r="H103" s="631">
        <v>4.13</v>
      </c>
      <c r="I103" s="631">
        <v>13.500000000000004</v>
      </c>
      <c r="J103" s="435" t="s">
        <v>262</v>
      </c>
    </row>
    <row r="104" spans="1:22">
      <c r="A104" s="634">
        <f t="shared" si="4"/>
        <v>20100801</v>
      </c>
      <c r="B104" s="630" t="s">
        <v>666</v>
      </c>
      <c r="C104" s="630" t="s">
        <v>316</v>
      </c>
      <c r="D104" s="687" t="str">
        <f t="shared" si="3"/>
        <v>20100801KUUM_493</v>
      </c>
      <c r="E104" s="631">
        <f t="shared" si="5"/>
        <v>40.480000000000004</v>
      </c>
      <c r="F104" s="688">
        <v>4320</v>
      </c>
      <c r="G104" s="631">
        <v>3.59</v>
      </c>
      <c r="H104" s="631">
        <v>9.91</v>
      </c>
      <c r="I104" s="631">
        <v>26.98</v>
      </c>
      <c r="J104" s="435" t="s">
        <v>225</v>
      </c>
    </row>
    <row r="105" spans="1:22">
      <c r="A105" s="634">
        <f t="shared" si="4"/>
        <v>20100801</v>
      </c>
      <c r="B105" s="630" t="s">
        <v>666</v>
      </c>
      <c r="C105" s="630" t="s">
        <v>318</v>
      </c>
      <c r="D105" s="687" t="str">
        <f t="shared" si="3"/>
        <v>20100801KUUM_494</v>
      </c>
      <c r="E105" s="631">
        <f t="shared" si="5"/>
        <v>25.960000000000004</v>
      </c>
      <c r="F105" s="688">
        <v>600</v>
      </c>
      <c r="G105" s="631">
        <v>1.38</v>
      </c>
      <c r="H105" s="631">
        <v>1.9</v>
      </c>
      <c r="I105" s="631">
        <v>22.680000000000003</v>
      </c>
      <c r="J105" s="435" t="s">
        <v>227</v>
      </c>
    </row>
    <row r="106" spans="1:22">
      <c r="A106" s="634">
        <f t="shared" si="4"/>
        <v>20100801</v>
      </c>
      <c r="B106" s="630" t="s">
        <v>666</v>
      </c>
      <c r="C106" s="630" t="s">
        <v>350</v>
      </c>
      <c r="D106" s="687" t="str">
        <f t="shared" si="3"/>
        <v>20100801KUUM_495</v>
      </c>
      <c r="E106" s="631">
        <f t="shared" si="5"/>
        <v>31.83</v>
      </c>
      <c r="F106" s="688">
        <v>1400</v>
      </c>
      <c r="G106" s="631">
        <v>1.79</v>
      </c>
      <c r="H106" s="631">
        <v>4.13</v>
      </c>
      <c r="I106" s="631">
        <v>25.91</v>
      </c>
      <c r="J106" s="435" t="s">
        <v>259</v>
      </c>
    </row>
    <row r="107" spans="1:22">
      <c r="A107" s="634">
        <f t="shared" si="4"/>
        <v>20100801</v>
      </c>
      <c r="B107" s="630" t="s">
        <v>666</v>
      </c>
      <c r="C107" s="630" t="s">
        <v>313</v>
      </c>
      <c r="D107" s="687" t="str">
        <f t="shared" si="3"/>
        <v>20100801KUUM_496</v>
      </c>
      <c r="E107" s="631">
        <f t="shared" si="5"/>
        <v>52.89</v>
      </c>
      <c r="F107" s="688">
        <v>4320</v>
      </c>
      <c r="G107" s="631">
        <v>3.59</v>
      </c>
      <c r="H107" s="631">
        <v>9.91</v>
      </c>
      <c r="I107" s="631">
        <v>39.39</v>
      </c>
      <c r="J107" s="436" t="s">
        <v>222</v>
      </c>
    </row>
    <row r="108" spans="1:22">
      <c r="A108" s="644">
        <v>20110701</v>
      </c>
      <c r="B108" s="640" t="s">
        <v>708</v>
      </c>
      <c r="C108" s="645" t="s">
        <v>416</v>
      </c>
      <c r="D108" s="641" t="str">
        <f t="shared" si="3"/>
        <v>20110701KUUM_300</v>
      </c>
      <c r="E108" s="642">
        <f t="shared" si="5"/>
        <v>21.03</v>
      </c>
      <c r="F108" s="689">
        <v>200</v>
      </c>
      <c r="G108" s="642">
        <v>0.73</v>
      </c>
      <c r="H108" s="642">
        <v>0.54</v>
      </c>
      <c r="I108" s="642">
        <v>19.760000000000002</v>
      </c>
      <c r="J108" s="690" t="s">
        <v>418</v>
      </c>
      <c r="K108" s="642"/>
      <c r="L108" s="642"/>
      <c r="M108" s="642"/>
      <c r="N108" s="436"/>
      <c r="O108" s="436"/>
      <c r="P108" s="436"/>
      <c r="Q108" s="600"/>
      <c r="R108" s="600"/>
    </row>
    <row r="109" spans="1:22">
      <c r="A109" s="644">
        <f t="shared" ref="A109:A177" si="6">A108</f>
        <v>20110701</v>
      </c>
      <c r="B109" s="640" t="s">
        <v>708</v>
      </c>
      <c r="C109" s="645" t="s">
        <v>417</v>
      </c>
      <c r="D109" s="641" t="str">
        <f t="shared" si="3"/>
        <v>20110701KUUM_301</v>
      </c>
      <c r="E109" s="642">
        <f t="shared" si="5"/>
        <v>21.93</v>
      </c>
      <c r="F109" s="689">
        <v>400</v>
      </c>
      <c r="G109" s="642">
        <v>0.75</v>
      </c>
      <c r="H109" s="642">
        <v>1.04</v>
      </c>
      <c r="I109" s="642">
        <v>20.14</v>
      </c>
      <c r="J109" s="691" t="s">
        <v>419</v>
      </c>
      <c r="K109" s="642"/>
      <c r="L109" s="642"/>
      <c r="M109" s="642"/>
      <c r="N109" s="436"/>
      <c r="O109" s="436"/>
      <c r="P109" s="436"/>
      <c r="Q109" s="600"/>
      <c r="R109" s="600"/>
    </row>
    <row r="110" spans="1:22">
      <c r="A110" s="644">
        <f t="shared" si="6"/>
        <v>20110701</v>
      </c>
      <c r="B110" s="640" t="s">
        <v>665</v>
      </c>
      <c r="C110" s="640" t="s">
        <v>323</v>
      </c>
      <c r="D110" s="641" t="str">
        <f t="shared" si="3"/>
        <v>20110701KUUM_360</v>
      </c>
      <c r="E110" s="642">
        <f t="shared" si="5"/>
        <v>49.290000000000006</v>
      </c>
      <c r="F110" s="689">
        <v>724</v>
      </c>
      <c r="G110" s="642">
        <v>5.44</v>
      </c>
      <c r="H110" s="642">
        <v>1.61</v>
      </c>
      <c r="I110" s="642">
        <v>42.240000000000009</v>
      </c>
      <c r="J110" s="690" t="s">
        <v>232</v>
      </c>
      <c r="K110" s="642"/>
      <c r="L110" s="642"/>
      <c r="M110" s="642"/>
      <c r="N110" s="436"/>
      <c r="O110" s="436"/>
      <c r="P110" s="436"/>
      <c r="Q110" s="600"/>
      <c r="R110" s="600"/>
    </row>
    <row r="111" spans="1:22">
      <c r="A111" s="644">
        <f t="shared" si="6"/>
        <v>20110701</v>
      </c>
      <c r="B111" s="640" t="s">
        <v>665</v>
      </c>
      <c r="C111" s="640" t="s">
        <v>328</v>
      </c>
      <c r="D111" s="641" t="str">
        <f t="shared" si="3"/>
        <v>20110701KUUM_361</v>
      </c>
      <c r="E111" s="642">
        <f t="shared" si="5"/>
        <v>76.070000000000007</v>
      </c>
      <c r="F111" s="689">
        <v>724</v>
      </c>
      <c r="G111" s="642">
        <v>5.44</v>
      </c>
      <c r="H111" s="642">
        <v>1.61</v>
      </c>
      <c r="I111" s="642">
        <v>69.02000000000001</v>
      </c>
      <c r="J111" s="690" t="s">
        <v>237</v>
      </c>
      <c r="K111" s="642"/>
      <c r="L111" s="642"/>
      <c r="M111" s="642"/>
      <c r="N111" s="436"/>
      <c r="O111" s="436"/>
      <c r="P111" s="436"/>
      <c r="Q111" s="600"/>
      <c r="R111" s="600"/>
    </row>
    <row r="112" spans="1:22">
      <c r="A112" s="644">
        <f t="shared" si="6"/>
        <v>20110701</v>
      </c>
      <c r="B112" s="640" t="s">
        <v>665</v>
      </c>
      <c r="C112" s="640" t="s">
        <v>331</v>
      </c>
      <c r="D112" s="641" t="str">
        <f t="shared" si="3"/>
        <v>20110701KUUM_362</v>
      </c>
      <c r="E112" s="642">
        <f t="shared" si="5"/>
        <v>53.570000000000007</v>
      </c>
      <c r="F112" s="689">
        <v>724</v>
      </c>
      <c r="G112" s="642">
        <v>5.44</v>
      </c>
      <c r="H112" s="642">
        <v>1.61</v>
      </c>
      <c r="I112" s="642">
        <v>46.52</v>
      </c>
      <c r="J112" s="690" t="s">
        <v>240</v>
      </c>
      <c r="K112" s="642"/>
      <c r="L112" s="642"/>
      <c r="M112" s="642"/>
      <c r="N112" s="600"/>
      <c r="O112" s="600"/>
      <c r="P112" s="600"/>
      <c r="Q112" s="600"/>
      <c r="R112" s="600"/>
    </row>
    <row r="113" spans="1:22">
      <c r="A113" s="644">
        <f t="shared" si="6"/>
        <v>20110701</v>
      </c>
      <c r="B113" s="640" t="s">
        <v>665</v>
      </c>
      <c r="C113" s="640" t="s">
        <v>332</v>
      </c>
      <c r="D113" s="641" t="str">
        <f t="shared" si="3"/>
        <v>20110701KUUM_363</v>
      </c>
      <c r="E113" s="642">
        <f t="shared" si="5"/>
        <v>55.470000000000013</v>
      </c>
      <c r="F113" s="689">
        <v>724</v>
      </c>
      <c r="G113" s="642">
        <v>5.44</v>
      </c>
      <c r="H113" s="642">
        <v>1.61</v>
      </c>
      <c r="I113" s="642">
        <v>48.420000000000009</v>
      </c>
      <c r="J113" s="690" t="s">
        <v>241</v>
      </c>
      <c r="K113" s="690"/>
      <c r="L113" s="690"/>
      <c r="M113" s="690"/>
    </row>
    <row r="114" spans="1:22">
      <c r="A114" s="644">
        <f t="shared" si="6"/>
        <v>20110701</v>
      </c>
      <c r="B114" s="640" t="s">
        <v>665</v>
      </c>
      <c r="C114" s="640" t="s">
        <v>333</v>
      </c>
      <c r="D114" s="641" t="str">
        <f t="shared" si="3"/>
        <v>20110701KUUM_364</v>
      </c>
      <c r="E114" s="642">
        <f t="shared" si="5"/>
        <v>56.78</v>
      </c>
      <c r="F114" s="689">
        <v>724</v>
      </c>
      <c r="G114" s="642">
        <v>5.44</v>
      </c>
      <c r="H114" s="642">
        <v>1.61</v>
      </c>
      <c r="I114" s="642">
        <v>49.730000000000004</v>
      </c>
      <c r="J114" s="690" t="s">
        <v>242</v>
      </c>
      <c r="K114" s="690"/>
      <c r="L114" s="690"/>
      <c r="M114" s="690"/>
    </row>
    <row r="115" spans="1:22">
      <c r="A115" s="644">
        <f t="shared" si="6"/>
        <v>20110701</v>
      </c>
      <c r="B115" s="640" t="s">
        <v>665</v>
      </c>
      <c r="C115" s="640" t="s">
        <v>335</v>
      </c>
      <c r="D115" s="641" t="str">
        <f t="shared" si="3"/>
        <v>20110701KUUM_365</v>
      </c>
      <c r="E115" s="642">
        <f t="shared" si="5"/>
        <v>73.930000000000007</v>
      </c>
      <c r="F115" s="689">
        <v>724</v>
      </c>
      <c r="G115" s="642">
        <v>5.44</v>
      </c>
      <c r="H115" s="642">
        <v>1.61</v>
      </c>
      <c r="I115" s="642">
        <v>66.88000000000001</v>
      </c>
      <c r="J115" s="690" t="s">
        <v>244</v>
      </c>
      <c r="K115" s="690"/>
      <c r="L115" s="690"/>
      <c r="M115" s="690"/>
    </row>
    <row r="116" spans="1:22">
      <c r="A116" s="644">
        <f t="shared" si="6"/>
        <v>20110701</v>
      </c>
      <c r="B116" s="640" t="s">
        <v>665</v>
      </c>
      <c r="C116" s="640" t="s">
        <v>336</v>
      </c>
      <c r="D116" s="641" t="str">
        <f t="shared" si="3"/>
        <v>20110701KUUM_366</v>
      </c>
      <c r="E116" s="642">
        <f t="shared" si="5"/>
        <v>72.03</v>
      </c>
      <c r="F116" s="689">
        <v>724</v>
      </c>
      <c r="G116" s="642">
        <v>5.44</v>
      </c>
      <c r="H116" s="642">
        <v>1.61</v>
      </c>
      <c r="I116" s="642">
        <v>64.98</v>
      </c>
      <c r="J116" s="690" t="s">
        <v>245</v>
      </c>
      <c r="K116" s="690"/>
      <c r="L116" s="690"/>
      <c r="M116" s="690"/>
    </row>
    <row r="117" spans="1:22" s="439" customFormat="1">
      <c r="A117" s="644">
        <f t="shared" si="6"/>
        <v>20110701</v>
      </c>
      <c r="B117" s="640" t="s">
        <v>665</v>
      </c>
      <c r="C117" s="640" t="s">
        <v>338</v>
      </c>
      <c r="D117" s="641" t="str">
        <f t="shared" si="3"/>
        <v>20110701KUUM_367</v>
      </c>
      <c r="E117" s="642">
        <f t="shared" si="5"/>
        <v>54.970000000000013</v>
      </c>
      <c r="F117" s="689">
        <v>724</v>
      </c>
      <c r="G117" s="642">
        <v>5.44</v>
      </c>
      <c r="H117" s="642">
        <v>1.61</v>
      </c>
      <c r="I117" s="642">
        <v>47.920000000000009</v>
      </c>
      <c r="J117" s="690" t="s">
        <v>247</v>
      </c>
      <c r="K117" s="690"/>
      <c r="L117" s="690"/>
      <c r="M117" s="690"/>
      <c r="S117" s="599"/>
      <c r="T117" s="599"/>
      <c r="U117" s="599"/>
      <c r="V117" s="599"/>
    </row>
    <row r="118" spans="1:22" s="439" customFormat="1">
      <c r="A118" s="644">
        <f t="shared" si="6"/>
        <v>20110701</v>
      </c>
      <c r="B118" s="640" t="s">
        <v>665</v>
      </c>
      <c r="C118" s="640" t="s">
        <v>339</v>
      </c>
      <c r="D118" s="641" t="str">
        <f t="shared" si="3"/>
        <v>20110701KUUM_368</v>
      </c>
      <c r="E118" s="642">
        <f t="shared" si="5"/>
        <v>50.600000000000009</v>
      </c>
      <c r="F118" s="689">
        <v>724</v>
      </c>
      <c r="G118" s="642">
        <v>5.44</v>
      </c>
      <c r="H118" s="642">
        <v>1.61</v>
      </c>
      <c r="I118" s="642">
        <v>43.550000000000004</v>
      </c>
      <c r="J118" s="690" t="s">
        <v>248</v>
      </c>
      <c r="K118" s="690"/>
      <c r="L118" s="690"/>
      <c r="M118" s="690"/>
      <c r="S118" s="599"/>
      <c r="T118" s="599"/>
      <c r="U118" s="599"/>
      <c r="V118" s="599"/>
    </row>
    <row r="119" spans="1:22" s="439" customFormat="1">
      <c r="A119" s="644">
        <f t="shared" si="6"/>
        <v>20110701</v>
      </c>
      <c r="B119" s="640" t="s">
        <v>665</v>
      </c>
      <c r="C119" s="640" t="s">
        <v>325</v>
      </c>
      <c r="D119" s="641" t="str">
        <f t="shared" si="3"/>
        <v>20110701KUUM_370</v>
      </c>
      <c r="E119" s="642">
        <f t="shared" si="5"/>
        <v>67.75</v>
      </c>
      <c r="F119" s="689">
        <v>724</v>
      </c>
      <c r="G119" s="642">
        <v>5.44</v>
      </c>
      <c r="H119" s="642">
        <v>1.61</v>
      </c>
      <c r="I119" s="642">
        <v>60.7</v>
      </c>
      <c r="J119" s="690" t="s">
        <v>234</v>
      </c>
      <c r="K119" s="690"/>
      <c r="L119" s="690"/>
      <c r="M119" s="690"/>
      <c r="S119" s="599"/>
      <c r="T119" s="599"/>
      <c r="U119" s="599"/>
      <c r="V119" s="599"/>
    </row>
    <row r="120" spans="1:22" s="439" customFormat="1">
      <c r="A120" s="644">
        <f t="shared" si="6"/>
        <v>20110701</v>
      </c>
      <c r="B120" s="640" t="s">
        <v>665</v>
      </c>
      <c r="C120" s="640" t="s">
        <v>334</v>
      </c>
      <c r="D120" s="641" t="str">
        <f t="shared" si="3"/>
        <v>20110701KUUM_372</v>
      </c>
      <c r="E120" s="642">
        <f t="shared" si="5"/>
        <v>75.240000000000009</v>
      </c>
      <c r="F120" s="689">
        <v>724</v>
      </c>
      <c r="G120" s="642">
        <v>5.44</v>
      </c>
      <c r="H120" s="642">
        <v>1.61</v>
      </c>
      <c r="I120" s="642">
        <v>68.190000000000012</v>
      </c>
      <c r="J120" s="690" t="s">
        <v>243</v>
      </c>
      <c r="K120" s="690"/>
      <c r="L120" s="690"/>
      <c r="M120" s="690"/>
      <c r="S120" s="599"/>
      <c r="T120" s="599"/>
      <c r="U120" s="599"/>
      <c r="V120" s="599"/>
    </row>
    <row r="121" spans="1:22" s="439" customFormat="1">
      <c r="A121" s="644">
        <f t="shared" si="6"/>
        <v>20110701</v>
      </c>
      <c r="B121" s="640" t="s">
        <v>665</v>
      </c>
      <c r="C121" s="640" t="s">
        <v>326</v>
      </c>
      <c r="D121" s="641" t="str">
        <f t="shared" si="3"/>
        <v>20110701KUUM_373</v>
      </c>
      <c r="E121" s="642">
        <f t="shared" si="5"/>
        <v>67.75</v>
      </c>
      <c r="F121" s="689">
        <v>724</v>
      </c>
      <c r="G121" s="642">
        <v>5.44</v>
      </c>
      <c r="H121" s="642">
        <v>1.61</v>
      </c>
      <c r="I121" s="642">
        <v>60.7</v>
      </c>
      <c r="J121" s="690" t="s">
        <v>235</v>
      </c>
      <c r="K121" s="690"/>
      <c r="L121" s="690"/>
      <c r="M121" s="690"/>
      <c r="S121" s="599"/>
      <c r="T121" s="599"/>
      <c r="U121" s="599"/>
      <c r="V121" s="599"/>
    </row>
    <row r="122" spans="1:22" s="439" customFormat="1">
      <c r="A122" s="644">
        <f t="shared" si="6"/>
        <v>20110701</v>
      </c>
      <c r="B122" s="640" t="s">
        <v>665</v>
      </c>
      <c r="C122" s="640" t="s">
        <v>330</v>
      </c>
      <c r="D122" s="641" t="str">
        <f t="shared" si="3"/>
        <v>20110701KUUM_374</v>
      </c>
      <c r="E122" s="642">
        <f t="shared" si="5"/>
        <v>69.06</v>
      </c>
      <c r="F122" s="689">
        <v>724</v>
      </c>
      <c r="G122" s="642">
        <v>5.44</v>
      </c>
      <c r="H122" s="642">
        <v>1.61</v>
      </c>
      <c r="I122" s="642">
        <v>62.010000000000005</v>
      </c>
      <c r="J122" s="690" t="s">
        <v>239</v>
      </c>
      <c r="K122" s="690"/>
      <c r="L122" s="690"/>
      <c r="M122" s="690"/>
      <c r="S122" s="599"/>
      <c r="T122" s="599"/>
      <c r="U122" s="599"/>
      <c r="V122" s="599"/>
    </row>
    <row r="123" spans="1:22" s="439" customFormat="1">
      <c r="A123" s="644">
        <f t="shared" si="6"/>
        <v>20110701</v>
      </c>
      <c r="B123" s="640" t="s">
        <v>665</v>
      </c>
      <c r="C123" s="640" t="s">
        <v>337</v>
      </c>
      <c r="D123" s="641" t="str">
        <f t="shared" si="3"/>
        <v>20110701KUUM_375</v>
      </c>
      <c r="E123" s="642">
        <f t="shared" si="5"/>
        <v>72.03</v>
      </c>
      <c r="F123" s="689">
        <v>724</v>
      </c>
      <c r="G123" s="642">
        <v>5.44</v>
      </c>
      <c r="H123" s="642">
        <v>1.61</v>
      </c>
      <c r="I123" s="642">
        <v>64.98</v>
      </c>
      <c r="J123" s="690" t="s">
        <v>246</v>
      </c>
      <c r="K123" s="690"/>
      <c r="L123" s="690"/>
      <c r="M123" s="690"/>
      <c r="S123" s="599"/>
      <c r="T123" s="599"/>
      <c r="U123" s="599"/>
      <c r="V123" s="599"/>
    </row>
    <row r="124" spans="1:22" s="439" customFormat="1">
      <c r="A124" s="644">
        <f t="shared" si="6"/>
        <v>20110701</v>
      </c>
      <c r="B124" s="640" t="s">
        <v>665</v>
      </c>
      <c r="C124" s="640" t="s">
        <v>329</v>
      </c>
      <c r="D124" s="641" t="str">
        <f t="shared" si="3"/>
        <v>20110701KUUM_376</v>
      </c>
      <c r="E124" s="642">
        <f t="shared" si="5"/>
        <v>70.39</v>
      </c>
      <c r="F124" s="689">
        <v>724</v>
      </c>
      <c r="G124" s="642">
        <v>5.44</v>
      </c>
      <c r="H124" s="642">
        <v>1.61</v>
      </c>
      <c r="I124" s="642">
        <v>63.34</v>
      </c>
      <c r="J124" s="690" t="s">
        <v>238</v>
      </c>
      <c r="K124" s="690"/>
      <c r="L124" s="690"/>
      <c r="M124" s="690"/>
      <c r="S124" s="599"/>
      <c r="T124" s="599"/>
      <c r="U124" s="599"/>
      <c r="V124" s="599"/>
    </row>
    <row r="125" spans="1:22" s="439" customFormat="1">
      <c r="A125" s="644">
        <f t="shared" si="6"/>
        <v>20110701</v>
      </c>
      <c r="B125" s="640" t="s">
        <v>665</v>
      </c>
      <c r="C125" s="640" t="s">
        <v>327</v>
      </c>
      <c r="D125" s="641" t="str">
        <f t="shared" si="3"/>
        <v>20110701KUUM_377</v>
      </c>
      <c r="E125" s="642">
        <f t="shared" si="5"/>
        <v>57.81</v>
      </c>
      <c r="F125" s="689">
        <v>724</v>
      </c>
      <c r="G125" s="642">
        <v>5.44</v>
      </c>
      <c r="H125" s="642">
        <v>1.61</v>
      </c>
      <c r="I125" s="642">
        <v>50.760000000000005</v>
      </c>
      <c r="J125" s="690" t="s">
        <v>236</v>
      </c>
      <c r="K125" s="690"/>
      <c r="L125" s="690"/>
      <c r="M125" s="690"/>
      <c r="S125" s="599"/>
      <c r="T125" s="599"/>
      <c r="U125" s="599"/>
      <c r="V125" s="599"/>
    </row>
    <row r="126" spans="1:22" s="439" customFormat="1">
      <c r="A126" s="644">
        <f t="shared" si="6"/>
        <v>20110701</v>
      </c>
      <c r="B126" s="640" t="s">
        <v>665</v>
      </c>
      <c r="C126" s="645" t="s">
        <v>453</v>
      </c>
      <c r="D126" s="641" t="str">
        <f t="shared" si="3"/>
        <v>20110701KUUM_378</v>
      </c>
      <c r="E126" s="642">
        <f t="shared" si="5"/>
        <v>69.08</v>
      </c>
      <c r="F126" s="689">
        <v>724</v>
      </c>
      <c r="G126" s="642">
        <v>5.44</v>
      </c>
      <c r="H126" s="642">
        <v>1.61</v>
      </c>
      <c r="I126" s="642">
        <v>62.03</v>
      </c>
      <c r="J126" s="691" t="s">
        <v>452</v>
      </c>
      <c r="K126" s="690"/>
      <c r="L126" s="690"/>
      <c r="M126" s="690"/>
      <c r="S126" s="599"/>
      <c r="T126" s="599"/>
      <c r="U126" s="599"/>
      <c r="V126" s="599"/>
    </row>
    <row r="127" spans="1:22" s="439" customFormat="1">
      <c r="A127" s="644">
        <f t="shared" si="6"/>
        <v>20110701</v>
      </c>
      <c r="B127" s="640" t="s">
        <v>665</v>
      </c>
      <c r="C127" s="645" t="s">
        <v>616</v>
      </c>
      <c r="D127" s="641" t="str">
        <f t="shared" si="3"/>
        <v>20110701KUUM_379</v>
      </c>
      <c r="E127" s="642">
        <f t="shared" si="5"/>
        <v>73.83</v>
      </c>
      <c r="F127" s="689">
        <v>724</v>
      </c>
      <c r="G127" s="642">
        <v>5.44</v>
      </c>
      <c r="H127" s="642">
        <v>1.61</v>
      </c>
      <c r="I127" s="642">
        <v>66.78</v>
      </c>
      <c r="J127" s="691" t="s">
        <v>714</v>
      </c>
      <c r="K127" s="690"/>
      <c r="L127" s="690"/>
      <c r="M127" s="690"/>
      <c r="S127" s="599"/>
      <c r="T127" s="599"/>
      <c r="U127" s="599"/>
      <c r="V127" s="599"/>
    </row>
    <row r="128" spans="1:22" s="439" customFormat="1">
      <c r="A128" s="644">
        <f t="shared" si="6"/>
        <v>20110701</v>
      </c>
      <c r="B128" s="640" t="s">
        <v>665</v>
      </c>
      <c r="C128" s="645" t="s">
        <v>617</v>
      </c>
      <c r="D128" s="641" t="str">
        <f t="shared" si="3"/>
        <v>20110701KUUM_380</v>
      </c>
      <c r="E128" s="642">
        <f t="shared" si="5"/>
        <v>77.599999999999994</v>
      </c>
      <c r="F128" s="689">
        <v>724</v>
      </c>
      <c r="G128" s="642">
        <v>5.44</v>
      </c>
      <c r="H128" s="642">
        <v>1.61</v>
      </c>
      <c r="I128" s="642">
        <v>70.55</v>
      </c>
      <c r="J128" s="691" t="s">
        <v>715</v>
      </c>
      <c r="K128" s="690"/>
      <c r="L128" s="690"/>
      <c r="M128" s="690"/>
      <c r="S128" s="599"/>
      <c r="T128" s="599"/>
      <c r="U128" s="599"/>
      <c r="V128" s="599"/>
    </row>
    <row r="129" spans="1:22" s="439" customFormat="1">
      <c r="A129" s="644">
        <f t="shared" si="6"/>
        <v>20110701</v>
      </c>
      <c r="B129" s="640" t="s">
        <v>665</v>
      </c>
      <c r="C129" s="645" t="s">
        <v>618</v>
      </c>
      <c r="D129" s="641" t="str">
        <f t="shared" si="3"/>
        <v>20110701KUUM_381</v>
      </c>
      <c r="E129" s="642">
        <f t="shared" si="5"/>
        <v>78.91</v>
      </c>
      <c r="F129" s="689">
        <v>724</v>
      </c>
      <c r="G129" s="642">
        <v>5.44</v>
      </c>
      <c r="H129" s="642">
        <v>1.61</v>
      </c>
      <c r="I129" s="642">
        <v>71.86</v>
      </c>
      <c r="J129" s="691" t="s">
        <v>716</v>
      </c>
      <c r="K129" s="690"/>
      <c r="L129" s="690"/>
      <c r="M129" s="690"/>
      <c r="S129" s="599"/>
      <c r="T129" s="599"/>
      <c r="U129" s="599"/>
      <c r="V129" s="599"/>
    </row>
    <row r="130" spans="1:22" s="439" customFormat="1">
      <c r="A130" s="644">
        <f t="shared" si="6"/>
        <v>20110701</v>
      </c>
      <c r="B130" s="640" t="s">
        <v>665</v>
      </c>
      <c r="C130" s="645" t="s">
        <v>619</v>
      </c>
      <c r="D130" s="641" t="str">
        <f t="shared" si="3"/>
        <v>20110701KUUM_382</v>
      </c>
      <c r="E130" s="642">
        <f t="shared" si="5"/>
        <v>76.12</v>
      </c>
      <c r="F130" s="689">
        <v>724</v>
      </c>
      <c r="G130" s="642">
        <v>5.44</v>
      </c>
      <c r="H130" s="642">
        <v>1.61</v>
      </c>
      <c r="I130" s="642">
        <v>69.070000000000007</v>
      </c>
      <c r="J130" s="691" t="s">
        <v>717</v>
      </c>
      <c r="K130" s="690"/>
      <c r="L130" s="690"/>
      <c r="M130" s="690"/>
      <c r="S130" s="599"/>
      <c r="T130" s="599"/>
      <c r="U130" s="599"/>
      <c r="V130" s="599"/>
    </row>
    <row r="131" spans="1:22" s="439" customFormat="1">
      <c r="A131" s="644">
        <f t="shared" si="6"/>
        <v>20110701</v>
      </c>
      <c r="B131" s="640" t="s">
        <v>666</v>
      </c>
      <c r="C131" s="640" t="s">
        <v>324</v>
      </c>
      <c r="D131" s="641" t="str">
        <f t="shared" si="3"/>
        <v>20110701KUUM_395</v>
      </c>
      <c r="E131" s="642">
        <f t="shared" si="5"/>
        <v>49.290000000000006</v>
      </c>
      <c r="F131" s="689">
        <v>724</v>
      </c>
      <c r="G131" s="642">
        <v>5.44</v>
      </c>
      <c r="H131" s="642">
        <v>1.61</v>
      </c>
      <c r="I131" s="642">
        <v>42.240000000000009</v>
      </c>
      <c r="J131" s="690" t="s">
        <v>233</v>
      </c>
      <c r="K131" s="690"/>
      <c r="L131" s="690"/>
      <c r="M131" s="690"/>
      <c r="S131" s="599"/>
      <c r="T131" s="599"/>
      <c r="U131" s="599"/>
      <c r="V131" s="599"/>
    </row>
    <row r="132" spans="1:22" s="439" customFormat="1">
      <c r="A132" s="644">
        <f t="shared" si="6"/>
        <v>20110701</v>
      </c>
      <c r="B132" s="640" t="s">
        <v>665</v>
      </c>
      <c r="C132" s="645" t="s">
        <v>410</v>
      </c>
      <c r="D132" s="641" t="str">
        <f t="shared" si="3"/>
        <v>20110701KUUM_400</v>
      </c>
      <c r="E132" s="642">
        <f t="shared" si="5"/>
        <v>12.489999999999998</v>
      </c>
      <c r="F132" s="689">
        <v>240</v>
      </c>
      <c r="G132" s="642">
        <v>0.73</v>
      </c>
      <c r="H132" s="642">
        <v>0.53</v>
      </c>
      <c r="I132" s="642">
        <v>11.229999999999999</v>
      </c>
      <c r="J132" s="691" t="s">
        <v>411</v>
      </c>
      <c r="K132" s="690"/>
      <c r="L132" s="690"/>
      <c r="M132" s="690"/>
      <c r="S132" s="599"/>
      <c r="T132" s="599"/>
      <c r="U132" s="599"/>
      <c r="V132" s="599"/>
    </row>
    <row r="133" spans="1:22" s="439" customFormat="1">
      <c r="A133" s="644">
        <f t="shared" si="6"/>
        <v>20110701</v>
      </c>
      <c r="B133" s="640" t="s">
        <v>665</v>
      </c>
      <c r="C133" s="640" t="s">
        <v>366</v>
      </c>
      <c r="D133" s="641" t="str">
        <f t="shared" si="3"/>
        <v>20110701KUUM_401</v>
      </c>
      <c r="E133" s="642">
        <f t="shared" si="5"/>
        <v>13.48</v>
      </c>
      <c r="F133" s="689">
        <v>332</v>
      </c>
      <c r="G133" s="642">
        <v>0.94</v>
      </c>
      <c r="H133" s="642">
        <v>0.74</v>
      </c>
      <c r="I133" s="642">
        <v>11.8</v>
      </c>
      <c r="J133" s="690" t="s">
        <v>275</v>
      </c>
      <c r="K133" s="690"/>
      <c r="L133" s="690"/>
      <c r="M133" s="690"/>
      <c r="S133" s="599"/>
      <c r="T133" s="599"/>
      <c r="U133" s="599"/>
      <c r="V133" s="599"/>
    </row>
    <row r="134" spans="1:22" s="439" customFormat="1">
      <c r="A134" s="644">
        <f t="shared" si="6"/>
        <v>20110701</v>
      </c>
      <c r="B134" s="640" t="s">
        <v>666</v>
      </c>
      <c r="C134" s="640" t="s">
        <v>386</v>
      </c>
      <c r="D134" s="641" t="str">
        <f t="shared" si="3"/>
        <v>20110701KUUM_404</v>
      </c>
      <c r="E134" s="642">
        <f t="shared" si="5"/>
        <v>9.4600000000000009</v>
      </c>
      <c r="F134" s="689">
        <v>828</v>
      </c>
      <c r="G134" s="642">
        <v>0.95</v>
      </c>
      <c r="H134" s="642">
        <v>1.84</v>
      </c>
      <c r="I134" s="642">
        <v>6.67</v>
      </c>
      <c r="J134" s="690" t="s">
        <v>295</v>
      </c>
      <c r="K134" s="690"/>
      <c r="L134" s="690"/>
      <c r="M134" s="690"/>
      <c r="S134" s="599"/>
      <c r="T134" s="599"/>
      <c r="U134" s="599"/>
      <c r="V134" s="599"/>
    </row>
    <row r="135" spans="1:22" s="439" customFormat="1">
      <c r="A135" s="644">
        <f>A133</f>
        <v>20110701</v>
      </c>
      <c r="B135" s="640" t="s">
        <v>666</v>
      </c>
      <c r="C135" s="640" t="s">
        <v>342</v>
      </c>
      <c r="D135" s="641" t="str">
        <f>A135&amp;C135</f>
        <v>20110701KUUM_405</v>
      </c>
      <c r="E135" s="642">
        <f>SUM(G135:I135)</f>
        <v>12.219999999999999</v>
      </c>
      <c r="F135" s="689">
        <v>1812</v>
      </c>
      <c r="G135" s="642">
        <v>1.24</v>
      </c>
      <c r="H135" s="642">
        <v>4.03</v>
      </c>
      <c r="I135" s="642">
        <v>6.9499999999999993</v>
      </c>
      <c r="J135" s="690" t="s">
        <v>251</v>
      </c>
      <c r="K135" s="690"/>
      <c r="L135" s="690"/>
      <c r="M135" s="690"/>
      <c r="S135" s="599"/>
      <c r="T135" s="599"/>
      <c r="U135" s="599"/>
      <c r="V135" s="599"/>
    </row>
    <row r="136" spans="1:22" s="439" customFormat="1">
      <c r="A136" s="644">
        <f>A134</f>
        <v>20110701</v>
      </c>
      <c r="B136" s="640" t="s">
        <v>666</v>
      </c>
      <c r="C136" s="645" t="s">
        <v>693</v>
      </c>
      <c r="D136" s="641" t="str">
        <f t="shared" si="3"/>
        <v>20110701KUUM_406</v>
      </c>
      <c r="E136" s="642">
        <v>9.82</v>
      </c>
      <c r="F136" s="689">
        <v>828</v>
      </c>
      <c r="G136" s="642">
        <v>0.95</v>
      </c>
      <c r="H136" s="642">
        <v>1.84</v>
      </c>
      <c r="I136" s="642">
        <v>7.03</v>
      </c>
      <c r="J136" s="692" t="s">
        <v>692</v>
      </c>
      <c r="K136" s="690"/>
      <c r="L136" s="690"/>
      <c r="M136" s="690"/>
      <c r="S136" s="599"/>
      <c r="T136" s="599"/>
      <c r="U136" s="599"/>
      <c r="V136" s="599"/>
    </row>
    <row r="137" spans="1:22" s="439" customFormat="1">
      <c r="A137" s="644">
        <f t="shared" si="6"/>
        <v>20110701</v>
      </c>
      <c r="B137" s="640" t="s">
        <v>666</v>
      </c>
      <c r="C137" s="640" t="s">
        <v>378</v>
      </c>
      <c r="D137" s="641" t="str">
        <f t="shared" ref="D137:D200" si="7">A137&amp;C137</f>
        <v>20110701KUUM_407</v>
      </c>
      <c r="E137" s="642">
        <f t="shared" si="5"/>
        <v>20.36</v>
      </c>
      <c r="F137" s="689">
        <v>1884</v>
      </c>
      <c r="G137" s="642">
        <v>1.83</v>
      </c>
      <c r="H137" s="642">
        <v>4.18</v>
      </c>
      <c r="I137" s="642">
        <v>14.350000000000001</v>
      </c>
      <c r="J137" s="690" t="s">
        <v>287</v>
      </c>
      <c r="K137" s="690"/>
      <c r="L137" s="690"/>
      <c r="M137" s="690"/>
      <c r="S137" s="599"/>
      <c r="T137" s="599"/>
      <c r="U137" s="599"/>
      <c r="V137" s="599"/>
    </row>
    <row r="138" spans="1:22" s="439" customFormat="1">
      <c r="A138" s="644">
        <f t="shared" si="6"/>
        <v>20110701</v>
      </c>
      <c r="B138" s="640" t="s">
        <v>666</v>
      </c>
      <c r="C138" s="640" t="s">
        <v>343</v>
      </c>
      <c r="D138" s="641" t="str">
        <f t="shared" si="7"/>
        <v>20110701KUUM_408</v>
      </c>
      <c r="E138" s="642">
        <f t="shared" ref="E138:E200" si="8">SUM(G138:I138)</f>
        <v>7.5</v>
      </c>
      <c r="F138" s="689">
        <v>1812</v>
      </c>
      <c r="G138" s="642">
        <v>1.24</v>
      </c>
      <c r="H138" s="642">
        <v>4.03</v>
      </c>
      <c r="I138" s="642">
        <v>2.2299999999999995</v>
      </c>
      <c r="J138" s="690" t="s">
        <v>252</v>
      </c>
      <c r="K138" s="690"/>
      <c r="L138" s="690"/>
      <c r="M138" s="690"/>
      <c r="S138" s="599"/>
      <c r="T138" s="599"/>
      <c r="U138" s="599"/>
      <c r="V138" s="599"/>
    </row>
    <row r="139" spans="1:22" s="439" customFormat="1">
      <c r="A139" s="644">
        <f t="shared" si="6"/>
        <v>20110701</v>
      </c>
      <c r="B139" s="640" t="s">
        <v>666</v>
      </c>
      <c r="C139" s="640" t="s">
        <v>382</v>
      </c>
      <c r="D139" s="641" t="str">
        <f t="shared" si="7"/>
        <v>20110701KUUM_409</v>
      </c>
      <c r="E139" s="642">
        <f t="shared" si="8"/>
        <v>9.66</v>
      </c>
      <c r="F139" s="689">
        <v>1884</v>
      </c>
      <c r="G139" s="642">
        <v>1.83</v>
      </c>
      <c r="H139" s="642">
        <v>4.18</v>
      </c>
      <c r="I139" s="642">
        <v>3.65</v>
      </c>
      <c r="J139" s="690" t="s">
        <v>291</v>
      </c>
      <c r="K139" s="690"/>
      <c r="L139" s="690"/>
      <c r="M139" s="690"/>
      <c r="S139" s="599"/>
      <c r="T139" s="599"/>
      <c r="U139" s="599"/>
      <c r="V139" s="599"/>
    </row>
    <row r="140" spans="1:22" s="439" customFormat="1">
      <c r="A140" s="644">
        <f t="shared" si="6"/>
        <v>20110701</v>
      </c>
      <c r="B140" s="640" t="s">
        <v>665</v>
      </c>
      <c r="C140" s="640" t="s">
        <v>360</v>
      </c>
      <c r="D140" s="641" t="str">
        <f t="shared" si="7"/>
        <v>20110701KUUM_410</v>
      </c>
      <c r="E140" s="642">
        <f t="shared" si="8"/>
        <v>18.88</v>
      </c>
      <c r="F140" s="689">
        <v>240</v>
      </c>
      <c r="G140" s="642">
        <v>0.73</v>
      </c>
      <c r="H140" s="642">
        <v>0.53</v>
      </c>
      <c r="I140" s="642">
        <v>17.619999999999997</v>
      </c>
      <c r="J140" s="690" t="s">
        <v>269</v>
      </c>
      <c r="K140" s="690"/>
      <c r="L140" s="690"/>
      <c r="M140" s="690"/>
      <c r="S140" s="599"/>
      <c r="T140" s="599"/>
      <c r="U140" s="599"/>
      <c r="V140" s="599"/>
    </row>
    <row r="141" spans="1:22" s="439" customFormat="1">
      <c r="A141" s="644">
        <f t="shared" si="6"/>
        <v>20110701</v>
      </c>
      <c r="B141" s="640" t="s">
        <v>665</v>
      </c>
      <c r="C141" s="640" t="s">
        <v>368</v>
      </c>
      <c r="D141" s="641" t="str">
        <f t="shared" si="7"/>
        <v>20110701KUUM_411</v>
      </c>
      <c r="E141" s="642">
        <f t="shared" si="8"/>
        <v>19.759999999999998</v>
      </c>
      <c r="F141" s="689">
        <v>332</v>
      </c>
      <c r="G141" s="642">
        <v>0.94</v>
      </c>
      <c r="H141" s="642">
        <v>0.74</v>
      </c>
      <c r="I141" s="642">
        <v>18.079999999999998</v>
      </c>
      <c r="J141" s="690" t="s">
        <v>277</v>
      </c>
      <c r="K141" s="690"/>
      <c r="L141" s="690"/>
      <c r="M141" s="690"/>
      <c r="S141" s="599"/>
      <c r="T141" s="599"/>
      <c r="U141" s="599"/>
      <c r="V141" s="599"/>
    </row>
    <row r="142" spans="1:22" s="439" customFormat="1">
      <c r="A142" s="644">
        <f t="shared" si="6"/>
        <v>20110701</v>
      </c>
      <c r="B142" s="640" t="s">
        <v>665</v>
      </c>
      <c r="C142" s="640" t="s">
        <v>370</v>
      </c>
      <c r="D142" s="641" t="str">
        <f t="shared" si="7"/>
        <v>20110701KUUM_412</v>
      </c>
      <c r="E142" s="642">
        <f t="shared" si="8"/>
        <v>28.859999999999996</v>
      </c>
      <c r="F142" s="689">
        <v>332</v>
      </c>
      <c r="G142" s="642">
        <v>0.94</v>
      </c>
      <c r="H142" s="642">
        <v>0.74</v>
      </c>
      <c r="I142" s="642">
        <v>27.179999999999996</v>
      </c>
      <c r="J142" s="690" t="s">
        <v>279</v>
      </c>
      <c r="K142" s="690"/>
      <c r="L142" s="690"/>
      <c r="M142" s="690"/>
      <c r="S142" s="599"/>
      <c r="T142" s="599"/>
      <c r="U142" s="599"/>
      <c r="V142" s="599"/>
    </row>
    <row r="143" spans="1:22" s="439" customFormat="1">
      <c r="A143" s="644">
        <f t="shared" si="6"/>
        <v>20110701</v>
      </c>
      <c r="B143" s="640" t="s">
        <v>665</v>
      </c>
      <c r="C143" s="640" t="s">
        <v>393</v>
      </c>
      <c r="D143" s="641" t="str">
        <f t="shared" si="7"/>
        <v>20110701KUUM_413</v>
      </c>
      <c r="E143" s="642">
        <f t="shared" si="8"/>
        <v>29.36</v>
      </c>
      <c r="F143" s="689">
        <v>468</v>
      </c>
      <c r="G143" s="642">
        <v>0.75</v>
      </c>
      <c r="H143" s="642">
        <v>1.04</v>
      </c>
      <c r="I143" s="642">
        <v>27.57</v>
      </c>
      <c r="J143" s="690" t="s">
        <v>302</v>
      </c>
      <c r="K143" s="690"/>
      <c r="L143" s="690"/>
      <c r="M143" s="690"/>
      <c r="S143" s="599"/>
      <c r="T143" s="599"/>
      <c r="U143" s="599"/>
      <c r="V143" s="599"/>
    </row>
    <row r="144" spans="1:22" s="439" customFormat="1">
      <c r="A144" s="644">
        <f t="shared" si="6"/>
        <v>20110701</v>
      </c>
      <c r="B144" s="640" t="s">
        <v>665</v>
      </c>
      <c r="C144" s="640" t="s">
        <v>371</v>
      </c>
      <c r="D144" s="641" t="str">
        <f t="shared" si="7"/>
        <v>20110701KUUM_414</v>
      </c>
      <c r="E144" s="642">
        <f t="shared" si="8"/>
        <v>28.859999999999996</v>
      </c>
      <c r="F144" s="689">
        <v>332</v>
      </c>
      <c r="G144" s="642">
        <v>0.94</v>
      </c>
      <c r="H144" s="642">
        <v>0.74</v>
      </c>
      <c r="I144" s="642">
        <v>27.179999999999996</v>
      </c>
      <c r="J144" s="690" t="s">
        <v>280</v>
      </c>
      <c r="K144" s="690"/>
      <c r="L144" s="690"/>
      <c r="M144" s="690"/>
      <c r="S144" s="599"/>
      <c r="T144" s="599"/>
      <c r="U144" s="599"/>
      <c r="V144" s="599"/>
    </row>
    <row r="145" spans="1:22" s="439" customFormat="1">
      <c r="A145" s="644">
        <f t="shared" si="6"/>
        <v>20110701</v>
      </c>
      <c r="B145" s="640" t="s">
        <v>665</v>
      </c>
      <c r="C145" s="640" t="s">
        <v>394</v>
      </c>
      <c r="D145" s="641" t="str">
        <f t="shared" si="7"/>
        <v>20110701KUUM_415</v>
      </c>
      <c r="E145" s="642">
        <f t="shared" si="8"/>
        <v>29.36</v>
      </c>
      <c r="F145" s="689">
        <v>468</v>
      </c>
      <c r="G145" s="642">
        <v>0.75</v>
      </c>
      <c r="H145" s="642">
        <v>1.04</v>
      </c>
      <c r="I145" s="642">
        <v>27.57</v>
      </c>
      <c r="J145" s="690" t="s">
        <v>303</v>
      </c>
      <c r="K145" s="690"/>
      <c r="L145" s="690"/>
      <c r="M145" s="690"/>
      <c r="S145" s="599"/>
      <c r="T145" s="599"/>
      <c r="U145" s="599"/>
      <c r="V145" s="599"/>
    </row>
    <row r="146" spans="1:22" s="439" customFormat="1">
      <c r="A146" s="644">
        <f t="shared" si="6"/>
        <v>20110701</v>
      </c>
      <c r="B146" s="640" t="s">
        <v>666</v>
      </c>
      <c r="C146" s="640" t="s">
        <v>389</v>
      </c>
      <c r="D146" s="641" t="str">
        <f t="shared" si="7"/>
        <v>20110701KUUM_420</v>
      </c>
      <c r="E146" s="642">
        <f t="shared" si="8"/>
        <v>14.100000000000001</v>
      </c>
      <c r="F146" s="689">
        <v>468</v>
      </c>
      <c r="G146" s="642">
        <v>0.75</v>
      </c>
      <c r="H146" s="642">
        <v>1.04</v>
      </c>
      <c r="I146" s="642">
        <v>12.31</v>
      </c>
      <c r="J146" s="690" t="s">
        <v>298</v>
      </c>
      <c r="K146" s="690"/>
      <c r="L146" s="690"/>
      <c r="M146" s="690"/>
      <c r="S146" s="599"/>
      <c r="T146" s="599"/>
      <c r="U146" s="599"/>
      <c r="V146" s="599"/>
    </row>
    <row r="147" spans="1:22" s="439" customFormat="1">
      <c r="A147" s="644">
        <f t="shared" si="6"/>
        <v>20110701</v>
      </c>
      <c r="B147" s="640" t="s">
        <v>665</v>
      </c>
      <c r="C147" s="640" t="s">
        <v>310</v>
      </c>
      <c r="D147" s="641" t="str">
        <f t="shared" si="7"/>
        <v>20110701KUUM_421</v>
      </c>
      <c r="E147" s="642">
        <f t="shared" si="8"/>
        <v>3.01</v>
      </c>
      <c r="F147" s="689">
        <v>408</v>
      </c>
      <c r="G147" s="642">
        <v>0.31</v>
      </c>
      <c r="H147" s="642">
        <v>0.91</v>
      </c>
      <c r="I147" s="642">
        <v>1.79</v>
      </c>
      <c r="J147" s="642" t="s">
        <v>219</v>
      </c>
      <c r="K147" s="690"/>
      <c r="L147" s="690"/>
      <c r="M147" s="690"/>
      <c r="S147" s="599"/>
      <c r="T147" s="599"/>
      <c r="U147" s="599"/>
      <c r="V147" s="599"/>
    </row>
    <row r="148" spans="1:22" s="439" customFormat="1">
      <c r="A148" s="644">
        <f t="shared" si="6"/>
        <v>20110701</v>
      </c>
      <c r="B148" s="640" t="s">
        <v>665</v>
      </c>
      <c r="C148" s="640" t="s">
        <v>340</v>
      </c>
      <c r="D148" s="641" t="str">
        <f t="shared" si="7"/>
        <v>20110701KUUM_422</v>
      </c>
      <c r="E148" s="642">
        <f t="shared" si="8"/>
        <v>3.9899999999999998</v>
      </c>
      <c r="F148" s="689">
        <v>804</v>
      </c>
      <c r="G148" s="642">
        <v>0.4</v>
      </c>
      <c r="H148" s="642">
        <v>1.79</v>
      </c>
      <c r="I148" s="642">
        <v>1.7999999999999998</v>
      </c>
      <c r="J148" s="690" t="s">
        <v>249</v>
      </c>
      <c r="K148" s="690"/>
      <c r="L148" s="690"/>
      <c r="M148" s="690"/>
      <c r="S148" s="599"/>
      <c r="T148" s="599"/>
      <c r="U148" s="599"/>
      <c r="V148" s="599"/>
    </row>
    <row r="149" spans="1:22" s="439" customFormat="1">
      <c r="A149" s="644">
        <f t="shared" si="6"/>
        <v>20110701</v>
      </c>
      <c r="B149" s="640" t="s">
        <v>665</v>
      </c>
      <c r="C149" s="640" t="s">
        <v>358</v>
      </c>
      <c r="D149" s="641" t="str">
        <f t="shared" si="7"/>
        <v>20110701KUUM_424</v>
      </c>
      <c r="E149" s="642">
        <f t="shared" si="8"/>
        <v>6.0600000000000005</v>
      </c>
      <c r="F149" s="689">
        <v>1308</v>
      </c>
      <c r="G149" s="642">
        <v>0.73</v>
      </c>
      <c r="H149" s="642">
        <v>0.46</v>
      </c>
      <c r="I149" s="642">
        <v>4.87</v>
      </c>
      <c r="J149" s="690" t="s">
        <v>267</v>
      </c>
      <c r="K149" s="690"/>
      <c r="L149" s="690"/>
      <c r="M149" s="690"/>
      <c r="N149" s="447"/>
      <c r="S149" s="599"/>
      <c r="T149" s="599"/>
      <c r="U149" s="599"/>
      <c r="V149" s="599"/>
    </row>
    <row r="150" spans="1:22" s="439" customFormat="1">
      <c r="A150" s="644">
        <f t="shared" si="6"/>
        <v>20110701</v>
      </c>
      <c r="B150" s="640" t="s">
        <v>665</v>
      </c>
      <c r="C150" s="640" t="s">
        <v>383</v>
      </c>
      <c r="D150" s="641" t="str">
        <f t="shared" si="7"/>
        <v>20110701KUUM_425</v>
      </c>
      <c r="E150" s="642">
        <f t="shared" si="8"/>
        <v>7.9300000000000006</v>
      </c>
      <c r="F150" s="689">
        <v>1788</v>
      </c>
      <c r="G150" s="642">
        <v>0.83</v>
      </c>
      <c r="H150" s="642">
        <v>3.97</v>
      </c>
      <c r="I150" s="642">
        <v>3.1300000000000008</v>
      </c>
      <c r="J150" s="690" t="s">
        <v>292</v>
      </c>
      <c r="K150" s="690"/>
      <c r="L150" s="690"/>
      <c r="M150" s="690"/>
      <c r="S150" s="599"/>
      <c r="T150" s="599"/>
      <c r="U150" s="599"/>
      <c r="V150" s="599"/>
    </row>
    <row r="151" spans="1:22" s="439" customFormat="1">
      <c r="A151" s="644">
        <f t="shared" si="6"/>
        <v>20110701</v>
      </c>
      <c r="B151" s="640" t="s">
        <v>666</v>
      </c>
      <c r="C151" s="640" t="s">
        <v>375</v>
      </c>
      <c r="D151" s="641" t="str">
        <f t="shared" si="7"/>
        <v>20110701KUUM_426</v>
      </c>
      <c r="E151" s="642">
        <f t="shared" si="8"/>
        <v>6.34</v>
      </c>
      <c r="F151" s="689">
        <v>332</v>
      </c>
      <c r="G151" s="642">
        <v>0.94</v>
      </c>
      <c r="H151" s="642">
        <v>0.74</v>
      </c>
      <c r="I151" s="642">
        <v>4.66</v>
      </c>
      <c r="J151" s="690" t="s">
        <v>284</v>
      </c>
      <c r="K151" s="690"/>
      <c r="L151" s="690"/>
      <c r="M151" s="690"/>
      <c r="S151" s="599"/>
      <c r="T151" s="599"/>
      <c r="U151" s="599"/>
      <c r="V151" s="599"/>
    </row>
    <row r="152" spans="1:22" s="439" customFormat="1">
      <c r="A152" s="644">
        <f t="shared" si="6"/>
        <v>20110701</v>
      </c>
      <c r="B152" s="640" t="s">
        <v>666</v>
      </c>
      <c r="C152" s="640" t="s">
        <v>400</v>
      </c>
      <c r="D152" s="641" t="str">
        <f t="shared" si="7"/>
        <v>20110701KUUM_428</v>
      </c>
      <c r="E152" s="642">
        <f t="shared" si="8"/>
        <v>6.87</v>
      </c>
      <c r="F152" s="689">
        <v>468</v>
      </c>
      <c r="G152" s="642">
        <v>0.75</v>
      </c>
      <c r="H152" s="642">
        <v>1.04</v>
      </c>
      <c r="I152" s="642">
        <v>5.08</v>
      </c>
      <c r="J152" s="690" t="s">
        <v>309</v>
      </c>
      <c r="K152" s="690"/>
      <c r="L152" s="690"/>
      <c r="M152" s="690"/>
      <c r="S152" s="599"/>
      <c r="T152" s="599"/>
      <c r="U152" s="599"/>
      <c r="V152" s="599"/>
    </row>
    <row r="153" spans="1:22" s="439" customFormat="1">
      <c r="A153" s="644">
        <f t="shared" si="6"/>
        <v>20110701</v>
      </c>
      <c r="B153" s="640" t="s">
        <v>666</v>
      </c>
      <c r="C153" s="640" t="s">
        <v>346</v>
      </c>
      <c r="D153" s="641" t="str">
        <f t="shared" si="7"/>
        <v>20110701KUUM_429</v>
      </c>
      <c r="E153" s="642">
        <f t="shared" si="8"/>
        <v>12.51</v>
      </c>
      <c r="F153" s="689">
        <v>968</v>
      </c>
      <c r="G153" s="642">
        <v>1.25</v>
      </c>
      <c r="H153" s="642">
        <v>2.15</v>
      </c>
      <c r="I153" s="642">
        <v>9.11</v>
      </c>
      <c r="J153" s="690" t="s">
        <v>255</v>
      </c>
      <c r="K153" s="690"/>
      <c r="L153" s="690"/>
      <c r="M153" s="690"/>
      <c r="S153" s="599"/>
      <c r="T153" s="599"/>
      <c r="U153" s="599"/>
      <c r="V153" s="599"/>
    </row>
    <row r="154" spans="1:22" s="439" customFormat="1">
      <c r="A154" s="644">
        <f t="shared" si="6"/>
        <v>20110701</v>
      </c>
      <c r="B154" s="640" t="s">
        <v>666</v>
      </c>
      <c r="C154" s="640" t="s">
        <v>391</v>
      </c>
      <c r="D154" s="641" t="str">
        <f t="shared" si="7"/>
        <v>20110701KUUM_430</v>
      </c>
      <c r="E154" s="642">
        <f t="shared" si="8"/>
        <v>20.49</v>
      </c>
      <c r="F154" s="689">
        <v>468</v>
      </c>
      <c r="G154" s="642">
        <v>0.75</v>
      </c>
      <c r="H154" s="642">
        <v>1.04</v>
      </c>
      <c r="I154" s="642">
        <v>18.7</v>
      </c>
      <c r="J154" s="690" t="s">
        <v>300</v>
      </c>
      <c r="K154" s="690"/>
      <c r="L154" s="690"/>
      <c r="M154" s="690"/>
      <c r="S154" s="599"/>
      <c r="T154" s="599"/>
      <c r="U154" s="599"/>
      <c r="V154" s="599"/>
    </row>
    <row r="155" spans="1:22" s="439" customFormat="1">
      <c r="A155" s="644">
        <f t="shared" si="6"/>
        <v>20110701</v>
      </c>
      <c r="B155" s="640" t="s">
        <v>665</v>
      </c>
      <c r="C155" s="645" t="s">
        <v>402</v>
      </c>
      <c r="D155" s="641" t="str">
        <f t="shared" si="7"/>
        <v>20110701KUUM_431</v>
      </c>
      <c r="E155" s="642">
        <f t="shared" si="8"/>
        <v>3.66</v>
      </c>
      <c r="F155" s="689">
        <v>408</v>
      </c>
      <c r="G155" s="642">
        <v>0.31</v>
      </c>
      <c r="H155" s="642">
        <v>0.91</v>
      </c>
      <c r="I155" s="642">
        <v>2.44</v>
      </c>
      <c r="J155" s="693" t="s">
        <v>403</v>
      </c>
      <c r="K155" s="690"/>
      <c r="L155" s="690"/>
      <c r="M155" s="690"/>
      <c r="S155" s="599"/>
      <c r="T155" s="599"/>
      <c r="U155" s="599"/>
      <c r="V155" s="599"/>
    </row>
    <row r="156" spans="1:22" s="439" customFormat="1">
      <c r="A156" s="644">
        <f t="shared" si="6"/>
        <v>20110701</v>
      </c>
      <c r="B156" s="640" t="s">
        <v>665</v>
      </c>
      <c r="C156" s="645" t="s">
        <v>404</v>
      </c>
      <c r="D156" s="641" t="str">
        <f t="shared" si="7"/>
        <v>20110701KUUM_432</v>
      </c>
      <c r="E156" s="642">
        <f t="shared" si="8"/>
        <v>4.7799999999999994</v>
      </c>
      <c r="F156" s="689">
        <v>804</v>
      </c>
      <c r="G156" s="642">
        <v>0.4</v>
      </c>
      <c r="H156" s="642">
        <v>1.79</v>
      </c>
      <c r="I156" s="642">
        <v>2.5899999999999994</v>
      </c>
      <c r="J156" s="691" t="s">
        <v>405</v>
      </c>
      <c r="K156" s="690"/>
      <c r="L156" s="690"/>
      <c r="M156" s="690"/>
      <c r="S156" s="599"/>
      <c r="T156" s="599"/>
      <c r="U156" s="599"/>
      <c r="V156" s="599"/>
    </row>
    <row r="157" spans="1:22" s="439" customFormat="1">
      <c r="A157" s="644">
        <f t="shared" si="6"/>
        <v>20110701</v>
      </c>
      <c r="B157" s="640" t="s">
        <v>665</v>
      </c>
      <c r="C157" s="645" t="s">
        <v>406</v>
      </c>
      <c r="D157" s="641" t="str">
        <f t="shared" si="7"/>
        <v>20110701KUUM_433</v>
      </c>
      <c r="E157" s="642">
        <f t="shared" si="8"/>
        <v>49.290000000000006</v>
      </c>
      <c r="F157" s="689">
        <v>724</v>
      </c>
      <c r="G157" s="642">
        <v>5.44</v>
      </c>
      <c r="H157" s="642">
        <v>1.61</v>
      </c>
      <c r="I157" s="642">
        <v>42.24</v>
      </c>
      <c r="J157" s="691" t="s">
        <v>407</v>
      </c>
      <c r="K157" s="690"/>
      <c r="L157" s="690"/>
      <c r="M157" s="690"/>
      <c r="S157" s="599"/>
      <c r="T157" s="599"/>
      <c r="U157" s="599"/>
      <c r="V157" s="599"/>
    </row>
    <row r="158" spans="1:22" s="439" customFormat="1">
      <c r="A158" s="644">
        <f t="shared" si="6"/>
        <v>20110701</v>
      </c>
      <c r="B158" s="640" t="s">
        <v>665</v>
      </c>
      <c r="C158" s="640" t="s">
        <v>357</v>
      </c>
      <c r="D158" s="641" t="str">
        <f t="shared" si="7"/>
        <v>20110701KUUM_434</v>
      </c>
      <c r="E158" s="642">
        <f t="shared" si="8"/>
        <v>6.98</v>
      </c>
      <c r="F158" s="689">
        <v>1308</v>
      </c>
      <c r="G158" s="642">
        <v>0.73</v>
      </c>
      <c r="H158" s="642">
        <v>0.46</v>
      </c>
      <c r="I158" s="642">
        <v>5.79</v>
      </c>
      <c r="J158" s="690" t="s">
        <v>266</v>
      </c>
      <c r="K158" s="690"/>
      <c r="L158" s="690"/>
      <c r="M158" s="690"/>
      <c r="S158" s="599"/>
      <c r="T158" s="599"/>
      <c r="U158" s="599"/>
      <c r="V158" s="599"/>
    </row>
    <row r="159" spans="1:22" s="439" customFormat="1">
      <c r="A159" s="644">
        <f t="shared" si="6"/>
        <v>20110701</v>
      </c>
      <c r="B159" s="640" t="s">
        <v>665</v>
      </c>
      <c r="C159" s="645" t="s">
        <v>408</v>
      </c>
      <c r="D159" s="641" t="str">
        <f t="shared" si="7"/>
        <v>20110701KUUM_435</v>
      </c>
      <c r="E159" s="642">
        <f t="shared" si="8"/>
        <v>8.9499999999999993</v>
      </c>
      <c r="F159" s="689">
        <v>1788</v>
      </c>
      <c r="G159" s="642">
        <v>0.83</v>
      </c>
      <c r="H159" s="642">
        <v>3.97</v>
      </c>
      <c r="I159" s="642">
        <v>4.1500000000000004</v>
      </c>
      <c r="J159" s="691" t="s">
        <v>409</v>
      </c>
      <c r="K159" s="690"/>
      <c r="L159" s="690"/>
      <c r="M159" s="690"/>
      <c r="S159" s="599"/>
      <c r="T159" s="599"/>
      <c r="U159" s="599"/>
      <c r="V159" s="599"/>
    </row>
    <row r="160" spans="1:22" s="439" customFormat="1">
      <c r="A160" s="644">
        <f t="shared" si="6"/>
        <v>20110701</v>
      </c>
      <c r="B160" s="640" t="s">
        <v>666</v>
      </c>
      <c r="C160" s="640" t="s">
        <v>359</v>
      </c>
      <c r="D160" s="641" t="str">
        <f t="shared" si="7"/>
        <v>20110701KUUM_440</v>
      </c>
      <c r="E160" s="642">
        <f t="shared" si="8"/>
        <v>12.489999999999998</v>
      </c>
      <c r="F160" s="689">
        <v>240</v>
      </c>
      <c r="G160" s="642">
        <v>0.73</v>
      </c>
      <c r="H160" s="642">
        <v>0.53</v>
      </c>
      <c r="I160" s="642">
        <v>11.229999999999999</v>
      </c>
      <c r="J160" s="690" t="s">
        <v>268</v>
      </c>
      <c r="K160" s="690"/>
      <c r="L160" s="690"/>
      <c r="M160" s="690"/>
      <c r="S160" s="599"/>
      <c r="T160" s="599"/>
      <c r="U160" s="599"/>
      <c r="V160" s="599"/>
    </row>
    <row r="161" spans="1:22" s="439" customFormat="1">
      <c r="A161" s="644">
        <f t="shared" si="6"/>
        <v>20110701</v>
      </c>
      <c r="B161" s="640" t="s">
        <v>666</v>
      </c>
      <c r="C161" s="640" t="s">
        <v>367</v>
      </c>
      <c r="D161" s="641" t="str">
        <f t="shared" si="7"/>
        <v>20110701KUUM_441</v>
      </c>
      <c r="E161" s="642">
        <f t="shared" si="8"/>
        <v>13.48</v>
      </c>
      <c r="F161" s="689">
        <v>332</v>
      </c>
      <c r="G161" s="642">
        <v>0.94</v>
      </c>
      <c r="H161" s="642">
        <v>0.74</v>
      </c>
      <c r="I161" s="642">
        <v>11.8</v>
      </c>
      <c r="J161" s="690" t="s">
        <v>276</v>
      </c>
      <c r="K161" s="690"/>
      <c r="L161" s="690"/>
      <c r="M161" s="690"/>
      <c r="S161" s="599"/>
      <c r="T161" s="599"/>
      <c r="U161" s="599"/>
      <c r="V161" s="599"/>
    </row>
    <row r="162" spans="1:22" s="439" customFormat="1">
      <c r="A162" s="644">
        <f t="shared" si="6"/>
        <v>20110701</v>
      </c>
      <c r="B162" s="640" t="s">
        <v>666</v>
      </c>
      <c r="C162" s="640" t="s">
        <v>390</v>
      </c>
      <c r="D162" s="641" t="str">
        <f t="shared" si="7"/>
        <v>20110701KUUM_442</v>
      </c>
      <c r="E162" s="642">
        <f t="shared" si="8"/>
        <v>14.100000000000001</v>
      </c>
      <c r="F162" s="689">
        <v>468</v>
      </c>
      <c r="G162" s="642">
        <v>0.75</v>
      </c>
      <c r="H162" s="642">
        <v>1.04</v>
      </c>
      <c r="I162" s="642">
        <v>12.31</v>
      </c>
      <c r="J162" s="690" t="s">
        <v>299</v>
      </c>
      <c r="K162" s="690"/>
      <c r="L162" s="690"/>
      <c r="M162" s="690"/>
      <c r="S162" s="599"/>
      <c r="T162" s="599"/>
      <c r="U162" s="599"/>
      <c r="V162" s="599"/>
    </row>
    <row r="163" spans="1:22" s="439" customFormat="1">
      <c r="A163" s="644">
        <f t="shared" si="6"/>
        <v>20110701</v>
      </c>
      <c r="B163" s="640" t="s">
        <v>666</v>
      </c>
      <c r="C163" s="640" t="s">
        <v>361</v>
      </c>
      <c r="D163" s="641" t="str">
        <f t="shared" si="7"/>
        <v>20110701KUUM_444</v>
      </c>
      <c r="E163" s="642">
        <f t="shared" si="8"/>
        <v>18.88</v>
      </c>
      <c r="F163" s="689">
        <v>240</v>
      </c>
      <c r="G163" s="642">
        <v>0.73</v>
      </c>
      <c r="H163" s="642">
        <v>0.53</v>
      </c>
      <c r="I163" s="642">
        <v>17.619999999999997</v>
      </c>
      <c r="J163" s="690" t="s">
        <v>270</v>
      </c>
      <c r="K163" s="690"/>
      <c r="L163" s="690"/>
      <c r="M163" s="690"/>
      <c r="S163" s="599"/>
      <c r="T163" s="599"/>
      <c r="U163" s="599"/>
      <c r="V163" s="599"/>
    </row>
    <row r="164" spans="1:22" s="439" customFormat="1">
      <c r="A164" s="644">
        <f t="shared" si="6"/>
        <v>20110701</v>
      </c>
      <c r="B164" s="640" t="s">
        <v>666</v>
      </c>
      <c r="C164" s="640" t="s">
        <v>369</v>
      </c>
      <c r="D164" s="641" t="str">
        <f t="shared" si="7"/>
        <v>20110701KUUM_445</v>
      </c>
      <c r="E164" s="642">
        <f t="shared" si="8"/>
        <v>19.759999999999998</v>
      </c>
      <c r="F164" s="689">
        <v>332</v>
      </c>
      <c r="G164" s="642">
        <v>0.94</v>
      </c>
      <c r="H164" s="642">
        <v>0.74</v>
      </c>
      <c r="I164" s="642">
        <v>18.079999999999998</v>
      </c>
      <c r="J164" s="690" t="s">
        <v>278</v>
      </c>
      <c r="K164" s="690"/>
      <c r="L164" s="690"/>
      <c r="M164" s="690"/>
      <c r="S164" s="599"/>
      <c r="T164" s="599"/>
      <c r="U164" s="599"/>
      <c r="V164" s="599"/>
    </row>
    <row r="165" spans="1:22" s="439" customFormat="1">
      <c r="A165" s="644">
        <f t="shared" si="6"/>
        <v>20110701</v>
      </c>
      <c r="B165" s="640" t="s">
        <v>665</v>
      </c>
      <c r="C165" s="640" t="s">
        <v>385</v>
      </c>
      <c r="D165" s="641" t="str">
        <f t="shared" si="7"/>
        <v>20110701KUUM_446</v>
      </c>
      <c r="E165" s="642">
        <f t="shared" si="8"/>
        <v>8.490000000000002</v>
      </c>
      <c r="F165" s="689">
        <v>828</v>
      </c>
      <c r="G165" s="642">
        <v>0.95</v>
      </c>
      <c r="H165" s="642">
        <v>1.84</v>
      </c>
      <c r="I165" s="642">
        <v>5.7000000000000011</v>
      </c>
      <c r="J165" s="690" t="s">
        <v>294</v>
      </c>
      <c r="K165" s="690"/>
      <c r="L165" s="690"/>
      <c r="M165" s="690"/>
      <c r="S165" s="599"/>
      <c r="T165" s="599"/>
      <c r="U165" s="599"/>
      <c r="V165" s="599"/>
    </row>
    <row r="166" spans="1:22" s="439" customFormat="1">
      <c r="A166" s="644">
        <f t="shared" si="6"/>
        <v>20110701</v>
      </c>
      <c r="B166" s="640" t="s">
        <v>665</v>
      </c>
      <c r="C166" s="640" t="s">
        <v>312</v>
      </c>
      <c r="D166" s="641" t="str">
        <f t="shared" si="7"/>
        <v>20110701KUUM_447</v>
      </c>
      <c r="E166" s="642">
        <f t="shared" si="8"/>
        <v>10.01</v>
      </c>
      <c r="F166" s="689">
        <v>1176</v>
      </c>
      <c r="G166" s="642">
        <v>1.0900000000000001</v>
      </c>
      <c r="H166" s="642">
        <v>2.62</v>
      </c>
      <c r="I166" s="642">
        <v>6.3</v>
      </c>
      <c r="J166" s="642" t="s">
        <v>221</v>
      </c>
      <c r="K166" s="690"/>
      <c r="L166" s="690"/>
      <c r="M166" s="690"/>
      <c r="S166" s="599"/>
      <c r="T166" s="599"/>
      <c r="U166" s="599"/>
      <c r="V166" s="599"/>
    </row>
    <row r="167" spans="1:22" s="439" customFormat="1">
      <c r="A167" s="644">
        <f t="shared" si="6"/>
        <v>20110701</v>
      </c>
      <c r="B167" s="640" t="s">
        <v>665</v>
      </c>
      <c r="C167" s="645" t="s">
        <v>421</v>
      </c>
      <c r="D167" s="641" t="str">
        <f t="shared" si="7"/>
        <v>20110701KUUM_448</v>
      </c>
      <c r="E167" s="642">
        <f t="shared" si="8"/>
        <v>12.219999999999999</v>
      </c>
      <c r="F167" s="689">
        <v>1812</v>
      </c>
      <c r="G167" s="642">
        <v>1.24</v>
      </c>
      <c r="H167" s="642">
        <v>4.03</v>
      </c>
      <c r="I167" s="642">
        <v>6.9499999999999993</v>
      </c>
      <c r="J167" s="690" t="s">
        <v>422</v>
      </c>
      <c r="K167" s="690"/>
      <c r="L167" s="690"/>
      <c r="M167" s="690"/>
      <c r="S167" s="599"/>
      <c r="T167" s="599"/>
      <c r="U167" s="599"/>
      <c r="V167" s="599"/>
    </row>
    <row r="168" spans="1:22" s="439" customFormat="1">
      <c r="A168" s="644">
        <f t="shared" si="6"/>
        <v>20110701</v>
      </c>
      <c r="B168" s="640" t="s">
        <v>666</v>
      </c>
      <c r="C168" s="640" t="s">
        <v>392</v>
      </c>
      <c r="D168" s="641" t="str">
        <f t="shared" si="7"/>
        <v>20110701KUUM_449</v>
      </c>
      <c r="E168" s="642">
        <f t="shared" si="8"/>
        <v>20.49</v>
      </c>
      <c r="F168" s="689">
        <v>468</v>
      </c>
      <c r="G168" s="642">
        <v>0.75</v>
      </c>
      <c r="H168" s="642">
        <v>1.04</v>
      </c>
      <c r="I168" s="642">
        <v>18.7</v>
      </c>
      <c r="J168" s="690" t="s">
        <v>301</v>
      </c>
      <c r="K168" s="690"/>
      <c r="L168" s="690"/>
      <c r="M168" s="690"/>
      <c r="S168" s="599"/>
      <c r="T168" s="599"/>
      <c r="U168" s="599"/>
      <c r="V168" s="599"/>
    </row>
    <row r="169" spans="1:22" s="439" customFormat="1">
      <c r="A169" s="644">
        <f t="shared" si="6"/>
        <v>20110701</v>
      </c>
      <c r="B169" s="640" t="s">
        <v>666</v>
      </c>
      <c r="C169" s="640" t="s">
        <v>322</v>
      </c>
      <c r="D169" s="641" t="str">
        <f t="shared" si="7"/>
        <v>20110701KUUM_450</v>
      </c>
      <c r="E169" s="642">
        <f t="shared" si="8"/>
        <v>12.34</v>
      </c>
      <c r="F169" s="689">
        <v>600</v>
      </c>
      <c r="G169" s="642">
        <v>1.38</v>
      </c>
      <c r="H169" s="642">
        <v>1.86</v>
      </c>
      <c r="I169" s="642">
        <v>9.1</v>
      </c>
      <c r="J169" s="690" t="s">
        <v>231</v>
      </c>
      <c r="K169" s="690"/>
      <c r="L169" s="690"/>
      <c r="M169" s="690"/>
      <c r="S169" s="599"/>
      <c r="T169" s="599"/>
      <c r="U169" s="599"/>
      <c r="V169" s="599"/>
    </row>
    <row r="170" spans="1:22" s="439" customFormat="1">
      <c r="A170" s="644">
        <f t="shared" si="6"/>
        <v>20110701</v>
      </c>
      <c r="B170" s="640" t="s">
        <v>666</v>
      </c>
      <c r="C170" s="640" t="s">
        <v>354</v>
      </c>
      <c r="D170" s="641" t="str">
        <f t="shared" si="7"/>
        <v>20110701KUUM_451</v>
      </c>
      <c r="E170" s="642">
        <f t="shared" si="8"/>
        <v>17.650000000000002</v>
      </c>
      <c r="F170" s="689">
        <v>1400</v>
      </c>
      <c r="G170" s="642">
        <v>1.79</v>
      </c>
      <c r="H170" s="642">
        <v>4.03</v>
      </c>
      <c r="I170" s="642">
        <v>11.830000000000002</v>
      </c>
      <c r="J170" s="690" t="s">
        <v>263</v>
      </c>
      <c r="K170" s="690"/>
      <c r="L170" s="690"/>
      <c r="M170" s="690"/>
      <c r="S170" s="599"/>
      <c r="T170" s="599"/>
      <c r="U170" s="599"/>
      <c r="V170" s="599"/>
    </row>
    <row r="171" spans="1:22" s="439" customFormat="1">
      <c r="A171" s="644">
        <f t="shared" si="6"/>
        <v>20110701</v>
      </c>
      <c r="B171" s="640" t="s">
        <v>666</v>
      </c>
      <c r="C171" s="640" t="s">
        <v>317</v>
      </c>
      <c r="D171" s="641" t="str">
        <f t="shared" si="7"/>
        <v>20110701KUUM_452</v>
      </c>
      <c r="E171" s="642">
        <f t="shared" si="8"/>
        <v>36.950000000000003</v>
      </c>
      <c r="F171" s="689">
        <v>4320</v>
      </c>
      <c r="G171" s="642">
        <v>3.59</v>
      </c>
      <c r="H171" s="642">
        <v>9.6</v>
      </c>
      <c r="I171" s="642">
        <v>23.76</v>
      </c>
      <c r="J171" s="690" t="s">
        <v>226</v>
      </c>
      <c r="K171" s="690"/>
      <c r="L171" s="690"/>
      <c r="M171" s="690"/>
      <c r="S171" s="599"/>
      <c r="T171" s="599"/>
      <c r="U171" s="599"/>
      <c r="V171" s="599"/>
    </row>
    <row r="172" spans="1:22" s="439" customFormat="1">
      <c r="A172" s="644">
        <f t="shared" si="6"/>
        <v>20110701</v>
      </c>
      <c r="B172" s="640" t="s">
        <v>666</v>
      </c>
      <c r="C172" s="640" t="s">
        <v>320</v>
      </c>
      <c r="D172" s="641" t="str">
        <f t="shared" si="7"/>
        <v>20110701KUUM_454</v>
      </c>
      <c r="E172" s="642">
        <f t="shared" si="8"/>
        <v>16.57</v>
      </c>
      <c r="F172" s="689">
        <v>600</v>
      </c>
      <c r="G172" s="642">
        <v>1.38</v>
      </c>
      <c r="H172" s="642">
        <v>1.86</v>
      </c>
      <c r="I172" s="642">
        <v>13.33</v>
      </c>
      <c r="J172" s="690" t="s">
        <v>229</v>
      </c>
      <c r="K172" s="690"/>
      <c r="L172" s="690"/>
      <c r="M172" s="690"/>
      <c r="S172" s="599"/>
      <c r="T172" s="599"/>
      <c r="U172" s="599"/>
      <c r="V172" s="599"/>
    </row>
    <row r="173" spans="1:22" s="439" customFormat="1">
      <c r="A173" s="644">
        <f t="shared" si="6"/>
        <v>20110701</v>
      </c>
      <c r="B173" s="640" t="s">
        <v>666</v>
      </c>
      <c r="C173" s="640" t="s">
        <v>352</v>
      </c>
      <c r="D173" s="641" t="str">
        <f t="shared" si="7"/>
        <v>20110701KUUM_455</v>
      </c>
      <c r="E173" s="642">
        <f t="shared" si="8"/>
        <v>21.880000000000003</v>
      </c>
      <c r="F173" s="689">
        <v>1400</v>
      </c>
      <c r="G173" s="642">
        <v>1.79</v>
      </c>
      <c r="H173" s="642">
        <v>4.03</v>
      </c>
      <c r="I173" s="642">
        <v>16.060000000000002</v>
      </c>
      <c r="J173" s="690" t="s">
        <v>261</v>
      </c>
      <c r="K173" s="690"/>
      <c r="L173" s="690"/>
      <c r="M173" s="690"/>
      <c r="S173" s="599"/>
      <c r="T173" s="599"/>
      <c r="U173" s="599"/>
      <c r="V173" s="599"/>
    </row>
    <row r="174" spans="1:22" s="439" customFormat="1">
      <c r="A174" s="644">
        <f t="shared" si="6"/>
        <v>20110701</v>
      </c>
      <c r="B174" s="640" t="s">
        <v>665</v>
      </c>
      <c r="C174" s="640" t="s">
        <v>384</v>
      </c>
      <c r="D174" s="641" t="str">
        <f t="shared" si="7"/>
        <v>20110701KUUM_456</v>
      </c>
      <c r="E174" s="642">
        <f t="shared" si="8"/>
        <v>10.71</v>
      </c>
      <c r="F174" s="689">
        <v>828</v>
      </c>
      <c r="G174" s="642">
        <v>0.95</v>
      </c>
      <c r="H174" s="642">
        <v>1.84</v>
      </c>
      <c r="I174" s="642">
        <v>7.92</v>
      </c>
      <c r="J174" s="690" t="s">
        <v>293</v>
      </c>
      <c r="K174" s="690"/>
      <c r="L174" s="690"/>
      <c r="M174" s="690"/>
      <c r="S174" s="599"/>
      <c r="T174" s="599"/>
      <c r="U174" s="599"/>
      <c r="V174" s="599"/>
    </row>
    <row r="175" spans="1:22" s="439" customFormat="1">
      <c r="A175" s="644">
        <f t="shared" si="6"/>
        <v>20110701</v>
      </c>
      <c r="B175" s="640" t="s">
        <v>665</v>
      </c>
      <c r="C175" s="640" t="s">
        <v>311</v>
      </c>
      <c r="D175" s="641" t="str">
        <f t="shared" si="7"/>
        <v>20110701KUUM_457</v>
      </c>
      <c r="E175" s="642">
        <f t="shared" si="8"/>
        <v>11.98</v>
      </c>
      <c r="F175" s="689">
        <v>1176</v>
      </c>
      <c r="G175" s="642">
        <v>1.0900000000000001</v>
      </c>
      <c r="H175" s="642">
        <v>2.62</v>
      </c>
      <c r="I175" s="642">
        <v>8.27</v>
      </c>
      <c r="J175" s="642" t="s">
        <v>220</v>
      </c>
      <c r="K175" s="690"/>
      <c r="L175" s="690"/>
      <c r="M175" s="690"/>
      <c r="S175" s="599"/>
      <c r="T175" s="599"/>
      <c r="U175" s="599"/>
      <c r="V175" s="599"/>
    </row>
    <row r="176" spans="1:22" s="439" customFormat="1">
      <c r="A176" s="644">
        <f t="shared" si="6"/>
        <v>20110701</v>
      </c>
      <c r="B176" s="640" t="s">
        <v>665</v>
      </c>
      <c r="C176" s="640" t="s">
        <v>341</v>
      </c>
      <c r="D176" s="641" t="str">
        <f t="shared" si="7"/>
        <v>20110701KUUM_458</v>
      </c>
      <c r="E176" s="642">
        <f t="shared" si="8"/>
        <v>13.79</v>
      </c>
      <c r="F176" s="689">
        <v>1812</v>
      </c>
      <c r="G176" s="642">
        <v>1.24</v>
      </c>
      <c r="H176" s="642">
        <v>4.03</v>
      </c>
      <c r="I176" s="642">
        <v>8.52</v>
      </c>
      <c r="J176" s="690" t="s">
        <v>250</v>
      </c>
      <c r="K176" s="690"/>
      <c r="L176" s="690"/>
      <c r="M176" s="690"/>
      <c r="S176" s="599"/>
      <c r="T176" s="599"/>
      <c r="U176" s="599"/>
      <c r="V176" s="599"/>
    </row>
    <row r="177" spans="1:22" s="439" customFormat="1">
      <c r="A177" s="644">
        <f t="shared" si="6"/>
        <v>20110701</v>
      </c>
      <c r="B177" s="640" t="s">
        <v>666</v>
      </c>
      <c r="C177" s="640" t="s">
        <v>315</v>
      </c>
      <c r="D177" s="641" t="str">
        <f t="shared" si="7"/>
        <v>20110701KUUM_459</v>
      </c>
      <c r="E177" s="642">
        <f t="shared" si="8"/>
        <v>41.180000000000007</v>
      </c>
      <c r="F177" s="689">
        <v>4320</v>
      </c>
      <c r="G177" s="642">
        <v>3.59</v>
      </c>
      <c r="H177" s="642">
        <v>9.6</v>
      </c>
      <c r="I177" s="642">
        <v>27.990000000000006</v>
      </c>
      <c r="J177" s="642" t="s">
        <v>224</v>
      </c>
      <c r="K177" s="690"/>
      <c r="L177" s="690"/>
      <c r="M177" s="690"/>
      <c r="S177" s="599"/>
      <c r="T177" s="599"/>
      <c r="U177" s="599"/>
      <c r="V177" s="599"/>
    </row>
    <row r="178" spans="1:22" s="439" customFormat="1">
      <c r="A178" s="644">
        <f t="shared" ref="A178:A200" si="9">A177</f>
        <v>20110701</v>
      </c>
      <c r="B178" s="640" t="s">
        <v>666</v>
      </c>
      <c r="C178" s="640" t="s">
        <v>319</v>
      </c>
      <c r="D178" s="641" t="str">
        <f t="shared" si="7"/>
        <v>20110701KUUM_460</v>
      </c>
      <c r="E178" s="642">
        <f t="shared" si="8"/>
        <v>24.75</v>
      </c>
      <c r="F178" s="689">
        <v>600</v>
      </c>
      <c r="G178" s="642">
        <v>1.38</v>
      </c>
      <c r="H178" s="642">
        <v>1.86</v>
      </c>
      <c r="I178" s="642">
        <v>21.51</v>
      </c>
      <c r="J178" s="690" t="s">
        <v>228</v>
      </c>
      <c r="K178" s="690"/>
      <c r="L178" s="690"/>
      <c r="M178" s="690"/>
      <c r="S178" s="599"/>
      <c r="T178" s="599"/>
      <c r="U178" s="599"/>
      <c r="V178" s="599"/>
    </row>
    <row r="179" spans="1:22" s="439" customFormat="1">
      <c r="A179" s="644">
        <f t="shared" si="9"/>
        <v>20110701</v>
      </c>
      <c r="B179" s="640" t="s">
        <v>665</v>
      </c>
      <c r="C179" s="640" t="s">
        <v>356</v>
      </c>
      <c r="D179" s="641" t="str">
        <f t="shared" si="7"/>
        <v>20110701KUUM_461</v>
      </c>
      <c r="E179" s="642">
        <f t="shared" si="8"/>
        <v>6.6499999999999995</v>
      </c>
      <c r="F179" s="689">
        <v>240</v>
      </c>
      <c r="G179" s="642">
        <v>0.73</v>
      </c>
      <c r="H179" s="642">
        <v>0.53</v>
      </c>
      <c r="I179" s="642">
        <v>5.39</v>
      </c>
      <c r="J179" s="690" t="s">
        <v>265</v>
      </c>
      <c r="K179" s="690"/>
      <c r="L179" s="690"/>
      <c r="M179" s="690"/>
      <c r="N179" s="447"/>
      <c r="S179" s="599"/>
      <c r="T179" s="599"/>
      <c r="U179" s="599"/>
      <c r="V179" s="599"/>
    </row>
    <row r="180" spans="1:22" s="439" customFormat="1">
      <c r="A180" s="644">
        <f t="shared" si="9"/>
        <v>20110701</v>
      </c>
      <c r="B180" s="640" t="s">
        <v>665</v>
      </c>
      <c r="C180" s="640" t="s">
        <v>365</v>
      </c>
      <c r="D180" s="641" t="str">
        <f t="shared" si="7"/>
        <v>20110701KUUM_462</v>
      </c>
      <c r="E180" s="642">
        <f t="shared" si="8"/>
        <v>7.52</v>
      </c>
      <c r="F180" s="689">
        <v>332</v>
      </c>
      <c r="G180" s="642">
        <v>0.94</v>
      </c>
      <c r="H180" s="642">
        <v>0.74</v>
      </c>
      <c r="I180" s="642">
        <v>5.84</v>
      </c>
      <c r="J180" s="690" t="s">
        <v>274</v>
      </c>
      <c r="K180" s="690"/>
      <c r="L180" s="690"/>
      <c r="M180" s="690"/>
      <c r="S180" s="599"/>
      <c r="T180" s="599"/>
      <c r="U180" s="599"/>
      <c r="V180" s="599"/>
    </row>
    <row r="181" spans="1:22" s="439" customFormat="1">
      <c r="A181" s="644">
        <f t="shared" si="9"/>
        <v>20110701</v>
      </c>
      <c r="B181" s="640" t="s">
        <v>665</v>
      </c>
      <c r="C181" s="640" t="s">
        <v>388</v>
      </c>
      <c r="D181" s="641" t="str">
        <f t="shared" si="7"/>
        <v>20110701KUUM_463</v>
      </c>
      <c r="E181" s="642">
        <f t="shared" si="8"/>
        <v>8.120000000000001</v>
      </c>
      <c r="F181" s="689">
        <v>468</v>
      </c>
      <c r="G181" s="642">
        <v>0.75</v>
      </c>
      <c r="H181" s="642">
        <v>1.04</v>
      </c>
      <c r="I181" s="642">
        <v>6.33</v>
      </c>
      <c r="J181" s="690" t="s">
        <v>297</v>
      </c>
      <c r="K181" s="690"/>
      <c r="L181" s="690"/>
      <c r="M181" s="690"/>
      <c r="S181" s="599"/>
      <c r="T181" s="599"/>
      <c r="U181" s="599"/>
      <c r="V181" s="599"/>
    </row>
    <row r="182" spans="1:22" s="439" customFormat="1">
      <c r="A182" s="644">
        <f t="shared" si="9"/>
        <v>20110701</v>
      </c>
      <c r="B182" s="640" t="s">
        <v>665</v>
      </c>
      <c r="C182" s="640" t="s">
        <v>345</v>
      </c>
      <c r="D182" s="641" t="str">
        <f t="shared" si="7"/>
        <v>20110701KUUM_464</v>
      </c>
      <c r="E182" s="642">
        <f t="shared" si="8"/>
        <v>12.51</v>
      </c>
      <c r="F182" s="689">
        <v>968</v>
      </c>
      <c r="G182" s="642">
        <v>1.25</v>
      </c>
      <c r="H182" s="642">
        <v>2.15</v>
      </c>
      <c r="I182" s="642">
        <v>9.11</v>
      </c>
      <c r="J182" s="690" t="s">
        <v>254</v>
      </c>
      <c r="K182" s="690"/>
      <c r="L182" s="690"/>
      <c r="M182" s="690"/>
      <c r="S182" s="599"/>
      <c r="T182" s="599"/>
      <c r="U182" s="599"/>
      <c r="V182" s="599"/>
    </row>
    <row r="183" spans="1:22" s="439" customFormat="1">
      <c r="A183" s="644">
        <f t="shared" si="9"/>
        <v>20110701</v>
      </c>
      <c r="B183" s="640" t="s">
        <v>665</v>
      </c>
      <c r="C183" s="640" t="s">
        <v>377</v>
      </c>
      <c r="D183" s="641" t="str">
        <f t="shared" si="7"/>
        <v>20110701KUUM_465</v>
      </c>
      <c r="E183" s="642">
        <f t="shared" si="8"/>
        <v>20.36</v>
      </c>
      <c r="F183" s="689">
        <v>1884</v>
      </c>
      <c r="G183" s="642">
        <v>1.83</v>
      </c>
      <c r="H183" s="642">
        <v>4.18</v>
      </c>
      <c r="I183" s="642">
        <v>14.35</v>
      </c>
      <c r="J183" s="690" t="s">
        <v>286</v>
      </c>
      <c r="K183" s="690"/>
      <c r="L183" s="690"/>
      <c r="M183" s="690"/>
      <c r="S183" s="599"/>
      <c r="T183" s="599"/>
      <c r="U183" s="599"/>
      <c r="V183" s="599"/>
    </row>
    <row r="184" spans="1:22" s="439" customFormat="1">
      <c r="A184" s="644">
        <f t="shared" si="9"/>
        <v>20110701</v>
      </c>
      <c r="B184" s="640" t="s">
        <v>665</v>
      </c>
      <c r="C184" s="640" t="s">
        <v>363</v>
      </c>
      <c r="D184" s="641" t="str">
        <f t="shared" si="7"/>
        <v>20110701KUUM_466</v>
      </c>
      <c r="E184" s="642">
        <f t="shared" si="8"/>
        <v>8.65</v>
      </c>
      <c r="F184" s="689">
        <v>240</v>
      </c>
      <c r="G184" s="642">
        <v>0.73</v>
      </c>
      <c r="H184" s="642">
        <v>0.53</v>
      </c>
      <c r="I184" s="642">
        <v>7.39</v>
      </c>
      <c r="J184" s="690" t="s">
        <v>272</v>
      </c>
      <c r="K184" s="690"/>
      <c r="L184" s="690"/>
      <c r="M184" s="690"/>
      <c r="S184" s="599"/>
      <c r="T184" s="599"/>
      <c r="U184" s="599"/>
      <c r="V184" s="599"/>
    </row>
    <row r="185" spans="1:22" s="439" customFormat="1">
      <c r="A185" s="644">
        <f t="shared" si="9"/>
        <v>20110701</v>
      </c>
      <c r="B185" s="640" t="s">
        <v>665</v>
      </c>
      <c r="C185" s="640" t="s">
        <v>373</v>
      </c>
      <c r="D185" s="641" t="str">
        <f t="shared" si="7"/>
        <v>20110701KUUM_467</v>
      </c>
      <c r="E185" s="642">
        <f t="shared" si="8"/>
        <v>9.5500000000000007</v>
      </c>
      <c r="F185" s="689">
        <v>332</v>
      </c>
      <c r="G185" s="642">
        <v>0.94</v>
      </c>
      <c r="H185" s="642">
        <v>0.74</v>
      </c>
      <c r="I185" s="642">
        <v>7.870000000000001</v>
      </c>
      <c r="J185" s="690" t="s">
        <v>282</v>
      </c>
      <c r="K185" s="690"/>
      <c r="L185" s="690"/>
      <c r="M185" s="690"/>
      <c r="S185" s="599"/>
      <c r="T185" s="599"/>
      <c r="U185" s="599"/>
      <c r="V185" s="599"/>
    </row>
    <row r="186" spans="1:22" s="439" customFormat="1">
      <c r="A186" s="644">
        <f t="shared" si="9"/>
        <v>20110701</v>
      </c>
      <c r="B186" s="640" t="s">
        <v>665</v>
      </c>
      <c r="C186" s="640" t="s">
        <v>396</v>
      </c>
      <c r="D186" s="641" t="str">
        <f t="shared" si="7"/>
        <v>20110701KUUM_468</v>
      </c>
      <c r="E186" s="642">
        <f t="shared" si="8"/>
        <v>10.059999999999999</v>
      </c>
      <c r="F186" s="689">
        <v>468</v>
      </c>
      <c r="G186" s="642">
        <v>0.75</v>
      </c>
      <c r="H186" s="642">
        <v>1.04</v>
      </c>
      <c r="I186" s="642">
        <v>8.27</v>
      </c>
      <c r="J186" s="690" t="s">
        <v>305</v>
      </c>
      <c r="K186" s="690"/>
      <c r="L186" s="690"/>
      <c r="M186" s="690"/>
      <c r="S186" s="599"/>
      <c r="T186" s="599"/>
      <c r="U186" s="599"/>
      <c r="V186" s="599"/>
    </row>
    <row r="187" spans="1:22" s="439" customFormat="1">
      <c r="A187" s="644">
        <f t="shared" si="9"/>
        <v>20110701</v>
      </c>
      <c r="B187" s="640" t="s">
        <v>666</v>
      </c>
      <c r="C187" s="640" t="s">
        <v>351</v>
      </c>
      <c r="D187" s="641" t="str">
        <f t="shared" si="7"/>
        <v>20110701KUUM_469</v>
      </c>
      <c r="E187" s="642">
        <f t="shared" si="8"/>
        <v>30.060000000000002</v>
      </c>
      <c r="F187" s="689">
        <v>1400</v>
      </c>
      <c r="G187" s="642">
        <v>1.79</v>
      </c>
      <c r="H187" s="642">
        <v>4.03</v>
      </c>
      <c r="I187" s="642">
        <v>24.240000000000002</v>
      </c>
      <c r="J187" s="690" t="s">
        <v>260</v>
      </c>
      <c r="K187" s="690"/>
      <c r="L187" s="690"/>
      <c r="M187" s="690"/>
      <c r="S187" s="599"/>
      <c r="T187" s="599"/>
      <c r="U187" s="599"/>
      <c r="V187" s="599"/>
    </row>
    <row r="188" spans="1:22" s="439" customFormat="1">
      <c r="A188" s="644">
        <f t="shared" si="9"/>
        <v>20110701</v>
      </c>
      <c r="B188" s="640" t="s">
        <v>666</v>
      </c>
      <c r="C188" s="640" t="s">
        <v>314</v>
      </c>
      <c r="D188" s="641" t="str">
        <f t="shared" si="7"/>
        <v>20110701KUUM_470</v>
      </c>
      <c r="E188" s="642">
        <f t="shared" si="8"/>
        <v>49.36</v>
      </c>
      <c r="F188" s="689">
        <v>4320</v>
      </c>
      <c r="G188" s="642">
        <v>3.59</v>
      </c>
      <c r="H188" s="642">
        <v>9.6</v>
      </c>
      <c r="I188" s="642">
        <v>36.17</v>
      </c>
      <c r="J188" s="642" t="s">
        <v>223</v>
      </c>
      <c r="K188" s="690"/>
      <c r="L188" s="690"/>
      <c r="M188" s="690"/>
      <c r="S188" s="599"/>
      <c r="T188" s="599"/>
      <c r="U188" s="599"/>
      <c r="V188" s="599"/>
    </row>
    <row r="189" spans="1:22" s="439" customFormat="1">
      <c r="A189" s="644">
        <f t="shared" si="9"/>
        <v>20110701</v>
      </c>
      <c r="B189" s="640" t="s">
        <v>665</v>
      </c>
      <c r="C189" s="640" t="s">
        <v>355</v>
      </c>
      <c r="D189" s="641" t="str">
        <f t="shared" si="7"/>
        <v>20110701KUUM_471</v>
      </c>
      <c r="E189" s="642">
        <f t="shared" si="8"/>
        <v>9.4799999999999986</v>
      </c>
      <c r="F189" s="689">
        <v>240</v>
      </c>
      <c r="G189" s="642">
        <v>0.73</v>
      </c>
      <c r="H189" s="642">
        <v>0.53</v>
      </c>
      <c r="I189" s="642">
        <v>8.2199999999999989</v>
      </c>
      <c r="J189" s="690" t="s">
        <v>264</v>
      </c>
      <c r="K189" s="690"/>
      <c r="L189" s="690"/>
      <c r="M189" s="690"/>
      <c r="S189" s="599"/>
      <c r="T189" s="599"/>
      <c r="U189" s="599"/>
      <c r="V189" s="599"/>
    </row>
    <row r="190" spans="1:22" s="439" customFormat="1">
      <c r="A190" s="644">
        <f t="shared" si="9"/>
        <v>20110701</v>
      </c>
      <c r="B190" s="640" t="s">
        <v>665</v>
      </c>
      <c r="C190" s="640" t="s">
        <v>364</v>
      </c>
      <c r="D190" s="641" t="str">
        <f t="shared" si="7"/>
        <v>20110701KUUM_472</v>
      </c>
      <c r="E190" s="642">
        <f t="shared" si="8"/>
        <v>10.35</v>
      </c>
      <c r="F190" s="689">
        <v>332</v>
      </c>
      <c r="G190" s="642">
        <v>0.94</v>
      </c>
      <c r="H190" s="642">
        <v>0.74</v>
      </c>
      <c r="I190" s="642">
        <v>8.67</v>
      </c>
      <c r="J190" s="690" t="s">
        <v>273</v>
      </c>
      <c r="K190" s="690"/>
      <c r="L190" s="690"/>
      <c r="M190" s="690"/>
      <c r="S190" s="599"/>
      <c r="T190" s="599"/>
      <c r="U190" s="599"/>
      <c r="V190" s="599"/>
    </row>
    <row r="191" spans="1:22" s="439" customFormat="1">
      <c r="A191" s="644">
        <f t="shared" si="9"/>
        <v>20110701</v>
      </c>
      <c r="B191" s="640" t="s">
        <v>665</v>
      </c>
      <c r="C191" s="640" t="s">
        <v>387</v>
      </c>
      <c r="D191" s="641" t="str">
        <f t="shared" si="7"/>
        <v>20110701KUUM_473</v>
      </c>
      <c r="E191" s="642">
        <f t="shared" si="8"/>
        <v>11.16</v>
      </c>
      <c r="F191" s="689">
        <v>468</v>
      </c>
      <c r="G191" s="642">
        <v>0.75</v>
      </c>
      <c r="H191" s="642">
        <v>1.04</v>
      </c>
      <c r="I191" s="642">
        <v>9.3699999999999992</v>
      </c>
      <c r="J191" s="690" t="s">
        <v>296</v>
      </c>
      <c r="K191" s="690"/>
      <c r="L191" s="690"/>
      <c r="M191" s="690"/>
      <c r="S191" s="599"/>
      <c r="T191" s="599"/>
      <c r="U191" s="599"/>
      <c r="V191" s="599"/>
    </row>
    <row r="192" spans="1:22" s="439" customFormat="1">
      <c r="A192" s="644">
        <f t="shared" si="9"/>
        <v>20110701</v>
      </c>
      <c r="B192" s="640" t="s">
        <v>665</v>
      </c>
      <c r="C192" s="640" t="s">
        <v>344</v>
      </c>
      <c r="D192" s="641" t="str">
        <f t="shared" si="7"/>
        <v>20110701KUUM_474</v>
      </c>
      <c r="E192" s="642">
        <f t="shared" si="8"/>
        <v>15.549999999999999</v>
      </c>
      <c r="F192" s="689">
        <v>968</v>
      </c>
      <c r="G192" s="642">
        <v>1.25</v>
      </c>
      <c r="H192" s="642">
        <v>2.15</v>
      </c>
      <c r="I192" s="642">
        <v>12.149999999999999</v>
      </c>
      <c r="J192" s="690" t="s">
        <v>253</v>
      </c>
      <c r="K192" s="690"/>
      <c r="L192" s="690"/>
      <c r="M192" s="690"/>
      <c r="S192" s="599"/>
      <c r="T192" s="599"/>
      <c r="U192" s="599"/>
      <c r="V192" s="599"/>
    </row>
    <row r="193" spans="1:22" s="439" customFormat="1">
      <c r="A193" s="644">
        <f t="shared" si="9"/>
        <v>20110701</v>
      </c>
      <c r="B193" s="640" t="s">
        <v>665</v>
      </c>
      <c r="C193" s="640" t="s">
        <v>376</v>
      </c>
      <c r="D193" s="641" t="str">
        <f t="shared" si="7"/>
        <v>20110701KUUM_475</v>
      </c>
      <c r="E193" s="642">
        <f t="shared" si="8"/>
        <v>21.92</v>
      </c>
      <c r="F193" s="689">
        <v>1884</v>
      </c>
      <c r="G193" s="642">
        <v>1.83</v>
      </c>
      <c r="H193" s="642">
        <v>4.18</v>
      </c>
      <c r="I193" s="642">
        <v>15.91</v>
      </c>
      <c r="J193" s="690" t="s">
        <v>285</v>
      </c>
      <c r="K193" s="690"/>
      <c r="L193" s="690"/>
      <c r="M193" s="690"/>
      <c r="S193" s="599"/>
      <c r="T193" s="599"/>
      <c r="U193" s="599"/>
      <c r="V193" s="599"/>
    </row>
    <row r="194" spans="1:22" s="439" customFormat="1">
      <c r="A194" s="644">
        <f t="shared" si="9"/>
        <v>20110701</v>
      </c>
      <c r="B194" s="640" t="s">
        <v>666</v>
      </c>
      <c r="C194" s="640" t="s">
        <v>374</v>
      </c>
      <c r="D194" s="641" t="str">
        <f t="shared" si="7"/>
        <v>20110701KUUM_476</v>
      </c>
      <c r="E194" s="642">
        <v>15.28</v>
      </c>
      <c r="F194" s="689">
        <v>332</v>
      </c>
      <c r="G194" s="642">
        <v>0.94</v>
      </c>
      <c r="H194" s="642">
        <v>0.74</v>
      </c>
      <c r="I194" s="642">
        <f t="shared" ref="I194:I195" si="10">E194-G194-H194</f>
        <v>13.6</v>
      </c>
      <c r="J194" s="690" t="s">
        <v>283</v>
      </c>
      <c r="K194" s="690"/>
      <c r="L194" s="690"/>
      <c r="M194" s="690"/>
      <c r="S194" s="599"/>
      <c r="T194" s="599"/>
      <c r="U194" s="599"/>
      <c r="V194" s="599"/>
    </row>
    <row r="195" spans="1:22" s="439" customFormat="1">
      <c r="A195" s="644">
        <f t="shared" si="9"/>
        <v>20110701</v>
      </c>
      <c r="B195" s="640" t="s">
        <v>666</v>
      </c>
      <c r="C195" s="640" t="s">
        <v>398</v>
      </c>
      <c r="D195" s="641" t="str">
        <f t="shared" si="7"/>
        <v>20110701KUUM_477</v>
      </c>
      <c r="E195" s="642">
        <v>17.899999999999999</v>
      </c>
      <c r="F195" s="689">
        <v>468</v>
      </c>
      <c r="G195" s="642">
        <v>0.75</v>
      </c>
      <c r="H195" s="642">
        <v>1.04</v>
      </c>
      <c r="I195" s="642">
        <f t="shared" si="10"/>
        <v>16.11</v>
      </c>
      <c r="J195" s="690" t="s">
        <v>307</v>
      </c>
      <c r="K195" s="690"/>
      <c r="L195" s="690"/>
      <c r="M195" s="690"/>
      <c r="S195" s="599"/>
      <c r="T195" s="599"/>
      <c r="U195" s="599"/>
      <c r="V195" s="599"/>
    </row>
    <row r="196" spans="1:22" s="439" customFormat="1">
      <c r="A196" s="644">
        <f t="shared" si="9"/>
        <v>20110701</v>
      </c>
      <c r="B196" s="640" t="s">
        <v>666</v>
      </c>
      <c r="C196" s="640" t="s">
        <v>348</v>
      </c>
      <c r="D196" s="641" t="str">
        <f t="shared" si="7"/>
        <v>20110701KUUM_478</v>
      </c>
      <c r="E196" s="642">
        <v>21.58</v>
      </c>
      <c r="F196" s="689">
        <v>968</v>
      </c>
      <c r="G196" s="642">
        <v>1.25</v>
      </c>
      <c r="H196" s="642">
        <v>2.15</v>
      </c>
      <c r="I196" s="642">
        <f>E196-G196-H196</f>
        <v>18.18</v>
      </c>
      <c r="J196" s="690" t="s">
        <v>257</v>
      </c>
      <c r="K196" s="690"/>
      <c r="L196" s="690"/>
      <c r="M196" s="690"/>
      <c r="S196" s="599"/>
      <c r="T196" s="599"/>
      <c r="U196" s="599"/>
      <c r="V196" s="599"/>
    </row>
    <row r="197" spans="1:22" s="439" customFormat="1">
      <c r="A197" s="644">
        <f t="shared" si="9"/>
        <v>20110701</v>
      </c>
      <c r="B197" s="640" t="s">
        <v>666</v>
      </c>
      <c r="C197" s="640" t="s">
        <v>380</v>
      </c>
      <c r="D197" s="641" t="str">
        <f t="shared" si="7"/>
        <v>20110701KUUM_479</v>
      </c>
      <c r="E197" s="642">
        <v>27.54</v>
      </c>
      <c r="F197" s="689">
        <v>1884</v>
      </c>
      <c r="G197" s="642">
        <v>1.83</v>
      </c>
      <c r="H197" s="642">
        <v>4.18</v>
      </c>
      <c r="I197" s="642">
        <f>E197-G197-H197</f>
        <v>21.53</v>
      </c>
      <c r="J197" s="690" t="s">
        <v>289</v>
      </c>
      <c r="K197" s="690"/>
      <c r="L197" s="690"/>
      <c r="M197" s="690"/>
      <c r="S197" s="599"/>
      <c r="T197" s="599"/>
      <c r="U197" s="599"/>
      <c r="V197" s="599"/>
    </row>
    <row r="198" spans="1:22" s="439" customFormat="1">
      <c r="A198" s="644">
        <f t="shared" si="9"/>
        <v>20110701</v>
      </c>
      <c r="B198" s="640" t="s">
        <v>666</v>
      </c>
      <c r="C198" s="640" t="s">
        <v>362</v>
      </c>
      <c r="D198" s="641" t="str">
        <f t="shared" si="7"/>
        <v>20110701KUUM_480</v>
      </c>
      <c r="E198" s="642">
        <f t="shared" si="8"/>
        <v>8.65</v>
      </c>
      <c r="F198" s="689">
        <v>240</v>
      </c>
      <c r="G198" s="642">
        <v>0.73</v>
      </c>
      <c r="H198" s="642">
        <v>0.53</v>
      </c>
      <c r="I198" s="642">
        <v>7.39</v>
      </c>
      <c r="J198" s="690" t="s">
        <v>271</v>
      </c>
      <c r="K198" s="690"/>
      <c r="L198" s="690"/>
      <c r="M198" s="690"/>
      <c r="S198" s="599"/>
      <c r="T198" s="599"/>
      <c r="U198" s="599"/>
      <c r="V198" s="599"/>
    </row>
    <row r="199" spans="1:22" s="439" customFormat="1">
      <c r="A199" s="644">
        <f t="shared" si="9"/>
        <v>20110701</v>
      </c>
      <c r="B199" s="640" t="s">
        <v>666</v>
      </c>
      <c r="C199" s="640" t="s">
        <v>372</v>
      </c>
      <c r="D199" s="641" t="str">
        <f t="shared" si="7"/>
        <v>20110701KUUM_481</v>
      </c>
      <c r="E199" s="642">
        <f t="shared" si="8"/>
        <v>9.5500000000000007</v>
      </c>
      <c r="F199" s="689">
        <v>332</v>
      </c>
      <c r="G199" s="642">
        <v>0.94</v>
      </c>
      <c r="H199" s="642">
        <v>0.74</v>
      </c>
      <c r="I199" s="642">
        <v>7.870000000000001</v>
      </c>
      <c r="J199" s="690" t="s">
        <v>281</v>
      </c>
      <c r="K199" s="690"/>
      <c r="L199" s="690"/>
      <c r="M199" s="690"/>
      <c r="S199" s="599"/>
      <c r="T199" s="599"/>
      <c r="U199" s="599"/>
      <c r="V199" s="599"/>
    </row>
    <row r="200" spans="1:22" s="439" customFormat="1">
      <c r="A200" s="644">
        <f t="shared" si="9"/>
        <v>20110701</v>
      </c>
      <c r="B200" s="640" t="s">
        <v>666</v>
      </c>
      <c r="C200" s="640" t="s">
        <v>395</v>
      </c>
      <c r="D200" s="641" t="str">
        <f t="shared" si="7"/>
        <v>20110701KUUM_482</v>
      </c>
      <c r="E200" s="642">
        <f t="shared" si="8"/>
        <v>10.059999999999999</v>
      </c>
      <c r="F200" s="689">
        <v>468</v>
      </c>
      <c r="G200" s="642">
        <v>0.75</v>
      </c>
      <c r="H200" s="642">
        <v>1.04</v>
      </c>
      <c r="I200" s="642">
        <v>8.27</v>
      </c>
      <c r="J200" s="690" t="s">
        <v>304</v>
      </c>
      <c r="K200" s="690"/>
      <c r="L200" s="690"/>
      <c r="M200" s="690"/>
      <c r="S200" s="599"/>
      <c r="T200" s="599"/>
      <c r="U200" s="599"/>
      <c r="V200" s="599"/>
    </row>
    <row r="201" spans="1:22" s="439" customFormat="1">
      <c r="A201" s="644">
        <f t="shared" ref="A201:A215" si="11">A200</f>
        <v>20110701</v>
      </c>
      <c r="B201" s="640" t="s">
        <v>666</v>
      </c>
      <c r="C201" s="645" t="s">
        <v>423</v>
      </c>
      <c r="D201" s="641" t="str">
        <f t="shared" ref="D201:D215" si="12">A201&amp;C201</f>
        <v>20110701KUUM_483</v>
      </c>
      <c r="E201" s="642">
        <f t="shared" ref="E201:E215" si="13">SUM(G201:I201)</f>
        <v>21.429999999999996</v>
      </c>
      <c r="F201" s="689">
        <v>332</v>
      </c>
      <c r="G201" s="642">
        <v>0.94</v>
      </c>
      <c r="H201" s="642">
        <v>0.74</v>
      </c>
      <c r="I201" s="642">
        <v>19.749999999999996</v>
      </c>
      <c r="J201" s="691" t="s">
        <v>401</v>
      </c>
      <c r="K201" s="690"/>
      <c r="L201" s="690"/>
      <c r="M201" s="690"/>
      <c r="S201" s="599"/>
      <c r="T201" s="599"/>
      <c r="U201" s="599"/>
      <c r="V201" s="599"/>
    </row>
    <row r="202" spans="1:22" s="439" customFormat="1">
      <c r="A202" s="644">
        <f t="shared" si="11"/>
        <v>20110701</v>
      </c>
      <c r="B202" s="640" t="s">
        <v>666</v>
      </c>
      <c r="C202" s="640" t="s">
        <v>397</v>
      </c>
      <c r="D202" s="641" t="str">
        <f t="shared" si="12"/>
        <v>20110701KUUM_484</v>
      </c>
      <c r="E202" s="642">
        <f t="shared" si="13"/>
        <v>21.56</v>
      </c>
      <c r="F202" s="689">
        <v>468</v>
      </c>
      <c r="G202" s="642">
        <v>0.75</v>
      </c>
      <c r="H202" s="642">
        <v>1.04</v>
      </c>
      <c r="I202" s="642">
        <v>19.77</v>
      </c>
      <c r="J202" s="690" t="s">
        <v>306</v>
      </c>
      <c r="K202" s="690"/>
      <c r="L202" s="690"/>
      <c r="M202" s="690"/>
      <c r="S202" s="599"/>
      <c r="T202" s="599"/>
      <c r="U202" s="599"/>
      <c r="V202" s="599"/>
    </row>
    <row r="203" spans="1:22" s="439" customFormat="1">
      <c r="A203" s="644">
        <f t="shared" si="11"/>
        <v>20110701</v>
      </c>
      <c r="B203" s="640" t="s">
        <v>666</v>
      </c>
      <c r="C203" s="645" t="s">
        <v>412</v>
      </c>
      <c r="D203" s="641" t="str">
        <f t="shared" si="12"/>
        <v>20110701KUUM_484.1</v>
      </c>
      <c r="E203" s="642">
        <f t="shared" si="13"/>
        <v>35.65</v>
      </c>
      <c r="F203" s="689">
        <v>936</v>
      </c>
      <c r="G203" s="642">
        <v>1.5</v>
      </c>
      <c r="H203" s="642">
        <v>2.08</v>
      </c>
      <c r="I203" s="642">
        <v>32.07</v>
      </c>
      <c r="J203" s="691" t="s">
        <v>413</v>
      </c>
      <c r="K203" s="690"/>
      <c r="L203" s="690"/>
      <c r="M203" s="690"/>
      <c r="S203" s="599"/>
      <c r="T203" s="599"/>
      <c r="U203" s="599"/>
      <c r="V203" s="599"/>
    </row>
    <row r="204" spans="1:22" s="439" customFormat="1">
      <c r="A204" s="644">
        <f t="shared" si="11"/>
        <v>20110701</v>
      </c>
      <c r="B204" s="640" t="s">
        <v>666</v>
      </c>
      <c r="C204" s="640" t="s">
        <v>347</v>
      </c>
      <c r="D204" s="641" t="str">
        <f t="shared" si="12"/>
        <v>20110701KUUM_485</v>
      </c>
      <c r="E204" s="642">
        <f t="shared" si="13"/>
        <v>27.31</v>
      </c>
      <c r="F204" s="689">
        <v>968</v>
      </c>
      <c r="G204" s="642">
        <v>1.25</v>
      </c>
      <c r="H204" s="642">
        <v>2.15</v>
      </c>
      <c r="I204" s="642">
        <v>23.91</v>
      </c>
      <c r="J204" s="690" t="s">
        <v>256</v>
      </c>
      <c r="K204" s="690"/>
      <c r="L204" s="690"/>
      <c r="M204" s="690"/>
      <c r="S204" s="599"/>
      <c r="T204" s="599"/>
      <c r="U204" s="599"/>
      <c r="V204" s="599"/>
    </row>
    <row r="205" spans="1:22" s="439" customFormat="1">
      <c r="A205" s="644">
        <f t="shared" si="11"/>
        <v>20110701</v>
      </c>
      <c r="B205" s="640" t="s">
        <v>666</v>
      </c>
      <c r="C205" s="640" t="s">
        <v>379</v>
      </c>
      <c r="D205" s="641" t="str">
        <f t="shared" si="12"/>
        <v>20110701KUUM_486</v>
      </c>
      <c r="E205" s="642">
        <f t="shared" si="13"/>
        <v>30.53</v>
      </c>
      <c r="F205" s="689">
        <v>1884</v>
      </c>
      <c r="G205" s="642">
        <v>1.83</v>
      </c>
      <c r="H205" s="642">
        <v>4.18</v>
      </c>
      <c r="I205" s="642">
        <v>24.52</v>
      </c>
      <c r="J205" s="690" t="s">
        <v>288</v>
      </c>
      <c r="K205" s="690"/>
      <c r="L205" s="690"/>
      <c r="M205" s="690"/>
      <c r="S205" s="599"/>
      <c r="T205" s="599"/>
      <c r="U205" s="599"/>
      <c r="V205" s="599"/>
    </row>
    <row r="206" spans="1:22" s="439" customFormat="1">
      <c r="A206" s="644">
        <f t="shared" si="11"/>
        <v>20110701</v>
      </c>
      <c r="B206" s="640" t="s">
        <v>666</v>
      </c>
      <c r="C206" s="640" t="s">
        <v>399</v>
      </c>
      <c r="D206" s="641" t="str">
        <f t="shared" si="12"/>
        <v>20110701KUUM_487</v>
      </c>
      <c r="E206" s="642">
        <f t="shared" si="13"/>
        <v>7.9799999999999995</v>
      </c>
      <c r="F206" s="689">
        <v>468</v>
      </c>
      <c r="G206" s="642">
        <v>0.75</v>
      </c>
      <c r="H206" s="642">
        <v>1.04</v>
      </c>
      <c r="I206" s="642">
        <v>6.1899999999999995</v>
      </c>
      <c r="J206" s="690" t="s">
        <v>308</v>
      </c>
      <c r="K206" s="690"/>
      <c r="L206" s="690"/>
      <c r="M206" s="690"/>
      <c r="S206" s="599"/>
      <c r="T206" s="599"/>
      <c r="U206" s="599"/>
      <c r="V206" s="599"/>
    </row>
    <row r="207" spans="1:22" s="439" customFormat="1">
      <c r="A207" s="644">
        <f t="shared" si="11"/>
        <v>20110701</v>
      </c>
      <c r="B207" s="640" t="s">
        <v>666</v>
      </c>
      <c r="C207" s="640" t="s">
        <v>349</v>
      </c>
      <c r="D207" s="641" t="str">
        <f t="shared" si="12"/>
        <v>20110701KUUM_488</v>
      </c>
      <c r="E207" s="642">
        <f t="shared" si="13"/>
        <v>11.92</v>
      </c>
      <c r="F207" s="689">
        <v>968</v>
      </c>
      <c r="G207" s="642">
        <v>1.25</v>
      </c>
      <c r="H207" s="642">
        <v>2.15</v>
      </c>
      <c r="I207" s="642">
        <v>8.52</v>
      </c>
      <c r="J207" s="690" t="s">
        <v>258</v>
      </c>
      <c r="K207" s="690"/>
      <c r="L207" s="690"/>
      <c r="M207" s="690"/>
      <c r="S207" s="599"/>
      <c r="T207" s="599"/>
      <c r="U207" s="599"/>
      <c r="V207" s="599"/>
    </row>
    <row r="208" spans="1:22" s="439" customFormat="1">
      <c r="A208" s="644">
        <f t="shared" si="11"/>
        <v>20110701</v>
      </c>
      <c r="B208" s="640" t="s">
        <v>666</v>
      </c>
      <c r="C208" s="640" t="s">
        <v>381</v>
      </c>
      <c r="D208" s="641" t="str">
        <f t="shared" si="12"/>
        <v>20110701KUUM_489</v>
      </c>
      <c r="E208" s="642">
        <f t="shared" si="13"/>
        <v>17.11</v>
      </c>
      <c r="F208" s="689">
        <v>1884</v>
      </c>
      <c r="G208" s="642">
        <v>1.83</v>
      </c>
      <c r="H208" s="642">
        <v>4.18</v>
      </c>
      <c r="I208" s="642">
        <v>11.1</v>
      </c>
      <c r="J208" s="690" t="s">
        <v>290</v>
      </c>
      <c r="K208" s="690"/>
      <c r="L208" s="690"/>
      <c r="M208" s="690"/>
      <c r="S208" s="599"/>
      <c r="T208" s="599"/>
      <c r="U208" s="599"/>
      <c r="V208" s="599"/>
    </row>
    <row r="209" spans="1:22" s="439" customFormat="1">
      <c r="A209" s="644">
        <f t="shared" si="11"/>
        <v>20110701</v>
      </c>
      <c r="B209" s="640" t="s">
        <v>666</v>
      </c>
      <c r="C209" s="640" t="s">
        <v>321</v>
      </c>
      <c r="D209" s="641" t="str">
        <f t="shared" si="12"/>
        <v>20110701KUUM_490</v>
      </c>
      <c r="E209" s="642">
        <f t="shared" si="13"/>
        <v>13.510000000000002</v>
      </c>
      <c r="F209" s="689">
        <v>600</v>
      </c>
      <c r="G209" s="642">
        <v>1.38</v>
      </c>
      <c r="H209" s="642">
        <v>1.86</v>
      </c>
      <c r="I209" s="642">
        <v>10.270000000000001</v>
      </c>
      <c r="J209" s="690" t="s">
        <v>230</v>
      </c>
      <c r="K209" s="690"/>
      <c r="L209" s="690"/>
      <c r="M209" s="690"/>
      <c r="S209" s="599"/>
      <c r="T209" s="599"/>
      <c r="U209" s="599"/>
      <c r="V209" s="599"/>
    </row>
    <row r="210" spans="1:22" s="439" customFormat="1">
      <c r="A210" s="644">
        <f t="shared" si="11"/>
        <v>20110701</v>
      </c>
      <c r="B210" s="640" t="s">
        <v>666</v>
      </c>
      <c r="C210" s="640" t="s">
        <v>353</v>
      </c>
      <c r="D210" s="641" t="str">
        <f t="shared" si="12"/>
        <v>20110701KUUM_491</v>
      </c>
      <c r="E210" s="642">
        <f t="shared" si="13"/>
        <v>19.320000000000004</v>
      </c>
      <c r="F210" s="689">
        <v>1400</v>
      </c>
      <c r="G210" s="642">
        <v>1.79</v>
      </c>
      <c r="H210" s="642">
        <v>4.03</v>
      </c>
      <c r="I210" s="642">
        <v>13.500000000000004</v>
      </c>
      <c r="J210" s="690" t="s">
        <v>262</v>
      </c>
      <c r="K210" s="690"/>
      <c r="L210" s="690"/>
      <c r="M210" s="690"/>
      <c r="S210" s="599"/>
      <c r="T210" s="599"/>
      <c r="U210" s="599"/>
      <c r="V210" s="599"/>
    </row>
    <row r="211" spans="1:22" s="439" customFormat="1">
      <c r="A211" s="644">
        <f t="shared" si="11"/>
        <v>20110701</v>
      </c>
      <c r="B211" s="640" t="s">
        <v>666</v>
      </c>
      <c r="C211" s="645" t="s">
        <v>678</v>
      </c>
      <c r="D211" s="641" t="str">
        <f t="shared" si="12"/>
        <v>20110701KUUM_492</v>
      </c>
      <c r="E211" s="642">
        <v>13.97</v>
      </c>
      <c r="F211" s="689">
        <v>332</v>
      </c>
      <c r="G211" s="642">
        <v>0.94</v>
      </c>
      <c r="H211" s="642">
        <v>0.74</v>
      </c>
      <c r="I211" s="642">
        <f>E211-G211-H211</f>
        <v>12.290000000000001</v>
      </c>
      <c r="J211" s="691" t="s">
        <v>648</v>
      </c>
      <c r="K211" s="690"/>
      <c r="L211" s="690"/>
      <c r="M211" s="690"/>
      <c r="S211" s="599"/>
      <c r="T211" s="599"/>
      <c r="U211" s="599"/>
      <c r="V211" s="599"/>
    </row>
    <row r="212" spans="1:22" s="439" customFormat="1">
      <c r="A212" s="644">
        <f t="shared" si="11"/>
        <v>20110701</v>
      </c>
      <c r="B212" s="640" t="s">
        <v>666</v>
      </c>
      <c r="C212" s="640" t="s">
        <v>316</v>
      </c>
      <c r="D212" s="641" t="str">
        <f t="shared" si="12"/>
        <v>20110701KUUM_493</v>
      </c>
      <c r="E212" s="642">
        <f t="shared" si="13"/>
        <v>40.17</v>
      </c>
      <c r="F212" s="689">
        <v>4320</v>
      </c>
      <c r="G212" s="642">
        <v>3.59</v>
      </c>
      <c r="H212" s="642">
        <v>9.6</v>
      </c>
      <c r="I212" s="642">
        <v>26.98</v>
      </c>
      <c r="J212" s="690" t="s">
        <v>225</v>
      </c>
      <c r="K212" s="690"/>
      <c r="L212" s="690"/>
      <c r="M212" s="690"/>
      <c r="S212" s="599"/>
      <c r="T212" s="599"/>
      <c r="U212" s="599"/>
      <c r="V212" s="599"/>
    </row>
    <row r="213" spans="1:22" s="439" customFormat="1">
      <c r="A213" s="644">
        <f t="shared" si="11"/>
        <v>20110701</v>
      </c>
      <c r="B213" s="640" t="s">
        <v>666</v>
      </c>
      <c r="C213" s="640" t="s">
        <v>318</v>
      </c>
      <c r="D213" s="641" t="str">
        <f t="shared" si="12"/>
        <v>20110701KUUM_494</v>
      </c>
      <c r="E213" s="642">
        <f t="shared" si="13"/>
        <v>25.92</v>
      </c>
      <c r="F213" s="689">
        <v>600</v>
      </c>
      <c r="G213" s="642">
        <v>1.38</v>
      </c>
      <c r="H213" s="642">
        <v>1.86</v>
      </c>
      <c r="I213" s="642">
        <v>22.680000000000003</v>
      </c>
      <c r="J213" s="690" t="s">
        <v>227</v>
      </c>
      <c r="K213" s="690"/>
      <c r="L213" s="690"/>
      <c r="M213" s="690"/>
      <c r="S213" s="599"/>
      <c r="T213" s="599"/>
      <c r="U213" s="599"/>
      <c r="V213" s="599"/>
    </row>
    <row r="214" spans="1:22">
      <c r="A214" s="644">
        <f t="shared" si="11"/>
        <v>20110701</v>
      </c>
      <c r="B214" s="640" t="s">
        <v>666</v>
      </c>
      <c r="C214" s="640" t="s">
        <v>350</v>
      </c>
      <c r="D214" s="641" t="str">
        <f t="shared" si="12"/>
        <v>20110701KUUM_495</v>
      </c>
      <c r="E214" s="642">
        <f t="shared" si="13"/>
        <v>31.73</v>
      </c>
      <c r="F214" s="689">
        <v>1400</v>
      </c>
      <c r="G214" s="642">
        <v>1.79</v>
      </c>
      <c r="H214" s="642">
        <v>4.03</v>
      </c>
      <c r="I214" s="642">
        <v>25.91</v>
      </c>
      <c r="J214" s="690" t="s">
        <v>259</v>
      </c>
      <c r="K214" s="690"/>
      <c r="L214" s="690"/>
      <c r="M214" s="690"/>
      <c r="N214" s="436"/>
    </row>
    <row r="215" spans="1:22">
      <c r="A215" s="644">
        <f t="shared" si="11"/>
        <v>20110701</v>
      </c>
      <c r="B215" s="640" t="s">
        <v>666</v>
      </c>
      <c r="C215" s="640" t="s">
        <v>313</v>
      </c>
      <c r="D215" s="641" t="str">
        <f t="shared" si="12"/>
        <v>20110701KUUM_496</v>
      </c>
      <c r="E215" s="642">
        <f t="shared" si="13"/>
        <v>52.58</v>
      </c>
      <c r="F215" s="689">
        <v>4320</v>
      </c>
      <c r="G215" s="642">
        <v>3.59</v>
      </c>
      <c r="H215" s="642">
        <v>9.6</v>
      </c>
      <c r="I215" s="642">
        <v>39.39</v>
      </c>
      <c r="J215" s="642" t="s">
        <v>222</v>
      </c>
      <c r="K215" s="690"/>
      <c r="L215" s="690"/>
      <c r="M215" s="690"/>
      <c r="N215" s="436"/>
      <c r="O215" s="436"/>
      <c r="P215" s="436"/>
      <c r="Q215" s="600"/>
      <c r="R215" s="600"/>
    </row>
    <row r="216" spans="1:22">
      <c r="A216" s="644">
        <f>A214</f>
        <v>20110701</v>
      </c>
      <c r="B216" s="640" t="s">
        <v>666</v>
      </c>
      <c r="C216" s="645" t="s">
        <v>447</v>
      </c>
      <c r="D216" s="641" t="str">
        <f t="shared" ref="D216:D246" si="14">A216&amp;C216</f>
        <v>20110701KUUM_498</v>
      </c>
      <c r="E216" s="642">
        <v>15.84</v>
      </c>
      <c r="F216" s="689">
        <v>968</v>
      </c>
      <c r="G216" s="642">
        <v>1.25</v>
      </c>
      <c r="H216" s="642">
        <v>2.15</v>
      </c>
      <c r="I216" s="642">
        <f>E216-G216-H216</f>
        <v>12.44</v>
      </c>
      <c r="J216" s="693" t="s">
        <v>647</v>
      </c>
      <c r="K216" s="690"/>
      <c r="L216" s="690"/>
      <c r="M216" s="690"/>
      <c r="N216" s="436"/>
      <c r="O216" s="436"/>
      <c r="P216" s="436"/>
      <c r="Q216" s="600"/>
      <c r="R216" s="600"/>
    </row>
    <row r="217" spans="1:22">
      <c r="A217" s="644">
        <f>A215</f>
        <v>20110701</v>
      </c>
      <c r="B217" s="640" t="s">
        <v>666</v>
      </c>
      <c r="C217" s="645" t="s">
        <v>624</v>
      </c>
      <c r="D217" s="641" t="str">
        <f t="shared" si="14"/>
        <v>20110701KUUM_499</v>
      </c>
      <c r="E217" s="642">
        <v>19.059999999999999</v>
      </c>
      <c r="F217" s="689">
        <v>3768</v>
      </c>
      <c r="G217" s="642">
        <v>1.83</v>
      </c>
      <c r="H217" s="642">
        <v>4.16</v>
      </c>
      <c r="I217" s="642">
        <f>E217-G217-H217</f>
        <v>13.069999999999997</v>
      </c>
      <c r="J217" s="691" t="s">
        <v>414</v>
      </c>
      <c r="K217" s="690"/>
      <c r="L217" s="690"/>
      <c r="M217" s="690"/>
      <c r="N217" s="436"/>
      <c r="O217" s="436"/>
      <c r="P217" s="436"/>
      <c r="Q217" s="600"/>
      <c r="R217" s="600"/>
    </row>
    <row r="218" spans="1:22">
      <c r="A218" s="648">
        <v>20120301</v>
      </c>
      <c r="B218" s="650" t="s">
        <v>708</v>
      </c>
      <c r="C218" s="654" t="s">
        <v>416</v>
      </c>
      <c r="D218" s="651" t="str">
        <f t="shared" si="14"/>
        <v>20120301KUUM_300</v>
      </c>
      <c r="E218" s="694">
        <v>21.310000000000002</v>
      </c>
      <c r="F218" s="695">
        <v>200</v>
      </c>
      <c r="G218" s="652">
        <v>1.01</v>
      </c>
      <c r="H218" s="652">
        <v>0.54</v>
      </c>
      <c r="I218" s="652">
        <f>E218-G218-H218</f>
        <v>19.760000000000002</v>
      </c>
      <c r="J218" s="696" t="s">
        <v>418</v>
      </c>
      <c r="K218" s="652"/>
      <c r="L218" s="652"/>
      <c r="M218" s="652"/>
      <c r="N218" s="600"/>
      <c r="O218" s="436"/>
      <c r="P218" s="436"/>
      <c r="Q218" s="600"/>
      <c r="R218" s="600"/>
    </row>
    <row r="219" spans="1:22">
      <c r="A219" s="648">
        <f t="shared" ref="A219:A287" si="15">A218</f>
        <v>20120301</v>
      </c>
      <c r="B219" s="650" t="s">
        <v>708</v>
      </c>
      <c r="C219" s="654" t="s">
        <v>417</v>
      </c>
      <c r="D219" s="651" t="str">
        <f t="shared" si="14"/>
        <v>20120301KUUM_301</v>
      </c>
      <c r="E219" s="694">
        <v>22.22</v>
      </c>
      <c r="F219" s="695">
        <v>400</v>
      </c>
      <c r="G219" s="652">
        <v>1.04</v>
      </c>
      <c r="H219" s="652">
        <v>1.04</v>
      </c>
      <c r="I219" s="652">
        <f t="shared" ref="I219:I282" si="16">E219-G219-H219</f>
        <v>20.14</v>
      </c>
      <c r="J219" s="697" t="s">
        <v>419</v>
      </c>
      <c r="K219" s="652"/>
      <c r="L219" s="652"/>
      <c r="M219" s="652"/>
      <c r="O219" s="436"/>
      <c r="P219" s="436"/>
      <c r="Q219" s="600"/>
      <c r="R219" s="600"/>
    </row>
    <row r="220" spans="1:22">
      <c r="A220" s="648">
        <f t="shared" si="15"/>
        <v>20120301</v>
      </c>
      <c r="B220" s="650" t="s">
        <v>665</v>
      </c>
      <c r="C220" s="650" t="s">
        <v>323</v>
      </c>
      <c r="D220" s="651" t="str">
        <f t="shared" si="14"/>
        <v>20120301KUUM_360</v>
      </c>
      <c r="E220" s="694">
        <v>51.000000000000007</v>
      </c>
      <c r="F220" s="695">
        <v>724</v>
      </c>
      <c r="G220" s="652">
        <v>7.15</v>
      </c>
      <c r="H220" s="652">
        <v>1.61</v>
      </c>
      <c r="I220" s="652">
        <f t="shared" si="16"/>
        <v>42.240000000000009</v>
      </c>
      <c r="J220" s="696" t="s">
        <v>232</v>
      </c>
      <c r="K220" s="652"/>
      <c r="L220" s="652"/>
      <c r="M220" s="652"/>
      <c r="N220" s="447" t="s">
        <v>718</v>
      </c>
      <c r="O220" s="436"/>
      <c r="P220" s="436"/>
      <c r="Q220" s="600"/>
    </row>
    <row r="221" spans="1:22">
      <c r="A221" s="648">
        <f t="shared" si="15"/>
        <v>20120301</v>
      </c>
      <c r="B221" s="650" t="s">
        <v>665</v>
      </c>
      <c r="C221" s="650" t="s">
        <v>328</v>
      </c>
      <c r="D221" s="651" t="str">
        <f t="shared" si="14"/>
        <v>20120301KUUM_361</v>
      </c>
      <c r="E221" s="694">
        <v>77.780000000000015</v>
      </c>
      <c r="F221" s="695">
        <v>724</v>
      </c>
      <c r="G221" s="652">
        <v>7.15</v>
      </c>
      <c r="H221" s="652">
        <v>1.61</v>
      </c>
      <c r="I221" s="652">
        <f t="shared" si="16"/>
        <v>69.02000000000001</v>
      </c>
      <c r="J221" s="696" t="s">
        <v>237</v>
      </c>
      <c r="K221" s="652"/>
      <c r="L221" s="652"/>
      <c r="M221" s="652"/>
      <c r="N221" s="447" t="s">
        <v>718</v>
      </c>
      <c r="O221" s="436"/>
      <c r="P221" s="436"/>
      <c r="Q221" s="600"/>
    </row>
    <row r="222" spans="1:22">
      <c r="A222" s="648">
        <f t="shared" si="15"/>
        <v>20120301</v>
      </c>
      <c r="B222" s="650" t="s">
        <v>665</v>
      </c>
      <c r="C222" s="650" t="s">
        <v>331</v>
      </c>
      <c r="D222" s="651" t="str">
        <f t="shared" si="14"/>
        <v>20120301KUUM_362</v>
      </c>
      <c r="E222" s="694">
        <v>55.28</v>
      </c>
      <c r="F222" s="695">
        <v>724</v>
      </c>
      <c r="G222" s="652">
        <v>7.15</v>
      </c>
      <c r="H222" s="652">
        <v>1.61</v>
      </c>
      <c r="I222" s="652">
        <f t="shared" si="16"/>
        <v>46.52</v>
      </c>
      <c r="J222" s="696" t="s">
        <v>240</v>
      </c>
      <c r="K222" s="652"/>
      <c r="L222" s="652"/>
      <c r="M222" s="652"/>
      <c r="N222" s="447" t="s">
        <v>718</v>
      </c>
      <c r="O222" s="600"/>
      <c r="P222" s="600"/>
      <c r="Q222" s="600"/>
    </row>
    <row r="223" spans="1:22">
      <c r="A223" s="648">
        <f t="shared" si="15"/>
        <v>20120301</v>
      </c>
      <c r="B223" s="650" t="s">
        <v>665</v>
      </c>
      <c r="C223" s="650" t="s">
        <v>332</v>
      </c>
      <c r="D223" s="651" t="str">
        <f t="shared" si="14"/>
        <v>20120301KUUM_363</v>
      </c>
      <c r="E223" s="694">
        <v>57.180000000000007</v>
      </c>
      <c r="F223" s="695">
        <v>724</v>
      </c>
      <c r="G223" s="652">
        <v>7.15</v>
      </c>
      <c r="H223" s="652">
        <v>1.61</v>
      </c>
      <c r="I223" s="652">
        <f t="shared" si="16"/>
        <v>48.420000000000009</v>
      </c>
      <c r="J223" s="696" t="s">
        <v>241</v>
      </c>
      <c r="K223" s="696"/>
      <c r="L223" s="696"/>
      <c r="M223" s="696"/>
      <c r="N223" s="447" t="s">
        <v>718</v>
      </c>
    </row>
    <row r="224" spans="1:22">
      <c r="A224" s="648">
        <f t="shared" si="15"/>
        <v>20120301</v>
      </c>
      <c r="B224" s="650" t="s">
        <v>665</v>
      </c>
      <c r="C224" s="650" t="s">
        <v>333</v>
      </c>
      <c r="D224" s="651" t="str">
        <f t="shared" si="14"/>
        <v>20120301KUUM_364</v>
      </c>
      <c r="E224" s="694">
        <v>58.49</v>
      </c>
      <c r="F224" s="695">
        <v>724</v>
      </c>
      <c r="G224" s="652">
        <v>7.15</v>
      </c>
      <c r="H224" s="652">
        <v>1.61</v>
      </c>
      <c r="I224" s="652">
        <f t="shared" si="16"/>
        <v>49.730000000000004</v>
      </c>
      <c r="J224" s="696" t="s">
        <v>242</v>
      </c>
      <c r="K224" s="696"/>
      <c r="L224" s="696"/>
      <c r="M224" s="696"/>
      <c r="N224" s="447" t="s">
        <v>718</v>
      </c>
    </row>
    <row r="225" spans="1:22">
      <c r="A225" s="648">
        <f t="shared" si="15"/>
        <v>20120301</v>
      </c>
      <c r="B225" s="650" t="s">
        <v>665</v>
      </c>
      <c r="C225" s="650" t="s">
        <v>335</v>
      </c>
      <c r="D225" s="651" t="str">
        <f t="shared" si="14"/>
        <v>20120301KUUM_365</v>
      </c>
      <c r="E225" s="694">
        <v>75.640000000000015</v>
      </c>
      <c r="F225" s="695">
        <v>724</v>
      </c>
      <c r="G225" s="652">
        <v>7.15</v>
      </c>
      <c r="H225" s="652">
        <v>1.61</v>
      </c>
      <c r="I225" s="652">
        <f t="shared" si="16"/>
        <v>66.88000000000001</v>
      </c>
      <c r="J225" s="696" t="s">
        <v>244</v>
      </c>
      <c r="K225" s="696"/>
      <c r="L225" s="696"/>
      <c r="M225" s="696"/>
      <c r="N225" s="447" t="s">
        <v>718</v>
      </c>
    </row>
    <row r="226" spans="1:22">
      <c r="A226" s="648">
        <f t="shared" si="15"/>
        <v>20120301</v>
      </c>
      <c r="B226" s="650" t="s">
        <v>665</v>
      </c>
      <c r="C226" s="650" t="s">
        <v>336</v>
      </c>
      <c r="D226" s="651" t="str">
        <f t="shared" si="14"/>
        <v>20120301KUUM_366</v>
      </c>
      <c r="E226" s="694">
        <v>73.740000000000009</v>
      </c>
      <c r="F226" s="695">
        <v>724</v>
      </c>
      <c r="G226" s="652">
        <v>7.15</v>
      </c>
      <c r="H226" s="652">
        <v>1.61</v>
      </c>
      <c r="I226" s="652">
        <f t="shared" si="16"/>
        <v>64.98</v>
      </c>
      <c r="J226" s="696" t="s">
        <v>245</v>
      </c>
      <c r="K226" s="696"/>
      <c r="L226" s="696"/>
      <c r="M226" s="696"/>
      <c r="N226" s="447" t="s">
        <v>718</v>
      </c>
    </row>
    <row r="227" spans="1:22">
      <c r="A227" s="648">
        <f t="shared" si="15"/>
        <v>20120301</v>
      </c>
      <c r="B227" s="650" t="s">
        <v>665</v>
      </c>
      <c r="C227" s="650" t="s">
        <v>338</v>
      </c>
      <c r="D227" s="651" t="str">
        <f t="shared" si="14"/>
        <v>20120301KUUM_367</v>
      </c>
      <c r="E227" s="694">
        <v>56.680000000000007</v>
      </c>
      <c r="F227" s="695">
        <v>724</v>
      </c>
      <c r="G227" s="652">
        <v>7.15</v>
      </c>
      <c r="H227" s="652">
        <v>1.61</v>
      </c>
      <c r="I227" s="652">
        <f t="shared" si="16"/>
        <v>47.920000000000009</v>
      </c>
      <c r="J227" s="696" t="s">
        <v>247</v>
      </c>
      <c r="K227" s="696"/>
      <c r="L227" s="696"/>
      <c r="M227" s="696"/>
      <c r="N227" s="447" t="s">
        <v>718</v>
      </c>
    </row>
    <row r="228" spans="1:22">
      <c r="A228" s="648">
        <f t="shared" si="15"/>
        <v>20120301</v>
      </c>
      <c r="B228" s="650" t="s">
        <v>665</v>
      </c>
      <c r="C228" s="650" t="s">
        <v>339</v>
      </c>
      <c r="D228" s="651" t="str">
        <f t="shared" si="14"/>
        <v>20120301KUUM_368</v>
      </c>
      <c r="E228" s="694">
        <v>52.31</v>
      </c>
      <c r="F228" s="695">
        <v>724</v>
      </c>
      <c r="G228" s="652">
        <v>7.15</v>
      </c>
      <c r="H228" s="652">
        <v>1.61</v>
      </c>
      <c r="I228" s="652">
        <f t="shared" si="16"/>
        <v>43.550000000000004</v>
      </c>
      <c r="J228" s="696" t="s">
        <v>248</v>
      </c>
      <c r="K228" s="696"/>
      <c r="L228" s="696"/>
      <c r="M228" s="696"/>
      <c r="N228" s="447" t="s">
        <v>718</v>
      </c>
    </row>
    <row r="229" spans="1:22">
      <c r="A229" s="648">
        <f t="shared" si="15"/>
        <v>20120301</v>
      </c>
      <c r="B229" s="650" t="s">
        <v>665</v>
      </c>
      <c r="C229" s="650" t="s">
        <v>325</v>
      </c>
      <c r="D229" s="651" t="str">
        <f t="shared" si="14"/>
        <v>20120301KUUM_370</v>
      </c>
      <c r="E229" s="694">
        <v>69.460000000000008</v>
      </c>
      <c r="F229" s="695">
        <v>724</v>
      </c>
      <c r="G229" s="652">
        <v>7.15</v>
      </c>
      <c r="H229" s="652">
        <v>1.61</v>
      </c>
      <c r="I229" s="652">
        <f t="shared" si="16"/>
        <v>60.70000000000001</v>
      </c>
      <c r="J229" s="696" t="s">
        <v>234</v>
      </c>
      <c r="K229" s="696"/>
      <c r="L229" s="696"/>
      <c r="M229" s="696"/>
      <c r="N229" s="447" t="s">
        <v>718</v>
      </c>
    </row>
    <row r="230" spans="1:22">
      <c r="A230" s="648">
        <f t="shared" si="15"/>
        <v>20120301</v>
      </c>
      <c r="B230" s="650" t="s">
        <v>665</v>
      </c>
      <c r="C230" s="650" t="s">
        <v>334</v>
      </c>
      <c r="D230" s="651" t="str">
        <f t="shared" si="14"/>
        <v>20120301KUUM_372</v>
      </c>
      <c r="E230" s="694">
        <v>76.950000000000017</v>
      </c>
      <c r="F230" s="695">
        <v>724</v>
      </c>
      <c r="G230" s="652">
        <v>7.15</v>
      </c>
      <c r="H230" s="652">
        <v>1.61</v>
      </c>
      <c r="I230" s="652">
        <f t="shared" si="16"/>
        <v>68.190000000000012</v>
      </c>
      <c r="J230" s="696" t="s">
        <v>243</v>
      </c>
      <c r="K230" s="696"/>
      <c r="L230" s="696"/>
      <c r="M230" s="696"/>
      <c r="N230" s="447" t="s">
        <v>718</v>
      </c>
    </row>
    <row r="231" spans="1:22" s="439" customFormat="1">
      <c r="A231" s="648">
        <f t="shared" si="15"/>
        <v>20120301</v>
      </c>
      <c r="B231" s="650" t="s">
        <v>665</v>
      </c>
      <c r="C231" s="650" t="s">
        <v>326</v>
      </c>
      <c r="D231" s="651" t="str">
        <f t="shared" si="14"/>
        <v>20120301KUUM_373</v>
      </c>
      <c r="E231" s="694">
        <v>69.460000000000008</v>
      </c>
      <c r="F231" s="695">
        <v>724</v>
      </c>
      <c r="G231" s="652">
        <v>7.15</v>
      </c>
      <c r="H231" s="652">
        <v>1.61</v>
      </c>
      <c r="I231" s="652">
        <f t="shared" si="16"/>
        <v>60.70000000000001</v>
      </c>
      <c r="J231" s="696" t="s">
        <v>235</v>
      </c>
      <c r="K231" s="696"/>
      <c r="L231" s="696"/>
      <c r="M231" s="696"/>
      <c r="N231" s="447" t="s">
        <v>718</v>
      </c>
      <c r="S231" s="599"/>
      <c r="T231" s="599"/>
      <c r="U231" s="599"/>
      <c r="V231" s="599"/>
    </row>
    <row r="232" spans="1:22" s="439" customFormat="1">
      <c r="A232" s="648">
        <f t="shared" si="15"/>
        <v>20120301</v>
      </c>
      <c r="B232" s="650" t="s">
        <v>665</v>
      </c>
      <c r="C232" s="650" t="s">
        <v>330</v>
      </c>
      <c r="D232" s="651" t="str">
        <f t="shared" si="14"/>
        <v>20120301KUUM_374</v>
      </c>
      <c r="E232" s="694">
        <v>70.77000000000001</v>
      </c>
      <c r="F232" s="695">
        <v>724</v>
      </c>
      <c r="G232" s="652">
        <v>7.15</v>
      </c>
      <c r="H232" s="652">
        <v>1.61</v>
      </c>
      <c r="I232" s="652">
        <f t="shared" si="16"/>
        <v>62.010000000000012</v>
      </c>
      <c r="J232" s="696" t="s">
        <v>239</v>
      </c>
      <c r="K232" s="696"/>
      <c r="L232" s="696"/>
      <c r="M232" s="696"/>
      <c r="N232" s="447" t="s">
        <v>718</v>
      </c>
      <c r="S232" s="599"/>
      <c r="T232" s="599"/>
      <c r="U232" s="599"/>
      <c r="V232" s="599"/>
    </row>
    <row r="233" spans="1:22" s="698" customFormat="1">
      <c r="A233" s="648">
        <f t="shared" si="15"/>
        <v>20120301</v>
      </c>
      <c r="B233" s="650" t="s">
        <v>665</v>
      </c>
      <c r="C233" s="650" t="s">
        <v>337</v>
      </c>
      <c r="D233" s="651" t="str">
        <f t="shared" si="14"/>
        <v>20120301KUUM_375</v>
      </c>
      <c r="E233" s="694">
        <v>73.740000000000009</v>
      </c>
      <c r="F233" s="695">
        <v>724</v>
      </c>
      <c r="G233" s="652">
        <v>7.15</v>
      </c>
      <c r="H233" s="652">
        <v>1.61</v>
      </c>
      <c r="I233" s="652">
        <f t="shared" si="16"/>
        <v>64.98</v>
      </c>
      <c r="J233" s="696" t="s">
        <v>246</v>
      </c>
      <c r="K233" s="696"/>
      <c r="L233" s="696"/>
      <c r="M233" s="696"/>
      <c r="N233" s="447" t="s">
        <v>718</v>
      </c>
      <c r="O233" s="439"/>
      <c r="P233" s="439"/>
      <c r="Q233" s="439"/>
      <c r="S233" s="699"/>
      <c r="T233" s="699"/>
      <c r="U233" s="699"/>
      <c r="V233" s="699"/>
    </row>
    <row r="234" spans="1:22" s="698" customFormat="1">
      <c r="A234" s="648">
        <f t="shared" si="15"/>
        <v>20120301</v>
      </c>
      <c r="B234" s="650" t="s">
        <v>665</v>
      </c>
      <c r="C234" s="650" t="s">
        <v>329</v>
      </c>
      <c r="D234" s="651" t="str">
        <f t="shared" si="14"/>
        <v>20120301KUUM_376</v>
      </c>
      <c r="E234" s="694">
        <v>72.100000000000009</v>
      </c>
      <c r="F234" s="695">
        <v>724</v>
      </c>
      <c r="G234" s="652">
        <v>7.15</v>
      </c>
      <c r="H234" s="652">
        <v>1.61</v>
      </c>
      <c r="I234" s="652">
        <f t="shared" si="16"/>
        <v>63.34</v>
      </c>
      <c r="J234" s="696" t="s">
        <v>238</v>
      </c>
      <c r="K234" s="696"/>
      <c r="L234" s="696"/>
      <c r="M234" s="696"/>
      <c r="N234" s="447" t="s">
        <v>718</v>
      </c>
      <c r="O234" s="439"/>
      <c r="P234" s="439"/>
      <c r="Q234" s="439"/>
      <c r="S234" s="699"/>
      <c r="T234" s="699"/>
      <c r="U234" s="699"/>
      <c r="V234" s="699"/>
    </row>
    <row r="235" spans="1:22" s="698" customFormat="1">
      <c r="A235" s="648">
        <f t="shared" si="15"/>
        <v>20120301</v>
      </c>
      <c r="B235" s="650" t="s">
        <v>665</v>
      </c>
      <c r="C235" s="650" t="s">
        <v>327</v>
      </c>
      <c r="D235" s="651" t="str">
        <f t="shared" si="14"/>
        <v>20120301KUUM_377</v>
      </c>
      <c r="E235" s="694">
        <v>59.52</v>
      </c>
      <c r="F235" s="695">
        <v>724</v>
      </c>
      <c r="G235" s="652">
        <v>7.15</v>
      </c>
      <c r="H235" s="652">
        <v>1.61</v>
      </c>
      <c r="I235" s="652">
        <f t="shared" si="16"/>
        <v>50.760000000000005</v>
      </c>
      <c r="J235" s="696" t="s">
        <v>236</v>
      </c>
      <c r="K235" s="696"/>
      <c r="L235" s="696"/>
      <c r="M235" s="696"/>
      <c r="N235" s="447" t="s">
        <v>718</v>
      </c>
      <c r="O235" s="439"/>
      <c r="P235" s="439"/>
      <c r="Q235" s="439"/>
      <c r="S235" s="699"/>
      <c r="T235" s="699"/>
      <c r="U235" s="699"/>
      <c r="V235" s="699"/>
    </row>
    <row r="236" spans="1:22" s="698" customFormat="1">
      <c r="A236" s="648">
        <f t="shared" si="15"/>
        <v>20120301</v>
      </c>
      <c r="B236" s="650" t="s">
        <v>665</v>
      </c>
      <c r="C236" s="654" t="s">
        <v>453</v>
      </c>
      <c r="D236" s="651" t="str">
        <f t="shared" si="14"/>
        <v>20120301KUUM_378</v>
      </c>
      <c r="E236" s="694">
        <v>70.790000000000006</v>
      </c>
      <c r="F236" s="695">
        <v>724</v>
      </c>
      <c r="G236" s="652">
        <v>7.15</v>
      </c>
      <c r="H236" s="652">
        <v>1.61</v>
      </c>
      <c r="I236" s="652">
        <f t="shared" si="16"/>
        <v>62.030000000000008</v>
      </c>
      <c r="J236" s="697" t="s">
        <v>452</v>
      </c>
      <c r="K236" s="696"/>
      <c r="L236" s="696"/>
      <c r="M236" s="696"/>
      <c r="N236" s="447" t="s">
        <v>718</v>
      </c>
      <c r="O236" s="439"/>
      <c r="P236" s="439"/>
      <c r="Q236" s="439"/>
      <c r="S236" s="699"/>
      <c r="T236" s="699"/>
      <c r="U236" s="699"/>
      <c r="V236" s="699"/>
    </row>
    <row r="237" spans="1:22" s="439" customFormat="1">
      <c r="A237" s="700">
        <f t="shared" si="15"/>
        <v>20120301</v>
      </c>
      <c r="B237" s="701" t="s">
        <v>665</v>
      </c>
      <c r="C237" s="702" t="s">
        <v>616</v>
      </c>
      <c r="D237" s="703" t="str">
        <f t="shared" si="14"/>
        <v>20120301KUUM_379</v>
      </c>
      <c r="E237" s="704">
        <v>75.540000000000006</v>
      </c>
      <c r="F237" s="705">
        <v>724</v>
      </c>
      <c r="G237" s="652">
        <v>7.15</v>
      </c>
      <c r="H237" s="706">
        <v>1.61</v>
      </c>
      <c r="I237" s="652">
        <f t="shared" si="16"/>
        <v>66.78</v>
      </c>
      <c r="J237" s="707" t="s">
        <v>679</v>
      </c>
      <c r="K237" s="708"/>
      <c r="L237" s="708"/>
      <c r="M237" s="708"/>
      <c r="N237" s="447" t="s">
        <v>718</v>
      </c>
      <c r="S237" s="599"/>
      <c r="T237" s="599"/>
      <c r="U237" s="599"/>
      <c r="V237" s="599"/>
    </row>
    <row r="238" spans="1:22" s="439" customFormat="1">
      <c r="A238" s="700">
        <f t="shared" si="15"/>
        <v>20120301</v>
      </c>
      <c r="B238" s="701" t="s">
        <v>665</v>
      </c>
      <c r="C238" s="702" t="s">
        <v>617</v>
      </c>
      <c r="D238" s="703" t="str">
        <f t="shared" si="14"/>
        <v>20120301KUUM_380</v>
      </c>
      <c r="E238" s="704">
        <v>79.31</v>
      </c>
      <c r="F238" s="705">
        <v>724</v>
      </c>
      <c r="G238" s="652">
        <v>7.15</v>
      </c>
      <c r="H238" s="706">
        <v>1.61</v>
      </c>
      <c r="I238" s="652">
        <f t="shared" si="16"/>
        <v>70.55</v>
      </c>
      <c r="J238" s="707" t="s">
        <v>680</v>
      </c>
      <c r="K238" s="708"/>
      <c r="L238" s="708"/>
      <c r="M238" s="708"/>
      <c r="N238" s="447" t="s">
        <v>718</v>
      </c>
      <c r="S238" s="599"/>
      <c r="T238" s="599"/>
      <c r="U238" s="599"/>
      <c r="V238" s="599"/>
    </row>
    <row r="239" spans="1:22" s="439" customFormat="1">
      <c r="A239" s="700">
        <f t="shared" si="15"/>
        <v>20120301</v>
      </c>
      <c r="B239" s="701" t="s">
        <v>665</v>
      </c>
      <c r="C239" s="702" t="s">
        <v>618</v>
      </c>
      <c r="D239" s="703" t="str">
        <f t="shared" si="14"/>
        <v>20120301KUUM_381</v>
      </c>
      <c r="E239" s="704">
        <v>80.62</v>
      </c>
      <c r="F239" s="705">
        <v>724</v>
      </c>
      <c r="G239" s="652">
        <v>7.15</v>
      </c>
      <c r="H239" s="706">
        <v>1.61</v>
      </c>
      <c r="I239" s="652">
        <f t="shared" si="16"/>
        <v>71.86</v>
      </c>
      <c r="J239" s="707" t="s">
        <v>681</v>
      </c>
      <c r="K239" s="708"/>
      <c r="L239" s="708"/>
      <c r="M239" s="708"/>
      <c r="N239" s="447" t="s">
        <v>718</v>
      </c>
      <c r="S239" s="599"/>
      <c r="T239" s="599"/>
      <c r="U239" s="599"/>
      <c r="V239" s="599"/>
    </row>
    <row r="240" spans="1:22" s="439" customFormat="1">
      <c r="A240" s="700">
        <f t="shared" si="15"/>
        <v>20120301</v>
      </c>
      <c r="B240" s="701" t="s">
        <v>665</v>
      </c>
      <c r="C240" s="702" t="s">
        <v>619</v>
      </c>
      <c r="D240" s="703" t="str">
        <f t="shared" si="14"/>
        <v>20120301KUUM_382</v>
      </c>
      <c r="E240" s="704">
        <v>77.83</v>
      </c>
      <c r="F240" s="705">
        <v>724</v>
      </c>
      <c r="G240" s="652">
        <v>7.15</v>
      </c>
      <c r="H240" s="706">
        <v>1.61</v>
      </c>
      <c r="I240" s="652">
        <f t="shared" si="16"/>
        <v>69.069999999999993</v>
      </c>
      <c r="J240" s="707" t="s">
        <v>682</v>
      </c>
      <c r="K240" s="708"/>
      <c r="L240" s="708"/>
      <c r="M240" s="708"/>
      <c r="N240" s="447" t="s">
        <v>718</v>
      </c>
      <c r="S240" s="599"/>
      <c r="T240" s="599"/>
      <c r="U240" s="599"/>
      <c r="V240" s="599"/>
    </row>
    <row r="241" spans="1:22" s="439" customFormat="1">
      <c r="A241" s="648">
        <f>A235</f>
        <v>20120301</v>
      </c>
      <c r="B241" s="650" t="s">
        <v>666</v>
      </c>
      <c r="C241" s="650" t="s">
        <v>324</v>
      </c>
      <c r="D241" s="651" t="str">
        <f t="shared" si="14"/>
        <v>20120301KUUM_395</v>
      </c>
      <c r="E241" s="694">
        <v>51.000000000000007</v>
      </c>
      <c r="F241" s="695">
        <v>724</v>
      </c>
      <c r="G241" s="652">
        <v>7.15</v>
      </c>
      <c r="H241" s="652">
        <v>1.61</v>
      </c>
      <c r="I241" s="652">
        <f t="shared" si="16"/>
        <v>42.240000000000009</v>
      </c>
      <c r="J241" s="696" t="s">
        <v>233</v>
      </c>
      <c r="K241" s="696"/>
      <c r="L241" s="696"/>
      <c r="M241" s="696"/>
      <c r="N241" s="447" t="s">
        <v>718</v>
      </c>
      <c r="S241" s="599"/>
      <c r="T241" s="599"/>
      <c r="U241" s="599"/>
      <c r="V241" s="599"/>
    </row>
    <row r="242" spans="1:22" s="439" customFormat="1">
      <c r="A242" s="648">
        <f t="shared" si="15"/>
        <v>20120301</v>
      </c>
      <c r="B242" s="650" t="s">
        <v>665</v>
      </c>
      <c r="C242" s="654" t="s">
        <v>410</v>
      </c>
      <c r="D242" s="651" t="str">
        <f t="shared" si="14"/>
        <v>20120301KUUM_400</v>
      </c>
      <c r="E242" s="694">
        <v>12.77</v>
      </c>
      <c r="F242" s="695">
        <v>240</v>
      </c>
      <c r="G242" s="652">
        <v>1.01</v>
      </c>
      <c r="H242" s="652">
        <v>0.53</v>
      </c>
      <c r="I242" s="652">
        <f t="shared" si="16"/>
        <v>11.23</v>
      </c>
      <c r="J242" s="697" t="s">
        <v>411</v>
      </c>
      <c r="K242" s="696"/>
      <c r="L242" s="696"/>
      <c r="M242" s="696"/>
      <c r="N242" s="447" t="s">
        <v>718</v>
      </c>
      <c r="S242" s="599"/>
      <c r="T242" s="599"/>
      <c r="U242" s="599"/>
      <c r="V242" s="599"/>
    </row>
    <row r="243" spans="1:22" s="439" customFormat="1">
      <c r="A243" s="648">
        <f t="shared" si="15"/>
        <v>20120301</v>
      </c>
      <c r="B243" s="650" t="s">
        <v>665</v>
      </c>
      <c r="C243" s="650" t="s">
        <v>366</v>
      </c>
      <c r="D243" s="651" t="str">
        <f t="shared" si="14"/>
        <v>20120301KUUM_401</v>
      </c>
      <c r="E243" s="694">
        <v>13.860000000000001</v>
      </c>
      <c r="F243" s="695">
        <v>332</v>
      </c>
      <c r="G243" s="652">
        <v>1.32</v>
      </c>
      <c r="H243" s="652">
        <v>0.74</v>
      </c>
      <c r="I243" s="652">
        <f t="shared" si="16"/>
        <v>11.8</v>
      </c>
      <c r="J243" s="696" t="s">
        <v>275</v>
      </c>
      <c r="K243" s="696"/>
      <c r="L243" s="696"/>
      <c r="M243" s="696"/>
      <c r="N243" s="447" t="s">
        <v>718</v>
      </c>
      <c r="S243" s="599"/>
      <c r="T243" s="599"/>
      <c r="U243" s="599"/>
      <c r="V243" s="599"/>
    </row>
    <row r="244" spans="1:22" s="439" customFormat="1">
      <c r="A244" s="648">
        <f t="shared" si="15"/>
        <v>20120301</v>
      </c>
      <c r="B244" s="650" t="s">
        <v>666</v>
      </c>
      <c r="C244" s="650" t="s">
        <v>386</v>
      </c>
      <c r="D244" s="651" t="str">
        <f t="shared" si="14"/>
        <v>20120301KUUM_404</v>
      </c>
      <c r="E244" s="694">
        <v>9.69</v>
      </c>
      <c r="F244" s="695">
        <v>828</v>
      </c>
      <c r="G244" s="652">
        <v>1.18</v>
      </c>
      <c r="H244" s="652">
        <v>1.84</v>
      </c>
      <c r="I244" s="652">
        <f t="shared" si="16"/>
        <v>6.67</v>
      </c>
      <c r="J244" s="696" t="s">
        <v>295</v>
      </c>
      <c r="K244" s="696"/>
      <c r="L244" s="696"/>
      <c r="M244" s="696"/>
      <c r="N244" s="447" t="s">
        <v>718</v>
      </c>
      <c r="S244" s="599"/>
      <c r="T244" s="599"/>
      <c r="U244" s="599"/>
      <c r="V244" s="599"/>
    </row>
    <row r="245" spans="1:22" s="439" customFormat="1">
      <c r="A245" s="648">
        <f t="shared" si="15"/>
        <v>20120301</v>
      </c>
      <c r="B245" s="650" t="s">
        <v>666</v>
      </c>
      <c r="C245" s="650" t="s">
        <v>342</v>
      </c>
      <c r="D245" s="651" t="str">
        <f t="shared" si="14"/>
        <v>20120301KUUM_405</v>
      </c>
      <c r="E245" s="694">
        <v>12.57</v>
      </c>
      <c r="F245" s="695">
        <v>1812</v>
      </c>
      <c r="G245" s="652">
        <v>1.59</v>
      </c>
      <c r="H245" s="652">
        <v>4.03</v>
      </c>
      <c r="I245" s="652">
        <f t="shared" si="16"/>
        <v>6.95</v>
      </c>
      <c r="J245" s="696" t="s">
        <v>251</v>
      </c>
      <c r="K245" s="696"/>
      <c r="L245" s="696"/>
      <c r="M245" s="696"/>
      <c r="N245" s="447" t="s">
        <v>718</v>
      </c>
      <c r="S245" s="599"/>
      <c r="T245" s="599"/>
      <c r="U245" s="599"/>
      <c r="V245" s="599"/>
    </row>
    <row r="246" spans="1:22" s="439" customFormat="1">
      <c r="A246" s="648">
        <f t="shared" si="15"/>
        <v>20120301</v>
      </c>
      <c r="B246" s="650" t="s">
        <v>666</v>
      </c>
      <c r="C246" s="654" t="s">
        <v>693</v>
      </c>
      <c r="D246" s="651" t="str">
        <f t="shared" si="14"/>
        <v>20120301KUUM_406</v>
      </c>
      <c r="E246" s="694">
        <v>10.050000000000001</v>
      </c>
      <c r="F246" s="695">
        <v>828</v>
      </c>
      <c r="G246" s="652">
        <v>1.18</v>
      </c>
      <c r="H246" s="652">
        <v>1.84</v>
      </c>
      <c r="I246" s="652">
        <f t="shared" si="16"/>
        <v>7.0300000000000011</v>
      </c>
      <c r="J246" s="696" t="s">
        <v>692</v>
      </c>
      <c r="K246" s="696"/>
      <c r="L246" s="696"/>
      <c r="M246" s="696"/>
      <c r="S246" s="599"/>
      <c r="T246" s="599"/>
      <c r="U246" s="599"/>
      <c r="V246" s="599"/>
    </row>
    <row r="247" spans="1:22" s="439" customFormat="1">
      <c r="A247" s="648">
        <f t="shared" si="15"/>
        <v>20120301</v>
      </c>
      <c r="B247" s="650" t="s">
        <v>666</v>
      </c>
      <c r="C247" s="650" t="s">
        <v>378</v>
      </c>
      <c r="D247" s="651" t="str">
        <f>A247&amp;C247</f>
        <v>20120301KUUM_407</v>
      </c>
      <c r="E247" s="694">
        <v>20.95</v>
      </c>
      <c r="F247" s="695">
        <v>1884</v>
      </c>
      <c r="G247" s="652">
        <v>2.42</v>
      </c>
      <c r="H247" s="652">
        <v>4.18</v>
      </c>
      <c r="I247" s="652">
        <f t="shared" si="16"/>
        <v>14.350000000000001</v>
      </c>
      <c r="J247" s="696" t="s">
        <v>287</v>
      </c>
      <c r="K247" s="696"/>
      <c r="L247" s="696"/>
      <c r="M247" s="696"/>
      <c r="N247" s="447" t="s">
        <v>718</v>
      </c>
      <c r="S247" s="599"/>
      <c r="T247" s="599"/>
      <c r="U247" s="599"/>
      <c r="V247" s="599"/>
    </row>
    <row r="248" spans="1:22" s="439" customFormat="1">
      <c r="A248" s="648">
        <f t="shared" si="15"/>
        <v>20120301</v>
      </c>
      <c r="B248" s="650" t="s">
        <v>666</v>
      </c>
      <c r="C248" s="650" t="s">
        <v>343</v>
      </c>
      <c r="D248" s="651" t="str">
        <f>A248&amp;C248</f>
        <v>20120301KUUM_408</v>
      </c>
      <c r="E248" s="694">
        <v>7.85</v>
      </c>
      <c r="F248" s="695">
        <v>1812</v>
      </c>
      <c r="G248" s="652">
        <v>1.59</v>
      </c>
      <c r="H248" s="652">
        <v>4.03</v>
      </c>
      <c r="I248" s="652">
        <f t="shared" si="16"/>
        <v>2.2299999999999995</v>
      </c>
      <c r="J248" s="696" t="s">
        <v>252</v>
      </c>
      <c r="K248" s="696"/>
      <c r="L248" s="696"/>
      <c r="M248" s="696"/>
      <c r="N248" s="447" t="s">
        <v>718</v>
      </c>
      <c r="S248" s="599"/>
      <c r="T248" s="599"/>
      <c r="U248" s="599"/>
      <c r="V248" s="599"/>
    </row>
    <row r="249" spans="1:22" s="439" customFormat="1">
      <c r="A249" s="648">
        <f t="shared" si="15"/>
        <v>20120301</v>
      </c>
      <c r="B249" s="650" t="s">
        <v>666</v>
      </c>
      <c r="C249" s="650" t="s">
        <v>382</v>
      </c>
      <c r="D249" s="651" t="str">
        <f>A249&amp;C249</f>
        <v>20120301KUUM_409</v>
      </c>
      <c r="E249" s="694">
        <v>10.25</v>
      </c>
      <c r="F249" s="695">
        <v>1884</v>
      </c>
      <c r="G249" s="652">
        <v>2.42</v>
      </c>
      <c r="H249" s="652">
        <v>4.18</v>
      </c>
      <c r="I249" s="652">
        <f t="shared" si="16"/>
        <v>3.6500000000000004</v>
      </c>
      <c r="J249" s="696" t="s">
        <v>291</v>
      </c>
      <c r="K249" s="696"/>
      <c r="L249" s="696"/>
      <c r="M249" s="696"/>
      <c r="N249" s="447" t="s">
        <v>718</v>
      </c>
      <c r="S249" s="599"/>
      <c r="T249" s="599"/>
      <c r="U249" s="599"/>
      <c r="V249" s="599"/>
    </row>
    <row r="250" spans="1:22" s="439" customFormat="1">
      <c r="A250" s="648">
        <f t="shared" si="15"/>
        <v>20120301</v>
      </c>
      <c r="B250" s="650" t="s">
        <v>665</v>
      </c>
      <c r="C250" s="650" t="s">
        <v>360</v>
      </c>
      <c r="D250" s="651" t="str">
        <f>A250&amp;C250</f>
        <v>20120301KUUM_410</v>
      </c>
      <c r="E250" s="694">
        <v>19.16</v>
      </c>
      <c r="F250" s="695">
        <v>240</v>
      </c>
      <c r="G250" s="652">
        <v>1.01</v>
      </c>
      <c r="H250" s="652">
        <v>0.53</v>
      </c>
      <c r="I250" s="652">
        <f t="shared" si="16"/>
        <v>17.619999999999997</v>
      </c>
      <c r="J250" s="696" t="s">
        <v>269</v>
      </c>
      <c r="K250" s="696"/>
      <c r="L250" s="696"/>
      <c r="M250" s="696"/>
      <c r="N250" s="447" t="s">
        <v>718</v>
      </c>
      <c r="S250" s="599"/>
      <c r="T250" s="599"/>
      <c r="U250" s="599"/>
      <c r="V250" s="599"/>
    </row>
    <row r="251" spans="1:22" s="439" customFormat="1">
      <c r="A251" s="648">
        <f t="shared" si="15"/>
        <v>20120301</v>
      </c>
      <c r="B251" s="650" t="s">
        <v>665</v>
      </c>
      <c r="C251" s="650" t="s">
        <v>368</v>
      </c>
      <c r="D251" s="651" t="str">
        <f>A251&amp;C251</f>
        <v>20120301KUUM_411</v>
      </c>
      <c r="E251" s="694">
        <v>20.139999999999997</v>
      </c>
      <c r="F251" s="695">
        <v>332</v>
      </c>
      <c r="G251" s="652">
        <v>1.32</v>
      </c>
      <c r="H251" s="652">
        <v>0.74</v>
      </c>
      <c r="I251" s="652">
        <f t="shared" si="16"/>
        <v>18.079999999999998</v>
      </c>
      <c r="J251" s="696" t="s">
        <v>277</v>
      </c>
      <c r="K251" s="696"/>
      <c r="L251" s="696"/>
      <c r="M251" s="696"/>
      <c r="N251" s="447" t="s">
        <v>718</v>
      </c>
      <c r="S251" s="599"/>
      <c r="T251" s="599"/>
      <c r="U251" s="599"/>
      <c r="V251" s="599"/>
    </row>
    <row r="252" spans="1:22" s="439" customFormat="1">
      <c r="A252" s="648">
        <f t="shared" si="15"/>
        <v>20120301</v>
      </c>
      <c r="B252" s="650" t="s">
        <v>665</v>
      </c>
      <c r="C252" s="650" t="s">
        <v>370</v>
      </c>
      <c r="D252" s="651" t="str">
        <f t="shared" ref="D252:D263" si="17">A252&amp;C252</f>
        <v>20120301KUUM_412</v>
      </c>
      <c r="E252" s="694">
        <v>29.239999999999995</v>
      </c>
      <c r="F252" s="695">
        <v>332</v>
      </c>
      <c r="G252" s="652">
        <v>1.32</v>
      </c>
      <c r="H252" s="652">
        <v>0.74</v>
      </c>
      <c r="I252" s="652">
        <f t="shared" si="16"/>
        <v>27.179999999999996</v>
      </c>
      <c r="J252" s="696" t="s">
        <v>279</v>
      </c>
      <c r="K252" s="696"/>
      <c r="L252" s="696"/>
      <c r="M252" s="696"/>
      <c r="N252" s="447" t="s">
        <v>718</v>
      </c>
      <c r="S252" s="599"/>
      <c r="T252" s="599"/>
      <c r="U252" s="599"/>
      <c r="V252" s="599"/>
    </row>
    <row r="253" spans="1:22" s="439" customFormat="1">
      <c r="A253" s="648">
        <f t="shared" si="15"/>
        <v>20120301</v>
      </c>
      <c r="B253" s="650" t="s">
        <v>665</v>
      </c>
      <c r="C253" s="650" t="s">
        <v>393</v>
      </c>
      <c r="D253" s="651" t="str">
        <f t="shared" si="17"/>
        <v>20120301KUUM_413</v>
      </c>
      <c r="E253" s="694">
        <v>29.65</v>
      </c>
      <c r="F253" s="695">
        <v>468</v>
      </c>
      <c r="G253" s="652">
        <v>1.04</v>
      </c>
      <c r="H253" s="652">
        <v>1.04</v>
      </c>
      <c r="I253" s="652">
        <f t="shared" si="16"/>
        <v>27.57</v>
      </c>
      <c r="J253" s="696" t="s">
        <v>302</v>
      </c>
      <c r="K253" s="696"/>
      <c r="L253" s="696"/>
      <c r="M253" s="696"/>
      <c r="N253" s="447" t="s">
        <v>718</v>
      </c>
      <c r="S253" s="599"/>
      <c r="T253" s="599"/>
      <c r="U253" s="599"/>
      <c r="V253" s="599"/>
    </row>
    <row r="254" spans="1:22" s="439" customFormat="1">
      <c r="A254" s="648">
        <f t="shared" si="15"/>
        <v>20120301</v>
      </c>
      <c r="B254" s="650" t="s">
        <v>666</v>
      </c>
      <c r="C254" s="650" t="s">
        <v>371</v>
      </c>
      <c r="D254" s="651" t="str">
        <f t="shared" si="17"/>
        <v>20120301KUUM_414</v>
      </c>
      <c r="E254" s="694">
        <v>29.239999999999995</v>
      </c>
      <c r="F254" s="695">
        <v>332</v>
      </c>
      <c r="G254" s="652">
        <v>1.32</v>
      </c>
      <c r="H254" s="652">
        <v>0.74</v>
      </c>
      <c r="I254" s="652">
        <f t="shared" si="16"/>
        <v>27.179999999999996</v>
      </c>
      <c r="J254" s="696" t="s">
        <v>280</v>
      </c>
      <c r="K254" s="696"/>
      <c r="L254" s="696"/>
      <c r="M254" s="696"/>
      <c r="N254" s="447" t="s">
        <v>718</v>
      </c>
      <c r="S254" s="599"/>
      <c r="T254" s="599"/>
      <c r="U254" s="599"/>
      <c r="V254" s="599"/>
    </row>
    <row r="255" spans="1:22" s="439" customFormat="1">
      <c r="A255" s="648">
        <f t="shared" si="15"/>
        <v>20120301</v>
      </c>
      <c r="B255" s="650" t="s">
        <v>666</v>
      </c>
      <c r="C255" s="650" t="s">
        <v>394</v>
      </c>
      <c r="D255" s="651" t="str">
        <f t="shared" si="17"/>
        <v>20120301KUUM_415</v>
      </c>
      <c r="E255" s="694">
        <v>29.65</v>
      </c>
      <c r="F255" s="695">
        <v>468</v>
      </c>
      <c r="G255" s="652">
        <v>1.04</v>
      </c>
      <c r="H255" s="652">
        <v>1.04</v>
      </c>
      <c r="I255" s="652">
        <f t="shared" si="16"/>
        <v>27.57</v>
      </c>
      <c r="J255" s="696" t="s">
        <v>303</v>
      </c>
      <c r="K255" s="696"/>
      <c r="L255" s="696"/>
      <c r="M255" s="696"/>
      <c r="N255" s="447" t="s">
        <v>718</v>
      </c>
      <c r="S255" s="599"/>
      <c r="T255" s="599"/>
      <c r="U255" s="599"/>
      <c r="V255" s="599"/>
    </row>
    <row r="256" spans="1:22" s="439" customFormat="1">
      <c r="A256" s="648">
        <f t="shared" si="15"/>
        <v>20120301</v>
      </c>
      <c r="B256" s="650" t="s">
        <v>666</v>
      </c>
      <c r="C256" s="650" t="s">
        <v>389</v>
      </c>
      <c r="D256" s="651" t="str">
        <f t="shared" si="17"/>
        <v>20120301KUUM_420</v>
      </c>
      <c r="E256" s="694">
        <v>14.39</v>
      </c>
      <c r="F256" s="695">
        <v>468</v>
      </c>
      <c r="G256" s="652">
        <v>1.04</v>
      </c>
      <c r="H256" s="652">
        <v>1.04</v>
      </c>
      <c r="I256" s="652">
        <f t="shared" si="16"/>
        <v>12.310000000000002</v>
      </c>
      <c r="J256" s="696" t="s">
        <v>298</v>
      </c>
      <c r="K256" s="696"/>
      <c r="L256" s="696"/>
      <c r="M256" s="696"/>
      <c r="N256" s="447" t="s">
        <v>718</v>
      </c>
      <c r="S256" s="599"/>
      <c r="T256" s="599"/>
      <c r="U256" s="599"/>
      <c r="V256" s="599"/>
    </row>
    <row r="257" spans="1:22" s="439" customFormat="1">
      <c r="A257" s="648">
        <f t="shared" si="15"/>
        <v>20120301</v>
      </c>
      <c r="B257" s="650" t="s">
        <v>665</v>
      </c>
      <c r="C257" s="650" t="s">
        <v>310</v>
      </c>
      <c r="D257" s="651" t="str">
        <f t="shared" si="17"/>
        <v>20120301KUUM_421</v>
      </c>
      <c r="E257" s="694">
        <v>3.08</v>
      </c>
      <c r="F257" s="695">
        <v>408</v>
      </c>
      <c r="G257" s="652">
        <v>0.38</v>
      </c>
      <c r="H257" s="652">
        <v>0.91</v>
      </c>
      <c r="I257" s="652">
        <f t="shared" si="16"/>
        <v>1.79</v>
      </c>
      <c r="J257" s="652" t="s">
        <v>219</v>
      </c>
      <c r="K257" s="696"/>
      <c r="L257" s="696"/>
      <c r="M257" s="696"/>
      <c r="N257" s="447" t="s">
        <v>718</v>
      </c>
      <c r="S257" s="599"/>
      <c r="T257" s="599"/>
      <c r="U257" s="599"/>
      <c r="V257" s="599"/>
    </row>
    <row r="258" spans="1:22" s="439" customFormat="1">
      <c r="A258" s="648">
        <f t="shared" si="15"/>
        <v>20120301</v>
      </c>
      <c r="B258" s="650" t="s">
        <v>665</v>
      </c>
      <c r="C258" s="650" t="s">
        <v>340</v>
      </c>
      <c r="D258" s="651" t="str">
        <f t="shared" si="17"/>
        <v>20120301KUUM_422</v>
      </c>
      <c r="E258" s="694">
        <v>4.09</v>
      </c>
      <c r="F258" s="695">
        <v>804</v>
      </c>
      <c r="G258" s="652">
        <v>0.5</v>
      </c>
      <c r="H258" s="652">
        <v>1.79</v>
      </c>
      <c r="I258" s="652">
        <f t="shared" si="16"/>
        <v>1.7999999999999998</v>
      </c>
      <c r="J258" s="696" t="s">
        <v>249</v>
      </c>
      <c r="K258" s="696"/>
      <c r="L258" s="696"/>
      <c r="M258" s="696"/>
      <c r="N258" s="447" t="s">
        <v>718</v>
      </c>
      <c r="S258" s="599"/>
      <c r="T258" s="599"/>
      <c r="U258" s="599"/>
      <c r="V258" s="599"/>
    </row>
    <row r="259" spans="1:22" s="439" customFormat="1">
      <c r="A259" s="648">
        <f t="shared" si="15"/>
        <v>20120301</v>
      </c>
      <c r="B259" s="650" t="s">
        <v>665</v>
      </c>
      <c r="C259" s="650" t="s">
        <v>358</v>
      </c>
      <c r="D259" s="651" t="str">
        <f t="shared" si="17"/>
        <v>20120301KUUM_424</v>
      </c>
      <c r="E259" s="694">
        <v>6.08</v>
      </c>
      <c r="F259" s="695">
        <v>1308</v>
      </c>
      <c r="G259" s="652">
        <v>0.75</v>
      </c>
      <c r="H259" s="652">
        <v>0.46</v>
      </c>
      <c r="I259" s="652">
        <f t="shared" si="16"/>
        <v>4.87</v>
      </c>
      <c r="J259" s="696" t="s">
        <v>267</v>
      </c>
      <c r="K259" s="696"/>
      <c r="L259" s="696"/>
      <c r="M259" s="696"/>
      <c r="N259" s="447" t="s">
        <v>718</v>
      </c>
      <c r="S259" s="599"/>
      <c r="T259" s="599"/>
      <c r="U259" s="599"/>
      <c r="V259" s="599"/>
    </row>
    <row r="260" spans="1:22" s="439" customFormat="1">
      <c r="A260" s="648">
        <f t="shared" si="15"/>
        <v>20120301</v>
      </c>
      <c r="B260" s="650" t="s">
        <v>665</v>
      </c>
      <c r="C260" s="650" t="s">
        <v>383</v>
      </c>
      <c r="D260" s="651" t="str">
        <f t="shared" si="17"/>
        <v>20120301KUUM_425</v>
      </c>
      <c r="E260" s="694">
        <v>8.1100000000000012</v>
      </c>
      <c r="F260" s="695">
        <v>1788</v>
      </c>
      <c r="G260" s="652">
        <v>1.01</v>
      </c>
      <c r="H260" s="652">
        <v>3.97</v>
      </c>
      <c r="I260" s="652">
        <f t="shared" si="16"/>
        <v>3.1300000000000012</v>
      </c>
      <c r="J260" s="696" t="s">
        <v>292</v>
      </c>
      <c r="K260" s="696"/>
      <c r="L260" s="696"/>
      <c r="M260" s="696"/>
      <c r="N260" s="447" t="s">
        <v>718</v>
      </c>
      <c r="S260" s="599"/>
      <c r="T260" s="599"/>
      <c r="U260" s="599"/>
      <c r="V260" s="599"/>
    </row>
    <row r="261" spans="1:22" s="439" customFormat="1">
      <c r="A261" s="648">
        <f t="shared" si="15"/>
        <v>20120301</v>
      </c>
      <c r="B261" s="650" t="s">
        <v>666</v>
      </c>
      <c r="C261" s="650" t="s">
        <v>375</v>
      </c>
      <c r="D261" s="651" t="str">
        <f t="shared" si="17"/>
        <v>20120301KUUM_426</v>
      </c>
      <c r="E261" s="694">
        <v>6.7200000000000006</v>
      </c>
      <c r="F261" s="695">
        <v>332</v>
      </c>
      <c r="G261" s="652">
        <v>1.32</v>
      </c>
      <c r="H261" s="652">
        <v>0.74</v>
      </c>
      <c r="I261" s="652">
        <f t="shared" si="16"/>
        <v>4.66</v>
      </c>
      <c r="J261" s="696" t="s">
        <v>284</v>
      </c>
      <c r="K261" s="696"/>
      <c r="L261" s="696"/>
      <c r="M261" s="696"/>
      <c r="N261" s="447" t="s">
        <v>718</v>
      </c>
      <c r="S261" s="599"/>
      <c r="T261" s="599"/>
      <c r="U261" s="599"/>
      <c r="V261" s="599"/>
    </row>
    <row r="262" spans="1:22" s="439" customFormat="1">
      <c r="A262" s="648">
        <f t="shared" si="15"/>
        <v>20120301</v>
      </c>
      <c r="B262" s="650" t="s">
        <v>666</v>
      </c>
      <c r="C262" s="650" t="s">
        <v>400</v>
      </c>
      <c r="D262" s="651" t="str">
        <f t="shared" si="17"/>
        <v>20120301KUUM_428</v>
      </c>
      <c r="E262" s="694">
        <v>7.16</v>
      </c>
      <c r="F262" s="695">
        <v>468</v>
      </c>
      <c r="G262" s="652">
        <v>1.04</v>
      </c>
      <c r="H262" s="652">
        <v>1.04</v>
      </c>
      <c r="I262" s="652">
        <f t="shared" si="16"/>
        <v>5.08</v>
      </c>
      <c r="J262" s="696" t="s">
        <v>309</v>
      </c>
      <c r="K262" s="696"/>
      <c r="L262" s="696"/>
      <c r="M262" s="696"/>
      <c r="N262" s="447" t="s">
        <v>718</v>
      </c>
      <c r="S262" s="599"/>
      <c r="T262" s="599"/>
      <c r="U262" s="599"/>
      <c r="V262" s="599"/>
    </row>
    <row r="263" spans="1:22" s="439" customFormat="1">
      <c r="A263" s="648">
        <f t="shared" si="15"/>
        <v>20120301</v>
      </c>
      <c r="B263" s="650" t="s">
        <v>666</v>
      </c>
      <c r="C263" s="650" t="s">
        <v>346</v>
      </c>
      <c r="D263" s="651" t="str">
        <f t="shared" si="17"/>
        <v>20120301KUUM_429</v>
      </c>
      <c r="E263" s="694">
        <v>13.04</v>
      </c>
      <c r="F263" s="695">
        <v>968</v>
      </c>
      <c r="G263" s="652">
        <v>1.78</v>
      </c>
      <c r="H263" s="652">
        <v>2.15</v>
      </c>
      <c r="I263" s="652">
        <f t="shared" si="16"/>
        <v>9.11</v>
      </c>
      <c r="J263" s="696" t="s">
        <v>255</v>
      </c>
      <c r="K263" s="696"/>
      <c r="L263" s="696"/>
      <c r="M263" s="696"/>
      <c r="N263" s="447" t="s">
        <v>718</v>
      </c>
      <c r="S263" s="599"/>
      <c r="T263" s="599"/>
      <c r="U263" s="599"/>
      <c r="V263" s="599"/>
    </row>
    <row r="264" spans="1:22" s="439" customFormat="1">
      <c r="A264" s="648">
        <f t="shared" si="15"/>
        <v>20120301</v>
      </c>
      <c r="B264" s="650" t="s">
        <v>666</v>
      </c>
      <c r="C264" s="650" t="s">
        <v>391</v>
      </c>
      <c r="D264" s="651" t="str">
        <f t="shared" ref="D264:D327" si="18">A264&amp;C264</f>
        <v>20120301KUUM_430</v>
      </c>
      <c r="E264" s="694">
        <v>20.78</v>
      </c>
      <c r="F264" s="695">
        <v>468</v>
      </c>
      <c r="G264" s="652">
        <v>1.04</v>
      </c>
      <c r="H264" s="652">
        <v>1.04</v>
      </c>
      <c r="I264" s="652">
        <f t="shared" si="16"/>
        <v>18.700000000000003</v>
      </c>
      <c r="J264" s="696" t="s">
        <v>300</v>
      </c>
      <c r="K264" s="696"/>
      <c r="L264" s="696"/>
      <c r="M264" s="696"/>
      <c r="N264" s="447" t="s">
        <v>718</v>
      </c>
      <c r="S264" s="599"/>
      <c r="T264" s="599"/>
      <c r="U264" s="599"/>
      <c r="V264" s="599"/>
    </row>
    <row r="265" spans="1:22" s="439" customFormat="1">
      <c r="A265" s="648">
        <f t="shared" si="15"/>
        <v>20120301</v>
      </c>
      <c r="B265" s="650" t="s">
        <v>665</v>
      </c>
      <c r="C265" s="654" t="s">
        <v>402</v>
      </c>
      <c r="D265" s="651" t="str">
        <f t="shared" si="18"/>
        <v>20120301KUUM_431</v>
      </c>
      <c r="E265" s="694">
        <v>3.73</v>
      </c>
      <c r="F265" s="695">
        <v>408</v>
      </c>
      <c r="G265" s="652">
        <v>0.38</v>
      </c>
      <c r="H265" s="652">
        <v>0.91</v>
      </c>
      <c r="I265" s="652">
        <f t="shared" si="16"/>
        <v>2.44</v>
      </c>
      <c r="J265" s="709" t="s">
        <v>403</v>
      </c>
      <c r="K265" s="696"/>
      <c r="L265" s="696"/>
      <c r="M265" s="696"/>
      <c r="N265" s="447" t="s">
        <v>718</v>
      </c>
      <c r="S265" s="599"/>
      <c r="T265" s="599"/>
      <c r="U265" s="599"/>
      <c r="V265" s="599"/>
    </row>
    <row r="266" spans="1:22" s="439" customFormat="1">
      <c r="A266" s="648">
        <f t="shared" si="15"/>
        <v>20120301</v>
      </c>
      <c r="B266" s="650" t="s">
        <v>665</v>
      </c>
      <c r="C266" s="654" t="s">
        <v>404</v>
      </c>
      <c r="D266" s="651" t="str">
        <f t="shared" si="18"/>
        <v>20120301KUUM_432</v>
      </c>
      <c r="E266" s="694">
        <v>4.879999999999999</v>
      </c>
      <c r="F266" s="695">
        <v>804</v>
      </c>
      <c r="G266" s="652">
        <v>0.5</v>
      </c>
      <c r="H266" s="652">
        <v>1.79</v>
      </c>
      <c r="I266" s="652">
        <f t="shared" si="16"/>
        <v>2.589999999999999</v>
      </c>
      <c r="J266" s="697" t="s">
        <v>405</v>
      </c>
      <c r="K266" s="696"/>
      <c r="L266" s="696"/>
      <c r="M266" s="696"/>
      <c r="N266" s="447" t="s">
        <v>718</v>
      </c>
      <c r="S266" s="599"/>
      <c r="T266" s="599"/>
      <c r="U266" s="599"/>
      <c r="V266" s="599"/>
    </row>
    <row r="267" spans="1:22" s="439" customFormat="1">
      <c r="A267" s="648">
        <f t="shared" si="15"/>
        <v>20120301</v>
      </c>
      <c r="B267" s="650" t="s">
        <v>665</v>
      </c>
      <c r="C267" s="654" t="s">
        <v>406</v>
      </c>
      <c r="D267" s="651" t="str">
        <f t="shared" si="18"/>
        <v>20120301KUUM_433</v>
      </c>
      <c r="E267" s="694">
        <v>51.000000000000007</v>
      </c>
      <c r="F267" s="695">
        <v>724</v>
      </c>
      <c r="G267" s="652">
        <v>7.15</v>
      </c>
      <c r="H267" s="652">
        <v>1.61</v>
      </c>
      <c r="I267" s="652">
        <f t="shared" si="16"/>
        <v>42.240000000000009</v>
      </c>
      <c r="J267" s="697" t="s">
        <v>407</v>
      </c>
      <c r="K267" s="696"/>
      <c r="L267" s="696"/>
      <c r="M267" s="696"/>
      <c r="N267" s="447" t="s">
        <v>718</v>
      </c>
      <c r="S267" s="599"/>
      <c r="T267" s="599"/>
      <c r="U267" s="599"/>
      <c r="V267" s="599"/>
    </row>
    <row r="268" spans="1:22" s="439" customFormat="1">
      <c r="A268" s="648">
        <f t="shared" si="15"/>
        <v>20120301</v>
      </c>
      <c r="B268" s="650" t="s">
        <v>665</v>
      </c>
      <c r="C268" s="650" t="s">
        <v>357</v>
      </c>
      <c r="D268" s="651" t="str">
        <f t="shared" si="18"/>
        <v>20120301KUUM_434</v>
      </c>
      <c r="E268" s="694">
        <v>7</v>
      </c>
      <c r="F268" s="695">
        <v>1308</v>
      </c>
      <c r="G268" s="652">
        <v>0.75</v>
      </c>
      <c r="H268" s="652">
        <v>0.46</v>
      </c>
      <c r="I268" s="652">
        <f t="shared" si="16"/>
        <v>5.79</v>
      </c>
      <c r="J268" s="696" t="s">
        <v>266</v>
      </c>
      <c r="K268" s="696"/>
      <c r="L268" s="696"/>
      <c r="M268" s="696"/>
      <c r="N268" s="447" t="s">
        <v>718</v>
      </c>
      <c r="S268" s="599"/>
      <c r="T268" s="599"/>
      <c r="U268" s="599"/>
      <c r="V268" s="599"/>
    </row>
    <row r="269" spans="1:22" s="439" customFormat="1">
      <c r="A269" s="648">
        <f t="shared" si="15"/>
        <v>20120301</v>
      </c>
      <c r="B269" s="650" t="s">
        <v>665</v>
      </c>
      <c r="C269" s="654" t="s">
        <v>408</v>
      </c>
      <c r="D269" s="651" t="str">
        <f t="shared" si="18"/>
        <v>20120301KUUM_435</v>
      </c>
      <c r="E269" s="694">
        <v>9.1300000000000008</v>
      </c>
      <c r="F269" s="695">
        <v>1788</v>
      </c>
      <c r="G269" s="652">
        <v>1.01</v>
      </c>
      <c r="H269" s="652">
        <v>3.97</v>
      </c>
      <c r="I269" s="652">
        <f t="shared" si="16"/>
        <v>4.1500000000000004</v>
      </c>
      <c r="J269" s="697" t="s">
        <v>409</v>
      </c>
      <c r="K269" s="696"/>
      <c r="L269" s="696"/>
      <c r="M269" s="696"/>
      <c r="N269" s="447" t="s">
        <v>718</v>
      </c>
      <c r="S269" s="599"/>
      <c r="T269" s="599"/>
      <c r="U269" s="599"/>
      <c r="V269" s="599"/>
    </row>
    <row r="270" spans="1:22" s="439" customFormat="1">
      <c r="A270" s="648">
        <f t="shared" si="15"/>
        <v>20120301</v>
      </c>
      <c r="B270" s="650" t="s">
        <v>666</v>
      </c>
      <c r="C270" s="650" t="s">
        <v>359</v>
      </c>
      <c r="D270" s="651" t="str">
        <f t="shared" si="18"/>
        <v>20120301KUUM_440</v>
      </c>
      <c r="E270" s="694">
        <v>12.77</v>
      </c>
      <c r="F270" s="695">
        <v>240</v>
      </c>
      <c r="G270" s="652">
        <v>1.01</v>
      </c>
      <c r="H270" s="652">
        <v>0.53</v>
      </c>
      <c r="I270" s="652">
        <f t="shared" si="16"/>
        <v>11.23</v>
      </c>
      <c r="J270" s="696" t="s">
        <v>268</v>
      </c>
      <c r="K270" s="696"/>
      <c r="L270" s="696"/>
      <c r="M270" s="696"/>
      <c r="N270" s="447" t="s">
        <v>718</v>
      </c>
      <c r="S270" s="599"/>
      <c r="T270" s="599"/>
      <c r="U270" s="599"/>
      <c r="V270" s="599"/>
    </row>
    <row r="271" spans="1:22" s="439" customFormat="1">
      <c r="A271" s="648">
        <f t="shared" si="15"/>
        <v>20120301</v>
      </c>
      <c r="B271" s="650" t="s">
        <v>666</v>
      </c>
      <c r="C271" s="650" t="s">
        <v>367</v>
      </c>
      <c r="D271" s="651" t="str">
        <f t="shared" si="18"/>
        <v>20120301KUUM_441</v>
      </c>
      <c r="E271" s="694">
        <v>13.860000000000001</v>
      </c>
      <c r="F271" s="695">
        <v>332</v>
      </c>
      <c r="G271" s="652">
        <v>1.32</v>
      </c>
      <c r="H271" s="652">
        <v>0.74</v>
      </c>
      <c r="I271" s="652">
        <f t="shared" si="16"/>
        <v>11.8</v>
      </c>
      <c r="J271" s="696" t="s">
        <v>276</v>
      </c>
      <c r="K271" s="696"/>
      <c r="L271" s="696"/>
      <c r="M271" s="696"/>
      <c r="N271" s="447" t="s">
        <v>718</v>
      </c>
      <c r="S271" s="599"/>
      <c r="T271" s="599"/>
      <c r="U271" s="599"/>
      <c r="V271" s="599"/>
    </row>
    <row r="272" spans="1:22" s="439" customFormat="1">
      <c r="A272" s="648">
        <f t="shared" si="15"/>
        <v>20120301</v>
      </c>
      <c r="B272" s="650" t="s">
        <v>665</v>
      </c>
      <c r="C272" s="650" t="s">
        <v>390</v>
      </c>
      <c r="D272" s="651" t="str">
        <f t="shared" si="18"/>
        <v>20120301KUUM_442</v>
      </c>
      <c r="E272" s="694">
        <v>14.39</v>
      </c>
      <c r="F272" s="695">
        <v>468</v>
      </c>
      <c r="G272" s="652">
        <v>1.04</v>
      </c>
      <c r="H272" s="652">
        <v>1.04</v>
      </c>
      <c r="I272" s="652">
        <f t="shared" si="16"/>
        <v>12.310000000000002</v>
      </c>
      <c r="J272" s="696" t="s">
        <v>299</v>
      </c>
      <c r="K272" s="696"/>
      <c r="L272" s="696"/>
      <c r="M272" s="696"/>
      <c r="N272" s="447" t="s">
        <v>718</v>
      </c>
      <c r="S272" s="599"/>
      <c r="T272" s="599"/>
      <c r="U272" s="599"/>
      <c r="V272" s="599"/>
    </row>
    <row r="273" spans="1:22" s="439" customFormat="1">
      <c r="A273" s="648">
        <f t="shared" si="15"/>
        <v>20120301</v>
      </c>
      <c r="B273" s="650" t="s">
        <v>666</v>
      </c>
      <c r="C273" s="650" t="s">
        <v>361</v>
      </c>
      <c r="D273" s="651" t="str">
        <f t="shared" si="18"/>
        <v>20120301KUUM_444</v>
      </c>
      <c r="E273" s="694">
        <v>19.16</v>
      </c>
      <c r="F273" s="695">
        <v>240</v>
      </c>
      <c r="G273" s="652">
        <v>1.01</v>
      </c>
      <c r="H273" s="652">
        <v>0.53</v>
      </c>
      <c r="I273" s="652">
        <f t="shared" si="16"/>
        <v>17.619999999999997</v>
      </c>
      <c r="J273" s="696" t="s">
        <v>270</v>
      </c>
      <c r="K273" s="696"/>
      <c r="L273" s="696"/>
      <c r="M273" s="696"/>
      <c r="N273" s="447" t="s">
        <v>718</v>
      </c>
      <c r="S273" s="599"/>
      <c r="T273" s="599"/>
      <c r="U273" s="599"/>
      <c r="V273" s="599"/>
    </row>
    <row r="274" spans="1:22" s="439" customFormat="1">
      <c r="A274" s="648">
        <f t="shared" si="15"/>
        <v>20120301</v>
      </c>
      <c r="B274" s="650" t="s">
        <v>666</v>
      </c>
      <c r="C274" s="650" t="s">
        <v>369</v>
      </c>
      <c r="D274" s="651" t="str">
        <f t="shared" si="18"/>
        <v>20120301KUUM_445</v>
      </c>
      <c r="E274" s="694">
        <v>20.139999999999997</v>
      </c>
      <c r="F274" s="695">
        <v>332</v>
      </c>
      <c r="G274" s="652">
        <v>1.32</v>
      </c>
      <c r="H274" s="652">
        <v>0.74</v>
      </c>
      <c r="I274" s="652">
        <f t="shared" si="16"/>
        <v>18.079999999999998</v>
      </c>
      <c r="J274" s="696" t="s">
        <v>278</v>
      </c>
      <c r="K274" s="696"/>
      <c r="L274" s="696"/>
      <c r="M274" s="696"/>
      <c r="N274" s="447" t="s">
        <v>718</v>
      </c>
      <c r="S274" s="599"/>
      <c r="T274" s="599"/>
      <c r="U274" s="599"/>
      <c r="V274" s="599"/>
    </row>
    <row r="275" spans="1:22" s="439" customFormat="1">
      <c r="A275" s="648">
        <f t="shared" si="15"/>
        <v>20120301</v>
      </c>
      <c r="B275" s="650" t="s">
        <v>665</v>
      </c>
      <c r="C275" s="650" t="s">
        <v>385</v>
      </c>
      <c r="D275" s="651" t="str">
        <f t="shared" si="18"/>
        <v>20120301KUUM_446</v>
      </c>
      <c r="E275" s="694">
        <v>8.7200000000000006</v>
      </c>
      <c r="F275" s="695">
        <v>828</v>
      </c>
      <c r="G275" s="652">
        <v>1.18</v>
      </c>
      <c r="H275" s="652">
        <v>1.84</v>
      </c>
      <c r="I275" s="652">
        <f t="shared" si="16"/>
        <v>5.7000000000000011</v>
      </c>
      <c r="J275" s="696" t="s">
        <v>294</v>
      </c>
      <c r="K275" s="696"/>
      <c r="L275" s="696"/>
      <c r="M275" s="696"/>
      <c r="N275" s="447"/>
      <c r="S275" s="599"/>
      <c r="T275" s="599"/>
      <c r="U275" s="599"/>
      <c r="V275" s="599"/>
    </row>
    <row r="276" spans="1:22" s="439" customFormat="1">
      <c r="A276" s="648">
        <f t="shared" si="15"/>
        <v>20120301</v>
      </c>
      <c r="B276" s="650" t="s">
        <v>665</v>
      </c>
      <c r="C276" s="650" t="s">
        <v>312</v>
      </c>
      <c r="D276" s="651" t="str">
        <f t="shared" si="18"/>
        <v>20120301KUUM_447</v>
      </c>
      <c r="E276" s="694">
        <v>10.29</v>
      </c>
      <c r="F276" s="695">
        <v>1176</v>
      </c>
      <c r="G276" s="652">
        <v>1.37</v>
      </c>
      <c r="H276" s="652">
        <v>2.62</v>
      </c>
      <c r="I276" s="652">
        <f t="shared" si="16"/>
        <v>6.299999999999998</v>
      </c>
      <c r="J276" s="652" t="s">
        <v>221</v>
      </c>
      <c r="K276" s="696"/>
      <c r="L276" s="696"/>
      <c r="M276" s="696"/>
      <c r="N276" s="447" t="s">
        <v>718</v>
      </c>
      <c r="S276" s="599"/>
      <c r="T276" s="599"/>
      <c r="U276" s="599"/>
      <c r="V276" s="599"/>
    </row>
    <row r="277" spans="1:22" s="439" customFormat="1">
      <c r="A277" s="648">
        <f t="shared" si="15"/>
        <v>20120301</v>
      </c>
      <c r="B277" s="650" t="s">
        <v>665</v>
      </c>
      <c r="C277" s="654" t="s">
        <v>421</v>
      </c>
      <c r="D277" s="651" t="str">
        <f t="shared" si="18"/>
        <v>20120301KUUM_448</v>
      </c>
      <c r="E277" s="694">
        <v>12.57</v>
      </c>
      <c r="F277" s="695">
        <v>1812</v>
      </c>
      <c r="G277" s="652">
        <v>1.59</v>
      </c>
      <c r="H277" s="652">
        <v>4.03</v>
      </c>
      <c r="I277" s="652">
        <f t="shared" si="16"/>
        <v>6.95</v>
      </c>
      <c r="J277" s="696" t="s">
        <v>422</v>
      </c>
      <c r="K277" s="696"/>
      <c r="L277" s="696"/>
      <c r="M277" s="696"/>
      <c r="N277" s="447" t="s">
        <v>718</v>
      </c>
      <c r="S277" s="599"/>
      <c r="T277" s="599"/>
      <c r="U277" s="599"/>
      <c r="V277" s="599"/>
    </row>
    <row r="278" spans="1:22" s="439" customFormat="1">
      <c r="A278" s="648">
        <f t="shared" si="15"/>
        <v>20120301</v>
      </c>
      <c r="B278" s="650" t="s">
        <v>665</v>
      </c>
      <c r="C278" s="650" t="s">
        <v>392</v>
      </c>
      <c r="D278" s="651" t="str">
        <f t="shared" si="18"/>
        <v>20120301KUUM_449</v>
      </c>
      <c r="E278" s="694">
        <v>20.78</v>
      </c>
      <c r="F278" s="695">
        <v>468</v>
      </c>
      <c r="G278" s="652">
        <v>1.04</v>
      </c>
      <c r="H278" s="652">
        <v>1.04</v>
      </c>
      <c r="I278" s="652">
        <f t="shared" si="16"/>
        <v>18.700000000000003</v>
      </c>
      <c r="J278" s="696" t="s">
        <v>301</v>
      </c>
      <c r="K278" s="696"/>
      <c r="L278" s="696"/>
      <c r="M278" s="696"/>
      <c r="N278" s="447" t="s">
        <v>718</v>
      </c>
      <c r="S278" s="599"/>
      <c r="T278" s="599"/>
      <c r="U278" s="599"/>
      <c r="V278" s="599"/>
    </row>
    <row r="279" spans="1:22" s="439" customFormat="1">
      <c r="A279" s="648">
        <f t="shared" si="15"/>
        <v>20120301</v>
      </c>
      <c r="B279" s="650" t="s">
        <v>666</v>
      </c>
      <c r="C279" s="650" t="s">
        <v>322</v>
      </c>
      <c r="D279" s="651" t="str">
        <f t="shared" si="18"/>
        <v>20120301KUUM_450</v>
      </c>
      <c r="E279" s="694">
        <v>13.04</v>
      </c>
      <c r="F279" s="695">
        <v>600</v>
      </c>
      <c r="G279" s="652">
        <v>2.08</v>
      </c>
      <c r="H279" s="652">
        <v>1.86</v>
      </c>
      <c r="I279" s="652">
        <f t="shared" si="16"/>
        <v>9.1</v>
      </c>
      <c r="J279" s="696" t="s">
        <v>231</v>
      </c>
      <c r="K279" s="696"/>
      <c r="L279" s="696"/>
      <c r="M279" s="696"/>
      <c r="N279" s="447" t="s">
        <v>718</v>
      </c>
      <c r="S279" s="599"/>
      <c r="T279" s="599"/>
      <c r="U279" s="599"/>
      <c r="V279" s="599"/>
    </row>
    <row r="280" spans="1:22" s="439" customFormat="1">
      <c r="A280" s="648">
        <f t="shared" si="15"/>
        <v>20120301</v>
      </c>
      <c r="B280" s="650" t="s">
        <v>666</v>
      </c>
      <c r="C280" s="650" t="s">
        <v>354</v>
      </c>
      <c r="D280" s="651" t="str">
        <f t="shared" si="18"/>
        <v>20120301KUUM_451</v>
      </c>
      <c r="E280" s="694">
        <v>18.450000000000003</v>
      </c>
      <c r="F280" s="695">
        <v>1400</v>
      </c>
      <c r="G280" s="652">
        <v>2.59</v>
      </c>
      <c r="H280" s="652">
        <v>4.03</v>
      </c>
      <c r="I280" s="652">
        <f t="shared" si="16"/>
        <v>11.830000000000002</v>
      </c>
      <c r="J280" s="696" t="s">
        <v>263</v>
      </c>
      <c r="K280" s="696"/>
      <c r="L280" s="696"/>
      <c r="M280" s="696"/>
      <c r="N280" s="447" t="s">
        <v>718</v>
      </c>
      <c r="S280" s="599"/>
      <c r="T280" s="599"/>
      <c r="U280" s="599"/>
      <c r="V280" s="599"/>
    </row>
    <row r="281" spans="1:22" s="439" customFormat="1">
      <c r="A281" s="648">
        <f t="shared" si="15"/>
        <v>20120301</v>
      </c>
      <c r="B281" s="650" t="s">
        <v>666</v>
      </c>
      <c r="C281" s="650" t="s">
        <v>317</v>
      </c>
      <c r="D281" s="651" t="str">
        <f t="shared" si="18"/>
        <v>20120301KUUM_452</v>
      </c>
      <c r="E281" s="694">
        <v>38.480000000000004</v>
      </c>
      <c r="F281" s="695">
        <v>4320</v>
      </c>
      <c r="G281" s="652">
        <v>5.12</v>
      </c>
      <c r="H281" s="652">
        <v>9.6</v>
      </c>
      <c r="I281" s="652">
        <f t="shared" si="16"/>
        <v>23.760000000000005</v>
      </c>
      <c r="J281" s="696" t="s">
        <v>226</v>
      </c>
      <c r="K281" s="696"/>
      <c r="L281" s="696"/>
      <c r="M281" s="696"/>
      <c r="N281" s="447" t="s">
        <v>718</v>
      </c>
      <c r="S281" s="599"/>
      <c r="T281" s="599"/>
      <c r="U281" s="599"/>
      <c r="V281" s="599"/>
    </row>
    <row r="282" spans="1:22" s="439" customFormat="1">
      <c r="A282" s="648">
        <f t="shared" si="15"/>
        <v>20120301</v>
      </c>
      <c r="B282" s="650" t="s">
        <v>666</v>
      </c>
      <c r="C282" s="650" t="s">
        <v>320</v>
      </c>
      <c r="D282" s="651" t="str">
        <f t="shared" si="18"/>
        <v>20120301KUUM_454</v>
      </c>
      <c r="E282" s="694">
        <v>17.27</v>
      </c>
      <c r="F282" s="695">
        <v>600</v>
      </c>
      <c r="G282" s="652">
        <v>2.08</v>
      </c>
      <c r="H282" s="652">
        <v>1.86</v>
      </c>
      <c r="I282" s="652">
        <f t="shared" si="16"/>
        <v>13.33</v>
      </c>
      <c r="J282" s="696" t="s">
        <v>229</v>
      </c>
      <c r="K282" s="696"/>
      <c r="L282" s="696"/>
      <c r="M282" s="696"/>
      <c r="N282" s="447" t="s">
        <v>718</v>
      </c>
      <c r="S282" s="599"/>
      <c r="T282" s="599"/>
      <c r="U282" s="599"/>
      <c r="V282" s="599"/>
    </row>
    <row r="283" spans="1:22" s="439" customFormat="1">
      <c r="A283" s="648">
        <f t="shared" si="15"/>
        <v>20120301</v>
      </c>
      <c r="B283" s="650" t="s">
        <v>666</v>
      </c>
      <c r="C283" s="650" t="s">
        <v>352</v>
      </c>
      <c r="D283" s="651" t="str">
        <f t="shared" si="18"/>
        <v>20120301KUUM_455</v>
      </c>
      <c r="E283" s="694">
        <v>22.68</v>
      </c>
      <c r="F283" s="695">
        <v>1400</v>
      </c>
      <c r="G283" s="652">
        <v>2.59</v>
      </c>
      <c r="H283" s="652">
        <v>4.03</v>
      </c>
      <c r="I283" s="652">
        <f t="shared" ref="I283:I327" si="19">E283-G283-H283</f>
        <v>16.059999999999999</v>
      </c>
      <c r="J283" s="696" t="s">
        <v>261</v>
      </c>
      <c r="K283" s="696"/>
      <c r="L283" s="696"/>
      <c r="M283" s="696"/>
      <c r="N283" s="447" t="s">
        <v>718</v>
      </c>
      <c r="S283" s="599"/>
      <c r="T283" s="599"/>
      <c r="U283" s="599"/>
      <c r="V283" s="599"/>
    </row>
    <row r="284" spans="1:22" s="439" customFormat="1">
      <c r="A284" s="648">
        <f t="shared" si="15"/>
        <v>20120301</v>
      </c>
      <c r="B284" s="650" t="s">
        <v>665</v>
      </c>
      <c r="C284" s="650" t="s">
        <v>384</v>
      </c>
      <c r="D284" s="651" t="str">
        <f t="shared" si="18"/>
        <v>20120301KUUM_456</v>
      </c>
      <c r="E284" s="694">
        <v>10.94</v>
      </c>
      <c r="F284" s="695">
        <v>828</v>
      </c>
      <c r="G284" s="652">
        <v>1.18</v>
      </c>
      <c r="H284" s="652">
        <v>1.84</v>
      </c>
      <c r="I284" s="652">
        <f t="shared" si="19"/>
        <v>7.92</v>
      </c>
      <c r="J284" s="696" t="s">
        <v>293</v>
      </c>
      <c r="K284" s="696"/>
      <c r="L284" s="696"/>
      <c r="M284" s="696"/>
      <c r="N284" s="447" t="s">
        <v>718</v>
      </c>
      <c r="S284" s="599"/>
      <c r="T284" s="599"/>
      <c r="U284" s="599"/>
      <c r="V284" s="599"/>
    </row>
    <row r="285" spans="1:22" s="439" customFormat="1">
      <c r="A285" s="648">
        <f t="shared" si="15"/>
        <v>20120301</v>
      </c>
      <c r="B285" s="650" t="s">
        <v>665</v>
      </c>
      <c r="C285" s="650" t="s">
        <v>311</v>
      </c>
      <c r="D285" s="651" t="str">
        <f t="shared" si="18"/>
        <v>20120301KUUM_457</v>
      </c>
      <c r="E285" s="694">
        <v>12.26</v>
      </c>
      <c r="F285" s="695">
        <v>1176</v>
      </c>
      <c r="G285" s="652">
        <v>1.37</v>
      </c>
      <c r="H285" s="652">
        <v>2.62</v>
      </c>
      <c r="I285" s="652">
        <f t="shared" si="19"/>
        <v>8.27</v>
      </c>
      <c r="J285" s="652" t="s">
        <v>220</v>
      </c>
      <c r="K285" s="696"/>
      <c r="L285" s="696"/>
      <c r="M285" s="696"/>
      <c r="N285" s="447" t="s">
        <v>718</v>
      </c>
      <c r="S285" s="599"/>
      <c r="T285" s="599"/>
      <c r="U285" s="599"/>
      <c r="V285" s="599"/>
    </row>
    <row r="286" spans="1:22" s="439" customFormat="1">
      <c r="A286" s="648">
        <f t="shared" si="15"/>
        <v>20120301</v>
      </c>
      <c r="B286" s="650" t="s">
        <v>665</v>
      </c>
      <c r="C286" s="650" t="s">
        <v>341</v>
      </c>
      <c r="D286" s="651" t="str">
        <f t="shared" si="18"/>
        <v>20120301KUUM_458</v>
      </c>
      <c r="E286" s="694">
        <v>14.14</v>
      </c>
      <c r="F286" s="695">
        <v>1812</v>
      </c>
      <c r="G286" s="652">
        <v>1.59</v>
      </c>
      <c r="H286" s="652">
        <v>4.03</v>
      </c>
      <c r="I286" s="652">
        <f t="shared" si="19"/>
        <v>8.52</v>
      </c>
      <c r="J286" s="696" t="s">
        <v>250</v>
      </c>
      <c r="K286" s="696"/>
      <c r="L286" s="696"/>
      <c r="M286" s="696"/>
      <c r="N286" s="447" t="s">
        <v>718</v>
      </c>
      <c r="S286" s="599"/>
      <c r="T286" s="599"/>
      <c r="U286" s="599"/>
      <c r="V286" s="599"/>
    </row>
    <row r="287" spans="1:22" s="439" customFormat="1">
      <c r="A287" s="648">
        <f t="shared" si="15"/>
        <v>20120301</v>
      </c>
      <c r="B287" s="650" t="s">
        <v>666</v>
      </c>
      <c r="C287" s="650" t="s">
        <v>315</v>
      </c>
      <c r="D287" s="651" t="str">
        <f t="shared" si="18"/>
        <v>20120301KUUM_459</v>
      </c>
      <c r="E287" s="694">
        <v>42.709999999999994</v>
      </c>
      <c r="F287" s="695">
        <v>4320</v>
      </c>
      <c r="G287" s="652">
        <v>5.12</v>
      </c>
      <c r="H287" s="652">
        <v>9.6</v>
      </c>
      <c r="I287" s="652">
        <f t="shared" si="19"/>
        <v>27.989999999999995</v>
      </c>
      <c r="J287" s="652" t="s">
        <v>224</v>
      </c>
      <c r="K287" s="696"/>
      <c r="L287" s="696"/>
      <c r="M287" s="696"/>
      <c r="N287" s="447" t="s">
        <v>718</v>
      </c>
      <c r="S287" s="599"/>
      <c r="T287" s="599"/>
      <c r="U287" s="599"/>
      <c r="V287" s="599"/>
    </row>
    <row r="288" spans="1:22" s="439" customFormat="1">
      <c r="A288" s="648">
        <f t="shared" ref="A288:A310" si="20">A287</f>
        <v>20120301</v>
      </c>
      <c r="B288" s="650" t="s">
        <v>666</v>
      </c>
      <c r="C288" s="650" t="s">
        <v>319</v>
      </c>
      <c r="D288" s="651" t="str">
        <f t="shared" si="18"/>
        <v>20120301KUUM_460</v>
      </c>
      <c r="E288" s="694">
        <v>25.450000000000003</v>
      </c>
      <c r="F288" s="695">
        <v>600</v>
      </c>
      <c r="G288" s="652">
        <v>2.08</v>
      </c>
      <c r="H288" s="652">
        <v>1.86</v>
      </c>
      <c r="I288" s="652">
        <f t="shared" si="19"/>
        <v>21.510000000000005</v>
      </c>
      <c r="J288" s="696" t="s">
        <v>228</v>
      </c>
      <c r="K288" s="696"/>
      <c r="L288" s="696"/>
      <c r="M288" s="696"/>
      <c r="N288" s="447" t="s">
        <v>718</v>
      </c>
      <c r="S288" s="599"/>
      <c r="T288" s="599"/>
      <c r="U288" s="599"/>
      <c r="V288" s="599"/>
    </row>
    <row r="289" spans="1:22" s="439" customFormat="1">
      <c r="A289" s="648">
        <f t="shared" si="20"/>
        <v>20120301</v>
      </c>
      <c r="B289" s="650" t="s">
        <v>665</v>
      </c>
      <c r="C289" s="650" t="s">
        <v>356</v>
      </c>
      <c r="D289" s="651" t="str">
        <f t="shared" si="18"/>
        <v>20120301KUUM_461</v>
      </c>
      <c r="E289" s="694">
        <v>6.93</v>
      </c>
      <c r="F289" s="695">
        <v>240</v>
      </c>
      <c r="G289" s="652">
        <v>1.01</v>
      </c>
      <c r="H289" s="652">
        <v>0.53</v>
      </c>
      <c r="I289" s="652">
        <f t="shared" si="19"/>
        <v>5.39</v>
      </c>
      <c r="J289" s="696" t="s">
        <v>265</v>
      </c>
      <c r="K289" s="696"/>
      <c r="L289" s="696"/>
      <c r="M289" s="696"/>
      <c r="N289" s="447" t="s">
        <v>718</v>
      </c>
      <c r="S289" s="599"/>
      <c r="T289" s="599"/>
      <c r="U289" s="599"/>
      <c r="V289" s="599"/>
    </row>
    <row r="290" spans="1:22" s="439" customFormat="1">
      <c r="A290" s="648">
        <f t="shared" si="20"/>
        <v>20120301</v>
      </c>
      <c r="B290" s="650" t="s">
        <v>665</v>
      </c>
      <c r="C290" s="650" t="s">
        <v>365</v>
      </c>
      <c r="D290" s="651" t="str">
        <f t="shared" si="18"/>
        <v>20120301KUUM_462</v>
      </c>
      <c r="E290" s="694">
        <v>7.9</v>
      </c>
      <c r="F290" s="695">
        <v>332</v>
      </c>
      <c r="G290" s="652">
        <v>1.32</v>
      </c>
      <c r="H290" s="652">
        <v>0.74</v>
      </c>
      <c r="I290" s="652">
        <f t="shared" si="19"/>
        <v>5.84</v>
      </c>
      <c r="J290" s="696" t="s">
        <v>274</v>
      </c>
      <c r="K290" s="696"/>
      <c r="L290" s="696"/>
      <c r="M290" s="696"/>
      <c r="N290" s="447" t="s">
        <v>718</v>
      </c>
      <c r="S290" s="599"/>
      <c r="T290" s="599"/>
      <c r="U290" s="599"/>
      <c r="V290" s="599"/>
    </row>
    <row r="291" spans="1:22" s="439" customFormat="1">
      <c r="A291" s="648">
        <f t="shared" si="20"/>
        <v>20120301</v>
      </c>
      <c r="B291" s="650" t="s">
        <v>665</v>
      </c>
      <c r="C291" s="650" t="s">
        <v>388</v>
      </c>
      <c r="D291" s="651" t="str">
        <f t="shared" si="18"/>
        <v>20120301KUUM_463</v>
      </c>
      <c r="E291" s="694">
        <v>8.41</v>
      </c>
      <c r="F291" s="695">
        <v>468</v>
      </c>
      <c r="G291" s="652">
        <v>1.04</v>
      </c>
      <c r="H291" s="652">
        <v>1.04</v>
      </c>
      <c r="I291" s="652">
        <f t="shared" si="19"/>
        <v>6.33</v>
      </c>
      <c r="J291" s="696" t="s">
        <v>297</v>
      </c>
      <c r="K291" s="696"/>
      <c r="L291" s="696"/>
      <c r="M291" s="696"/>
      <c r="N291" s="447" t="s">
        <v>718</v>
      </c>
      <c r="S291" s="599"/>
      <c r="T291" s="599"/>
      <c r="U291" s="599"/>
      <c r="V291" s="599"/>
    </row>
    <row r="292" spans="1:22" s="439" customFormat="1">
      <c r="A292" s="648">
        <f t="shared" si="20"/>
        <v>20120301</v>
      </c>
      <c r="B292" s="650" t="s">
        <v>665</v>
      </c>
      <c r="C292" s="650" t="s">
        <v>345</v>
      </c>
      <c r="D292" s="651" t="str">
        <f t="shared" si="18"/>
        <v>20120301KUUM_464</v>
      </c>
      <c r="E292" s="694">
        <v>13.04</v>
      </c>
      <c r="F292" s="695">
        <v>968</v>
      </c>
      <c r="G292" s="652">
        <v>1.78</v>
      </c>
      <c r="H292" s="652">
        <v>2.15</v>
      </c>
      <c r="I292" s="652">
        <f t="shared" si="19"/>
        <v>9.11</v>
      </c>
      <c r="J292" s="696" t="s">
        <v>254</v>
      </c>
      <c r="K292" s="696"/>
      <c r="L292" s="696"/>
      <c r="M292" s="696"/>
      <c r="N292" s="447"/>
      <c r="S292" s="599"/>
      <c r="T292" s="599"/>
      <c r="U292" s="599"/>
      <c r="V292" s="599"/>
    </row>
    <row r="293" spans="1:22" s="439" customFormat="1">
      <c r="A293" s="648">
        <f t="shared" si="20"/>
        <v>20120301</v>
      </c>
      <c r="B293" s="650" t="s">
        <v>665</v>
      </c>
      <c r="C293" s="650" t="s">
        <v>377</v>
      </c>
      <c r="D293" s="651" t="str">
        <f t="shared" si="18"/>
        <v>20120301KUUM_465</v>
      </c>
      <c r="E293" s="694">
        <v>20.95</v>
      </c>
      <c r="F293" s="695">
        <v>1884</v>
      </c>
      <c r="G293" s="652">
        <v>2.42</v>
      </c>
      <c r="H293" s="652">
        <v>4.18</v>
      </c>
      <c r="I293" s="652">
        <f t="shared" si="19"/>
        <v>14.350000000000001</v>
      </c>
      <c r="J293" s="696" t="s">
        <v>286</v>
      </c>
      <c r="K293" s="696"/>
      <c r="L293" s="696"/>
      <c r="M293" s="696"/>
      <c r="N293" s="447" t="s">
        <v>718</v>
      </c>
      <c r="S293" s="599"/>
      <c r="T293" s="599"/>
      <c r="U293" s="599"/>
      <c r="V293" s="599"/>
    </row>
    <row r="294" spans="1:22" s="439" customFormat="1">
      <c r="A294" s="648">
        <f t="shared" si="20"/>
        <v>20120301</v>
      </c>
      <c r="B294" s="656" t="s">
        <v>665</v>
      </c>
      <c r="C294" s="650" t="s">
        <v>363</v>
      </c>
      <c r="D294" s="651" t="str">
        <f t="shared" si="18"/>
        <v>20120301KUUM_466</v>
      </c>
      <c r="E294" s="694">
        <v>8.93</v>
      </c>
      <c r="F294" s="695">
        <v>240</v>
      </c>
      <c r="G294" s="652">
        <v>1.01</v>
      </c>
      <c r="H294" s="652">
        <v>0.53</v>
      </c>
      <c r="I294" s="652">
        <f t="shared" si="19"/>
        <v>7.39</v>
      </c>
      <c r="J294" s="696" t="s">
        <v>272</v>
      </c>
      <c r="K294" s="696"/>
      <c r="L294" s="696"/>
      <c r="M294" s="696"/>
      <c r="N294" s="447" t="s">
        <v>718</v>
      </c>
      <c r="S294" s="599"/>
      <c r="T294" s="599"/>
      <c r="U294" s="599"/>
      <c r="V294" s="599"/>
    </row>
    <row r="295" spans="1:22" s="439" customFormat="1">
      <c r="A295" s="648">
        <f t="shared" si="20"/>
        <v>20120301</v>
      </c>
      <c r="B295" s="650" t="s">
        <v>665</v>
      </c>
      <c r="C295" s="650" t="s">
        <v>373</v>
      </c>
      <c r="D295" s="651" t="str">
        <f t="shared" si="18"/>
        <v>20120301KUUM_467</v>
      </c>
      <c r="E295" s="694">
        <v>9.9300000000000015</v>
      </c>
      <c r="F295" s="695">
        <v>332</v>
      </c>
      <c r="G295" s="652">
        <v>1.32</v>
      </c>
      <c r="H295" s="652">
        <v>0.74</v>
      </c>
      <c r="I295" s="652">
        <f t="shared" si="19"/>
        <v>7.870000000000001</v>
      </c>
      <c r="J295" s="696" t="s">
        <v>282</v>
      </c>
      <c r="K295" s="696"/>
      <c r="L295" s="696"/>
      <c r="M295" s="696"/>
      <c r="N295" s="447" t="s">
        <v>718</v>
      </c>
      <c r="S295" s="599"/>
      <c r="T295" s="599"/>
      <c r="U295" s="599"/>
      <c r="V295" s="599"/>
    </row>
    <row r="296" spans="1:22" s="439" customFormat="1">
      <c r="A296" s="648">
        <f t="shared" si="20"/>
        <v>20120301</v>
      </c>
      <c r="B296" s="650" t="s">
        <v>665</v>
      </c>
      <c r="C296" s="650" t="s">
        <v>396</v>
      </c>
      <c r="D296" s="651" t="str">
        <f t="shared" si="18"/>
        <v>20120301KUUM_468</v>
      </c>
      <c r="E296" s="694">
        <v>10.35</v>
      </c>
      <c r="F296" s="695">
        <v>468</v>
      </c>
      <c r="G296" s="652">
        <v>1.04</v>
      </c>
      <c r="H296" s="652">
        <v>1.04</v>
      </c>
      <c r="I296" s="652">
        <f t="shared" si="19"/>
        <v>8.27</v>
      </c>
      <c r="J296" s="696" t="s">
        <v>305</v>
      </c>
      <c r="K296" s="696"/>
      <c r="L296" s="696"/>
      <c r="M296" s="696"/>
      <c r="N296" s="447" t="s">
        <v>718</v>
      </c>
      <c r="S296" s="599"/>
      <c r="T296" s="599"/>
      <c r="U296" s="599"/>
      <c r="V296" s="599"/>
    </row>
    <row r="297" spans="1:22" s="439" customFormat="1">
      <c r="A297" s="648">
        <f t="shared" si="20"/>
        <v>20120301</v>
      </c>
      <c r="B297" s="650" t="s">
        <v>666</v>
      </c>
      <c r="C297" s="650" t="s">
        <v>351</v>
      </c>
      <c r="D297" s="651" t="str">
        <f t="shared" si="18"/>
        <v>20120301KUUM_469</v>
      </c>
      <c r="E297" s="694">
        <v>30.860000000000003</v>
      </c>
      <c r="F297" s="695">
        <v>1400</v>
      </c>
      <c r="G297" s="652">
        <v>2.59</v>
      </c>
      <c r="H297" s="652">
        <v>4.03</v>
      </c>
      <c r="I297" s="652">
        <f t="shared" si="19"/>
        <v>24.240000000000002</v>
      </c>
      <c r="J297" s="696" t="s">
        <v>260</v>
      </c>
      <c r="K297" s="696"/>
      <c r="L297" s="696"/>
      <c r="M297" s="696"/>
      <c r="N297" s="447" t="s">
        <v>718</v>
      </c>
      <c r="S297" s="599"/>
      <c r="T297" s="599"/>
      <c r="U297" s="599"/>
      <c r="V297" s="599"/>
    </row>
    <row r="298" spans="1:22" s="439" customFormat="1">
      <c r="A298" s="648">
        <f t="shared" si="20"/>
        <v>20120301</v>
      </c>
      <c r="B298" s="650" t="s">
        <v>666</v>
      </c>
      <c r="C298" s="650" t="s">
        <v>314</v>
      </c>
      <c r="D298" s="651" t="str">
        <f t="shared" si="18"/>
        <v>20120301KUUM_470</v>
      </c>
      <c r="E298" s="694">
        <v>50.89</v>
      </c>
      <c r="F298" s="695">
        <v>4320</v>
      </c>
      <c r="G298" s="652">
        <v>5.12</v>
      </c>
      <c r="H298" s="652">
        <v>9.6</v>
      </c>
      <c r="I298" s="652">
        <f t="shared" si="19"/>
        <v>36.17</v>
      </c>
      <c r="J298" s="652" t="s">
        <v>223</v>
      </c>
      <c r="K298" s="696"/>
      <c r="L298" s="696"/>
      <c r="M298" s="696"/>
      <c r="N298" s="447" t="s">
        <v>718</v>
      </c>
      <c r="S298" s="599"/>
      <c r="T298" s="599"/>
      <c r="U298" s="599"/>
      <c r="V298" s="599"/>
    </row>
    <row r="299" spans="1:22" s="439" customFormat="1">
      <c r="A299" s="648">
        <f t="shared" si="20"/>
        <v>20120301</v>
      </c>
      <c r="B299" s="650" t="s">
        <v>665</v>
      </c>
      <c r="C299" s="650" t="s">
        <v>355</v>
      </c>
      <c r="D299" s="651" t="str">
        <f t="shared" si="18"/>
        <v>20120301KUUM_471</v>
      </c>
      <c r="E299" s="694">
        <v>9.7600000000000016</v>
      </c>
      <c r="F299" s="695">
        <v>240</v>
      </c>
      <c r="G299" s="652">
        <v>1.01</v>
      </c>
      <c r="H299" s="652">
        <v>0.53</v>
      </c>
      <c r="I299" s="652">
        <f t="shared" si="19"/>
        <v>8.2200000000000024</v>
      </c>
      <c r="J299" s="696" t="s">
        <v>264</v>
      </c>
      <c r="K299" s="696"/>
      <c r="L299" s="696"/>
      <c r="M299" s="696"/>
      <c r="N299" s="447" t="s">
        <v>718</v>
      </c>
      <c r="S299" s="599"/>
      <c r="T299" s="599"/>
      <c r="U299" s="599"/>
      <c r="V299" s="599"/>
    </row>
    <row r="300" spans="1:22" s="439" customFormat="1">
      <c r="A300" s="648">
        <f t="shared" si="20"/>
        <v>20120301</v>
      </c>
      <c r="B300" s="650" t="s">
        <v>665</v>
      </c>
      <c r="C300" s="650" t="s">
        <v>364</v>
      </c>
      <c r="D300" s="651" t="str">
        <f t="shared" si="18"/>
        <v>20120301KUUM_472</v>
      </c>
      <c r="E300" s="694">
        <v>10.73</v>
      </c>
      <c r="F300" s="695">
        <v>332</v>
      </c>
      <c r="G300" s="652">
        <v>1.32</v>
      </c>
      <c r="H300" s="652">
        <v>0.74</v>
      </c>
      <c r="I300" s="652">
        <f t="shared" si="19"/>
        <v>8.67</v>
      </c>
      <c r="J300" s="696" t="s">
        <v>273</v>
      </c>
      <c r="K300" s="696"/>
      <c r="L300" s="696"/>
      <c r="M300" s="696"/>
      <c r="N300" s="447" t="s">
        <v>718</v>
      </c>
      <c r="S300" s="599"/>
      <c r="T300" s="599"/>
      <c r="U300" s="599"/>
      <c r="V300" s="599"/>
    </row>
    <row r="301" spans="1:22" s="439" customFormat="1">
      <c r="A301" s="648">
        <f t="shared" si="20"/>
        <v>20120301</v>
      </c>
      <c r="B301" s="650" t="s">
        <v>665</v>
      </c>
      <c r="C301" s="650" t="s">
        <v>387</v>
      </c>
      <c r="D301" s="651" t="str">
        <f t="shared" si="18"/>
        <v>20120301KUUM_473</v>
      </c>
      <c r="E301" s="694">
        <v>11.45</v>
      </c>
      <c r="F301" s="695">
        <v>468</v>
      </c>
      <c r="G301" s="652">
        <v>1.04</v>
      </c>
      <c r="H301" s="652">
        <v>1.04</v>
      </c>
      <c r="I301" s="652">
        <f t="shared" si="19"/>
        <v>9.370000000000001</v>
      </c>
      <c r="J301" s="696" t="s">
        <v>296</v>
      </c>
      <c r="K301" s="696"/>
      <c r="L301" s="696"/>
      <c r="M301" s="696"/>
      <c r="N301" s="447"/>
      <c r="S301" s="599"/>
      <c r="T301" s="599"/>
      <c r="U301" s="599"/>
      <c r="V301" s="599"/>
    </row>
    <row r="302" spans="1:22" s="439" customFormat="1">
      <c r="A302" s="648">
        <f t="shared" si="20"/>
        <v>20120301</v>
      </c>
      <c r="B302" s="650" t="s">
        <v>665</v>
      </c>
      <c r="C302" s="650" t="s">
        <v>344</v>
      </c>
      <c r="D302" s="651" t="str">
        <f t="shared" si="18"/>
        <v>20120301KUUM_474</v>
      </c>
      <c r="E302" s="694">
        <v>16.079999999999998</v>
      </c>
      <c r="F302" s="695">
        <v>968</v>
      </c>
      <c r="G302" s="652">
        <v>1.78</v>
      </c>
      <c r="H302" s="652">
        <v>2.15</v>
      </c>
      <c r="I302" s="652">
        <f t="shared" si="19"/>
        <v>12.149999999999999</v>
      </c>
      <c r="J302" s="696" t="s">
        <v>253</v>
      </c>
      <c r="K302" s="696"/>
      <c r="L302" s="696"/>
      <c r="M302" s="696"/>
      <c r="N302" s="447"/>
      <c r="S302" s="599"/>
      <c r="T302" s="599"/>
      <c r="U302" s="599"/>
      <c r="V302" s="599"/>
    </row>
    <row r="303" spans="1:22" s="439" customFormat="1">
      <c r="A303" s="648">
        <f t="shared" si="20"/>
        <v>20120301</v>
      </c>
      <c r="B303" s="650" t="s">
        <v>665</v>
      </c>
      <c r="C303" s="650" t="s">
        <v>376</v>
      </c>
      <c r="D303" s="651" t="str">
        <f t="shared" si="18"/>
        <v>20120301KUUM_475</v>
      </c>
      <c r="E303" s="694">
        <v>22.509999999999998</v>
      </c>
      <c r="F303" s="695">
        <v>1884</v>
      </c>
      <c r="G303" s="652">
        <v>2.42</v>
      </c>
      <c r="H303" s="652">
        <v>4.18</v>
      </c>
      <c r="I303" s="652">
        <f t="shared" si="19"/>
        <v>15.909999999999997</v>
      </c>
      <c r="J303" s="696" t="s">
        <v>285</v>
      </c>
      <c r="K303" s="696"/>
      <c r="L303" s="696"/>
      <c r="M303" s="696"/>
      <c r="N303" s="447" t="s">
        <v>718</v>
      </c>
      <c r="S303" s="599"/>
      <c r="T303" s="599"/>
      <c r="U303" s="599"/>
      <c r="V303" s="599"/>
    </row>
    <row r="304" spans="1:22" s="439" customFormat="1">
      <c r="A304" s="648">
        <f t="shared" si="20"/>
        <v>20120301</v>
      </c>
      <c r="B304" s="650" t="s">
        <v>665</v>
      </c>
      <c r="C304" s="650" t="s">
        <v>374</v>
      </c>
      <c r="D304" s="651" t="str">
        <f t="shared" si="18"/>
        <v>20120301KUUM_476</v>
      </c>
      <c r="E304" s="694">
        <v>15.66</v>
      </c>
      <c r="F304" s="695">
        <v>332</v>
      </c>
      <c r="G304" s="652">
        <v>1.32</v>
      </c>
      <c r="H304" s="652">
        <v>0.74</v>
      </c>
      <c r="I304" s="652">
        <f>E304-G304-H304</f>
        <v>13.6</v>
      </c>
      <c r="J304" s="696" t="s">
        <v>283</v>
      </c>
      <c r="K304" s="696"/>
      <c r="L304" s="696"/>
      <c r="M304" s="696"/>
      <c r="N304" s="447" t="s">
        <v>718</v>
      </c>
      <c r="S304" s="599"/>
      <c r="T304" s="599"/>
      <c r="U304" s="599"/>
      <c r="V304" s="599"/>
    </row>
    <row r="305" spans="1:22" s="439" customFormat="1">
      <c r="A305" s="648">
        <f t="shared" si="20"/>
        <v>20120301</v>
      </c>
      <c r="B305" s="650" t="s">
        <v>665</v>
      </c>
      <c r="C305" s="650" t="s">
        <v>398</v>
      </c>
      <c r="D305" s="651" t="str">
        <f t="shared" si="18"/>
        <v>20120301KUUM_477</v>
      </c>
      <c r="E305" s="694">
        <v>18.190000000000001</v>
      </c>
      <c r="F305" s="695">
        <v>468</v>
      </c>
      <c r="G305" s="652">
        <v>1.04</v>
      </c>
      <c r="H305" s="652">
        <v>1.04</v>
      </c>
      <c r="I305" s="652">
        <f t="shared" ref="I305:I307" si="21">E305-G305-H305</f>
        <v>16.110000000000003</v>
      </c>
      <c r="J305" s="696" t="s">
        <v>307</v>
      </c>
      <c r="K305" s="696"/>
      <c r="L305" s="696"/>
      <c r="M305" s="696"/>
      <c r="N305" s="447" t="s">
        <v>718</v>
      </c>
      <c r="S305" s="599"/>
      <c r="T305" s="599"/>
      <c r="U305" s="599"/>
      <c r="V305" s="599"/>
    </row>
    <row r="306" spans="1:22" s="439" customFormat="1">
      <c r="A306" s="648">
        <f t="shared" si="20"/>
        <v>20120301</v>
      </c>
      <c r="B306" s="650" t="s">
        <v>665</v>
      </c>
      <c r="C306" s="650" t="s">
        <v>348</v>
      </c>
      <c r="D306" s="651" t="str">
        <f t="shared" si="18"/>
        <v>20120301KUUM_478</v>
      </c>
      <c r="E306" s="694">
        <v>22.11</v>
      </c>
      <c r="F306" s="695">
        <v>968</v>
      </c>
      <c r="G306" s="652">
        <v>1.78</v>
      </c>
      <c r="H306" s="652">
        <v>2.15</v>
      </c>
      <c r="I306" s="652">
        <f t="shared" si="21"/>
        <v>18.18</v>
      </c>
      <c r="J306" s="696" t="s">
        <v>257</v>
      </c>
      <c r="K306" s="696"/>
      <c r="L306" s="696"/>
      <c r="M306" s="696"/>
      <c r="N306" s="447" t="s">
        <v>718</v>
      </c>
      <c r="S306" s="599"/>
      <c r="T306" s="599"/>
      <c r="U306" s="599"/>
      <c r="V306" s="599"/>
    </row>
    <row r="307" spans="1:22" s="439" customFormat="1">
      <c r="A307" s="648">
        <f t="shared" si="20"/>
        <v>20120301</v>
      </c>
      <c r="B307" s="650" t="s">
        <v>665</v>
      </c>
      <c r="C307" s="650" t="s">
        <v>380</v>
      </c>
      <c r="D307" s="651" t="str">
        <f t="shared" si="18"/>
        <v>20120301KUUM_479</v>
      </c>
      <c r="E307" s="694">
        <v>28.13</v>
      </c>
      <c r="F307" s="695">
        <v>1884</v>
      </c>
      <c r="G307" s="652">
        <v>2.42</v>
      </c>
      <c r="H307" s="652">
        <v>4.18</v>
      </c>
      <c r="I307" s="652">
        <f t="shared" si="21"/>
        <v>21.53</v>
      </c>
      <c r="J307" s="696" t="s">
        <v>289</v>
      </c>
      <c r="K307" s="696"/>
      <c r="L307" s="696"/>
      <c r="M307" s="696"/>
      <c r="N307" s="447" t="s">
        <v>718</v>
      </c>
      <c r="S307" s="599"/>
      <c r="T307" s="599"/>
      <c r="U307" s="599"/>
      <c r="V307" s="599"/>
    </row>
    <row r="308" spans="1:22" s="439" customFormat="1">
      <c r="A308" s="648">
        <f t="shared" si="20"/>
        <v>20120301</v>
      </c>
      <c r="B308" s="650" t="s">
        <v>666</v>
      </c>
      <c r="C308" s="650" t="s">
        <v>362</v>
      </c>
      <c r="D308" s="651" t="str">
        <f t="shared" si="18"/>
        <v>20120301KUUM_480</v>
      </c>
      <c r="E308" s="694">
        <v>8.93</v>
      </c>
      <c r="F308" s="695">
        <v>240</v>
      </c>
      <c r="G308" s="652">
        <v>1.01</v>
      </c>
      <c r="H308" s="652">
        <v>0.53</v>
      </c>
      <c r="I308" s="652">
        <f t="shared" si="19"/>
        <v>7.39</v>
      </c>
      <c r="J308" s="696" t="s">
        <v>271</v>
      </c>
      <c r="K308" s="696"/>
      <c r="L308" s="696"/>
      <c r="M308" s="696"/>
      <c r="N308" s="447" t="s">
        <v>718</v>
      </c>
      <c r="S308" s="599"/>
      <c r="T308" s="599"/>
      <c r="U308" s="599"/>
      <c r="V308" s="599"/>
    </row>
    <row r="309" spans="1:22" s="439" customFormat="1">
      <c r="A309" s="648">
        <f t="shared" si="20"/>
        <v>20120301</v>
      </c>
      <c r="B309" s="650" t="s">
        <v>666</v>
      </c>
      <c r="C309" s="650" t="s">
        <v>372</v>
      </c>
      <c r="D309" s="651" t="str">
        <f t="shared" si="18"/>
        <v>20120301KUUM_481</v>
      </c>
      <c r="E309" s="694">
        <v>9.9300000000000015</v>
      </c>
      <c r="F309" s="695">
        <v>332</v>
      </c>
      <c r="G309" s="652">
        <v>1.32</v>
      </c>
      <c r="H309" s="652">
        <v>0.74</v>
      </c>
      <c r="I309" s="652">
        <f t="shared" si="19"/>
        <v>7.870000000000001</v>
      </c>
      <c r="J309" s="696" t="s">
        <v>281</v>
      </c>
      <c r="K309" s="696"/>
      <c r="L309" s="696"/>
      <c r="M309" s="696"/>
      <c r="N309" s="447" t="s">
        <v>718</v>
      </c>
      <c r="S309" s="599"/>
      <c r="T309" s="599"/>
      <c r="U309" s="599"/>
      <c r="V309" s="599"/>
    </row>
    <row r="310" spans="1:22" s="439" customFormat="1">
      <c r="A310" s="648">
        <f t="shared" si="20"/>
        <v>20120301</v>
      </c>
      <c r="B310" s="650" t="s">
        <v>666</v>
      </c>
      <c r="C310" s="650" t="s">
        <v>395</v>
      </c>
      <c r="D310" s="651" t="str">
        <f t="shared" si="18"/>
        <v>20120301KUUM_482</v>
      </c>
      <c r="E310" s="694">
        <v>10.35</v>
      </c>
      <c r="F310" s="695">
        <v>468</v>
      </c>
      <c r="G310" s="652">
        <v>1.04</v>
      </c>
      <c r="H310" s="652">
        <v>1.04</v>
      </c>
      <c r="I310" s="652">
        <f t="shared" si="19"/>
        <v>8.27</v>
      </c>
      <c r="J310" s="696" t="s">
        <v>304</v>
      </c>
      <c r="K310" s="696"/>
      <c r="L310" s="696"/>
      <c r="M310" s="696"/>
      <c r="N310" s="447" t="s">
        <v>718</v>
      </c>
      <c r="S310" s="599"/>
      <c r="T310" s="599"/>
      <c r="U310" s="599"/>
      <c r="V310" s="599"/>
    </row>
    <row r="311" spans="1:22" s="439" customFormat="1">
      <c r="A311" s="648">
        <f>A310</f>
        <v>20120301</v>
      </c>
      <c r="B311" s="650" t="s">
        <v>666</v>
      </c>
      <c r="C311" s="654" t="s">
        <v>423</v>
      </c>
      <c r="D311" s="651" t="str">
        <f t="shared" si="18"/>
        <v>20120301KUUM_483</v>
      </c>
      <c r="E311" s="694">
        <v>21.809999999999995</v>
      </c>
      <c r="F311" s="695">
        <v>332</v>
      </c>
      <c r="G311" s="652">
        <v>1.32</v>
      </c>
      <c r="H311" s="652">
        <v>0.74</v>
      </c>
      <c r="I311" s="652">
        <f t="shared" si="19"/>
        <v>19.749999999999996</v>
      </c>
      <c r="J311" s="697" t="s">
        <v>401</v>
      </c>
      <c r="K311" s="696"/>
      <c r="L311" s="696"/>
      <c r="M311" s="696"/>
      <c r="N311" s="447" t="s">
        <v>718</v>
      </c>
      <c r="S311" s="599"/>
      <c r="T311" s="599"/>
      <c r="U311" s="599"/>
      <c r="V311" s="599"/>
    </row>
    <row r="312" spans="1:22" s="439" customFormat="1">
      <c r="A312" s="648">
        <f>A310</f>
        <v>20120301</v>
      </c>
      <c r="B312" s="650" t="s">
        <v>666</v>
      </c>
      <c r="C312" s="650" t="s">
        <v>397</v>
      </c>
      <c r="D312" s="651" t="str">
        <f t="shared" si="18"/>
        <v>20120301KUUM_484</v>
      </c>
      <c r="E312" s="694">
        <v>21.85</v>
      </c>
      <c r="F312" s="695">
        <v>468</v>
      </c>
      <c r="G312" s="652">
        <v>1.04</v>
      </c>
      <c r="H312" s="652">
        <v>1.04</v>
      </c>
      <c r="I312" s="652">
        <f t="shared" si="19"/>
        <v>19.770000000000003</v>
      </c>
      <c r="J312" s="696" t="s">
        <v>306</v>
      </c>
      <c r="K312" s="696"/>
      <c r="L312" s="696"/>
      <c r="M312" s="696"/>
      <c r="N312" s="447" t="s">
        <v>718</v>
      </c>
      <c r="S312" s="599"/>
      <c r="T312" s="599"/>
      <c r="U312" s="599"/>
      <c r="V312" s="599"/>
    </row>
    <row r="313" spans="1:22" s="439" customFormat="1">
      <c r="A313" s="648">
        <f t="shared" ref="A313:A326" si="22">A312</f>
        <v>20120301</v>
      </c>
      <c r="B313" s="650" t="s">
        <v>666</v>
      </c>
      <c r="C313" s="650" t="s">
        <v>347</v>
      </c>
      <c r="D313" s="651" t="str">
        <f t="shared" si="18"/>
        <v>20120301KUUM_485</v>
      </c>
      <c r="E313" s="694">
        <v>27.84</v>
      </c>
      <c r="F313" s="695">
        <v>968</v>
      </c>
      <c r="G313" s="652">
        <v>1.78</v>
      </c>
      <c r="H313" s="652">
        <v>2.15</v>
      </c>
      <c r="I313" s="652">
        <f t="shared" si="19"/>
        <v>23.91</v>
      </c>
      <c r="J313" s="696" t="s">
        <v>256</v>
      </c>
      <c r="K313" s="696"/>
      <c r="L313" s="696"/>
      <c r="M313" s="696"/>
      <c r="N313" s="447" t="s">
        <v>718</v>
      </c>
      <c r="S313" s="599"/>
      <c r="T313" s="599"/>
      <c r="U313" s="599"/>
      <c r="V313" s="599"/>
    </row>
    <row r="314" spans="1:22" s="439" customFormat="1">
      <c r="A314" s="648">
        <f t="shared" si="22"/>
        <v>20120301</v>
      </c>
      <c r="B314" s="650" t="s">
        <v>666</v>
      </c>
      <c r="C314" s="650" t="s">
        <v>379</v>
      </c>
      <c r="D314" s="651" t="str">
        <f t="shared" si="18"/>
        <v>20120301KUUM_486</v>
      </c>
      <c r="E314" s="694">
        <v>31.119999999999997</v>
      </c>
      <c r="F314" s="695">
        <v>1884</v>
      </c>
      <c r="G314" s="652">
        <v>2.42</v>
      </c>
      <c r="H314" s="652">
        <v>4.18</v>
      </c>
      <c r="I314" s="652">
        <f t="shared" si="19"/>
        <v>24.519999999999996</v>
      </c>
      <c r="J314" s="696" t="s">
        <v>288</v>
      </c>
      <c r="K314" s="696"/>
      <c r="L314" s="696"/>
      <c r="M314" s="696"/>
      <c r="N314" s="447" t="s">
        <v>718</v>
      </c>
      <c r="S314" s="599"/>
      <c r="T314" s="599"/>
      <c r="U314" s="599"/>
      <c r="V314" s="599"/>
    </row>
    <row r="315" spans="1:22" s="439" customFormat="1">
      <c r="A315" s="648">
        <f t="shared" si="22"/>
        <v>20120301</v>
      </c>
      <c r="B315" s="650" t="s">
        <v>666</v>
      </c>
      <c r="C315" s="650" t="s">
        <v>399</v>
      </c>
      <c r="D315" s="651" t="str">
        <f t="shared" si="18"/>
        <v>20120301KUUM_487</v>
      </c>
      <c r="E315" s="694">
        <v>8.27</v>
      </c>
      <c r="F315" s="695">
        <v>468</v>
      </c>
      <c r="G315" s="652">
        <v>1.04</v>
      </c>
      <c r="H315" s="652">
        <v>1.04</v>
      </c>
      <c r="I315" s="652">
        <f t="shared" si="19"/>
        <v>6.1899999999999995</v>
      </c>
      <c r="J315" s="696" t="s">
        <v>308</v>
      </c>
      <c r="K315" s="696"/>
      <c r="L315" s="696"/>
      <c r="M315" s="696"/>
      <c r="N315" s="447" t="s">
        <v>718</v>
      </c>
      <c r="S315" s="599"/>
      <c r="T315" s="599"/>
      <c r="U315" s="599"/>
      <c r="V315" s="599"/>
    </row>
    <row r="316" spans="1:22" s="439" customFormat="1">
      <c r="A316" s="648">
        <f t="shared" si="22"/>
        <v>20120301</v>
      </c>
      <c r="B316" s="650" t="s">
        <v>666</v>
      </c>
      <c r="C316" s="650" t="s">
        <v>349</v>
      </c>
      <c r="D316" s="651" t="str">
        <f t="shared" si="18"/>
        <v>20120301KUUM_488</v>
      </c>
      <c r="E316" s="694">
        <v>12.45</v>
      </c>
      <c r="F316" s="695">
        <v>968</v>
      </c>
      <c r="G316" s="652">
        <v>1.78</v>
      </c>
      <c r="H316" s="652">
        <v>2.15</v>
      </c>
      <c r="I316" s="652">
        <f t="shared" si="19"/>
        <v>8.52</v>
      </c>
      <c r="J316" s="696" t="s">
        <v>258</v>
      </c>
      <c r="K316" s="696"/>
      <c r="L316" s="696"/>
      <c r="M316" s="696"/>
      <c r="N316" s="447" t="s">
        <v>718</v>
      </c>
      <c r="S316" s="599"/>
      <c r="T316" s="599"/>
      <c r="U316" s="599"/>
      <c r="V316" s="599"/>
    </row>
    <row r="317" spans="1:22" s="439" customFormat="1">
      <c r="A317" s="648">
        <f t="shared" si="22"/>
        <v>20120301</v>
      </c>
      <c r="B317" s="650" t="s">
        <v>666</v>
      </c>
      <c r="C317" s="650" t="s">
        <v>381</v>
      </c>
      <c r="D317" s="651" t="str">
        <f t="shared" si="18"/>
        <v>20120301KUUM_489</v>
      </c>
      <c r="E317" s="694">
        <v>17.7</v>
      </c>
      <c r="F317" s="695">
        <v>1884</v>
      </c>
      <c r="G317" s="652">
        <v>2.42</v>
      </c>
      <c r="H317" s="652">
        <v>4.18</v>
      </c>
      <c r="I317" s="652">
        <f t="shared" si="19"/>
        <v>11.1</v>
      </c>
      <c r="J317" s="696" t="s">
        <v>290</v>
      </c>
      <c r="K317" s="696"/>
      <c r="L317" s="696"/>
      <c r="M317" s="696"/>
      <c r="N317" s="447" t="s">
        <v>718</v>
      </c>
      <c r="S317" s="599"/>
      <c r="T317" s="599"/>
      <c r="U317" s="599"/>
      <c r="V317" s="599"/>
    </row>
    <row r="318" spans="1:22" s="439" customFormat="1">
      <c r="A318" s="648">
        <f t="shared" si="22"/>
        <v>20120301</v>
      </c>
      <c r="B318" s="650" t="s">
        <v>666</v>
      </c>
      <c r="C318" s="650" t="s">
        <v>321</v>
      </c>
      <c r="D318" s="651" t="str">
        <f t="shared" si="18"/>
        <v>20120301KUUM_490</v>
      </c>
      <c r="E318" s="694">
        <v>14.21</v>
      </c>
      <c r="F318" s="695">
        <v>600</v>
      </c>
      <c r="G318" s="652">
        <v>2.08</v>
      </c>
      <c r="H318" s="652">
        <v>1.86</v>
      </c>
      <c r="I318" s="652">
        <f t="shared" si="19"/>
        <v>10.270000000000001</v>
      </c>
      <c r="J318" s="696" t="s">
        <v>230</v>
      </c>
      <c r="K318" s="696"/>
      <c r="L318" s="696"/>
      <c r="M318" s="696"/>
      <c r="N318" s="447" t="s">
        <v>718</v>
      </c>
      <c r="S318" s="599"/>
      <c r="T318" s="599"/>
      <c r="U318" s="599"/>
      <c r="V318" s="599"/>
    </row>
    <row r="319" spans="1:22" s="439" customFormat="1">
      <c r="A319" s="648">
        <f t="shared" si="22"/>
        <v>20120301</v>
      </c>
      <c r="B319" s="650" t="s">
        <v>666</v>
      </c>
      <c r="C319" s="650" t="s">
        <v>353</v>
      </c>
      <c r="D319" s="651" t="str">
        <f t="shared" si="18"/>
        <v>20120301KUUM_491</v>
      </c>
      <c r="E319" s="694">
        <v>20.120000000000005</v>
      </c>
      <c r="F319" s="695">
        <v>1400</v>
      </c>
      <c r="G319" s="652">
        <v>2.59</v>
      </c>
      <c r="H319" s="652">
        <v>4.03</v>
      </c>
      <c r="I319" s="652">
        <f t="shared" si="19"/>
        <v>13.500000000000004</v>
      </c>
      <c r="J319" s="696" t="s">
        <v>262</v>
      </c>
      <c r="K319" s="696"/>
      <c r="L319" s="696"/>
      <c r="M319" s="696"/>
      <c r="N319" s="447" t="s">
        <v>718</v>
      </c>
      <c r="S319" s="599"/>
      <c r="T319" s="599"/>
      <c r="U319" s="599"/>
      <c r="V319" s="599"/>
    </row>
    <row r="320" spans="1:22" s="439" customFormat="1">
      <c r="A320" s="648">
        <f t="shared" si="22"/>
        <v>20120301</v>
      </c>
      <c r="B320" s="650" t="s">
        <v>666</v>
      </c>
      <c r="C320" s="654" t="s">
        <v>678</v>
      </c>
      <c r="D320" s="651" t="str">
        <f t="shared" si="18"/>
        <v>20120301KUUM_492</v>
      </c>
      <c r="E320" s="652">
        <v>14.35</v>
      </c>
      <c r="F320" s="695">
        <v>332</v>
      </c>
      <c r="G320" s="652">
        <v>1.32</v>
      </c>
      <c r="H320" s="652">
        <v>0.74</v>
      </c>
      <c r="I320" s="652">
        <f>E320-G320-H320</f>
        <v>12.29</v>
      </c>
      <c r="J320" s="697" t="s">
        <v>648</v>
      </c>
      <c r="K320" s="696"/>
      <c r="L320" s="696"/>
      <c r="M320" s="696"/>
      <c r="N320" s="447" t="s">
        <v>718</v>
      </c>
      <c r="S320" s="599"/>
      <c r="T320" s="599"/>
      <c r="U320" s="599"/>
      <c r="V320" s="599"/>
    </row>
    <row r="321" spans="1:22" s="439" customFormat="1">
      <c r="A321" s="648">
        <f t="shared" si="22"/>
        <v>20120301</v>
      </c>
      <c r="B321" s="650" t="s">
        <v>666</v>
      </c>
      <c r="C321" s="650" t="s">
        <v>316</v>
      </c>
      <c r="D321" s="651" t="str">
        <f t="shared" si="18"/>
        <v>20120301KUUM_493</v>
      </c>
      <c r="E321" s="694">
        <v>41.7</v>
      </c>
      <c r="F321" s="695">
        <v>4320</v>
      </c>
      <c r="G321" s="652">
        <v>5.12</v>
      </c>
      <c r="H321" s="652">
        <v>9.6</v>
      </c>
      <c r="I321" s="652">
        <f t="shared" si="19"/>
        <v>26.980000000000004</v>
      </c>
      <c r="J321" s="696" t="s">
        <v>225</v>
      </c>
      <c r="K321" s="696"/>
      <c r="L321" s="696"/>
      <c r="M321" s="696"/>
      <c r="N321" s="447" t="s">
        <v>718</v>
      </c>
      <c r="S321" s="599"/>
      <c r="T321" s="599"/>
      <c r="U321" s="599"/>
      <c r="V321" s="599"/>
    </row>
    <row r="322" spans="1:22" s="439" customFormat="1">
      <c r="A322" s="648">
        <f t="shared" si="22"/>
        <v>20120301</v>
      </c>
      <c r="B322" s="650" t="s">
        <v>666</v>
      </c>
      <c r="C322" s="650" t="s">
        <v>318</v>
      </c>
      <c r="D322" s="651" t="str">
        <f t="shared" si="18"/>
        <v>20120301KUUM_494</v>
      </c>
      <c r="E322" s="694">
        <v>26.620000000000005</v>
      </c>
      <c r="F322" s="695">
        <v>600</v>
      </c>
      <c r="G322" s="652">
        <v>2.08</v>
      </c>
      <c r="H322" s="652">
        <v>1.86</v>
      </c>
      <c r="I322" s="652">
        <f t="shared" si="19"/>
        <v>22.680000000000007</v>
      </c>
      <c r="J322" s="696" t="s">
        <v>227</v>
      </c>
      <c r="K322" s="696"/>
      <c r="L322" s="696"/>
      <c r="M322" s="696"/>
      <c r="N322" s="447" t="s">
        <v>718</v>
      </c>
      <c r="S322" s="599"/>
      <c r="T322" s="599"/>
      <c r="U322" s="599"/>
      <c r="V322" s="599"/>
    </row>
    <row r="323" spans="1:22" s="439" customFormat="1">
      <c r="A323" s="648">
        <f t="shared" si="22"/>
        <v>20120301</v>
      </c>
      <c r="B323" s="650" t="s">
        <v>666</v>
      </c>
      <c r="C323" s="650" t="s">
        <v>350</v>
      </c>
      <c r="D323" s="651" t="str">
        <f t="shared" si="18"/>
        <v>20120301KUUM_495</v>
      </c>
      <c r="E323" s="694">
        <v>32.53</v>
      </c>
      <c r="F323" s="695">
        <v>1400</v>
      </c>
      <c r="G323" s="652">
        <v>2.59</v>
      </c>
      <c r="H323" s="652">
        <v>4.03</v>
      </c>
      <c r="I323" s="652">
        <f t="shared" si="19"/>
        <v>25.91</v>
      </c>
      <c r="J323" s="696" t="s">
        <v>259</v>
      </c>
      <c r="K323" s="696"/>
      <c r="L323" s="696"/>
      <c r="M323" s="696"/>
      <c r="N323" s="447" t="s">
        <v>718</v>
      </c>
      <c r="S323" s="599"/>
      <c r="T323" s="599"/>
      <c r="U323" s="599"/>
      <c r="V323" s="599"/>
    </row>
    <row r="324" spans="1:22" s="439" customFormat="1">
      <c r="A324" s="648">
        <f t="shared" si="22"/>
        <v>20120301</v>
      </c>
      <c r="B324" s="650" t="s">
        <v>666</v>
      </c>
      <c r="C324" s="650" t="s">
        <v>313</v>
      </c>
      <c r="D324" s="651" t="str">
        <f t="shared" si="18"/>
        <v>20120301KUUM_496</v>
      </c>
      <c r="E324" s="694">
        <v>54.11</v>
      </c>
      <c r="F324" s="695">
        <v>4320</v>
      </c>
      <c r="G324" s="652">
        <v>5.12</v>
      </c>
      <c r="H324" s="652">
        <v>9.6</v>
      </c>
      <c r="I324" s="652">
        <f t="shared" si="19"/>
        <v>39.39</v>
      </c>
      <c r="J324" s="652" t="s">
        <v>222</v>
      </c>
      <c r="K324" s="696"/>
      <c r="L324" s="696"/>
      <c r="M324" s="696"/>
      <c r="N324" s="447" t="s">
        <v>718</v>
      </c>
      <c r="S324" s="599"/>
      <c r="T324" s="599"/>
      <c r="U324" s="599"/>
      <c r="V324" s="599"/>
    </row>
    <row r="325" spans="1:22">
      <c r="A325" s="648">
        <f t="shared" si="22"/>
        <v>20120301</v>
      </c>
      <c r="B325" s="650" t="s">
        <v>666</v>
      </c>
      <c r="C325" s="654" t="s">
        <v>650</v>
      </c>
      <c r="D325" s="651" t="str">
        <f t="shared" si="18"/>
        <v>20120301KUUM_497</v>
      </c>
      <c r="E325" s="694">
        <v>14.38</v>
      </c>
      <c r="F325" s="695">
        <v>468</v>
      </c>
      <c r="G325" s="652">
        <v>1.04</v>
      </c>
      <c r="H325" s="652">
        <v>1.04</v>
      </c>
      <c r="I325" s="652">
        <f t="shared" si="19"/>
        <v>12.3</v>
      </c>
      <c r="J325" s="697" t="s">
        <v>413</v>
      </c>
      <c r="K325" s="696"/>
      <c r="L325" s="696"/>
      <c r="M325" s="696"/>
      <c r="N325" s="447" t="s">
        <v>718</v>
      </c>
      <c r="O325" s="436"/>
      <c r="P325" s="436"/>
      <c r="Q325" s="600"/>
    </row>
    <row r="326" spans="1:22">
      <c r="A326" s="648">
        <f t="shared" si="22"/>
        <v>20120301</v>
      </c>
      <c r="B326" s="650" t="s">
        <v>666</v>
      </c>
      <c r="C326" s="654" t="s">
        <v>447</v>
      </c>
      <c r="D326" s="651" t="str">
        <f t="shared" si="18"/>
        <v>20120301KUUM_498</v>
      </c>
      <c r="E326" s="694">
        <v>16.37</v>
      </c>
      <c r="F326" s="695">
        <v>968</v>
      </c>
      <c r="G326" s="652">
        <v>1.78</v>
      </c>
      <c r="H326" s="652">
        <v>2.15</v>
      </c>
      <c r="I326" s="652">
        <f t="shared" si="19"/>
        <v>12.440000000000001</v>
      </c>
      <c r="J326" s="709" t="s">
        <v>647</v>
      </c>
      <c r="K326" s="696"/>
      <c r="L326" s="696"/>
      <c r="M326" s="696"/>
      <c r="N326" s="447" t="s">
        <v>718</v>
      </c>
      <c r="O326" s="436"/>
      <c r="P326" s="436"/>
      <c r="Q326" s="600"/>
    </row>
    <row r="327" spans="1:22">
      <c r="A327" s="648">
        <f>A325</f>
        <v>20120301</v>
      </c>
      <c r="B327" s="650" t="s">
        <v>666</v>
      </c>
      <c r="C327" s="654" t="s">
        <v>624</v>
      </c>
      <c r="D327" s="651" t="str">
        <f t="shared" si="18"/>
        <v>20120301KUUM_499</v>
      </c>
      <c r="E327" s="694">
        <v>19.649999999999999</v>
      </c>
      <c r="F327" s="695">
        <v>1884</v>
      </c>
      <c r="G327" s="652">
        <v>2.42</v>
      </c>
      <c r="H327" s="652">
        <v>4.18</v>
      </c>
      <c r="I327" s="652">
        <f t="shared" si="19"/>
        <v>13.049999999999997</v>
      </c>
      <c r="J327" s="697" t="s">
        <v>414</v>
      </c>
      <c r="K327" s="696"/>
      <c r="L327" s="696"/>
      <c r="M327" s="696"/>
      <c r="N327" s="447" t="s">
        <v>718</v>
      </c>
      <c r="O327" s="436"/>
      <c r="P327" s="436"/>
      <c r="Q327" s="600"/>
    </row>
    <row r="328" spans="1:22">
      <c r="A328" s="657">
        <v>20130101</v>
      </c>
      <c r="B328" s="659" t="s">
        <v>1139</v>
      </c>
      <c r="C328" s="489" t="s">
        <v>416</v>
      </c>
      <c r="D328" s="660" t="str">
        <f t="shared" ref="D328:D357" si="23">A328&amp;C328</f>
        <v>20130101KUUM_300</v>
      </c>
      <c r="E328" s="710">
        <v>22.15</v>
      </c>
      <c r="F328" s="486">
        <v>200</v>
      </c>
      <c r="G328" s="661">
        <v>0.03</v>
      </c>
      <c r="H328" s="661">
        <v>0.54</v>
      </c>
      <c r="I328" s="661">
        <f>E328-G328-H328</f>
        <v>21.58</v>
      </c>
      <c r="J328" s="458" t="s">
        <v>418</v>
      </c>
      <c r="K328" s="661"/>
      <c r="L328" s="661"/>
      <c r="M328" s="661"/>
    </row>
    <row r="329" spans="1:22">
      <c r="A329" s="657">
        <v>20130101</v>
      </c>
      <c r="B329" s="659" t="s">
        <v>1139</v>
      </c>
      <c r="C329" s="489" t="s">
        <v>417</v>
      </c>
      <c r="D329" s="660" t="str">
        <f t="shared" si="23"/>
        <v>20130101KUUM_301</v>
      </c>
      <c r="E329" s="710">
        <v>23.1</v>
      </c>
      <c r="F329" s="486">
        <v>400</v>
      </c>
      <c r="G329" s="661">
        <v>0.03</v>
      </c>
      <c r="H329" s="661">
        <v>1.04</v>
      </c>
      <c r="I329" s="661">
        <f t="shared" ref="I329:I393" si="24">E329-G329-H329</f>
        <v>22.03</v>
      </c>
      <c r="J329" s="711" t="s">
        <v>419</v>
      </c>
      <c r="K329" s="661"/>
      <c r="L329" s="661"/>
      <c r="M329" s="661"/>
    </row>
    <row r="330" spans="1:22">
      <c r="A330" s="657">
        <v>20130101</v>
      </c>
      <c r="B330" s="659" t="s">
        <v>1139</v>
      </c>
      <c r="C330" s="659" t="s">
        <v>323</v>
      </c>
      <c r="D330" s="660" t="str">
        <f t="shared" si="23"/>
        <v>20130101KUUM_360</v>
      </c>
      <c r="E330" s="710">
        <v>53.01</v>
      </c>
      <c r="F330" s="486">
        <v>724</v>
      </c>
      <c r="G330" s="661">
        <v>0.23</v>
      </c>
      <c r="H330" s="661">
        <v>1.61</v>
      </c>
      <c r="I330" s="661">
        <f t="shared" si="24"/>
        <v>51.17</v>
      </c>
      <c r="J330" s="458" t="s">
        <v>232</v>
      </c>
      <c r="K330" s="661"/>
      <c r="L330" s="661"/>
      <c r="M330" s="661"/>
    </row>
    <row r="331" spans="1:22">
      <c r="A331" s="657">
        <v>20130101</v>
      </c>
      <c r="B331" s="659" t="s">
        <v>1139</v>
      </c>
      <c r="C331" s="659" t="s">
        <v>328</v>
      </c>
      <c r="D331" s="660" t="str">
        <f t="shared" si="23"/>
        <v>20130101KUUM_361</v>
      </c>
      <c r="E331" s="710">
        <v>80.84</v>
      </c>
      <c r="F331" s="486">
        <v>724</v>
      </c>
      <c r="G331" s="661">
        <v>0.23</v>
      </c>
      <c r="H331" s="661">
        <v>1.61</v>
      </c>
      <c r="I331" s="661">
        <f t="shared" si="24"/>
        <v>79</v>
      </c>
      <c r="J331" s="458" t="s">
        <v>237</v>
      </c>
      <c r="K331" s="661"/>
      <c r="L331" s="661"/>
      <c r="M331" s="661"/>
    </row>
    <row r="332" spans="1:22">
      <c r="A332" s="657">
        <v>20130101</v>
      </c>
      <c r="B332" s="659" t="s">
        <v>1139</v>
      </c>
      <c r="C332" s="659" t="s">
        <v>331</v>
      </c>
      <c r="D332" s="660" t="str">
        <f t="shared" si="23"/>
        <v>20130101KUUM_362</v>
      </c>
      <c r="E332" s="710">
        <v>57.46</v>
      </c>
      <c r="F332" s="486">
        <v>724</v>
      </c>
      <c r="G332" s="661">
        <v>0.23</v>
      </c>
      <c r="H332" s="661">
        <v>1.61</v>
      </c>
      <c r="I332" s="661">
        <f t="shared" si="24"/>
        <v>55.620000000000005</v>
      </c>
      <c r="J332" s="458" t="s">
        <v>240</v>
      </c>
      <c r="K332" s="661"/>
      <c r="L332" s="661"/>
      <c r="M332" s="661"/>
    </row>
    <row r="333" spans="1:22">
      <c r="A333" s="657">
        <v>20130101</v>
      </c>
      <c r="B333" s="659" t="s">
        <v>1139</v>
      </c>
      <c r="C333" s="659" t="s">
        <v>332</v>
      </c>
      <c r="D333" s="660" t="str">
        <f t="shared" si="23"/>
        <v>20130101KUUM_363</v>
      </c>
      <c r="E333" s="710">
        <v>59.43</v>
      </c>
      <c r="F333" s="486">
        <v>724</v>
      </c>
      <c r="G333" s="661">
        <v>0.23</v>
      </c>
      <c r="H333" s="661">
        <v>1.61</v>
      </c>
      <c r="I333" s="661">
        <f t="shared" si="24"/>
        <v>57.59</v>
      </c>
      <c r="J333" s="458" t="s">
        <v>241</v>
      </c>
      <c r="K333" s="458"/>
      <c r="L333" s="458"/>
      <c r="M333" s="458"/>
    </row>
    <row r="334" spans="1:22">
      <c r="A334" s="657">
        <v>20130101</v>
      </c>
      <c r="B334" s="659" t="s">
        <v>1139</v>
      </c>
      <c r="C334" s="659" t="s">
        <v>333</v>
      </c>
      <c r="D334" s="660" t="str">
        <f t="shared" si="23"/>
        <v>20130101KUUM_364</v>
      </c>
      <c r="E334" s="710">
        <v>60.79</v>
      </c>
      <c r="F334" s="486">
        <v>724</v>
      </c>
      <c r="G334" s="661">
        <v>0.23</v>
      </c>
      <c r="H334" s="661">
        <v>1.61</v>
      </c>
      <c r="I334" s="661">
        <f t="shared" si="24"/>
        <v>58.95</v>
      </c>
      <c r="J334" s="458" t="s">
        <v>242</v>
      </c>
      <c r="K334" s="458"/>
      <c r="L334" s="458"/>
      <c r="M334" s="458"/>
    </row>
    <row r="335" spans="1:22">
      <c r="A335" s="657">
        <v>20130101</v>
      </c>
      <c r="B335" s="659" t="s">
        <v>1139</v>
      </c>
      <c r="C335" s="659" t="s">
        <v>335</v>
      </c>
      <c r="D335" s="660" t="str">
        <f t="shared" si="23"/>
        <v>20130101KUUM_365</v>
      </c>
      <c r="E335" s="710">
        <v>78.62</v>
      </c>
      <c r="F335" s="486">
        <v>724</v>
      </c>
      <c r="G335" s="661">
        <v>0.23</v>
      </c>
      <c r="H335" s="661">
        <v>1.61</v>
      </c>
      <c r="I335" s="661">
        <f t="shared" si="24"/>
        <v>76.78</v>
      </c>
      <c r="J335" s="458" t="s">
        <v>244</v>
      </c>
      <c r="K335" s="458"/>
      <c r="L335" s="458"/>
      <c r="M335" s="458"/>
    </row>
    <row r="336" spans="1:22">
      <c r="A336" s="657">
        <v>20130101</v>
      </c>
      <c r="B336" s="659" t="s">
        <v>1139</v>
      </c>
      <c r="C336" s="659" t="s">
        <v>336</v>
      </c>
      <c r="D336" s="660" t="str">
        <f t="shared" si="23"/>
        <v>20130101KUUM_366</v>
      </c>
      <c r="E336" s="710">
        <v>76.650000000000006</v>
      </c>
      <c r="F336" s="486">
        <v>724</v>
      </c>
      <c r="G336" s="661">
        <v>0.23</v>
      </c>
      <c r="H336" s="661">
        <v>1.61</v>
      </c>
      <c r="I336" s="661">
        <f t="shared" si="24"/>
        <v>74.81</v>
      </c>
      <c r="J336" s="458" t="s">
        <v>245</v>
      </c>
      <c r="K336" s="458"/>
      <c r="L336" s="458"/>
      <c r="M336" s="458"/>
    </row>
    <row r="337" spans="1:13">
      <c r="A337" s="657">
        <v>20130101</v>
      </c>
      <c r="B337" s="659" t="s">
        <v>1139</v>
      </c>
      <c r="C337" s="659" t="s">
        <v>338</v>
      </c>
      <c r="D337" s="660" t="str">
        <f t="shared" si="23"/>
        <v>20130101KUUM_367</v>
      </c>
      <c r="E337" s="710">
        <v>58.910000000000004</v>
      </c>
      <c r="F337" s="486">
        <v>724</v>
      </c>
      <c r="G337" s="661">
        <v>0.23</v>
      </c>
      <c r="H337" s="661">
        <v>1.61</v>
      </c>
      <c r="I337" s="661">
        <f t="shared" si="24"/>
        <v>57.070000000000007</v>
      </c>
      <c r="J337" s="458" t="s">
        <v>247</v>
      </c>
      <c r="K337" s="458"/>
      <c r="L337" s="458"/>
      <c r="M337" s="458"/>
    </row>
    <row r="338" spans="1:13">
      <c r="A338" s="657">
        <v>20130101</v>
      </c>
      <c r="B338" s="659" t="s">
        <v>1139</v>
      </c>
      <c r="C338" s="659" t="s">
        <v>339</v>
      </c>
      <c r="D338" s="660" t="str">
        <f t="shared" si="23"/>
        <v>20130101KUUM_368</v>
      </c>
      <c r="E338" s="710">
        <v>54.37</v>
      </c>
      <c r="F338" s="486">
        <v>724</v>
      </c>
      <c r="G338" s="661">
        <v>0.23</v>
      </c>
      <c r="H338" s="661">
        <v>1.61</v>
      </c>
      <c r="I338" s="661">
        <f t="shared" si="24"/>
        <v>52.53</v>
      </c>
      <c r="J338" s="458" t="s">
        <v>248</v>
      </c>
      <c r="K338" s="458"/>
      <c r="L338" s="458"/>
      <c r="M338" s="458"/>
    </row>
    <row r="339" spans="1:13">
      <c r="A339" s="657">
        <v>20130101</v>
      </c>
      <c r="B339" s="659" t="s">
        <v>1139</v>
      </c>
      <c r="C339" s="659" t="s">
        <v>325</v>
      </c>
      <c r="D339" s="660" t="str">
        <f t="shared" si="23"/>
        <v>20130101KUUM_370</v>
      </c>
      <c r="E339" s="710">
        <v>72.2</v>
      </c>
      <c r="F339" s="486">
        <v>724</v>
      </c>
      <c r="G339" s="661">
        <v>0.23</v>
      </c>
      <c r="H339" s="661">
        <v>1.61</v>
      </c>
      <c r="I339" s="661">
        <f t="shared" si="24"/>
        <v>70.36</v>
      </c>
      <c r="J339" s="458" t="s">
        <v>234</v>
      </c>
      <c r="K339" s="458"/>
      <c r="L339" s="458"/>
      <c r="M339" s="458"/>
    </row>
    <row r="340" spans="1:13">
      <c r="A340" s="657">
        <v>20130101</v>
      </c>
      <c r="B340" s="659" t="s">
        <v>1139</v>
      </c>
      <c r="C340" s="489" t="s">
        <v>603</v>
      </c>
      <c r="D340" s="660" t="str">
        <f t="shared" si="23"/>
        <v>20130101KUUM_371</v>
      </c>
      <c r="E340" s="710">
        <v>100.03</v>
      </c>
      <c r="F340" s="486">
        <v>724</v>
      </c>
      <c r="G340" s="661">
        <v>0.23</v>
      </c>
      <c r="H340" s="661">
        <v>1.61</v>
      </c>
      <c r="I340" s="661">
        <f t="shared" si="24"/>
        <v>98.19</v>
      </c>
      <c r="J340" s="711" t="s">
        <v>1160</v>
      </c>
      <c r="K340" s="458"/>
      <c r="L340" s="458"/>
      <c r="M340" s="458"/>
    </row>
    <row r="341" spans="1:13">
      <c r="A341" s="657">
        <v>20130101</v>
      </c>
      <c r="B341" s="659" t="s">
        <v>1139</v>
      </c>
      <c r="C341" s="659" t="s">
        <v>334</v>
      </c>
      <c r="D341" s="660" t="str">
        <f t="shared" si="23"/>
        <v>20130101KUUM_372</v>
      </c>
      <c r="E341" s="710">
        <v>79.98</v>
      </c>
      <c r="F341" s="486">
        <v>724</v>
      </c>
      <c r="G341" s="661">
        <v>0.23</v>
      </c>
      <c r="H341" s="661">
        <v>1.61</v>
      </c>
      <c r="I341" s="661">
        <f t="shared" si="24"/>
        <v>78.14</v>
      </c>
      <c r="J341" s="458" t="s">
        <v>243</v>
      </c>
      <c r="K341" s="458"/>
      <c r="L341" s="458"/>
      <c r="M341" s="458"/>
    </row>
    <row r="342" spans="1:13">
      <c r="A342" s="657">
        <v>20130101</v>
      </c>
      <c r="B342" s="659" t="s">
        <v>1139</v>
      </c>
      <c r="C342" s="659" t="s">
        <v>326</v>
      </c>
      <c r="D342" s="660" t="str">
        <f t="shared" si="23"/>
        <v>20130101KUUM_373</v>
      </c>
      <c r="E342" s="710">
        <v>72.2</v>
      </c>
      <c r="F342" s="486">
        <v>724</v>
      </c>
      <c r="G342" s="661">
        <v>0.23</v>
      </c>
      <c r="H342" s="661">
        <v>1.61</v>
      </c>
      <c r="I342" s="661">
        <f t="shared" si="24"/>
        <v>70.36</v>
      </c>
      <c r="J342" s="458" t="s">
        <v>235</v>
      </c>
      <c r="K342" s="458"/>
      <c r="L342" s="458"/>
      <c r="M342" s="458"/>
    </row>
    <row r="343" spans="1:13">
      <c r="A343" s="657">
        <v>20130101</v>
      </c>
      <c r="B343" s="659" t="s">
        <v>1139</v>
      </c>
      <c r="C343" s="659" t="s">
        <v>330</v>
      </c>
      <c r="D343" s="660" t="str">
        <f t="shared" si="23"/>
        <v>20130101KUUM_374</v>
      </c>
      <c r="E343" s="710">
        <v>73.56</v>
      </c>
      <c r="F343" s="486">
        <v>724</v>
      </c>
      <c r="G343" s="661">
        <v>0.23</v>
      </c>
      <c r="H343" s="661">
        <v>1.61</v>
      </c>
      <c r="I343" s="661">
        <f t="shared" si="24"/>
        <v>71.72</v>
      </c>
      <c r="J343" s="458" t="s">
        <v>239</v>
      </c>
      <c r="K343" s="458"/>
      <c r="L343" s="458"/>
      <c r="M343" s="458"/>
    </row>
    <row r="344" spans="1:13">
      <c r="A344" s="657">
        <v>20130101</v>
      </c>
      <c r="B344" s="659" t="s">
        <v>1139</v>
      </c>
      <c r="C344" s="659" t="s">
        <v>337</v>
      </c>
      <c r="D344" s="660" t="str">
        <f t="shared" si="23"/>
        <v>20130101KUUM_375</v>
      </c>
      <c r="E344" s="710">
        <v>76.650000000000006</v>
      </c>
      <c r="F344" s="486">
        <v>724</v>
      </c>
      <c r="G344" s="661">
        <v>0.23</v>
      </c>
      <c r="H344" s="661">
        <v>1.61</v>
      </c>
      <c r="I344" s="661">
        <f t="shared" si="24"/>
        <v>74.81</v>
      </c>
      <c r="J344" s="458" t="s">
        <v>246</v>
      </c>
      <c r="K344" s="458"/>
      <c r="L344" s="458"/>
      <c r="M344" s="458"/>
    </row>
    <row r="345" spans="1:13">
      <c r="A345" s="657">
        <v>20130101</v>
      </c>
      <c r="B345" s="659" t="s">
        <v>1139</v>
      </c>
      <c r="C345" s="659" t="s">
        <v>329</v>
      </c>
      <c r="D345" s="660" t="str">
        <f t="shared" si="23"/>
        <v>20130101KUUM_376</v>
      </c>
      <c r="E345" s="710">
        <v>74.94</v>
      </c>
      <c r="F345" s="486">
        <v>724</v>
      </c>
      <c r="G345" s="661">
        <v>0.23</v>
      </c>
      <c r="H345" s="661">
        <v>1.61</v>
      </c>
      <c r="I345" s="661">
        <f t="shared" si="24"/>
        <v>73.099999999999994</v>
      </c>
      <c r="J345" s="458" t="s">
        <v>238</v>
      </c>
      <c r="K345" s="458"/>
      <c r="L345" s="458"/>
      <c r="M345" s="458"/>
    </row>
    <row r="346" spans="1:13">
      <c r="A346" s="657">
        <v>20130101</v>
      </c>
      <c r="B346" s="659" t="s">
        <v>1139</v>
      </c>
      <c r="C346" s="659" t="s">
        <v>327</v>
      </c>
      <c r="D346" s="660" t="str">
        <f t="shared" si="23"/>
        <v>20130101KUUM_377</v>
      </c>
      <c r="E346" s="710">
        <v>61.87</v>
      </c>
      <c r="F346" s="486">
        <v>724</v>
      </c>
      <c r="G346" s="661">
        <v>0.23</v>
      </c>
      <c r="H346" s="661">
        <v>1.61</v>
      </c>
      <c r="I346" s="661">
        <f t="shared" si="24"/>
        <v>60.03</v>
      </c>
      <c r="J346" s="458" t="s">
        <v>236</v>
      </c>
      <c r="K346" s="458"/>
      <c r="L346" s="458"/>
      <c r="M346" s="458"/>
    </row>
    <row r="347" spans="1:13">
      <c r="A347" s="657">
        <v>20130101</v>
      </c>
      <c r="B347" s="659" t="s">
        <v>1139</v>
      </c>
      <c r="C347" s="489" t="s">
        <v>453</v>
      </c>
      <c r="D347" s="660" t="str">
        <f t="shared" si="23"/>
        <v>20130101KUUM_378</v>
      </c>
      <c r="E347" s="712">
        <v>73.58</v>
      </c>
      <c r="F347" s="486">
        <v>724</v>
      </c>
      <c r="G347" s="661">
        <v>0.23</v>
      </c>
      <c r="H347" s="661">
        <v>1.61</v>
      </c>
      <c r="I347" s="661">
        <f t="shared" si="24"/>
        <v>71.739999999999995</v>
      </c>
      <c r="J347" s="711" t="s">
        <v>452</v>
      </c>
      <c r="K347" s="458"/>
      <c r="L347" s="458"/>
      <c r="M347" s="458"/>
    </row>
    <row r="348" spans="1:13">
      <c r="A348" s="657">
        <v>20130101</v>
      </c>
      <c r="B348" s="659" t="s">
        <v>1139</v>
      </c>
      <c r="C348" s="713" t="s">
        <v>616</v>
      </c>
      <c r="D348" s="714" t="str">
        <f t="shared" si="23"/>
        <v>20130101KUUM_379</v>
      </c>
      <c r="E348" s="712">
        <v>78.52</v>
      </c>
      <c r="F348" s="715">
        <v>724</v>
      </c>
      <c r="G348" s="716">
        <v>0.23</v>
      </c>
      <c r="H348" s="716">
        <v>1.61</v>
      </c>
      <c r="I348" s="661">
        <f t="shared" si="24"/>
        <v>76.679999999999993</v>
      </c>
      <c r="J348" s="717" t="s">
        <v>679</v>
      </c>
      <c r="K348" s="718"/>
      <c r="L348" s="718"/>
      <c r="M348" s="718"/>
    </row>
    <row r="349" spans="1:13">
      <c r="A349" s="657">
        <v>20130101</v>
      </c>
      <c r="B349" s="659" t="s">
        <v>1139</v>
      </c>
      <c r="C349" s="713" t="s">
        <v>617</v>
      </c>
      <c r="D349" s="714" t="str">
        <f t="shared" si="23"/>
        <v>20130101KUUM_380</v>
      </c>
      <c r="E349" s="712">
        <v>82.44</v>
      </c>
      <c r="F349" s="715">
        <v>724</v>
      </c>
      <c r="G349" s="716">
        <v>0.23</v>
      </c>
      <c r="H349" s="716">
        <v>1.61</v>
      </c>
      <c r="I349" s="661">
        <f t="shared" si="24"/>
        <v>80.599999999999994</v>
      </c>
      <c r="J349" s="717" t="s">
        <v>680</v>
      </c>
      <c r="K349" s="718"/>
      <c r="L349" s="718"/>
      <c r="M349" s="718"/>
    </row>
    <row r="350" spans="1:13">
      <c r="A350" s="657">
        <v>20130101</v>
      </c>
      <c r="B350" s="659" t="s">
        <v>1139</v>
      </c>
      <c r="C350" s="713" t="s">
        <v>618</v>
      </c>
      <c r="D350" s="714" t="str">
        <f t="shared" si="23"/>
        <v>20130101KUUM_381</v>
      </c>
      <c r="E350" s="712">
        <v>83.8</v>
      </c>
      <c r="F350" s="715">
        <v>724</v>
      </c>
      <c r="G350" s="716">
        <v>0.23</v>
      </c>
      <c r="H350" s="716">
        <v>1.61</v>
      </c>
      <c r="I350" s="661">
        <f t="shared" si="24"/>
        <v>81.96</v>
      </c>
      <c r="J350" s="717" t="s">
        <v>681</v>
      </c>
      <c r="K350" s="718"/>
      <c r="L350" s="718"/>
      <c r="M350" s="718"/>
    </row>
    <row r="351" spans="1:13">
      <c r="A351" s="657">
        <v>20130101</v>
      </c>
      <c r="B351" s="659" t="s">
        <v>1139</v>
      </c>
      <c r="C351" s="713" t="s">
        <v>619</v>
      </c>
      <c r="D351" s="714" t="str">
        <f t="shared" si="23"/>
        <v>20130101KUUM_382</v>
      </c>
      <c r="E351" s="710">
        <v>80.899999999999991</v>
      </c>
      <c r="F351" s="715">
        <v>724</v>
      </c>
      <c r="G351" s="716">
        <v>0.23</v>
      </c>
      <c r="H351" s="716">
        <v>1.61</v>
      </c>
      <c r="I351" s="661">
        <f t="shared" si="24"/>
        <v>79.059999999999988</v>
      </c>
      <c r="J351" s="717" t="s">
        <v>682</v>
      </c>
      <c r="K351" s="718"/>
      <c r="L351" s="718"/>
      <c r="M351" s="718"/>
    </row>
    <row r="352" spans="1:13">
      <c r="A352" s="657">
        <v>20130101</v>
      </c>
      <c r="B352" s="659" t="s">
        <v>1139</v>
      </c>
      <c r="C352" s="659" t="s">
        <v>324</v>
      </c>
      <c r="D352" s="660" t="str">
        <f t="shared" si="23"/>
        <v>20130101KUUM_395</v>
      </c>
      <c r="E352" s="710">
        <v>53.01</v>
      </c>
      <c r="F352" s="486">
        <v>724</v>
      </c>
      <c r="G352" s="661">
        <v>0.23</v>
      </c>
      <c r="H352" s="661">
        <v>1.61</v>
      </c>
      <c r="I352" s="661">
        <f t="shared" si="24"/>
        <v>51.17</v>
      </c>
      <c r="J352" s="458" t="s">
        <v>233</v>
      </c>
      <c r="K352" s="458"/>
      <c r="L352" s="458"/>
      <c r="M352" s="458"/>
    </row>
    <row r="353" spans="1:13">
      <c r="A353" s="657">
        <v>20130101</v>
      </c>
      <c r="B353" s="659"/>
      <c r="C353" s="489" t="s">
        <v>410</v>
      </c>
      <c r="D353" s="660" t="str">
        <f t="shared" si="23"/>
        <v>20130101KUUM_400</v>
      </c>
      <c r="E353" s="710"/>
      <c r="F353" s="486">
        <v>240</v>
      </c>
      <c r="G353" s="661">
        <v>0.03</v>
      </c>
      <c r="H353" s="661">
        <v>0.53</v>
      </c>
      <c r="I353" s="661">
        <f t="shared" si="24"/>
        <v>-0.56000000000000005</v>
      </c>
      <c r="J353" s="711" t="s">
        <v>411</v>
      </c>
      <c r="K353" s="458"/>
      <c r="L353" s="458"/>
      <c r="M353" s="458"/>
    </row>
    <row r="354" spans="1:13">
      <c r="A354" s="657">
        <v>20130101</v>
      </c>
      <c r="B354" s="659" t="s">
        <v>1139</v>
      </c>
      <c r="C354" s="659" t="s">
        <v>366</v>
      </c>
      <c r="D354" s="660" t="str">
        <f t="shared" si="23"/>
        <v>20130101KUUM_401</v>
      </c>
      <c r="E354" s="710">
        <v>14.41</v>
      </c>
      <c r="F354" s="486">
        <v>332</v>
      </c>
      <c r="G354" s="661">
        <v>0.04</v>
      </c>
      <c r="H354" s="661">
        <v>0.74</v>
      </c>
      <c r="I354" s="661">
        <f t="shared" si="24"/>
        <v>13.63</v>
      </c>
      <c r="J354" s="458" t="s">
        <v>275</v>
      </c>
      <c r="K354" s="458"/>
      <c r="L354" s="458"/>
      <c r="M354" s="458"/>
    </row>
    <row r="355" spans="1:13">
      <c r="A355" s="657">
        <v>20130101</v>
      </c>
      <c r="B355" s="659" t="s">
        <v>1140</v>
      </c>
      <c r="C355" s="659" t="s">
        <v>386</v>
      </c>
      <c r="D355" s="660" t="str">
        <f t="shared" si="23"/>
        <v>20130101KUUM_404</v>
      </c>
      <c r="E355" s="710">
        <v>10.07</v>
      </c>
      <c r="F355" s="486">
        <v>828</v>
      </c>
      <c r="G355" s="661">
        <v>0.04</v>
      </c>
      <c r="H355" s="661">
        <v>1.84</v>
      </c>
      <c r="I355" s="661">
        <f t="shared" si="24"/>
        <v>8.1900000000000013</v>
      </c>
      <c r="J355" s="458" t="s">
        <v>295</v>
      </c>
      <c r="K355" s="458"/>
      <c r="L355" s="458"/>
      <c r="M355" s="458"/>
    </row>
    <row r="356" spans="1:13">
      <c r="A356" s="657">
        <v>20130101</v>
      </c>
      <c r="B356" s="659" t="s">
        <v>1140</v>
      </c>
      <c r="C356" s="659" t="s">
        <v>342</v>
      </c>
      <c r="D356" s="660" t="str">
        <f t="shared" si="23"/>
        <v>20130101KUUM_405</v>
      </c>
      <c r="E356" s="710">
        <v>14.28</v>
      </c>
      <c r="F356" s="486">
        <v>1812</v>
      </c>
      <c r="G356" s="661">
        <v>0.05</v>
      </c>
      <c r="H356" s="661">
        <v>4.03</v>
      </c>
      <c r="I356" s="661">
        <f t="shared" si="24"/>
        <v>10.199999999999999</v>
      </c>
      <c r="J356" s="458" t="s">
        <v>251</v>
      </c>
      <c r="K356" s="458"/>
      <c r="L356" s="458"/>
      <c r="M356" s="458"/>
    </row>
    <row r="357" spans="1:13">
      <c r="A357" s="657">
        <v>20130101</v>
      </c>
      <c r="B357" s="659"/>
      <c r="C357" s="489" t="s">
        <v>693</v>
      </c>
      <c r="D357" s="660" t="str">
        <f t="shared" si="23"/>
        <v>20130101KUUM_406</v>
      </c>
      <c r="E357" s="710"/>
      <c r="F357" s="486">
        <v>828</v>
      </c>
      <c r="G357" s="661">
        <v>0.04</v>
      </c>
      <c r="H357" s="661">
        <v>1.84</v>
      </c>
      <c r="I357" s="661">
        <f t="shared" si="24"/>
        <v>-1.8800000000000001</v>
      </c>
      <c r="J357" s="458" t="s">
        <v>692</v>
      </c>
      <c r="K357" s="458"/>
      <c r="L357" s="458"/>
      <c r="M357" s="458"/>
    </row>
    <row r="358" spans="1:13">
      <c r="A358" s="657">
        <v>20130101</v>
      </c>
      <c r="B358" s="659" t="s">
        <v>1139</v>
      </c>
      <c r="C358" s="659" t="s">
        <v>378</v>
      </c>
      <c r="D358" s="660" t="str">
        <f>A358&amp;C358</f>
        <v>20130101KUUM_407</v>
      </c>
      <c r="E358" s="710">
        <v>21.78</v>
      </c>
      <c r="F358" s="486">
        <v>1884</v>
      </c>
      <c r="G358" s="661">
        <v>0.08</v>
      </c>
      <c r="H358" s="661">
        <v>4.18</v>
      </c>
      <c r="I358" s="661">
        <f t="shared" si="24"/>
        <v>17.520000000000003</v>
      </c>
      <c r="J358" s="458" t="s">
        <v>287</v>
      </c>
      <c r="K358" s="458"/>
      <c r="L358" s="458"/>
      <c r="M358" s="458"/>
    </row>
    <row r="359" spans="1:13">
      <c r="A359" s="657">
        <v>20130101</v>
      </c>
      <c r="B359" s="659" t="s">
        <v>1140</v>
      </c>
      <c r="C359" s="659" t="s">
        <v>343</v>
      </c>
      <c r="D359" s="660" t="str">
        <f>A359&amp;C359</f>
        <v>20130101KUUM_408</v>
      </c>
      <c r="E359" s="710">
        <v>12.01</v>
      </c>
      <c r="F359" s="486">
        <v>1812</v>
      </c>
      <c r="G359" s="661">
        <v>0.05</v>
      </c>
      <c r="H359" s="661">
        <v>4.03</v>
      </c>
      <c r="I359" s="661">
        <f t="shared" si="24"/>
        <v>7.9299999999999988</v>
      </c>
      <c r="J359" s="458" t="s">
        <v>252</v>
      </c>
      <c r="K359" s="458"/>
      <c r="L359" s="458"/>
      <c r="M359" s="458"/>
    </row>
    <row r="360" spans="1:13">
      <c r="A360" s="657">
        <v>20130101</v>
      </c>
      <c r="B360" s="659" t="s">
        <v>1140</v>
      </c>
      <c r="C360" s="659" t="s">
        <v>382</v>
      </c>
      <c r="D360" s="660" t="str">
        <f>A360&amp;C360</f>
        <v>20130101KUUM_409</v>
      </c>
      <c r="E360" s="710">
        <v>10.65</v>
      </c>
      <c r="F360" s="486">
        <v>1884</v>
      </c>
      <c r="G360" s="661">
        <v>0.08</v>
      </c>
      <c r="H360" s="661">
        <v>4.18</v>
      </c>
      <c r="I360" s="661">
        <f t="shared" si="24"/>
        <v>6.3900000000000006</v>
      </c>
      <c r="J360" s="458" t="s">
        <v>291</v>
      </c>
      <c r="K360" s="458"/>
      <c r="L360" s="458"/>
      <c r="M360" s="458"/>
    </row>
    <row r="361" spans="1:13">
      <c r="A361" s="657">
        <v>20130101</v>
      </c>
      <c r="B361" s="659" t="s">
        <v>1140</v>
      </c>
      <c r="C361" s="659" t="s">
        <v>360</v>
      </c>
      <c r="D361" s="660" t="str">
        <f>A361&amp;C361</f>
        <v>20130101KUUM_410</v>
      </c>
      <c r="E361" s="710">
        <v>19.920000000000002</v>
      </c>
      <c r="F361" s="486">
        <v>240</v>
      </c>
      <c r="G361" s="661">
        <v>0.03</v>
      </c>
      <c r="H361" s="661">
        <v>0.53</v>
      </c>
      <c r="I361" s="661">
        <f t="shared" si="24"/>
        <v>19.36</v>
      </c>
      <c r="J361" s="458" t="s">
        <v>269</v>
      </c>
      <c r="K361" s="458"/>
      <c r="L361" s="458"/>
      <c r="M361" s="458"/>
    </row>
    <row r="362" spans="1:13">
      <c r="A362" s="657">
        <v>20130101</v>
      </c>
      <c r="B362" s="659" t="s">
        <v>1139</v>
      </c>
      <c r="C362" s="659" t="s">
        <v>368</v>
      </c>
      <c r="D362" s="660" t="str">
        <f>A362&amp;C362</f>
        <v>20130101KUUM_411</v>
      </c>
      <c r="E362" s="710">
        <v>20.93</v>
      </c>
      <c r="F362" s="486">
        <v>332</v>
      </c>
      <c r="G362" s="661">
        <v>0.04</v>
      </c>
      <c r="H362" s="661">
        <v>0.74</v>
      </c>
      <c r="I362" s="661">
        <f t="shared" si="24"/>
        <v>20.150000000000002</v>
      </c>
      <c r="J362" s="458" t="s">
        <v>277</v>
      </c>
      <c r="K362" s="458"/>
      <c r="L362" s="458"/>
      <c r="M362" s="458"/>
    </row>
    <row r="363" spans="1:13">
      <c r="A363" s="657">
        <v>20130101</v>
      </c>
      <c r="B363" s="659" t="s">
        <v>1140</v>
      </c>
      <c r="C363" s="659" t="s">
        <v>370</v>
      </c>
      <c r="D363" s="660" t="str">
        <f t="shared" ref="D363:D426" si="25">A363&amp;C363</f>
        <v>20130101KUUM_412</v>
      </c>
      <c r="E363" s="710">
        <v>30.39</v>
      </c>
      <c r="F363" s="486">
        <v>332</v>
      </c>
      <c r="G363" s="661">
        <v>0.04</v>
      </c>
      <c r="H363" s="661">
        <v>0.74</v>
      </c>
      <c r="I363" s="661">
        <f t="shared" si="24"/>
        <v>29.610000000000003</v>
      </c>
      <c r="J363" s="458" t="s">
        <v>279</v>
      </c>
      <c r="K363" s="458"/>
      <c r="L363" s="458"/>
      <c r="M363" s="458"/>
    </row>
    <row r="364" spans="1:13">
      <c r="A364" s="657">
        <v>20130101</v>
      </c>
      <c r="B364" s="659" t="s">
        <v>1140</v>
      </c>
      <c r="C364" s="659" t="s">
        <v>393</v>
      </c>
      <c r="D364" s="660" t="str">
        <f t="shared" si="25"/>
        <v>20130101KUUM_413</v>
      </c>
      <c r="E364" s="710">
        <v>30.82</v>
      </c>
      <c r="F364" s="486">
        <v>468</v>
      </c>
      <c r="G364" s="661">
        <v>0.03</v>
      </c>
      <c r="H364" s="661">
        <v>1.04</v>
      </c>
      <c r="I364" s="661">
        <f t="shared" si="24"/>
        <v>29.75</v>
      </c>
      <c r="J364" s="458" t="s">
        <v>302</v>
      </c>
      <c r="K364" s="458"/>
      <c r="L364" s="458"/>
      <c r="M364" s="458"/>
    </row>
    <row r="365" spans="1:13">
      <c r="A365" s="657">
        <v>20130101</v>
      </c>
      <c r="B365" s="659" t="s">
        <v>1139</v>
      </c>
      <c r="C365" s="659" t="s">
        <v>371</v>
      </c>
      <c r="D365" s="660" t="str">
        <f t="shared" si="25"/>
        <v>20130101KUUM_414</v>
      </c>
      <c r="E365" s="710">
        <v>30.39</v>
      </c>
      <c r="F365" s="486">
        <v>332</v>
      </c>
      <c r="G365" s="661">
        <v>0.04</v>
      </c>
      <c r="H365" s="661">
        <v>0.74</v>
      </c>
      <c r="I365" s="661">
        <f t="shared" si="24"/>
        <v>29.610000000000003</v>
      </c>
      <c r="J365" s="458" t="s">
        <v>280</v>
      </c>
      <c r="K365" s="458"/>
      <c r="L365" s="458"/>
      <c r="M365" s="458"/>
    </row>
    <row r="366" spans="1:13">
      <c r="A366" s="657">
        <v>20130101</v>
      </c>
      <c r="B366" s="659" t="s">
        <v>1139</v>
      </c>
      <c r="C366" s="659" t="s">
        <v>394</v>
      </c>
      <c r="D366" s="660" t="str">
        <f t="shared" si="25"/>
        <v>20130101KUUM_415</v>
      </c>
      <c r="E366" s="710">
        <v>30.82</v>
      </c>
      <c r="F366" s="486">
        <v>468</v>
      </c>
      <c r="G366" s="661">
        <v>0.03</v>
      </c>
      <c r="H366" s="661">
        <v>1.04</v>
      </c>
      <c r="I366" s="661">
        <f t="shared" si="24"/>
        <v>29.75</v>
      </c>
      <c r="J366" s="458" t="s">
        <v>303</v>
      </c>
      <c r="K366" s="458"/>
      <c r="L366" s="458"/>
      <c r="M366" s="458"/>
    </row>
    <row r="367" spans="1:13">
      <c r="A367" s="657">
        <v>20130101</v>
      </c>
      <c r="B367" s="659" t="s">
        <v>1139</v>
      </c>
      <c r="C367" s="659" t="s">
        <v>389</v>
      </c>
      <c r="D367" s="660" t="str">
        <f t="shared" si="25"/>
        <v>20130101KUUM_420</v>
      </c>
      <c r="E367" s="710">
        <v>14.96</v>
      </c>
      <c r="F367" s="486">
        <v>468</v>
      </c>
      <c r="G367" s="661">
        <v>0.03</v>
      </c>
      <c r="H367" s="661">
        <v>1.04</v>
      </c>
      <c r="I367" s="661">
        <f t="shared" si="24"/>
        <v>13.89</v>
      </c>
      <c r="J367" s="458" t="s">
        <v>298</v>
      </c>
      <c r="K367" s="458"/>
      <c r="L367" s="458"/>
      <c r="M367" s="458"/>
    </row>
    <row r="368" spans="1:13">
      <c r="A368" s="657">
        <v>20130101</v>
      </c>
      <c r="B368" s="659" t="s">
        <v>1140</v>
      </c>
      <c r="C368" s="659" t="s">
        <v>310</v>
      </c>
      <c r="D368" s="660" t="str">
        <f t="shared" si="25"/>
        <v>20130101KUUM_421</v>
      </c>
      <c r="E368" s="710">
        <v>3.2</v>
      </c>
      <c r="F368" s="486">
        <v>408</v>
      </c>
      <c r="G368" s="661">
        <v>0.01</v>
      </c>
      <c r="H368" s="661">
        <v>0.91</v>
      </c>
      <c r="I368" s="661">
        <f t="shared" si="24"/>
        <v>2.2800000000000002</v>
      </c>
      <c r="J368" s="661" t="s">
        <v>219</v>
      </c>
      <c r="K368" s="458"/>
      <c r="L368" s="458"/>
      <c r="M368" s="458"/>
    </row>
    <row r="369" spans="1:13">
      <c r="A369" s="657">
        <v>20130101</v>
      </c>
      <c r="B369" s="659" t="s">
        <v>1140</v>
      </c>
      <c r="C369" s="659" t="s">
        <v>340</v>
      </c>
      <c r="D369" s="660" t="str">
        <f t="shared" si="25"/>
        <v>20130101KUUM_422</v>
      </c>
      <c r="E369" s="710">
        <v>4.25</v>
      </c>
      <c r="F369" s="486">
        <v>804</v>
      </c>
      <c r="G369" s="661">
        <v>0.02</v>
      </c>
      <c r="H369" s="661">
        <v>1.79</v>
      </c>
      <c r="I369" s="661">
        <f t="shared" si="24"/>
        <v>2.4400000000000004</v>
      </c>
      <c r="J369" s="458" t="s">
        <v>249</v>
      </c>
      <c r="K369" s="458"/>
      <c r="L369" s="458"/>
      <c r="M369" s="458"/>
    </row>
    <row r="370" spans="1:13">
      <c r="A370" s="657">
        <v>20130101</v>
      </c>
      <c r="B370" s="659" t="s">
        <v>1140</v>
      </c>
      <c r="C370" s="659" t="s">
        <v>358</v>
      </c>
      <c r="D370" s="660" t="str">
        <f t="shared" si="25"/>
        <v>20130101KUUM_424</v>
      </c>
      <c r="E370" s="710">
        <v>6.32</v>
      </c>
      <c r="F370" s="486">
        <v>1308</v>
      </c>
      <c r="G370" s="661">
        <v>0.02</v>
      </c>
      <c r="H370" s="661">
        <v>0.46</v>
      </c>
      <c r="I370" s="661">
        <f t="shared" si="24"/>
        <v>5.8400000000000007</v>
      </c>
      <c r="J370" s="458" t="s">
        <v>267</v>
      </c>
      <c r="K370" s="458"/>
      <c r="L370" s="458"/>
      <c r="M370" s="458"/>
    </row>
    <row r="371" spans="1:13">
      <c r="A371" s="657">
        <v>20130101</v>
      </c>
      <c r="B371" s="659" t="s">
        <v>1140</v>
      </c>
      <c r="C371" s="659" t="s">
        <v>383</v>
      </c>
      <c r="D371" s="660" t="str">
        <f t="shared" si="25"/>
        <v>20130101KUUM_425</v>
      </c>
      <c r="E371" s="710">
        <v>8.43</v>
      </c>
      <c r="F371" s="486">
        <v>1788</v>
      </c>
      <c r="G371" s="661">
        <v>0.03</v>
      </c>
      <c r="H371" s="661">
        <v>3.97</v>
      </c>
      <c r="I371" s="661">
        <f t="shared" si="24"/>
        <v>4.43</v>
      </c>
      <c r="J371" s="458" t="s">
        <v>292</v>
      </c>
      <c r="K371" s="458"/>
      <c r="L371" s="458"/>
      <c r="M371" s="458"/>
    </row>
    <row r="372" spans="1:13">
      <c r="A372" s="657">
        <v>20130101</v>
      </c>
      <c r="B372" s="659" t="s">
        <v>1140</v>
      </c>
      <c r="C372" s="659" t="s">
        <v>375</v>
      </c>
      <c r="D372" s="660" t="str">
        <f t="shared" si="25"/>
        <v>20130101KUUM_426</v>
      </c>
      <c r="E372" s="710">
        <v>6.99</v>
      </c>
      <c r="F372" s="486">
        <v>332</v>
      </c>
      <c r="G372" s="661">
        <v>0.04</v>
      </c>
      <c r="H372" s="661">
        <v>0.74</v>
      </c>
      <c r="I372" s="661">
        <f t="shared" si="24"/>
        <v>6.21</v>
      </c>
      <c r="J372" s="458" t="s">
        <v>284</v>
      </c>
      <c r="K372" s="458"/>
      <c r="L372" s="458"/>
      <c r="M372" s="458"/>
    </row>
    <row r="373" spans="1:13">
      <c r="A373" s="657">
        <v>20130101</v>
      </c>
      <c r="B373" s="659" t="s">
        <v>1139</v>
      </c>
      <c r="C373" s="659" t="s">
        <v>400</v>
      </c>
      <c r="D373" s="660" t="str">
        <f t="shared" si="25"/>
        <v>20130101KUUM_428</v>
      </c>
      <c r="E373" s="710">
        <v>7.44</v>
      </c>
      <c r="F373" s="486">
        <v>468</v>
      </c>
      <c r="G373" s="661">
        <v>0.03</v>
      </c>
      <c r="H373" s="661">
        <v>1.04</v>
      </c>
      <c r="I373" s="661">
        <f t="shared" si="24"/>
        <v>6.37</v>
      </c>
      <c r="J373" s="458" t="s">
        <v>309</v>
      </c>
      <c r="K373" s="458"/>
      <c r="L373" s="458"/>
      <c r="M373" s="458"/>
    </row>
    <row r="374" spans="1:13">
      <c r="A374" s="657">
        <v>20130101</v>
      </c>
      <c r="B374" s="659" t="s">
        <v>1139</v>
      </c>
      <c r="C374" s="659" t="s">
        <v>346</v>
      </c>
      <c r="D374" s="660" t="str">
        <f t="shared" si="25"/>
        <v>20130101KUUM_429</v>
      </c>
      <c r="E374" s="710">
        <v>13.55</v>
      </c>
      <c r="F374" s="486">
        <v>968</v>
      </c>
      <c r="G374" s="661">
        <v>0.06</v>
      </c>
      <c r="H374" s="661">
        <v>2.15</v>
      </c>
      <c r="I374" s="661">
        <f t="shared" si="24"/>
        <v>11.34</v>
      </c>
      <c r="J374" s="458" t="s">
        <v>255</v>
      </c>
      <c r="K374" s="458"/>
      <c r="L374" s="458"/>
      <c r="M374" s="458"/>
    </row>
    <row r="375" spans="1:13">
      <c r="A375" s="657">
        <v>20130101</v>
      </c>
      <c r="B375" s="659" t="s">
        <v>1139</v>
      </c>
      <c r="C375" s="659" t="s">
        <v>391</v>
      </c>
      <c r="D375" s="660" t="str">
        <f t="shared" si="25"/>
        <v>20130101KUUM_430</v>
      </c>
      <c r="E375" s="710">
        <v>21.6</v>
      </c>
      <c r="F375" s="486">
        <v>468</v>
      </c>
      <c r="G375" s="661">
        <v>0.03</v>
      </c>
      <c r="H375" s="661">
        <v>1.04</v>
      </c>
      <c r="I375" s="661">
        <f t="shared" si="24"/>
        <v>20.53</v>
      </c>
      <c r="J375" s="458" t="s">
        <v>300</v>
      </c>
      <c r="K375" s="458"/>
      <c r="L375" s="458"/>
      <c r="M375" s="458"/>
    </row>
    <row r="376" spans="1:13">
      <c r="A376" s="657">
        <v>20130101</v>
      </c>
      <c r="B376" s="659"/>
      <c r="C376" s="489" t="s">
        <v>402</v>
      </c>
      <c r="D376" s="660" t="str">
        <f t="shared" si="25"/>
        <v>20130101KUUM_431</v>
      </c>
      <c r="E376" s="710"/>
      <c r="F376" s="486">
        <v>408</v>
      </c>
      <c r="G376" s="661">
        <v>0.01</v>
      </c>
      <c r="H376" s="661">
        <v>0.91</v>
      </c>
      <c r="I376" s="661">
        <f t="shared" si="24"/>
        <v>-0.92</v>
      </c>
      <c r="J376" s="719" t="s">
        <v>403</v>
      </c>
      <c r="K376" s="458"/>
      <c r="L376" s="458"/>
      <c r="M376" s="458"/>
    </row>
    <row r="377" spans="1:13">
      <c r="A377" s="657">
        <v>20130101</v>
      </c>
      <c r="B377" s="659"/>
      <c r="C377" s="489" t="s">
        <v>404</v>
      </c>
      <c r="D377" s="660" t="str">
        <f t="shared" si="25"/>
        <v>20130101KUUM_432</v>
      </c>
      <c r="E377" s="710"/>
      <c r="F377" s="486">
        <v>804</v>
      </c>
      <c r="G377" s="661">
        <v>0.02</v>
      </c>
      <c r="H377" s="661">
        <v>1.79</v>
      </c>
      <c r="I377" s="661">
        <f t="shared" si="24"/>
        <v>-1.81</v>
      </c>
      <c r="J377" s="711" t="s">
        <v>405</v>
      </c>
      <c r="K377" s="458"/>
      <c r="L377" s="458"/>
      <c r="M377" s="458"/>
    </row>
    <row r="378" spans="1:13">
      <c r="A378" s="657">
        <v>20130101</v>
      </c>
      <c r="B378" s="659"/>
      <c r="C378" s="489" t="s">
        <v>406</v>
      </c>
      <c r="D378" s="660" t="str">
        <f t="shared" si="25"/>
        <v>20130101KUUM_433</v>
      </c>
      <c r="E378" s="710"/>
      <c r="F378" s="486">
        <v>724</v>
      </c>
      <c r="G378" s="661">
        <v>0.23</v>
      </c>
      <c r="H378" s="661">
        <v>1.61</v>
      </c>
      <c r="I378" s="661">
        <f t="shared" si="24"/>
        <v>-1.84</v>
      </c>
      <c r="J378" s="711" t="s">
        <v>407</v>
      </c>
      <c r="K378" s="458"/>
      <c r="L378" s="458"/>
      <c r="M378" s="458"/>
    </row>
    <row r="379" spans="1:13">
      <c r="A379" s="657">
        <v>20130101</v>
      </c>
      <c r="B379" s="659" t="s">
        <v>1140</v>
      </c>
      <c r="C379" s="659" t="s">
        <v>357</v>
      </c>
      <c r="D379" s="660" t="str">
        <f t="shared" si="25"/>
        <v>20130101KUUM_434</v>
      </c>
      <c r="E379" s="710">
        <v>7.28</v>
      </c>
      <c r="F379" s="486">
        <v>1308</v>
      </c>
      <c r="G379" s="661">
        <v>0.02</v>
      </c>
      <c r="H379" s="661">
        <v>0.46</v>
      </c>
      <c r="I379" s="661">
        <f t="shared" si="24"/>
        <v>6.8000000000000007</v>
      </c>
      <c r="J379" s="458" t="s">
        <v>266</v>
      </c>
      <c r="K379" s="458"/>
      <c r="L379" s="458"/>
      <c r="M379" s="458"/>
    </row>
    <row r="380" spans="1:13">
      <c r="A380" s="657">
        <v>20130101</v>
      </c>
      <c r="B380" s="659"/>
      <c r="C380" s="489" t="s">
        <v>408</v>
      </c>
      <c r="D380" s="660" t="str">
        <f t="shared" si="25"/>
        <v>20130101KUUM_435</v>
      </c>
      <c r="E380" s="710"/>
      <c r="F380" s="486">
        <v>1788</v>
      </c>
      <c r="G380" s="661">
        <v>0.03</v>
      </c>
      <c r="H380" s="661">
        <v>3.97</v>
      </c>
      <c r="I380" s="661">
        <f t="shared" si="24"/>
        <v>-4</v>
      </c>
      <c r="J380" s="711" t="s">
        <v>409</v>
      </c>
      <c r="K380" s="458"/>
      <c r="L380" s="458"/>
      <c r="M380" s="458"/>
    </row>
    <row r="381" spans="1:13">
      <c r="A381" s="657">
        <v>20130101</v>
      </c>
      <c r="B381" s="659" t="s">
        <v>1140</v>
      </c>
      <c r="C381" s="659" t="s">
        <v>359</v>
      </c>
      <c r="D381" s="660" t="str">
        <f t="shared" si="25"/>
        <v>20130101KUUM_440</v>
      </c>
      <c r="E381" s="710">
        <v>13.27</v>
      </c>
      <c r="F381" s="486">
        <v>240</v>
      </c>
      <c r="G381" s="661">
        <v>0.03</v>
      </c>
      <c r="H381" s="661">
        <v>0.53</v>
      </c>
      <c r="I381" s="661">
        <f t="shared" si="24"/>
        <v>12.71</v>
      </c>
      <c r="J381" s="458" t="s">
        <v>268</v>
      </c>
      <c r="K381" s="458"/>
      <c r="L381" s="458"/>
      <c r="M381" s="458"/>
    </row>
    <row r="382" spans="1:13">
      <c r="A382" s="657">
        <v>20130101</v>
      </c>
      <c r="B382" s="659" t="s">
        <v>1139</v>
      </c>
      <c r="C382" s="659" t="s">
        <v>367</v>
      </c>
      <c r="D382" s="660" t="str">
        <f t="shared" si="25"/>
        <v>20130101KUUM_441</v>
      </c>
      <c r="E382" s="710">
        <v>14.41</v>
      </c>
      <c r="F382" s="486">
        <v>332</v>
      </c>
      <c r="G382" s="661">
        <v>0.04</v>
      </c>
      <c r="H382" s="661">
        <v>0.74</v>
      </c>
      <c r="I382" s="661">
        <f t="shared" si="24"/>
        <v>13.63</v>
      </c>
      <c r="J382" s="458" t="s">
        <v>276</v>
      </c>
      <c r="K382" s="458"/>
      <c r="L382" s="458"/>
      <c r="M382" s="458"/>
    </row>
    <row r="383" spans="1:13">
      <c r="A383" s="657">
        <v>20130101</v>
      </c>
      <c r="B383" s="659" t="s">
        <v>1139</v>
      </c>
      <c r="C383" s="659" t="s">
        <v>390</v>
      </c>
      <c r="D383" s="660" t="str">
        <f t="shared" si="25"/>
        <v>20130101KUUM_442</v>
      </c>
      <c r="E383" s="710">
        <v>14.96</v>
      </c>
      <c r="F383" s="486">
        <v>468</v>
      </c>
      <c r="G383" s="661">
        <v>0.03</v>
      </c>
      <c r="H383" s="661">
        <v>1.04</v>
      </c>
      <c r="I383" s="661">
        <f t="shared" si="24"/>
        <v>13.89</v>
      </c>
      <c r="J383" s="458" t="s">
        <v>299</v>
      </c>
      <c r="K383" s="458"/>
      <c r="L383" s="458"/>
      <c r="M383" s="458"/>
    </row>
    <row r="384" spans="1:13">
      <c r="A384" s="657">
        <v>20130101</v>
      </c>
      <c r="B384" s="659"/>
      <c r="C384" s="659" t="s">
        <v>361</v>
      </c>
      <c r="D384" s="660" t="str">
        <f t="shared" si="25"/>
        <v>20130101KUUM_444</v>
      </c>
      <c r="E384" s="710"/>
      <c r="F384" s="486">
        <v>240</v>
      </c>
      <c r="G384" s="661">
        <v>0.03</v>
      </c>
      <c r="H384" s="661">
        <v>0.53</v>
      </c>
      <c r="I384" s="661">
        <f t="shared" si="24"/>
        <v>-0.56000000000000005</v>
      </c>
      <c r="J384" s="458" t="s">
        <v>270</v>
      </c>
      <c r="K384" s="458"/>
      <c r="L384" s="458"/>
      <c r="M384" s="458"/>
    </row>
    <row r="385" spans="1:13">
      <c r="A385" s="657">
        <v>20130101</v>
      </c>
      <c r="B385" s="659"/>
      <c r="C385" s="659" t="s">
        <v>369</v>
      </c>
      <c r="D385" s="660" t="str">
        <f t="shared" si="25"/>
        <v>20130101KUUM_445</v>
      </c>
      <c r="E385" s="710"/>
      <c r="F385" s="486">
        <v>332</v>
      </c>
      <c r="G385" s="661">
        <v>0.04</v>
      </c>
      <c r="H385" s="661">
        <v>0.74</v>
      </c>
      <c r="I385" s="661">
        <f t="shared" si="24"/>
        <v>-0.78</v>
      </c>
      <c r="J385" s="458" t="s">
        <v>278</v>
      </c>
      <c r="K385" s="458"/>
      <c r="L385" s="458"/>
      <c r="M385" s="458"/>
    </row>
    <row r="386" spans="1:13">
      <c r="A386" s="657">
        <v>20130101</v>
      </c>
      <c r="B386" s="659" t="s">
        <v>1140</v>
      </c>
      <c r="C386" s="659" t="s">
        <v>385</v>
      </c>
      <c r="D386" s="660" t="str">
        <f t="shared" si="25"/>
        <v>20130101KUUM_446</v>
      </c>
      <c r="E386" s="710">
        <v>9.06</v>
      </c>
      <c r="F386" s="486">
        <v>828</v>
      </c>
      <c r="G386" s="661">
        <v>0.04</v>
      </c>
      <c r="H386" s="661">
        <v>1.84</v>
      </c>
      <c r="I386" s="661">
        <f t="shared" si="24"/>
        <v>7.1800000000000015</v>
      </c>
      <c r="J386" s="458" t="s">
        <v>294</v>
      </c>
      <c r="K386" s="458"/>
      <c r="L386" s="458"/>
      <c r="M386" s="458"/>
    </row>
    <row r="387" spans="1:13">
      <c r="A387" s="657">
        <v>20130101</v>
      </c>
      <c r="B387" s="659" t="s">
        <v>1140</v>
      </c>
      <c r="C387" s="659" t="s">
        <v>312</v>
      </c>
      <c r="D387" s="660" t="str">
        <f t="shared" si="25"/>
        <v>20130101KUUM_447</v>
      </c>
      <c r="E387" s="710">
        <v>10.7</v>
      </c>
      <c r="F387" s="486">
        <v>1176</v>
      </c>
      <c r="G387" s="661">
        <v>0.04</v>
      </c>
      <c r="H387" s="661">
        <v>2.62</v>
      </c>
      <c r="I387" s="661">
        <f t="shared" si="24"/>
        <v>8.0399999999999991</v>
      </c>
      <c r="J387" s="661" t="s">
        <v>221</v>
      </c>
      <c r="K387" s="458"/>
      <c r="L387" s="458"/>
      <c r="M387" s="458"/>
    </row>
    <row r="388" spans="1:13">
      <c r="A388" s="657">
        <v>20130101</v>
      </c>
      <c r="B388" s="659" t="s">
        <v>1140</v>
      </c>
      <c r="C388" s="489" t="s">
        <v>421</v>
      </c>
      <c r="D388" s="660" t="str">
        <f t="shared" si="25"/>
        <v>20130101KUUM_448</v>
      </c>
      <c r="E388" s="710">
        <v>12.01</v>
      </c>
      <c r="F388" s="486">
        <v>1812</v>
      </c>
      <c r="G388" s="661">
        <v>0.05</v>
      </c>
      <c r="H388" s="661">
        <v>4.03</v>
      </c>
      <c r="I388" s="661">
        <f t="shared" si="24"/>
        <v>7.9299999999999988</v>
      </c>
      <c r="J388" s="458" t="s">
        <v>422</v>
      </c>
      <c r="K388" s="458"/>
      <c r="L388" s="458"/>
      <c r="M388" s="458"/>
    </row>
    <row r="389" spans="1:13">
      <c r="A389" s="657">
        <v>20130101</v>
      </c>
      <c r="B389" s="659" t="s">
        <v>1139</v>
      </c>
      <c r="C389" s="659" t="s">
        <v>392</v>
      </c>
      <c r="D389" s="660" t="str">
        <f t="shared" si="25"/>
        <v>20130101KUUM_449</v>
      </c>
      <c r="E389" s="710">
        <v>21.6</v>
      </c>
      <c r="F389" s="486">
        <v>468</v>
      </c>
      <c r="G389" s="661">
        <v>0.03</v>
      </c>
      <c r="H389" s="661">
        <v>1.04</v>
      </c>
      <c r="I389" s="661">
        <f t="shared" si="24"/>
        <v>20.53</v>
      </c>
      <c r="J389" s="458" t="s">
        <v>301</v>
      </c>
      <c r="K389" s="458"/>
      <c r="L389" s="458"/>
      <c r="M389" s="458"/>
    </row>
    <row r="390" spans="1:13">
      <c r="A390" s="657">
        <v>20130101</v>
      </c>
      <c r="B390" s="659" t="s">
        <v>1139</v>
      </c>
      <c r="C390" s="659" t="s">
        <v>322</v>
      </c>
      <c r="D390" s="660" t="str">
        <f t="shared" si="25"/>
        <v>20130101KUUM_450</v>
      </c>
      <c r="E390" s="710">
        <v>13.55</v>
      </c>
      <c r="F390" s="486">
        <v>600</v>
      </c>
      <c r="G390" s="661">
        <v>7.0000000000000007E-2</v>
      </c>
      <c r="H390" s="661">
        <v>1.86</v>
      </c>
      <c r="I390" s="661">
        <f t="shared" si="24"/>
        <v>11.620000000000001</v>
      </c>
      <c r="J390" s="458" t="s">
        <v>231</v>
      </c>
      <c r="K390" s="458"/>
      <c r="L390" s="458"/>
      <c r="M390" s="458"/>
    </row>
    <row r="391" spans="1:13">
      <c r="A391" s="657">
        <v>20130101</v>
      </c>
      <c r="B391" s="659" t="s">
        <v>1139</v>
      </c>
      <c r="C391" s="659" t="s">
        <v>354</v>
      </c>
      <c r="D391" s="660" t="str">
        <f t="shared" si="25"/>
        <v>20130101KUUM_451</v>
      </c>
      <c r="E391" s="710">
        <v>19.18</v>
      </c>
      <c r="F391" s="486">
        <v>1400</v>
      </c>
      <c r="G391" s="661">
        <v>0.08</v>
      </c>
      <c r="H391" s="661">
        <v>4.03</v>
      </c>
      <c r="I391" s="661">
        <f t="shared" si="24"/>
        <v>15.07</v>
      </c>
      <c r="J391" s="458" t="s">
        <v>263</v>
      </c>
      <c r="K391" s="458"/>
      <c r="L391" s="458"/>
      <c r="M391" s="458"/>
    </row>
    <row r="392" spans="1:13">
      <c r="A392" s="657">
        <v>20130101</v>
      </c>
      <c r="B392" s="659" t="s">
        <v>1139</v>
      </c>
      <c r="C392" s="659" t="s">
        <v>317</v>
      </c>
      <c r="D392" s="660" t="str">
        <f t="shared" si="25"/>
        <v>20130101KUUM_452</v>
      </c>
      <c r="E392" s="710">
        <v>40</v>
      </c>
      <c r="F392" s="486">
        <v>4320</v>
      </c>
      <c r="G392" s="661">
        <v>0.16</v>
      </c>
      <c r="H392" s="661">
        <v>9.6</v>
      </c>
      <c r="I392" s="661">
        <f t="shared" si="24"/>
        <v>30.240000000000002</v>
      </c>
      <c r="J392" s="458" t="s">
        <v>226</v>
      </c>
      <c r="K392" s="458"/>
      <c r="L392" s="458"/>
      <c r="M392" s="458"/>
    </row>
    <row r="393" spans="1:13">
      <c r="A393" s="657">
        <v>20130101</v>
      </c>
      <c r="B393" s="659" t="s">
        <v>1140</v>
      </c>
      <c r="C393" s="659" t="s">
        <v>320</v>
      </c>
      <c r="D393" s="660" t="str">
        <f t="shared" si="25"/>
        <v>20130101KUUM_454</v>
      </c>
      <c r="E393" s="710">
        <v>17.95</v>
      </c>
      <c r="F393" s="486">
        <v>600</v>
      </c>
      <c r="G393" s="661">
        <v>7.0000000000000007E-2</v>
      </c>
      <c r="H393" s="661">
        <v>1.86</v>
      </c>
      <c r="I393" s="661">
        <f t="shared" si="24"/>
        <v>16.02</v>
      </c>
      <c r="J393" s="458" t="s">
        <v>229</v>
      </c>
      <c r="K393" s="458"/>
      <c r="L393" s="458"/>
      <c r="M393" s="458"/>
    </row>
    <row r="394" spans="1:13">
      <c r="A394" s="657">
        <v>20130101</v>
      </c>
      <c r="B394" s="659" t="s">
        <v>1140</v>
      </c>
      <c r="C394" s="659" t="s">
        <v>352</v>
      </c>
      <c r="D394" s="660" t="str">
        <f t="shared" si="25"/>
        <v>20130101KUUM_455</v>
      </c>
      <c r="E394" s="710">
        <v>23.57</v>
      </c>
      <c r="F394" s="486">
        <v>1400</v>
      </c>
      <c r="G394" s="661">
        <v>0.08</v>
      </c>
      <c r="H394" s="661">
        <v>4.03</v>
      </c>
      <c r="I394" s="661">
        <f t="shared" ref="I394:I414" si="26">E394-G394-H394</f>
        <v>19.46</v>
      </c>
      <c r="J394" s="458" t="s">
        <v>261</v>
      </c>
      <c r="K394" s="458"/>
      <c r="L394" s="458"/>
      <c r="M394" s="458"/>
    </row>
    <row r="395" spans="1:13">
      <c r="A395" s="657">
        <v>20130101</v>
      </c>
      <c r="B395" s="659" t="s">
        <v>1140</v>
      </c>
      <c r="C395" s="659" t="s">
        <v>384</v>
      </c>
      <c r="D395" s="660" t="str">
        <f t="shared" si="25"/>
        <v>20130101KUUM_456</v>
      </c>
      <c r="E395" s="710">
        <v>11.37</v>
      </c>
      <c r="F395" s="486">
        <v>828</v>
      </c>
      <c r="G395" s="661">
        <v>0.04</v>
      </c>
      <c r="H395" s="661">
        <v>1.84</v>
      </c>
      <c r="I395" s="661">
        <f t="shared" si="26"/>
        <v>9.49</v>
      </c>
      <c r="J395" s="458" t="s">
        <v>293</v>
      </c>
      <c r="K395" s="458"/>
      <c r="L395" s="458"/>
      <c r="M395" s="458"/>
    </row>
    <row r="396" spans="1:13">
      <c r="A396" s="657">
        <v>20130101</v>
      </c>
      <c r="B396" s="659" t="s">
        <v>1140</v>
      </c>
      <c r="C396" s="659" t="s">
        <v>311</v>
      </c>
      <c r="D396" s="660" t="str">
        <f t="shared" si="25"/>
        <v>20130101KUUM_457</v>
      </c>
      <c r="E396" s="710">
        <v>12.74</v>
      </c>
      <c r="F396" s="486">
        <v>1176</v>
      </c>
      <c r="G396" s="661">
        <v>0.04</v>
      </c>
      <c r="H396" s="661">
        <v>2.62</v>
      </c>
      <c r="I396" s="661">
        <f t="shared" si="26"/>
        <v>10.080000000000002</v>
      </c>
      <c r="J396" s="661" t="s">
        <v>220</v>
      </c>
      <c r="K396" s="458"/>
      <c r="L396" s="458"/>
      <c r="M396" s="458"/>
    </row>
    <row r="397" spans="1:13">
      <c r="A397" s="657">
        <v>20130101</v>
      </c>
      <c r="B397" s="659" t="s">
        <v>1140</v>
      </c>
      <c r="C397" s="659" t="s">
        <v>341</v>
      </c>
      <c r="D397" s="660" t="str">
        <f t="shared" si="25"/>
        <v>20130101KUUM_458</v>
      </c>
      <c r="E397" s="710">
        <v>14.28</v>
      </c>
      <c r="F397" s="486">
        <v>1812</v>
      </c>
      <c r="G397" s="661">
        <v>0.05</v>
      </c>
      <c r="H397" s="661">
        <v>4.03</v>
      </c>
      <c r="I397" s="661">
        <f t="shared" si="26"/>
        <v>10.199999999999999</v>
      </c>
      <c r="J397" s="458" t="s">
        <v>250</v>
      </c>
      <c r="K397" s="458"/>
      <c r="L397" s="458"/>
      <c r="M397" s="458"/>
    </row>
    <row r="398" spans="1:13">
      <c r="A398" s="657">
        <v>20130101</v>
      </c>
      <c r="B398" s="659" t="s">
        <v>1140</v>
      </c>
      <c r="C398" s="659" t="s">
        <v>315</v>
      </c>
      <c r="D398" s="660" t="str">
        <f t="shared" si="25"/>
        <v>20130101KUUM_459</v>
      </c>
      <c r="E398" s="710">
        <v>44.39</v>
      </c>
      <c r="F398" s="486">
        <v>4320</v>
      </c>
      <c r="G398" s="661">
        <v>0.16</v>
      </c>
      <c r="H398" s="661">
        <v>9.6</v>
      </c>
      <c r="I398" s="661">
        <f t="shared" si="26"/>
        <v>34.630000000000003</v>
      </c>
      <c r="J398" s="661" t="s">
        <v>224</v>
      </c>
      <c r="K398" s="458"/>
      <c r="L398" s="458"/>
      <c r="M398" s="458"/>
    </row>
    <row r="399" spans="1:13">
      <c r="A399" s="657">
        <v>20130101</v>
      </c>
      <c r="B399" s="659" t="s">
        <v>1140</v>
      </c>
      <c r="C399" s="659" t="s">
        <v>319</v>
      </c>
      <c r="D399" s="660" t="str">
        <f t="shared" si="25"/>
        <v>20130101KUUM_460</v>
      </c>
      <c r="E399" s="710">
        <v>26.45</v>
      </c>
      <c r="F399" s="486">
        <v>600</v>
      </c>
      <c r="G399" s="661">
        <v>7.0000000000000007E-2</v>
      </c>
      <c r="H399" s="661">
        <v>1.86</v>
      </c>
      <c r="I399" s="661">
        <f t="shared" si="26"/>
        <v>24.52</v>
      </c>
      <c r="J399" s="458" t="s">
        <v>228</v>
      </c>
      <c r="K399" s="458"/>
      <c r="L399" s="458"/>
      <c r="M399" s="458"/>
    </row>
    <row r="400" spans="1:13">
      <c r="A400" s="657">
        <v>20130101</v>
      </c>
      <c r="B400" s="659" t="s">
        <v>1140</v>
      </c>
      <c r="C400" s="659" t="s">
        <v>356</v>
      </c>
      <c r="D400" s="660" t="str">
        <f t="shared" si="25"/>
        <v>20130101KUUM_461</v>
      </c>
      <c r="E400" s="710">
        <v>7.2</v>
      </c>
      <c r="F400" s="486">
        <v>240</v>
      </c>
      <c r="G400" s="661">
        <v>0.03</v>
      </c>
      <c r="H400" s="661">
        <v>0.53</v>
      </c>
      <c r="I400" s="661">
        <f t="shared" si="26"/>
        <v>6.64</v>
      </c>
      <c r="J400" s="458" t="s">
        <v>265</v>
      </c>
      <c r="K400" s="458"/>
      <c r="L400" s="458"/>
      <c r="M400" s="458"/>
    </row>
    <row r="401" spans="1:13">
      <c r="A401" s="657">
        <v>20130101</v>
      </c>
      <c r="B401" s="659" t="s">
        <v>1139</v>
      </c>
      <c r="C401" s="659" t="s">
        <v>365</v>
      </c>
      <c r="D401" s="660" t="str">
        <f t="shared" si="25"/>
        <v>20130101KUUM_462</v>
      </c>
      <c r="E401" s="710">
        <v>8.2100000000000009</v>
      </c>
      <c r="F401" s="486">
        <v>332</v>
      </c>
      <c r="G401" s="661">
        <v>0.04</v>
      </c>
      <c r="H401" s="661">
        <v>0.74</v>
      </c>
      <c r="I401" s="661">
        <f t="shared" si="26"/>
        <v>7.4300000000000015</v>
      </c>
      <c r="J401" s="458" t="s">
        <v>274</v>
      </c>
      <c r="K401" s="458"/>
      <c r="L401" s="458"/>
      <c r="M401" s="458"/>
    </row>
    <row r="402" spans="1:13">
      <c r="A402" s="657">
        <v>20130101</v>
      </c>
      <c r="B402" s="659" t="s">
        <v>1139</v>
      </c>
      <c r="C402" s="659" t="s">
        <v>388</v>
      </c>
      <c r="D402" s="660" t="str">
        <f t="shared" si="25"/>
        <v>20130101KUUM_463</v>
      </c>
      <c r="E402" s="710">
        <v>8.74</v>
      </c>
      <c r="F402" s="486">
        <v>468</v>
      </c>
      <c r="G402" s="661">
        <v>0.03</v>
      </c>
      <c r="H402" s="661">
        <v>1.04</v>
      </c>
      <c r="I402" s="661">
        <f t="shared" si="26"/>
        <v>7.6700000000000008</v>
      </c>
      <c r="J402" s="458" t="s">
        <v>297</v>
      </c>
      <c r="K402" s="458"/>
      <c r="L402" s="458"/>
      <c r="M402" s="458"/>
    </row>
    <row r="403" spans="1:13">
      <c r="A403" s="657">
        <v>20130101</v>
      </c>
      <c r="B403" s="659" t="s">
        <v>1139</v>
      </c>
      <c r="C403" s="659" t="s">
        <v>345</v>
      </c>
      <c r="D403" s="660" t="str">
        <f t="shared" si="25"/>
        <v>20130101KUUM_464</v>
      </c>
      <c r="E403" s="710">
        <v>13.55</v>
      </c>
      <c r="F403" s="486">
        <v>968</v>
      </c>
      <c r="G403" s="661">
        <v>0.06</v>
      </c>
      <c r="H403" s="661">
        <v>2.15</v>
      </c>
      <c r="I403" s="661">
        <f t="shared" si="26"/>
        <v>11.34</v>
      </c>
      <c r="J403" s="458" t="s">
        <v>254</v>
      </c>
      <c r="K403" s="458"/>
      <c r="L403" s="458"/>
      <c r="M403" s="458"/>
    </row>
    <row r="404" spans="1:13">
      <c r="A404" s="657">
        <v>20130101</v>
      </c>
      <c r="B404" s="659" t="s">
        <v>1139</v>
      </c>
      <c r="C404" s="659" t="s">
        <v>377</v>
      </c>
      <c r="D404" s="660" t="str">
        <f t="shared" si="25"/>
        <v>20130101KUUM_465</v>
      </c>
      <c r="E404" s="710">
        <v>21.78</v>
      </c>
      <c r="F404" s="486">
        <v>1884</v>
      </c>
      <c r="G404" s="661">
        <v>0.08</v>
      </c>
      <c r="H404" s="661">
        <v>4.18</v>
      </c>
      <c r="I404" s="661">
        <f t="shared" si="26"/>
        <v>17.520000000000003</v>
      </c>
      <c r="J404" s="458" t="s">
        <v>286</v>
      </c>
      <c r="K404" s="458"/>
      <c r="L404" s="458"/>
      <c r="M404" s="458"/>
    </row>
    <row r="405" spans="1:13">
      <c r="A405" s="657">
        <v>20130101</v>
      </c>
      <c r="B405" s="664" t="s">
        <v>1140</v>
      </c>
      <c r="C405" s="659" t="s">
        <v>363</v>
      </c>
      <c r="D405" s="660" t="str">
        <f t="shared" si="25"/>
        <v>20130101KUUM_466</v>
      </c>
      <c r="E405" s="710">
        <v>9.2799999999999994</v>
      </c>
      <c r="F405" s="486">
        <v>240</v>
      </c>
      <c r="G405" s="661">
        <v>0.03</v>
      </c>
      <c r="H405" s="661">
        <v>0.53</v>
      </c>
      <c r="I405" s="661">
        <f t="shared" si="26"/>
        <v>8.7200000000000006</v>
      </c>
      <c r="J405" s="458" t="s">
        <v>272</v>
      </c>
      <c r="K405" s="458"/>
      <c r="L405" s="458"/>
      <c r="M405" s="458"/>
    </row>
    <row r="406" spans="1:13">
      <c r="A406" s="657">
        <v>20130101</v>
      </c>
      <c r="B406" s="659" t="s">
        <v>1139</v>
      </c>
      <c r="C406" s="659" t="s">
        <v>373</v>
      </c>
      <c r="D406" s="660" t="str">
        <f t="shared" si="25"/>
        <v>20130101KUUM_467</v>
      </c>
      <c r="E406" s="710">
        <v>10.32</v>
      </c>
      <c r="F406" s="486">
        <v>332</v>
      </c>
      <c r="G406" s="661">
        <v>0.04</v>
      </c>
      <c r="H406" s="661">
        <v>0.74</v>
      </c>
      <c r="I406" s="661">
        <f t="shared" si="26"/>
        <v>9.5400000000000009</v>
      </c>
      <c r="J406" s="458" t="s">
        <v>282</v>
      </c>
      <c r="K406" s="458"/>
      <c r="L406" s="458"/>
      <c r="M406" s="458"/>
    </row>
    <row r="407" spans="1:13">
      <c r="A407" s="657">
        <v>20130101</v>
      </c>
      <c r="B407" s="659" t="s">
        <v>1139</v>
      </c>
      <c r="C407" s="659" t="s">
        <v>396</v>
      </c>
      <c r="D407" s="660" t="str">
        <f t="shared" si="25"/>
        <v>20130101KUUM_468</v>
      </c>
      <c r="E407" s="710">
        <v>10.76</v>
      </c>
      <c r="F407" s="486">
        <v>468</v>
      </c>
      <c r="G407" s="661">
        <v>0.03</v>
      </c>
      <c r="H407" s="661">
        <v>1.04</v>
      </c>
      <c r="I407" s="661">
        <f t="shared" si="26"/>
        <v>9.6900000000000013</v>
      </c>
      <c r="J407" s="458" t="s">
        <v>305</v>
      </c>
      <c r="K407" s="458"/>
      <c r="L407" s="458"/>
      <c r="M407" s="458"/>
    </row>
    <row r="408" spans="1:13">
      <c r="A408" s="657">
        <v>20130101</v>
      </c>
      <c r="B408" s="659" t="s">
        <v>1140</v>
      </c>
      <c r="C408" s="659" t="s">
        <v>351</v>
      </c>
      <c r="D408" s="660" t="str">
        <f t="shared" si="25"/>
        <v>20130101KUUM_469</v>
      </c>
      <c r="E408" s="710">
        <v>32.08</v>
      </c>
      <c r="F408" s="486">
        <v>1400</v>
      </c>
      <c r="G408" s="661">
        <v>0.08</v>
      </c>
      <c r="H408" s="661">
        <v>4.03</v>
      </c>
      <c r="I408" s="661">
        <f t="shared" si="26"/>
        <v>27.97</v>
      </c>
      <c r="J408" s="458" t="s">
        <v>260</v>
      </c>
      <c r="K408" s="458"/>
      <c r="L408" s="458"/>
      <c r="M408" s="458"/>
    </row>
    <row r="409" spans="1:13">
      <c r="A409" s="657">
        <v>20130101</v>
      </c>
      <c r="B409" s="659" t="s">
        <v>1140</v>
      </c>
      <c r="C409" s="659" t="s">
        <v>314</v>
      </c>
      <c r="D409" s="660" t="str">
        <f t="shared" si="25"/>
        <v>20130101KUUM_470</v>
      </c>
      <c r="E409" s="710">
        <v>52.9</v>
      </c>
      <c r="F409" s="486">
        <v>4320</v>
      </c>
      <c r="G409" s="661">
        <v>0.16</v>
      </c>
      <c r="H409" s="661">
        <v>9.6</v>
      </c>
      <c r="I409" s="661">
        <f t="shared" si="26"/>
        <v>43.14</v>
      </c>
      <c r="J409" s="661" t="s">
        <v>223</v>
      </c>
      <c r="K409" s="458"/>
      <c r="L409" s="458"/>
      <c r="M409" s="458"/>
    </row>
    <row r="410" spans="1:13">
      <c r="A410" s="657">
        <v>20130101</v>
      </c>
      <c r="B410" s="659" t="s">
        <v>1140</v>
      </c>
      <c r="C410" s="659" t="s">
        <v>355</v>
      </c>
      <c r="D410" s="660" t="str">
        <f t="shared" si="25"/>
        <v>20130101KUUM_471</v>
      </c>
      <c r="E410" s="710">
        <v>10.15</v>
      </c>
      <c r="F410" s="486">
        <v>240</v>
      </c>
      <c r="G410" s="661">
        <v>0.03</v>
      </c>
      <c r="H410" s="661">
        <v>0.53</v>
      </c>
      <c r="I410" s="661">
        <f t="shared" si="26"/>
        <v>9.5900000000000016</v>
      </c>
      <c r="J410" s="458" t="s">
        <v>264</v>
      </c>
      <c r="K410" s="458"/>
      <c r="L410" s="458"/>
      <c r="M410" s="458"/>
    </row>
    <row r="411" spans="1:13">
      <c r="A411" s="657">
        <v>20130101</v>
      </c>
      <c r="B411" s="659" t="s">
        <v>1139</v>
      </c>
      <c r="C411" s="659" t="s">
        <v>364</v>
      </c>
      <c r="D411" s="660" t="str">
        <f t="shared" si="25"/>
        <v>20130101KUUM_472</v>
      </c>
      <c r="E411" s="710">
        <v>11.15</v>
      </c>
      <c r="F411" s="486">
        <v>332</v>
      </c>
      <c r="G411" s="661">
        <v>0.04</v>
      </c>
      <c r="H411" s="661">
        <v>0.74</v>
      </c>
      <c r="I411" s="661">
        <f t="shared" si="26"/>
        <v>10.370000000000001</v>
      </c>
      <c r="J411" s="458" t="s">
        <v>273</v>
      </c>
      <c r="K411" s="458"/>
      <c r="L411" s="458"/>
      <c r="M411" s="458"/>
    </row>
    <row r="412" spans="1:13">
      <c r="A412" s="657">
        <v>20130101</v>
      </c>
      <c r="B412" s="659" t="s">
        <v>1139</v>
      </c>
      <c r="C412" s="659" t="s">
        <v>387</v>
      </c>
      <c r="D412" s="660" t="str">
        <f t="shared" si="25"/>
        <v>20130101KUUM_473</v>
      </c>
      <c r="E412" s="710">
        <v>11.9</v>
      </c>
      <c r="F412" s="486">
        <v>468</v>
      </c>
      <c r="G412" s="661">
        <v>0.03</v>
      </c>
      <c r="H412" s="661">
        <v>1.04</v>
      </c>
      <c r="I412" s="661">
        <f t="shared" si="26"/>
        <v>10.830000000000002</v>
      </c>
      <c r="J412" s="458" t="s">
        <v>296</v>
      </c>
      <c r="K412" s="458"/>
      <c r="L412" s="458"/>
      <c r="M412" s="458"/>
    </row>
    <row r="413" spans="1:13">
      <c r="A413" s="657">
        <v>20130101</v>
      </c>
      <c r="B413" s="659" t="s">
        <v>1139</v>
      </c>
      <c r="C413" s="659" t="s">
        <v>344</v>
      </c>
      <c r="D413" s="660" t="str">
        <f t="shared" si="25"/>
        <v>20130101KUUM_474</v>
      </c>
      <c r="E413" s="710">
        <v>16.71</v>
      </c>
      <c r="F413" s="486">
        <v>968</v>
      </c>
      <c r="G413" s="661">
        <v>0.06</v>
      </c>
      <c r="H413" s="661">
        <v>2.15</v>
      </c>
      <c r="I413" s="661">
        <f t="shared" si="26"/>
        <v>14.500000000000002</v>
      </c>
      <c r="J413" s="458" t="s">
        <v>253</v>
      </c>
      <c r="K413" s="458"/>
      <c r="L413" s="458"/>
      <c r="M413" s="458"/>
    </row>
    <row r="414" spans="1:13">
      <c r="A414" s="657">
        <v>20130101</v>
      </c>
      <c r="B414" s="659" t="s">
        <v>1139</v>
      </c>
      <c r="C414" s="659" t="s">
        <v>376</v>
      </c>
      <c r="D414" s="660" t="str">
        <f t="shared" si="25"/>
        <v>20130101KUUM_475</v>
      </c>
      <c r="E414" s="710">
        <v>23.4</v>
      </c>
      <c r="F414" s="486">
        <v>1884</v>
      </c>
      <c r="G414" s="661">
        <v>0.08</v>
      </c>
      <c r="H414" s="661">
        <v>4.18</v>
      </c>
      <c r="I414" s="661">
        <f t="shared" si="26"/>
        <v>19.14</v>
      </c>
      <c r="J414" s="458" t="s">
        <v>285</v>
      </c>
      <c r="K414" s="458"/>
      <c r="L414" s="458"/>
      <c r="M414" s="458"/>
    </row>
    <row r="415" spans="1:13">
      <c r="A415" s="657">
        <v>20130101</v>
      </c>
      <c r="B415" s="659" t="s">
        <v>1139</v>
      </c>
      <c r="C415" s="659" t="s">
        <v>374</v>
      </c>
      <c r="D415" s="660" t="str">
        <f t="shared" si="25"/>
        <v>20130101KUUM_476</v>
      </c>
      <c r="E415" s="710">
        <v>16.34</v>
      </c>
      <c r="F415" s="486">
        <v>332</v>
      </c>
      <c r="G415" s="661">
        <v>0.04</v>
      </c>
      <c r="H415" s="661">
        <v>0.74</v>
      </c>
      <c r="I415" s="661">
        <f>E415-G415-H415</f>
        <v>15.56</v>
      </c>
      <c r="J415" s="458" t="s">
        <v>283</v>
      </c>
      <c r="K415" s="458"/>
      <c r="L415" s="458"/>
      <c r="M415" s="458"/>
    </row>
    <row r="416" spans="1:13">
      <c r="A416" s="657">
        <v>20130101</v>
      </c>
      <c r="B416" s="659" t="s">
        <v>1139</v>
      </c>
      <c r="C416" s="659" t="s">
        <v>398</v>
      </c>
      <c r="D416" s="660" t="str">
        <f t="shared" si="25"/>
        <v>20130101KUUM_477</v>
      </c>
      <c r="E416" s="710">
        <v>20.57</v>
      </c>
      <c r="F416" s="486">
        <v>468</v>
      </c>
      <c r="G416" s="661">
        <v>0.03</v>
      </c>
      <c r="H416" s="661">
        <v>1.04</v>
      </c>
      <c r="I416" s="661">
        <f t="shared" ref="I416:I430" si="27">E416-G416-H416</f>
        <v>19.5</v>
      </c>
      <c r="J416" s="458" t="s">
        <v>307</v>
      </c>
      <c r="K416" s="458"/>
      <c r="L416" s="458"/>
      <c r="M416" s="458"/>
    </row>
    <row r="417" spans="1:13">
      <c r="A417" s="657">
        <v>20130101</v>
      </c>
      <c r="B417" s="659" t="s">
        <v>1139</v>
      </c>
      <c r="C417" s="659" t="s">
        <v>348</v>
      </c>
      <c r="D417" s="660" t="str">
        <f t="shared" si="25"/>
        <v>20130101KUUM_478</v>
      </c>
      <c r="E417" s="710">
        <v>26.16</v>
      </c>
      <c r="F417" s="486">
        <v>968</v>
      </c>
      <c r="G417" s="661">
        <v>0.06</v>
      </c>
      <c r="H417" s="661">
        <v>2.15</v>
      </c>
      <c r="I417" s="661">
        <f t="shared" si="27"/>
        <v>23.950000000000003</v>
      </c>
      <c r="J417" s="458" t="s">
        <v>257</v>
      </c>
      <c r="K417" s="458"/>
      <c r="L417" s="458"/>
      <c r="M417" s="458"/>
    </row>
    <row r="418" spans="1:13">
      <c r="A418" s="657">
        <v>20130101</v>
      </c>
      <c r="B418" s="659" t="s">
        <v>1139</v>
      </c>
      <c r="C418" s="659" t="s">
        <v>380</v>
      </c>
      <c r="D418" s="660" t="str">
        <f t="shared" si="25"/>
        <v>20130101KUUM_479</v>
      </c>
      <c r="E418" s="710">
        <v>32.06</v>
      </c>
      <c r="F418" s="486">
        <v>1884</v>
      </c>
      <c r="G418" s="661">
        <v>0.08</v>
      </c>
      <c r="H418" s="661">
        <v>4.18</v>
      </c>
      <c r="I418" s="661">
        <f t="shared" si="27"/>
        <v>27.800000000000004</v>
      </c>
      <c r="J418" s="458" t="s">
        <v>289</v>
      </c>
      <c r="K418" s="458"/>
      <c r="L418" s="458"/>
      <c r="M418" s="458"/>
    </row>
    <row r="419" spans="1:13">
      <c r="A419" s="657">
        <v>20130101</v>
      </c>
      <c r="B419" s="659"/>
      <c r="C419" s="659" t="s">
        <v>362</v>
      </c>
      <c r="D419" s="660" t="str">
        <f t="shared" si="25"/>
        <v>20130101KUUM_480</v>
      </c>
      <c r="E419" s="710"/>
      <c r="F419" s="486">
        <v>240</v>
      </c>
      <c r="G419" s="661">
        <v>0.03</v>
      </c>
      <c r="H419" s="661">
        <v>0.53</v>
      </c>
      <c r="I419" s="661">
        <f t="shared" si="27"/>
        <v>-0.56000000000000005</v>
      </c>
      <c r="J419" s="458" t="s">
        <v>271</v>
      </c>
      <c r="K419" s="458"/>
      <c r="L419" s="458"/>
      <c r="M419" s="458"/>
    </row>
    <row r="420" spans="1:13">
      <c r="A420" s="657">
        <v>20130101</v>
      </c>
      <c r="B420" s="659"/>
      <c r="C420" s="659" t="s">
        <v>372</v>
      </c>
      <c r="D420" s="660" t="str">
        <f t="shared" si="25"/>
        <v>20130101KUUM_481</v>
      </c>
      <c r="E420" s="710"/>
      <c r="F420" s="486">
        <v>332</v>
      </c>
      <c r="G420" s="661">
        <v>0.04</v>
      </c>
      <c r="H420" s="661">
        <v>0.74</v>
      </c>
      <c r="I420" s="661">
        <f t="shared" si="27"/>
        <v>-0.78</v>
      </c>
      <c r="J420" s="458" t="s">
        <v>281</v>
      </c>
      <c r="K420" s="458"/>
      <c r="L420" s="458"/>
      <c r="M420" s="458"/>
    </row>
    <row r="421" spans="1:13">
      <c r="A421" s="657">
        <v>20130101</v>
      </c>
      <c r="B421" s="659" t="s">
        <v>1139</v>
      </c>
      <c r="C421" s="659" t="s">
        <v>395</v>
      </c>
      <c r="D421" s="660" t="str">
        <f t="shared" si="25"/>
        <v>20130101KUUM_482</v>
      </c>
      <c r="E421" s="710">
        <v>10.76</v>
      </c>
      <c r="F421" s="486">
        <v>468</v>
      </c>
      <c r="G421" s="661">
        <v>0.03</v>
      </c>
      <c r="H421" s="661">
        <v>1.04</v>
      </c>
      <c r="I421" s="661">
        <f t="shared" si="27"/>
        <v>9.6900000000000013</v>
      </c>
      <c r="J421" s="458" t="s">
        <v>304</v>
      </c>
      <c r="K421" s="458"/>
      <c r="L421" s="458"/>
      <c r="M421" s="458"/>
    </row>
    <row r="422" spans="1:13">
      <c r="A422" s="657">
        <v>20130101</v>
      </c>
      <c r="B422" s="659" t="s">
        <v>1139</v>
      </c>
      <c r="C422" s="489" t="s">
        <v>423</v>
      </c>
      <c r="D422" s="660" t="str">
        <f t="shared" si="25"/>
        <v>20130101KUUM_483</v>
      </c>
      <c r="E422" s="710">
        <v>16.34</v>
      </c>
      <c r="F422" s="486">
        <v>332</v>
      </c>
      <c r="G422" s="661">
        <v>0.04</v>
      </c>
      <c r="H422" s="661">
        <v>0.74</v>
      </c>
      <c r="I422" s="661">
        <f t="shared" si="27"/>
        <v>15.56</v>
      </c>
      <c r="J422" s="711" t="s">
        <v>401</v>
      </c>
      <c r="K422" s="458"/>
      <c r="L422" s="458"/>
      <c r="M422" s="458"/>
    </row>
    <row r="423" spans="1:13">
      <c r="A423" s="657">
        <v>20130101</v>
      </c>
      <c r="B423" s="659" t="s">
        <v>1139</v>
      </c>
      <c r="C423" s="659" t="s">
        <v>397</v>
      </c>
      <c r="D423" s="660" t="str">
        <f t="shared" si="25"/>
        <v>20130101KUUM_484</v>
      </c>
      <c r="E423" s="710">
        <v>20.57</v>
      </c>
      <c r="F423" s="486">
        <v>468</v>
      </c>
      <c r="G423" s="661">
        <v>0.03</v>
      </c>
      <c r="H423" s="661">
        <v>1.04</v>
      </c>
      <c r="I423" s="661">
        <f t="shared" si="27"/>
        <v>19.5</v>
      </c>
      <c r="J423" s="458" t="s">
        <v>306</v>
      </c>
      <c r="K423" s="458"/>
      <c r="L423" s="458"/>
      <c r="M423" s="458"/>
    </row>
    <row r="424" spans="1:13">
      <c r="A424" s="657">
        <v>20130101</v>
      </c>
      <c r="B424" s="659" t="s">
        <v>1139</v>
      </c>
      <c r="C424" s="659" t="s">
        <v>347</v>
      </c>
      <c r="D424" s="660" t="str">
        <f t="shared" si="25"/>
        <v>20130101KUUM_485</v>
      </c>
      <c r="E424" s="710">
        <v>26.16</v>
      </c>
      <c r="F424" s="486">
        <v>968</v>
      </c>
      <c r="G424" s="661">
        <v>0.06</v>
      </c>
      <c r="H424" s="661">
        <v>2.15</v>
      </c>
      <c r="I424" s="661">
        <f t="shared" si="27"/>
        <v>23.950000000000003</v>
      </c>
      <c r="J424" s="458" t="s">
        <v>256</v>
      </c>
      <c r="K424" s="458"/>
      <c r="L424" s="458"/>
      <c r="M424" s="458"/>
    </row>
    <row r="425" spans="1:13">
      <c r="A425" s="657">
        <v>20130101</v>
      </c>
      <c r="B425" s="659" t="s">
        <v>1139</v>
      </c>
      <c r="C425" s="659" t="s">
        <v>379</v>
      </c>
      <c r="D425" s="660" t="str">
        <f t="shared" si="25"/>
        <v>20130101KUUM_486</v>
      </c>
      <c r="E425" s="710">
        <v>32.06</v>
      </c>
      <c r="F425" s="486">
        <v>1884</v>
      </c>
      <c r="G425" s="661">
        <v>0.08</v>
      </c>
      <c r="H425" s="661">
        <v>4.18</v>
      </c>
      <c r="I425" s="661">
        <f t="shared" si="27"/>
        <v>27.800000000000004</v>
      </c>
      <c r="J425" s="458" t="s">
        <v>288</v>
      </c>
      <c r="K425" s="458"/>
      <c r="L425" s="458"/>
      <c r="M425" s="458"/>
    </row>
    <row r="426" spans="1:13">
      <c r="A426" s="657">
        <v>20130101</v>
      </c>
      <c r="B426" s="659" t="s">
        <v>1139</v>
      </c>
      <c r="C426" s="659" t="s">
        <v>399</v>
      </c>
      <c r="D426" s="660" t="str">
        <f t="shared" si="25"/>
        <v>20130101KUUM_487</v>
      </c>
      <c r="E426" s="710">
        <v>8.6</v>
      </c>
      <c r="F426" s="486">
        <v>468</v>
      </c>
      <c r="G426" s="661">
        <v>0.03</v>
      </c>
      <c r="H426" s="661">
        <v>1.04</v>
      </c>
      <c r="I426" s="661">
        <f t="shared" si="27"/>
        <v>7.53</v>
      </c>
      <c r="J426" s="458" t="s">
        <v>308</v>
      </c>
      <c r="K426" s="458"/>
      <c r="L426" s="458"/>
      <c r="M426" s="458"/>
    </row>
    <row r="427" spans="1:13">
      <c r="A427" s="657">
        <v>20130101</v>
      </c>
      <c r="B427" s="659" t="s">
        <v>1139</v>
      </c>
      <c r="C427" s="659" t="s">
        <v>349</v>
      </c>
      <c r="D427" s="660" t="str">
        <f t="shared" ref="D427:D468" si="28">A427&amp;C427</f>
        <v>20130101KUUM_488</v>
      </c>
      <c r="E427" s="710">
        <v>12.94</v>
      </c>
      <c r="F427" s="486">
        <v>968</v>
      </c>
      <c r="G427" s="661">
        <v>0.06</v>
      </c>
      <c r="H427" s="661">
        <v>2.15</v>
      </c>
      <c r="I427" s="661">
        <f t="shared" si="27"/>
        <v>10.729999999999999</v>
      </c>
      <c r="J427" s="458" t="s">
        <v>258</v>
      </c>
      <c r="K427" s="458"/>
      <c r="L427" s="458"/>
      <c r="M427" s="458"/>
    </row>
    <row r="428" spans="1:13">
      <c r="A428" s="657">
        <v>20130101</v>
      </c>
      <c r="B428" s="659" t="s">
        <v>1139</v>
      </c>
      <c r="C428" s="659" t="s">
        <v>381</v>
      </c>
      <c r="D428" s="660" t="str">
        <f t="shared" si="28"/>
        <v>20130101KUUM_489</v>
      </c>
      <c r="E428" s="710">
        <v>18.399999999999999</v>
      </c>
      <c r="F428" s="486">
        <v>1884</v>
      </c>
      <c r="G428" s="661">
        <v>0.08</v>
      </c>
      <c r="H428" s="661">
        <v>4.18</v>
      </c>
      <c r="I428" s="661">
        <f t="shared" si="27"/>
        <v>14.14</v>
      </c>
      <c r="J428" s="458" t="s">
        <v>290</v>
      </c>
      <c r="K428" s="458"/>
      <c r="L428" s="458"/>
      <c r="M428" s="458"/>
    </row>
    <row r="429" spans="1:13">
      <c r="A429" s="657">
        <v>20130101</v>
      </c>
      <c r="B429" s="659" t="s">
        <v>1139</v>
      </c>
      <c r="C429" s="659" t="s">
        <v>321</v>
      </c>
      <c r="D429" s="660" t="str">
        <f t="shared" si="28"/>
        <v>20130101KUUM_490</v>
      </c>
      <c r="E429" s="710">
        <v>14.77</v>
      </c>
      <c r="F429" s="486">
        <v>600</v>
      </c>
      <c r="G429" s="661">
        <v>7.0000000000000007E-2</v>
      </c>
      <c r="H429" s="661">
        <v>1.86</v>
      </c>
      <c r="I429" s="661">
        <f t="shared" si="27"/>
        <v>12.84</v>
      </c>
      <c r="J429" s="458" t="s">
        <v>230</v>
      </c>
      <c r="K429" s="458"/>
      <c r="L429" s="458"/>
      <c r="M429" s="458"/>
    </row>
    <row r="430" spans="1:13">
      <c r="A430" s="657">
        <v>20130101</v>
      </c>
      <c r="B430" s="659" t="s">
        <v>1139</v>
      </c>
      <c r="C430" s="659" t="s">
        <v>353</v>
      </c>
      <c r="D430" s="660" t="str">
        <f t="shared" si="28"/>
        <v>20130101KUUM_491</v>
      </c>
      <c r="E430" s="710">
        <v>20.91</v>
      </c>
      <c r="F430" s="486">
        <v>1400</v>
      </c>
      <c r="G430" s="661">
        <v>0.08</v>
      </c>
      <c r="H430" s="661">
        <v>4.03</v>
      </c>
      <c r="I430" s="661">
        <f t="shared" si="27"/>
        <v>16.8</v>
      </c>
      <c r="J430" s="458" t="s">
        <v>262</v>
      </c>
      <c r="K430" s="458"/>
      <c r="L430" s="458"/>
      <c r="M430" s="458"/>
    </row>
    <row r="431" spans="1:13">
      <c r="A431" s="657">
        <v>20130101</v>
      </c>
      <c r="B431" s="659" t="s">
        <v>1139</v>
      </c>
      <c r="C431" s="489" t="s">
        <v>678</v>
      </c>
      <c r="D431" s="660" t="str">
        <f t="shared" si="28"/>
        <v>20130101KUUM_492</v>
      </c>
      <c r="E431" s="661">
        <v>14.92</v>
      </c>
      <c r="F431" s="486">
        <v>332</v>
      </c>
      <c r="G431" s="661">
        <v>0.04</v>
      </c>
      <c r="H431" s="661">
        <v>0.74</v>
      </c>
      <c r="I431" s="661">
        <f>E431-G431-H431</f>
        <v>14.14</v>
      </c>
      <c r="J431" s="711" t="s">
        <v>648</v>
      </c>
      <c r="K431" s="458"/>
      <c r="L431" s="458"/>
      <c r="M431" s="458"/>
    </row>
    <row r="432" spans="1:13">
      <c r="A432" s="657">
        <v>20130101</v>
      </c>
      <c r="B432" s="659" t="s">
        <v>1139</v>
      </c>
      <c r="C432" s="659" t="s">
        <v>316</v>
      </c>
      <c r="D432" s="660" t="str">
        <f t="shared" si="28"/>
        <v>20130101KUUM_493</v>
      </c>
      <c r="E432" s="710">
        <v>43.35</v>
      </c>
      <c r="F432" s="486">
        <v>4320</v>
      </c>
      <c r="G432" s="661">
        <v>0.16</v>
      </c>
      <c r="H432" s="661">
        <v>9.6</v>
      </c>
      <c r="I432" s="661">
        <f t="shared" ref="I432:I438" si="29">E432-G432-H432</f>
        <v>33.590000000000003</v>
      </c>
      <c r="J432" s="458" t="s">
        <v>225</v>
      </c>
      <c r="K432" s="458"/>
      <c r="L432" s="458"/>
      <c r="M432" s="458"/>
    </row>
    <row r="433" spans="1:13">
      <c r="A433" s="657">
        <v>20130101</v>
      </c>
      <c r="B433" s="659" t="s">
        <v>1139</v>
      </c>
      <c r="C433" s="659" t="s">
        <v>318</v>
      </c>
      <c r="D433" s="660" t="str">
        <f t="shared" si="28"/>
        <v>20130101KUUM_494</v>
      </c>
      <c r="E433" s="710">
        <v>27.67</v>
      </c>
      <c r="F433" s="486">
        <v>600</v>
      </c>
      <c r="G433" s="661">
        <v>7.0000000000000007E-2</v>
      </c>
      <c r="H433" s="661">
        <v>1.86</v>
      </c>
      <c r="I433" s="661">
        <f t="shared" si="29"/>
        <v>25.740000000000002</v>
      </c>
      <c r="J433" s="458" t="s">
        <v>227</v>
      </c>
      <c r="K433" s="458"/>
      <c r="L433" s="458"/>
      <c r="M433" s="458"/>
    </row>
    <row r="434" spans="1:13">
      <c r="A434" s="657">
        <v>20130101</v>
      </c>
      <c r="B434" s="659" t="s">
        <v>1139</v>
      </c>
      <c r="C434" s="659" t="s">
        <v>350</v>
      </c>
      <c r="D434" s="660" t="str">
        <f t="shared" si="28"/>
        <v>20130101KUUM_495</v>
      </c>
      <c r="E434" s="710">
        <v>33.81</v>
      </c>
      <c r="F434" s="486">
        <v>1400</v>
      </c>
      <c r="G434" s="661">
        <v>0.08</v>
      </c>
      <c r="H434" s="661">
        <v>4.03</v>
      </c>
      <c r="I434" s="661">
        <f t="shared" si="29"/>
        <v>29.700000000000003</v>
      </c>
      <c r="J434" s="458" t="s">
        <v>259</v>
      </c>
      <c r="K434" s="458"/>
      <c r="L434" s="458"/>
      <c r="M434" s="458"/>
    </row>
    <row r="435" spans="1:13">
      <c r="A435" s="657">
        <v>20130101</v>
      </c>
      <c r="B435" s="659" t="s">
        <v>1139</v>
      </c>
      <c r="C435" s="659" t="s">
        <v>313</v>
      </c>
      <c r="D435" s="660" t="str">
        <f t="shared" si="28"/>
        <v>20130101KUUM_496</v>
      </c>
      <c r="E435" s="710">
        <v>56.24</v>
      </c>
      <c r="F435" s="486">
        <v>4320</v>
      </c>
      <c r="G435" s="661">
        <v>0.16</v>
      </c>
      <c r="H435" s="661">
        <v>9.6</v>
      </c>
      <c r="I435" s="661">
        <f t="shared" si="29"/>
        <v>46.480000000000004</v>
      </c>
      <c r="J435" s="661" t="s">
        <v>222</v>
      </c>
      <c r="K435" s="458"/>
      <c r="L435" s="458"/>
      <c r="M435" s="458"/>
    </row>
    <row r="436" spans="1:13">
      <c r="A436" s="657">
        <v>20130101</v>
      </c>
      <c r="B436" s="659" t="s">
        <v>1139</v>
      </c>
      <c r="C436" s="489" t="s">
        <v>650</v>
      </c>
      <c r="D436" s="660" t="str">
        <f t="shared" si="28"/>
        <v>20130101KUUM_497</v>
      </c>
      <c r="E436" s="710">
        <v>14.95</v>
      </c>
      <c r="F436" s="486">
        <v>468</v>
      </c>
      <c r="G436" s="661">
        <v>0.03</v>
      </c>
      <c r="H436" s="661">
        <v>1.04</v>
      </c>
      <c r="I436" s="661">
        <f t="shared" si="29"/>
        <v>13.879999999999999</v>
      </c>
      <c r="J436" s="711" t="s">
        <v>413</v>
      </c>
      <c r="K436" s="458"/>
      <c r="L436" s="458"/>
      <c r="M436" s="458"/>
    </row>
    <row r="437" spans="1:13">
      <c r="A437" s="657">
        <v>20130101</v>
      </c>
      <c r="B437" s="659" t="s">
        <v>1139</v>
      </c>
      <c r="C437" s="489" t="s">
        <v>447</v>
      </c>
      <c r="D437" s="660" t="str">
        <f t="shared" si="28"/>
        <v>20130101KUUM_498</v>
      </c>
      <c r="E437" s="710">
        <v>17.02</v>
      </c>
      <c r="F437" s="486">
        <v>968</v>
      </c>
      <c r="G437" s="661">
        <v>0.06</v>
      </c>
      <c r="H437" s="661">
        <v>2.15</v>
      </c>
      <c r="I437" s="661">
        <f t="shared" si="29"/>
        <v>14.81</v>
      </c>
      <c r="J437" s="719" t="s">
        <v>647</v>
      </c>
      <c r="K437" s="458"/>
      <c r="L437" s="458"/>
      <c r="M437" s="458"/>
    </row>
    <row r="438" spans="1:13">
      <c r="A438" s="657">
        <v>20130101</v>
      </c>
      <c r="B438" s="659" t="s">
        <v>1139</v>
      </c>
      <c r="C438" s="489" t="s">
        <v>624</v>
      </c>
      <c r="D438" s="660" t="str">
        <f t="shared" si="28"/>
        <v>20130101KUUM_499</v>
      </c>
      <c r="E438" s="710">
        <v>20.43</v>
      </c>
      <c r="F438" s="486">
        <v>1884</v>
      </c>
      <c r="G438" s="661">
        <v>0.08</v>
      </c>
      <c r="H438" s="661">
        <v>4.18</v>
      </c>
      <c r="I438" s="661">
        <f t="shared" si="29"/>
        <v>16.170000000000002</v>
      </c>
      <c r="J438" s="711" t="s">
        <v>414</v>
      </c>
      <c r="K438" s="458"/>
      <c r="L438" s="458"/>
      <c r="M438" s="458"/>
    </row>
    <row r="439" spans="1:13">
      <c r="A439" s="665">
        <v>20130701</v>
      </c>
      <c r="B439" s="667" t="s">
        <v>1139</v>
      </c>
      <c r="C439" s="671" t="s">
        <v>416</v>
      </c>
      <c r="D439" s="668" t="str">
        <f t="shared" si="28"/>
        <v>20130701KUUM_300</v>
      </c>
      <c r="E439" s="720">
        <v>22.19</v>
      </c>
      <c r="F439" s="721">
        <v>200</v>
      </c>
      <c r="G439" s="669">
        <v>0.03</v>
      </c>
      <c r="H439" s="669">
        <v>0.58000000000000185</v>
      </c>
      <c r="I439" s="669">
        <f>E439-G439-H439</f>
        <v>21.58</v>
      </c>
      <c r="J439" s="722" t="s">
        <v>418</v>
      </c>
      <c r="K439" s="669"/>
      <c r="L439" s="669"/>
      <c r="M439" s="669"/>
    </row>
    <row r="440" spans="1:13">
      <c r="A440" s="665">
        <v>20130701</v>
      </c>
      <c r="B440" s="667" t="s">
        <v>1139</v>
      </c>
      <c r="C440" s="671" t="s">
        <v>417</v>
      </c>
      <c r="D440" s="668" t="str">
        <f t="shared" si="28"/>
        <v>20130701KUUM_301</v>
      </c>
      <c r="E440" s="720">
        <v>23.19</v>
      </c>
      <c r="F440" s="721">
        <v>400</v>
      </c>
      <c r="G440" s="669">
        <v>0.03</v>
      </c>
      <c r="H440" s="669">
        <v>1.129999999999999</v>
      </c>
      <c r="I440" s="669">
        <f t="shared" ref="I440:I504" si="30">E440-G440-H440</f>
        <v>22.03</v>
      </c>
      <c r="J440" s="723" t="s">
        <v>419</v>
      </c>
      <c r="K440" s="669"/>
      <c r="L440" s="669"/>
      <c r="M440" s="669"/>
    </row>
    <row r="441" spans="1:13">
      <c r="A441" s="665">
        <v>20130701</v>
      </c>
      <c r="B441" s="667" t="s">
        <v>1139</v>
      </c>
      <c r="C441" s="667" t="s">
        <v>323</v>
      </c>
      <c r="D441" s="668" t="str">
        <f t="shared" si="28"/>
        <v>20130701KUUM_360</v>
      </c>
      <c r="E441" s="720">
        <v>53.15</v>
      </c>
      <c r="F441" s="721">
        <v>724</v>
      </c>
      <c r="G441" s="669">
        <v>0.23</v>
      </c>
      <c r="H441" s="669">
        <v>1.75</v>
      </c>
      <c r="I441" s="669">
        <f t="shared" si="30"/>
        <v>51.17</v>
      </c>
      <c r="J441" s="722" t="s">
        <v>232</v>
      </c>
      <c r="K441" s="669"/>
      <c r="L441" s="669"/>
      <c r="M441" s="669"/>
    </row>
    <row r="442" spans="1:13">
      <c r="A442" s="665">
        <v>20130701</v>
      </c>
      <c r="B442" s="667" t="s">
        <v>1139</v>
      </c>
      <c r="C442" s="667" t="s">
        <v>328</v>
      </c>
      <c r="D442" s="668" t="str">
        <f t="shared" si="28"/>
        <v>20130701KUUM_361</v>
      </c>
      <c r="E442" s="720">
        <v>80.98</v>
      </c>
      <c r="F442" s="721">
        <v>724</v>
      </c>
      <c r="G442" s="669">
        <v>0.23</v>
      </c>
      <c r="H442" s="669">
        <v>1.75</v>
      </c>
      <c r="I442" s="669">
        <f t="shared" si="30"/>
        <v>79</v>
      </c>
      <c r="J442" s="722" t="s">
        <v>237</v>
      </c>
      <c r="K442" s="669"/>
      <c r="L442" s="669"/>
      <c r="M442" s="669"/>
    </row>
    <row r="443" spans="1:13">
      <c r="A443" s="665">
        <v>20130701</v>
      </c>
      <c r="B443" s="667" t="s">
        <v>1139</v>
      </c>
      <c r="C443" s="667" t="s">
        <v>331</v>
      </c>
      <c r="D443" s="668" t="str">
        <f t="shared" si="28"/>
        <v>20130701KUUM_362</v>
      </c>
      <c r="E443" s="720">
        <v>57.6</v>
      </c>
      <c r="F443" s="721">
        <v>724</v>
      </c>
      <c r="G443" s="669">
        <v>0.23</v>
      </c>
      <c r="H443" s="669">
        <v>1.75</v>
      </c>
      <c r="I443" s="669">
        <f t="shared" si="30"/>
        <v>55.620000000000005</v>
      </c>
      <c r="J443" s="722" t="s">
        <v>240</v>
      </c>
      <c r="K443" s="669"/>
      <c r="L443" s="669"/>
      <c r="M443" s="669"/>
    </row>
    <row r="444" spans="1:13">
      <c r="A444" s="665">
        <v>20130701</v>
      </c>
      <c r="B444" s="667" t="s">
        <v>1139</v>
      </c>
      <c r="C444" s="667" t="s">
        <v>332</v>
      </c>
      <c r="D444" s="668" t="str">
        <f t="shared" si="28"/>
        <v>20130701KUUM_363</v>
      </c>
      <c r="E444" s="720">
        <v>59.57</v>
      </c>
      <c r="F444" s="721">
        <v>724</v>
      </c>
      <c r="G444" s="669">
        <v>0.23</v>
      </c>
      <c r="H444" s="669">
        <v>1.75</v>
      </c>
      <c r="I444" s="669">
        <f t="shared" si="30"/>
        <v>57.59</v>
      </c>
      <c r="J444" s="722" t="s">
        <v>241</v>
      </c>
      <c r="K444" s="722"/>
      <c r="L444" s="722"/>
      <c r="M444" s="722"/>
    </row>
    <row r="445" spans="1:13">
      <c r="A445" s="665">
        <v>20130701</v>
      </c>
      <c r="B445" s="667" t="s">
        <v>1139</v>
      </c>
      <c r="C445" s="667" t="s">
        <v>333</v>
      </c>
      <c r="D445" s="668" t="str">
        <f t="shared" si="28"/>
        <v>20130701KUUM_364</v>
      </c>
      <c r="E445" s="720">
        <v>60.93</v>
      </c>
      <c r="F445" s="721">
        <v>724</v>
      </c>
      <c r="G445" s="669">
        <v>0.23</v>
      </c>
      <c r="H445" s="669">
        <v>1.75</v>
      </c>
      <c r="I445" s="669">
        <f t="shared" si="30"/>
        <v>58.95</v>
      </c>
      <c r="J445" s="722" t="s">
        <v>242</v>
      </c>
      <c r="K445" s="722"/>
      <c r="L445" s="722"/>
      <c r="M445" s="722"/>
    </row>
    <row r="446" spans="1:13">
      <c r="A446" s="665">
        <v>20130701</v>
      </c>
      <c r="B446" s="667" t="s">
        <v>1139</v>
      </c>
      <c r="C446" s="667" t="s">
        <v>335</v>
      </c>
      <c r="D446" s="668" t="str">
        <f t="shared" si="28"/>
        <v>20130701KUUM_365</v>
      </c>
      <c r="E446" s="720">
        <v>78.760000000000005</v>
      </c>
      <c r="F446" s="721">
        <v>724</v>
      </c>
      <c r="G446" s="669">
        <v>0.23</v>
      </c>
      <c r="H446" s="669">
        <v>1.75</v>
      </c>
      <c r="I446" s="669">
        <f t="shared" si="30"/>
        <v>76.78</v>
      </c>
      <c r="J446" s="722" t="s">
        <v>244</v>
      </c>
      <c r="K446" s="722"/>
      <c r="L446" s="722"/>
      <c r="M446" s="722"/>
    </row>
    <row r="447" spans="1:13">
      <c r="A447" s="665">
        <v>20130701</v>
      </c>
      <c r="B447" s="667" t="s">
        <v>1139</v>
      </c>
      <c r="C447" s="667" t="s">
        <v>336</v>
      </c>
      <c r="D447" s="668" t="str">
        <f t="shared" si="28"/>
        <v>20130701KUUM_366</v>
      </c>
      <c r="E447" s="720">
        <v>76.790000000000006</v>
      </c>
      <c r="F447" s="721">
        <v>724</v>
      </c>
      <c r="G447" s="669">
        <v>0.23</v>
      </c>
      <c r="H447" s="669">
        <v>1.75</v>
      </c>
      <c r="I447" s="669">
        <f t="shared" si="30"/>
        <v>74.81</v>
      </c>
      <c r="J447" s="722" t="s">
        <v>245</v>
      </c>
      <c r="K447" s="722"/>
      <c r="L447" s="722"/>
      <c r="M447" s="722"/>
    </row>
    <row r="448" spans="1:13">
      <c r="A448" s="665">
        <v>20130701</v>
      </c>
      <c r="B448" s="667" t="s">
        <v>1139</v>
      </c>
      <c r="C448" s="667" t="s">
        <v>338</v>
      </c>
      <c r="D448" s="668" t="str">
        <f t="shared" si="28"/>
        <v>20130701KUUM_367</v>
      </c>
      <c r="E448" s="720">
        <v>59.050000000000004</v>
      </c>
      <c r="F448" s="721">
        <v>724</v>
      </c>
      <c r="G448" s="669">
        <v>0.23</v>
      </c>
      <c r="H448" s="669">
        <v>1.75</v>
      </c>
      <c r="I448" s="669">
        <f t="shared" si="30"/>
        <v>57.070000000000007</v>
      </c>
      <c r="J448" s="722" t="s">
        <v>247</v>
      </c>
      <c r="K448" s="722"/>
      <c r="L448" s="722"/>
      <c r="M448" s="722"/>
    </row>
    <row r="449" spans="1:13">
      <c r="A449" s="665">
        <v>20130701</v>
      </c>
      <c r="B449" s="667" t="s">
        <v>1139</v>
      </c>
      <c r="C449" s="667" t="s">
        <v>339</v>
      </c>
      <c r="D449" s="668" t="str">
        <f t="shared" si="28"/>
        <v>20130701KUUM_368</v>
      </c>
      <c r="E449" s="720">
        <v>54.51</v>
      </c>
      <c r="F449" s="721">
        <v>724</v>
      </c>
      <c r="G449" s="669">
        <v>0.23</v>
      </c>
      <c r="H449" s="669">
        <v>1.75</v>
      </c>
      <c r="I449" s="669">
        <f t="shared" si="30"/>
        <v>52.53</v>
      </c>
      <c r="J449" s="722" t="s">
        <v>248</v>
      </c>
      <c r="K449" s="722"/>
      <c r="L449" s="722"/>
      <c r="M449" s="722"/>
    </row>
    <row r="450" spans="1:13">
      <c r="A450" s="665">
        <v>20130701</v>
      </c>
      <c r="B450" s="667" t="s">
        <v>1139</v>
      </c>
      <c r="C450" s="667" t="s">
        <v>325</v>
      </c>
      <c r="D450" s="668" t="str">
        <f t="shared" si="28"/>
        <v>20130701KUUM_370</v>
      </c>
      <c r="E450" s="720">
        <v>72.34</v>
      </c>
      <c r="F450" s="721">
        <v>724</v>
      </c>
      <c r="G450" s="669">
        <v>0.23</v>
      </c>
      <c r="H450" s="669">
        <v>1.75</v>
      </c>
      <c r="I450" s="669">
        <f t="shared" si="30"/>
        <v>70.36</v>
      </c>
      <c r="J450" s="722" t="s">
        <v>234</v>
      </c>
      <c r="K450" s="722"/>
      <c r="L450" s="722"/>
      <c r="M450" s="722"/>
    </row>
    <row r="451" spans="1:13">
      <c r="A451" s="665">
        <v>20130701</v>
      </c>
      <c r="B451" s="667" t="s">
        <v>1139</v>
      </c>
      <c r="C451" s="671" t="s">
        <v>603</v>
      </c>
      <c r="D451" s="668" t="str">
        <f t="shared" si="28"/>
        <v>20130701KUUM_371</v>
      </c>
      <c r="E451" s="720">
        <v>100.17</v>
      </c>
      <c r="F451" s="721">
        <v>724</v>
      </c>
      <c r="G451" s="669">
        <v>0.23</v>
      </c>
      <c r="H451" s="669">
        <v>1.75</v>
      </c>
      <c r="I451" s="669">
        <f t="shared" si="30"/>
        <v>98.19</v>
      </c>
      <c r="J451" s="723" t="s">
        <v>1160</v>
      </c>
      <c r="K451" s="722"/>
      <c r="L451" s="722"/>
      <c r="M451" s="722"/>
    </row>
    <row r="452" spans="1:13">
      <c r="A452" s="665">
        <v>20130701</v>
      </c>
      <c r="B452" s="667" t="s">
        <v>1139</v>
      </c>
      <c r="C452" s="667" t="s">
        <v>334</v>
      </c>
      <c r="D452" s="668" t="str">
        <f t="shared" si="28"/>
        <v>20130701KUUM_372</v>
      </c>
      <c r="E452" s="720">
        <v>80.12</v>
      </c>
      <c r="F452" s="721">
        <v>724</v>
      </c>
      <c r="G452" s="669">
        <v>0.23</v>
      </c>
      <c r="H452" s="669">
        <v>1.75</v>
      </c>
      <c r="I452" s="669">
        <f t="shared" si="30"/>
        <v>78.14</v>
      </c>
      <c r="J452" s="722" t="s">
        <v>243</v>
      </c>
      <c r="K452" s="722"/>
      <c r="L452" s="722"/>
      <c r="M452" s="722"/>
    </row>
    <row r="453" spans="1:13">
      <c r="A453" s="665">
        <v>20130701</v>
      </c>
      <c r="B453" s="667" t="s">
        <v>1139</v>
      </c>
      <c r="C453" s="667" t="s">
        <v>326</v>
      </c>
      <c r="D453" s="668" t="str">
        <f t="shared" si="28"/>
        <v>20130701KUUM_373</v>
      </c>
      <c r="E453" s="720">
        <v>72.34</v>
      </c>
      <c r="F453" s="721">
        <v>724</v>
      </c>
      <c r="G453" s="669">
        <v>0.23</v>
      </c>
      <c r="H453" s="669">
        <v>1.75</v>
      </c>
      <c r="I453" s="669">
        <f t="shared" si="30"/>
        <v>70.36</v>
      </c>
      <c r="J453" s="722" t="s">
        <v>235</v>
      </c>
      <c r="K453" s="722"/>
      <c r="L453" s="722"/>
      <c r="M453" s="722"/>
    </row>
    <row r="454" spans="1:13">
      <c r="A454" s="665">
        <v>20130701</v>
      </c>
      <c r="B454" s="667" t="s">
        <v>1139</v>
      </c>
      <c r="C454" s="667" t="s">
        <v>330</v>
      </c>
      <c r="D454" s="668" t="str">
        <f t="shared" si="28"/>
        <v>20130701KUUM_374</v>
      </c>
      <c r="E454" s="720">
        <v>73.7</v>
      </c>
      <c r="F454" s="721">
        <v>724</v>
      </c>
      <c r="G454" s="669">
        <v>0.23</v>
      </c>
      <c r="H454" s="669">
        <v>1.75</v>
      </c>
      <c r="I454" s="669">
        <f t="shared" si="30"/>
        <v>71.72</v>
      </c>
      <c r="J454" s="722" t="s">
        <v>239</v>
      </c>
      <c r="K454" s="722"/>
      <c r="L454" s="722"/>
      <c r="M454" s="722"/>
    </row>
    <row r="455" spans="1:13">
      <c r="A455" s="665">
        <v>20130701</v>
      </c>
      <c r="B455" s="667" t="s">
        <v>1139</v>
      </c>
      <c r="C455" s="667" t="s">
        <v>337</v>
      </c>
      <c r="D455" s="668" t="str">
        <f t="shared" si="28"/>
        <v>20130701KUUM_375</v>
      </c>
      <c r="E455" s="720">
        <v>76.790000000000006</v>
      </c>
      <c r="F455" s="721">
        <v>724</v>
      </c>
      <c r="G455" s="669">
        <v>0.23</v>
      </c>
      <c r="H455" s="669">
        <v>1.75</v>
      </c>
      <c r="I455" s="669">
        <f t="shared" si="30"/>
        <v>74.81</v>
      </c>
      <c r="J455" s="722" t="s">
        <v>246</v>
      </c>
      <c r="K455" s="722"/>
      <c r="L455" s="722"/>
      <c r="M455" s="722"/>
    </row>
    <row r="456" spans="1:13">
      <c r="A456" s="665">
        <v>20130701</v>
      </c>
      <c r="B456" s="667" t="s">
        <v>1139</v>
      </c>
      <c r="C456" s="667" t="s">
        <v>329</v>
      </c>
      <c r="D456" s="668" t="str">
        <f t="shared" si="28"/>
        <v>20130701KUUM_376</v>
      </c>
      <c r="E456" s="720">
        <v>75.08</v>
      </c>
      <c r="F456" s="721">
        <v>724</v>
      </c>
      <c r="G456" s="669">
        <v>0.23</v>
      </c>
      <c r="H456" s="669">
        <v>1.75</v>
      </c>
      <c r="I456" s="669">
        <f t="shared" si="30"/>
        <v>73.099999999999994</v>
      </c>
      <c r="J456" s="722" t="s">
        <v>238</v>
      </c>
      <c r="K456" s="722"/>
      <c r="L456" s="722"/>
      <c r="M456" s="722"/>
    </row>
    <row r="457" spans="1:13">
      <c r="A457" s="665">
        <v>20130701</v>
      </c>
      <c r="B457" s="667" t="s">
        <v>1139</v>
      </c>
      <c r="C457" s="667" t="s">
        <v>327</v>
      </c>
      <c r="D457" s="668" t="str">
        <f t="shared" si="28"/>
        <v>20130701KUUM_377</v>
      </c>
      <c r="E457" s="720">
        <v>62.01</v>
      </c>
      <c r="F457" s="721">
        <v>724</v>
      </c>
      <c r="G457" s="669">
        <v>0.23</v>
      </c>
      <c r="H457" s="669">
        <v>1.75</v>
      </c>
      <c r="I457" s="669">
        <f t="shared" si="30"/>
        <v>60.03</v>
      </c>
      <c r="J457" s="722" t="s">
        <v>236</v>
      </c>
      <c r="K457" s="722"/>
      <c r="L457" s="722"/>
      <c r="M457" s="722"/>
    </row>
    <row r="458" spans="1:13">
      <c r="A458" s="665">
        <v>20130701</v>
      </c>
      <c r="B458" s="667" t="s">
        <v>1139</v>
      </c>
      <c r="C458" s="671" t="s">
        <v>453</v>
      </c>
      <c r="D458" s="668" t="str">
        <f t="shared" si="28"/>
        <v>20130701KUUM_378</v>
      </c>
      <c r="E458" s="724">
        <v>73.72</v>
      </c>
      <c r="F458" s="721">
        <v>724</v>
      </c>
      <c r="G458" s="669">
        <v>0.23</v>
      </c>
      <c r="H458" s="669">
        <v>1.75</v>
      </c>
      <c r="I458" s="669">
        <f t="shared" si="30"/>
        <v>71.739999999999995</v>
      </c>
      <c r="J458" s="723" t="s">
        <v>452</v>
      </c>
      <c r="K458" s="722"/>
      <c r="L458" s="722"/>
      <c r="M458" s="722"/>
    </row>
    <row r="459" spans="1:13">
      <c r="A459" s="665">
        <v>20130701</v>
      </c>
      <c r="B459" s="667" t="s">
        <v>1139</v>
      </c>
      <c r="C459" s="725" t="s">
        <v>616</v>
      </c>
      <c r="D459" s="726" t="str">
        <f t="shared" si="28"/>
        <v>20130701KUUM_379</v>
      </c>
      <c r="E459" s="724">
        <v>78.66</v>
      </c>
      <c r="F459" s="727">
        <v>724</v>
      </c>
      <c r="G459" s="728">
        <v>0.23</v>
      </c>
      <c r="H459" s="728">
        <v>1.75</v>
      </c>
      <c r="I459" s="669">
        <f t="shared" si="30"/>
        <v>76.679999999999993</v>
      </c>
      <c r="J459" s="729" t="s">
        <v>679</v>
      </c>
      <c r="K459" s="730"/>
      <c r="L459" s="730"/>
      <c r="M459" s="730"/>
    </row>
    <row r="460" spans="1:13">
      <c r="A460" s="665">
        <v>20130701</v>
      </c>
      <c r="B460" s="667" t="s">
        <v>1139</v>
      </c>
      <c r="C460" s="725" t="s">
        <v>617</v>
      </c>
      <c r="D460" s="726" t="str">
        <f t="shared" si="28"/>
        <v>20130701KUUM_380</v>
      </c>
      <c r="E460" s="724">
        <v>82.58</v>
      </c>
      <c r="F460" s="727">
        <v>724</v>
      </c>
      <c r="G460" s="728">
        <v>0.23</v>
      </c>
      <c r="H460" s="728">
        <v>1.75</v>
      </c>
      <c r="I460" s="669">
        <f t="shared" si="30"/>
        <v>80.599999999999994</v>
      </c>
      <c r="J460" s="729" t="s">
        <v>680</v>
      </c>
      <c r="K460" s="730"/>
      <c r="L460" s="730"/>
      <c r="M460" s="730"/>
    </row>
    <row r="461" spans="1:13">
      <c r="A461" s="665">
        <v>20130701</v>
      </c>
      <c r="B461" s="667" t="s">
        <v>1139</v>
      </c>
      <c r="C461" s="725" t="s">
        <v>618</v>
      </c>
      <c r="D461" s="726" t="str">
        <f t="shared" si="28"/>
        <v>20130701KUUM_381</v>
      </c>
      <c r="E461" s="724">
        <v>83.94</v>
      </c>
      <c r="F461" s="727">
        <v>724</v>
      </c>
      <c r="G461" s="728">
        <v>0.23</v>
      </c>
      <c r="H461" s="728">
        <v>1.75</v>
      </c>
      <c r="I461" s="669">
        <f t="shared" si="30"/>
        <v>81.96</v>
      </c>
      <c r="J461" s="729" t="s">
        <v>681</v>
      </c>
      <c r="K461" s="730"/>
      <c r="L461" s="730"/>
      <c r="M461" s="730"/>
    </row>
    <row r="462" spans="1:13">
      <c r="A462" s="665">
        <v>20130701</v>
      </c>
      <c r="B462" s="667" t="s">
        <v>1139</v>
      </c>
      <c r="C462" s="725" t="s">
        <v>619</v>
      </c>
      <c r="D462" s="726" t="str">
        <f t="shared" si="28"/>
        <v>20130701KUUM_382</v>
      </c>
      <c r="E462" s="720">
        <v>81.039999999999992</v>
      </c>
      <c r="F462" s="727">
        <v>724</v>
      </c>
      <c r="G462" s="728">
        <v>0.23</v>
      </c>
      <c r="H462" s="728">
        <v>1.75</v>
      </c>
      <c r="I462" s="669">
        <f t="shared" si="30"/>
        <v>79.059999999999988</v>
      </c>
      <c r="J462" s="729" t="s">
        <v>682</v>
      </c>
      <c r="K462" s="730"/>
      <c r="L462" s="730"/>
      <c r="M462" s="730"/>
    </row>
    <row r="463" spans="1:13">
      <c r="A463" s="665">
        <v>20130701</v>
      </c>
      <c r="B463" s="667" t="s">
        <v>1139</v>
      </c>
      <c r="C463" s="667" t="s">
        <v>324</v>
      </c>
      <c r="D463" s="668" t="str">
        <f t="shared" si="28"/>
        <v>20130701KUUM_395</v>
      </c>
      <c r="E463" s="720">
        <v>53.15</v>
      </c>
      <c r="F463" s="721">
        <v>724</v>
      </c>
      <c r="G463" s="669">
        <v>0.23</v>
      </c>
      <c r="H463" s="669">
        <v>1.75</v>
      </c>
      <c r="I463" s="669">
        <f t="shared" si="30"/>
        <v>51.17</v>
      </c>
      <c r="J463" s="722" t="s">
        <v>233</v>
      </c>
      <c r="K463" s="722"/>
      <c r="L463" s="722"/>
      <c r="M463" s="722"/>
    </row>
    <row r="464" spans="1:13">
      <c r="A464" s="665">
        <v>20130701</v>
      </c>
      <c r="B464" s="667"/>
      <c r="C464" s="671" t="s">
        <v>410</v>
      </c>
      <c r="D464" s="668" t="str">
        <f t="shared" si="28"/>
        <v>20130701KUUM_400</v>
      </c>
      <c r="E464" s="720"/>
      <c r="F464" s="721">
        <v>240</v>
      </c>
      <c r="G464" s="669"/>
      <c r="H464" s="669"/>
      <c r="I464" s="669">
        <f t="shared" si="30"/>
        <v>0</v>
      </c>
      <c r="J464" s="723" t="s">
        <v>411</v>
      </c>
      <c r="K464" s="722"/>
      <c r="L464" s="722"/>
      <c r="M464" s="722"/>
    </row>
    <row r="465" spans="1:13">
      <c r="A465" s="665">
        <v>20130701</v>
      </c>
      <c r="B465" s="667" t="s">
        <v>1139</v>
      </c>
      <c r="C465" s="667" t="s">
        <v>366</v>
      </c>
      <c r="D465" s="668" t="str">
        <f t="shared" si="28"/>
        <v>20130701KUUM_401</v>
      </c>
      <c r="E465" s="720">
        <v>14.47</v>
      </c>
      <c r="F465" s="721">
        <v>332</v>
      </c>
      <c r="G465" s="669">
        <v>0.04</v>
      </c>
      <c r="H465" s="669">
        <v>0.80000000000000071</v>
      </c>
      <c r="I465" s="669">
        <f t="shared" si="30"/>
        <v>13.63</v>
      </c>
      <c r="J465" s="722" t="s">
        <v>275</v>
      </c>
      <c r="K465" s="722"/>
      <c r="L465" s="722"/>
      <c r="M465" s="722"/>
    </row>
    <row r="466" spans="1:13">
      <c r="A466" s="665">
        <v>20130701</v>
      </c>
      <c r="B466" s="667" t="s">
        <v>1140</v>
      </c>
      <c r="C466" s="667" t="s">
        <v>386</v>
      </c>
      <c r="D466" s="668" t="str">
        <f t="shared" si="28"/>
        <v>20130701KUUM_404</v>
      </c>
      <c r="E466" s="720">
        <v>10.220000000000001</v>
      </c>
      <c r="F466" s="721">
        <v>828</v>
      </c>
      <c r="G466" s="669">
        <v>0.04</v>
      </c>
      <c r="H466" s="669">
        <v>1.9900000000000002</v>
      </c>
      <c r="I466" s="669">
        <f t="shared" si="30"/>
        <v>8.1900000000000013</v>
      </c>
      <c r="J466" s="722" t="s">
        <v>295</v>
      </c>
      <c r="K466" s="722"/>
      <c r="L466" s="722"/>
      <c r="M466" s="722"/>
    </row>
    <row r="467" spans="1:13">
      <c r="A467" s="665">
        <v>20130701</v>
      </c>
      <c r="B467" s="667" t="s">
        <v>1140</v>
      </c>
      <c r="C467" s="667" t="s">
        <v>342</v>
      </c>
      <c r="D467" s="668" t="str">
        <f t="shared" si="28"/>
        <v>20130701KUUM_405</v>
      </c>
      <c r="E467" s="720"/>
      <c r="F467" s="721">
        <v>1812</v>
      </c>
      <c r="G467" s="669"/>
      <c r="H467" s="669"/>
      <c r="I467" s="669">
        <f t="shared" si="30"/>
        <v>0</v>
      </c>
      <c r="J467" s="722" t="s">
        <v>251</v>
      </c>
      <c r="K467" s="722"/>
      <c r="L467" s="722"/>
      <c r="M467" s="722"/>
    </row>
    <row r="468" spans="1:13">
      <c r="A468" s="665">
        <v>20130701</v>
      </c>
      <c r="B468" s="667"/>
      <c r="C468" s="671" t="s">
        <v>693</v>
      </c>
      <c r="D468" s="668" t="str">
        <f t="shared" si="28"/>
        <v>20130701KUUM_406</v>
      </c>
      <c r="E468" s="720"/>
      <c r="F468" s="721">
        <v>828</v>
      </c>
      <c r="G468" s="669"/>
      <c r="H468" s="669"/>
      <c r="I468" s="669">
        <f t="shared" si="30"/>
        <v>0</v>
      </c>
      <c r="J468" s="722" t="s">
        <v>692</v>
      </c>
      <c r="K468" s="722"/>
      <c r="L468" s="722"/>
      <c r="M468" s="722"/>
    </row>
    <row r="469" spans="1:13">
      <c r="A469" s="665">
        <v>20130701</v>
      </c>
      <c r="B469" s="667" t="s">
        <v>1139</v>
      </c>
      <c r="C469" s="667" t="s">
        <v>378</v>
      </c>
      <c r="D469" s="668" t="str">
        <f>A469&amp;C469</f>
        <v>20130701KUUM_407</v>
      </c>
      <c r="E469" s="720"/>
      <c r="F469" s="721">
        <v>1884</v>
      </c>
      <c r="G469" s="669"/>
      <c r="H469" s="669"/>
      <c r="I469" s="669">
        <f t="shared" si="30"/>
        <v>0</v>
      </c>
      <c r="J469" s="722" t="s">
        <v>287</v>
      </c>
      <c r="K469" s="722"/>
      <c r="L469" s="722"/>
      <c r="M469" s="722"/>
    </row>
    <row r="470" spans="1:13">
      <c r="A470" s="665">
        <v>20130701</v>
      </c>
      <c r="B470" s="667" t="s">
        <v>1140</v>
      </c>
      <c r="C470" s="667" t="s">
        <v>343</v>
      </c>
      <c r="D470" s="668" t="str">
        <f>A470&amp;C470</f>
        <v>20130701KUUM_408</v>
      </c>
      <c r="E470" s="720"/>
      <c r="F470" s="721">
        <v>1812</v>
      </c>
      <c r="G470" s="669"/>
      <c r="H470" s="669"/>
      <c r="I470" s="669">
        <f t="shared" si="30"/>
        <v>0</v>
      </c>
      <c r="J470" s="722" t="s">
        <v>252</v>
      </c>
      <c r="K470" s="722"/>
      <c r="L470" s="722"/>
      <c r="M470" s="722"/>
    </row>
    <row r="471" spans="1:13">
      <c r="A471" s="665">
        <v>20130701</v>
      </c>
      <c r="B471" s="667" t="s">
        <v>1140</v>
      </c>
      <c r="C471" s="667" t="s">
        <v>382</v>
      </c>
      <c r="D471" s="668" t="str">
        <f>A471&amp;C471</f>
        <v>20130701KUUM_409</v>
      </c>
      <c r="E471" s="720">
        <v>11</v>
      </c>
      <c r="F471" s="721">
        <v>1884</v>
      </c>
      <c r="G471" s="669">
        <v>0.08</v>
      </c>
      <c r="H471" s="669">
        <v>4.5299999999999994</v>
      </c>
      <c r="I471" s="669">
        <f t="shared" si="30"/>
        <v>6.3900000000000006</v>
      </c>
      <c r="J471" s="722" t="s">
        <v>291</v>
      </c>
      <c r="K471" s="722"/>
      <c r="L471" s="722"/>
      <c r="M471" s="722"/>
    </row>
    <row r="472" spans="1:13">
      <c r="A472" s="665">
        <v>20130701</v>
      </c>
      <c r="B472" s="667" t="s">
        <v>1140</v>
      </c>
      <c r="C472" s="667" t="s">
        <v>360</v>
      </c>
      <c r="D472" s="668" t="str">
        <f>A472&amp;C472</f>
        <v>20130701KUUM_410</v>
      </c>
      <c r="E472" s="720">
        <v>19.96</v>
      </c>
      <c r="F472" s="721">
        <v>240</v>
      </c>
      <c r="G472" s="669">
        <v>0.03</v>
      </c>
      <c r="H472" s="669">
        <v>0.57000000000000028</v>
      </c>
      <c r="I472" s="669">
        <f t="shared" si="30"/>
        <v>19.36</v>
      </c>
      <c r="J472" s="722" t="s">
        <v>269</v>
      </c>
      <c r="K472" s="722"/>
      <c r="L472" s="722"/>
      <c r="M472" s="722"/>
    </row>
    <row r="473" spans="1:13">
      <c r="A473" s="665">
        <v>20130701</v>
      </c>
      <c r="B473" s="667" t="s">
        <v>1139</v>
      </c>
      <c r="C473" s="667" t="s">
        <v>368</v>
      </c>
      <c r="D473" s="668" t="str">
        <f>A473&amp;C473</f>
        <v>20130701KUUM_411</v>
      </c>
      <c r="E473" s="720">
        <v>20.99</v>
      </c>
      <c r="F473" s="721">
        <v>332</v>
      </c>
      <c r="G473" s="669">
        <v>0.04</v>
      </c>
      <c r="H473" s="669">
        <v>0.79999999999999716</v>
      </c>
      <c r="I473" s="669">
        <f t="shared" si="30"/>
        <v>20.150000000000002</v>
      </c>
      <c r="J473" s="722" t="s">
        <v>277</v>
      </c>
      <c r="K473" s="722"/>
      <c r="L473" s="722"/>
      <c r="M473" s="722"/>
    </row>
    <row r="474" spans="1:13">
      <c r="A474" s="665">
        <v>20130701</v>
      </c>
      <c r="B474" s="667" t="s">
        <v>1140</v>
      </c>
      <c r="C474" s="667" t="s">
        <v>370</v>
      </c>
      <c r="D474" s="668" t="str">
        <f t="shared" ref="D474:D537" si="31">A474&amp;C474</f>
        <v>20130701KUUM_412</v>
      </c>
      <c r="E474" s="720">
        <v>30.45</v>
      </c>
      <c r="F474" s="721">
        <v>332</v>
      </c>
      <c r="G474" s="669">
        <v>0.04</v>
      </c>
      <c r="H474" s="669">
        <v>0.79999999999999716</v>
      </c>
      <c r="I474" s="669">
        <f t="shared" si="30"/>
        <v>29.610000000000003</v>
      </c>
      <c r="J474" s="722" t="s">
        <v>279</v>
      </c>
      <c r="K474" s="722"/>
      <c r="L474" s="722"/>
      <c r="M474" s="722"/>
    </row>
    <row r="475" spans="1:13">
      <c r="A475" s="665">
        <v>20130701</v>
      </c>
      <c r="B475" s="667" t="s">
        <v>1140</v>
      </c>
      <c r="C475" s="667" t="s">
        <v>393</v>
      </c>
      <c r="D475" s="668" t="str">
        <f t="shared" si="31"/>
        <v>20130701KUUM_413</v>
      </c>
      <c r="E475" s="720">
        <v>30.91</v>
      </c>
      <c r="F475" s="721">
        <v>468</v>
      </c>
      <c r="G475" s="669">
        <v>0.03</v>
      </c>
      <c r="H475" s="669">
        <v>1.129999999999999</v>
      </c>
      <c r="I475" s="669">
        <f t="shared" si="30"/>
        <v>29.75</v>
      </c>
      <c r="J475" s="722" t="s">
        <v>302</v>
      </c>
      <c r="K475" s="722"/>
      <c r="L475" s="722"/>
      <c r="M475" s="722"/>
    </row>
    <row r="476" spans="1:13">
      <c r="A476" s="665">
        <v>20130701</v>
      </c>
      <c r="B476" s="667" t="s">
        <v>1139</v>
      </c>
      <c r="C476" s="667" t="s">
        <v>371</v>
      </c>
      <c r="D476" s="668" t="str">
        <f t="shared" si="31"/>
        <v>20130701KUUM_414</v>
      </c>
      <c r="E476" s="720">
        <v>30.45</v>
      </c>
      <c r="F476" s="721">
        <v>332</v>
      </c>
      <c r="G476" s="669">
        <v>0.04</v>
      </c>
      <c r="H476" s="669">
        <v>0.79999999999999716</v>
      </c>
      <c r="I476" s="669">
        <f t="shared" si="30"/>
        <v>29.610000000000003</v>
      </c>
      <c r="J476" s="722" t="s">
        <v>280</v>
      </c>
      <c r="K476" s="722"/>
      <c r="L476" s="722"/>
      <c r="M476" s="722"/>
    </row>
    <row r="477" spans="1:13">
      <c r="A477" s="665">
        <v>20130701</v>
      </c>
      <c r="B477" s="667" t="s">
        <v>1139</v>
      </c>
      <c r="C477" s="667" t="s">
        <v>394</v>
      </c>
      <c r="D477" s="668" t="str">
        <f t="shared" si="31"/>
        <v>20130701KUUM_415</v>
      </c>
      <c r="E477" s="720">
        <v>30.91</v>
      </c>
      <c r="F477" s="721">
        <v>468</v>
      </c>
      <c r="G477" s="669">
        <v>0.03</v>
      </c>
      <c r="H477" s="669">
        <v>1.129999999999999</v>
      </c>
      <c r="I477" s="669">
        <f t="shared" si="30"/>
        <v>29.75</v>
      </c>
      <c r="J477" s="722" t="s">
        <v>303</v>
      </c>
      <c r="K477" s="722"/>
      <c r="L477" s="722"/>
      <c r="M477" s="722"/>
    </row>
    <row r="478" spans="1:13">
      <c r="A478" s="665">
        <v>20130701</v>
      </c>
      <c r="B478" s="667" t="s">
        <v>1139</v>
      </c>
      <c r="C478" s="667" t="s">
        <v>389</v>
      </c>
      <c r="D478" s="668" t="str">
        <f t="shared" si="31"/>
        <v>20130701KUUM_420</v>
      </c>
      <c r="E478" s="720">
        <v>15.05</v>
      </c>
      <c r="F478" s="721">
        <v>468</v>
      </c>
      <c r="G478" s="669">
        <v>0.03</v>
      </c>
      <c r="H478" s="669">
        <v>1.1300000000000008</v>
      </c>
      <c r="I478" s="669">
        <f t="shared" si="30"/>
        <v>13.89</v>
      </c>
      <c r="J478" s="722" t="s">
        <v>298</v>
      </c>
      <c r="K478" s="722"/>
      <c r="L478" s="722"/>
      <c r="M478" s="722"/>
    </row>
    <row r="479" spans="1:13">
      <c r="A479" s="665">
        <v>20130701</v>
      </c>
      <c r="B479" s="667" t="s">
        <v>1140</v>
      </c>
      <c r="C479" s="667" t="s">
        <v>310</v>
      </c>
      <c r="D479" s="668" t="str">
        <f t="shared" si="31"/>
        <v>20130701KUUM_421</v>
      </c>
      <c r="E479" s="720">
        <v>3.28</v>
      </c>
      <c r="F479" s="721">
        <v>408</v>
      </c>
      <c r="G479" s="669">
        <v>0.01</v>
      </c>
      <c r="H479" s="669">
        <v>0.98999999999999977</v>
      </c>
      <c r="I479" s="669">
        <f t="shared" si="30"/>
        <v>2.2800000000000002</v>
      </c>
      <c r="J479" s="669" t="s">
        <v>219</v>
      </c>
      <c r="K479" s="722"/>
      <c r="L479" s="722"/>
      <c r="M479" s="722"/>
    </row>
    <row r="480" spans="1:13">
      <c r="A480" s="665">
        <v>20130701</v>
      </c>
      <c r="B480" s="667" t="s">
        <v>1140</v>
      </c>
      <c r="C480" s="667" t="s">
        <v>340</v>
      </c>
      <c r="D480" s="668" t="str">
        <f t="shared" si="31"/>
        <v>20130701KUUM_422</v>
      </c>
      <c r="E480" s="720">
        <v>4.4000000000000004</v>
      </c>
      <c r="F480" s="721">
        <v>804</v>
      </c>
      <c r="G480" s="669">
        <v>0.02</v>
      </c>
      <c r="H480" s="669">
        <v>1.9400000000000004</v>
      </c>
      <c r="I480" s="669">
        <f t="shared" si="30"/>
        <v>2.4400000000000004</v>
      </c>
      <c r="J480" s="722" t="s">
        <v>249</v>
      </c>
      <c r="K480" s="722"/>
      <c r="L480" s="722"/>
      <c r="M480" s="722"/>
    </row>
    <row r="481" spans="1:13">
      <c r="A481" s="665">
        <v>20130701</v>
      </c>
      <c r="B481" s="667" t="s">
        <v>1140</v>
      </c>
      <c r="C481" s="667" t="s">
        <v>358</v>
      </c>
      <c r="D481" s="668" t="str">
        <f t="shared" si="31"/>
        <v>20130701KUUM_424</v>
      </c>
      <c r="E481" s="720">
        <v>6.56</v>
      </c>
      <c r="F481" s="721">
        <v>1308</v>
      </c>
      <c r="G481" s="669">
        <v>0.02</v>
      </c>
      <c r="H481" s="669">
        <v>0.69999999999999929</v>
      </c>
      <c r="I481" s="669">
        <f t="shared" si="30"/>
        <v>5.8400000000000007</v>
      </c>
      <c r="J481" s="722" t="s">
        <v>267</v>
      </c>
      <c r="K481" s="722"/>
      <c r="L481" s="722"/>
      <c r="M481" s="722"/>
    </row>
    <row r="482" spans="1:13">
      <c r="A482" s="665">
        <v>20130701</v>
      </c>
      <c r="B482" s="667" t="s">
        <v>1140</v>
      </c>
      <c r="C482" s="667" t="s">
        <v>383</v>
      </c>
      <c r="D482" s="668" t="str">
        <f t="shared" si="31"/>
        <v>20130701KUUM_425</v>
      </c>
      <c r="E482" s="720">
        <v>8.76</v>
      </c>
      <c r="F482" s="721">
        <v>1788</v>
      </c>
      <c r="G482" s="669">
        <v>0.03</v>
      </c>
      <c r="H482" s="669">
        <v>4.3000000000000007</v>
      </c>
      <c r="I482" s="669">
        <f t="shared" si="30"/>
        <v>4.43</v>
      </c>
      <c r="J482" s="722" t="s">
        <v>292</v>
      </c>
      <c r="K482" s="722"/>
      <c r="L482" s="722"/>
      <c r="M482" s="722"/>
    </row>
    <row r="483" spans="1:13">
      <c r="A483" s="665">
        <v>20130701</v>
      </c>
      <c r="B483" s="667" t="s">
        <v>1140</v>
      </c>
      <c r="C483" s="667" t="s">
        <v>375</v>
      </c>
      <c r="D483" s="668" t="str">
        <f t="shared" si="31"/>
        <v>20130701KUUM_426</v>
      </c>
      <c r="E483" s="720">
        <v>7.05</v>
      </c>
      <c r="F483" s="721">
        <v>332</v>
      </c>
      <c r="G483" s="669">
        <v>0.04</v>
      </c>
      <c r="H483" s="669">
        <v>0.79999999999999982</v>
      </c>
      <c r="I483" s="669">
        <f t="shared" si="30"/>
        <v>6.21</v>
      </c>
      <c r="J483" s="722" t="s">
        <v>284</v>
      </c>
      <c r="K483" s="722"/>
      <c r="L483" s="722"/>
      <c r="M483" s="722"/>
    </row>
    <row r="484" spans="1:13">
      <c r="A484" s="665">
        <v>20130701</v>
      </c>
      <c r="B484" s="667" t="s">
        <v>1139</v>
      </c>
      <c r="C484" s="667" t="s">
        <v>400</v>
      </c>
      <c r="D484" s="668" t="str">
        <f t="shared" si="31"/>
        <v>20130701KUUM_428</v>
      </c>
      <c r="E484" s="720">
        <v>7.53</v>
      </c>
      <c r="F484" s="721">
        <v>468</v>
      </c>
      <c r="G484" s="669">
        <v>0.03</v>
      </c>
      <c r="H484" s="669">
        <v>1.1299999999999999</v>
      </c>
      <c r="I484" s="669">
        <f t="shared" si="30"/>
        <v>6.37</v>
      </c>
      <c r="J484" s="722" t="s">
        <v>309</v>
      </c>
      <c r="K484" s="722"/>
      <c r="L484" s="722"/>
      <c r="M484" s="722"/>
    </row>
    <row r="485" spans="1:13">
      <c r="A485" s="665">
        <v>20130701</v>
      </c>
      <c r="B485" s="667" t="s">
        <v>1139</v>
      </c>
      <c r="C485" s="667" t="s">
        <v>346</v>
      </c>
      <c r="D485" s="668" t="str">
        <f t="shared" si="31"/>
        <v>20130701KUUM_429</v>
      </c>
      <c r="E485" s="720"/>
      <c r="F485" s="721">
        <v>968</v>
      </c>
      <c r="G485" s="669"/>
      <c r="H485" s="669"/>
      <c r="I485" s="669">
        <f t="shared" si="30"/>
        <v>0</v>
      </c>
      <c r="J485" s="722" t="s">
        <v>255</v>
      </c>
      <c r="K485" s="722"/>
      <c r="L485" s="722"/>
      <c r="M485" s="722"/>
    </row>
    <row r="486" spans="1:13">
      <c r="A486" s="665">
        <v>20130701</v>
      </c>
      <c r="B486" s="667" t="s">
        <v>1139</v>
      </c>
      <c r="C486" s="667" t="s">
        <v>391</v>
      </c>
      <c r="D486" s="668" t="str">
        <f t="shared" si="31"/>
        <v>20130701KUUM_430</v>
      </c>
      <c r="E486" s="720">
        <v>21.69</v>
      </c>
      <c r="F486" s="721">
        <v>468</v>
      </c>
      <c r="G486" s="669">
        <v>0.03</v>
      </c>
      <c r="H486" s="669">
        <v>1.129999999999999</v>
      </c>
      <c r="I486" s="669">
        <f t="shared" si="30"/>
        <v>20.53</v>
      </c>
      <c r="J486" s="722" t="s">
        <v>300</v>
      </c>
      <c r="K486" s="722"/>
      <c r="L486" s="722"/>
      <c r="M486" s="722"/>
    </row>
    <row r="487" spans="1:13">
      <c r="A487" s="665">
        <v>20130701</v>
      </c>
      <c r="B487" s="667"/>
      <c r="C487" s="671" t="s">
        <v>402</v>
      </c>
      <c r="D487" s="668" t="str">
        <f t="shared" si="31"/>
        <v>20130701KUUM_431</v>
      </c>
      <c r="E487" s="720"/>
      <c r="F487" s="721">
        <v>408</v>
      </c>
      <c r="G487" s="669"/>
      <c r="H487" s="669"/>
      <c r="I487" s="669">
        <f t="shared" si="30"/>
        <v>0</v>
      </c>
      <c r="J487" s="731" t="s">
        <v>403</v>
      </c>
      <c r="K487" s="722"/>
      <c r="L487" s="722"/>
      <c r="M487" s="722"/>
    </row>
    <row r="488" spans="1:13">
      <c r="A488" s="665">
        <v>20130701</v>
      </c>
      <c r="B488" s="667"/>
      <c r="C488" s="671" t="s">
        <v>404</v>
      </c>
      <c r="D488" s="668" t="str">
        <f t="shared" si="31"/>
        <v>20130701KUUM_432</v>
      </c>
      <c r="E488" s="720"/>
      <c r="F488" s="721">
        <v>804</v>
      </c>
      <c r="G488" s="669"/>
      <c r="H488" s="669"/>
      <c r="I488" s="669">
        <f t="shared" si="30"/>
        <v>0</v>
      </c>
      <c r="J488" s="723" t="s">
        <v>405</v>
      </c>
      <c r="K488" s="722"/>
      <c r="L488" s="722"/>
      <c r="M488" s="722"/>
    </row>
    <row r="489" spans="1:13">
      <c r="A489" s="665">
        <v>20130701</v>
      </c>
      <c r="B489" s="667"/>
      <c r="C489" s="671" t="s">
        <v>406</v>
      </c>
      <c r="D489" s="668" t="str">
        <f t="shared" si="31"/>
        <v>20130701KUUM_433</v>
      </c>
      <c r="E489" s="720"/>
      <c r="F489" s="721">
        <v>724</v>
      </c>
      <c r="G489" s="669"/>
      <c r="H489" s="669"/>
      <c r="I489" s="669">
        <f t="shared" si="30"/>
        <v>0</v>
      </c>
      <c r="J489" s="723" t="s">
        <v>407</v>
      </c>
      <c r="K489" s="722"/>
      <c r="L489" s="722"/>
      <c r="M489" s="722"/>
    </row>
    <row r="490" spans="1:13">
      <c r="A490" s="665">
        <v>20130701</v>
      </c>
      <c r="B490" s="667" t="s">
        <v>1140</v>
      </c>
      <c r="C490" s="667" t="s">
        <v>357</v>
      </c>
      <c r="D490" s="668" t="str">
        <f t="shared" si="31"/>
        <v>20130701KUUM_434</v>
      </c>
      <c r="E490" s="720">
        <v>7.52</v>
      </c>
      <c r="F490" s="721">
        <v>1308</v>
      </c>
      <c r="G490" s="669">
        <v>0.02</v>
      </c>
      <c r="H490" s="669">
        <v>0.69999999999999929</v>
      </c>
      <c r="I490" s="669">
        <f t="shared" si="30"/>
        <v>6.8000000000000007</v>
      </c>
      <c r="J490" s="722" t="s">
        <v>266</v>
      </c>
      <c r="K490" s="722"/>
      <c r="L490" s="722"/>
      <c r="M490" s="722"/>
    </row>
    <row r="491" spans="1:13">
      <c r="A491" s="665">
        <v>20130701</v>
      </c>
      <c r="B491" s="667"/>
      <c r="C491" s="671" t="s">
        <v>408</v>
      </c>
      <c r="D491" s="668" t="str">
        <f t="shared" si="31"/>
        <v>20130701KUUM_435</v>
      </c>
      <c r="E491" s="720"/>
      <c r="F491" s="721">
        <v>1788</v>
      </c>
      <c r="G491" s="669"/>
      <c r="H491" s="669"/>
      <c r="I491" s="669">
        <f t="shared" si="30"/>
        <v>0</v>
      </c>
      <c r="J491" s="723" t="s">
        <v>409</v>
      </c>
      <c r="K491" s="722"/>
      <c r="L491" s="722"/>
      <c r="M491" s="722"/>
    </row>
    <row r="492" spans="1:13">
      <c r="A492" s="665">
        <v>20130701</v>
      </c>
      <c r="B492" s="667" t="s">
        <v>1140</v>
      </c>
      <c r="C492" s="667" t="s">
        <v>359</v>
      </c>
      <c r="D492" s="668" t="str">
        <f t="shared" si="31"/>
        <v>20130701KUUM_440</v>
      </c>
      <c r="E492" s="720">
        <v>13.31</v>
      </c>
      <c r="F492" s="721">
        <v>240</v>
      </c>
      <c r="G492" s="669">
        <v>0.03</v>
      </c>
      <c r="H492" s="669">
        <v>0.57000000000000028</v>
      </c>
      <c r="I492" s="669">
        <f t="shared" si="30"/>
        <v>12.71</v>
      </c>
      <c r="J492" s="722" t="s">
        <v>268</v>
      </c>
      <c r="K492" s="722"/>
      <c r="L492" s="722"/>
      <c r="M492" s="722"/>
    </row>
    <row r="493" spans="1:13">
      <c r="A493" s="665">
        <v>20130701</v>
      </c>
      <c r="B493" s="667" t="s">
        <v>1139</v>
      </c>
      <c r="C493" s="667" t="s">
        <v>367</v>
      </c>
      <c r="D493" s="668" t="str">
        <f t="shared" si="31"/>
        <v>20130701KUUM_441</v>
      </c>
      <c r="E493" s="720"/>
      <c r="F493" s="721">
        <v>332</v>
      </c>
      <c r="G493" s="669"/>
      <c r="H493" s="669"/>
      <c r="I493" s="669">
        <f t="shared" si="30"/>
        <v>0</v>
      </c>
      <c r="J493" s="722" t="s">
        <v>276</v>
      </c>
      <c r="K493" s="722"/>
      <c r="L493" s="722"/>
      <c r="M493" s="722"/>
    </row>
    <row r="494" spans="1:13">
      <c r="A494" s="665">
        <v>20130701</v>
      </c>
      <c r="B494" s="667" t="s">
        <v>1139</v>
      </c>
      <c r="C494" s="667" t="s">
        <v>390</v>
      </c>
      <c r="D494" s="668" t="str">
        <f t="shared" si="31"/>
        <v>20130701KUUM_442</v>
      </c>
      <c r="E494" s="720"/>
      <c r="F494" s="721">
        <v>468</v>
      </c>
      <c r="G494" s="669"/>
      <c r="H494" s="669"/>
      <c r="I494" s="669">
        <f t="shared" si="30"/>
        <v>0</v>
      </c>
      <c r="J494" s="722" t="s">
        <v>299</v>
      </c>
      <c r="K494" s="722"/>
      <c r="L494" s="722"/>
      <c r="M494" s="722"/>
    </row>
    <row r="495" spans="1:13">
      <c r="A495" s="665">
        <v>20130701</v>
      </c>
      <c r="B495" s="667"/>
      <c r="C495" s="667" t="s">
        <v>361</v>
      </c>
      <c r="D495" s="668" t="str">
        <f t="shared" si="31"/>
        <v>20130701KUUM_444</v>
      </c>
      <c r="E495" s="720"/>
      <c r="F495" s="721">
        <v>240</v>
      </c>
      <c r="G495" s="669"/>
      <c r="H495" s="669"/>
      <c r="I495" s="669">
        <f t="shared" si="30"/>
        <v>0</v>
      </c>
      <c r="J495" s="722" t="s">
        <v>270</v>
      </c>
      <c r="K495" s="722"/>
      <c r="L495" s="722"/>
      <c r="M495" s="722"/>
    </row>
    <row r="496" spans="1:13">
      <c r="A496" s="665">
        <v>20130701</v>
      </c>
      <c r="B496" s="667"/>
      <c r="C496" s="667" t="s">
        <v>369</v>
      </c>
      <c r="D496" s="668" t="str">
        <f t="shared" si="31"/>
        <v>20130701KUUM_445</v>
      </c>
      <c r="E496" s="720"/>
      <c r="F496" s="721">
        <v>332</v>
      </c>
      <c r="G496" s="669"/>
      <c r="H496" s="669"/>
      <c r="I496" s="669">
        <f t="shared" si="30"/>
        <v>0</v>
      </c>
      <c r="J496" s="722" t="s">
        <v>278</v>
      </c>
      <c r="K496" s="722"/>
      <c r="L496" s="722"/>
      <c r="M496" s="722"/>
    </row>
    <row r="497" spans="1:13">
      <c r="A497" s="665">
        <v>20130701</v>
      </c>
      <c r="B497" s="667" t="s">
        <v>1140</v>
      </c>
      <c r="C497" s="667" t="s">
        <v>385</v>
      </c>
      <c r="D497" s="668" t="str">
        <f t="shared" si="31"/>
        <v>20130701KUUM_446</v>
      </c>
      <c r="E497" s="720">
        <v>9.2100000000000009</v>
      </c>
      <c r="F497" s="721">
        <v>828</v>
      </c>
      <c r="G497" s="669">
        <v>0.04</v>
      </c>
      <c r="H497" s="669">
        <v>1.9900000000000002</v>
      </c>
      <c r="I497" s="669">
        <f t="shared" si="30"/>
        <v>7.1800000000000015</v>
      </c>
      <c r="J497" s="722" t="s">
        <v>294</v>
      </c>
      <c r="K497" s="722"/>
      <c r="L497" s="722"/>
      <c r="M497" s="722"/>
    </row>
    <row r="498" spans="1:13">
      <c r="A498" s="665">
        <v>20130701</v>
      </c>
      <c r="B498" s="667" t="s">
        <v>1140</v>
      </c>
      <c r="C498" s="667" t="s">
        <v>312</v>
      </c>
      <c r="D498" s="668" t="str">
        <f t="shared" si="31"/>
        <v>20130701KUUM_447</v>
      </c>
      <c r="E498" s="720">
        <v>10.92</v>
      </c>
      <c r="F498" s="721">
        <v>1176</v>
      </c>
      <c r="G498" s="669">
        <v>0.04</v>
      </c>
      <c r="H498" s="669">
        <v>2.8400000000000016</v>
      </c>
      <c r="I498" s="669">
        <f t="shared" si="30"/>
        <v>8.0399999999999991</v>
      </c>
      <c r="J498" s="669" t="s">
        <v>221</v>
      </c>
      <c r="K498" s="722"/>
      <c r="L498" s="722"/>
      <c r="M498" s="722"/>
    </row>
    <row r="499" spans="1:13">
      <c r="A499" s="665">
        <v>20130701</v>
      </c>
      <c r="B499" s="667" t="s">
        <v>1140</v>
      </c>
      <c r="C499" s="671" t="s">
        <v>421</v>
      </c>
      <c r="D499" s="668" t="str">
        <f t="shared" si="31"/>
        <v>20130701KUUM_448</v>
      </c>
      <c r="E499" s="720">
        <v>12.35</v>
      </c>
      <c r="F499" s="721">
        <v>1812</v>
      </c>
      <c r="G499" s="669">
        <v>0.05</v>
      </c>
      <c r="H499" s="669">
        <v>4.37</v>
      </c>
      <c r="I499" s="669">
        <f t="shared" si="30"/>
        <v>7.9299999999999988</v>
      </c>
      <c r="J499" s="722" t="s">
        <v>422</v>
      </c>
      <c r="K499" s="722"/>
      <c r="L499" s="722"/>
      <c r="M499" s="722"/>
    </row>
    <row r="500" spans="1:13">
      <c r="A500" s="665">
        <v>20130701</v>
      </c>
      <c r="B500" s="667" t="s">
        <v>1139</v>
      </c>
      <c r="C500" s="667" t="s">
        <v>392</v>
      </c>
      <c r="D500" s="668" t="str">
        <f t="shared" si="31"/>
        <v>20130701KUUM_449</v>
      </c>
      <c r="E500" s="720"/>
      <c r="F500" s="721">
        <v>468</v>
      </c>
      <c r="G500" s="669"/>
      <c r="H500" s="669"/>
      <c r="I500" s="669">
        <f t="shared" si="30"/>
        <v>0</v>
      </c>
      <c r="J500" s="722" t="s">
        <v>301</v>
      </c>
      <c r="K500" s="722"/>
      <c r="L500" s="722"/>
      <c r="M500" s="722"/>
    </row>
    <row r="501" spans="1:13">
      <c r="A501" s="665">
        <v>20130701</v>
      </c>
      <c r="B501" s="667" t="s">
        <v>1139</v>
      </c>
      <c r="C501" s="667" t="s">
        <v>322</v>
      </c>
      <c r="D501" s="668" t="str">
        <f t="shared" si="31"/>
        <v>20130701KUUM_450</v>
      </c>
      <c r="E501" s="720">
        <v>13.66</v>
      </c>
      <c r="F501" s="721">
        <v>600</v>
      </c>
      <c r="G501" s="669">
        <v>7.0000000000000007E-2</v>
      </c>
      <c r="H501" s="669">
        <v>1.9699999999999989</v>
      </c>
      <c r="I501" s="669">
        <f t="shared" si="30"/>
        <v>11.620000000000001</v>
      </c>
      <c r="J501" s="722" t="s">
        <v>231</v>
      </c>
      <c r="K501" s="722"/>
      <c r="L501" s="722"/>
      <c r="M501" s="722"/>
    </row>
    <row r="502" spans="1:13">
      <c r="A502" s="665">
        <v>20130701</v>
      </c>
      <c r="B502" s="667" t="s">
        <v>1139</v>
      </c>
      <c r="C502" s="667" t="s">
        <v>354</v>
      </c>
      <c r="D502" s="668" t="str">
        <f t="shared" si="31"/>
        <v>20130701KUUM_451</v>
      </c>
      <c r="E502" s="720">
        <v>19.440000000000001</v>
      </c>
      <c r="F502" s="721">
        <v>1400</v>
      </c>
      <c r="G502" s="669">
        <v>0.08</v>
      </c>
      <c r="H502" s="669">
        <v>4.2900000000000027</v>
      </c>
      <c r="I502" s="669">
        <f t="shared" si="30"/>
        <v>15.07</v>
      </c>
      <c r="J502" s="722" t="s">
        <v>263</v>
      </c>
      <c r="K502" s="722"/>
      <c r="L502" s="722"/>
      <c r="M502" s="722"/>
    </row>
    <row r="503" spans="1:13">
      <c r="A503" s="665">
        <v>20130701</v>
      </c>
      <c r="B503" s="667" t="s">
        <v>1139</v>
      </c>
      <c r="C503" s="667" t="s">
        <v>317</v>
      </c>
      <c r="D503" s="668" t="str">
        <f t="shared" si="31"/>
        <v>20130701KUUM_452</v>
      </c>
      <c r="E503" s="720">
        <v>40.81</v>
      </c>
      <c r="F503" s="721">
        <v>4320</v>
      </c>
      <c r="G503" s="669">
        <v>0.16</v>
      </c>
      <c r="H503" s="669">
        <v>10.410000000000004</v>
      </c>
      <c r="I503" s="669">
        <f t="shared" si="30"/>
        <v>30.240000000000002</v>
      </c>
      <c r="J503" s="722" t="s">
        <v>226</v>
      </c>
      <c r="K503" s="722"/>
      <c r="L503" s="722"/>
      <c r="M503" s="722"/>
    </row>
    <row r="504" spans="1:13">
      <c r="A504" s="665">
        <v>20130701</v>
      </c>
      <c r="B504" s="667" t="s">
        <v>1140</v>
      </c>
      <c r="C504" s="667" t="s">
        <v>320</v>
      </c>
      <c r="D504" s="668" t="str">
        <f t="shared" si="31"/>
        <v>20130701KUUM_454</v>
      </c>
      <c r="E504" s="720">
        <v>18.059999999999999</v>
      </c>
      <c r="F504" s="721">
        <v>600</v>
      </c>
      <c r="G504" s="669">
        <v>7.0000000000000007E-2</v>
      </c>
      <c r="H504" s="669">
        <v>1.9699999999999989</v>
      </c>
      <c r="I504" s="669">
        <f t="shared" si="30"/>
        <v>16.02</v>
      </c>
      <c r="J504" s="722" t="s">
        <v>229</v>
      </c>
      <c r="K504" s="722"/>
      <c r="L504" s="722"/>
      <c r="M504" s="722"/>
    </row>
    <row r="505" spans="1:13">
      <c r="A505" s="665">
        <v>20130701</v>
      </c>
      <c r="B505" s="667" t="s">
        <v>1140</v>
      </c>
      <c r="C505" s="667" t="s">
        <v>352</v>
      </c>
      <c r="D505" s="668" t="str">
        <f t="shared" si="31"/>
        <v>20130701KUUM_455</v>
      </c>
      <c r="E505" s="720">
        <v>23.83</v>
      </c>
      <c r="F505" s="721">
        <v>1400</v>
      </c>
      <c r="G505" s="669">
        <v>0.08</v>
      </c>
      <c r="H505" s="669">
        <v>4.2899999999999991</v>
      </c>
      <c r="I505" s="669">
        <f t="shared" ref="I505:I525" si="32">E505-G505-H505</f>
        <v>19.46</v>
      </c>
      <c r="J505" s="722" t="s">
        <v>261</v>
      </c>
      <c r="K505" s="722"/>
      <c r="L505" s="722"/>
      <c r="M505" s="722"/>
    </row>
    <row r="506" spans="1:13">
      <c r="A506" s="665">
        <v>20130701</v>
      </c>
      <c r="B506" s="667" t="s">
        <v>1140</v>
      </c>
      <c r="C506" s="667" t="s">
        <v>384</v>
      </c>
      <c r="D506" s="668" t="str">
        <f t="shared" si="31"/>
        <v>20130701KUUM_456</v>
      </c>
      <c r="E506" s="720">
        <v>11.52</v>
      </c>
      <c r="F506" s="721">
        <v>828</v>
      </c>
      <c r="G506" s="669">
        <v>0.04</v>
      </c>
      <c r="H506" s="669">
        <v>1.9900000000000002</v>
      </c>
      <c r="I506" s="669">
        <f t="shared" si="32"/>
        <v>9.49</v>
      </c>
      <c r="J506" s="722" t="s">
        <v>293</v>
      </c>
      <c r="K506" s="722"/>
      <c r="L506" s="722"/>
      <c r="M506" s="722"/>
    </row>
    <row r="507" spans="1:13">
      <c r="A507" s="665">
        <v>20130701</v>
      </c>
      <c r="B507" s="667" t="s">
        <v>1140</v>
      </c>
      <c r="C507" s="667" t="s">
        <v>311</v>
      </c>
      <c r="D507" s="668" t="str">
        <f t="shared" si="31"/>
        <v>20130701KUUM_457</v>
      </c>
      <c r="E507" s="720">
        <v>12.96</v>
      </c>
      <c r="F507" s="721">
        <v>1176</v>
      </c>
      <c r="G507" s="669">
        <v>0.04</v>
      </c>
      <c r="H507" s="669">
        <v>2.84</v>
      </c>
      <c r="I507" s="669">
        <f t="shared" si="32"/>
        <v>10.080000000000002</v>
      </c>
      <c r="J507" s="669" t="s">
        <v>220</v>
      </c>
      <c r="K507" s="722"/>
      <c r="L507" s="722"/>
      <c r="M507" s="722"/>
    </row>
    <row r="508" spans="1:13">
      <c r="A508" s="665">
        <v>20130701</v>
      </c>
      <c r="B508" s="667" t="s">
        <v>1140</v>
      </c>
      <c r="C508" s="667" t="s">
        <v>341</v>
      </c>
      <c r="D508" s="668" t="str">
        <f t="shared" si="31"/>
        <v>20130701KUUM_458</v>
      </c>
      <c r="E508" s="720">
        <v>14.62</v>
      </c>
      <c r="F508" s="721">
        <v>1812</v>
      </c>
      <c r="G508" s="669">
        <v>0.05</v>
      </c>
      <c r="H508" s="669">
        <v>4.3699999999999992</v>
      </c>
      <c r="I508" s="669">
        <f t="shared" si="32"/>
        <v>10.199999999999999</v>
      </c>
      <c r="J508" s="722" t="s">
        <v>250</v>
      </c>
      <c r="K508" s="722"/>
      <c r="L508" s="722"/>
      <c r="M508" s="722"/>
    </row>
    <row r="509" spans="1:13">
      <c r="A509" s="665">
        <v>20130701</v>
      </c>
      <c r="B509" s="667" t="s">
        <v>1140</v>
      </c>
      <c r="C509" s="667" t="s">
        <v>315</v>
      </c>
      <c r="D509" s="668" t="str">
        <f t="shared" si="31"/>
        <v>20130701KUUM_459</v>
      </c>
      <c r="E509" s="720">
        <v>45.2</v>
      </c>
      <c r="F509" s="721">
        <v>4320</v>
      </c>
      <c r="G509" s="669">
        <v>0.16</v>
      </c>
      <c r="H509" s="669">
        <v>10.410000000000004</v>
      </c>
      <c r="I509" s="669">
        <f t="shared" si="32"/>
        <v>34.630000000000003</v>
      </c>
      <c r="J509" s="669" t="s">
        <v>224</v>
      </c>
      <c r="K509" s="722"/>
      <c r="L509" s="722"/>
      <c r="M509" s="722"/>
    </row>
    <row r="510" spans="1:13">
      <c r="A510" s="665">
        <v>20130701</v>
      </c>
      <c r="B510" s="667" t="s">
        <v>1140</v>
      </c>
      <c r="C510" s="667" t="s">
        <v>319</v>
      </c>
      <c r="D510" s="668" t="str">
        <f t="shared" si="31"/>
        <v>20130701KUUM_460</v>
      </c>
      <c r="E510" s="720">
        <v>26.56</v>
      </c>
      <c r="F510" s="721">
        <v>600</v>
      </c>
      <c r="G510" s="669">
        <v>7.0000000000000007E-2</v>
      </c>
      <c r="H510" s="669">
        <v>1.9699999999999989</v>
      </c>
      <c r="I510" s="669">
        <f t="shared" si="32"/>
        <v>24.52</v>
      </c>
      <c r="J510" s="722" t="s">
        <v>228</v>
      </c>
      <c r="K510" s="722"/>
      <c r="L510" s="722"/>
      <c r="M510" s="722"/>
    </row>
    <row r="511" spans="1:13">
      <c r="A511" s="665">
        <v>20130701</v>
      </c>
      <c r="B511" s="667" t="s">
        <v>1140</v>
      </c>
      <c r="C511" s="667" t="s">
        <v>356</v>
      </c>
      <c r="D511" s="668" t="str">
        <f t="shared" si="31"/>
        <v>20130701KUUM_461</v>
      </c>
      <c r="E511" s="720">
        <v>7.24</v>
      </c>
      <c r="F511" s="721">
        <v>240</v>
      </c>
      <c r="G511" s="669">
        <v>0.03</v>
      </c>
      <c r="H511" s="669">
        <v>0.57000000000000028</v>
      </c>
      <c r="I511" s="669">
        <f t="shared" si="32"/>
        <v>6.64</v>
      </c>
      <c r="J511" s="722" t="s">
        <v>265</v>
      </c>
      <c r="K511" s="722"/>
      <c r="L511" s="722"/>
      <c r="M511" s="722"/>
    </row>
    <row r="512" spans="1:13">
      <c r="A512" s="665">
        <v>20130701</v>
      </c>
      <c r="B512" s="667" t="s">
        <v>1139</v>
      </c>
      <c r="C512" s="667" t="s">
        <v>365</v>
      </c>
      <c r="D512" s="668" t="str">
        <f t="shared" si="31"/>
        <v>20130701KUUM_462</v>
      </c>
      <c r="E512" s="720">
        <v>8.27</v>
      </c>
      <c r="F512" s="721">
        <v>332</v>
      </c>
      <c r="G512" s="669">
        <v>0.04</v>
      </c>
      <c r="H512" s="669">
        <v>0.79999999999999893</v>
      </c>
      <c r="I512" s="669">
        <f t="shared" si="32"/>
        <v>7.4300000000000015</v>
      </c>
      <c r="J512" s="722" t="s">
        <v>274</v>
      </c>
      <c r="K512" s="722"/>
      <c r="L512" s="722"/>
      <c r="M512" s="722"/>
    </row>
    <row r="513" spans="1:13">
      <c r="A513" s="665">
        <v>20130701</v>
      </c>
      <c r="B513" s="667" t="s">
        <v>1139</v>
      </c>
      <c r="C513" s="667" t="s">
        <v>388</v>
      </c>
      <c r="D513" s="668" t="str">
        <f t="shared" si="31"/>
        <v>20130701KUUM_463</v>
      </c>
      <c r="E513" s="720">
        <v>8.83</v>
      </c>
      <c r="F513" s="721">
        <v>468</v>
      </c>
      <c r="G513" s="669">
        <v>0.03</v>
      </c>
      <c r="H513" s="669">
        <v>1.1299999999999999</v>
      </c>
      <c r="I513" s="669">
        <f t="shared" si="32"/>
        <v>7.6700000000000008</v>
      </c>
      <c r="J513" s="722" t="s">
        <v>297</v>
      </c>
      <c r="K513" s="722"/>
      <c r="L513" s="722"/>
      <c r="M513" s="722"/>
    </row>
    <row r="514" spans="1:13">
      <c r="A514" s="665">
        <v>20130701</v>
      </c>
      <c r="B514" s="667" t="s">
        <v>1139</v>
      </c>
      <c r="C514" s="667" t="s">
        <v>345</v>
      </c>
      <c r="D514" s="668" t="str">
        <f t="shared" si="31"/>
        <v>20130701KUUM_464</v>
      </c>
      <c r="E514" s="720">
        <v>13.73</v>
      </c>
      <c r="F514" s="721">
        <v>968</v>
      </c>
      <c r="G514" s="669">
        <v>0.06</v>
      </c>
      <c r="H514" s="669">
        <v>2.33</v>
      </c>
      <c r="I514" s="669">
        <f t="shared" si="32"/>
        <v>11.34</v>
      </c>
      <c r="J514" s="722" t="s">
        <v>254</v>
      </c>
      <c r="K514" s="722"/>
      <c r="L514" s="722"/>
      <c r="M514" s="722"/>
    </row>
    <row r="515" spans="1:13">
      <c r="A515" s="665">
        <v>20130701</v>
      </c>
      <c r="B515" s="667" t="s">
        <v>1139</v>
      </c>
      <c r="C515" s="667" t="s">
        <v>377</v>
      </c>
      <c r="D515" s="668" t="str">
        <f t="shared" si="31"/>
        <v>20130701KUUM_465</v>
      </c>
      <c r="E515" s="720">
        <v>22.13</v>
      </c>
      <c r="F515" s="721">
        <v>1884</v>
      </c>
      <c r="G515" s="669">
        <v>0.08</v>
      </c>
      <c r="H515" s="669">
        <v>4.5299999999999976</v>
      </c>
      <c r="I515" s="669">
        <f t="shared" si="32"/>
        <v>17.520000000000003</v>
      </c>
      <c r="J515" s="722" t="s">
        <v>286</v>
      </c>
      <c r="K515" s="722"/>
      <c r="L515" s="722"/>
      <c r="M515" s="722"/>
    </row>
    <row r="516" spans="1:13">
      <c r="A516" s="665">
        <v>20130701</v>
      </c>
      <c r="B516" s="673" t="s">
        <v>1140</v>
      </c>
      <c r="C516" s="667" t="s">
        <v>363</v>
      </c>
      <c r="D516" s="668" t="str">
        <f t="shared" si="31"/>
        <v>20130701KUUM_466</v>
      </c>
      <c r="E516" s="720">
        <v>9.32</v>
      </c>
      <c r="F516" s="721">
        <v>240</v>
      </c>
      <c r="G516" s="669">
        <v>0.03</v>
      </c>
      <c r="H516" s="669">
        <v>0.57000000000000028</v>
      </c>
      <c r="I516" s="669">
        <f t="shared" si="32"/>
        <v>8.7200000000000006</v>
      </c>
      <c r="J516" s="722" t="s">
        <v>272</v>
      </c>
      <c r="K516" s="722"/>
      <c r="L516" s="722"/>
      <c r="M516" s="722"/>
    </row>
    <row r="517" spans="1:13">
      <c r="A517" s="665">
        <v>20130701</v>
      </c>
      <c r="B517" s="667" t="s">
        <v>1139</v>
      </c>
      <c r="C517" s="667" t="s">
        <v>373</v>
      </c>
      <c r="D517" s="668" t="str">
        <f t="shared" si="31"/>
        <v>20130701KUUM_467</v>
      </c>
      <c r="E517" s="720">
        <v>10.38</v>
      </c>
      <c r="F517" s="721">
        <v>332</v>
      </c>
      <c r="G517" s="669">
        <v>0.04</v>
      </c>
      <c r="H517" s="669">
        <v>0.80000000000000071</v>
      </c>
      <c r="I517" s="669">
        <f t="shared" si="32"/>
        <v>9.5400000000000009</v>
      </c>
      <c r="J517" s="722" t="s">
        <v>282</v>
      </c>
      <c r="K517" s="722"/>
      <c r="L517" s="722"/>
      <c r="M517" s="722"/>
    </row>
    <row r="518" spans="1:13">
      <c r="A518" s="665">
        <v>20130701</v>
      </c>
      <c r="B518" s="667" t="s">
        <v>1139</v>
      </c>
      <c r="C518" s="667" t="s">
        <v>396</v>
      </c>
      <c r="D518" s="668" t="str">
        <f t="shared" si="31"/>
        <v>20130701KUUM_468</v>
      </c>
      <c r="E518" s="720">
        <v>10.85</v>
      </c>
      <c r="F518" s="721">
        <v>468</v>
      </c>
      <c r="G518" s="669">
        <v>0.03</v>
      </c>
      <c r="H518" s="669">
        <v>1.129999999999999</v>
      </c>
      <c r="I518" s="669">
        <f t="shared" si="32"/>
        <v>9.6900000000000013</v>
      </c>
      <c r="J518" s="722" t="s">
        <v>305</v>
      </c>
      <c r="K518" s="722"/>
      <c r="L518" s="722"/>
      <c r="M518" s="722"/>
    </row>
    <row r="519" spans="1:13">
      <c r="A519" s="665">
        <v>20130701</v>
      </c>
      <c r="B519" s="667" t="s">
        <v>1140</v>
      </c>
      <c r="C519" s="667" t="s">
        <v>351</v>
      </c>
      <c r="D519" s="668" t="str">
        <f t="shared" si="31"/>
        <v>20130701KUUM_469</v>
      </c>
      <c r="E519" s="720">
        <v>32.340000000000003</v>
      </c>
      <c r="F519" s="721">
        <v>1400</v>
      </c>
      <c r="G519" s="669">
        <v>0.08</v>
      </c>
      <c r="H519" s="669">
        <v>4.2900000000000063</v>
      </c>
      <c r="I519" s="669">
        <f t="shared" si="32"/>
        <v>27.97</v>
      </c>
      <c r="J519" s="722" t="s">
        <v>260</v>
      </c>
      <c r="K519" s="722"/>
      <c r="L519" s="722"/>
      <c r="M519" s="722"/>
    </row>
    <row r="520" spans="1:13">
      <c r="A520" s="665">
        <v>20130701</v>
      </c>
      <c r="B520" s="667" t="s">
        <v>1140</v>
      </c>
      <c r="C520" s="667" t="s">
        <v>314</v>
      </c>
      <c r="D520" s="668" t="str">
        <f t="shared" si="31"/>
        <v>20130701KUUM_470</v>
      </c>
      <c r="E520" s="720">
        <v>53.71</v>
      </c>
      <c r="F520" s="721">
        <v>4320</v>
      </c>
      <c r="G520" s="669">
        <v>0.16</v>
      </c>
      <c r="H520" s="669">
        <v>10.410000000000004</v>
      </c>
      <c r="I520" s="669">
        <f t="shared" si="32"/>
        <v>43.14</v>
      </c>
      <c r="J520" s="669" t="s">
        <v>223</v>
      </c>
      <c r="K520" s="722"/>
      <c r="L520" s="722"/>
      <c r="M520" s="722"/>
    </row>
    <row r="521" spans="1:13">
      <c r="A521" s="665">
        <v>20130701</v>
      </c>
      <c r="B521" s="667" t="s">
        <v>1140</v>
      </c>
      <c r="C521" s="667" t="s">
        <v>355</v>
      </c>
      <c r="D521" s="668" t="str">
        <f t="shared" si="31"/>
        <v>20130701KUUM_471</v>
      </c>
      <c r="E521" s="720">
        <v>10.19</v>
      </c>
      <c r="F521" s="721">
        <v>240</v>
      </c>
      <c r="G521" s="669">
        <v>0.03</v>
      </c>
      <c r="H521" s="669">
        <v>0.56999999999999851</v>
      </c>
      <c r="I521" s="669">
        <f t="shared" si="32"/>
        <v>9.5900000000000016</v>
      </c>
      <c r="J521" s="722" t="s">
        <v>264</v>
      </c>
      <c r="K521" s="722"/>
      <c r="L521" s="722"/>
      <c r="M521" s="722"/>
    </row>
    <row r="522" spans="1:13">
      <c r="A522" s="665">
        <v>20130701</v>
      </c>
      <c r="B522" s="667" t="s">
        <v>1139</v>
      </c>
      <c r="C522" s="667" t="s">
        <v>364</v>
      </c>
      <c r="D522" s="668" t="str">
        <f t="shared" si="31"/>
        <v>20130701KUUM_472</v>
      </c>
      <c r="E522" s="720">
        <v>11.21</v>
      </c>
      <c r="F522" s="721">
        <v>332</v>
      </c>
      <c r="G522" s="669">
        <v>0.04</v>
      </c>
      <c r="H522" s="669">
        <v>0.80000000000000071</v>
      </c>
      <c r="I522" s="669">
        <f t="shared" si="32"/>
        <v>10.370000000000001</v>
      </c>
      <c r="J522" s="722" t="s">
        <v>273</v>
      </c>
      <c r="K522" s="722"/>
      <c r="L522" s="722"/>
      <c r="M522" s="722"/>
    </row>
    <row r="523" spans="1:13">
      <c r="A523" s="665">
        <v>20130701</v>
      </c>
      <c r="B523" s="667" t="s">
        <v>1139</v>
      </c>
      <c r="C523" s="667" t="s">
        <v>387</v>
      </c>
      <c r="D523" s="668" t="str">
        <f t="shared" si="31"/>
        <v>20130701KUUM_473</v>
      </c>
      <c r="E523" s="720">
        <v>11.99</v>
      </c>
      <c r="F523" s="721">
        <v>468</v>
      </c>
      <c r="G523" s="669">
        <v>0.03</v>
      </c>
      <c r="H523" s="669">
        <v>1.129999999999999</v>
      </c>
      <c r="I523" s="669">
        <f t="shared" si="32"/>
        <v>10.830000000000002</v>
      </c>
      <c r="J523" s="722" t="s">
        <v>296</v>
      </c>
      <c r="K523" s="722"/>
      <c r="L523" s="722"/>
      <c r="M523" s="722"/>
    </row>
    <row r="524" spans="1:13">
      <c r="A524" s="665">
        <v>20130701</v>
      </c>
      <c r="B524" s="667" t="s">
        <v>1139</v>
      </c>
      <c r="C524" s="667" t="s">
        <v>344</v>
      </c>
      <c r="D524" s="668" t="str">
        <f t="shared" si="31"/>
        <v>20130701KUUM_474</v>
      </c>
      <c r="E524" s="720">
        <v>16.89</v>
      </c>
      <c r="F524" s="721">
        <v>968</v>
      </c>
      <c r="G524" s="669">
        <v>0.06</v>
      </c>
      <c r="H524" s="669">
        <v>2.33</v>
      </c>
      <c r="I524" s="669">
        <f t="shared" si="32"/>
        <v>14.500000000000002</v>
      </c>
      <c r="J524" s="722" t="s">
        <v>253</v>
      </c>
      <c r="K524" s="722"/>
      <c r="L524" s="722"/>
      <c r="M524" s="722"/>
    </row>
    <row r="525" spans="1:13">
      <c r="A525" s="665">
        <v>20130701</v>
      </c>
      <c r="B525" s="667" t="s">
        <v>1139</v>
      </c>
      <c r="C525" s="667" t="s">
        <v>376</v>
      </c>
      <c r="D525" s="668" t="str">
        <f t="shared" si="31"/>
        <v>20130701KUUM_475</v>
      </c>
      <c r="E525" s="720">
        <v>23.75</v>
      </c>
      <c r="F525" s="721">
        <v>1884</v>
      </c>
      <c r="G525" s="669">
        <v>0.08</v>
      </c>
      <c r="H525" s="669">
        <v>4.5300000000000011</v>
      </c>
      <c r="I525" s="669">
        <f t="shared" si="32"/>
        <v>19.14</v>
      </c>
      <c r="J525" s="722" t="s">
        <v>285</v>
      </c>
      <c r="K525" s="722"/>
      <c r="L525" s="722"/>
      <c r="M525" s="722"/>
    </row>
    <row r="526" spans="1:13">
      <c r="A526" s="665">
        <v>20130701</v>
      </c>
      <c r="B526" s="667" t="s">
        <v>1139</v>
      </c>
      <c r="C526" s="667" t="s">
        <v>374</v>
      </c>
      <c r="D526" s="668" t="str">
        <f t="shared" si="31"/>
        <v>20130701KUUM_476</v>
      </c>
      <c r="E526" s="720">
        <v>16.399999999999999</v>
      </c>
      <c r="F526" s="721">
        <v>332</v>
      </c>
      <c r="G526" s="669">
        <v>0.04</v>
      </c>
      <c r="H526" s="669">
        <v>0.79999999999999893</v>
      </c>
      <c r="I526" s="669">
        <f>E526-G526-H526</f>
        <v>15.56</v>
      </c>
      <c r="J526" s="722" t="s">
        <v>283</v>
      </c>
      <c r="K526" s="722"/>
      <c r="L526" s="722"/>
      <c r="M526" s="722"/>
    </row>
    <row r="527" spans="1:13">
      <c r="A527" s="665">
        <v>20130701</v>
      </c>
      <c r="B527" s="667" t="s">
        <v>1139</v>
      </c>
      <c r="C527" s="667" t="s">
        <v>398</v>
      </c>
      <c r="D527" s="668" t="str">
        <f t="shared" si="31"/>
        <v>20130701KUUM_477</v>
      </c>
      <c r="E527" s="720">
        <v>20.66</v>
      </c>
      <c r="F527" s="721">
        <v>468</v>
      </c>
      <c r="G527" s="669">
        <v>0.03</v>
      </c>
      <c r="H527" s="669">
        <v>1.129999999999999</v>
      </c>
      <c r="I527" s="669">
        <f t="shared" ref="I527:I541" si="33">E527-G527-H527</f>
        <v>19.5</v>
      </c>
      <c r="J527" s="722" t="s">
        <v>307</v>
      </c>
      <c r="K527" s="722"/>
      <c r="L527" s="722"/>
      <c r="M527" s="722"/>
    </row>
    <row r="528" spans="1:13">
      <c r="A528" s="665">
        <v>20130701</v>
      </c>
      <c r="B528" s="667" t="s">
        <v>1139</v>
      </c>
      <c r="C528" s="667" t="s">
        <v>348</v>
      </c>
      <c r="D528" s="668" t="str">
        <f t="shared" si="31"/>
        <v>20130701KUUM_478</v>
      </c>
      <c r="E528" s="720">
        <v>26.34</v>
      </c>
      <c r="F528" s="721">
        <v>968</v>
      </c>
      <c r="G528" s="669">
        <v>0.06</v>
      </c>
      <c r="H528" s="669">
        <v>2.3299999999999983</v>
      </c>
      <c r="I528" s="669">
        <f t="shared" si="33"/>
        <v>23.950000000000003</v>
      </c>
      <c r="J528" s="722" t="s">
        <v>257</v>
      </c>
      <c r="K528" s="722"/>
      <c r="L528" s="722"/>
      <c r="M528" s="722"/>
    </row>
    <row r="529" spans="1:13">
      <c r="A529" s="665">
        <v>20130701</v>
      </c>
      <c r="B529" s="667" t="s">
        <v>1139</v>
      </c>
      <c r="C529" s="667" t="s">
        <v>380</v>
      </c>
      <c r="D529" s="668" t="str">
        <f t="shared" si="31"/>
        <v>20130701KUUM_479</v>
      </c>
      <c r="E529" s="720">
        <v>32.409999999999997</v>
      </c>
      <c r="F529" s="721">
        <v>1884</v>
      </c>
      <c r="G529" s="669">
        <v>0.08</v>
      </c>
      <c r="H529" s="669">
        <v>4.529999999999994</v>
      </c>
      <c r="I529" s="669">
        <f t="shared" si="33"/>
        <v>27.800000000000004</v>
      </c>
      <c r="J529" s="722" t="s">
        <v>289</v>
      </c>
      <c r="K529" s="722"/>
      <c r="L529" s="722"/>
      <c r="M529" s="722"/>
    </row>
    <row r="530" spans="1:13">
      <c r="A530" s="665">
        <v>20130701</v>
      </c>
      <c r="B530" s="667"/>
      <c r="C530" s="667" t="s">
        <v>362</v>
      </c>
      <c r="D530" s="668" t="str">
        <f t="shared" si="31"/>
        <v>20130701KUUM_480</v>
      </c>
      <c r="E530" s="720"/>
      <c r="F530" s="721">
        <v>240</v>
      </c>
      <c r="G530" s="669"/>
      <c r="H530" s="669"/>
      <c r="I530" s="669">
        <f t="shared" si="33"/>
        <v>0</v>
      </c>
      <c r="J530" s="722" t="s">
        <v>271</v>
      </c>
      <c r="K530" s="722"/>
      <c r="L530" s="722"/>
      <c r="M530" s="722"/>
    </row>
    <row r="531" spans="1:13">
      <c r="A531" s="665">
        <v>20130701</v>
      </c>
      <c r="B531" s="667"/>
      <c r="C531" s="667" t="s">
        <v>372</v>
      </c>
      <c r="D531" s="668" t="str">
        <f t="shared" si="31"/>
        <v>20130701KUUM_481</v>
      </c>
      <c r="E531" s="720"/>
      <c r="F531" s="721">
        <v>332</v>
      </c>
      <c r="G531" s="669"/>
      <c r="H531" s="669"/>
      <c r="I531" s="669">
        <f t="shared" si="33"/>
        <v>0</v>
      </c>
      <c r="J531" s="722" t="s">
        <v>281</v>
      </c>
      <c r="K531" s="722"/>
      <c r="L531" s="722"/>
      <c r="M531" s="722"/>
    </row>
    <row r="532" spans="1:13">
      <c r="A532" s="665">
        <v>20130701</v>
      </c>
      <c r="B532" s="667" t="s">
        <v>1139</v>
      </c>
      <c r="C532" s="667" t="s">
        <v>395</v>
      </c>
      <c r="D532" s="668" t="str">
        <f t="shared" si="31"/>
        <v>20130701KUUM_482</v>
      </c>
      <c r="E532" s="720"/>
      <c r="F532" s="721">
        <v>468</v>
      </c>
      <c r="G532" s="669"/>
      <c r="H532" s="669"/>
      <c r="I532" s="669">
        <f t="shared" si="33"/>
        <v>0</v>
      </c>
      <c r="J532" s="722" t="s">
        <v>304</v>
      </c>
      <c r="K532" s="722"/>
      <c r="L532" s="722"/>
      <c r="M532" s="722"/>
    </row>
    <row r="533" spans="1:13">
      <c r="A533" s="665">
        <v>20130701</v>
      </c>
      <c r="B533" s="667" t="s">
        <v>1139</v>
      </c>
      <c r="C533" s="671" t="s">
        <v>423</v>
      </c>
      <c r="D533" s="668" t="str">
        <f t="shared" si="31"/>
        <v>20130701KUUM_483</v>
      </c>
      <c r="E533" s="720"/>
      <c r="F533" s="721">
        <v>332</v>
      </c>
      <c r="G533" s="669"/>
      <c r="H533" s="669"/>
      <c r="I533" s="669">
        <f t="shared" si="33"/>
        <v>0</v>
      </c>
      <c r="J533" s="723" t="s">
        <v>401</v>
      </c>
      <c r="K533" s="722"/>
      <c r="L533" s="722"/>
      <c r="M533" s="722"/>
    </row>
    <row r="534" spans="1:13">
      <c r="A534" s="665">
        <v>20130701</v>
      </c>
      <c r="B534" s="667" t="s">
        <v>1139</v>
      </c>
      <c r="C534" s="667" t="s">
        <v>397</v>
      </c>
      <c r="D534" s="668" t="str">
        <f t="shared" si="31"/>
        <v>20130701KUUM_484</v>
      </c>
      <c r="E534" s="720"/>
      <c r="F534" s="721">
        <v>468</v>
      </c>
      <c r="G534" s="669"/>
      <c r="H534" s="669"/>
      <c r="I534" s="669">
        <f t="shared" si="33"/>
        <v>0</v>
      </c>
      <c r="J534" s="722" t="s">
        <v>306</v>
      </c>
      <c r="K534" s="722"/>
      <c r="L534" s="722"/>
      <c r="M534" s="722"/>
    </row>
    <row r="535" spans="1:13">
      <c r="A535" s="665">
        <v>20130701</v>
      </c>
      <c r="B535" s="667" t="s">
        <v>1139</v>
      </c>
      <c r="C535" s="667" t="s">
        <v>347</v>
      </c>
      <c r="D535" s="668" t="str">
        <f t="shared" si="31"/>
        <v>20130701KUUM_485</v>
      </c>
      <c r="E535" s="720"/>
      <c r="F535" s="721">
        <v>968</v>
      </c>
      <c r="G535" s="669"/>
      <c r="H535" s="669"/>
      <c r="I535" s="669">
        <f t="shared" si="33"/>
        <v>0</v>
      </c>
      <c r="J535" s="722" t="s">
        <v>256</v>
      </c>
      <c r="K535" s="722"/>
      <c r="L535" s="722"/>
      <c r="M535" s="722"/>
    </row>
    <row r="536" spans="1:13">
      <c r="A536" s="665">
        <v>20130701</v>
      </c>
      <c r="B536" s="667" t="s">
        <v>1139</v>
      </c>
      <c r="C536" s="667" t="s">
        <v>379</v>
      </c>
      <c r="D536" s="668" t="str">
        <f t="shared" si="31"/>
        <v>20130701KUUM_486</v>
      </c>
      <c r="E536" s="720"/>
      <c r="F536" s="721">
        <v>1884</v>
      </c>
      <c r="G536" s="669"/>
      <c r="H536" s="669"/>
      <c r="I536" s="669">
        <f t="shared" si="33"/>
        <v>0</v>
      </c>
      <c r="J536" s="722" t="s">
        <v>288</v>
      </c>
      <c r="K536" s="722"/>
      <c r="L536" s="722"/>
      <c r="M536" s="722"/>
    </row>
    <row r="537" spans="1:13">
      <c r="A537" s="665">
        <v>20130701</v>
      </c>
      <c r="B537" s="667" t="s">
        <v>1139</v>
      </c>
      <c r="C537" s="667" t="s">
        <v>399</v>
      </c>
      <c r="D537" s="668" t="str">
        <f t="shared" si="31"/>
        <v>20130701KUUM_487</v>
      </c>
      <c r="E537" s="720">
        <v>8.69</v>
      </c>
      <c r="F537" s="721">
        <v>468</v>
      </c>
      <c r="G537" s="669">
        <v>0.03</v>
      </c>
      <c r="H537" s="669">
        <v>1.1299999999999999</v>
      </c>
      <c r="I537" s="669">
        <f t="shared" si="33"/>
        <v>7.53</v>
      </c>
      <c r="J537" s="722" t="s">
        <v>308</v>
      </c>
      <c r="K537" s="722"/>
      <c r="L537" s="722"/>
      <c r="M537" s="722"/>
    </row>
    <row r="538" spans="1:13">
      <c r="A538" s="665">
        <v>20130701</v>
      </c>
      <c r="B538" s="667" t="s">
        <v>1139</v>
      </c>
      <c r="C538" s="667" t="s">
        <v>349</v>
      </c>
      <c r="D538" s="668" t="str">
        <f t="shared" ref="D538:D549" si="34">A538&amp;C538</f>
        <v>20130701KUUM_488</v>
      </c>
      <c r="E538" s="720">
        <v>13.12</v>
      </c>
      <c r="F538" s="721">
        <v>968</v>
      </c>
      <c r="G538" s="669">
        <v>0.06</v>
      </c>
      <c r="H538" s="669">
        <v>2.33</v>
      </c>
      <c r="I538" s="669">
        <f t="shared" si="33"/>
        <v>10.729999999999999</v>
      </c>
      <c r="J538" s="722" t="s">
        <v>258</v>
      </c>
      <c r="K538" s="722"/>
      <c r="L538" s="722"/>
      <c r="M538" s="722"/>
    </row>
    <row r="539" spans="1:13">
      <c r="A539" s="665">
        <v>20130701</v>
      </c>
      <c r="B539" s="667" t="s">
        <v>1139</v>
      </c>
      <c r="C539" s="667" t="s">
        <v>381</v>
      </c>
      <c r="D539" s="668" t="str">
        <f t="shared" si="34"/>
        <v>20130701KUUM_489</v>
      </c>
      <c r="E539" s="720">
        <v>18.75</v>
      </c>
      <c r="F539" s="721">
        <v>1884</v>
      </c>
      <c r="G539" s="669">
        <v>0.08</v>
      </c>
      <c r="H539" s="669">
        <v>4.5300000000000011</v>
      </c>
      <c r="I539" s="669">
        <f t="shared" si="33"/>
        <v>14.14</v>
      </c>
      <c r="J539" s="722" t="s">
        <v>290</v>
      </c>
      <c r="K539" s="722"/>
      <c r="L539" s="722"/>
      <c r="M539" s="722"/>
    </row>
    <row r="540" spans="1:13">
      <c r="A540" s="665">
        <v>20130701</v>
      </c>
      <c r="B540" s="667" t="s">
        <v>1139</v>
      </c>
      <c r="C540" s="667" t="s">
        <v>321</v>
      </c>
      <c r="D540" s="668" t="str">
        <f t="shared" si="34"/>
        <v>20130701KUUM_490</v>
      </c>
      <c r="E540" s="720">
        <v>14.88</v>
      </c>
      <c r="F540" s="721">
        <v>600</v>
      </c>
      <c r="G540" s="669">
        <v>7.0000000000000007E-2</v>
      </c>
      <c r="H540" s="669">
        <v>1.9700000000000006</v>
      </c>
      <c r="I540" s="669">
        <f t="shared" si="33"/>
        <v>12.84</v>
      </c>
      <c r="J540" s="722" t="s">
        <v>230</v>
      </c>
      <c r="K540" s="722"/>
      <c r="L540" s="722"/>
      <c r="M540" s="722"/>
    </row>
    <row r="541" spans="1:13">
      <c r="A541" s="665">
        <v>20130701</v>
      </c>
      <c r="B541" s="667" t="s">
        <v>1139</v>
      </c>
      <c r="C541" s="667" t="s">
        <v>353</v>
      </c>
      <c r="D541" s="668" t="str">
        <f t="shared" si="34"/>
        <v>20130701KUUM_491</v>
      </c>
      <c r="E541" s="720">
        <v>21.17</v>
      </c>
      <c r="F541" s="721">
        <v>1400</v>
      </c>
      <c r="G541" s="669">
        <v>0.08</v>
      </c>
      <c r="H541" s="669">
        <v>4.2900000000000027</v>
      </c>
      <c r="I541" s="669">
        <f t="shared" si="33"/>
        <v>16.8</v>
      </c>
      <c r="J541" s="722" t="s">
        <v>262</v>
      </c>
      <c r="K541" s="722"/>
      <c r="L541" s="722"/>
      <c r="M541" s="722"/>
    </row>
    <row r="542" spans="1:13">
      <c r="A542" s="665">
        <v>20130701</v>
      </c>
      <c r="B542" s="667" t="s">
        <v>1139</v>
      </c>
      <c r="C542" s="671" t="s">
        <v>678</v>
      </c>
      <c r="D542" s="668" t="str">
        <f t="shared" si="34"/>
        <v>20130701KUUM_492</v>
      </c>
      <c r="E542" s="669">
        <v>14.98</v>
      </c>
      <c r="F542" s="721">
        <v>332</v>
      </c>
      <c r="G542" s="669">
        <v>0.04</v>
      </c>
      <c r="H542" s="669">
        <v>0.80000000000000071</v>
      </c>
      <c r="I542" s="669">
        <f>E542-G542-H542</f>
        <v>14.14</v>
      </c>
      <c r="J542" s="723" t="s">
        <v>648</v>
      </c>
      <c r="K542" s="722"/>
      <c r="L542" s="722"/>
      <c r="M542" s="722"/>
    </row>
    <row r="543" spans="1:13">
      <c r="A543" s="665">
        <v>20130701</v>
      </c>
      <c r="B543" s="667" t="s">
        <v>1139</v>
      </c>
      <c r="C543" s="667" t="s">
        <v>316</v>
      </c>
      <c r="D543" s="668" t="str">
        <f t="shared" si="34"/>
        <v>20130701KUUM_493</v>
      </c>
      <c r="E543" s="720">
        <v>44.16</v>
      </c>
      <c r="F543" s="721">
        <v>4320</v>
      </c>
      <c r="G543" s="669">
        <v>0.16</v>
      </c>
      <c r="H543" s="669">
        <v>10.409999999999997</v>
      </c>
      <c r="I543" s="669">
        <f t="shared" ref="I543:I549" si="35">E543-G543-H543</f>
        <v>33.590000000000003</v>
      </c>
      <c r="J543" s="722" t="s">
        <v>225</v>
      </c>
      <c r="K543" s="722"/>
      <c r="L543" s="722"/>
      <c r="M543" s="722"/>
    </row>
    <row r="544" spans="1:13">
      <c r="A544" s="665">
        <v>20130701</v>
      </c>
      <c r="B544" s="667" t="s">
        <v>1139</v>
      </c>
      <c r="C544" s="667" t="s">
        <v>318</v>
      </c>
      <c r="D544" s="668" t="str">
        <f t="shared" si="34"/>
        <v>20130701KUUM_494</v>
      </c>
      <c r="E544" s="720">
        <v>27.78</v>
      </c>
      <c r="F544" s="721">
        <v>600</v>
      </c>
      <c r="G544" s="669">
        <v>7.0000000000000007E-2</v>
      </c>
      <c r="H544" s="669">
        <v>1.9699999999999989</v>
      </c>
      <c r="I544" s="669">
        <f t="shared" si="35"/>
        <v>25.740000000000002</v>
      </c>
      <c r="J544" s="722" t="s">
        <v>227</v>
      </c>
      <c r="K544" s="722"/>
      <c r="L544" s="722"/>
      <c r="M544" s="722"/>
    </row>
    <row r="545" spans="1:13">
      <c r="A545" s="665">
        <v>20130701</v>
      </c>
      <c r="B545" s="667" t="s">
        <v>1139</v>
      </c>
      <c r="C545" s="667" t="s">
        <v>350</v>
      </c>
      <c r="D545" s="668" t="str">
        <f t="shared" si="34"/>
        <v>20130701KUUM_495</v>
      </c>
      <c r="E545" s="720">
        <v>34.07</v>
      </c>
      <c r="F545" s="721">
        <v>1400</v>
      </c>
      <c r="G545" s="669">
        <v>0.08</v>
      </c>
      <c r="H545" s="669">
        <v>4.2899999999999991</v>
      </c>
      <c r="I545" s="669">
        <f t="shared" si="35"/>
        <v>29.700000000000003</v>
      </c>
      <c r="J545" s="722" t="s">
        <v>259</v>
      </c>
      <c r="K545" s="722"/>
      <c r="L545" s="722"/>
      <c r="M545" s="722"/>
    </row>
    <row r="546" spans="1:13">
      <c r="A546" s="665">
        <v>20130701</v>
      </c>
      <c r="B546" s="667" t="s">
        <v>1139</v>
      </c>
      <c r="C546" s="667" t="s">
        <v>313</v>
      </c>
      <c r="D546" s="668" t="str">
        <f t="shared" si="34"/>
        <v>20130701KUUM_496</v>
      </c>
      <c r="E546" s="720">
        <v>57.05</v>
      </c>
      <c r="F546" s="721">
        <v>4320</v>
      </c>
      <c r="G546" s="669">
        <v>0.16</v>
      </c>
      <c r="H546" s="669">
        <v>10.409999999999997</v>
      </c>
      <c r="I546" s="669">
        <f t="shared" si="35"/>
        <v>46.480000000000004</v>
      </c>
      <c r="J546" s="669" t="s">
        <v>222</v>
      </c>
      <c r="K546" s="722"/>
      <c r="L546" s="722"/>
      <c r="M546" s="722"/>
    </row>
    <row r="547" spans="1:13">
      <c r="A547" s="665">
        <v>20130701</v>
      </c>
      <c r="B547" s="667" t="s">
        <v>1139</v>
      </c>
      <c r="C547" s="671" t="s">
        <v>650</v>
      </c>
      <c r="D547" s="668" t="str">
        <f t="shared" si="34"/>
        <v>20130701KUUM_497</v>
      </c>
      <c r="E547" s="720">
        <v>15.04</v>
      </c>
      <c r="F547" s="721">
        <v>468</v>
      </c>
      <c r="G547" s="669">
        <v>0.03</v>
      </c>
      <c r="H547" s="669">
        <v>1.1300000000000008</v>
      </c>
      <c r="I547" s="669">
        <f t="shared" si="35"/>
        <v>13.879999999999999</v>
      </c>
      <c r="J547" s="723" t="s">
        <v>413</v>
      </c>
      <c r="K547" s="722"/>
      <c r="L547" s="722"/>
      <c r="M547" s="722"/>
    </row>
    <row r="548" spans="1:13">
      <c r="A548" s="665">
        <v>20130701</v>
      </c>
      <c r="B548" s="667" t="s">
        <v>1139</v>
      </c>
      <c r="C548" s="671" t="s">
        <v>447</v>
      </c>
      <c r="D548" s="668" t="str">
        <f t="shared" si="34"/>
        <v>20130701KUUM_498</v>
      </c>
      <c r="E548" s="720">
        <v>17.2</v>
      </c>
      <c r="F548" s="721">
        <v>968</v>
      </c>
      <c r="G548" s="669">
        <v>0.06</v>
      </c>
      <c r="H548" s="669">
        <v>2.33</v>
      </c>
      <c r="I548" s="669">
        <f t="shared" si="35"/>
        <v>14.81</v>
      </c>
      <c r="J548" s="731" t="s">
        <v>647</v>
      </c>
      <c r="K548" s="722"/>
      <c r="L548" s="722"/>
      <c r="M548" s="722"/>
    </row>
    <row r="549" spans="1:13">
      <c r="A549" s="665">
        <v>20130701</v>
      </c>
      <c r="B549" s="667" t="s">
        <v>1139</v>
      </c>
      <c r="C549" s="671" t="s">
        <v>624</v>
      </c>
      <c r="D549" s="668" t="str">
        <f t="shared" si="34"/>
        <v>20130701KUUM_499</v>
      </c>
      <c r="E549" s="720">
        <v>20.78</v>
      </c>
      <c r="F549" s="721">
        <v>1884</v>
      </c>
      <c r="G549" s="669">
        <v>0.08</v>
      </c>
      <c r="H549" s="669">
        <v>4.5300000000000011</v>
      </c>
      <c r="I549" s="669">
        <f t="shared" si="35"/>
        <v>16.170000000000002</v>
      </c>
      <c r="J549" s="723" t="s">
        <v>414</v>
      </c>
      <c r="K549" s="722"/>
      <c r="L549" s="722"/>
      <c r="M549" s="722"/>
    </row>
    <row r="550" spans="1:13">
      <c r="A550" s="674">
        <v>20140101</v>
      </c>
      <c r="B550" s="676" t="s">
        <v>1139</v>
      </c>
      <c r="C550" s="680" t="s">
        <v>416</v>
      </c>
      <c r="D550" s="677" t="str">
        <f t="shared" ref="D550:D579" si="36">A550&amp;C550</f>
        <v>20140101KUUM_300</v>
      </c>
      <c r="E550" s="732">
        <v>22.49</v>
      </c>
      <c r="F550" s="733">
        <v>200</v>
      </c>
      <c r="G550" s="678">
        <v>0.33</v>
      </c>
      <c r="H550" s="678">
        <v>0.58000000000000185</v>
      </c>
      <c r="I550" s="678">
        <f>E550-G550-H550</f>
        <v>21.58</v>
      </c>
      <c r="J550" s="734" t="s">
        <v>418</v>
      </c>
      <c r="K550" s="678"/>
      <c r="L550" s="678"/>
      <c r="M550" s="678"/>
    </row>
    <row r="551" spans="1:13">
      <c r="A551" s="674">
        <v>20140101</v>
      </c>
      <c r="B551" s="676" t="s">
        <v>1139</v>
      </c>
      <c r="C551" s="680" t="s">
        <v>417</v>
      </c>
      <c r="D551" s="677" t="str">
        <f t="shared" si="36"/>
        <v>20140101KUUM_301</v>
      </c>
      <c r="E551" s="732">
        <v>23.5</v>
      </c>
      <c r="F551" s="733">
        <v>400</v>
      </c>
      <c r="G551" s="678">
        <v>0.34</v>
      </c>
      <c r="H551" s="678">
        <v>1.129999999999999</v>
      </c>
      <c r="I551" s="678">
        <f t="shared" ref="I551:I615" si="37">E551-G551-H551</f>
        <v>22.03</v>
      </c>
      <c r="J551" s="735" t="s">
        <v>419</v>
      </c>
      <c r="K551" s="678"/>
      <c r="L551" s="678"/>
      <c r="M551" s="678"/>
    </row>
    <row r="552" spans="1:13">
      <c r="A552" s="674">
        <v>20140101</v>
      </c>
      <c r="B552" s="676" t="s">
        <v>1139</v>
      </c>
      <c r="C552" s="676" t="s">
        <v>323</v>
      </c>
      <c r="D552" s="677" t="str">
        <f t="shared" si="36"/>
        <v>20140101KUUM_360</v>
      </c>
      <c r="E552" s="732">
        <v>55.33</v>
      </c>
      <c r="F552" s="733">
        <v>724</v>
      </c>
      <c r="G552" s="678">
        <v>2.41</v>
      </c>
      <c r="H552" s="678">
        <v>1.75</v>
      </c>
      <c r="I552" s="678">
        <f t="shared" si="37"/>
        <v>51.17</v>
      </c>
      <c r="J552" s="734" t="s">
        <v>232</v>
      </c>
      <c r="K552" s="678"/>
      <c r="L552" s="678"/>
      <c r="M552" s="678"/>
    </row>
    <row r="553" spans="1:13">
      <c r="A553" s="674">
        <v>20140101</v>
      </c>
      <c r="B553" s="676" t="s">
        <v>1139</v>
      </c>
      <c r="C553" s="676" t="s">
        <v>328</v>
      </c>
      <c r="D553" s="677" t="str">
        <f t="shared" si="36"/>
        <v>20140101KUUM_361</v>
      </c>
      <c r="E553" s="732">
        <v>83.16</v>
      </c>
      <c r="F553" s="733">
        <v>724</v>
      </c>
      <c r="G553" s="678">
        <v>2.41</v>
      </c>
      <c r="H553" s="678">
        <v>1.75</v>
      </c>
      <c r="I553" s="678">
        <f t="shared" si="37"/>
        <v>79</v>
      </c>
      <c r="J553" s="734" t="s">
        <v>237</v>
      </c>
      <c r="K553" s="678"/>
      <c r="L553" s="678"/>
      <c r="M553" s="678"/>
    </row>
    <row r="554" spans="1:13">
      <c r="A554" s="674">
        <v>20140101</v>
      </c>
      <c r="B554" s="676" t="s">
        <v>1139</v>
      </c>
      <c r="C554" s="676" t="s">
        <v>331</v>
      </c>
      <c r="D554" s="677" t="str">
        <f t="shared" si="36"/>
        <v>20140101KUUM_362</v>
      </c>
      <c r="E554" s="732">
        <v>59.78</v>
      </c>
      <c r="F554" s="733">
        <v>724</v>
      </c>
      <c r="G554" s="678">
        <v>2.41</v>
      </c>
      <c r="H554" s="678">
        <v>1.75</v>
      </c>
      <c r="I554" s="678">
        <f t="shared" si="37"/>
        <v>55.620000000000005</v>
      </c>
      <c r="J554" s="734" t="s">
        <v>240</v>
      </c>
      <c r="K554" s="678"/>
      <c r="L554" s="678"/>
      <c r="M554" s="678"/>
    </row>
    <row r="555" spans="1:13">
      <c r="A555" s="674">
        <v>20140101</v>
      </c>
      <c r="B555" s="676" t="s">
        <v>1139</v>
      </c>
      <c r="C555" s="676" t="s">
        <v>332</v>
      </c>
      <c r="D555" s="677" t="str">
        <f t="shared" si="36"/>
        <v>20140101KUUM_363</v>
      </c>
      <c r="E555" s="732">
        <v>61.75</v>
      </c>
      <c r="F555" s="733">
        <v>724</v>
      </c>
      <c r="G555" s="678">
        <v>2.41</v>
      </c>
      <c r="H555" s="678">
        <v>1.75</v>
      </c>
      <c r="I555" s="678">
        <f t="shared" si="37"/>
        <v>57.59</v>
      </c>
      <c r="J555" s="734" t="s">
        <v>241</v>
      </c>
      <c r="K555" s="734"/>
      <c r="L555" s="734"/>
      <c r="M555" s="734"/>
    </row>
    <row r="556" spans="1:13">
      <c r="A556" s="674">
        <v>20140101</v>
      </c>
      <c r="B556" s="676" t="s">
        <v>1139</v>
      </c>
      <c r="C556" s="676" t="s">
        <v>333</v>
      </c>
      <c r="D556" s="677" t="str">
        <f t="shared" si="36"/>
        <v>20140101KUUM_364</v>
      </c>
      <c r="E556" s="732">
        <v>63.11</v>
      </c>
      <c r="F556" s="733">
        <v>724</v>
      </c>
      <c r="G556" s="678">
        <v>2.41</v>
      </c>
      <c r="H556" s="678">
        <v>1.75</v>
      </c>
      <c r="I556" s="678">
        <f t="shared" si="37"/>
        <v>58.95</v>
      </c>
      <c r="J556" s="734" t="s">
        <v>242</v>
      </c>
      <c r="K556" s="734"/>
      <c r="L556" s="734"/>
      <c r="M556" s="734"/>
    </row>
    <row r="557" spans="1:13">
      <c r="A557" s="674">
        <v>20140101</v>
      </c>
      <c r="B557" s="676" t="s">
        <v>1139</v>
      </c>
      <c r="C557" s="676" t="s">
        <v>335</v>
      </c>
      <c r="D557" s="677" t="str">
        <f t="shared" si="36"/>
        <v>20140101KUUM_365</v>
      </c>
      <c r="E557" s="732">
        <v>80.94</v>
      </c>
      <c r="F557" s="733">
        <v>724</v>
      </c>
      <c r="G557" s="678">
        <v>2.41</v>
      </c>
      <c r="H557" s="678">
        <v>1.75</v>
      </c>
      <c r="I557" s="678">
        <f t="shared" si="37"/>
        <v>76.78</v>
      </c>
      <c r="J557" s="734" t="s">
        <v>244</v>
      </c>
      <c r="K557" s="734"/>
      <c r="L557" s="734"/>
      <c r="M557" s="734"/>
    </row>
    <row r="558" spans="1:13">
      <c r="A558" s="674">
        <v>20140101</v>
      </c>
      <c r="B558" s="676" t="s">
        <v>1139</v>
      </c>
      <c r="C558" s="676" t="s">
        <v>336</v>
      </c>
      <c r="D558" s="677" t="str">
        <f t="shared" si="36"/>
        <v>20140101KUUM_366</v>
      </c>
      <c r="E558" s="732">
        <v>78.97</v>
      </c>
      <c r="F558" s="733">
        <v>724</v>
      </c>
      <c r="G558" s="678">
        <v>2.41</v>
      </c>
      <c r="H558" s="678">
        <v>1.75</v>
      </c>
      <c r="I558" s="678">
        <f t="shared" si="37"/>
        <v>74.81</v>
      </c>
      <c r="J558" s="734" t="s">
        <v>245</v>
      </c>
      <c r="K558" s="734"/>
      <c r="L558" s="734"/>
      <c r="M558" s="734"/>
    </row>
    <row r="559" spans="1:13">
      <c r="A559" s="674">
        <v>20140101</v>
      </c>
      <c r="B559" s="676" t="s">
        <v>1139</v>
      </c>
      <c r="C559" s="676" t="s">
        <v>338</v>
      </c>
      <c r="D559" s="677" t="str">
        <f t="shared" si="36"/>
        <v>20140101KUUM_367</v>
      </c>
      <c r="E559" s="732">
        <v>61.230000000000004</v>
      </c>
      <c r="F559" s="733">
        <v>724</v>
      </c>
      <c r="G559" s="678">
        <v>2.41</v>
      </c>
      <c r="H559" s="678">
        <v>1.75</v>
      </c>
      <c r="I559" s="678">
        <f t="shared" si="37"/>
        <v>57.070000000000007</v>
      </c>
      <c r="J559" s="734" t="s">
        <v>247</v>
      </c>
      <c r="K559" s="734"/>
      <c r="L559" s="734"/>
      <c r="M559" s="734"/>
    </row>
    <row r="560" spans="1:13">
      <c r="A560" s="674">
        <v>20140101</v>
      </c>
      <c r="B560" s="676" t="s">
        <v>1139</v>
      </c>
      <c r="C560" s="676" t="s">
        <v>339</v>
      </c>
      <c r="D560" s="677" t="str">
        <f t="shared" si="36"/>
        <v>20140101KUUM_368</v>
      </c>
      <c r="E560" s="732">
        <v>56.69</v>
      </c>
      <c r="F560" s="733">
        <v>724</v>
      </c>
      <c r="G560" s="678">
        <v>2.41</v>
      </c>
      <c r="H560" s="678">
        <v>1.75</v>
      </c>
      <c r="I560" s="678">
        <f t="shared" si="37"/>
        <v>52.53</v>
      </c>
      <c r="J560" s="734" t="s">
        <v>248</v>
      </c>
      <c r="K560" s="734"/>
      <c r="L560" s="734"/>
      <c r="M560" s="734"/>
    </row>
    <row r="561" spans="1:13">
      <c r="A561" s="674">
        <v>20140101</v>
      </c>
      <c r="B561" s="676" t="s">
        <v>1139</v>
      </c>
      <c r="C561" s="676" t="s">
        <v>325</v>
      </c>
      <c r="D561" s="677" t="str">
        <f t="shared" si="36"/>
        <v>20140101KUUM_370</v>
      </c>
      <c r="E561" s="732">
        <v>74.52</v>
      </c>
      <c r="F561" s="733">
        <v>724</v>
      </c>
      <c r="G561" s="678">
        <v>2.41</v>
      </c>
      <c r="H561" s="678">
        <v>1.75</v>
      </c>
      <c r="I561" s="678">
        <f t="shared" si="37"/>
        <v>70.36</v>
      </c>
      <c r="J561" s="734" t="s">
        <v>234</v>
      </c>
      <c r="K561" s="734"/>
      <c r="L561" s="734"/>
      <c r="M561" s="734"/>
    </row>
    <row r="562" spans="1:13">
      <c r="A562" s="674">
        <v>20140101</v>
      </c>
      <c r="B562" s="676" t="s">
        <v>1139</v>
      </c>
      <c r="C562" s="680" t="s">
        <v>603</v>
      </c>
      <c r="D562" s="677" t="str">
        <f t="shared" ref="D562" si="38">A562&amp;C562</f>
        <v>20140101KUUM_371</v>
      </c>
      <c r="E562" s="732">
        <v>102.35</v>
      </c>
      <c r="F562" s="733">
        <v>724</v>
      </c>
      <c r="G562" s="678">
        <v>2.41</v>
      </c>
      <c r="H562" s="678">
        <v>1.75</v>
      </c>
      <c r="I562" s="678">
        <f t="shared" ref="I562" si="39">E562-G562-H562</f>
        <v>98.19</v>
      </c>
      <c r="J562" s="735" t="s">
        <v>1160</v>
      </c>
      <c r="K562" s="734"/>
      <c r="L562" s="734"/>
      <c r="M562" s="734"/>
    </row>
    <row r="563" spans="1:13">
      <c r="A563" s="674">
        <v>20140101</v>
      </c>
      <c r="B563" s="676" t="s">
        <v>1139</v>
      </c>
      <c r="C563" s="676" t="s">
        <v>334</v>
      </c>
      <c r="D563" s="677" t="str">
        <f t="shared" si="36"/>
        <v>20140101KUUM_372</v>
      </c>
      <c r="E563" s="732">
        <v>82.3</v>
      </c>
      <c r="F563" s="733">
        <v>724</v>
      </c>
      <c r="G563" s="678">
        <v>2.41</v>
      </c>
      <c r="H563" s="678">
        <v>1.75</v>
      </c>
      <c r="I563" s="678">
        <f t="shared" si="37"/>
        <v>78.14</v>
      </c>
      <c r="J563" s="734" t="s">
        <v>243</v>
      </c>
      <c r="K563" s="734"/>
      <c r="L563" s="734"/>
      <c r="M563" s="734"/>
    </row>
    <row r="564" spans="1:13">
      <c r="A564" s="674">
        <v>20140101</v>
      </c>
      <c r="B564" s="676" t="s">
        <v>1139</v>
      </c>
      <c r="C564" s="676" t="s">
        <v>326</v>
      </c>
      <c r="D564" s="677" t="str">
        <f t="shared" si="36"/>
        <v>20140101KUUM_373</v>
      </c>
      <c r="E564" s="732">
        <v>74.52</v>
      </c>
      <c r="F564" s="733">
        <v>724</v>
      </c>
      <c r="G564" s="678">
        <v>2.41</v>
      </c>
      <c r="H564" s="678">
        <v>1.75</v>
      </c>
      <c r="I564" s="678">
        <f t="shared" si="37"/>
        <v>70.36</v>
      </c>
      <c r="J564" s="734" t="s">
        <v>235</v>
      </c>
      <c r="K564" s="734"/>
      <c r="L564" s="734"/>
      <c r="M564" s="734"/>
    </row>
    <row r="565" spans="1:13">
      <c r="A565" s="674">
        <v>20140101</v>
      </c>
      <c r="B565" s="676" t="s">
        <v>1139</v>
      </c>
      <c r="C565" s="676" t="s">
        <v>330</v>
      </c>
      <c r="D565" s="677" t="str">
        <f t="shared" si="36"/>
        <v>20140101KUUM_374</v>
      </c>
      <c r="E565" s="732">
        <v>75.88</v>
      </c>
      <c r="F565" s="733">
        <v>724</v>
      </c>
      <c r="G565" s="678">
        <v>2.41</v>
      </c>
      <c r="H565" s="678">
        <v>1.75</v>
      </c>
      <c r="I565" s="678">
        <f t="shared" si="37"/>
        <v>71.72</v>
      </c>
      <c r="J565" s="734" t="s">
        <v>239</v>
      </c>
      <c r="K565" s="734"/>
      <c r="L565" s="734"/>
      <c r="M565" s="734"/>
    </row>
    <row r="566" spans="1:13">
      <c r="A566" s="674">
        <v>20140101</v>
      </c>
      <c r="B566" s="676" t="s">
        <v>1139</v>
      </c>
      <c r="C566" s="676" t="s">
        <v>337</v>
      </c>
      <c r="D566" s="677" t="str">
        <f t="shared" si="36"/>
        <v>20140101KUUM_375</v>
      </c>
      <c r="E566" s="732">
        <v>78.97</v>
      </c>
      <c r="F566" s="733">
        <v>724</v>
      </c>
      <c r="G566" s="678">
        <v>2.41</v>
      </c>
      <c r="H566" s="678">
        <v>1.75</v>
      </c>
      <c r="I566" s="678">
        <f t="shared" si="37"/>
        <v>74.81</v>
      </c>
      <c r="J566" s="734" t="s">
        <v>246</v>
      </c>
      <c r="K566" s="734"/>
      <c r="L566" s="734"/>
      <c r="M566" s="734"/>
    </row>
    <row r="567" spans="1:13">
      <c r="A567" s="674">
        <v>20140101</v>
      </c>
      <c r="B567" s="676" t="s">
        <v>1139</v>
      </c>
      <c r="C567" s="676" t="s">
        <v>329</v>
      </c>
      <c r="D567" s="677" t="str">
        <f t="shared" si="36"/>
        <v>20140101KUUM_376</v>
      </c>
      <c r="E567" s="732">
        <v>77.259999999999991</v>
      </c>
      <c r="F567" s="733">
        <v>724</v>
      </c>
      <c r="G567" s="678">
        <v>2.41</v>
      </c>
      <c r="H567" s="678">
        <v>1.75</v>
      </c>
      <c r="I567" s="678">
        <f t="shared" si="37"/>
        <v>73.099999999999994</v>
      </c>
      <c r="J567" s="734" t="s">
        <v>238</v>
      </c>
      <c r="K567" s="734"/>
      <c r="L567" s="734"/>
      <c r="M567" s="734"/>
    </row>
    <row r="568" spans="1:13">
      <c r="A568" s="674">
        <v>20140101</v>
      </c>
      <c r="B568" s="676" t="s">
        <v>1139</v>
      </c>
      <c r="C568" s="676" t="s">
        <v>327</v>
      </c>
      <c r="D568" s="677" t="str">
        <f t="shared" si="36"/>
        <v>20140101KUUM_377</v>
      </c>
      <c r="E568" s="732">
        <v>64.19</v>
      </c>
      <c r="F568" s="733">
        <v>724</v>
      </c>
      <c r="G568" s="678">
        <v>2.41</v>
      </c>
      <c r="H568" s="678">
        <v>1.75</v>
      </c>
      <c r="I568" s="678">
        <f t="shared" si="37"/>
        <v>60.03</v>
      </c>
      <c r="J568" s="734" t="s">
        <v>236</v>
      </c>
      <c r="K568" s="734"/>
      <c r="L568" s="734"/>
      <c r="M568" s="734"/>
    </row>
    <row r="569" spans="1:13">
      <c r="A569" s="674">
        <v>20140101</v>
      </c>
      <c r="B569" s="676" t="s">
        <v>1139</v>
      </c>
      <c r="C569" s="680" t="s">
        <v>453</v>
      </c>
      <c r="D569" s="677" t="str">
        <f t="shared" si="36"/>
        <v>20140101KUUM_378</v>
      </c>
      <c r="E569" s="732">
        <v>75.899999999999991</v>
      </c>
      <c r="F569" s="733">
        <v>724</v>
      </c>
      <c r="G569" s="678">
        <v>2.41</v>
      </c>
      <c r="H569" s="678">
        <v>1.75</v>
      </c>
      <c r="I569" s="678">
        <f t="shared" si="37"/>
        <v>71.739999999999995</v>
      </c>
      <c r="J569" s="735" t="s">
        <v>452</v>
      </c>
      <c r="K569" s="734"/>
      <c r="L569" s="734"/>
      <c r="M569" s="734"/>
    </row>
    <row r="570" spans="1:13">
      <c r="A570" s="674">
        <v>20140101</v>
      </c>
      <c r="B570" s="676" t="s">
        <v>1139</v>
      </c>
      <c r="C570" s="736" t="s">
        <v>616</v>
      </c>
      <c r="D570" s="737" t="str">
        <f t="shared" si="36"/>
        <v>20140101KUUM_379</v>
      </c>
      <c r="E570" s="732">
        <v>80.839999999999989</v>
      </c>
      <c r="F570" s="738">
        <v>724</v>
      </c>
      <c r="G570" s="678">
        <v>2.41</v>
      </c>
      <c r="H570" s="739">
        <v>1.75</v>
      </c>
      <c r="I570" s="678">
        <f t="shared" si="37"/>
        <v>76.679999999999993</v>
      </c>
      <c r="J570" s="740" t="s">
        <v>679</v>
      </c>
      <c r="K570" s="741"/>
      <c r="L570" s="741"/>
      <c r="M570" s="741"/>
    </row>
    <row r="571" spans="1:13">
      <c r="A571" s="674">
        <v>20140101</v>
      </c>
      <c r="B571" s="676" t="s">
        <v>1139</v>
      </c>
      <c r="C571" s="736" t="s">
        <v>617</v>
      </c>
      <c r="D571" s="737" t="str">
        <f t="shared" si="36"/>
        <v>20140101KUUM_380</v>
      </c>
      <c r="E571" s="732">
        <v>84.759999999999991</v>
      </c>
      <c r="F571" s="738">
        <v>724</v>
      </c>
      <c r="G571" s="678">
        <v>2.41</v>
      </c>
      <c r="H571" s="739">
        <v>1.75</v>
      </c>
      <c r="I571" s="678">
        <f t="shared" si="37"/>
        <v>80.599999999999994</v>
      </c>
      <c r="J571" s="740" t="s">
        <v>680</v>
      </c>
      <c r="K571" s="741"/>
      <c r="L571" s="741"/>
      <c r="M571" s="741"/>
    </row>
    <row r="572" spans="1:13">
      <c r="A572" s="674">
        <v>20140101</v>
      </c>
      <c r="B572" s="676" t="s">
        <v>1139</v>
      </c>
      <c r="C572" s="736" t="s">
        <v>618</v>
      </c>
      <c r="D572" s="737" t="str">
        <f t="shared" si="36"/>
        <v>20140101KUUM_381</v>
      </c>
      <c r="E572" s="732">
        <v>86.11999999999999</v>
      </c>
      <c r="F572" s="738">
        <v>724</v>
      </c>
      <c r="G572" s="678">
        <v>2.41</v>
      </c>
      <c r="H572" s="739">
        <v>1.75</v>
      </c>
      <c r="I572" s="678">
        <f t="shared" si="37"/>
        <v>81.96</v>
      </c>
      <c r="J572" s="740" t="s">
        <v>681</v>
      </c>
      <c r="K572" s="741"/>
      <c r="L572" s="741"/>
      <c r="M572" s="741"/>
    </row>
    <row r="573" spans="1:13">
      <c r="A573" s="674">
        <v>20140101</v>
      </c>
      <c r="B573" s="676" t="s">
        <v>1139</v>
      </c>
      <c r="C573" s="736" t="s">
        <v>619</v>
      </c>
      <c r="D573" s="737" t="str">
        <f t="shared" si="36"/>
        <v>20140101KUUM_382</v>
      </c>
      <c r="E573" s="732">
        <v>83.219999999999985</v>
      </c>
      <c r="F573" s="738">
        <v>724</v>
      </c>
      <c r="G573" s="678">
        <v>2.41</v>
      </c>
      <c r="H573" s="739">
        <v>1.75</v>
      </c>
      <c r="I573" s="678">
        <f t="shared" si="37"/>
        <v>79.059999999999988</v>
      </c>
      <c r="J573" s="740" t="s">
        <v>682</v>
      </c>
      <c r="K573" s="741"/>
      <c r="L573" s="741"/>
      <c r="M573" s="741"/>
    </row>
    <row r="574" spans="1:13">
      <c r="A574" s="674">
        <v>20140101</v>
      </c>
      <c r="B574" s="676" t="s">
        <v>1139</v>
      </c>
      <c r="C574" s="676" t="s">
        <v>324</v>
      </c>
      <c r="D574" s="677" t="str">
        <f t="shared" si="36"/>
        <v>20140101KUUM_395</v>
      </c>
      <c r="E574" s="732">
        <v>55.33</v>
      </c>
      <c r="F574" s="733">
        <v>724</v>
      </c>
      <c r="G574" s="678">
        <v>2.41</v>
      </c>
      <c r="H574" s="678">
        <v>1.75</v>
      </c>
      <c r="I574" s="678">
        <f t="shared" si="37"/>
        <v>51.17</v>
      </c>
      <c r="J574" s="734" t="s">
        <v>233</v>
      </c>
      <c r="K574" s="734"/>
      <c r="L574" s="734"/>
      <c r="M574" s="734"/>
    </row>
    <row r="575" spans="1:13">
      <c r="A575" s="674">
        <v>20140101</v>
      </c>
      <c r="B575" s="676"/>
      <c r="C575" s="680" t="s">
        <v>410</v>
      </c>
      <c r="D575" s="677" t="str">
        <f t="shared" si="36"/>
        <v>20140101KUUM_400</v>
      </c>
      <c r="E575" s="732"/>
      <c r="F575" s="733">
        <v>240</v>
      </c>
      <c r="G575" s="678"/>
      <c r="H575" s="678"/>
      <c r="I575" s="678">
        <f t="shared" si="37"/>
        <v>0</v>
      </c>
      <c r="J575" s="735" t="s">
        <v>411</v>
      </c>
      <c r="K575" s="734"/>
      <c r="L575" s="734"/>
      <c r="M575" s="734"/>
    </row>
    <row r="576" spans="1:13">
      <c r="A576" s="674">
        <v>20140101</v>
      </c>
      <c r="B576" s="676" t="s">
        <v>1139</v>
      </c>
      <c r="C576" s="676" t="s">
        <v>366</v>
      </c>
      <c r="D576" s="677" t="str">
        <f t="shared" si="36"/>
        <v>20140101KUUM_401</v>
      </c>
      <c r="E576" s="732">
        <v>14.860000000000001</v>
      </c>
      <c r="F576" s="733">
        <v>332</v>
      </c>
      <c r="G576" s="678">
        <v>0.43</v>
      </c>
      <c r="H576" s="678">
        <v>0.80000000000000071</v>
      </c>
      <c r="I576" s="678">
        <f t="shared" si="37"/>
        <v>13.63</v>
      </c>
      <c r="J576" s="734" t="s">
        <v>275</v>
      </c>
      <c r="K576" s="734"/>
      <c r="L576" s="734"/>
      <c r="M576" s="734"/>
    </row>
    <row r="577" spans="1:13">
      <c r="A577" s="674">
        <v>20140101</v>
      </c>
      <c r="B577" s="676" t="s">
        <v>1140</v>
      </c>
      <c r="C577" s="676" t="s">
        <v>386</v>
      </c>
      <c r="D577" s="677" t="str">
        <f t="shared" si="36"/>
        <v>20140101KUUM_404</v>
      </c>
      <c r="E577" s="732">
        <v>10.570000000000002</v>
      </c>
      <c r="F577" s="733">
        <v>828</v>
      </c>
      <c r="G577" s="678">
        <v>0.39</v>
      </c>
      <c r="H577" s="678">
        <v>1.9900000000000002</v>
      </c>
      <c r="I577" s="678">
        <f t="shared" si="37"/>
        <v>8.1900000000000013</v>
      </c>
      <c r="J577" s="734" t="s">
        <v>295</v>
      </c>
      <c r="K577" s="734"/>
      <c r="L577" s="734"/>
      <c r="M577" s="734"/>
    </row>
    <row r="578" spans="1:13">
      <c r="A578" s="674">
        <v>20140101</v>
      </c>
      <c r="B578" s="676" t="s">
        <v>1140</v>
      </c>
      <c r="C578" s="676" t="s">
        <v>342</v>
      </c>
      <c r="D578" s="677" t="str">
        <f t="shared" si="36"/>
        <v>20140101KUUM_405</v>
      </c>
      <c r="E578" s="732"/>
      <c r="F578" s="733">
        <v>1812</v>
      </c>
      <c r="G578" s="678"/>
      <c r="H578" s="678"/>
      <c r="I578" s="678">
        <f t="shared" si="37"/>
        <v>0</v>
      </c>
      <c r="J578" s="734" t="s">
        <v>251</v>
      </c>
      <c r="K578" s="734"/>
      <c r="L578" s="734"/>
      <c r="M578" s="734"/>
    </row>
    <row r="579" spans="1:13">
      <c r="A579" s="674">
        <v>20140101</v>
      </c>
      <c r="B579" s="676"/>
      <c r="C579" s="680" t="s">
        <v>693</v>
      </c>
      <c r="D579" s="677" t="str">
        <f t="shared" si="36"/>
        <v>20140101KUUM_406</v>
      </c>
      <c r="E579" s="732"/>
      <c r="F579" s="733">
        <v>828</v>
      </c>
      <c r="G579" s="678"/>
      <c r="H579" s="678"/>
      <c r="I579" s="678">
        <f t="shared" si="37"/>
        <v>0</v>
      </c>
      <c r="J579" s="734" t="s">
        <v>692</v>
      </c>
      <c r="K579" s="734"/>
      <c r="L579" s="734"/>
      <c r="M579" s="734"/>
    </row>
    <row r="580" spans="1:13">
      <c r="A580" s="674">
        <v>20140101</v>
      </c>
      <c r="B580" s="676" t="s">
        <v>1139</v>
      </c>
      <c r="C580" s="676" t="s">
        <v>378</v>
      </c>
      <c r="D580" s="677" t="str">
        <f>A580&amp;C580</f>
        <v>20140101KUUM_407</v>
      </c>
      <c r="E580" s="732"/>
      <c r="F580" s="733">
        <v>1884</v>
      </c>
      <c r="G580" s="678"/>
      <c r="H580" s="678"/>
      <c r="I580" s="678">
        <f t="shared" si="37"/>
        <v>0</v>
      </c>
      <c r="J580" s="734" t="s">
        <v>287</v>
      </c>
      <c r="K580" s="734"/>
      <c r="L580" s="734"/>
      <c r="M580" s="734"/>
    </row>
    <row r="581" spans="1:13">
      <c r="A581" s="674">
        <v>20140101</v>
      </c>
      <c r="B581" s="676" t="s">
        <v>1140</v>
      </c>
      <c r="C581" s="676" t="s">
        <v>343</v>
      </c>
      <c r="D581" s="677" t="str">
        <f>A581&amp;C581</f>
        <v>20140101KUUM_408</v>
      </c>
      <c r="E581" s="732"/>
      <c r="F581" s="733">
        <v>1812</v>
      </c>
      <c r="G581" s="678"/>
      <c r="H581" s="678"/>
      <c r="I581" s="678">
        <f t="shared" si="37"/>
        <v>0</v>
      </c>
      <c r="J581" s="734" t="s">
        <v>252</v>
      </c>
      <c r="K581" s="734"/>
      <c r="L581" s="734"/>
      <c r="M581" s="734"/>
    </row>
    <row r="582" spans="1:13">
      <c r="A582" s="674">
        <v>20140101</v>
      </c>
      <c r="B582" s="676" t="s">
        <v>1140</v>
      </c>
      <c r="C582" s="676" t="s">
        <v>382</v>
      </c>
      <c r="D582" s="677" t="str">
        <f>A582&amp;C582</f>
        <v>20140101KUUM_409</v>
      </c>
      <c r="E582" s="732">
        <v>11.71</v>
      </c>
      <c r="F582" s="733">
        <v>1884</v>
      </c>
      <c r="G582" s="678">
        <v>0.79</v>
      </c>
      <c r="H582" s="678">
        <v>4.5299999999999994</v>
      </c>
      <c r="I582" s="678">
        <f t="shared" si="37"/>
        <v>6.3900000000000023</v>
      </c>
      <c r="J582" s="734" t="s">
        <v>291</v>
      </c>
      <c r="K582" s="734"/>
      <c r="L582" s="734"/>
      <c r="M582" s="734"/>
    </row>
    <row r="583" spans="1:13">
      <c r="A583" s="674">
        <v>20140101</v>
      </c>
      <c r="B583" s="676" t="s">
        <v>1140</v>
      </c>
      <c r="C583" s="676" t="s">
        <v>360</v>
      </c>
      <c r="D583" s="677" t="str">
        <f>A583&amp;C583</f>
        <v>20140101KUUM_410</v>
      </c>
      <c r="E583" s="732">
        <v>20.259999999999998</v>
      </c>
      <c r="F583" s="733">
        <v>240</v>
      </c>
      <c r="G583" s="678">
        <v>0.33</v>
      </c>
      <c r="H583" s="678">
        <v>0.57000000000000028</v>
      </c>
      <c r="I583" s="678">
        <f t="shared" si="37"/>
        <v>19.36</v>
      </c>
      <c r="J583" s="734" t="s">
        <v>269</v>
      </c>
      <c r="K583" s="734"/>
      <c r="L583" s="734"/>
      <c r="M583" s="734"/>
    </row>
    <row r="584" spans="1:13">
      <c r="A584" s="674">
        <v>20140101</v>
      </c>
      <c r="B584" s="676" t="s">
        <v>1139</v>
      </c>
      <c r="C584" s="676" t="s">
        <v>368</v>
      </c>
      <c r="D584" s="677" t="str">
        <f>A584&amp;C584</f>
        <v>20140101KUUM_411</v>
      </c>
      <c r="E584" s="732">
        <v>21.38</v>
      </c>
      <c r="F584" s="733">
        <v>332</v>
      </c>
      <c r="G584" s="678">
        <v>0.43</v>
      </c>
      <c r="H584" s="678">
        <v>0.79999999999999716</v>
      </c>
      <c r="I584" s="678">
        <f t="shared" si="37"/>
        <v>20.150000000000002</v>
      </c>
      <c r="J584" s="734" t="s">
        <v>277</v>
      </c>
      <c r="K584" s="734"/>
      <c r="L584" s="734"/>
      <c r="M584" s="734"/>
    </row>
    <row r="585" spans="1:13">
      <c r="A585" s="674">
        <v>20140101</v>
      </c>
      <c r="B585" s="676" t="s">
        <v>1140</v>
      </c>
      <c r="C585" s="676" t="s">
        <v>370</v>
      </c>
      <c r="D585" s="677" t="str">
        <f t="shared" ref="D585:D648" si="40">A585&amp;C585</f>
        <v>20140101KUUM_412</v>
      </c>
      <c r="E585" s="732">
        <v>30.84</v>
      </c>
      <c r="F585" s="733">
        <v>332</v>
      </c>
      <c r="G585" s="678">
        <v>0.43</v>
      </c>
      <c r="H585" s="678">
        <v>0.79999999999999716</v>
      </c>
      <c r="I585" s="678">
        <f t="shared" si="37"/>
        <v>29.610000000000003</v>
      </c>
      <c r="J585" s="734" t="s">
        <v>279</v>
      </c>
      <c r="K585" s="734"/>
      <c r="L585" s="734"/>
      <c r="M585" s="734"/>
    </row>
    <row r="586" spans="1:13">
      <c r="A586" s="674">
        <v>20140101</v>
      </c>
      <c r="B586" s="676" t="s">
        <v>1140</v>
      </c>
      <c r="C586" s="676" t="s">
        <v>393</v>
      </c>
      <c r="D586" s="677" t="str">
        <f t="shared" si="40"/>
        <v>20140101KUUM_413</v>
      </c>
      <c r="E586" s="732">
        <v>31.22</v>
      </c>
      <c r="F586" s="733">
        <v>468</v>
      </c>
      <c r="G586" s="678">
        <v>0.34</v>
      </c>
      <c r="H586" s="678">
        <v>1.129999999999999</v>
      </c>
      <c r="I586" s="678">
        <f t="shared" si="37"/>
        <v>29.75</v>
      </c>
      <c r="J586" s="734" t="s">
        <v>302</v>
      </c>
      <c r="K586" s="734"/>
      <c r="L586" s="734"/>
      <c r="M586" s="734"/>
    </row>
    <row r="587" spans="1:13">
      <c r="A587" s="674">
        <v>20140101</v>
      </c>
      <c r="B587" s="676" t="s">
        <v>1139</v>
      </c>
      <c r="C587" s="676" t="s">
        <v>371</v>
      </c>
      <c r="D587" s="677" t="str">
        <f t="shared" si="40"/>
        <v>20140101KUUM_414</v>
      </c>
      <c r="E587" s="732">
        <v>30.84</v>
      </c>
      <c r="F587" s="733">
        <v>332</v>
      </c>
      <c r="G587" s="678">
        <v>0.43</v>
      </c>
      <c r="H587" s="678">
        <v>0.79999999999999716</v>
      </c>
      <c r="I587" s="678">
        <f t="shared" si="37"/>
        <v>29.610000000000003</v>
      </c>
      <c r="J587" s="734" t="s">
        <v>280</v>
      </c>
      <c r="K587" s="734"/>
      <c r="L587" s="734"/>
      <c r="M587" s="734"/>
    </row>
    <row r="588" spans="1:13">
      <c r="A588" s="674">
        <v>20140101</v>
      </c>
      <c r="B588" s="676" t="s">
        <v>1139</v>
      </c>
      <c r="C588" s="676" t="s">
        <v>394</v>
      </c>
      <c r="D588" s="677" t="str">
        <f t="shared" si="40"/>
        <v>20140101KUUM_415</v>
      </c>
      <c r="E588" s="732">
        <v>31.22</v>
      </c>
      <c r="F588" s="733">
        <v>468</v>
      </c>
      <c r="G588" s="678">
        <v>0.34</v>
      </c>
      <c r="H588" s="678">
        <v>1.129999999999999</v>
      </c>
      <c r="I588" s="678">
        <f t="shared" si="37"/>
        <v>29.75</v>
      </c>
      <c r="J588" s="734" t="s">
        <v>303</v>
      </c>
      <c r="K588" s="734"/>
      <c r="L588" s="734"/>
      <c r="M588" s="734"/>
    </row>
    <row r="589" spans="1:13">
      <c r="A589" s="674">
        <v>20140101</v>
      </c>
      <c r="B589" s="676" t="s">
        <v>1139</v>
      </c>
      <c r="C589" s="676" t="s">
        <v>389</v>
      </c>
      <c r="D589" s="677" t="str">
        <f t="shared" si="40"/>
        <v>20140101KUUM_420</v>
      </c>
      <c r="E589" s="732">
        <v>15.360000000000001</v>
      </c>
      <c r="F589" s="733">
        <v>468</v>
      </c>
      <c r="G589" s="678">
        <v>0.34</v>
      </c>
      <c r="H589" s="678">
        <v>1.1300000000000008</v>
      </c>
      <c r="I589" s="678">
        <f t="shared" si="37"/>
        <v>13.89</v>
      </c>
      <c r="J589" s="734" t="s">
        <v>298</v>
      </c>
      <c r="K589" s="734"/>
      <c r="L589" s="734"/>
      <c r="M589" s="734"/>
    </row>
    <row r="590" spans="1:13">
      <c r="A590" s="674">
        <v>20140101</v>
      </c>
      <c r="B590" s="676" t="s">
        <v>1140</v>
      </c>
      <c r="C590" s="676" t="s">
        <v>310</v>
      </c>
      <c r="D590" s="677" t="str">
        <f t="shared" si="40"/>
        <v>20140101KUUM_421</v>
      </c>
      <c r="E590" s="732">
        <v>3.39</v>
      </c>
      <c r="F590" s="733">
        <v>408</v>
      </c>
      <c r="G590" s="678">
        <v>0.12</v>
      </c>
      <c r="H590" s="678">
        <v>0.98999999999999977</v>
      </c>
      <c r="I590" s="678">
        <f t="shared" si="37"/>
        <v>2.2800000000000002</v>
      </c>
      <c r="J590" s="678" t="s">
        <v>219</v>
      </c>
      <c r="K590" s="734"/>
      <c r="L590" s="734"/>
      <c r="M590" s="734"/>
    </row>
    <row r="591" spans="1:13">
      <c r="A591" s="674">
        <v>20140101</v>
      </c>
      <c r="B591" s="676" t="s">
        <v>1140</v>
      </c>
      <c r="C591" s="676" t="s">
        <v>340</v>
      </c>
      <c r="D591" s="677" t="str">
        <f t="shared" si="40"/>
        <v>20140101KUUM_422</v>
      </c>
      <c r="E591" s="732">
        <v>4.5400000000000009</v>
      </c>
      <c r="F591" s="733">
        <v>804</v>
      </c>
      <c r="G591" s="678">
        <v>0.16</v>
      </c>
      <c r="H591" s="678">
        <v>1.9400000000000004</v>
      </c>
      <c r="I591" s="678">
        <f t="shared" si="37"/>
        <v>2.4400000000000004</v>
      </c>
      <c r="J591" s="734" t="s">
        <v>249</v>
      </c>
      <c r="K591" s="734"/>
      <c r="L591" s="734"/>
      <c r="M591" s="734"/>
    </row>
    <row r="592" spans="1:13">
      <c r="A592" s="674">
        <v>20140101</v>
      </c>
      <c r="B592" s="676" t="s">
        <v>1140</v>
      </c>
      <c r="C592" s="676" t="s">
        <v>358</v>
      </c>
      <c r="D592" s="677" t="str">
        <f t="shared" si="40"/>
        <v>20140101KUUM_424</v>
      </c>
      <c r="E592" s="732">
        <v>6.78</v>
      </c>
      <c r="F592" s="733">
        <v>1308</v>
      </c>
      <c r="G592" s="678">
        <v>0.24</v>
      </c>
      <c r="H592" s="678">
        <v>0.69999999999999929</v>
      </c>
      <c r="I592" s="678">
        <f t="shared" si="37"/>
        <v>5.8400000000000007</v>
      </c>
      <c r="J592" s="734" t="s">
        <v>267</v>
      </c>
      <c r="K592" s="734"/>
      <c r="L592" s="734"/>
      <c r="M592" s="734"/>
    </row>
    <row r="593" spans="1:13">
      <c r="A593" s="674">
        <v>20140101</v>
      </c>
      <c r="B593" s="676" t="s">
        <v>1140</v>
      </c>
      <c r="C593" s="676" t="s">
        <v>383</v>
      </c>
      <c r="D593" s="677" t="str">
        <f t="shared" si="40"/>
        <v>20140101KUUM_425</v>
      </c>
      <c r="E593" s="732">
        <v>9.06</v>
      </c>
      <c r="F593" s="733">
        <v>1788</v>
      </c>
      <c r="G593" s="678">
        <v>0.33</v>
      </c>
      <c r="H593" s="678">
        <v>4.3000000000000007</v>
      </c>
      <c r="I593" s="678">
        <f t="shared" si="37"/>
        <v>4.43</v>
      </c>
      <c r="J593" s="734" t="s">
        <v>292</v>
      </c>
      <c r="K593" s="734"/>
      <c r="L593" s="734"/>
      <c r="M593" s="734"/>
    </row>
    <row r="594" spans="1:13">
      <c r="A594" s="674">
        <v>20140101</v>
      </c>
      <c r="B594" s="676" t="s">
        <v>1140</v>
      </c>
      <c r="C594" s="676" t="s">
        <v>375</v>
      </c>
      <c r="D594" s="677" t="str">
        <f t="shared" si="40"/>
        <v>20140101KUUM_426</v>
      </c>
      <c r="E594" s="732">
        <v>7.4399999999999995</v>
      </c>
      <c r="F594" s="733">
        <v>332</v>
      </c>
      <c r="G594" s="678">
        <v>0.43</v>
      </c>
      <c r="H594" s="678">
        <v>0.79999999999999982</v>
      </c>
      <c r="I594" s="678">
        <f t="shared" si="37"/>
        <v>6.21</v>
      </c>
      <c r="J594" s="734" t="s">
        <v>284</v>
      </c>
      <c r="K594" s="734"/>
      <c r="L594" s="734"/>
      <c r="M594" s="734"/>
    </row>
    <row r="595" spans="1:13">
      <c r="A595" s="674">
        <v>20140101</v>
      </c>
      <c r="B595" s="676" t="s">
        <v>1139</v>
      </c>
      <c r="C595" s="676" t="s">
        <v>400</v>
      </c>
      <c r="D595" s="677" t="str">
        <f t="shared" si="40"/>
        <v>20140101KUUM_428</v>
      </c>
      <c r="E595" s="732">
        <v>7.84</v>
      </c>
      <c r="F595" s="733">
        <v>468</v>
      </c>
      <c r="G595" s="678">
        <v>0.34</v>
      </c>
      <c r="H595" s="678">
        <v>1.1299999999999999</v>
      </c>
      <c r="I595" s="678">
        <f t="shared" si="37"/>
        <v>6.37</v>
      </c>
      <c r="J595" s="734" t="s">
        <v>309</v>
      </c>
      <c r="K595" s="734"/>
      <c r="L595" s="734"/>
      <c r="M595" s="734"/>
    </row>
    <row r="596" spans="1:13">
      <c r="A596" s="674">
        <v>20140101</v>
      </c>
      <c r="B596" s="676" t="s">
        <v>1139</v>
      </c>
      <c r="C596" s="676" t="s">
        <v>346</v>
      </c>
      <c r="D596" s="677" t="str">
        <f t="shared" si="40"/>
        <v>20140101KUUM_429</v>
      </c>
      <c r="E596" s="732"/>
      <c r="F596" s="733">
        <v>968</v>
      </c>
      <c r="G596" s="678"/>
      <c r="H596" s="678"/>
      <c r="I596" s="678">
        <f t="shared" si="37"/>
        <v>0</v>
      </c>
      <c r="J596" s="734" t="s">
        <v>255</v>
      </c>
      <c r="K596" s="734"/>
      <c r="L596" s="734"/>
      <c r="M596" s="734"/>
    </row>
    <row r="597" spans="1:13">
      <c r="A597" s="674">
        <v>20140101</v>
      </c>
      <c r="B597" s="676" t="s">
        <v>1139</v>
      </c>
      <c r="C597" s="676" t="s">
        <v>391</v>
      </c>
      <c r="D597" s="677" t="str">
        <f t="shared" si="40"/>
        <v>20140101KUUM_430</v>
      </c>
      <c r="E597" s="732">
        <v>22</v>
      </c>
      <c r="F597" s="733">
        <v>468</v>
      </c>
      <c r="G597" s="678">
        <v>0.34</v>
      </c>
      <c r="H597" s="678">
        <v>1.129999999999999</v>
      </c>
      <c r="I597" s="678">
        <f t="shared" si="37"/>
        <v>20.53</v>
      </c>
      <c r="J597" s="734" t="s">
        <v>300</v>
      </c>
      <c r="K597" s="734"/>
      <c r="L597" s="734"/>
      <c r="M597" s="734"/>
    </row>
    <row r="598" spans="1:13">
      <c r="A598" s="674">
        <v>20140101</v>
      </c>
      <c r="B598" s="676"/>
      <c r="C598" s="680" t="s">
        <v>402</v>
      </c>
      <c r="D598" s="677" t="str">
        <f t="shared" si="40"/>
        <v>20140101KUUM_431</v>
      </c>
      <c r="E598" s="732"/>
      <c r="F598" s="733">
        <v>408</v>
      </c>
      <c r="G598" s="678"/>
      <c r="H598" s="678"/>
      <c r="I598" s="678">
        <f t="shared" si="37"/>
        <v>0</v>
      </c>
      <c r="J598" s="742" t="s">
        <v>403</v>
      </c>
      <c r="K598" s="734"/>
      <c r="L598" s="734"/>
      <c r="M598" s="734"/>
    </row>
    <row r="599" spans="1:13">
      <c r="A599" s="674">
        <v>20140101</v>
      </c>
      <c r="B599" s="676"/>
      <c r="C599" s="680" t="s">
        <v>404</v>
      </c>
      <c r="D599" s="677" t="str">
        <f t="shared" si="40"/>
        <v>20140101KUUM_432</v>
      </c>
      <c r="E599" s="732"/>
      <c r="F599" s="733">
        <v>804</v>
      </c>
      <c r="G599" s="678"/>
      <c r="H599" s="678"/>
      <c r="I599" s="678">
        <f t="shared" si="37"/>
        <v>0</v>
      </c>
      <c r="J599" s="735" t="s">
        <v>405</v>
      </c>
      <c r="K599" s="734"/>
      <c r="L599" s="734"/>
      <c r="M599" s="734"/>
    </row>
    <row r="600" spans="1:13">
      <c r="A600" s="674">
        <v>20140101</v>
      </c>
      <c r="B600" s="676"/>
      <c r="C600" s="680" t="s">
        <v>406</v>
      </c>
      <c r="D600" s="677" t="str">
        <f t="shared" si="40"/>
        <v>20140101KUUM_433</v>
      </c>
      <c r="E600" s="732"/>
      <c r="F600" s="733">
        <v>724</v>
      </c>
      <c r="G600" s="678"/>
      <c r="H600" s="678"/>
      <c r="I600" s="678">
        <f t="shared" si="37"/>
        <v>0</v>
      </c>
      <c r="J600" s="735" t="s">
        <v>407</v>
      </c>
      <c r="K600" s="734"/>
      <c r="L600" s="734"/>
      <c r="M600" s="734"/>
    </row>
    <row r="601" spans="1:13">
      <c r="A601" s="674">
        <v>20140101</v>
      </c>
      <c r="B601" s="676" t="s">
        <v>1140</v>
      </c>
      <c r="C601" s="676" t="s">
        <v>357</v>
      </c>
      <c r="D601" s="677" t="str">
        <f t="shared" si="40"/>
        <v>20140101KUUM_434</v>
      </c>
      <c r="E601" s="732">
        <v>7.74</v>
      </c>
      <c r="F601" s="733">
        <v>1308</v>
      </c>
      <c r="G601" s="678">
        <v>0.24</v>
      </c>
      <c r="H601" s="678">
        <v>0.69999999999999929</v>
      </c>
      <c r="I601" s="678">
        <f t="shared" si="37"/>
        <v>6.8000000000000007</v>
      </c>
      <c r="J601" s="734" t="s">
        <v>266</v>
      </c>
      <c r="K601" s="734"/>
      <c r="L601" s="734"/>
      <c r="M601" s="734"/>
    </row>
    <row r="602" spans="1:13">
      <c r="A602" s="674">
        <v>20140101</v>
      </c>
      <c r="B602" s="676"/>
      <c r="C602" s="680" t="s">
        <v>408</v>
      </c>
      <c r="D602" s="677" t="str">
        <f t="shared" si="40"/>
        <v>20140101KUUM_435</v>
      </c>
      <c r="E602" s="732"/>
      <c r="F602" s="733">
        <v>1788</v>
      </c>
      <c r="G602" s="678"/>
      <c r="H602" s="678"/>
      <c r="I602" s="678">
        <f t="shared" si="37"/>
        <v>0</v>
      </c>
      <c r="J602" s="735" t="s">
        <v>409</v>
      </c>
      <c r="K602" s="734"/>
      <c r="L602" s="734"/>
      <c r="M602" s="734"/>
    </row>
    <row r="603" spans="1:13">
      <c r="A603" s="674">
        <v>20140101</v>
      </c>
      <c r="B603" s="676" t="s">
        <v>1140</v>
      </c>
      <c r="C603" s="676" t="s">
        <v>359</v>
      </c>
      <c r="D603" s="677" t="str">
        <f t="shared" si="40"/>
        <v>20140101KUUM_440</v>
      </c>
      <c r="E603" s="732">
        <v>13.610000000000001</v>
      </c>
      <c r="F603" s="733">
        <v>240</v>
      </c>
      <c r="G603" s="678">
        <v>0.33</v>
      </c>
      <c r="H603" s="678">
        <v>0.57000000000000028</v>
      </c>
      <c r="I603" s="678">
        <f t="shared" si="37"/>
        <v>12.71</v>
      </c>
      <c r="J603" s="734" t="s">
        <v>268</v>
      </c>
      <c r="K603" s="734"/>
      <c r="L603" s="734"/>
      <c r="M603" s="734"/>
    </row>
    <row r="604" spans="1:13">
      <c r="A604" s="674">
        <v>20140101</v>
      </c>
      <c r="B604" s="676" t="s">
        <v>1139</v>
      </c>
      <c r="C604" s="676" t="s">
        <v>367</v>
      </c>
      <c r="D604" s="677" t="str">
        <f t="shared" si="40"/>
        <v>20140101KUUM_441</v>
      </c>
      <c r="E604" s="732"/>
      <c r="F604" s="733">
        <v>332</v>
      </c>
      <c r="G604" s="678"/>
      <c r="H604" s="678"/>
      <c r="I604" s="678">
        <f t="shared" si="37"/>
        <v>0</v>
      </c>
      <c r="J604" s="734" t="s">
        <v>276</v>
      </c>
      <c r="K604" s="734"/>
      <c r="L604" s="734"/>
      <c r="M604" s="734"/>
    </row>
    <row r="605" spans="1:13">
      <c r="A605" s="674">
        <v>20140101</v>
      </c>
      <c r="B605" s="676" t="s">
        <v>1139</v>
      </c>
      <c r="C605" s="676" t="s">
        <v>390</v>
      </c>
      <c r="D605" s="677" t="str">
        <f t="shared" si="40"/>
        <v>20140101KUUM_442</v>
      </c>
      <c r="E605" s="732"/>
      <c r="F605" s="733">
        <v>468</v>
      </c>
      <c r="G605" s="678"/>
      <c r="H605" s="678"/>
      <c r="I605" s="678">
        <f t="shared" si="37"/>
        <v>0</v>
      </c>
      <c r="J605" s="734" t="s">
        <v>299</v>
      </c>
      <c r="K605" s="734"/>
      <c r="L605" s="734"/>
      <c r="M605" s="734"/>
    </row>
    <row r="606" spans="1:13">
      <c r="A606" s="674">
        <v>20140101</v>
      </c>
      <c r="B606" s="676"/>
      <c r="C606" s="676" t="s">
        <v>361</v>
      </c>
      <c r="D606" s="677" t="str">
        <f t="shared" si="40"/>
        <v>20140101KUUM_444</v>
      </c>
      <c r="E606" s="732"/>
      <c r="F606" s="733">
        <v>240</v>
      </c>
      <c r="G606" s="678"/>
      <c r="H606" s="678"/>
      <c r="I606" s="678">
        <f t="shared" si="37"/>
        <v>0</v>
      </c>
      <c r="J606" s="734" t="s">
        <v>270</v>
      </c>
      <c r="K606" s="734"/>
      <c r="L606" s="734"/>
      <c r="M606" s="734"/>
    </row>
    <row r="607" spans="1:13">
      <c r="A607" s="674">
        <v>20140101</v>
      </c>
      <c r="B607" s="676"/>
      <c r="C607" s="676" t="s">
        <v>369</v>
      </c>
      <c r="D607" s="677" t="str">
        <f t="shared" si="40"/>
        <v>20140101KUUM_445</v>
      </c>
      <c r="E607" s="732"/>
      <c r="F607" s="733">
        <v>332</v>
      </c>
      <c r="G607" s="678"/>
      <c r="H607" s="678"/>
      <c r="I607" s="678">
        <f t="shared" si="37"/>
        <v>0</v>
      </c>
      <c r="J607" s="734" t="s">
        <v>278</v>
      </c>
      <c r="K607" s="734"/>
      <c r="L607" s="734"/>
      <c r="M607" s="734"/>
    </row>
    <row r="608" spans="1:13">
      <c r="A608" s="674">
        <v>20140101</v>
      </c>
      <c r="B608" s="676" t="s">
        <v>1140</v>
      </c>
      <c r="C608" s="676" t="s">
        <v>385</v>
      </c>
      <c r="D608" s="677" t="str">
        <f t="shared" si="40"/>
        <v>20140101KUUM_446</v>
      </c>
      <c r="E608" s="732">
        <v>9.5600000000000023</v>
      </c>
      <c r="F608" s="733">
        <v>828</v>
      </c>
      <c r="G608" s="678">
        <v>0.39</v>
      </c>
      <c r="H608" s="678">
        <v>1.9900000000000002</v>
      </c>
      <c r="I608" s="678">
        <f t="shared" si="37"/>
        <v>7.1800000000000015</v>
      </c>
      <c r="J608" s="734" t="s">
        <v>294</v>
      </c>
      <c r="K608" s="734"/>
      <c r="L608" s="734"/>
      <c r="M608" s="734"/>
    </row>
    <row r="609" spans="1:13">
      <c r="A609" s="674">
        <v>20140101</v>
      </c>
      <c r="B609" s="676" t="s">
        <v>1140</v>
      </c>
      <c r="C609" s="676" t="s">
        <v>312</v>
      </c>
      <c r="D609" s="677" t="str">
        <f t="shared" si="40"/>
        <v>20140101KUUM_447</v>
      </c>
      <c r="E609" s="732">
        <v>11.32</v>
      </c>
      <c r="F609" s="733">
        <v>1176</v>
      </c>
      <c r="G609" s="678">
        <v>0.44</v>
      </c>
      <c r="H609" s="678">
        <v>2.8400000000000016</v>
      </c>
      <c r="I609" s="678">
        <f t="shared" si="37"/>
        <v>8.0399999999999991</v>
      </c>
      <c r="J609" s="678" t="s">
        <v>221</v>
      </c>
      <c r="K609" s="734"/>
      <c r="L609" s="734"/>
      <c r="M609" s="734"/>
    </row>
    <row r="610" spans="1:13">
      <c r="A610" s="674">
        <v>20140101</v>
      </c>
      <c r="B610" s="676" t="s">
        <v>1140</v>
      </c>
      <c r="C610" s="680" t="s">
        <v>421</v>
      </c>
      <c r="D610" s="677" t="str">
        <f t="shared" si="40"/>
        <v>20140101KUUM_448</v>
      </c>
      <c r="E610" s="732">
        <v>12.809999999999999</v>
      </c>
      <c r="F610" s="733">
        <v>1812</v>
      </c>
      <c r="G610" s="678">
        <v>0.51</v>
      </c>
      <c r="H610" s="678">
        <v>4.37</v>
      </c>
      <c r="I610" s="678">
        <f t="shared" si="37"/>
        <v>7.9299999999999988</v>
      </c>
      <c r="J610" s="734" t="s">
        <v>422</v>
      </c>
      <c r="K610" s="734"/>
      <c r="L610" s="734"/>
      <c r="M610" s="734"/>
    </row>
    <row r="611" spans="1:13">
      <c r="A611" s="674">
        <v>20140101</v>
      </c>
      <c r="B611" s="676" t="s">
        <v>1139</v>
      </c>
      <c r="C611" s="676" t="s">
        <v>392</v>
      </c>
      <c r="D611" s="677" t="str">
        <f t="shared" si="40"/>
        <v>20140101KUUM_449</v>
      </c>
      <c r="E611" s="732"/>
      <c r="F611" s="733">
        <v>468</v>
      </c>
      <c r="G611" s="678"/>
      <c r="H611" s="678"/>
      <c r="I611" s="678">
        <f t="shared" si="37"/>
        <v>0</v>
      </c>
      <c r="J611" s="734" t="s">
        <v>301</v>
      </c>
      <c r="K611" s="734"/>
      <c r="L611" s="734"/>
      <c r="M611" s="734"/>
    </row>
    <row r="612" spans="1:13">
      <c r="A612" s="674">
        <v>20140101</v>
      </c>
      <c r="B612" s="676" t="s">
        <v>1139</v>
      </c>
      <c r="C612" s="676" t="s">
        <v>322</v>
      </c>
      <c r="D612" s="677" t="str">
        <f t="shared" si="40"/>
        <v>20140101KUUM_450</v>
      </c>
      <c r="E612" s="732">
        <v>14.25</v>
      </c>
      <c r="F612" s="733">
        <v>600</v>
      </c>
      <c r="G612" s="678">
        <v>0.66</v>
      </c>
      <c r="H612" s="678">
        <v>1.9699999999999989</v>
      </c>
      <c r="I612" s="678">
        <f t="shared" si="37"/>
        <v>11.620000000000001</v>
      </c>
      <c r="J612" s="734" t="s">
        <v>231</v>
      </c>
      <c r="K612" s="734"/>
      <c r="L612" s="734"/>
      <c r="M612" s="734"/>
    </row>
    <row r="613" spans="1:13">
      <c r="A613" s="674">
        <v>20140101</v>
      </c>
      <c r="B613" s="676" t="s">
        <v>1139</v>
      </c>
      <c r="C613" s="676" t="s">
        <v>354</v>
      </c>
      <c r="D613" s="677" t="str">
        <f t="shared" si="40"/>
        <v>20140101KUUM_451</v>
      </c>
      <c r="E613" s="732">
        <v>20.200000000000003</v>
      </c>
      <c r="F613" s="733">
        <v>1400</v>
      </c>
      <c r="G613" s="678">
        <v>0.84</v>
      </c>
      <c r="H613" s="678">
        <v>4.2900000000000027</v>
      </c>
      <c r="I613" s="678">
        <f t="shared" si="37"/>
        <v>15.07</v>
      </c>
      <c r="J613" s="734" t="s">
        <v>263</v>
      </c>
      <c r="K613" s="734"/>
      <c r="L613" s="734"/>
      <c r="M613" s="734"/>
    </row>
    <row r="614" spans="1:13">
      <c r="A614" s="674">
        <v>20140101</v>
      </c>
      <c r="B614" s="676" t="s">
        <v>1139</v>
      </c>
      <c r="C614" s="676" t="s">
        <v>317</v>
      </c>
      <c r="D614" s="677" t="str">
        <f t="shared" si="40"/>
        <v>20140101KUUM_452</v>
      </c>
      <c r="E614" s="732">
        <v>42.350000000000009</v>
      </c>
      <c r="F614" s="733">
        <v>4320</v>
      </c>
      <c r="G614" s="678">
        <v>1.7</v>
      </c>
      <c r="H614" s="678">
        <v>10.410000000000004</v>
      </c>
      <c r="I614" s="678">
        <f t="shared" si="37"/>
        <v>30.240000000000002</v>
      </c>
      <c r="J614" s="734" t="s">
        <v>226</v>
      </c>
      <c r="K614" s="734"/>
      <c r="L614" s="734"/>
      <c r="M614" s="734"/>
    </row>
    <row r="615" spans="1:13">
      <c r="A615" s="674">
        <v>20140101</v>
      </c>
      <c r="B615" s="676" t="s">
        <v>1140</v>
      </c>
      <c r="C615" s="676" t="s">
        <v>320</v>
      </c>
      <c r="D615" s="677" t="str">
        <f t="shared" si="40"/>
        <v>20140101KUUM_454</v>
      </c>
      <c r="E615" s="732">
        <v>18.649999999999999</v>
      </c>
      <c r="F615" s="733">
        <v>600</v>
      </c>
      <c r="G615" s="678">
        <v>0.66</v>
      </c>
      <c r="H615" s="678">
        <v>1.9699999999999989</v>
      </c>
      <c r="I615" s="678">
        <f t="shared" si="37"/>
        <v>16.02</v>
      </c>
      <c r="J615" s="734" t="s">
        <v>229</v>
      </c>
      <c r="K615" s="734"/>
      <c r="L615" s="734"/>
      <c r="M615" s="734"/>
    </row>
    <row r="616" spans="1:13">
      <c r="A616" s="674">
        <v>20140101</v>
      </c>
      <c r="B616" s="676" t="s">
        <v>1140</v>
      </c>
      <c r="C616" s="676" t="s">
        <v>352</v>
      </c>
      <c r="D616" s="677" t="str">
        <f t="shared" si="40"/>
        <v>20140101KUUM_455</v>
      </c>
      <c r="E616" s="732">
        <v>24.59</v>
      </c>
      <c r="F616" s="733">
        <v>1400</v>
      </c>
      <c r="G616" s="678">
        <v>0.84</v>
      </c>
      <c r="H616" s="678">
        <v>4.2899999999999991</v>
      </c>
      <c r="I616" s="678">
        <f t="shared" ref="I616:I660" si="41">E616-G616-H616</f>
        <v>19.46</v>
      </c>
      <c r="J616" s="734" t="s">
        <v>261</v>
      </c>
      <c r="K616" s="734"/>
      <c r="L616" s="734"/>
      <c r="M616" s="734"/>
    </row>
    <row r="617" spans="1:13">
      <c r="A617" s="674">
        <v>20140101</v>
      </c>
      <c r="B617" s="676" t="s">
        <v>1140</v>
      </c>
      <c r="C617" s="676" t="s">
        <v>384</v>
      </c>
      <c r="D617" s="677" t="str">
        <f t="shared" si="40"/>
        <v>20140101KUUM_456</v>
      </c>
      <c r="E617" s="732">
        <v>11.870000000000001</v>
      </c>
      <c r="F617" s="733">
        <v>828</v>
      </c>
      <c r="G617" s="678">
        <v>0.39</v>
      </c>
      <c r="H617" s="678">
        <v>1.9900000000000002</v>
      </c>
      <c r="I617" s="678">
        <f t="shared" si="41"/>
        <v>9.49</v>
      </c>
      <c r="J617" s="734" t="s">
        <v>293</v>
      </c>
      <c r="K617" s="734"/>
      <c r="L617" s="734"/>
      <c r="M617" s="734"/>
    </row>
    <row r="618" spans="1:13">
      <c r="A618" s="674">
        <v>20140101</v>
      </c>
      <c r="B618" s="676" t="s">
        <v>1140</v>
      </c>
      <c r="C618" s="676" t="s">
        <v>311</v>
      </c>
      <c r="D618" s="677" t="str">
        <f t="shared" si="40"/>
        <v>20140101KUUM_457</v>
      </c>
      <c r="E618" s="732">
        <v>13.360000000000001</v>
      </c>
      <c r="F618" s="733">
        <v>1176</v>
      </c>
      <c r="G618" s="678">
        <v>0.44</v>
      </c>
      <c r="H618" s="678">
        <v>2.84</v>
      </c>
      <c r="I618" s="678">
        <f t="shared" si="41"/>
        <v>10.080000000000002</v>
      </c>
      <c r="J618" s="678" t="s">
        <v>220</v>
      </c>
      <c r="K618" s="734"/>
      <c r="L618" s="734"/>
      <c r="M618" s="734"/>
    </row>
    <row r="619" spans="1:13">
      <c r="A619" s="674">
        <v>20140101</v>
      </c>
      <c r="B619" s="676" t="s">
        <v>1140</v>
      </c>
      <c r="C619" s="676" t="s">
        <v>341</v>
      </c>
      <c r="D619" s="677" t="str">
        <f t="shared" si="40"/>
        <v>20140101KUUM_458</v>
      </c>
      <c r="E619" s="732">
        <v>15.079999999999998</v>
      </c>
      <c r="F619" s="733">
        <v>1812</v>
      </c>
      <c r="G619" s="678">
        <v>0.51</v>
      </c>
      <c r="H619" s="678">
        <v>4.3699999999999992</v>
      </c>
      <c r="I619" s="678">
        <f t="shared" si="41"/>
        <v>10.199999999999999</v>
      </c>
      <c r="J619" s="734" t="s">
        <v>250</v>
      </c>
      <c r="K619" s="734"/>
      <c r="L619" s="734"/>
      <c r="M619" s="734"/>
    </row>
    <row r="620" spans="1:13">
      <c r="A620" s="674">
        <v>20140101</v>
      </c>
      <c r="B620" s="676" t="s">
        <v>1140</v>
      </c>
      <c r="C620" s="676" t="s">
        <v>315</v>
      </c>
      <c r="D620" s="677" t="str">
        <f t="shared" si="40"/>
        <v>20140101KUUM_459</v>
      </c>
      <c r="E620" s="732">
        <v>46.740000000000009</v>
      </c>
      <c r="F620" s="733">
        <v>4320</v>
      </c>
      <c r="G620" s="678">
        <v>1.7</v>
      </c>
      <c r="H620" s="678">
        <v>10.410000000000004</v>
      </c>
      <c r="I620" s="678">
        <f t="shared" si="41"/>
        <v>34.630000000000003</v>
      </c>
      <c r="J620" s="678" t="s">
        <v>224</v>
      </c>
      <c r="K620" s="734"/>
      <c r="L620" s="734"/>
      <c r="M620" s="734"/>
    </row>
    <row r="621" spans="1:13">
      <c r="A621" s="674">
        <v>20140101</v>
      </c>
      <c r="B621" s="676" t="s">
        <v>1140</v>
      </c>
      <c r="C621" s="676" t="s">
        <v>319</v>
      </c>
      <c r="D621" s="677" t="str">
        <f t="shared" si="40"/>
        <v>20140101KUUM_460</v>
      </c>
      <c r="E621" s="732">
        <v>27.15</v>
      </c>
      <c r="F621" s="733">
        <v>600</v>
      </c>
      <c r="G621" s="678">
        <v>0.66</v>
      </c>
      <c r="H621" s="678">
        <v>1.9699999999999989</v>
      </c>
      <c r="I621" s="678">
        <f t="shared" si="41"/>
        <v>24.52</v>
      </c>
      <c r="J621" s="734" t="s">
        <v>228</v>
      </c>
      <c r="K621" s="734"/>
      <c r="L621" s="734"/>
      <c r="M621" s="734"/>
    </row>
    <row r="622" spans="1:13">
      <c r="A622" s="674">
        <v>20140101</v>
      </c>
      <c r="B622" s="676" t="s">
        <v>1140</v>
      </c>
      <c r="C622" s="676" t="s">
        <v>356</v>
      </c>
      <c r="D622" s="677" t="str">
        <f t="shared" si="40"/>
        <v>20140101KUUM_461</v>
      </c>
      <c r="E622" s="732">
        <v>7.54</v>
      </c>
      <c r="F622" s="733">
        <v>240</v>
      </c>
      <c r="G622" s="678">
        <v>0.33</v>
      </c>
      <c r="H622" s="678">
        <v>0.57000000000000028</v>
      </c>
      <c r="I622" s="678">
        <f t="shared" si="41"/>
        <v>6.64</v>
      </c>
      <c r="J622" s="734" t="s">
        <v>265</v>
      </c>
      <c r="K622" s="734"/>
      <c r="L622" s="734"/>
      <c r="M622" s="734"/>
    </row>
    <row r="623" spans="1:13">
      <c r="A623" s="674">
        <v>20140101</v>
      </c>
      <c r="B623" s="676" t="s">
        <v>1139</v>
      </c>
      <c r="C623" s="676" t="s">
        <v>365</v>
      </c>
      <c r="D623" s="677" t="str">
        <f t="shared" si="40"/>
        <v>20140101KUUM_462</v>
      </c>
      <c r="E623" s="732">
        <v>8.66</v>
      </c>
      <c r="F623" s="733">
        <v>332</v>
      </c>
      <c r="G623" s="678">
        <v>0.43</v>
      </c>
      <c r="H623" s="678">
        <v>0.79999999999999893</v>
      </c>
      <c r="I623" s="678">
        <f t="shared" si="41"/>
        <v>7.4300000000000015</v>
      </c>
      <c r="J623" s="734" t="s">
        <v>274</v>
      </c>
      <c r="K623" s="734"/>
      <c r="L623" s="734"/>
      <c r="M623" s="734"/>
    </row>
    <row r="624" spans="1:13">
      <c r="A624" s="674">
        <v>20140101</v>
      </c>
      <c r="B624" s="676" t="s">
        <v>1139</v>
      </c>
      <c r="C624" s="676" t="s">
        <v>388</v>
      </c>
      <c r="D624" s="677" t="str">
        <f t="shared" si="40"/>
        <v>20140101KUUM_463</v>
      </c>
      <c r="E624" s="732">
        <v>9.14</v>
      </c>
      <c r="F624" s="733">
        <v>468</v>
      </c>
      <c r="G624" s="678">
        <v>0.34</v>
      </c>
      <c r="H624" s="678">
        <v>1.1299999999999999</v>
      </c>
      <c r="I624" s="678">
        <f t="shared" si="41"/>
        <v>7.6700000000000008</v>
      </c>
      <c r="J624" s="734" t="s">
        <v>297</v>
      </c>
      <c r="K624" s="734"/>
      <c r="L624" s="734"/>
      <c r="M624" s="734"/>
    </row>
    <row r="625" spans="1:13">
      <c r="A625" s="674">
        <v>20140101</v>
      </c>
      <c r="B625" s="676" t="s">
        <v>1139</v>
      </c>
      <c r="C625" s="676" t="s">
        <v>345</v>
      </c>
      <c r="D625" s="677" t="str">
        <f t="shared" si="40"/>
        <v>20140101KUUM_464</v>
      </c>
      <c r="E625" s="732">
        <v>14.25</v>
      </c>
      <c r="F625" s="733">
        <v>968</v>
      </c>
      <c r="G625" s="678">
        <v>0.57999999999999996</v>
      </c>
      <c r="H625" s="678">
        <v>2.33</v>
      </c>
      <c r="I625" s="678">
        <f t="shared" si="41"/>
        <v>11.34</v>
      </c>
      <c r="J625" s="734" t="s">
        <v>254</v>
      </c>
      <c r="K625" s="734"/>
      <c r="L625" s="734"/>
      <c r="M625" s="734"/>
    </row>
    <row r="626" spans="1:13">
      <c r="A626" s="674">
        <v>20140101</v>
      </c>
      <c r="B626" s="676" t="s">
        <v>1139</v>
      </c>
      <c r="C626" s="676" t="s">
        <v>377</v>
      </c>
      <c r="D626" s="677" t="str">
        <f t="shared" si="40"/>
        <v>20140101KUUM_465</v>
      </c>
      <c r="E626" s="732">
        <v>22.84</v>
      </c>
      <c r="F626" s="733">
        <v>1884</v>
      </c>
      <c r="G626" s="678">
        <v>0.79</v>
      </c>
      <c r="H626" s="678">
        <v>4.5299999999999976</v>
      </c>
      <c r="I626" s="678">
        <f t="shared" si="41"/>
        <v>17.520000000000003</v>
      </c>
      <c r="J626" s="734" t="s">
        <v>286</v>
      </c>
      <c r="K626" s="734"/>
      <c r="L626" s="734"/>
      <c r="M626" s="734"/>
    </row>
    <row r="627" spans="1:13">
      <c r="A627" s="674">
        <v>20140101</v>
      </c>
      <c r="B627" s="682" t="s">
        <v>1140</v>
      </c>
      <c r="C627" s="676" t="s">
        <v>363</v>
      </c>
      <c r="D627" s="677" t="str">
        <f t="shared" si="40"/>
        <v>20140101KUUM_466</v>
      </c>
      <c r="E627" s="732">
        <v>9.620000000000001</v>
      </c>
      <c r="F627" s="733">
        <v>240</v>
      </c>
      <c r="G627" s="678">
        <v>0.33</v>
      </c>
      <c r="H627" s="678">
        <v>0.57000000000000028</v>
      </c>
      <c r="I627" s="678">
        <f t="shared" si="41"/>
        <v>8.7200000000000006</v>
      </c>
      <c r="J627" s="734" t="s">
        <v>272</v>
      </c>
      <c r="K627" s="734"/>
      <c r="L627" s="734"/>
      <c r="M627" s="734"/>
    </row>
    <row r="628" spans="1:13">
      <c r="A628" s="674">
        <v>20140101</v>
      </c>
      <c r="B628" s="676" t="s">
        <v>1139</v>
      </c>
      <c r="C628" s="676" t="s">
        <v>373</v>
      </c>
      <c r="D628" s="677" t="str">
        <f t="shared" si="40"/>
        <v>20140101KUUM_467</v>
      </c>
      <c r="E628" s="732">
        <v>10.770000000000001</v>
      </c>
      <c r="F628" s="733">
        <v>332</v>
      </c>
      <c r="G628" s="678">
        <v>0.43</v>
      </c>
      <c r="H628" s="678">
        <v>0.80000000000000071</v>
      </c>
      <c r="I628" s="678">
        <f t="shared" si="41"/>
        <v>9.5400000000000009</v>
      </c>
      <c r="J628" s="734" t="s">
        <v>282</v>
      </c>
      <c r="K628" s="734"/>
      <c r="L628" s="734"/>
      <c r="M628" s="734"/>
    </row>
    <row r="629" spans="1:13">
      <c r="A629" s="674">
        <v>20140101</v>
      </c>
      <c r="B629" s="676" t="s">
        <v>1139</v>
      </c>
      <c r="C629" s="676" t="s">
        <v>396</v>
      </c>
      <c r="D629" s="677" t="str">
        <f t="shared" si="40"/>
        <v>20140101KUUM_468</v>
      </c>
      <c r="E629" s="732">
        <v>11.16</v>
      </c>
      <c r="F629" s="733">
        <v>468</v>
      </c>
      <c r="G629" s="678">
        <v>0.34</v>
      </c>
      <c r="H629" s="678">
        <v>1.129999999999999</v>
      </c>
      <c r="I629" s="678">
        <f t="shared" si="41"/>
        <v>9.6900000000000013</v>
      </c>
      <c r="J629" s="734" t="s">
        <v>305</v>
      </c>
      <c r="K629" s="734"/>
      <c r="L629" s="734"/>
      <c r="M629" s="734"/>
    </row>
    <row r="630" spans="1:13">
      <c r="A630" s="674">
        <v>20140101</v>
      </c>
      <c r="B630" s="676" t="s">
        <v>1140</v>
      </c>
      <c r="C630" s="676" t="s">
        <v>351</v>
      </c>
      <c r="D630" s="677" t="str">
        <f t="shared" si="40"/>
        <v>20140101KUUM_469</v>
      </c>
      <c r="E630" s="732">
        <v>33.100000000000009</v>
      </c>
      <c r="F630" s="733">
        <v>1400</v>
      </c>
      <c r="G630" s="678">
        <v>0.84</v>
      </c>
      <c r="H630" s="678">
        <v>4.2900000000000063</v>
      </c>
      <c r="I630" s="678">
        <f t="shared" si="41"/>
        <v>27.97</v>
      </c>
      <c r="J630" s="734" t="s">
        <v>260</v>
      </c>
      <c r="K630" s="734"/>
      <c r="L630" s="734"/>
      <c r="M630" s="734"/>
    </row>
    <row r="631" spans="1:13">
      <c r="A631" s="674">
        <v>20140101</v>
      </c>
      <c r="B631" s="676" t="s">
        <v>1140</v>
      </c>
      <c r="C631" s="676" t="s">
        <v>314</v>
      </c>
      <c r="D631" s="677" t="str">
        <f t="shared" si="40"/>
        <v>20140101KUUM_470</v>
      </c>
      <c r="E631" s="732">
        <v>55.250000000000007</v>
      </c>
      <c r="F631" s="733">
        <v>4320</v>
      </c>
      <c r="G631" s="678">
        <v>1.7</v>
      </c>
      <c r="H631" s="678">
        <v>10.410000000000004</v>
      </c>
      <c r="I631" s="678">
        <f t="shared" si="41"/>
        <v>43.14</v>
      </c>
      <c r="J631" s="678" t="s">
        <v>223</v>
      </c>
      <c r="K631" s="734"/>
      <c r="L631" s="734"/>
      <c r="M631" s="734"/>
    </row>
    <row r="632" spans="1:13">
      <c r="A632" s="674">
        <v>20140101</v>
      </c>
      <c r="B632" s="676" t="s">
        <v>1140</v>
      </c>
      <c r="C632" s="676" t="s">
        <v>355</v>
      </c>
      <c r="D632" s="677" t="str">
        <f t="shared" si="40"/>
        <v>20140101KUUM_471</v>
      </c>
      <c r="E632" s="732">
        <v>10.49</v>
      </c>
      <c r="F632" s="733">
        <v>240</v>
      </c>
      <c r="G632" s="678">
        <v>0.33</v>
      </c>
      <c r="H632" s="678">
        <v>0.56999999999999851</v>
      </c>
      <c r="I632" s="678">
        <f t="shared" si="41"/>
        <v>9.5900000000000016</v>
      </c>
      <c r="J632" s="734" t="s">
        <v>264</v>
      </c>
      <c r="K632" s="734"/>
      <c r="L632" s="734"/>
      <c r="M632" s="734"/>
    </row>
    <row r="633" spans="1:13">
      <c r="A633" s="674">
        <v>20140101</v>
      </c>
      <c r="B633" s="676" t="s">
        <v>1139</v>
      </c>
      <c r="C633" s="676" t="s">
        <v>364</v>
      </c>
      <c r="D633" s="677" t="str">
        <f t="shared" si="40"/>
        <v>20140101KUUM_472</v>
      </c>
      <c r="E633" s="732">
        <v>11.600000000000001</v>
      </c>
      <c r="F633" s="733">
        <v>332</v>
      </c>
      <c r="G633" s="678">
        <v>0.43</v>
      </c>
      <c r="H633" s="678">
        <v>0.80000000000000071</v>
      </c>
      <c r="I633" s="678">
        <f t="shared" si="41"/>
        <v>10.370000000000001</v>
      </c>
      <c r="J633" s="734" t="s">
        <v>273</v>
      </c>
      <c r="K633" s="734"/>
      <c r="L633" s="734"/>
      <c r="M633" s="734"/>
    </row>
    <row r="634" spans="1:13">
      <c r="A634" s="674">
        <v>20140101</v>
      </c>
      <c r="B634" s="676" t="s">
        <v>1139</v>
      </c>
      <c r="C634" s="676" t="s">
        <v>387</v>
      </c>
      <c r="D634" s="677" t="str">
        <f t="shared" si="40"/>
        <v>20140101KUUM_473</v>
      </c>
      <c r="E634" s="732">
        <v>12.3</v>
      </c>
      <c r="F634" s="733">
        <v>468</v>
      </c>
      <c r="G634" s="678">
        <v>0.34</v>
      </c>
      <c r="H634" s="678">
        <v>1.129999999999999</v>
      </c>
      <c r="I634" s="678">
        <f t="shared" si="41"/>
        <v>10.830000000000002</v>
      </c>
      <c r="J634" s="734" t="s">
        <v>296</v>
      </c>
      <c r="K634" s="734"/>
      <c r="L634" s="734"/>
      <c r="M634" s="734"/>
    </row>
    <row r="635" spans="1:13">
      <c r="A635" s="674">
        <v>20140101</v>
      </c>
      <c r="B635" s="676" t="s">
        <v>1139</v>
      </c>
      <c r="C635" s="676" t="s">
        <v>344</v>
      </c>
      <c r="D635" s="677" t="str">
        <f t="shared" si="40"/>
        <v>20140101KUUM_474</v>
      </c>
      <c r="E635" s="732">
        <v>17.41</v>
      </c>
      <c r="F635" s="733">
        <v>968</v>
      </c>
      <c r="G635" s="678">
        <v>0.57999999999999996</v>
      </c>
      <c r="H635" s="678">
        <v>2.33</v>
      </c>
      <c r="I635" s="678">
        <f t="shared" si="41"/>
        <v>14.500000000000002</v>
      </c>
      <c r="J635" s="734" t="s">
        <v>253</v>
      </c>
      <c r="K635" s="734"/>
      <c r="L635" s="734"/>
      <c r="M635" s="734"/>
    </row>
    <row r="636" spans="1:13">
      <c r="A636" s="674">
        <v>20140101</v>
      </c>
      <c r="B636" s="676" t="s">
        <v>1139</v>
      </c>
      <c r="C636" s="676" t="s">
        <v>376</v>
      </c>
      <c r="D636" s="677" t="str">
        <f t="shared" si="40"/>
        <v>20140101KUUM_475</v>
      </c>
      <c r="E636" s="732">
        <v>24.46</v>
      </c>
      <c r="F636" s="733">
        <v>1884</v>
      </c>
      <c r="G636" s="678">
        <v>0.79</v>
      </c>
      <c r="H636" s="678">
        <v>4.5300000000000011</v>
      </c>
      <c r="I636" s="678">
        <f t="shared" si="41"/>
        <v>19.14</v>
      </c>
      <c r="J636" s="734" t="s">
        <v>285</v>
      </c>
      <c r="K636" s="734"/>
      <c r="L636" s="734"/>
      <c r="M636" s="734"/>
    </row>
    <row r="637" spans="1:13">
      <c r="A637" s="674">
        <v>20140101</v>
      </c>
      <c r="B637" s="676" t="s">
        <v>1139</v>
      </c>
      <c r="C637" s="676" t="s">
        <v>374</v>
      </c>
      <c r="D637" s="677" t="str">
        <f t="shared" si="40"/>
        <v>20140101KUUM_476</v>
      </c>
      <c r="E637" s="732">
        <v>16.79</v>
      </c>
      <c r="F637" s="733">
        <v>332</v>
      </c>
      <c r="G637" s="678">
        <v>0.43</v>
      </c>
      <c r="H637" s="678">
        <v>0.79999999999999893</v>
      </c>
      <c r="I637" s="678">
        <f>E637-G637-H637</f>
        <v>15.56</v>
      </c>
      <c r="J637" s="734" t="s">
        <v>283</v>
      </c>
      <c r="K637" s="734"/>
      <c r="L637" s="734"/>
      <c r="M637" s="734"/>
    </row>
    <row r="638" spans="1:13">
      <c r="A638" s="674">
        <v>20140101</v>
      </c>
      <c r="B638" s="676" t="s">
        <v>1139</v>
      </c>
      <c r="C638" s="676" t="s">
        <v>398</v>
      </c>
      <c r="D638" s="677" t="str">
        <f t="shared" si="40"/>
        <v>20140101KUUM_477</v>
      </c>
      <c r="E638" s="732">
        <v>20.97</v>
      </c>
      <c r="F638" s="733">
        <v>468</v>
      </c>
      <c r="G638" s="678">
        <v>0.34</v>
      </c>
      <c r="H638" s="678">
        <v>1.129999999999999</v>
      </c>
      <c r="I638" s="678">
        <f t="shared" ref="I638:I640" si="42">E638-G638-H638</f>
        <v>19.5</v>
      </c>
      <c r="J638" s="734" t="s">
        <v>307</v>
      </c>
      <c r="K638" s="734"/>
      <c r="L638" s="734"/>
      <c r="M638" s="734"/>
    </row>
    <row r="639" spans="1:13">
      <c r="A639" s="674">
        <v>20140101</v>
      </c>
      <c r="B639" s="676" t="s">
        <v>1139</v>
      </c>
      <c r="C639" s="676" t="s">
        <v>348</v>
      </c>
      <c r="D639" s="677" t="str">
        <f t="shared" si="40"/>
        <v>20140101KUUM_478</v>
      </c>
      <c r="E639" s="732">
        <v>26.86</v>
      </c>
      <c r="F639" s="733">
        <v>968</v>
      </c>
      <c r="G639" s="678">
        <v>0.57999999999999996</v>
      </c>
      <c r="H639" s="678">
        <v>2.3299999999999983</v>
      </c>
      <c r="I639" s="678">
        <f t="shared" si="42"/>
        <v>23.950000000000003</v>
      </c>
      <c r="J639" s="734" t="s">
        <v>257</v>
      </c>
      <c r="K639" s="734"/>
      <c r="L639" s="734"/>
      <c r="M639" s="734"/>
    </row>
    <row r="640" spans="1:13">
      <c r="A640" s="674">
        <v>20140101</v>
      </c>
      <c r="B640" s="676" t="s">
        <v>1139</v>
      </c>
      <c r="C640" s="676" t="s">
        <v>380</v>
      </c>
      <c r="D640" s="677" t="str">
        <f t="shared" si="40"/>
        <v>20140101KUUM_479</v>
      </c>
      <c r="E640" s="732">
        <v>33.119999999999997</v>
      </c>
      <c r="F640" s="733">
        <v>1884</v>
      </c>
      <c r="G640" s="678">
        <v>0.79</v>
      </c>
      <c r="H640" s="678">
        <v>4.529999999999994</v>
      </c>
      <c r="I640" s="678">
        <f t="shared" si="42"/>
        <v>27.800000000000004</v>
      </c>
      <c r="J640" s="734" t="s">
        <v>289</v>
      </c>
      <c r="K640" s="734"/>
      <c r="L640" s="734"/>
      <c r="M640" s="734"/>
    </row>
    <row r="641" spans="1:13">
      <c r="A641" s="674">
        <v>20140101</v>
      </c>
      <c r="B641" s="676"/>
      <c r="C641" s="676" t="s">
        <v>362</v>
      </c>
      <c r="D641" s="677" t="str">
        <f t="shared" si="40"/>
        <v>20140101KUUM_480</v>
      </c>
      <c r="E641" s="732"/>
      <c r="F641" s="733">
        <v>240</v>
      </c>
      <c r="G641" s="678"/>
      <c r="H641" s="678"/>
      <c r="I641" s="678">
        <f t="shared" si="41"/>
        <v>0</v>
      </c>
      <c r="J641" s="734" t="s">
        <v>271</v>
      </c>
      <c r="K641" s="734"/>
      <c r="L641" s="734"/>
      <c r="M641" s="734"/>
    </row>
    <row r="642" spans="1:13">
      <c r="A642" s="674">
        <v>20140101</v>
      </c>
      <c r="B642" s="676"/>
      <c r="C642" s="676" t="s">
        <v>372</v>
      </c>
      <c r="D642" s="677" t="str">
        <f t="shared" si="40"/>
        <v>20140101KUUM_481</v>
      </c>
      <c r="E642" s="732"/>
      <c r="F642" s="733">
        <v>332</v>
      </c>
      <c r="G642" s="678"/>
      <c r="H642" s="678"/>
      <c r="I642" s="678">
        <f t="shared" si="41"/>
        <v>0</v>
      </c>
      <c r="J642" s="734" t="s">
        <v>281</v>
      </c>
      <c r="K642" s="734"/>
      <c r="L642" s="734"/>
      <c r="M642" s="734"/>
    </row>
    <row r="643" spans="1:13">
      <c r="A643" s="674">
        <v>20140101</v>
      </c>
      <c r="B643" s="676" t="s">
        <v>1139</v>
      </c>
      <c r="C643" s="676" t="s">
        <v>395</v>
      </c>
      <c r="D643" s="677" t="str">
        <f t="shared" si="40"/>
        <v>20140101KUUM_482</v>
      </c>
      <c r="E643" s="732"/>
      <c r="F643" s="733">
        <v>468</v>
      </c>
      <c r="G643" s="678"/>
      <c r="H643" s="678"/>
      <c r="I643" s="678">
        <f t="shared" si="41"/>
        <v>0</v>
      </c>
      <c r="J643" s="734" t="s">
        <v>304</v>
      </c>
      <c r="K643" s="734"/>
      <c r="L643" s="734"/>
      <c r="M643" s="734"/>
    </row>
    <row r="644" spans="1:13">
      <c r="A644" s="674">
        <v>20140101</v>
      </c>
      <c r="B644" s="676" t="s">
        <v>1139</v>
      </c>
      <c r="C644" s="680" t="s">
        <v>423</v>
      </c>
      <c r="D644" s="677" t="str">
        <f t="shared" si="40"/>
        <v>20140101KUUM_483</v>
      </c>
      <c r="E644" s="732"/>
      <c r="F644" s="733">
        <v>332</v>
      </c>
      <c r="G644" s="678"/>
      <c r="H644" s="678"/>
      <c r="I644" s="678">
        <f t="shared" si="41"/>
        <v>0</v>
      </c>
      <c r="J644" s="735" t="s">
        <v>401</v>
      </c>
      <c r="K644" s="734"/>
      <c r="L644" s="734"/>
      <c r="M644" s="734"/>
    </row>
    <row r="645" spans="1:13">
      <c r="A645" s="674">
        <v>20140101</v>
      </c>
      <c r="B645" s="676" t="s">
        <v>1139</v>
      </c>
      <c r="C645" s="676" t="s">
        <v>397</v>
      </c>
      <c r="D645" s="677" t="str">
        <f t="shared" si="40"/>
        <v>20140101KUUM_484</v>
      </c>
      <c r="E645" s="732"/>
      <c r="F645" s="733">
        <v>468</v>
      </c>
      <c r="G645" s="678"/>
      <c r="H645" s="678"/>
      <c r="I645" s="678">
        <f t="shared" si="41"/>
        <v>0</v>
      </c>
      <c r="J645" s="734" t="s">
        <v>306</v>
      </c>
      <c r="K645" s="734"/>
      <c r="L645" s="734"/>
      <c r="M645" s="734"/>
    </row>
    <row r="646" spans="1:13">
      <c r="A646" s="674">
        <v>20140101</v>
      </c>
      <c r="B646" s="676" t="s">
        <v>1139</v>
      </c>
      <c r="C646" s="676" t="s">
        <v>347</v>
      </c>
      <c r="D646" s="677" t="str">
        <f t="shared" si="40"/>
        <v>20140101KUUM_485</v>
      </c>
      <c r="E646" s="732"/>
      <c r="F646" s="733">
        <v>968</v>
      </c>
      <c r="G646" s="678"/>
      <c r="H646" s="678"/>
      <c r="I646" s="678">
        <f t="shared" si="41"/>
        <v>0</v>
      </c>
      <c r="J646" s="734" t="s">
        <v>256</v>
      </c>
      <c r="K646" s="734"/>
      <c r="L646" s="734"/>
      <c r="M646" s="734"/>
    </row>
    <row r="647" spans="1:13">
      <c r="A647" s="674">
        <v>20140101</v>
      </c>
      <c r="B647" s="676" t="s">
        <v>1139</v>
      </c>
      <c r="C647" s="676" t="s">
        <v>379</v>
      </c>
      <c r="D647" s="677" t="str">
        <f t="shared" si="40"/>
        <v>20140101KUUM_486</v>
      </c>
      <c r="E647" s="732"/>
      <c r="F647" s="733">
        <v>1884</v>
      </c>
      <c r="G647" s="678"/>
      <c r="H647" s="678"/>
      <c r="I647" s="678">
        <f t="shared" si="41"/>
        <v>0</v>
      </c>
      <c r="J647" s="734" t="s">
        <v>288</v>
      </c>
      <c r="K647" s="734"/>
      <c r="L647" s="734"/>
      <c r="M647" s="734"/>
    </row>
    <row r="648" spans="1:13">
      <c r="A648" s="674">
        <v>20140101</v>
      </c>
      <c r="B648" s="676" t="s">
        <v>1139</v>
      </c>
      <c r="C648" s="676" t="s">
        <v>399</v>
      </c>
      <c r="D648" s="677" t="str">
        <f t="shared" si="40"/>
        <v>20140101KUUM_487</v>
      </c>
      <c r="E648" s="732">
        <v>9</v>
      </c>
      <c r="F648" s="733">
        <v>468</v>
      </c>
      <c r="G648" s="678">
        <v>0.34</v>
      </c>
      <c r="H648" s="678">
        <v>1.1299999999999999</v>
      </c>
      <c r="I648" s="678">
        <f t="shared" si="41"/>
        <v>7.53</v>
      </c>
      <c r="J648" s="734" t="s">
        <v>308</v>
      </c>
      <c r="K648" s="734"/>
      <c r="L648" s="734"/>
      <c r="M648" s="734"/>
    </row>
    <row r="649" spans="1:13">
      <c r="A649" s="674">
        <v>20140101</v>
      </c>
      <c r="B649" s="676" t="s">
        <v>1139</v>
      </c>
      <c r="C649" s="676" t="s">
        <v>349</v>
      </c>
      <c r="D649" s="677" t="str">
        <f t="shared" ref="D649:D660" si="43">A649&amp;C649</f>
        <v>20140101KUUM_488</v>
      </c>
      <c r="E649" s="732">
        <v>13.639999999999999</v>
      </c>
      <c r="F649" s="733">
        <v>968</v>
      </c>
      <c r="G649" s="678">
        <v>0.57999999999999996</v>
      </c>
      <c r="H649" s="678">
        <v>2.33</v>
      </c>
      <c r="I649" s="678">
        <f t="shared" si="41"/>
        <v>10.729999999999999</v>
      </c>
      <c r="J649" s="734" t="s">
        <v>258</v>
      </c>
      <c r="K649" s="734"/>
      <c r="L649" s="734"/>
      <c r="M649" s="734"/>
    </row>
    <row r="650" spans="1:13">
      <c r="A650" s="674">
        <v>20140101</v>
      </c>
      <c r="B650" s="676" t="s">
        <v>1139</v>
      </c>
      <c r="C650" s="676" t="s">
        <v>381</v>
      </c>
      <c r="D650" s="677" t="str">
        <f t="shared" si="43"/>
        <v>20140101KUUM_489</v>
      </c>
      <c r="E650" s="732">
        <v>19.46</v>
      </c>
      <c r="F650" s="733">
        <v>1884</v>
      </c>
      <c r="G650" s="678">
        <v>0.79</v>
      </c>
      <c r="H650" s="678">
        <v>4.5300000000000011</v>
      </c>
      <c r="I650" s="678">
        <f t="shared" si="41"/>
        <v>14.14</v>
      </c>
      <c r="J650" s="734" t="s">
        <v>290</v>
      </c>
      <c r="K650" s="734"/>
      <c r="L650" s="734"/>
      <c r="M650" s="734"/>
    </row>
    <row r="651" spans="1:13">
      <c r="A651" s="674">
        <v>20140101</v>
      </c>
      <c r="B651" s="676" t="s">
        <v>1139</v>
      </c>
      <c r="C651" s="676" t="s">
        <v>321</v>
      </c>
      <c r="D651" s="677" t="str">
        <f t="shared" si="43"/>
        <v>20140101KUUM_490</v>
      </c>
      <c r="E651" s="732">
        <v>15.47</v>
      </c>
      <c r="F651" s="733">
        <v>600</v>
      </c>
      <c r="G651" s="678">
        <v>0.66</v>
      </c>
      <c r="H651" s="678">
        <v>1.9700000000000006</v>
      </c>
      <c r="I651" s="678">
        <f t="shared" si="41"/>
        <v>12.84</v>
      </c>
      <c r="J651" s="734" t="s">
        <v>230</v>
      </c>
      <c r="K651" s="734"/>
      <c r="L651" s="734"/>
      <c r="M651" s="734"/>
    </row>
    <row r="652" spans="1:13">
      <c r="A652" s="674">
        <v>20140101</v>
      </c>
      <c r="B652" s="676" t="s">
        <v>1139</v>
      </c>
      <c r="C652" s="676" t="s">
        <v>353</v>
      </c>
      <c r="D652" s="677" t="str">
        <f t="shared" si="43"/>
        <v>20140101KUUM_491</v>
      </c>
      <c r="E652" s="732">
        <v>21.930000000000003</v>
      </c>
      <c r="F652" s="733">
        <v>1400</v>
      </c>
      <c r="G652" s="678">
        <v>0.84</v>
      </c>
      <c r="H652" s="678">
        <v>4.2900000000000027</v>
      </c>
      <c r="I652" s="678">
        <f t="shared" si="41"/>
        <v>16.8</v>
      </c>
      <c r="J652" s="734" t="s">
        <v>262</v>
      </c>
      <c r="K652" s="734"/>
      <c r="L652" s="734"/>
      <c r="M652" s="734"/>
    </row>
    <row r="653" spans="1:13">
      <c r="A653" s="674">
        <v>20140101</v>
      </c>
      <c r="B653" s="676" t="s">
        <v>1139</v>
      </c>
      <c r="C653" s="680" t="s">
        <v>678</v>
      </c>
      <c r="D653" s="677" t="str">
        <f t="shared" si="43"/>
        <v>20140101KUUM_492</v>
      </c>
      <c r="E653" s="732">
        <v>15.370000000000001</v>
      </c>
      <c r="F653" s="733">
        <v>332</v>
      </c>
      <c r="G653" s="678">
        <v>0.43</v>
      </c>
      <c r="H653" s="678">
        <v>0.80000000000000071</v>
      </c>
      <c r="I653" s="678">
        <f>E653-G653-H653</f>
        <v>14.14</v>
      </c>
      <c r="J653" s="735" t="s">
        <v>648</v>
      </c>
      <c r="K653" s="734"/>
      <c r="L653" s="734"/>
      <c r="M653" s="734"/>
    </row>
    <row r="654" spans="1:13">
      <c r="A654" s="674">
        <v>20140101</v>
      </c>
      <c r="B654" s="676" t="s">
        <v>1139</v>
      </c>
      <c r="C654" s="676" t="s">
        <v>316</v>
      </c>
      <c r="D654" s="677" t="str">
        <f t="shared" si="43"/>
        <v>20140101KUUM_493</v>
      </c>
      <c r="E654" s="732">
        <v>45.7</v>
      </c>
      <c r="F654" s="733">
        <v>4320</v>
      </c>
      <c r="G654" s="678">
        <v>1.7</v>
      </c>
      <c r="H654" s="678">
        <v>10.409999999999997</v>
      </c>
      <c r="I654" s="678">
        <f t="shared" si="41"/>
        <v>33.590000000000003</v>
      </c>
      <c r="J654" s="734" t="s">
        <v>225</v>
      </c>
      <c r="K654" s="734"/>
      <c r="L654" s="734"/>
      <c r="M654" s="734"/>
    </row>
    <row r="655" spans="1:13">
      <c r="A655" s="674">
        <v>20140101</v>
      </c>
      <c r="B655" s="676" t="s">
        <v>1139</v>
      </c>
      <c r="C655" s="676" t="s">
        <v>318</v>
      </c>
      <c r="D655" s="677" t="str">
        <f t="shared" si="43"/>
        <v>20140101KUUM_494</v>
      </c>
      <c r="E655" s="732">
        <v>28.37</v>
      </c>
      <c r="F655" s="733">
        <v>600</v>
      </c>
      <c r="G655" s="678">
        <v>0.66</v>
      </c>
      <c r="H655" s="678">
        <v>1.9699999999999989</v>
      </c>
      <c r="I655" s="678">
        <f t="shared" si="41"/>
        <v>25.740000000000002</v>
      </c>
      <c r="J655" s="734" t="s">
        <v>227</v>
      </c>
      <c r="K655" s="734"/>
      <c r="L655" s="734"/>
      <c r="M655" s="734"/>
    </row>
    <row r="656" spans="1:13">
      <c r="A656" s="674">
        <v>20140101</v>
      </c>
      <c r="B656" s="676" t="s">
        <v>1139</v>
      </c>
      <c r="C656" s="676" t="s">
        <v>350</v>
      </c>
      <c r="D656" s="677" t="str">
        <f t="shared" si="43"/>
        <v>20140101KUUM_495</v>
      </c>
      <c r="E656" s="732">
        <v>34.830000000000005</v>
      </c>
      <c r="F656" s="733">
        <v>1400</v>
      </c>
      <c r="G656" s="678">
        <v>0.84</v>
      </c>
      <c r="H656" s="678">
        <v>4.2899999999999991</v>
      </c>
      <c r="I656" s="678">
        <f t="shared" si="41"/>
        <v>29.700000000000003</v>
      </c>
      <c r="J656" s="734" t="s">
        <v>259</v>
      </c>
      <c r="K656" s="734"/>
      <c r="L656" s="734"/>
      <c r="M656" s="734"/>
    </row>
    <row r="657" spans="1:13">
      <c r="A657" s="674">
        <v>20140101</v>
      </c>
      <c r="B657" s="676" t="s">
        <v>1139</v>
      </c>
      <c r="C657" s="676" t="s">
        <v>313</v>
      </c>
      <c r="D657" s="677" t="str">
        <f t="shared" si="43"/>
        <v>20140101KUUM_496</v>
      </c>
      <c r="E657" s="732">
        <v>58.59</v>
      </c>
      <c r="F657" s="733">
        <v>4320</v>
      </c>
      <c r="G657" s="678">
        <v>1.7</v>
      </c>
      <c r="H657" s="678">
        <v>10.409999999999997</v>
      </c>
      <c r="I657" s="678">
        <f t="shared" si="41"/>
        <v>46.480000000000004</v>
      </c>
      <c r="J657" s="678" t="s">
        <v>222</v>
      </c>
      <c r="K657" s="734"/>
      <c r="L657" s="734"/>
      <c r="M657" s="734"/>
    </row>
    <row r="658" spans="1:13">
      <c r="A658" s="674">
        <v>20140101</v>
      </c>
      <c r="B658" s="676" t="s">
        <v>1139</v>
      </c>
      <c r="C658" s="680" t="s">
        <v>650</v>
      </c>
      <c r="D658" s="677" t="str">
        <f t="shared" si="43"/>
        <v>20140101KUUM_497</v>
      </c>
      <c r="E658" s="732">
        <v>15.35</v>
      </c>
      <c r="F658" s="733">
        <v>468</v>
      </c>
      <c r="G658" s="678">
        <v>0.34</v>
      </c>
      <c r="H658" s="678">
        <v>1.1300000000000008</v>
      </c>
      <c r="I658" s="678">
        <f t="shared" si="41"/>
        <v>13.879999999999999</v>
      </c>
      <c r="J658" s="735" t="s">
        <v>413</v>
      </c>
      <c r="K658" s="734"/>
      <c r="L658" s="734"/>
      <c r="M658" s="734"/>
    </row>
    <row r="659" spans="1:13">
      <c r="A659" s="674">
        <v>20140101</v>
      </c>
      <c r="B659" s="676" t="s">
        <v>1139</v>
      </c>
      <c r="C659" s="680" t="s">
        <v>447</v>
      </c>
      <c r="D659" s="677" t="str">
        <f t="shared" si="43"/>
        <v>20140101KUUM_498</v>
      </c>
      <c r="E659" s="732">
        <v>17.72</v>
      </c>
      <c r="F659" s="733">
        <v>968</v>
      </c>
      <c r="G659" s="678">
        <v>0.57999999999999996</v>
      </c>
      <c r="H659" s="678">
        <v>2.33</v>
      </c>
      <c r="I659" s="678">
        <f t="shared" si="41"/>
        <v>14.81</v>
      </c>
      <c r="J659" s="742" t="s">
        <v>647</v>
      </c>
      <c r="K659" s="734"/>
      <c r="L659" s="734"/>
      <c r="M659" s="734"/>
    </row>
    <row r="660" spans="1:13">
      <c r="A660" s="674">
        <v>20140101</v>
      </c>
      <c r="B660" s="676" t="s">
        <v>1139</v>
      </c>
      <c r="C660" s="680" t="s">
        <v>624</v>
      </c>
      <c r="D660" s="677" t="str">
        <f t="shared" si="43"/>
        <v>20140101KUUM_499</v>
      </c>
      <c r="E660" s="732">
        <v>21.490000000000002</v>
      </c>
      <c r="F660" s="733">
        <v>1884</v>
      </c>
      <c r="G660" s="678">
        <v>0.79</v>
      </c>
      <c r="H660" s="678">
        <v>4.5300000000000011</v>
      </c>
      <c r="I660" s="678">
        <f t="shared" si="41"/>
        <v>16.170000000000002</v>
      </c>
      <c r="J660" s="735" t="s">
        <v>414</v>
      </c>
      <c r="K660" s="734"/>
      <c r="L660" s="734"/>
      <c r="M660" s="734"/>
    </row>
    <row r="661" spans="1:13">
      <c r="A661" s="461"/>
      <c r="B661" s="743"/>
      <c r="C661" s="744"/>
      <c r="E661" s="597"/>
      <c r="F661" s="528"/>
      <c r="G661" s="436"/>
      <c r="H661" s="436"/>
      <c r="I661" s="436"/>
      <c r="K661" s="436"/>
      <c r="L661" s="436"/>
      <c r="M661" s="436"/>
    </row>
    <row r="662" spans="1:13">
      <c r="A662" s="461"/>
      <c r="B662" s="743"/>
      <c r="C662" s="744"/>
      <c r="E662" s="597"/>
      <c r="F662" s="528"/>
      <c r="G662" s="436"/>
      <c r="H662" s="436"/>
      <c r="I662" s="436"/>
      <c r="J662" s="442"/>
      <c r="K662" s="436"/>
      <c r="L662" s="436"/>
      <c r="M662" s="436"/>
    </row>
    <row r="663" spans="1:13">
      <c r="A663" s="461"/>
      <c r="B663" s="743"/>
      <c r="C663" s="743"/>
      <c r="E663" s="597"/>
      <c r="F663" s="528"/>
      <c r="G663" s="436"/>
      <c r="H663" s="436"/>
      <c r="I663" s="436"/>
      <c r="K663" s="436"/>
      <c r="L663" s="436"/>
      <c r="M663" s="436"/>
    </row>
    <row r="664" spans="1:13">
      <c r="A664" s="461"/>
      <c r="B664" s="743"/>
      <c r="C664" s="743"/>
      <c r="E664" s="597"/>
      <c r="F664" s="528"/>
      <c r="G664" s="436"/>
      <c r="H664" s="436"/>
      <c r="I664" s="436"/>
      <c r="K664" s="436"/>
      <c r="L664" s="436"/>
      <c r="M664" s="436"/>
    </row>
    <row r="665" spans="1:13">
      <c r="A665" s="461"/>
      <c r="B665" s="743"/>
      <c r="C665" s="743"/>
      <c r="E665" s="597"/>
      <c r="F665" s="528"/>
      <c r="G665" s="436"/>
      <c r="H665" s="436"/>
      <c r="I665" s="436"/>
      <c r="K665" s="436"/>
      <c r="L665" s="436"/>
      <c r="M665" s="436"/>
    </row>
    <row r="666" spans="1:13">
      <c r="A666" s="461"/>
      <c r="B666" s="743"/>
      <c r="C666" s="743"/>
      <c r="E666" s="597"/>
      <c r="F666" s="528"/>
      <c r="G666" s="436"/>
      <c r="H666" s="436"/>
      <c r="I666" s="436"/>
      <c r="K666" s="435"/>
      <c r="L666" s="435"/>
      <c r="M666" s="435"/>
    </row>
    <row r="667" spans="1:13">
      <c r="A667" s="461"/>
      <c r="B667" s="743"/>
      <c r="C667" s="743"/>
      <c r="E667" s="597"/>
      <c r="F667" s="528"/>
      <c r="G667" s="436"/>
      <c r="H667" s="436"/>
      <c r="I667" s="436"/>
      <c r="K667" s="435"/>
      <c r="L667" s="435"/>
      <c r="M667" s="435"/>
    </row>
    <row r="668" spans="1:13">
      <c r="A668" s="461"/>
      <c r="B668" s="743"/>
      <c r="C668" s="743"/>
      <c r="E668" s="597"/>
      <c r="F668" s="528"/>
      <c r="G668" s="436"/>
      <c r="H668" s="436"/>
      <c r="I668" s="436"/>
      <c r="K668" s="435"/>
      <c r="L668" s="435"/>
      <c r="M668" s="435"/>
    </row>
    <row r="669" spans="1:13">
      <c r="A669" s="461"/>
      <c r="B669" s="743"/>
      <c r="C669" s="743"/>
      <c r="E669" s="597"/>
      <c r="F669" s="528"/>
      <c r="G669" s="436"/>
      <c r="H669" s="436"/>
      <c r="I669" s="436"/>
      <c r="K669" s="435"/>
      <c r="L669" s="435"/>
      <c r="M669" s="435"/>
    </row>
    <row r="670" spans="1:13">
      <c r="A670" s="461"/>
      <c r="B670" s="743"/>
      <c r="C670" s="743"/>
      <c r="E670" s="597"/>
      <c r="F670" s="528"/>
      <c r="G670" s="436"/>
      <c r="H670" s="436"/>
      <c r="I670" s="436"/>
      <c r="K670" s="435"/>
      <c r="L670" s="435"/>
      <c r="M670" s="435"/>
    </row>
    <row r="671" spans="1:13">
      <c r="A671" s="461"/>
      <c r="B671" s="743"/>
      <c r="C671" s="743"/>
      <c r="E671" s="597"/>
      <c r="F671" s="528"/>
      <c r="G671" s="436"/>
      <c r="H671" s="436"/>
      <c r="I671" s="436"/>
      <c r="K671" s="435"/>
      <c r="L671" s="435"/>
      <c r="M671" s="435"/>
    </row>
    <row r="672" spans="1:13">
      <c r="A672" s="461"/>
      <c r="B672" s="743"/>
      <c r="C672" s="743"/>
      <c r="E672" s="597"/>
      <c r="F672" s="528"/>
      <c r="G672" s="436"/>
      <c r="H672" s="436"/>
      <c r="I672" s="436"/>
      <c r="K672" s="435"/>
      <c r="L672" s="435"/>
      <c r="M672" s="435"/>
    </row>
    <row r="673" spans="1:13">
      <c r="A673" s="461"/>
      <c r="B673" s="743"/>
      <c r="C673" s="743"/>
      <c r="E673" s="597"/>
      <c r="F673" s="528"/>
      <c r="G673" s="436"/>
      <c r="H673" s="436"/>
      <c r="I673" s="436"/>
      <c r="K673" s="435"/>
      <c r="L673" s="435"/>
      <c r="M673" s="435"/>
    </row>
    <row r="674" spans="1:13">
      <c r="A674" s="461"/>
      <c r="B674" s="743"/>
      <c r="C674" s="743"/>
      <c r="E674" s="597"/>
      <c r="F674" s="528"/>
      <c r="G674" s="436"/>
      <c r="H674" s="436"/>
      <c r="I674" s="436"/>
      <c r="K674" s="435"/>
      <c r="L674" s="435"/>
      <c r="M674" s="435"/>
    </row>
    <row r="675" spans="1:13">
      <c r="A675" s="461"/>
      <c r="B675" s="743"/>
      <c r="C675" s="743"/>
      <c r="E675" s="597"/>
      <c r="F675" s="528"/>
      <c r="G675" s="436"/>
      <c r="H675" s="436"/>
      <c r="I675" s="436"/>
      <c r="K675" s="435"/>
      <c r="L675" s="435"/>
      <c r="M675" s="435"/>
    </row>
    <row r="676" spans="1:13">
      <c r="A676" s="461"/>
      <c r="B676" s="743"/>
      <c r="C676" s="743"/>
      <c r="E676" s="597"/>
      <c r="F676" s="528"/>
      <c r="G676" s="436"/>
      <c r="H676" s="436"/>
      <c r="I676" s="436"/>
      <c r="K676" s="435"/>
      <c r="L676" s="435"/>
      <c r="M676" s="435"/>
    </row>
    <row r="677" spans="1:13">
      <c r="A677" s="461"/>
      <c r="B677" s="743"/>
      <c r="C677" s="743"/>
      <c r="E677" s="597"/>
      <c r="F677" s="528"/>
      <c r="G677" s="436"/>
      <c r="H677" s="436"/>
      <c r="I677" s="436"/>
      <c r="K677" s="435"/>
      <c r="L677" s="435"/>
      <c r="M677" s="435"/>
    </row>
    <row r="678" spans="1:13">
      <c r="A678" s="461"/>
      <c r="B678" s="743"/>
      <c r="C678" s="743"/>
      <c r="E678" s="597"/>
      <c r="F678" s="528"/>
      <c r="G678" s="436"/>
      <c r="H678" s="436"/>
      <c r="I678" s="436"/>
      <c r="K678" s="435"/>
      <c r="L678" s="435"/>
      <c r="M678" s="435"/>
    </row>
    <row r="679" spans="1:13">
      <c r="A679" s="461"/>
      <c r="B679" s="743"/>
      <c r="C679" s="744"/>
      <c r="E679" s="597"/>
      <c r="F679" s="528"/>
      <c r="G679" s="436"/>
      <c r="H679" s="436"/>
      <c r="I679" s="436"/>
      <c r="J679" s="442"/>
      <c r="K679" s="435"/>
      <c r="L679" s="435"/>
      <c r="M679" s="435"/>
    </row>
    <row r="680" spans="1:13">
      <c r="A680" s="745"/>
      <c r="B680" s="746"/>
      <c r="C680" s="747"/>
      <c r="D680" s="748"/>
      <c r="E680" s="749"/>
      <c r="F680" s="750"/>
      <c r="G680" s="436"/>
      <c r="H680" s="751"/>
      <c r="I680" s="436"/>
      <c r="J680" s="752"/>
      <c r="K680" s="753"/>
      <c r="L680" s="753"/>
      <c r="M680" s="753"/>
    </row>
    <row r="681" spans="1:13">
      <c r="A681" s="745"/>
      <c r="B681" s="746"/>
      <c r="C681" s="747"/>
      <c r="D681" s="748"/>
      <c r="E681" s="749"/>
      <c r="F681" s="750"/>
      <c r="G681" s="436"/>
      <c r="H681" s="751"/>
      <c r="I681" s="436"/>
      <c r="J681" s="752"/>
      <c r="K681" s="753"/>
      <c r="L681" s="753"/>
      <c r="M681" s="753"/>
    </row>
    <row r="682" spans="1:13">
      <c r="A682" s="745"/>
      <c r="B682" s="746"/>
      <c r="C682" s="747"/>
      <c r="D682" s="748"/>
      <c r="E682" s="749"/>
      <c r="F682" s="750"/>
      <c r="G682" s="436"/>
      <c r="H682" s="751"/>
      <c r="I682" s="436"/>
      <c r="J682" s="752"/>
      <c r="K682" s="753"/>
      <c r="L682" s="753"/>
      <c r="M682" s="753"/>
    </row>
    <row r="683" spans="1:13">
      <c r="A683" s="745"/>
      <c r="B683" s="746"/>
      <c r="C683" s="747"/>
      <c r="D683" s="748"/>
      <c r="E683" s="749"/>
      <c r="F683" s="750"/>
      <c r="G683" s="436"/>
      <c r="H683" s="751"/>
      <c r="I683" s="436"/>
      <c r="J683" s="752"/>
      <c r="K683" s="753"/>
      <c r="L683" s="753"/>
      <c r="M683" s="753"/>
    </row>
    <row r="684" spans="1:13">
      <c r="A684" s="461"/>
      <c r="B684" s="743"/>
      <c r="C684" s="743"/>
      <c r="E684" s="597"/>
      <c r="F684" s="528"/>
      <c r="G684" s="436"/>
      <c r="H684" s="436"/>
      <c r="I684" s="436"/>
      <c r="K684" s="435"/>
      <c r="L684" s="435"/>
      <c r="M684" s="435"/>
    </row>
    <row r="685" spans="1:13">
      <c r="A685" s="461"/>
      <c r="B685" s="743"/>
      <c r="C685" s="744"/>
      <c r="E685" s="597"/>
      <c r="F685" s="528"/>
      <c r="G685" s="436"/>
      <c r="H685" s="436"/>
      <c r="I685" s="436"/>
      <c r="J685" s="442"/>
      <c r="K685" s="435"/>
      <c r="L685" s="435"/>
      <c r="M685" s="435"/>
    </row>
    <row r="686" spans="1:13">
      <c r="A686" s="461"/>
      <c r="B686" s="743"/>
      <c r="C686" s="743"/>
      <c r="E686" s="597"/>
      <c r="F686" s="528"/>
      <c r="G686" s="436"/>
      <c r="H686" s="436"/>
      <c r="I686" s="436"/>
      <c r="K686" s="435"/>
      <c r="L686" s="435"/>
      <c r="M686" s="435"/>
    </row>
    <row r="687" spans="1:13">
      <c r="A687" s="461"/>
      <c r="B687" s="743"/>
      <c r="C687" s="743"/>
      <c r="E687" s="597"/>
      <c r="F687" s="528"/>
      <c r="G687" s="436"/>
      <c r="H687" s="436"/>
      <c r="I687" s="436"/>
      <c r="K687" s="435"/>
      <c r="L687" s="435"/>
      <c r="M687" s="435"/>
    </row>
    <row r="688" spans="1:13">
      <c r="A688" s="461"/>
      <c r="B688" s="743"/>
      <c r="C688" s="743"/>
      <c r="E688" s="597"/>
      <c r="F688" s="528"/>
      <c r="G688" s="436"/>
      <c r="H688" s="436"/>
      <c r="I688" s="436"/>
      <c r="K688" s="435"/>
      <c r="L688" s="435"/>
      <c r="M688" s="435"/>
    </row>
    <row r="689" spans="1:13">
      <c r="A689" s="461"/>
      <c r="B689" s="743"/>
      <c r="C689" s="744"/>
      <c r="E689" s="597"/>
      <c r="F689" s="528"/>
      <c r="G689" s="436"/>
      <c r="H689" s="436"/>
      <c r="I689" s="436"/>
      <c r="K689" s="435"/>
      <c r="L689" s="435"/>
      <c r="M689" s="435"/>
    </row>
    <row r="690" spans="1:13">
      <c r="A690" s="461"/>
      <c r="B690" s="743"/>
      <c r="C690" s="743"/>
      <c r="E690" s="597"/>
      <c r="F690" s="528"/>
      <c r="G690" s="436"/>
      <c r="H690" s="436"/>
      <c r="I690" s="436"/>
      <c r="K690" s="435"/>
      <c r="L690" s="435"/>
      <c r="M690" s="435"/>
    </row>
    <row r="691" spans="1:13">
      <c r="A691" s="461"/>
      <c r="B691" s="743"/>
      <c r="C691" s="743"/>
      <c r="E691" s="597"/>
      <c r="F691" s="528"/>
      <c r="G691" s="436"/>
      <c r="H691" s="436"/>
      <c r="I691" s="436"/>
      <c r="K691" s="435"/>
      <c r="L691" s="435"/>
      <c r="M691" s="435"/>
    </row>
    <row r="692" spans="1:13">
      <c r="A692" s="461"/>
      <c r="B692" s="743"/>
      <c r="C692" s="743"/>
      <c r="E692" s="597"/>
      <c r="F692" s="528"/>
      <c r="G692" s="436"/>
      <c r="H692" s="436"/>
      <c r="I692" s="436"/>
      <c r="K692" s="435"/>
      <c r="L692" s="435"/>
      <c r="M692" s="435"/>
    </row>
    <row r="693" spans="1:13">
      <c r="A693" s="461"/>
      <c r="B693" s="743"/>
      <c r="C693" s="743"/>
      <c r="E693" s="597"/>
      <c r="F693" s="528"/>
      <c r="G693" s="436"/>
      <c r="H693" s="436"/>
      <c r="I693" s="436"/>
      <c r="K693" s="435"/>
      <c r="L693" s="435"/>
      <c r="M693" s="435"/>
    </row>
    <row r="694" spans="1:13">
      <c r="A694" s="461"/>
      <c r="B694" s="743"/>
      <c r="C694" s="743"/>
      <c r="E694" s="597"/>
      <c r="F694" s="528"/>
      <c r="G694" s="436"/>
      <c r="H694" s="436"/>
      <c r="I694" s="436"/>
      <c r="K694" s="435"/>
      <c r="L694" s="435"/>
      <c r="M694" s="435"/>
    </row>
    <row r="695" spans="1:13">
      <c r="A695" s="461"/>
      <c r="B695" s="743"/>
      <c r="C695" s="743"/>
      <c r="E695" s="597"/>
      <c r="F695" s="528"/>
      <c r="G695" s="436"/>
      <c r="H695" s="436"/>
      <c r="I695" s="436"/>
      <c r="K695" s="435"/>
      <c r="L695" s="435"/>
      <c r="M695" s="435"/>
    </row>
    <row r="696" spans="1:13">
      <c r="A696" s="461"/>
      <c r="B696" s="743"/>
      <c r="C696" s="743"/>
      <c r="E696" s="597"/>
      <c r="F696" s="528"/>
      <c r="G696" s="436"/>
      <c r="H696" s="436"/>
      <c r="I696" s="436"/>
      <c r="K696" s="435"/>
      <c r="L696" s="435"/>
      <c r="M696" s="435"/>
    </row>
    <row r="697" spans="1:13">
      <c r="A697" s="461"/>
      <c r="B697" s="743"/>
      <c r="C697" s="743"/>
      <c r="E697" s="597"/>
      <c r="F697" s="528"/>
      <c r="G697" s="436"/>
      <c r="H697" s="436"/>
      <c r="I697" s="436"/>
      <c r="K697" s="435"/>
      <c r="L697" s="435"/>
      <c r="M697" s="435"/>
    </row>
    <row r="698" spans="1:13">
      <c r="A698" s="461"/>
      <c r="B698" s="743"/>
      <c r="C698" s="743"/>
      <c r="E698" s="597"/>
      <c r="F698" s="528"/>
      <c r="G698" s="436"/>
      <c r="H698" s="436"/>
      <c r="I698" s="436"/>
      <c r="K698" s="435"/>
      <c r="L698" s="435"/>
      <c r="M698" s="435"/>
    </row>
    <row r="699" spans="1:13">
      <c r="A699" s="461"/>
      <c r="B699" s="743"/>
      <c r="C699" s="743"/>
      <c r="E699" s="597"/>
      <c r="F699" s="528"/>
      <c r="G699" s="436"/>
      <c r="H699" s="436"/>
      <c r="I699" s="436"/>
      <c r="K699" s="435"/>
      <c r="L699" s="435"/>
      <c r="M699" s="435"/>
    </row>
    <row r="700" spans="1:13">
      <c r="A700" s="461"/>
      <c r="B700" s="743"/>
      <c r="C700" s="743"/>
      <c r="E700" s="597"/>
      <c r="F700" s="528"/>
      <c r="G700" s="436"/>
      <c r="H700" s="436"/>
      <c r="I700" s="436"/>
      <c r="J700" s="436"/>
      <c r="K700" s="435"/>
      <c r="L700" s="435"/>
      <c r="M700" s="435"/>
    </row>
    <row r="701" spans="1:13">
      <c r="A701" s="461"/>
      <c r="B701" s="743"/>
      <c r="C701" s="743"/>
      <c r="E701" s="597"/>
      <c r="F701" s="528"/>
      <c r="G701" s="436"/>
      <c r="H701" s="436"/>
      <c r="I701" s="436"/>
      <c r="K701" s="435"/>
      <c r="L701" s="435"/>
      <c r="M701" s="435"/>
    </row>
    <row r="702" spans="1:13">
      <c r="A702" s="461"/>
      <c r="B702" s="743"/>
      <c r="C702" s="743"/>
      <c r="E702" s="597"/>
      <c r="F702" s="528"/>
      <c r="G702" s="436"/>
      <c r="H702" s="436"/>
      <c r="I702" s="436"/>
      <c r="K702" s="435"/>
      <c r="L702" s="435"/>
      <c r="M702" s="435"/>
    </row>
    <row r="703" spans="1:13">
      <c r="A703" s="461"/>
      <c r="B703" s="743"/>
      <c r="C703" s="743"/>
      <c r="E703" s="597"/>
      <c r="F703" s="528"/>
      <c r="G703" s="436"/>
      <c r="H703" s="436"/>
      <c r="I703" s="436"/>
      <c r="K703" s="435"/>
      <c r="L703" s="435"/>
      <c r="M703" s="435"/>
    </row>
    <row r="704" spans="1:13">
      <c r="A704" s="461"/>
      <c r="B704" s="743"/>
      <c r="C704" s="743"/>
      <c r="E704" s="597"/>
      <c r="F704" s="528"/>
      <c r="G704" s="436"/>
      <c r="H704" s="436"/>
      <c r="I704" s="436"/>
      <c r="K704" s="435"/>
      <c r="L704" s="435"/>
      <c r="M704" s="435"/>
    </row>
    <row r="705" spans="1:13">
      <c r="A705" s="461"/>
      <c r="B705" s="743"/>
      <c r="C705" s="743"/>
      <c r="E705" s="597"/>
      <c r="F705" s="528"/>
      <c r="G705" s="436"/>
      <c r="H705" s="436"/>
      <c r="I705" s="436"/>
      <c r="K705" s="435"/>
      <c r="L705" s="435"/>
      <c r="M705" s="435"/>
    </row>
    <row r="706" spans="1:13">
      <c r="A706" s="461"/>
      <c r="B706" s="743"/>
      <c r="C706" s="743"/>
      <c r="E706" s="597"/>
      <c r="F706" s="528"/>
      <c r="G706" s="436"/>
      <c r="H706" s="436"/>
      <c r="I706" s="436"/>
      <c r="K706" s="435"/>
      <c r="L706" s="435"/>
      <c r="M706" s="435"/>
    </row>
    <row r="707" spans="1:13">
      <c r="A707" s="461"/>
      <c r="B707" s="743"/>
      <c r="C707" s="743"/>
      <c r="E707" s="597"/>
      <c r="F707" s="528"/>
      <c r="G707" s="436"/>
      <c r="H707" s="436"/>
      <c r="I707" s="436"/>
      <c r="K707" s="435"/>
      <c r="L707" s="435"/>
      <c r="M707" s="435"/>
    </row>
    <row r="708" spans="1:13">
      <c r="A708" s="461"/>
      <c r="B708" s="743"/>
      <c r="C708" s="744"/>
      <c r="E708" s="597"/>
      <c r="F708" s="528"/>
      <c r="G708" s="436"/>
      <c r="H708" s="436"/>
      <c r="I708" s="436"/>
      <c r="J708" s="455"/>
      <c r="K708" s="435"/>
      <c r="L708" s="435"/>
      <c r="M708" s="435"/>
    </row>
    <row r="709" spans="1:13">
      <c r="A709" s="461"/>
      <c r="B709" s="743"/>
      <c r="C709" s="744"/>
      <c r="E709" s="597"/>
      <c r="F709" s="528"/>
      <c r="G709" s="436"/>
      <c r="H709" s="436"/>
      <c r="I709" s="436"/>
      <c r="J709" s="442"/>
      <c r="K709" s="435"/>
      <c r="L709" s="435"/>
      <c r="M709" s="435"/>
    </row>
    <row r="710" spans="1:13">
      <c r="A710" s="461"/>
      <c r="B710" s="743"/>
      <c r="C710" s="744"/>
      <c r="E710" s="597"/>
      <c r="F710" s="528"/>
      <c r="G710" s="436"/>
      <c r="H710" s="436"/>
      <c r="I710" s="436"/>
      <c r="J710" s="442"/>
      <c r="K710" s="435"/>
      <c r="L710" s="435"/>
      <c r="M710" s="435"/>
    </row>
    <row r="711" spans="1:13">
      <c r="A711" s="461"/>
      <c r="B711" s="743"/>
      <c r="C711" s="743"/>
      <c r="E711" s="597"/>
      <c r="F711" s="528"/>
      <c r="G711" s="436"/>
      <c r="H711" s="436"/>
      <c r="I711" s="436"/>
      <c r="K711" s="435"/>
      <c r="L711" s="435"/>
      <c r="M711" s="435"/>
    </row>
    <row r="712" spans="1:13">
      <c r="A712" s="461"/>
      <c r="B712" s="743"/>
      <c r="C712" s="744"/>
      <c r="E712" s="597"/>
      <c r="F712" s="528"/>
      <c r="G712" s="436"/>
      <c r="H712" s="436"/>
      <c r="I712" s="436"/>
      <c r="J712" s="442"/>
      <c r="K712" s="435"/>
      <c r="L712" s="435"/>
      <c r="M712" s="435"/>
    </row>
    <row r="713" spans="1:13">
      <c r="A713" s="461"/>
      <c r="B713" s="743"/>
      <c r="C713" s="743"/>
      <c r="E713" s="597"/>
      <c r="F713" s="528"/>
      <c r="G713" s="436"/>
      <c r="H713" s="436"/>
      <c r="I713" s="436"/>
      <c r="K713" s="435"/>
      <c r="L713" s="435"/>
      <c r="M713" s="435"/>
    </row>
    <row r="714" spans="1:13">
      <c r="A714" s="461"/>
      <c r="B714" s="743"/>
      <c r="C714" s="743"/>
      <c r="E714" s="597"/>
      <c r="F714" s="528"/>
      <c r="G714" s="436"/>
      <c r="H714" s="436"/>
      <c r="I714" s="436"/>
      <c r="K714" s="435"/>
      <c r="L714" s="435"/>
      <c r="M714" s="435"/>
    </row>
    <row r="715" spans="1:13">
      <c r="A715" s="461"/>
      <c r="B715" s="743"/>
      <c r="C715" s="743"/>
      <c r="E715" s="597"/>
      <c r="F715" s="528"/>
      <c r="G715" s="436"/>
      <c r="H715" s="436"/>
      <c r="I715" s="436"/>
      <c r="K715" s="435"/>
      <c r="L715" s="435"/>
      <c r="M715" s="435"/>
    </row>
    <row r="716" spans="1:13">
      <c r="A716" s="461"/>
      <c r="B716" s="743"/>
      <c r="C716" s="743"/>
      <c r="E716" s="597"/>
      <c r="F716" s="528"/>
      <c r="G716" s="436"/>
      <c r="H716" s="436"/>
      <c r="I716" s="436"/>
      <c r="K716" s="435"/>
      <c r="L716" s="435"/>
      <c r="M716" s="435"/>
    </row>
    <row r="717" spans="1:13">
      <c r="A717" s="461"/>
      <c r="B717" s="743"/>
      <c r="C717" s="743"/>
      <c r="E717" s="597"/>
      <c r="F717" s="528"/>
      <c r="G717" s="436"/>
      <c r="H717" s="436"/>
      <c r="I717" s="436"/>
      <c r="K717" s="435"/>
      <c r="L717" s="435"/>
      <c r="M717" s="435"/>
    </row>
    <row r="718" spans="1:13">
      <c r="A718" s="461"/>
      <c r="B718" s="743"/>
      <c r="C718" s="743"/>
      <c r="E718" s="597"/>
      <c r="F718" s="528"/>
      <c r="G718" s="436"/>
      <c r="H718" s="436"/>
      <c r="I718" s="436"/>
      <c r="K718" s="435"/>
      <c r="L718" s="435"/>
      <c r="M718" s="435"/>
    </row>
    <row r="719" spans="1:13">
      <c r="A719" s="461"/>
      <c r="B719" s="743"/>
      <c r="C719" s="743"/>
      <c r="E719" s="597"/>
      <c r="F719" s="528"/>
      <c r="G719" s="436"/>
      <c r="H719" s="436"/>
      <c r="I719" s="436"/>
      <c r="J719" s="436"/>
      <c r="K719" s="435"/>
      <c r="L719" s="435"/>
      <c r="M719" s="435"/>
    </row>
    <row r="720" spans="1:13">
      <c r="A720" s="461"/>
      <c r="B720" s="743"/>
      <c r="C720" s="744"/>
      <c r="E720" s="597"/>
      <c r="F720" s="528"/>
      <c r="G720" s="436"/>
      <c r="H720" s="436"/>
      <c r="I720" s="436"/>
      <c r="K720" s="435"/>
      <c r="L720" s="435"/>
      <c r="M720" s="435"/>
    </row>
    <row r="721" spans="1:13">
      <c r="A721" s="461"/>
      <c r="B721" s="743"/>
      <c r="C721" s="743"/>
      <c r="E721" s="597"/>
      <c r="F721" s="528"/>
      <c r="G721" s="436"/>
      <c r="H721" s="436"/>
      <c r="I721" s="436"/>
      <c r="K721" s="435"/>
      <c r="L721" s="435"/>
      <c r="M721" s="435"/>
    </row>
    <row r="722" spans="1:13">
      <c r="A722" s="461"/>
      <c r="B722" s="743"/>
      <c r="C722" s="743"/>
      <c r="E722" s="597"/>
      <c r="F722" s="528"/>
      <c r="G722" s="436"/>
      <c r="H722" s="436"/>
      <c r="I722" s="436"/>
      <c r="K722" s="435"/>
      <c r="L722" s="435"/>
      <c r="M722" s="435"/>
    </row>
    <row r="723" spans="1:13">
      <c r="A723" s="461"/>
      <c r="B723" s="743"/>
      <c r="C723" s="743"/>
      <c r="E723" s="597"/>
      <c r="F723" s="528"/>
      <c r="G723" s="436"/>
      <c r="H723" s="436"/>
      <c r="I723" s="436"/>
      <c r="K723" s="435"/>
      <c r="L723" s="435"/>
      <c r="M723" s="435"/>
    </row>
    <row r="724" spans="1:13">
      <c r="A724" s="461"/>
      <c r="B724" s="743"/>
      <c r="C724" s="743"/>
      <c r="E724" s="597"/>
      <c r="F724" s="528"/>
      <c r="G724" s="436"/>
      <c r="H724" s="436"/>
      <c r="I724" s="436"/>
      <c r="K724" s="435"/>
      <c r="L724" s="435"/>
      <c r="M724" s="435"/>
    </row>
    <row r="725" spans="1:13">
      <c r="A725" s="461"/>
      <c r="B725" s="743"/>
      <c r="C725" s="743"/>
      <c r="E725" s="597"/>
      <c r="F725" s="528"/>
      <c r="G725" s="436"/>
      <c r="H725" s="436"/>
      <c r="I725" s="436"/>
      <c r="K725" s="435"/>
      <c r="L725" s="435"/>
      <c r="M725" s="435"/>
    </row>
    <row r="726" spans="1:13">
      <c r="A726" s="461"/>
      <c r="B726" s="743"/>
      <c r="C726" s="743"/>
      <c r="E726" s="597"/>
      <c r="F726" s="528"/>
      <c r="G726" s="436"/>
      <c r="H726" s="436"/>
      <c r="I726" s="436"/>
      <c r="K726" s="435"/>
      <c r="L726" s="435"/>
      <c r="M726" s="435"/>
    </row>
    <row r="727" spans="1:13">
      <c r="A727" s="461"/>
      <c r="B727" s="743"/>
      <c r="C727" s="743"/>
      <c r="E727" s="597"/>
      <c r="F727" s="528"/>
      <c r="G727" s="436"/>
      <c r="H727" s="436"/>
      <c r="I727" s="436"/>
      <c r="K727" s="435"/>
      <c r="L727" s="435"/>
      <c r="M727" s="435"/>
    </row>
    <row r="728" spans="1:13">
      <c r="A728" s="461"/>
      <c r="B728" s="743"/>
      <c r="C728" s="743"/>
      <c r="E728" s="597"/>
      <c r="F728" s="528"/>
      <c r="G728" s="436"/>
      <c r="H728" s="436"/>
      <c r="I728" s="436"/>
      <c r="J728" s="436"/>
      <c r="K728" s="435"/>
      <c r="L728" s="435"/>
      <c r="M728" s="435"/>
    </row>
    <row r="729" spans="1:13">
      <c r="A729" s="461"/>
      <c r="B729" s="743"/>
      <c r="C729" s="743"/>
      <c r="E729" s="597"/>
      <c r="F729" s="528"/>
      <c r="G729" s="436"/>
      <c r="H729" s="436"/>
      <c r="I729" s="436"/>
      <c r="K729" s="435"/>
      <c r="L729" s="435"/>
      <c r="M729" s="435"/>
    </row>
    <row r="730" spans="1:13">
      <c r="A730" s="461"/>
      <c r="B730" s="743"/>
      <c r="C730" s="743"/>
      <c r="E730" s="597"/>
      <c r="F730" s="528"/>
      <c r="G730" s="436"/>
      <c r="H730" s="436"/>
      <c r="I730" s="436"/>
      <c r="J730" s="436"/>
      <c r="K730" s="435"/>
      <c r="L730" s="435"/>
      <c r="M730" s="435"/>
    </row>
    <row r="731" spans="1:13">
      <c r="A731" s="461"/>
      <c r="B731" s="743"/>
      <c r="C731" s="743"/>
      <c r="E731" s="597"/>
      <c r="F731" s="528"/>
      <c r="G731" s="436"/>
      <c r="H731" s="436"/>
      <c r="I731" s="436"/>
      <c r="K731" s="435"/>
      <c r="L731" s="435"/>
      <c r="M731" s="435"/>
    </row>
    <row r="732" spans="1:13">
      <c r="A732" s="461"/>
      <c r="B732" s="743"/>
      <c r="C732" s="743"/>
      <c r="E732" s="597"/>
      <c r="F732" s="528"/>
      <c r="G732" s="436"/>
      <c r="H732" s="436"/>
      <c r="I732" s="436"/>
      <c r="K732" s="435"/>
      <c r="L732" s="435"/>
      <c r="M732" s="435"/>
    </row>
    <row r="733" spans="1:13">
      <c r="A733" s="461"/>
      <c r="B733" s="743"/>
      <c r="C733" s="743"/>
      <c r="E733" s="597"/>
      <c r="F733" s="528"/>
      <c r="G733" s="436"/>
      <c r="H733" s="436"/>
      <c r="I733" s="436"/>
      <c r="K733" s="435"/>
      <c r="L733" s="435"/>
      <c r="M733" s="435"/>
    </row>
    <row r="734" spans="1:13">
      <c r="A734" s="461"/>
      <c r="B734" s="743"/>
      <c r="C734" s="743"/>
      <c r="E734" s="597"/>
      <c r="F734" s="528"/>
      <c r="G734" s="436"/>
      <c r="H734" s="436"/>
      <c r="I734" s="436"/>
      <c r="K734" s="435"/>
      <c r="L734" s="435"/>
      <c r="M734" s="435"/>
    </row>
    <row r="735" spans="1:13">
      <c r="A735" s="461"/>
      <c r="B735" s="743"/>
      <c r="C735" s="743"/>
      <c r="E735" s="597"/>
      <c r="F735" s="528"/>
      <c r="G735" s="436"/>
      <c r="H735" s="436"/>
      <c r="I735" s="436"/>
      <c r="K735" s="435"/>
      <c r="L735" s="435"/>
      <c r="M735" s="435"/>
    </row>
    <row r="736" spans="1:13">
      <c r="A736" s="461"/>
      <c r="B736" s="743"/>
      <c r="C736" s="743"/>
      <c r="E736" s="597"/>
      <c r="F736" s="528"/>
      <c r="G736" s="436"/>
      <c r="H736" s="436"/>
      <c r="I736" s="436"/>
      <c r="K736" s="435"/>
      <c r="L736" s="435"/>
      <c r="M736" s="435"/>
    </row>
    <row r="737" spans="1:13">
      <c r="A737" s="461"/>
      <c r="B737" s="754"/>
      <c r="C737" s="743"/>
      <c r="E737" s="597"/>
      <c r="F737" s="528"/>
      <c r="G737" s="436"/>
      <c r="H737" s="436"/>
      <c r="I737" s="436"/>
      <c r="K737" s="435"/>
      <c r="L737" s="435"/>
      <c r="M737" s="435"/>
    </row>
    <row r="738" spans="1:13">
      <c r="A738" s="461"/>
      <c r="B738" s="743"/>
      <c r="C738" s="743"/>
      <c r="E738" s="597"/>
      <c r="F738" s="528"/>
      <c r="G738" s="436"/>
      <c r="H738" s="436"/>
      <c r="I738" s="436"/>
      <c r="K738" s="435"/>
      <c r="L738" s="435"/>
      <c r="M738" s="435"/>
    </row>
    <row r="739" spans="1:13">
      <c r="A739" s="461"/>
      <c r="B739" s="743"/>
      <c r="C739" s="743"/>
      <c r="E739" s="597"/>
      <c r="F739" s="528"/>
      <c r="G739" s="436"/>
      <c r="H739" s="436"/>
      <c r="I739" s="436"/>
      <c r="K739" s="435"/>
      <c r="L739" s="435"/>
      <c r="M739" s="435"/>
    </row>
    <row r="740" spans="1:13">
      <c r="A740" s="461"/>
      <c r="B740" s="743"/>
      <c r="C740" s="743"/>
      <c r="E740" s="597"/>
      <c r="F740" s="528"/>
      <c r="G740" s="436"/>
      <c r="H740" s="436"/>
      <c r="I740" s="436"/>
      <c r="K740" s="435"/>
      <c r="L740" s="435"/>
      <c r="M740" s="435"/>
    </row>
    <row r="741" spans="1:13">
      <c r="A741" s="461"/>
      <c r="B741" s="743"/>
      <c r="C741" s="743"/>
      <c r="E741" s="597"/>
      <c r="F741" s="528"/>
      <c r="G741" s="436"/>
      <c r="H741" s="436"/>
      <c r="I741" s="436"/>
      <c r="J741" s="436"/>
      <c r="K741" s="435"/>
      <c r="L741" s="435"/>
      <c r="M741" s="435"/>
    </row>
    <row r="742" spans="1:13">
      <c r="A742" s="461"/>
      <c r="B742" s="743"/>
      <c r="C742" s="743"/>
      <c r="E742" s="597"/>
      <c r="F742" s="528"/>
      <c r="G742" s="436"/>
      <c r="H742" s="436"/>
      <c r="I742" s="436"/>
      <c r="K742" s="435"/>
      <c r="L742" s="435"/>
      <c r="M742" s="435"/>
    </row>
    <row r="743" spans="1:13">
      <c r="A743" s="461"/>
      <c r="B743" s="743"/>
      <c r="C743" s="743"/>
      <c r="E743" s="597"/>
      <c r="F743" s="528"/>
      <c r="G743" s="436"/>
      <c r="H743" s="436"/>
      <c r="I743" s="436"/>
      <c r="K743" s="435"/>
      <c r="L743" s="435"/>
      <c r="M743" s="435"/>
    </row>
    <row r="744" spans="1:13">
      <c r="A744" s="461"/>
      <c r="B744" s="743"/>
      <c r="C744" s="743"/>
      <c r="E744" s="597"/>
      <c r="F744" s="528"/>
      <c r="G744" s="436"/>
      <c r="H744" s="436"/>
      <c r="I744" s="436"/>
      <c r="K744" s="435"/>
      <c r="L744" s="435"/>
      <c r="M744" s="435"/>
    </row>
    <row r="745" spans="1:13">
      <c r="A745" s="461"/>
      <c r="B745" s="743"/>
      <c r="C745" s="743"/>
      <c r="E745" s="597"/>
      <c r="F745" s="528"/>
      <c r="G745" s="436"/>
      <c r="H745" s="436"/>
      <c r="I745" s="436"/>
      <c r="K745" s="435"/>
      <c r="L745" s="435"/>
      <c r="M745" s="435"/>
    </row>
    <row r="746" spans="1:13">
      <c r="A746" s="461"/>
      <c r="B746" s="743"/>
      <c r="C746" s="743"/>
      <c r="E746" s="597"/>
      <c r="F746" s="528"/>
      <c r="G746" s="436"/>
      <c r="H746" s="436"/>
      <c r="I746" s="436"/>
      <c r="K746" s="435"/>
      <c r="L746" s="435"/>
      <c r="M746" s="435"/>
    </row>
    <row r="747" spans="1:13">
      <c r="A747" s="461"/>
      <c r="B747" s="743"/>
      <c r="C747" s="743"/>
      <c r="E747" s="597"/>
      <c r="F747" s="528"/>
      <c r="G747" s="436"/>
      <c r="H747" s="436"/>
      <c r="I747" s="436"/>
      <c r="K747" s="435"/>
      <c r="L747" s="435"/>
      <c r="M747" s="435"/>
    </row>
    <row r="748" spans="1:13">
      <c r="A748" s="461"/>
      <c r="B748" s="743"/>
      <c r="C748" s="743"/>
      <c r="E748" s="597"/>
      <c r="F748" s="528"/>
      <c r="G748" s="436"/>
      <c r="H748" s="436"/>
      <c r="I748" s="436"/>
      <c r="K748" s="435"/>
      <c r="L748" s="435"/>
      <c r="M748" s="435"/>
    </row>
    <row r="749" spans="1:13">
      <c r="A749" s="461"/>
      <c r="B749" s="743"/>
      <c r="C749" s="743"/>
      <c r="E749" s="597"/>
      <c r="F749" s="528"/>
      <c r="G749" s="436"/>
      <c r="H749" s="436"/>
      <c r="I749" s="436"/>
      <c r="K749" s="435"/>
      <c r="L749" s="435"/>
      <c r="M749" s="435"/>
    </row>
    <row r="750" spans="1:13">
      <c r="A750" s="461"/>
      <c r="B750" s="743"/>
      <c r="C750" s="743"/>
      <c r="E750" s="597"/>
      <c r="F750" s="528"/>
      <c r="G750" s="436"/>
      <c r="H750" s="436"/>
      <c r="I750" s="436"/>
      <c r="K750" s="435"/>
      <c r="L750" s="435"/>
      <c r="M750" s="435"/>
    </row>
    <row r="751" spans="1:13">
      <c r="A751" s="461"/>
      <c r="B751" s="743"/>
      <c r="C751" s="743"/>
      <c r="E751" s="597"/>
      <c r="F751" s="528"/>
      <c r="G751" s="436"/>
      <c r="H751" s="436"/>
      <c r="I751" s="436"/>
      <c r="K751" s="435"/>
      <c r="L751" s="435"/>
      <c r="M751" s="435"/>
    </row>
    <row r="752" spans="1:13">
      <c r="A752" s="461"/>
      <c r="B752" s="743"/>
      <c r="C752" s="743"/>
      <c r="E752" s="597"/>
      <c r="F752" s="528"/>
      <c r="G752" s="436"/>
      <c r="H752" s="436"/>
      <c r="I752" s="436"/>
      <c r="K752" s="435"/>
      <c r="L752" s="435"/>
      <c r="M752" s="435"/>
    </row>
    <row r="753" spans="1:13">
      <c r="A753" s="461"/>
      <c r="B753" s="743"/>
      <c r="C753" s="743"/>
      <c r="E753" s="597"/>
      <c r="F753" s="528"/>
      <c r="G753" s="436"/>
      <c r="H753" s="436"/>
      <c r="I753" s="436"/>
      <c r="K753" s="435"/>
      <c r="L753" s="435"/>
      <c r="M753" s="435"/>
    </row>
    <row r="754" spans="1:13">
      <c r="A754" s="461"/>
      <c r="B754" s="743"/>
      <c r="C754" s="744"/>
      <c r="E754" s="597"/>
      <c r="F754" s="528"/>
      <c r="G754" s="436"/>
      <c r="H754" s="436"/>
      <c r="I754" s="436"/>
      <c r="J754" s="442"/>
      <c r="K754" s="435"/>
      <c r="L754" s="435"/>
      <c r="M754" s="435"/>
    </row>
    <row r="755" spans="1:13">
      <c r="A755" s="461"/>
      <c r="B755" s="743"/>
      <c r="C755" s="743"/>
      <c r="E755" s="597"/>
      <c r="F755" s="528"/>
      <c r="G755" s="436"/>
      <c r="H755" s="436"/>
      <c r="I755" s="436"/>
      <c r="K755" s="435"/>
      <c r="L755" s="435"/>
      <c r="M755" s="435"/>
    </row>
    <row r="756" spans="1:13">
      <c r="A756" s="461"/>
      <c r="B756" s="743"/>
      <c r="C756" s="743"/>
      <c r="E756" s="597"/>
      <c r="F756" s="528"/>
      <c r="G756" s="436"/>
      <c r="H756" s="436"/>
      <c r="I756" s="436"/>
      <c r="K756" s="435"/>
      <c r="L756" s="435"/>
      <c r="M756" s="435"/>
    </row>
    <row r="757" spans="1:13">
      <c r="A757" s="461"/>
      <c r="B757" s="743"/>
      <c r="C757" s="743"/>
      <c r="E757" s="597"/>
      <c r="F757" s="528"/>
      <c r="G757" s="436"/>
      <c r="H757" s="436"/>
      <c r="I757" s="436"/>
      <c r="K757" s="435"/>
      <c r="L757" s="435"/>
      <c r="M757" s="435"/>
    </row>
    <row r="758" spans="1:13">
      <c r="A758" s="461"/>
      <c r="B758" s="743"/>
      <c r="C758" s="743"/>
      <c r="E758" s="597"/>
      <c r="F758" s="528"/>
      <c r="G758" s="436"/>
      <c r="H758" s="436"/>
      <c r="I758" s="436"/>
      <c r="K758" s="435"/>
      <c r="L758" s="435"/>
      <c r="M758" s="435"/>
    </row>
    <row r="759" spans="1:13">
      <c r="A759" s="461"/>
      <c r="B759" s="743"/>
      <c r="C759" s="743"/>
      <c r="E759" s="597"/>
      <c r="F759" s="528"/>
      <c r="G759" s="436"/>
      <c r="H759" s="436"/>
      <c r="I759" s="436"/>
      <c r="K759" s="435"/>
      <c r="L759" s="435"/>
      <c r="M759" s="435"/>
    </row>
    <row r="760" spans="1:13">
      <c r="A760" s="461"/>
      <c r="B760" s="743"/>
      <c r="C760" s="743"/>
      <c r="E760" s="597"/>
      <c r="F760" s="528"/>
      <c r="G760" s="436"/>
      <c r="H760" s="436"/>
      <c r="I760" s="436"/>
      <c r="K760" s="435"/>
      <c r="L760" s="435"/>
      <c r="M760" s="435"/>
    </row>
    <row r="761" spans="1:13">
      <c r="A761" s="461"/>
      <c r="B761" s="743"/>
      <c r="C761" s="743"/>
      <c r="E761" s="597"/>
      <c r="F761" s="528"/>
      <c r="G761" s="436"/>
      <c r="H761" s="436"/>
      <c r="I761" s="436"/>
      <c r="K761" s="435"/>
      <c r="L761" s="435"/>
      <c r="M761" s="435"/>
    </row>
    <row r="762" spans="1:13">
      <c r="A762" s="461"/>
      <c r="B762" s="743"/>
      <c r="C762" s="743"/>
      <c r="E762" s="597"/>
      <c r="F762" s="528"/>
      <c r="G762" s="436"/>
      <c r="H762" s="436"/>
      <c r="I762" s="436"/>
      <c r="K762" s="435"/>
      <c r="L762" s="435"/>
      <c r="M762" s="435"/>
    </row>
    <row r="763" spans="1:13">
      <c r="A763" s="461"/>
      <c r="B763" s="743"/>
      <c r="C763" s="744"/>
      <c r="E763" s="436"/>
      <c r="F763" s="528"/>
      <c r="G763" s="436"/>
      <c r="H763" s="436"/>
      <c r="I763" s="436"/>
      <c r="J763" s="442"/>
      <c r="K763" s="435"/>
      <c r="L763" s="435"/>
      <c r="M763" s="435"/>
    </row>
    <row r="764" spans="1:13">
      <c r="A764" s="461"/>
      <c r="B764" s="743"/>
      <c r="C764" s="743"/>
      <c r="E764" s="597"/>
      <c r="F764" s="528"/>
      <c r="G764" s="436"/>
      <c r="H764" s="436"/>
      <c r="I764" s="436"/>
      <c r="K764" s="435"/>
      <c r="L764" s="435"/>
      <c r="M764" s="435"/>
    </row>
    <row r="765" spans="1:13">
      <c r="A765" s="461"/>
      <c r="B765" s="743"/>
      <c r="C765" s="743"/>
      <c r="E765" s="597"/>
      <c r="F765" s="528"/>
      <c r="G765" s="436"/>
      <c r="H765" s="436"/>
      <c r="I765" s="436"/>
      <c r="K765" s="435"/>
      <c r="L765" s="435"/>
      <c r="M765" s="435"/>
    </row>
    <row r="766" spans="1:13">
      <c r="A766" s="461"/>
      <c r="B766" s="743"/>
      <c r="C766" s="743"/>
      <c r="E766" s="597"/>
      <c r="F766" s="528"/>
      <c r="G766" s="436"/>
      <c r="H766" s="436"/>
      <c r="I766" s="436"/>
      <c r="K766" s="435"/>
      <c r="L766" s="435"/>
      <c r="M766" s="435"/>
    </row>
    <row r="767" spans="1:13">
      <c r="A767" s="461"/>
      <c r="B767" s="743"/>
      <c r="C767" s="743"/>
      <c r="E767" s="597"/>
      <c r="F767" s="528"/>
      <c r="G767" s="436"/>
      <c r="H767" s="436"/>
      <c r="I767" s="436"/>
      <c r="J767" s="436"/>
      <c r="K767" s="435"/>
      <c r="L767" s="435"/>
      <c r="M767" s="435"/>
    </row>
    <row r="768" spans="1:13">
      <c r="A768" s="461"/>
      <c r="B768" s="743"/>
      <c r="C768" s="744"/>
      <c r="E768" s="597"/>
      <c r="F768" s="528"/>
      <c r="G768" s="436"/>
      <c r="H768" s="436"/>
      <c r="I768" s="436"/>
      <c r="J768" s="442"/>
      <c r="K768" s="435"/>
      <c r="L768" s="435"/>
      <c r="M768" s="435"/>
    </row>
    <row r="769" spans="1:13">
      <c r="A769" s="461"/>
      <c r="B769" s="743"/>
      <c r="C769" s="744"/>
      <c r="E769" s="597"/>
      <c r="F769" s="528"/>
      <c r="G769" s="436"/>
      <c r="H769" s="436"/>
      <c r="I769" s="436"/>
      <c r="J769" s="455"/>
      <c r="K769" s="435"/>
      <c r="L769" s="435"/>
      <c r="M769" s="435"/>
    </row>
    <row r="770" spans="1:13">
      <c r="A770" s="461"/>
      <c r="B770" s="743"/>
      <c r="C770" s="744"/>
      <c r="E770" s="597"/>
      <c r="F770" s="528"/>
      <c r="G770" s="436"/>
      <c r="H770" s="436"/>
      <c r="I770" s="436"/>
      <c r="J770" s="442"/>
      <c r="K770" s="435"/>
      <c r="L770" s="435"/>
      <c r="M770" s="435"/>
    </row>
  </sheetData>
  <autoFilter ref="A2:J660"/>
  <sortState ref="A306:K322">
    <sortCondition ref="C306:C322"/>
  </sortState>
  <mergeCells count="2">
    <mergeCell ref="M1:O1"/>
    <mergeCell ref="P1:R1"/>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filterMode="1"/>
  <dimension ref="A1:BA866"/>
  <sheetViews>
    <sheetView workbookViewId="0">
      <selection sqref="A1:BA866"/>
    </sheetView>
  </sheetViews>
  <sheetFormatPr defaultRowHeight="11.25"/>
  <cols>
    <col min="1" max="1" width="9.33203125" style="837"/>
    <col min="2" max="2" width="13.83203125" style="837" bestFit="1" customWidth="1"/>
    <col min="3" max="3" width="15" style="837" bestFit="1" customWidth="1"/>
    <col min="4" max="4" width="9.33203125" style="842"/>
    <col min="5" max="5" width="14.83203125" style="849" bestFit="1" customWidth="1"/>
    <col min="6" max="6" width="18.5" style="849" bestFit="1" customWidth="1"/>
    <col min="7" max="8" width="22.1640625" style="849" bestFit="1" customWidth="1"/>
    <col min="9" max="9" width="22" style="847" bestFit="1" customWidth="1"/>
    <col min="10" max="10" width="14.1640625" style="847" bestFit="1" customWidth="1"/>
    <col min="11" max="11" width="17.33203125" style="847" bestFit="1" customWidth="1"/>
    <col min="12" max="12" width="16.83203125" style="847" bestFit="1" customWidth="1"/>
    <col min="13" max="13" width="19" style="847" bestFit="1" customWidth="1"/>
    <col min="14" max="14" width="14.1640625" style="847" bestFit="1" customWidth="1"/>
    <col min="15" max="15" width="16.1640625" style="847" bestFit="1" customWidth="1"/>
    <col min="16" max="16" width="24.6640625" style="847" bestFit="1" customWidth="1"/>
    <col min="17" max="17" width="17" style="847" bestFit="1" customWidth="1"/>
    <col min="18" max="18" width="24.5" style="847" bestFit="1" customWidth="1"/>
    <col min="19" max="19" width="21.6640625" style="847" bestFit="1" customWidth="1"/>
    <col min="20" max="20" width="9.33203125" style="837"/>
    <col min="21" max="21" width="24.5" style="837" bestFit="1" customWidth="1"/>
    <col min="22" max="28" width="9.33203125" style="837"/>
    <col min="29" max="29" width="17.1640625" style="837" bestFit="1" customWidth="1"/>
    <col min="30" max="30" width="20.5" style="837" bestFit="1" customWidth="1"/>
    <col min="31" max="16384" width="9.33203125" style="837"/>
  </cols>
  <sheetData>
    <row r="1" spans="1:47" ht="12" thickBot="1">
      <c r="A1" s="833"/>
      <c r="B1" s="834"/>
      <c r="C1" s="835"/>
      <c r="D1" s="841" t="s">
        <v>1</v>
      </c>
      <c r="E1" s="848" t="s">
        <v>644</v>
      </c>
      <c r="F1" s="848" t="s">
        <v>645</v>
      </c>
      <c r="G1" s="848" t="s">
        <v>646</v>
      </c>
      <c r="H1" s="848" t="s">
        <v>2</v>
      </c>
      <c r="I1" s="843" t="s">
        <v>468</v>
      </c>
      <c r="J1" s="843" t="s">
        <v>469</v>
      </c>
      <c r="K1" s="843" t="s">
        <v>470</v>
      </c>
      <c r="L1" s="843" t="s">
        <v>1368</v>
      </c>
      <c r="M1" s="843" t="s">
        <v>1369</v>
      </c>
      <c r="N1" s="843" t="s">
        <v>1159</v>
      </c>
      <c r="O1" s="843" t="s">
        <v>1370</v>
      </c>
      <c r="P1" s="843" t="s">
        <v>1371</v>
      </c>
      <c r="Q1" s="843" t="s">
        <v>1372</v>
      </c>
      <c r="R1" s="843" t="s">
        <v>1373</v>
      </c>
      <c r="S1" s="843" t="s">
        <v>3</v>
      </c>
    </row>
    <row r="2" spans="1:47" s="593" customFormat="1" ht="12" hidden="1" thickBot="1">
      <c r="A2" s="541" t="s">
        <v>4</v>
      </c>
      <c r="B2" s="541" t="s">
        <v>0</v>
      </c>
      <c r="C2" s="541" t="s">
        <v>5</v>
      </c>
      <c r="D2" s="560"/>
      <c r="E2" s="560" t="s">
        <v>6</v>
      </c>
      <c r="F2" s="560" t="s">
        <v>6</v>
      </c>
      <c r="G2" s="560" t="s">
        <v>6</v>
      </c>
      <c r="H2" s="560" t="s">
        <v>6</v>
      </c>
      <c r="I2" s="560"/>
      <c r="J2" s="560"/>
      <c r="K2" s="560"/>
      <c r="L2" s="560"/>
      <c r="M2" s="560"/>
      <c r="N2" s="560"/>
      <c r="O2" s="560"/>
      <c r="P2" s="560"/>
      <c r="Q2" s="560"/>
      <c r="R2" s="560"/>
      <c r="S2" s="560" t="s">
        <v>7</v>
      </c>
    </row>
    <row r="3" spans="1:47" s="593" customFormat="1" ht="12" hidden="1" thickBot="1">
      <c r="A3" s="581" t="s">
        <v>179</v>
      </c>
      <c r="B3" s="938" t="s">
        <v>1490</v>
      </c>
      <c r="C3" s="581" t="s">
        <v>424</v>
      </c>
      <c r="D3" s="830">
        <f t="shared" ref="D3:G23" si="0">ROUND(SUMIFS(D$495:D$866,$B$495:$B$866,$B3,$C$495:$C$866,$C3),0)</f>
        <v>0</v>
      </c>
      <c r="E3" s="830">
        <f t="shared" si="0"/>
        <v>0</v>
      </c>
      <c r="F3" s="830">
        <f t="shared" si="0"/>
        <v>0</v>
      </c>
      <c r="G3" s="830">
        <f t="shared" si="0"/>
        <v>0</v>
      </c>
      <c r="H3" s="830">
        <f t="shared" ref="H3:H44" si="1">ROUND(SUMIFS(H$495:H$866,$B$495:$B$866,$B3,$C$495:$C$866,$C3)*1000,0)</f>
        <v>0</v>
      </c>
      <c r="I3" s="830">
        <f t="shared" ref="I3:R5" si="2">ROUND(SUMIFS(I$495:I$866,$B$495:$B$866,$B3,$C$495:$C$866,$C3),0)</f>
        <v>0</v>
      </c>
      <c r="J3" s="830">
        <f t="shared" si="2"/>
        <v>0</v>
      </c>
      <c r="K3" s="830">
        <f t="shared" si="2"/>
        <v>0</v>
      </c>
      <c r="L3" s="830">
        <f t="shared" si="2"/>
        <v>0</v>
      </c>
      <c r="M3" s="830">
        <f t="shared" si="2"/>
        <v>0</v>
      </c>
      <c r="N3" s="830">
        <f t="shared" si="2"/>
        <v>0</v>
      </c>
      <c r="O3" s="830">
        <f t="shared" si="2"/>
        <v>0</v>
      </c>
      <c r="P3" s="830">
        <f t="shared" si="2"/>
        <v>0</v>
      </c>
      <c r="Q3" s="830">
        <f t="shared" si="2"/>
        <v>0</v>
      </c>
      <c r="R3" s="830">
        <f t="shared" si="2"/>
        <v>0</v>
      </c>
      <c r="S3" s="830"/>
      <c r="AR3" s="583"/>
      <c r="AS3" s="583"/>
      <c r="AT3" s="583"/>
      <c r="AU3" s="583"/>
    </row>
    <row r="4" spans="1:47" s="593" customFormat="1" ht="12" hidden="1" thickBot="1">
      <c r="A4" s="581" t="s">
        <v>179</v>
      </c>
      <c r="B4" s="938" t="s">
        <v>1490</v>
      </c>
      <c r="C4" s="581" t="s">
        <v>425</v>
      </c>
      <c r="D4" s="830">
        <f t="shared" si="0"/>
        <v>0</v>
      </c>
      <c r="E4" s="830">
        <f t="shared" si="0"/>
        <v>0</v>
      </c>
      <c r="F4" s="830">
        <f t="shared" si="0"/>
        <v>0</v>
      </c>
      <c r="G4" s="830">
        <f t="shared" si="0"/>
        <v>0</v>
      </c>
      <c r="H4" s="830">
        <f t="shared" si="1"/>
        <v>0</v>
      </c>
      <c r="I4" s="830">
        <f t="shared" si="2"/>
        <v>0</v>
      </c>
      <c r="J4" s="830">
        <f t="shared" si="2"/>
        <v>0</v>
      </c>
      <c r="K4" s="830">
        <f t="shared" si="2"/>
        <v>0</v>
      </c>
      <c r="L4" s="830">
        <f t="shared" si="2"/>
        <v>0</v>
      </c>
      <c r="M4" s="830">
        <f t="shared" si="2"/>
        <v>0</v>
      </c>
      <c r="N4" s="830">
        <f t="shared" si="2"/>
        <v>0</v>
      </c>
      <c r="O4" s="830">
        <f t="shared" si="2"/>
        <v>0</v>
      </c>
      <c r="P4" s="830">
        <f t="shared" si="2"/>
        <v>0</v>
      </c>
      <c r="Q4" s="830">
        <f t="shared" si="2"/>
        <v>0</v>
      </c>
      <c r="R4" s="830">
        <f t="shared" si="2"/>
        <v>0</v>
      </c>
      <c r="S4" s="830"/>
      <c r="AR4" s="583"/>
      <c r="AS4" s="583"/>
      <c r="AT4" s="583"/>
      <c r="AU4" s="583"/>
    </row>
    <row r="5" spans="1:47" s="593" customFormat="1" ht="12" hidden="1" thickBot="1">
      <c r="A5" s="581" t="s">
        <v>179</v>
      </c>
      <c r="B5" s="938" t="s">
        <v>1505</v>
      </c>
      <c r="C5" s="581" t="s">
        <v>152</v>
      </c>
      <c r="D5" s="830">
        <f t="shared" si="0"/>
        <v>32</v>
      </c>
      <c r="E5" s="830">
        <f t="shared" si="0"/>
        <v>0</v>
      </c>
      <c r="F5" s="830">
        <f t="shared" si="0"/>
        <v>0</v>
      </c>
      <c r="G5" s="830">
        <f t="shared" si="0"/>
        <v>0</v>
      </c>
      <c r="H5" s="830">
        <f t="shared" si="1"/>
        <v>138414540</v>
      </c>
      <c r="I5" s="830">
        <f t="shared" si="2"/>
        <v>0</v>
      </c>
      <c r="J5" s="830">
        <f t="shared" si="2"/>
        <v>0</v>
      </c>
      <c r="K5" s="830">
        <f t="shared" si="2"/>
        <v>0</v>
      </c>
      <c r="L5" s="830">
        <f t="shared" si="2"/>
        <v>0</v>
      </c>
      <c r="M5" s="830">
        <f t="shared" si="2"/>
        <v>0</v>
      </c>
      <c r="N5" s="830">
        <f t="shared" si="2"/>
        <v>0</v>
      </c>
      <c r="O5" s="830">
        <f t="shared" si="2"/>
        <v>307323</v>
      </c>
      <c r="P5" s="830">
        <f t="shared" si="2"/>
        <v>296170</v>
      </c>
      <c r="Q5" s="830">
        <f t="shared" si="2"/>
        <v>284455</v>
      </c>
      <c r="R5" s="830">
        <f t="shared" si="2"/>
        <v>0</v>
      </c>
      <c r="S5" s="830"/>
      <c r="AR5" s="583"/>
      <c r="AS5" s="583"/>
      <c r="AT5" s="583"/>
      <c r="AU5" s="583"/>
    </row>
    <row r="6" spans="1:47" s="593" customFormat="1" ht="12" hidden="1" thickBot="1">
      <c r="A6" s="581" t="s">
        <v>179</v>
      </c>
      <c r="B6" s="938" t="s">
        <v>1505</v>
      </c>
      <c r="C6" s="581" t="s">
        <v>153</v>
      </c>
      <c r="D6" s="830">
        <f t="shared" si="0"/>
        <v>195</v>
      </c>
      <c r="E6" s="830">
        <f t="shared" si="0"/>
        <v>0</v>
      </c>
      <c r="F6" s="830">
        <f t="shared" si="0"/>
        <v>0</v>
      </c>
      <c r="G6" s="830">
        <f t="shared" si="0"/>
        <v>0</v>
      </c>
      <c r="H6" s="830">
        <f t="shared" si="1"/>
        <v>18906207</v>
      </c>
      <c r="I6" s="830">
        <f t="shared" ref="I6:O15" si="3">ROUND(SUMIFS(I$495:I$866,$B$495:$B$866,$B6,$C$495:$C$866,$C6),0)</f>
        <v>0</v>
      </c>
      <c r="J6" s="830">
        <f t="shared" si="3"/>
        <v>0</v>
      </c>
      <c r="K6" s="830">
        <f t="shared" si="3"/>
        <v>0</v>
      </c>
      <c r="L6" s="830">
        <f t="shared" si="3"/>
        <v>0</v>
      </c>
      <c r="M6" s="830">
        <f t="shared" si="3"/>
        <v>0</v>
      </c>
      <c r="N6" s="830">
        <f t="shared" si="3"/>
        <v>0</v>
      </c>
      <c r="O6" s="830">
        <f t="shared" si="3"/>
        <v>0</v>
      </c>
      <c r="P6" s="830">
        <f>R6</f>
        <v>54537</v>
      </c>
      <c r="Q6" s="830">
        <f t="shared" ref="Q6:R25" si="4">ROUND(SUMIFS(Q$495:Q$866,$B$495:$B$866,$B6,$C$495:$C$866,$C6),0)</f>
        <v>0</v>
      </c>
      <c r="R6" s="830">
        <f t="shared" si="4"/>
        <v>54537</v>
      </c>
      <c r="S6" s="830"/>
      <c r="AR6" s="583"/>
      <c r="AS6" s="583"/>
      <c r="AT6" s="583"/>
      <c r="AU6" s="583"/>
    </row>
    <row r="7" spans="1:47" s="593" customFormat="1" ht="12" hidden="1" thickBot="1">
      <c r="A7" s="581" t="s">
        <v>179</v>
      </c>
      <c r="B7" s="938" t="s">
        <v>1505</v>
      </c>
      <c r="C7" s="581" t="s">
        <v>154</v>
      </c>
      <c r="D7" s="830">
        <f t="shared" si="0"/>
        <v>4650</v>
      </c>
      <c r="E7" s="830">
        <f t="shared" si="0"/>
        <v>0</v>
      </c>
      <c r="F7" s="830">
        <f t="shared" si="0"/>
        <v>0</v>
      </c>
      <c r="G7" s="830">
        <f t="shared" si="0"/>
        <v>0</v>
      </c>
      <c r="H7" s="830">
        <f t="shared" si="1"/>
        <v>174767461</v>
      </c>
      <c r="I7" s="830">
        <f t="shared" si="3"/>
        <v>0</v>
      </c>
      <c r="J7" s="830">
        <f t="shared" si="3"/>
        <v>0</v>
      </c>
      <c r="K7" s="830">
        <f t="shared" si="3"/>
        <v>0</v>
      </c>
      <c r="L7" s="830">
        <f t="shared" si="3"/>
        <v>0</v>
      </c>
      <c r="M7" s="830">
        <f t="shared" si="3"/>
        <v>0</v>
      </c>
      <c r="N7" s="830">
        <f t="shared" si="3"/>
        <v>0</v>
      </c>
      <c r="O7" s="830">
        <f t="shared" si="3"/>
        <v>0</v>
      </c>
      <c r="P7" s="830">
        <f>R7</f>
        <v>568331</v>
      </c>
      <c r="Q7" s="830">
        <f t="shared" si="4"/>
        <v>0</v>
      </c>
      <c r="R7" s="830">
        <f t="shared" si="4"/>
        <v>568331</v>
      </c>
      <c r="S7" s="830"/>
      <c r="AR7" s="583"/>
      <c r="AS7" s="583"/>
      <c r="AT7" s="583"/>
      <c r="AU7" s="583"/>
    </row>
    <row r="8" spans="1:47" s="593" customFormat="1" ht="12" hidden="1" thickBot="1">
      <c r="A8" s="581" t="s">
        <v>179</v>
      </c>
      <c r="B8" s="938" t="s">
        <v>1505</v>
      </c>
      <c r="C8" s="581" t="s">
        <v>155</v>
      </c>
      <c r="D8" s="830">
        <f t="shared" si="0"/>
        <v>52</v>
      </c>
      <c r="E8" s="830">
        <f t="shared" si="0"/>
        <v>0</v>
      </c>
      <c r="F8" s="830">
        <f t="shared" si="0"/>
        <v>0</v>
      </c>
      <c r="G8" s="830">
        <f t="shared" si="0"/>
        <v>0</v>
      </c>
      <c r="H8" s="830">
        <f t="shared" si="1"/>
        <v>243518261</v>
      </c>
      <c r="I8" s="830">
        <f t="shared" si="3"/>
        <v>0</v>
      </c>
      <c r="J8" s="830">
        <f t="shared" si="3"/>
        <v>0</v>
      </c>
      <c r="K8" s="830">
        <f t="shared" si="3"/>
        <v>0</v>
      </c>
      <c r="L8" s="830">
        <f t="shared" si="3"/>
        <v>0</v>
      </c>
      <c r="M8" s="830">
        <f t="shared" si="3"/>
        <v>0</v>
      </c>
      <c r="N8" s="830">
        <f t="shared" si="3"/>
        <v>0</v>
      </c>
      <c r="O8" s="830">
        <f t="shared" si="3"/>
        <v>498857</v>
      </c>
      <c r="P8" s="830">
        <f t="shared" ref="P8:P16" si="5">ROUND(SUMIFS(P$495:P$866,$B$495:$B$866,$B8,$C$495:$C$866,$C8),0)</f>
        <v>463847</v>
      </c>
      <c r="Q8" s="830">
        <f t="shared" si="4"/>
        <v>457227</v>
      </c>
      <c r="R8" s="830">
        <f t="shared" si="4"/>
        <v>0</v>
      </c>
      <c r="S8" s="830"/>
      <c r="AR8" s="583"/>
      <c r="AS8" s="583"/>
      <c r="AT8" s="583"/>
      <c r="AU8" s="583"/>
    </row>
    <row r="9" spans="1:47" s="593" customFormat="1" ht="12" hidden="1" thickBot="1">
      <c r="A9" s="581" t="s">
        <v>179</v>
      </c>
      <c r="B9" s="938" t="s">
        <v>1490</v>
      </c>
      <c r="C9" s="581" t="s">
        <v>156</v>
      </c>
      <c r="D9" s="830">
        <f t="shared" si="0"/>
        <v>0</v>
      </c>
      <c r="E9" s="830">
        <f t="shared" si="0"/>
        <v>0</v>
      </c>
      <c r="F9" s="830">
        <f t="shared" si="0"/>
        <v>0</v>
      </c>
      <c r="G9" s="830">
        <f t="shared" si="0"/>
        <v>0</v>
      </c>
      <c r="H9" s="830">
        <f t="shared" si="1"/>
        <v>0</v>
      </c>
      <c r="I9" s="830">
        <f t="shared" si="3"/>
        <v>0</v>
      </c>
      <c r="J9" s="830">
        <f t="shared" si="3"/>
        <v>0</v>
      </c>
      <c r="K9" s="830">
        <f t="shared" si="3"/>
        <v>0</v>
      </c>
      <c r="L9" s="830">
        <f t="shared" si="3"/>
        <v>0</v>
      </c>
      <c r="M9" s="830">
        <f t="shared" si="3"/>
        <v>0</v>
      </c>
      <c r="N9" s="830">
        <f t="shared" si="3"/>
        <v>0</v>
      </c>
      <c r="O9" s="830">
        <f t="shared" si="3"/>
        <v>0</v>
      </c>
      <c r="P9" s="830">
        <f t="shared" si="5"/>
        <v>0</v>
      </c>
      <c r="Q9" s="830">
        <f t="shared" si="4"/>
        <v>0</v>
      </c>
      <c r="R9" s="830">
        <f t="shared" si="4"/>
        <v>0</v>
      </c>
      <c r="S9" s="830"/>
      <c r="AR9" s="583"/>
      <c r="AS9" s="583"/>
      <c r="AT9" s="583"/>
      <c r="AU9" s="583"/>
    </row>
    <row r="10" spans="1:47" s="593" customFormat="1" ht="12" hidden="1" thickBot="1">
      <c r="A10" s="581" t="s">
        <v>179</v>
      </c>
      <c r="B10" s="938" t="s">
        <v>1490</v>
      </c>
      <c r="C10" s="581" t="s">
        <v>157</v>
      </c>
      <c r="D10" s="830">
        <f t="shared" si="0"/>
        <v>0</v>
      </c>
      <c r="E10" s="830">
        <f t="shared" si="0"/>
        <v>0</v>
      </c>
      <c r="F10" s="830">
        <f t="shared" si="0"/>
        <v>0</v>
      </c>
      <c r="G10" s="830">
        <f t="shared" si="0"/>
        <v>0</v>
      </c>
      <c r="H10" s="830">
        <f t="shared" si="1"/>
        <v>0</v>
      </c>
      <c r="I10" s="830">
        <f t="shared" si="3"/>
        <v>0</v>
      </c>
      <c r="J10" s="830">
        <f t="shared" si="3"/>
        <v>0</v>
      </c>
      <c r="K10" s="830">
        <f t="shared" si="3"/>
        <v>0</v>
      </c>
      <c r="L10" s="830">
        <f t="shared" si="3"/>
        <v>0</v>
      </c>
      <c r="M10" s="830">
        <f t="shared" si="3"/>
        <v>0</v>
      </c>
      <c r="N10" s="830">
        <f t="shared" si="3"/>
        <v>0</v>
      </c>
      <c r="O10" s="830">
        <f t="shared" si="3"/>
        <v>0</v>
      </c>
      <c r="P10" s="830">
        <f t="shared" si="5"/>
        <v>0</v>
      </c>
      <c r="Q10" s="830">
        <f t="shared" si="4"/>
        <v>0</v>
      </c>
      <c r="R10" s="830">
        <f t="shared" si="4"/>
        <v>0</v>
      </c>
      <c r="S10" s="830"/>
      <c r="AR10" s="583"/>
      <c r="AS10" s="583"/>
      <c r="AT10" s="583"/>
      <c r="AU10" s="583"/>
    </row>
    <row r="11" spans="1:47" s="593" customFormat="1" ht="12" hidden="1" thickBot="1">
      <c r="A11" s="581" t="s">
        <v>179</v>
      </c>
      <c r="B11" s="938" t="s">
        <v>1505</v>
      </c>
      <c r="C11" s="581" t="s">
        <v>158</v>
      </c>
      <c r="D11" s="830">
        <f t="shared" si="0"/>
        <v>203</v>
      </c>
      <c r="E11" s="830">
        <f t="shared" si="0"/>
        <v>0</v>
      </c>
      <c r="F11" s="830">
        <f t="shared" si="0"/>
        <v>0</v>
      </c>
      <c r="G11" s="830">
        <f t="shared" si="0"/>
        <v>0</v>
      </c>
      <c r="H11" s="830">
        <f t="shared" si="1"/>
        <v>102170247</v>
      </c>
      <c r="I11" s="830">
        <f t="shared" si="3"/>
        <v>0</v>
      </c>
      <c r="J11" s="830">
        <f t="shared" si="3"/>
        <v>0</v>
      </c>
      <c r="K11" s="830">
        <f t="shared" si="3"/>
        <v>0</v>
      </c>
      <c r="L11" s="830">
        <f t="shared" si="3"/>
        <v>0</v>
      </c>
      <c r="M11" s="830">
        <f t="shared" si="3"/>
        <v>0</v>
      </c>
      <c r="N11" s="830">
        <f t="shared" si="3"/>
        <v>0</v>
      </c>
      <c r="O11" s="830">
        <f t="shared" si="3"/>
        <v>258078</v>
      </c>
      <c r="P11" s="830">
        <f t="shared" si="5"/>
        <v>245778</v>
      </c>
      <c r="Q11" s="830">
        <f t="shared" si="4"/>
        <v>241292</v>
      </c>
      <c r="R11" s="830">
        <f t="shared" si="4"/>
        <v>0</v>
      </c>
      <c r="S11" s="830"/>
      <c r="AR11" s="583"/>
      <c r="AS11" s="583"/>
      <c r="AT11" s="583"/>
      <c r="AU11" s="583"/>
    </row>
    <row r="12" spans="1:47" s="593" customFormat="1" ht="12" hidden="1" thickBot="1">
      <c r="A12" s="581" t="s">
        <v>179</v>
      </c>
      <c r="B12" s="938" t="s">
        <v>1505</v>
      </c>
      <c r="C12" s="581" t="s">
        <v>159</v>
      </c>
      <c r="D12" s="830">
        <f t="shared" si="0"/>
        <v>467</v>
      </c>
      <c r="E12" s="830">
        <f t="shared" si="0"/>
        <v>0</v>
      </c>
      <c r="F12" s="830">
        <f t="shared" si="0"/>
        <v>0</v>
      </c>
      <c r="G12" s="830">
        <f t="shared" si="0"/>
        <v>0</v>
      </c>
      <c r="H12" s="830">
        <f t="shared" si="1"/>
        <v>133726084</v>
      </c>
      <c r="I12" s="830">
        <f t="shared" si="3"/>
        <v>0</v>
      </c>
      <c r="J12" s="830">
        <f t="shared" si="3"/>
        <v>0</v>
      </c>
      <c r="K12" s="830">
        <f t="shared" si="3"/>
        <v>0</v>
      </c>
      <c r="L12" s="830">
        <f t="shared" si="3"/>
        <v>0</v>
      </c>
      <c r="M12" s="830">
        <f t="shared" si="3"/>
        <v>0</v>
      </c>
      <c r="N12" s="830">
        <f t="shared" si="3"/>
        <v>0</v>
      </c>
      <c r="O12" s="830">
        <f t="shared" si="3"/>
        <v>326881</v>
      </c>
      <c r="P12" s="830">
        <f t="shared" si="5"/>
        <v>297724</v>
      </c>
      <c r="Q12" s="830">
        <f t="shared" si="4"/>
        <v>291055</v>
      </c>
      <c r="R12" s="830">
        <f t="shared" si="4"/>
        <v>0</v>
      </c>
      <c r="S12" s="830"/>
      <c r="AR12" s="583"/>
      <c r="AS12" s="583"/>
      <c r="AT12" s="583"/>
      <c r="AU12" s="583"/>
    </row>
    <row r="13" spans="1:47" s="593" customFormat="1" ht="12" hidden="1" thickBot="1">
      <c r="A13" s="581" t="s">
        <v>179</v>
      </c>
      <c r="B13" s="938" t="s">
        <v>1505</v>
      </c>
      <c r="C13" s="581" t="s">
        <v>160</v>
      </c>
      <c r="D13" s="830">
        <f t="shared" si="0"/>
        <v>0</v>
      </c>
      <c r="E13" s="830">
        <f t="shared" si="0"/>
        <v>0</v>
      </c>
      <c r="F13" s="830">
        <f t="shared" si="0"/>
        <v>0</v>
      </c>
      <c r="G13" s="830">
        <f t="shared" si="0"/>
        <v>0</v>
      </c>
      <c r="H13" s="830">
        <f t="shared" si="1"/>
        <v>0</v>
      </c>
      <c r="I13" s="830">
        <f t="shared" si="3"/>
        <v>0</v>
      </c>
      <c r="J13" s="830">
        <f t="shared" si="3"/>
        <v>0</v>
      </c>
      <c r="K13" s="830">
        <f t="shared" si="3"/>
        <v>0</v>
      </c>
      <c r="L13" s="830">
        <f t="shared" si="3"/>
        <v>0</v>
      </c>
      <c r="M13" s="830">
        <f t="shared" si="3"/>
        <v>0</v>
      </c>
      <c r="N13" s="830">
        <f t="shared" si="3"/>
        <v>0</v>
      </c>
      <c r="O13" s="830">
        <f t="shared" si="3"/>
        <v>0</v>
      </c>
      <c r="P13" s="830">
        <f t="shared" si="5"/>
        <v>0</v>
      </c>
      <c r="Q13" s="830">
        <f t="shared" si="4"/>
        <v>0</v>
      </c>
      <c r="R13" s="830">
        <f t="shared" si="4"/>
        <v>0</v>
      </c>
      <c r="S13" s="830"/>
      <c r="AR13" s="583"/>
      <c r="AS13" s="583"/>
      <c r="AT13" s="583"/>
      <c r="AU13" s="583"/>
    </row>
    <row r="14" spans="1:47" s="593" customFormat="1" ht="12" hidden="1" thickBot="1">
      <c r="A14" s="581" t="s">
        <v>179</v>
      </c>
      <c r="B14" s="938" t="s">
        <v>1505</v>
      </c>
      <c r="C14" s="581" t="s">
        <v>161</v>
      </c>
      <c r="D14" s="830">
        <f t="shared" si="0"/>
        <v>63537</v>
      </c>
      <c r="E14" s="830">
        <f t="shared" si="0"/>
        <v>0</v>
      </c>
      <c r="F14" s="830">
        <f t="shared" si="0"/>
        <v>0</v>
      </c>
      <c r="G14" s="830">
        <f t="shared" si="0"/>
        <v>0</v>
      </c>
      <c r="H14" s="830">
        <f t="shared" si="1"/>
        <v>75764744</v>
      </c>
      <c r="I14" s="830">
        <f t="shared" si="3"/>
        <v>0</v>
      </c>
      <c r="J14" s="830">
        <f t="shared" si="3"/>
        <v>0</v>
      </c>
      <c r="K14" s="830">
        <f t="shared" si="3"/>
        <v>0</v>
      </c>
      <c r="L14" s="830">
        <f t="shared" si="3"/>
        <v>0</v>
      </c>
      <c r="M14" s="830">
        <f t="shared" si="3"/>
        <v>0</v>
      </c>
      <c r="N14" s="830">
        <f t="shared" si="3"/>
        <v>0</v>
      </c>
      <c r="O14" s="830">
        <f t="shared" si="3"/>
        <v>0</v>
      </c>
      <c r="P14" s="830">
        <f t="shared" si="5"/>
        <v>0</v>
      </c>
      <c r="Q14" s="830">
        <f t="shared" si="4"/>
        <v>0</v>
      </c>
      <c r="R14" s="830">
        <f t="shared" si="4"/>
        <v>0</v>
      </c>
      <c r="S14" s="830"/>
      <c r="AR14" s="583"/>
      <c r="AS14" s="583"/>
      <c r="AT14" s="583"/>
      <c r="AU14" s="583"/>
    </row>
    <row r="15" spans="1:47" s="593" customFormat="1" ht="12" hidden="1" thickBot="1">
      <c r="A15" s="581" t="s">
        <v>179</v>
      </c>
      <c r="B15" s="938" t="s">
        <v>1505</v>
      </c>
      <c r="C15" s="581" t="s">
        <v>162</v>
      </c>
      <c r="D15" s="830">
        <f t="shared" si="0"/>
        <v>0</v>
      </c>
      <c r="E15" s="830">
        <f t="shared" si="0"/>
        <v>0</v>
      </c>
      <c r="F15" s="830">
        <f t="shared" si="0"/>
        <v>0</v>
      </c>
      <c r="G15" s="830">
        <f t="shared" si="0"/>
        <v>0</v>
      </c>
      <c r="H15" s="830">
        <f t="shared" si="1"/>
        <v>0</v>
      </c>
      <c r="I15" s="830">
        <f t="shared" si="3"/>
        <v>0</v>
      </c>
      <c r="J15" s="830">
        <f t="shared" si="3"/>
        <v>0</v>
      </c>
      <c r="K15" s="830">
        <f t="shared" si="3"/>
        <v>0</v>
      </c>
      <c r="L15" s="830">
        <f t="shared" si="3"/>
        <v>0</v>
      </c>
      <c r="M15" s="830">
        <f t="shared" si="3"/>
        <v>0</v>
      </c>
      <c r="N15" s="830">
        <f t="shared" si="3"/>
        <v>0</v>
      </c>
      <c r="O15" s="830">
        <f t="shared" si="3"/>
        <v>0</v>
      </c>
      <c r="P15" s="830">
        <f t="shared" si="5"/>
        <v>0</v>
      </c>
      <c r="Q15" s="830">
        <f t="shared" si="4"/>
        <v>0</v>
      </c>
      <c r="R15" s="830">
        <f t="shared" si="4"/>
        <v>0</v>
      </c>
      <c r="S15" s="830"/>
      <c r="AR15" s="583"/>
      <c r="AS15" s="583"/>
      <c r="AT15" s="583"/>
      <c r="AU15" s="583"/>
    </row>
    <row r="16" spans="1:47" s="593" customFormat="1" ht="12" hidden="1" thickBot="1">
      <c r="A16" s="581" t="s">
        <v>179</v>
      </c>
      <c r="B16" s="938" t="s">
        <v>1505</v>
      </c>
      <c r="C16" s="581" t="s">
        <v>163</v>
      </c>
      <c r="D16" s="830">
        <f t="shared" si="0"/>
        <v>18573</v>
      </c>
      <c r="E16" s="830">
        <f t="shared" si="0"/>
        <v>0</v>
      </c>
      <c r="F16" s="830">
        <f t="shared" si="0"/>
        <v>0</v>
      </c>
      <c r="G16" s="830">
        <f t="shared" si="0"/>
        <v>0</v>
      </c>
      <c r="H16" s="830">
        <f t="shared" si="1"/>
        <v>111271196</v>
      </c>
      <c r="I16" s="830">
        <f t="shared" ref="I16:O25" si="6">ROUND(SUMIFS(I$495:I$866,$B$495:$B$866,$B16,$C$495:$C$866,$C16),0)</f>
        <v>0</v>
      </c>
      <c r="J16" s="830">
        <f t="shared" si="6"/>
        <v>0</v>
      </c>
      <c r="K16" s="830">
        <f t="shared" si="6"/>
        <v>0</v>
      </c>
      <c r="L16" s="830">
        <f t="shared" si="6"/>
        <v>0</v>
      </c>
      <c r="M16" s="830">
        <f t="shared" si="6"/>
        <v>0</v>
      </c>
      <c r="N16" s="830">
        <f t="shared" si="6"/>
        <v>0</v>
      </c>
      <c r="O16" s="830">
        <f>R16</f>
        <v>421326</v>
      </c>
      <c r="P16" s="830">
        <f t="shared" si="5"/>
        <v>0</v>
      </c>
      <c r="Q16" s="830">
        <f t="shared" si="4"/>
        <v>0</v>
      </c>
      <c r="R16" s="830">
        <f t="shared" si="4"/>
        <v>421326</v>
      </c>
      <c r="S16" s="830"/>
      <c r="AR16" s="583"/>
      <c r="AS16" s="583"/>
      <c r="AT16" s="583"/>
      <c r="AU16" s="583"/>
    </row>
    <row r="17" spans="1:47" s="593" customFormat="1" ht="12" hidden="1" thickBot="1">
      <c r="A17" s="581" t="s">
        <v>179</v>
      </c>
      <c r="B17" s="938" t="s">
        <v>1505</v>
      </c>
      <c r="C17" s="581" t="s">
        <v>164</v>
      </c>
      <c r="D17" s="830">
        <f t="shared" si="0"/>
        <v>374</v>
      </c>
      <c r="E17" s="830">
        <f t="shared" si="0"/>
        <v>0</v>
      </c>
      <c r="F17" s="830">
        <f t="shared" si="0"/>
        <v>0</v>
      </c>
      <c r="G17" s="830">
        <f t="shared" si="0"/>
        <v>0</v>
      </c>
      <c r="H17" s="830">
        <f t="shared" si="1"/>
        <v>784373</v>
      </c>
      <c r="I17" s="830">
        <f t="shared" si="6"/>
        <v>0</v>
      </c>
      <c r="J17" s="830">
        <f t="shared" si="6"/>
        <v>0</v>
      </c>
      <c r="K17" s="830">
        <f t="shared" si="6"/>
        <v>0</v>
      </c>
      <c r="L17" s="830">
        <f t="shared" si="6"/>
        <v>0</v>
      </c>
      <c r="M17" s="830">
        <f t="shared" si="6"/>
        <v>0</v>
      </c>
      <c r="N17" s="830">
        <f t="shared" si="6"/>
        <v>0</v>
      </c>
      <c r="O17" s="830">
        <f t="shared" si="6"/>
        <v>0</v>
      </c>
      <c r="P17" s="830">
        <f>ROUND(SUMIFS(P$495:P$866,$B$495:$B$866,$B17,$C$495:$C$866,$C17),0)</f>
        <v>0</v>
      </c>
      <c r="Q17" s="830">
        <f t="shared" si="4"/>
        <v>0</v>
      </c>
      <c r="R17" s="830">
        <f t="shared" si="4"/>
        <v>0</v>
      </c>
      <c r="S17" s="830"/>
      <c r="AR17" s="583"/>
      <c r="AS17" s="583"/>
      <c r="AT17" s="583"/>
      <c r="AU17" s="583"/>
    </row>
    <row r="18" spans="1:47" s="593" customFormat="1" ht="12" hidden="1" thickBot="1">
      <c r="A18" s="581" t="s">
        <v>179</v>
      </c>
      <c r="B18" s="938" t="s">
        <v>1505</v>
      </c>
      <c r="C18" s="581" t="s">
        <v>165</v>
      </c>
      <c r="D18" s="830">
        <f t="shared" si="0"/>
        <v>0</v>
      </c>
      <c r="E18" s="830">
        <f t="shared" si="0"/>
        <v>0</v>
      </c>
      <c r="F18" s="830">
        <f t="shared" si="0"/>
        <v>0</v>
      </c>
      <c r="G18" s="830">
        <f t="shared" si="0"/>
        <v>0</v>
      </c>
      <c r="H18" s="830">
        <f t="shared" si="1"/>
        <v>0</v>
      </c>
      <c r="I18" s="830">
        <f t="shared" si="6"/>
        <v>0</v>
      </c>
      <c r="J18" s="830">
        <f t="shared" si="6"/>
        <v>0</v>
      </c>
      <c r="K18" s="830">
        <f t="shared" si="6"/>
        <v>0</v>
      </c>
      <c r="L18" s="830">
        <f t="shared" si="6"/>
        <v>0</v>
      </c>
      <c r="M18" s="830">
        <f t="shared" si="6"/>
        <v>0</v>
      </c>
      <c r="N18" s="830">
        <f t="shared" si="6"/>
        <v>0</v>
      </c>
      <c r="O18" s="830">
        <f t="shared" si="6"/>
        <v>0</v>
      </c>
      <c r="P18" s="830">
        <f>ROUND(SUMIFS(P$495:P$866,$B$495:$B$866,$B18,$C$495:$C$866,$C18),0)</f>
        <v>0</v>
      </c>
      <c r="Q18" s="830">
        <f t="shared" si="4"/>
        <v>0</v>
      </c>
      <c r="R18" s="830">
        <f t="shared" si="4"/>
        <v>0</v>
      </c>
      <c r="S18" s="830"/>
      <c r="AR18" s="583"/>
      <c r="AS18" s="583"/>
      <c r="AT18" s="583"/>
      <c r="AU18" s="583"/>
    </row>
    <row r="19" spans="1:47" s="593" customFormat="1" ht="12" hidden="1" thickBot="1">
      <c r="A19" s="581" t="s">
        <v>179</v>
      </c>
      <c r="B19" s="938" t="s">
        <v>1505</v>
      </c>
      <c r="C19" s="581" t="s">
        <v>166</v>
      </c>
      <c r="D19" s="830">
        <f t="shared" si="0"/>
        <v>0</v>
      </c>
      <c r="E19" s="830">
        <f t="shared" si="0"/>
        <v>0</v>
      </c>
      <c r="F19" s="830">
        <f t="shared" si="0"/>
        <v>0</v>
      </c>
      <c r="G19" s="830">
        <f t="shared" si="0"/>
        <v>0</v>
      </c>
      <c r="H19" s="830">
        <f t="shared" si="1"/>
        <v>0</v>
      </c>
      <c r="I19" s="830">
        <f t="shared" si="6"/>
        <v>0</v>
      </c>
      <c r="J19" s="830">
        <f t="shared" si="6"/>
        <v>0</v>
      </c>
      <c r="K19" s="830">
        <f t="shared" si="6"/>
        <v>0</v>
      </c>
      <c r="L19" s="830">
        <f t="shared" si="6"/>
        <v>0</v>
      </c>
      <c r="M19" s="830">
        <f t="shared" si="6"/>
        <v>0</v>
      </c>
      <c r="N19" s="830">
        <f t="shared" si="6"/>
        <v>0</v>
      </c>
      <c r="O19" s="830">
        <f t="shared" si="6"/>
        <v>0</v>
      </c>
      <c r="P19" s="830">
        <f>ROUND(SUMIFS(P$495:P$866,$B$495:$B$866,$B19,$C$495:$C$866,$C19),0)</f>
        <v>0</v>
      </c>
      <c r="Q19" s="830">
        <f t="shared" si="4"/>
        <v>0</v>
      </c>
      <c r="R19" s="830">
        <f t="shared" si="4"/>
        <v>0</v>
      </c>
      <c r="S19" s="830"/>
      <c r="AR19" s="583"/>
      <c r="AS19" s="583"/>
      <c r="AT19" s="583"/>
      <c r="AU19" s="583"/>
    </row>
    <row r="20" spans="1:47" s="593" customFormat="1" ht="12" thickBot="1">
      <c r="A20" s="581" t="s">
        <v>179</v>
      </c>
      <c r="B20" s="938" t="s">
        <v>1505</v>
      </c>
      <c r="C20" s="581" t="s">
        <v>167</v>
      </c>
      <c r="D20" s="830">
        <f t="shared" si="0"/>
        <v>260</v>
      </c>
      <c r="E20" s="830">
        <f t="shared" si="0"/>
        <v>0</v>
      </c>
      <c r="F20" s="830">
        <f t="shared" si="0"/>
        <v>0</v>
      </c>
      <c r="G20" s="830">
        <f t="shared" si="0"/>
        <v>0</v>
      </c>
      <c r="H20" s="830">
        <f t="shared" si="1"/>
        <v>14537966</v>
      </c>
      <c r="I20" s="830">
        <f t="shared" si="6"/>
        <v>0</v>
      </c>
      <c r="J20" s="830">
        <f t="shared" si="6"/>
        <v>0</v>
      </c>
      <c r="K20" s="830">
        <f t="shared" si="6"/>
        <v>0</v>
      </c>
      <c r="L20" s="830">
        <f t="shared" si="6"/>
        <v>0</v>
      </c>
      <c r="M20" s="830">
        <f t="shared" si="6"/>
        <v>0</v>
      </c>
      <c r="N20" s="830">
        <f t="shared" si="6"/>
        <v>0</v>
      </c>
      <c r="O20" s="830">
        <f>R20</f>
        <v>55540</v>
      </c>
      <c r="P20" s="830">
        <f t="shared" ref="P20" si="7">ROUND(SUMIFS(P$495:P$866,$B$495:$B$866,$B20,$C$495:$C$866,$C20),0)</f>
        <v>0</v>
      </c>
      <c r="Q20" s="830">
        <f t="shared" si="4"/>
        <v>0</v>
      </c>
      <c r="R20" s="830">
        <f t="shared" si="4"/>
        <v>55540</v>
      </c>
      <c r="S20" s="830"/>
      <c r="AR20" s="583"/>
      <c r="AS20" s="583"/>
      <c r="AT20" s="583"/>
      <c r="AU20" s="583"/>
    </row>
    <row r="21" spans="1:47" s="593" customFormat="1" ht="12" hidden="1" thickBot="1">
      <c r="A21" s="581" t="s">
        <v>179</v>
      </c>
      <c r="B21" s="938" t="s">
        <v>1505</v>
      </c>
      <c r="C21" s="581" t="s">
        <v>683</v>
      </c>
      <c r="D21" s="830">
        <f t="shared" si="0"/>
        <v>0</v>
      </c>
      <c r="E21" s="830">
        <f t="shared" si="0"/>
        <v>0</v>
      </c>
      <c r="F21" s="830">
        <f t="shared" si="0"/>
        <v>0</v>
      </c>
      <c r="G21" s="830">
        <f t="shared" si="0"/>
        <v>0</v>
      </c>
      <c r="H21" s="830">
        <f t="shared" si="1"/>
        <v>0</v>
      </c>
      <c r="I21" s="830">
        <f t="shared" si="6"/>
        <v>0</v>
      </c>
      <c r="J21" s="830">
        <f t="shared" si="6"/>
        <v>0</v>
      </c>
      <c r="K21" s="830">
        <f t="shared" si="6"/>
        <v>0</v>
      </c>
      <c r="L21" s="830">
        <f t="shared" si="6"/>
        <v>0</v>
      </c>
      <c r="M21" s="830">
        <f t="shared" si="6"/>
        <v>0</v>
      </c>
      <c r="N21" s="830">
        <f t="shared" si="6"/>
        <v>0</v>
      </c>
      <c r="O21" s="830">
        <f t="shared" si="6"/>
        <v>0</v>
      </c>
      <c r="P21" s="830">
        <f t="shared" ref="P21:P44" si="8">ROUND(SUMIFS(P$495:P$866,$B$495:$B$866,$B21,$C$495:$C$866,$C21),0)</f>
        <v>0</v>
      </c>
      <c r="Q21" s="830">
        <f t="shared" si="4"/>
        <v>0</v>
      </c>
      <c r="R21" s="830">
        <f t="shared" si="4"/>
        <v>0</v>
      </c>
      <c r="S21" s="830"/>
      <c r="AR21" s="583"/>
      <c r="AS21" s="583"/>
      <c r="AT21" s="583"/>
      <c r="AU21" s="583"/>
    </row>
    <row r="22" spans="1:47" s="593" customFormat="1" ht="12" hidden="1" thickBot="1">
      <c r="A22" s="581" t="s">
        <v>179</v>
      </c>
      <c r="B22" s="938" t="s">
        <v>1505</v>
      </c>
      <c r="C22" s="581" t="s">
        <v>684</v>
      </c>
      <c r="D22" s="830">
        <f t="shared" si="0"/>
        <v>0</v>
      </c>
      <c r="E22" s="830">
        <f t="shared" si="0"/>
        <v>0</v>
      </c>
      <c r="F22" s="830">
        <f t="shared" si="0"/>
        <v>0</v>
      </c>
      <c r="G22" s="830">
        <f t="shared" si="0"/>
        <v>0</v>
      </c>
      <c r="H22" s="830">
        <f t="shared" si="1"/>
        <v>0</v>
      </c>
      <c r="I22" s="830">
        <f t="shared" si="6"/>
        <v>0</v>
      </c>
      <c r="J22" s="830">
        <f t="shared" si="6"/>
        <v>0</v>
      </c>
      <c r="K22" s="830">
        <f t="shared" si="6"/>
        <v>0</v>
      </c>
      <c r="L22" s="830">
        <f t="shared" si="6"/>
        <v>0</v>
      </c>
      <c r="M22" s="830">
        <f t="shared" si="6"/>
        <v>0</v>
      </c>
      <c r="N22" s="830">
        <f t="shared" si="6"/>
        <v>0</v>
      </c>
      <c r="O22" s="830">
        <f t="shared" si="6"/>
        <v>0</v>
      </c>
      <c r="P22" s="830">
        <f t="shared" si="8"/>
        <v>0</v>
      </c>
      <c r="Q22" s="830">
        <f t="shared" si="4"/>
        <v>0</v>
      </c>
      <c r="R22" s="830">
        <f t="shared" si="4"/>
        <v>0</v>
      </c>
      <c r="S22" s="830"/>
      <c r="AR22" s="583"/>
      <c r="AS22" s="583"/>
      <c r="AT22" s="583"/>
      <c r="AU22" s="583"/>
    </row>
    <row r="23" spans="1:47" s="593" customFormat="1" ht="12" hidden="1" thickBot="1">
      <c r="A23" s="581" t="s">
        <v>179</v>
      </c>
      <c r="B23" s="938" t="s">
        <v>1505</v>
      </c>
      <c r="C23" s="581" t="s">
        <v>685</v>
      </c>
      <c r="D23" s="830">
        <f t="shared" si="0"/>
        <v>0</v>
      </c>
      <c r="E23" s="830">
        <f t="shared" si="0"/>
        <v>0</v>
      </c>
      <c r="F23" s="830">
        <f t="shared" si="0"/>
        <v>0</v>
      </c>
      <c r="G23" s="830">
        <f t="shared" si="0"/>
        <v>0</v>
      </c>
      <c r="H23" s="830">
        <f t="shared" si="1"/>
        <v>0</v>
      </c>
      <c r="I23" s="830">
        <f t="shared" si="6"/>
        <v>0</v>
      </c>
      <c r="J23" s="830">
        <f t="shared" si="6"/>
        <v>0</v>
      </c>
      <c r="K23" s="830">
        <f t="shared" si="6"/>
        <v>0</v>
      </c>
      <c r="L23" s="830">
        <f t="shared" si="6"/>
        <v>0</v>
      </c>
      <c r="M23" s="830">
        <f t="shared" si="6"/>
        <v>0</v>
      </c>
      <c r="N23" s="830">
        <f t="shared" si="6"/>
        <v>0</v>
      </c>
      <c r="O23" s="830">
        <f t="shared" si="6"/>
        <v>0</v>
      </c>
      <c r="P23" s="830">
        <f t="shared" si="8"/>
        <v>0</v>
      </c>
      <c r="Q23" s="830">
        <f t="shared" si="4"/>
        <v>0</v>
      </c>
      <c r="R23" s="830">
        <f t="shared" si="4"/>
        <v>0</v>
      </c>
      <c r="S23" s="830"/>
      <c r="AR23" s="583"/>
      <c r="AS23" s="583"/>
      <c r="AT23" s="583"/>
      <c r="AU23" s="583"/>
    </row>
    <row r="24" spans="1:47" s="593" customFormat="1" ht="12" hidden="1" thickBot="1">
      <c r="A24" s="581" t="s">
        <v>179</v>
      </c>
      <c r="B24" s="938" t="s">
        <v>1505</v>
      </c>
      <c r="C24" s="581" t="s">
        <v>217</v>
      </c>
      <c r="D24" s="830">
        <v>2</v>
      </c>
      <c r="E24" s="830">
        <f t="shared" ref="E24:G44" si="9">ROUND(SUMIFS(E$495:E$866,$B$495:$B$866,$B24,$C$495:$C$866,$C24),0)</f>
        <v>0</v>
      </c>
      <c r="F24" s="830">
        <f t="shared" si="9"/>
        <v>0</v>
      </c>
      <c r="G24" s="830">
        <f t="shared" si="9"/>
        <v>0</v>
      </c>
      <c r="H24" s="830">
        <f t="shared" si="1"/>
        <v>20881</v>
      </c>
      <c r="I24" s="830">
        <f t="shared" si="6"/>
        <v>0</v>
      </c>
      <c r="J24" s="830">
        <f t="shared" si="6"/>
        <v>0</v>
      </c>
      <c r="K24" s="830">
        <f t="shared" si="6"/>
        <v>0</v>
      </c>
      <c r="L24" s="830">
        <f t="shared" si="6"/>
        <v>0</v>
      </c>
      <c r="M24" s="830">
        <f t="shared" si="6"/>
        <v>0</v>
      </c>
      <c r="N24" s="830">
        <f t="shared" si="6"/>
        <v>0</v>
      </c>
      <c r="O24" s="830">
        <f t="shared" si="6"/>
        <v>0</v>
      </c>
      <c r="P24" s="830">
        <f t="shared" si="8"/>
        <v>0</v>
      </c>
      <c r="Q24" s="830">
        <f t="shared" si="4"/>
        <v>0</v>
      </c>
      <c r="R24" s="830">
        <f t="shared" si="4"/>
        <v>0</v>
      </c>
      <c r="S24" s="830"/>
      <c r="AR24" s="583"/>
      <c r="AS24" s="583"/>
      <c r="AT24" s="583"/>
      <c r="AU24" s="583"/>
    </row>
    <row r="25" spans="1:47" s="593" customFormat="1" ht="12" hidden="1" thickBot="1">
      <c r="A25" s="581" t="s">
        <v>179</v>
      </c>
      <c r="B25" s="938" t="s">
        <v>1505</v>
      </c>
      <c r="C25" s="581" t="s">
        <v>216</v>
      </c>
      <c r="D25" s="830">
        <f t="shared" ref="D25:D44" si="10">ROUND(SUMIFS(D$495:D$866,$B$495:$B$866,$B25,$C$495:$C$866,$C25),0)</f>
        <v>0</v>
      </c>
      <c r="E25" s="830">
        <f t="shared" si="9"/>
        <v>0</v>
      </c>
      <c r="F25" s="830">
        <f t="shared" si="9"/>
        <v>0</v>
      </c>
      <c r="G25" s="830">
        <f t="shared" si="9"/>
        <v>0</v>
      </c>
      <c r="H25" s="830">
        <f t="shared" si="1"/>
        <v>0</v>
      </c>
      <c r="I25" s="830">
        <f t="shared" si="6"/>
        <v>0</v>
      </c>
      <c r="J25" s="830">
        <f t="shared" si="6"/>
        <v>0</v>
      </c>
      <c r="K25" s="830">
        <f t="shared" si="6"/>
        <v>0</v>
      </c>
      <c r="L25" s="830">
        <f t="shared" si="6"/>
        <v>0</v>
      </c>
      <c r="M25" s="830">
        <f t="shared" si="6"/>
        <v>0</v>
      </c>
      <c r="N25" s="830">
        <f t="shared" si="6"/>
        <v>0</v>
      </c>
      <c r="O25" s="830">
        <f t="shared" si="6"/>
        <v>0</v>
      </c>
      <c r="P25" s="830">
        <f t="shared" si="8"/>
        <v>0</v>
      </c>
      <c r="Q25" s="830">
        <f t="shared" si="4"/>
        <v>0</v>
      </c>
      <c r="R25" s="830">
        <f t="shared" si="4"/>
        <v>0</v>
      </c>
      <c r="S25" s="830"/>
      <c r="AR25" s="583"/>
      <c r="AS25" s="583"/>
      <c r="AT25" s="583"/>
      <c r="AU25" s="583"/>
    </row>
    <row r="26" spans="1:47" s="593" customFormat="1" ht="12" hidden="1" thickBot="1">
      <c r="A26" s="581" t="s">
        <v>179</v>
      </c>
      <c r="B26" s="938" t="s">
        <v>1505</v>
      </c>
      <c r="C26" s="581" t="s">
        <v>168</v>
      </c>
      <c r="D26" s="830">
        <f t="shared" si="10"/>
        <v>747</v>
      </c>
      <c r="E26" s="830">
        <f t="shared" si="9"/>
        <v>0</v>
      </c>
      <c r="F26" s="830">
        <f t="shared" si="9"/>
        <v>0</v>
      </c>
      <c r="G26" s="830">
        <f t="shared" si="9"/>
        <v>0</v>
      </c>
      <c r="H26" s="830">
        <f t="shared" si="1"/>
        <v>121966</v>
      </c>
      <c r="I26" s="830">
        <f t="shared" ref="I26:O35" si="11">ROUND(SUMIFS(I$495:I$866,$B$495:$B$866,$B26,$C$495:$C$866,$C26),0)</f>
        <v>0</v>
      </c>
      <c r="J26" s="830">
        <f t="shared" si="11"/>
        <v>0</v>
      </c>
      <c r="K26" s="830">
        <f t="shared" si="11"/>
        <v>0</v>
      </c>
      <c r="L26" s="830">
        <f t="shared" si="11"/>
        <v>0</v>
      </c>
      <c r="M26" s="830">
        <f t="shared" si="11"/>
        <v>0</v>
      </c>
      <c r="N26" s="830">
        <f t="shared" si="11"/>
        <v>0</v>
      </c>
      <c r="O26" s="830">
        <f t="shared" si="11"/>
        <v>0</v>
      </c>
      <c r="P26" s="830">
        <f t="shared" si="8"/>
        <v>0</v>
      </c>
      <c r="Q26" s="830">
        <f t="shared" ref="Q26:R44" si="12">ROUND(SUMIFS(Q$495:Q$866,$B$495:$B$866,$B26,$C$495:$C$866,$C26),0)</f>
        <v>0</v>
      </c>
      <c r="R26" s="830">
        <f t="shared" si="12"/>
        <v>0</v>
      </c>
      <c r="S26" s="830"/>
      <c r="AR26" s="583"/>
      <c r="AS26" s="583"/>
      <c r="AT26" s="583"/>
      <c r="AU26" s="583"/>
    </row>
    <row r="27" spans="1:47" s="593" customFormat="1" ht="12" hidden="1" thickBot="1">
      <c r="A27" s="581" t="s">
        <v>179</v>
      </c>
      <c r="B27" s="938" t="s">
        <v>1505</v>
      </c>
      <c r="C27" s="581" t="s">
        <v>623</v>
      </c>
      <c r="D27" s="830">
        <f t="shared" si="10"/>
        <v>0</v>
      </c>
      <c r="E27" s="830">
        <f t="shared" si="9"/>
        <v>0</v>
      </c>
      <c r="F27" s="830">
        <f t="shared" si="9"/>
        <v>0</v>
      </c>
      <c r="G27" s="830">
        <f t="shared" si="9"/>
        <v>0</v>
      </c>
      <c r="H27" s="830">
        <f t="shared" si="1"/>
        <v>0</v>
      </c>
      <c r="I27" s="830">
        <f t="shared" si="11"/>
        <v>0</v>
      </c>
      <c r="J27" s="830">
        <f t="shared" si="11"/>
        <v>0</v>
      </c>
      <c r="K27" s="830">
        <f t="shared" si="11"/>
        <v>0</v>
      </c>
      <c r="L27" s="830">
        <f t="shared" si="11"/>
        <v>0</v>
      </c>
      <c r="M27" s="830">
        <f t="shared" si="11"/>
        <v>0</v>
      </c>
      <c r="N27" s="830">
        <f t="shared" si="11"/>
        <v>0</v>
      </c>
      <c r="O27" s="830">
        <f t="shared" si="11"/>
        <v>0</v>
      </c>
      <c r="P27" s="830">
        <f t="shared" si="8"/>
        <v>0</v>
      </c>
      <c r="Q27" s="830">
        <f t="shared" si="12"/>
        <v>0</v>
      </c>
      <c r="R27" s="830">
        <f t="shared" si="12"/>
        <v>0</v>
      </c>
      <c r="S27" s="830"/>
      <c r="AR27" s="583"/>
      <c r="AS27" s="583"/>
      <c r="AT27" s="583"/>
      <c r="AU27" s="583"/>
    </row>
    <row r="28" spans="1:47" s="593" customFormat="1" ht="12" hidden="1" thickBot="1">
      <c r="A28" s="581" t="s">
        <v>179</v>
      </c>
      <c r="B28" s="938" t="s">
        <v>1505</v>
      </c>
      <c r="C28" s="581" t="s">
        <v>169</v>
      </c>
      <c r="D28" s="830">
        <f t="shared" si="10"/>
        <v>0</v>
      </c>
      <c r="E28" s="830">
        <f t="shared" si="9"/>
        <v>0</v>
      </c>
      <c r="F28" s="830">
        <f t="shared" si="9"/>
        <v>0</v>
      </c>
      <c r="G28" s="830">
        <f t="shared" si="9"/>
        <v>0</v>
      </c>
      <c r="H28" s="830">
        <f t="shared" si="1"/>
        <v>0</v>
      </c>
      <c r="I28" s="830">
        <f t="shared" si="11"/>
        <v>0</v>
      </c>
      <c r="J28" s="830">
        <f t="shared" si="11"/>
        <v>0</v>
      </c>
      <c r="K28" s="830">
        <f t="shared" si="11"/>
        <v>0</v>
      </c>
      <c r="L28" s="830">
        <f t="shared" si="11"/>
        <v>0</v>
      </c>
      <c r="M28" s="830">
        <f t="shared" si="11"/>
        <v>0</v>
      </c>
      <c r="N28" s="830">
        <f t="shared" si="11"/>
        <v>0</v>
      </c>
      <c r="O28" s="830">
        <f t="shared" si="11"/>
        <v>0</v>
      </c>
      <c r="P28" s="830">
        <f t="shared" si="8"/>
        <v>0</v>
      </c>
      <c r="Q28" s="830">
        <f t="shared" si="12"/>
        <v>0</v>
      </c>
      <c r="R28" s="830">
        <f t="shared" si="12"/>
        <v>0</v>
      </c>
      <c r="S28" s="830"/>
      <c r="AR28" s="583"/>
      <c r="AS28" s="583"/>
      <c r="AT28" s="583"/>
      <c r="AU28" s="583"/>
    </row>
    <row r="29" spans="1:47" s="593" customFormat="1" ht="12" hidden="1" thickBot="1">
      <c r="A29" s="581" t="s">
        <v>179</v>
      </c>
      <c r="B29" s="938" t="s">
        <v>1505</v>
      </c>
      <c r="C29" s="581" t="s">
        <v>170</v>
      </c>
      <c r="D29" s="830">
        <f t="shared" si="10"/>
        <v>0</v>
      </c>
      <c r="E29" s="830">
        <f t="shared" si="9"/>
        <v>0</v>
      </c>
      <c r="F29" s="830">
        <f t="shared" si="9"/>
        <v>0</v>
      </c>
      <c r="G29" s="830">
        <f t="shared" si="9"/>
        <v>0</v>
      </c>
      <c r="H29" s="830">
        <f t="shared" si="1"/>
        <v>0</v>
      </c>
      <c r="I29" s="830">
        <f t="shared" si="11"/>
        <v>0</v>
      </c>
      <c r="J29" s="830">
        <f t="shared" si="11"/>
        <v>0</v>
      </c>
      <c r="K29" s="830">
        <f t="shared" si="11"/>
        <v>0</v>
      </c>
      <c r="L29" s="830">
        <f t="shared" si="11"/>
        <v>0</v>
      </c>
      <c r="M29" s="830">
        <f t="shared" si="11"/>
        <v>0</v>
      </c>
      <c r="N29" s="830">
        <f t="shared" si="11"/>
        <v>0</v>
      </c>
      <c r="O29" s="830">
        <f t="shared" si="11"/>
        <v>0</v>
      </c>
      <c r="P29" s="830">
        <f t="shared" si="8"/>
        <v>0</v>
      </c>
      <c r="Q29" s="830">
        <f t="shared" si="12"/>
        <v>0</v>
      </c>
      <c r="R29" s="830">
        <f t="shared" si="12"/>
        <v>0</v>
      </c>
      <c r="S29" s="830"/>
      <c r="AR29" s="583"/>
      <c r="AS29" s="583"/>
      <c r="AT29" s="583"/>
      <c r="AU29" s="583"/>
    </row>
    <row r="30" spans="1:47" ht="12" hidden="1" thickBot="1">
      <c r="A30" s="838" t="s">
        <v>179</v>
      </c>
      <c r="B30" s="938" t="s">
        <v>1505</v>
      </c>
      <c r="C30" s="1038" t="s">
        <v>171</v>
      </c>
      <c r="D30" s="830">
        <f t="shared" si="10"/>
        <v>0</v>
      </c>
      <c r="E30" s="830">
        <f t="shared" si="9"/>
        <v>0</v>
      </c>
      <c r="F30" s="830">
        <f t="shared" si="9"/>
        <v>0</v>
      </c>
      <c r="G30" s="830">
        <f t="shared" si="9"/>
        <v>0</v>
      </c>
      <c r="H30" s="830">
        <f t="shared" si="1"/>
        <v>0</v>
      </c>
      <c r="I30" s="830">
        <f t="shared" si="11"/>
        <v>0</v>
      </c>
      <c r="J30" s="830">
        <f t="shared" si="11"/>
        <v>0</v>
      </c>
      <c r="K30" s="830">
        <f t="shared" si="11"/>
        <v>0</v>
      </c>
      <c r="L30" s="830">
        <f t="shared" si="11"/>
        <v>0</v>
      </c>
      <c r="M30" s="830">
        <f t="shared" si="11"/>
        <v>0</v>
      </c>
      <c r="N30" s="830">
        <f t="shared" si="11"/>
        <v>0</v>
      </c>
      <c r="O30" s="830">
        <f t="shared" si="11"/>
        <v>0</v>
      </c>
      <c r="P30" s="830">
        <f t="shared" si="8"/>
        <v>0</v>
      </c>
      <c r="Q30" s="830">
        <f t="shared" si="12"/>
        <v>0</v>
      </c>
      <c r="R30" s="830">
        <f t="shared" si="12"/>
        <v>0</v>
      </c>
      <c r="S30" s="830"/>
      <c r="AR30" s="839"/>
      <c r="AS30" s="839"/>
      <c r="AT30" s="839"/>
      <c r="AU30" s="839"/>
    </row>
    <row r="31" spans="1:47" ht="12" hidden="1" thickBot="1">
      <c r="A31" s="838" t="s">
        <v>179</v>
      </c>
      <c r="B31" s="938" t="s">
        <v>1505</v>
      </c>
      <c r="C31" s="838" t="s">
        <v>172</v>
      </c>
      <c r="D31" s="830">
        <f t="shared" si="10"/>
        <v>0</v>
      </c>
      <c r="E31" s="830">
        <f t="shared" si="9"/>
        <v>0</v>
      </c>
      <c r="F31" s="830">
        <f t="shared" si="9"/>
        <v>0</v>
      </c>
      <c r="G31" s="830">
        <f t="shared" si="9"/>
        <v>0</v>
      </c>
      <c r="H31" s="830">
        <f t="shared" si="1"/>
        <v>0</v>
      </c>
      <c r="I31" s="830">
        <f t="shared" si="11"/>
        <v>0</v>
      </c>
      <c r="J31" s="830">
        <f t="shared" si="11"/>
        <v>0</v>
      </c>
      <c r="K31" s="830">
        <f t="shared" si="11"/>
        <v>0</v>
      </c>
      <c r="L31" s="830">
        <f t="shared" si="11"/>
        <v>0</v>
      </c>
      <c r="M31" s="830">
        <f t="shared" si="11"/>
        <v>0</v>
      </c>
      <c r="N31" s="830">
        <f t="shared" si="11"/>
        <v>0</v>
      </c>
      <c r="O31" s="830">
        <f t="shared" si="11"/>
        <v>0</v>
      </c>
      <c r="P31" s="830">
        <f t="shared" si="8"/>
        <v>0</v>
      </c>
      <c r="Q31" s="830">
        <f t="shared" si="12"/>
        <v>0</v>
      </c>
      <c r="R31" s="830">
        <f t="shared" si="12"/>
        <v>0</v>
      </c>
      <c r="S31" s="830"/>
      <c r="AR31" s="839"/>
      <c r="AS31" s="839"/>
      <c r="AT31" s="839"/>
      <c r="AU31" s="839"/>
    </row>
    <row r="32" spans="1:47" ht="12" hidden="1" thickBot="1">
      <c r="A32" s="838" t="s">
        <v>179</v>
      </c>
      <c r="B32" s="938" t="s">
        <v>1505</v>
      </c>
      <c r="C32" s="838" t="s">
        <v>1149</v>
      </c>
      <c r="D32" s="830">
        <f t="shared" si="10"/>
        <v>0</v>
      </c>
      <c r="E32" s="830">
        <f t="shared" si="9"/>
        <v>0</v>
      </c>
      <c r="F32" s="830">
        <f t="shared" si="9"/>
        <v>0</v>
      </c>
      <c r="G32" s="830">
        <f t="shared" si="9"/>
        <v>0</v>
      </c>
      <c r="H32" s="830">
        <f t="shared" si="1"/>
        <v>0</v>
      </c>
      <c r="I32" s="830">
        <f t="shared" si="11"/>
        <v>0</v>
      </c>
      <c r="J32" s="830">
        <f t="shared" si="11"/>
        <v>0</v>
      </c>
      <c r="K32" s="830">
        <f t="shared" si="11"/>
        <v>0</v>
      </c>
      <c r="L32" s="830">
        <f t="shared" si="11"/>
        <v>0</v>
      </c>
      <c r="M32" s="830">
        <f t="shared" si="11"/>
        <v>0</v>
      </c>
      <c r="N32" s="830">
        <f t="shared" si="11"/>
        <v>0</v>
      </c>
      <c r="O32" s="830">
        <f t="shared" si="11"/>
        <v>0</v>
      </c>
      <c r="P32" s="830">
        <f t="shared" si="8"/>
        <v>0</v>
      </c>
      <c r="Q32" s="830">
        <f t="shared" si="12"/>
        <v>0</v>
      </c>
      <c r="R32" s="830">
        <f t="shared" si="12"/>
        <v>0</v>
      </c>
      <c r="S32" s="830"/>
      <c r="AR32" s="839"/>
      <c r="AS32" s="839"/>
      <c r="AT32" s="839"/>
      <c r="AU32" s="839"/>
    </row>
    <row r="33" spans="1:47" s="593" customFormat="1" ht="12" hidden="1" thickBot="1">
      <c r="A33" s="581" t="s">
        <v>179</v>
      </c>
      <c r="B33" s="938" t="s">
        <v>1505</v>
      </c>
      <c r="C33" s="581" t="s">
        <v>173</v>
      </c>
      <c r="D33" s="830">
        <f t="shared" si="10"/>
        <v>1</v>
      </c>
      <c r="E33" s="830">
        <f t="shared" si="9"/>
        <v>0</v>
      </c>
      <c r="F33" s="830">
        <f t="shared" si="9"/>
        <v>0</v>
      </c>
      <c r="G33" s="830">
        <f t="shared" si="9"/>
        <v>0</v>
      </c>
      <c r="H33" s="830">
        <f t="shared" si="1"/>
        <v>48922696</v>
      </c>
      <c r="I33" s="830">
        <f t="shared" si="11"/>
        <v>0</v>
      </c>
      <c r="J33" s="830">
        <f t="shared" si="11"/>
        <v>0</v>
      </c>
      <c r="K33" s="830">
        <f t="shared" si="11"/>
        <v>0</v>
      </c>
      <c r="L33" s="830">
        <f t="shared" si="11"/>
        <v>0</v>
      </c>
      <c r="M33" s="830">
        <f t="shared" si="11"/>
        <v>0</v>
      </c>
      <c r="N33" s="830">
        <f t="shared" si="11"/>
        <v>0</v>
      </c>
      <c r="O33" s="830">
        <f t="shared" si="11"/>
        <v>185158</v>
      </c>
      <c r="P33" s="830">
        <f t="shared" si="8"/>
        <v>185158</v>
      </c>
      <c r="Q33" s="830">
        <f t="shared" si="12"/>
        <v>101388</v>
      </c>
      <c r="R33" s="830">
        <f t="shared" si="12"/>
        <v>0</v>
      </c>
      <c r="S33" s="830"/>
      <c r="AR33" s="583"/>
      <c r="AS33" s="583"/>
      <c r="AT33" s="583"/>
      <c r="AU33" s="583"/>
    </row>
    <row r="34" spans="1:47" s="593" customFormat="1" ht="12" hidden="1" thickBot="1">
      <c r="A34" s="581" t="s">
        <v>179</v>
      </c>
      <c r="B34" s="938" t="s">
        <v>1505</v>
      </c>
      <c r="C34" s="581" t="s">
        <v>193</v>
      </c>
      <c r="D34" s="830">
        <f t="shared" si="10"/>
        <v>0</v>
      </c>
      <c r="E34" s="830">
        <f t="shared" si="9"/>
        <v>0</v>
      </c>
      <c r="F34" s="830">
        <f t="shared" si="9"/>
        <v>0</v>
      </c>
      <c r="G34" s="830">
        <f t="shared" si="9"/>
        <v>0</v>
      </c>
      <c r="H34" s="830">
        <f t="shared" si="1"/>
        <v>0</v>
      </c>
      <c r="I34" s="830">
        <f t="shared" si="11"/>
        <v>0</v>
      </c>
      <c r="J34" s="830">
        <f t="shared" si="11"/>
        <v>0</v>
      </c>
      <c r="K34" s="830">
        <f t="shared" si="11"/>
        <v>0</v>
      </c>
      <c r="L34" s="830">
        <f t="shared" si="11"/>
        <v>0</v>
      </c>
      <c r="M34" s="830">
        <f t="shared" si="11"/>
        <v>0</v>
      </c>
      <c r="N34" s="830">
        <f t="shared" si="11"/>
        <v>0</v>
      </c>
      <c r="O34" s="830">
        <f t="shared" si="11"/>
        <v>0</v>
      </c>
      <c r="P34" s="830">
        <f t="shared" si="8"/>
        <v>0</v>
      </c>
      <c r="Q34" s="830">
        <f t="shared" si="12"/>
        <v>0</v>
      </c>
      <c r="R34" s="830">
        <f t="shared" si="12"/>
        <v>0</v>
      </c>
      <c r="S34" s="830"/>
      <c r="AR34" s="583"/>
      <c r="AS34" s="583"/>
      <c r="AT34" s="583"/>
      <c r="AU34" s="583"/>
    </row>
    <row r="35" spans="1:47" s="593" customFormat="1" ht="12" hidden="1" thickBot="1">
      <c r="A35" s="581" t="s">
        <v>179</v>
      </c>
      <c r="B35" s="938" t="s">
        <v>1505</v>
      </c>
      <c r="C35" s="581" t="s">
        <v>195</v>
      </c>
      <c r="D35" s="830">
        <f t="shared" si="10"/>
        <v>0</v>
      </c>
      <c r="E35" s="830">
        <f t="shared" si="9"/>
        <v>0</v>
      </c>
      <c r="F35" s="830">
        <f t="shared" si="9"/>
        <v>0</v>
      </c>
      <c r="G35" s="830">
        <f t="shared" si="9"/>
        <v>0</v>
      </c>
      <c r="H35" s="830">
        <f t="shared" si="1"/>
        <v>0</v>
      </c>
      <c r="I35" s="830">
        <f t="shared" si="11"/>
        <v>0</v>
      </c>
      <c r="J35" s="830">
        <f t="shared" si="11"/>
        <v>0</v>
      </c>
      <c r="K35" s="830">
        <f t="shared" si="11"/>
        <v>0</v>
      </c>
      <c r="L35" s="830">
        <f t="shared" si="11"/>
        <v>0</v>
      </c>
      <c r="M35" s="830">
        <f t="shared" si="11"/>
        <v>0</v>
      </c>
      <c r="N35" s="830">
        <f t="shared" si="11"/>
        <v>0</v>
      </c>
      <c r="O35" s="830">
        <f t="shared" si="11"/>
        <v>0</v>
      </c>
      <c r="P35" s="830">
        <f t="shared" si="8"/>
        <v>0</v>
      </c>
      <c r="Q35" s="830">
        <f t="shared" si="12"/>
        <v>0</v>
      </c>
      <c r="R35" s="830">
        <f t="shared" si="12"/>
        <v>0</v>
      </c>
      <c r="S35" s="830"/>
      <c r="AR35" s="583"/>
      <c r="AS35" s="583"/>
      <c r="AT35" s="583"/>
      <c r="AU35" s="583"/>
    </row>
    <row r="36" spans="1:47" s="593" customFormat="1" ht="12" hidden="1" thickBot="1">
      <c r="A36" s="581" t="s">
        <v>179</v>
      </c>
      <c r="B36" s="938" t="s">
        <v>1505</v>
      </c>
      <c r="C36" s="581" t="s">
        <v>197</v>
      </c>
      <c r="D36" s="830">
        <f t="shared" si="10"/>
        <v>0</v>
      </c>
      <c r="E36" s="830">
        <f t="shared" si="9"/>
        <v>0</v>
      </c>
      <c r="F36" s="830">
        <f t="shared" si="9"/>
        <v>0</v>
      </c>
      <c r="G36" s="830">
        <f t="shared" si="9"/>
        <v>0</v>
      </c>
      <c r="H36" s="830">
        <f t="shared" si="1"/>
        <v>0</v>
      </c>
      <c r="I36" s="830">
        <f t="shared" ref="I36:O44" si="13">ROUND(SUMIFS(I$495:I$866,$B$495:$B$866,$B36,$C$495:$C$866,$C36),0)</f>
        <v>0</v>
      </c>
      <c r="J36" s="830">
        <f t="shared" si="13"/>
        <v>0</v>
      </c>
      <c r="K36" s="830">
        <f t="shared" si="13"/>
        <v>0</v>
      </c>
      <c r="L36" s="830">
        <f t="shared" si="13"/>
        <v>0</v>
      </c>
      <c r="M36" s="830">
        <f t="shared" si="13"/>
        <v>0</v>
      </c>
      <c r="N36" s="830">
        <f t="shared" si="13"/>
        <v>0</v>
      </c>
      <c r="O36" s="830">
        <f t="shared" si="13"/>
        <v>0</v>
      </c>
      <c r="P36" s="830">
        <f t="shared" si="8"/>
        <v>0</v>
      </c>
      <c r="Q36" s="830">
        <f t="shared" si="12"/>
        <v>0</v>
      </c>
      <c r="R36" s="830">
        <f t="shared" si="12"/>
        <v>0</v>
      </c>
      <c r="S36" s="830"/>
      <c r="AR36" s="583"/>
      <c r="AS36" s="583"/>
      <c r="AT36" s="583"/>
      <c r="AU36" s="583"/>
    </row>
    <row r="37" spans="1:47" s="593" customFormat="1" ht="12" hidden="1" thickBot="1">
      <c r="A37" s="581" t="s">
        <v>179</v>
      </c>
      <c r="B37" s="938" t="s">
        <v>1505</v>
      </c>
      <c r="C37" s="581" t="s">
        <v>174</v>
      </c>
      <c r="D37" s="830">
        <f t="shared" si="10"/>
        <v>430268</v>
      </c>
      <c r="E37" s="830">
        <f t="shared" si="9"/>
        <v>0</v>
      </c>
      <c r="F37" s="830">
        <f t="shared" si="9"/>
        <v>0</v>
      </c>
      <c r="G37" s="830">
        <f t="shared" si="9"/>
        <v>0</v>
      </c>
      <c r="H37" s="830">
        <f t="shared" si="1"/>
        <v>742959056</v>
      </c>
      <c r="I37" s="830">
        <f t="shared" si="13"/>
        <v>0</v>
      </c>
      <c r="J37" s="830">
        <f t="shared" si="13"/>
        <v>0</v>
      </c>
      <c r="K37" s="830">
        <f t="shared" si="13"/>
        <v>0</v>
      </c>
      <c r="L37" s="830">
        <f t="shared" si="13"/>
        <v>0</v>
      </c>
      <c r="M37" s="830">
        <f t="shared" si="13"/>
        <v>0</v>
      </c>
      <c r="N37" s="830">
        <f t="shared" si="13"/>
        <v>0</v>
      </c>
      <c r="O37" s="830">
        <f t="shared" si="13"/>
        <v>0</v>
      </c>
      <c r="P37" s="830">
        <f t="shared" si="8"/>
        <v>0</v>
      </c>
      <c r="Q37" s="830">
        <f t="shared" si="12"/>
        <v>0</v>
      </c>
      <c r="R37" s="830">
        <f t="shared" si="12"/>
        <v>0</v>
      </c>
      <c r="S37" s="830"/>
      <c r="AR37" s="583"/>
      <c r="AS37" s="583"/>
      <c r="AT37" s="583"/>
      <c r="AU37" s="583"/>
    </row>
    <row r="38" spans="1:47" s="593" customFormat="1" ht="12" hidden="1" thickBot="1">
      <c r="A38" s="581" t="s">
        <v>179</v>
      </c>
      <c r="B38" s="938" t="s">
        <v>1505</v>
      </c>
      <c r="C38" s="581" t="s">
        <v>175</v>
      </c>
      <c r="D38" s="830">
        <f t="shared" si="10"/>
        <v>0</v>
      </c>
      <c r="E38" s="830">
        <f t="shared" si="9"/>
        <v>0</v>
      </c>
      <c r="F38" s="830">
        <f t="shared" si="9"/>
        <v>0</v>
      </c>
      <c r="G38" s="830">
        <f t="shared" si="9"/>
        <v>0</v>
      </c>
      <c r="H38" s="830">
        <f t="shared" si="1"/>
        <v>0</v>
      </c>
      <c r="I38" s="830">
        <f t="shared" si="13"/>
        <v>0</v>
      </c>
      <c r="J38" s="830">
        <f t="shared" si="13"/>
        <v>0</v>
      </c>
      <c r="K38" s="830">
        <f t="shared" si="13"/>
        <v>0</v>
      </c>
      <c r="L38" s="830">
        <f t="shared" si="13"/>
        <v>0</v>
      </c>
      <c r="M38" s="830">
        <f t="shared" si="13"/>
        <v>0</v>
      </c>
      <c r="N38" s="830">
        <f t="shared" si="13"/>
        <v>0</v>
      </c>
      <c r="O38" s="830">
        <f t="shared" si="13"/>
        <v>0</v>
      </c>
      <c r="P38" s="830">
        <f t="shared" si="8"/>
        <v>0</v>
      </c>
      <c r="Q38" s="830">
        <f t="shared" si="12"/>
        <v>0</v>
      </c>
      <c r="R38" s="830">
        <f t="shared" si="12"/>
        <v>0</v>
      </c>
      <c r="S38" s="830"/>
      <c r="AR38" s="583"/>
      <c r="AS38" s="583"/>
      <c r="AT38" s="583"/>
      <c r="AU38" s="583"/>
    </row>
    <row r="39" spans="1:47" s="593" customFormat="1" ht="12" hidden="1" thickBot="1">
      <c r="A39" s="581" t="s">
        <v>179</v>
      </c>
      <c r="B39" s="938" t="s">
        <v>1505</v>
      </c>
      <c r="C39" s="581" t="s">
        <v>176</v>
      </c>
      <c r="D39" s="830">
        <f t="shared" si="10"/>
        <v>0</v>
      </c>
      <c r="E39" s="830">
        <f t="shared" si="9"/>
        <v>0</v>
      </c>
      <c r="F39" s="830">
        <f t="shared" si="9"/>
        <v>0</v>
      </c>
      <c r="G39" s="830">
        <f t="shared" si="9"/>
        <v>0</v>
      </c>
      <c r="H39" s="830">
        <f t="shared" si="1"/>
        <v>0</v>
      </c>
      <c r="I39" s="830">
        <f t="shared" si="13"/>
        <v>0</v>
      </c>
      <c r="J39" s="830">
        <f t="shared" si="13"/>
        <v>0</v>
      </c>
      <c r="K39" s="830">
        <f t="shared" si="13"/>
        <v>0</v>
      </c>
      <c r="L39" s="830">
        <f t="shared" si="13"/>
        <v>0</v>
      </c>
      <c r="M39" s="830">
        <f t="shared" si="13"/>
        <v>0</v>
      </c>
      <c r="N39" s="830">
        <f t="shared" si="13"/>
        <v>0</v>
      </c>
      <c r="O39" s="830">
        <f t="shared" si="13"/>
        <v>0</v>
      </c>
      <c r="P39" s="830">
        <f t="shared" si="8"/>
        <v>0</v>
      </c>
      <c r="Q39" s="830">
        <f t="shared" si="12"/>
        <v>0</v>
      </c>
      <c r="R39" s="830">
        <f t="shared" si="12"/>
        <v>0</v>
      </c>
      <c r="S39" s="830"/>
      <c r="AR39" s="594"/>
      <c r="AS39" s="594"/>
    </row>
    <row r="40" spans="1:47" s="593" customFormat="1" ht="12" hidden="1" thickBot="1">
      <c r="A40" s="581" t="s">
        <v>179</v>
      </c>
      <c r="B40" s="938" t="s">
        <v>1505</v>
      </c>
      <c r="C40" s="581" t="s">
        <v>458</v>
      </c>
      <c r="D40" s="830">
        <f t="shared" si="10"/>
        <v>7</v>
      </c>
      <c r="E40" s="830">
        <f t="shared" si="9"/>
        <v>5322</v>
      </c>
      <c r="F40" s="830">
        <f t="shared" si="9"/>
        <v>2200</v>
      </c>
      <c r="G40" s="830">
        <f t="shared" si="9"/>
        <v>1323</v>
      </c>
      <c r="H40" s="830">
        <f t="shared" si="1"/>
        <v>8845</v>
      </c>
      <c r="I40" s="830">
        <f t="shared" si="13"/>
        <v>0</v>
      </c>
      <c r="J40" s="830">
        <f t="shared" si="13"/>
        <v>0</v>
      </c>
      <c r="K40" s="830">
        <f t="shared" si="13"/>
        <v>0</v>
      </c>
      <c r="L40" s="830">
        <f t="shared" si="13"/>
        <v>0</v>
      </c>
      <c r="M40" s="830">
        <f t="shared" si="13"/>
        <v>0</v>
      </c>
      <c r="N40" s="830">
        <f t="shared" si="13"/>
        <v>0</v>
      </c>
      <c r="O40" s="830">
        <f t="shared" si="13"/>
        <v>0</v>
      </c>
      <c r="P40" s="830">
        <f t="shared" si="8"/>
        <v>0</v>
      </c>
      <c r="Q40" s="830">
        <f t="shared" si="12"/>
        <v>0</v>
      </c>
      <c r="R40" s="830">
        <f t="shared" si="12"/>
        <v>0</v>
      </c>
      <c r="S40" s="830"/>
      <c r="AR40" s="594"/>
      <c r="AS40" s="594"/>
    </row>
    <row r="41" spans="1:47" s="593" customFormat="1" ht="12" hidden="1" thickBot="1">
      <c r="A41" s="581" t="s">
        <v>179</v>
      </c>
      <c r="B41" s="938" t="s">
        <v>1505</v>
      </c>
      <c r="C41" s="581" t="s">
        <v>177</v>
      </c>
      <c r="D41" s="830">
        <f t="shared" si="10"/>
        <v>0</v>
      </c>
      <c r="E41" s="830">
        <f t="shared" si="9"/>
        <v>0</v>
      </c>
      <c r="F41" s="830">
        <f t="shared" si="9"/>
        <v>0</v>
      </c>
      <c r="G41" s="830">
        <f t="shared" si="9"/>
        <v>0</v>
      </c>
      <c r="H41" s="830">
        <f t="shared" si="1"/>
        <v>0</v>
      </c>
      <c r="I41" s="830">
        <f t="shared" si="13"/>
        <v>0</v>
      </c>
      <c r="J41" s="830">
        <f t="shared" si="13"/>
        <v>0</v>
      </c>
      <c r="K41" s="830">
        <f t="shared" si="13"/>
        <v>0</v>
      </c>
      <c r="L41" s="830">
        <f t="shared" si="13"/>
        <v>0</v>
      </c>
      <c r="M41" s="830">
        <f t="shared" si="13"/>
        <v>0</v>
      </c>
      <c r="N41" s="830">
        <f t="shared" si="13"/>
        <v>0</v>
      </c>
      <c r="O41" s="830">
        <f t="shared" si="13"/>
        <v>0</v>
      </c>
      <c r="P41" s="830">
        <f t="shared" si="8"/>
        <v>0</v>
      </c>
      <c r="Q41" s="830">
        <f t="shared" si="12"/>
        <v>0</v>
      </c>
      <c r="R41" s="830">
        <f t="shared" si="12"/>
        <v>0</v>
      </c>
      <c r="S41" s="830"/>
    </row>
    <row r="42" spans="1:47" s="593" customFormat="1" ht="12" hidden="1" thickBot="1">
      <c r="A42" s="581" t="s">
        <v>179</v>
      </c>
      <c r="B42" s="938" t="s">
        <v>1505</v>
      </c>
      <c r="C42" s="581" t="s">
        <v>178</v>
      </c>
      <c r="D42" s="830">
        <f t="shared" si="10"/>
        <v>0</v>
      </c>
      <c r="E42" s="830">
        <f t="shared" si="9"/>
        <v>0</v>
      </c>
      <c r="F42" s="830">
        <f t="shared" si="9"/>
        <v>0</v>
      </c>
      <c r="G42" s="830">
        <f t="shared" si="9"/>
        <v>0</v>
      </c>
      <c r="H42" s="830">
        <f t="shared" si="1"/>
        <v>0</v>
      </c>
      <c r="I42" s="830">
        <f t="shared" si="13"/>
        <v>0</v>
      </c>
      <c r="J42" s="830">
        <f t="shared" si="13"/>
        <v>0</v>
      </c>
      <c r="K42" s="830">
        <f t="shared" si="13"/>
        <v>0</v>
      </c>
      <c r="L42" s="830">
        <f t="shared" si="13"/>
        <v>0</v>
      </c>
      <c r="M42" s="830">
        <f t="shared" si="13"/>
        <v>0</v>
      </c>
      <c r="N42" s="830">
        <f t="shared" si="13"/>
        <v>0</v>
      </c>
      <c r="O42" s="830">
        <f t="shared" si="13"/>
        <v>0</v>
      </c>
      <c r="P42" s="830">
        <f t="shared" si="8"/>
        <v>0</v>
      </c>
      <c r="Q42" s="830">
        <f t="shared" si="12"/>
        <v>0</v>
      </c>
      <c r="R42" s="830">
        <f t="shared" si="12"/>
        <v>0</v>
      </c>
      <c r="S42" s="830"/>
    </row>
    <row r="43" spans="1:47" s="593" customFormat="1" ht="12" hidden="1" thickBot="1">
      <c r="A43" s="581" t="s">
        <v>179</v>
      </c>
      <c r="B43" s="938" t="s">
        <v>1505</v>
      </c>
      <c r="C43" s="581" t="s">
        <v>1394</v>
      </c>
      <c r="D43" s="830">
        <f t="shared" si="10"/>
        <v>0</v>
      </c>
      <c r="E43" s="830">
        <f t="shared" si="9"/>
        <v>0</v>
      </c>
      <c r="F43" s="830">
        <f t="shared" si="9"/>
        <v>0</v>
      </c>
      <c r="G43" s="830">
        <f t="shared" si="9"/>
        <v>0</v>
      </c>
      <c r="H43" s="830">
        <f t="shared" si="1"/>
        <v>0</v>
      </c>
      <c r="I43" s="830">
        <f t="shared" si="13"/>
        <v>0</v>
      </c>
      <c r="J43" s="830">
        <f t="shared" si="13"/>
        <v>0</v>
      </c>
      <c r="K43" s="830">
        <f t="shared" si="13"/>
        <v>0</v>
      </c>
      <c r="L43" s="830">
        <f t="shared" si="13"/>
        <v>0</v>
      </c>
      <c r="M43" s="830">
        <f t="shared" si="13"/>
        <v>0</v>
      </c>
      <c r="N43" s="830">
        <f t="shared" si="13"/>
        <v>0</v>
      </c>
      <c r="O43" s="830">
        <f t="shared" si="13"/>
        <v>0</v>
      </c>
      <c r="P43" s="830">
        <f t="shared" si="8"/>
        <v>0</v>
      </c>
      <c r="Q43" s="830">
        <f t="shared" si="12"/>
        <v>0</v>
      </c>
      <c r="R43" s="830">
        <f t="shared" si="12"/>
        <v>0</v>
      </c>
      <c r="S43" s="830"/>
    </row>
    <row r="44" spans="1:47" s="593" customFormat="1" ht="12" hidden="1" thickBot="1">
      <c r="A44" s="581" t="s">
        <v>179</v>
      </c>
      <c r="B44" s="938" t="s">
        <v>1505</v>
      </c>
      <c r="C44" s="581" t="s">
        <v>434</v>
      </c>
      <c r="D44" s="830">
        <f t="shared" si="10"/>
        <v>0</v>
      </c>
      <c r="E44" s="830">
        <f t="shared" si="9"/>
        <v>0</v>
      </c>
      <c r="F44" s="830">
        <f t="shared" si="9"/>
        <v>0</v>
      </c>
      <c r="G44" s="830">
        <f t="shared" si="9"/>
        <v>0</v>
      </c>
      <c r="H44" s="830">
        <f t="shared" si="1"/>
        <v>0</v>
      </c>
      <c r="I44" s="830">
        <f t="shared" si="13"/>
        <v>0</v>
      </c>
      <c r="J44" s="830">
        <f t="shared" si="13"/>
        <v>0</v>
      </c>
      <c r="K44" s="830">
        <f t="shared" si="13"/>
        <v>0</v>
      </c>
      <c r="L44" s="830">
        <f t="shared" si="13"/>
        <v>0</v>
      </c>
      <c r="M44" s="830">
        <f t="shared" si="13"/>
        <v>0</v>
      </c>
      <c r="N44" s="830">
        <f t="shared" si="13"/>
        <v>0</v>
      </c>
      <c r="O44" s="830">
        <f t="shared" si="13"/>
        <v>0</v>
      </c>
      <c r="P44" s="830">
        <f t="shared" si="8"/>
        <v>0</v>
      </c>
      <c r="Q44" s="830">
        <f t="shared" si="12"/>
        <v>0</v>
      </c>
      <c r="R44" s="830">
        <f t="shared" si="12"/>
        <v>0</v>
      </c>
      <c r="S44" s="830"/>
    </row>
    <row r="45" spans="1:47" s="593" customFormat="1" ht="12" hidden="1" thickBot="1">
      <c r="A45" s="581" t="s">
        <v>179</v>
      </c>
      <c r="B45" s="938" t="s">
        <v>1505</v>
      </c>
      <c r="C45" s="587" t="s">
        <v>8</v>
      </c>
      <c r="D45" s="588"/>
      <c r="E45" s="589"/>
      <c r="F45" s="589"/>
      <c r="G45" s="589"/>
      <c r="H45" s="588"/>
      <c r="I45" s="590"/>
      <c r="J45" s="590"/>
      <c r="K45" s="590"/>
      <c r="L45" s="589"/>
      <c r="M45" s="589"/>
      <c r="N45" s="590"/>
      <c r="O45" s="590"/>
      <c r="P45" s="590"/>
      <c r="Q45" s="590"/>
      <c r="R45" s="589"/>
      <c r="S45" s="589"/>
    </row>
    <row r="46" spans="1:47" s="593" customFormat="1" ht="12" hidden="1" thickBot="1">
      <c r="A46" s="565"/>
      <c r="B46" s="566"/>
      <c r="C46" s="560"/>
      <c r="D46" s="541" t="s">
        <v>1</v>
      </c>
      <c r="E46" s="541" t="s">
        <v>644</v>
      </c>
      <c r="F46" s="541" t="s">
        <v>645</v>
      </c>
      <c r="G46" s="541" t="s">
        <v>646</v>
      </c>
      <c r="H46" s="541" t="s">
        <v>2</v>
      </c>
      <c r="I46" s="541" t="s">
        <v>468</v>
      </c>
      <c r="J46" s="541" t="s">
        <v>469</v>
      </c>
      <c r="K46" s="541" t="s">
        <v>470</v>
      </c>
      <c r="L46" s="541" t="s">
        <v>1368</v>
      </c>
      <c r="M46" s="541" t="s">
        <v>1369</v>
      </c>
      <c r="N46" s="541" t="s">
        <v>1159</v>
      </c>
      <c r="O46" s="541" t="s">
        <v>1370</v>
      </c>
      <c r="P46" s="541" t="s">
        <v>1371</v>
      </c>
      <c r="Q46" s="541" t="s">
        <v>1372</v>
      </c>
      <c r="R46" s="541" t="s">
        <v>1373</v>
      </c>
      <c r="S46" s="541" t="s">
        <v>3</v>
      </c>
    </row>
    <row r="47" spans="1:47" s="593" customFormat="1" ht="12" hidden="1" thickBot="1">
      <c r="A47" s="541" t="s">
        <v>69</v>
      </c>
      <c r="B47" s="541" t="s">
        <v>0</v>
      </c>
      <c r="C47" s="541" t="s">
        <v>5</v>
      </c>
      <c r="D47" s="560"/>
      <c r="E47" s="560" t="s">
        <v>6</v>
      </c>
      <c r="F47" s="560" t="s">
        <v>6</v>
      </c>
      <c r="G47" s="560" t="s">
        <v>6</v>
      </c>
      <c r="H47" s="560" t="s">
        <v>6</v>
      </c>
      <c r="I47" s="560"/>
      <c r="J47" s="560"/>
      <c r="K47" s="560"/>
      <c r="L47" s="560"/>
      <c r="M47" s="560"/>
      <c r="N47" s="560"/>
      <c r="O47" s="560"/>
      <c r="P47" s="560"/>
      <c r="Q47" s="560"/>
      <c r="R47" s="560"/>
      <c r="S47" s="560" t="s">
        <v>7</v>
      </c>
    </row>
    <row r="48" spans="1:47" s="593" customFormat="1" ht="12" hidden="1" thickBot="1">
      <c r="A48" s="541" t="s">
        <v>179</v>
      </c>
      <c r="B48" s="596" t="s">
        <v>1506</v>
      </c>
      <c r="C48" s="541" t="s">
        <v>152</v>
      </c>
      <c r="D48" s="830">
        <f t="shared" ref="D48:G69" si="14">ROUND(SUMIFS(D$495:D$866,$B$495:$B$866,$B48,$C$495:$C$866,$C48),0)</f>
        <v>32</v>
      </c>
      <c r="E48" s="830">
        <f t="shared" si="14"/>
        <v>0</v>
      </c>
      <c r="F48" s="830">
        <f t="shared" si="14"/>
        <v>0</v>
      </c>
      <c r="G48" s="830">
        <f t="shared" si="14"/>
        <v>0</v>
      </c>
      <c r="H48" s="830">
        <f t="shared" ref="H48:H85" si="15">ROUND(SUMIFS(H$495:H$866,$B$495:$B$866,$B48,$C$495:$C$866,$C48)*1000,0)</f>
        <v>130048832</v>
      </c>
      <c r="I48" s="830">
        <f t="shared" ref="I48:R48" si="16">ROUND(SUMIFS(I$495:I$866,$B$495:$B$866,$B48,$C$495:$C$866,$C48),0)</f>
        <v>0</v>
      </c>
      <c r="J48" s="830">
        <f t="shared" si="16"/>
        <v>0</v>
      </c>
      <c r="K48" s="830">
        <f t="shared" si="16"/>
        <v>0</v>
      </c>
      <c r="L48" s="830">
        <f t="shared" si="16"/>
        <v>0</v>
      </c>
      <c r="M48" s="830">
        <f t="shared" si="16"/>
        <v>0</v>
      </c>
      <c r="N48" s="830">
        <f t="shared" si="16"/>
        <v>0</v>
      </c>
      <c r="O48" s="830">
        <f t="shared" si="16"/>
        <v>313852</v>
      </c>
      <c r="P48" s="830">
        <f t="shared" si="16"/>
        <v>298405</v>
      </c>
      <c r="Q48" s="830">
        <f t="shared" si="16"/>
        <v>290558</v>
      </c>
      <c r="R48" s="830">
        <f t="shared" si="16"/>
        <v>0</v>
      </c>
      <c r="S48" s="830"/>
    </row>
    <row r="49" spans="1:19" s="593" customFormat="1" ht="12" hidden="1" thickBot="1">
      <c r="A49" s="541" t="s">
        <v>179</v>
      </c>
      <c r="B49" s="596" t="s">
        <v>1506</v>
      </c>
      <c r="C49" s="541" t="s">
        <v>153</v>
      </c>
      <c r="D49" s="830">
        <f t="shared" si="14"/>
        <v>195</v>
      </c>
      <c r="E49" s="830">
        <f t="shared" si="14"/>
        <v>0</v>
      </c>
      <c r="F49" s="830">
        <f t="shared" si="14"/>
        <v>0</v>
      </c>
      <c r="G49" s="830">
        <f t="shared" si="14"/>
        <v>0</v>
      </c>
      <c r="H49" s="830">
        <f t="shared" si="15"/>
        <v>17683176</v>
      </c>
      <c r="I49" s="830">
        <f t="shared" ref="I49:O58" si="17">ROUND(SUMIFS(I$495:I$866,$B$495:$B$866,$B49,$C$495:$C$866,$C49),0)</f>
        <v>0</v>
      </c>
      <c r="J49" s="830">
        <f t="shared" si="17"/>
        <v>0</v>
      </c>
      <c r="K49" s="830">
        <f t="shared" si="17"/>
        <v>0</v>
      </c>
      <c r="L49" s="830">
        <f t="shared" si="17"/>
        <v>0</v>
      </c>
      <c r="M49" s="830">
        <f t="shared" si="17"/>
        <v>0</v>
      </c>
      <c r="N49" s="830">
        <f t="shared" si="17"/>
        <v>0</v>
      </c>
      <c r="O49" s="830">
        <f t="shared" si="17"/>
        <v>0</v>
      </c>
      <c r="P49" s="830">
        <f t="shared" ref="P49:P50" si="18">R49</f>
        <v>54613</v>
      </c>
      <c r="Q49" s="830">
        <f t="shared" ref="Q49:R68" si="19">ROUND(SUMIFS(Q$495:Q$866,$B$495:$B$866,$B49,$C$495:$C$866,$C49),0)</f>
        <v>0</v>
      </c>
      <c r="R49" s="830">
        <f t="shared" si="19"/>
        <v>54613</v>
      </c>
      <c r="S49" s="830"/>
    </row>
    <row r="50" spans="1:19" s="593" customFormat="1" ht="12" hidden="1" thickBot="1">
      <c r="A50" s="541" t="s">
        <v>179</v>
      </c>
      <c r="B50" s="596" t="s">
        <v>1506</v>
      </c>
      <c r="C50" s="541" t="s">
        <v>154</v>
      </c>
      <c r="D50" s="830">
        <f t="shared" si="14"/>
        <v>4640</v>
      </c>
      <c r="E50" s="830">
        <f t="shared" si="14"/>
        <v>0</v>
      </c>
      <c r="F50" s="830">
        <f t="shared" si="14"/>
        <v>0</v>
      </c>
      <c r="G50" s="830">
        <f t="shared" si="14"/>
        <v>0</v>
      </c>
      <c r="H50" s="830">
        <f t="shared" si="15"/>
        <v>153360986</v>
      </c>
      <c r="I50" s="830">
        <f t="shared" si="17"/>
        <v>0</v>
      </c>
      <c r="J50" s="830">
        <f t="shared" si="17"/>
        <v>0</v>
      </c>
      <c r="K50" s="830">
        <f t="shared" si="17"/>
        <v>0</v>
      </c>
      <c r="L50" s="830">
        <f t="shared" si="17"/>
        <v>0</v>
      </c>
      <c r="M50" s="830">
        <f t="shared" si="17"/>
        <v>0</v>
      </c>
      <c r="N50" s="830">
        <f t="shared" si="17"/>
        <v>0</v>
      </c>
      <c r="O50" s="830">
        <f t="shared" si="17"/>
        <v>0</v>
      </c>
      <c r="P50" s="830">
        <f t="shared" si="18"/>
        <v>526967</v>
      </c>
      <c r="Q50" s="830">
        <f t="shared" si="19"/>
        <v>0</v>
      </c>
      <c r="R50" s="830">
        <f t="shared" si="19"/>
        <v>526967</v>
      </c>
      <c r="S50" s="830"/>
    </row>
    <row r="51" spans="1:19" s="593" customFormat="1" ht="12" hidden="1" thickBot="1">
      <c r="A51" s="541" t="s">
        <v>179</v>
      </c>
      <c r="B51" s="596" t="s">
        <v>1506</v>
      </c>
      <c r="C51" s="541" t="s">
        <v>155</v>
      </c>
      <c r="D51" s="830">
        <f t="shared" si="14"/>
        <v>52</v>
      </c>
      <c r="E51" s="830">
        <f t="shared" si="14"/>
        <v>0</v>
      </c>
      <c r="F51" s="830">
        <f t="shared" si="14"/>
        <v>0</v>
      </c>
      <c r="G51" s="830">
        <f t="shared" si="14"/>
        <v>0</v>
      </c>
      <c r="H51" s="830">
        <f t="shared" si="15"/>
        <v>231780500</v>
      </c>
      <c r="I51" s="830">
        <f t="shared" si="17"/>
        <v>0</v>
      </c>
      <c r="J51" s="830">
        <f t="shared" si="17"/>
        <v>0</v>
      </c>
      <c r="K51" s="830">
        <f t="shared" si="17"/>
        <v>0</v>
      </c>
      <c r="L51" s="830">
        <f t="shared" si="17"/>
        <v>0</v>
      </c>
      <c r="M51" s="830">
        <f t="shared" si="17"/>
        <v>0</v>
      </c>
      <c r="N51" s="830">
        <f t="shared" si="17"/>
        <v>0</v>
      </c>
      <c r="O51" s="830">
        <f t="shared" si="17"/>
        <v>519785</v>
      </c>
      <c r="P51" s="830">
        <f t="shared" ref="P51:P58" si="20">ROUND(SUMIFS(P$495:P$866,$B$495:$B$866,$B51,$C$495:$C$866,$C51),0)</f>
        <v>486707</v>
      </c>
      <c r="Q51" s="830">
        <f t="shared" si="19"/>
        <v>480301</v>
      </c>
      <c r="R51" s="830">
        <f t="shared" si="19"/>
        <v>0</v>
      </c>
      <c r="S51" s="830"/>
    </row>
    <row r="52" spans="1:19" s="593" customFormat="1" ht="12" hidden="1" thickBot="1">
      <c r="A52" s="541" t="s">
        <v>179</v>
      </c>
      <c r="B52" s="596" t="s">
        <v>1506</v>
      </c>
      <c r="C52" s="541" t="s">
        <v>156</v>
      </c>
      <c r="D52" s="830">
        <f t="shared" si="14"/>
        <v>0</v>
      </c>
      <c r="E52" s="830">
        <f t="shared" si="14"/>
        <v>0</v>
      </c>
      <c r="F52" s="830">
        <f t="shared" si="14"/>
        <v>0</v>
      </c>
      <c r="G52" s="830">
        <f t="shared" si="14"/>
        <v>0</v>
      </c>
      <c r="H52" s="830">
        <f t="shared" si="15"/>
        <v>0</v>
      </c>
      <c r="I52" s="830">
        <f t="shared" si="17"/>
        <v>0</v>
      </c>
      <c r="J52" s="830">
        <f t="shared" si="17"/>
        <v>0</v>
      </c>
      <c r="K52" s="830">
        <f t="shared" si="17"/>
        <v>0</v>
      </c>
      <c r="L52" s="830">
        <f t="shared" si="17"/>
        <v>0</v>
      </c>
      <c r="M52" s="830">
        <f t="shared" si="17"/>
        <v>0</v>
      </c>
      <c r="N52" s="830">
        <f t="shared" si="17"/>
        <v>0</v>
      </c>
      <c r="O52" s="830">
        <f t="shared" si="17"/>
        <v>0</v>
      </c>
      <c r="P52" s="830">
        <f t="shared" si="20"/>
        <v>0</v>
      </c>
      <c r="Q52" s="830">
        <f t="shared" si="19"/>
        <v>0</v>
      </c>
      <c r="R52" s="830">
        <f t="shared" si="19"/>
        <v>0</v>
      </c>
      <c r="S52" s="830"/>
    </row>
    <row r="53" spans="1:19" s="593" customFormat="1" ht="12" hidden="1" thickBot="1">
      <c r="A53" s="541" t="s">
        <v>179</v>
      </c>
      <c r="B53" s="596" t="s">
        <v>1506</v>
      </c>
      <c r="C53" s="541" t="s">
        <v>157</v>
      </c>
      <c r="D53" s="830">
        <f t="shared" si="14"/>
        <v>0</v>
      </c>
      <c r="E53" s="830">
        <f t="shared" si="14"/>
        <v>0</v>
      </c>
      <c r="F53" s="830">
        <f t="shared" si="14"/>
        <v>0</v>
      </c>
      <c r="G53" s="830">
        <f t="shared" si="14"/>
        <v>0</v>
      </c>
      <c r="H53" s="830">
        <f t="shared" si="15"/>
        <v>0</v>
      </c>
      <c r="I53" s="830">
        <f t="shared" si="17"/>
        <v>0</v>
      </c>
      <c r="J53" s="830">
        <f t="shared" si="17"/>
        <v>0</v>
      </c>
      <c r="K53" s="830">
        <f t="shared" si="17"/>
        <v>0</v>
      </c>
      <c r="L53" s="830">
        <f t="shared" si="17"/>
        <v>0</v>
      </c>
      <c r="M53" s="830">
        <f t="shared" si="17"/>
        <v>0</v>
      </c>
      <c r="N53" s="830">
        <f t="shared" si="17"/>
        <v>0</v>
      </c>
      <c r="O53" s="830">
        <f t="shared" si="17"/>
        <v>0</v>
      </c>
      <c r="P53" s="830">
        <f t="shared" si="20"/>
        <v>0</v>
      </c>
      <c r="Q53" s="830">
        <f t="shared" si="19"/>
        <v>0</v>
      </c>
      <c r="R53" s="830">
        <f t="shared" si="19"/>
        <v>0</v>
      </c>
      <c r="S53" s="830"/>
    </row>
    <row r="54" spans="1:19" s="593" customFormat="1" ht="12" hidden="1" thickBot="1">
      <c r="A54" s="541" t="s">
        <v>179</v>
      </c>
      <c r="B54" s="596" t="s">
        <v>1506</v>
      </c>
      <c r="C54" s="541" t="s">
        <v>158</v>
      </c>
      <c r="D54" s="830">
        <f t="shared" si="14"/>
        <v>205</v>
      </c>
      <c r="E54" s="830">
        <f t="shared" si="14"/>
        <v>0</v>
      </c>
      <c r="F54" s="830">
        <f t="shared" si="14"/>
        <v>0</v>
      </c>
      <c r="G54" s="830">
        <f t="shared" si="14"/>
        <v>0</v>
      </c>
      <c r="H54" s="830">
        <f t="shared" si="15"/>
        <v>97557303</v>
      </c>
      <c r="I54" s="830">
        <f t="shared" si="17"/>
        <v>0</v>
      </c>
      <c r="J54" s="830">
        <f t="shared" si="17"/>
        <v>0</v>
      </c>
      <c r="K54" s="830">
        <f t="shared" si="17"/>
        <v>0</v>
      </c>
      <c r="L54" s="830">
        <f t="shared" si="17"/>
        <v>0</v>
      </c>
      <c r="M54" s="830">
        <f t="shared" si="17"/>
        <v>0</v>
      </c>
      <c r="N54" s="830">
        <f t="shared" si="17"/>
        <v>0</v>
      </c>
      <c r="O54" s="830">
        <f t="shared" si="17"/>
        <v>263568</v>
      </c>
      <c r="P54" s="830">
        <f t="shared" si="20"/>
        <v>249792</v>
      </c>
      <c r="Q54" s="830">
        <f t="shared" si="19"/>
        <v>246265</v>
      </c>
      <c r="R54" s="830">
        <f t="shared" si="19"/>
        <v>0</v>
      </c>
      <c r="S54" s="830"/>
    </row>
    <row r="55" spans="1:19" s="593" customFormat="1" ht="12" hidden="1" thickBot="1">
      <c r="A55" s="541" t="s">
        <v>179</v>
      </c>
      <c r="B55" s="596" t="s">
        <v>1506</v>
      </c>
      <c r="C55" s="541" t="s">
        <v>159</v>
      </c>
      <c r="D55" s="830">
        <f t="shared" si="14"/>
        <v>468</v>
      </c>
      <c r="E55" s="830">
        <f t="shared" si="14"/>
        <v>0</v>
      </c>
      <c r="F55" s="830">
        <f t="shared" si="14"/>
        <v>0</v>
      </c>
      <c r="G55" s="830">
        <f t="shared" si="14"/>
        <v>0</v>
      </c>
      <c r="H55" s="830">
        <f t="shared" si="15"/>
        <v>120135692</v>
      </c>
      <c r="I55" s="830">
        <f t="shared" si="17"/>
        <v>0</v>
      </c>
      <c r="J55" s="830">
        <f t="shared" si="17"/>
        <v>0</v>
      </c>
      <c r="K55" s="830">
        <f t="shared" si="17"/>
        <v>0</v>
      </c>
      <c r="L55" s="830">
        <f t="shared" si="17"/>
        <v>0</v>
      </c>
      <c r="M55" s="830">
        <f t="shared" si="17"/>
        <v>0</v>
      </c>
      <c r="N55" s="830">
        <f t="shared" si="17"/>
        <v>0</v>
      </c>
      <c r="O55" s="830">
        <f t="shared" si="17"/>
        <v>307137</v>
      </c>
      <c r="P55" s="830">
        <f t="shared" si="20"/>
        <v>279740</v>
      </c>
      <c r="Q55" s="830">
        <f t="shared" si="19"/>
        <v>273474</v>
      </c>
      <c r="R55" s="830">
        <f t="shared" si="19"/>
        <v>0</v>
      </c>
      <c r="S55" s="830"/>
    </row>
    <row r="56" spans="1:19" s="593" customFormat="1" ht="12" hidden="1" thickBot="1">
      <c r="A56" s="541" t="s">
        <v>179</v>
      </c>
      <c r="B56" s="596" t="s">
        <v>1506</v>
      </c>
      <c r="C56" s="541" t="s">
        <v>161</v>
      </c>
      <c r="D56" s="830">
        <f t="shared" si="14"/>
        <v>63545</v>
      </c>
      <c r="E56" s="830">
        <f t="shared" si="14"/>
        <v>0</v>
      </c>
      <c r="F56" s="830">
        <f t="shared" si="14"/>
        <v>0</v>
      </c>
      <c r="G56" s="830">
        <f t="shared" si="14"/>
        <v>0</v>
      </c>
      <c r="H56" s="830">
        <f t="shared" si="15"/>
        <v>68222048</v>
      </c>
      <c r="I56" s="830">
        <f t="shared" si="17"/>
        <v>0</v>
      </c>
      <c r="J56" s="830">
        <f t="shared" si="17"/>
        <v>0</v>
      </c>
      <c r="K56" s="830">
        <f t="shared" si="17"/>
        <v>0</v>
      </c>
      <c r="L56" s="830">
        <f t="shared" si="17"/>
        <v>0</v>
      </c>
      <c r="M56" s="830">
        <f t="shared" si="17"/>
        <v>0</v>
      </c>
      <c r="N56" s="830">
        <f t="shared" si="17"/>
        <v>0</v>
      </c>
      <c r="O56" s="830">
        <f t="shared" si="17"/>
        <v>0</v>
      </c>
      <c r="P56" s="830">
        <f t="shared" si="20"/>
        <v>0</v>
      </c>
      <c r="Q56" s="830">
        <f t="shared" si="19"/>
        <v>0</v>
      </c>
      <c r="R56" s="830">
        <f t="shared" si="19"/>
        <v>0</v>
      </c>
      <c r="S56" s="830"/>
    </row>
    <row r="57" spans="1:19" s="593" customFormat="1" ht="12" hidden="1" thickBot="1">
      <c r="A57" s="541" t="s">
        <v>179</v>
      </c>
      <c r="B57" s="596" t="s">
        <v>1506</v>
      </c>
      <c r="C57" s="541" t="s">
        <v>162</v>
      </c>
      <c r="D57" s="830">
        <f t="shared" si="14"/>
        <v>0</v>
      </c>
      <c r="E57" s="830">
        <f t="shared" si="14"/>
        <v>0</v>
      </c>
      <c r="F57" s="830">
        <f t="shared" si="14"/>
        <v>0</v>
      </c>
      <c r="G57" s="830">
        <f t="shared" si="14"/>
        <v>0</v>
      </c>
      <c r="H57" s="830">
        <f t="shared" si="15"/>
        <v>0</v>
      </c>
      <c r="I57" s="830">
        <f t="shared" si="17"/>
        <v>0</v>
      </c>
      <c r="J57" s="830">
        <f t="shared" si="17"/>
        <v>0</v>
      </c>
      <c r="K57" s="830">
        <f t="shared" si="17"/>
        <v>0</v>
      </c>
      <c r="L57" s="830">
        <f t="shared" si="17"/>
        <v>0</v>
      </c>
      <c r="M57" s="830">
        <f t="shared" si="17"/>
        <v>0</v>
      </c>
      <c r="N57" s="830">
        <f t="shared" si="17"/>
        <v>0</v>
      </c>
      <c r="O57" s="830">
        <f t="shared" si="17"/>
        <v>0</v>
      </c>
      <c r="P57" s="830">
        <f t="shared" si="20"/>
        <v>0</v>
      </c>
      <c r="Q57" s="830">
        <f t="shared" si="19"/>
        <v>0</v>
      </c>
      <c r="R57" s="830">
        <f t="shared" si="19"/>
        <v>0</v>
      </c>
      <c r="S57" s="830"/>
    </row>
    <row r="58" spans="1:19" s="593" customFormat="1" ht="12" hidden="1" thickBot="1">
      <c r="A58" s="541" t="s">
        <v>179</v>
      </c>
      <c r="B58" s="596" t="s">
        <v>1506</v>
      </c>
      <c r="C58" s="541" t="s">
        <v>163</v>
      </c>
      <c r="D58" s="830">
        <f t="shared" si="14"/>
        <v>18575</v>
      </c>
      <c r="E58" s="830">
        <f t="shared" si="14"/>
        <v>0</v>
      </c>
      <c r="F58" s="830">
        <f t="shared" si="14"/>
        <v>0</v>
      </c>
      <c r="G58" s="830">
        <f t="shared" si="14"/>
        <v>0</v>
      </c>
      <c r="H58" s="830">
        <f t="shared" si="15"/>
        <v>99957153</v>
      </c>
      <c r="I58" s="830">
        <f t="shared" si="17"/>
        <v>0</v>
      </c>
      <c r="J58" s="830">
        <f t="shared" si="17"/>
        <v>0</v>
      </c>
      <c r="K58" s="830">
        <f t="shared" si="17"/>
        <v>0</v>
      </c>
      <c r="L58" s="830">
        <f t="shared" si="17"/>
        <v>0</v>
      </c>
      <c r="M58" s="830">
        <f t="shared" si="17"/>
        <v>0</v>
      </c>
      <c r="N58" s="830">
        <f t="shared" si="17"/>
        <v>0</v>
      </c>
      <c r="O58" s="830">
        <f>R58</f>
        <v>412611</v>
      </c>
      <c r="P58" s="830">
        <f t="shared" si="20"/>
        <v>0</v>
      </c>
      <c r="Q58" s="830">
        <f t="shared" si="19"/>
        <v>0</v>
      </c>
      <c r="R58" s="830">
        <f t="shared" si="19"/>
        <v>412611</v>
      </c>
      <c r="S58" s="830"/>
    </row>
    <row r="59" spans="1:19" s="593" customFormat="1" ht="12" hidden="1" thickBot="1">
      <c r="A59" s="541" t="s">
        <v>179</v>
      </c>
      <c r="B59" s="596" t="s">
        <v>1506</v>
      </c>
      <c r="C59" s="541" t="s">
        <v>164</v>
      </c>
      <c r="D59" s="830">
        <f t="shared" si="14"/>
        <v>373</v>
      </c>
      <c r="E59" s="830">
        <f t="shared" si="14"/>
        <v>0</v>
      </c>
      <c r="F59" s="830">
        <f t="shared" si="14"/>
        <v>0</v>
      </c>
      <c r="G59" s="830">
        <f t="shared" si="14"/>
        <v>0</v>
      </c>
      <c r="H59" s="830">
        <f t="shared" si="15"/>
        <v>719702</v>
      </c>
      <c r="I59" s="830">
        <f t="shared" ref="I59:O68" si="21">ROUND(SUMIFS(I$495:I$866,$B$495:$B$866,$B59,$C$495:$C$866,$C59),0)</f>
        <v>0</v>
      </c>
      <c r="J59" s="830">
        <f t="shared" si="21"/>
        <v>0</v>
      </c>
      <c r="K59" s="830">
        <f t="shared" si="21"/>
        <v>0</v>
      </c>
      <c r="L59" s="830">
        <f t="shared" si="21"/>
        <v>0</v>
      </c>
      <c r="M59" s="830">
        <f t="shared" si="21"/>
        <v>0</v>
      </c>
      <c r="N59" s="830">
        <f t="shared" si="21"/>
        <v>0</v>
      </c>
      <c r="O59" s="830">
        <f t="shared" si="21"/>
        <v>0</v>
      </c>
      <c r="P59" s="830">
        <f t="shared" ref="P59:P81" si="22">ROUND(SUMIFS(P$495:P$866,$B$495:$B$866,$B59,$C$495:$C$866,$C59),0)</f>
        <v>0</v>
      </c>
      <c r="Q59" s="830">
        <f t="shared" si="19"/>
        <v>0</v>
      </c>
      <c r="R59" s="830">
        <f t="shared" si="19"/>
        <v>0</v>
      </c>
      <c r="S59" s="830"/>
    </row>
    <row r="60" spans="1:19" s="593" customFormat="1" ht="12" hidden="1" thickBot="1">
      <c r="A60" s="541" t="s">
        <v>179</v>
      </c>
      <c r="B60" s="596" t="s">
        <v>1506</v>
      </c>
      <c r="C60" s="541" t="s">
        <v>174</v>
      </c>
      <c r="D60" s="830">
        <f t="shared" si="14"/>
        <v>430450</v>
      </c>
      <c r="E60" s="830">
        <f t="shared" si="14"/>
        <v>0</v>
      </c>
      <c r="F60" s="830">
        <f t="shared" si="14"/>
        <v>0</v>
      </c>
      <c r="G60" s="830">
        <f t="shared" si="14"/>
        <v>0</v>
      </c>
      <c r="H60" s="830">
        <f t="shared" si="15"/>
        <v>640535387</v>
      </c>
      <c r="I60" s="830">
        <f t="shared" si="21"/>
        <v>0</v>
      </c>
      <c r="J60" s="830">
        <f t="shared" si="21"/>
        <v>0</v>
      </c>
      <c r="K60" s="830">
        <f t="shared" si="21"/>
        <v>0</v>
      </c>
      <c r="L60" s="830">
        <f t="shared" si="21"/>
        <v>0</v>
      </c>
      <c r="M60" s="830">
        <f t="shared" si="21"/>
        <v>0</v>
      </c>
      <c r="N60" s="830">
        <f t="shared" si="21"/>
        <v>0</v>
      </c>
      <c r="O60" s="830">
        <f t="shared" si="21"/>
        <v>0</v>
      </c>
      <c r="P60" s="830">
        <f t="shared" si="22"/>
        <v>0</v>
      </c>
      <c r="Q60" s="830">
        <f t="shared" si="19"/>
        <v>0</v>
      </c>
      <c r="R60" s="830">
        <f t="shared" si="19"/>
        <v>0</v>
      </c>
      <c r="S60" s="830"/>
    </row>
    <row r="61" spans="1:19" s="593" customFormat="1" ht="12" hidden="1" thickBot="1">
      <c r="A61" s="541" t="s">
        <v>179</v>
      </c>
      <c r="B61" s="596" t="s">
        <v>1506</v>
      </c>
      <c r="C61" s="541" t="s">
        <v>175</v>
      </c>
      <c r="D61" s="830">
        <f t="shared" si="14"/>
        <v>0</v>
      </c>
      <c r="E61" s="830">
        <f t="shared" si="14"/>
        <v>0</v>
      </c>
      <c r="F61" s="830">
        <f t="shared" si="14"/>
        <v>0</v>
      </c>
      <c r="G61" s="830">
        <f t="shared" si="14"/>
        <v>0</v>
      </c>
      <c r="H61" s="830">
        <f t="shared" si="15"/>
        <v>0</v>
      </c>
      <c r="I61" s="830">
        <f t="shared" si="21"/>
        <v>0</v>
      </c>
      <c r="J61" s="830">
        <f t="shared" si="21"/>
        <v>0</v>
      </c>
      <c r="K61" s="830">
        <f t="shared" si="21"/>
        <v>0</v>
      </c>
      <c r="L61" s="830">
        <f t="shared" si="21"/>
        <v>0</v>
      </c>
      <c r="M61" s="830">
        <f t="shared" si="21"/>
        <v>0</v>
      </c>
      <c r="N61" s="830">
        <f t="shared" si="21"/>
        <v>0</v>
      </c>
      <c r="O61" s="830">
        <f t="shared" si="21"/>
        <v>0</v>
      </c>
      <c r="P61" s="830">
        <f t="shared" si="22"/>
        <v>0</v>
      </c>
      <c r="Q61" s="830">
        <f t="shared" si="19"/>
        <v>0</v>
      </c>
      <c r="R61" s="830">
        <f t="shared" si="19"/>
        <v>0</v>
      </c>
      <c r="S61" s="830"/>
    </row>
    <row r="62" spans="1:19" s="593" customFormat="1" ht="12" hidden="1" thickBot="1">
      <c r="A62" s="541" t="s">
        <v>179</v>
      </c>
      <c r="B62" s="596" t="s">
        <v>1506</v>
      </c>
      <c r="C62" s="541" t="s">
        <v>176</v>
      </c>
      <c r="D62" s="830">
        <f t="shared" si="14"/>
        <v>0</v>
      </c>
      <c r="E62" s="830">
        <f t="shared" si="14"/>
        <v>0</v>
      </c>
      <c r="F62" s="830">
        <f t="shared" si="14"/>
        <v>0</v>
      </c>
      <c r="G62" s="830">
        <f t="shared" si="14"/>
        <v>0</v>
      </c>
      <c r="H62" s="830">
        <f t="shared" si="15"/>
        <v>0</v>
      </c>
      <c r="I62" s="830">
        <f t="shared" si="21"/>
        <v>0</v>
      </c>
      <c r="J62" s="830">
        <f t="shared" si="21"/>
        <v>0</v>
      </c>
      <c r="K62" s="830">
        <f t="shared" si="21"/>
        <v>0</v>
      </c>
      <c r="L62" s="830">
        <f t="shared" si="21"/>
        <v>0</v>
      </c>
      <c r="M62" s="830">
        <f t="shared" si="21"/>
        <v>0</v>
      </c>
      <c r="N62" s="830">
        <f t="shared" si="21"/>
        <v>0</v>
      </c>
      <c r="O62" s="830">
        <f t="shared" si="21"/>
        <v>0</v>
      </c>
      <c r="P62" s="830">
        <f t="shared" si="22"/>
        <v>0</v>
      </c>
      <c r="Q62" s="830">
        <f t="shared" si="19"/>
        <v>0</v>
      </c>
      <c r="R62" s="830">
        <f t="shared" si="19"/>
        <v>0</v>
      </c>
      <c r="S62" s="830"/>
    </row>
    <row r="63" spans="1:19" s="593" customFormat="1" ht="12" hidden="1" thickBot="1">
      <c r="A63" s="541" t="s">
        <v>179</v>
      </c>
      <c r="B63" s="596" t="s">
        <v>1506</v>
      </c>
      <c r="C63" s="541" t="s">
        <v>177</v>
      </c>
      <c r="D63" s="830">
        <f t="shared" si="14"/>
        <v>0</v>
      </c>
      <c r="E63" s="830">
        <f t="shared" si="14"/>
        <v>0</v>
      </c>
      <c r="F63" s="830">
        <f t="shared" si="14"/>
        <v>0</v>
      </c>
      <c r="G63" s="830">
        <f t="shared" si="14"/>
        <v>0</v>
      </c>
      <c r="H63" s="830">
        <f t="shared" si="15"/>
        <v>0</v>
      </c>
      <c r="I63" s="830">
        <f t="shared" si="21"/>
        <v>0</v>
      </c>
      <c r="J63" s="830">
        <f t="shared" si="21"/>
        <v>0</v>
      </c>
      <c r="K63" s="830">
        <f t="shared" si="21"/>
        <v>0</v>
      </c>
      <c r="L63" s="830">
        <f t="shared" si="21"/>
        <v>0</v>
      </c>
      <c r="M63" s="830">
        <f t="shared" si="21"/>
        <v>0</v>
      </c>
      <c r="N63" s="830">
        <f t="shared" si="21"/>
        <v>0</v>
      </c>
      <c r="O63" s="830">
        <f t="shared" si="21"/>
        <v>0</v>
      </c>
      <c r="P63" s="830">
        <f t="shared" si="22"/>
        <v>0</v>
      </c>
      <c r="Q63" s="830">
        <f t="shared" si="19"/>
        <v>0</v>
      </c>
      <c r="R63" s="830">
        <f t="shared" si="19"/>
        <v>0</v>
      </c>
      <c r="S63" s="830"/>
    </row>
    <row r="64" spans="1:19" s="593" customFormat="1" ht="12" hidden="1" thickBot="1">
      <c r="A64" s="541" t="s">
        <v>179</v>
      </c>
      <c r="B64" s="596" t="s">
        <v>1506</v>
      </c>
      <c r="C64" s="541" t="s">
        <v>178</v>
      </c>
      <c r="D64" s="830">
        <f t="shared" si="14"/>
        <v>0</v>
      </c>
      <c r="E64" s="830">
        <f t="shared" si="14"/>
        <v>0</v>
      </c>
      <c r="F64" s="830">
        <f t="shared" si="14"/>
        <v>0</v>
      </c>
      <c r="G64" s="830">
        <f t="shared" si="14"/>
        <v>0</v>
      </c>
      <c r="H64" s="830">
        <f t="shared" si="15"/>
        <v>0</v>
      </c>
      <c r="I64" s="830">
        <f t="shared" si="21"/>
        <v>0</v>
      </c>
      <c r="J64" s="830">
        <f t="shared" si="21"/>
        <v>0</v>
      </c>
      <c r="K64" s="830">
        <f t="shared" si="21"/>
        <v>0</v>
      </c>
      <c r="L64" s="830">
        <f t="shared" si="21"/>
        <v>0</v>
      </c>
      <c r="M64" s="830">
        <f t="shared" si="21"/>
        <v>0</v>
      </c>
      <c r="N64" s="830">
        <f t="shared" si="21"/>
        <v>0</v>
      </c>
      <c r="O64" s="830">
        <f t="shared" si="21"/>
        <v>0</v>
      </c>
      <c r="P64" s="830">
        <f t="shared" si="22"/>
        <v>0</v>
      </c>
      <c r="Q64" s="830">
        <f t="shared" si="19"/>
        <v>0</v>
      </c>
      <c r="R64" s="830">
        <f t="shared" si="19"/>
        <v>0</v>
      </c>
      <c r="S64" s="830"/>
    </row>
    <row r="65" spans="1:53" s="593" customFormat="1" ht="12" hidden="1" thickBot="1">
      <c r="A65" s="541" t="s">
        <v>179</v>
      </c>
      <c r="B65" s="596" t="s">
        <v>1506</v>
      </c>
      <c r="C65" s="541" t="s">
        <v>434</v>
      </c>
      <c r="D65" s="830">
        <f t="shared" si="14"/>
        <v>0</v>
      </c>
      <c r="E65" s="830">
        <f t="shared" si="14"/>
        <v>0</v>
      </c>
      <c r="F65" s="830">
        <f t="shared" si="14"/>
        <v>0</v>
      </c>
      <c r="G65" s="830">
        <f t="shared" si="14"/>
        <v>0</v>
      </c>
      <c r="H65" s="830">
        <f t="shared" si="15"/>
        <v>0</v>
      </c>
      <c r="I65" s="830">
        <f t="shared" si="21"/>
        <v>0</v>
      </c>
      <c r="J65" s="830">
        <f t="shared" si="21"/>
        <v>0</v>
      </c>
      <c r="K65" s="830">
        <f t="shared" si="21"/>
        <v>0</v>
      </c>
      <c r="L65" s="830">
        <f t="shared" si="21"/>
        <v>0</v>
      </c>
      <c r="M65" s="830">
        <f t="shared" si="21"/>
        <v>0</v>
      </c>
      <c r="N65" s="830">
        <f t="shared" si="21"/>
        <v>0</v>
      </c>
      <c r="O65" s="830">
        <f t="shared" si="21"/>
        <v>0</v>
      </c>
      <c r="P65" s="830">
        <f t="shared" si="22"/>
        <v>0</v>
      </c>
      <c r="Q65" s="830">
        <f t="shared" si="19"/>
        <v>0</v>
      </c>
      <c r="R65" s="830">
        <f t="shared" si="19"/>
        <v>0</v>
      </c>
      <c r="S65" s="830"/>
    </row>
    <row r="66" spans="1:53" s="593" customFormat="1" ht="12" hidden="1" thickBot="1">
      <c r="A66" s="541" t="s">
        <v>179</v>
      </c>
      <c r="B66" s="596" t="s">
        <v>1506</v>
      </c>
      <c r="C66" s="541" t="s">
        <v>424</v>
      </c>
      <c r="D66" s="830">
        <f t="shared" si="14"/>
        <v>0</v>
      </c>
      <c r="E66" s="830">
        <f t="shared" si="14"/>
        <v>0</v>
      </c>
      <c r="F66" s="830">
        <f t="shared" si="14"/>
        <v>0</v>
      </c>
      <c r="G66" s="830">
        <f t="shared" si="14"/>
        <v>0</v>
      </c>
      <c r="H66" s="830">
        <f t="shared" si="15"/>
        <v>0</v>
      </c>
      <c r="I66" s="830">
        <f t="shared" si="21"/>
        <v>0</v>
      </c>
      <c r="J66" s="830">
        <f t="shared" si="21"/>
        <v>0</v>
      </c>
      <c r="K66" s="830">
        <f t="shared" si="21"/>
        <v>0</v>
      </c>
      <c r="L66" s="830">
        <f t="shared" si="21"/>
        <v>0</v>
      </c>
      <c r="M66" s="830">
        <f t="shared" si="21"/>
        <v>0</v>
      </c>
      <c r="N66" s="830">
        <f t="shared" si="21"/>
        <v>0</v>
      </c>
      <c r="O66" s="830">
        <f t="shared" si="21"/>
        <v>0</v>
      </c>
      <c r="P66" s="830">
        <f t="shared" si="22"/>
        <v>0</v>
      </c>
      <c r="Q66" s="830">
        <f t="shared" si="19"/>
        <v>0</v>
      </c>
      <c r="R66" s="830">
        <f t="shared" si="19"/>
        <v>0</v>
      </c>
      <c r="S66" s="830"/>
    </row>
    <row r="67" spans="1:53" s="593" customFormat="1" ht="12" hidden="1" thickBot="1">
      <c r="A67" s="541" t="s">
        <v>179</v>
      </c>
      <c r="B67" s="596" t="s">
        <v>1506</v>
      </c>
      <c r="C67" s="541" t="s">
        <v>425</v>
      </c>
      <c r="D67" s="830">
        <f t="shared" si="14"/>
        <v>0</v>
      </c>
      <c r="E67" s="830">
        <f t="shared" si="14"/>
        <v>0</v>
      </c>
      <c r="F67" s="830">
        <f t="shared" si="14"/>
        <v>0</v>
      </c>
      <c r="G67" s="830">
        <f t="shared" si="14"/>
        <v>0</v>
      </c>
      <c r="H67" s="830">
        <f t="shared" si="15"/>
        <v>0</v>
      </c>
      <c r="I67" s="830">
        <f t="shared" si="21"/>
        <v>0</v>
      </c>
      <c r="J67" s="830">
        <f t="shared" si="21"/>
        <v>0</v>
      </c>
      <c r="K67" s="830">
        <f t="shared" si="21"/>
        <v>0</v>
      </c>
      <c r="L67" s="830">
        <f t="shared" si="21"/>
        <v>0</v>
      </c>
      <c r="M67" s="830">
        <f t="shared" si="21"/>
        <v>0</v>
      </c>
      <c r="N67" s="830">
        <f t="shared" si="21"/>
        <v>0</v>
      </c>
      <c r="O67" s="830">
        <f t="shared" si="21"/>
        <v>0</v>
      </c>
      <c r="P67" s="830">
        <f t="shared" si="22"/>
        <v>0</v>
      </c>
      <c r="Q67" s="830">
        <f t="shared" si="19"/>
        <v>0</v>
      </c>
      <c r="R67" s="830">
        <f t="shared" si="19"/>
        <v>0</v>
      </c>
      <c r="S67" s="830"/>
    </row>
    <row r="68" spans="1:53" s="593" customFormat="1" ht="12" hidden="1" thickBot="1">
      <c r="A68" s="541" t="s">
        <v>179</v>
      </c>
      <c r="B68" s="596" t="s">
        <v>1506</v>
      </c>
      <c r="C68" s="541" t="s">
        <v>169</v>
      </c>
      <c r="D68" s="830">
        <f t="shared" si="14"/>
        <v>0</v>
      </c>
      <c r="E68" s="830">
        <f t="shared" si="14"/>
        <v>0</v>
      </c>
      <c r="F68" s="830">
        <f t="shared" si="14"/>
        <v>0</v>
      </c>
      <c r="G68" s="830">
        <f t="shared" si="14"/>
        <v>0</v>
      </c>
      <c r="H68" s="830">
        <f t="shared" si="15"/>
        <v>0</v>
      </c>
      <c r="I68" s="830">
        <f t="shared" si="21"/>
        <v>0</v>
      </c>
      <c r="J68" s="830">
        <f t="shared" si="21"/>
        <v>0</v>
      </c>
      <c r="K68" s="830">
        <f t="shared" si="21"/>
        <v>0</v>
      </c>
      <c r="L68" s="830">
        <f t="shared" si="21"/>
        <v>0</v>
      </c>
      <c r="M68" s="830">
        <f t="shared" si="21"/>
        <v>0</v>
      </c>
      <c r="N68" s="830">
        <f t="shared" si="21"/>
        <v>0</v>
      </c>
      <c r="O68" s="830">
        <f t="shared" si="21"/>
        <v>0</v>
      </c>
      <c r="P68" s="830">
        <f t="shared" si="22"/>
        <v>0</v>
      </c>
      <c r="Q68" s="830">
        <f t="shared" si="19"/>
        <v>0</v>
      </c>
      <c r="R68" s="830">
        <f t="shared" si="19"/>
        <v>0</v>
      </c>
      <c r="S68" s="830"/>
    </row>
    <row r="69" spans="1:53" s="593" customFormat="1" ht="12" hidden="1" thickBot="1">
      <c r="A69" s="541" t="s">
        <v>179</v>
      </c>
      <c r="B69" s="596" t="s">
        <v>1506</v>
      </c>
      <c r="C69" s="541" t="s">
        <v>173</v>
      </c>
      <c r="D69" s="830">
        <f t="shared" si="14"/>
        <v>1</v>
      </c>
      <c r="E69" s="830">
        <f t="shared" si="14"/>
        <v>0</v>
      </c>
      <c r="F69" s="830">
        <f t="shared" si="14"/>
        <v>0</v>
      </c>
      <c r="G69" s="830">
        <f t="shared" si="14"/>
        <v>0</v>
      </c>
      <c r="H69" s="830">
        <f t="shared" si="15"/>
        <v>46508169</v>
      </c>
      <c r="I69" s="830">
        <f t="shared" ref="I69:O78" si="23">ROUND(SUMIFS(I$495:I$866,$B$495:$B$866,$B69,$C$495:$C$866,$C69),0)</f>
        <v>0</v>
      </c>
      <c r="J69" s="830">
        <f t="shared" si="23"/>
        <v>0</v>
      </c>
      <c r="K69" s="830">
        <f t="shared" si="23"/>
        <v>0</v>
      </c>
      <c r="L69" s="830">
        <f t="shared" si="23"/>
        <v>0</v>
      </c>
      <c r="M69" s="830">
        <f t="shared" si="23"/>
        <v>0</v>
      </c>
      <c r="N69" s="830">
        <f t="shared" si="23"/>
        <v>0</v>
      </c>
      <c r="O69" s="830">
        <f t="shared" si="23"/>
        <v>185158</v>
      </c>
      <c r="P69" s="830">
        <f t="shared" si="22"/>
        <v>185158</v>
      </c>
      <c r="Q69" s="830">
        <f t="shared" ref="Q69:R85" si="24">ROUND(SUMIFS(Q$495:Q$866,$B$495:$B$866,$B69,$C$495:$C$866,$C69),0)</f>
        <v>101388</v>
      </c>
      <c r="R69" s="830">
        <f t="shared" si="24"/>
        <v>0</v>
      </c>
      <c r="S69" s="830"/>
    </row>
    <row r="70" spans="1:53" s="593" customFormat="1" ht="12" hidden="1" thickBot="1">
      <c r="A70" s="541" t="s">
        <v>179</v>
      </c>
      <c r="B70" s="596" t="s">
        <v>1506</v>
      </c>
      <c r="C70" s="541" t="s">
        <v>217</v>
      </c>
      <c r="D70" s="830">
        <v>2</v>
      </c>
      <c r="E70" s="830">
        <f t="shared" ref="E70:G85" si="25">ROUND(SUMIFS(E$495:E$866,$B$495:$B$866,$B70,$C$495:$C$866,$C70),0)</f>
        <v>0</v>
      </c>
      <c r="F70" s="830">
        <f t="shared" si="25"/>
        <v>0</v>
      </c>
      <c r="G70" s="830">
        <f t="shared" si="25"/>
        <v>0</v>
      </c>
      <c r="H70" s="830">
        <f t="shared" si="15"/>
        <v>11656</v>
      </c>
      <c r="I70" s="830">
        <f t="shared" si="23"/>
        <v>0</v>
      </c>
      <c r="J70" s="830">
        <f t="shared" si="23"/>
        <v>0</v>
      </c>
      <c r="K70" s="830">
        <f t="shared" si="23"/>
        <v>0</v>
      </c>
      <c r="L70" s="830">
        <f t="shared" si="23"/>
        <v>0</v>
      </c>
      <c r="M70" s="830">
        <f t="shared" si="23"/>
        <v>0</v>
      </c>
      <c r="N70" s="830">
        <f t="shared" si="23"/>
        <v>0</v>
      </c>
      <c r="O70" s="830">
        <f t="shared" si="23"/>
        <v>0</v>
      </c>
      <c r="P70" s="830">
        <f t="shared" si="22"/>
        <v>0</v>
      </c>
      <c r="Q70" s="830">
        <f t="shared" si="24"/>
        <v>0</v>
      </c>
      <c r="R70" s="830">
        <f t="shared" si="24"/>
        <v>0</v>
      </c>
      <c r="S70" s="830"/>
    </row>
    <row r="71" spans="1:53" s="593" customFormat="1" ht="12" hidden="1" thickBot="1">
      <c r="A71" s="541" t="s">
        <v>179</v>
      </c>
      <c r="B71" s="596" t="s">
        <v>1506</v>
      </c>
      <c r="C71" s="541" t="s">
        <v>216</v>
      </c>
      <c r="D71" s="830">
        <f t="shared" ref="D71:D85" si="26">ROUND(SUMIFS(D$495:D$866,$B$495:$B$866,$B71,$C$495:$C$866,$C71),0)</f>
        <v>0</v>
      </c>
      <c r="E71" s="830">
        <f t="shared" si="25"/>
        <v>0</v>
      </c>
      <c r="F71" s="830">
        <f t="shared" si="25"/>
        <v>0</v>
      </c>
      <c r="G71" s="830">
        <f t="shared" si="25"/>
        <v>0</v>
      </c>
      <c r="H71" s="830">
        <f t="shared" si="15"/>
        <v>0</v>
      </c>
      <c r="I71" s="830">
        <f t="shared" si="23"/>
        <v>0</v>
      </c>
      <c r="J71" s="830">
        <f t="shared" si="23"/>
        <v>0</v>
      </c>
      <c r="K71" s="830">
        <f t="shared" si="23"/>
        <v>0</v>
      </c>
      <c r="L71" s="830">
        <f t="shared" si="23"/>
        <v>0</v>
      </c>
      <c r="M71" s="830">
        <f t="shared" si="23"/>
        <v>0</v>
      </c>
      <c r="N71" s="830">
        <f t="shared" si="23"/>
        <v>0</v>
      </c>
      <c r="O71" s="830">
        <f t="shared" si="23"/>
        <v>0</v>
      </c>
      <c r="P71" s="830">
        <f t="shared" si="22"/>
        <v>0</v>
      </c>
      <c r="Q71" s="830">
        <f t="shared" si="24"/>
        <v>0</v>
      </c>
      <c r="R71" s="830">
        <f t="shared" si="24"/>
        <v>0</v>
      </c>
      <c r="S71" s="830"/>
    </row>
    <row r="72" spans="1:53" s="593" customFormat="1" ht="12" hidden="1" thickBot="1">
      <c r="A72" s="541" t="s">
        <v>179</v>
      </c>
      <c r="B72" s="596" t="s">
        <v>1506</v>
      </c>
      <c r="C72" s="541" t="s">
        <v>168</v>
      </c>
      <c r="D72" s="830">
        <f t="shared" si="26"/>
        <v>747</v>
      </c>
      <c r="E72" s="830">
        <f t="shared" si="25"/>
        <v>0</v>
      </c>
      <c r="F72" s="830">
        <f t="shared" si="25"/>
        <v>0</v>
      </c>
      <c r="G72" s="830">
        <f t="shared" si="25"/>
        <v>0</v>
      </c>
      <c r="H72" s="830">
        <f t="shared" si="15"/>
        <v>104312</v>
      </c>
      <c r="I72" s="830">
        <f t="shared" si="23"/>
        <v>0</v>
      </c>
      <c r="J72" s="830">
        <f t="shared" si="23"/>
        <v>0</v>
      </c>
      <c r="K72" s="830">
        <f t="shared" si="23"/>
        <v>0</v>
      </c>
      <c r="L72" s="830">
        <f t="shared" si="23"/>
        <v>0</v>
      </c>
      <c r="M72" s="830">
        <f t="shared" si="23"/>
        <v>0</v>
      </c>
      <c r="N72" s="830">
        <f t="shared" si="23"/>
        <v>0</v>
      </c>
      <c r="O72" s="830">
        <f t="shared" si="23"/>
        <v>0</v>
      </c>
      <c r="P72" s="830">
        <f t="shared" si="22"/>
        <v>0</v>
      </c>
      <c r="Q72" s="830">
        <f t="shared" si="24"/>
        <v>0</v>
      </c>
      <c r="R72" s="830">
        <f t="shared" si="24"/>
        <v>0</v>
      </c>
      <c r="S72" s="830"/>
    </row>
    <row r="73" spans="1:53" ht="12" hidden="1" thickBot="1">
      <c r="A73" s="836" t="s">
        <v>179</v>
      </c>
      <c r="B73" s="596" t="s">
        <v>1506</v>
      </c>
      <c r="C73" s="836" t="s">
        <v>171</v>
      </c>
      <c r="D73" s="830">
        <f t="shared" si="26"/>
        <v>0</v>
      </c>
      <c r="E73" s="830">
        <f t="shared" si="25"/>
        <v>0</v>
      </c>
      <c r="F73" s="830">
        <f t="shared" si="25"/>
        <v>0</v>
      </c>
      <c r="G73" s="830">
        <f t="shared" si="25"/>
        <v>0</v>
      </c>
      <c r="H73" s="830">
        <f t="shared" si="15"/>
        <v>0</v>
      </c>
      <c r="I73" s="830">
        <f t="shared" si="23"/>
        <v>0</v>
      </c>
      <c r="J73" s="830">
        <f t="shared" si="23"/>
        <v>0</v>
      </c>
      <c r="K73" s="830">
        <f t="shared" si="23"/>
        <v>0</v>
      </c>
      <c r="L73" s="830">
        <f t="shared" si="23"/>
        <v>0</v>
      </c>
      <c r="M73" s="830">
        <f t="shared" si="23"/>
        <v>0</v>
      </c>
      <c r="N73" s="830">
        <f t="shared" si="23"/>
        <v>0</v>
      </c>
      <c r="O73" s="830">
        <f t="shared" si="23"/>
        <v>0</v>
      </c>
      <c r="P73" s="830">
        <f t="shared" si="22"/>
        <v>0</v>
      </c>
      <c r="Q73" s="830">
        <f t="shared" si="24"/>
        <v>0</v>
      </c>
      <c r="R73" s="830">
        <f t="shared" si="24"/>
        <v>0</v>
      </c>
      <c r="S73" s="830"/>
    </row>
    <row r="74" spans="1:53" ht="12" hidden="1" thickBot="1">
      <c r="A74" s="836" t="s">
        <v>179</v>
      </c>
      <c r="B74" s="596" t="s">
        <v>1506</v>
      </c>
      <c r="C74" s="836" t="s">
        <v>1397</v>
      </c>
      <c r="D74" s="830">
        <f t="shared" si="26"/>
        <v>0</v>
      </c>
      <c r="E74" s="830">
        <f t="shared" si="25"/>
        <v>0</v>
      </c>
      <c r="F74" s="830">
        <f t="shared" si="25"/>
        <v>0</v>
      </c>
      <c r="G74" s="830">
        <f t="shared" si="25"/>
        <v>0</v>
      </c>
      <c r="H74" s="830">
        <f t="shared" si="15"/>
        <v>0</v>
      </c>
      <c r="I74" s="830">
        <f t="shared" si="23"/>
        <v>0</v>
      </c>
      <c r="J74" s="830">
        <f t="shared" si="23"/>
        <v>0</v>
      </c>
      <c r="K74" s="830">
        <f t="shared" si="23"/>
        <v>0</v>
      </c>
      <c r="L74" s="830">
        <f t="shared" si="23"/>
        <v>0</v>
      </c>
      <c r="M74" s="830">
        <f t="shared" si="23"/>
        <v>0</v>
      </c>
      <c r="N74" s="830">
        <f t="shared" si="23"/>
        <v>0</v>
      </c>
      <c r="O74" s="830">
        <f t="shared" si="23"/>
        <v>0</v>
      </c>
      <c r="P74" s="830">
        <f t="shared" si="22"/>
        <v>0</v>
      </c>
      <c r="Q74" s="830">
        <f t="shared" si="24"/>
        <v>0</v>
      </c>
      <c r="R74" s="830">
        <f t="shared" si="24"/>
        <v>0</v>
      </c>
      <c r="S74" s="830"/>
    </row>
    <row r="75" spans="1:53" s="840" customFormat="1" ht="12" hidden="1" thickBot="1">
      <c r="A75" s="836" t="s">
        <v>179</v>
      </c>
      <c r="B75" s="596" t="s">
        <v>1506</v>
      </c>
      <c r="C75" s="836" t="s">
        <v>1149</v>
      </c>
      <c r="D75" s="830">
        <f t="shared" si="26"/>
        <v>0</v>
      </c>
      <c r="E75" s="830">
        <f t="shared" si="25"/>
        <v>0</v>
      </c>
      <c r="F75" s="830">
        <f t="shared" si="25"/>
        <v>0</v>
      </c>
      <c r="G75" s="830">
        <f t="shared" si="25"/>
        <v>0</v>
      </c>
      <c r="H75" s="830">
        <f t="shared" si="15"/>
        <v>0</v>
      </c>
      <c r="I75" s="830">
        <f t="shared" si="23"/>
        <v>0</v>
      </c>
      <c r="J75" s="830">
        <f t="shared" si="23"/>
        <v>0</v>
      </c>
      <c r="K75" s="830">
        <f t="shared" si="23"/>
        <v>0</v>
      </c>
      <c r="L75" s="830">
        <f t="shared" si="23"/>
        <v>0</v>
      </c>
      <c r="M75" s="830">
        <f t="shared" si="23"/>
        <v>0</v>
      </c>
      <c r="N75" s="830">
        <f t="shared" si="23"/>
        <v>0</v>
      </c>
      <c r="O75" s="830">
        <f t="shared" si="23"/>
        <v>0</v>
      </c>
      <c r="P75" s="830">
        <f t="shared" si="22"/>
        <v>0</v>
      </c>
      <c r="Q75" s="830">
        <f t="shared" si="24"/>
        <v>0</v>
      </c>
      <c r="R75" s="830">
        <f t="shared" si="24"/>
        <v>0</v>
      </c>
      <c r="S75" s="830"/>
      <c r="T75" s="837"/>
      <c r="U75" s="837"/>
      <c r="V75" s="837"/>
      <c r="W75" s="837"/>
      <c r="X75" s="837"/>
      <c r="Y75" s="837"/>
      <c r="Z75" s="837"/>
      <c r="AA75" s="837"/>
      <c r="AB75" s="837"/>
      <c r="AC75" s="837"/>
      <c r="AD75" s="837"/>
      <c r="AE75" s="837"/>
      <c r="AF75" s="837"/>
      <c r="AG75" s="837"/>
      <c r="AH75" s="837"/>
      <c r="AI75" s="837"/>
      <c r="AJ75" s="837"/>
      <c r="AK75" s="837"/>
      <c r="AL75" s="837"/>
      <c r="AM75" s="837"/>
      <c r="AN75" s="837"/>
      <c r="AO75" s="837"/>
      <c r="AP75" s="837"/>
      <c r="AQ75" s="837"/>
      <c r="AR75" s="837"/>
      <c r="AS75" s="837"/>
      <c r="AT75" s="837"/>
      <c r="AU75" s="837"/>
      <c r="AV75" s="837"/>
      <c r="AW75" s="837"/>
      <c r="AX75" s="837"/>
      <c r="AY75" s="837"/>
      <c r="AZ75" s="837"/>
      <c r="BA75" s="837"/>
    </row>
    <row r="76" spans="1:53" s="580" customFormat="1" ht="12" hidden="1" thickBot="1">
      <c r="A76" s="541" t="s">
        <v>179</v>
      </c>
      <c r="B76" s="596" t="s">
        <v>1506</v>
      </c>
      <c r="C76" s="541" t="s">
        <v>170</v>
      </c>
      <c r="D76" s="830">
        <f t="shared" si="26"/>
        <v>0</v>
      </c>
      <c r="E76" s="830">
        <f t="shared" si="25"/>
        <v>0</v>
      </c>
      <c r="F76" s="830">
        <f t="shared" si="25"/>
        <v>0</v>
      </c>
      <c r="G76" s="830">
        <f t="shared" si="25"/>
        <v>0</v>
      </c>
      <c r="H76" s="830">
        <f t="shared" si="15"/>
        <v>0</v>
      </c>
      <c r="I76" s="830">
        <f t="shared" si="23"/>
        <v>0</v>
      </c>
      <c r="J76" s="830">
        <f t="shared" si="23"/>
        <v>0</v>
      </c>
      <c r="K76" s="830">
        <f t="shared" si="23"/>
        <v>0</v>
      </c>
      <c r="L76" s="830">
        <f t="shared" si="23"/>
        <v>0</v>
      </c>
      <c r="M76" s="830">
        <f t="shared" si="23"/>
        <v>0</v>
      </c>
      <c r="N76" s="830">
        <f t="shared" si="23"/>
        <v>0</v>
      </c>
      <c r="O76" s="830">
        <f t="shared" si="23"/>
        <v>0</v>
      </c>
      <c r="P76" s="830">
        <f t="shared" si="22"/>
        <v>0</v>
      </c>
      <c r="Q76" s="830">
        <f t="shared" si="24"/>
        <v>0</v>
      </c>
      <c r="R76" s="830">
        <f t="shared" si="24"/>
        <v>0</v>
      </c>
      <c r="S76" s="830"/>
      <c r="T76" s="593"/>
      <c r="U76" s="593"/>
      <c r="V76" s="593"/>
      <c r="W76" s="593"/>
      <c r="X76" s="593"/>
      <c r="Y76" s="593"/>
      <c r="Z76" s="593"/>
      <c r="AA76" s="593"/>
      <c r="AB76" s="593"/>
      <c r="AC76" s="593"/>
      <c r="AD76" s="593"/>
      <c r="AE76" s="593"/>
      <c r="AF76" s="593"/>
      <c r="AG76" s="593"/>
      <c r="AH76" s="593"/>
      <c r="AI76" s="593"/>
      <c r="AJ76" s="593"/>
      <c r="AK76" s="593"/>
      <c r="AL76" s="593"/>
      <c r="AM76" s="593"/>
      <c r="AN76" s="593"/>
      <c r="AO76" s="593"/>
      <c r="AP76" s="593"/>
      <c r="AQ76" s="593"/>
      <c r="AR76" s="593"/>
      <c r="AS76" s="593"/>
      <c r="AT76" s="593"/>
      <c r="AU76" s="593"/>
      <c r="AV76" s="593"/>
      <c r="AW76" s="593"/>
      <c r="AX76" s="593"/>
      <c r="AY76" s="593"/>
      <c r="AZ76" s="593"/>
      <c r="BA76" s="593"/>
    </row>
    <row r="77" spans="1:53" s="593" customFormat="1" ht="12" hidden="1" thickBot="1">
      <c r="A77" s="541" t="s">
        <v>179</v>
      </c>
      <c r="B77" s="596" t="s">
        <v>1506</v>
      </c>
      <c r="C77" s="541" t="s">
        <v>160</v>
      </c>
      <c r="D77" s="830">
        <f t="shared" si="26"/>
        <v>0</v>
      </c>
      <c r="E77" s="830">
        <f t="shared" si="25"/>
        <v>0</v>
      </c>
      <c r="F77" s="830">
        <f t="shared" si="25"/>
        <v>0</v>
      </c>
      <c r="G77" s="830">
        <f t="shared" si="25"/>
        <v>0</v>
      </c>
      <c r="H77" s="830">
        <f t="shared" si="15"/>
        <v>0</v>
      </c>
      <c r="I77" s="830">
        <f t="shared" si="23"/>
        <v>0</v>
      </c>
      <c r="J77" s="830">
        <f t="shared" si="23"/>
        <v>0</v>
      </c>
      <c r="K77" s="830">
        <f t="shared" si="23"/>
        <v>0</v>
      </c>
      <c r="L77" s="830">
        <f t="shared" si="23"/>
        <v>0</v>
      </c>
      <c r="M77" s="830">
        <f t="shared" si="23"/>
        <v>0</v>
      </c>
      <c r="N77" s="830">
        <f t="shared" si="23"/>
        <v>0</v>
      </c>
      <c r="O77" s="830">
        <f t="shared" si="23"/>
        <v>0</v>
      </c>
      <c r="P77" s="830">
        <f t="shared" si="22"/>
        <v>0</v>
      </c>
      <c r="Q77" s="830">
        <f t="shared" si="24"/>
        <v>0</v>
      </c>
      <c r="R77" s="830">
        <f t="shared" si="24"/>
        <v>0</v>
      </c>
      <c r="S77" s="830"/>
    </row>
    <row r="78" spans="1:53" s="593" customFormat="1" ht="12" hidden="1" thickBot="1">
      <c r="A78" s="541" t="s">
        <v>179</v>
      </c>
      <c r="B78" s="596" t="s">
        <v>1506</v>
      </c>
      <c r="C78" s="541" t="s">
        <v>166</v>
      </c>
      <c r="D78" s="830">
        <f t="shared" si="26"/>
        <v>0</v>
      </c>
      <c r="E78" s="830">
        <f t="shared" si="25"/>
        <v>0</v>
      </c>
      <c r="F78" s="830">
        <f t="shared" si="25"/>
        <v>0</v>
      </c>
      <c r="G78" s="830">
        <f t="shared" si="25"/>
        <v>0</v>
      </c>
      <c r="H78" s="830">
        <f t="shared" si="15"/>
        <v>0</v>
      </c>
      <c r="I78" s="830">
        <f t="shared" si="23"/>
        <v>0</v>
      </c>
      <c r="J78" s="830">
        <f t="shared" si="23"/>
        <v>0</v>
      </c>
      <c r="K78" s="830">
        <f t="shared" si="23"/>
        <v>0</v>
      </c>
      <c r="L78" s="830">
        <f t="shared" si="23"/>
        <v>0</v>
      </c>
      <c r="M78" s="830">
        <f t="shared" si="23"/>
        <v>0</v>
      </c>
      <c r="N78" s="830">
        <f t="shared" si="23"/>
        <v>0</v>
      </c>
      <c r="O78" s="830">
        <f t="shared" si="23"/>
        <v>0</v>
      </c>
      <c r="P78" s="830">
        <f t="shared" si="22"/>
        <v>0</v>
      </c>
      <c r="Q78" s="830">
        <f t="shared" si="24"/>
        <v>0</v>
      </c>
      <c r="R78" s="830">
        <f t="shared" si="24"/>
        <v>0</v>
      </c>
      <c r="S78" s="830"/>
      <c r="T78" s="580"/>
      <c r="U78" s="580"/>
      <c r="V78" s="580"/>
    </row>
    <row r="79" spans="1:53" s="593" customFormat="1" ht="12" hidden="1" thickBot="1">
      <c r="A79" s="541" t="s">
        <v>179</v>
      </c>
      <c r="B79" s="596" t="s">
        <v>1506</v>
      </c>
      <c r="C79" s="541" t="s">
        <v>458</v>
      </c>
      <c r="D79" s="830">
        <f t="shared" si="26"/>
        <v>7</v>
      </c>
      <c r="E79" s="830">
        <f t="shared" si="25"/>
        <v>4008</v>
      </c>
      <c r="F79" s="830">
        <f t="shared" si="25"/>
        <v>1620</v>
      </c>
      <c r="G79" s="830">
        <f t="shared" si="25"/>
        <v>908</v>
      </c>
      <c r="H79" s="830">
        <f t="shared" si="15"/>
        <v>6536</v>
      </c>
      <c r="I79" s="830">
        <f t="shared" ref="I79:O85" si="27">ROUND(SUMIFS(I$495:I$866,$B$495:$B$866,$B79,$C$495:$C$866,$C79),0)</f>
        <v>0</v>
      </c>
      <c r="J79" s="830">
        <f t="shared" si="27"/>
        <v>0</v>
      </c>
      <c r="K79" s="830">
        <f t="shared" si="27"/>
        <v>0</v>
      </c>
      <c r="L79" s="830">
        <f t="shared" si="27"/>
        <v>0</v>
      </c>
      <c r="M79" s="830">
        <f t="shared" si="27"/>
        <v>0</v>
      </c>
      <c r="N79" s="830">
        <f t="shared" si="27"/>
        <v>0</v>
      </c>
      <c r="O79" s="830">
        <f t="shared" si="27"/>
        <v>0</v>
      </c>
      <c r="P79" s="830">
        <f t="shared" si="22"/>
        <v>0</v>
      </c>
      <c r="Q79" s="830">
        <f t="shared" si="24"/>
        <v>0</v>
      </c>
      <c r="R79" s="830">
        <f t="shared" si="24"/>
        <v>0</v>
      </c>
      <c r="S79" s="830"/>
      <c r="T79" s="580"/>
      <c r="U79" s="580"/>
      <c r="V79" s="580"/>
    </row>
    <row r="80" spans="1:53" s="593" customFormat="1" ht="12" hidden="1" thickBot="1">
      <c r="A80" s="541" t="s">
        <v>179</v>
      </c>
      <c r="B80" s="596" t="s">
        <v>1506</v>
      </c>
      <c r="C80" s="541" t="s">
        <v>165</v>
      </c>
      <c r="D80" s="830">
        <f t="shared" si="26"/>
        <v>0</v>
      </c>
      <c r="E80" s="830">
        <f t="shared" si="25"/>
        <v>0</v>
      </c>
      <c r="F80" s="830">
        <f t="shared" si="25"/>
        <v>0</v>
      </c>
      <c r="G80" s="830">
        <f t="shared" si="25"/>
        <v>0</v>
      </c>
      <c r="H80" s="830">
        <f t="shared" si="15"/>
        <v>0</v>
      </c>
      <c r="I80" s="830">
        <f t="shared" si="27"/>
        <v>0</v>
      </c>
      <c r="J80" s="830">
        <f t="shared" si="27"/>
        <v>0</v>
      </c>
      <c r="K80" s="830">
        <f t="shared" si="27"/>
        <v>0</v>
      </c>
      <c r="L80" s="830">
        <f t="shared" si="27"/>
        <v>0</v>
      </c>
      <c r="M80" s="830">
        <f t="shared" si="27"/>
        <v>0</v>
      </c>
      <c r="N80" s="830">
        <f t="shared" si="27"/>
        <v>0</v>
      </c>
      <c r="O80" s="830">
        <f t="shared" si="27"/>
        <v>0</v>
      </c>
      <c r="P80" s="830">
        <f t="shared" si="22"/>
        <v>0</v>
      </c>
      <c r="Q80" s="830">
        <f t="shared" si="24"/>
        <v>0</v>
      </c>
      <c r="R80" s="830">
        <f t="shared" si="24"/>
        <v>0</v>
      </c>
      <c r="S80" s="830"/>
      <c r="T80" s="580"/>
      <c r="U80" s="580"/>
      <c r="V80" s="580"/>
    </row>
    <row r="81" spans="1:22" s="593" customFormat="1" ht="12" thickBot="1">
      <c r="A81" s="541" t="s">
        <v>179</v>
      </c>
      <c r="B81" s="596" t="s">
        <v>1506</v>
      </c>
      <c r="C81" s="541" t="s">
        <v>167</v>
      </c>
      <c r="D81" s="830">
        <f t="shared" si="26"/>
        <v>260</v>
      </c>
      <c r="E81" s="830">
        <f t="shared" si="25"/>
        <v>0</v>
      </c>
      <c r="F81" s="830">
        <f t="shared" si="25"/>
        <v>0</v>
      </c>
      <c r="G81" s="830">
        <f t="shared" si="25"/>
        <v>0</v>
      </c>
      <c r="H81" s="830">
        <f t="shared" si="15"/>
        <v>13339327</v>
      </c>
      <c r="I81" s="830">
        <f t="shared" si="27"/>
        <v>0</v>
      </c>
      <c r="J81" s="830">
        <f t="shared" si="27"/>
        <v>0</v>
      </c>
      <c r="K81" s="830">
        <f t="shared" si="27"/>
        <v>0</v>
      </c>
      <c r="L81" s="830">
        <f t="shared" si="27"/>
        <v>0</v>
      </c>
      <c r="M81" s="830">
        <f t="shared" si="27"/>
        <v>0</v>
      </c>
      <c r="N81" s="830">
        <f t="shared" si="27"/>
        <v>0</v>
      </c>
      <c r="O81" s="830">
        <f>R81</f>
        <v>55251</v>
      </c>
      <c r="P81" s="830">
        <f t="shared" si="22"/>
        <v>0</v>
      </c>
      <c r="Q81" s="830">
        <f t="shared" si="24"/>
        <v>0</v>
      </c>
      <c r="R81" s="830">
        <f t="shared" si="24"/>
        <v>55251</v>
      </c>
      <c r="S81" s="830"/>
      <c r="T81" s="580"/>
      <c r="U81" s="580"/>
      <c r="V81" s="580"/>
    </row>
    <row r="82" spans="1:22" s="593" customFormat="1" ht="12" hidden="1" thickBot="1">
      <c r="A82" s="541" t="s">
        <v>179</v>
      </c>
      <c r="B82" s="596" t="s">
        <v>1506</v>
      </c>
      <c r="C82" s="541" t="s">
        <v>623</v>
      </c>
      <c r="D82" s="830">
        <f t="shared" si="26"/>
        <v>0</v>
      </c>
      <c r="E82" s="830">
        <f t="shared" si="25"/>
        <v>0</v>
      </c>
      <c r="F82" s="830">
        <f t="shared" si="25"/>
        <v>0</v>
      </c>
      <c r="G82" s="830">
        <f t="shared" si="25"/>
        <v>0</v>
      </c>
      <c r="H82" s="830">
        <f t="shared" si="15"/>
        <v>0</v>
      </c>
      <c r="I82" s="830">
        <f t="shared" si="27"/>
        <v>0</v>
      </c>
      <c r="J82" s="830">
        <f t="shared" si="27"/>
        <v>0</v>
      </c>
      <c r="K82" s="830">
        <f t="shared" si="27"/>
        <v>0</v>
      </c>
      <c r="L82" s="830">
        <f t="shared" si="27"/>
        <v>0</v>
      </c>
      <c r="M82" s="830">
        <f t="shared" si="27"/>
        <v>0</v>
      </c>
      <c r="N82" s="830">
        <f t="shared" si="27"/>
        <v>0</v>
      </c>
      <c r="O82" s="830">
        <f t="shared" si="27"/>
        <v>0</v>
      </c>
      <c r="P82" s="830">
        <f>ROUND(SUMIFS(P$495:P$866,$B$495:$B$866,$B82,$C$495:$C$866,$C82),0)</f>
        <v>0</v>
      </c>
      <c r="Q82" s="830">
        <f t="shared" si="24"/>
        <v>0</v>
      </c>
      <c r="R82" s="830">
        <f t="shared" si="24"/>
        <v>0</v>
      </c>
      <c r="S82" s="830"/>
      <c r="T82" s="580"/>
      <c r="U82" s="580"/>
      <c r="V82" s="580"/>
    </row>
    <row r="83" spans="1:22" s="593" customFormat="1" ht="12" hidden="1" thickBot="1">
      <c r="A83" s="541" t="s">
        <v>179</v>
      </c>
      <c r="B83" s="596" t="s">
        <v>1506</v>
      </c>
      <c r="C83" s="541" t="s">
        <v>683</v>
      </c>
      <c r="D83" s="830">
        <f t="shared" si="26"/>
        <v>0</v>
      </c>
      <c r="E83" s="830">
        <f t="shared" si="25"/>
        <v>0</v>
      </c>
      <c r="F83" s="830">
        <f t="shared" si="25"/>
        <v>0</v>
      </c>
      <c r="G83" s="830">
        <f t="shared" si="25"/>
        <v>0</v>
      </c>
      <c r="H83" s="830">
        <f t="shared" si="15"/>
        <v>0</v>
      </c>
      <c r="I83" s="830">
        <f t="shared" si="27"/>
        <v>0</v>
      </c>
      <c r="J83" s="830">
        <f t="shared" si="27"/>
        <v>0</v>
      </c>
      <c r="K83" s="830">
        <f t="shared" si="27"/>
        <v>0</v>
      </c>
      <c r="L83" s="830">
        <f t="shared" si="27"/>
        <v>0</v>
      </c>
      <c r="M83" s="830">
        <f t="shared" si="27"/>
        <v>0</v>
      </c>
      <c r="N83" s="830">
        <f t="shared" si="27"/>
        <v>0</v>
      </c>
      <c r="O83" s="830">
        <f t="shared" si="27"/>
        <v>0</v>
      </c>
      <c r="P83" s="830">
        <f>ROUND(SUMIFS(P$495:P$866,$B$495:$B$866,$B83,$C$495:$C$866,$C83),0)</f>
        <v>0</v>
      </c>
      <c r="Q83" s="830">
        <f t="shared" si="24"/>
        <v>0</v>
      </c>
      <c r="R83" s="830">
        <f t="shared" si="24"/>
        <v>0</v>
      </c>
      <c r="S83" s="830"/>
      <c r="T83" s="580"/>
      <c r="U83" s="580"/>
      <c r="V83" s="580"/>
    </row>
    <row r="84" spans="1:22" s="593" customFormat="1" ht="12" hidden="1" thickBot="1">
      <c r="A84" s="541" t="s">
        <v>179</v>
      </c>
      <c r="B84" s="596" t="s">
        <v>1506</v>
      </c>
      <c r="C84" s="541" t="s">
        <v>684</v>
      </c>
      <c r="D84" s="830">
        <f t="shared" si="26"/>
        <v>0</v>
      </c>
      <c r="E84" s="830">
        <f t="shared" si="25"/>
        <v>0</v>
      </c>
      <c r="F84" s="830">
        <f t="shared" si="25"/>
        <v>0</v>
      </c>
      <c r="G84" s="830">
        <f t="shared" si="25"/>
        <v>0</v>
      </c>
      <c r="H84" s="830">
        <f t="shared" si="15"/>
        <v>0</v>
      </c>
      <c r="I84" s="830">
        <f t="shared" si="27"/>
        <v>0</v>
      </c>
      <c r="J84" s="830">
        <f t="shared" si="27"/>
        <v>0</v>
      </c>
      <c r="K84" s="830">
        <f t="shared" si="27"/>
        <v>0</v>
      </c>
      <c r="L84" s="830">
        <f t="shared" si="27"/>
        <v>0</v>
      </c>
      <c r="M84" s="830">
        <f t="shared" si="27"/>
        <v>0</v>
      </c>
      <c r="N84" s="830">
        <f t="shared" si="27"/>
        <v>0</v>
      </c>
      <c r="O84" s="830">
        <f t="shared" si="27"/>
        <v>0</v>
      </c>
      <c r="P84" s="830">
        <f>ROUND(SUMIFS(P$495:P$866,$B$495:$B$866,$B84,$C$495:$C$866,$C84),0)</f>
        <v>0</v>
      </c>
      <c r="Q84" s="830">
        <f t="shared" si="24"/>
        <v>0</v>
      </c>
      <c r="R84" s="830">
        <f t="shared" si="24"/>
        <v>0</v>
      </c>
      <c r="S84" s="830"/>
    </row>
    <row r="85" spans="1:22" s="593" customFormat="1" ht="12" hidden="1" thickBot="1">
      <c r="A85" s="541" t="s">
        <v>179</v>
      </c>
      <c r="B85" s="596" t="s">
        <v>1506</v>
      </c>
      <c r="C85" s="541" t="s">
        <v>685</v>
      </c>
      <c r="D85" s="830">
        <f t="shared" si="26"/>
        <v>0</v>
      </c>
      <c r="E85" s="830">
        <f t="shared" si="25"/>
        <v>0</v>
      </c>
      <c r="F85" s="830">
        <f t="shared" si="25"/>
        <v>0</v>
      </c>
      <c r="G85" s="830">
        <f t="shared" si="25"/>
        <v>0</v>
      </c>
      <c r="H85" s="830">
        <f t="shared" si="15"/>
        <v>0</v>
      </c>
      <c r="I85" s="830">
        <f t="shared" si="27"/>
        <v>0</v>
      </c>
      <c r="J85" s="830">
        <f t="shared" si="27"/>
        <v>0</v>
      </c>
      <c r="K85" s="830">
        <f t="shared" si="27"/>
        <v>0</v>
      </c>
      <c r="L85" s="830">
        <f t="shared" si="27"/>
        <v>0</v>
      </c>
      <c r="M85" s="830">
        <f t="shared" si="27"/>
        <v>0</v>
      </c>
      <c r="N85" s="830">
        <f t="shared" si="27"/>
        <v>0</v>
      </c>
      <c r="O85" s="830">
        <f t="shared" si="27"/>
        <v>0</v>
      </c>
      <c r="P85" s="830">
        <f>ROUND(SUMIFS(P$495:P$866,$B$495:$B$866,$B85,$C$495:$C$866,$C85),0)</f>
        <v>0</v>
      </c>
      <c r="Q85" s="830">
        <f t="shared" si="24"/>
        <v>0</v>
      </c>
      <c r="R85" s="830">
        <f t="shared" si="24"/>
        <v>0</v>
      </c>
      <c r="S85" s="830"/>
    </row>
    <row r="86" spans="1:22" s="593" customFormat="1" ht="12" hidden="1" thickBot="1">
      <c r="A86" s="541" t="s">
        <v>179</v>
      </c>
      <c r="B86" s="596" t="s">
        <v>1506</v>
      </c>
      <c r="C86" s="592" t="s">
        <v>8</v>
      </c>
      <c r="D86" s="558"/>
      <c r="E86" s="559"/>
      <c r="F86" s="559"/>
      <c r="G86" s="559"/>
      <c r="H86" s="558"/>
      <c r="I86" s="591"/>
      <c r="J86" s="591"/>
      <c r="K86" s="591"/>
      <c r="L86" s="559"/>
      <c r="M86" s="559"/>
      <c r="N86" s="591"/>
      <c r="O86" s="591"/>
      <c r="P86" s="591"/>
      <c r="Q86" s="591"/>
      <c r="R86" s="559"/>
      <c r="S86" s="559"/>
    </row>
    <row r="87" spans="1:22" s="593" customFormat="1" ht="12" hidden="1" thickBot="1">
      <c r="A87" s="565"/>
      <c r="B87" s="566"/>
      <c r="C87" s="560"/>
      <c r="D87" s="541" t="s">
        <v>1</v>
      </c>
      <c r="E87" s="541" t="s">
        <v>644</v>
      </c>
      <c r="F87" s="541" t="s">
        <v>645</v>
      </c>
      <c r="G87" s="541" t="s">
        <v>646</v>
      </c>
      <c r="H87" s="541" t="s">
        <v>2</v>
      </c>
      <c r="I87" s="541" t="s">
        <v>468</v>
      </c>
      <c r="J87" s="541" t="s">
        <v>469</v>
      </c>
      <c r="K87" s="541" t="s">
        <v>470</v>
      </c>
      <c r="L87" s="541" t="s">
        <v>1368</v>
      </c>
      <c r="M87" s="541" t="s">
        <v>1369</v>
      </c>
      <c r="N87" s="541" t="s">
        <v>1159</v>
      </c>
      <c r="O87" s="541" t="s">
        <v>1370</v>
      </c>
      <c r="P87" s="541" t="s">
        <v>1371</v>
      </c>
      <c r="Q87" s="541" t="s">
        <v>1372</v>
      </c>
      <c r="R87" s="541" t="s">
        <v>1373</v>
      </c>
      <c r="S87" s="541" t="s">
        <v>3</v>
      </c>
    </row>
    <row r="88" spans="1:22" s="593" customFormat="1" ht="12" hidden="1" thickBot="1">
      <c r="A88" s="541" t="s">
        <v>69</v>
      </c>
      <c r="B88" s="541" t="s">
        <v>0</v>
      </c>
      <c r="C88" s="541" t="s">
        <v>5</v>
      </c>
      <c r="D88" s="560"/>
      <c r="E88" s="560" t="s">
        <v>6</v>
      </c>
      <c r="F88" s="560" t="s">
        <v>6</v>
      </c>
      <c r="G88" s="560" t="s">
        <v>6</v>
      </c>
      <c r="H88" s="560" t="s">
        <v>6</v>
      </c>
      <c r="I88" s="560"/>
      <c r="J88" s="560"/>
      <c r="K88" s="560"/>
      <c r="L88" s="560"/>
      <c r="M88" s="560"/>
      <c r="N88" s="560"/>
      <c r="O88" s="560"/>
      <c r="P88" s="560"/>
      <c r="Q88" s="560"/>
      <c r="R88" s="560"/>
      <c r="S88" s="560" t="s">
        <v>7</v>
      </c>
    </row>
    <row r="89" spans="1:22" s="593" customFormat="1" ht="12" hidden="1" thickBot="1">
      <c r="A89" s="541" t="s">
        <v>179</v>
      </c>
      <c r="B89" s="596" t="s">
        <v>1507</v>
      </c>
      <c r="C89" s="541" t="s">
        <v>152</v>
      </c>
      <c r="D89" s="830">
        <f t="shared" ref="D89:G109" si="28">ROUND(SUMIFS(D$495:D$866,$B$495:$B$866,$B89,$C$495:$C$866,$C89),0)</f>
        <v>32</v>
      </c>
      <c r="E89" s="830">
        <f t="shared" si="28"/>
        <v>0</v>
      </c>
      <c r="F89" s="830">
        <f t="shared" si="28"/>
        <v>0</v>
      </c>
      <c r="G89" s="830">
        <f t="shared" si="28"/>
        <v>0</v>
      </c>
      <c r="H89" s="830">
        <f t="shared" ref="H89:H126" si="29">ROUND(SUMIFS(H$495:H$866,$B$495:$B$866,$B89,$C$495:$C$866,$C89)*1000,0)</f>
        <v>134527236</v>
      </c>
      <c r="I89" s="830">
        <f t="shared" ref="I89:R89" si="30">ROUND(SUMIFS(I$495:I$866,$B$495:$B$866,$B89,$C$495:$C$866,$C89),0)</f>
        <v>0</v>
      </c>
      <c r="J89" s="830">
        <f t="shared" si="30"/>
        <v>0</v>
      </c>
      <c r="K89" s="830">
        <f t="shared" si="30"/>
        <v>0</v>
      </c>
      <c r="L89" s="830">
        <f t="shared" si="30"/>
        <v>0</v>
      </c>
      <c r="M89" s="830">
        <f t="shared" si="30"/>
        <v>0</v>
      </c>
      <c r="N89" s="830">
        <f t="shared" si="30"/>
        <v>0</v>
      </c>
      <c r="O89" s="830">
        <f t="shared" si="30"/>
        <v>301107</v>
      </c>
      <c r="P89" s="830">
        <f t="shared" si="30"/>
        <v>289470</v>
      </c>
      <c r="Q89" s="830">
        <f t="shared" si="30"/>
        <v>284158</v>
      </c>
      <c r="R89" s="830">
        <f t="shared" si="30"/>
        <v>0</v>
      </c>
      <c r="S89" s="830"/>
    </row>
    <row r="90" spans="1:22" s="593" customFormat="1" ht="12" hidden="1" thickBot="1">
      <c r="A90" s="541" t="s">
        <v>179</v>
      </c>
      <c r="B90" s="596" t="s">
        <v>1507</v>
      </c>
      <c r="C90" s="541" t="s">
        <v>153</v>
      </c>
      <c r="D90" s="830">
        <f t="shared" si="28"/>
        <v>195</v>
      </c>
      <c r="E90" s="830">
        <f t="shared" si="28"/>
        <v>0</v>
      </c>
      <c r="F90" s="830">
        <f t="shared" si="28"/>
        <v>0</v>
      </c>
      <c r="G90" s="830">
        <f t="shared" si="28"/>
        <v>0</v>
      </c>
      <c r="H90" s="830">
        <f t="shared" si="29"/>
        <v>18258219</v>
      </c>
      <c r="I90" s="830">
        <f t="shared" ref="I90:O99" si="31">ROUND(SUMIFS(I$495:I$866,$B$495:$B$866,$B90,$C$495:$C$866,$C90),0)</f>
        <v>0</v>
      </c>
      <c r="J90" s="830">
        <f t="shared" si="31"/>
        <v>0</v>
      </c>
      <c r="K90" s="830">
        <f t="shared" si="31"/>
        <v>0</v>
      </c>
      <c r="L90" s="830">
        <f t="shared" si="31"/>
        <v>0</v>
      </c>
      <c r="M90" s="830">
        <f t="shared" si="31"/>
        <v>0</v>
      </c>
      <c r="N90" s="830">
        <f t="shared" si="31"/>
        <v>0</v>
      </c>
      <c r="O90" s="830">
        <f t="shared" si="31"/>
        <v>0</v>
      </c>
      <c r="P90" s="830">
        <f t="shared" ref="P90:P91" si="32">R90</f>
        <v>54711</v>
      </c>
      <c r="Q90" s="830">
        <f t="shared" ref="Q90:R109" si="33">ROUND(SUMIFS(Q$495:Q$866,$B$495:$B$866,$B90,$C$495:$C$866,$C90),0)</f>
        <v>0</v>
      </c>
      <c r="R90" s="830">
        <f t="shared" si="33"/>
        <v>54711</v>
      </c>
      <c r="S90" s="830"/>
    </row>
    <row r="91" spans="1:22" s="593" customFormat="1" ht="12" hidden="1" thickBot="1">
      <c r="A91" s="541" t="s">
        <v>179</v>
      </c>
      <c r="B91" s="596" t="s">
        <v>1507</v>
      </c>
      <c r="C91" s="541" t="s">
        <v>154</v>
      </c>
      <c r="D91" s="830">
        <f t="shared" si="28"/>
        <v>4630</v>
      </c>
      <c r="E91" s="830">
        <f t="shared" si="28"/>
        <v>0</v>
      </c>
      <c r="F91" s="830">
        <f t="shared" si="28"/>
        <v>0</v>
      </c>
      <c r="G91" s="830">
        <f t="shared" si="28"/>
        <v>0</v>
      </c>
      <c r="H91" s="830">
        <f t="shared" si="29"/>
        <v>154898630</v>
      </c>
      <c r="I91" s="830">
        <f t="shared" si="31"/>
        <v>0</v>
      </c>
      <c r="J91" s="830">
        <f t="shared" si="31"/>
        <v>0</v>
      </c>
      <c r="K91" s="830">
        <f t="shared" si="31"/>
        <v>0</v>
      </c>
      <c r="L91" s="830">
        <f t="shared" si="31"/>
        <v>0</v>
      </c>
      <c r="M91" s="830">
        <f t="shared" si="31"/>
        <v>0</v>
      </c>
      <c r="N91" s="830">
        <f t="shared" si="31"/>
        <v>0</v>
      </c>
      <c r="O91" s="830">
        <f t="shared" si="31"/>
        <v>0</v>
      </c>
      <c r="P91" s="830">
        <f t="shared" si="32"/>
        <v>519914</v>
      </c>
      <c r="Q91" s="830">
        <f t="shared" si="33"/>
        <v>0</v>
      </c>
      <c r="R91" s="830">
        <f t="shared" si="33"/>
        <v>519914</v>
      </c>
      <c r="S91" s="830"/>
    </row>
    <row r="92" spans="1:22" s="593" customFormat="1" ht="12" hidden="1" thickBot="1">
      <c r="A92" s="541" t="s">
        <v>179</v>
      </c>
      <c r="B92" s="596" t="s">
        <v>1507</v>
      </c>
      <c r="C92" s="541" t="s">
        <v>155</v>
      </c>
      <c r="D92" s="830">
        <f t="shared" si="28"/>
        <v>52</v>
      </c>
      <c r="E92" s="830">
        <f t="shared" si="28"/>
        <v>0</v>
      </c>
      <c r="F92" s="830">
        <f t="shared" si="28"/>
        <v>0</v>
      </c>
      <c r="G92" s="830">
        <f t="shared" si="28"/>
        <v>0</v>
      </c>
      <c r="H92" s="830">
        <f t="shared" si="29"/>
        <v>237299344</v>
      </c>
      <c r="I92" s="830">
        <f t="shared" si="31"/>
        <v>0</v>
      </c>
      <c r="J92" s="830">
        <f t="shared" si="31"/>
        <v>0</v>
      </c>
      <c r="K92" s="830">
        <f t="shared" si="31"/>
        <v>0</v>
      </c>
      <c r="L92" s="830">
        <f t="shared" si="31"/>
        <v>0</v>
      </c>
      <c r="M92" s="830">
        <f t="shared" si="31"/>
        <v>0</v>
      </c>
      <c r="N92" s="830">
        <f t="shared" si="31"/>
        <v>0</v>
      </c>
      <c r="O92" s="830">
        <f t="shared" si="31"/>
        <v>520468</v>
      </c>
      <c r="P92" s="830">
        <f t="shared" ref="P92:P99" si="34">ROUND(SUMIFS(P$495:P$866,$B$495:$B$866,$B92,$C$495:$C$866,$C92),0)</f>
        <v>486706</v>
      </c>
      <c r="Q92" s="830">
        <f t="shared" si="33"/>
        <v>481058</v>
      </c>
      <c r="R92" s="830">
        <f t="shared" si="33"/>
        <v>0</v>
      </c>
      <c r="S92" s="830"/>
    </row>
    <row r="93" spans="1:22" s="593" customFormat="1" ht="12" hidden="1" thickBot="1">
      <c r="A93" s="541" t="s">
        <v>179</v>
      </c>
      <c r="B93" s="596" t="s">
        <v>1507</v>
      </c>
      <c r="C93" s="541" t="s">
        <v>156</v>
      </c>
      <c r="D93" s="830">
        <f t="shared" si="28"/>
        <v>0</v>
      </c>
      <c r="E93" s="830">
        <f t="shared" si="28"/>
        <v>0</v>
      </c>
      <c r="F93" s="830">
        <f t="shared" si="28"/>
        <v>0</v>
      </c>
      <c r="G93" s="830">
        <f t="shared" si="28"/>
        <v>0</v>
      </c>
      <c r="H93" s="830">
        <f t="shared" si="29"/>
        <v>0</v>
      </c>
      <c r="I93" s="830">
        <f t="shared" si="31"/>
        <v>0</v>
      </c>
      <c r="J93" s="830">
        <f t="shared" si="31"/>
        <v>0</v>
      </c>
      <c r="K93" s="830">
        <f t="shared" si="31"/>
        <v>0</v>
      </c>
      <c r="L93" s="830">
        <f t="shared" si="31"/>
        <v>0</v>
      </c>
      <c r="M93" s="830">
        <f t="shared" si="31"/>
        <v>0</v>
      </c>
      <c r="N93" s="830">
        <f t="shared" si="31"/>
        <v>0</v>
      </c>
      <c r="O93" s="830">
        <f t="shared" si="31"/>
        <v>0</v>
      </c>
      <c r="P93" s="830">
        <f t="shared" si="34"/>
        <v>0</v>
      </c>
      <c r="Q93" s="830">
        <f t="shared" si="33"/>
        <v>0</v>
      </c>
      <c r="R93" s="830">
        <f t="shared" si="33"/>
        <v>0</v>
      </c>
      <c r="S93" s="830"/>
    </row>
    <row r="94" spans="1:22" s="593" customFormat="1" ht="12" hidden="1" thickBot="1">
      <c r="A94" s="541" t="s">
        <v>179</v>
      </c>
      <c r="B94" s="596" t="s">
        <v>1507</v>
      </c>
      <c r="C94" s="541" t="s">
        <v>157</v>
      </c>
      <c r="D94" s="830">
        <f t="shared" si="28"/>
        <v>0</v>
      </c>
      <c r="E94" s="830">
        <f t="shared" si="28"/>
        <v>0</v>
      </c>
      <c r="F94" s="830">
        <f t="shared" si="28"/>
        <v>0</v>
      </c>
      <c r="G94" s="830">
        <f t="shared" si="28"/>
        <v>0</v>
      </c>
      <c r="H94" s="830">
        <f t="shared" si="29"/>
        <v>0</v>
      </c>
      <c r="I94" s="830">
        <f t="shared" si="31"/>
        <v>0</v>
      </c>
      <c r="J94" s="830">
        <f t="shared" si="31"/>
        <v>0</v>
      </c>
      <c r="K94" s="830">
        <f t="shared" si="31"/>
        <v>0</v>
      </c>
      <c r="L94" s="830">
        <f t="shared" si="31"/>
        <v>0</v>
      </c>
      <c r="M94" s="830">
        <f t="shared" si="31"/>
        <v>0</v>
      </c>
      <c r="N94" s="830">
        <f t="shared" si="31"/>
        <v>0</v>
      </c>
      <c r="O94" s="830">
        <f t="shared" si="31"/>
        <v>0</v>
      </c>
      <c r="P94" s="830">
        <f t="shared" si="34"/>
        <v>0</v>
      </c>
      <c r="Q94" s="830">
        <f t="shared" si="33"/>
        <v>0</v>
      </c>
      <c r="R94" s="830">
        <f t="shared" si="33"/>
        <v>0</v>
      </c>
      <c r="S94" s="830"/>
    </row>
    <row r="95" spans="1:22" s="593" customFormat="1" ht="12" hidden="1" thickBot="1">
      <c r="A95" s="541" t="s">
        <v>179</v>
      </c>
      <c r="B95" s="596" t="s">
        <v>1507</v>
      </c>
      <c r="C95" s="541" t="s">
        <v>158</v>
      </c>
      <c r="D95" s="830">
        <f t="shared" si="28"/>
        <v>206</v>
      </c>
      <c r="E95" s="830">
        <f t="shared" si="28"/>
        <v>0</v>
      </c>
      <c r="F95" s="830">
        <f t="shared" si="28"/>
        <v>0</v>
      </c>
      <c r="G95" s="830">
        <f t="shared" si="28"/>
        <v>0</v>
      </c>
      <c r="H95" s="830">
        <f t="shared" si="29"/>
        <v>99726211</v>
      </c>
      <c r="I95" s="830">
        <f t="shared" si="31"/>
        <v>0</v>
      </c>
      <c r="J95" s="830">
        <f t="shared" si="31"/>
        <v>0</v>
      </c>
      <c r="K95" s="830">
        <f t="shared" si="31"/>
        <v>0</v>
      </c>
      <c r="L95" s="830">
        <f t="shared" si="31"/>
        <v>0</v>
      </c>
      <c r="M95" s="830">
        <f t="shared" si="31"/>
        <v>0</v>
      </c>
      <c r="N95" s="830">
        <f t="shared" si="31"/>
        <v>0</v>
      </c>
      <c r="O95" s="830">
        <f t="shared" si="31"/>
        <v>260749</v>
      </c>
      <c r="P95" s="830">
        <f t="shared" si="34"/>
        <v>247849</v>
      </c>
      <c r="Q95" s="830">
        <f t="shared" si="33"/>
        <v>243450</v>
      </c>
      <c r="R95" s="830">
        <f t="shared" si="33"/>
        <v>0</v>
      </c>
      <c r="S95" s="830"/>
    </row>
    <row r="96" spans="1:22" s="593" customFormat="1" ht="12" hidden="1" thickBot="1">
      <c r="A96" s="541" t="s">
        <v>179</v>
      </c>
      <c r="B96" s="596" t="s">
        <v>1507</v>
      </c>
      <c r="C96" s="541" t="s">
        <v>159</v>
      </c>
      <c r="D96" s="830">
        <f t="shared" si="28"/>
        <v>469</v>
      </c>
      <c r="E96" s="830">
        <f t="shared" si="28"/>
        <v>0</v>
      </c>
      <c r="F96" s="830">
        <f t="shared" si="28"/>
        <v>0</v>
      </c>
      <c r="G96" s="830">
        <f t="shared" si="28"/>
        <v>0</v>
      </c>
      <c r="H96" s="830">
        <f t="shared" si="29"/>
        <v>121409593</v>
      </c>
      <c r="I96" s="830">
        <f t="shared" si="31"/>
        <v>0</v>
      </c>
      <c r="J96" s="830">
        <f t="shared" si="31"/>
        <v>0</v>
      </c>
      <c r="K96" s="830">
        <f t="shared" si="31"/>
        <v>0</v>
      </c>
      <c r="L96" s="830">
        <f t="shared" si="31"/>
        <v>0</v>
      </c>
      <c r="M96" s="830">
        <f t="shared" si="31"/>
        <v>0</v>
      </c>
      <c r="N96" s="830">
        <f t="shared" si="31"/>
        <v>0</v>
      </c>
      <c r="O96" s="830">
        <f t="shared" si="31"/>
        <v>304335</v>
      </c>
      <c r="P96" s="830">
        <f t="shared" si="34"/>
        <v>277188</v>
      </c>
      <c r="Q96" s="830">
        <f t="shared" si="33"/>
        <v>270979</v>
      </c>
      <c r="R96" s="830">
        <f t="shared" si="33"/>
        <v>0</v>
      </c>
      <c r="S96" s="830"/>
    </row>
    <row r="97" spans="1:19" s="593" customFormat="1" ht="12" hidden="1" thickBot="1">
      <c r="A97" s="541" t="s">
        <v>179</v>
      </c>
      <c r="B97" s="596" t="s">
        <v>1507</v>
      </c>
      <c r="C97" s="541" t="s">
        <v>161</v>
      </c>
      <c r="D97" s="830">
        <f t="shared" si="28"/>
        <v>63553</v>
      </c>
      <c r="E97" s="830">
        <f t="shared" si="28"/>
        <v>0</v>
      </c>
      <c r="F97" s="830">
        <f t="shared" si="28"/>
        <v>0</v>
      </c>
      <c r="G97" s="830">
        <f t="shared" si="28"/>
        <v>0</v>
      </c>
      <c r="H97" s="830">
        <f t="shared" si="29"/>
        <v>62577001</v>
      </c>
      <c r="I97" s="830">
        <f t="shared" si="31"/>
        <v>0</v>
      </c>
      <c r="J97" s="830">
        <f t="shared" si="31"/>
        <v>0</v>
      </c>
      <c r="K97" s="830">
        <f t="shared" si="31"/>
        <v>0</v>
      </c>
      <c r="L97" s="830">
        <f t="shared" si="31"/>
        <v>0</v>
      </c>
      <c r="M97" s="830">
        <f t="shared" si="31"/>
        <v>0</v>
      </c>
      <c r="N97" s="830">
        <f t="shared" si="31"/>
        <v>0</v>
      </c>
      <c r="O97" s="830">
        <f t="shared" si="31"/>
        <v>0</v>
      </c>
      <c r="P97" s="830">
        <f t="shared" si="34"/>
        <v>0</v>
      </c>
      <c r="Q97" s="830">
        <f t="shared" si="33"/>
        <v>0</v>
      </c>
      <c r="R97" s="830">
        <f t="shared" si="33"/>
        <v>0</v>
      </c>
      <c r="S97" s="830"/>
    </row>
    <row r="98" spans="1:19" s="593" customFormat="1" ht="12" hidden="1" thickBot="1">
      <c r="A98" s="541" t="s">
        <v>179</v>
      </c>
      <c r="B98" s="596" t="s">
        <v>1507</v>
      </c>
      <c r="C98" s="541" t="s">
        <v>162</v>
      </c>
      <c r="D98" s="830">
        <f t="shared" si="28"/>
        <v>0</v>
      </c>
      <c r="E98" s="830">
        <f t="shared" si="28"/>
        <v>0</v>
      </c>
      <c r="F98" s="830">
        <f t="shared" si="28"/>
        <v>0</v>
      </c>
      <c r="G98" s="830">
        <f t="shared" si="28"/>
        <v>0</v>
      </c>
      <c r="H98" s="830">
        <f t="shared" si="29"/>
        <v>0</v>
      </c>
      <c r="I98" s="830">
        <f t="shared" si="31"/>
        <v>0</v>
      </c>
      <c r="J98" s="830">
        <f t="shared" si="31"/>
        <v>0</v>
      </c>
      <c r="K98" s="830">
        <f t="shared" si="31"/>
        <v>0</v>
      </c>
      <c r="L98" s="830">
        <f t="shared" si="31"/>
        <v>0</v>
      </c>
      <c r="M98" s="830">
        <f t="shared" si="31"/>
        <v>0</v>
      </c>
      <c r="N98" s="830">
        <f t="shared" si="31"/>
        <v>0</v>
      </c>
      <c r="O98" s="830">
        <f t="shared" si="31"/>
        <v>0</v>
      </c>
      <c r="P98" s="830">
        <f t="shared" si="34"/>
        <v>0</v>
      </c>
      <c r="Q98" s="830">
        <f t="shared" si="33"/>
        <v>0</v>
      </c>
      <c r="R98" s="830">
        <f t="shared" si="33"/>
        <v>0</v>
      </c>
      <c r="S98" s="830"/>
    </row>
    <row r="99" spans="1:19" s="593" customFormat="1" ht="12" hidden="1" thickBot="1">
      <c r="A99" s="541" t="s">
        <v>179</v>
      </c>
      <c r="B99" s="596" t="s">
        <v>1507</v>
      </c>
      <c r="C99" s="541" t="s">
        <v>163</v>
      </c>
      <c r="D99" s="830">
        <f t="shared" si="28"/>
        <v>18577</v>
      </c>
      <c r="E99" s="830">
        <f t="shared" si="28"/>
        <v>0</v>
      </c>
      <c r="F99" s="830">
        <f t="shared" si="28"/>
        <v>0</v>
      </c>
      <c r="G99" s="830">
        <f t="shared" si="28"/>
        <v>0</v>
      </c>
      <c r="H99" s="830">
        <f t="shared" si="29"/>
        <v>91489582</v>
      </c>
      <c r="I99" s="830">
        <f t="shared" si="31"/>
        <v>0</v>
      </c>
      <c r="J99" s="830">
        <f t="shared" si="31"/>
        <v>0</v>
      </c>
      <c r="K99" s="830">
        <f t="shared" si="31"/>
        <v>0</v>
      </c>
      <c r="L99" s="830">
        <f t="shared" si="31"/>
        <v>0</v>
      </c>
      <c r="M99" s="830">
        <f t="shared" si="31"/>
        <v>0</v>
      </c>
      <c r="N99" s="830">
        <f t="shared" si="31"/>
        <v>0</v>
      </c>
      <c r="O99" s="830">
        <f>R99</f>
        <v>377207</v>
      </c>
      <c r="P99" s="830">
        <f t="shared" si="34"/>
        <v>0</v>
      </c>
      <c r="Q99" s="830">
        <f t="shared" si="33"/>
        <v>0</v>
      </c>
      <c r="R99" s="830">
        <f t="shared" si="33"/>
        <v>377207</v>
      </c>
      <c r="S99" s="830"/>
    </row>
    <row r="100" spans="1:19" s="593" customFormat="1" ht="12" hidden="1" thickBot="1">
      <c r="A100" s="541" t="s">
        <v>179</v>
      </c>
      <c r="B100" s="596" t="s">
        <v>1507</v>
      </c>
      <c r="C100" s="541" t="s">
        <v>164</v>
      </c>
      <c r="D100" s="830">
        <f t="shared" si="28"/>
        <v>371</v>
      </c>
      <c r="E100" s="830">
        <f t="shared" si="28"/>
        <v>0</v>
      </c>
      <c r="F100" s="830">
        <f t="shared" si="28"/>
        <v>0</v>
      </c>
      <c r="G100" s="830">
        <f t="shared" si="28"/>
        <v>0</v>
      </c>
      <c r="H100" s="830">
        <f t="shared" si="29"/>
        <v>688333</v>
      </c>
      <c r="I100" s="830">
        <f t="shared" ref="I100:O109" si="35">ROUND(SUMIFS(I$495:I$866,$B$495:$B$866,$B100,$C$495:$C$866,$C100),0)</f>
        <v>0</v>
      </c>
      <c r="J100" s="830">
        <f t="shared" si="35"/>
        <v>0</v>
      </c>
      <c r="K100" s="830">
        <f t="shared" si="35"/>
        <v>0</v>
      </c>
      <c r="L100" s="830">
        <f t="shared" si="35"/>
        <v>0</v>
      </c>
      <c r="M100" s="830">
        <f t="shared" si="35"/>
        <v>0</v>
      </c>
      <c r="N100" s="830">
        <f t="shared" si="35"/>
        <v>0</v>
      </c>
      <c r="O100" s="830">
        <f t="shared" si="35"/>
        <v>0</v>
      </c>
      <c r="P100" s="830">
        <f t="shared" ref="P100:P122" si="36">ROUND(SUMIFS(P$495:P$866,$B$495:$B$866,$B100,$C$495:$C$866,$C100),0)</f>
        <v>0</v>
      </c>
      <c r="Q100" s="830">
        <f t="shared" si="33"/>
        <v>0</v>
      </c>
      <c r="R100" s="830">
        <f t="shared" si="33"/>
        <v>0</v>
      </c>
      <c r="S100" s="830"/>
    </row>
    <row r="101" spans="1:19" s="593" customFormat="1" ht="12" hidden="1" thickBot="1">
      <c r="A101" s="541" t="s">
        <v>179</v>
      </c>
      <c r="B101" s="596" t="s">
        <v>1507</v>
      </c>
      <c r="C101" s="541" t="s">
        <v>174</v>
      </c>
      <c r="D101" s="830">
        <f t="shared" si="28"/>
        <v>430997</v>
      </c>
      <c r="E101" s="830">
        <f t="shared" si="28"/>
        <v>0</v>
      </c>
      <c r="F101" s="830">
        <f t="shared" si="28"/>
        <v>0</v>
      </c>
      <c r="G101" s="830">
        <f t="shared" si="28"/>
        <v>0</v>
      </c>
      <c r="H101" s="830">
        <f t="shared" si="29"/>
        <v>556774760</v>
      </c>
      <c r="I101" s="830">
        <f t="shared" si="35"/>
        <v>0</v>
      </c>
      <c r="J101" s="830">
        <f t="shared" si="35"/>
        <v>0</v>
      </c>
      <c r="K101" s="830">
        <f t="shared" si="35"/>
        <v>0</v>
      </c>
      <c r="L101" s="830">
        <f t="shared" si="35"/>
        <v>0</v>
      </c>
      <c r="M101" s="830">
        <f t="shared" si="35"/>
        <v>0</v>
      </c>
      <c r="N101" s="830">
        <f t="shared" si="35"/>
        <v>0</v>
      </c>
      <c r="O101" s="830">
        <f t="shared" si="35"/>
        <v>0</v>
      </c>
      <c r="P101" s="830">
        <f t="shared" si="36"/>
        <v>0</v>
      </c>
      <c r="Q101" s="830">
        <f t="shared" si="33"/>
        <v>0</v>
      </c>
      <c r="R101" s="830">
        <f t="shared" si="33"/>
        <v>0</v>
      </c>
      <c r="S101" s="830"/>
    </row>
    <row r="102" spans="1:19" s="593" customFormat="1" ht="12" hidden="1" thickBot="1">
      <c r="A102" s="541" t="s">
        <v>179</v>
      </c>
      <c r="B102" s="596" t="s">
        <v>1507</v>
      </c>
      <c r="C102" s="541" t="s">
        <v>175</v>
      </c>
      <c r="D102" s="830">
        <f t="shared" si="28"/>
        <v>0</v>
      </c>
      <c r="E102" s="830">
        <f t="shared" si="28"/>
        <v>0</v>
      </c>
      <c r="F102" s="830">
        <f t="shared" si="28"/>
        <v>0</v>
      </c>
      <c r="G102" s="830">
        <f t="shared" si="28"/>
        <v>0</v>
      </c>
      <c r="H102" s="830">
        <f t="shared" si="29"/>
        <v>0</v>
      </c>
      <c r="I102" s="830">
        <f t="shared" si="35"/>
        <v>0</v>
      </c>
      <c r="J102" s="830">
        <f t="shared" si="35"/>
        <v>0</v>
      </c>
      <c r="K102" s="830">
        <f t="shared" si="35"/>
        <v>0</v>
      </c>
      <c r="L102" s="830">
        <f t="shared" si="35"/>
        <v>0</v>
      </c>
      <c r="M102" s="830">
        <f t="shared" si="35"/>
        <v>0</v>
      </c>
      <c r="N102" s="830">
        <f t="shared" si="35"/>
        <v>0</v>
      </c>
      <c r="O102" s="830">
        <f t="shared" si="35"/>
        <v>0</v>
      </c>
      <c r="P102" s="830">
        <f t="shared" si="36"/>
        <v>0</v>
      </c>
      <c r="Q102" s="830">
        <f t="shared" si="33"/>
        <v>0</v>
      </c>
      <c r="R102" s="830">
        <f t="shared" si="33"/>
        <v>0</v>
      </c>
      <c r="S102" s="830"/>
    </row>
    <row r="103" spans="1:19" s="593" customFormat="1" ht="12" hidden="1" thickBot="1">
      <c r="A103" s="541" t="s">
        <v>179</v>
      </c>
      <c r="B103" s="596" t="s">
        <v>1507</v>
      </c>
      <c r="C103" s="541" t="s">
        <v>176</v>
      </c>
      <c r="D103" s="830">
        <f t="shared" si="28"/>
        <v>0</v>
      </c>
      <c r="E103" s="830">
        <f t="shared" si="28"/>
        <v>0</v>
      </c>
      <c r="F103" s="830">
        <f t="shared" si="28"/>
        <v>0</v>
      </c>
      <c r="G103" s="830">
        <f t="shared" si="28"/>
        <v>0</v>
      </c>
      <c r="H103" s="830">
        <f t="shared" si="29"/>
        <v>0</v>
      </c>
      <c r="I103" s="830">
        <f t="shared" si="35"/>
        <v>0</v>
      </c>
      <c r="J103" s="830">
        <f t="shared" si="35"/>
        <v>0</v>
      </c>
      <c r="K103" s="830">
        <f t="shared" si="35"/>
        <v>0</v>
      </c>
      <c r="L103" s="830">
        <f t="shared" si="35"/>
        <v>0</v>
      </c>
      <c r="M103" s="830">
        <f t="shared" si="35"/>
        <v>0</v>
      </c>
      <c r="N103" s="830">
        <f t="shared" si="35"/>
        <v>0</v>
      </c>
      <c r="O103" s="830">
        <f t="shared" si="35"/>
        <v>0</v>
      </c>
      <c r="P103" s="830">
        <f t="shared" si="36"/>
        <v>0</v>
      </c>
      <c r="Q103" s="830">
        <f t="shared" si="33"/>
        <v>0</v>
      </c>
      <c r="R103" s="830">
        <f t="shared" si="33"/>
        <v>0</v>
      </c>
      <c r="S103" s="830"/>
    </row>
    <row r="104" spans="1:19" s="593" customFormat="1" ht="12" hidden="1" thickBot="1">
      <c r="A104" s="541" t="s">
        <v>179</v>
      </c>
      <c r="B104" s="596" t="s">
        <v>1507</v>
      </c>
      <c r="C104" s="541" t="s">
        <v>177</v>
      </c>
      <c r="D104" s="830">
        <f t="shared" si="28"/>
        <v>0</v>
      </c>
      <c r="E104" s="830">
        <f t="shared" si="28"/>
        <v>0</v>
      </c>
      <c r="F104" s="830">
        <f t="shared" si="28"/>
        <v>0</v>
      </c>
      <c r="G104" s="830">
        <f t="shared" si="28"/>
        <v>0</v>
      </c>
      <c r="H104" s="830">
        <f t="shared" si="29"/>
        <v>0</v>
      </c>
      <c r="I104" s="830">
        <f t="shared" si="35"/>
        <v>0</v>
      </c>
      <c r="J104" s="830">
        <f t="shared" si="35"/>
        <v>0</v>
      </c>
      <c r="K104" s="830">
        <f t="shared" si="35"/>
        <v>0</v>
      </c>
      <c r="L104" s="830">
        <f t="shared" si="35"/>
        <v>0</v>
      </c>
      <c r="M104" s="830">
        <f t="shared" si="35"/>
        <v>0</v>
      </c>
      <c r="N104" s="830">
        <f t="shared" si="35"/>
        <v>0</v>
      </c>
      <c r="O104" s="830">
        <f t="shared" si="35"/>
        <v>0</v>
      </c>
      <c r="P104" s="830">
        <f t="shared" si="36"/>
        <v>0</v>
      </c>
      <c r="Q104" s="830">
        <f t="shared" si="33"/>
        <v>0</v>
      </c>
      <c r="R104" s="830">
        <f t="shared" si="33"/>
        <v>0</v>
      </c>
      <c r="S104" s="830"/>
    </row>
    <row r="105" spans="1:19" s="593" customFormat="1" ht="12" hidden="1" thickBot="1">
      <c r="A105" s="541" t="s">
        <v>179</v>
      </c>
      <c r="B105" s="596" t="s">
        <v>1507</v>
      </c>
      <c r="C105" s="541" t="s">
        <v>178</v>
      </c>
      <c r="D105" s="830">
        <f t="shared" si="28"/>
        <v>0</v>
      </c>
      <c r="E105" s="830">
        <f t="shared" si="28"/>
        <v>0</v>
      </c>
      <c r="F105" s="830">
        <f t="shared" si="28"/>
        <v>0</v>
      </c>
      <c r="G105" s="830">
        <f t="shared" si="28"/>
        <v>0</v>
      </c>
      <c r="H105" s="830">
        <f t="shared" si="29"/>
        <v>0</v>
      </c>
      <c r="I105" s="830">
        <f t="shared" si="35"/>
        <v>0</v>
      </c>
      <c r="J105" s="830">
        <f t="shared" si="35"/>
        <v>0</v>
      </c>
      <c r="K105" s="830">
        <f t="shared" si="35"/>
        <v>0</v>
      </c>
      <c r="L105" s="830">
        <f t="shared" si="35"/>
        <v>0</v>
      </c>
      <c r="M105" s="830">
        <f t="shared" si="35"/>
        <v>0</v>
      </c>
      <c r="N105" s="830">
        <f t="shared" si="35"/>
        <v>0</v>
      </c>
      <c r="O105" s="830">
        <f t="shared" si="35"/>
        <v>0</v>
      </c>
      <c r="P105" s="830">
        <f t="shared" si="36"/>
        <v>0</v>
      </c>
      <c r="Q105" s="830">
        <f t="shared" si="33"/>
        <v>0</v>
      </c>
      <c r="R105" s="830">
        <f t="shared" si="33"/>
        <v>0</v>
      </c>
      <c r="S105" s="830"/>
    </row>
    <row r="106" spans="1:19" s="593" customFormat="1" ht="12" hidden="1" thickBot="1">
      <c r="A106" s="541" t="s">
        <v>179</v>
      </c>
      <c r="B106" s="596" t="s">
        <v>1507</v>
      </c>
      <c r="C106" s="541" t="s">
        <v>424</v>
      </c>
      <c r="D106" s="830">
        <f t="shared" si="28"/>
        <v>0</v>
      </c>
      <c r="E106" s="830">
        <f t="shared" si="28"/>
        <v>0</v>
      </c>
      <c r="F106" s="830">
        <f t="shared" si="28"/>
        <v>0</v>
      </c>
      <c r="G106" s="830">
        <f t="shared" si="28"/>
        <v>0</v>
      </c>
      <c r="H106" s="830">
        <f t="shared" si="29"/>
        <v>0</v>
      </c>
      <c r="I106" s="830">
        <f t="shared" si="35"/>
        <v>0</v>
      </c>
      <c r="J106" s="830">
        <f t="shared" si="35"/>
        <v>0</v>
      </c>
      <c r="K106" s="830">
        <f t="shared" si="35"/>
        <v>0</v>
      </c>
      <c r="L106" s="830">
        <f t="shared" si="35"/>
        <v>0</v>
      </c>
      <c r="M106" s="830">
        <f t="shared" si="35"/>
        <v>0</v>
      </c>
      <c r="N106" s="830">
        <f t="shared" si="35"/>
        <v>0</v>
      </c>
      <c r="O106" s="830">
        <f t="shared" si="35"/>
        <v>0</v>
      </c>
      <c r="P106" s="830">
        <f t="shared" si="36"/>
        <v>0</v>
      </c>
      <c r="Q106" s="830">
        <f t="shared" si="33"/>
        <v>0</v>
      </c>
      <c r="R106" s="830">
        <f t="shared" si="33"/>
        <v>0</v>
      </c>
      <c r="S106" s="830"/>
    </row>
    <row r="107" spans="1:19" s="593" customFormat="1" ht="12" hidden="1" thickBot="1">
      <c r="A107" s="541" t="s">
        <v>179</v>
      </c>
      <c r="B107" s="596" t="s">
        <v>1507</v>
      </c>
      <c r="C107" s="541" t="s">
        <v>425</v>
      </c>
      <c r="D107" s="830">
        <f t="shared" si="28"/>
        <v>0</v>
      </c>
      <c r="E107" s="830">
        <f t="shared" si="28"/>
        <v>0</v>
      </c>
      <c r="F107" s="830">
        <f t="shared" si="28"/>
        <v>0</v>
      </c>
      <c r="G107" s="830">
        <f t="shared" si="28"/>
        <v>0</v>
      </c>
      <c r="H107" s="830">
        <f t="shared" si="29"/>
        <v>0</v>
      </c>
      <c r="I107" s="830">
        <f t="shared" si="35"/>
        <v>0</v>
      </c>
      <c r="J107" s="830">
        <f t="shared" si="35"/>
        <v>0</v>
      </c>
      <c r="K107" s="830">
        <f t="shared" si="35"/>
        <v>0</v>
      </c>
      <c r="L107" s="830">
        <f t="shared" si="35"/>
        <v>0</v>
      </c>
      <c r="M107" s="830">
        <f t="shared" si="35"/>
        <v>0</v>
      </c>
      <c r="N107" s="830">
        <f t="shared" si="35"/>
        <v>0</v>
      </c>
      <c r="O107" s="830">
        <f t="shared" si="35"/>
        <v>0</v>
      </c>
      <c r="P107" s="830">
        <f t="shared" si="36"/>
        <v>0</v>
      </c>
      <c r="Q107" s="830">
        <f t="shared" si="33"/>
        <v>0</v>
      </c>
      <c r="R107" s="830">
        <f t="shared" si="33"/>
        <v>0</v>
      </c>
      <c r="S107" s="830"/>
    </row>
    <row r="108" spans="1:19" s="593" customFormat="1" ht="12" hidden="1" thickBot="1">
      <c r="A108" s="541" t="s">
        <v>179</v>
      </c>
      <c r="B108" s="596" t="s">
        <v>1507</v>
      </c>
      <c r="C108" s="541" t="s">
        <v>169</v>
      </c>
      <c r="D108" s="830">
        <f t="shared" si="28"/>
        <v>0</v>
      </c>
      <c r="E108" s="830">
        <f t="shared" si="28"/>
        <v>0</v>
      </c>
      <c r="F108" s="830">
        <f t="shared" si="28"/>
        <v>0</v>
      </c>
      <c r="G108" s="830">
        <f t="shared" si="28"/>
        <v>0</v>
      </c>
      <c r="H108" s="830">
        <f t="shared" si="29"/>
        <v>0</v>
      </c>
      <c r="I108" s="830">
        <f t="shared" si="35"/>
        <v>0</v>
      </c>
      <c r="J108" s="830">
        <f t="shared" si="35"/>
        <v>0</v>
      </c>
      <c r="K108" s="830">
        <f t="shared" si="35"/>
        <v>0</v>
      </c>
      <c r="L108" s="830">
        <f t="shared" si="35"/>
        <v>0</v>
      </c>
      <c r="M108" s="830">
        <f t="shared" si="35"/>
        <v>0</v>
      </c>
      <c r="N108" s="830">
        <f t="shared" si="35"/>
        <v>0</v>
      </c>
      <c r="O108" s="830">
        <f t="shared" si="35"/>
        <v>0</v>
      </c>
      <c r="P108" s="830">
        <f t="shared" si="36"/>
        <v>0</v>
      </c>
      <c r="Q108" s="830">
        <f t="shared" si="33"/>
        <v>0</v>
      </c>
      <c r="R108" s="830">
        <f t="shared" si="33"/>
        <v>0</v>
      </c>
      <c r="S108" s="830"/>
    </row>
    <row r="109" spans="1:19" s="593" customFormat="1" ht="12" hidden="1" thickBot="1">
      <c r="A109" s="541" t="s">
        <v>179</v>
      </c>
      <c r="B109" s="596" t="s">
        <v>1507</v>
      </c>
      <c r="C109" s="541" t="s">
        <v>173</v>
      </c>
      <c r="D109" s="830">
        <f t="shared" si="28"/>
        <v>1</v>
      </c>
      <c r="E109" s="830">
        <f t="shared" si="28"/>
        <v>0</v>
      </c>
      <c r="F109" s="830">
        <f t="shared" si="28"/>
        <v>0</v>
      </c>
      <c r="G109" s="830">
        <f t="shared" si="28"/>
        <v>0</v>
      </c>
      <c r="H109" s="830">
        <f t="shared" si="29"/>
        <v>48339184</v>
      </c>
      <c r="I109" s="830">
        <f t="shared" si="35"/>
        <v>0</v>
      </c>
      <c r="J109" s="830">
        <f t="shared" si="35"/>
        <v>0</v>
      </c>
      <c r="K109" s="830">
        <f t="shared" si="35"/>
        <v>0</v>
      </c>
      <c r="L109" s="830">
        <f t="shared" si="35"/>
        <v>0</v>
      </c>
      <c r="M109" s="830">
        <f t="shared" si="35"/>
        <v>0</v>
      </c>
      <c r="N109" s="830">
        <f t="shared" si="35"/>
        <v>0</v>
      </c>
      <c r="O109" s="830">
        <f t="shared" si="35"/>
        <v>185158</v>
      </c>
      <c r="P109" s="830">
        <f t="shared" si="36"/>
        <v>185158</v>
      </c>
      <c r="Q109" s="830">
        <f t="shared" si="33"/>
        <v>101388</v>
      </c>
      <c r="R109" s="830">
        <f t="shared" si="33"/>
        <v>0</v>
      </c>
      <c r="S109" s="830"/>
    </row>
    <row r="110" spans="1:19" s="593" customFormat="1" ht="12" hidden="1" thickBot="1">
      <c r="A110" s="541" t="s">
        <v>179</v>
      </c>
      <c r="B110" s="596" t="s">
        <v>1507</v>
      </c>
      <c r="C110" s="541" t="s">
        <v>217</v>
      </c>
      <c r="D110" s="830">
        <v>2</v>
      </c>
      <c r="E110" s="830">
        <f t="shared" ref="E110:G126" si="37">ROUND(SUMIFS(E$495:E$866,$B$495:$B$866,$B110,$C$495:$C$866,$C110),0)</f>
        <v>0</v>
      </c>
      <c r="F110" s="830">
        <f t="shared" si="37"/>
        <v>0</v>
      </c>
      <c r="G110" s="830">
        <f t="shared" si="37"/>
        <v>0</v>
      </c>
      <c r="H110" s="830">
        <f t="shared" si="29"/>
        <v>12796</v>
      </c>
      <c r="I110" s="830">
        <f t="shared" ref="I110:O119" si="38">ROUND(SUMIFS(I$495:I$866,$B$495:$B$866,$B110,$C$495:$C$866,$C110),0)</f>
        <v>0</v>
      </c>
      <c r="J110" s="830">
        <f t="shared" si="38"/>
        <v>0</v>
      </c>
      <c r="K110" s="830">
        <f t="shared" si="38"/>
        <v>0</v>
      </c>
      <c r="L110" s="830">
        <f t="shared" si="38"/>
        <v>0</v>
      </c>
      <c r="M110" s="830">
        <f t="shared" si="38"/>
        <v>0</v>
      </c>
      <c r="N110" s="830">
        <f t="shared" si="38"/>
        <v>0</v>
      </c>
      <c r="O110" s="830">
        <f t="shared" si="38"/>
        <v>0</v>
      </c>
      <c r="P110" s="830">
        <f t="shared" si="36"/>
        <v>0</v>
      </c>
      <c r="Q110" s="830">
        <f t="shared" ref="Q110:R126" si="39">ROUND(SUMIFS(Q$495:Q$866,$B$495:$B$866,$B110,$C$495:$C$866,$C110),0)</f>
        <v>0</v>
      </c>
      <c r="R110" s="830">
        <f t="shared" si="39"/>
        <v>0</v>
      </c>
      <c r="S110" s="830"/>
    </row>
    <row r="111" spans="1:19" s="593" customFormat="1" ht="12" hidden="1" thickBot="1">
      <c r="A111" s="541" t="s">
        <v>179</v>
      </c>
      <c r="B111" s="596" t="s">
        <v>1507</v>
      </c>
      <c r="C111" s="541" t="s">
        <v>216</v>
      </c>
      <c r="D111" s="830">
        <f t="shared" ref="D111:D126" si="40">ROUND(SUMIFS(D$495:D$866,$B$495:$B$866,$B111,$C$495:$C$866,$C111),0)</f>
        <v>0</v>
      </c>
      <c r="E111" s="830">
        <f t="shared" si="37"/>
        <v>0</v>
      </c>
      <c r="F111" s="830">
        <f t="shared" si="37"/>
        <v>0</v>
      </c>
      <c r="G111" s="830">
        <f t="shared" si="37"/>
        <v>0</v>
      </c>
      <c r="H111" s="830">
        <f t="shared" si="29"/>
        <v>0</v>
      </c>
      <c r="I111" s="830">
        <f t="shared" si="38"/>
        <v>0</v>
      </c>
      <c r="J111" s="830">
        <f t="shared" si="38"/>
        <v>0</v>
      </c>
      <c r="K111" s="830">
        <f t="shared" si="38"/>
        <v>0</v>
      </c>
      <c r="L111" s="830">
        <f t="shared" si="38"/>
        <v>0</v>
      </c>
      <c r="M111" s="830">
        <f t="shared" si="38"/>
        <v>0</v>
      </c>
      <c r="N111" s="830">
        <f t="shared" si="38"/>
        <v>0</v>
      </c>
      <c r="O111" s="830">
        <f t="shared" si="38"/>
        <v>0</v>
      </c>
      <c r="P111" s="830">
        <f t="shared" si="36"/>
        <v>0</v>
      </c>
      <c r="Q111" s="830">
        <f t="shared" si="39"/>
        <v>0</v>
      </c>
      <c r="R111" s="830">
        <f t="shared" si="39"/>
        <v>0</v>
      </c>
      <c r="S111" s="830"/>
    </row>
    <row r="112" spans="1:19" s="593" customFormat="1" ht="12" hidden="1" thickBot="1">
      <c r="A112" s="541" t="s">
        <v>179</v>
      </c>
      <c r="B112" s="596" t="s">
        <v>1507</v>
      </c>
      <c r="C112" s="541" t="s">
        <v>168</v>
      </c>
      <c r="D112" s="830">
        <f t="shared" si="40"/>
        <v>747</v>
      </c>
      <c r="E112" s="830">
        <f t="shared" si="37"/>
        <v>0</v>
      </c>
      <c r="F112" s="830">
        <f t="shared" si="37"/>
        <v>0</v>
      </c>
      <c r="G112" s="830">
        <f t="shared" si="37"/>
        <v>0</v>
      </c>
      <c r="H112" s="830">
        <f t="shared" si="29"/>
        <v>104309</v>
      </c>
      <c r="I112" s="830">
        <f t="shared" si="38"/>
        <v>0</v>
      </c>
      <c r="J112" s="830">
        <f t="shared" si="38"/>
        <v>0</v>
      </c>
      <c r="K112" s="830">
        <f t="shared" si="38"/>
        <v>0</v>
      </c>
      <c r="L112" s="830">
        <f t="shared" si="38"/>
        <v>0</v>
      </c>
      <c r="M112" s="830">
        <f t="shared" si="38"/>
        <v>0</v>
      </c>
      <c r="N112" s="830">
        <f t="shared" si="38"/>
        <v>0</v>
      </c>
      <c r="O112" s="830">
        <f t="shared" si="38"/>
        <v>0</v>
      </c>
      <c r="P112" s="830">
        <f t="shared" si="36"/>
        <v>0</v>
      </c>
      <c r="Q112" s="830">
        <f t="shared" si="39"/>
        <v>0</v>
      </c>
      <c r="R112" s="830">
        <f t="shared" si="39"/>
        <v>0</v>
      </c>
      <c r="S112" s="830"/>
    </row>
    <row r="113" spans="1:47" ht="12" hidden="1" thickBot="1">
      <c r="A113" s="836" t="s">
        <v>179</v>
      </c>
      <c r="B113" s="596" t="s">
        <v>1507</v>
      </c>
      <c r="C113" s="836" t="s">
        <v>171</v>
      </c>
      <c r="D113" s="830">
        <f t="shared" si="40"/>
        <v>0</v>
      </c>
      <c r="E113" s="830">
        <f t="shared" si="37"/>
        <v>0</v>
      </c>
      <c r="F113" s="830">
        <f t="shared" si="37"/>
        <v>0</v>
      </c>
      <c r="G113" s="830">
        <f t="shared" si="37"/>
        <v>0</v>
      </c>
      <c r="H113" s="830">
        <f t="shared" si="29"/>
        <v>0</v>
      </c>
      <c r="I113" s="830">
        <f t="shared" si="38"/>
        <v>0</v>
      </c>
      <c r="J113" s="830">
        <f t="shared" si="38"/>
        <v>0</v>
      </c>
      <c r="K113" s="830">
        <f t="shared" si="38"/>
        <v>0</v>
      </c>
      <c r="L113" s="830">
        <f t="shared" si="38"/>
        <v>0</v>
      </c>
      <c r="M113" s="830">
        <f t="shared" si="38"/>
        <v>0</v>
      </c>
      <c r="N113" s="830">
        <f t="shared" si="38"/>
        <v>0</v>
      </c>
      <c r="O113" s="830">
        <f t="shared" si="38"/>
        <v>0</v>
      </c>
      <c r="P113" s="830">
        <f t="shared" si="36"/>
        <v>0</v>
      </c>
      <c r="Q113" s="830">
        <f t="shared" si="39"/>
        <v>0</v>
      </c>
      <c r="R113" s="830">
        <f t="shared" si="39"/>
        <v>0</v>
      </c>
      <c r="S113" s="830"/>
    </row>
    <row r="114" spans="1:47" ht="12" hidden="1" thickBot="1">
      <c r="A114" s="836" t="s">
        <v>179</v>
      </c>
      <c r="B114" s="596" t="s">
        <v>1507</v>
      </c>
      <c r="C114" s="836" t="s">
        <v>172</v>
      </c>
      <c r="D114" s="830">
        <f t="shared" si="40"/>
        <v>0</v>
      </c>
      <c r="E114" s="830">
        <f t="shared" si="37"/>
        <v>0</v>
      </c>
      <c r="F114" s="830">
        <f t="shared" si="37"/>
        <v>0</v>
      </c>
      <c r="G114" s="830">
        <f t="shared" si="37"/>
        <v>0</v>
      </c>
      <c r="H114" s="830">
        <f t="shared" si="29"/>
        <v>0</v>
      </c>
      <c r="I114" s="830">
        <f t="shared" si="38"/>
        <v>0</v>
      </c>
      <c r="J114" s="830">
        <f t="shared" si="38"/>
        <v>0</v>
      </c>
      <c r="K114" s="830">
        <f t="shared" si="38"/>
        <v>0</v>
      </c>
      <c r="L114" s="830">
        <f t="shared" si="38"/>
        <v>0</v>
      </c>
      <c r="M114" s="830">
        <f t="shared" si="38"/>
        <v>0</v>
      </c>
      <c r="N114" s="830">
        <f t="shared" si="38"/>
        <v>0</v>
      </c>
      <c r="O114" s="830">
        <f t="shared" si="38"/>
        <v>0</v>
      </c>
      <c r="P114" s="830">
        <f t="shared" si="36"/>
        <v>0</v>
      </c>
      <c r="Q114" s="830">
        <f t="shared" si="39"/>
        <v>0</v>
      </c>
      <c r="R114" s="830">
        <f t="shared" si="39"/>
        <v>0</v>
      </c>
      <c r="S114" s="830"/>
    </row>
    <row r="115" spans="1:47" ht="12" hidden="1" thickBot="1">
      <c r="A115" s="836" t="s">
        <v>179</v>
      </c>
      <c r="B115" s="596" t="s">
        <v>1507</v>
      </c>
      <c r="C115" s="836" t="s">
        <v>1397</v>
      </c>
      <c r="D115" s="830">
        <f t="shared" si="40"/>
        <v>0</v>
      </c>
      <c r="E115" s="830">
        <f t="shared" si="37"/>
        <v>0</v>
      </c>
      <c r="F115" s="830">
        <f t="shared" si="37"/>
        <v>0</v>
      </c>
      <c r="G115" s="830">
        <f t="shared" si="37"/>
        <v>0</v>
      </c>
      <c r="H115" s="830">
        <f t="shared" si="29"/>
        <v>0</v>
      </c>
      <c r="I115" s="830">
        <f t="shared" si="38"/>
        <v>0</v>
      </c>
      <c r="J115" s="830">
        <f t="shared" si="38"/>
        <v>0</v>
      </c>
      <c r="K115" s="830">
        <f t="shared" si="38"/>
        <v>0</v>
      </c>
      <c r="L115" s="830">
        <f t="shared" si="38"/>
        <v>0</v>
      </c>
      <c r="M115" s="830">
        <f t="shared" si="38"/>
        <v>0</v>
      </c>
      <c r="N115" s="830">
        <f t="shared" si="38"/>
        <v>0</v>
      </c>
      <c r="O115" s="830">
        <f t="shared" si="38"/>
        <v>0</v>
      </c>
      <c r="P115" s="830">
        <f t="shared" si="36"/>
        <v>0</v>
      </c>
      <c r="Q115" s="830">
        <f t="shared" si="39"/>
        <v>0</v>
      </c>
      <c r="R115" s="830">
        <f t="shared" si="39"/>
        <v>0</v>
      </c>
      <c r="S115" s="830"/>
    </row>
    <row r="116" spans="1:47" ht="12" hidden="1" thickBot="1">
      <c r="A116" s="836" t="s">
        <v>179</v>
      </c>
      <c r="B116" s="596" t="s">
        <v>1507</v>
      </c>
      <c r="C116" s="836" t="s">
        <v>1149</v>
      </c>
      <c r="D116" s="830">
        <f t="shared" si="40"/>
        <v>0</v>
      </c>
      <c r="E116" s="830">
        <f t="shared" si="37"/>
        <v>0</v>
      </c>
      <c r="F116" s="830">
        <f t="shared" si="37"/>
        <v>0</v>
      </c>
      <c r="G116" s="830">
        <f t="shared" si="37"/>
        <v>0</v>
      </c>
      <c r="H116" s="830">
        <f t="shared" si="29"/>
        <v>0</v>
      </c>
      <c r="I116" s="830">
        <f t="shared" si="38"/>
        <v>0</v>
      </c>
      <c r="J116" s="830">
        <f t="shared" si="38"/>
        <v>0</v>
      </c>
      <c r="K116" s="830">
        <f t="shared" si="38"/>
        <v>0</v>
      </c>
      <c r="L116" s="830">
        <f t="shared" si="38"/>
        <v>0</v>
      </c>
      <c r="M116" s="830">
        <f t="shared" si="38"/>
        <v>0</v>
      </c>
      <c r="N116" s="830">
        <f t="shared" si="38"/>
        <v>0</v>
      </c>
      <c r="O116" s="830">
        <f t="shared" si="38"/>
        <v>0</v>
      </c>
      <c r="P116" s="830">
        <f t="shared" si="36"/>
        <v>0</v>
      </c>
      <c r="Q116" s="830">
        <f t="shared" si="39"/>
        <v>0</v>
      </c>
      <c r="R116" s="830">
        <f t="shared" si="39"/>
        <v>0</v>
      </c>
      <c r="S116" s="830"/>
      <c r="AA116" s="839"/>
      <c r="AB116" s="839"/>
      <c r="AC116" s="839"/>
      <c r="AD116" s="839"/>
      <c r="AE116" s="839"/>
      <c r="AF116" s="839"/>
      <c r="AG116" s="839"/>
      <c r="AH116" s="839"/>
      <c r="AI116" s="839"/>
      <c r="AJ116" s="839"/>
      <c r="AK116" s="839"/>
      <c r="AN116" s="839"/>
      <c r="AO116" s="839"/>
      <c r="AR116" s="839"/>
      <c r="AS116" s="839"/>
      <c r="AT116" s="839"/>
      <c r="AU116" s="839"/>
    </row>
    <row r="117" spans="1:47" s="593" customFormat="1" ht="12" hidden="1" thickBot="1">
      <c r="A117" s="541" t="s">
        <v>179</v>
      </c>
      <c r="B117" s="596" t="s">
        <v>1507</v>
      </c>
      <c r="C117" s="541" t="s">
        <v>170</v>
      </c>
      <c r="D117" s="830">
        <f t="shared" si="40"/>
        <v>0</v>
      </c>
      <c r="E117" s="830">
        <f t="shared" si="37"/>
        <v>0</v>
      </c>
      <c r="F117" s="830">
        <f t="shared" si="37"/>
        <v>0</v>
      </c>
      <c r="G117" s="830">
        <f t="shared" si="37"/>
        <v>0</v>
      </c>
      <c r="H117" s="830">
        <f t="shared" si="29"/>
        <v>0</v>
      </c>
      <c r="I117" s="830">
        <f t="shared" si="38"/>
        <v>0</v>
      </c>
      <c r="J117" s="830">
        <f t="shared" si="38"/>
        <v>0</v>
      </c>
      <c r="K117" s="830">
        <f t="shared" si="38"/>
        <v>0</v>
      </c>
      <c r="L117" s="830">
        <f t="shared" si="38"/>
        <v>0</v>
      </c>
      <c r="M117" s="830">
        <f t="shared" si="38"/>
        <v>0</v>
      </c>
      <c r="N117" s="830">
        <f t="shared" si="38"/>
        <v>0</v>
      </c>
      <c r="O117" s="830">
        <f t="shared" si="38"/>
        <v>0</v>
      </c>
      <c r="P117" s="830">
        <f t="shared" si="36"/>
        <v>0</v>
      </c>
      <c r="Q117" s="830">
        <f t="shared" si="39"/>
        <v>0</v>
      </c>
      <c r="R117" s="830">
        <f t="shared" si="39"/>
        <v>0</v>
      </c>
      <c r="S117" s="830"/>
      <c r="AA117" s="583"/>
      <c r="AB117" s="583"/>
      <c r="AC117" s="583"/>
      <c r="AD117" s="583"/>
      <c r="AE117" s="583"/>
      <c r="AF117" s="583"/>
      <c r="AG117" s="583"/>
      <c r="AH117" s="583"/>
      <c r="AI117" s="583"/>
      <c r="AJ117" s="583"/>
      <c r="AK117" s="583"/>
      <c r="AN117" s="583"/>
      <c r="AO117" s="583"/>
      <c r="AR117" s="583"/>
      <c r="AS117" s="583"/>
      <c r="AT117" s="583"/>
      <c r="AU117" s="583"/>
    </row>
    <row r="118" spans="1:47" s="593" customFormat="1" ht="12" hidden="1" thickBot="1">
      <c r="A118" s="541" t="s">
        <v>179</v>
      </c>
      <c r="B118" s="596" t="s">
        <v>1507</v>
      </c>
      <c r="C118" s="541" t="s">
        <v>160</v>
      </c>
      <c r="D118" s="830">
        <f t="shared" si="40"/>
        <v>0</v>
      </c>
      <c r="E118" s="830">
        <f t="shared" si="37"/>
        <v>0</v>
      </c>
      <c r="F118" s="830">
        <f t="shared" si="37"/>
        <v>0</v>
      </c>
      <c r="G118" s="830">
        <f t="shared" si="37"/>
        <v>0</v>
      </c>
      <c r="H118" s="830">
        <f t="shared" si="29"/>
        <v>0</v>
      </c>
      <c r="I118" s="830">
        <f t="shared" si="38"/>
        <v>0</v>
      </c>
      <c r="J118" s="830">
        <f t="shared" si="38"/>
        <v>0</v>
      </c>
      <c r="K118" s="830">
        <f t="shared" si="38"/>
        <v>0</v>
      </c>
      <c r="L118" s="830">
        <f t="shared" si="38"/>
        <v>0</v>
      </c>
      <c r="M118" s="830">
        <f t="shared" si="38"/>
        <v>0</v>
      </c>
      <c r="N118" s="830">
        <f t="shared" si="38"/>
        <v>0</v>
      </c>
      <c r="O118" s="830">
        <f t="shared" si="38"/>
        <v>0</v>
      </c>
      <c r="P118" s="830">
        <f t="shared" si="36"/>
        <v>0</v>
      </c>
      <c r="Q118" s="830">
        <f t="shared" si="39"/>
        <v>0</v>
      </c>
      <c r="R118" s="830">
        <f t="shared" si="39"/>
        <v>0</v>
      </c>
      <c r="S118" s="830"/>
      <c r="AA118" s="583"/>
      <c r="AB118" s="583"/>
      <c r="AC118" s="583"/>
      <c r="AD118" s="583"/>
      <c r="AE118" s="583"/>
      <c r="AF118" s="583"/>
      <c r="AG118" s="583"/>
      <c r="AH118" s="583"/>
      <c r="AI118" s="583"/>
      <c r="AJ118" s="583"/>
      <c r="AK118" s="583"/>
      <c r="AN118" s="583"/>
      <c r="AO118" s="583"/>
      <c r="AR118" s="583"/>
      <c r="AS118" s="583"/>
      <c r="AT118" s="583"/>
      <c r="AU118" s="583"/>
    </row>
    <row r="119" spans="1:47" s="593" customFormat="1" ht="12" hidden="1" thickBot="1">
      <c r="A119" s="541" t="s">
        <v>179</v>
      </c>
      <c r="B119" s="596" t="s">
        <v>1507</v>
      </c>
      <c r="C119" s="541" t="s">
        <v>166</v>
      </c>
      <c r="D119" s="830">
        <f t="shared" si="40"/>
        <v>0</v>
      </c>
      <c r="E119" s="830">
        <f t="shared" si="37"/>
        <v>0</v>
      </c>
      <c r="F119" s="830">
        <f t="shared" si="37"/>
        <v>0</v>
      </c>
      <c r="G119" s="830">
        <f t="shared" si="37"/>
        <v>0</v>
      </c>
      <c r="H119" s="830">
        <f t="shared" si="29"/>
        <v>0</v>
      </c>
      <c r="I119" s="830">
        <f t="shared" si="38"/>
        <v>0</v>
      </c>
      <c r="J119" s="830">
        <f t="shared" si="38"/>
        <v>0</v>
      </c>
      <c r="K119" s="830">
        <f t="shared" si="38"/>
        <v>0</v>
      </c>
      <c r="L119" s="830">
        <f t="shared" si="38"/>
        <v>0</v>
      </c>
      <c r="M119" s="830">
        <f t="shared" si="38"/>
        <v>0</v>
      </c>
      <c r="N119" s="830">
        <f t="shared" si="38"/>
        <v>0</v>
      </c>
      <c r="O119" s="830">
        <f t="shared" si="38"/>
        <v>0</v>
      </c>
      <c r="P119" s="830">
        <f t="shared" si="36"/>
        <v>0</v>
      </c>
      <c r="Q119" s="830">
        <f t="shared" si="39"/>
        <v>0</v>
      </c>
      <c r="R119" s="830">
        <f t="shared" si="39"/>
        <v>0</v>
      </c>
      <c r="S119" s="830"/>
      <c r="AA119" s="583"/>
      <c r="AB119" s="583"/>
      <c r="AC119" s="583"/>
      <c r="AD119" s="583"/>
      <c r="AE119" s="583"/>
      <c r="AF119" s="583"/>
      <c r="AG119" s="583"/>
      <c r="AH119" s="583"/>
      <c r="AI119" s="583"/>
      <c r="AJ119" s="583"/>
      <c r="AK119" s="583"/>
      <c r="AN119" s="583"/>
      <c r="AO119" s="583"/>
      <c r="AR119" s="583"/>
      <c r="AS119" s="583"/>
      <c r="AT119" s="583"/>
      <c r="AU119" s="583"/>
    </row>
    <row r="120" spans="1:47" s="593" customFormat="1" ht="12" hidden="1" thickBot="1">
      <c r="A120" s="541" t="s">
        <v>179</v>
      </c>
      <c r="B120" s="596" t="s">
        <v>1507</v>
      </c>
      <c r="C120" s="541" t="s">
        <v>458</v>
      </c>
      <c r="D120" s="830">
        <f t="shared" si="40"/>
        <v>7</v>
      </c>
      <c r="E120" s="830">
        <f t="shared" si="37"/>
        <v>3962</v>
      </c>
      <c r="F120" s="830">
        <f t="shared" si="37"/>
        <v>1210</v>
      </c>
      <c r="G120" s="830">
        <f t="shared" si="37"/>
        <v>703</v>
      </c>
      <c r="H120" s="830">
        <f t="shared" si="29"/>
        <v>5875</v>
      </c>
      <c r="I120" s="830">
        <f t="shared" ref="I120:O126" si="41">ROUND(SUMIFS(I$495:I$866,$B$495:$B$866,$B120,$C$495:$C$866,$C120),0)</f>
        <v>0</v>
      </c>
      <c r="J120" s="830">
        <f t="shared" si="41"/>
        <v>0</v>
      </c>
      <c r="K120" s="830">
        <f t="shared" si="41"/>
        <v>0</v>
      </c>
      <c r="L120" s="830">
        <f t="shared" si="41"/>
        <v>0</v>
      </c>
      <c r="M120" s="830">
        <f t="shared" si="41"/>
        <v>0</v>
      </c>
      <c r="N120" s="830">
        <f t="shared" si="41"/>
        <v>0</v>
      </c>
      <c r="O120" s="830">
        <f t="shared" si="41"/>
        <v>0</v>
      </c>
      <c r="P120" s="830">
        <f t="shared" si="36"/>
        <v>0</v>
      </c>
      <c r="Q120" s="830">
        <f t="shared" si="39"/>
        <v>0</v>
      </c>
      <c r="R120" s="830">
        <f t="shared" si="39"/>
        <v>0</v>
      </c>
      <c r="S120" s="830"/>
      <c r="AA120" s="583"/>
      <c r="AB120" s="583"/>
      <c r="AC120" s="583"/>
      <c r="AD120" s="583"/>
      <c r="AE120" s="583"/>
      <c r="AF120" s="583"/>
      <c r="AG120" s="583"/>
      <c r="AH120" s="583"/>
      <c r="AI120" s="583"/>
      <c r="AJ120" s="583"/>
      <c r="AK120" s="583"/>
      <c r="AN120" s="583"/>
      <c r="AO120" s="583"/>
      <c r="AR120" s="583"/>
      <c r="AS120" s="583"/>
      <c r="AT120" s="583"/>
      <c r="AU120" s="583"/>
    </row>
    <row r="121" spans="1:47" s="593" customFormat="1" ht="12" hidden="1" thickBot="1">
      <c r="A121" s="541" t="s">
        <v>179</v>
      </c>
      <c r="B121" s="596" t="s">
        <v>1507</v>
      </c>
      <c r="C121" s="541" t="s">
        <v>165</v>
      </c>
      <c r="D121" s="830">
        <f t="shared" si="40"/>
        <v>0</v>
      </c>
      <c r="E121" s="830">
        <f t="shared" si="37"/>
        <v>0</v>
      </c>
      <c r="F121" s="830">
        <f t="shared" si="37"/>
        <v>0</v>
      </c>
      <c r="G121" s="830">
        <f t="shared" si="37"/>
        <v>0</v>
      </c>
      <c r="H121" s="830">
        <f t="shared" si="29"/>
        <v>0</v>
      </c>
      <c r="I121" s="830">
        <f t="shared" si="41"/>
        <v>0</v>
      </c>
      <c r="J121" s="830">
        <f t="shared" si="41"/>
        <v>0</v>
      </c>
      <c r="K121" s="830">
        <f t="shared" si="41"/>
        <v>0</v>
      </c>
      <c r="L121" s="830">
        <f t="shared" si="41"/>
        <v>0</v>
      </c>
      <c r="M121" s="830">
        <f t="shared" si="41"/>
        <v>0</v>
      </c>
      <c r="N121" s="830">
        <f t="shared" si="41"/>
        <v>0</v>
      </c>
      <c r="O121" s="830">
        <f t="shared" si="41"/>
        <v>0</v>
      </c>
      <c r="P121" s="830">
        <f t="shared" si="36"/>
        <v>0</v>
      </c>
      <c r="Q121" s="830">
        <f t="shared" si="39"/>
        <v>0</v>
      </c>
      <c r="R121" s="830">
        <f t="shared" si="39"/>
        <v>0</v>
      </c>
      <c r="S121" s="830"/>
      <c r="AA121" s="583"/>
      <c r="AB121" s="583"/>
      <c r="AC121" s="583"/>
      <c r="AD121" s="583"/>
      <c r="AE121" s="583"/>
      <c r="AF121" s="583"/>
      <c r="AG121" s="583"/>
      <c r="AH121" s="583"/>
      <c r="AI121" s="583"/>
      <c r="AJ121" s="583"/>
      <c r="AK121" s="583"/>
      <c r="AN121" s="583"/>
      <c r="AO121" s="583"/>
      <c r="AR121" s="583"/>
      <c r="AS121" s="583"/>
      <c r="AT121" s="583"/>
      <c r="AU121" s="583"/>
    </row>
    <row r="122" spans="1:47" s="593" customFormat="1" ht="12" thickBot="1">
      <c r="A122" s="541" t="s">
        <v>179</v>
      </c>
      <c r="B122" s="596" t="s">
        <v>1507</v>
      </c>
      <c r="C122" s="541" t="s">
        <v>167</v>
      </c>
      <c r="D122" s="830">
        <f t="shared" si="40"/>
        <v>257</v>
      </c>
      <c r="E122" s="830">
        <f t="shared" si="37"/>
        <v>0</v>
      </c>
      <c r="F122" s="830">
        <f t="shared" si="37"/>
        <v>0</v>
      </c>
      <c r="G122" s="830">
        <f t="shared" si="37"/>
        <v>0</v>
      </c>
      <c r="H122" s="830">
        <f t="shared" si="29"/>
        <v>12757916</v>
      </c>
      <c r="I122" s="830">
        <f t="shared" si="41"/>
        <v>0</v>
      </c>
      <c r="J122" s="830">
        <f t="shared" si="41"/>
        <v>0</v>
      </c>
      <c r="K122" s="830">
        <f t="shared" si="41"/>
        <v>0</v>
      </c>
      <c r="L122" s="830">
        <f t="shared" si="41"/>
        <v>0</v>
      </c>
      <c r="M122" s="830">
        <f t="shared" si="41"/>
        <v>0</v>
      </c>
      <c r="N122" s="830">
        <f t="shared" si="41"/>
        <v>0</v>
      </c>
      <c r="O122" s="830">
        <f>R122</f>
        <v>54529</v>
      </c>
      <c r="P122" s="830">
        <f t="shared" si="36"/>
        <v>0</v>
      </c>
      <c r="Q122" s="830">
        <f t="shared" si="39"/>
        <v>0</v>
      </c>
      <c r="R122" s="830">
        <f t="shared" si="39"/>
        <v>54529</v>
      </c>
      <c r="S122" s="830"/>
      <c r="AA122" s="583"/>
      <c r="AB122" s="583"/>
      <c r="AC122" s="583"/>
      <c r="AD122" s="583"/>
      <c r="AE122" s="583"/>
      <c r="AF122" s="583"/>
      <c r="AG122" s="583"/>
      <c r="AH122" s="583"/>
      <c r="AI122" s="583"/>
      <c r="AJ122" s="583"/>
      <c r="AK122" s="583"/>
      <c r="AN122" s="583"/>
      <c r="AO122" s="583"/>
      <c r="AR122" s="583"/>
      <c r="AS122" s="583"/>
      <c r="AT122" s="583"/>
      <c r="AU122" s="583"/>
    </row>
    <row r="123" spans="1:47" s="593" customFormat="1" ht="12" hidden="1" thickBot="1">
      <c r="A123" s="541" t="s">
        <v>179</v>
      </c>
      <c r="B123" s="596" t="s">
        <v>1507</v>
      </c>
      <c r="C123" s="541" t="s">
        <v>623</v>
      </c>
      <c r="D123" s="830">
        <f t="shared" si="40"/>
        <v>0</v>
      </c>
      <c r="E123" s="830">
        <f t="shared" si="37"/>
        <v>0</v>
      </c>
      <c r="F123" s="830">
        <f t="shared" si="37"/>
        <v>0</v>
      </c>
      <c r="G123" s="830">
        <f t="shared" si="37"/>
        <v>0</v>
      </c>
      <c r="H123" s="830">
        <f t="shared" si="29"/>
        <v>0</v>
      </c>
      <c r="I123" s="830">
        <f t="shared" si="41"/>
        <v>0</v>
      </c>
      <c r="J123" s="830">
        <f t="shared" si="41"/>
        <v>0</v>
      </c>
      <c r="K123" s="830">
        <f t="shared" si="41"/>
        <v>0</v>
      </c>
      <c r="L123" s="830">
        <f t="shared" si="41"/>
        <v>0</v>
      </c>
      <c r="M123" s="830">
        <f t="shared" si="41"/>
        <v>0</v>
      </c>
      <c r="N123" s="830">
        <f t="shared" si="41"/>
        <v>0</v>
      </c>
      <c r="O123" s="830">
        <f t="shared" si="41"/>
        <v>0</v>
      </c>
      <c r="P123" s="830">
        <f>ROUND(SUMIFS(P$495:P$866,$B$495:$B$866,$B123,$C$495:$C$866,$C123),0)</f>
        <v>0</v>
      </c>
      <c r="Q123" s="830">
        <f t="shared" si="39"/>
        <v>0</v>
      </c>
      <c r="R123" s="830">
        <f t="shared" si="39"/>
        <v>0</v>
      </c>
      <c r="S123" s="830"/>
      <c r="AA123" s="583"/>
      <c r="AB123" s="583"/>
      <c r="AC123" s="583"/>
      <c r="AD123" s="583"/>
      <c r="AE123" s="583"/>
      <c r="AF123" s="583"/>
      <c r="AG123" s="583"/>
      <c r="AH123" s="583"/>
      <c r="AI123" s="583"/>
      <c r="AJ123" s="583"/>
      <c r="AK123" s="583"/>
      <c r="AN123" s="583"/>
      <c r="AO123" s="583"/>
      <c r="AR123" s="583"/>
      <c r="AS123" s="583"/>
      <c r="AT123" s="583"/>
      <c r="AU123" s="583"/>
    </row>
    <row r="124" spans="1:47" s="593" customFormat="1" ht="12" hidden="1" thickBot="1">
      <c r="A124" s="541" t="s">
        <v>179</v>
      </c>
      <c r="B124" s="596" t="s">
        <v>1507</v>
      </c>
      <c r="C124" s="541" t="s">
        <v>683</v>
      </c>
      <c r="D124" s="830">
        <f t="shared" si="40"/>
        <v>0</v>
      </c>
      <c r="E124" s="830">
        <f t="shared" si="37"/>
        <v>0</v>
      </c>
      <c r="F124" s="830">
        <f t="shared" si="37"/>
        <v>0</v>
      </c>
      <c r="G124" s="830">
        <f t="shared" si="37"/>
        <v>0</v>
      </c>
      <c r="H124" s="830">
        <f t="shared" si="29"/>
        <v>0</v>
      </c>
      <c r="I124" s="830">
        <f t="shared" si="41"/>
        <v>0</v>
      </c>
      <c r="J124" s="830">
        <f t="shared" si="41"/>
        <v>0</v>
      </c>
      <c r="K124" s="830">
        <f t="shared" si="41"/>
        <v>0</v>
      </c>
      <c r="L124" s="830">
        <f t="shared" si="41"/>
        <v>0</v>
      </c>
      <c r="M124" s="830">
        <f t="shared" si="41"/>
        <v>0</v>
      </c>
      <c r="N124" s="830">
        <f t="shared" si="41"/>
        <v>0</v>
      </c>
      <c r="O124" s="830">
        <f t="shared" si="41"/>
        <v>0</v>
      </c>
      <c r="P124" s="830">
        <f>ROUND(SUMIFS(P$495:P$866,$B$495:$B$866,$B124,$C$495:$C$866,$C124),0)</f>
        <v>0</v>
      </c>
      <c r="Q124" s="830">
        <f t="shared" si="39"/>
        <v>0</v>
      </c>
      <c r="R124" s="830">
        <f t="shared" si="39"/>
        <v>0</v>
      </c>
      <c r="S124" s="830"/>
      <c r="AA124" s="583"/>
      <c r="AB124" s="583"/>
      <c r="AC124" s="583"/>
      <c r="AD124" s="583"/>
      <c r="AE124" s="583"/>
      <c r="AF124" s="583"/>
      <c r="AG124" s="583"/>
      <c r="AH124" s="583"/>
      <c r="AI124" s="583"/>
      <c r="AJ124" s="583"/>
      <c r="AK124" s="583"/>
      <c r="AN124" s="583"/>
      <c r="AO124" s="583"/>
      <c r="AR124" s="583"/>
      <c r="AS124" s="583"/>
      <c r="AT124" s="583"/>
      <c r="AU124" s="583"/>
    </row>
    <row r="125" spans="1:47" s="593" customFormat="1" ht="12" hidden="1" thickBot="1">
      <c r="A125" s="541" t="s">
        <v>179</v>
      </c>
      <c r="B125" s="596" t="s">
        <v>1507</v>
      </c>
      <c r="C125" s="541" t="s">
        <v>684</v>
      </c>
      <c r="D125" s="830">
        <f t="shared" si="40"/>
        <v>0</v>
      </c>
      <c r="E125" s="830">
        <f t="shared" si="37"/>
        <v>0</v>
      </c>
      <c r="F125" s="830">
        <f t="shared" si="37"/>
        <v>0</v>
      </c>
      <c r="G125" s="830">
        <f t="shared" si="37"/>
        <v>0</v>
      </c>
      <c r="H125" s="830">
        <f t="shared" si="29"/>
        <v>0</v>
      </c>
      <c r="I125" s="830">
        <f t="shared" si="41"/>
        <v>0</v>
      </c>
      <c r="J125" s="830">
        <f t="shared" si="41"/>
        <v>0</v>
      </c>
      <c r="K125" s="830">
        <f t="shared" si="41"/>
        <v>0</v>
      </c>
      <c r="L125" s="830">
        <f t="shared" si="41"/>
        <v>0</v>
      </c>
      <c r="M125" s="830">
        <f t="shared" si="41"/>
        <v>0</v>
      </c>
      <c r="N125" s="830">
        <f t="shared" si="41"/>
        <v>0</v>
      </c>
      <c r="O125" s="830">
        <f t="shared" si="41"/>
        <v>0</v>
      </c>
      <c r="P125" s="830">
        <f>ROUND(SUMIFS(P$495:P$866,$B$495:$B$866,$B125,$C$495:$C$866,$C125),0)</f>
        <v>0</v>
      </c>
      <c r="Q125" s="830">
        <f t="shared" si="39"/>
        <v>0</v>
      </c>
      <c r="R125" s="830">
        <f t="shared" si="39"/>
        <v>0</v>
      </c>
      <c r="S125" s="830"/>
      <c r="AA125" s="583"/>
      <c r="AB125" s="583"/>
      <c r="AC125" s="583"/>
      <c r="AD125" s="583"/>
      <c r="AE125" s="583"/>
      <c r="AF125" s="583"/>
      <c r="AG125" s="583"/>
      <c r="AH125" s="583"/>
      <c r="AI125" s="583"/>
      <c r="AJ125" s="583"/>
      <c r="AK125" s="583"/>
      <c r="AN125" s="583"/>
      <c r="AO125" s="583"/>
      <c r="AR125" s="583"/>
      <c r="AS125" s="583"/>
      <c r="AT125" s="583"/>
      <c r="AU125" s="583"/>
    </row>
    <row r="126" spans="1:47" s="593" customFormat="1" ht="12" hidden="1" thickBot="1">
      <c r="A126" s="541" t="s">
        <v>179</v>
      </c>
      <c r="B126" s="596" t="s">
        <v>1507</v>
      </c>
      <c r="C126" s="541" t="s">
        <v>685</v>
      </c>
      <c r="D126" s="830">
        <f t="shared" si="40"/>
        <v>0</v>
      </c>
      <c r="E126" s="830">
        <f t="shared" si="37"/>
        <v>0</v>
      </c>
      <c r="F126" s="830">
        <f t="shared" si="37"/>
        <v>0</v>
      </c>
      <c r="G126" s="830">
        <f t="shared" si="37"/>
        <v>0</v>
      </c>
      <c r="H126" s="830">
        <f t="shared" si="29"/>
        <v>0</v>
      </c>
      <c r="I126" s="830">
        <f t="shared" si="41"/>
        <v>0</v>
      </c>
      <c r="J126" s="830">
        <f t="shared" si="41"/>
        <v>0</v>
      </c>
      <c r="K126" s="830">
        <f t="shared" si="41"/>
        <v>0</v>
      </c>
      <c r="L126" s="830">
        <f t="shared" si="41"/>
        <v>0</v>
      </c>
      <c r="M126" s="830">
        <f t="shared" si="41"/>
        <v>0</v>
      </c>
      <c r="N126" s="830">
        <f t="shared" si="41"/>
        <v>0</v>
      </c>
      <c r="O126" s="830">
        <f t="shared" si="41"/>
        <v>0</v>
      </c>
      <c r="P126" s="830">
        <f>ROUND(SUMIFS(P$495:P$866,$B$495:$B$866,$B126,$C$495:$C$866,$C126),0)</f>
        <v>0</v>
      </c>
      <c r="Q126" s="830">
        <f t="shared" si="39"/>
        <v>0</v>
      </c>
      <c r="R126" s="830">
        <f t="shared" si="39"/>
        <v>0</v>
      </c>
      <c r="S126" s="830"/>
      <c r="AA126" s="583"/>
      <c r="AB126" s="583"/>
      <c r="AC126" s="583"/>
      <c r="AD126" s="583"/>
      <c r="AE126" s="583"/>
      <c r="AF126" s="583"/>
      <c r="AG126" s="583"/>
      <c r="AH126" s="583"/>
      <c r="AI126" s="583"/>
      <c r="AJ126" s="583"/>
      <c r="AK126" s="583"/>
      <c r="AN126" s="583"/>
      <c r="AO126" s="583"/>
      <c r="AR126" s="583"/>
      <c r="AS126" s="583"/>
      <c r="AT126" s="583"/>
      <c r="AU126" s="583"/>
    </row>
    <row r="127" spans="1:47" s="593" customFormat="1" ht="12" hidden="1" thickBot="1">
      <c r="A127" s="541" t="s">
        <v>179</v>
      </c>
      <c r="B127" s="596" t="s">
        <v>1507</v>
      </c>
      <c r="C127" s="592" t="s">
        <v>8</v>
      </c>
      <c r="D127" s="558"/>
      <c r="E127" s="559"/>
      <c r="F127" s="559"/>
      <c r="G127" s="559"/>
      <c r="H127" s="558"/>
      <c r="I127" s="591"/>
      <c r="J127" s="591"/>
      <c r="K127" s="591"/>
      <c r="L127" s="559"/>
      <c r="M127" s="559"/>
      <c r="N127" s="591"/>
      <c r="O127" s="591"/>
      <c r="P127" s="591"/>
      <c r="Q127" s="591"/>
      <c r="R127" s="591"/>
      <c r="S127" s="559"/>
      <c r="AA127" s="583"/>
      <c r="AB127" s="583"/>
      <c r="AC127" s="583"/>
      <c r="AD127" s="583"/>
      <c r="AE127" s="583"/>
      <c r="AF127" s="583"/>
      <c r="AG127" s="583"/>
      <c r="AH127" s="583"/>
      <c r="AI127" s="583"/>
      <c r="AJ127" s="583"/>
      <c r="AK127" s="583"/>
      <c r="AN127" s="583"/>
      <c r="AO127" s="583"/>
      <c r="AR127" s="583"/>
      <c r="AS127" s="583"/>
      <c r="AT127" s="583"/>
      <c r="AU127" s="583"/>
    </row>
    <row r="128" spans="1:47" s="593" customFormat="1" ht="12" hidden="1" thickBot="1">
      <c r="A128" s="565"/>
      <c r="B128" s="566"/>
      <c r="C128" s="560"/>
      <c r="D128" s="541" t="s">
        <v>1</v>
      </c>
      <c r="E128" s="541" t="s">
        <v>644</v>
      </c>
      <c r="F128" s="541" t="s">
        <v>645</v>
      </c>
      <c r="G128" s="541" t="s">
        <v>646</v>
      </c>
      <c r="H128" s="541" t="s">
        <v>2</v>
      </c>
      <c r="I128" s="541" t="s">
        <v>468</v>
      </c>
      <c r="J128" s="541" t="s">
        <v>469</v>
      </c>
      <c r="K128" s="541" t="s">
        <v>470</v>
      </c>
      <c r="L128" s="541" t="s">
        <v>1368</v>
      </c>
      <c r="M128" s="541" t="s">
        <v>1369</v>
      </c>
      <c r="N128" s="541" t="s">
        <v>1159</v>
      </c>
      <c r="O128" s="541" t="s">
        <v>1370</v>
      </c>
      <c r="P128" s="541" t="s">
        <v>1371</v>
      </c>
      <c r="Q128" s="541" t="s">
        <v>1372</v>
      </c>
      <c r="R128" s="541" t="s">
        <v>1373</v>
      </c>
      <c r="S128" s="541" t="s">
        <v>3</v>
      </c>
      <c r="AR128" s="583"/>
      <c r="AS128" s="583"/>
      <c r="AT128" s="583"/>
      <c r="AU128" s="583"/>
    </row>
    <row r="129" spans="1:47" s="593" customFormat="1" ht="12" hidden="1" thickBot="1">
      <c r="A129" s="541" t="s">
        <v>69</v>
      </c>
      <c r="B129" s="541" t="s">
        <v>0</v>
      </c>
      <c r="C129" s="541" t="s">
        <v>5</v>
      </c>
      <c r="D129" s="560"/>
      <c r="E129" s="560" t="s">
        <v>6</v>
      </c>
      <c r="F129" s="560" t="s">
        <v>6</v>
      </c>
      <c r="G129" s="560" t="s">
        <v>6</v>
      </c>
      <c r="H129" s="560" t="s">
        <v>6</v>
      </c>
      <c r="I129" s="560"/>
      <c r="J129" s="560"/>
      <c r="K129" s="560"/>
      <c r="L129" s="560"/>
      <c r="M129" s="560"/>
      <c r="N129" s="560"/>
      <c r="O129" s="560"/>
      <c r="P129" s="560"/>
      <c r="Q129" s="560"/>
      <c r="R129" s="560"/>
      <c r="S129" s="560" t="s">
        <v>7</v>
      </c>
      <c r="AR129" s="583"/>
      <c r="AS129" s="583"/>
      <c r="AT129" s="583"/>
      <c r="AU129" s="583"/>
    </row>
    <row r="130" spans="1:47" s="593" customFormat="1" ht="12" hidden="1" thickBot="1">
      <c r="A130" s="541" t="s">
        <v>179</v>
      </c>
      <c r="B130" s="596" t="s">
        <v>1508</v>
      </c>
      <c r="C130" s="541" t="s">
        <v>152</v>
      </c>
      <c r="D130" s="830">
        <f t="shared" ref="D130:G150" si="42">ROUND(SUMIFS(D$495:D$866,$B$495:$B$866,$B130,$C$495:$C$866,$C130),0)</f>
        <v>32</v>
      </c>
      <c r="E130" s="830">
        <f t="shared" si="42"/>
        <v>0</v>
      </c>
      <c r="F130" s="830">
        <f t="shared" si="42"/>
        <v>0</v>
      </c>
      <c r="G130" s="830">
        <f t="shared" si="42"/>
        <v>0</v>
      </c>
      <c r="H130" s="830">
        <f t="shared" ref="H130:H167" si="43">ROUND(SUMIFS(H$495:H$866,$B$495:$B$866,$B130,$C$495:$C$866,$C130)*1000,0)</f>
        <v>125338353</v>
      </c>
      <c r="I130" s="830">
        <f t="shared" ref="I130:R130" si="44">ROUND(SUMIFS(I$495:I$866,$B$495:$B$866,$B130,$C$495:$C$866,$C130),0)</f>
        <v>0</v>
      </c>
      <c r="J130" s="830">
        <f t="shared" si="44"/>
        <v>0</v>
      </c>
      <c r="K130" s="830">
        <f t="shared" si="44"/>
        <v>0</v>
      </c>
      <c r="L130" s="830">
        <f t="shared" si="44"/>
        <v>0</v>
      </c>
      <c r="M130" s="830">
        <f t="shared" si="44"/>
        <v>0</v>
      </c>
      <c r="N130" s="830">
        <f t="shared" si="44"/>
        <v>0</v>
      </c>
      <c r="O130" s="830">
        <f t="shared" si="44"/>
        <v>306602</v>
      </c>
      <c r="P130" s="830">
        <f t="shared" si="44"/>
        <v>296919</v>
      </c>
      <c r="Q130" s="830">
        <f t="shared" si="44"/>
        <v>283381</v>
      </c>
      <c r="R130" s="830">
        <f t="shared" si="44"/>
        <v>0</v>
      </c>
      <c r="S130" s="830"/>
      <c r="AR130" s="583"/>
      <c r="AS130" s="583"/>
      <c r="AT130" s="583"/>
      <c r="AU130" s="583"/>
    </row>
    <row r="131" spans="1:47" s="593" customFormat="1" ht="12" hidden="1" thickBot="1">
      <c r="A131" s="541" t="s">
        <v>179</v>
      </c>
      <c r="B131" s="596" t="s">
        <v>1508</v>
      </c>
      <c r="C131" s="541" t="s">
        <v>153</v>
      </c>
      <c r="D131" s="830">
        <f t="shared" si="42"/>
        <v>195</v>
      </c>
      <c r="E131" s="830">
        <f t="shared" si="42"/>
        <v>0</v>
      </c>
      <c r="F131" s="830">
        <f t="shared" si="42"/>
        <v>0</v>
      </c>
      <c r="G131" s="830">
        <f t="shared" si="42"/>
        <v>0</v>
      </c>
      <c r="H131" s="830">
        <f t="shared" si="43"/>
        <v>17125531</v>
      </c>
      <c r="I131" s="830">
        <f t="shared" ref="I131:O140" si="45">ROUND(SUMIFS(I$495:I$866,$B$495:$B$866,$B131,$C$495:$C$866,$C131),0)</f>
        <v>0</v>
      </c>
      <c r="J131" s="830">
        <f t="shared" si="45"/>
        <v>0</v>
      </c>
      <c r="K131" s="830">
        <f t="shared" si="45"/>
        <v>0</v>
      </c>
      <c r="L131" s="830">
        <f t="shared" si="45"/>
        <v>0</v>
      </c>
      <c r="M131" s="830">
        <f t="shared" si="45"/>
        <v>0</v>
      </c>
      <c r="N131" s="830">
        <f t="shared" si="45"/>
        <v>0</v>
      </c>
      <c r="O131" s="830">
        <f t="shared" si="45"/>
        <v>0</v>
      </c>
      <c r="P131" s="830">
        <f t="shared" ref="P131:P132" si="46">R131</f>
        <v>55075</v>
      </c>
      <c r="Q131" s="830">
        <f t="shared" ref="Q131:R150" si="47">ROUND(SUMIFS(Q$495:Q$866,$B$495:$B$866,$B131,$C$495:$C$866,$C131),0)</f>
        <v>0</v>
      </c>
      <c r="R131" s="830">
        <f t="shared" si="47"/>
        <v>55075</v>
      </c>
      <c r="S131" s="830"/>
      <c r="AR131" s="583"/>
      <c r="AS131" s="583"/>
      <c r="AT131" s="583"/>
      <c r="AU131" s="583"/>
    </row>
    <row r="132" spans="1:47" s="593" customFormat="1" ht="12" hidden="1" thickBot="1">
      <c r="A132" s="541" t="s">
        <v>179</v>
      </c>
      <c r="B132" s="596" t="s">
        <v>1508</v>
      </c>
      <c r="C132" s="541" t="s">
        <v>154</v>
      </c>
      <c r="D132" s="830">
        <f t="shared" si="42"/>
        <v>4620</v>
      </c>
      <c r="E132" s="830">
        <f t="shared" si="42"/>
        <v>0</v>
      </c>
      <c r="F132" s="830">
        <f t="shared" si="42"/>
        <v>0</v>
      </c>
      <c r="G132" s="830">
        <f t="shared" si="42"/>
        <v>0</v>
      </c>
      <c r="H132" s="830">
        <f t="shared" si="43"/>
        <v>148653381</v>
      </c>
      <c r="I132" s="830">
        <f t="shared" si="45"/>
        <v>0</v>
      </c>
      <c r="J132" s="830">
        <f t="shared" si="45"/>
        <v>0</v>
      </c>
      <c r="K132" s="830">
        <f t="shared" si="45"/>
        <v>0</v>
      </c>
      <c r="L132" s="830">
        <f t="shared" si="45"/>
        <v>0</v>
      </c>
      <c r="M132" s="830">
        <f t="shared" si="45"/>
        <v>0</v>
      </c>
      <c r="N132" s="830">
        <f t="shared" si="45"/>
        <v>0</v>
      </c>
      <c r="O132" s="830">
        <f t="shared" si="45"/>
        <v>0</v>
      </c>
      <c r="P132" s="830">
        <f t="shared" si="46"/>
        <v>527559</v>
      </c>
      <c r="Q132" s="830">
        <f t="shared" si="47"/>
        <v>0</v>
      </c>
      <c r="R132" s="830">
        <f t="shared" si="47"/>
        <v>527559</v>
      </c>
      <c r="S132" s="830"/>
      <c r="AR132" s="583"/>
      <c r="AS132" s="583"/>
      <c r="AT132" s="583"/>
      <c r="AU132" s="583"/>
    </row>
    <row r="133" spans="1:47" s="593" customFormat="1" ht="12" hidden="1" thickBot="1">
      <c r="A133" s="541" t="s">
        <v>179</v>
      </c>
      <c r="B133" s="596" t="s">
        <v>1508</v>
      </c>
      <c r="C133" s="541" t="s">
        <v>155</v>
      </c>
      <c r="D133" s="830">
        <f t="shared" si="42"/>
        <v>52</v>
      </c>
      <c r="E133" s="830">
        <f t="shared" si="42"/>
        <v>0</v>
      </c>
      <c r="F133" s="830">
        <f t="shared" si="42"/>
        <v>0</v>
      </c>
      <c r="G133" s="830">
        <f t="shared" si="42"/>
        <v>0</v>
      </c>
      <c r="H133" s="830">
        <f t="shared" si="43"/>
        <v>226428621</v>
      </c>
      <c r="I133" s="830">
        <f t="shared" si="45"/>
        <v>0</v>
      </c>
      <c r="J133" s="830">
        <f t="shared" si="45"/>
        <v>0</v>
      </c>
      <c r="K133" s="830">
        <f t="shared" si="45"/>
        <v>0</v>
      </c>
      <c r="L133" s="830">
        <f t="shared" si="45"/>
        <v>0</v>
      </c>
      <c r="M133" s="830">
        <f t="shared" si="45"/>
        <v>0</v>
      </c>
      <c r="N133" s="830">
        <f t="shared" si="45"/>
        <v>0</v>
      </c>
      <c r="O133" s="830">
        <f t="shared" si="45"/>
        <v>512309</v>
      </c>
      <c r="P133" s="830">
        <f t="shared" ref="P133:P140" si="48">ROUND(SUMIFS(P$495:P$866,$B$495:$B$866,$B133,$C$495:$C$866,$C133),0)</f>
        <v>488087</v>
      </c>
      <c r="Q133" s="830">
        <f t="shared" si="47"/>
        <v>484789</v>
      </c>
      <c r="R133" s="830">
        <f t="shared" si="47"/>
        <v>0</v>
      </c>
      <c r="S133" s="830"/>
      <c r="AR133" s="583"/>
      <c r="AS133" s="583"/>
      <c r="AT133" s="583"/>
      <c r="AU133" s="583"/>
    </row>
    <row r="134" spans="1:47" s="593" customFormat="1" ht="12" hidden="1" thickBot="1">
      <c r="A134" s="541" t="s">
        <v>179</v>
      </c>
      <c r="B134" s="596" t="s">
        <v>1508</v>
      </c>
      <c r="C134" s="541" t="s">
        <v>156</v>
      </c>
      <c r="D134" s="830">
        <f t="shared" si="42"/>
        <v>0</v>
      </c>
      <c r="E134" s="830">
        <f t="shared" si="42"/>
        <v>0</v>
      </c>
      <c r="F134" s="830">
        <f t="shared" si="42"/>
        <v>0</v>
      </c>
      <c r="G134" s="830">
        <f t="shared" si="42"/>
        <v>0</v>
      </c>
      <c r="H134" s="830">
        <f t="shared" si="43"/>
        <v>0</v>
      </c>
      <c r="I134" s="830">
        <f t="shared" si="45"/>
        <v>0</v>
      </c>
      <c r="J134" s="830">
        <f t="shared" si="45"/>
        <v>0</v>
      </c>
      <c r="K134" s="830">
        <f t="shared" si="45"/>
        <v>0</v>
      </c>
      <c r="L134" s="830">
        <f t="shared" si="45"/>
        <v>0</v>
      </c>
      <c r="M134" s="830">
        <f t="shared" si="45"/>
        <v>0</v>
      </c>
      <c r="N134" s="830">
        <f t="shared" si="45"/>
        <v>0</v>
      </c>
      <c r="O134" s="830">
        <f t="shared" si="45"/>
        <v>0</v>
      </c>
      <c r="P134" s="830">
        <f t="shared" si="48"/>
        <v>0</v>
      </c>
      <c r="Q134" s="830">
        <f t="shared" si="47"/>
        <v>0</v>
      </c>
      <c r="R134" s="830">
        <f t="shared" si="47"/>
        <v>0</v>
      </c>
      <c r="S134" s="830"/>
      <c r="AR134" s="583"/>
      <c r="AS134" s="583"/>
      <c r="AT134" s="583"/>
      <c r="AU134" s="583"/>
    </row>
    <row r="135" spans="1:47" s="593" customFormat="1" ht="12" hidden="1" thickBot="1">
      <c r="A135" s="541" t="s">
        <v>179</v>
      </c>
      <c r="B135" s="596" t="s">
        <v>1508</v>
      </c>
      <c r="C135" s="541" t="s">
        <v>157</v>
      </c>
      <c r="D135" s="830">
        <f t="shared" si="42"/>
        <v>0</v>
      </c>
      <c r="E135" s="830">
        <f t="shared" si="42"/>
        <v>0</v>
      </c>
      <c r="F135" s="830">
        <f t="shared" si="42"/>
        <v>0</v>
      </c>
      <c r="G135" s="830">
        <f t="shared" si="42"/>
        <v>0</v>
      </c>
      <c r="H135" s="830">
        <f t="shared" si="43"/>
        <v>0</v>
      </c>
      <c r="I135" s="830">
        <f t="shared" si="45"/>
        <v>0</v>
      </c>
      <c r="J135" s="830">
        <f t="shared" si="45"/>
        <v>0</v>
      </c>
      <c r="K135" s="830">
        <f t="shared" si="45"/>
        <v>0</v>
      </c>
      <c r="L135" s="830">
        <f t="shared" si="45"/>
        <v>0</v>
      </c>
      <c r="M135" s="830">
        <f t="shared" si="45"/>
        <v>0</v>
      </c>
      <c r="N135" s="830">
        <f t="shared" si="45"/>
        <v>0</v>
      </c>
      <c r="O135" s="830">
        <f t="shared" si="45"/>
        <v>0</v>
      </c>
      <c r="P135" s="830">
        <f t="shared" si="48"/>
        <v>0</v>
      </c>
      <c r="Q135" s="830">
        <f t="shared" si="47"/>
        <v>0</v>
      </c>
      <c r="R135" s="830">
        <f t="shared" si="47"/>
        <v>0</v>
      </c>
      <c r="S135" s="830"/>
      <c r="AR135" s="583"/>
      <c r="AS135" s="583"/>
      <c r="AT135" s="583"/>
      <c r="AU135" s="583"/>
    </row>
    <row r="136" spans="1:47" s="593" customFormat="1" ht="12" hidden="1" thickBot="1">
      <c r="A136" s="541" t="s">
        <v>179</v>
      </c>
      <c r="B136" s="596" t="s">
        <v>1508</v>
      </c>
      <c r="C136" s="541" t="s">
        <v>158</v>
      </c>
      <c r="D136" s="830">
        <f t="shared" si="42"/>
        <v>208</v>
      </c>
      <c r="E136" s="830">
        <f t="shared" si="42"/>
        <v>0</v>
      </c>
      <c r="F136" s="830">
        <f t="shared" si="42"/>
        <v>0</v>
      </c>
      <c r="G136" s="830">
        <f t="shared" si="42"/>
        <v>0</v>
      </c>
      <c r="H136" s="830">
        <f t="shared" si="43"/>
        <v>95454013</v>
      </c>
      <c r="I136" s="830">
        <f t="shared" si="45"/>
        <v>0</v>
      </c>
      <c r="J136" s="830">
        <f t="shared" si="45"/>
        <v>0</v>
      </c>
      <c r="K136" s="830">
        <f t="shared" si="45"/>
        <v>0</v>
      </c>
      <c r="L136" s="830">
        <f t="shared" si="45"/>
        <v>0</v>
      </c>
      <c r="M136" s="830">
        <f t="shared" si="45"/>
        <v>0</v>
      </c>
      <c r="N136" s="830">
        <f t="shared" si="45"/>
        <v>0</v>
      </c>
      <c r="O136" s="830">
        <f t="shared" si="45"/>
        <v>278232</v>
      </c>
      <c r="P136" s="830">
        <f t="shared" si="48"/>
        <v>266025</v>
      </c>
      <c r="Q136" s="830">
        <f t="shared" si="47"/>
        <v>260651</v>
      </c>
      <c r="R136" s="830">
        <f t="shared" si="47"/>
        <v>0</v>
      </c>
      <c r="S136" s="830"/>
      <c r="AR136" s="583"/>
      <c r="AS136" s="583"/>
      <c r="AT136" s="583"/>
      <c r="AU136" s="583"/>
    </row>
    <row r="137" spans="1:47" s="593" customFormat="1" ht="12" hidden="1" thickBot="1">
      <c r="A137" s="541" t="s">
        <v>179</v>
      </c>
      <c r="B137" s="596" t="s">
        <v>1508</v>
      </c>
      <c r="C137" s="541" t="s">
        <v>159</v>
      </c>
      <c r="D137" s="830">
        <f t="shared" si="42"/>
        <v>470</v>
      </c>
      <c r="E137" s="830">
        <f t="shared" si="42"/>
        <v>0</v>
      </c>
      <c r="F137" s="830">
        <f t="shared" si="42"/>
        <v>0</v>
      </c>
      <c r="G137" s="830">
        <f t="shared" si="42"/>
        <v>0</v>
      </c>
      <c r="H137" s="830">
        <f t="shared" si="43"/>
        <v>117607497</v>
      </c>
      <c r="I137" s="830">
        <f t="shared" si="45"/>
        <v>0</v>
      </c>
      <c r="J137" s="830">
        <f t="shared" si="45"/>
        <v>0</v>
      </c>
      <c r="K137" s="830">
        <f t="shared" si="45"/>
        <v>0</v>
      </c>
      <c r="L137" s="830">
        <f t="shared" si="45"/>
        <v>0</v>
      </c>
      <c r="M137" s="830">
        <f t="shared" si="45"/>
        <v>0</v>
      </c>
      <c r="N137" s="830">
        <f t="shared" si="45"/>
        <v>0</v>
      </c>
      <c r="O137" s="830">
        <f t="shared" si="45"/>
        <v>308834</v>
      </c>
      <c r="P137" s="830">
        <f t="shared" si="48"/>
        <v>281287</v>
      </c>
      <c r="Q137" s="830">
        <f t="shared" si="47"/>
        <v>274986</v>
      </c>
      <c r="R137" s="830">
        <f t="shared" si="47"/>
        <v>0</v>
      </c>
      <c r="S137" s="830"/>
      <c r="AR137" s="583"/>
      <c r="AS137" s="583"/>
      <c r="AT137" s="583"/>
      <c r="AU137" s="583"/>
    </row>
    <row r="138" spans="1:47" s="593" customFormat="1" ht="12" hidden="1" thickBot="1">
      <c r="A138" s="541" t="s">
        <v>179</v>
      </c>
      <c r="B138" s="596" t="s">
        <v>1508</v>
      </c>
      <c r="C138" s="541" t="s">
        <v>161</v>
      </c>
      <c r="D138" s="830">
        <f t="shared" si="42"/>
        <v>63560</v>
      </c>
      <c r="E138" s="830">
        <f t="shared" si="42"/>
        <v>0</v>
      </c>
      <c r="F138" s="830">
        <f t="shared" si="42"/>
        <v>0</v>
      </c>
      <c r="G138" s="830">
        <f t="shared" si="42"/>
        <v>0</v>
      </c>
      <c r="H138" s="830">
        <f t="shared" si="43"/>
        <v>53952631</v>
      </c>
      <c r="I138" s="830">
        <f t="shared" si="45"/>
        <v>0</v>
      </c>
      <c r="J138" s="830">
        <f t="shared" si="45"/>
        <v>0</v>
      </c>
      <c r="K138" s="830">
        <f t="shared" si="45"/>
        <v>0</v>
      </c>
      <c r="L138" s="830">
        <f t="shared" si="45"/>
        <v>0</v>
      </c>
      <c r="M138" s="830">
        <f t="shared" si="45"/>
        <v>0</v>
      </c>
      <c r="N138" s="830">
        <f t="shared" si="45"/>
        <v>0</v>
      </c>
      <c r="O138" s="830">
        <f t="shared" si="45"/>
        <v>0</v>
      </c>
      <c r="P138" s="830">
        <f t="shared" si="48"/>
        <v>0</v>
      </c>
      <c r="Q138" s="830">
        <f t="shared" si="47"/>
        <v>0</v>
      </c>
      <c r="R138" s="830">
        <f t="shared" si="47"/>
        <v>0</v>
      </c>
      <c r="S138" s="830"/>
      <c r="AR138" s="583"/>
      <c r="AS138" s="583"/>
      <c r="AT138" s="583"/>
      <c r="AU138" s="583"/>
    </row>
    <row r="139" spans="1:47" s="593" customFormat="1" ht="12" hidden="1" thickBot="1">
      <c r="A139" s="541" t="s">
        <v>179</v>
      </c>
      <c r="B139" s="596" t="s">
        <v>1508</v>
      </c>
      <c r="C139" s="541" t="s">
        <v>162</v>
      </c>
      <c r="D139" s="830">
        <f t="shared" si="42"/>
        <v>0</v>
      </c>
      <c r="E139" s="830">
        <f t="shared" si="42"/>
        <v>0</v>
      </c>
      <c r="F139" s="830">
        <f t="shared" si="42"/>
        <v>0</v>
      </c>
      <c r="G139" s="830">
        <f t="shared" si="42"/>
        <v>0</v>
      </c>
      <c r="H139" s="830">
        <f t="shared" si="43"/>
        <v>0</v>
      </c>
      <c r="I139" s="830">
        <f t="shared" si="45"/>
        <v>0</v>
      </c>
      <c r="J139" s="830">
        <f t="shared" si="45"/>
        <v>0</v>
      </c>
      <c r="K139" s="830">
        <f t="shared" si="45"/>
        <v>0</v>
      </c>
      <c r="L139" s="830">
        <f t="shared" si="45"/>
        <v>0</v>
      </c>
      <c r="M139" s="830">
        <f t="shared" si="45"/>
        <v>0</v>
      </c>
      <c r="N139" s="830">
        <f t="shared" si="45"/>
        <v>0</v>
      </c>
      <c r="O139" s="830">
        <f t="shared" si="45"/>
        <v>0</v>
      </c>
      <c r="P139" s="830">
        <f t="shared" si="48"/>
        <v>0</v>
      </c>
      <c r="Q139" s="830">
        <f t="shared" si="47"/>
        <v>0</v>
      </c>
      <c r="R139" s="830">
        <f t="shared" si="47"/>
        <v>0</v>
      </c>
      <c r="S139" s="830"/>
      <c r="AR139" s="583"/>
      <c r="AS139" s="583"/>
      <c r="AT139" s="583"/>
      <c r="AU139" s="583"/>
    </row>
    <row r="140" spans="1:47" s="593" customFormat="1" ht="12" hidden="1" thickBot="1">
      <c r="A140" s="541" t="s">
        <v>179</v>
      </c>
      <c r="B140" s="596" t="s">
        <v>1508</v>
      </c>
      <c r="C140" s="541" t="s">
        <v>163</v>
      </c>
      <c r="D140" s="830">
        <f t="shared" si="42"/>
        <v>18580</v>
      </c>
      <c r="E140" s="830">
        <f t="shared" si="42"/>
        <v>0</v>
      </c>
      <c r="F140" s="830">
        <f t="shared" si="42"/>
        <v>0</v>
      </c>
      <c r="G140" s="830">
        <f t="shared" si="42"/>
        <v>0</v>
      </c>
      <c r="H140" s="830">
        <f t="shared" si="43"/>
        <v>78553027</v>
      </c>
      <c r="I140" s="830">
        <f t="shared" si="45"/>
        <v>0</v>
      </c>
      <c r="J140" s="830">
        <f t="shared" si="45"/>
        <v>0</v>
      </c>
      <c r="K140" s="830">
        <f t="shared" si="45"/>
        <v>0</v>
      </c>
      <c r="L140" s="830">
        <f t="shared" si="45"/>
        <v>0</v>
      </c>
      <c r="M140" s="830">
        <f t="shared" si="45"/>
        <v>0</v>
      </c>
      <c r="N140" s="830">
        <f t="shared" si="45"/>
        <v>0</v>
      </c>
      <c r="O140" s="830">
        <f>R140</f>
        <v>371834</v>
      </c>
      <c r="P140" s="830">
        <f t="shared" si="48"/>
        <v>0</v>
      </c>
      <c r="Q140" s="830">
        <f t="shared" si="47"/>
        <v>0</v>
      </c>
      <c r="R140" s="830">
        <f t="shared" si="47"/>
        <v>371834</v>
      </c>
      <c r="S140" s="830"/>
      <c r="AR140" s="583"/>
      <c r="AS140" s="583"/>
      <c r="AT140" s="583"/>
      <c r="AU140" s="583"/>
    </row>
    <row r="141" spans="1:47" s="593" customFormat="1" ht="12" hidden="1" thickBot="1">
      <c r="A141" s="541" t="s">
        <v>179</v>
      </c>
      <c r="B141" s="596" t="s">
        <v>1508</v>
      </c>
      <c r="C141" s="541" t="s">
        <v>164</v>
      </c>
      <c r="D141" s="830">
        <f t="shared" si="42"/>
        <v>359</v>
      </c>
      <c r="E141" s="830">
        <f t="shared" si="42"/>
        <v>0</v>
      </c>
      <c r="F141" s="830">
        <f t="shared" si="42"/>
        <v>0</v>
      </c>
      <c r="G141" s="830">
        <f t="shared" si="42"/>
        <v>0</v>
      </c>
      <c r="H141" s="830">
        <f t="shared" si="43"/>
        <v>567977</v>
      </c>
      <c r="I141" s="830">
        <f t="shared" ref="I141:O150" si="49">ROUND(SUMIFS(I$495:I$866,$B$495:$B$866,$B141,$C$495:$C$866,$C141),0)</f>
        <v>0</v>
      </c>
      <c r="J141" s="830">
        <f t="shared" si="49"/>
        <v>0</v>
      </c>
      <c r="K141" s="830">
        <f t="shared" si="49"/>
        <v>0</v>
      </c>
      <c r="L141" s="830">
        <f t="shared" si="49"/>
        <v>0</v>
      </c>
      <c r="M141" s="830">
        <f t="shared" si="49"/>
        <v>0</v>
      </c>
      <c r="N141" s="830">
        <f t="shared" si="49"/>
        <v>0</v>
      </c>
      <c r="O141" s="830">
        <f t="shared" si="49"/>
        <v>0</v>
      </c>
      <c r="P141" s="830">
        <f t="shared" ref="P141:P163" si="50">ROUND(SUMIFS(P$495:P$866,$B$495:$B$866,$B141,$C$495:$C$866,$C141),0)</f>
        <v>0</v>
      </c>
      <c r="Q141" s="830">
        <f t="shared" si="47"/>
        <v>0</v>
      </c>
      <c r="R141" s="830">
        <f t="shared" si="47"/>
        <v>0</v>
      </c>
      <c r="S141" s="830"/>
      <c r="AR141" s="583"/>
      <c r="AS141" s="583"/>
      <c r="AT141" s="583"/>
      <c r="AU141" s="583"/>
    </row>
    <row r="142" spans="1:47" s="593" customFormat="1" ht="12" hidden="1" thickBot="1">
      <c r="A142" s="541" t="s">
        <v>179</v>
      </c>
      <c r="B142" s="596" t="s">
        <v>1508</v>
      </c>
      <c r="C142" s="541" t="s">
        <v>174</v>
      </c>
      <c r="D142" s="830">
        <f t="shared" si="42"/>
        <v>431179</v>
      </c>
      <c r="E142" s="830">
        <f t="shared" si="42"/>
        <v>0</v>
      </c>
      <c r="F142" s="830">
        <f t="shared" si="42"/>
        <v>0</v>
      </c>
      <c r="G142" s="830">
        <f t="shared" si="42"/>
        <v>0</v>
      </c>
      <c r="H142" s="830">
        <f t="shared" si="43"/>
        <v>411408947</v>
      </c>
      <c r="I142" s="830">
        <f t="shared" si="49"/>
        <v>0</v>
      </c>
      <c r="J142" s="830">
        <f t="shared" si="49"/>
        <v>0</v>
      </c>
      <c r="K142" s="830">
        <f t="shared" si="49"/>
        <v>0</v>
      </c>
      <c r="L142" s="830">
        <f t="shared" si="49"/>
        <v>0</v>
      </c>
      <c r="M142" s="830">
        <f t="shared" si="49"/>
        <v>0</v>
      </c>
      <c r="N142" s="830">
        <f t="shared" si="49"/>
        <v>0</v>
      </c>
      <c r="O142" s="830">
        <f t="shared" si="49"/>
        <v>0</v>
      </c>
      <c r="P142" s="830">
        <f t="shared" si="50"/>
        <v>0</v>
      </c>
      <c r="Q142" s="830">
        <f t="shared" si="47"/>
        <v>0</v>
      </c>
      <c r="R142" s="830">
        <f t="shared" si="47"/>
        <v>0</v>
      </c>
      <c r="S142" s="830"/>
      <c r="AR142" s="583"/>
      <c r="AS142" s="583"/>
      <c r="AT142" s="583"/>
      <c r="AU142" s="583"/>
    </row>
    <row r="143" spans="1:47" s="593" customFormat="1" ht="12" hidden="1" thickBot="1">
      <c r="A143" s="541" t="s">
        <v>179</v>
      </c>
      <c r="B143" s="596" t="s">
        <v>1508</v>
      </c>
      <c r="C143" s="541" t="s">
        <v>175</v>
      </c>
      <c r="D143" s="830">
        <f t="shared" si="42"/>
        <v>0</v>
      </c>
      <c r="E143" s="830">
        <f t="shared" si="42"/>
        <v>0</v>
      </c>
      <c r="F143" s="830">
        <f t="shared" si="42"/>
        <v>0</v>
      </c>
      <c r="G143" s="830">
        <f t="shared" si="42"/>
        <v>0</v>
      </c>
      <c r="H143" s="830">
        <f t="shared" si="43"/>
        <v>0</v>
      </c>
      <c r="I143" s="830">
        <f t="shared" si="49"/>
        <v>0</v>
      </c>
      <c r="J143" s="830">
        <f t="shared" si="49"/>
        <v>0</v>
      </c>
      <c r="K143" s="830">
        <f t="shared" si="49"/>
        <v>0</v>
      </c>
      <c r="L143" s="830">
        <f t="shared" si="49"/>
        <v>0</v>
      </c>
      <c r="M143" s="830">
        <f t="shared" si="49"/>
        <v>0</v>
      </c>
      <c r="N143" s="830">
        <f t="shared" si="49"/>
        <v>0</v>
      </c>
      <c r="O143" s="830">
        <f t="shared" si="49"/>
        <v>0</v>
      </c>
      <c r="P143" s="830">
        <f t="shared" si="50"/>
        <v>0</v>
      </c>
      <c r="Q143" s="830">
        <f t="shared" si="47"/>
        <v>0</v>
      </c>
      <c r="R143" s="830">
        <f t="shared" si="47"/>
        <v>0</v>
      </c>
      <c r="S143" s="830"/>
      <c r="AR143" s="583"/>
      <c r="AS143" s="583"/>
      <c r="AT143" s="583"/>
      <c r="AU143" s="583"/>
    </row>
    <row r="144" spans="1:47" s="593" customFormat="1" ht="12" hidden="1" thickBot="1">
      <c r="A144" s="541" t="s">
        <v>179</v>
      </c>
      <c r="B144" s="596" t="s">
        <v>1508</v>
      </c>
      <c r="C144" s="541" t="s">
        <v>176</v>
      </c>
      <c r="D144" s="830">
        <f t="shared" si="42"/>
        <v>0</v>
      </c>
      <c r="E144" s="830">
        <f t="shared" si="42"/>
        <v>0</v>
      </c>
      <c r="F144" s="830">
        <f t="shared" si="42"/>
        <v>0</v>
      </c>
      <c r="G144" s="830">
        <f t="shared" si="42"/>
        <v>0</v>
      </c>
      <c r="H144" s="830">
        <f t="shared" si="43"/>
        <v>0</v>
      </c>
      <c r="I144" s="830">
        <f t="shared" si="49"/>
        <v>0</v>
      </c>
      <c r="J144" s="830">
        <f t="shared" si="49"/>
        <v>0</v>
      </c>
      <c r="K144" s="830">
        <f t="shared" si="49"/>
        <v>0</v>
      </c>
      <c r="L144" s="830">
        <f t="shared" si="49"/>
        <v>0</v>
      </c>
      <c r="M144" s="830">
        <f t="shared" si="49"/>
        <v>0</v>
      </c>
      <c r="N144" s="830">
        <f t="shared" si="49"/>
        <v>0</v>
      </c>
      <c r="O144" s="830">
        <f t="shared" si="49"/>
        <v>0</v>
      </c>
      <c r="P144" s="830">
        <f t="shared" si="50"/>
        <v>0</v>
      </c>
      <c r="Q144" s="830">
        <f t="shared" si="47"/>
        <v>0</v>
      </c>
      <c r="R144" s="830">
        <f t="shared" si="47"/>
        <v>0</v>
      </c>
      <c r="S144" s="830"/>
    </row>
    <row r="145" spans="1:19" s="593" customFormat="1" ht="12" hidden="1" thickBot="1">
      <c r="A145" s="541" t="s">
        <v>179</v>
      </c>
      <c r="B145" s="596" t="s">
        <v>1508</v>
      </c>
      <c r="C145" s="541" t="s">
        <v>177</v>
      </c>
      <c r="D145" s="830">
        <f t="shared" si="42"/>
        <v>0</v>
      </c>
      <c r="E145" s="830">
        <f t="shared" si="42"/>
        <v>0</v>
      </c>
      <c r="F145" s="830">
        <f t="shared" si="42"/>
        <v>0</v>
      </c>
      <c r="G145" s="830">
        <f t="shared" si="42"/>
        <v>0</v>
      </c>
      <c r="H145" s="830">
        <f t="shared" si="43"/>
        <v>0</v>
      </c>
      <c r="I145" s="830">
        <f t="shared" si="49"/>
        <v>0</v>
      </c>
      <c r="J145" s="830">
        <f t="shared" si="49"/>
        <v>0</v>
      </c>
      <c r="K145" s="830">
        <f t="shared" si="49"/>
        <v>0</v>
      </c>
      <c r="L145" s="830">
        <f t="shared" si="49"/>
        <v>0</v>
      </c>
      <c r="M145" s="830">
        <f t="shared" si="49"/>
        <v>0</v>
      </c>
      <c r="N145" s="830">
        <f t="shared" si="49"/>
        <v>0</v>
      </c>
      <c r="O145" s="830">
        <f t="shared" si="49"/>
        <v>0</v>
      </c>
      <c r="P145" s="830">
        <f t="shared" si="50"/>
        <v>0</v>
      </c>
      <c r="Q145" s="830">
        <f t="shared" si="47"/>
        <v>0</v>
      </c>
      <c r="R145" s="830">
        <f t="shared" si="47"/>
        <v>0</v>
      </c>
      <c r="S145" s="830"/>
    </row>
    <row r="146" spans="1:19" s="593" customFormat="1" ht="12" hidden="1" thickBot="1">
      <c r="A146" s="541" t="s">
        <v>179</v>
      </c>
      <c r="B146" s="596" t="s">
        <v>1508</v>
      </c>
      <c r="C146" s="541" t="s">
        <v>178</v>
      </c>
      <c r="D146" s="830">
        <f t="shared" si="42"/>
        <v>0</v>
      </c>
      <c r="E146" s="830">
        <f t="shared" si="42"/>
        <v>0</v>
      </c>
      <c r="F146" s="830">
        <f t="shared" si="42"/>
        <v>0</v>
      </c>
      <c r="G146" s="830">
        <f t="shared" si="42"/>
        <v>0</v>
      </c>
      <c r="H146" s="830">
        <f t="shared" si="43"/>
        <v>0</v>
      </c>
      <c r="I146" s="830">
        <f t="shared" si="49"/>
        <v>0</v>
      </c>
      <c r="J146" s="830">
        <f t="shared" si="49"/>
        <v>0</v>
      </c>
      <c r="K146" s="830">
        <f t="shared" si="49"/>
        <v>0</v>
      </c>
      <c r="L146" s="830">
        <f t="shared" si="49"/>
        <v>0</v>
      </c>
      <c r="M146" s="830">
        <f t="shared" si="49"/>
        <v>0</v>
      </c>
      <c r="N146" s="830">
        <f t="shared" si="49"/>
        <v>0</v>
      </c>
      <c r="O146" s="830">
        <f t="shared" si="49"/>
        <v>0</v>
      </c>
      <c r="P146" s="830">
        <f t="shared" si="50"/>
        <v>0</v>
      </c>
      <c r="Q146" s="830">
        <f t="shared" si="47"/>
        <v>0</v>
      </c>
      <c r="R146" s="830">
        <f t="shared" si="47"/>
        <v>0</v>
      </c>
      <c r="S146" s="830"/>
    </row>
    <row r="147" spans="1:19" s="593" customFormat="1" ht="12" hidden="1" thickBot="1">
      <c r="A147" s="541" t="s">
        <v>179</v>
      </c>
      <c r="B147" s="596" t="s">
        <v>1508</v>
      </c>
      <c r="C147" s="541" t="s">
        <v>424</v>
      </c>
      <c r="D147" s="830">
        <f t="shared" si="42"/>
        <v>0</v>
      </c>
      <c r="E147" s="830">
        <f t="shared" si="42"/>
        <v>0</v>
      </c>
      <c r="F147" s="830">
        <f t="shared" si="42"/>
        <v>0</v>
      </c>
      <c r="G147" s="830">
        <f t="shared" si="42"/>
        <v>0</v>
      </c>
      <c r="H147" s="830">
        <f t="shared" si="43"/>
        <v>0</v>
      </c>
      <c r="I147" s="830">
        <f t="shared" si="49"/>
        <v>0</v>
      </c>
      <c r="J147" s="830">
        <f t="shared" si="49"/>
        <v>0</v>
      </c>
      <c r="K147" s="830">
        <f t="shared" si="49"/>
        <v>0</v>
      </c>
      <c r="L147" s="830">
        <f t="shared" si="49"/>
        <v>0</v>
      </c>
      <c r="M147" s="830">
        <f t="shared" si="49"/>
        <v>0</v>
      </c>
      <c r="N147" s="830">
        <f t="shared" si="49"/>
        <v>0</v>
      </c>
      <c r="O147" s="830">
        <f t="shared" si="49"/>
        <v>0</v>
      </c>
      <c r="P147" s="830">
        <f t="shared" si="50"/>
        <v>0</v>
      </c>
      <c r="Q147" s="830">
        <f t="shared" si="47"/>
        <v>0</v>
      </c>
      <c r="R147" s="830">
        <f t="shared" si="47"/>
        <v>0</v>
      </c>
      <c r="S147" s="830"/>
    </row>
    <row r="148" spans="1:19" s="593" customFormat="1" ht="12" hidden="1" thickBot="1">
      <c r="A148" s="541" t="s">
        <v>179</v>
      </c>
      <c r="B148" s="596" t="s">
        <v>1508</v>
      </c>
      <c r="C148" s="541" t="s">
        <v>425</v>
      </c>
      <c r="D148" s="830">
        <f t="shared" si="42"/>
        <v>0</v>
      </c>
      <c r="E148" s="830">
        <f t="shared" si="42"/>
        <v>0</v>
      </c>
      <c r="F148" s="830">
        <f t="shared" si="42"/>
        <v>0</v>
      </c>
      <c r="G148" s="830">
        <f t="shared" si="42"/>
        <v>0</v>
      </c>
      <c r="H148" s="830">
        <f t="shared" si="43"/>
        <v>0</v>
      </c>
      <c r="I148" s="830">
        <f t="shared" si="49"/>
        <v>0</v>
      </c>
      <c r="J148" s="830">
        <f t="shared" si="49"/>
        <v>0</v>
      </c>
      <c r="K148" s="830">
        <f t="shared" si="49"/>
        <v>0</v>
      </c>
      <c r="L148" s="830">
        <f t="shared" si="49"/>
        <v>0</v>
      </c>
      <c r="M148" s="830">
        <f t="shared" si="49"/>
        <v>0</v>
      </c>
      <c r="N148" s="830">
        <f t="shared" si="49"/>
        <v>0</v>
      </c>
      <c r="O148" s="830">
        <f t="shared" si="49"/>
        <v>0</v>
      </c>
      <c r="P148" s="830">
        <f t="shared" si="50"/>
        <v>0</v>
      </c>
      <c r="Q148" s="830">
        <f t="shared" si="47"/>
        <v>0</v>
      </c>
      <c r="R148" s="830">
        <f t="shared" si="47"/>
        <v>0</v>
      </c>
      <c r="S148" s="830"/>
    </row>
    <row r="149" spans="1:19" s="593" customFormat="1" ht="12" hidden="1" thickBot="1">
      <c r="A149" s="541" t="s">
        <v>179</v>
      </c>
      <c r="B149" s="596" t="s">
        <v>1508</v>
      </c>
      <c r="C149" s="541" t="s">
        <v>169</v>
      </c>
      <c r="D149" s="830">
        <f t="shared" si="42"/>
        <v>0</v>
      </c>
      <c r="E149" s="830">
        <f t="shared" si="42"/>
        <v>0</v>
      </c>
      <c r="F149" s="830">
        <f t="shared" si="42"/>
        <v>0</v>
      </c>
      <c r="G149" s="830">
        <f t="shared" si="42"/>
        <v>0</v>
      </c>
      <c r="H149" s="830">
        <f t="shared" si="43"/>
        <v>0</v>
      </c>
      <c r="I149" s="830">
        <f t="shared" si="49"/>
        <v>0</v>
      </c>
      <c r="J149" s="830">
        <f t="shared" si="49"/>
        <v>0</v>
      </c>
      <c r="K149" s="830">
        <f t="shared" si="49"/>
        <v>0</v>
      </c>
      <c r="L149" s="830">
        <f t="shared" si="49"/>
        <v>0</v>
      </c>
      <c r="M149" s="830">
        <f t="shared" si="49"/>
        <v>0</v>
      </c>
      <c r="N149" s="830">
        <f t="shared" si="49"/>
        <v>0</v>
      </c>
      <c r="O149" s="830">
        <f t="shared" si="49"/>
        <v>0</v>
      </c>
      <c r="P149" s="830">
        <f t="shared" si="50"/>
        <v>0</v>
      </c>
      <c r="Q149" s="830">
        <f t="shared" si="47"/>
        <v>0</v>
      </c>
      <c r="R149" s="830">
        <f t="shared" si="47"/>
        <v>0</v>
      </c>
      <c r="S149" s="830"/>
    </row>
    <row r="150" spans="1:19" s="593" customFormat="1" ht="12" hidden="1" thickBot="1">
      <c r="A150" s="541" t="s">
        <v>179</v>
      </c>
      <c r="B150" s="596" t="s">
        <v>1508</v>
      </c>
      <c r="C150" s="541" t="s">
        <v>173</v>
      </c>
      <c r="D150" s="830">
        <f t="shared" si="42"/>
        <v>1</v>
      </c>
      <c r="E150" s="830">
        <f t="shared" si="42"/>
        <v>0</v>
      </c>
      <c r="F150" s="830">
        <f t="shared" si="42"/>
        <v>0</v>
      </c>
      <c r="G150" s="830">
        <f t="shared" si="42"/>
        <v>0</v>
      </c>
      <c r="H150" s="830">
        <f t="shared" si="43"/>
        <v>47968041</v>
      </c>
      <c r="I150" s="830">
        <f t="shared" si="49"/>
        <v>0</v>
      </c>
      <c r="J150" s="830">
        <f t="shared" si="49"/>
        <v>0</v>
      </c>
      <c r="K150" s="830">
        <f t="shared" si="49"/>
        <v>0</v>
      </c>
      <c r="L150" s="830">
        <f t="shared" si="49"/>
        <v>0</v>
      </c>
      <c r="M150" s="830">
        <f t="shared" si="49"/>
        <v>0</v>
      </c>
      <c r="N150" s="830">
        <f t="shared" si="49"/>
        <v>0</v>
      </c>
      <c r="O150" s="830">
        <f t="shared" si="49"/>
        <v>185158</v>
      </c>
      <c r="P150" s="830">
        <f t="shared" si="50"/>
        <v>185158</v>
      </c>
      <c r="Q150" s="830">
        <f t="shared" si="47"/>
        <v>101388</v>
      </c>
      <c r="R150" s="830">
        <f t="shared" si="47"/>
        <v>0</v>
      </c>
      <c r="S150" s="830"/>
    </row>
    <row r="151" spans="1:19" s="593" customFormat="1" ht="12" hidden="1" thickBot="1">
      <c r="A151" s="541" t="s">
        <v>179</v>
      </c>
      <c r="B151" s="596" t="s">
        <v>1508</v>
      </c>
      <c r="C151" s="541" t="s">
        <v>217</v>
      </c>
      <c r="D151" s="830">
        <v>2</v>
      </c>
      <c r="E151" s="830">
        <f t="shared" ref="E151:G167" si="51">ROUND(SUMIFS(E$495:E$866,$B$495:$B$866,$B151,$C$495:$C$866,$C151),0)</f>
        <v>0</v>
      </c>
      <c r="F151" s="830">
        <f t="shared" si="51"/>
        <v>0</v>
      </c>
      <c r="G151" s="830">
        <f t="shared" si="51"/>
        <v>0</v>
      </c>
      <c r="H151" s="830">
        <f t="shared" si="43"/>
        <v>11211</v>
      </c>
      <c r="I151" s="830">
        <f t="shared" ref="I151:O160" si="52">ROUND(SUMIFS(I$495:I$866,$B$495:$B$866,$B151,$C$495:$C$866,$C151),0)</f>
        <v>0</v>
      </c>
      <c r="J151" s="830">
        <f t="shared" si="52"/>
        <v>0</v>
      </c>
      <c r="K151" s="830">
        <f t="shared" si="52"/>
        <v>0</v>
      </c>
      <c r="L151" s="830">
        <f t="shared" si="52"/>
        <v>0</v>
      </c>
      <c r="M151" s="830">
        <f t="shared" si="52"/>
        <v>0</v>
      </c>
      <c r="N151" s="830">
        <f t="shared" si="52"/>
        <v>0</v>
      </c>
      <c r="O151" s="830">
        <f t="shared" si="52"/>
        <v>0</v>
      </c>
      <c r="P151" s="830">
        <f t="shared" si="50"/>
        <v>0</v>
      </c>
      <c r="Q151" s="830">
        <f t="shared" ref="Q151:R167" si="53">ROUND(SUMIFS(Q$495:Q$866,$B$495:$B$866,$B151,$C$495:$C$866,$C151),0)</f>
        <v>0</v>
      </c>
      <c r="R151" s="830">
        <f t="shared" si="53"/>
        <v>0</v>
      </c>
      <c r="S151" s="830"/>
    </row>
    <row r="152" spans="1:19" s="593" customFormat="1" ht="12" hidden="1" thickBot="1">
      <c r="A152" s="541" t="s">
        <v>179</v>
      </c>
      <c r="B152" s="596" t="s">
        <v>1508</v>
      </c>
      <c r="C152" s="541" t="s">
        <v>216</v>
      </c>
      <c r="D152" s="830">
        <f t="shared" ref="D152:D167" si="54">ROUND(SUMIFS(D$495:D$866,$B$495:$B$866,$B152,$C$495:$C$866,$C152),0)</f>
        <v>0</v>
      </c>
      <c r="E152" s="830">
        <f t="shared" si="51"/>
        <v>0</v>
      </c>
      <c r="F152" s="830">
        <f t="shared" si="51"/>
        <v>0</v>
      </c>
      <c r="G152" s="830">
        <f t="shared" si="51"/>
        <v>0</v>
      </c>
      <c r="H152" s="830">
        <f t="shared" si="43"/>
        <v>0</v>
      </c>
      <c r="I152" s="830">
        <f t="shared" si="52"/>
        <v>0</v>
      </c>
      <c r="J152" s="830">
        <f t="shared" si="52"/>
        <v>0</v>
      </c>
      <c r="K152" s="830">
        <f t="shared" si="52"/>
        <v>0</v>
      </c>
      <c r="L152" s="830">
        <f t="shared" si="52"/>
        <v>0</v>
      </c>
      <c r="M152" s="830">
        <f t="shared" si="52"/>
        <v>0</v>
      </c>
      <c r="N152" s="830">
        <f t="shared" si="52"/>
        <v>0</v>
      </c>
      <c r="O152" s="830">
        <f t="shared" si="52"/>
        <v>0</v>
      </c>
      <c r="P152" s="830">
        <f t="shared" si="50"/>
        <v>0</v>
      </c>
      <c r="Q152" s="830">
        <f t="shared" si="53"/>
        <v>0</v>
      </c>
      <c r="R152" s="830">
        <f t="shared" si="53"/>
        <v>0</v>
      </c>
      <c r="S152" s="830"/>
    </row>
    <row r="153" spans="1:19" s="593" customFormat="1" ht="12" hidden="1" thickBot="1">
      <c r="A153" s="541" t="s">
        <v>179</v>
      </c>
      <c r="B153" s="596" t="s">
        <v>1508</v>
      </c>
      <c r="C153" s="541" t="s">
        <v>168</v>
      </c>
      <c r="D153" s="830">
        <f t="shared" si="54"/>
        <v>747</v>
      </c>
      <c r="E153" s="830">
        <f t="shared" si="51"/>
        <v>0</v>
      </c>
      <c r="F153" s="830">
        <f t="shared" si="51"/>
        <v>0</v>
      </c>
      <c r="G153" s="830">
        <f t="shared" si="51"/>
        <v>0</v>
      </c>
      <c r="H153" s="830">
        <f t="shared" si="43"/>
        <v>90687</v>
      </c>
      <c r="I153" s="830">
        <f t="shared" si="52"/>
        <v>0</v>
      </c>
      <c r="J153" s="830">
        <f t="shared" si="52"/>
        <v>0</v>
      </c>
      <c r="K153" s="830">
        <f t="shared" si="52"/>
        <v>0</v>
      </c>
      <c r="L153" s="830">
        <f t="shared" si="52"/>
        <v>0</v>
      </c>
      <c r="M153" s="830">
        <f t="shared" si="52"/>
        <v>0</v>
      </c>
      <c r="N153" s="830">
        <f t="shared" si="52"/>
        <v>0</v>
      </c>
      <c r="O153" s="830">
        <f t="shared" si="52"/>
        <v>0</v>
      </c>
      <c r="P153" s="830">
        <f t="shared" si="50"/>
        <v>0</v>
      </c>
      <c r="Q153" s="830">
        <f t="shared" si="53"/>
        <v>0</v>
      </c>
      <c r="R153" s="830">
        <f t="shared" si="53"/>
        <v>0</v>
      </c>
      <c r="S153" s="830"/>
    </row>
    <row r="154" spans="1:19" ht="12" hidden="1" thickBot="1">
      <c r="A154" s="836" t="s">
        <v>179</v>
      </c>
      <c r="B154" s="596" t="s">
        <v>1508</v>
      </c>
      <c r="C154" s="836" t="s">
        <v>171</v>
      </c>
      <c r="D154" s="830">
        <f t="shared" si="54"/>
        <v>0</v>
      </c>
      <c r="E154" s="830">
        <f t="shared" si="51"/>
        <v>0</v>
      </c>
      <c r="F154" s="830">
        <f t="shared" si="51"/>
        <v>0</v>
      </c>
      <c r="G154" s="830">
        <f t="shared" si="51"/>
        <v>0</v>
      </c>
      <c r="H154" s="830">
        <f t="shared" si="43"/>
        <v>0</v>
      </c>
      <c r="I154" s="830">
        <f t="shared" si="52"/>
        <v>0</v>
      </c>
      <c r="J154" s="830">
        <f t="shared" si="52"/>
        <v>0</v>
      </c>
      <c r="K154" s="830">
        <f t="shared" si="52"/>
        <v>0</v>
      </c>
      <c r="L154" s="830">
        <f t="shared" si="52"/>
        <v>0</v>
      </c>
      <c r="M154" s="830">
        <f t="shared" si="52"/>
        <v>0</v>
      </c>
      <c r="N154" s="830">
        <f t="shared" si="52"/>
        <v>0</v>
      </c>
      <c r="O154" s="830">
        <f t="shared" si="52"/>
        <v>0</v>
      </c>
      <c r="P154" s="830">
        <f t="shared" si="50"/>
        <v>0</v>
      </c>
      <c r="Q154" s="830">
        <f t="shared" si="53"/>
        <v>0</v>
      </c>
      <c r="R154" s="830">
        <f t="shared" si="53"/>
        <v>0</v>
      </c>
      <c r="S154" s="830"/>
    </row>
    <row r="155" spans="1:19" ht="12" hidden="1" thickBot="1">
      <c r="A155" s="836" t="s">
        <v>179</v>
      </c>
      <c r="B155" s="596" t="s">
        <v>1508</v>
      </c>
      <c r="C155" s="836" t="s">
        <v>172</v>
      </c>
      <c r="D155" s="830">
        <f t="shared" si="54"/>
        <v>0</v>
      </c>
      <c r="E155" s="830">
        <f t="shared" si="51"/>
        <v>0</v>
      </c>
      <c r="F155" s="830">
        <f t="shared" si="51"/>
        <v>0</v>
      </c>
      <c r="G155" s="830">
        <f t="shared" si="51"/>
        <v>0</v>
      </c>
      <c r="H155" s="830">
        <f t="shared" si="43"/>
        <v>0</v>
      </c>
      <c r="I155" s="830">
        <f t="shared" si="52"/>
        <v>0</v>
      </c>
      <c r="J155" s="830">
        <f t="shared" si="52"/>
        <v>0</v>
      </c>
      <c r="K155" s="830">
        <f t="shared" si="52"/>
        <v>0</v>
      </c>
      <c r="L155" s="830">
        <f t="shared" si="52"/>
        <v>0</v>
      </c>
      <c r="M155" s="830">
        <f t="shared" si="52"/>
        <v>0</v>
      </c>
      <c r="N155" s="830">
        <f t="shared" si="52"/>
        <v>0</v>
      </c>
      <c r="O155" s="830">
        <f t="shared" si="52"/>
        <v>0</v>
      </c>
      <c r="P155" s="830">
        <f t="shared" si="50"/>
        <v>0</v>
      </c>
      <c r="Q155" s="830">
        <f t="shared" si="53"/>
        <v>0</v>
      </c>
      <c r="R155" s="830">
        <f t="shared" si="53"/>
        <v>0</v>
      </c>
      <c r="S155" s="830"/>
    </row>
    <row r="156" spans="1:19" ht="12" hidden="1" thickBot="1">
      <c r="A156" s="836" t="s">
        <v>179</v>
      </c>
      <c r="B156" s="596" t="s">
        <v>1508</v>
      </c>
      <c r="C156" s="836" t="s">
        <v>1397</v>
      </c>
      <c r="D156" s="830">
        <f t="shared" si="54"/>
        <v>0</v>
      </c>
      <c r="E156" s="830">
        <f t="shared" si="51"/>
        <v>0</v>
      </c>
      <c r="F156" s="830">
        <f t="shared" si="51"/>
        <v>0</v>
      </c>
      <c r="G156" s="830">
        <f t="shared" si="51"/>
        <v>0</v>
      </c>
      <c r="H156" s="830">
        <f t="shared" si="43"/>
        <v>0</v>
      </c>
      <c r="I156" s="830">
        <f t="shared" si="52"/>
        <v>0</v>
      </c>
      <c r="J156" s="830">
        <f t="shared" si="52"/>
        <v>0</v>
      </c>
      <c r="K156" s="830">
        <f t="shared" si="52"/>
        <v>0</v>
      </c>
      <c r="L156" s="830">
        <f t="shared" si="52"/>
        <v>0</v>
      </c>
      <c r="M156" s="830">
        <f t="shared" si="52"/>
        <v>0</v>
      </c>
      <c r="N156" s="830">
        <f t="shared" si="52"/>
        <v>0</v>
      </c>
      <c r="O156" s="830">
        <f t="shared" si="52"/>
        <v>0</v>
      </c>
      <c r="P156" s="830">
        <f t="shared" si="50"/>
        <v>0</v>
      </c>
      <c r="Q156" s="830">
        <f t="shared" si="53"/>
        <v>0</v>
      </c>
      <c r="R156" s="830">
        <f t="shared" si="53"/>
        <v>0</v>
      </c>
      <c r="S156" s="830"/>
    </row>
    <row r="157" spans="1:19" ht="12" hidden="1" thickBot="1">
      <c r="A157" s="836" t="s">
        <v>179</v>
      </c>
      <c r="B157" s="596" t="s">
        <v>1508</v>
      </c>
      <c r="C157" s="836" t="s">
        <v>1149</v>
      </c>
      <c r="D157" s="830">
        <f t="shared" si="54"/>
        <v>0</v>
      </c>
      <c r="E157" s="830">
        <f t="shared" si="51"/>
        <v>0</v>
      </c>
      <c r="F157" s="830">
        <f t="shared" si="51"/>
        <v>0</v>
      </c>
      <c r="G157" s="830">
        <f t="shared" si="51"/>
        <v>0</v>
      </c>
      <c r="H157" s="830">
        <f t="shared" si="43"/>
        <v>0</v>
      </c>
      <c r="I157" s="830">
        <f t="shared" si="52"/>
        <v>0</v>
      </c>
      <c r="J157" s="830">
        <f t="shared" si="52"/>
        <v>0</v>
      </c>
      <c r="K157" s="830">
        <f t="shared" si="52"/>
        <v>0</v>
      </c>
      <c r="L157" s="830">
        <f t="shared" si="52"/>
        <v>0</v>
      </c>
      <c r="M157" s="830">
        <f t="shared" si="52"/>
        <v>0</v>
      </c>
      <c r="N157" s="830">
        <f t="shared" si="52"/>
        <v>0</v>
      </c>
      <c r="O157" s="830">
        <f t="shared" si="52"/>
        <v>0</v>
      </c>
      <c r="P157" s="830">
        <f t="shared" si="50"/>
        <v>0</v>
      </c>
      <c r="Q157" s="830">
        <f t="shared" si="53"/>
        <v>0</v>
      </c>
      <c r="R157" s="830">
        <f t="shared" si="53"/>
        <v>0</v>
      </c>
      <c r="S157" s="830"/>
    </row>
    <row r="158" spans="1:19" s="593" customFormat="1" ht="12" hidden="1" thickBot="1">
      <c r="A158" s="541" t="s">
        <v>179</v>
      </c>
      <c r="B158" s="596" t="s">
        <v>1508</v>
      </c>
      <c r="C158" s="541" t="s">
        <v>170</v>
      </c>
      <c r="D158" s="830">
        <f t="shared" si="54"/>
        <v>0</v>
      </c>
      <c r="E158" s="830">
        <f t="shared" si="51"/>
        <v>0</v>
      </c>
      <c r="F158" s="830">
        <f t="shared" si="51"/>
        <v>0</v>
      </c>
      <c r="G158" s="830">
        <f t="shared" si="51"/>
        <v>0</v>
      </c>
      <c r="H158" s="830">
        <f t="shared" si="43"/>
        <v>0</v>
      </c>
      <c r="I158" s="830">
        <f t="shared" si="52"/>
        <v>0</v>
      </c>
      <c r="J158" s="830">
        <f t="shared" si="52"/>
        <v>0</v>
      </c>
      <c r="K158" s="830">
        <f t="shared" si="52"/>
        <v>0</v>
      </c>
      <c r="L158" s="830">
        <f t="shared" si="52"/>
        <v>0</v>
      </c>
      <c r="M158" s="830">
        <f t="shared" si="52"/>
        <v>0</v>
      </c>
      <c r="N158" s="830">
        <f t="shared" si="52"/>
        <v>0</v>
      </c>
      <c r="O158" s="830">
        <f t="shared" si="52"/>
        <v>0</v>
      </c>
      <c r="P158" s="830">
        <f t="shared" si="50"/>
        <v>0</v>
      </c>
      <c r="Q158" s="830">
        <f t="shared" si="53"/>
        <v>0</v>
      </c>
      <c r="R158" s="830">
        <f t="shared" si="53"/>
        <v>0</v>
      </c>
      <c r="S158" s="830"/>
    </row>
    <row r="159" spans="1:19" s="593" customFormat="1" ht="12" hidden="1" thickBot="1">
      <c r="A159" s="541" t="s">
        <v>179</v>
      </c>
      <c r="B159" s="596" t="s">
        <v>1508</v>
      </c>
      <c r="C159" s="541" t="s">
        <v>160</v>
      </c>
      <c r="D159" s="830">
        <f t="shared" si="54"/>
        <v>0</v>
      </c>
      <c r="E159" s="830">
        <f t="shared" si="51"/>
        <v>0</v>
      </c>
      <c r="F159" s="830">
        <f t="shared" si="51"/>
        <v>0</v>
      </c>
      <c r="G159" s="830">
        <f t="shared" si="51"/>
        <v>0</v>
      </c>
      <c r="H159" s="830">
        <f t="shared" si="43"/>
        <v>0</v>
      </c>
      <c r="I159" s="830">
        <f t="shared" si="52"/>
        <v>0</v>
      </c>
      <c r="J159" s="830">
        <f t="shared" si="52"/>
        <v>0</v>
      </c>
      <c r="K159" s="830">
        <f t="shared" si="52"/>
        <v>0</v>
      </c>
      <c r="L159" s="830">
        <f t="shared" si="52"/>
        <v>0</v>
      </c>
      <c r="M159" s="830">
        <f t="shared" si="52"/>
        <v>0</v>
      </c>
      <c r="N159" s="830">
        <f t="shared" si="52"/>
        <v>0</v>
      </c>
      <c r="O159" s="830">
        <f t="shared" si="52"/>
        <v>0</v>
      </c>
      <c r="P159" s="830">
        <f t="shared" si="50"/>
        <v>0</v>
      </c>
      <c r="Q159" s="830">
        <f t="shared" si="53"/>
        <v>0</v>
      </c>
      <c r="R159" s="830">
        <f t="shared" si="53"/>
        <v>0</v>
      </c>
      <c r="S159" s="830"/>
    </row>
    <row r="160" spans="1:19" s="593" customFormat="1" ht="12" hidden="1" thickBot="1">
      <c r="A160" s="541" t="s">
        <v>179</v>
      </c>
      <c r="B160" s="596" t="s">
        <v>1508</v>
      </c>
      <c r="C160" s="541" t="s">
        <v>166</v>
      </c>
      <c r="D160" s="830">
        <f t="shared" si="54"/>
        <v>0</v>
      </c>
      <c r="E160" s="830">
        <f t="shared" si="51"/>
        <v>0</v>
      </c>
      <c r="F160" s="830">
        <f t="shared" si="51"/>
        <v>0</v>
      </c>
      <c r="G160" s="830">
        <f t="shared" si="51"/>
        <v>0</v>
      </c>
      <c r="H160" s="830">
        <f t="shared" si="43"/>
        <v>0</v>
      </c>
      <c r="I160" s="830">
        <f t="shared" si="52"/>
        <v>0</v>
      </c>
      <c r="J160" s="830">
        <f t="shared" si="52"/>
        <v>0</v>
      </c>
      <c r="K160" s="830">
        <f t="shared" si="52"/>
        <v>0</v>
      </c>
      <c r="L160" s="830">
        <f t="shared" si="52"/>
        <v>0</v>
      </c>
      <c r="M160" s="830">
        <f t="shared" si="52"/>
        <v>0</v>
      </c>
      <c r="N160" s="830">
        <f t="shared" si="52"/>
        <v>0</v>
      </c>
      <c r="O160" s="830">
        <f t="shared" si="52"/>
        <v>0</v>
      </c>
      <c r="P160" s="830">
        <f t="shared" si="50"/>
        <v>0</v>
      </c>
      <c r="Q160" s="830">
        <f t="shared" si="53"/>
        <v>0</v>
      </c>
      <c r="R160" s="830">
        <f t="shared" si="53"/>
        <v>0</v>
      </c>
      <c r="S160" s="830"/>
    </row>
    <row r="161" spans="1:41" s="593" customFormat="1" ht="12" hidden="1" thickBot="1">
      <c r="A161" s="541" t="s">
        <v>179</v>
      </c>
      <c r="B161" s="596" t="s">
        <v>1508</v>
      </c>
      <c r="C161" s="541" t="s">
        <v>458</v>
      </c>
      <c r="D161" s="830">
        <f t="shared" si="54"/>
        <v>7</v>
      </c>
      <c r="E161" s="830">
        <f t="shared" si="51"/>
        <v>5242</v>
      </c>
      <c r="F161" s="830">
        <f t="shared" si="51"/>
        <v>1243</v>
      </c>
      <c r="G161" s="830">
        <f t="shared" si="51"/>
        <v>922</v>
      </c>
      <c r="H161" s="830">
        <f t="shared" si="43"/>
        <v>7407</v>
      </c>
      <c r="I161" s="830">
        <f t="shared" ref="I161:O167" si="55">ROUND(SUMIFS(I$495:I$866,$B$495:$B$866,$B161,$C$495:$C$866,$C161),0)</f>
        <v>0</v>
      </c>
      <c r="J161" s="830">
        <f t="shared" si="55"/>
        <v>0</v>
      </c>
      <c r="K161" s="830">
        <f t="shared" si="55"/>
        <v>0</v>
      </c>
      <c r="L161" s="830">
        <f t="shared" si="55"/>
        <v>0</v>
      </c>
      <c r="M161" s="830">
        <f t="shared" si="55"/>
        <v>0</v>
      </c>
      <c r="N161" s="830">
        <f t="shared" si="55"/>
        <v>0</v>
      </c>
      <c r="O161" s="830">
        <f t="shared" si="55"/>
        <v>0</v>
      </c>
      <c r="P161" s="830">
        <f t="shared" si="50"/>
        <v>0</v>
      </c>
      <c r="Q161" s="830">
        <f t="shared" si="53"/>
        <v>0</v>
      </c>
      <c r="R161" s="830">
        <f t="shared" si="53"/>
        <v>0</v>
      </c>
      <c r="S161" s="830"/>
    </row>
    <row r="162" spans="1:41" s="593" customFormat="1" ht="12" hidden="1" thickBot="1">
      <c r="A162" s="541" t="s">
        <v>179</v>
      </c>
      <c r="B162" s="596" t="s">
        <v>1508</v>
      </c>
      <c r="C162" s="541" t="s">
        <v>165</v>
      </c>
      <c r="D162" s="830">
        <f t="shared" si="54"/>
        <v>0</v>
      </c>
      <c r="E162" s="830">
        <f t="shared" si="51"/>
        <v>0</v>
      </c>
      <c r="F162" s="830">
        <f t="shared" si="51"/>
        <v>0</v>
      </c>
      <c r="G162" s="830">
        <f t="shared" si="51"/>
        <v>0</v>
      </c>
      <c r="H162" s="830">
        <f t="shared" si="43"/>
        <v>0</v>
      </c>
      <c r="I162" s="830">
        <f t="shared" si="55"/>
        <v>0</v>
      </c>
      <c r="J162" s="830">
        <f t="shared" si="55"/>
        <v>0</v>
      </c>
      <c r="K162" s="830">
        <f t="shared" si="55"/>
        <v>0</v>
      </c>
      <c r="L162" s="830">
        <f t="shared" si="55"/>
        <v>0</v>
      </c>
      <c r="M162" s="830">
        <f t="shared" si="55"/>
        <v>0</v>
      </c>
      <c r="N162" s="830">
        <f t="shared" si="55"/>
        <v>0</v>
      </c>
      <c r="O162" s="830">
        <f t="shared" si="55"/>
        <v>0</v>
      </c>
      <c r="P162" s="830">
        <f t="shared" si="50"/>
        <v>0</v>
      </c>
      <c r="Q162" s="830">
        <f t="shared" si="53"/>
        <v>0</v>
      </c>
      <c r="R162" s="830">
        <f t="shared" si="53"/>
        <v>0</v>
      </c>
      <c r="S162" s="830"/>
    </row>
    <row r="163" spans="1:41" s="593" customFormat="1" ht="12" thickBot="1">
      <c r="A163" s="541" t="s">
        <v>179</v>
      </c>
      <c r="B163" s="596" t="s">
        <v>1508</v>
      </c>
      <c r="C163" s="541" t="s">
        <v>167</v>
      </c>
      <c r="D163" s="830">
        <f t="shared" si="54"/>
        <v>249</v>
      </c>
      <c r="E163" s="830">
        <f t="shared" si="51"/>
        <v>0</v>
      </c>
      <c r="F163" s="830">
        <f t="shared" si="51"/>
        <v>0</v>
      </c>
      <c r="G163" s="830">
        <f t="shared" si="51"/>
        <v>0</v>
      </c>
      <c r="H163" s="830">
        <f t="shared" si="43"/>
        <v>10527179</v>
      </c>
      <c r="I163" s="830">
        <f t="shared" si="55"/>
        <v>0</v>
      </c>
      <c r="J163" s="830">
        <f t="shared" si="55"/>
        <v>0</v>
      </c>
      <c r="K163" s="830">
        <f t="shared" si="55"/>
        <v>0</v>
      </c>
      <c r="L163" s="830">
        <f t="shared" si="55"/>
        <v>0</v>
      </c>
      <c r="M163" s="830">
        <f t="shared" si="55"/>
        <v>0</v>
      </c>
      <c r="N163" s="830">
        <f t="shared" si="55"/>
        <v>0</v>
      </c>
      <c r="O163" s="830">
        <f>R163</f>
        <v>53729</v>
      </c>
      <c r="P163" s="830">
        <f t="shared" si="50"/>
        <v>0</v>
      </c>
      <c r="Q163" s="830">
        <f t="shared" si="53"/>
        <v>0</v>
      </c>
      <c r="R163" s="830">
        <f t="shared" si="53"/>
        <v>53729</v>
      </c>
      <c r="S163" s="830"/>
    </row>
    <row r="164" spans="1:41" s="593" customFormat="1" ht="12" hidden="1" thickBot="1">
      <c r="A164" s="541" t="s">
        <v>179</v>
      </c>
      <c r="B164" s="596" t="s">
        <v>1508</v>
      </c>
      <c r="C164" s="541" t="s">
        <v>623</v>
      </c>
      <c r="D164" s="830">
        <f t="shared" si="54"/>
        <v>0</v>
      </c>
      <c r="E164" s="830">
        <f t="shared" si="51"/>
        <v>0</v>
      </c>
      <c r="F164" s="830">
        <f t="shared" si="51"/>
        <v>0</v>
      </c>
      <c r="G164" s="830">
        <f t="shared" si="51"/>
        <v>0</v>
      </c>
      <c r="H164" s="830">
        <f t="shared" si="43"/>
        <v>0</v>
      </c>
      <c r="I164" s="830">
        <f t="shared" si="55"/>
        <v>0</v>
      </c>
      <c r="J164" s="830">
        <f t="shared" si="55"/>
        <v>0</v>
      </c>
      <c r="K164" s="830">
        <f t="shared" si="55"/>
        <v>0</v>
      </c>
      <c r="L164" s="830">
        <f t="shared" si="55"/>
        <v>0</v>
      </c>
      <c r="M164" s="830">
        <f t="shared" si="55"/>
        <v>0</v>
      </c>
      <c r="N164" s="830">
        <f t="shared" si="55"/>
        <v>0</v>
      </c>
      <c r="O164" s="830">
        <f t="shared" si="55"/>
        <v>0</v>
      </c>
      <c r="P164" s="830">
        <f>ROUND(SUMIFS(P$495:P$866,$B$495:$B$866,$B164,$C$495:$C$866,$C164),0)</f>
        <v>0</v>
      </c>
      <c r="Q164" s="830">
        <f t="shared" si="53"/>
        <v>0</v>
      </c>
      <c r="R164" s="830">
        <f t="shared" si="53"/>
        <v>0</v>
      </c>
      <c r="S164" s="830"/>
    </row>
    <row r="165" spans="1:41" s="593" customFormat="1" ht="12" hidden="1" thickBot="1">
      <c r="A165" s="541" t="s">
        <v>179</v>
      </c>
      <c r="B165" s="596" t="s">
        <v>1508</v>
      </c>
      <c r="C165" s="541" t="s">
        <v>683</v>
      </c>
      <c r="D165" s="830">
        <f t="shared" si="54"/>
        <v>0</v>
      </c>
      <c r="E165" s="830">
        <f t="shared" si="51"/>
        <v>0</v>
      </c>
      <c r="F165" s="830">
        <f t="shared" si="51"/>
        <v>0</v>
      </c>
      <c r="G165" s="830">
        <f t="shared" si="51"/>
        <v>0</v>
      </c>
      <c r="H165" s="830">
        <f t="shared" si="43"/>
        <v>0</v>
      </c>
      <c r="I165" s="830">
        <f t="shared" si="55"/>
        <v>0</v>
      </c>
      <c r="J165" s="830">
        <f t="shared" si="55"/>
        <v>0</v>
      </c>
      <c r="K165" s="830">
        <f t="shared" si="55"/>
        <v>0</v>
      </c>
      <c r="L165" s="830">
        <f t="shared" si="55"/>
        <v>0</v>
      </c>
      <c r="M165" s="830">
        <f t="shared" si="55"/>
        <v>0</v>
      </c>
      <c r="N165" s="830">
        <f t="shared" si="55"/>
        <v>0</v>
      </c>
      <c r="O165" s="830">
        <f t="shared" si="55"/>
        <v>0</v>
      </c>
      <c r="P165" s="830">
        <f>ROUND(SUMIFS(P$495:P$866,$B$495:$B$866,$B165,$C$495:$C$866,$C165),0)</f>
        <v>0</v>
      </c>
      <c r="Q165" s="830">
        <f t="shared" si="53"/>
        <v>0</v>
      </c>
      <c r="R165" s="830">
        <f t="shared" si="53"/>
        <v>0</v>
      </c>
      <c r="S165" s="830"/>
    </row>
    <row r="166" spans="1:41" s="593" customFormat="1" ht="12" hidden="1" thickBot="1">
      <c r="A166" s="541" t="s">
        <v>179</v>
      </c>
      <c r="B166" s="596" t="s">
        <v>1508</v>
      </c>
      <c r="C166" s="541" t="s">
        <v>684</v>
      </c>
      <c r="D166" s="830">
        <f t="shared" si="54"/>
        <v>0</v>
      </c>
      <c r="E166" s="830">
        <f t="shared" si="51"/>
        <v>0</v>
      </c>
      <c r="F166" s="830">
        <f t="shared" si="51"/>
        <v>0</v>
      </c>
      <c r="G166" s="830">
        <f t="shared" si="51"/>
        <v>0</v>
      </c>
      <c r="H166" s="830">
        <f t="shared" si="43"/>
        <v>0</v>
      </c>
      <c r="I166" s="830">
        <f t="shared" si="55"/>
        <v>0</v>
      </c>
      <c r="J166" s="830">
        <f t="shared" si="55"/>
        <v>0</v>
      </c>
      <c r="K166" s="830">
        <f t="shared" si="55"/>
        <v>0</v>
      </c>
      <c r="L166" s="830">
        <f t="shared" si="55"/>
        <v>0</v>
      </c>
      <c r="M166" s="830">
        <f t="shared" si="55"/>
        <v>0</v>
      </c>
      <c r="N166" s="830">
        <f t="shared" si="55"/>
        <v>0</v>
      </c>
      <c r="O166" s="830">
        <f t="shared" si="55"/>
        <v>0</v>
      </c>
      <c r="P166" s="830">
        <f>ROUND(SUMIFS(P$495:P$866,$B$495:$B$866,$B166,$C$495:$C$866,$C166),0)</f>
        <v>0</v>
      </c>
      <c r="Q166" s="830">
        <f t="shared" si="53"/>
        <v>0</v>
      </c>
      <c r="R166" s="830">
        <f t="shared" si="53"/>
        <v>0</v>
      </c>
      <c r="S166" s="830"/>
    </row>
    <row r="167" spans="1:41" s="593" customFormat="1" ht="12" hidden="1" thickBot="1">
      <c r="A167" s="541" t="s">
        <v>179</v>
      </c>
      <c r="B167" s="596" t="s">
        <v>1508</v>
      </c>
      <c r="C167" s="541" t="s">
        <v>685</v>
      </c>
      <c r="D167" s="830">
        <f t="shared" si="54"/>
        <v>0</v>
      </c>
      <c r="E167" s="830">
        <f t="shared" si="51"/>
        <v>0</v>
      </c>
      <c r="F167" s="830">
        <f t="shared" si="51"/>
        <v>0</v>
      </c>
      <c r="G167" s="830">
        <f t="shared" si="51"/>
        <v>0</v>
      </c>
      <c r="H167" s="830">
        <f t="shared" si="43"/>
        <v>0</v>
      </c>
      <c r="I167" s="830">
        <f t="shared" si="55"/>
        <v>0</v>
      </c>
      <c r="J167" s="830">
        <f t="shared" si="55"/>
        <v>0</v>
      </c>
      <c r="K167" s="830">
        <f t="shared" si="55"/>
        <v>0</v>
      </c>
      <c r="L167" s="830">
        <f t="shared" si="55"/>
        <v>0</v>
      </c>
      <c r="M167" s="830">
        <f t="shared" si="55"/>
        <v>0</v>
      </c>
      <c r="N167" s="830">
        <f t="shared" si="55"/>
        <v>0</v>
      </c>
      <c r="O167" s="830">
        <f t="shared" si="55"/>
        <v>0</v>
      </c>
      <c r="P167" s="830">
        <f>ROUND(SUMIFS(P$495:P$866,$B$495:$B$866,$B167,$C$495:$C$866,$C167),0)</f>
        <v>0</v>
      </c>
      <c r="Q167" s="830">
        <f t="shared" si="53"/>
        <v>0</v>
      </c>
      <c r="R167" s="830">
        <f t="shared" si="53"/>
        <v>0</v>
      </c>
      <c r="S167" s="830"/>
    </row>
    <row r="168" spans="1:41" s="593" customFormat="1" ht="12" hidden="1" thickBot="1">
      <c r="A168" s="541" t="s">
        <v>179</v>
      </c>
      <c r="B168" s="596" t="s">
        <v>1508</v>
      </c>
      <c r="C168" s="592" t="s">
        <v>8</v>
      </c>
      <c r="D168" s="558"/>
      <c r="E168" s="559"/>
      <c r="F168" s="559"/>
      <c r="G168" s="559"/>
      <c r="H168" s="558"/>
      <c r="I168" s="591"/>
      <c r="J168" s="591"/>
      <c r="K168" s="591"/>
      <c r="L168" s="559"/>
      <c r="M168" s="559"/>
      <c r="N168" s="591"/>
      <c r="O168" s="591"/>
      <c r="P168" s="591"/>
      <c r="Q168" s="591"/>
      <c r="R168" s="591"/>
      <c r="S168" s="559"/>
    </row>
    <row r="169" spans="1:41" s="593" customFormat="1" ht="12" hidden="1" thickBot="1">
      <c r="A169" s="565"/>
      <c r="B169" s="566"/>
      <c r="C169" s="560"/>
      <c r="D169" s="541" t="s">
        <v>1</v>
      </c>
      <c r="E169" s="541" t="s">
        <v>644</v>
      </c>
      <c r="F169" s="541" t="s">
        <v>645</v>
      </c>
      <c r="G169" s="541" t="s">
        <v>646</v>
      </c>
      <c r="H169" s="541" t="s">
        <v>2</v>
      </c>
      <c r="I169" s="541" t="s">
        <v>468</v>
      </c>
      <c r="J169" s="541" t="s">
        <v>469</v>
      </c>
      <c r="K169" s="541" t="s">
        <v>470</v>
      </c>
      <c r="L169" s="541" t="s">
        <v>1368</v>
      </c>
      <c r="M169" s="541" t="s">
        <v>1369</v>
      </c>
      <c r="N169" s="541" t="s">
        <v>1159</v>
      </c>
      <c r="O169" s="541" t="s">
        <v>1370</v>
      </c>
      <c r="P169" s="541" t="s">
        <v>1371</v>
      </c>
      <c r="Q169" s="541" t="s">
        <v>1372</v>
      </c>
      <c r="R169" s="541" t="s">
        <v>1373</v>
      </c>
      <c r="S169" s="541" t="s">
        <v>3</v>
      </c>
      <c r="T169" s="580"/>
      <c r="U169" s="580"/>
      <c r="V169" s="580"/>
      <c r="W169" s="580"/>
      <c r="X169" s="580"/>
      <c r="Y169" s="580"/>
      <c r="Z169" s="580"/>
      <c r="AA169" s="580"/>
      <c r="AB169" s="580"/>
      <c r="AC169" s="580"/>
      <c r="AD169" s="580"/>
      <c r="AE169" s="580"/>
      <c r="AF169" s="580"/>
      <c r="AG169" s="580"/>
      <c r="AH169" s="580"/>
      <c r="AI169" s="580"/>
      <c r="AJ169" s="580"/>
      <c r="AK169" s="580"/>
      <c r="AL169" s="580"/>
      <c r="AM169" s="580"/>
      <c r="AN169" s="580"/>
      <c r="AO169" s="580"/>
    </row>
    <row r="170" spans="1:41" s="593" customFormat="1" ht="12" hidden="1" thickBot="1">
      <c r="A170" s="541" t="s">
        <v>69</v>
      </c>
      <c r="B170" s="541" t="s">
        <v>0</v>
      </c>
      <c r="C170" s="541" t="s">
        <v>5</v>
      </c>
      <c r="D170" s="560"/>
      <c r="E170" s="560" t="s">
        <v>6</v>
      </c>
      <c r="F170" s="560" t="s">
        <v>6</v>
      </c>
      <c r="G170" s="560" t="s">
        <v>6</v>
      </c>
      <c r="H170" s="560" t="s">
        <v>6</v>
      </c>
      <c r="I170" s="560"/>
      <c r="J170" s="560"/>
      <c r="K170" s="560"/>
      <c r="L170" s="560"/>
      <c r="M170" s="560"/>
      <c r="N170" s="560"/>
      <c r="O170" s="560"/>
      <c r="P170" s="560"/>
      <c r="Q170" s="560"/>
      <c r="R170" s="560"/>
      <c r="S170" s="560" t="s">
        <v>7</v>
      </c>
      <c r="T170" s="580"/>
      <c r="U170" s="580"/>
      <c r="V170" s="580"/>
      <c r="W170" s="580"/>
      <c r="X170" s="580"/>
      <c r="Y170" s="580"/>
      <c r="Z170" s="580"/>
      <c r="AA170" s="580"/>
      <c r="AB170" s="580"/>
      <c r="AC170" s="580"/>
      <c r="AD170" s="580"/>
      <c r="AE170" s="580"/>
      <c r="AF170" s="580"/>
      <c r="AG170" s="580"/>
      <c r="AH170" s="580"/>
      <c r="AI170" s="580"/>
      <c r="AJ170" s="580"/>
      <c r="AK170" s="580"/>
      <c r="AL170" s="580"/>
      <c r="AM170" s="580"/>
      <c r="AN170" s="580"/>
      <c r="AO170" s="580"/>
    </row>
    <row r="171" spans="1:41" s="593" customFormat="1" ht="12" hidden="1" thickBot="1">
      <c r="A171" s="541" t="s">
        <v>179</v>
      </c>
      <c r="B171" s="596" t="s">
        <v>1509</v>
      </c>
      <c r="C171" s="541" t="s">
        <v>152</v>
      </c>
      <c r="D171" s="830">
        <f t="shared" ref="D171:G191" si="56">ROUND(SUMIFS(D$495:D$866,$B$495:$B$866,$B171,$C$495:$C$866,$C171),0)</f>
        <v>32</v>
      </c>
      <c r="E171" s="830">
        <f t="shared" si="56"/>
        <v>0</v>
      </c>
      <c r="F171" s="830">
        <f t="shared" si="56"/>
        <v>0</v>
      </c>
      <c r="G171" s="830">
        <f t="shared" si="56"/>
        <v>0</v>
      </c>
      <c r="H171" s="830">
        <f t="shared" ref="H171:H208" si="57">ROUND(SUMIFS(H$495:H$866,$B$495:$B$866,$B171,$C$495:$C$866,$C171)*1000,0)</f>
        <v>145721919</v>
      </c>
      <c r="I171" s="830">
        <f t="shared" ref="I171:R171" si="58">ROUND(SUMIFS(I$495:I$866,$B$495:$B$866,$B171,$C$495:$C$866,$C171),0)</f>
        <v>0</v>
      </c>
      <c r="J171" s="830">
        <f t="shared" si="58"/>
        <v>0</v>
      </c>
      <c r="K171" s="830">
        <f t="shared" si="58"/>
        <v>0</v>
      </c>
      <c r="L171" s="830">
        <f t="shared" si="58"/>
        <v>0</v>
      </c>
      <c r="M171" s="830">
        <f t="shared" si="58"/>
        <v>0</v>
      </c>
      <c r="N171" s="830">
        <f t="shared" si="58"/>
        <v>0</v>
      </c>
      <c r="O171" s="830">
        <f t="shared" si="58"/>
        <v>305164</v>
      </c>
      <c r="P171" s="830">
        <f t="shared" si="58"/>
        <v>297246</v>
      </c>
      <c r="Q171" s="830">
        <f t="shared" si="58"/>
        <v>289386</v>
      </c>
      <c r="R171" s="830">
        <f t="shared" si="58"/>
        <v>0</v>
      </c>
      <c r="S171" s="830"/>
      <c r="T171" s="580"/>
      <c r="U171" s="580"/>
      <c r="V171" s="580"/>
      <c r="W171" s="580"/>
      <c r="X171" s="580"/>
      <c r="Y171" s="580"/>
      <c r="Z171" s="580"/>
      <c r="AA171" s="580"/>
      <c r="AB171" s="580"/>
      <c r="AC171" s="580"/>
      <c r="AD171" s="580"/>
      <c r="AE171" s="580"/>
      <c r="AF171" s="580"/>
      <c r="AG171" s="580"/>
      <c r="AH171" s="580"/>
      <c r="AI171" s="580"/>
      <c r="AJ171" s="580"/>
      <c r="AK171" s="580"/>
      <c r="AL171" s="580"/>
      <c r="AM171" s="580"/>
      <c r="AN171" s="580"/>
      <c r="AO171" s="580"/>
    </row>
    <row r="172" spans="1:41" s="593" customFormat="1" ht="12" hidden="1" thickBot="1">
      <c r="A172" s="541" t="s">
        <v>179</v>
      </c>
      <c r="B172" s="596" t="s">
        <v>1509</v>
      </c>
      <c r="C172" s="541" t="s">
        <v>153</v>
      </c>
      <c r="D172" s="830">
        <f t="shared" si="56"/>
        <v>195</v>
      </c>
      <c r="E172" s="830">
        <f t="shared" si="56"/>
        <v>0</v>
      </c>
      <c r="F172" s="830">
        <f t="shared" si="56"/>
        <v>0</v>
      </c>
      <c r="G172" s="830">
        <f t="shared" si="56"/>
        <v>0</v>
      </c>
      <c r="H172" s="830">
        <f t="shared" si="57"/>
        <v>21507849</v>
      </c>
      <c r="I172" s="830">
        <f t="shared" ref="I172:P181" si="59">ROUND(SUMIFS(I$495:I$866,$B$495:$B$866,$B172,$C$495:$C$866,$C172),0)</f>
        <v>0</v>
      </c>
      <c r="J172" s="830">
        <f t="shared" si="59"/>
        <v>0</v>
      </c>
      <c r="K172" s="830">
        <f t="shared" si="59"/>
        <v>0</v>
      </c>
      <c r="L172" s="830">
        <f t="shared" si="59"/>
        <v>0</v>
      </c>
      <c r="M172" s="830">
        <f t="shared" si="59"/>
        <v>0</v>
      </c>
      <c r="N172" s="830">
        <f t="shared" si="59"/>
        <v>0</v>
      </c>
      <c r="O172" s="830">
        <f t="shared" si="59"/>
        <v>0</v>
      </c>
      <c r="P172" s="830">
        <f t="shared" si="59"/>
        <v>0</v>
      </c>
      <c r="Q172" s="830">
        <f>R172</f>
        <v>55893</v>
      </c>
      <c r="R172" s="830">
        <f t="shared" ref="R172:R208" si="60">ROUND(SUMIFS(R$495:R$866,$B$495:$B$866,$B172,$C$495:$C$866,$C172),0)</f>
        <v>55893</v>
      </c>
      <c r="S172" s="830"/>
      <c r="T172" s="580"/>
      <c r="U172" s="580"/>
      <c r="V172" s="580"/>
      <c r="W172" s="580"/>
      <c r="X172" s="580"/>
      <c r="Y172" s="580"/>
      <c r="Z172" s="580"/>
      <c r="AA172" s="580"/>
      <c r="AB172" s="580"/>
      <c r="AC172" s="580"/>
      <c r="AD172" s="580"/>
      <c r="AE172" s="580"/>
      <c r="AF172" s="580"/>
      <c r="AG172" s="580"/>
      <c r="AH172" s="580"/>
      <c r="AI172" s="580"/>
      <c r="AJ172" s="580"/>
      <c r="AK172" s="580"/>
      <c r="AL172" s="580"/>
      <c r="AM172" s="580"/>
      <c r="AN172" s="580"/>
      <c r="AO172" s="580"/>
    </row>
    <row r="173" spans="1:41" s="593" customFormat="1" ht="12" hidden="1" thickBot="1">
      <c r="A173" s="541" t="s">
        <v>179</v>
      </c>
      <c r="B173" s="596" t="s">
        <v>1509</v>
      </c>
      <c r="C173" s="541" t="s">
        <v>154</v>
      </c>
      <c r="D173" s="830">
        <f t="shared" si="56"/>
        <v>4615</v>
      </c>
      <c r="E173" s="830">
        <f t="shared" si="56"/>
        <v>0</v>
      </c>
      <c r="F173" s="830">
        <f t="shared" si="56"/>
        <v>0</v>
      </c>
      <c r="G173" s="830">
        <f t="shared" si="56"/>
        <v>0</v>
      </c>
      <c r="H173" s="830">
        <f t="shared" si="57"/>
        <v>175977353</v>
      </c>
      <c r="I173" s="830">
        <f t="shared" si="59"/>
        <v>0</v>
      </c>
      <c r="J173" s="830">
        <f t="shared" si="59"/>
        <v>0</v>
      </c>
      <c r="K173" s="830">
        <f t="shared" si="59"/>
        <v>0</v>
      </c>
      <c r="L173" s="830">
        <f t="shared" si="59"/>
        <v>0</v>
      </c>
      <c r="M173" s="830">
        <f t="shared" si="59"/>
        <v>0</v>
      </c>
      <c r="N173" s="830">
        <f t="shared" si="59"/>
        <v>0</v>
      </c>
      <c r="O173" s="830">
        <f t="shared" si="59"/>
        <v>0</v>
      </c>
      <c r="P173" s="830">
        <f t="shared" si="59"/>
        <v>0</v>
      </c>
      <c r="Q173" s="830">
        <f>R173</f>
        <v>549352</v>
      </c>
      <c r="R173" s="830">
        <f t="shared" si="60"/>
        <v>549352</v>
      </c>
      <c r="S173" s="830"/>
      <c r="T173" s="580"/>
      <c r="U173" s="580"/>
      <c r="V173" s="580"/>
      <c r="W173" s="580"/>
      <c r="X173" s="580"/>
      <c r="Y173" s="580"/>
      <c r="Z173" s="580"/>
      <c r="AA173" s="580"/>
      <c r="AB173" s="580"/>
      <c r="AC173" s="580"/>
      <c r="AD173" s="580"/>
      <c r="AE173" s="580"/>
      <c r="AF173" s="580"/>
      <c r="AG173" s="580"/>
      <c r="AH173" s="580"/>
      <c r="AI173" s="580"/>
      <c r="AJ173" s="580"/>
      <c r="AK173" s="580"/>
      <c r="AL173" s="580"/>
      <c r="AM173" s="580"/>
      <c r="AN173" s="580"/>
      <c r="AO173" s="580"/>
    </row>
    <row r="174" spans="1:41" s="593" customFormat="1" ht="12" hidden="1" thickBot="1">
      <c r="A174" s="541" t="s">
        <v>179</v>
      </c>
      <c r="B174" s="596" t="s">
        <v>1509</v>
      </c>
      <c r="C174" s="541" t="s">
        <v>155</v>
      </c>
      <c r="D174" s="830">
        <f t="shared" si="56"/>
        <v>52</v>
      </c>
      <c r="E174" s="830">
        <f t="shared" si="56"/>
        <v>0</v>
      </c>
      <c r="F174" s="830">
        <f t="shared" si="56"/>
        <v>0</v>
      </c>
      <c r="G174" s="830">
        <f t="shared" si="56"/>
        <v>0</v>
      </c>
      <c r="H174" s="830">
        <f t="shared" si="57"/>
        <v>268486937</v>
      </c>
      <c r="I174" s="830">
        <f t="shared" si="59"/>
        <v>0</v>
      </c>
      <c r="J174" s="830">
        <f t="shared" si="59"/>
        <v>0</v>
      </c>
      <c r="K174" s="830">
        <f t="shared" si="59"/>
        <v>0</v>
      </c>
      <c r="L174" s="830">
        <f t="shared" si="59"/>
        <v>0</v>
      </c>
      <c r="M174" s="830">
        <f t="shared" si="59"/>
        <v>0</v>
      </c>
      <c r="N174" s="830">
        <f t="shared" si="59"/>
        <v>0</v>
      </c>
      <c r="O174" s="830">
        <f t="shared" si="59"/>
        <v>511206</v>
      </c>
      <c r="P174" s="830">
        <f t="shared" si="59"/>
        <v>494010</v>
      </c>
      <c r="Q174" s="830">
        <f t="shared" ref="Q174:Q181" si="61">ROUND(SUMIFS(Q$495:Q$866,$B$495:$B$866,$B174,$C$495:$C$866,$C174),0)</f>
        <v>487847</v>
      </c>
      <c r="R174" s="830">
        <f t="shared" si="60"/>
        <v>0</v>
      </c>
      <c r="S174" s="830"/>
      <c r="T174" s="580"/>
      <c r="U174" s="580"/>
      <c r="V174" s="580"/>
      <c r="W174" s="580"/>
      <c r="X174" s="580"/>
      <c r="Y174" s="580"/>
      <c r="Z174" s="580"/>
      <c r="AA174" s="580"/>
      <c r="AB174" s="580"/>
      <c r="AC174" s="580"/>
      <c r="AD174" s="580"/>
      <c r="AE174" s="580"/>
      <c r="AF174" s="580"/>
      <c r="AG174" s="580"/>
      <c r="AH174" s="580"/>
      <c r="AI174" s="580"/>
      <c r="AJ174" s="580"/>
      <c r="AK174" s="580"/>
      <c r="AL174" s="580"/>
      <c r="AM174" s="580"/>
      <c r="AN174" s="580"/>
      <c r="AO174" s="580"/>
    </row>
    <row r="175" spans="1:41" s="593" customFormat="1" ht="12" hidden="1" thickBot="1">
      <c r="A175" s="541" t="s">
        <v>179</v>
      </c>
      <c r="B175" s="596" t="s">
        <v>1509</v>
      </c>
      <c r="C175" s="541" t="s">
        <v>156</v>
      </c>
      <c r="D175" s="830">
        <f t="shared" si="56"/>
        <v>0</v>
      </c>
      <c r="E175" s="830">
        <f t="shared" si="56"/>
        <v>0</v>
      </c>
      <c r="F175" s="830">
        <f t="shared" si="56"/>
        <v>0</v>
      </c>
      <c r="G175" s="830">
        <f t="shared" si="56"/>
        <v>0</v>
      </c>
      <c r="H175" s="830">
        <f t="shared" si="57"/>
        <v>0</v>
      </c>
      <c r="I175" s="830">
        <f t="shared" si="59"/>
        <v>0</v>
      </c>
      <c r="J175" s="830">
        <f t="shared" si="59"/>
        <v>0</v>
      </c>
      <c r="K175" s="830">
        <f t="shared" si="59"/>
        <v>0</v>
      </c>
      <c r="L175" s="830">
        <f t="shared" si="59"/>
        <v>0</v>
      </c>
      <c r="M175" s="830">
        <f t="shared" si="59"/>
        <v>0</v>
      </c>
      <c r="N175" s="830">
        <f t="shared" si="59"/>
        <v>0</v>
      </c>
      <c r="O175" s="830">
        <f t="shared" si="59"/>
        <v>0</v>
      </c>
      <c r="P175" s="830">
        <f t="shared" si="59"/>
        <v>0</v>
      </c>
      <c r="Q175" s="830">
        <f t="shared" si="61"/>
        <v>0</v>
      </c>
      <c r="R175" s="830">
        <f t="shared" si="60"/>
        <v>0</v>
      </c>
      <c r="S175" s="830"/>
      <c r="T175" s="580"/>
      <c r="U175" s="580"/>
      <c r="V175" s="580"/>
      <c r="W175" s="580"/>
      <c r="X175" s="580"/>
      <c r="Y175" s="580"/>
      <c r="Z175" s="580"/>
      <c r="AA175" s="580"/>
      <c r="AB175" s="580"/>
      <c r="AC175" s="580"/>
      <c r="AD175" s="580"/>
      <c r="AE175" s="580"/>
      <c r="AF175" s="580"/>
      <c r="AG175" s="580"/>
      <c r="AH175" s="580"/>
      <c r="AI175" s="580"/>
      <c r="AJ175" s="580"/>
      <c r="AK175" s="580"/>
      <c r="AL175" s="580"/>
      <c r="AM175" s="580"/>
      <c r="AN175" s="580"/>
      <c r="AO175" s="580"/>
    </row>
    <row r="176" spans="1:41" s="593" customFormat="1" ht="12" hidden="1" thickBot="1">
      <c r="A176" s="541" t="s">
        <v>179</v>
      </c>
      <c r="B176" s="596" t="s">
        <v>1509</v>
      </c>
      <c r="C176" s="541" t="s">
        <v>157</v>
      </c>
      <c r="D176" s="830">
        <f t="shared" si="56"/>
        <v>0</v>
      </c>
      <c r="E176" s="830">
        <f t="shared" si="56"/>
        <v>0</v>
      </c>
      <c r="F176" s="830">
        <f t="shared" si="56"/>
        <v>0</v>
      </c>
      <c r="G176" s="830">
        <f t="shared" si="56"/>
        <v>0</v>
      </c>
      <c r="H176" s="830">
        <f t="shared" si="57"/>
        <v>0</v>
      </c>
      <c r="I176" s="830">
        <f t="shared" si="59"/>
        <v>0</v>
      </c>
      <c r="J176" s="830">
        <f t="shared" si="59"/>
        <v>0</v>
      </c>
      <c r="K176" s="830">
        <f t="shared" si="59"/>
        <v>0</v>
      </c>
      <c r="L176" s="830">
        <f t="shared" si="59"/>
        <v>0</v>
      </c>
      <c r="M176" s="830">
        <f t="shared" si="59"/>
        <v>0</v>
      </c>
      <c r="N176" s="830">
        <f t="shared" si="59"/>
        <v>0</v>
      </c>
      <c r="O176" s="830">
        <f t="shared" si="59"/>
        <v>0</v>
      </c>
      <c r="P176" s="830">
        <f t="shared" si="59"/>
        <v>0</v>
      </c>
      <c r="Q176" s="830">
        <f t="shared" si="61"/>
        <v>0</v>
      </c>
      <c r="R176" s="830">
        <f t="shared" si="60"/>
        <v>0</v>
      </c>
      <c r="S176" s="830"/>
      <c r="T176" s="580"/>
      <c r="U176" s="580"/>
      <c r="V176" s="580"/>
      <c r="W176" s="580"/>
      <c r="X176" s="580"/>
      <c r="Y176" s="580"/>
      <c r="Z176" s="580"/>
      <c r="AA176" s="580"/>
      <c r="AB176" s="580"/>
      <c r="AC176" s="580"/>
      <c r="AD176" s="580"/>
      <c r="AE176" s="580"/>
      <c r="AF176" s="580"/>
      <c r="AG176" s="580"/>
      <c r="AH176" s="580"/>
      <c r="AI176" s="580"/>
      <c r="AJ176" s="580"/>
      <c r="AK176" s="580"/>
      <c r="AL176" s="580"/>
      <c r="AM176" s="580"/>
      <c r="AN176" s="580"/>
      <c r="AO176" s="580"/>
    </row>
    <row r="177" spans="1:41" s="593" customFormat="1" ht="12" hidden="1" thickBot="1">
      <c r="A177" s="541" t="s">
        <v>179</v>
      </c>
      <c r="B177" s="596" t="s">
        <v>1509</v>
      </c>
      <c r="C177" s="541" t="s">
        <v>158</v>
      </c>
      <c r="D177" s="830">
        <f t="shared" si="56"/>
        <v>209</v>
      </c>
      <c r="E177" s="830">
        <f t="shared" si="56"/>
        <v>0</v>
      </c>
      <c r="F177" s="830">
        <f t="shared" si="56"/>
        <v>0</v>
      </c>
      <c r="G177" s="830">
        <f t="shared" si="56"/>
        <v>0</v>
      </c>
      <c r="H177" s="830">
        <f t="shared" si="57"/>
        <v>111982947</v>
      </c>
      <c r="I177" s="830">
        <f t="shared" si="59"/>
        <v>0</v>
      </c>
      <c r="J177" s="830">
        <f t="shared" si="59"/>
        <v>0</v>
      </c>
      <c r="K177" s="830">
        <f t="shared" si="59"/>
        <v>0</v>
      </c>
      <c r="L177" s="830">
        <f t="shared" si="59"/>
        <v>0</v>
      </c>
      <c r="M177" s="830">
        <f t="shared" si="59"/>
        <v>0</v>
      </c>
      <c r="N177" s="830">
        <f t="shared" si="59"/>
        <v>0</v>
      </c>
      <c r="O177" s="830">
        <f t="shared" si="59"/>
        <v>271446</v>
      </c>
      <c r="P177" s="830">
        <f t="shared" si="59"/>
        <v>261290</v>
      </c>
      <c r="Q177" s="830">
        <f t="shared" si="61"/>
        <v>256590</v>
      </c>
      <c r="R177" s="830">
        <f t="shared" si="60"/>
        <v>0</v>
      </c>
      <c r="S177" s="830"/>
      <c r="T177" s="580"/>
      <c r="U177" s="580"/>
      <c r="V177" s="580"/>
      <c r="W177" s="580"/>
      <c r="X177" s="580"/>
      <c r="Y177" s="580"/>
      <c r="Z177" s="580"/>
      <c r="AA177" s="580"/>
      <c r="AB177" s="580"/>
      <c r="AC177" s="580"/>
      <c r="AD177" s="580"/>
      <c r="AE177" s="580"/>
      <c r="AF177" s="580"/>
      <c r="AG177" s="580"/>
      <c r="AH177" s="580"/>
      <c r="AI177" s="580"/>
      <c r="AJ177" s="580"/>
      <c r="AK177" s="580"/>
      <c r="AL177" s="580"/>
      <c r="AM177" s="580"/>
      <c r="AN177" s="580"/>
      <c r="AO177" s="580"/>
    </row>
    <row r="178" spans="1:41" s="593" customFormat="1" ht="12" hidden="1" thickBot="1">
      <c r="A178" s="541" t="s">
        <v>179</v>
      </c>
      <c r="B178" s="596" t="s">
        <v>1509</v>
      </c>
      <c r="C178" s="541" t="s">
        <v>159</v>
      </c>
      <c r="D178" s="830">
        <f t="shared" si="56"/>
        <v>471</v>
      </c>
      <c r="E178" s="830">
        <f t="shared" si="56"/>
        <v>0</v>
      </c>
      <c r="F178" s="830">
        <f t="shared" si="56"/>
        <v>0</v>
      </c>
      <c r="G178" s="830">
        <f t="shared" si="56"/>
        <v>0</v>
      </c>
      <c r="H178" s="830">
        <f t="shared" si="57"/>
        <v>135748326</v>
      </c>
      <c r="I178" s="830">
        <f t="shared" si="59"/>
        <v>0</v>
      </c>
      <c r="J178" s="830">
        <f t="shared" si="59"/>
        <v>0</v>
      </c>
      <c r="K178" s="830">
        <f t="shared" si="59"/>
        <v>0</v>
      </c>
      <c r="L178" s="830">
        <f t="shared" si="59"/>
        <v>0</v>
      </c>
      <c r="M178" s="830">
        <f t="shared" si="59"/>
        <v>0</v>
      </c>
      <c r="N178" s="830">
        <f t="shared" si="59"/>
        <v>0</v>
      </c>
      <c r="O178" s="830">
        <f t="shared" si="59"/>
        <v>316205</v>
      </c>
      <c r="P178" s="830">
        <f t="shared" si="59"/>
        <v>295218</v>
      </c>
      <c r="Q178" s="830">
        <f t="shared" si="61"/>
        <v>289471</v>
      </c>
      <c r="R178" s="830">
        <f t="shared" si="60"/>
        <v>0</v>
      </c>
      <c r="S178" s="830"/>
      <c r="T178" s="580"/>
      <c r="U178" s="580"/>
      <c r="V178" s="580"/>
      <c r="W178" s="580"/>
      <c r="X178" s="580"/>
      <c r="Y178" s="580"/>
      <c r="Z178" s="580"/>
      <c r="AA178" s="580"/>
      <c r="AB178" s="580"/>
      <c r="AC178" s="580"/>
      <c r="AD178" s="580"/>
      <c r="AE178" s="580"/>
      <c r="AF178" s="580"/>
      <c r="AG178" s="580"/>
      <c r="AH178" s="580"/>
      <c r="AI178" s="580"/>
      <c r="AJ178" s="580"/>
      <c r="AK178" s="580"/>
      <c r="AL178" s="580"/>
      <c r="AM178" s="580"/>
      <c r="AN178" s="580"/>
      <c r="AO178" s="580"/>
    </row>
    <row r="179" spans="1:41" s="593" customFormat="1" ht="12" hidden="1" thickBot="1">
      <c r="A179" s="541" t="s">
        <v>179</v>
      </c>
      <c r="B179" s="596" t="s">
        <v>1509</v>
      </c>
      <c r="C179" s="541" t="s">
        <v>161</v>
      </c>
      <c r="D179" s="830">
        <f t="shared" si="56"/>
        <v>63568</v>
      </c>
      <c r="E179" s="830">
        <f t="shared" si="56"/>
        <v>0</v>
      </c>
      <c r="F179" s="830">
        <f t="shared" si="56"/>
        <v>0</v>
      </c>
      <c r="G179" s="830">
        <f t="shared" si="56"/>
        <v>0</v>
      </c>
      <c r="H179" s="830">
        <f t="shared" si="57"/>
        <v>59224022</v>
      </c>
      <c r="I179" s="830">
        <f t="shared" si="59"/>
        <v>0</v>
      </c>
      <c r="J179" s="830">
        <f t="shared" si="59"/>
        <v>0</v>
      </c>
      <c r="K179" s="830">
        <f t="shared" si="59"/>
        <v>0</v>
      </c>
      <c r="L179" s="830">
        <f t="shared" si="59"/>
        <v>0</v>
      </c>
      <c r="M179" s="830">
        <f t="shared" si="59"/>
        <v>0</v>
      </c>
      <c r="N179" s="830">
        <f t="shared" si="59"/>
        <v>0</v>
      </c>
      <c r="O179" s="830">
        <f t="shared" si="59"/>
        <v>0</v>
      </c>
      <c r="P179" s="830">
        <f t="shared" si="59"/>
        <v>0</v>
      </c>
      <c r="Q179" s="830">
        <f t="shared" si="61"/>
        <v>0</v>
      </c>
      <c r="R179" s="830">
        <f t="shared" si="60"/>
        <v>0</v>
      </c>
      <c r="S179" s="830"/>
      <c r="T179" s="580"/>
      <c r="U179" s="580"/>
      <c r="V179" s="580"/>
      <c r="W179" s="580"/>
      <c r="X179" s="580"/>
      <c r="Y179" s="580"/>
      <c r="Z179" s="580"/>
      <c r="AA179" s="580"/>
      <c r="AB179" s="580"/>
      <c r="AC179" s="580"/>
      <c r="AD179" s="580"/>
      <c r="AE179" s="580"/>
      <c r="AF179" s="580"/>
      <c r="AG179" s="580"/>
      <c r="AH179" s="580"/>
      <c r="AI179" s="580"/>
      <c r="AJ179" s="580"/>
      <c r="AK179" s="580"/>
      <c r="AL179" s="580"/>
      <c r="AM179" s="580"/>
      <c r="AN179" s="580"/>
      <c r="AO179" s="580"/>
    </row>
    <row r="180" spans="1:41" s="593" customFormat="1" ht="12" hidden="1" thickBot="1">
      <c r="A180" s="541" t="s">
        <v>179</v>
      </c>
      <c r="B180" s="596" t="s">
        <v>1509</v>
      </c>
      <c r="C180" s="541" t="s">
        <v>162</v>
      </c>
      <c r="D180" s="830">
        <f t="shared" si="56"/>
        <v>0</v>
      </c>
      <c r="E180" s="830">
        <f t="shared" si="56"/>
        <v>0</v>
      </c>
      <c r="F180" s="830">
        <f t="shared" si="56"/>
        <v>0</v>
      </c>
      <c r="G180" s="830">
        <f t="shared" si="56"/>
        <v>0</v>
      </c>
      <c r="H180" s="830">
        <f t="shared" si="57"/>
        <v>0</v>
      </c>
      <c r="I180" s="830">
        <f t="shared" si="59"/>
        <v>0</v>
      </c>
      <c r="J180" s="830">
        <f t="shared" si="59"/>
        <v>0</v>
      </c>
      <c r="K180" s="830">
        <f t="shared" si="59"/>
        <v>0</v>
      </c>
      <c r="L180" s="830">
        <f t="shared" si="59"/>
        <v>0</v>
      </c>
      <c r="M180" s="830">
        <f t="shared" si="59"/>
        <v>0</v>
      </c>
      <c r="N180" s="830">
        <f t="shared" si="59"/>
        <v>0</v>
      </c>
      <c r="O180" s="830">
        <f t="shared" si="59"/>
        <v>0</v>
      </c>
      <c r="P180" s="830">
        <f t="shared" si="59"/>
        <v>0</v>
      </c>
      <c r="Q180" s="830">
        <f t="shared" si="61"/>
        <v>0</v>
      </c>
      <c r="R180" s="830">
        <f t="shared" si="60"/>
        <v>0</v>
      </c>
      <c r="S180" s="830"/>
      <c r="T180" s="580"/>
      <c r="U180" s="580"/>
      <c r="V180" s="580"/>
      <c r="W180" s="580"/>
      <c r="X180" s="580"/>
      <c r="Y180" s="580"/>
      <c r="Z180" s="580"/>
      <c r="AA180" s="580"/>
      <c r="AB180" s="580"/>
      <c r="AC180" s="580"/>
      <c r="AD180" s="580"/>
      <c r="AE180" s="580"/>
      <c r="AF180" s="580"/>
      <c r="AG180" s="580"/>
      <c r="AH180" s="580"/>
      <c r="AI180" s="580"/>
      <c r="AJ180" s="580"/>
      <c r="AK180" s="580"/>
      <c r="AL180" s="580"/>
      <c r="AM180" s="580"/>
      <c r="AN180" s="580"/>
      <c r="AO180" s="580"/>
    </row>
    <row r="181" spans="1:41" s="593" customFormat="1" ht="12" hidden="1" thickBot="1">
      <c r="A181" s="541" t="s">
        <v>179</v>
      </c>
      <c r="B181" s="596" t="s">
        <v>1509</v>
      </c>
      <c r="C181" s="541" t="s">
        <v>163</v>
      </c>
      <c r="D181" s="830">
        <f t="shared" si="56"/>
        <v>18582</v>
      </c>
      <c r="E181" s="830">
        <f t="shared" si="56"/>
        <v>0</v>
      </c>
      <c r="F181" s="830">
        <f t="shared" si="56"/>
        <v>0</v>
      </c>
      <c r="G181" s="830">
        <f t="shared" si="56"/>
        <v>0</v>
      </c>
      <c r="H181" s="830">
        <f t="shared" si="57"/>
        <v>86460113</v>
      </c>
      <c r="I181" s="830">
        <f t="shared" si="59"/>
        <v>0</v>
      </c>
      <c r="J181" s="830">
        <f t="shared" si="59"/>
        <v>0</v>
      </c>
      <c r="K181" s="830">
        <f t="shared" si="59"/>
        <v>0</v>
      </c>
      <c r="L181" s="830">
        <f t="shared" si="59"/>
        <v>0</v>
      </c>
      <c r="M181" s="830">
        <f t="shared" si="59"/>
        <v>0</v>
      </c>
      <c r="N181" s="830">
        <f t="shared" si="59"/>
        <v>0</v>
      </c>
      <c r="O181" s="830">
        <f>R181</f>
        <v>363644</v>
      </c>
      <c r="P181" s="830">
        <f t="shared" si="59"/>
        <v>0</v>
      </c>
      <c r="Q181" s="830">
        <f t="shared" si="61"/>
        <v>0</v>
      </c>
      <c r="R181" s="830">
        <f t="shared" si="60"/>
        <v>363644</v>
      </c>
      <c r="S181" s="830"/>
      <c r="T181" s="580"/>
      <c r="U181" s="580"/>
      <c r="V181" s="580"/>
      <c r="W181" s="580"/>
      <c r="X181" s="580"/>
      <c r="Y181" s="580"/>
      <c r="Z181" s="580"/>
      <c r="AA181" s="580"/>
      <c r="AB181" s="580"/>
      <c r="AC181" s="580"/>
      <c r="AD181" s="580"/>
      <c r="AE181" s="580"/>
      <c r="AF181" s="580"/>
      <c r="AG181" s="580"/>
      <c r="AH181" s="580"/>
      <c r="AI181" s="580"/>
      <c r="AJ181" s="580"/>
      <c r="AK181" s="580"/>
      <c r="AL181" s="580"/>
      <c r="AM181" s="580"/>
      <c r="AN181" s="580"/>
      <c r="AO181" s="580"/>
    </row>
    <row r="182" spans="1:41" s="593" customFormat="1" ht="12" hidden="1" thickBot="1">
      <c r="A182" s="541" t="s">
        <v>179</v>
      </c>
      <c r="B182" s="596" t="s">
        <v>1509</v>
      </c>
      <c r="C182" s="541" t="s">
        <v>164</v>
      </c>
      <c r="D182" s="830">
        <f t="shared" si="56"/>
        <v>382</v>
      </c>
      <c r="E182" s="830">
        <f t="shared" si="56"/>
        <v>0</v>
      </c>
      <c r="F182" s="830">
        <f t="shared" si="56"/>
        <v>0</v>
      </c>
      <c r="G182" s="830">
        <f t="shared" si="56"/>
        <v>0</v>
      </c>
      <c r="H182" s="830">
        <f t="shared" si="57"/>
        <v>643622</v>
      </c>
      <c r="I182" s="830">
        <f t="shared" ref="I182:P191" si="62">ROUND(SUMIFS(I$495:I$866,$B$495:$B$866,$B182,$C$495:$C$866,$C182),0)</f>
        <v>0</v>
      </c>
      <c r="J182" s="830">
        <f t="shared" si="62"/>
        <v>0</v>
      </c>
      <c r="K182" s="830">
        <f t="shared" si="62"/>
        <v>0</v>
      </c>
      <c r="L182" s="830">
        <f t="shared" si="62"/>
        <v>0</v>
      </c>
      <c r="M182" s="830">
        <f t="shared" si="62"/>
        <v>0</v>
      </c>
      <c r="N182" s="830">
        <f t="shared" si="62"/>
        <v>0</v>
      </c>
      <c r="O182" s="830">
        <f t="shared" si="62"/>
        <v>0</v>
      </c>
      <c r="P182" s="830">
        <f t="shared" si="62"/>
        <v>0</v>
      </c>
      <c r="Q182" s="830">
        <f t="shared" ref="Q182:Q204" si="63">ROUND(SUMIFS(Q$495:Q$866,$B$495:$B$866,$B182,$C$495:$C$866,$C182),0)</f>
        <v>0</v>
      </c>
      <c r="R182" s="830">
        <f t="shared" si="60"/>
        <v>0</v>
      </c>
      <c r="S182" s="830"/>
      <c r="T182" s="580"/>
      <c r="U182" s="580"/>
      <c r="V182" s="580"/>
      <c r="W182" s="580"/>
      <c r="X182" s="580"/>
      <c r="Y182" s="580"/>
      <c r="Z182" s="580"/>
      <c r="AA182" s="580"/>
      <c r="AB182" s="580"/>
      <c r="AC182" s="580"/>
      <c r="AD182" s="580"/>
      <c r="AE182" s="580"/>
      <c r="AF182" s="580"/>
      <c r="AG182" s="580"/>
      <c r="AH182" s="580"/>
      <c r="AI182" s="580"/>
      <c r="AJ182" s="580"/>
      <c r="AK182" s="580"/>
      <c r="AL182" s="580"/>
      <c r="AM182" s="580"/>
      <c r="AN182" s="580"/>
      <c r="AO182" s="580"/>
    </row>
    <row r="183" spans="1:41" s="593" customFormat="1" ht="12" hidden="1" thickBot="1">
      <c r="A183" s="541" t="s">
        <v>179</v>
      </c>
      <c r="B183" s="596" t="s">
        <v>1509</v>
      </c>
      <c r="C183" s="541" t="s">
        <v>174</v>
      </c>
      <c r="D183" s="830">
        <f t="shared" si="56"/>
        <v>431179</v>
      </c>
      <c r="E183" s="830">
        <f t="shared" si="56"/>
        <v>0</v>
      </c>
      <c r="F183" s="830">
        <f t="shared" si="56"/>
        <v>0</v>
      </c>
      <c r="G183" s="830">
        <f t="shared" si="56"/>
        <v>0</v>
      </c>
      <c r="H183" s="830">
        <f t="shared" si="57"/>
        <v>369792176</v>
      </c>
      <c r="I183" s="830">
        <f t="shared" si="62"/>
        <v>0</v>
      </c>
      <c r="J183" s="830">
        <f t="shared" si="62"/>
        <v>0</v>
      </c>
      <c r="K183" s="830">
        <f t="shared" si="62"/>
        <v>0</v>
      </c>
      <c r="L183" s="830">
        <f t="shared" si="62"/>
        <v>0</v>
      </c>
      <c r="M183" s="830">
        <f t="shared" si="62"/>
        <v>0</v>
      </c>
      <c r="N183" s="830">
        <f t="shared" si="62"/>
        <v>0</v>
      </c>
      <c r="O183" s="830">
        <f t="shared" si="62"/>
        <v>0</v>
      </c>
      <c r="P183" s="830">
        <f t="shared" si="62"/>
        <v>0</v>
      </c>
      <c r="Q183" s="830">
        <f t="shared" si="63"/>
        <v>0</v>
      </c>
      <c r="R183" s="830">
        <f t="shared" si="60"/>
        <v>0</v>
      </c>
      <c r="S183" s="830"/>
      <c r="T183" s="580"/>
      <c r="U183" s="580"/>
      <c r="V183" s="580"/>
      <c r="W183" s="580"/>
      <c r="X183" s="580"/>
      <c r="Y183" s="580"/>
      <c r="Z183" s="580"/>
      <c r="AA183" s="580"/>
      <c r="AB183" s="580"/>
      <c r="AC183" s="580"/>
      <c r="AD183" s="580"/>
      <c r="AE183" s="580"/>
      <c r="AF183" s="580"/>
      <c r="AG183" s="580"/>
      <c r="AH183" s="580"/>
      <c r="AI183" s="580"/>
      <c r="AJ183" s="580"/>
      <c r="AK183" s="580"/>
      <c r="AL183" s="580"/>
      <c r="AM183" s="580"/>
      <c r="AN183" s="580"/>
      <c r="AO183" s="580"/>
    </row>
    <row r="184" spans="1:41" s="593" customFormat="1" ht="12" hidden="1" thickBot="1">
      <c r="A184" s="541" t="s">
        <v>179</v>
      </c>
      <c r="B184" s="596" t="s">
        <v>1509</v>
      </c>
      <c r="C184" s="541" t="s">
        <v>175</v>
      </c>
      <c r="D184" s="830">
        <f t="shared" si="56"/>
        <v>0</v>
      </c>
      <c r="E184" s="830">
        <f t="shared" si="56"/>
        <v>0</v>
      </c>
      <c r="F184" s="830">
        <f t="shared" si="56"/>
        <v>0</v>
      </c>
      <c r="G184" s="830">
        <f t="shared" si="56"/>
        <v>0</v>
      </c>
      <c r="H184" s="830">
        <f t="shared" si="57"/>
        <v>0</v>
      </c>
      <c r="I184" s="830">
        <f t="shared" si="62"/>
        <v>0</v>
      </c>
      <c r="J184" s="830">
        <f t="shared" si="62"/>
        <v>0</v>
      </c>
      <c r="K184" s="830">
        <f t="shared" si="62"/>
        <v>0</v>
      </c>
      <c r="L184" s="830">
        <f t="shared" si="62"/>
        <v>0</v>
      </c>
      <c r="M184" s="830">
        <f t="shared" si="62"/>
        <v>0</v>
      </c>
      <c r="N184" s="830">
        <f t="shared" si="62"/>
        <v>0</v>
      </c>
      <c r="O184" s="830">
        <f t="shared" si="62"/>
        <v>0</v>
      </c>
      <c r="P184" s="830">
        <f t="shared" si="62"/>
        <v>0</v>
      </c>
      <c r="Q184" s="830">
        <f t="shared" si="63"/>
        <v>0</v>
      </c>
      <c r="R184" s="830">
        <f t="shared" si="60"/>
        <v>0</v>
      </c>
      <c r="S184" s="830"/>
      <c r="T184" s="580"/>
      <c r="U184" s="580"/>
      <c r="V184" s="580"/>
      <c r="W184" s="580"/>
      <c r="X184" s="580"/>
      <c r="Y184" s="580"/>
      <c r="Z184" s="580"/>
      <c r="AA184" s="580"/>
      <c r="AB184" s="580"/>
      <c r="AC184" s="580"/>
      <c r="AD184" s="580"/>
      <c r="AE184" s="580"/>
      <c r="AF184" s="580"/>
      <c r="AG184" s="580"/>
      <c r="AH184" s="580"/>
      <c r="AI184" s="580"/>
      <c r="AJ184" s="580"/>
      <c r="AK184" s="580"/>
      <c r="AL184" s="580"/>
      <c r="AM184" s="580"/>
      <c r="AN184" s="580"/>
      <c r="AO184" s="580"/>
    </row>
    <row r="185" spans="1:41" s="593" customFormat="1" ht="12" hidden="1" thickBot="1">
      <c r="A185" s="541" t="s">
        <v>179</v>
      </c>
      <c r="B185" s="596" t="s">
        <v>1509</v>
      </c>
      <c r="C185" s="541" t="s">
        <v>176</v>
      </c>
      <c r="D185" s="830">
        <f t="shared" si="56"/>
        <v>0</v>
      </c>
      <c r="E185" s="830">
        <f t="shared" si="56"/>
        <v>0</v>
      </c>
      <c r="F185" s="830">
        <f t="shared" si="56"/>
        <v>0</v>
      </c>
      <c r="G185" s="830">
        <f t="shared" si="56"/>
        <v>0</v>
      </c>
      <c r="H185" s="830">
        <f t="shared" si="57"/>
        <v>0</v>
      </c>
      <c r="I185" s="830">
        <f t="shared" si="62"/>
        <v>0</v>
      </c>
      <c r="J185" s="830">
        <f t="shared" si="62"/>
        <v>0</v>
      </c>
      <c r="K185" s="830">
        <f t="shared" si="62"/>
        <v>0</v>
      </c>
      <c r="L185" s="830">
        <f t="shared" si="62"/>
        <v>0</v>
      </c>
      <c r="M185" s="830">
        <f t="shared" si="62"/>
        <v>0</v>
      </c>
      <c r="N185" s="830">
        <f t="shared" si="62"/>
        <v>0</v>
      </c>
      <c r="O185" s="830">
        <f t="shared" si="62"/>
        <v>0</v>
      </c>
      <c r="P185" s="830">
        <f t="shared" si="62"/>
        <v>0</v>
      </c>
      <c r="Q185" s="830">
        <f t="shared" si="63"/>
        <v>0</v>
      </c>
      <c r="R185" s="830">
        <f t="shared" si="60"/>
        <v>0</v>
      </c>
      <c r="S185" s="830"/>
      <c r="T185" s="580"/>
      <c r="U185" s="580"/>
      <c r="V185" s="580"/>
      <c r="W185" s="580"/>
      <c r="X185" s="580"/>
      <c r="Y185" s="580"/>
      <c r="Z185" s="580"/>
      <c r="AA185" s="580"/>
      <c r="AB185" s="580"/>
      <c r="AC185" s="580"/>
      <c r="AD185" s="580"/>
      <c r="AE185" s="580"/>
      <c r="AF185" s="580"/>
      <c r="AG185" s="580"/>
      <c r="AH185" s="580"/>
      <c r="AI185" s="580"/>
      <c r="AJ185" s="580"/>
      <c r="AK185" s="580"/>
      <c r="AL185" s="580"/>
      <c r="AM185" s="580"/>
      <c r="AN185" s="580"/>
      <c r="AO185" s="580"/>
    </row>
    <row r="186" spans="1:41" s="593" customFormat="1" ht="12" hidden="1" thickBot="1">
      <c r="A186" s="541" t="s">
        <v>179</v>
      </c>
      <c r="B186" s="596" t="s">
        <v>1509</v>
      </c>
      <c r="C186" s="541" t="s">
        <v>177</v>
      </c>
      <c r="D186" s="830">
        <f t="shared" si="56"/>
        <v>0</v>
      </c>
      <c r="E186" s="830">
        <f t="shared" si="56"/>
        <v>0</v>
      </c>
      <c r="F186" s="830">
        <f t="shared" si="56"/>
        <v>0</v>
      </c>
      <c r="G186" s="830">
        <f t="shared" si="56"/>
        <v>0</v>
      </c>
      <c r="H186" s="830">
        <f t="shared" si="57"/>
        <v>0</v>
      </c>
      <c r="I186" s="830">
        <f t="shared" si="62"/>
        <v>0</v>
      </c>
      <c r="J186" s="830">
        <f t="shared" si="62"/>
        <v>0</v>
      </c>
      <c r="K186" s="830">
        <f t="shared" si="62"/>
        <v>0</v>
      </c>
      <c r="L186" s="830">
        <f t="shared" si="62"/>
        <v>0</v>
      </c>
      <c r="M186" s="830">
        <f t="shared" si="62"/>
        <v>0</v>
      </c>
      <c r="N186" s="830">
        <f t="shared" si="62"/>
        <v>0</v>
      </c>
      <c r="O186" s="830">
        <f t="shared" si="62"/>
        <v>0</v>
      </c>
      <c r="P186" s="830">
        <f t="shared" si="62"/>
        <v>0</v>
      </c>
      <c r="Q186" s="830">
        <f t="shared" si="63"/>
        <v>0</v>
      </c>
      <c r="R186" s="830">
        <f t="shared" si="60"/>
        <v>0</v>
      </c>
      <c r="S186" s="830"/>
      <c r="T186" s="580"/>
      <c r="U186" s="580"/>
      <c r="V186" s="580"/>
      <c r="W186" s="580"/>
      <c r="X186" s="580"/>
      <c r="Y186" s="580"/>
      <c r="Z186" s="580"/>
      <c r="AA186" s="580"/>
      <c r="AB186" s="580"/>
      <c r="AC186" s="580"/>
      <c r="AD186" s="580"/>
      <c r="AE186" s="580"/>
      <c r="AF186" s="580"/>
      <c r="AG186" s="580"/>
      <c r="AH186" s="580"/>
      <c r="AI186" s="580"/>
      <c r="AJ186" s="580"/>
      <c r="AK186" s="580"/>
      <c r="AL186" s="580"/>
      <c r="AM186" s="580"/>
      <c r="AN186" s="580"/>
      <c r="AO186" s="580"/>
    </row>
    <row r="187" spans="1:41" s="593" customFormat="1" ht="12" hidden="1" thickBot="1">
      <c r="A187" s="541" t="s">
        <v>179</v>
      </c>
      <c r="B187" s="596" t="s">
        <v>1509</v>
      </c>
      <c r="C187" s="541" t="s">
        <v>178</v>
      </c>
      <c r="D187" s="830">
        <f t="shared" si="56"/>
        <v>0</v>
      </c>
      <c r="E187" s="830">
        <f t="shared" si="56"/>
        <v>0</v>
      </c>
      <c r="F187" s="830">
        <f t="shared" si="56"/>
        <v>0</v>
      </c>
      <c r="G187" s="830">
        <f t="shared" si="56"/>
        <v>0</v>
      </c>
      <c r="H187" s="830">
        <f t="shared" si="57"/>
        <v>0</v>
      </c>
      <c r="I187" s="830">
        <f t="shared" si="62"/>
        <v>0</v>
      </c>
      <c r="J187" s="830">
        <f t="shared" si="62"/>
        <v>0</v>
      </c>
      <c r="K187" s="830">
        <f t="shared" si="62"/>
        <v>0</v>
      </c>
      <c r="L187" s="830">
        <f t="shared" si="62"/>
        <v>0</v>
      </c>
      <c r="M187" s="830">
        <f t="shared" si="62"/>
        <v>0</v>
      </c>
      <c r="N187" s="830">
        <f t="shared" si="62"/>
        <v>0</v>
      </c>
      <c r="O187" s="830">
        <f t="shared" si="62"/>
        <v>0</v>
      </c>
      <c r="P187" s="830">
        <f t="shared" si="62"/>
        <v>0</v>
      </c>
      <c r="Q187" s="830">
        <f t="shared" si="63"/>
        <v>0</v>
      </c>
      <c r="R187" s="830">
        <f t="shared" si="60"/>
        <v>0</v>
      </c>
      <c r="S187" s="830"/>
      <c r="T187" s="580"/>
      <c r="U187" s="580"/>
      <c r="V187" s="580"/>
      <c r="W187" s="580"/>
      <c r="X187" s="580"/>
      <c r="Y187" s="580"/>
      <c r="Z187" s="580"/>
      <c r="AA187" s="580"/>
      <c r="AB187" s="580"/>
      <c r="AC187" s="580"/>
      <c r="AD187" s="580"/>
      <c r="AE187" s="580"/>
      <c r="AF187" s="580"/>
      <c r="AG187" s="580"/>
      <c r="AH187" s="580"/>
      <c r="AI187" s="580"/>
      <c r="AJ187" s="580"/>
      <c r="AK187" s="580"/>
      <c r="AL187" s="580"/>
      <c r="AM187" s="580"/>
      <c r="AN187" s="580"/>
      <c r="AO187" s="580"/>
    </row>
    <row r="188" spans="1:41" s="593" customFormat="1" ht="12" hidden="1" thickBot="1">
      <c r="A188" s="541" t="s">
        <v>179</v>
      </c>
      <c r="B188" s="596" t="s">
        <v>1509</v>
      </c>
      <c r="C188" s="541" t="s">
        <v>424</v>
      </c>
      <c r="D188" s="830">
        <f t="shared" si="56"/>
        <v>0</v>
      </c>
      <c r="E188" s="830">
        <f t="shared" si="56"/>
        <v>0</v>
      </c>
      <c r="F188" s="830">
        <f t="shared" si="56"/>
        <v>0</v>
      </c>
      <c r="G188" s="830">
        <f t="shared" si="56"/>
        <v>0</v>
      </c>
      <c r="H188" s="830">
        <f t="shared" si="57"/>
        <v>0</v>
      </c>
      <c r="I188" s="830">
        <f t="shared" si="62"/>
        <v>0</v>
      </c>
      <c r="J188" s="830">
        <f t="shared" si="62"/>
        <v>0</v>
      </c>
      <c r="K188" s="830">
        <f t="shared" si="62"/>
        <v>0</v>
      </c>
      <c r="L188" s="830">
        <f t="shared" si="62"/>
        <v>0</v>
      </c>
      <c r="M188" s="830">
        <f t="shared" si="62"/>
        <v>0</v>
      </c>
      <c r="N188" s="830">
        <f t="shared" si="62"/>
        <v>0</v>
      </c>
      <c r="O188" s="830">
        <f t="shared" si="62"/>
        <v>0</v>
      </c>
      <c r="P188" s="830">
        <f t="shared" si="62"/>
        <v>0</v>
      </c>
      <c r="Q188" s="830">
        <f t="shared" si="63"/>
        <v>0</v>
      </c>
      <c r="R188" s="830">
        <f t="shared" si="60"/>
        <v>0</v>
      </c>
      <c r="S188" s="830"/>
      <c r="T188" s="580"/>
      <c r="U188" s="580"/>
      <c r="V188" s="580"/>
      <c r="W188" s="580"/>
      <c r="X188" s="580"/>
      <c r="Y188" s="580"/>
      <c r="Z188" s="580"/>
      <c r="AA188" s="580"/>
      <c r="AB188" s="580"/>
      <c r="AC188" s="580"/>
      <c r="AD188" s="580"/>
      <c r="AE188" s="580"/>
      <c r="AF188" s="580"/>
      <c r="AG188" s="580"/>
      <c r="AH188" s="580"/>
      <c r="AI188" s="580"/>
      <c r="AJ188" s="580"/>
      <c r="AK188" s="580"/>
      <c r="AL188" s="580"/>
      <c r="AM188" s="580"/>
      <c r="AN188" s="580"/>
      <c r="AO188" s="580"/>
    </row>
    <row r="189" spans="1:41" s="593" customFormat="1" ht="12" hidden="1" thickBot="1">
      <c r="A189" s="541" t="s">
        <v>179</v>
      </c>
      <c r="B189" s="596" t="s">
        <v>1509</v>
      </c>
      <c r="C189" s="541" t="s">
        <v>425</v>
      </c>
      <c r="D189" s="830">
        <f t="shared" si="56"/>
        <v>0</v>
      </c>
      <c r="E189" s="830">
        <f t="shared" si="56"/>
        <v>0</v>
      </c>
      <c r="F189" s="830">
        <f t="shared" si="56"/>
        <v>0</v>
      </c>
      <c r="G189" s="830">
        <f t="shared" si="56"/>
        <v>0</v>
      </c>
      <c r="H189" s="830">
        <f t="shared" si="57"/>
        <v>0</v>
      </c>
      <c r="I189" s="830">
        <f t="shared" si="62"/>
        <v>0</v>
      </c>
      <c r="J189" s="830">
        <f t="shared" si="62"/>
        <v>0</v>
      </c>
      <c r="K189" s="830">
        <f t="shared" si="62"/>
        <v>0</v>
      </c>
      <c r="L189" s="830">
        <f t="shared" si="62"/>
        <v>0</v>
      </c>
      <c r="M189" s="830">
        <f t="shared" si="62"/>
        <v>0</v>
      </c>
      <c r="N189" s="830">
        <f t="shared" si="62"/>
        <v>0</v>
      </c>
      <c r="O189" s="830">
        <f t="shared" si="62"/>
        <v>0</v>
      </c>
      <c r="P189" s="830">
        <f t="shared" si="62"/>
        <v>0</v>
      </c>
      <c r="Q189" s="830">
        <f t="shared" si="63"/>
        <v>0</v>
      </c>
      <c r="R189" s="830">
        <f t="shared" si="60"/>
        <v>0</v>
      </c>
      <c r="S189" s="830"/>
      <c r="T189" s="580"/>
      <c r="U189" s="580"/>
      <c r="V189" s="580"/>
      <c r="W189" s="580"/>
      <c r="X189" s="580"/>
      <c r="Y189" s="580"/>
      <c r="Z189" s="580"/>
      <c r="AA189" s="580"/>
      <c r="AB189" s="580"/>
      <c r="AC189" s="580"/>
      <c r="AD189" s="580"/>
      <c r="AE189" s="580"/>
      <c r="AF189" s="580"/>
      <c r="AG189" s="580"/>
      <c r="AH189" s="580"/>
      <c r="AI189" s="580"/>
      <c r="AJ189" s="580"/>
      <c r="AK189" s="580"/>
      <c r="AL189" s="580"/>
      <c r="AM189" s="580"/>
      <c r="AN189" s="580"/>
      <c r="AO189" s="580"/>
    </row>
    <row r="190" spans="1:41" s="593" customFormat="1" ht="12" hidden="1" thickBot="1">
      <c r="A190" s="541" t="s">
        <v>179</v>
      </c>
      <c r="B190" s="596" t="s">
        <v>1509</v>
      </c>
      <c r="C190" s="541" t="s">
        <v>169</v>
      </c>
      <c r="D190" s="830">
        <f t="shared" si="56"/>
        <v>0</v>
      </c>
      <c r="E190" s="830">
        <f t="shared" si="56"/>
        <v>0</v>
      </c>
      <c r="F190" s="830">
        <f t="shared" si="56"/>
        <v>0</v>
      </c>
      <c r="G190" s="830">
        <f t="shared" si="56"/>
        <v>0</v>
      </c>
      <c r="H190" s="830">
        <f t="shared" si="57"/>
        <v>0</v>
      </c>
      <c r="I190" s="830">
        <f t="shared" si="62"/>
        <v>0</v>
      </c>
      <c r="J190" s="830">
        <f t="shared" si="62"/>
        <v>0</v>
      </c>
      <c r="K190" s="830">
        <f t="shared" si="62"/>
        <v>0</v>
      </c>
      <c r="L190" s="830">
        <f t="shared" si="62"/>
        <v>0</v>
      </c>
      <c r="M190" s="830">
        <f t="shared" si="62"/>
        <v>0</v>
      </c>
      <c r="N190" s="830">
        <f t="shared" si="62"/>
        <v>0</v>
      </c>
      <c r="O190" s="830">
        <f t="shared" si="62"/>
        <v>0</v>
      </c>
      <c r="P190" s="830">
        <f t="shared" si="62"/>
        <v>0</v>
      </c>
      <c r="Q190" s="830">
        <f t="shared" si="63"/>
        <v>0</v>
      </c>
      <c r="R190" s="830">
        <f t="shared" si="60"/>
        <v>0</v>
      </c>
      <c r="S190" s="830"/>
    </row>
    <row r="191" spans="1:41" s="593" customFormat="1" ht="12" hidden="1" thickBot="1">
      <c r="A191" s="541" t="s">
        <v>179</v>
      </c>
      <c r="B191" s="596" t="s">
        <v>1509</v>
      </c>
      <c r="C191" s="541" t="s">
        <v>173</v>
      </c>
      <c r="D191" s="830">
        <f t="shared" si="56"/>
        <v>1</v>
      </c>
      <c r="E191" s="830">
        <f t="shared" si="56"/>
        <v>0</v>
      </c>
      <c r="F191" s="830">
        <f t="shared" si="56"/>
        <v>0</v>
      </c>
      <c r="G191" s="830">
        <f t="shared" si="56"/>
        <v>0</v>
      </c>
      <c r="H191" s="830">
        <f t="shared" si="57"/>
        <v>48437687</v>
      </c>
      <c r="I191" s="830">
        <f t="shared" si="62"/>
        <v>0</v>
      </c>
      <c r="J191" s="830">
        <f t="shared" si="62"/>
        <v>0</v>
      </c>
      <c r="K191" s="830">
        <f t="shared" si="62"/>
        <v>0</v>
      </c>
      <c r="L191" s="830">
        <f t="shared" si="62"/>
        <v>0</v>
      </c>
      <c r="M191" s="830">
        <f t="shared" si="62"/>
        <v>0</v>
      </c>
      <c r="N191" s="830">
        <f t="shared" si="62"/>
        <v>0</v>
      </c>
      <c r="O191" s="830">
        <f t="shared" si="62"/>
        <v>185158</v>
      </c>
      <c r="P191" s="830">
        <f t="shared" si="62"/>
        <v>185158</v>
      </c>
      <c r="Q191" s="830">
        <f t="shared" si="63"/>
        <v>101388</v>
      </c>
      <c r="R191" s="830">
        <f t="shared" si="60"/>
        <v>0</v>
      </c>
      <c r="S191" s="830"/>
    </row>
    <row r="192" spans="1:41" s="593" customFormat="1" ht="12" hidden="1" thickBot="1">
      <c r="A192" s="541" t="s">
        <v>179</v>
      </c>
      <c r="B192" s="596" t="s">
        <v>1509</v>
      </c>
      <c r="C192" s="541" t="s">
        <v>217</v>
      </c>
      <c r="D192" s="830">
        <v>2</v>
      </c>
      <c r="E192" s="830">
        <f t="shared" ref="E192:G208" si="64">ROUND(SUMIFS(E$495:E$866,$B$495:$B$866,$B192,$C$495:$C$866,$C192),0)</f>
        <v>0</v>
      </c>
      <c r="F192" s="830">
        <f t="shared" si="64"/>
        <v>0</v>
      </c>
      <c r="G192" s="830">
        <f t="shared" si="64"/>
        <v>0</v>
      </c>
      <c r="H192" s="830">
        <f t="shared" si="57"/>
        <v>12932</v>
      </c>
      <c r="I192" s="830">
        <f t="shared" ref="I192:P201" si="65">ROUND(SUMIFS(I$495:I$866,$B$495:$B$866,$B192,$C$495:$C$866,$C192),0)</f>
        <v>0</v>
      </c>
      <c r="J192" s="830">
        <f t="shared" si="65"/>
        <v>0</v>
      </c>
      <c r="K192" s="830">
        <f t="shared" si="65"/>
        <v>0</v>
      </c>
      <c r="L192" s="830">
        <f t="shared" si="65"/>
        <v>0</v>
      </c>
      <c r="M192" s="830">
        <f t="shared" si="65"/>
        <v>0</v>
      </c>
      <c r="N192" s="830">
        <f t="shared" si="65"/>
        <v>0</v>
      </c>
      <c r="O192" s="830">
        <f t="shared" si="65"/>
        <v>0</v>
      </c>
      <c r="P192" s="830">
        <f t="shared" si="65"/>
        <v>0</v>
      </c>
      <c r="Q192" s="830">
        <f t="shared" si="63"/>
        <v>0</v>
      </c>
      <c r="R192" s="830">
        <f t="shared" si="60"/>
        <v>0</v>
      </c>
      <c r="S192" s="830"/>
    </row>
    <row r="193" spans="1:19" s="593" customFormat="1" ht="12" hidden="1" thickBot="1">
      <c r="A193" s="541" t="s">
        <v>179</v>
      </c>
      <c r="B193" s="596" t="s">
        <v>1509</v>
      </c>
      <c r="C193" s="541" t="s">
        <v>216</v>
      </c>
      <c r="D193" s="830">
        <f t="shared" ref="D193:D208" si="66">ROUND(SUMIFS(D$495:D$866,$B$495:$B$866,$B193,$C$495:$C$866,$C193),0)</f>
        <v>0</v>
      </c>
      <c r="E193" s="830">
        <f t="shared" si="64"/>
        <v>0</v>
      </c>
      <c r="F193" s="830">
        <f t="shared" si="64"/>
        <v>0</v>
      </c>
      <c r="G193" s="830">
        <f t="shared" si="64"/>
        <v>0</v>
      </c>
      <c r="H193" s="830">
        <f t="shared" si="57"/>
        <v>0</v>
      </c>
      <c r="I193" s="830">
        <f t="shared" si="65"/>
        <v>0</v>
      </c>
      <c r="J193" s="830">
        <f t="shared" si="65"/>
        <v>0</v>
      </c>
      <c r="K193" s="830">
        <f t="shared" si="65"/>
        <v>0</v>
      </c>
      <c r="L193" s="830">
        <f t="shared" si="65"/>
        <v>0</v>
      </c>
      <c r="M193" s="830">
        <f t="shared" si="65"/>
        <v>0</v>
      </c>
      <c r="N193" s="830">
        <f t="shared" si="65"/>
        <v>0</v>
      </c>
      <c r="O193" s="830">
        <f t="shared" si="65"/>
        <v>0</v>
      </c>
      <c r="P193" s="830">
        <f t="shared" si="65"/>
        <v>0</v>
      </c>
      <c r="Q193" s="830">
        <f t="shared" si="63"/>
        <v>0</v>
      </c>
      <c r="R193" s="830">
        <f t="shared" si="60"/>
        <v>0</v>
      </c>
      <c r="S193" s="830"/>
    </row>
    <row r="194" spans="1:19" s="593" customFormat="1" ht="12" hidden="1" thickBot="1">
      <c r="A194" s="541" t="s">
        <v>179</v>
      </c>
      <c r="B194" s="596" t="s">
        <v>1509</v>
      </c>
      <c r="C194" s="541" t="s">
        <v>168</v>
      </c>
      <c r="D194" s="830">
        <f t="shared" si="66"/>
        <v>747</v>
      </c>
      <c r="E194" s="830">
        <f t="shared" si="64"/>
        <v>0</v>
      </c>
      <c r="F194" s="830">
        <f t="shared" si="64"/>
        <v>0</v>
      </c>
      <c r="G194" s="830">
        <f t="shared" si="64"/>
        <v>0</v>
      </c>
      <c r="H194" s="830">
        <f t="shared" si="57"/>
        <v>105151</v>
      </c>
      <c r="I194" s="830">
        <f t="shared" si="65"/>
        <v>0</v>
      </c>
      <c r="J194" s="830">
        <f t="shared" si="65"/>
        <v>0</v>
      </c>
      <c r="K194" s="830">
        <f t="shared" si="65"/>
        <v>0</v>
      </c>
      <c r="L194" s="830">
        <f t="shared" si="65"/>
        <v>0</v>
      </c>
      <c r="M194" s="830">
        <f t="shared" si="65"/>
        <v>0</v>
      </c>
      <c r="N194" s="830">
        <f t="shared" si="65"/>
        <v>0</v>
      </c>
      <c r="O194" s="830">
        <f t="shared" si="65"/>
        <v>0</v>
      </c>
      <c r="P194" s="830">
        <f t="shared" si="65"/>
        <v>0</v>
      </c>
      <c r="Q194" s="830">
        <f t="shared" si="63"/>
        <v>0</v>
      </c>
      <c r="R194" s="830">
        <f t="shared" si="60"/>
        <v>0</v>
      </c>
      <c r="S194" s="830"/>
    </row>
    <row r="195" spans="1:19" ht="12" hidden="1" thickBot="1">
      <c r="A195" s="836" t="s">
        <v>179</v>
      </c>
      <c r="B195" s="596" t="s">
        <v>1509</v>
      </c>
      <c r="C195" s="836" t="s">
        <v>171</v>
      </c>
      <c r="D195" s="830">
        <f t="shared" si="66"/>
        <v>0</v>
      </c>
      <c r="E195" s="830">
        <f t="shared" si="64"/>
        <v>0</v>
      </c>
      <c r="F195" s="830">
        <f t="shared" si="64"/>
        <v>0</v>
      </c>
      <c r="G195" s="830">
        <f t="shared" si="64"/>
        <v>0</v>
      </c>
      <c r="H195" s="830">
        <f t="shared" si="57"/>
        <v>0</v>
      </c>
      <c r="I195" s="830">
        <f t="shared" si="65"/>
        <v>0</v>
      </c>
      <c r="J195" s="830">
        <f t="shared" si="65"/>
        <v>0</v>
      </c>
      <c r="K195" s="830">
        <f t="shared" si="65"/>
        <v>0</v>
      </c>
      <c r="L195" s="830">
        <f t="shared" si="65"/>
        <v>0</v>
      </c>
      <c r="M195" s="830">
        <f t="shared" si="65"/>
        <v>0</v>
      </c>
      <c r="N195" s="830">
        <f t="shared" si="65"/>
        <v>0</v>
      </c>
      <c r="O195" s="830">
        <f t="shared" si="65"/>
        <v>0</v>
      </c>
      <c r="P195" s="830">
        <f t="shared" si="65"/>
        <v>0</v>
      </c>
      <c r="Q195" s="830">
        <f t="shared" si="63"/>
        <v>0</v>
      </c>
      <c r="R195" s="830">
        <f t="shared" si="60"/>
        <v>0</v>
      </c>
      <c r="S195" s="830"/>
    </row>
    <row r="196" spans="1:19" ht="12" hidden="1" thickBot="1">
      <c r="A196" s="836" t="s">
        <v>179</v>
      </c>
      <c r="B196" s="596" t="s">
        <v>1509</v>
      </c>
      <c r="C196" s="836" t="s">
        <v>172</v>
      </c>
      <c r="D196" s="830">
        <f t="shared" si="66"/>
        <v>0</v>
      </c>
      <c r="E196" s="830">
        <f t="shared" si="64"/>
        <v>0</v>
      </c>
      <c r="F196" s="830">
        <f t="shared" si="64"/>
        <v>0</v>
      </c>
      <c r="G196" s="830">
        <f t="shared" si="64"/>
        <v>0</v>
      </c>
      <c r="H196" s="830">
        <f t="shared" si="57"/>
        <v>0</v>
      </c>
      <c r="I196" s="830">
        <f t="shared" si="65"/>
        <v>0</v>
      </c>
      <c r="J196" s="830">
        <f t="shared" si="65"/>
        <v>0</v>
      </c>
      <c r="K196" s="830">
        <f t="shared" si="65"/>
        <v>0</v>
      </c>
      <c r="L196" s="830">
        <f t="shared" si="65"/>
        <v>0</v>
      </c>
      <c r="M196" s="830">
        <f t="shared" si="65"/>
        <v>0</v>
      </c>
      <c r="N196" s="830">
        <f t="shared" si="65"/>
        <v>0</v>
      </c>
      <c r="O196" s="830">
        <f t="shared" si="65"/>
        <v>0</v>
      </c>
      <c r="P196" s="830">
        <f t="shared" si="65"/>
        <v>0</v>
      </c>
      <c r="Q196" s="830">
        <f t="shared" si="63"/>
        <v>0</v>
      </c>
      <c r="R196" s="830">
        <f t="shared" si="60"/>
        <v>0</v>
      </c>
      <c r="S196" s="830"/>
    </row>
    <row r="197" spans="1:19" ht="12" hidden="1" thickBot="1">
      <c r="A197" s="836" t="s">
        <v>179</v>
      </c>
      <c r="B197" s="596" t="s">
        <v>1509</v>
      </c>
      <c r="C197" s="836" t="s">
        <v>1397</v>
      </c>
      <c r="D197" s="830">
        <f t="shared" si="66"/>
        <v>0</v>
      </c>
      <c r="E197" s="830">
        <f t="shared" si="64"/>
        <v>0</v>
      </c>
      <c r="F197" s="830">
        <f t="shared" si="64"/>
        <v>0</v>
      </c>
      <c r="G197" s="830">
        <f t="shared" si="64"/>
        <v>0</v>
      </c>
      <c r="H197" s="830">
        <f t="shared" si="57"/>
        <v>0</v>
      </c>
      <c r="I197" s="830">
        <f t="shared" si="65"/>
        <v>0</v>
      </c>
      <c r="J197" s="830">
        <f t="shared" si="65"/>
        <v>0</v>
      </c>
      <c r="K197" s="830">
        <f t="shared" si="65"/>
        <v>0</v>
      </c>
      <c r="L197" s="830">
        <f t="shared" si="65"/>
        <v>0</v>
      </c>
      <c r="M197" s="830">
        <f t="shared" si="65"/>
        <v>0</v>
      </c>
      <c r="N197" s="830">
        <f t="shared" si="65"/>
        <v>0</v>
      </c>
      <c r="O197" s="830">
        <f t="shared" si="65"/>
        <v>0</v>
      </c>
      <c r="P197" s="830">
        <f t="shared" si="65"/>
        <v>0</v>
      </c>
      <c r="Q197" s="830">
        <f t="shared" si="63"/>
        <v>0</v>
      </c>
      <c r="R197" s="830">
        <f t="shared" si="60"/>
        <v>0</v>
      </c>
      <c r="S197" s="830"/>
    </row>
    <row r="198" spans="1:19" ht="12" hidden="1" thickBot="1">
      <c r="A198" s="836" t="s">
        <v>179</v>
      </c>
      <c r="B198" s="596" t="s">
        <v>1509</v>
      </c>
      <c r="C198" s="836" t="s">
        <v>1149</v>
      </c>
      <c r="D198" s="830">
        <f t="shared" si="66"/>
        <v>0</v>
      </c>
      <c r="E198" s="830">
        <f t="shared" si="64"/>
        <v>0</v>
      </c>
      <c r="F198" s="830">
        <f t="shared" si="64"/>
        <v>0</v>
      </c>
      <c r="G198" s="830">
        <f t="shared" si="64"/>
        <v>0</v>
      </c>
      <c r="H198" s="830">
        <f t="shared" si="57"/>
        <v>0</v>
      </c>
      <c r="I198" s="830">
        <f t="shared" si="65"/>
        <v>0</v>
      </c>
      <c r="J198" s="830">
        <f t="shared" si="65"/>
        <v>0</v>
      </c>
      <c r="K198" s="830">
        <f t="shared" si="65"/>
        <v>0</v>
      </c>
      <c r="L198" s="830">
        <f t="shared" si="65"/>
        <v>0</v>
      </c>
      <c r="M198" s="830">
        <f t="shared" si="65"/>
        <v>0</v>
      </c>
      <c r="N198" s="830">
        <f t="shared" si="65"/>
        <v>0</v>
      </c>
      <c r="O198" s="830">
        <f t="shared" si="65"/>
        <v>0</v>
      </c>
      <c r="P198" s="830">
        <f t="shared" si="65"/>
        <v>0</v>
      </c>
      <c r="Q198" s="830">
        <f t="shared" si="63"/>
        <v>0</v>
      </c>
      <c r="R198" s="830">
        <f t="shared" si="60"/>
        <v>0</v>
      </c>
      <c r="S198" s="830"/>
    </row>
    <row r="199" spans="1:19" s="593" customFormat="1" ht="12" hidden="1" thickBot="1">
      <c r="A199" s="541" t="s">
        <v>179</v>
      </c>
      <c r="B199" s="596" t="s">
        <v>1509</v>
      </c>
      <c r="C199" s="541" t="s">
        <v>170</v>
      </c>
      <c r="D199" s="830">
        <f t="shared" si="66"/>
        <v>0</v>
      </c>
      <c r="E199" s="830">
        <f t="shared" si="64"/>
        <v>0</v>
      </c>
      <c r="F199" s="830">
        <f t="shared" si="64"/>
        <v>0</v>
      </c>
      <c r="G199" s="830">
        <f t="shared" si="64"/>
        <v>0</v>
      </c>
      <c r="H199" s="830">
        <f t="shared" si="57"/>
        <v>0</v>
      </c>
      <c r="I199" s="830">
        <f t="shared" si="65"/>
        <v>0</v>
      </c>
      <c r="J199" s="830">
        <f t="shared" si="65"/>
        <v>0</v>
      </c>
      <c r="K199" s="830">
        <f t="shared" si="65"/>
        <v>0</v>
      </c>
      <c r="L199" s="830">
        <f t="shared" si="65"/>
        <v>0</v>
      </c>
      <c r="M199" s="830">
        <f t="shared" si="65"/>
        <v>0</v>
      </c>
      <c r="N199" s="830">
        <f t="shared" si="65"/>
        <v>0</v>
      </c>
      <c r="O199" s="830">
        <f t="shared" si="65"/>
        <v>0</v>
      </c>
      <c r="P199" s="830">
        <f t="shared" si="65"/>
        <v>0</v>
      </c>
      <c r="Q199" s="830">
        <f t="shared" si="63"/>
        <v>0</v>
      </c>
      <c r="R199" s="830">
        <f t="shared" si="60"/>
        <v>0</v>
      </c>
      <c r="S199" s="830"/>
    </row>
    <row r="200" spans="1:19" s="593" customFormat="1" ht="12" hidden="1" thickBot="1">
      <c r="A200" s="541" t="s">
        <v>179</v>
      </c>
      <c r="B200" s="596" t="s">
        <v>1509</v>
      </c>
      <c r="C200" s="541" t="s">
        <v>160</v>
      </c>
      <c r="D200" s="830">
        <f t="shared" si="66"/>
        <v>0</v>
      </c>
      <c r="E200" s="830">
        <f t="shared" si="64"/>
        <v>0</v>
      </c>
      <c r="F200" s="830">
        <f t="shared" si="64"/>
        <v>0</v>
      </c>
      <c r="G200" s="830">
        <f t="shared" si="64"/>
        <v>0</v>
      </c>
      <c r="H200" s="830">
        <f t="shared" si="57"/>
        <v>0</v>
      </c>
      <c r="I200" s="830">
        <f t="shared" si="65"/>
        <v>0</v>
      </c>
      <c r="J200" s="830">
        <f t="shared" si="65"/>
        <v>0</v>
      </c>
      <c r="K200" s="830">
        <f t="shared" si="65"/>
        <v>0</v>
      </c>
      <c r="L200" s="830">
        <f t="shared" si="65"/>
        <v>0</v>
      </c>
      <c r="M200" s="830">
        <f t="shared" si="65"/>
        <v>0</v>
      </c>
      <c r="N200" s="830">
        <f t="shared" si="65"/>
        <v>0</v>
      </c>
      <c r="O200" s="830">
        <f t="shared" si="65"/>
        <v>0</v>
      </c>
      <c r="P200" s="830">
        <f t="shared" si="65"/>
        <v>0</v>
      </c>
      <c r="Q200" s="830">
        <f t="shared" si="63"/>
        <v>0</v>
      </c>
      <c r="R200" s="830">
        <f t="shared" si="60"/>
        <v>0</v>
      </c>
      <c r="S200" s="830"/>
    </row>
    <row r="201" spans="1:19" s="593" customFormat="1" ht="12" hidden="1" thickBot="1">
      <c r="A201" s="541" t="s">
        <v>179</v>
      </c>
      <c r="B201" s="596" t="s">
        <v>1509</v>
      </c>
      <c r="C201" s="541" t="s">
        <v>166</v>
      </c>
      <c r="D201" s="830">
        <f t="shared" si="66"/>
        <v>0</v>
      </c>
      <c r="E201" s="830">
        <f t="shared" si="64"/>
        <v>0</v>
      </c>
      <c r="F201" s="830">
        <f t="shared" si="64"/>
        <v>0</v>
      </c>
      <c r="G201" s="830">
        <f t="shared" si="64"/>
        <v>0</v>
      </c>
      <c r="H201" s="830">
        <f t="shared" si="57"/>
        <v>0</v>
      </c>
      <c r="I201" s="830">
        <f t="shared" si="65"/>
        <v>0</v>
      </c>
      <c r="J201" s="830">
        <f t="shared" si="65"/>
        <v>0</v>
      </c>
      <c r="K201" s="830">
        <f t="shared" si="65"/>
        <v>0</v>
      </c>
      <c r="L201" s="830">
        <f t="shared" si="65"/>
        <v>0</v>
      </c>
      <c r="M201" s="830">
        <f t="shared" si="65"/>
        <v>0</v>
      </c>
      <c r="N201" s="830">
        <f t="shared" si="65"/>
        <v>0</v>
      </c>
      <c r="O201" s="830">
        <f t="shared" si="65"/>
        <v>0</v>
      </c>
      <c r="P201" s="830">
        <f t="shared" si="65"/>
        <v>0</v>
      </c>
      <c r="Q201" s="830">
        <f t="shared" si="63"/>
        <v>0</v>
      </c>
      <c r="R201" s="830">
        <f t="shared" si="60"/>
        <v>0</v>
      </c>
      <c r="S201" s="830"/>
    </row>
    <row r="202" spans="1:19" s="593" customFormat="1" ht="12" hidden="1" thickBot="1">
      <c r="A202" s="541" t="s">
        <v>179</v>
      </c>
      <c r="B202" s="596" t="s">
        <v>1509</v>
      </c>
      <c r="C202" s="541" t="s">
        <v>458</v>
      </c>
      <c r="D202" s="830">
        <f t="shared" si="66"/>
        <v>7</v>
      </c>
      <c r="E202" s="830">
        <f t="shared" si="64"/>
        <v>5924</v>
      </c>
      <c r="F202" s="830">
        <f t="shared" si="64"/>
        <v>1775</v>
      </c>
      <c r="G202" s="830">
        <f t="shared" si="64"/>
        <v>1266</v>
      </c>
      <c r="H202" s="830">
        <f t="shared" si="57"/>
        <v>8965</v>
      </c>
      <c r="I202" s="830">
        <f t="shared" ref="I202:P208" si="67">ROUND(SUMIFS(I$495:I$866,$B$495:$B$866,$B202,$C$495:$C$866,$C202),0)</f>
        <v>0</v>
      </c>
      <c r="J202" s="830">
        <f t="shared" si="67"/>
        <v>0</v>
      </c>
      <c r="K202" s="830">
        <f t="shared" si="67"/>
        <v>0</v>
      </c>
      <c r="L202" s="830">
        <f t="shared" si="67"/>
        <v>0</v>
      </c>
      <c r="M202" s="830">
        <f t="shared" si="67"/>
        <v>0</v>
      </c>
      <c r="N202" s="830">
        <f t="shared" si="67"/>
        <v>0</v>
      </c>
      <c r="O202" s="830">
        <f t="shared" si="67"/>
        <v>0</v>
      </c>
      <c r="P202" s="830">
        <f t="shared" si="67"/>
        <v>0</v>
      </c>
      <c r="Q202" s="830">
        <f t="shared" si="63"/>
        <v>0</v>
      </c>
      <c r="R202" s="830">
        <f t="shared" si="60"/>
        <v>0</v>
      </c>
      <c r="S202" s="830"/>
    </row>
    <row r="203" spans="1:19" s="593" customFormat="1" ht="12" hidden="1" thickBot="1">
      <c r="A203" s="541" t="s">
        <v>179</v>
      </c>
      <c r="B203" s="596" t="s">
        <v>1509</v>
      </c>
      <c r="C203" s="541" t="s">
        <v>165</v>
      </c>
      <c r="D203" s="830">
        <f t="shared" si="66"/>
        <v>0</v>
      </c>
      <c r="E203" s="830">
        <f t="shared" si="64"/>
        <v>0</v>
      </c>
      <c r="F203" s="830">
        <f t="shared" si="64"/>
        <v>0</v>
      </c>
      <c r="G203" s="830">
        <f t="shared" si="64"/>
        <v>0</v>
      </c>
      <c r="H203" s="830">
        <f t="shared" si="57"/>
        <v>0</v>
      </c>
      <c r="I203" s="830">
        <f t="shared" si="67"/>
        <v>0</v>
      </c>
      <c r="J203" s="830">
        <f t="shared" si="67"/>
        <v>0</v>
      </c>
      <c r="K203" s="830">
        <f t="shared" si="67"/>
        <v>0</v>
      </c>
      <c r="L203" s="830">
        <f t="shared" si="67"/>
        <v>0</v>
      </c>
      <c r="M203" s="830">
        <f t="shared" si="67"/>
        <v>0</v>
      </c>
      <c r="N203" s="830">
        <f t="shared" si="67"/>
        <v>0</v>
      </c>
      <c r="O203" s="830">
        <f t="shared" si="67"/>
        <v>0</v>
      </c>
      <c r="P203" s="830">
        <f t="shared" si="67"/>
        <v>0</v>
      </c>
      <c r="Q203" s="830">
        <f t="shared" si="63"/>
        <v>0</v>
      </c>
      <c r="R203" s="830">
        <f t="shared" si="60"/>
        <v>0</v>
      </c>
      <c r="S203" s="830"/>
    </row>
    <row r="204" spans="1:19" s="593" customFormat="1" ht="12" thickBot="1">
      <c r="A204" s="541" t="s">
        <v>179</v>
      </c>
      <c r="B204" s="596" t="s">
        <v>1509</v>
      </c>
      <c r="C204" s="541" t="s">
        <v>167</v>
      </c>
      <c r="D204" s="830">
        <f t="shared" si="66"/>
        <v>266</v>
      </c>
      <c r="E204" s="830">
        <f t="shared" si="64"/>
        <v>0</v>
      </c>
      <c r="F204" s="830">
        <f t="shared" si="64"/>
        <v>0</v>
      </c>
      <c r="G204" s="830">
        <f t="shared" si="64"/>
        <v>0</v>
      </c>
      <c r="H204" s="830">
        <f t="shared" si="57"/>
        <v>11929227</v>
      </c>
      <c r="I204" s="830">
        <f t="shared" si="67"/>
        <v>0</v>
      </c>
      <c r="J204" s="830">
        <f t="shared" si="67"/>
        <v>0</v>
      </c>
      <c r="K204" s="830">
        <f t="shared" si="67"/>
        <v>0</v>
      </c>
      <c r="L204" s="830">
        <f t="shared" si="67"/>
        <v>0</v>
      </c>
      <c r="M204" s="830">
        <f t="shared" si="67"/>
        <v>0</v>
      </c>
      <c r="N204" s="830">
        <f t="shared" si="67"/>
        <v>0</v>
      </c>
      <c r="O204" s="830">
        <f>R204</f>
        <v>49537</v>
      </c>
      <c r="P204" s="830">
        <f t="shared" si="67"/>
        <v>0</v>
      </c>
      <c r="Q204" s="830">
        <f t="shared" si="63"/>
        <v>0</v>
      </c>
      <c r="R204" s="830">
        <f t="shared" si="60"/>
        <v>49537</v>
      </c>
      <c r="S204" s="830"/>
    </row>
    <row r="205" spans="1:19" s="593" customFormat="1" ht="12" hidden="1" thickBot="1">
      <c r="A205" s="541" t="s">
        <v>179</v>
      </c>
      <c r="B205" s="596" t="s">
        <v>1509</v>
      </c>
      <c r="C205" s="541" t="s">
        <v>623</v>
      </c>
      <c r="D205" s="830">
        <f t="shared" si="66"/>
        <v>0</v>
      </c>
      <c r="E205" s="830">
        <f t="shared" si="64"/>
        <v>0</v>
      </c>
      <c r="F205" s="830">
        <f t="shared" si="64"/>
        <v>0</v>
      </c>
      <c r="G205" s="830">
        <f t="shared" si="64"/>
        <v>0</v>
      </c>
      <c r="H205" s="830">
        <f t="shared" si="57"/>
        <v>0</v>
      </c>
      <c r="I205" s="830">
        <f t="shared" si="67"/>
        <v>0</v>
      </c>
      <c r="J205" s="830">
        <f t="shared" si="67"/>
        <v>0</v>
      </c>
      <c r="K205" s="830">
        <f t="shared" si="67"/>
        <v>0</v>
      </c>
      <c r="L205" s="830">
        <f t="shared" si="67"/>
        <v>0</v>
      </c>
      <c r="M205" s="830">
        <f t="shared" si="67"/>
        <v>0</v>
      </c>
      <c r="N205" s="830">
        <f t="shared" si="67"/>
        <v>0</v>
      </c>
      <c r="O205" s="830">
        <f t="shared" si="67"/>
        <v>0</v>
      </c>
      <c r="P205" s="830">
        <f t="shared" si="67"/>
        <v>0</v>
      </c>
      <c r="Q205" s="830">
        <f>ROUND(SUMIFS(Q$495:Q$866,$B$495:$B$866,$B205,$C$495:$C$866,$C205),0)</f>
        <v>0</v>
      </c>
      <c r="R205" s="830">
        <f t="shared" si="60"/>
        <v>0</v>
      </c>
      <c r="S205" s="830"/>
    </row>
    <row r="206" spans="1:19" s="593" customFormat="1" ht="12" hidden="1" thickBot="1">
      <c r="A206" s="541" t="s">
        <v>179</v>
      </c>
      <c r="B206" s="596" t="s">
        <v>1509</v>
      </c>
      <c r="C206" s="541" t="s">
        <v>683</v>
      </c>
      <c r="D206" s="830">
        <f t="shared" si="66"/>
        <v>0</v>
      </c>
      <c r="E206" s="830">
        <f t="shared" si="64"/>
        <v>0</v>
      </c>
      <c r="F206" s="830">
        <f t="shared" si="64"/>
        <v>0</v>
      </c>
      <c r="G206" s="830">
        <f t="shared" si="64"/>
        <v>0</v>
      </c>
      <c r="H206" s="830">
        <f t="shared" si="57"/>
        <v>0</v>
      </c>
      <c r="I206" s="830">
        <f t="shared" si="67"/>
        <v>0</v>
      </c>
      <c r="J206" s="830">
        <f t="shared" si="67"/>
        <v>0</v>
      </c>
      <c r="K206" s="830">
        <f t="shared" si="67"/>
        <v>0</v>
      </c>
      <c r="L206" s="830">
        <f t="shared" si="67"/>
        <v>0</v>
      </c>
      <c r="M206" s="830">
        <f t="shared" si="67"/>
        <v>0</v>
      </c>
      <c r="N206" s="830">
        <f t="shared" si="67"/>
        <v>0</v>
      </c>
      <c r="O206" s="830">
        <f t="shared" si="67"/>
        <v>0</v>
      </c>
      <c r="P206" s="830">
        <f t="shared" si="67"/>
        <v>0</v>
      </c>
      <c r="Q206" s="830">
        <f>ROUND(SUMIFS(Q$495:Q$866,$B$495:$B$866,$B206,$C$495:$C$866,$C206),0)</f>
        <v>0</v>
      </c>
      <c r="R206" s="830">
        <f t="shared" si="60"/>
        <v>0</v>
      </c>
      <c r="S206" s="830"/>
    </row>
    <row r="207" spans="1:19" s="593" customFormat="1" ht="12" hidden="1" thickBot="1">
      <c r="A207" s="541" t="s">
        <v>179</v>
      </c>
      <c r="B207" s="596" t="s">
        <v>1509</v>
      </c>
      <c r="C207" s="541" t="s">
        <v>684</v>
      </c>
      <c r="D207" s="830">
        <f t="shared" si="66"/>
        <v>0</v>
      </c>
      <c r="E207" s="830">
        <f t="shared" si="64"/>
        <v>0</v>
      </c>
      <c r="F207" s="830">
        <f t="shared" si="64"/>
        <v>0</v>
      </c>
      <c r="G207" s="830">
        <f t="shared" si="64"/>
        <v>0</v>
      </c>
      <c r="H207" s="830">
        <f t="shared" si="57"/>
        <v>0</v>
      </c>
      <c r="I207" s="830">
        <f t="shared" si="67"/>
        <v>0</v>
      </c>
      <c r="J207" s="830">
        <f t="shared" si="67"/>
        <v>0</v>
      </c>
      <c r="K207" s="830">
        <f t="shared" si="67"/>
        <v>0</v>
      </c>
      <c r="L207" s="830">
        <f t="shared" si="67"/>
        <v>0</v>
      </c>
      <c r="M207" s="830">
        <f t="shared" si="67"/>
        <v>0</v>
      </c>
      <c r="N207" s="830">
        <f t="shared" si="67"/>
        <v>0</v>
      </c>
      <c r="O207" s="830">
        <f t="shared" si="67"/>
        <v>0</v>
      </c>
      <c r="P207" s="830">
        <f t="shared" si="67"/>
        <v>0</v>
      </c>
      <c r="Q207" s="830">
        <f>ROUND(SUMIFS(Q$495:Q$866,$B$495:$B$866,$B207,$C$495:$C$866,$C207),0)</f>
        <v>0</v>
      </c>
      <c r="R207" s="830">
        <f t="shared" si="60"/>
        <v>0</v>
      </c>
      <c r="S207" s="830"/>
    </row>
    <row r="208" spans="1:19" s="593" customFormat="1" ht="12" hidden="1" thickBot="1">
      <c r="A208" s="541" t="s">
        <v>179</v>
      </c>
      <c r="B208" s="596" t="s">
        <v>1509</v>
      </c>
      <c r="C208" s="541" t="s">
        <v>685</v>
      </c>
      <c r="D208" s="830">
        <f t="shared" si="66"/>
        <v>0</v>
      </c>
      <c r="E208" s="830">
        <f t="shared" si="64"/>
        <v>0</v>
      </c>
      <c r="F208" s="830">
        <f t="shared" si="64"/>
        <v>0</v>
      </c>
      <c r="G208" s="830">
        <f t="shared" si="64"/>
        <v>0</v>
      </c>
      <c r="H208" s="830">
        <f t="shared" si="57"/>
        <v>0</v>
      </c>
      <c r="I208" s="830">
        <f t="shared" si="67"/>
        <v>0</v>
      </c>
      <c r="J208" s="830">
        <f t="shared" si="67"/>
        <v>0</v>
      </c>
      <c r="K208" s="830">
        <f t="shared" si="67"/>
        <v>0</v>
      </c>
      <c r="L208" s="830">
        <f t="shared" si="67"/>
        <v>0</v>
      </c>
      <c r="M208" s="830">
        <f t="shared" si="67"/>
        <v>0</v>
      </c>
      <c r="N208" s="830">
        <f t="shared" si="67"/>
        <v>0</v>
      </c>
      <c r="O208" s="830">
        <f t="shared" si="67"/>
        <v>0</v>
      </c>
      <c r="P208" s="830">
        <f t="shared" si="67"/>
        <v>0</v>
      </c>
      <c r="Q208" s="830">
        <f>ROUND(SUMIFS(Q$495:Q$866,$B$495:$B$866,$B208,$C$495:$C$866,$C208),0)</f>
        <v>0</v>
      </c>
      <c r="R208" s="830">
        <f t="shared" si="60"/>
        <v>0</v>
      </c>
      <c r="S208" s="830"/>
    </row>
    <row r="209" spans="1:19" s="593" customFormat="1" ht="12" hidden="1" thickBot="1">
      <c r="A209" s="541" t="s">
        <v>179</v>
      </c>
      <c r="B209" s="596" t="s">
        <v>1509</v>
      </c>
      <c r="C209" s="592" t="s">
        <v>8</v>
      </c>
      <c r="D209" s="558"/>
      <c r="E209" s="559"/>
      <c r="F209" s="559"/>
      <c r="G209" s="559"/>
      <c r="H209" s="558"/>
      <c r="I209" s="591"/>
      <c r="J209" s="591"/>
      <c r="K209" s="591"/>
      <c r="L209" s="559"/>
      <c r="M209" s="559"/>
      <c r="N209" s="591"/>
      <c r="O209" s="591"/>
      <c r="P209" s="591"/>
      <c r="Q209" s="591"/>
      <c r="R209" s="591"/>
      <c r="S209" s="559"/>
    </row>
    <row r="210" spans="1:19" s="593" customFormat="1" ht="12" hidden="1" thickBot="1">
      <c r="A210" s="565"/>
      <c r="B210" s="566"/>
      <c r="C210" s="560"/>
      <c r="D210" s="541" t="s">
        <v>1</v>
      </c>
      <c r="E210" s="541" t="s">
        <v>644</v>
      </c>
      <c r="F210" s="541" t="s">
        <v>645</v>
      </c>
      <c r="G210" s="541" t="s">
        <v>646</v>
      </c>
      <c r="H210" s="541" t="s">
        <v>2</v>
      </c>
      <c r="I210" s="541" t="s">
        <v>468</v>
      </c>
      <c r="J210" s="541" t="s">
        <v>469</v>
      </c>
      <c r="K210" s="541" t="s">
        <v>470</v>
      </c>
      <c r="L210" s="541" t="s">
        <v>1368</v>
      </c>
      <c r="M210" s="541" t="s">
        <v>1369</v>
      </c>
      <c r="N210" s="541" t="s">
        <v>1159</v>
      </c>
      <c r="O210" s="541" t="s">
        <v>1370</v>
      </c>
      <c r="P210" s="541" t="s">
        <v>1371</v>
      </c>
      <c r="Q210" s="541" t="s">
        <v>1372</v>
      </c>
      <c r="R210" s="541" t="s">
        <v>1373</v>
      </c>
      <c r="S210" s="541" t="s">
        <v>3</v>
      </c>
    </row>
    <row r="211" spans="1:19" s="593" customFormat="1" ht="12" hidden="1" thickBot="1">
      <c r="A211" s="541" t="s">
        <v>179</v>
      </c>
      <c r="B211" s="596" t="s">
        <v>1510</v>
      </c>
      <c r="C211" s="541" t="s">
        <v>152</v>
      </c>
      <c r="D211" s="830">
        <f t="shared" ref="D211:G231" si="68">ROUND(SUMIFS(D$495:D$866,$B$495:$B$866,$B211,$C$495:$C$866,$C211),0)</f>
        <v>32</v>
      </c>
      <c r="E211" s="830">
        <f t="shared" si="68"/>
        <v>0</v>
      </c>
      <c r="F211" s="830">
        <f t="shared" si="68"/>
        <v>0</v>
      </c>
      <c r="G211" s="830">
        <f t="shared" si="68"/>
        <v>0</v>
      </c>
      <c r="H211" s="830">
        <f t="shared" ref="H211:H249" si="69">ROUND(SUMIFS(H$495:H$866,$B$495:$B$866,$B211,$C$495:$C$866,$C211)*1000,0)</f>
        <v>142956521</v>
      </c>
      <c r="I211" s="830">
        <f t="shared" ref="I211:R211" si="70">ROUND(SUMIFS(I$495:I$866,$B$495:$B$866,$B211,$C$495:$C$866,$C211),0)</f>
        <v>0</v>
      </c>
      <c r="J211" s="830">
        <f t="shared" si="70"/>
        <v>0</v>
      </c>
      <c r="K211" s="830">
        <f t="shared" si="70"/>
        <v>0</v>
      </c>
      <c r="L211" s="830">
        <f t="shared" si="70"/>
        <v>0</v>
      </c>
      <c r="M211" s="830">
        <f t="shared" si="70"/>
        <v>0</v>
      </c>
      <c r="N211" s="830">
        <f t="shared" si="70"/>
        <v>0</v>
      </c>
      <c r="O211" s="830">
        <f t="shared" si="70"/>
        <v>317092</v>
      </c>
      <c r="P211" s="830">
        <f t="shared" si="70"/>
        <v>300623</v>
      </c>
      <c r="Q211" s="830">
        <f t="shared" si="70"/>
        <v>296312</v>
      </c>
      <c r="R211" s="830">
        <f t="shared" si="70"/>
        <v>0</v>
      </c>
      <c r="S211" s="830"/>
    </row>
    <row r="212" spans="1:19" s="593" customFormat="1" ht="12" hidden="1" thickBot="1">
      <c r="A212" s="541" t="s">
        <v>179</v>
      </c>
      <c r="B212" s="596" t="s">
        <v>1510</v>
      </c>
      <c r="C212" s="541" t="s">
        <v>153</v>
      </c>
      <c r="D212" s="830">
        <f t="shared" si="68"/>
        <v>195</v>
      </c>
      <c r="E212" s="830">
        <f t="shared" si="68"/>
        <v>0</v>
      </c>
      <c r="F212" s="830">
        <f t="shared" si="68"/>
        <v>0</v>
      </c>
      <c r="G212" s="830">
        <f t="shared" si="68"/>
        <v>0</v>
      </c>
      <c r="H212" s="830">
        <f t="shared" si="69"/>
        <v>22620251</v>
      </c>
      <c r="I212" s="830">
        <f t="shared" ref="I212:P221" si="71">ROUND(SUMIFS(I$495:I$866,$B$495:$B$866,$B212,$C$495:$C$866,$C212),0)</f>
        <v>0</v>
      </c>
      <c r="J212" s="830">
        <f t="shared" si="71"/>
        <v>0</v>
      </c>
      <c r="K212" s="830">
        <f t="shared" si="71"/>
        <v>0</v>
      </c>
      <c r="L212" s="830">
        <f t="shared" si="71"/>
        <v>0</v>
      </c>
      <c r="M212" s="830">
        <f t="shared" si="71"/>
        <v>0</v>
      </c>
      <c r="N212" s="830">
        <f t="shared" si="71"/>
        <v>0</v>
      </c>
      <c r="O212" s="830">
        <f t="shared" si="71"/>
        <v>0</v>
      </c>
      <c r="P212" s="830">
        <f t="shared" si="71"/>
        <v>0</v>
      </c>
      <c r="Q212" s="830">
        <f t="shared" ref="Q212:Q213" si="72">R212</f>
        <v>58830</v>
      </c>
      <c r="R212" s="830">
        <f t="shared" ref="R212:R249" si="73">ROUND(SUMIFS(R$495:R$866,$B$495:$B$866,$B212,$C$495:$C$866,$C212),0)</f>
        <v>58830</v>
      </c>
      <c r="S212" s="830"/>
    </row>
    <row r="213" spans="1:19" s="593" customFormat="1" ht="12" hidden="1" thickBot="1">
      <c r="A213" s="541" t="s">
        <v>179</v>
      </c>
      <c r="B213" s="596" t="s">
        <v>1510</v>
      </c>
      <c r="C213" s="541" t="s">
        <v>154</v>
      </c>
      <c r="D213" s="830">
        <f t="shared" si="68"/>
        <v>4610</v>
      </c>
      <c r="E213" s="830">
        <f t="shared" si="68"/>
        <v>0</v>
      </c>
      <c r="F213" s="830">
        <f t="shared" si="68"/>
        <v>0</v>
      </c>
      <c r="G213" s="830">
        <f t="shared" si="68"/>
        <v>0</v>
      </c>
      <c r="H213" s="830">
        <f t="shared" si="69"/>
        <v>197280182</v>
      </c>
      <c r="I213" s="830">
        <f t="shared" si="71"/>
        <v>0</v>
      </c>
      <c r="J213" s="830">
        <f t="shared" si="71"/>
        <v>0</v>
      </c>
      <c r="K213" s="830">
        <f t="shared" si="71"/>
        <v>0</v>
      </c>
      <c r="L213" s="830">
        <f t="shared" si="71"/>
        <v>0</v>
      </c>
      <c r="M213" s="830">
        <f t="shared" si="71"/>
        <v>0</v>
      </c>
      <c r="N213" s="830">
        <f t="shared" si="71"/>
        <v>0</v>
      </c>
      <c r="O213" s="830">
        <f t="shared" si="71"/>
        <v>0</v>
      </c>
      <c r="P213" s="830">
        <f t="shared" si="71"/>
        <v>0</v>
      </c>
      <c r="Q213" s="830">
        <f t="shared" si="72"/>
        <v>616720</v>
      </c>
      <c r="R213" s="830">
        <f t="shared" si="73"/>
        <v>616720</v>
      </c>
      <c r="S213" s="830"/>
    </row>
    <row r="214" spans="1:19" s="593" customFormat="1" ht="12" hidden="1" thickBot="1">
      <c r="A214" s="541" t="s">
        <v>179</v>
      </c>
      <c r="B214" s="596" t="s">
        <v>1510</v>
      </c>
      <c r="C214" s="541" t="s">
        <v>155</v>
      </c>
      <c r="D214" s="830">
        <f t="shared" si="68"/>
        <v>52</v>
      </c>
      <c r="E214" s="830">
        <f t="shared" si="68"/>
        <v>0</v>
      </c>
      <c r="F214" s="830">
        <f t="shared" si="68"/>
        <v>0</v>
      </c>
      <c r="G214" s="830">
        <f t="shared" si="68"/>
        <v>0</v>
      </c>
      <c r="H214" s="830">
        <f t="shared" si="69"/>
        <v>279162975</v>
      </c>
      <c r="I214" s="830">
        <f t="shared" si="71"/>
        <v>0</v>
      </c>
      <c r="J214" s="830">
        <f t="shared" si="71"/>
        <v>0</v>
      </c>
      <c r="K214" s="830">
        <f t="shared" si="71"/>
        <v>0</v>
      </c>
      <c r="L214" s="830">
        <f t="shared" si="71"/>
        <v>0</v>
      </c>
      <c r="M214" s="830">
        <f t="shared" si="71"/>
        <v>0</v>
      </c>
      <c r="N214" s="830">
        <f t="shared" si="71"/>
        <v>0</v>
      </c>
      <c r="O214" s="830">
        <f t="shared" si="71"/>
        <v>555461</v>
      </c>
      <c r="P214" s="830">
        <f t="shared" si="71"/>
        <v>531147</v>
      </c>
      <c r="Q214" s="830">
        <f t="shared" ref="Q214:Q221" si="74">ROUND(SUMIFS(Q$495:Q$866,$B$495:$B$866,$B214,$C$495:$C$866,$C214),0)</f>
        <v>525545</v>
      </c>
      <c r="R214" s="830">
        <f t="shared" si="73"/>
        <v>0</v>
      </c>
      <c r="S214" s="830"/>
    </row>
    <row r="215" spans="1:19" s="593" customFormat="1" ht="12" hidden="1" thickBot="1">
      <c r="A215" s="541" t="s">
        <v>179</v>
      </c>
      <c r="B215" s="596" t="s">
        <v>1510</v>
      </c>
      <c r="C215" s="541" t="s">
        <v>156</v>
      </c>
      <c r="D215" s="830">
        <f t="shared" si="68"/>
        <v>0</v>
      </c>
      <c r="E215" s="830">
        <f t="shared" si="68"/>
        <v>0</v>
      </c>
      <c r="F215" s="830">
        <f t="shared" si="68"/>
        <v>0</v>
      </c>
      <c r="G215" s="830">
        <f t="shared" si="68"/>
        <v>0</v>
      </c>
      <c r="H215" s="830">
        <f t="shared" si="69"/>
        <v>0</v>
      </c>
      <c r="I215" s="830">
        <f t="shared" si="71"/>
        <v>0</v>
      </c>
      <c r="J215" s="830">
        <f t="shared" si="71"/>
        <v>0</v>
      </c>
      <c r="K215" s="830">
        <f t="shared" si="71"/>
        <v>0</v>
      </c>
      <c r="L215" s="830">
        <f t="shared" si="71"/>
        <v>0</v>
      </c>
      <c r="M215" s="830">
        <f t="shared" si="71"/>
        <v>0</v>
      </c>
      <c r="N215" s="830">
        <f t="shared" si="71"/>
        <v>0</v>
      </c>
      <c r="O215" s="830">
        <f t="shared" si="71"/>
        <v>0</v>
      </c>
      <c r="P215" s="830">
        <f t="shared" si="71"/>
        <v>0</v>
      </c>
      <c r="Q215" s="830">
        <f t="shared" si="74"/>
        <v>0</v>
      </c>
      <c r="R215" s="830">
        <f t="shared" si="73"/>
        <v>0</v>
      </c>
      <c r="S215" s="830"/>
    </row>
    <row r="216" spans="1:19" s="593" customFormat="1" ht="12" hidden="1" thickBot="1">
      <c r="A216" s="541" t="s">
        <v>179</v>
      </c>
      <c r="B216" s="596" t="s">
        <v>1510</v>
      </c>
      <c r="C216" s="541" t="s">
        <v>157</v>
      </c>
      <c r="D216" s="830">
        <f t="shared" si="68"/>
        <v>0</v>
      </c>
      <c r="E216" s="830">
        <f t="shared" si="68"/>
        <v>0</v>
      </c>
      <c r="F216" s="830">
        <f t="shared" si="68"/>
        <v>0</v>
      </c>
      <c r="G216" s="830">
        <f t="shared" si="68"/>
        <v>0</v>
      </c>
      <c r="H216" s="830">
        <f t="shared" si="69"/>
        <v>0</v>
      </c>
      <c r="I216" s="830">
        <f t="shared" si="71"/>
        <v>0</v>
      </c>
      <c r="J216" s="830">
        <f t="shared" si="71"/>
        <v>0</v>
      </c>
      <c r="K216" s="830">
        <f t="shared" si="71"/>
        <v>0</v>
      </c>
      <c r="L216" s="830">
        <f t="shared" si="71"/>
        <v>0</v>
      </c>
      <c r="M216" s="830">
        <f t="shared" si="71"/>
        <v>0</v>
      </c>
      <c r="N216" s="830">
        <f t="shared" si="71"/>
        <v>0</v>
      </c>
      <c r="O216" s="830">
        <f t="shared" si="71"/>
        <v>0</v>
      </c>
      <c r="P216" s="830">
        <f t="shared" si="71"/>
        <v>0</v>
      </c>
      <c r="Q216" s="830">
        <f t="shared" si="74"/>
        <v>0</v>
      </c>
      <c r="R216" s="830">
        <f t="shared" si="73"/>
        <v>0</v>
      </c>
      <c r="S216" s="830"/>
    </row>
    <row r="217" spans="1:19" s="593" customFormat="1" ht="12" hidden="1" thickBot="1">
      <c r="A217" s="541" t="s">
        <v>179</v>
      </c>
      <c r="B217" s="596" t="s">
        <v>1510</v>
      </c>
      <c r="C217" s="541" t="s">
        <v>158</v>
      </c>
      <c r="D217" s="830">
        <f t="shared" si="68"/>
        <v>211</v>
      </c>
      <c r="E217" s="830">
        <f t="shared" si="68"/>
        <v>0</v>
      </c>
      <c r="F217" s="830">
        <f t="shared" si="68"/>
        <v>0</v>
      </c>
      <c r="G217" s="830">
        <f t="shared" si="68"/>
        <v>0</v>
      </c>
      <c r="H217" s="830">
        <f t="shared" si="69"/>
        <v>116178634</v>
      </c>
      <c r="I217" s="830">
        <f t="shared" si="71"/>
        <v>0</v>
      </c>
      <c r="J217" s="830">
        <f t="shared" si="71"/>
        <v>0</v>
      </c>
      <c r="K217" s="830">
        <f t="shared" si="71"/>
        <v>0</v>
      </c>
      <c r="L217" s="830">
        <f t="shared" si="71"/>
        <v>0</v>
      </c>
      <c r="M217" s="830">
        <f t="shared" si="71"/>
        <v>0</v>
      </c>
      <c r="N217" s="830">
        <f t="shared" si="71"/>
        <v>0</v>
      </c>
      <c r="O217" s="830">
        <f t="shared" si="71"/>
        <v>279639</v>
      </c>
      <c r="P217" s="830">
        <f t="shared" si="71"/>
        <v>268078</v>
      </c>
      <c r="Q217" s="830">
        <f t="shared" si="74"/>
        <v>262859</v>
      </c>
      <c r="R217" s="830">
        <f t="shared" si="73"/>
        <v>0</v>
      </c>
      <c r="S217" s="830"/>
    </row>
    <row r="218" spans="1:19" s="593" customFormat="1" ht="12" hidden="1" thickBot="1">
      <c r="A218" s="541" t="s">
        <v>179</v>
      </c>
      <c r="B218" s="596" t="s">
        <v>1510</v>
      </c>
      <c r="C218" s="541" t="s">
        <v>159</v>
      </c>
      <c r="D218" s="830">
        <f t="shared" si="68"/>
        <v>472</v>
      </c>
      <c r="E218" s="830">
        <f t="shared" si="68"/>
        <v>0</v>
      </c>
      <c r="F218" s="830">
        <f t="shared" si="68"/>
        <v>0</v>
      </c>
      <c r="G218" s="830">
        <f t="shared" si="68"/>
        <v>0</v>
      </c>
      <c r="H218" s="830">
        <f t="shared" si="69"/>
        <v>150027765</v>
      </c>
      <c r="I218" s="830">
        <f t="shared" si="71"/>
        <v>0</v>
      </c>
      <c r="J218" s="830">
        <f t="shared" si="71"/>
        <v>0</v>
      </c>
      <c r="K218" s="830">
        <f t="shared" si="71"/>
        <v>0</v>
      </c>
      <c r="L218" s="830">
        <f t="shared" si="71"/>
        <v>0</v>
      </c>
      <c r="M218" s="830">
        <f t="shared" si="71"/>
        <v>0</v>
      </c>
      <c r="N218" s="830">
        <f t="shared" si="71"/>
        <v>0</v>
      </c>
      <c r="O218" s="830">
        <f t="shared" si="71"/>
        <v>350157</v>
      </c>
      <c r="P218" s="830">
        <f t="shared" si="71"/>
        <v>326915</v>
      </c>
      <c r="Q218" s="830">
        <f t="shared" si="74"/>
        <v>320552</v>
      </c>
      <c r="R218" s="830">
        <f t="shared" si="73"/>
        <v>0</v>
      </c>
      <c r="S218" s="830"/>
    </row>
    <row r="219" spans="1:19" s="593" customFormat="1" ht="12" hidden="1" thickBot="1">
      <c r="A219" s="541" t="s">
        <v>179</v>
      </c>
      <c r="B219" s="596" t="s">
        <v>1510</v>
      </c>
      <c r="C219" s="541" t="s">
        <v>161</v>
      </c>
      <c r="D219" s="830">
        <f t="shared" si="68"/>
        <v>63576</v>
      </c>
      <c r="E219" s="830">
        <f t="shared" si="68"/>
        <v>0</v>
      </c>
      <c r="F219" s="830">
        <f t="shared" si="68"/>
        <v>0</v>
      </c>
      <c r="G219" s="830">
        <f t="shared" si="68"/>
        <v>0</v>
      </c>
      <c r="H219" s="830">
        <f t="shared" si="69"/>
        <v>67544147</v>
      </c>
      <c r="I219" s="830">
        <f t="shared" si="71"/>
        <v>0</v>
      </c>
      <c r="J219" s="830">
        <f t="shared" si="71"/>
        <v>0</v>
      </c>
      <c r="K219" s="830">
        <f t="shared" si="71"/>
        <v>0</v>
      </c>
      <c r="L219" s="830">
        <f t="shared" si="71"/>
        <v>0</v>
      </c>
      <c r="M219" s="830">
        <f t="shared" si="71"/>
        <v>0</v>
      </c>
      <c r="N219" s="830">
        <f t="shared" si="71"/>
        <v>0</v>
      </c>
      <c r="O219" s="830">
        <f t="shared" si="71"/>
        <v>0</v>
      </c>
      <c r="P219" s="830">
        <f t="shared" si="71"/>
        <v>0</v>
      </c>
      <c r="Q219" s="830">
        <f t="shared" si="74"/>
        <v>0</v>
      </c>
      <c r="R219" s="830">
        <f t="shared" si="73"/>
        <v>0</v>
      </c>
      <c r="S219" s="830"/>
    </row>
    <row r="220" spans="1:19" s="593" customFormat="1" ht="12" hidden="1" thickBot="1">
      <c r="A220" s="541" t="s">
        <v>179</v>
      </c>
      <c r="B220" s="596" t="s">
        <v>1510</v>
      </c>
      <c r="C220" s="541" t="s">
        <v>162</v>
      </c>
      <c r="D220" s="830">
        <f t="shared" si="68"/>
        <v>0</v>
      </c>
      <c r="E220" s="830">
        <f t="shared" si="68"/>
        <v>0</v>
      </c>
      <c r="F220" s="830">
        <f t="shared" si="68"/>
        <v>0</v>
      </c>
      <c r="G220" s="830">
        <f t="shared" si="68"/>
        <v>0</v>
      </c>
      <c r="H220" s="830">
        <f t="shared" si="69"/>
        <v>0</v>
      </c>
      <c r="I220" s="830">
        <f t="shared" si="71"/>
        <v>0</v>
      </c>
      <c r="J220" s="830">
        <f t="shared" si="71"/>
        <v>0</v>
      </c>
      <c r="K220" s="830">
        <f t="shared" si="71"/>
        <v>0</v>
      </c>
      <c r="L220" s="830">
        <f t="shared" si="71"/>
        <v>0</v>
      </c>
      <c r="M220" s="830">
        <f t="shared" si="71"/>
        <v>0</v>
      </c>
      <c r="N220" s="830">
        <f t="shared" si="71"/>
        <v>0</v>
      </c>
      <c r="O220" s="830">
        <f t="shared" si="71"/>
        <v>0</v>
      </c>
      <c r="P220" s="830">
        <f t="shared" si="71"/>
        <v>0</v>
      </c>
      <c r="Q220" s="830">
        <f t="shared" si="74"/>
        <v>0</v>
      </c>
      <c r="R220" s="830">
        <f t="shared" si="73"/>
        <v>0</v>
      </c>
      <c r="S220" s="830"/>
    </row>
    <row r="221" spans="1:19" s="593" customFormat="1" ht="12" hidden="1" thickBot="1">
      <c r="A221" s="541" t="s">
        <v>179</v>
      </c>
      <c r="B221" s="596" t="s">
        <v>1510</v>
      </c>
      <c r="C221" s="541" t="s">
        <v>163</v>
      </c>
      <c r="D221" s="830">
        <f t="shared" si="68"/>
        <v>18584</v>
      </c>
      <c r="E221" s="830">
        <f t="shared" si="68"/>
        <v>0</v>
      </c>
      <c r="F221" s="830">
        <f t="shared" si="68"/>
        <v>0</v>
      </c>
      <c r="G221" s="830">
        <f t="shared" si="68"/>
        <v>0</v>
      </c>
      <c r="H221" s="830">
        <f t="shared" si="69"/>
        <v>98940301</v>
      </c>
      <c r="I221" s="830">
        <f t="shared" si="71"/>
        <v>0</v>
      </c>
      <c r="J221" s="830">
        <f t="shared" si="71"/>
        <v>0</v>
      </c>
      <c r="K221" s="830">
        <f t="shared" si="71"/>
        <v>0</v>
      </c>
      <c r="L221" s="830">
        <f t="shared" si="71"/>
        <v>0</v>
      </c>
      <c r="M221" s="830">
        <f t="shared" si="71"/>
        <v>0</v>
      </c>
      <c r="N221" s="830">
        <f t="shared" si="71"/>
        <v>0</v>
      </c>
      <c r="O221" s="830">
        <f>R221</f>
        <v>370806</v>
      </c>
      <c r="P221" s="830">
        <f t="shared" si="71"/>
        <v>0</v>
      </c>
      <c r="Q221" s="830">
        <f t="shared" si="74"/>
        <v>0</v>
      </c>
      <c r="R221" s="830">
        <f t="shared" si="73"/>
        <v>370806</v>
      </c>
      <c r="S221" s="830"/>
    </row>
    <row r="222" spans="1:19" s="593" customFormat="1" ht="12" hidden="1" thickBot="1">
      <c r="A222" s="541" t="s">
        <v>179</v>
      </c>
      <c r="B222" s="596" t="s">
        <v>1510</v>
      </c>
      <c r="C222" s="541" t="s">
        <v>164</v>
      </c>
      <c r="D222" s="830">
        <f t="shared" si="68"/>
        <v>382</v>
      </c>
      <c r="E222" s="830">
        <f t="shared" si="68"/>
        <v>0</v>
      </c>
      <c r="F222" s="830">
        <f t="shared" si="68"/>
        <v>0</v>
      </c>
      <c r="G222" s="830">
        <f t="shared" si="68"/>
        <v>0</v>
      </c>
      <c r="H222" s="830">
        <f t="shared" si="69"/>
        <v>632032</v>
      </c>
      <c r="I222" s="830">
        <f t="shared" ref="I222:P231" si="75">ROUND(SUMIFS(I$495:I$866,$B$495:$B$866,$B222,$C$495:$C$866,$C222),0)</f>
        <v>0</v>
      </c>
      <c r="J222" s="830">
        <f t="shared" si="75"/>
        <v>0</v>
      </c>
      <c r="K222" s="830">
        <f t="shared" si="75"/>
        <v>0</v>
      </c>
      <c r="L222" s="830">
        <f t="shared" si="75"/>
        <v>0</v>
      </c>
      <c r="M222" s="830">
        <f t="shared" si="75"/>
        <v>0</v>
      </c>
      <c r="N222" s="830">
        <f t="shared" si="75"/>
        <v>0</v>
      </c>
      <c r="O222" s="830">
        <f t="shared" si="75"/>
        <v>0</v>
      </c>
      <c r="P222" s="830">
        <f t="shared" si="75"/>
        <v>0</v>
      </c>
      <c r="Q222" s="830">
        <f t="shared" ref="Q222:Q245" si="76">ROUND(SUMIFS(Q$495:Q$866,$B$495:$B$866,$B222,$C$495:$C$866,$C222),0)</f>
        <v>0</v>
      </c>
      <c r="R222" s="830">
        <f t="shared" si="73"/>
        <v>0</v>
      </c>
      <c r="S222" s="830"/>
    </row>
    <row r="223" spans="1:19" s="593" customFormat="1" ht="12" hidden="1" thickBot="1">
      <c r="A223" s="541" t="s">
        <v>179</v>
      </c>
      <c r="B223" s="596" t="s">
        <v>1510</v>
      </c>
      <c r="C223" s="541" t="s">
        <v>174</v>
      </c>
      <c r="D223" s="830">
        <f t="shared" si="68"/>
        <v>431360</v>
      </c>
      <c r="E223" s="830">
        <f t="shared" si="68"/>
        <v>0</v>
      </c>
      <c r="F223" s="830">
        <f t="shared" si="68"/>
        <v>0</v>
      </c>
      <c r="G223" s="830">
        <f t="shared" si="68"/>
        <v>0</v>
      </c>
      <c r="H223" s="830">
        <f t="shared" si="69"/>
        <v>466265095</v>
      </c>
      <c r="I223" s="830">
        <f t="shared" si="75"/>
        <v>0</v>
      </c>
      <c r="J223" s="830">
        <f t="shared" si="75"/>
        <v>0</v>
      </c>
      <c r="K223" s="830">
        <f t="shared" si="75"/>
        <v>0</v>
      </c>
      <c r="L223" s="830">
        <f t="shared" si="75"/>
        <v>0</v>
      </c>
      <c r="M223" s="830">
        <f t="shared" si="75"/>
        <v>0</v>
      </c>
      <c r="N223" s="830">
        <f t="shared" si="75"/>
        <v>0</v>
      </c>
      <c r="O223" s="830">
        <f t="shared" si="75"/>
        <v>0</v>
      </c>
      <c r="P223" s="830">
        <f t="shared" si="75"/>
        <v>0</v>
      </c>
      <c r="Q223" s="830">
        <f t="shared" si="76"/>
        <v>0</v>
      </c>
      <c r="R223" s="830">
        <f t="shared" si="73"/>
        <v>0</v>
      </c>
      <c r="S223" s="830"/>
    </row>
    <row r="224" spans="1:19" s="593" customFormat="1" ht="12" hidden="1" thickBot="1">
      <c r="A224" s="541" t="s">
        <v>179</v>
      </c>
      <c r="B224" s="596" t="s">
        <v>1510</v>
      </c>
      <c r="C224" s="541" t="s">
        <v>175</v>
      </c>
      <c r="D224" s="830">
        <f t="shared" si="68"/>
        <v>0</v>
      </c>
      <c r="E224" s="830">
        <f t="shared" si="68"/>
        <v>0</v>
      </c>
      <c r="F224" s="830">
        <f t="shared" si="68"/>
        <v>0</v>
      </c>
      <c r="G224" s="830">
        <f t="shared" si="68"/>
        <v>0</v>
      </c>
      <c r="H224" s="830">
        <f t="shared" si="69"/>
        <v>0</v>
      </c>
      <c r="I224" s="830">
        <f t="shared" si="75"/>
        <v>0</v>
      </c>
      <c r="J224" s="830">
        <f t="shared" si="75"/>
        <v>0</v>
      </c>
      <c r="K224" s="830">
        <f t="shared" si="75"/>
        <v>0</v>
      </c>
      <c r="L224" s="830">
        <f t="shared" si="75"/>
        <v>0</v>
      </c>
      <c r="M224" s="830">
        <f t="shared" si="75"/>
        <v>0</v>
      </c>
      <c r="N224" s="830">
        <f t="shared" si="75"/>
        <v>0</v>
      </c>
      <c r="O224" s="830">
        <f t="shared" si="75"/>
        <v>0</v>
      </c>
      <c r="P224" s="830">
        <f t="shared" si="75"/>
        <v>0</v>
      </c>
      <c r="Q224" s="830">
        <f t="shared" si="76"/>
        <v>0</v>
      </c>
      <c r="R224" s="830">
        <f t="shared" si="73"/>
        <v>0</v>
      </c>
      <c r="S224" s="830"/>
    </row>
    <row r="225" spans="1:19" s="593" customFormat="1" ht="12" hidden="1" thickBot="1">
      <c r="A225" s="541" t="s">
        <v>179</v>
      </c>
      <c r="B225" s="596" t="s">
        <v>1510</v>
      </c>
      <c r="C225" s="541" t="s">
        <v>176</v>
      </c>
      <c r="D225" s="830">
        <f t="shared" si="68"/>
        <v>0</v>
      </c>
      <c r="E225" s="830">
        <f t="shared" si="68"/>
        <v>0</v>
      </c>
      <c r="F225" s="830">
        <f t="shared" si="68"/>
        <v>0</v>
      </c>
      <c r="G225" s="830">
        <f t="shared" si="68"/>
        <v>0</v>
      </c>
      <c r="H225" s="830">
        <f t="shared" si="69"/>
        <v>0</v>
      </c>
      <c r="I225" s="830">
        <f t="shared" si="75"/>
        <v>0</v>
      </c>
      <c r="J225" s="830">
        <f t="shared" si="75"/>
        <v>0</v>
      </c>
      <c r="K225" s="830">
        <f t="shared" si="75"/>
        <v>0</v>
      </c>
      <c r="L225" s="830">
        <f t="shared" si="75"/>
        <v>0</v>
      </c>
      <c r="M225" s="830">
        <f t="shared" si="75"/>
        <v>0</v>
      </c>
      <c r="N225" s="830">
        <f t="shared" si="75"/>
        <v>0</v>
      </c>
      <c r="O225" s="830">
        <f t="shared" si="75"/>
        <v>0</v>
      </c>
      <c r="P225" s="830">
        <f t="shared" si="75"/>
        <v>0</v>
      </c>
      <c r="Q225" s="830">
        <f t="shared" si="76"/>
        <v>0</v>
      </c>
      <c r="R225" s="830">
        <f t="shared" si="73"/>
        <v>0</v>
      </c>
      <c r="S225" s="830"/>
    </row>
    <row r="226" spans="1:19" s="593" customFormat="1" ht="12" hidden="1" thickBot="1">
      <c r="A226" s="541" t="s">
        <v>179</v>
      </c>
      <c r="B226" s="596" t="s">
        <v>1510</v>
      </c>
      <c r="C226" s="541" t="s">
        <v>177</v>
      </c>
      <c r="D226" s="830">
        <f t="shared" si="68"/>
        <v>0</v>
      </c>
      <c r="E226" s="830">
        <f t="shared" si="68"/>
        <v>0</v>
      </c>
      <c r="F226" s="830">
        <f t="shared" si="68"/>
        <v>0</v>
      </c>
      <c r="G226" s="830">
        <f t="shared" si="68"/>
        <v>0</v>
      </c>
      <c r="H226" s="830">
        <f t="shared" si="69"/>
        <v>0</v>
      </c>
      <c r="I226" s="830">
        <f t="shared" si="75"/>
        <v>0</v>
      </c>
      <c r="J226" s="830">
        <f t="shared" si="75"/>
        <v>0</v>
      </c>
      <c r="K226" s="830">
        <f t="shared" si="75"/>
        <v>0</v>
      </c>
      <c r="L226" s="830">
        <f t="shared" si="75"/>
        <v>0</v>
      </c>
      <c r="M226" s="830">
        <f t="shared" si="75"/>
        <v>0</v>
      </c>
      <c r="N226" s="830">
        <f t="shared" si="75"/>
        <v>0</v>
      </c>
      <c r="O226" s="830">
        <f t="shared" si="75"/>
        <v>0</v>
      </c>
      <c r="P226" s="830">
        <f t="shared" si="75"/>
        <v>0</v>
      </c>
      <c r="Q226" s="830">
        <f t="shared" si="76"/>
        <v>0</v>
      </c>
      <c r="R226" s="830">
        <f t="shared" si="73"/>
        <v>0</v>
      </c>
      <c r="S226" s="830"/>
    </row>
    <row r="227" spans="1:19" s="593" customFormat="1" ht="12" hidden="1" thickBot="1">
      <c r="A227" s="541" t="s">
        <v>179</v>
      </c>
      <c r="B227" s="596" t="s">
        <v>1510</v>
      </c>
      <c r="C227" s="541" t="s">
        <v>178</v>
      </c>
      <c r="D227" s="830">
        <f t="shared" si="68"/>
        <v>0</v>
      </c>
      <c r="E227" s="830">
        <f t="shared" si="68"/>
        <v>0</v>
      </c>
      <c r="F227" s="830">
        <f t="shared" si="68"/>
        <v>0</v>
      </c>
      <c r="G227" s="830">
        <f t="shared" si="68"/>
        <v>0</v>
      </c>
      <c r="H227" s="830">
        <f t="shared" si="69"/>
        <v>0</v>
      </c>
      <c r="I227" s="830">
        <f t="shared" si="75"/>
        <v>0</v>
      </c>
      <c r="J227" s="830">
        <f t="shared" si="75"/>
        <v>0</v>
      </c>
      <c r="K227" s="830">
        <f t="shared" si="75"/>
        <v>0</v>
      </c>
      <c r="L227" s="830">
        <f t="shared" si="75"/>
        <v>0</v>
      </c>
      <c r="M227" s="830">
        <f t="shared" si="75"/>
        <v>0</v>
      </c>
      <c r="N227" s="830">
        <f t="shared" si="75"/>
        <v>0</v>
      </c>
      <c r="O227" s="830">
        <f t="shared" si="75"/>
        <v>0</v>
      </c>
      <c r="P227" s="830">
        <f t="shared" si="75"/>
        <v>0</v>
      </c>
      <c r="Q227" s="830">
        <f t="shared" si="76"/>
        <v>0</v>
      </c>
      <c r="R227" s="830">
        <f t="shared" si="73"/>
        <v>0</v>
      </c>
      <c r="S227" s="830"/>
    </row>
    <row r="228" spans="1:19" s="593" customFormat="1" ht="12" hidden="1" thickBot="1">
      <c r="A228" s="541" t="s">
        <v>179</v>
      </c>
      <c r="B228" s="596" t="s">
        <v>1510</v>
      </c>
      <c r="C228" s="541" t="s">
        <v>424</v>
      </c>
      <c r="D228" s="830">
        <f t="shared" si="68"/>
        <v>0</v>
      </c>
      <c r="E228" s="830">
        <f t="shared" si="68"/>
        <v>0</v>
      </c>
      <c r="F228" s="830">
        <f t="shared" si="68"/>
        <v>0</v>
      </c>
      <c r="G228" s="830">
        <f t="shared" si="68"/>
        <v>0</v>
      </c>
      <c r="H228" s="830">
        <f t="shared" si="69"/>
        <v>0</v>
      </c>
      <c r="I228" s="830">
        <f t="shared" si="75"/>
        <v>0</v>
      </c>
      <c r="J228" s="830">
        <f t="shared" si="75"/>
        <v>0</v>
      </c>
      <c r="K228" s="830">
        <f t="shared" si="75"/>
        <v>0</v>
      </c>
      <c r="L228" s="830">
        <f t="shared" si="75"/>
        <v>0</v>
      </c>
      <c r="M228" s="830">
        <f t="shared" si="75"/>
        <v>0</v>
      </c>
      <c r="N228" s="830">
        <f t="shared" si="75"/>
        <v>0</v>
      </c>
      <c r="O228" s="830">
        <f t="shared" si="75"/>
        <v>0</v>
      </c>
      <c r="P228" s="830">
        <f t="shared" si="75"/>
        <v>0</v>
      </c>
      <c r="Q228" s="830">
        <f t="shared" si="76"/>
        <v>0</v>
      </c>
      <c r="R228" s="830">
        <f t="shared" si="73"/>
        <v>0</v>
      </c>
      <c r="S228" s="830"/>
    </row>
    <row r="229" spans="1:19" s="593" customFormat="1" ht="12" hidden="1" thickBot="1">
      <c r="A229" s="541" t="s">
        <v>179</v>
      </c>
      <c r="B229" s="596" t="s">
        <v>1510</v>
      </c>
      <c r="C229" s="541" t="s">
        <v>425</v>
      </c>
      <c r="D229" s="830">
        <f t="shared" si="68"/>
        <v>0</v>
      </c>
      <c r="E229" s="830">
        <f t="shared" si="68"/>
        <v>0</v>
      </c>
      <c r="F229" s="830">
        <f t="shared" si="68"/>
        <v>0</v>
      </c>
      <c r="G229" s="830">
        <f t="shared" si="68"/>
        <v>0</v>
      </c>
      <c r="H229" s="830">
        <f t="shared" si="69"/>
        <v>0</v>
      </c>
      <c r="I229" s="830">
        <f t="shared" si="75"/>
        <v>0</v>
      </c>
      <c r="J229" s="830">
        <f t="shared" si="75"/>
        <v>0</v>
      </c>
      <c r="K229" s="830">
        <f t="shared" si="75"/>
        <v>0</v>
      </c>
      <c r="L229" s="830">
        <f t="shared" si="75"/>
        <v>0</v>
      </c>
      <c r="M229" s="830">
        <f t="shared" si="75"/>
        <v>0</v>
      </c>
      <c r="N229" s="830">
        <f t="shared" si="75"/>
        <v>0</v>
      </c>
      <c r="O229" s="830">
        <f t="shared" si="75"/>
        <v>0</v>
      </c>
      <c r="P229" s="830">
        <f t="shared" si="75"/>
        <v>0</v>
      </c>
      <c r="Q229" s="830">
        <f t="shared" si="76"/>
        <v>0</v>
      </c>
      <c r="R229" s="830">
        <f t="shared" si="73"/>
        <v>0</v>
      </c>
      <c r="S229" s="830"/>
    </row>
    <row r="230" spans="1:19" s="593" customFormat="1" ht="12" hidden="1" thickBot="1">
      <c r="A230" s="541" t="s">
        <v>179</v>
      </c>
      <c r="B230" s="596" t="s">
        <v>1510</v>
      </c>
      <c r="C230" s="541" t="s">
        <v>169</v>
      </c>
      <c r="D230" s="830">
        <f t="shared" si="68"/>
        <v>0</v>
      </c>
      <c r="E230" s="830">
        <f t="shared" si="68"/>
        <v>0</v>
      </c>
      <c r="F230" s="830">
        <f t="shared" si="68"/>
        <v>0</v>
      </c>
      <c r="G230" s="830">
        <f t="shared" si="68"/>
        <v>0</v>
      </c>
      <c r="H230" s="830">
        <f t="shared" si="69"/>
        <v>0</v>
      </c>
      <c r="I230" s="830">
        <f t="shared" si="75"/>
        <v>0</v>
      </c>
      <c r="J230" s="830">
        <f t="shared" si="75"/>
        <v>0</v>
      </c>
      <c r="K230" s="830">
        <f t="shared" si="75"/>
        <v>0</v>
      </c>
      <c r="L230" s="830">
        <f t="shared" si="75"/>
        <v>0</v>
      </c>
      <c r="M230" s="830">
        <f t="shared" si="75"/>
        <v>0</v>
      </c>
      <c r="N230" s="830">
        <f t="shared" si="75"/>
        <v>0</v>
      </c>
      <c r="O230" s="830">
        <f t="shared" si="75"/>
        <v>0</v>
      </c>
      <c r="P230" s="830">
        <f t="shared" si="75"/>
        <v>0</v>
      </c>
      <c r="Q230" s="830">
        <f t="shared" si="76"/>
        <v>0</v>
      </c>
      <c r="R230" s="830">
        <f t="shared" si="73"/>
        <v>0</v>
      </c>
      <c r="S230" s="830"/>
    </row>
    <row r="231" spans="1:19" s="593" customFormat="1" ht="12" hidden="1" thickBot="1">
      <c r="A231" s="541" t="s">
        <v>179</v>
      </c>
      <c r="B231" s="596" t="s">
        <v>1510</v>
      </c>
      <c r="C231" s="541" t="s">
        <v>173</v>
      </c>
      <c r="D231" s="830">
        <f t="shared" si="68"/>
        <v>1</v>
      </c>
      <c r="E231" s="830">
        <f t="shared" si="68"/>
        <v>0</v>
      </c>
      <c r="F231" s="830">
        <f t="shared" si="68"/>
        <v>0</v>
      </c>
      <c r="G231" s="830">
        <f t="shared" si="68"/>
        <v>0</v>
      </c>
      <c r="H231" s="830">
        <f t="shared" si="69"/>
        <v>45688667</v>
      </c>
      <c r="I231" s="830">
        <f t="shared" si="75"/>
        <v>0</v>
      </c>
      <c r="J231" s="830">
        <f t="shared" si="75"/>
        <v>0</v>
      </c>
      <c r="K231" s="830">
        <f t="shared" si="75"/>
        <v>0</v>
      </c>
      <c r="L231" s="830">
        <f t="shared" si="75"/>
        <v>0</v>
      </c>
      <c r="M231" s="830">
        <f t="shared" si="75"/>
        <v>0</v>
      </c>
      <c r="N231" s="830">
        <f t="shared" si="75"/>
        <v>0</v>
      </c>
      <c r="O231" s="830">
        <f t="shared" si="75"/>
        <v>185158</v>
      </c>
      <c r="P231" s="830">
        <f t="shared" si="75"/>
        <v>185158</v>
      </c>
      <c r="Q231" s="830">
        <f t="shared" si="76"/>
        <v>101388</v>
      </c>
      <c r="R231" s="830">
        <f t="shared" si="73"/>
        <v>0</v>
      </c>
      <c r="S231" s="830"/>
    </row>
    <row r="232" spans="1:19" s="593" customFormat="1" ht="12" hidden="1" thickBot="1">
      <c r="A232" s="541" t="s">
        <v>179</v>
      </c>
      <c r="B232" s="596" t="s">
        <v>1510</v>
      </c>
      <c r="C232" s="541" t="s">
        <v>217</v>
      </c>
      <c r="D232" s="830">
        <v>2</v>
      </c>
      <c r="E232" s="830">
        <f t="shared" ref="E232:G249" si="77">ROUND(SUMIFS(E$495:E$866,$B$495:$B$866,$B232,$C$495:$C$866,$C232),0)</f>
        <v>0</v>
      </c>
      <c r="F232" s="830">
        <f t="shared" si="77"/>
        <v>0</v>
      </c>
      <c r="G232" s="830">
        <f t="shared" si="77"/>
        <v>0</v>
      </c>
      <c r="H232" s="830">
        <f t="shared" si="69"/>
        <v>10965</v>
      </c>
      <c r="I232" s="830">
        <f t="shared" ref="I232:P241" si="78">ROUND(SUMIFS(I$495:I$866,$B$495:$B$866,$B232,$C$495:$C$866,$C232),0)</f>
        <v>0</v>
      </c>
      <c r="J232" s="830">
        <f t="shared" si="78"/>
        <v>0</v>
      </c>
      <c r="K232" s="830">
        <f t="shared" si="78"/>
        <v>0</v>
      </c>
      <c r="L232" s="830">
        <f t="shared" si="78"/>
        <v>0</v>
      </c>
      <c r="M232" s="830">
        <f t="shared" si="78"/>
        <v>0</v>
      </c>
      <c r="N232" s="830">
        <f t="shared" si="78"/>
        <v>0</v>
      </c>
      <c r="O232" s="830">
        <f t="shared" si="78"/>
        <v>0</v>
      </c>
      <c r="P232" s="830">
        <f t="shared" si="78"/>
        <v>0</v>
      </c>
      <c r="Q232" s="830">
        <f t="shared" si="76"/>
        <v>0</v>
      </c>
      <c r="R232" s="830">
        <f t="shared" si="73"/>
        <v>0</v>
      </c>
      <c r="S232" s="830"/>
    </row>
    <row r="233" spans="1:19" s="593" customFormat="1" ht="12" hidden="1" thickBot="1">
      <c r="A233" s="541" t="s">
        <v>179</v>
      </c>
      <c r="B233" s="596" t="s">
        <v>1510</v>
      </c>
      <c r="C233" s="541" t="s">
        <v>216</v>
      </c>
      <c r="D233" s="830">
        <f t="shared" ref="D233:D249" si="79">ROUND(SUMIFS(D$495:D$866,$B$495:$B$866,$B233,$C$495:$C$866,$C233),0)</f>
        <v>0</v>
      </c>
      <c r="E233" s="830">
        <f t="shared" si="77"/>
        <v>0</v>
      </c>
      <c r="F233" s="830">
        <f t="shared" si="77"/>
        <v>0</v>
      </c>
      <c r="G233" s="830">
        <f t="shared" si="77"/>
        <v>0</v>
      </c>
      <c r="H233" s="830">
        <f t="shared" si="69"/>
        <v>0</v>
      </c>
      <c r="I233" s="830">
        <f t="shared" si="78"/>
        <v>0</v>
      </c>
      <c r="J233" s="830">
        <f t="shared" si="78"/>
        <v>0</v>
      </c>
      <c r="K233" s="830">
        <f t="shared" si="78"/>
        <v>0</v>
      </c>
      <c r="L233" s="830">
        <f t="shared" si="78"/>
        <v>0</v>
      </c>
      <c r="M233" s="830">
        <f t="shared" si="78"/>
        <v>0</v>
      </c>
      <c r="N233" s="830">
        <f t="shared" si="78"/>
        <v>0</v>
      </c>
      <c r="O233" s="830">
        <f t="shared" si="78"/>
        <v>0</v>
      </c>
      <c r="P233" s="830">
        <f t="shared" si="78"/>
        <v>0</v>
      </c>
      <c r="Q233" s="830">
        <f t="shared" si="76"/>
        <v>0</v>
      </c>
      <c r="R233" s="830">
        <f t="shared" si="73"/>
        <v>0</v>
      </c>
      <c r="S233" s="830"/>
    </row>
    <row r="234" spans="1:19" s="593" customFormat="1" ht="12" hidden="1" thickBot="1">
      <c r="A234" s="541" t="s">
        <v>179</v>
      </c>
      <c r="B234" s="596" t="s">
        <v>1510</v>
      </c>
      <c r="C234" s="541" t="s">
        <v>168</v>
      </c>
      <c r="D234" s="830">
        <f t="shared" si="79"/>
        <v>747</v>
      </c>
      <c r="E234" s="830">
        <f t="shared" si="77"/>
        <v>0</v>
      </c>
      <c r="F234" s="830">
        <f t="shared" si="77"/>
        <v>0</v>
      </c>
      <c r="G234" s="830">
        <f t="shared" si="77"/>
        <v>0</v>
      </c>
      <c r="H234" s="830">
        <f t="shared" si="69"/>
        <v>106303</v>
      </c>
      <c r="I234" s="830">
        <f t="shared" si="78"/>
        <v>0</v>
      </c>
      <c r="J234" s="830">
        <f t="shared" si="78"/>
        <v>0</v>
      </c>
      <c r="K234" s="830">
        <f t="shared" si="78"/>
        <v>0</v>
      </c>
      <c r="L234" s="830">
        <f t="shared" si="78"/>
        <v>0</v>
      </c>
      <c r="M234" s="830">
        <f t="shared" si="78"/>
        <v>0</v>
      </c>
      <c r="N234" s="830">
        <f t="shared" si="78"/>
        <v>0</v>
      </c>
      <c r="O234" s="830">
        <f t="shared" si="78"/>
        <v>0</v>
      </c>
      <c r="P234" s="830">
        <f t="shared" si="78"/>
        <v>0</v>
      </c>
      <c r="Q234" s="830">
        <f t="shared" si="76"/>
        <v>0</v>
      </c>
      <c r="R234" s="830">
        <f t="shared" si="73"/>
        <v>0</v>
      </c>
      <c r="S234" s="830"/>
    </row>
    <row r="235" spans="1:19" ht="12" hidden="1" thickBot="1">
      <c r="A235" s="836" t="s">
        <v>179</v>
      </c>
      <c r="B235" s="596" t="s">
        <v>1510</v>
      </c>
      <c r="C235" s="836" t="s">
        <v>171</v>
      </c>
      <c r="D235" s="830">
        <f t="shared" si="79"/>
        <v>0</v>
      </c>
      <c r="E235" s="830">
        <f t="shared" si="77"/>
        <v>0</v>
      </c>
      <c r="F235" s="830">
        <f t="shared" si="77"/>
        <v>0</v>
      </c>
      <c r="G235" s="830">
        <f t="shared" si="77"/>
        <v>0</v>
      </c>
      <c r="H235" s="830">
        <f t="shared" si="69"/>
        <v>0</v>
      </c>
      <c r="I235" s="830">
        <f t="shared" si="78"/>
        <v>0</v>
      </c>
      <c r="J235" s="830">
        <f t="shared" si="78"/>
        <v>0</v>
      </c>
      <c r="K235" s="830">
        <f t="shared" si="78"/>
        <v>0</v>
      </c>
      <c r="L235" s="830">
        <f t="shared" si="78"/>
        <v>0</v>
      </c>
      <c r="M235" s="830">
        <f t="shared" si="78"/>
        <v>0</v>
      </c>
      <c r="N235" s="830">
        <f t="shared" si="78"/>
        <v>0</v>
      </c>
      <c r="O235" s="830">
        <f t="shared" si="78"/>
        <v>0</v>
      </c>
      <c r="P235" s="830">
        <f t="shared" si="78"/>
        <v>0</v>
      </c>
      <c r="Q235" s="830">
        <f t="shared" si="76"/>
        <v>0</v>
      </c>
      <c r="R235" s="830">
        <f t="shared" si="73"/>
        <v>0</v>
      </c>
      <c r="S235" s="830"/>
    </row>
    <row r="236" spans="1:19" ht="12" hidden="1" thickBot="1">
      <c r="A236" s="836" t="s">
        <v>179</v>
      </c>
      <c r="B236" s="596" t="s">
        <v>1510</v>
      </c>
      <c r="C236" s="836" t="s">
        <v>172</v>
      </c>
      <c r="D236" s="830">
        <f t="shared" si="79"/>
        <v>0</v>
      </c>
      <c r="E236" s="830">
        <f t="shared" si="77"/>
        <v>0</v>
      </c>
      <c r="F236" s="830">
        <f t="shared" si="77"/>
        <v>0</v>
      </c>
      <c r="G236" s="830">
        <f t="shared" si="77"/>
        <v>0</v>
      </c>
      <c r="H236" s="830">
        <f t="shared" si="69"/>
        <v>0</v>
      </c>
      <c r="I236" s="830">
        <f t="shared" si="78"/>
        <v>0</v>
      </c>
      <c r="J236" s="830">
        <f t="shared" si="78"/>
        <v>0</v>
      </c>
      <c r="K236" s="830">
        <f t="shared" si="78"/>
        <v>0</v>
      </c>
      <c r="L236" s="830">
        <f t="shared" si="78"/>
        <v>0</v>
      </c>
      <c r="M236" s="830">
        <f t="shared" si="78"/>
        <v>0</v>
      </c>
      <c r="N236" s="830">
        <f t="shared" si="78"/>
        <v>0</v>
      </c>
      <c r="O236" s="830">
        <f t="shared" si="78"/>
        <v>0</v>
      </c>
      <c r="P236" s="830">
        <f t="shared" si="78"/>
        <v>0</v>
      </c>
      <c r="Q236" s="830">
        <f t="shared" si="76"/>
        <v>0</v>
      </c>
      <c r="R236" s="830">
        <f t="shared" si="73"/>
        <v>0</v>
      </c>
      <c r="S236" s="830"/>
    </row>
    <row r="237" spans="1:19" ht="12" hidden="1" thickBot="1">
      <c r="A237" s="836" t="s">
        <v>179</v>
      </c>
      <c r="B237" s="596" t="s">
        <v>1510</v>
      </c>
      <c r="C237" s="836" t="s">
        <v>1399</v>
      </c>
      <c r="D237" s="830">
        <f t="shared" si="79"/>
        <v>0</v>
      </c>
      <c r="E237" s="830">
        <f t="shared" si="77"/>
        <v>0</v>
      </c>
      <c r="F237" s="830">
        <f t="shared" si="77"/>
        <v>0</v>
      </c>
      <c r="G237" s="830">
        <f t="shared" si="77"/>
        <v>0</v>
      </c>
      <c r="H237" s="830">
        <f t="shared" si="69"/>
        <v>0</v>
      </c>
      <c r="I237" s="830">
        <f t="shared" si="78"/>
        <v>0</v>
      </c>
      <c r="J237" s="830">
        <f t="shared" si="78"/>
        <v>0</v>
      </c>
      <c r="K237" s="830">
        <f t="shared" si="78"/>
        <v>0</v>
      </c>
      <c r="L237" s="830">
        <f t="shared" si="78"/>
        <v>0</v>
      </c>
      <c r="M237" s="830">
        <f t="shared" si="78"/>
        <v>0</v>
      </c>
      <c r="N237" s="830">
        <f t="shared" si="78"/>
        <v>0</v>
      </c>
      <c r="O237" s="830">
        <f t="shared" si="78"/>
        <v>0</v>
      </c>
      <c r="P237" s="830">
        <f t="shared" si="78"/>
        <v>0</v>
      </c>
      <c r="Q237" s="830">
        <f t="shared" si="76"/>
        <v>0</v>
      </c>
      <c r="R237" s="830">
        <f t="shared" si="73"/>
        <v>0</v>
      </c>
      <c r="S237" s="830"/>
    </row>
    <row r="238" spans="1:19" ht="12" hidden="1" thickBot="1">
      <c r="A238" s="836" t="s">
        <v>179</v>
      </c>
      <c r="B238" s="596" t="s">
        <v>1510</v>
      </c>
      <c r="C238" s="836" t="s">
        <v>1397</v>
      </c>
      <c r="D238" s="830">
        <f t="shared" si="79"/>
        <v>0</v>
      </c>
      <c r="E238" s="830">
        <f t="shared" si="77"/>
        <v>0</v>
      </c>
      <c r="F238" s="830">
        <f t="shared" si="77"/>
        <v>0</v>
      </c>
      <c r="G238" s="830">
        <f t="shared" si="77"/>
        <v>0</v>
      </c>
      <c r="H238" s="830">
        <f t="shared" si="69"/>
        <v>0</v>
      </c>
      <c r="I238" s="830">
        <f t="shared" si="78"/>
        <v>0</v>
      </c>
      <c r="J238" s="830">
        <f t="shared" si="78"/>
        <v>0</v>
      </c>
      <c r="K238" s="830">
        <f t="shared" si="78"/>
        <v>0</v>
      </c>
      <c r="L238" s="830">
        <f t="shared" si="78"/>
        <v>0</v>
      </c>
      <c r="M238" s="830">
        <f t="shared" si="78"/>
        <v>0</v>
      </c>
      <c r="N238" s="830">
        <f t="shared" si="78"/>
        <v>0</v>
      </c>
      <c r="O238" s="830">
        <f t="shared" si="78"/>
        <v>0</v>
      </c>
      <c r="P238" s="830">
        <f t="shared" si="78"/>
        <v>0</v>
      </c>
      <c r="Q238" s="830">
        <f t="shared" si="76"/>
        <v>0</v>
      </c>
      <c r="R238" s="830">
        <f t="shared" si="73"/>
        <v>0</v>
      </c>
      <c r="S238" s="830"/>
    </row>
    <row r="239" spans="1:19" ht="12" hidden="1" thickBot="1">
      <c r="A239" s="836" t="s">
        <v>179</v>
      </c>
      <c r="B239" s="596" t="s">
        <v>1510</v>
      </c>
      <c r="C239" s="836" t="s">
        <v>1149</v>
      </c>
      <c r="D239" s="830">
        <f t="shared" si="79"/>
        <v>0</v>
      </c>
      <c r="E239" s="830">
        <f t="shared" si="77"/>
        <v>0</v>
      </c>
      <c r="F239" s="830">
        <f t="shared" si="77"/>
        <v>0</v>
      </c>
      <c r="G239" s="830">
        <f t="shared" si="77"/>
        <v>0</v>
      </c>
      <c r="H239" s="830">
        <f t="shared" si="69"/>
        <v>0</v>
      </c>
      <c r="I239" s="830">
        <f t="shared" si="78"/>
        <v>0</v>
      </c>
      <c r="J239" s="830">
        <f t="shared" si="78"/>
        <v>0</v>
      </c>
      <c r="K239" s="830">
        <f t="shared" si="78"/>
        <v>0</v>
      </c>
      <c r="L239" s="830">
        <f t="shared" si="78"/>
        <v>0</v>
      </c>
      <c r="M239" s="830">
        <f t="shared" si="78"/>
        <v>0</v>
      </c>
      <c r="N239" s="830">
        <f t="shared" si="78"/>
        <v>0</v>
      </c>
      <c r="O239" s="830">
        <f t="shared" si="78"/>
        <v>0</v>
      </c>
      <c r="P239" s="830">
        <f t="shared" si="78"/>
        <v>0</v>
      </c>
      <c r="Q239" s="830">
        <f t="shared" si="76"/>
        <v>0</v>
      </c>
      <c r="R239" s="830">
        <f t="shared" si="73"/>
        <v>0</v>
      </c>
      <c r="S239" s="830"/>
    </row>
    <row r="240" spans="1:19" s="593" customFormat="1" ht="12" hidden="1" thickBot="1">
      <c r="A240" s="541" t="s">
        <v>179</v>
      </c>
      <c r="B240" s="596" t="s">
        <v>1510</v>
      </c>
      <c r="C240" s="541" t="s">
        <v>170</v>
      </c>
      <c r="D240" s="830">
        <f t="shared" si="79"/>
        <v>0</v>
      </c>
      <c r="E240" s="830">
        <f t="shared" si="77"/>
        <v>0</v>
      </c>
      <c r="F240" s="830">
        <f t="shared" si="77"/>
        <v>0</v>
      </c>
      <c r="G240" s="830">
        <f t="shared" si="77"/>
        <v>0</v>
      </c>
      <c r="H240" s="830">
        <f t="shared" si="69"/>
        <v>0</v>
      </c>
      <c r="I240" s="830">
        <f t="shared" si="78"/>
        <v>0</v>
      </c>
      <c r="J240" s="830">
        <f t="shared" si="78"/>
        <v>0</v>
      </c>
      <c r="K240" s="830">
        <f t="shared" si="78"/>
        <v>0</v>
      </c>
      <c r="L240" s="830">
        <f t="shared" si="78"/>
        <v>0</v>
      </c>
      <c r="M240" s="830">
        <f t="shared" si="78"/>
        <v>0</v>
      </c>
      <c r="N240" s="830">
        <f t="shared" si="78"/>
        <v>0</v>
      </c>
      <c r="O240" s="830">
        <f t="shared" si="78"/>
        <v>0</v>
      </c>
      <c r="P240" s="830">
        <f t="shared" si="78"/>
        <v>0</v>
      </c>
      <c r="Q240" s="830">
        <f t="shared" si="76"/>
        <v>0</v>
      </c>
      <c r="R240" s="830">
        <f t="shared" si="73"/>
        <v>0</v>
      </c>
      <c r="S240" s="830"/>
    </row>
    <row r="241" spans="1:19" s="593" customFormat="1" ht="12" hidden="1" thickBot="1">
      <c r="A241" s="541" t="s">
        <v>179</v>
      </c>
      <c r="B241" s="596" t="s">
        <v>1510</v>
      </c>
      <c r="C241" s="541" t="s">
        <v>160</v>
      </c>
      <c r="D241" s="830">
        <f t="shared" si="79"/>
        <v>0</v>
      </c>
      <c r="E241" s="830">
        <f t="shared" si="77"/>
        <v>0</v>
      </c>
      <c r="F241" s="830">
        <f t="shared" si="77"/>
        <v>0</v>
      </c>
      <c r="G241" s="830">
        <f t="shared" si="77"/>
        <v>0</v>
      </c>
      <c r="H241" s="830">
        <f t="shared" si="69"/>
        <v>0</v>
      </c>
      <c r="I241" s="830">
        <f t="shared" si="78"/>
        <v>0</v>
      </c>
      <c r="J241" s="830">
        <f t="shared" si="78"/>
        <v>0</v>
      </c>
      <c r="K241" s="830">
        <f t="shared" si="78"/>
        <v>0</v>
      </c>
      <c r="L241" s="830">
        <f t="shared" si="78"/>
        <v>0</v>
      </c>
      <c r="M241" s="830">
        <f t="shared" si="78"/>
        <v>0</v>
      </c>
      <c r="N241" s="830">
        <f t="shared" si="78"/>
        <v>0</v>
      </c>
      <c r="O241" s="830">
        <f t="shared" si="78"/>
        <v>0</v>
      </c>
      <c r="P241" s="830">
        <f t="shared" si="78"/>
        <v>0</v>
      </c>
      <c r="Q241" s="830">
        <f t="shared" si="76"/>
        <v>0</v>
      </c>
      <c r="R241" s="830">
        <f t="shared" si="73"/>
        <v>0</v>
      </c>
      <c r="S241" s="830"/>
    </row>
    <row r="242" spans="1:19" s="593" customFormat="1" ht="12" hidden="1" thickBot="1">
      <c r="A242" s="541" t="s">
        <v>179</v>
      </c>
      <c r="B242" s="596" t="s">
        <v>1510</v>
      </c>
      <c r="C242" s="541" t="s">
        <v>166</v>
      </c>
      <c r="D242" s="830">
        <f t="shared" si="79"/>
        <v>0</v>
      </c>
      <c r="E242" s="830">
        <f t="shared" si="77"/>
        <v>0</v>
      </c>
      <c r="F242" s="830">
        <f t="shared" si="77"/>
        <v>0</v>
      </c>
      <c r="G242" s="830">
        <f t="shared" si="77"/>
        <v>0</v>
      </c>
      <c r="H242" s="830">
        <f t="shared" si="69"/>
        <v>0</v>
      </c>
      <c r="I242" s="830">
        <f t="shared" ref="I242:P249" si="80">ROUND(SUMIFS(I$495:I$866,$B$495:$B$866,$B242,$C$495:$C$866,$C242),0)</f>
        <v>0</v>
      </c>
      <c r="J242" s="830">
        <f t="shared" si="80"/>
        <v>0</v>
      </c>
      <c r="K242" s="830">
        <f t="shared" si="80"/>
        <v>0</v>
      </c>
      <c r="L242" s="830">
        <f t="shared" si="80"/>
        <v>0</v>
      </c>
      <c r="M242" s="830">
        <f t="shared" si="80"/>
        <v>0</v>
      </c>
      <c r="N242" s="830">
        <f t="shared" si="80"/>
        <v>0</v>
      </c>
      <c r="O242" s="830">
        <f t="shared" si="80"/>
        <v>0</v>
      </c>
      <c r="P242" s="830">
        <f t="shared" si="80"/>
        <v>0</v>
      </c>
      <c r="Q242" s="830">
        <f t="shared" si="76"/>
        <v>0</v>
      </c>
      <c r="R242" s="830">
        <f t="shared" si="73"/>
        <v>0</v>
      </c>
      <c r="S242" s="830"/>
    </row>
    <row r="243" spans="1:19" s="593" customFormat="1" ht="12" hidden="1" thickBot="1">
      <c r="A243" s="541" t="s">
        <v>179</v>
      </c>
      <c r="B243" s="596" t="s">
        <v>1510</v>
      </c>
      <c r="C243" s="541" t="s">
        <v>458</v>
      </c>
      <c r="D243" s="830">
        <f t="shared" si="79"/>
        <v>8</v>
      </c>
      <c r="E243" s="830">
        <f t="shared" si="77"/>
        <v>5929</v>
      </c>
      <c r="F243" s="830">
        <f t="shared" si="77"/>
        <v>1787</v>
      </c>
      <c r="G243" s="830">
        <f t="shared" si="77"/>
        <v>1446</v>
      </c>
      <c r="H243" s="830">
        <f t="shared" si="69"/>
        <v>9162</v>
      </c>
      <c r="I243" s="830">
        <f t="shared" si="80"/>
        <v>0</v>
      </c>
      <c r="J243" s="830">
        <f t="shared" si="80"/>
        <v>0</v>
      </c>
      <c r="K243" s="830">
        <f t="shared" si="80"/>
        <v>0</v>
      </c>
      <c r="L243" s="830">
        <f t="shared" si="80"/>
        <v>0</v>
      </c>
      <c r="M243" s="830">
        <f t="shared" si="80"/>
        <v>0</v>
      </c>
      <c r="N243" s="830">
        <f t="shared" si="80"/>
        <v>0</v>
      </c>
      <c r="O243" s="830">
        <f t="shared" si="80"/>
        <v>0</v>
      </c>
      <c r="P243" s="830">
        <f t="shared" si="80"/>
        <v>0</v>
      </c>
      <c r="Q243" s="830">
        <f t="shared" si="76"/>
        <v>0</v>
      </c>
      <c r="R243" s="830">
        <f t="shared" si="73"/>
        <v>0</v>
      </c>
      <c r="S243" s="830"/>
    </row>
    <row r="244" spans="1:19" s="593" customFormat="1" ht="12" hidden="1" thickBot="1">
      <c r="A244" s="541" t="s">
        <v>179</v>
      </c>
      <c r="B244" s="596" t="s">
        <v>1510</v>
      </c>
      <c r="C244" s="541" t="s">
        <v>165</v>
      </c>
      <c r="D244" s="830">
        <f t="shared" si="79"/>
        <v>0</v>
      </c>
      <c r="E244" s="830">
        <f t="shared" si="77"/>
        <v>0</v>
      </c>
      <c r="F244" s="830">
        <f t="shared" si="77"/>
        <v>0</v>
      </c>
      <c r="G244" s="830">
        <f t="shared" si="77"/>
        <v>0</v>
      </c>
      <c r="H244" s="830">
        <f t="shared" si="69"/>
        <v>0</v>
      </c>
      <c r="I244" s="830">
        <f t="shared" si="80"/>
        <v>0</v>
      </c>
      <c r="J244" s="830">
        <f t="shared" si="80"/>
        <v>0</v>
      </c>
      <c r="K244" s="830">
        <f t="shared" si="80"/>
        <v>0</v>
      </c>
      <c r="L244" s="830">
        <f t="shared" si="80"/>
        <v>0</v>
      </c>
      <c r="M244" s="830">
        <f t="shared" si="80"/>
        <v>0</v>
      </c>
      <c r="N244" s="830">
        <f t="shared" si="80"/>
        <v>0</v>
      </c>
      <c r="O244" s="830">
        <f t="shared" si="80"/>
        <v>0</v>
      </c>
      <c r="P244" s="830">
        <f t="shared" si="80"/>
        <v>0</v>
      </c>
      <c r="Q244" s="830">
        <f t="shared" si="76"/>
        <v>0</v>
      </c>
      <c r="R244" s="830">
        <f t="shared" si="73"/>
        <v>0</v>
      </c>
      <c r="S244" s="830"/>
    </row>
    <row r="245" spans="1:19" s="593" customFormat="1" ht="12" thickBot="1">
      <c r="A245" s="541" t="s">
        <v>179</v>
      </c>
      <c r="B245" s="596" t="s">
        <v>1510</v>
      </c>
      <c r="C245" s="541" t="s">
        <v>167</v>
      </c>
      <c r="D245" s="830">
        <f t="shared" si="79"/>
        <v>265</v>
      </c>
      <c r="E245" s="830">
        <f t="shared" si="77"/>
        <v>0</v>
      </c>
      <c r="F245" s="830">
        <f t="shared" si="77"/>
        <v>0</v>
      </c>
      <c r="G245" s="830">
        <f t="shared" si="77"/>
        <v>0</v>
      </c>
      <c r="H245" s="830">
        <f t="shared" si="69"/>
        <v>11714400</v>
      </c>
      <c r="I245" s="830">
        <f t="shared" si="80"/>
        <v>0</v>
      </c>
      <c r="J245" s="830">
        <f t="shared" si="80"/>
        <v>0</v>
      </c>
      <c r="K245" s="830">
        <f t="shared" si="80"/>
        <v>0</v>
      </c>
      <c r="L245" s="830">
        <f t="shared" si="80"/>
        <v>0</v>
      </c>
      <c r="M245" s="830">
        <f t="shared" si="80"/>
        <v>0</v>
      </c>
      <c r="N245" s="830">
        <f t="shared" si="80"/>
        <v>0</v>
      </c>
      <c r="O245" s="830">
        <f>R245</f>
        <v>47329</v>
      </c>
      <c r="P245" s="830">
        <f t="shared" si="80"/>
        <v>0</v>
      </c>
      <c r="Q245" s="830">
        <f t="shared" si="76"/>
        <v>0</v>
      </c>
      <c r="R245" s="830">
        <f t="shared" si="73"/>
        <v>47329</v>
      </c>
      <c r="S245" s="830"/>
    </row>
    <row r="246" spans="1:19" s="593" customFormat="1" ht="12" hidden="1" thickBot="1">
      <c r="A246" s="541" t="s">
        <v>179</v>
      </c>
      <c r="B246" s="596" t="s">
        <v>1510</v>
      </c>
      <c r="C246" s="541" t="s">
        <v>623</v>
      </c>
      <c r="D246" s="830">
        <f t="shared" si="79"/>
        <v>0</v>
      </c>
      <c r="E246" s="830">
        <f t="shared" si="77"/>
        <v>0</v>
      </c>
      <c r="F246" s="830">
        <f t="shared" si="77"/>
        <v>0</v>
      </c>
      <c r="G246" s="830">
        <f t="shared" si="77"/>
        <v>0</v>
      </c>
      <c r="H246" s="830">
        <f t="shared" si="69"/>
        <v>0</v>
      </c>
      <c r="I246" s="830">
        <f t="shared" si="80"/>
        <v>0</v>
      </c>
      <c r="J246" s="830">
        <f t="shared" si="80"/>
        <v>0</v>
      </c>
      <c r="K246" s="830">
        <f t="shared" si="80"/>
        <v>0</v>
      </c>
      <c r="L246" s="830">
        <f t="shared" si="80"/>
        <v>0</v>
      </c>
      <c r="M246" s="830">
        <f t="shared" si="80"/>
        <v>0</v>
      </c>
      <c r="N246" s="830">
        <f t="shared" si="80"/>
        <v>0</v>
      </c>
      <c r="O246" s="830">
        <f t="shared" si="80"/>
        <v>0</v>
      </c>
      <c r="P246" s="830">
        <f t="shared" si="80"/>
        <v>0</v>
      </c>
      <c r="Q246" s="830">
        <f>ROUND(SUMIFS(Q$495:Q$866,$B$495:$B$866,$B246,$C$495:$C$866,$C246),0)</f>
        <v>0</v>
      </c>
      <c r="R246" s="830">
        <f t="shared" si="73"/>
        <v>0</v>
      </c>
      <c r="S246" s="830"/>
    </row>
    <row r="247" spans="1:19" s="593" customFormat="1" ht="12" hidden="1" thickBot="1">
      <c r="A247" s="541" t="s">
        <v>179</v>
      </c>
      <c r="B247" s="596" t="s">
        <v>1510</v>
      </c>
      <c r="C247" s="541" t="s">
        <v>683</v>
      </c>
      <c r="D247" s="830">
        <f t="shared" si="79"/>
        <v>0</v>
      </c>
      <c r="E247" s="830">
        <f t="shared" si="77"/>
        <v>0</v>
      </c>
      <c r="F247" s="830">
        <f t="shared" si="77"/>
        <v>0</v>
      </c>
      <c r="G247" s="830">
        <f t="shared" si="77"/>
        <v>0</v>
      </c>
      <c r="H247" s="830">
        <f t="shared" si="69"/>
        <v>0</v>
      </c>
      <c r="I247" s="830">
        <f t="shared" si="80"/>
        <v>0</v>
      </c>
      <c r="J247" s="830">
        <f t="shared" si="80"/>
        <v>0</v>
      </c>
      <c r="K247" s="830">
        <f t="shared" si="80"/>
        <v>0</v>
      </c>
      <c r="L247" s="830">
        <f t="shared" si="80"/>
        <v>0</v>
      </c>
      <c r="M247" s="830">
        <f t="shared" si="80"/>
        <v>0</v>
      </c>
      <c r="N247" s="830">
        <f t="shared" si="80"/>
        <v>0</v>
      </c>
      <c r="O247" s="830">
        <f t="shared" si="80"/>
        <v>0</v>
      </c>
      <c r="P247" s="830">
        <f t="shared" si="80"/>
        <v>0</v>
      </c>
      <c r="Q247" s="830">
        <f>ROUND(SUMIFS(Q$495:Q$866,$B$495:$B$866,$B247,$C$495:$C$866,$C247),0)</f>
        <v>0</v>
      </c>
      <c r="R247" s="830">
        <f t="shared" si="73"/>
        <v>0</v>
      </c>
      <c r="S247" s="830"/>
    </row>
    <row r="248" spans="1:19" s="593" customFormat="1" ht="12" hidden="1" thickBot="1">
      <c r="A248" s="541" t="s">
        <v>179</v>
      </c>
      <c r="B248" s="596" t="s">
        <v>1510</v>
      </c>
      <c r="C248" s="541" t="s">
        <v>684</v>
      </c>
      <c r="D248" s="830">
        <f t="shared" si="79"/>
        <v>0</v>
      </c>
      <c r="E248" s="830">
        <f t="shared" si="77"/>
        <v>0</v>
      </c>
      <c r="F248" s="830">
        <f t="shared" si="77"/>
        <v>0</v>
      </c>
      <c r="G248" s="830">
        <f t="shared" si="77"/>
        <v>0</v>
      </c>
      <c r="H248" s="830">
        <f t="shared" si="69"/>
        <v>0</v>
      </c>
      <c r="I248" s="830">
        <f t="shared" si="80"/>
        <v>0</v>
      </c>
      <c r="J248" s="830">
        <f t="shared" si="80"/>
        <v>0</v>
      </c>
      <c r="K248" s="830">
        <f t="shared" si="80"/>
        <v>0</v>
      </c>
      <c r="L248" s="830">
        <f t="shared" si="80"/>
        <v>0</v>
      </c>
      <c r="M248" s="830">
        <f t="shared" si="80"/>
        <v>0</v>
      </c>
      <c r="N248" s="830">
        <f t="shared" si="80"/>
        <v>0</v>
      </c>
      <c r="O248" s="830">
        <f t="shared" si="80"/>
        <v>0</v>
      </c>
      <c r="P248" s="830">
        <f t="shared" si="80"/>
        <v>0</v>
      </c>
      <c r="Q248" s="830">
        <f>ROUND(SUMIFS(Q$495:Q$866,$B$495:$B$866,$B248,$C$495:$C$866,$C248),0)</f>
        <v>0</v>
      </c>
      <c r="R248" s="830">
        <f t="shared" si="73"/>
        <v>0</v>
      </c>
      <c r="S248" s="830"/>
    </row>
    <row r="249" spans="1:19" s="593" customFormat="1" ht="12" hidden="1" thickBot="1">
      <c r="A249" s="541" t="s">
        <v>179</v>
      </c>
      <c r="B249" s="596" t="s">
        <v>1510</v>
      </c>
      <c r="C249" s="541" t="s">
        <v>685</v>
      </c>
      <c r="D249" s="830">
        <f t="shared" si="79"/>
        <v>0</v>
      </c>
      <c r="E249" s="830">
        <f t="shared" si="77"/>
        <v>0</v>
      </c>
      <c r="F249" s="830">
        <f t="shared" si="77"/>
        <v>0</v>
      </c>
      <c r="G249" s="830">
        <f t="shared" si="77"/>
        <v>0</v>
      </c>
      <c r="H249" s="830">
        <f t="shared" si="69"/>
        <v>0</v>
      </c>
      <c r="I249" s="830">
        <f t="shared" si="80"/>
        <v>0</v>
      </c>
      <c r="J249" s="830">
        <f t="shared" si="80"/>
        <v>0</v>
      </c>
      <c r="K249" s="830">
        <f t="shared" si="80"/>
        <v>0</v>
      </c>
      <c r="L249" s="830">
        <f t="shared" si="80"/>
        <v>0</v>
      </c>
      <c r="M249" s="830">
        <f t="shared" si="80"/>
        <v>0</v>
      </c>
      <c r="N249" s="830">
        <f t="shared" si="80"/>
        <v>0</v>
      </c>
      <c r="O249" s="830">
        <f t="shared" si="80"/>
        <v>0</v>
      </c>
      <c r="P249" s="830">
        <f t="shared" si="80"/>
        <v>0</v>
      </c>
      <c r="Q249" s="830">
        <f>ROUND(SUMIFS(Q$495:Q$866,$B$495:$B$866,$B249,$C$495:$C$866,$C249),0)</f>
        <v>0</v>
      </c>
      <c r="R249" s="830">
        <f t="shared" si="73"/>
        <v>0</v>
      </c>
      <c r="S249" s="830"/>
    </row>
    <row r="250" spans="1:19" s="593" customFormat="1" ht="12" hidden="1" thickBot="1">
      <c r="A250" s="541" t="s">
        <v>179</v>
      </c>
      <c r="B250" s="596" t="s">
        <v>1510</v>
      </c>
      <c r="C250" s="592" t="s">
        <v>8</v>
      </c>
      <c r="D250" s="558"/>
      <c r="E250" s="559"/>
      <c r="F250" s="559"/>
      <c r="G250" s="559"/>
      <c r="H250" s="558"/>
      <c r="I250" s="591"/>
      <c r="J250" s="591"/>
      <c r="K250" s="591"/>
      <c r="L250" s="559"/>
      <c r="M250" s="559"/>
      <c r="N250" s="591"/>
      <c r="O250" s="591"/>
      <c r="P250" s="591"/>
      <c r="Q250" s="591"/>
      <c r="R250" s="591"/>
      <c r="S250" s="559"/>
    </row>
    <row r="251" spans="1:19" s="593" customFormat="1" ht="12" hidden="1" thickBot="1">
      <c r="A251" s="541" t="s">
        <v>179</v>
      </c>
      <c r="B251" s="596" t="s">
        <v>1499</v>
      </c>
      <c r="C251" s="541" t="s">
        <v>152</v>
      </c>
      <c r="D251" s="830">
        <f t="shared" ref="D251:G271" si="81">ROUND(SUMIFS(D$495:D$866,$B$495:$B$866,$B251,$C$495:$C$866,$C251),0)</f>
        <v>32</v>
      </c>
      <c r="E251" s="830">
        <f t="shared" si="81"/>
        <v>0</v>
      </c>
      <c r="F251" s="830">
        <f t="shared" si="81"/>
        <v>0</v>
      </c>
      <c r="G251" s="830">
        <f t="shared" si="81"/>
        <v>0</v>
      </c>
      <c r="H251" s="830">
        <f t="shared" ref="H251:H289" si="82">ROUND(SUMIFS(H$495:H$866,$B$495:$B$866,$B251,$C$495:$C$866,$C251)*1000,0)</f>
        <v>124179788</v>
      </c>
      <c r="I251" s="830">
        <f t="shared" ref="I251:R251" si="83">ROUND(SUMIFS(I$495:I$866,$B$495:$B$866,$B251,$C$495:$C$866,$C251),0)</f>
        <v>0</v>
      </c>
      <c r="J251" s="830">
        <f t="shared" si="83"/>
        <v>0</v>
      </c>
      <c r="K251" s="830">
        <f t="shared" si="83"/>
        <v>0</v>
      </c>
      <c r="L251" s="830">
        <f t="shared" si="83"/>
        <v>0</v>
      </c>
      <c r="M251" s="830">
        <f t="shared" si="83"/>
        <v>0</v>
      </c>
      <c r="N251" s="830">
        <f t="shared" si="83"/>
        <v>0</v>
      </c>
      <c r="O251" s="830">
        <f t="shared" si="83"/>
        <v>303016</v>
      </c>
      <c r="P251" s="830">
        <f t="shared" si="83"/>
        <v>286022</v>
      </c>
      <c r="Q251" s="830">
        <f t="shared" si="83"/>
        <v>282760</v>
      </c>
      <c r="R251" s="830">
        <f t="shared" si="83"/>
        <v>0</v>
      </c>
      <c r="S251" s="830"/>
    </row>
    <row r="252" spans="1:19" s="593" customFormat="1" ht="12" hidden="1" thickBot="1">
      <c r="A252" s="541" t="s">
        <v>179</v>
      </c>
      <c r="B252" s="596" t="s">
        <v>1499</v>
      </c>
      <c r="C252" s="541" t="s">
        <v>153</v>
      </c>
      <c r="D252" s="830">
        <f t="shared" si="81"/>
        <v>204</v>
      </c>
      <c r="E252" s="830">
        <f t="shared" si="81"/>
        <v>0</v>
      </c>
      <c r="F252" s="830">
        <f t="shared" si="81"/>
        <v>0</v>
      </c>
      <c r="G252" s="830">
        <f t="shared" si="81"/>
        <v>0</v>
      </c>
      <c r="H252" s="830">
        <f t="shared" si="82"/>
        <v>22656623</v>
      </c>
      <c r="I252" s="830">
        <f t="shared" ref="I252:P261" si="84">ROUND(SUMIFS(I$495:I$866,$B$495:$B$866,$B252,$C$495:$C$866,$C252),0)</f>
        <v>0</v>
      </c>
      <c r="J252" s="830">
        <f t="shared" si="84"/>
        <v>0</v>
      </c>
      <c r="K252" s="830">
        <f t="shared" si="84"/>
        <v>0</v>
      </c>
      <c r="L252" s="830">
        <f t="shared" si="84"/>
        <v>0</v>
      </c>
      <c r="M252" s="830">
        <f t="shared" si="84"/>
        <v>0</v>
      </c>
      <c r="N252" s="830">
        <f t="shared" si="84"/>
        <v>0</v>
      </c>
      <c r="O252" s="830">
        <f t="shared" si="84"/>
        <v>0</v>
      </c>
      <c r="P252" s="830">
        <f t="shared" si="84"/>
        <v>0</v>
      </c>
      <c r="Q252" s="830">
        <f t="shared" ref="Q252:Q253" si="85">R252</f>
        <v>61569</v>
      </c>
      <c r="R252" s="830">
        <f t="shared" ref="R252:R289" si="86">ROUND(SUMIFS(R$495:R$866,$B$495:$B$866,$B252,$C$495:$C$866,$C252),0)</f>
        <v>61569</v>
      </c>
      <c r="S252" s="830"/>
    </row>
    <row r="253" spans="1:19" s="593" customFormat="1" ht="12" hidden="1" thickBot="1">
      <c r="A253" s="541" t="s">
        <v>179</v>
      </c>
      <c r="B253" s="596" t="s">
        <v>1499</v>
      </c>
      <c r="C253" s="541" t="s">
        <v>154</v>
      </c>
      <c r="D253" s="830">
        <f t="shared" si="81"/>
        <v>4710</v>
      </c>
      <c r="E253" s="830">
        <f t="shared" si="81"/>
        <v>0</v>
      </c>
      <c r="F253" s="830">
        <f t="shared" si="81"/>
        <v>0</v>
      </c>
      <c r="G253" s="830">
        <f t="shared" si="81"/>
        <v>0</v>
      </c>
      <c r="H253" s="830">
        <f t="shared" si="82"/>
        <v>209548842</v>
      </c>
      <c r="I253" s="830">
        <f t="shared" si="84"/>
        <v>0</v>
      </c>
      <c r="J253" s="830">
        <f t="shared" si="84"/>
        <v>0</v>
      </c>
      <c r="K253" s="830">
        <f t="shared" si="84"/>
        <v>0</v>
      </c>
      <c r="L253" s="830">
        <f t="shared" si="84"/>
        <v>0</v>
      </c>
      <c r="M253" s="830">
        <f t="shared" si="84"/>
        <v>0</v>
      </c>
      <c r="N253" s="830">
        <f t="shared" si="84"/>
        <v>0</v>
      </c>
      <c r="O253" s="830">
        <f t="shared" si="84"/>
        <v>0</v>
      </c>
      <c r="P253" s="830">
        <f t="shared" si="84"/>
        <v>0</v>
      </c>
      <c r="Q253" s="830">
        <f t="shared" si="85"/>
        <v>679556</v>
      </c>
      <c r="R253" s="830">
        <f t="shared" si="86"/>
        <v>679556</v>
      </c>
      <c r="S253" s="830"/>
    </row>
    <row r="254" spans="1:19" s="593" customFormat="1" ht="12" hidden="1" thickBot="1">
      <c r="A254" s="541" t="s">
        <v>179</v>
      </c>
      <c r="B254" s="596" t="s">
        <v>1499</v>
      </c>
      <c r="C254" s="541" t="s">
        <v>155</v>
      </c>
      <c r="D254" s="830">
        <f t="shared" si="81"/>
        <v>52</v>
      </c>
      <c r="E254" s="830">
        <f t="shared" si="81"/>
        <v>0</v>
      </c>
      <c r="F254" s="830">
        <f t="shared" si="81"/>
        <v>0</v>
      </c>
      <c r="G254" s="830">
        <f t="shared" si="81"/>
        <v>0</v>
      </c>
      <c r="H254" s="830">
        <f t="shared" si="82"/>
        <v>279512046</v>
      </c>
      <c r="I254" s="830">
        <f t="shared" si="84"/>
        <v>0</v>
      </c>
      <c r="J254" s="830">
        <f t="shared" si="84"/>
        <v>0</v>
      </c>
      <c r="K254" s="830">
        <f t="shared" si="84"/>
        <v>0</v>
      </c>
      <c r="L254" s="830">
        <f t="shared" si="84"/>
        <v>0</v>
      </c>
      <c r="M254" s="830">
        <f t="shared" si="84"/>
        <v>0</v>
      </c>
      <c r="N254" s="830">
        <f t="shared" si="84"/>
        <v>0</v>
      </c>
      <c r="O254" s="830">
        <f t="shared" si="84"/>
        <v>560341</v>
      </c>
      <c r="P254" s="830">
        <f t="shared" si="84"/>
        <v>548515</v>
      </c>
      <c r="Q254" s="830">
        <f t="shared" ref="Q254:Q261" si="87">ROUND(SUMIFS(Q$495:Q$866,$B$495:$B$866,$B254,$C$495:$C$866,$C254),0)</f>
        <v>538936</v>
      </c>
      <c r="R254" s="830">
        <f t="shared" si="86"/>
        <v>0</v>
      </c>
      <c r="S254" s="830"/>
    </row>
    <row r="255" spans="1:19" s="593" customFormat="1" ht="12" hidden="1" thickBot="1">
      <c r="A255" s="541" t="s">
        <v>179</v>
      </c>
      <c r="B255" s="596" t="s">
        <v>1499</v>
      </c>
      <c r="C255" s="541" t="s">
        <v>156</v>
      </c>
      <c r="D255" s="830">
        <f t="shared" si="81"/>
        <v>0</v>
      </c>
      <c r="E255" s="830">
        <f t="shared" si="81"/>
        <v>0</v>
      </c>
      <c r="F255" s="830">
        <f t="shared" si="81"/>
        <v>0</v>
      </c>
      <c r="G255" s="830">
        <f t="shared" si="81"/>
        <v>0</v>
      </c>
      <c r="H255" s="830">
        <f t="shared" si="82"/>
        <v>0</v>
      </c>
      <c r="I255" s="830">
        <f t="shared" si="84"/>
        <v>0</v>
      </c>
      <c r="J255" s="830">
        <f t="shared" si="84"/>
        <v>0</v>
      </c>
      <c r="K255" s="830">
        <f t="shared" si="84"/>
        <v>0</v>
      </c>
      <c r="L255" s="830">
        <f t="shared" si="84"/>
        <v>0</v>
      </c>
      <c r="M255" s="830">
        <f t="shared" si="84"/>
        <v>0</v>
      </c>
      <c r="N255" s="830">
        <f t="shared" si="84"/>
        <v>0</v>
      </c>
      <c r="O255" s="830">
        <f t="shared" si="84"/>
        <v>0</v>
      </c>
      <c r="P255" s="830">
        <f t="shared" si="84"/>
        <v>0</v>
      </c>
      <c r="Q255" s="830">
        <f t="shared" si="87"/>
        <v>0</v>
      </c>
      <c r="R255" s="830">
        <f t="shared" si="86"/>
        <v>0</v>
      </c>
      <c r="S255" s="830"/>
    </row>
    <row r="256" spans="1:19" s="593" customFormat="1" ht="12" hidden="1" thickBot="1">
      <c r="A256" s="541" t="s">
        <v>179</v>
      </c>
      <c r="B256" s="596" t="s">
        <v>1499</v>
      </c>
      <c r="C256" s="541" t="s">
        <v>157</v>
      </c>
      <c r="D256" s="830">
        <f t="shared" si="81"/>
        <v>0</v>
      </c>
      <c r="E256" s="830">
        <f t="shared" si="81"/>
        <v>0</v>
      </c>
      <c r="F256" s="830">
        <f t="shared" si="81"/>
        <v>0</v>
      </c>
      <c r="G256" s="830">
        <f t="shared" si="81"/>
        <v>0</v>
      </c>
      <c r="H256" s="830">
        <f t="shared" si="82"/>
        <v>0</v>
      </c>
      <c r="I256" s="830">
        <f t="shared" si="84"/>
        <v>0</v>
      </c>
      <c r="J256" s="830">
        <f t="shared" si="84"/>
        <v>0</v>
      </c>
      <c r="K256" s="830">
        <f t="shared" si="84"/>
        <v>0</v>
      </c>
      <c r="L256" s="830">
        <f t="shared" si="84"/>
        <v>0</v>
      </c>
      <c r="M256" s="830">
        <f t="shared" si="84"/>
        <v>0</v>
      </c>
      <c r="N256" s="830">
        <f t="shared" si="84"/>
        <v>0</v>
      </c>
      <c r="O256" s="830">
        <f t="shared" si="84"/>
        <v>0</v>
      </c>
      <c r="P256" s="830">
        <f t="shared" si="84"/>
        <v>0</v>
      </c>
      <c r="Q256" s="830">
        <f t="shared" si="87"/>
        <v>0</v>
      </c>
      <c r="R256" s="830">
        <f t="shared" si="86"/>
        <v>0</v>
      </c>
      <c r="S256" s="830"/>
    </row>
    <row r="257" spans="1:19" s="593" customFormat="1" ht="12" hidden="1" thickBot="1">
      <c r="A257" s="541" t="s">
        <v>179</v>
      </c>
      <c r="B257" s="596" t="s">
        <v>1499</v>
      </c>
      <c r="C257" s="541" t="s">
        <v>158</v>
      </c>
      <c r="D257" s="830">
        <f t="shared" si="81"/>
        <v>194</v>
      </c>
      <c r="E257" s="830">
        <f t="shared" si="81"/>
        <v>0</v>
      </c>
      <c r="F257" s="830">
        <f t="shared" si="81"/>
        <v>0</v>
      </c>
      <c r="G257" s="830">
        <f t="shared" si="81"/>
        <v>0</v>
      </c>
      <c r="H257" s="830">
        <f t="shared" si="82"/>
        <v>116315819</v>
      </c>
      <c r="I257" s="830">
        <f t="shared" si="84"/>
        <v>0</v>
      </c>
      <c r="J257" s="830">
        <f t="shared" si="84"/>
        <v>0</v>
      </c>
      <c r="K257" s="830">
        <f t="shared" si="84"/>
        <v>0</v>
      </c>
      <c r="L257" s="830">
        <f t="shared" si="84"/>
        <v>0</v>
      </c>
      <c r="M257" s="830">
        <f t="shared" si="84"/>
        <v>0</v>
      </c>
      <c r="N257" s="830">
        <f t="shared" si="84"/>
        <v>0</v>
      </c>
      <c r="O257" s="830">
        <f t="shared" si="84"/>
        <v>298883</v>
      </c>
      <c r="P257" s="830">
        <f t="shared" si="84"/>
        <v>286626</v>
      </c>
      <c r="Q257" s="830">
        <f t="shared" si="87"/>
        <v>280422</v>
      </c>
      <c r="R257" s="830">
        <f t="shared" si="86"/>
        <v>0</v>
      </c>
      <c r="S257" s="830"/>
    </row>
    <row r="258" spans="1:19" s="593" customFormat="1" ht="12" hidden="1" thickBot="1">
      <c r="A258" s="541" t="s">
        <v>179</v>
      </c>
      <c r="B258" s="596" t="s">
        <v>1499</v>
      </c>
      <c r="C258" s="541" t="s">
        <v>159</v>
      </c>
      <c r="D258" s="830">
        <f t="shared" si="81"/>
        <v>461</v>
      </c>
      <c r="E258" s="830">
        <f t="shared" si="81"/>
        <v>0</v>
      </c>
      <c r="F258" s="830">
        <f t="shared" si="81"/>
        <v>0</v>
      </c>
      <c r="G258" s="830">
        <f t="shared" si="81"/>
        <v>0</v>
      </c>
      <c r="H258" s="830">
        <f t="shared" si="82"/>
        <v>149714839</v>
      </c>
      <c r="I258" s="830">
        <f t="shared" si="84"/>
        <v>0</v>
      </c>
      <c r="J258" s="830">
        <f t="shared" si="84"/>
        <v>0</v>
      </c>
      <c r="K258" s="830">
        <f t="shared" si="84"/>
        <v>0</v>
      </c>
      <c r="L258" s="830">
        <f t="shared" si="84"/>
        <v>0</v>
      </c>
      <c r="M258" s="830">
        <f t="shared" si="84"/>
        <v>0</v>
      </c>
      <c r="N258" s="830">
        <f t="shared" si="84"/>
        <v>0</v>
      </c>
      <c r="O258" s="830">
        <f t="shared" si="84"/>
        <v>361109</v>
      </c>
      <c r="P258" s="830">
        <f t="shared" si="84"/>
        <v>337141</v>
      </c>
      <c r="Q258" s="830">
        <f t="shared" si="87"/>
        <v>330579</v>
      </c>
      <c r="R258" s="830">
        <f t="shared" si="86"/>
        <v>0</v>
      </c>
      <c r="S258" s="830"/>
    </row>
    <row r="259" spans="1:19" s="593" customFormat="1" ht="12" hidden="1" thickBot="1">
      <c r="A259" s="541" t="s">
        <v>179</v>
      </c>
      <c r="B259" s="596" t="s">
        <v>1499</v>
      </c>
      <c r="C259" s="541" t="s">
        <v>161</v>
      </c>
      <c r="D259" s="830">
        <f t="shared" si="81"/>
        <v>63491</v>
      </c>
      <c r="E259" s="830">
        <f t="shared" si="81"/>
        <v>0</v>
      </c>
      <c r="F259" s="830">
        <f t="shared" si="81"/>
        <v>0</v>
      </c>
      <c r="G259" s="830">
        <f t="shared" si="81"/>
        <v>0</v>
      </c>
      <c r="H259" s="830">
        <f t="shared" si="82"/>
        <v>71183680</v>
      </c>
      <c r="I259" s="830">
        <f t="shared" si="84"/>
        <v>0</v>
      </c>
      <c r="J259" s="830">
        <f t="shared" si="84"/>
        <v>0</v>
      </c>
      <c r="K259" s="830">
        <f t="shared" si="84"/>
        <v>0</v>
      </c>
      <c r="L259" s="830">
        <f t="shared" si="84"/>
        <v>0</v>
      </c>
      <c r="M259" s="830">
        <f t="shared" si="84"/>
        <v>0</v>
      </c>
      <c r="N259" s="830">
        <f t="shared" si="84"/>
        <v>0</v>
      </c>
      <c r="O259" s="830">
        <f t="shared" si="84"/>
        <v>0</v>
      </c>
      <c r="P259" s="830">
        <f t="shared" si="84"/>
        <v>0</v>
      </c>
      <c r="Q259" s="830">
        <f t="shared" si="87"/>
        <v>0</v>
      </c>
      <c r="R259" s="830">
        <f t="shared" si="86"/>
        <v>0</v>
      </c>
      <c r="S259" s="830"/>
    </row>
    <row r="260" spans="1:19" s="593" customFormat="1" ht="12" hidden="1" thickBot="1">
      <c r="A260" s="541" t="s">
        <v>179</v>
      </c>
      <c r="B260" s="596" t="s">
        <v>1499</v>
      </c>
      <c r="C260" s="541" t="s">
        <v>162</v>
      </c>
      <c r="D260" s="830">
        <f t="shared" si="81"/>
        <v>0</v>
      </c>
      <c r="E260" s="830">
        <f t="shared" si="81"/>
        <v>0</v>
      </c>
      <c r="F260" s="830">
        <f t="shared" si="81"/>
        <v>0</v>
      </c>
      <c r="G260" s="830">
        <f t="shared" si="81"/>
        <v>0</v>
      </c>
      <c r="H260" s="830">
        <f t="shared" si="82"/>
        <v>0</v>
      </c>
      <c r="I260" s="830">
        <f t="shared" si="84"/>
        <v>0</v>
      </c>
      <c r="J260" s="830">
        <f t="shared" si="84"/>
        <v>0</v>
      </c>
      <c r="K260" s="830">
        <f t="shared" si="84"/>
        <v>0</v>
      </c>
      <c r="L260" s="830">
        <f t="shared" si="84"/>
        <v>0</v>
      </c>
      <c r="M260" s="830">
        <f t="shared" si="84"/>
        <v>0</v>
      </c>
      <c r="N260" s="830">
        <f t="shared" si="84"/>
        <v>0</v>
      </c>
      <c r="O260" s="830">
        <f t="shared" si="84"/>
        <v>0</v>
      </c>
      <c r="P260" s="830">
        <f t="shared" si="84"/>
        <v>0</v>
      </c>
      <c r="Q260" s="830">
        <f t="shared" si="87"/>
        <v>0</v>
      </c>
      <c r="R260" s="830">
        <f t="shared" si="86"/>
        <v>0</v>
      </c>
      <c r="S260" s="830"/>
    </row>
    <row r="261" spans="1:19" s="593" customFormat="1" ht="12" hidden="1" thickBot="1">
      <c r="A261" s="541" t="s">
        <v>179</v>
      </c>
      <c r="B261" s="596" t="s">
        <v>1499</v>
      </c>
      <c r="C261" s="541" t="s">
        <v>163</v>
      </c>
      <c r="D261" s="830">
        <f t="shared" si="81"/>
        <v>18559</v>
      </c>
      <c r="E261" s="830">
        <f t="shared" si="81"/>
        <v>0</v>
      </c>
      <c r="F261" s="830">
        <f t="shared" si="81"/>
        <v>0</v>
      </c>
      <c r="G261" s="830">
        <f t="shared" si="81"/>
        <v>0</v>
      </c>
      <c r="H261" s="830">
        <f t="shared" si="82"/>
        <v>104399599</v>
      </c>
      <c r="I261" s="830">
        <f t="shared" si="84"/>
        <v>0</v>
      </c>
      <c r="J261" s="830">
        <f t="shared" si="84"/>
        <v>0</v>
      </c>
      <c r="K261" s="830">
        <f t="shared" si="84"/>
        <v>0</v>
      </c>
      <c r="L261" s="830">
        <f t="shared" si="84"/>
        <v>0</v>
      </c>
      <c r="M261" s="830">
        <f t="shared" si="84"/>
        <v>0</v>
      </c>
      <c r="N261" s="830">
        <f t="shared" si="84"/>
        <v>0</v>
      </c>
      <c r="O261" s="830">
        <f>R261</f>
        <v>378299</v>
      </c>
      <c r="P261" s="830">
        <f t="shared" si="84"/>
        <v>0</v>
      </c>
      <c r="Q261" s="830">
        <f t="shared" si="87"/>
        <v>0</v>
      </c>
      <c r="R261" s="830">
        <f t="shared" si="86"/>
        <v>378299</v>
      </c>
      <c r="S261" s="830"/>
    </row>
    <row r="262" spans="1:19" s="593" customFormat="1" ht="12" hidden="1" thickBot="1">
      <c r="A262" s="541" t="s">
        <v>179</v>
      </c>
      <c r="B262" s="596" t="s">
        <v>1499</v>
      </c>
      <c r="C262" s="541" t="s">
        <v>164</v>
      </c>
      <c r="D262" s="830">
        <f t="shared" si="81"/>
        <v>377</v>
      </c>
      <c r="E262" s="830">
        <f t="shared" si="81"/>
        <v>0</v>
      </c>
      <c r="F262" s="830">
        <f t="shared" si="81"/>
        <v>0</v>
      </c>
      <c r="G262" s="830">
        <f t="shared" si="81"/>
        <v>0</v>
      </c>
      <c r="H262" s="830">
        <f t="shared" si="82"/>
        <v>629052</v>
      </c>
      <c r="I262" s="830">
        <f t="shared" ref="I262:P271" si="88">ROUND(SUMIFS(I$495:I$866,$B$495:$B$866,$B262,$C$495:$C$866,$C262),0)</f>
        <v>0</v>
      </c>
      <c r="J262" s="830">
        <f t="shared" si="88"/>
        <v>0</v>
      </c>
      <c r="K262" s="830">
        <f t="shared" si="88"/>
        <v>0</v>
      </c>
      <c r="L262" s="830">
        <f t="shared" si="88"/>
        <v>0</v>
      </c>
      <c r="M262" s="830">
        <f t="shared" si="88"/>
        <v>0</v>
      </c>
      <c r="N262" s="830">
        <f t="shared" si="88"/>
        <v>0</v>
      </c>
      <c r="O262" s="830">
        <f t="shared" si="88"/>
        <v>0</v>
      </c>
      <c r="P262" s="830">
        <f t="shared" si="88"/>
        <v>0</v>
      </c>
      <c r="Q262" s="830">
        <f t="shared" ref="Q262:Q285" si="89">ROUND(SUMIFS(Q$495:Q$866,$B$495:$B$866,$B262,$C$495:$C$866,$C262),0)</f>
        <v>0</v>
      </c>
      <c r="R262" s="830">
        <f t="shared" si="86"/>
        <v>0</v>
      </c>
      <c r="S262" s="830"/>
    </row>
    <row r="263" spans="1:19" s="593" customFormat="1" ht="12" hidden="1" thickBot="1">
      <c r="A263" s="541" t="s">
        <v>179</v>
      </c>
      <c r="B263" s="596" t="s">
        <v>1499</v>
      </c>
      <c r="C263" s="541" t="s">
        <v>174</v>
      </c>
      <c r="D263" s="830">
        <f t="shared" si="81"/>
        <v>429309</v>
      </c>
      <c r="E263" s="830">
        <f t="shared" si="81"/>
        <v>0</v>
      </c>
      <c r="F263" s="830">
        <f t="shared" si="81"/>
        <v>0</v>
      </c>
      <c r="G263" s="830">
        <f t="shared" si="81"/>
        <v>0</v>
      </c>
      <c r="H263" s="830">
        <f t="shared" si="82"/>
        <v>564329531</v>
      </c>
      <c r="I263" s="830">
        <f t="shared" si="88"/>
        <v>0</v>
      </c>
      <c r="J263" s="830">
        <f t="shared" si="88"/>
        <v>0</v>
      </c>
      <c r="K263" s="830">
        <f t="shared" si="88"/>
        <v>0</v>
      </c>
      <c r="L263" s="830">
        <f t="shared" si="88"/>
        <v>0</v>
      </c>
      <c r="M263" s="830">
        <f t="shared" si="88"/>
        <v>0</v>
      </c>
      <c r="N263" s="830">
        <f t="shared" si="88"/>
        <v>0</v>
      </c>
      <c r="O263" s="830">
        <f t="shared" si="88"/>
        <v>0</v>
      </c>
      <c r="P263" s="830">
        <f t="shared" si="88"/>
        <v>0</v>
      </c>
      <c r="Q263" s="830">
        <f t="shared" si="89"/>
        <v>0</v>
      </c>
      <c r="R263" s="830">
        <f t="shared" si="86"/>
        <v>0</v>
      </c>
      <c r="S263" s="830"/>
    </row>
    <row r="264" spans="1:19" s="593" customFormat="1" ht="12" hidden="1" thickBot="1">
      <c r="A264" s="541" t="s">
        <v>179</v>
      </c>
      <c r="B264" s="596" t="s">
        <v>1499</v>
      </c>
      <c r="C264" s="541" t="s">
        <v>175</v>
      </c>
      <c r="D264" s="830">
        <f t="shared" si="81"/>
        <v>0</v>
      </c>
      <c r="E264" s="830">
        <f t="shared" si="81"/>
        <v>0</v>
      </c>
      <c r="F264" s="830">
        <f t="shared" si="81"/>
        <v>0</v>
      </c>
      <c r="G264" s="830">
        <f t="shared" si="81"/>
        <v>0</v>
      </c>
      <c r="H264" s="830">
        <f t="shared" si="82"/>
        <v>0</v>
      </c>
      <c r="I264" s="830">
        <f t="shared" si="88"/>
        <v>0</v>
      </c>
      <c r="J264" s="830">
        <f t="shared" si="88"/>
        <v>0</v>
      </c>
      <c r="K264" s="830">
        <f t="shared" si="88"/>
        <v>0</v>
      </c>
      <c r="L264" s="830">
        <f t="shared" si="88"/>
        <v>0</v>
      </c>
      <c r="M264" s="830">
        <f t="shared" si="88"/>
        <v>0</v>
      </c>
      <c r="N264" s="830">
        <f t="shared" si="88"/>
        <v>0</v>
      </c>
      <c r="O264" s="830">
        <f t="shared" si="88"/>
        <v>0</v>
      </c>
      <c r="P264" s="830">
        <f t="shared" si="88"/>
        <v>0</v>
      </c>
      <c r="Q264" s="830">
        <f t="shared" si="89"/>
        <v>0</v>
      </c>
      <c r="R264" s="830">
        <f t="shared" si="86"/>
        <v>0</v>
      </c>
      <c r="S264" s="830"/>
    </row>
    <row r="265" spans="1:19" s="593" customFormat="1" ht="12" hidden="1" thickBot="1">
      <c r="A265" s="541" t="s">
        <v>179</v>
      </c>
      <c r="B265" s="596" t="s">
        <v>1499</v>
      </c>
      <c r="C265" s="541" t="s">
        <v>176</v>
      </c>
      <c r="D265" s="830">
        <f t="shared" si="81"/>
        <v>0</v>
      </c>
      <c r="E265" s="830">
        <f t="shared" si="81"/>
        <v>0</v>
      </c>
      <c r="F265" s="830">
        <f t="shared" si="81"/>
        <v>0</v>
      </c>
      <c r="G265" s="830">
        <f t="shared" si="81"/>
        <v>0</v>
      </c>
      <c r="H265" s="830">
        <f t="shared" si="82"/>
        <v>0</v>
      </c>
      <c r="I265" s="830">
        <f t="shared" si="88"/>
        <v>0</v>
      </c>
      <c r="J265" s="830">
        <f t="shared" si="88"/>
        <v>0</v>
      </c>
      <c r="K265" s="830">
        <f t="shared" si="88"/>
        <v>0</v>
      </c>
      <c r="L265" s="830">
        <f t="shared" si="88"/>
        <v>0</v>
      </c>
      <c r="M265" s="830">
        <f t="shared" si="88"/>
        <v>0</v>
      </c>
      <c r="N265" s="830">
        <f t="shared" si="88"/>
        <v>0</v>
      </c>
      <c r="O265" s="830">
        <f t="shared" si="88"/>
        <v>0</v>
      </c>
      <c r="P265" s="830">
        <f t="shared" si="88"/>
        <v>0</v>
      </c>
      <c r="Q265" s="830">
        <f t="shared" si="89"/>
        <v>0</v>
      </c>
      <c r="R265" s="830">
        <f t="shared" si="86"/>
        <v>0</v>
      </c>
      <c r="S265" s="830"/>
    </row>
    <row r="266" spans="1:19" s="593" customFormat="1" ht="12" hidden="1" thickBot="1">
      <c r="A266" s="541" t="s">
        <v>179</v>
      </c>
      <c r="B266" s="596" t="s">
        <v>1499</v>
      </c>
      <c r="C266" s="541" t="s">
        <v>177</v>
      </c>
      <c r="D266" s="830">
        <f t="shared" si="81"/>
        <v>0</v>
      </c>
      <c r="E266" s="830">
        <f t="shared" si="81"/>
        <v>0</v>
      </c>
      <c r="F266" s="830">
        <f t="shared" si="81"/>
        <v>0</v>
      </c>
      <c r="G266" s="830">
        <f t="shared" si="81"/>
        <v>0</v>
      </c>
      <c r="H266" s="830">
        <f t="shared" si="82"/>
        <v>0</v>
      </c>
      <c r="I266" s="830">
        <f t="shared" si="88"/>
        <v>0</v>
      </c>
      <c r="J266" s="830">
        <f t="shared" si="88"/>
        <v>0</v>
      </c>
      <c r="K266" s="830">
        <f t="shared" si="88"/>
        <v>0</v>
      </c>
      <c r="L266" s="830">
        <f t="shared" si="88"/>
        <v>0</v>
      </c>
      <c r="M266" s="830">
        <f t="shared" si="88"/>
        <v>0</v>
      </c>
      <c r="N266" s="830">
        <f t="shared" si="88"/>
        <v>0</v>
      </c>
      <c r="O266" s="830">
        <f t="shared" si="88"/>
        <v>0</v>
      </c>
      <c r="P266" s="830">
        <f t="shared" si="88"/>
        <v>0</v>
      </c>
      <c r="Q266" s="830">
        <f t="shared" si="89"/>
        <v>0</v>
      </c>
      <c r="R266" s="830">
        <f t="shared" si="86"/>
        <v>0</v>
      </c>
      <c r="S266" s="830"/>
    </row>
    <row r="267" spans="1:19" s="593" customFormat="1" ht="12" hidden="1" thickBot="1">
      <c r="A267" s="541" t="s">
        <v>179</v>
      </c>
      <c r="B267" s="596" t="s">
        <v>1499</v>
      </c>
      <c r="C267" s="541" t="s">
        <v>178</v>
      </c>
      <c r="D267" s="830">
        <f t="shared" si="81"/>
        <v>0</v>
      </c>
      <c r="E267" s="830">
        <f t="shared" si="81"/>
        <v>0</v>
      </c>
      <c r="F267" s="830">
        <f t="shared" si="81"/>
        <v>0</v>
      </c>
      <c r="G267" s="830">
        <f t="shared" si="81"/>
        <v>0</v>
      </c>
      <c r="H267" s="830">
        <f t="shared" si="82"/>
        <v>0</v>
      </c>
      <c r="I267" s="830">
        <f t="shared" si="88"/>
        <v>0</v>
      </c>
      <c r="J267" s="830">
        <f t="shared" si="88"/>
        <v>0</v>
      </c>
      <c r="K267" s="830">
        <f t="shared" si="88"/>
        <v>0</v>
      </c>
      <c r="L267" s="830">
        <f t="shared" si="88"/>
        <v>0</v>
      </c>
      <c r="M267" s="830">
        <f t="shared" si="88"/>
        <v>0</v>
      </c>
      <c r="N267" s="830">
        <f t="shared" si="88"/>
        <v>0</v>
      </c>
      <c r="O267" s="830">
        <f t="shared" si="88"/>
        <v>0</v>
      </c>
      <c r="P267" s="830">
        <f t="shared" si="88"/>
        <v>0</v>
      </c>
      <c r="Q267" s="830">
        <f t="shared" si="89"/>
        <v>0</v>
      </c>
      <c r="R267" s="830">
        <f t="shared" si="86"/>
        <v>0</v>
      </c>
      <c r="S267" s="830"/>
    </row>
    <row r="268" spans="1:19" s="593" customFormat="1" ht="12" hidden="1" thickBot="1">
      <c r="A268" s="541" t="s">
        <v>179</v>
      </c>
      <c r="B268" s="596" t="s">
        <v>1499</v>
      </c>
      <c r="C268" s="541" t="s">
        <v>424</v>
      </c>
      <c r="D268" s="830">
        <f t="shared" si="81"/>
        <v>0</v>
      </c>
      <c r="E268" s="830">
        <f t="shared" si="81"/>
        <v>0</v>
      </c>
      <c r="F268" s="830">
        <f t="shared" si="81"/>
        <v>0</v>
      </c>
      <c r="G268" s="830">
        <f t="shared" si="81"/>
        <v>0</v>
      </c>
      <c r="H268" s="830">
        <f t="shared" si="82"/>
        <v>0</v>
      </c>
      <c r="I268" s="830">
        <f t="shared" si="88"/>
        <v>0</v>
      </c>
      <c r="J268" s="830">
        <f t="shared" si="88"/>
        <v>0</v>
      </c>
      <c r="K268" s="830">
        <f t="shared" si="88"/>
        <v>0</v>
      </c>
      <c r="L268" s="830">
        <f t="shared" si="88"/>
        <v>0</v>
      </c>
      <c r="M268" s="830">
        <f t="shared" si="88"/>
        <v>0</v>
      </c>
      <c r="N268" s="830">
        <f t="shared" si="88"/>
        <v>0</v>
      </c>
      <c r="O268" s="830">
        <f t="shared" si="88"/>
        <v>0</v>
      </c>
      <c r="P268" s="830">
        <f t="shared" si="88"/>
        <v>0</v>
      </c>
      <c r="Q268" s="830">
        <f t="shared" si="89"/>
        <v>0</v>
      </c>
      <c r="R268" s="830">
        <f t="shared" si="86"/>
        <v>0</v>
      </c>
      <c r="S268" s="830"/>
    </row>
    <row r="269" spans="1:19" s="593" customFormat="1" ht="12" hidden="1" thickBot="1">
      <c r="A269" s="541" t="s">
        <v>179</v>
      </c>
      <c r="B269" s="596" t="s">
        <v>1499</v>
      </c>
      <c r="C269" s="541" t="s">
        <v>425</v>
      </c>
      <c r="D269" s="830">
        <f t="shared" si="81"/>
        <v>0</v>
      </c>
      <c r="E269" s="830">
        <f t="shared" si="81"/>
        <v>0</v>
      </c>
      <c r="F269" s="830">
        <f t="shared" si="81"/>
        <v>0</v>
      </c>
      <c r="G269" s="830">
        <f t="shared" si="81"/>
        <v>0</v>
      </c>
      <c r="H269" s="830">
        <f t="shared" si="82"/>
        <v>0</v>
      </c>
      <c r="I269" s="830">
        <f t="shared" si="88"/>
        <v>0</v>
      </c>
      <c r="J269" s="830">
        <f t="shared" si="88"/>
        <v>0</v>
      </c>
      <c r="K269" s="830">
        <f t="shared" si="88"/>
        <v>0</v>
      </c>
      <c r="L269" s="830">
        <f t="shared" si="88"/>
        <v>0</v>
      </c>
      <c r="M269" s="830">
        <f t="shared" si="88"/>
        <v>0</v>
      </c>
      <c r="N269" s="830">
        <f t="shared" si="88"/>
        <v>0</v>
      </c>
      <c r="O269" s="830">
        <f t="shared" si="88"/>
        <v>0</v>
      </c>
      <c r="P269" s="830">
        <f t="shared" si="88"/>
        <v>0</v>
      </c>
      <c r="Q269" s="830">
        <f t="shared" si="89"/>
        <v>0</v>
      </c>
      <c r="R269" s="830">
        <f t="shared" si="86"/>
        <v>0</v>
      </c>
      <c r="S269" s="830"/>
    </row>
    <row r="270" spans="1:19" s="593" customFormat="1" ht="12" hidden="1" thickBot="1">
      <c r="A270" s="541" t="s">
        <v>179</v>
      </c>
      <c r="B270" s="596" t="s">
        <v>1499</v>
      </c>
      <c r="C270" s="541" t="s">
        <v>169</v>
      </c>
      <c r="D270" s="830">
        <f t="shared" si="81"/>
        <v>0</v>
      </c>
      <c r="E270" s="830">
        <f t="shared" si="81"/>
        <v>0</v>
      </c>
      <c r="F270" s="830">
        <f t="shared" si="81"/>
        <v>0</v>
      </c>
      <c r="G270" s="830">
        <f t="shared" si="81"/>
        <v>0</v>
      </c>
      <c r="H270" s="830">
        <f t="shared" si="82"/>
        <v>0</v>
      </c>
      <c r="I270" s="830">
        <f t="shared" si="88"/>
        <v>0</v>
      </c>
      <c r="J270" s="830">
        <f t="shared" si="88"/>
        <v>0</v>
      </c>
      <c r="K270" s="830">
        <f t="shared" si="88"/>
        <v>0</v>
      </c>
      <c r="L270" s="830">
        <f t="shared" si="88"/>
        <v>0</v>
      </c>
      <c r="M270" s="830">
        <f t="shared" si="88"/>
        <v>0</v>
      </c>
      <c r="N270" s="830">
        <f t="shared" si="88"/>
        <v>0</v>
      </c>
      <c r="O270" s="830">
        <f t="shared" si="88"/>
        <v>0</v>
      </c>
      <c r="P270" s="830">
        <f t="shared" si="88"/>
        <v>0</v>
      </c>
      <c r="Q270" s="830">
        <f t="shared" si="89"/>
        <v>0</v>
      </c>
      <c r="R270" s="830">
        <f t="shared" si="86"/>
        <v>0</v>
      </c>
      <c r="S270" s="830"/>
    </row>
    <row r="271" spans="1:19" s="593" customFormat="1" ht="12" hidden="1" thickBot="1">
      <c r="A271" s="541" t="s">
        <v>179</v>
      </c>
      <c r="B271" s="596" t="s">
        <v>1499</v>
      </c>
      <c r="C271" s="541" t="s">
        <v>173</v>
      </c>
      <c r="D271" s="830">
        <f t="shared" si="81"/>
        <v>1</v>
      </c>
      <c r="E271" s="830">
        <f t="shared" si="81"/>
        <v>0</v>
      </c>
      <c r="F271" s="830">
        <f t="shared" si="81"/>
        <v>0</v>
      </c>
      <c r="G271" s="830">
        <f t="shared" si="81"/>
        <v>0</v>
      </c>
      <c r="H271" s="830">
        <f t="shared" si="82"/>
        <v>44549469</v>
      </c>
      <c r="I271" s="830">
        <f t="shared" si="88"/>
        <v>0</v>
      </c>
      <c r="J271" s="830">
        <f t="shared" si="88"/>
        <v>0</v>
      </c>
      <c r="K271" s="830">
        <f t="shared" si="88"/>
        <v>0</v>
      </c>
      <c r="L271" s="830">
        <f t="shared" si="88"/>
        <v>0</v>
      </c>
      <c r="M271" s="830">
        <f t="shared" si="88"/>
        <v>0</v>
      </c>
      <c r="N271" s="830">
        <f t="shared" si="88"/>
        <v>0</v>
      </c>
      <c r="O271" s="830">
        <f t="shared" si="88"/>
        <v>185158</v>
      </c>
      <c r="P271" s="830">
        <f t="shared" si="88"/>
        <v>185158</v>
      </c>
      <c r="Q271" s="830">
        <f t="shared" si="89"/>
        <v>101388</v>
      </c>
      <c r="R271" s="830">
        <f t="shared" si="86"/>
        <v>0</v>
      </c>
      <c r="S271" s="830"/>
    </row>
    <row r="272" spans="1:19" s="593" customFormat="1" ht="12" hidden="1" thickBot="1">
      <c r="A272" s="541" t="s">
        <v>179</v>
      </c>
      <c r="B272" s="596" t="s">
        <v>1499</v>
      </c>
      <c r="C272" s="541" t="s">
        <v>217</v>
      </c>
      <c r="D272" s="830">
        <v>2</v>
      </c>
      <c r="E272" s="830">
        <f t="shared" ref="E272:G289" si="90">ROUND(SUMIFS(E$495:E$866,$B$495:$B$866,$B272,$C$495:$C$866,$C272),0)</f>
        <v>0</v>
      </c>
      <c r="F272" s="830">
        <f t="shared" si="90"/>
        <v>0</v>
      </c>
      <c r="G272" s="830">
        <f t="shared" si="90"/>
        <v>0</v>
      </c>
      <c r="H272" s="830">
        <f t="shared" si="82"/>
        <v>8713</v>
      </c>
      <c r="I272" s="830">
        <f t="shared" ref="I272:P281" si="91">ROUND(SUMIFS(I$495:I$866,$B$495:$B$866,$B272,$C$495:$C$866,$C272),0)</f>
        <v>0</v>
      </c>
      <c r="J272" s="830">
        <f t="shared" si="91"/>
        <v>0</v>
      </c>
      <c r="K272" s="830">
        <f t="shared" si="91"/>
        <v>0</v>
      </c>
      <c r="L272" s="830">
        <f t="shared" si="91"/>
        <v>0</v>
      </c>
      <c r="M272" s="830">
        <f t="shared" si="91"/>
        <v>0</v>
      </c>
      <c r="N272" s="830">
        <f t="shared" si="91"/>
        <v>0</v>
      </c>
      <c r="O272" s="830">
        <f t="shared" si="91"/>
        <v>0</v>
      </c>
      <c r="P272" s="830">
        <f t="shared" si="91"/>
        <v>0</v>
      </c>
      <c r="Q272" s="830">
        <f t="shared" si="89"/>
        <v>0</v>
      </c>
      <c r="R272" s="830">
        <f t="shared" si="86"/>
        <v>0</v>
      </c>
      <c r="S272" s="830"/>
    </row>
    <row r="273" spans="1:19" s="593" customFormat="1" ht="12" hidden="1" thickBot="1">
      <c r="A273" s="541" t="s">
        <v>179</v>
      </c>
      <c r="B273" s="596" t="s">
        <v>1499</v>
      </c>
      <c r="C273" s="541" t="s">
        <v>216</v>
      </c>
      <c r="D273" s="830">
        <f t="shared" ref="D273:D289" si="92">ROUND(SUMIFS(D$495:D$866,$B$495:$B$866,$B273,$C$495:$C$866,$C273),0)</f>
        <v>0</v>
      </c>
      <c r="E273" s="830">
        <f t="shared" si="90"/>
        <v>0</v>
      </c>
      <c r="F273" s="830">
        <f t="shared" si="90"/>
        <v>0</v>
      </c>
      <c r="G273" s="830">
        <f t="shared" si="90"/>
        <v>0</v>
      </c>
      <c r="H273" s="830">
        <f t="shared" si="82"/>
        <v>0</v>
      </c>
      <c r="I273" s="830">
        <f t="shared" si="91"/>
        <v>0</v>
      </c>
      <c r="J273" s="830">
        <f t="shared" si="91"/>
        <v>0</v>
      </c>
      <c r="K273" s="830">
        <f t="shared" si="91"/>
        <v>0</v>
      </c>
      <c r="L273" s="830">
        <f t="shared" si="91"/>
        <v>0</v>
      </c>
      <c r="M273" s="830">
        <f t="shared" si="91"/>
        <v>0</v>
      </c>
      <c r="N273" s="830">
        <f t="shared" si="91"/>
        <v>0</v>
      </c>
      <c r="O273" s="830">
        <f t="shared" si="91"/>
        <v>0</v>
      </c>
      <c r="P273" s="830">
        <f t="shared" si="91"/>
        <v>0</v>
      </c>
      <c r="Q273" s="830">
        <f t="shared" si="89"/>
        <v>0</v>
      </c>
      <c r="R273" s="830">
        <f t="shared" si="86"/>
        <v>0</v>
      </c>
      <c r="S273" s="830"/>
    </row>
    <row r="274" spans="1:19" s="593" customFormat="1" ht="12" hidden="1" thickBot="1">
      <c r="A274" s="541" t="s">
        <v>179</v>
      </c>
      <c r="B274" s="596" t="s">
        <v>1499</v>
      </c>
      <c r="C274" s="541" t="s">
        <v>168</v>
      </c>
      <c r="D274" s="830">
        <f t="shared" si="92"/>
        <v>747</v>
      </c>
      <c r="E274" s="830">
        <f t="shared" si="90"/>
        <v>0</v>
      </c>
      <c r="F274" s="830">
        <f t="shared" si="90"/>
        <v>0</v>
      </c>
      <c r="G274" s="830">
        <f t="shared" si="90"/>
        <v>0</v>
      </c>
      <c r="H274" s="830">
        <f t="shared" si="82"/>
        <v>101733</v>
      </c>
      <c r="I274" s="830">
        <f t="shared" si="91"/>
        <v>0</v>
      </c>
      <c r="J274" s="830">
        <f t="shared" si="91"/>
        <v>0</v>
      </c>
      <c r="K274" s="830">
        <f t="shared" si="91"/>
        <v>0</v>
      </c>
      <c r="L274" s="830">
        <f t="shared" si="91"/>
        <v>0</v>
      </c>
      <c r="M274" s="830">
        <f t="shared" si="91"/>
        <v>0</v>
      </c>
      <c r="N274" s="830">
        <f t="shared" si="91"/>
        <v>0</v>
      </c>
      <c r="O274" s="830">
        <f t="shared" si="91"/>
        <v>0</v>
      </c>
      <c r="P274" s="830">
        <f t="shared" si="91"/>
        <v>0</v>
      </c>
      <c r="Q274" s="830">
        <f t="shared" si="89"/>
        <v>0</v>
      </c>
      <c r="R274" s="830">
        <f t="shared" si="86"/>
        <v>0</v>
      </c>
      <c r="S274" s="830"/>
    </row>
    <row r="275" spans="1:19" ht="12" hidden="1" thickBot="1">
      <c r="A275" s="836" t="s">
        <v>179</v>
      </c>
      <c r="B275" s="596" t="s">
        <v>1499</v>
      </c>
      <c r="C275" s="836" t="s">
        <v>171</v>
      </c>
      <c r="D275" s="830">
        <f t="shared" si="92"/>
        <v>0</v>
      </c>
      <c r="E275" s="830">
        <f t="shared" si="90"/>
        <v>0</v>
      </c>
      <c r="F275" s="830">
        <f t="shared" si="90"/>
        <v>0</v>
      </c>
      <c r="G275" s="830">
        <f t="shared" si="90"/>
        <v>0</v>
      </c>
      <c r="H275" s="830">
        <f t="shared" si="82"/>
        <v>0</v>
      </c>
      <c r="I275" s="830">
        <f t="shared" si="91"/>
        <v>0</v>
      </c>
      <c r="J275" s="830">
        <f t="shared" si="91"/>
        <v>0</v>
      </c>
      <c r="K275" s="830">
        <f t="shared" si="91"/>
        <v>0</v>
      </c>
      <c r="L275" s="830">
        <f t="shared" si="91"/>
        <v>0</v>
      </c>
      <c r="M275" s="830">
        <f t="shared" si="91"/>
        <v>0</v>
      </c>
      <c r="N275" s="830">
        <f t="shared" si="91"/>
        <v>0</v>
      </c>
      <c r="O275" s="830">
        <f t="shared" si="91"/>
        <v>0</v>
      </c>
      <c r="P275" s="830">
        <f t="shared" si="91"/>
        <v>0</v>
      </c>
      <c r="Q275" s="830">
        <f t="shared" si="89"/>
        <v>0</v>
      </c>
      <c r="R275" s="830">
        <f t="shared" si="86"/>
        <v>0</v>
      </c>
      <c r="S275" s="830"/>
    </row>
    <row r="276" spans="1:19" ht="12" hidden="1" thickBot="1">
      <c r="A276" s="836" t="s">
        <v>179</v>
      </c>
      <c r="B276" s="596" t="s">
        <v>1499</v>
      </c>
      <c r="C276" s="836" t="s">
        <v>172</v>
      </c>
      <c r="D276" s="830">
        <f t="shared" si="92"/>
        <v>0</v>
      </c>
      <c r="E276" s="830">
        <f t="shared" si="90"/>
        <v>0</v>
      </c>
      <c r="F276" s="830">
        <f t="shared" si="90"/>
        <v>0</v>
      </c>
      <c r="G276" s="830">
        <f t="shared" si="90"/>
        <v>0</v>
      </c>
      <c r="H276" s="830">
        <f t="shared" si="82"/>
        <v>0</v>
      </c>
      <c r="I276" s="830">
        <f t="shared" si="91"/>
        <v>0</v>
      </c>
      <c r="J276" s="830">
        <f t="shared" si="91"/>
        <v>0</v>
      </c>
      <c r="K276" s="830">
        <f t="shared" si="91"/>
        <v>0</v>
      </c>
      <c r="L276" s="830">
        <f t="shared" si="91"/>
        <v>0</v>
      </c>
      <c r="M276" s="830">
        <f t="shared" si="91"/>
        <v>0</v>
      </c>
      <c r="N276" s="830">
        <f t="shared" si="91"/>
        <v>0</v>
      </c>
      <c r="O276" s="830">
        <f t="shared" si="91"/>
        <v>0</v>
      </c>
      <c r="P276" s="830">
        <f t="shared" si="91"/>
        <v>0</v>
      </c>
      <c r="Q276" s="830">
        <f t="shared" si="89"/>
        <v>0</v>
      </c>
      <c r="R276" s="830">
        <f t="shared" si="86"/>
        <v>0</v>
      </c>
      <c r="S276" s="830"/>
    </row>
    <row r="277" spans="1:19" ht="12" hidden="1" thickBot="1">
      <c r="A277" s="836" t="s">
        <v>179</v>
      </c>
      <c r="B277" s="596" t="s">
        <v>1499</v>
      </c>
      <c r="C277" s="836" t="s">
        <v>1399</v>
      </c>
      <c r="D277" s="830">
        <f t="shared" si="92"/>
        <v>0</v>
      </c>
      <c r="E277" s="830">
        <f t="shared" si="90"/>
        <v>0</v>
      </c>
      <c r="F277" s="830">
        <f t="shared" si="90"/>
        <v>0</v>
      </c>
      <c r="G277" s="830">
        <f t="shared" si="90"/>
        <v>0</v>
      </c>
      <c r="H277" s="830">
        <f t="shared" si="82"/>
        <v>0</v>
      </c>
      <c r="I277" s="830">
        <f t="shared" si="91"/>
        <v>0</v>
      </c>
      <c r="J277" s="830">
        <f t="shared" si="91"/>
        <v>0</v>
      </c>
      <c r="K277" s="830">
        <f t="shared" si="91"/>
        <v>0</v>
      </c>
      <c r="L277" s="830">
        <f t="shared" si="91"/>
        <v>0</v>
      </c>
      <c r="M277" s="830">
        <f t="shared" si="91"/>
        <v>0</v>
      </c>
      <c r="N277" s="830">
        <f t="shared" si="91"/>
        <v>0</v>
      </c>
      <c r="O277" s="830">
        <f t="shared" si="91"/>
        <v>0</v>
      </c>
      <c r="P277" s="830">
        <f t="shared" si="91"/>
        <v>0</v>
      </c>
      <c r="Q277" s="830">
        <f t="shared" si="89"/>
        <v>0</v>
      </c>
      <c r="R277" s="830">
        <f t="shared" si="86"/>
        <v>0</v>
      </c>
      <c r="S277" s="830"/>
    </row>
    <row r="278" spans="1:19" ht="12" hidden="1" thickBot="1">
      <c r="A278" s="836" t="s">
        <v>179</v>
      </c>
      <c r="B278" s="596" t="s">
        <v>1499</v>
      </c>
      <c r="C278" s="836" t="s">
        <v>1397</v>
      </c>
      <c r="D278" s="830">
        <f t="shared" si="92"/>
        <v>0</v>
      </c>
      <c r="E278" s="830">
        <f t="shared" si="90"/>
        <v>0</v>
      </c>
      <c r="F278" s="830">
        <f t="shared" si="90"/>
        <v>0</v>
      </c>
      <c r="G278" s="830">
        <f t="shared" si="90"/>
        <v>0</v>
      </c>
      <c r="H278" s="830">
        <f t="shared" si="82"/>
        <v>0</v>
      </c>
      <c r="I278" s="830">
        <f t="shared" si="91"/>
        <v>0</v>
      </c>
      <c r="J278" s="830">
        <f t="shared" si="91"/>
        <v>0</v>
      </c>
      <c r="K278" s="830">
        <f t="shared" si="91"/>
        <v>0</v>
      </c>
      <c r="L278" s="830">
        <f t="shared" si="91"/>
        <v>0</v>
      </c>
      <c r="M278" s="830">
        <f t="shared" si="91"/>
        <v>0</v>
      </c>
      <c r="N278" s="830">
        <f t="shared" si="91"/>
        <v>0</v>
      </c>
      <c r="O278" s="830">
        <f t="shared" si="91"/>
        <v>0</v>
      </c>
      <c r="P278" s="830">
        <f t="shared" si="91"/>
        <v>0</v>
      </c>
      <c r="Q278" s="830">
        <f t="shared" si="89"/>
        <v>0</v>
      </c>
      <c r="R278" s="830">
        <f t="shared" si="86"/>
        <v>0</v>
      </c>
      <c r="S278" s="830"/>
    </row>
    <row r="279" spans="1:19" ht="12" hidden="1" thickBot="1">
      <c r="A279" s="836" t="s">
        <v>179</v>
      </c>
      <c r="B279" s="596" t="s">
        <v>1499</v>
      </c>
      <c r="C279" s="836" t="s">
        <v>1149</v>
      </c>
      <c r="D279" s="830">
        <f t="shared" si="92"/>
        <v>0</v>
      </c>
      <c r="E279" s="830">
        <f t="shared" si="90"/>
        <v>0</v>
      </c>
      <c r="F279" s="830">
        <f t="shared" si="90"/>
        <v>0</v>
      </c>
      <c r="G279" s="830">
        <f t="shared" si="90"/>
        <v>0</v>
      </c>
      <c r="H279" s="830">
        <f t="shared" si="82"/>
        <v>0</v>
      </c>
      <c r="I279" s="830">
        <f t="shared" si="91"/>
        <v>0</v>
      </c>
      <c r="J279" s="830">
        <f t="shared" si="91"/>
        <v>0</v>
      </c>
      <c r="K279" s="830">
        <f t="shared" si="91"/>
        <v>0</v>
      </c>
      <c r="L279" s="830">
        <f t="shared" si="91"/>
        <v>0</v>
      </c>
      <c r="M279" s="830">
        <f t="shared" si="91"/>
        <v>0</v>
      </c>
      <c r="N279" s="830">
        <f t="shared" si="91"/>
        <v>0</v>
      </c>
      <c r="O279" s="830">
        <f t="shared" si="91"/>
        <v>0</v>
      </c>
      <c r="P279" s="830">
        <f t="shared" si="91"/>
        <v>0</v>
      </c>
      <c r="Q279" s="830">
        <f t="shared" si="89"/>
        <v>0</v>
      </c>
      <c r="R279" s="830">
        <f t="shared" si="86"/>
        <v>0</v>
      </c>
      <c r="S279" s="830"/>
    </row>
    <row r="280" spans="1:19" s="593" customFormat="1" ht="12" hidden="1" thickBot="1">
      <c r="A280" s="541" t="s">
        <v>179</v>
      </c>
      <c r="B280" s="596" t="s">
        <v>1499</v>
      </c>
      <c r="C280" s="541" t="s">
        <v>170</v>
      </c>
      <c r="D280" s="830">
        <f t="shared" si="92"/>
        <v>0</v>
      </c>
      <c r="E280" s="830">
        <f t="shared" si="90"/>
        <v>0</v>
      </c>
      <c r="F280" s="830">
        <f t="shared" si="90"/>
        <v>0</v>
      </c>
      <c r="G280" s="830">
        <f t="shared" si="90"/>
        <v>0</v>
      </c>
      <c r="H280" s="830">
        <f t="shared" si="82"/>
        <v>0</v>
      </c>
      <c r="I280" s="830">
        <f t="shared" si="91"/>
        <v>0</v>
      </c>
      <c r="J280" s="830">
        <f t="shared" si="91"/>
        <v>0</v>
      </c>
      <c r="K280" s="830">
        <f t="shared" si="91"/>
        <v>0</v>
      </c>
      <c r="L280" s="830">
        <f t="shared" si="91"/>
        <v>0</v>
      </c>
      <c r="M280" s="830">
        <f t="shared" si="91"/>
        <v>0</v>
      </c>
      <c r="N280" s="830">
        <f t="shared" si="91"/>
        <v>0</v>
      </c>
      <c r="O280" s="830">
        <f t="shared" si="91"/>
        <v>0</v>
      </c>
      <c r="P280" s="830">
        <f t="shared" si="91"/>
        <v>0</v>
      </c>
      <c r="Q280" s="830">
        <f t="shared" si="89"/>
        <v>0</v>
      </c>
      <c r="R280" s="830">
        <f t="shared" si="86"/>
        <v>0</v>
      </c>
      <c r="S280" s="830"/>
    </row>
    <row r="281" spans="1:19" s="593" customFormat="1" ht="12" hidden="1" thickBot="1">
      <c r="A281" s="541" t="s">
        <v>179</v>
      </c>
      <c r="B281" s="596" t="s">
        <v>1499</v>
      </c>
      <c r="C281" s="541" t="s">
        <v>160</v>
      </c>
      <c r="D281" s="830">
        <f t="shared" si="92"/>
        <v>0</v>
      </c>
      <c r="E281" s="830">
        <f t="shared" si="90"/>
        <v>0</v>
      </c>
      <c r="F281" s="830">
        <f t="shared" si="90"/>
        <v>0</v>
      </c>
      <c r="G281" s="830">
        <f t="shared" si="90"/>
        <v>0</v>
      </c>
      <c r="H281" s="830">
        <f t="shared" si="82"/>
        <v>0</v>
      </c>
      <c r="I281" s="830">
        <f t="shared" si="91"/>
        <v>0</v>
      </c>
      <c r="J281" s="830">
        <f t="shared" si="91"/>
        <v>0</v>
      </c>
      <c r="K281" s="830">
        <f t="shared" si="91"/>
        <v>0</v>
      </c>
      <c r="L281" s="830">
        <f t="shared" si="91"/>
        <v>0</v>
      </c>
      <c r="M281" s="830">
        <f t="shared" si="91"/>
        <v>0</v>
      </c>
      <c r="N281" s="830">
        <f t="shared" si="91"/>
        <v>0</v>
      </c>
      <c r="O281" s="830">
        <f t="shared" si="91"/>
        <v>0</v>
      </c>
      <c r="P281" s="830">
        <f t="shared" si="91"/>
        <v>0</v>
      </c>
      <c r="Q281" s="830">
        <f t="shared" si="89"/>
        <v>0</v>
      </c>
      <c r="R281" s="830">
        <f t="shared" si="86"/>
        <v>0</v>
      </c>
      <c r="S281" s="830"/>
    </row>
    <row r="282" spans="1:19" s="593" customFormat="1" ht="12" hidden="1" thickBot="1">
      <c r="A282" s="541" t="s">
        <v>179</v>
      </c>
      <c r="B282" s="596" t="s">
        <v>1499</v>
      </c>
      <c r="C282" s="541" t="s">
        <v>166</v>
      </c>
      <c r="D282" s="830">
        <f t="shared" si="92"/>
        <v>0</v>
      </c>
      <c r="E282" s="830">
        <f t="shared" si="90"/>
        <v>0</v>
      </c>
      <c r="F282" s="830">
        <f t="shared" si="90"/>
        <v>0</v>
      </c>
      <c r="G282" s="830">
        <f t="shared" si="90"/>
        <v>0</v>
      </c>
      <c r="H282" s="830">
        <f t="shared" si="82"/>
        <v>0</v>
      </c>
      <c r="I282" s="830">
        <f t="shared" ref="I282:P289" si="93">ROUND(SUMIFS(I$495:I$866,$B$495:$B$866,$B282,$C$495:$C$866,$C282),0)</f>
        <v>0</v>
      </c>
      <c r="J282" s="830">
        <f t="shared" si="93"/>
        <v>0</v>
      </c>
      <c r="K282" s="830">
        <f t="shared" si="93"/>
        <v>0</v>
      </c>
      <c r="L282" s="830">
        <f t="shared" si="93"/>
        <v>0</v>
      </c>
      <c r="M282" s="830">
        <f t="shared" si="93"/>
        <v>0</v>
      </c>
      <c r="N282" s="830">
        <f t="shared" si="93"/>
        <v>0</v>
      </c>
      <c r="O282" s="830">
        <f t="shared" si="93"/>
        <v>0</v>
      </c>
      <c r="P282" s="830">
        <f t="shared" si="93"/>
        <v>0</v>
      </c>
      <c r="Q282" s="830">
        <f t="shared" si="89"/>
        <v>0</v>
      </c>
      <c r="R282" s="830">
        <f t="shared" si="86"/>
        <v>0</v>
      </c>
      <c r="S282" s="830"/>
    </row>
    <row r="283" spans="1:19" s="593" customFormat="1" ht="12" hidden="1" thickBot="1">
      <c r="A283" s="541" t="s">
        <v>179</v>
      </c>
      <c r="B283" s="596" t="s">
        <v>1499</v>
      </c>
      <c r="C283" s="541" t="s">
        <v>458</v>
      </c>
      <c r="D283" s="830">
        <f t="shared" si="92"/>
        <v>7</v>
      </c>
      <c r="E283" s="830">
        <f t="shared" si="90"/>
        <v>5297</v>
      </c>
      <c r="F283" s="830">
        <f t="shared" si="90"/>
        <v>1092</v>
      </c>
      <c r="G283" s="830">
        <f t="shared" si="90"/>
        <v>767</v>
      </c>
      <c r="H283" s="830">
        <f t="shared" si="82"/>
        <v>7156</v>
      </c>
      <c r="I283" s="830">
        <f t="shared" si="93"/>
        <v>0</v>
      </c>
      <c r="J283" s="830">
        <f t="shared" si="93"/>
        <v>0</v>
      </c>
      <c r="K283" s="830">
        <f t="shared" si="93"/>
        <v>0</v>
      </c>
      <c r="L283" s="830">
        <f t="shared" si="93"/>
        <v>0</v>
      </c>
      <c r="M283" s="830">
        <f t="shared" si="93"/>
        <v>0</v>
      </c>
      <c r="N283" s="830">
        <f t="shared" si="93"/>
        <v>0</v>
      </c>
      <c r="O283" s="830">
        <f t="shared" si="93"/>
        <v>0</v>
      </c>
      <c r="P283" s="830">
        <f t="shared" si="93"/>
        <v>0</v>
      </c>
      <c r="Q283" s="830">
        <f t="shared" si="89"/>
        <v>0</v>
      </c>
      <c r="R283" s="830">
        <f t="shared" si="86"/>
        <v>0</v>
      </c>
      <c r="S283" s="830"/>
    </row>
    <row r="284" spans="1:19" s="593" customFormat="1" ht="12" hidden="1" thickBot="1">
      <c r="A284" s="541" t="s">
        <v>179</v>
      </c>
      <c r="B284" s="596" t="s">
        <v>1499</v>
      </c>
      <c r="C284" s="541" t="s">
        <v>165</v>
      </c>
      <c r="D284" s="830">
        <f t="shared" si="92"/>
        <v>0</v>
      </c>
      <c r="E284" s="830">
        <f t="shared" si="90"/>
        <v>0</v>
      </c>
      <c r="F284" s="830">
        <f t="shared" si="90"/>
        <v>0</v>
      </c>
      <c r="G284" s="830">
        <f t="shared" si="90"/>
        <v>0</v>
      </c>
      <c r="H284" s="830">
        <f t="shared" si="82"/>
        <v>0</v>
      </c>
      <c r="I284" s="830">
        <f t="shared" si="93"/>
        <v>0</v>
      </c>
      <c r="J284" s="830">
        <f t="shared" si="93"/>
        <v>0</v>
      </c>
      <c r="K284" s="830">
        <f t="shared" si="93"/>
        <v>0</v>
      </c>
      <c r="L284" s="830">
        <f t="shared" si="93"/>
        <v>0</v>
      </c>
      <c r="M284" s="830">
        <f t="shared" si="93"/>
        <v>0</v>
      </c>
      <c r="N284" s="830">
        <f t="shared" si="93"/>
        <v>0</v>
      </c>
      <c r="O284" s="830">
        <f t="shared" si="93"/>
        <v>0</v>
      </c>
      <c r="P284" s="830">
        <f t="shared" si="93"/>
        <v>0</v>
      </c>
      <c r="Q284" s="830">
        <f t="shared" si="89"/>
        <v>0</v>
      </c>
      <c r="R284" s="830">
        <f t="shared" si="86"/>
        <v>0</v>
      </c>
      <c r="S284" s="830"/>
    </row>
    <row r="285" spans="1:19" s="593" customFormat="1" ht="12" thickBot="1">
      <c r="A285" s="541" t="s">
        <v>179</v>
      </c>
      <c r="B285" s="596" t="s">
        <v>1499</v>
      </c>
      <c r="C285" s="541" t="s">
        <v>167</v>
      </c>
      <c r="D285" s="830">
        <f t="shared" si="92"/>
        <v>262</v>
      </c>
      <c r="E285" s="830">
        <f t="shared" si="90"/>
        <v>0</v>
      </c>
      <c r="F285" s="830">
        <f t="shared" si="90"/>
        <v>0</v>
      </c>
      <c r="G285" s="830">
        <f t="shared" si="90"/>
        <v>0</v>
      </c>
      <c r="H285" s="830">
        <f t="shared" si="82"/>
        <v>11659181</v>
      </c>
      <c r="I285" s="830">
        <f t="shared" si="93"/>
        <v>0</v>
      </c>
      <c r="J285" s="830">
        <f t="shared" si="93"/>
        <v>0</v>
      </c>
      <c r="K285" s="830">
        <f t="shared" si="93"/>
        <v>0</v>
      </c>
      <c r="L285" s="830">
        <f t="shared" si="93"/>
        <v>0</v>
      </c>
      <c r="M285" s="830">
        <f t="shared" si="93"/>
        <v>0</v>
      </c>
      <c r="N285" s="830">
        <f t="shared" si="93"/>
        <v>0</v>
      </c>
      <c r="O285" s="830">
        <f>R285</f>
        <v>38479</v>
      </c>
      <c r="P285" s="830">
        <f t="shared" si="93"/>
        <v>0</v>
      </c>
      <c r="Q285" s="830">
        <f t="shared" si="89"/>
        <v>0</v>
      </c>
      <c r="R285" s="830">
        <f t="shared" si="86"/>
        <v>38479</v>
      </c>
      <c r="S285" s="830"/>
    </row>
    <row r="286" spans="1:19" s="593" customFormat="1" ht="12" hidden="1" thickBot="1">
      <c r="A286" s="541" t="s">
        <v>179</v>
      </c>
      <c r="B286" s="596" t="s">
        <v>1499</v>
      </c>
      <c r="C286" s="541" t="s">
        <v>623</v>
      </c>
      <c r="D286" s="830">
        <f t="shared" si="92"/>
        <v>0</v>
      </c>
      <c r="E286" s="830">
        <f t="shared" si="90"/>
        <v>0</v>
      </c>
      <c r="F286" s="830">
        <f t="shared" si="90"/>
        <v>0</v>
      </c>
      <c r="G286" s="830">
        <f t="shared" si="90"/>
        <v>0</v>
      </c>
      <c r="H286" s="830">
        <f t="shared" si="82"/>
        <v>0</v>
      </c>
      <c r="I286" s="830">
        <f t="shared" si="93"/>
        <v>0</v>
      </c>
      <c r="J286" s="830">
        <f t="shared" si="93"/>
        <v>0</v>
      </c>
      <c r="K286" s="830">
        <f t="shared" si="93"/>
        <v>0</v>
      </c>
      <c r="L286" s="830">
        <f t="shared" si="93"/>
        <v>0</v>
      </c>
      <c r="M286" s="830">
        <f t="shared" si="93"/>
        <v>0</v>
      </c>
      <c r="N286" s="830">
        <f t="shared" si="93"/>
        <v>0</v>
      </c>
      <c r="O286" s="830">
        <f t="shared" si="93"/>
        <v>0</v>
      </c>
      <c r="P286" s="830">
        <f t="shared" si="93"/>
        <v>0</v>
      </c>
      <c r="Q286" s="830">
        <f>ROUND(SUMIFS(Q$495:Q$866,$B$495:$B$866,$B286,$C$495:$C$866,$C286),0)</f>
        <v>0</v>
      </c>
      <c r="R286" s="830">
        <f t="shared" si="86"/>
        <v>0</v>
      </c>
      <c r="S286" s="830"/>
    </row>
    <row r="287" spans="1:19" s="593" customFormat="1" ht="12" hidden="1" thickBot="1">
      <c r="A287" s="541" t="s">
        <v>179</v>
      </c>
      <c r="B287" s="596" t="s">
        <v>1499</v>
      </c>
      <c r="C287" s="541" t="s">
        <v>683</v>
      </c>
      <c r="D287" s="830">
        <f t="shared" si="92"/>
        <v>0</v>
      </c>
      <c r="E287" s="830">
        <f t="shared" si="90"/>
        <v>0</v>
      </c>
      <c r="F287" s="830">
        <f t="shared" si="90"/>
        <v>0</v>
      </c>
      <c r="G287" s="830">
        <f t="shared" si="90"/>
        <v>0</v>
      </c>
      <c r="H287" s="830">
        <f t="shared" si="82"/>
        <v>0</v>
      </c>
      <c r="I287" s="830">
        <f t="shared" si="93"/>
        <v>0</v>
      </c>
      <c r="J287" s="830">
        <f t="shared" si="93"/>
        <v>0</v>
      </c>
      <c r="K287" s="830">
        <f t="shared" si="93"/>
        <v>0</v>
      </c>
      <c r="L287" s="830">
        <f t="shared" si="93"/>
        <v>0</v>
      </c>
      <c r="M287" s="830">
        <f t="shared" si="93"/>
        <v>0</v>
      </c>
      <c r="N287" s="830">
        <f t="shared" si="93"/>
        <v>0</v>
      </c>
      <c r="O287" s="830">
        <f t="shared" si="93"/>
        <v>0</v>
      </c>
      <c r="P287" s="830">
        <f t="shared" si="93"/>
        <v>0</v>
      </c>
      <c r="Q287" s="830">
        <f>ROUND(SUMIFS(Q$495:Q$866,$B$495:$B$866,$B287,$C$495:$C$866,$C287),0)</f>
        <v>0</v>
      </c>
      <c r="R287" s="830">
        <f t="shared" si="86"/>
        <v>0</v>
      </c>
      <c r="S287" s="830"/>
    </row>
    <row r="288" spans="1:19" s="593" customFormat="1" ht="12" hidden="1" thickBot="1">
      <c r="A288" s="541" t="s">
        <v>179</v>
      </c>
      <c r="B288" s="596" t="s">
        <v>1499</v>
      </c>
      <c r="C288" s="541" t="s">
        <v>684</v>
      </c>
      <c r="D288" s="830">
        <f t="shared" si="92"/>
        <v>0</v>
      </c>
      <c r="E288" s="830">
        <f t="shared" si="90"/>
        <v>0</v>
      </c>
      <c r="F288" s="830">
        <f t="shared" si="90"/>
        <v>0</v>
      </c>
      <c r="G288" s="830">
        <f t="shared" si="90"/>
        <v>0</v>
      </c>
      <c r="H288" s="830">
        <f t="shared" si="82"/>
        <v>0</v>
      </c>
      <c r="I288" s="830">
        <f t="shared" si="93"/>
        <v>0</v>
      </c>
      <c r="J288" s="830">
        <f t="shared" si="93"/>
        <v>0</v>
      </c>
      <c r="K288" s="830">
        <f t="shared" si="93"/>
        <v>0</v>
      </c>
      <c r="L288" s="830">
        <f t="shared" si="93"/>
        <v>0</v>
      </c>
      <c r="M288" s="830">
        <f t="shared" si="93"/>
        <v>0</v>
      </c>
      <c r="N288" s="830">
        <f t="shared" si="93"/>
        <v>0</v>
      </c>
      <c r="O288" s="830">
        <f t="shared" si="93"/>
        <v>0</v>
      </c>
      <c r="P288" s="830">
        <f t="shared" si="93"/>
        <v>0</v>
      </c>
      <c r="Q288" s="830">
        <f>ROUND(SUMIFS(Q$495:Q$866,$B$495:$B$866,$B288,$C$495:$C$866,$C288),0)</f>
        <v>0</v>
      </c>
      <c r="R288" s="830">
        <f t="shared" si="86"/>
        <v>0</v>
      </c>
      <c r="S288" s="830"/>
    </row>
    <row r="289" spans="1:19" s="593" customFormat="1" ht="12" hidden="1" thickBot="1">
      <c r="A289" s="541" t="s">
        <v>179</v>
      </c>
      <c r="B289" s="596" t="s">
        <v>1499</v>
      </c>
      <c r="C289" s="541" t="s">
        <v>685</v>
      </c>
      <c r="D289" s="830">
        <f t="shared" si="92"/>
        <v>0</v>
      </c>
      <c r="E289" s="830">
        <f t="shared" si="90"/>
        <v>0</v>
      </c>
      <c r="F289" s="830">
        <f t="shared" si="90"/>
        <v>0</v>
      </c>
      <c r="G289" s="830">
        <f t="shared" si="90"/>
        <v>0</v>
      </c>
      <c r="H289" s="830">
        <f t="shared" si="82"/>
        <v>0</v>
      </c>
      <c r="I289" s="830">
        <f t="shared" si="93"/>
        <v>0</v>
      </c>
      <c r="J289" s="830">
        <f t="shared" si="93"/>
        <v>0</v>
      </c>
      <c r="K289" s="830">
        <f t="shared" si="93"/>
        <v>0</v>
      </c>
      <c r="L289" s="830">
        <f t="shared" si="93"/>
        <v>0</v>
      </c>
      <c r="M289" s="830">
        <f t="shared" si="93"/>
        <v>0</v>
      </c>
      <c r="N289" s="830">
        <f t="shared" si="93"/>
        <v>0</v>
      </c>
      <c r="O289" s="830">
        <f t="shared" si="93"/>
        <v>0</v>
      </c>
      <c r="P289" s="830">
        <f t="shared" si="93"/>
        <v>0</v>
      </c>
      <c r="Q289" s="830">
        <f>ROUND(SUMIFS(Q$495:Q$866,$B$495:$B$866,$B289,$C$495:$C$866,$C289),0)</f>
        <v>0</v>
      </c>
      <c r="R289" s="830">
        <f t="shared" si="86"/>
        <v>0</v>
      </c>
      <c r="S289" s="830"/>
    </row>
    <row r="290" spans="1:19" s="593" customFormat="1" ht="12" hidden="1" thickBot="1">
      <c r="A290" s="541" t="s">
        <v>179</v>
      </c>
      <c r="B290" s="596" t="s">
        <v>1499</v>
      </c>
      <c r="C290" s="592" t="s">
        <v>8</v>
      </c>
      <c r="D290" s="558"/>
      <c r="E290" s="559"/>
      <c r="F290" s="559"/>
      <c r="G290" s="559"/>
      <c r="H290" s="558"/>
      <c r="I290" s="591"/>
      <c r="J290" s="591"/>
      <c r="K290" s="591"/>
      <c r="L290" s="559"/>
      <c r="M290" s="559"/>
      <c r="N290" s="591"/>
      <c r="O290" s="591"/>
      <c r="P290" s="591"/>
      <c r="Q290" s="591"/>
      <c r="R290" s="591"/>
      <c r="S290" s="559"/>
    </row>
    <row r="291" spans="1:19" s="593" customFormat="1" ht="12" hidden="1" thickBot="1">
      <c r="A291" s="581" t="s">
        <v>179</v>
      </c>
      <c r="B291" s="938" t="s">
        <v>1500</v>
      </c>
      <c r="C291" s="581" t="s">
        <v>152</v>
      </c>
      <c r="D291" s="830">
        <f t="shared" ref="D291:G311" si="94">ROUND(SUMIFS(D$495:D$866,$B$495:$B$866,$B291,$C$495:$C$866,$C291),0)</f>
        <v>32</v>
      </c>
      <c r="E291" s="830">
        <f t="shared" si="94"/>
        <v>0</v>
      </c>
      <c r="F291" s="830">
        <f t="shared" si="94"/>
        <v>0</v>
      </c>
      <c r="G291" s="830">
        <f t="shared" si="94"/>
        <v>0</v>
      </c>
      <c r="H291" s="830">
        <f t="shared" ref="H291:H330" si="95">ROUND(SUMIFS(H$495:H$866,$B$495:$B$866,$B291,$C$495:$C$866,$C291)*1000,0)</f>
        <v>138340919</v>
      </c>
      <c r="I291" s="830">
        <f t="shared" ref="I291:R291" si="96">ROUND(SUMIFS(I$495:I$866,$B$495:$B$866,$B291,$C$495:$C$866,$C291),0)</f>
        <v>0</v>
      </c>
      <c r="J291" s="830">
        <f t="shared" si="96"/>
        <v>0</v>
      </c>
      <c r="K291" s="830">
        <f t="shared" si="96"/>
        <v>0</v>
      </c>
      <c r="L291" s="830">
        <f t="shared" si="96"/>
        <v>0</v>
      </c>
      <c r="M291" s="830">
        <f t="shared" si="96"/>
        <v>0</v>
      </c>
      <c r="N291" s="830">
        <f t="shared" si="96"/>
        <v>0</v>
      </c>
      <c r="O291" s="830">
        <f t="shared" si="96"/>
        <v>292761</v>
      </c>
      <c r="P291" s="830">
        <f t="shared" si="96"/>
        <v>277929</v>
      </c>
      <c r="Q291" s="830">
        <f t="shared" si="96"/>
        <v>277013</v>
      </c>
      <c r="R291" s="830">
        <f t="shared" si="96"/>
        <v>0</v>
      </c>
      <c r="S291" s="830"/>
    </row>
    <row r="292" spans="1:19" s="593" customFormat="1" ht="12" hidden="1" thickBot="1">
      <c r="A292" s="581" t="s">
        <v>179</v>
      </c>
      <c r="B292" s="938" t="s">
        <v>1500</v>
      </c>
      <c r="C292" s="581" t="s">
        <v>153</v>
      </c>
      <c r="D292" s="830">
        <f t="shared" si="94"/>
        <v>202</v>
      </c>
      <c r="E292" s="830">
        <f t="shared" si="94"/>
        <v>0</v>
      </c>
      <c r="F292" s="830">
        <f t="shared" si="94"/>
        <v>0</v>
      </c>
      <c r="G292" s="830">
        <f t="shared" si="94"/>
        <v>0</v>
      </c>
      <c r="H292" s="830">
        <f t="shared" si="95"/>
        <v>22727624</v>
      </c>
      <c r="I292" s="830">
        <f t="shared" ref="I292:P301" si="97">ROUND(SUMIFS(I$495:I$866,$B$495:$B$866,$B292,$C$495:$C$866,$C292),0)</f>
        <v>0</v>
      </c>
      <c r="J292" s="830">
        <f t="shared" si="97"/>
        <v>0</v>
      </c>
      <c r="K292" s="830">
        <f t="shared" si="97"/>
        <v>0</v>
      </c>
      <c r="L292" s="830">
        <f t="shared" si="97"/>
        <v>0</v>
      </c>
      <c r="M292" s="830">
        <f t="shared" si="97"/>
        <v>0</v>
      </c>
      <c r="N292" s="830">
        <f t="shared" si="97"/>
        <v>0</v>
      </c>
      <c r="O292" s="830">
        <f t="shared" si="97"/>
        <v>0</v>
      </c>
      <c r="P292" s="830">
        <f t="shared" si="97"/>
        <v>0</v>
      </c>
      <c r="Q292" s="830">
        <f t="shared" ref="Q292:Q293" si="98">R292</f>
        <v>62186</v>
      </c>
      <c r="R292" s="830">
        <f t="shared" ref="R292:R330" si="99">ROUND(SUMIFS(R$495:R$866,$B$495:$B$866,$B292,$C$495:$C$866,$C292),0)</f>
        <v>62186</v>
      </c>
      <c r="S292" s="830"/>
    </row>
    <row r="293" spans="1:19" s="593" customFormat="1" ht="12" hidden="1" thickBot="1">
      <c r="A293" s="581" t="s">
        <v>179</v>
      </c>
      <c r="B293" s="938" t="s">
        <v>1500</v>
      </c>
      <c r="C293" s="581" t="s">
        <v>154</v>
      </c>
      <c r="D293" s="830">
        <f t="shared" si="94"/>
        <v>4700</v>
      </c>
      <c r="E293" s="830">
        <f t="shared" si="94"/>
        <v>0</v>
      </c>
      <c r="F293" s="830">
        <f t="shared" si="94"/>
        <v>0</v>
      </c>
      <c r="G293" s="830">
        <f t="shared" si="94"/>
        <v>0</v>
      </c>
      <c r="H293" s="830">
        <f t="shared" si="95"/>
        <v>209413425</v>
      </c>
      <c r="I293" s="830">
        <f t="shared" si="97"/>
        <v>0</v>
      </c>
      <c r="J293" s="830">
        <f t="shared" si="97"/>
        <v>0</v>
      </c>
      <c r="K293" s="830">
        <f t="shared" si="97"/>
        <v>0</v>
      </c>
      <c r="L293" s="830">
        <f t="shared" si="97"/>
        <v>0</v>
      </c>
      <c r="M293" s="830">
        <f t="shared" si="97"/>
        <v>0</v>
      </c>
      <c r="N293" s="830">
        <f t="shared" si="97"/>
        <v>0</v>
      </c>
      <c r="O293" s="830">
        <f t="shared" si="97"/>
        <v>0</v>
      </c>
      <c r="P293" s="830">
        <f t="shared" si="97"/>
        <v>0</v>
      </c>
      <c r="Q293" s="830">
        <f t="shared" si="98"/>
        <v>683205</v>
      </c>
      <c r="R293" s="830">
        <f t="shared" si="99"/>
        <v>683205</v>
      </c>
      <c r="S293" s="830"/>
    </row>
    <row r="294" spans="1:19" s="593" customFormat="1" ht="12" hidden="1" thickBot="1">
      <c r="A294" s="581" t="s">
        <v>179</v>
      </c>
      <c r="B294" s="938" t="s">
        <v>1500</v>
      </c>
      <c r="C294" s="581" t="s">
        <v>155</v>
      </c>
      <c r="D294" s="830">
        <f t="shared" si="94"/>
        <v>52</v>
      </c>
      <c r="E294" s="830">
        <f t="shared" si="94"/>
        <v>0</v>
      </c>
      <c r="F294" s="830">
        <f t="shared" si="94"/>
        <v>0</v>
      </c>
      <c r="G294" s="830">
        <f t="shared" si="94"/>
        <v>0</v>
      </c>
      <c r="H294" s="830">
        <f t="shared" si="95"/>
        <v>280193456</v>
      </c>
      <c r="I294" s="830">
        <f t="shared" si="97"/>
        <v>0</v>
      </c>
      <c r="J294" s="830">
        <f t="shared" si="97"/>
        <v>0</v>
      </c>
      <c r="K294" s="830">
        <f t="shared" si="97"/>
        <v>0</v>
      </c>
      <c r="L294" s="830">
        <f t="shared" si="97"/>
        <v>0</v>
      </c>
      <c r="M294" s="830">
        <f t="shared" si="97"/>
        <v>0</v>
      </c>
      <c r="N294" s="830">
        <f t="shared" si="97"/>
        <v>0</v>
      </c>
      <c r="O294" s="830">
        <f t="shared" si="97"/>
        <v>563206</v>
      </c>
      <c r="P294" s="830">
        <f t="shared" si="97"/>
        <v>550095</v>
      </c>
      <c r="Q294" s="830">
        <f t="shared" ref="Q294:Q301" si="100">ROUND(SUMIFS(Q$495:Q$866,$B$495:$B$866,$B294,$C$495:$C$866,$C294),0)</f>
        <v>544359</v>
      </c>
      <c r="R294" s="830">
        <f t="shared" si="99"/>
        <v>0</v>
      </c>
      <c r="S294" s="830"/>
    </row>
    <row r="295" spans="1:19" s="593" customFormat="1" ht="12" hidden="1" thickBot="1">
      <c r="A295" s="581" t="s">
        <v>179</v>
      </c>
      <c r="B295" s="938" t="s">
        <v>1500</v>
      </c>
      <c r="C295" s="581" t="s">
        <v>156</v>
      </c>
      <c r="D295" s="830">
        <f t="shared" si="94"/>
        <v>0</v>
      </c>
      <c r="E295" s="830">
        <f t="shared" si="94"/>
        <v>0</v>
      </c>
      <c r="F295" s="830">
        <f t="shared" si="94"/>
        <v>0</v>
      </c>
      <c r="G295" s="830">
        <f t="shared" si="94"/>
        <v>0</v>
      </c>
      <c r="H295" s="830">
        <f t="shared" si="95"/>
        <v>0</v>
      </c>
      <c r="I295" s="830">
        <f t="shared" si="97"/>
        <v>0</v>
      </c>
      <c r="J295" s="830">
        <f t="shared" si="97"/>
        <v>0</v>
      </c>
      <c r="K295" s="830">
        <f t="shared" si="97"/>
        <v>0</v>
      </c>
      <c r="L295" s="830">
        <f t="shared" si="97"/>
        <v>0</v>
      </c>
      <c r="M295" s="830">
        <f t="shared" si="97"/>
        <v>0</v>
      </c>
      <c r="N295" s="830">
        <f t="shared" si="97"/>
        <v>0</v>
      </c>
      <c r="O295" s="830">
        <f t="shared" si="97"/>
        <v>0</v>
      </c>
      <c r="P295" s="830">
        <f t="shared" si="97"/>
        <v>0</v>
      </c>
      <c r="Q295" s="830">
        <f t="shared" si="100"/>
        <v>0</v>
      </c>
      <c r="R295" s="830">
        <f t="shared" si="99"/>
        <v>0</v>
      </c>
      <c r="S295" s="830"/>
    </row>
    <row r="296" spans="1:19" s="593" customFormat="1" ht="12" hidden="1" thickBot="1">
      <c r="A296" s="581" t="s">
        <v>179</v>
      </c>
      <c r="B296" s="938" t="s">
        <v>1500</v>
      </c>
      <c r="C296" s="581" t="s">
        <v>157</v>
      </c>
      <c r="D296" s="830">
        <f t="shared" si="94"/>
        <v>0</v>
      </c>
      <c r="E296" s="830">
        <f t="shared" si="94"/>
        <v>0</v>
      </c>
      <c r="F296" s="830">
        <f t="shared" si="94"/>
        <v>0</v>
      </c>
      <c r="G296" s="830">
        <f t="shared" si="94"/>
        <v>0</v>
      </c>
      <c r="H296" s="830">
        <f t="shared" si="95"/>
        <v>0</v>
      </c>
      <c r="I296" s="830">
        <f t="shared" si="97"/>
        <v>0</v>
      </c>
      <c r="J296" s="830">
        <f t="shared" si="97"/>
        <v>0</v>
      </c>
      <c r="K296" s="830">
        <f t="shared" si="97"/>
        <v>0</v>
      </c>
      <c r="L296" s="830">
        <f t="shared" si="97"/>
        <v>0</v>
      </c>
      <c r="M296" s="830">
        <f t="shared" si="97"/>
        <v>0</v>
      </c>
      <c r="N296" s="830">
        <f t="shared" si="97"/>
        <v>0</v>
      </c>
      <c r="O296" s="830">
        <f t="shared" si="97"/>
        <v>0</v>
      </c>
      <c r="P296" s="830">
        <f t="shared" si="97"/>
        <v>0</v>
      </c>
      <c r="Q296" s="830">
        <f t="shared" si="100"/>
        <v>0</v>
      </c>
      <c r="R296" s="830">
        <f t="shared" si="99"/>
        <v>0</v>
      </c>
      <c r="S296" s="830"/>
    </row>
    <row r="297" spans="1:19" s="593" customFormat="1" ht="12" hidden="1" thickBot="1">
      <c r="A297" s="581" t="s">
        <v>179</v>
      </c>
      <c r="B297" s="938" t="s">
        <v>1500</v>
      </c>
      <c r="C297" s="581" t="s">
        <v>158</v>
      </c>
      <c r="D297" s="830">
        <f t="shared" si="94"/>
        <v>196</v>
      </c>
      <c r="E297" s="830">
        <f t="shared" si="94"/>
        <v>0</v>
      </c>
      <c r="F297" s="830">
        <f t="shared" si="94"/>
        <v>0</v>
      </c>
      <c r="G297" s="830">
        <f t="shared" si="94"/>
        <v>0</v>
      </c>
      <c r="H297" s="830">
        <f t="shared" si="95"/>
        <v>116583613</v>
      </c>
      <c r="I297" s="830">
        <f t="shared" si="97"/>
        <v>0</v>
      </c>
      <c r="J297" s="830">
        <f t="shared" si="97"/>
        <v>0</v>
      </c>
      <c r="K297" s="830">
        <f t="shared" si="97"/>
        <v>0</v>
      </c>
      <c r="L297" s="830">
        <f t="shared" si="97"/>
        <v>0</v>
      </c>
      <c r="M297" s="830">
        <f t="shared" si="97"/>
        <v>0</v>
      </c>
      <c r="N297" s="830">
        <f t="shared" si="97"/>
        <v>0</v>
      </c>
      <c r="O297" s="830">
        <f t="shared" si="97"/>
        <v>296542</v>
      </c>
      <c r="P297" s="830">
        <f t="shared" si="97"/>
        <v>283712</v>
      </c>
      <c r="Q297" s="830">
        <f t="shared" si="100"/>
        <v>275127</v>
      </c>
      <c r="R297" s="830">
        <f t="shared" si="99"/>
        <v>0</v>
      </c>
      <c r="S297" s="830"/>
    </row>
    <row r="298" spans="1:19" s="593" customFormat="1" ht="12" hidden="1" thickBot="1">
      <c r="A298" s="581" t="s">
        <v>179</v>
      </c>
      <c r="B298" s="938" t="s">
        <v>1500</v>
      </c>
      <c r="C298" s="581" t="s">
        <v>159</v>
      </c>
      <c r="D298" s="830">
        <f t="shared" si="94"/>
        <v>462</v>
      </c>
      <c r="E298" s="830">
        <f t="shared" si="94"/>
        <v>0</v>
      </c>
      <c r="F298" s="830">
        <f t="shared" si="94"/>
        <v>0</v>
      </c>
      <c r="G298" s="830">
        <f t="shared" si="94"/>
        <v>0</v>
      </c>
      <c r="H298" s="830">
        <f t="shared" si="95"/>
        <v>151711802</v>
      </c>
      <c r="I298" s="830">
        <f t="shared" si="97"/>
        <v>0</v>
      </c>
      <c r="J298" s="830">
        <f t="shared" si="97"/>
        <v>0</v>
      </c>
      <c r="K298" s="830">
        <f t="shared" si="97"/>
        <v>0</v>
      </c>
      <c r="L298" s="830">
        <f t="shared" si="97"/>
        <v>0</v>
      </c>
      <c r="M298" s="830">
        <f t="shared" si="97"/>
        <v>0</v>
      </c>
      <c r="N298" s="830">
        <f t="shared" si="97"/>
        <v>0</v>
      </c>
      <c r="O298" s="830">
        <f t="shared" si="97"/>
        <v>367858</v>
      </c>
      <c r="P298" s="830">
        <f t="shared" si="97"/>
        <v>343442</v>
      </c>
      <c r="Q298" s="830">
        <f t="shared" si="100"/>
        <v>336756</v>
      </c>
      <c r="R298" s="830">
        <f t="shared" si="99"/>
        <v>0</v>
      </c>
      <c r="S298" s="830"/>
    </row>
    <row r="299" spans="1:19" s="593" customFormat="1" ht="12" hidden="1" thickBot="1">
      <c r="A299" s="581" t="s">
        <v>179</v>
      </c>
      <c r="B299" s="938" t="s">
        <v>1500</v>
      </c>
      <c r="C299" s="581" t="s">
        <v>161</v>
      </c>
      <c r="D299" s="830">
        <f t="shared" si="94"/>
        <v>63498</v>
      </c>
      <c r="E299" s="830">
        <f t="shared" si="94"/>
        <v>0</v>
      </c>
      <c r="F299" s="830">
        <f t="shared" si="94"/>
        <v>0</v>
      </c>
      <c r="G299" s="830">
        <f t="shared" si="94"/>
        <v>0</v>
      </c>
      <c r="H299" s="830">
        <f t="shared" si="95"/>
        <v>73848581</v>
      </c>
      <c r="I299" s="830">
        <f t="shared" si="97"/>
        <v>0</v>
      </c>
      <c r="J299" s="830">
        <f t="shared" si="97"/>
        <v>0</v>
      </c>
      <c r="K299" s="830">
        <f t="shared" si="97"/>
        <v>0</v>
      </c>
      <c r="L299" s="830">
        <f t="shared" si="97"/>
        <v>0</v>
      </c>
      <c r="M299" s="830">
        <f t="shared" si="97"/>
        <v>0</v>
      </c>
      <c r="N299" s="830">
        <f t="shared" si="97"/>
        <v>0</v>
      </c>
      <c r="O299" s="830">
        <f t="shared" si="97"/>
        <v>0</v>
      </c>
      <c r="P299" s="830">
        <f t="shared" si="97"/>
        <v>0</v>
      </c>
      <c r="Q299" s="830">
        <f t="shared" si="100"/>
        <v>0</v>
      </c>
      <c r="R299" s="830">
        <f t="shared" si="99"/>
        <v>0</v>
      </c>
      <c r="S299" s="830"/>
    </row>
    <row r="300" spans="1:19" s="593" customFormat="1" ht="12" hidden="1" thickBot="1">
      <c r="A300" s="581" t="s">
        <v>179</v>
      </c>
      <c r="B300" s="938" t="s">
        <v>1500</v>
      </c>
      <c r="C300" s="581" t="s">
        <v>162</v>
      </c>
      <c r="D300" s="830">
        <f t="shared" si="94"/>
        <v>0</v>
      </c>
      <c r="E300" s="830">
        <f t="shared" si="94"/>
        <v>0</v>
      </c>
      <c r="F300" s="830">
        <f t="shared" si="94"/>
        <v>0</v>
      </c>
      <c r="G300" s="830">
        <f t="shared" si="94"/>
        <v>0</v>
      </c>
      <c r="H300" s="830">
        <f t="shared" si="95"/>
        <v>0</v>
      </c>
      <c r="I300" s="830">
        <f t="shared" si="97"/>
        <v>0</v>
      </c>
      <c r="J300" s="830">
        <f t="shared" si="97"/>
        <v>0</v>
      </c>
      <c r="K300" s="830">
        <f t="shared" si="97"/>
        <v>0</v>
      </c>
      <c r="L300" s="830">
        <f t="shared" si="97"/>
        <v>0</v>
      </c>
      <c r="M300" s="830">
        <f t="shared" si="97"/>
        <v>0</v>
      </c>
      <c r="N300" s="830">
        <f t="shared" si="97"/>
        <v>0</v>
      </c>
      <c r="O300" s="830">
        <f t="shared" si="97"/>
        <v>0</v>
      </c>
      <c r="P300" s="830">
        <f t="shared" si="97"/>
        <v>0</v>
      </c>
      <c r="Q300" s="830">
        <f t="shared" si="100"/>
        <v>0</v>
      </c>
      <c r="R300" s="830">
        <f t="shared" si="99"/>
        <v>0</v>
      </c>
      <c r="S300" s="830"/>
    </row>
    <row r="301" spans="1:19" s="593" customFormat="1" ht="12" hidden="1" thickBot="1">
      <c r="A301" s="581" t="s">
        <v>179</v>
      </c>
      <c r="B301" s="938" t="s">
        <v>1500</v>
      </c>
      <c r="C301" s="581" t="s">
        <v>163</v>
      </c>
      <c r="D301" s="830">
        <f t="shared" si="94"/>
        <v>18562</v>
      </c>
      <c r="E301" s="830">
        <f t="shared" si="94"/>
        <v>0</v>
      </c>
      <c r="F301" s="830">
        <f t="shared" si="94"/>
        <v>0</v>
      </c>
      <c r="G301" s="830">
        <f t="shared" si="94"/>
        <v>0</v>
      </c>
      <c r="H301" s="830">
        <f t="shared" si="95"/>
        <v>108396952</v>
      </c>
      <c r="I301" s="830">
        <f t="shared" si="97"/>
        <v>0</v>
      </c>
      <c r="J301" s="830">
        <f t="shared" si="97"/>
        <v>0</v>
      </c>
      <c r="K301" s="830">
        <f t="shared" si="97"/>
        <v>0</v>
      </c>
      <c r="L301" s="830">
        <f t="shared" si="97"/>
        <v>0</v>
      </c>
      <c r="M301" s="830">
        <f t="shared" si="97"/>
        <v>0</v>
      </c>
      <c r="N301" s="830">
        <f t="shared" si="97"/>
        <v>0</v>
      </c>
      <c r="O301" s="830">
        <f>R301</f>
        <v>388709</v>
      </c>
      <c r="P301" s="830">
        <f t="shared" si="97"/>
        <v>0</v>
      </c>
      <c r="Q301" s="830">
        <f t="shared" si="100"/>
        <v>0</v>
      </c>
      <c r="R301" s="830">
        <f t="shared" si="99"/>
        <v>388709</v>
      </c>
      <c r="S301" s="830"/>
    </row>
    <row r="302" spans="1:19" s="593" customFormat="1" ht="12" hidden="1" thickBot="1">
      <c r="A302" s="581" t="s">
        <v>179</v>
      </c>
      <c r="B302" s="938" t="s">
        <v>1500</v>
      </c>
      <c r="C302" s="581" t="s">
        <v>164</v>
      </c>
      <c r="D302" s="830">
        <f t="shared" si="94"/>
        <v>376</v>
      </c>
      <c r="E302" s="830">
        <f t="shared" si="94"/>
        <v>0</v>
      </c>
      <c r="F302" s="830">
        <f t="shared" si="94"/>
        <v>0</v>
      </c>
      <c r="G302" s="830">
        <f t="shared" si="94"/>
        <v>0</v>
      </c>
      <c r="H302" s="830">
        <f t="shared" si="95"/>
        <v>629511</v>
      </c>
      <c r="I302" s="830">
        <f t="shared" ref="I302:P311" si="101">ROUND(SUMIFS(I$495:I$866,$B$495:$B$866,$B302,$C$495:$C$866,$C302),0)</f>
        <v>0</v>
      </c>
      <c r="J302" s="830">
        <f t="shared" si="101"/>
        <v>0</v>
      </c>
      <c r="K302" s="830">
        <f t="shared" si="101"/>
        <v>0</v>
      </c>
      <c r="L302" s="830">
        <f t="shared" si="101"/>
        <v>0</v>
      </c>
      <c r="M302" s="830">
        <f t="shared" si="101"/>
        <v>0</v>
      </c>
      <c r="N302" s="830">
        <f t="shared" si="101"/>
        <v>0</v>
      </c>
      <c r="O302" s="830">
        <f t="shared" si="101"/>
        <v>0</v>
      </c>
      <c r="P302" s="830">
        <f t="shared" si="101"/>
        <v>0</v>
      </c>
      <c r="Q302" s="830">
        <f t="shared" ref="Q302:Q324" si="102">ROUND(SUMIFS(Q$495:Q$866,$B$495:$B$866,$B302,$C$495:$C$866,$C302),0)</f>
        <v>0</v>
      </c>
      <c r="R302" s="830">
        <f t="shared" si="99"/>
        <v>0</v>
      </c>
      <c r="S302" s="830"/>
    </row>
    <row r="303" spans="1:19" s="593" customFormat="1" ht="12" hidden="1" thickBot="1">
      <c r="A303" s="581" t="s">
        <v>179</v>
      </c>
      <c r="B303" s="938" t="s">
        <v>1500</v>
      </c>
      <c r="C303" s="581" t="s">
        <v>174</v>
      </c>
      <c r="D303" s="830">
        <f t="shared" si="94"/>
        <v>429501</v>
      </c>
      <c r="E303" s="830">
        <f t="shared" si="94"/>
        <v>0</v>
      </c>
      <c r="F303" s="830">
        <f t="shared" si="94"/>
        <v>0</v>
      </c>
      <c r="G303" s="830">
        <f t="shared" si="94"/>
        <v>0</v>
      </c>
      <c r="H303" s="830">
        <f t="shared" si="95"/>
        <v>576723280</v>
      </c>
      <c r="I303" s="830">
        <f t="shared" si="101"/>
        <v>0</v>
      </c>
      <c r="J303" s="830">
        <f t="shared" si="101"/>
        <v>0</v>
      </c>
      <c r="K303" s="830">
        <f t="shared" si="101"/>
        <v>0</v>
      </c>
      <c r="L303" s="830">
        <f t="shared" si="101"/>
        <v>0</v>
      </c>
      <c r="M303" s="830">
        <f t="shared" si="101"/>
        <v>0</v>
      </c>
      <c r="N303" s="830">
        <f t="shared" si="101"/>
        <v>0</v>
      </c>
      <c r="O303" s="830">
        <f t="shared" si="101"/>
        <v>0</v>
      </c>
      <c r="P303" s="830">
        <f t="shared" si="101"/>
        <v>0</v>
      </c>
      <c r="Q303" s="830">
        <f t="shared" si="102"/>
        <v>0</v>
      </c>
      <c r="R303" s="830">
        <f t="shared" si="99"/>
        <v>0</v>
      </c>
      <c r="S303" s="830"/>
    </row>
    <row r="304" spans="1:19" s="593" customFormat="1" ht="12" hidden="1" thickBot="1">
      <c r="A304" s="581" t="s">
        <v>179</v>
      </c>
      <c r="B304" s="938" t="s">
        <v>1500</v>
      </c>
      <c r="C304" s="581" t="s">
        <v>175</v>
      </c>
      <c r="D304" s="830">
        <f t="shared" si="94"/>
        <v>0</v>
      </c>
      <c r="E304" s="830">
        <f t="shared" si="94"/>
        <v>0</v>
      </c>
      <c r="F304" s="830">
        <f t="shared" si="94"/>
        <v>0</v>
      </c>
      <c r="G304" s="830">
        <f t="shared" si="94"/>
        <v>0</v>
      </c>
      <c r="H304" s="830">
        <f t="shared" si="95"/>
        <v>0</v>
      </c>
      <c r="I304" s="830">
        <f t="shared" si="101"/>
        <v>0</v>
      </c>
      <c r="J304" s="830">
        <f t="shared" si="101"/>
        <v>0</v>
      </c>
      <c r="K304" s="830">
        <f t="shared" si="101"/>
        <v>0</v>
      </c>
      <c r="L304" s="830">
        <f t="shared" si="101"/>
        <v>0</v>
      </c>
      <c r="M304" s="830">
        <f t="shared" si="101"/>
        <v>0</v>
      </c>
      <c r="N304" s="830">
        <f t="shared" si="101"/>
        <v>0</v>
      </c>
      <c r="O304" s="830">
        <f t="shared" si="101"/>
        <v>0</v>
      </c>
      <c r="P304" s="830">
        <f t="shared" si="101"/>
        <v>0</v>
      </c>
      <c r="Q304" s="830">
        <f t="shared" si="102"/>
        <v>0</v>
      </c>
      <c r="R304" s="830">
        <f t="shared" si="99"/>
        <v>0</v>
      </c>
      <c r="S304" s="830"/>
    </row>
    <row r="305" spans="1:19" s="593" customFormat="1" ht="12" hidden="1" thickBot="1">
      <c r="A305" s="581" t="s">
        <v>179</v>
      </c>
      <c r="B305" s="938" t="s">
        <v>1500</v>
      </c>
      <c r="C305" s="581" t="s">
        <v>176</v>
      </c>
      <c r="D305" s="830">
        <f t="shared" si="94"/>
        <v>0</v>
      </c>
      <c r="E305" s="830">
        <f t="shared" si="94"/>
        <v>0</v>
      </c>
      <c r="F305" s="830">
        <f t="shared" si="94"/>
        <v>0</v>
      </c>
      <c r="G305" s="830">
        <f t="shared" si="94"/>
        <v>0</v>
      </c>
      <c r="H305" s="830">
        <f t="shared" si="95"/>
        <v>0</v>
      </c>
      <c r="I305" s="830">
        <f t="shared" si="101"/>
        <v>0</v>
      </c>
      <c r="J305" s="830">
        <f t="shared" si="101"/>
        <v>0</v>
      </c>
      <c r="K305" s="830">
        <f t="shared" si="101"/>
        <v>0</v>
      </c>
      <c r="L305" s="830">
        <f t="shared" si="101"/>
        <v>0</v>
      </c>
      <c r="M305" s="830">
        <f t="shared" si="101"/>
        <v>0</v>
      </c>
      <c r="N305" s="830">
        <f t="shared" si="101"/>
        <v>0</v>
      </c>
      <c r="O305" s="830">
        <f t="shared" si="101"/>
        <v>0</v>
      </c>
      <c r="P305" s="830">
        <f t="shared" si="101"/>
        <v>0</v>
      </c>
      <c r="Q305" s="830">
        <f t="shared" si="102"/>
        <v>0</v>
      </c>
      <c r="R305" s="830">
        <f t="shared" si="99"/>
        <v>0</v>
      </c>
      <c r="S305" s="830"/>
    </row>
    <row r="306" spans="1:19" s="593" customFormat="1" ht="12" hidden="1" thickBot="1">
      <c r="A306" s="581" t="s">
        <v>179</v>
      </c>
      <c r="B306" s="938" t="s">
        <v>1500</v>
      </c>
      <c r="C306" s="581" t="s">
        <v>177</v>
      </c>
      <c r="D306" s="830">
        <f t="shared" si="94"/>
        <v>0</v>
      </c>
      <c r="E306" s="830">
        <f t="shared" si="94"/>
        <v>0</v>
      </c>
      <c r="F306" s="830">
        <f t="shared" si="94"/>
        <v>0</v>
      </c>
      <c r="G306" s="830">
        <f t="shared" si="94"/>
        <v>0</v>
      </c>
      <c r="H306" s="830">
        <f t="shared" si="95"/>
        <v>0</v>
      </c>
      <c r="I306" s="830">
        <f t="shared" si="101"/>
        <v>0</v>
      </c>
      <c r="J306" s="830">
        <f t="shared" si="101"/>
        <v>0</v>
      </c>
      <c r="K306" s="830">
        <f t="shared" si="101"/>
        <v>0</v>
      </c>
      <c r="L306" s="830">
        <f t="shared" si="101"/>
        <v>0</v>
      </c>
      <c r="M306" s="830">
        <f t="shared" si="101"/>
        <v>0</v>
      </c>
      <c r="N306" s="830">
        <f t="shared" si="101"/>
        <v>0</v>
      </c>
      <c r="O306" s="830">
        <f t="shared" si="101"/>
        <v>0</v>
      </c>
      <c r="P306" s="830">
        <f t="shared" si="101"/>
        <v>0</v>
      </c>
      <c r="Q306" s="830">
        <f t="shared" si="102"/>
        <v>0</v>
      </c>
      <c r="R306" s="830">
        <f t="shared" si="99"/>
        <v>0</v>
      </c>
      <c r="S306" s="830"/>
    </row>
    <row r="307" spans="1:19" s="593" customFormat="1" ht="12" hidden="1" thickBot="1">
      <c r="A307" s="581" t="s">
        <v>179</v>
      </c>
      <c r="B307" s="938" t="s">
        <v>1500</v>
      </c>
      <c r="C307" s="581" t="s">
        <v>178</v>
      </c>
      <c r="D307" s="830">
        <f t="shared" si="94"/>
        <v>0</v>
      </c>
      <c r="E307" s="830">
        <f t="shared" si="94"/>
        <v>0</v>
      </c>
      <c r="F307" s="830">
        <f t="shared" si="94"/>
        <v>0</v>
      </c>
      <c r="G307" s="830">
        <f t="shared" si="94"/>
        <v>0</v>
      </c>
      <c r="H307" s="830">
        <f t="shared" si="95"/>
        <v>0</v>
      </c>
      <c r="I307" s="830">
        <f t="shared" si="101"/>
        <v>0</v>
      </c>
      <c r="J307" s="830">
        <f t="shared" si="101"/>
        <v>0</v>
      </c>
      <c r="K307" s="830">
        <f t="shared" si="101"/>
        <v>0</v>
      </c>
      <c r="L307" s="830">
        <f t="shared" si="101"/>
        <v>0</v>
      </c>
      <c r="M307" s="830">
        <f t="shared" si="101"/>
        <v>0</v>
      </c>
      <c r="N307" s="830">
        <f t="shared" si="101"/>
        <v>0</v>
      </c>
      <c r="O307" s="830">
        <f t="shared" si="101"/>
        <v>0</v>
      </c>
      <c r="P307" s="830">
        <f t="shared" si="101"/>
        <v>0</v>
      </c>
      <c r="Q307" s="830">
        <f t="shared" si="102"/>
        <v>0</v>
      </c>
      <c r="R307" s="830">
        <f t="shared" si="99"/>
        <v>0</v>
      </c>
      <c r="S307" s="830"/>
    </row>
    <row r="308" spans="1:19" s="593" customFormat="1" ht="12" hidden="1" thickBot="1">
      <c r="A308" s="581" t="s">
        <v>179</v>
      </c>
      <c r="B308" s="938" t="s">
        <v>1500</v>
      </c>
      <c r="C308" s="581" t="s">
        <v>424</v>
      </c>
      <c r="D308" s="830">
        <f t="shared" si="94"/>
        <v>0</v>
      </c>
      <c r="E308" s="830">
        <f t="shared" si="94"/>
        <v>0</v>
      </c>
      <c r="F308" s="830">
        <f t="shared" si="94"/>
        <v>0</v>
      </c>
      <c r="G308" s="830">
        <f t="shared" si="94"/>
        <v>0</v>
      </c>
      <c r="H308" s="830">
        <f t="shared" si="95"/>
        <v>0</v>
      </c>
      <c r="I308" s="830">
        <f t="shared" si="101"/>
        <v>0</v>
      </c>
      <c r="J308" s="830">
        <f t="shared" si="101"/>
        <v>0</v>
      </c>
      <c r="K308" s="830">
        <f t="shared" si="101"/>
        <v>0</v>
      </c>
      <c r="L308" s="830">
        <f t="shared" si="101"/>
        <v>0</v>
      </c>
      <c r="M308" s="830">
        <f t="shared" si="101"/>
        <v>0</v>
      </c>
      <c r="N308" s="830">
        <f t="shared" si="101"/>
        <v>0</v>
      </c>
      <c r="O308" s="830">
        <f t="shared" si="101"/>
        <v>0</v>
      </c>
      <c r="P308" s="830">
        <f t="shared" si="101"/>
        <v>0</v>
      </c>
      <c r="Q308" s="830">
        <f t="shared" si="102"/>
        <v>0</v>
      </c>
      <c r="R308" s="830">
        <f t="shared" si="99"/>
        <v>0</v>
      </c>
      <c r="S308" s="830"/>
    </row>
    <row r="309" spans="1:19" s="593" customFormat="1" ht="12" hidden="1" thickBot="1">
      <c r="A309" s="581" t="s">
        <v>179</v>
      </c>
      <c r="B309" s="938" t="s">
        <v>1500</v>
      </c>
      <c r="C309" s="581" t="s">
        <v>425</v>
      </c>
      <c r="D309" s="830">
        <f t="shared" si="94"/>
        <v>0</v>
      </c>
      <c r="E309" s="830">
        <f t="shared" si="94"/>
        <v>0</v>
      </c>
      <c r="F309" s="830">
        <f t="shared" si="94"/>
        <v>0</v>
      </c>
      <c r="G309" s="830">
        <f t="shared" si="94"/>
        <v>0</v>
      </c>
      <c r="H309" s="830">
        <f t="shared" si="95"/>
        <v>0</v>
      </c>
      <c r="I309" s="830">
        <f t="shared" si="101"/>
        <v>0</v>
      </c>
      <c r="J309" s="830">
        <f t="shared" si="101"/>
        <v>0</v>
      </c>
      <c r="K309" s="830">
        <f t="shared" si="101"/>
        <v>0</v>
      </c>
      <c r="L309" s="830">
        <f t="shared" si="101"/>
        <v>0</v>
      </c>
      <c r="M309" s="830">
        <f t="shared" si="101"/>
        <v>0</v>
      </c>
      <c r="N309" s="830">
        <f t="shared" si="101"/>
        <v>0</v>
      </c>
      <c r="O309" s="830">
        <f t="shared" si="101"/>
        <v>0</v>
      </c>
      <c r="P309" s="830">
        <f t="shared" si="101"/>
        <v>0</v>
      </c>
      <c r="Q309" s="830">
        <f t="shared" si="102"/>
        <v>0</v>
      </c>
      <c r="R309" s="830">
        <f t="shared" si="99"/>
        <v>0</v>
      </c>
      <c r="S309" s="830"/>
    </row>
    <row r="310" spans="1:19" s="593" customFormat="1" ht="12" hidden="1" thickBot="1">
      <c r="A310" s="581" t="s">
        <v>179</v>
      </c>
      <c r="B310" s="938" t="s">
        <v>1500</v>
      </c>
      <c r="C310" s="581" t="s">
        <v>169</v>
      </c>
      <c r="D310" s="830">
        <f t="shared" si="94"/>
        <v>0</v>
      </c>
      <c r="E310" s="830">
        <f t="shared" si="94"/>
        <v>0</v>
      </c>
      <c r="F310" s="830">
        <f t="shared" si="94"/>
        <v>0</v>
      </c>
      <c r="G310" s="830">
        <f t="shared" si="94"/>
        <v>0</v>
      </c>
      <c r="H310" s="830">
        <f t="shared" si="95"/>
        <v>0</v>
      </c>
      <c r="I310" s="830">
        <f t="shared" si="101"/>
        <v>0</v>
      </c>
      <c r="J310" s="830">
        <f t="shared" si="101"/>
        <v>0</v>
      </c>
      <c r="K310" s="830">
        <f t="shared" si="101"/>
        <v>0</v>
      </c>
      <c r="L310" s="830">
        <f t="shared" si="101"/>
        <v>0</v>
      </c>
      <c r="M310" s="830">
        <f t="shared" si="101"/>
        <v>0</v>
      </c>
      <c r="N310" s="830">
        <f t="shared" si="101"/>
        <v>0</v>
      </c>
      <c r="O310" s="830">
        <f t="shared" si="101"/>
        <v>0</v>
      </c>
      <c r="P310" s="830">
        <f t="shared" si="101"/>
        <v>0</v>
      </c>
      <c r="Q310" s="830">
        <f t="shared" si="102"/>
        <v>0</v>
      </c>
      <c r="R310" s="830">
        <f t="shared" si="99"/>
        <v>0</v>
      </c>
      <c r="S310" s="830"/>
    </row>
    <row r="311" spans="1:19" s="593" customFormat="1" ht="12" hidden="1" thickBot="1">
      <c r="A311" s="581" t="s">
        <v>179</v>
      </c>
      <c r="B311" s="938" t="s">
        <v>1500</v>
      </c>
      <c r="C311" s="581" t="s">
        <v>173</v>
      </c>
      <c r="D311" s="830">
        <f t="shared" si="94"/>
        <v>1</v>
      </c>
      <c r="E311" s="830">
        <f t="shared" si="94"/>
        <v>0</v>
      </c>
      <c r="F311" s="830">
        <f t="shared" si="94"/>
        <v>0</v>
      </c>
      <c r="G311" s="830">
        <f t="shared" si="94"/>
        <v>0</v>
      </c>
      <c r="H311" s="830">
        <f t="shared" si="95"/>
        <v>46590427</v>
      </c>
      <c r="I311" s="830">
        <f t="shared" si="101"/>
        <v>0</v>
      </c>
      <c r="J311" s="830">
        <f t="shared" si="101"/>
        <v>0</v>
      </c>
      <c r="K311" s="830">
        <f t="shared" si="101"/>
        <v>0</v>
      </c>
      <c r="L311" s="830">
        <f t="shared" si="101"/>
        <v>0</v>
      </c>
      <c r="M311" s="830">
        <f t="shared" si="101"/>
        <v>0</v>
      </c>
      <c r="N311" s="830">
        <f t="shared" si="101"/>
        <v>0</v>
      </c>
      <c r="O311" s="830">
        <f t="shared" si="101"/>
        <v>185158</v>
      </c>
      <c r="P311" s="830">
        <f t="shared" si="101"/>
        <v>185158</v>
      </c>
      <c r="Q311" s="830">
        <f t="shared" si="102"/>
        <v>101388</v>
      </c>
      <c r="R311" s="830">
        <f t="shared" si="99"/>
        <v>0</v>
      </c>
      <c r="S311" s="830"/>
    </row>
    <row r="312" spans="1:19" s="593" customFormat="1" ht="12" hidden="1" thickBot="1">
      <c r="A312" s="581" t="s">
        <v>179</v>
      </c>
      <c r="B312" s="938" t="s">
        <v>1500</v>
      </c>
      <c r="C312" s="581" t="s">
        <v>217</v>
      </c>
      <c r="D312" s="830">
        <v>2</v>
      </c>
      <c r="E312" s="830">
        <f t="shared" ref="E312:G330" si="103">ROUND(SUMIFS(E$495:E$866,$B$495:$B$866,$B312,$C$495:$C$866,$C312),0)</f>
        <v>0</v>
      </c>
      <c r="F312" s="830">
        <f t="shared" si="103"/>
        <v>0</v>
      </c>
      <c r="G312" s="830">
        <f t="shared" si="103"/>
        <v>0</v>
      </c>
      <c r="H312" s="830">
        <f t="shared" si="95"/>
        <v>12623</v>
      </c>
      <c r="I312" s="830">
        <f t="shared" ref="I312:P321" si="104">ROUND(SUMIFS(I$495:I$866,$B$495:$B$866,$B312,$C$495:$C$866,$C312),0)</f>
        <v>0</v>
      </c>
      <c r="J312" s="830">
        <f t="shared" si="104"/>
        <v>0</v>
      </c>
      <c r="K312" s="830">
        <f t="shared" si="104"/>
        <v>0</v>
      </c>
      <c r="L312" s="830">
        <f t="shared" si="104"/>
        <v>0</v>
      </c>
      <c r="M312" s="830">
        <f t="shared" si="104"/>
        <v>0</v>
      </c>
      <c r="N312" s="830">
        <f t="shared" si="104"/>
        <v>0</v>
      </c>
      <c r="O312" s="830">
        <f t="shared" si="104"/>
        <v>0</v>
      </c>
      <c r="P312" s="830">
        <f t="shared" si="104"/>
        <v>0</v>
      </c>
      <c r="Q312" s="830">
        <f t="shared" si="102"/>
        <v>0</v>
      </c>
      <c r="R312" s="830">
        <f t="shared" si="99"/>
        <v>0</v>
      </c>
      <c r="S312" s="830"/>
    </row>
    <row r="313" spans="1:19" s="593" customFormat="1" ht="12" hidden="1" thickBot="1">
      <c r="A313" s="581" t="s">
        <v>179</v>
      </c>
      <c r="B313" s="938" t="s">
        <v>1500</v>
      </c>
      <c r="C313" s="581" t="s">
        <v>216</v>
      </c>
      <c r="D313" s="830">
        <f t="shared" ref="D313:D330" si="105">ROUND(SUMIFS(D$495:D$866,$B$495:$B$866,$B313,$C$495:$C$866,$C313),0)</f>
        <v>0</v>
      </c>
      <c r="E313" s="830">
        <f t="shared" si="103"/>
        <v>0</v>
      </c>
      <c r="F313" s="830">
        <f t="shared" si="103"/>
        <v>0</v>
      </c>
      <c r="G313" s="830">
        <f t="shared" si="103"/>
        <v>0</v>
      </c>
      <c r="H313" s="830">
        <f t="shared" si="95"/>
        <v>0</v>
      </c>
      <c r="I313" s="830">
        <f t="shared" si="104"/>
        <v>0</v>
      </c>
      <c r="J313" s="830">
        <f t="shared" si="104"/>
        <v>0</v>
      </c>
      <c r="K313" s="830">
        <f t="shared" si="104"/>
        <v>0</v>
      </c>
      <c r="L313" s="830">
        <f t="shared" si="104"/>
        <v>0</v>
      </c>
      <c r="M313" s="830">
        <f t="shared" si="104"/>
        <v>0</v>
      </c>
      <c r="N313" s="830">
        <f t="shared" si="104"/>
        <v>0</v>
      </c>
      <c r="O313" s="830">
        <f t="shared" si="104"/>
        <v>0</v>
      </c>
      <c r="P313" s="830">
        <f t="shared" si="104"/>
        <v>0</v>
      </c>
      <c r="Q313" s="830">
        <f t="shared" si="102"/>
        <v>0</v>
      </c>
      <c r="R313" s="830">
        <f t="shared" si="99"/>
        <v>0</v>
      </c>
      <c r="S313" s="830"/>
    </row>
    <row r="314" spans="1:19" s="593" customFormat="1" ht="12" hidden="1" thickBot="1">
      <c r="A314" s="581" t="s">
        <v>179</v>
      </c>
      <c r="B314" s="938" t="s">
        <v>1500</v>
      </c>
      <c r="C314" s="581" t="s">
        <v>168</v>
      </c>
      <c r="D314" s="830">
        <f t="shared" si="105"/>
        <v>747</v>
      </c>
      <c r="E314" s="830">
        <f t="shared" si="103"/>
        <v>0</v>
      </c>
      <c r="F314" s="830">
        <f t="shared" si="103"/>
        <v>0</v>
      </c>
      <c r="G314" s="830">
        <f t="shared" si="103"/>
        <v>0</v>
      </c>
      <c r="H314" s="830">
        <f t="shared" si="95"/>
        <v>100534</v>
      </c>
      <c r="I314" s="830">
        <f t="shared" si="104"/>
        <v>0</v>
      </c>
      <c r="J314" s="830">
        <f t="shared" si="104"/>
        <v>0</v>
      </c>
      <c r="K314" s="830">
        <f t="shared" si="104"/>
        <v>0</v>
      </c>
      <c r="L314" s="830">
        <f t="shared" si="104"/>
        <v>0</v>
      </c>
      <c r="M314" s="830">
        <f t="shared" si="104"/>
        <v>0</v>
      </c>
      <c r="N314" s="830">
        <f t="shared" si="104"/>
        <v>0</v>
      </c>
      <c r="O314" s="830">
        <f t="shared" si="104"/>
        <v>0</v>
      </c>
      <c r="P314" s="830">
        <f t="shared" si="104"/>
        <v>0</v>
      </c>
      <c r="Q314" s="830">
        <f t="shared" si="102"/>
        <v>0</v>
      </c>
      <c r="R314" s="830">
        <f t="shared" si="99"/>
        <v>0</v>
      </c>
      <c r="S314" s="830"/>
    </row>
    <row r="315" spans="1:19" ht="12" hidden="1" thickBot="1">
      <c r="A315" s="838" t="s">
        <v>179</v>
      </c>
      <c r="B315" s="938" t="s">
        <v>1500</v>
      </c>
      <c r="C315" s="838" t="s">
        <v>171</v>
      </c>
      <c r="D315" s="830">
        <f t="shared" si="105"/>
        <v>0</v>
      </c>
      <c r="E315" s="830">
        <f t="shared" si="103"/>
        <v>0</v>
      </c>
      <c r="F315" s="830">
        <f t="shared" si="103"/>
        <v>0</v>
      </c>
      <c r="G315" s="830">
        <f t="shared" si="103"/>
        <v>0</v>
      </c>
      <c r="H315" s="830">
        <f t="shared" si="95"/>
        <v>0</v>
      </c>
      <c r="I315" s="830">
        <f t="shared" si="104"/>
        <v>0</v>
      </c>
      <c r="J315" s="830">
        <f t="shared" si="104"/>
        <v>0</v>
      </c>
      <c r="K315" s="830">
        <f t="shared" si="104"/>
        <v>0</v>
      </c>
      <c r="L315" s="830">
        <f t="shared" si="104"/>
        <v>0</v>
      </c>
      <c r="M315" s="830">
        <f t="shared" si="104"/>
        <v>0</v>
      </c>
      <c r="N315" s="830">
        <f t="shared" si="104"/>
        <v>0</v>
      </c>
      <c r="O315" s="830">
        <f t="shared" si="104"/>
        <v>0</v>
      </c>
      <c r="P315" s="830">
        <f t="shared" si="104"/>
        <v>0</v>
      </c>
      <c r="Q315" s="830">
        <f t="shared" si="102"/>
        <v>0</v>
      </c>
      <c r="R315" s="830">
        <f t="shared" si="99"/>
        <v>0</v>
      </c>
      <c r="S315" s="830"/>
    </row>
    <row r="316" spans="1:19" ht="12" hidden="1" thickBot="1">
      <c r="A316" s="838" t="s">
        <v>179</v>
      </c>
      <c r="B316" s="938" t="s">
        <v>1500</v>
      </c>
      <c r="C316" s="838" t="s">
        <v>1399</v>
      </c>
      <c r="D316" s="830">
        <f t="shared" si="105"/>
        <v>0</v>
      </c>
      <c r="E316" s="830">
        <f t="shared" si="103"/>
        <v>0</v>
      </c>
      <c r="F316" s="830">
        <f t="shared" si="103"/>
        <v>0</v>
      </c>
      <c r="G316" s="830">
        <f t="shared" si="103"/>
        <v>0</v>
      </c>
      <c r="H316" s="830">
        <f t="shared" si="95"/>
        <v>0</v>
      </c>
      <c r="I316" s="830">
        <f t="shared" si="104"/>
        <v>0</v>
      </c>
      <c r="J316" s="830">
        <f t="shared" si="104"/>
        <v>0</v>
      </c>
      <c r="K316" s="830">
        <f t="shared" si="104"/>
        <v>0</v>
      </c>
      <c r="L316" s="830">
        <f t="shared" si="104"/>
        <v>0</v>
      </c>
      <c r="M316" s="830">
        <f t="shared" si="104"/>
        <v>0</v>
      </c>
      <c r="N316" s="830">
        <f t="shared" si="104"/>
        <v>0</v>
      </c>
      <c r="O316" s="830">
        <f t="shared" si="104"/>
        <v>0</v>
      </c>
      <c r="P316" s="830">
        <f t="shared" si="104"/>
        <v>0</v>
      </c>
      <c r="Q316" s="830">
        <f t="shared" si="102"/>
        <v>0</v>
      </c>
      <c r="R316" s="830">
        <f t="shared" si="99"/>
        <v>0</v>
      </c>
      <c r="S316" s="830"/>
    </row>
    <row r="317" spans="1:19" ht="12" hidden="1" thickBot="1">
      <c r="A317" s="838" t="s">
        <v>179</v>
      </c>
      <c r="B317" s="938" t="s">
        <v>1500</v>
      </c>
      <c r="C317" s="838" t="s">
        <v>1397</v>
      </c>
      <c r="D317" s="830">
        <f t="shared" si="105"/>
        <v>0</v>
      </c>
      <c r="E317" s="830">
        <f t="shared" si="103"/>
        <v>0</v>
      </c>
      <c r="F317" s="830">
        <f t="shared" si="103"/>
        <v>0</v>
      </c>
      <c r="G317" s="830">
        <f t="shared" si="103"/>
        <v>0</v>
      </c>
      <c r="H317" s="830">
        <f t="shared" si="95"/>
        <v>0</v>
      </c>
      <c r="I317" s="830">
        <f t="shared" si="104"/>
        <v>0</v>
      </c>
      <c r="J317" s="830">
        <f t="shared" si="104"/>
        <v>0</v>
      </c>
      <c r="K317" s="830">
        <f t="shared" si="104"/>
        <v>0</v>
      </c>
      <c r="L317" s="830">
        <f t="shared" si="104"/>
        <v>0</v>
      </c>
      <c r="M317" s="830">
        <f t="shared" si="104"/>
        <v>0</v>
      </c>
      <c r="N317" s="830">
        <f t="shared" si="104"/>
        <v>0</v>
      </c>
      <c r="O317" s="830">
        <f t="shared" si="104"/>
        <v>0</v>
      </c>
      <c r="P317" s="830">
        <f t="shared" si="104"/>
        <v>0</v>
      </c>
      <c r="Q317" s="830">
        <f t="shared" si="102"/>
        <v>0</v>
      </c>
      <c r="R317" s="830">
        <f t="shared" si="99"/>
        <v>0</v>
      </c>
      <c r="S317" s="830"/>
    </row>
    <row r="318" spans="1:19" ht="12" hidden="1" thickBot="1">
      <c r="A318" s="838" t="s">
        <v>179</v>
      </c>
      <c r="B318" s="938" t="s">
        <v>1500</v>
      </c>
      <c r="C318" s="838" t="s">
        <v>1149</v>
      </c>
      <c r="D318" s="830">
        <f t="shared" si="105"/>
        <v>0</v>
      </c>
      <c r="E318" s="830">
        <f t="shared" si="103"/>
        <v>0</v>
      </c>
      <c r="F318" s="830">
        <f t="shared" si="103"/>
        <v>0</v>
      </c>
      <c r="G318" s="830">
        <f t="shared" si="103"/>
        <v>0</v>
      </c>
      <c r="H318" s="830">
        <f t="shared" si="95"/>
        <v>0</v>
      </c>
      <c r="I318" s="830">
        <f t="shared" si="104"/>
        <v>0</v>
      </c>
      <c r="J318" s="830">
        <f t="shared" si="104"/>
        <v>0</v>
      </c>
      <c r="K318" s="830">
        <f t="shared" si="104"/>
        <v>0</v>
      </c>
      <c r="L318" s="830">
        <f t="shared" si="104"/>
        <v>0</v>
      </c>
      <c r="M318" s="830">
        <f t="shared" si="104"/>
        <v>0</v>
      </c>
      <c r="N318" s="830">
        <f t="shared" si="104"/>
        <v>0</v>
      </c>
      <c r="O318" s="830">
        <f t="shared" si="104"/>
        <v>0</v>
      </c>
      <c r="P318" s="830">
        <f t="shared" si="104"/>
        <v>0</v>
      </c>
      <c r="Q318" s="830">
        <f t="shared" si="102"/>
        <v>0</v>
      </c>
      <c r="R318" s="830">
        <f t="shared" si="99"/>
        <v>0</v>
      </c>
      <c r="S318" s="830"/>
    </row>
    <row r="319" spans="1:19" s="593" customFormat="1" ht="12" hidden="1" thickBot="1">
      <c r="A319" s="581" t="s">
        <v>179</v>
      </c>
      <c r="B319" s="938" t="s">
        <v>1500</v>
      </c>
      <c r="C319" s="581" t="s">
        <v>170</v>
      </c>
      <c r="D319" s="830">
        <f t="shared" si="105"/>
        <v>0</v>
      </c>
      <c r="E319" s="830">
        <f t="shared" si="103"/>
        <v>0</v>
      </c>
      <c r="F319" s="830">
        <f t="shared" si="103"/>
        <v>0</v>
      </c>
      <c r="G319" s="830">
        <f t="shared" si="103"/>
        <v>0</v>
      </c>
      <c r="H319" s="830">
        <f t="shared" si="95"/>
        <v>0</v>
      </c>
      <c r="I319" s="830">
        <f t="shared" si="104"/>
        <v>0</v>
      </c>
      <c r="J319" s="830">
        <f t="shared" si="104"/>
        <v>0</v>
      </c>
      <c r="K319" s="830">
        <f t="shared" si="104"/>
        <v>0</v>
      </c>
      <c r="L319" s="830">
        <f t="shared" si="104"/>
        <v>0</v>
      </c>
      <c r="M319" s="830">
        <f t="shared" si="104"/>
        <v>0</v>
      </c>
      <c r="N319" s="830">
        <f t="shared" si="104"/>
        <v>0</v>
      </c>
      <c r="O319" s="830">
        <f t="shared" si="104"/>
        <v>0</v>
      </c>
      <c r="P319" s="830">
        <f t="shared" si="104"/>
        <v>0</v>
      </c>
      <c r="Q319" s="830">
        <f t="shared" si="102"/>
        <v>0</v>
      </c>
      <c r="R319" s="830">
        <f t="shared" si="99"/>
        <v>0</v>
      </c>
      <c r="S319" s="830"/>
    </row>
    <row r="320" spans="1:19" s="593" customFormat="1" ht="12" hidden="1" thickBot="1">
      <c r="A320" s="581" t="s">
        <v>179</v>
      </c>
      <c r="B320" s="938" t="s">
        <v>1500</v>
      </c>
      <c r="C320" s="581" t="s">
        <v>160</v>
      </c>
      <c r="D320" s="830">
        <f t="shared" si="105"/>
        <v>0</v>
      </c>
      <c r="E320" s="830">
        <f t="shared" si="103"/>
        <v>0</v>
      </c>
      <c r="F320" s="830">
        <f t="shared" si="103"/>
        <v>0</v>
      </c>
      <c r="G320" s="830">
        <f t="shared" si="103"/>
        <v>0</v>
      </c>
      <c r="H320" s="830">
        <f t="shared" si="95"/>
        <v>0</v>
      </c>
      <c r="I320" s="830">
        <f t="shared" si="104"/>
        <v>0</v>
      </c>
      <c r="J320" s="830">
        <f t="shared" si="104"/>
        <v>0</v>
      </c>
      <c r="K320" s="830">
        <f t="shared" si="104"/>
        <v>0</v>
      </c>
      <c r="L320" s="830">
        <f t="shared" si="104"/>
        <v>0</v>
      </c>
      <c r="M320" s="830">
        <f t="shared" si="104"/>
        <v>0</v>
      </c>
      <c r="N320" s="830">
        <f t="shared" si="104"/>
        <v>0</v>
      </c>
      <c r="O320" s="830">
        <f t="shared" si="104"/>
        <v>0</v>
      </c>
      <c r="P320" s="830">
        <f t="shared" si="104"/>
        <v>0</v>
      </c>
      <c r="Q320" s="830">
        <f t="shared" si="102"/>
        <v>0</v>
      </c>
      <c r="R320" s="830">
        <f t="shared" si="99"/>
        <v>0</v>
      </c>
      <c r="S320" s="830"/>
    </row>
    <row r="321" spans="1:19" s="593" customFormat="1" ht="12" hidden="1" thickBot="1">
      <c r="A321" s="581" t="s">
        <v>179</v>
      </c>
      <c r="B321" s="938" t="s">
        <v>1500</v>
      </c>
      <c r="C321" s="581" t="s">
        <v>166</v>
      </c>
      <c r="D321" s="830">
        <f t="shared" si="105"/>
        <v>0</v>
      </c>
      <c r="E321" s="830">
        <f t="shared" si="103"/>
        <v>0</v>
      </c>
      <c r="F321" s="830">
        <f t="shared" si="103"/>
        <v>0</v>
      </c>
      <c r="G321" s="830">
        <f t="shared" si="103"/>
        <v>0</v>
      </c>
      <c r="H321" s="830">
        <f t="shared" si="95"/>
        <v>0</v>
      </c>
      <c r="I321" s="830">
        <f t="shared" si="104"/>
        <v>0</v>
      </c>
      <c r="J321" s="830">
        <f t="shared" si="104"/>
        <v>0</v>
      </c>
      <c r="K321" s="830">
        <f t="shared" si="104"/>
        <v>0</v>
      </c>
      <c r="L321" s="830">
        <f t="shared" si="104"/>
        <v>0</v>
      </c>
      <c r="M321" s="830">
        <f t="shared" si="104"/>
        <v>0</v>
      </c>
      <c r="N321" s="830">
        <f t="shared" si="104"/>
        <v>0</v>
      </c>
      <c r="O321" s="830">
        <f t="shared" si="104"/>
        <v>0</v>
      </c>
      <c r="P321" s="830">
        <f t="shared" si="104"/>
        <v>0</v>
      </c>
      <c r="Q321" s="830">
        <f t="shared" si="102"/>
        <v>0</v>
      </c>
      <c r="R321" s="830">
        <f t="shared" si="99"/>
        <v>0</v>
      </c>
      <c r="S321" s="830"/>
    </row>
    <row r="322" spans="1:19" s="593" customFormat="1" ht="12" hidden="1" thickBot="1">
      <c r="A322" s="581" t="s">
        <v>179</v>
      </c>
      <c r="B322" s="938" t="s">
        <v>1500</v>
      </c>
      <c r="C322" s="581" t="s">
        <v>458</v>
      </c>
      <c r="D322" s="830">
        <f t="shared" si="105"/>
        <v>7</v>
      </c>
      <c r="E322" s="830">
        <f t="shared" si="103"/>
        <v>4017</v>
      </c>
      <c r="F322" s="830">
        <f t="shared" si="103"/>
        <v>1188</v>
      </c>
      <c r="G322" s="830">
        <f t="shared" si="103"/>
        <v>718</v>
      </c>
      <c r="H322" s="830">
        <f t="shared" si="95"/>
        <v>5923</v>
      </c>
      <c r="I322" s="830">
        <f t="shared" ref="I322:P330" si="106">ROUND(SUMIFS(I$495:I$866,$B$495:$B$866,$B322,$C$495:$C$866,$C322),0)</f>
        <v>0</v>
      </c>
      <c r="J322" s="830">
        <f t="shared" si="106"/>
        <v>0</v>
      </c>
      <c r="K322" s="830">
        <f t="shared" si="106"/>
        <v>0</v>
      </c>
      <c r="L322" s="830">
        <f t="shared" si="106"/>
        <v>0</v>
      </c>
      <c r="M322" s="830">
        <f t="shared" si="106"/>
        <v>0</v>
      </c>
      <c r="N322" s="830">
        <f t="shared" si="106"/>
        <v>0</v>
      </c>
      <c r="O322" s="830">
        <f t="shared" si="106"/>
        <v>0</v>
      </c>
      <c r="P322" s="830">
        <f t="shared" si="106"/>
        <v>0</v>
      </c>
      <c r="Q322" s="830">
        <f t="shared" si="102"/>
        <v>0</v>
      </c>
      <c r="R322" s="830">
        <f t="shared" si="99"/>
        <v>0</v>
      </c>
      <c r="S322" s="830"/>
    </row>
    <row r="323" spans="1:19" s="593" customFormat="1" ht="12" hidden="1" thickBot="1">
      <c r="A323" s="581" t="s">
        <v>179</v>
      </c>
      <c r="B323" s="938" t="s">
        <v>1500</v>
      </c>
      <c r="C323" s="581" t="s">
        <v>165</v>
      </c>
      <c r="D323" s="830">
        <f t="shared" si="105"/>
        <v>0</v>
      </c>
      <c r="E323" s="830">
        <f t="shared" si="103"/>
        <v>0</v>
      </c>
      <c r="F323" s="830">
        <f t="shared" si="103"/>
        <v>0</v>
      </c>
      <c r="G323" s="830">
        <f t="shared" si="103"/>
        <v>0</v>
      </c>
      <c r="H323" s="830">
        <f t="shared" si="95"/>
        <v>0</v>
      </c>
      <c r="I323" s="830">
        <f t="shared" si="106"/>
        <v>0</v>
      </c>
      <c r="J323" s="830">
        <f t="shared" si="106"/>
        <v>0</v>
      </c>
      <c r="K323" s="830">
        <f t="shared" si="106"/>
        <v>0</v>
      </c>
      <c r="L323" s="830">
        <f t="shared" si="106"/>
        <v>0</v>
      </c>
      <c r="M323" s="830">
        <f t="shared" si="106"/>
        <v>0</v>
      </c>
      <c r="N323" s="830">
        <f t="shared" si="106"/>
        <v>0</v>
      </c>
      <c r="O323" s="830">
        <f t="shared" si="106"/>
        <v>0</v>
      </c>
      <c r="P323" s="830">
        <f t="shared" si="106"/>
        <v>0</v>
      </c>
      <c r="Q323" s="830">
        <f t="shared" si="102"/>
        <v>0</v>
      </c>
      <c r="R323" s="830">
        <f t="shared" si="99"/>
        <v>0</v>
      </c>
      <c r="S323" s="830"/>
    </row>
    <row r="324" spans="1:19" s="593" customFormat="1" ht="12" thickBot="1">
      <c r="A324" s="581" t="s">
        <v>179</v>
      </c>
      <c r="B324" s="938" t="s">
        <v>1500</v>
      </c>
      <c r="C324" s="581" t="s">
        <v>167</v>
      </c>
      <c r="D324" s="830">
        <f t="shared" si="105"/>
        <v>261</v>
      </c>
      <c r="E324" s="830">
        <f t="shared" si="103"/>
        <v>0</v>
      </c>
      <c r="F324" s="830">
        <f t="shared" si="103"/>
        <v>0</v>
      </c>
      <c r="G324" s="830">
        <f t="shared" si="103"/>
        <v>0</v>
      </c>
      <c r="H324" s="830">
        <f t="shared" si="95"/>
        <v>11667674</v>
      </c>
      <c r="I324" s="830">
        <f t="shared" si="106"/>
        <v>0</v>
      </c>
      <c r="J324" s="830">
        <f t="shared" si="106"/>
        <v>0</v>
      </c>
      <c r="K324" s="830">
        <f t="shared" si="106"/>
        <v>0</v>
      </c>
      <c r="L324" s="830">
        <f t="shared" si="106"/>
        <v>0</v>
      </c>
      <c r="M324" s="830">
        <f t="shared" si="106"/>
        <v>0</v>
      </c>
      <c r="N324" s="830">
        <f t="shared" si="106"/>
        <v>0</v>
      </c>
      <c r="O324" s="830">
        <f>R324</f>
        <v>44048</v>
      </c>
      <c r="P324" s="830">
        <f t="shared" si="106"/>
        <v>0</v>
      </c>
      <c r="Q324" s="830">
        <f t="shared" si="102"/>
        <v>0</v>
      </c>
      <c r="R324" s="830">
        <f t="shared" si="99"/>
        <v>44048</v>
      </c>
      <c r="S324" s="830"/>
    </row>
    <row r="325" spans="1:19" s="593" customFormat="1" ht="12" hidden="1" thickBot="1">
      <c r="A325" s="581" t="s">
        <v>179</v>
      </c>
      <c r="B325" s="938" t="s">
        <v>1500</v>
      </c>
      <c r="C325" s="581" t="s">
        <v>623</v>
      </c>
      <c r="D325" s="830">
        <f t="shared" si="105"/>
        <v>0</v>
      </c>
      <c r="E325" s="830">
        <f t="shared" si="103"/>
        <v>0</v>
      </c>
      <c r="F325" s="830">
        <f t="shared" si="103"/>
        <v>0</v>
      </c>
      <c r="G325" s="830">
        <f t="shared" si="103"/>
        <v>0</v>
      </c>
      <c r="H325" s="830">
        <f t="shared" si="95"/>
        <v>0</v>
      </c>
      <c r="I325" s="830">
        <f t="shared" si="106"/>
        <v>0</v>
      </c>
      <c r="J325" s="830">
        <f t="shared" si="106"/>
        <v>0</v>
      </c>
      <c r="K325" s="830">
        <f t="shared" si="106"/>
        <v>0</v>
      </c>
      <c r="L325" s="830">
        <f t="shared" si="106"/>
        <v>0</v>
      </c>
      <c r="M325" s="830">
        <f t="shared" si="106"/>
        <v>0</v>
      </c>
      <c r="N325" s="830">
        <f t="shared" si="106"/>
        <v>0</v>
      </c>
      <c r="O325" s="830">
        <f t="shared" si="106"/>
        <v>0</v>
      </c>
      <c r="P325" s="830">
        <f t="shared" si="106"/>
        <v>0</v>
      </c>
      <c r="Q325" s="830">
        <f t="shared" ref="Q325:Q330" si="107">ROUND(SUMIFS(Q$495:Q$866,$B$495:$B$866,$B325,$C$495:$C$866,$C325),0)</f>
        <v>0</v>
      </c>
      <c r="R325" s="830">
        <f t="shared" si="99"/>
        <v>0</v>
      </c>
      <c r="S325" s="830"/>
    </row>
    <row r="326" spans="1:19" s="593" customFormat="1" ht="12" hidden="1" thickBot="1">
      <c r="A326" s="581" t="s">
        <v>179</v>
      </c>
      <c r="B326" s="938" t="s">
        <v>1500</v>
      </c>
      <c r="C326" s="581" t="s">
        <v>683</v>
      </c>
      <c r="D326" s="830">
        <f t="shared" si="105"/>
        <v>0</v>
      </c>
      <c r="E326" s="830">
        <f t="shared" si="103"/>
        <v>0</v>
      </c>
      <c r="F326" s="830">
        <f t="shared" si="103"/>
        <v>0</v>
      </c>
      <c r="G326" s="830">
        <f t="shared" si="103"/>
        <v>0</v>
      </c>
      <c r="H326" s="830">
        <f t="shared" si="95"/>
        <v>0</v>
      </c>
      <c r="I326" s="830">
        <f t="shared" si="106"/>
        <v>0</v>
      </c>
      <c r="J326" s="830">
        <f t="shared" si="106"/>
        <v>0</v>
      </c>
      <c r="K326" s="830">
        <f t="shared" si="106"/>
        <v>0</v>
      </c>
      <c r="L326" s="830">
        <f t="shared" si="106"/>
        <v>0</v>
      </c>
      <c r="M326" s="830">
        <f t="shared" si="106"/>
        <v>0</v>
      </c>
      <c r="N326" s="830">
        <f t="shared" si="106"/>
        <v>0</v>
      </c>
      <c r="O326" s="830">
        <f t="shared" si="106"/>
        <v>0</v>
      </c>
      <c r="P326" s="830">
        <f t="shared" si="106"/>
        <v>0</v>
      </c>
      <c r="Q326" s="830">
        <f t="shared" si="107"/>
        <v>0</v>
      </c>
      <c r="R326" s="830">
        <f t="shared" si="99"/>
        <v>0</v>
      </c>
      <c r="S326" s="830"/>
    </row>
    <row r="327" spans="1:19" s="593" customFormat="1" ht="12" hidden="1" thickBot="1">
      <c r="A327" s="581" t="s">
        <v>179</v>
      </c>
      <c r="B327" s="938" t="s">
        <v>1500</v>
      </c>
      <c r="C327" s="581" t="s">
        <v>684</v>
      </c>
      <c r="D327" s="830">
        <f t="shared" si="105"/>
        <v>0</v>
      </c>
      <c r="E327" s="830">
        <f t="shared" si="103"/>
        <v>0</v>
      </c>
      <c r="F327" s="830">
        <f t="shared" si="103"/>
        <v>0</v>
      </c>
      <c r="G327" s="830">
        <f t="shared" si="103"/>
        <v>0</v>
      </c>
      <c r="H327" s="830">
        <f t="shared" si="95"/>
        <v>0</v>
      </c>
      <c r="I327" s="830">
        <f t="shared" si="106"/>
        <v>0</v>
      </c>
      <c r="J327" s="830">
        <f t="shared" si="106"/>
        <v>0</v>
      </c>
      <c r="K327" s="830">
        <f t="shared" si="106"/>
        <v>0</v>
      </c>
      <c r="L327" s="830">
        <f t="shared" si="106"/>
        <v>0</v>
      </c>
      <c r="M327" s="830">
        <f t="shared" si="106"/>
        <v>0</v>
      </c>
      <c r="N327" s="830">
        <f t="shared" si="106"/>
        <v>0</v>
      </c>
      <c r="O327" s="830">
        <f t="shared" si="106"/>
        <v>0</v>
      </c>
      <c r="P327" s="830">
        <f t="shared" si="106"/>
        <v>0</v>
      </c>
      <c r="Q327" s="830">
        <f t="shared" si="107"/>
        <v>0</v>
      </c>
      <c r="R327" s="830">
        <f t="shared" si="99"/>
        <v>0</v>
      </c>
      <c r="S327" s="830"/>
    </row>
    <row r="328" spans="1:19" s="593" customFormat="1" ht="12" hidden="1" thickBot="1">
      <c r="A328" s="581" t="s">
        <v>179</v>
      </c>
      <c r="B328" s="938" t="s">
        <v>1500</v>
      </c>
      <c r="C328" s="581" t="s">
        <v>685</v>
      </c>
      <c r="D328" s="830">
        <f t="shared" si="105"/>
        <v>0</v>
      </c>
      <c r="E328" s="830">
        <f t="shared" si="103"/>
        <v>0</v>
      </c>
      <c r="F328" s="830">
        <f t="shared" si="103"/>
        <v>0</v>
      </c>
      <c r="G328" s="830">
        <f t="shared" si="103"/>
        <v>0</v>
      </c>
      <c r="H328" s="830">
        <f t="shared" si="95"/>
        <v>0</v>
      </c>
      <c r="I328" s="830">
        <f t="shared" si="106"/>
        <v>0</v>
      </c>
      <c r="J328" s="830">
        <f t="shared" si="106"/>
        <v>0</v>
      </c>
      <c r="K328" s="830">
        <f t="shared" si="106"/>
        <v>0</v>
      </c>
      <c r="L328" s="830">
        <f t="shared" si="106"/>
        <v>0</v>
      </c>
      <c r="M328" s="830">
        <f t="shared" si="106"/>
        <v>0</v>
      </c>
      <c r="N328" s="830">
        <f t="shared" si="106"/>
        <v>0</v>
      </c>
      <c r="O328" s="830">
        <f t="shared" si="106"/>
        <v>0</v>
      </c>
      <c r="P328" s="830">
        <f t="shared" si="106"/>
        <v>0</v>
      </c>
      <c r="Q328" s="830">
        <f t="shared" si="107"/>
        <v>0</v>
      </c>
      <c r="R328" s="830">
        <f t="shared" si="99"/>
        <v>0</v>
      </c>
      <c r="S328" s="830"/>
    </row>
    <row r="329" spans="1:19" s="593" customFormat="1" ht="12" hidden="1" thickBot="1">
      <c r="A329" s="581" t="s">
        <v>179</v>
      </c>
      <c r="B329" s="938" t="s">
        <v>1500</v>
      </c>
      <c r="C329" s="581" t="s">
        <v>1456</v>
      </c>
      <c r="D329" s="830">
        <f t="shared" si="105"/>
        <v>0</v>
      </c>
      <c r="E329" s="830">
        <f t="shared" si="103"/>
        <v>0</v>
      </c>
      <c r="F329" s="830">
        <f t="shared" si="103"/>
        <v>0</v>
      </c>
      <c r="G329" s="830">
        <f t="shared" si="103"/>
        <v>0</v>
      </c>
      <c r="H329" s="830">
        <f t="shared" si="95"/>
        <v>0</v>
      </c>
      <c r="I329" s="830">
        <f t="shared" si="106"/>
        <v>0</v>
      </c>
      <c r="J329" s="830">
        <f t="shared" si="106"/>
        <v>0</v>
      </c>
      <c r="K329" s="830">
        <f t="shared" si="106"/>
        <v>0</v>
      </c>
      <c r="L329" s="830">
        <f t="shared" si="106"/>
        <v>0</v>
      </c>
      <c r="M329" s="830">
        <f t="shared" si="106"/>
        <v>0</v>
      </c>
      <c r="N329" s="830">
        <f t="shared" si="106"/>
        <v>0</v>
      </c>
      <c r="O329" s="830">
        <f t="shared" si="106"/>
        <v>0</v>
      </c>
      <c r="P329" s="830">
        <f t="shared" si="106"/>
        <v>0</v>
      </c>
      <c r="Q329" s="830">
        <f t="shared" si="107"/>
        <v>0</v>
      </c>
      <c r="R329" s="830">
        <f t="shared" si="99"/>
        <v>0</v>
      </c>
      <c r="S329" s="830"/>
    </row>
    <row r="330" spans="1:19" s="593" customFormat="1" ht="12" hidden="1" thickBot="1">
      <c r="A330" s="581" t="s">
        <v>179</v>
      </c>
      <c r="B330" s="938" t="s">
        <v>1500</v>
      </c>
      <c r="C330" s="581" t="s">
        <v>1457</v>
      </c>
      <c r="D330" s="830">
        <f t="shared" si="105"/>
        <v>0</v>
      </c>
      <c r="E330" s="830">
        <f t="shared" si="103"/>
        <v>0</v>
      </c>
      <c r="F330" s="830">
        <f t="shared" si="103"/>
        <v>0</v>
      </c>
      <c r="G330" s="830">
        <f t="shared" si="103"/>
        <v>0</v>
      </c>
      <c r="H330" s="830">
        <f t="shared" si="95"/>
        <v>0</v>
      </c>
      <c r="I330" s="830">
        <f t="shared" si="106"/>
        <v>0</v>
      </c>
      <c r="J330" s="830">
        <f t="shared" si="106"/>
        <v>0</v>
      </c>
      <c r="K330" s="830">
        <f t="shared" si="106"/>
        <v>0</v>
      </c>
      <c r="L330" s="830">
        <f t="shared" si="106"/>
        <v>0</v>
      </c>
      <c r="M330" s="830">
        <f t="shared" si="106"/>
        <v>0</v>
      </c>
      <c r="N330" s="830">
        <f t="shared" si="106"/>
        <v>0</v>
      </c>
      <c r="O330" s="830">
        <f t="shared" si="106"/>
        <v>0</v>
      </c>
      <c r="P330" s="830">
        <f t="shared" si="106"/>
        <v>0</v>
      </c>
      <c r="Q330" s="830">
        <f t="shared" si="107"/>
        <v>0</v>
      </c>
      <c r="R330" s="830">
        <f t="shared" si="99"/>
        <v>0</v>
      </c>
      <c r="S330" s="830"/>
    </row>
    <row r="331" spans="1:19" s="593" customFormat="1" ht="12" hidden="1" thickBot="1">
      <c r="A331" s="581" t="s">
        <v>179</v>
      </c>
      <c r="B331" s="938" t="s">
        <v>1500</v>
      </c>
      <c r="C331" s="587" t="s">
        <v>8</v>
      </c>
      <c r="D331" s="588"/>
      <c r="E331" s="589"/>
      <c r="F331" s="589"/>
      <c r="G331" s="589"/>
      <c r="H331" s="588"/>
      <c r="I331" s="590"/>
      <c r="J331" s="590"/>
      <c r="K331" s="590"/>
      <c r="L331" s="589"/>
      <c r="M331" s="589"/>
      <c r="N331" s="590"/>
      <c r="O331" s="590"/>
      <c r="P331" s="590"/>
      <c r="Q331" s="590"/>
      <c r="R331" s="590"/>
      <c r="S331" s="589"/>
    </row>
    <row r="332" spans="1:19" s="593" customFormat="1" ht="12" hidden="1" thickBot="1">
      <c r="A332" s="541" t="s">
        <v>179</v>
      </c>
      <c r="B332" s="596" t="s">
        <v>1501</v>
      </c>
      <c r="C332" s="541" t="s">
        <v>152</v>
      </c>
      <c r="D332" s="830">
        <f t="shared" ref="D332:G354" si="108">ROUND(SUMIFS(D$495:D$866,$B$495:$B$866,$B332,$C$495:$C$866,$C332),0)</f>
        <v>32</v>
      </c>
      <c r="E332" s="830">
        <f t="shared" si="108"/>
        <v>0</v>
      </c>
      <c r="F332" s="830">
        <f t="shared" si="108"/>
        <v>0</v>
      </c>
      <c r="G332" s="830">
        <f t="shared" si="108"/>
        <v>0</v>
      </c>
      <c r="H332" s="830">
        <f t="shared" ref="H332:H370" si="109">ROUND(SUMIFS(H$495:H$866,$B$495:$B$866,$B332,$C$495:$C$866,$C332)*1000,0)</f>
        <v>118627727</v>
      </c>
      <c r="I332" s="830">
        <f t="shared" ref="I332:R332" si="110">ROUND(SUMIFS(I$495:I$866,$B$495:$B$866,$B332,$C$495:$C$866,$C332),0)</f>
        <v>0</v>
      </c>
      <c r="J332" s="830">
        <f t="shared" si="110"/>
        <v>0</v>
      </c>
      <c r="K332" s="830">
        <f t="shared" si="110"/>
        <v>0</v>
      </c>
      <c r="L332" s="830">
        <f t="shared" si="110"/>
        <v>0</v>
      </c>
      <c r="M332" s="830">
        <f t="shared" si="110"/>
        <v>0</v>
      </c>
      <c r="N332" s="830">
        <f t="shared" si="110"/>
        <v>0</v>
      </c>
      <c r="O332" s="830">
        <f t="shared" si="110"/>
        <v>303336</v>
      </c>
      <c r="P332" s="830">
        <f t="shared" si="110"/>
        <v>286770</v>
      </c>
      <c r="Q332" s="830">
        <f t="shared" si="110"/>
        <v>283053</v>
      </c>
      <c r="R332" s="830">
        <f t="shared" si="110"/>
        <v>0</v>
      </c>
      <c r="S332" s="830"/>
    </row>
    <row r="333" spans="1:19" s="593" customFormat="1" ht="12" hidden="1" thickBot="1">
      <c r="A333" s="541" t="s">
        <v>179</v>
      </c>
      <c r="B333" s="596" t="s">
        <v>1501</v>
      </c>
      <c r="C333" s="541" t="s">
        <v>153</v>
      </c>
      <c r="D333" s="830">
        <f t="shared" si="108"/>
        <v>201</v>
      </c>
      <c r="E333" s="830">
        <f t="shared" si="108"/>
        <v>0</v>
      </c>
      <c r="F333" s="830">
        <f t="shared" si="108"/>
        <v>0</v>
      </c>
      <c r="G333" s="830">
        <f t="shared" si="108"/>
        <v>0</v>
      </c>
      <c r="H333" s="830">
        <f t="shared" si="109"/>
        <v>17906267</v>
      </c>
      <c r="I333" s="830">
        <f t="shared" ref="I333:P342" si="111">ROUND(SUMIFS(I$495:I$866,$B$495:$B$866,$B333,$C$495:$C$866,$C333),0)</f>
        <v>0</v>
      </c>
      <c r="J333" s="830">
        <f t="shared" si="111"/>
        <v>0</v>
      </c>
      <c r="K333" s="830">
        <f t="shared" si="111"/>
        <v>0</v>
      </c>
      <c r="L333" s="830">
        <f t="shared" si="111"/>
        <v>0</v>
      </c>
      <c r="M333" s="830">
        <f t="shared" si="111"/>
        <v>0</v>
      </c>
      <c r="N333" s="830">
        <f t="shared" si="111"/>
        <v>0</v>
      </c>
      <c r="O333" s="830">
        <f t="shared" si="111"/>
        <v>0</v>
      </c>
      <c r="P333" s="830">
        <f t="shared" si="111"/>
        <v>0</v>
      </c>
      <c r="Q333" s="830">
        <f t="shared" ref="Q333:Q334" si="112">R333</f>
        <v>60267</v>
      </c>
      <c r="R333" s="830">
        <f t="shared" ref="R333:R370" si="113">ROUND(SUMIFS(R$495:R$866,$B$495:$B$866,$B333,$C$495:$C$866,$C333),0)</f>
        <v>60267</v>
      </c>
      <c r="S333" s="830"/>
    </row>
    <row r="334" spans="1:19" s="593" customFormat="1" ht="12" hidden="1" thickBot="1">
      <c r="A334" s="541" t="s">
        <v>179</v>
      </c>
      <c r="B334" s="596" t="s">
        <v>1501</v>
      </c>
      <c r="C334" s="541" t="s">
        <v>154</v>
      </c>
      <c r="D334" s="830">
        <f t="shared" si="108"/>
        <v>4690</v>
      </c>
      <c r="E334" s="830">
        <f t="shared" si="108"/>
        <v>0</v>
      </c>
      <c r="F334" s="830">
        <f t="shared" si="108"/>
        <v>0</v>
      </c>
      <c r="G334" s="830">
        <f t="shared" si="108"/>
        <v>0</v>
      </c>
      <c r="H334" s="830">
        <f t="shared" si="109"/>
        <v>178051436</v>
      </c>
      <c r="I334" s="830">
        <f t="shared" si="111"/>
        <v>0</v>
      </c>
      <c r="J334" s="830">
        <f t="shared" si="111"/>
        <v>0</v>
      </c>
      <c r="K334" s="830">
        <f t="shared" si="111"/>
        <v>0</v>
      </c>
      <c r="L334" s="830">
        <f t="shared" si="111"/>
        <v>0</v>
      </c>
      <c r="M334" s="830">
        <f t="shared" si="111"/>
        <v>0</v>
      </c>
      <c r="N334" s="830">
        <f t="shared" si="111"/>
        <v>0</v>
      </c>
      <c r="O334" s="830">
        <f t="shared" si="111"/>
        <v>0</v>
      </c>
      <c r="P334" s="830">
        <f t="shared" si="111"/>
        <v>0</v>
      </c>
      <c r="Q334" s="830">
        <f t="shared" si="112"/>
        <v>684147</v>
      </c>
      <c r="R334" s="830">
        <f t="shared" si="113"/>
        <v>684147</v>
      </c>
      <c r="S334" s="830"/>
    </row>
    <row r="335" spans="1:19" s="593" customFormat="1" ht="12" hidden="1" thickBot="1">
      <c r="A335" s="541" t="s">
        <v>179</v>
      </c>
      <c r="B335" s="596" t="s">
        <v>1501</v>
      </c>
      <c r="C335" s="541" t="s">
        <v>155</v>
      </c>
      <c r="D335" s="830">
        <f t="shared" si="108"/>
        <v>52</v>
      </c>
      <c r="E335" s="830">
        <f t="shared" si="108"/>
        <v>0</v>
      </c>
      <c r="F335" s="830">
        <f t="shared" si="108"/>
        <v>0</v>
      </c>
      <c r="G335" s="830">
        <f t="shared" si="108"/>
        <v>0</v>
      </c>
      <c r="H335" s="830">
        <f t="shared" si="109"/>
        <v>233921558</v>
      </c>
      <c r="I335" s="830">
        <f t="shared" si="111"/>
        <v>0</v>
      </c>
      <c r="J335" s="830">
        <f t="shared" si="111"/>
        <v>0</v>
      </c>
      <c r="K335" s="830">
        <f t="shared" si="111"/>
        <v>0</v>
      </c>
      <c r="L335" s="830">
        <f t="shared" si="111"/>
        <v>0</v>
      </c>
      <c r="M335" s="830">
        <f t="shared" si="111"/>
        <v>0</v>
      </c>
      <c r="N335" s="830">
        <f t="shared" si="111"/>
        <v>0</v>
      </c>
      <c r="O335" s="830">
        <f t="shared" si="111"/>
        <v>532320</v>
      </c>
      <c r="P335" s="830">
        <f t="shared" si="111"/>
        <v>525566</v>
      </c>
      <c r="Q335" s="830">
        <f t="shared" ref="Q335:Q342" si="114">ROUND(SUMIFS(Q$495:Q$866,$B$495:$B$866,$B335,$C$495:$C$866,$C335),0)</f>
        <v>518603</v>
      </c>
      <c r="R335" s="830">
        <f t="shared" si="113"/>
        <v>0</v>
      </c>
      <c r="S335" s="830"/>
    </row>
    <row r="336" spans="1:19" s="593" customFormat="1" ht="12" hidden="1" thickBot="1">
      <c r="A336" s="541" t="s">
        <v>179</v>
      </c>
      <c r="B336" s="596" t="s">
        <v>1501</v>
      </c>
      <c r="C336" s="541" t="s">
        <v>156</v>
      </c>
      <c r="D336" s="830">
        <f t="shared" si="108"/>
        <v>0</v>
      </c>
      <c r="E336" s="830">
        <f t="shared" si="108"/>
        <v>0</v>
      </c>
      <c r="F336" s="830">
        <f t="shared" si="108"/>
        <v>0</v>
      </c>
      <c r="G336" s="830">
        <f t="shared" si="108"/>
        <v>0</v>
      </c>
      <c r="H336" s="830">
        <f t="shared" si="109"/>
        <v>0</v>
      </c>
      <c r="I336" s="830">
        <f t="shared" si="111"/>
        <v>0</v>
      </c>
      <c r="J336" s="830">
        <f t="shared" si="111"/>
        <v>0</v>
      </c>
      <c r="K336" s="830">
        <f t="shared" si="111"/>
        <v>0</v>
      </c>
      <c r="L336" s="830">
        <f t="shared" si="111"/>
        <v>0</v>
      </c>
      <c r="M336" s="830">
        <f t="shared" si="111"/>
        <v>0</v>
      </c>
      <c r="N336" s="830">
        <f t="shared" si="111"/>
        <v>0</v>
      </c>
      <c r="O336" s="830">
        <f t="shared" si="111"/>
        <v>0</v>
      </c>
      <c r="P336" s="830">
        <f t="shared" si="111"/>
        <v>0</v>
      </c>
      <c r="Q336" s="830">
        <f t="shared" si="114"/>
        <v>0</v>
      </c>
      <c r="R336" s="830">
        <f t="shared" si="113"/>
        <v>0</v>
      </c>
      <c r="S336" s="830"/>
    </row>
    <row r="337" spans="1:19" s="593" customFormat="1" ht="12" hidden="1" thickBot="1">
      <c r="A337" s="541" t="s">
        <v>179</v>
      </c>
      <c r="B337" s="596" t="s">
        <v>1501</v>
      </c>
      <c r="C337" s="541" t="s">
        <v>157</v>
      </c>
      <c r="D337" s="830">
        <f t="shared" si="108"/>
        <v>0</v>
      </c>
      <c r="E337" s="830">
        <f t="shared" si="108"/>
        <v>0</v>
      </c>
      <c r="F337" s="830">
        <f t="shared" si="108"/>
        <v>0</v>
      </c>
      <c r="G337" s="830">
        <f t="shared" si="108"/>
        <v>0</v>
      </c>
      <c r="H337" s="830">
        <f t="shared" si="109"/>
        <v>0</v>
      </c>
      <c r="I337" s="830">
        <f t="shared" si="111"/>
        <v>0</v>
      </c>
      <c r="J337" s="830">
        <f t="shared" si="111"/>
        <v>0</v>
      </c>
      <c r="K337" s="830">
        <f t="shared" si="111"/>
        <v>0</v>
      </c>
      <c r="L337" s="830">
        <f t="shared" si="111"/>
        <v>0</v>
      </c>
      <c r="M337" s="830">
        <f t="shared" si="111"/>
        <v>0</v>
      </c>
      <c r="N337" s="830">
        <f t="shared" si="111"/>
        <v>0</v>
      </c>
      <c r="O337" s="830">
        <f t="shared" si="111"/>
        <v>0</v>
      </c>
      <c r="P337" s="830">
        <f t="shared" si="111"/>
        <v>0</v>
      </c>
      <c r="Q337" s="830">
        <f t="shared" si="114"/>
        <v>0</v>
      </c>
      <c r="R337" s="830">
        <f t="shared" si="113"/>
        <v>0</v>
      </c>
      <c r="S337" s="830"/>
    </row>
    <row r="338" spans="1:19" s="593" customFormat="1" ht="12" hidden="1" thickBot="1">
      <c r="A338" s="541" t="s">
        <v>179</v>
      </c>
      <c r="B338" s="596" t="s">
        <v>1501</v>
      </c>
      <c r="C338" s="541" t="s">
        <v>158</v>
      </c>
      <c r="D338" s="830">
        <f t="shared" si="108"/>
        <v>197</v>
      </c>
      <c r="E338" s="830">
        <f t="shared" si="108"/>
        <v>0</v>
      </c>
      <c r="F338" s="830">
        <f t="shared" si="108"/>
        <v>0</v>
      </c>
      <c r="G338" s="830">
        <f t="shared" si="108"/>
        <v>0</v>
      </c>
      <c r="H338" s="830">
        <f t="shared" si="109"/>
        <v>98398740</v>
      </c>
      <c r="I338" s="830">
        <f t="shared" si="111"/>
        <v>0</v>
      </c>
      <c r="J338" s="830">
        <f t="shared" si="111"/>
        <v>0</v>
      </c>
      <c r="K338" s="830">
        <f t="shared" si="111"/>
        <v>0</v>
      </c>
      <c r="L338" s="830">
        <f t="shared" si="111"/>
        <v>0</v>
      </c>
      <c r="M338" s="830">
        <f t="shared" si="111"/>
        <v>0</v>
      </c>
      <c r="N338" s="830">
        <f t="shared" si="111"/>
        <v>0</v>
      </c>
      <c r="O338" s="830">
        <f t="shared" si="111"/>
        <v>272897</v>
      </c>
      <c r="P338" s="830">
        <f t="shared" si="111"/>
        <v>262231</v>
      </c>
      <c r="Q338" s="830">
        <f t="shared" si="114"/>
        <v>252544</v>
      </c>
      <c r="R338" s="830">
        <f t="shared" si="113"/>
        <v>0</v>
      </c>
      <c r="S338" s="830"/>
    </row>
    <row r="339" spans="1:19" s="593" customFormat="1" ht="12" hidden="1" thickBot="1">
      <c r="A339" s="541" t="s">
        <v>179</v>
      </c>
      <c r="B339" s="596" t="s">
        <v>1501</v>
      </c>
      <c r="C339" s="541" t="s">
        <v>159</v>
      </c>
      <c r="D339" s="830">
        <f t="shared" si="108"/>
        <v>463</v>
      </c>
      <c r="E339" s="830">
        <f t="shared" si="108"/>
        <v>0</v>
      </c>
      <c r="F339" s="830">
        <f t="shared" si="108"/>
        <v>0</v>
      </c>
      <c r="G339" s="830">
        <f t="shared" si="108"/>
        <v>0</v>
      </c>
      <c r="H339" s="830">
        <f t="shared" si="109"/>
        <v>133838239</v>
      </c>
      <c r="I339" s="830">
        <f t="shared" si="111"/>
        <v>0</v>
      </c>
      <c r="J339" s="830">
        <f t="shared" si="111"/>
        <v>0</v>
      </c>
      <c r="K339" s="830">
        <f t="shared" si="111"/>
        <v>0</v>
      </c>
      <c r="L339" s="830">
        <f t="shared" si="111"/>
        <v>0</v>
      </c>
      <c r="M339" s="830">
        <f t="shared" si="111"/>
        <v>0</v>
      </c>
      <c r="N339" s="830">
        <f t="shared" si="111"/>
        <v>0</v>
      </c>
      <c r="O339" s="830">
        <f t="shared" si="111"/>
        <v>373420</v>
      </c>
      <c r="P339" s="830">
        <f t="shared" si="111"/>
        <v>348634</v>
      </c>
      <c r="Q339" s="830">
        <f t="shared" si="114"/>
        <v>341848</v>
      </c>
      <c r="R339" s="830">
        <f t="shared" si="113"/>
        <v>0</v>
      </c>
      <c r="S339" s="830"/>
    </row>
    <row r="340" spans="1:19" s="593" customFormat="1" ht="12" hidden="1" thickBot="1">
      <c r="A340" s="541" t="s">
        <v>179</v>
      </c>
      <c r="B340" s="596" t="s">
        <v>1501</v>
      </c>
      <c r="C340" s="541" t="s">
        <v>161</v>
      </c>
      <c r="D340" s="830">
        <f t="shared" si="108"/>
        <v>63506</v>
      </c>
      <c r="E340" s="830">
        <f t="shared" si="108"/>
        <v>0</v>
      </c>
      <c r="F340" s="830">
        <f t="shared" si="108"/>
        <v>0</v>
      </c>
      <c r="G340" s="830">
        <f t="shared" si="108"/>
        <v>0</v>
      </c>
      <c r="H340" s="830">
        <f t="shared" si="109"/>
        <v>60603647</v>
      </c>
      <c r="I340" s="830">
        <f t="shared" si="111"/>
        <v>0</v>
      </c>
      <c r="J340" s="830">
        <f t="shared" si="111"/>
        <v>0</v>
      </c>
      <c r="K340" s="830">
        <f t="shared" si="111"/>
        <v>0</v>
      </c>
      <c r="L340" s="830">
        <f t="shared" si="111"/>
        <v>0</v>
      </c>
      <c r="M340" s="830">
        <f t="shared" si="111"/>
        <v>0</v>
      </c>
      <c r="N340" s="830">
        <f t="shared" si="111"/>
        <v>0</v>
      </c>
      <c r="O340" s="830">
        <f t="shared" si="111"/>
        <v>0</v>
      </c>
      <c r="P340" s="830">
        <f t="shared" si="111"/>
        <v>0</v>
      </c>
      <c r="Q340" s="830">
        <f t="shared" si="114"/>
        <v>0</v>
      </c>
      <c r="R340" s="830">
        <f t="shared" si="113"/>
        <v>0</v>
      </c>
      <c r="S340" s="830"/>
    </row>
    <row r="341" spans="1:19" s="593" customFormat="1" ht="12" hidden="1" thickBot="1">
      <c r="A341" s="541" t="s">
        <v>179</v>
      </c>
      <c r="B341" s="596" t="s">
        <v>1501</v>
      </c>
      <c r="C341" s="541" t="s">
        <v>162</v>
      </c>
      <c r="D341" s="830">
        <f t="shared" si="108"/>
        <v>0</v>
      </c>
      <c r="E341" s="830">
        <f t="shared" si="108"/>
        <v>0</v>
      </c>
      <c r="F341" s="830">
        <f t="shared" si="108"/>
        <v>0</v>
      </c>
      <c r="G341" s="830">
        <f t="shared" si="108"/>
        <v>0</v>
      </c>
      <c r="H341" s="830">
        <f t="shared" si="109"/>
        <v>0</v>
      </c>
      <c r="I341" s="830">
        <f t="shared" si="111"/>
        <v>0</v>
      </c>
      <c r="J341" s="830">
        <f t="shared" si="111"/>
        <v>0</v>
      </c>
      <c r="K341" s="830">
        <f t="shared" si="111"/>
        <v>0</v>
      </c>
      <c r="L341" s="830">
        <f t="shared" si="111"/>
        <v>0</v>
      </c>
      <c r="M341" s="830">
        <f t="shared" si="111"/>
        <v>0</v>
      </c>
      <c r="N341" s="830">
        <f t="shared" si="111"/>
        <v>0</v>
      </c>
      <c r="O341" s="830">
        <f t="shared" si="111"/>
        <v>0</v>
      </c>
      <c r="P341" s="830">
        <f t="shared" si="111"/>
        <v>0</v>
      </c>
      <c r="Q341" s="830">
        <f t="shared" si="114"/>
        <v>0</v>
      </c>
      <c r="R341" s="830">
        <f t="shared" si="113"/>
        <v>0</v>
      </c>
      <c r="S341" s="830"/>
    </row>
    <row r="342" spans="1:19" s="593" customFormat="1" ht="12" hidden="1" thickBot="1">
      <c r="A342" s="541" t="s">
        <v>179</v>
      </c>
      <c r="B342" s="596" t="s">
        <v>1501</v>
      </c>
      <c r="C342" s="541" t="s">
        <v>163</v>
      </c>
      <c r="D342" s="830">
        <f t="shared" si="108"/>
        <v>18564</v>
      </c>
      <c r="E342" s="830">
        <f t="shared" si="108"/>
        <v>0</v>
      </c>
      <c r="F342" s="830">
        <f t="shared" si="108"/>
        <v>0</v>
      </c>
      <c r="G342" s="830">
        <f t="shared" si="108"/>
        <v>0</v>
      </c>
      <c r="H342" s="830">
        <f t="shared" si="109"/>
        <v>88529551</v>
      </c>
      <c r="I342" s="830">
        <f t="shared" si="111"/>
        <v>0</v>
      </c>
      <c r="J342" s="830">
        <f t="shared" si="111"/>
        <v>0</v>
      </c>
      <c r="K342" s="830">
        <f t="shared" si="111"/>
        <v>0</v>
      </c>
      <c r="L342" s="830">
        <f t="shared" si="111"/>
        <v>0</v>
      </c>
      <c r="M342" s="830">
        <f t="shared" si="111"/>
        <v>0</v>
      </c>
      <c r="N342" s="830">
        <f t="shared" si="111"/>
        <v>0</v>
      </c>
      <c r="O342" s="830">
        <f>R342</f>
        <v>365688</v>
      </c>
      <c r="P342" s="830">
        <f t="shared" si="111"/>
        <v>0</v>
      </c>
      <c r="Q342" s="830">
        <f t="shared" si="114"/>
        <v>0</v>
      </c>
      <c r="R342" s="830">
        <f t="shared" si="113"/>
        <v>365688</v>
      </c>
      <c r="S342" s="830"/>
    </row>
    <row r="343" spans="1:19" s="593" customFormat="1" ht="12" hidden="1" thickBot="1">
      <c r="A343" s="541" t="s">
        <v>179</v>
      </c>
      <c r="B343" s="596" t="s">
        <v>1501</v>
      </c>
      <c r="C343" s="541" t="s">
        <v>164</v>
      </c>
      <c r="D343" s="830">
        <f t="shared" si="108"/>
        <v>375</v>
      </c>
      <c r="E343" s="830">
        <f t="shared" si="108"/>
        <v>0</v>
      </c>
      <c r="F343" s="830">
        <f t="shared" si="108"/>
        <v>0</v>
      </c>
      <c r="G343" s="830">
        <f t="shared" si="108"/>
        <v>0</v>
      </c>
      <c r="H343" s="830">
        <f t="shared" si="109"/>
        <v>520806</v>
      </c>
      <c r="I343" s="830">
        <f t="shared" ref="I343:P352" si="115">ROUND(SUMIFS(I$495:I$866,$B$495:$B$866,$B343,$C$495:$C$866,$C343),0)</f>
        <v>0</v>
      </c>
      <c r="J343" s="830">
        <f t="shared" si="115"/>
        <v>0</v>
      </c>
      <c r="K343" s="830">
        <f t="shared" si="115"/>
        <v>0</v>
      </c>
      <c r="L343" s="830">
        <f t="shared" si="115"/>
        <v>0</v>
      </c>
      <c r="M343" s="830">
        <f t="shared" si="115"/>
        <v>0</v>
      </c>
      <c r="N343" s="830">
        <f t="shared" si="115"/>
        <v>0</v>
      </c>
      <c r="O343" s="830">
        <f t="shared" si="115"/>
        <v>0</v>
      </c>
      <c r="P343" s="830">
        <f t="shared" si="115"/>
        <v>0</v>
      </c>
      <c r="Q343" s="830">
        <f t="shared" ref="Q343:Q366" si="116">ROUND(SUMIFS(Q$495:Q$866,$B$495:$B$866,$B343,$C$495:$C$866,$C343),0)</f>
        <v>0</v>
      </c>
      <c r="R343" s="830">
        <f t="shared" si="113"/>
        <v>0</v>
      </c>
      <c r="S343" s="830"/>
    </row>
    <row r="344" spans="1:19" s="593" customFormat="1" ht="12" hidden="1" thickBot="1">
      <c r="A344" s="541" t="s">
        <v>179</v>
      </c>
      <c r="B344" s="596" t="s">
        <v>1501</v>
      </c>
      <c r="C344" s="541" t="s">
        <v>174</v>
      </c>
      <c r="D344" s="830">
        <f t="shared" si="108"/>
        <v>429693</v>
      </c>
      <c r="E344" s="830">
        <f t="shared" si="108"/>
        <v>0</v>
      </c>
      <c r="F344" s="830">
        <f t="shared" si="108"/>
        <v>0</v>
      </c>
      <c r="G344" s="830">
        <f t="shared" si="108"/>
        <v>0</v>
      </c>
      <c r="H344" s="830">
        <f t="shared" si="109"/>
        <v>450429077</v>
      </c>
      <c r="I344" s="830">
        <f t="shared" si="115"/>
        <v>0</v>
      </c>
      <c r="J344" s="830">
        <f t="shared" si="115"/>
        <v>0</v>
      </c>
      <c r="K344" s="830">
        <f t="shared" si="115"/>
        <v>0</v>
      </c>
      <c r="L344" s="830">
        <f t="shared" si="115"/>
        <v>0</v>
      </c>
      <c r="M344" s="830">
        <f t="shared" si="115"/>
        <v>0</v>
      </c>
      <c r="N344" s="830">
        <f t="shared" si="115"/>
        <v>0</v>
      </c>
      <c r="O344" s="830">
        <f t="shared" si="115"/>
        <v>0</v>
      </c>
      <c r="P344" s="830">
        <f t="shared" si="115"/>
        <v>0</v>
      </c>
      <c r="Q344" s="830">
        <f t="shared" si="116"/>
        <v>0</v>
      </c>
      <c r="R344" s="830">
        <f t="shared" si="113"/>
        <v>0</v>
      </c>
      <c r="S344" s="830"/>
    </row>
    <row r="345" spans="1:19" s="593" customFormat="1" ht="12" hidden="1" thickBot="1">
      <c r="A345" s="541" t="s">
        <v>179</v>
      </c>
      <c r="B345" s="596" t="s">
        <v>1501</v>
      </c>
      <c r="C345" s="541" t="s">
        <v>175</v>
      </c>
      <c r="D345" s="830">
        <f t="shared" si="108"/>
        <v>0</v>
      </c>
      <c r="E345" s="830">
        <f t="shared" si="108"/>
        <v>0</v>
      </c>
      <c r="F345" s="830">
        <f t="shared" si="108"/>
        <v>0</v>
      </c>
      <c r="G345" s="830">
        <f t="shared" si="108"/>
        <v>0</v>
      </c>
      <c r="H345" s="830">
        <f t="shared" si="109"/>
        <v>0</v>
      </c>
      <c r="I345" s="830">
        <f t="shared" si="115"/>
        <v>0</v>
      </c>
      <c r="J345" s="830">
        <f t="shared" si="115"/>
        <v>0</v>
      </c>
      <c r="K345" s="830">
        <f t="shared" si="115"/>
        <v>0</v>
      </c>
      <c r="L345" s="830">
        <f t="shared" si="115"/>
        <v>0</v>
      </c>
      <c r="M345" s="830">
        <f t="shared" si="115"/>
        <v>0</v>
      </c>
      <c r="N345" s="830">
        <f t="shared" si="115"/>
        <v>0</v>
      </c>
      <c r="O345" s="830">
        <f t="shared" si="115"/>
        <v>0</v>
      </c>
      <c r="P345" s="830">
        <f t="shared" si="115"/>
        <v>0</v>
      </c>
      <c r="Q345" s="830">
        <f t="shared" si="116"/>
        <v>0</v>
      </c>
      <c r="R345" s="830">
        <f t="shared" si="113"/>
        <v>0</v>
      </c>
      <c r="S345" s="830"/>
    </row>
    <row r="346" spans="1:19" s="593" customFormat="1" ht="12" hidden="1" thickBot="1">
      <c r="A346" s="541" t="s">
        <v>179</v>
      </c>
      <c r="B346" s="596" t="s">
        <v>1501</v>
      </c>
      <c r="C346" s="541" t="s">
        <v>176</v>
      </c>
      <c r="D346" s="830">
        <f t="shared" si="108"/>
        <v>0</v>
      </c>
      <c r="E346" s="830">
        <f t="shared" si="108"/>
        <v>0</v>
      </c>
      <c r="F346" s="830">
        <f t="shared" si="108"/>
        <v>0</v>
      </c>
      <c r="G346" s="830">
        <f t="shared" si="108"/>
        <v>0</v>
      </c>
      <c r="H346" s="830">
        <f t="shared" si="109"/>
        <v>0</v>
      </c>
      <c r="I346" s="830">
        <f t="shared" si="115"/>
        <v>0</v>
      </c>
      <c r="J346" s="830">
        <f t="shared" si="115"/>
        <v>0</v>
      </c>
      <c r="K346" s="830">
        <f t="shared" si="115"/>
        <v>0</v>
      </c>
      <c r="L346" s="830">
        <f t="shared" si="115"/>
        <v>0</v>
      </c>
      <c r="M346" s="830">
        <f t="shared" si="115"/>
        <v>0</v>
      </c>
      <c r="N346" s="830">
        <f t="shared" si="115"/>
        <v>0</v>
      </c>
      <c r="O346" s="830">
        <f t="shared" si="115"/>
        <v>0</v>
      </c>
      <c r="P346" s="830">
        <f t="shared" si="115"/>
        <v>0</v>
      </c>
      <c r="Q346" s="830">
        <f t="shared" si="116"/>
        <v>0</v>
      </c>
      <c r="R346" s="830">
        <f t="shared" si="113"/>
        <v>0</v>
      </c>
      <c r="S346" s="830"/>
    </row>
    <row r="347" spans="1:19" s="593" customFormat="1" ht="12" hidden="1" thickBot="1">
      <c r="A347" s="541" t="s">
        <v>179</v>
      </c>
      <c r="B347" s="596" t="s">
        <v>1501</v>
      </c>
      <c r="C347" s="541" t="s">
        <v>177</v>
      </c>
      <c r="D347" s="830">
        <f t="shared" si="108"/>
        <v>0</v>
      </c>
      <c r="E347" s="830">
        <f t="shared" si="108"/>
        <v>0</v>
      </c>
      <c r="F347" s="830">
        <f t="shared" si="108"/>
        <v>0</v>
      </c>
      <c r="G347" s="830">
        <f t="shared" si="108"/>
        <v>0</v>
      </c>
      <c r="H347" s="830">
        <f t="shared" si="109"/>
        <v>0</v>
      </c>
      <c r="I347" s="830">
        <f t="shared" si="115"/>
        <v>0</v>
      </c>
      <c r="J347" s="830">
        <f t="shared" si="115"/>
        <v>0</v>
      </c>
      <c r="K347" s="830">
        <f t="shared" si="115"/>
        <v>0</v>
      </c>
      <c r="L347" s="830">
        <f t="shared" si="115"/>
        <v>0</v>
      </c>
      <c r="M347" s="830">
        <f t="shared" si="115"/>
        <v>0</v>
      </c>
      <c r="N347" s="830">
        <f t="shared" si="115"/>
        <v>0</v>
      </c>
      <c r="O347" s="830">
        <f t="shared" si="115"/>
        <v>0</v>
      </c>
      <c r="P347" s="830">
        <f t="shared" si="115"/>
        <v>0</v>
      </c>
      <c r="Q347" s="830">
        <f t="shared" si="116"/>
        <v>0</v>
      </c>
      <c r="R347" s="830">
        <f t="shared" si="113"/>
        <v>0</v>
      </c>
      <c r="S347" s="830"/>
    </row>
    <row r="348" spans="1:19" s="593" customFormat="1" ht="12" hidden="1" thickBot="1">
      <c r="A348" s="541" t="s">
        <v>179</v>
      </c>
      <c r="B348" s="596" t="s">
        <v>1501</v>
      </c>
      <c r="C348" s="541" t="s">
        <v>178</v>
      </c>
      <c r="D348" s="830">
        <f t="shared" si="108"/>
        <v>0</v>
      </c>
      <c r="E348" s="830">
        <f t="shared" si="108"/>
        <v>0</v>
      </c>
      <c r="F348" s="830">
        <f t="shared" si="108"/>
        <v>0</v>
      </c>
      <c r="G348" s="830">
        <f t="shared" si="108"/>
        <v>0</v>
      </c>
      <c r="H348" s="830">
        <f t="shared" si="109"/>
        <v>0</v>
      </c>
      <c r="I348" s="830">
        <f t="shared" si="115"/>
        <v>0</v>
      </c>
      <c r="J348" s="830">
        <f t="shared" si="115"/>
        <v>0</v>
      </c>
      <c r="K348" s="830">
        <f t="shared" si="115"/>
        <v>0</v>
      </c>
      <c r="L348" s="830">
        <f t="shared" si="115"/>
        <v>0</v>
      </c>
      <c r="M348" s="830">
        <f t="shared" si="115"/>
        <v>0</v>
      </c>
      <c r="N348" s="830">
        <f t="shared" si="115"/>
        <v>0</v>
      </c>
      <c r="O348" s="830">
        <f t="shared" si="115"/>
        <v>0</v>
      </c>
      <c r="P348" s="830">
        <f t="shared" si="115"/>
        <v>0</v>
      </c>
      <c r="Q348" s="830">
        <f t="shared" si="116"/>
        <v>0</v>
      </c>
      <c r="R348" s="830">
        <f t="shared" si="113"/>
        <v>0</v>
      </c>
      <c r="S348" s="830"/>
    </row>
    <row r="349" spans="1:19" s="593" customFormat="1" ht="12" hidden="1" thickBot="1">
      <c r="A349" s="541" t="s">
        <v>179</v>
      </c>
      <c r="B349" s="596" t="s">
        <v>1501</v>
      </c>
      <c r="C349" s="541" t="s">
        <v>1394</v>
      </c>
      <c r="D349" s="830">
        <f t="shared" si="108"/>
        <v>0</v>
      </c>
      <c r="E349" s="830">
        <f t="shared" si="108"/>
        <v>0</v>
      </c>
      <c r="F349" s="830">
        <f t="shared" si="108"/>
        <v>0</v>
      </c>
      <c r="G349" s="830">
        <f t="shared" si="108"/>
        <v>0</v>
      </c>
      <c r="H349" s="830">
        <f t="shared" si="109"/>
        <v>0</v>
      </c>
      <c r="I349" s="830">
        <f t="shared" si="115"/>
        <v>0</v>
      </c>
      <c r="J349" s="830">
        <f t="shared" si="115"/>
        <v>0</v>
      </c>
      <c r="K349" s="830">
        <f t="shared" si="115"/>
        <v>0</v>
      </c>
      <c r="L349" s="830">
        <f t="shared" si="115"/>
        <v>0</v>
      </c>
      <c r="M349" s="830">
        <f t="shared" si="115"/>
        <v>0</v>
      </c>
      <c r="N349" s="830">
        <f t="shared" si="115"/>
        <v>0</v>
      </c>
      <c r="O349" s="830">
        <f t="shared" si="115"/>
        <v>0</v>
      </c>
      <c r="P349" s="830">
        <f t="shared" si="115"/>
        <v>0</v>
      </c>
      <c r="Q349" s="830">
        <f t="shared" si="116"/>
        <v>0</v>
      </c>
      <c r="R349" s="830">
        <f t="shared" si="113"/>
        <v>0</v>
      </c>
      <c r="S349" s="830"/>
    </row>
    <row r="350" spans="1:19" s="593" customFormat="1" ht="12" hidden="1" thickBot="1">
      <c r="A350" s="541" t="s">
        <v>179</v>
      </c>
      <c r="B350" s="596" t="s">
        <v>1501</v>
      </c>
      <c r="C350" s="541" t="s">
        <v>434</v>
      </c>
      <c r="D350" s="830">
        <f t="shared" si="108"/>
        <v>0</v>
      </c>
      <c r="E350" s="830">
        <f t="shared" si="108"/>
        <v>0</v>
      </c>
      <c r="F350" s="830">
        <f t="shared" si="108"/>
        <v>0</v>
      </c>
      <c r="G350" s="830">
        <f t="shared" si="108"/>
        <v>0</v>
      </c>
      <c r="H350" s="830">
        <f t="shared" si="109"/>
        <v>0</v>
      </c>
      <c r="I350" s="830">
        <f t="shared" si="115"/>
        <v>0</v>
      </c>
      <c r="J350" s="830">
        <f t="shared" si="115"/>
        <v>0</v>
      </c>
      <c r="K350" s="830">
        <f t="shared" si="115"/>
        <v>0</v>
      </c>
      <c r="L350" s="830">
        <f t="shared" si="115"/>
        <v>0</v>
      </c>
      <c r="M350" s="830">
        <f t="shared" si="115"/>
        <v>0</v>
      </c>
      <c r="N350" s="830">
        <f t="shared" si="115"/>
        <v>0</v>
      </c>
      <c r="O350" s="830">
        <f t="shared" si="115"/>
        <v>0</v>
      </c>
      <c r="P350" s="830">
        <f t="shared" si="115"/>
        <v>0</v>
      </c>
      <c r="Q350" s="830">
        <f t="shared" si="116"/>
        <v>0</v>
      </c>
      <c r="R350" s="830">
        <f t="shared" si="113"/>
        <v>0</v>
      </c>
      <c r="S350" s="830"/>
    </row>
    <row r="351" spans="1:19" s="593" customFormat="1" ht="12" hidden="1" thickBot="1">
      <c r="A351" s="541" t="s">
        <v>179</v>
      </c>
      <c r="B351" s="596" t="s">
        <v>1501</v>
      </c>
      <c r="C351" s="541" t="s">
        <v>424</v>
      </c>
      <c r="D351" s="830">
        <f t="shared" si="108"/>
        <v>0</v>
      </c>
      <c r="E351" s="830">
        <f t="shared" si="108"/>
        <v>0</v>
      </c>
      <c r="F351" s="830">
        <f t="shared" si="108"/>
        <v>0</v>
      </c>
      <c r="G351" s="830">
        <f t="shared" si="108"/>
        <v>0</v>
      </c>
      <c r="H351" s="830">
        <f t="shared" si="109"/>
        <v>0</v>
      </c>
      <c r="I351" s="830">
        <f t="shared" si="115"/>
        <v>0</v>
      </c>
      <c r="J351" s="830">
        <f t="shared" si="115"/>
        <v>0</v>
      </c>
      <c r="K351" s="830">
        <f t="shared" si="115"/>
        <v>0</v>
      </c>
      <c r="L351" s="830">
        <f t="shared" si="115"/>
        <v>0</v>
      </c>
      <c r="M351" s="830">
        <f t="shared" si="115"/>
        <v>0</v>
      </c>
      <c r="N351" s="830">
        <f t="shared" si="115"/>
        <v>0</v>
      </c>
      <c r="O351" s="830">
        <f t="shared" si="115"/>
        <v>0</v>
      </c>
      <c r="P351" s="830">
        <f t="shared" si="115"/>
        <v>0</v>
      </c>
      <c r="Q351" s="830">
        <f t="shared" si="116"/>
        <v>0</v>
      </c>
      <c r="R351" s="830">
        <f t="shared" si="113"/>
        <v>0</v>
      </c>
      <c r="S351" s="830"/>
    </row>
    <row r="352" spans="1:19" s="593" customFormat="1" ht="12" hidden="1" thickBot="1">
      <c r="A352" s="541" t="s">
        <v>179</v>
      </c>
      <c r="B352" s="596" t="s">
        <v>1501</v>
      </c>
      <c r="C352" s="541" t="s">
        <v>425</v>
      </c>
      <c r="D352" s="830">
        <f t="shared" si="108"/>
        <v>0</v>
      </c>
      <c r="E352" s="830">
        <f t="shared" si="108"/>
        <v>0</v>
      </c>
      <c r="F352" s="830">
        <f t="shared" si="108"/>
        <v>0</v>
      </c>
      <c r="G352" s="830">
        <f t="shared" si="108"/>
        <v>0</v>
      </c>
      <c r="H352" s="830">
        <f t="shared" si="109"/>
        <v>0</v>
      </c>
      <c r="I352" s="830">
        <f t="shared" si="115"/>
        <v>0</v>
      </c>
      <c r="J352" s="830">
        <f t="shared" si="115"/>
        <v>0</v>
      </c>
      <c r="K352" s="830">
        <f t="shared" si="115"/>
        <v>0</v>
      </c>
      <c r="L352" s="830">
        <f t="shared" si="115"/>
        <v>0</v>
      </c>
      <c r="M352" s="830">
        <f t="shared" si="115"/>
        <v>0</v>
      </c>
      <c r="N352" s="830">
        <f t="shared" si="115"/>
        <v>0</v>
      </c>
      <c r="O352" s="830">
        <f t="shared" si="115"/>
        <v>0</v>
      </c>
      <c r="P352" s="830">
        <f t="shared" si="115"/>
        <v>0</v>
      </c>
      <c r="Q352" s="830">
        <f t="shared" si="116"/>
        <v>0</v>
      </c>
      <c r="R352" s="830">
        <f t="shared" si="113"/>
        <v>0</v>
      </c>
      <c r="S352" s="830"/>
    </row>
    <row r="353" spans="1:19" s="593" customFormat="1" ht="12" hidden="1" thickBot="1">
      <c r="A353" s="541" t="s">
        <v>179</v>
      </c>
      <c r="B353" s="596" t="s">
        <v>1501</v>
      </c>
      <c r="C353" s="541" t="s">
        <v>169</v>
      </c>
      <c r="D353" s="830">
        <f t="shared" si="108"/>
        <v>0</v>
      </c>
      <c r="E353" s="830">
        <f t="shared" si="108"/>
        <v>0</v>
      </c>
      <c r="F353" s="830">
        <f t="shared" si="108"/>
        <v>0</v>
      </c>
      <c r="G353" s="830">
        <f t="shared" si="108"/>
        <v>0</v>
      </c>
      <c r="H353" s="830">
        <f t="shared" si="109"/>
        <v>0</v>
      </c>
      <c r="I353" s="830">
        <f t="shared" ref="I353:P362" si="117">ROUND(SUMIFS(I$495:I$866,$B$495:$B$866,$B353,$C$495:$C$866,$C353),0)</f>
        <v>0</v>
      </c>
      <c r="J353" s="830">
        <f t="shared" si="117"/>
        <v>0</v>
      </c>
      <c r="K353" s="830">
        <f t="shared" si="117"/>
        <v>0</v>
      </c>
      <c r="L353" s="830">
        <f t="shared" si="117"/>
        <v>0</v>
      </c>
      <c r="M353" s="830">
        <f t="shared" si="117"/>
        <v>0</v>
      </c>
      <c r="N353" s="830">
        <f t="shared" si="117"/>
        <v>0</v>
      </c>
      <c r="O353" s="830">
        <f t="shared" si="117"/>
        <v>0</v>
      </c>
      <c r="P353" s="830">
        <f t="shared" si="117"/>
        <v>0</v>
      </c>
      <c r="Q353" s="830">
        <f t="shared" si="116"/>
        <v>0</v>
      </c>
      <c r="R353" s="830">
        <f t="shared" si="113"/>
        <v>0</v>
      </c>
      <c r="S353" s="830"/>
    </row>
    <row r="354" spans="1:19" s="593" customFormat="1" ht="12" hidden="1" thickBot="1">
      <c r="A354" s="541" t="s">
        <v>179</v>
      </c>
      <c r="B354" s="596" t="s">
        <v>1501</v>
      </c>
      <c r="C354" s="541" t="s">
        <v>173</v>
      </c>
      <c r="D354" s="830">
        <f t="shared" si="108"/>
        <v>1</v>
      </c>
      <c r="E354" s="830">
        <f t="shared" si="108"/>
        <v>0</v>
      </c>
      <c r="F354" s="830">
        <f t="shared" si="108"/>
        <v>0</v>
      </c>
      <c r="G354" s="830">
        <f t="shared" si="108"/>
        <v>0</v>
      </c>
      <c r="H354" s="830">
        <f t="shared" si="109"/>
        <v>45641536</v>
      </c>
      <c r="I354" s="830">
        <f t="shared" si="117"/>
        <v>0</v>
      </c>
      <c r="J354" s="830">
        <f t="shared" si="117"/>
        <v>0</v>
      </c>
      <c r="K354" s="830">
        <f t="shared" si="117"/>
        <v>0</v>
      </c>
      <c r="L354" s="830">
        <f t="shared" si="117"/>
        <v>0</v>
      </c>
      <c r="M354" s="830">
        <f t="shared" si="117"/>
        <v>0</v>
      </c>
      <c r="N354" s="830">
        <f t="shared" si="117"/>
        <v>0</v>
      </c>
      <c r="O354" s="830">
        <f t="shared" si="117"/>
        <v>185158</v>
      </c>
      <c r="P354" s="830">
        <f t="shared" si="117"/>
        <v>185158</v>
      </c>
      <c r="Q354" s="830">
        <f t="shared" si="116"/>
        <v>101388</v>
      </c>
      <c r="R354" s="830">
        <f t="shared" si="113"/>
        <v>0</v>
      </c>
      <c r="S354" s="830"/>
    </row>
    <row r="355" spans="1:19" s="593" customFormat="1" ht="12" hidden="1" thickBot="1">
      <c r="A355" s="541" t="s">
        <v>179</v>
      </c>
      <c r="B355" s="596" t="s">
        <v>1501</v>
      </c>
      <c r="C355" s="541" t="s">
        <v>217</v>
      </c>
      <c r="D355" s="830">
        <v>2</v>
      </c>
      <c r="E355" s="830">
        <f t="shared" ref="E355:G370" si="118">ROUND(SUMIFS(E$495:E$866,$B$495:$B$866,$B355,$C$495:$C$866,$C355),0)</f>
        <v>0</v>
      </c>
      <c r="F355" s="830">
        <f t="shared" si="118"/>
        <v>0</v>
      </c>
      <c r="G355" s="830">
        <f t="shared" si="118"/>
        <v>0</v>
      </c>
      <c r="H355" s="830">
        <f t="shared" si="109"/>
        <v>12721</v>
      </c>
      <c r="I355" s="830">
        <f t="shared" si="117"/>
        <v>0</v>
      </c>
      <c r="J355" s="830">
        <f t="shared" si="117"/>
        <v>0</v>
      </c>
      <c r="K355" s="830">
        <f t="shared" si="117"/>
        <v>0</v>
      </c>
      <c r="L355" s="830">
        <f t="shared" si="117"/>
        <v>0</v>
      </c>
      <c r="M355" s="830">
        <f t="shared" si="117"/>
        <v>0</v>
      </c>
      <c r="N355" s="830">
        <f t="shared" si="117"/>
        <v>0</v>
      </c>
      <c r="O355" s="830">
        <f t="shared" si="117"/>
        <v>0</v>
      </c>
      <c r="P355" s="830">
        <f t="shared" si="117"/>
        <v>0</v>
      </c>
      <c r="Q355" s="830">
        <f t="shared" si="116"/>
        <v>0</v>
      </c>
      <c r="R355" s="830">
        <f t="shared" si="113"/>
        <v>0</v>
      </c>
      <c r="S355" s="830"/>
    </row>
    <row r="356" spans="1:19" s="593" customFormat="1" ht="12" hidden="1" thickBot="1">
      <c r="A356" s="541" t="s">
        <v>179</v>
      </c>
      <c r="B356" s="596" t="s">
        <v>1501</v>
      </c>
      <c r="C356" s="541" t="s">
        <v>216</v>
      </c>
      <c r="D356" s="830">
        <f t="shared" ref="D356:D370" si="119">ROUND(SUMIFS(D$495:D$866,$B$495:$B$866,$B356,$C$495:$C$866,$C356),0)</f>
        <v>0</v>
      </c>
      <c r="E356" s="830">
        <f t="shared" si="118"/>
        <v>0</v>
      </c>
      <c r="F356" s="830">
        <f t="shared" si="118"/>
        <v>0</v>
      </c>
      <c r="G356" s="830">
        <f t="shared" si="118"/>
        <v>0</v>
      </c>
      <c r="H356" s="830">
        <f t="shared" si="109"/>
        <v>0</v>
      </c>
      <c r="I356" s="830">
        <f t="shared" si="117"/>
        <v>0</v>
      </c>
      <c r="J356" s="830">
        <f t="shared" si="117"/>
        <v>0</v>
      </c>
      <c r="K356" s="830">
        <f t="shared" si="117"/>
        <v>0</v>
      </c>
      <c r="L356" s="830">
        <f t="shared" si="117"/>
        <v>0</v>
      </c>
      <c r="M356" s="830">
        <f t="shared" si="117"/>
        <v>0</v>
      </c>
      <c r="N356" s="830">
        <f t="shared" si="117"/>
        <v>0</v>
      </c>
      <c r="O356" s="830">
        <f t="shared" si="117"/>
        <v>0</v>
      </c>
      <c r="P356" s="830">
        <f t="shared" si="117"/>
        <v>0</v>
      </c>
      <c r="Q356" s="830">
        <f t="shared" si="116"/>
        <v>0</v>
      </c>
      <c r="R356" s="830">
        <f t="shared" si="113"/>
        <v>0</v>
      </c>
      <c r="S356" s="830"/>
    </row>
    <row r="357" spans="1:19" s="593" customFormat="1" ht="12" hidden="1" thickBot="1">
      <c r="A357" s="541" t="s">
        <v>179</v>
      </c>
      <c r="B357" s="596" t="s">
        <v>1501</v>
      </c>
      <c r="C357" s="541" t="s">
        <v>168</v>
      </c>
      <c r="D357" s="830">
        <f t="shared" si="119"/>
        <v>747</v>
      </c>
      <c r="E357" s="830">
        <f t="shared" si="118"/>
        <v>0</v>
      </c>
      <c r="F357" s="830">
        <f t="shared" si="118"/>
        <v>0</v>
      </c>
      <c r="G357" s="830">
        <f t="shared" si="118"/>
        <v>0</v>
      </c>
      <c r="H357" s="830">
        <f t="shared" si="109"/>
        <v>91750</v>
      </c>
      <c r="I357" s="830">
        <f t="shared" si="117"/>
        <v>0</v>
      </c>
      <c r="J357" s="830">
        <f t="shared" si="117"/>
        <v>0</v>
      </c>
      <c r="K357" s="830">
        <f t="shared" si="117"/>
        <v>0</v>
      </c>
      <c r="L357" s="830">
        <f t="shared" si="117"/>
        <v>0</v>
      </c>
      <c r="M357" s="830">
        <f t="shared" si="117"/>
        <v>0</v>
      </c>
      <c r="N357" s="830">
        <f t="shared" si="117"/>
        <v>0</v>
      </c>
      <c r="O357" s="830">
        <f t="shared" si="117"/>
        <v>0</v>
      </c>
      <c r="P357" s="830">
        <f t="shared" si="117"/>
        <v>0</v>
      </c>
      <c r="Q357" s="830">
        <f t="shared" si="116"/>
        <v>0</v>
      </c>
      <c r="R357" s="830">
        <f t="shared" si="113"/>
        <v>0</v>
      </c>
      <c r="S357" s="830"/>
    </row>
    <row r="358" spans="1:19" ht="12" hidden="1" thickBot="1">
      <c r="A358" s="836" t="s">
        <v>179</v>
      </c>
      <c r="B358" s="596" t="s">
        <v>1501</v>
      </c>
      <c r="C358" s="836" t="s">
        <v>171</v>
      </c>
      <c r="D358" s="830">
        <f t="shared" si="119"/>
        <v>0</v>
      </c>
      <c r="E358" s="830">
        <f t="shared" si="118"/>
        <v>0</v>
      </c>
      <c r="F358" s="830">
        <f t="shared" si="118"/>
        <v>0</v>
      </c>
      <c r="G358" s="830">
        <f t="shared" si="118"/>
        <v>0</v>
      </c>
      <c r="H358" s="830">
        <f t="shared" si="109"/>
        <v>0</v>
      </c>
      <c r="I358" s="830">
        <f t="shared" si="117"/>
        <v>0</v>
      </c>
      <c r="J358" s="830">
        <f t="shared" si="117"/>
        <v>0</v>
      </c>
      <c r="K358" s="830">
        <f t="shared" si="117"/>
        <v>0</v>
      </c>
      <c r="L358" s="830">
        <f t="shared" si="117"/>
        <v>0</v>
      </c>
      <c r="M358" s="830">
        <f t="shared" si="117"/>
        <v>0</v>
      </c>
      <c r="N358" s="830">
        <f t="shared" si="117"/>
        <v>0</v>
      </c>
      <c r="O358" s="830">
        <f t="shared" si="117"/>
        <v>0</v>
      </c>
      <c r="P358" s="830">
        <f t="shared" si="117"/>
        <v>0</v>
      </c>
      <c r="Q358" s="830">
        <f t="shared" si="116"/>
        <v>0</v>
      </c>
      <c r="R358" s="830">
        <f t="shared" si="113"/>
        <v>0</v>
      </c>
      <c r="S358" s="830"/>
    </row>
    <row r="359" spans="1:19" ht="12" hidden="1" thickBot="1">
      <c r="A359" s="836" t="s">
        <v>179</v>
      </c>
      <c r="B359" s="596" t="s">
        <v>1501</v>
      </c>
      <c r="C359" s="836" t="s">
        <v>172</v>
      </c>
      <c r="D359" s="830">
        <f t="shared" si="119"/>
        <v>0</v>
      </c>
      <c r="E359" s="830">
        <f t="shared" si="118"/>
        <v>0</v>
      </c>
      <c r="F359" s="830">
        <f t="shared" si="118"/>
        <v>0</v>
      </c>
      <c r="G359" s="830">
        <f t="shared" si="118"/>
        <v>0</v>
      </c>
      <c r="H359" s="830">
        <f t="shared" si="109"/>
        <v>0</v>
      </c>
      <c r="I359" s="830">
        <f t="shared" si="117"/>
        <v>0</v>
      </c>
      <c r="J359" s="830">
        <f t="shared" si="117"/>
        <v>0</v>
      </c>
      <c r="K359" s="830">
        <f t="shared" si="117"/>
        <v>0</v>
      </c>
      <c r="L359" s="830">
        <f t="shared" si="117"/>
        <v>0</v>
      </c>
      <c r="M359" s="830">
        <f t="shared" si="117"/>
        <v>0</v>
      </c>
      <c r="N359" s="830">
        <f t="shared" si="117"/>
        <v>0</v>
      </c>
      <c r="O359" s="830">
        <f t="shared" si="117"/>
        <v>0</v>
      </c>
      <c r="P359" s="830">
        <f t="shared" si="117"/>
        <v>0</v>
      </c>
      <c r="Q359" s="830">
        <f t="shared" si="116"/>
        <v>0</v>
      </c>
      <c r="R359" s="830">
        <f t="shared" si="113"/>
        <v>0</v>
      </c>
      <c r="S359" s="830"/>
    </row>
    <row r="360" spans="1:19" ht="12" hidden="1" thickBot="1">
      <c r="A360" s="836" t="s">
        <v>179</v>
      </c>
      <c r="B360" s="596" t="s">
        <v>1501</v>
      </c>
      <c r="C360" s="836" t="s">
        <v>1149</v>
      </c>
      <c r="D360" s="830">
        <f t="shared" si="119"/>
        <v>0</v>
      </c>
      <c r="E360" s="830">
        <f t="shared" si="118"/>
        <v>0</v>
      </c>
      <c r="F360" s="830">
        <f t="shared" si="118"/>
        <v>0</v>
      </c>
      <c r="G360" s="830">
        <f t="shared" si="118"/>
        <v>0</v>
      </c>
      <c r="H360" s="830">
        <f t="shared" si="109"/>
        <v>0</v>
      </c>
      <c r="I360" s="830">
        <f t="shared" si="117"/>
        <v>0</v>
      </c>
      <c r="J360" s="830">
        <f t="shared" si="117"/>
        <v>0</v>
      </c>
      <c r="K360" s="830">
        <f t="shared" si="117"/>
        <v>0</v>
      </c>
      <c r="L360" s="830">
        <f t="shared" si="117"/>
        <v>0</v>
      </c>
      <c r="M360" s="830">
        <f t="shared" si="117"/>
        <v>0</v>
      </c>
      <c r="N360" s="830">
        <f t="shared" si="117"/>
        <v>0</v>
      </c>
      <c r="O360" s="830">
        <f t="shared" si="117"/>
        <v>0</v>
      </c>
      <c r="P360" s="830">
        <f t="shared" si="117"/>
        <v>0</v>
      </c>
      <c r="Q360" s="830">
        <f t="shared" si="116"/>
        <v>0</v>
      </c>
      <c r="R360" s="830">
        <f t="shared" si="113"/>
        <v>0</v>
      </c>
      <c r="S360" s="830"/>
    </row>
    <row r="361" spans="1:19" s="593" customFormat="1" ht="12" hidden="1" thickBot="1">
      <c r="A361" s="541" t="s">
        <v>179</v>
      </c>
      <c r="B361" s="596" t="s">
        <v>1501</v>
      </c>
      <c r="C361" s="541" t="s">
        <v>170</v>
      </c>
      <c r="D361" s="830">
        <f t="shared" si="119"/>
        <v>0</v>
      </c>
      <c r="E361" s="830">
        <f t="shared" si="118"/>
        <v>0</v>
      </c>
      <c r="F361" s="830">
        <f t="shared" si="118"/>
        <v>0</v>
      </c>
      <c r="G361" s="830">
        <f t="shared" si="118"/>
        <v>0</v>
      </c>
      <c r="H361" s="830">
        <f t="shared" si="109"/>
        <v>0</v>
      </c>
      <c r="I361" s="830">
        <f t="shared" si="117"/>
        <v>0</v>
      </c>
      <c r="J361" s="830">
        <f t="shared" si="117"/>
        <v>0</v>
      </c>
      <c r="K361" s="830">
        <f t="shared" si="117"/>
        <v>0</v>
      </c>
      <c r="L361" s="830">
        <f t="shared" si="117"/>
        <v>0</v>
      </c>
      <c r="M361" s="830">
        <f t="shared" si="117"/>
        <v>0</v>
      </c>
      <c r="N361" s="830">
        <f t="shared" si="117"/>
        <v>0</v>
      </c>
      <c r="O361" s="830">
        <f t="shared" si="117"/>
        <v>0</v>
      </c>
      <c r="P361" s="830">
        <f t="shared" si="117"/>
        <v>0</v>
      </c>
      <c r="Q361" s="830">
        <f t="shared" si="116"/>
        <v>0</v>
      </c>
      <c r="R361" s="830">
        <f t="shared" si="113"/>
        <v>0</v>
      </c>
      <c r="S361" s="830"/>
    </row>
    <row r="362" spans="1:19" s="593" customFormat="1" ht="12" hidden="1" thickBot="1">
      <c r="A362" s="541" t="s">
        <v>179</v>
      </c>
      <c r="B362" s="596" t="s">
        <v>1501</v>
      </c>
      <c r="C362" s="541" t="s">
        <v>160</v>
      </c>
      <c r="D362" s="830">
        <f t="shared" si="119"/>
        <v>0</v>
      </c>
      <c r="E362" s="830">
        <f t="shared" si="118"/>
        <v>0</v>
      </c>
      <c r="F362" s="830">
        <f t="shared" si="118"/>
        <v>0</v>
      </c>
      <c r="G362" s="830">
        <f t="shared" si="118"/>
        <v>0</v>
      </c>
      <c r="H362" s="830">
        <f t="shared" si="109"/>
        <v>0</v>
      </c>
      <c r="I362" s="830">
        <f t="shared" si="117"/>
        <v>0</v>
      </c>
      <c r="J362" s="830">
        <f t="shared" si="117"/>
        <v>0</v>
      </c>
      <c r="K362" s="830">
        <f t="shared" si="117"/>
        <v>0</v>
      </c>
      <c r="L362" s="830">
        <f t="shared" si="117"/>
        <v>0</v>
      </c>
      <c r="M362" s="830">
        <f t="shared" si="117"/>
        <v>0</v>
      </c>
      <c r="N362" s="830">
        <f t="shared" si="117"/>
        <v>0</v>
      </c>
      <c r="O362" s="830">
        <f t="shared" si="117"/>
        <v>0</v>
      </c>
      <c r="P362" s="830">
        <f t="shared" si="117"/>
        <v>0</v>
      </c>
      <c r="Q362" s="830">
        <f t="shared" si="116"/>
        <v>0</v>
      </c>
      <c r="R362" s="830">
        <f t="shared" si="113"/>
        <v>0</v>
      </c>
      <c r="S362" s="830"/>
    </row>
    <row r="363" spans="1:19" s="593" customFormat="1" ht="12" hidden="1" thickBot="1">
      <c r="A363" s="541" t="s">
        <v>179</v>
      </c>
      <c r="B363" s="596" t="s">
        <v>1501</v>
      </c>
      <c r="C363" s="541" t="s">
        <v>166</v>
      </c>
      <c r="D363" s="830">
        <f t="shared" si="119"/>
        <v>0</v>
      </c>
      <c r="E363" s="830">
        <f t="shared" si="118"/>
        <v>0</v>
      </c>
      <c r="F363" s="830">
        <f t="shared" si="118"/>
        <v>0</v>
      </c>
      <c r="G363" s="830">
        <f t="shared" si="118"/>
        <v>0</v>
      </c>
      <c r="H363" s="830">
        <f t="shared" si="109"/>
        <v>0</v>
      </c>
      <c r="I363" s="830">
        <f t="shared" ref="I363:P370" si="120">ROUND(SUMIFS(I$495:I$866,$B$495:$B$866,$B363,$C$495:$C$866,$C363),0)</f>
        <v>0</v>
      </c>
      <c r="J363" s="830">
        <f t="shared" si="120"/>
        <v>0</v>
      </c>
      <c r="K363" s="830">
        <f t="shared" si="120"/>
        <v>0</v>
      </c>
      <c r="L363" s="830">
        <f t="shared" si="120"/>
        <v>0</v>
      </c>
      <c r="M363" s="830">
        <f t="shared" si="120"/>
        <v>0</v>
      </c>
      <c r="N363" s="830">
        <f t="shared" si="120"/>
        <v>0</v>
      </c>
      <c r="O363" s="830">
        <f t="shared" si="120"/>
        <v>0</v>
      </c>
      <c r="P363" s="830">
        <f t="shared" si="120"/>
        <v>0</v>
      </c>
      <c r="Q363" s="830">
        <f t="shared" si="116"/>
        <v>0</v>
      </c>
      <c r="R363" s="830">
        <f t="shared" si="113"/>
        <v>0</v>
      </c>
      <c r="S363" s="830"/>
    </row>
    <row r="364" spans="1:19" s="593" customFormat="1" ht="12" hidden="1" thickBot="1">
      <c r="A364" s="541" t="s">
        <v>179</v>
      </c>
      <c r="B364" s="596" t="s">
        <v>1501</v>
      </c>
      <c r="C364" s="541" t="s">
        <v>458</v>
      </c>
      <c r="D364" s="830">
        <f t="shared" si="119"/>
        <v>7</v>
      </c>
      <c r="E364" s="830">
        <f t="shared" si="118"/>
        <v>4218</v>
      </c>
      <c r="F364" s="830">
        <f t="shared" si="118"/>
        <v>1626</v>
      </c>
      <c r="G364" s="830">
        <f t="shared" si="118"/>
        <v>919</v>
      </c>
      <c r="H364" s="830">
        <f t="shared" si="109"/>
        <v>6763</v>
      </c>
      <c r="I364" s="830">
        <f t="shared" si="120"/>
        <v>0</v>
      </c>
      <c r="J364" s="830">
        <f t="shared" si="120"/>
        <v>0</v>
      </c>
      <c r="K364" s="830">
        <f t="shared" si="120"/>
        <v>0</v>
      </c>
      <c r="L364" s="830">
        <f t="shared" si="120"/>
        <v>0</v>
      </c>
      <c r="M364" s="830">
        <f t="shared" si="120"/>
        <v>0</v>
      </c>
      <c r="N364" s="830">
        <f t="shared" si="120"/>
        <v>0</v>
      </c>
      <c r="O364" s="830">
        <f t="shared" si="120"/>
        <v>0</v>
      </c>
      <c r="P364" s="830">
        <f t="shared" si="120"/>
        <v>0</v>
      </c>
      <c r="Q364" s="830">
        <f t="shared" si="116"/>
        <v>0</v>
      </c>
      <c r="R364" s="830">
        <f t="shared" si="113"/>
        <v>0</v>
      </c>
      <c r="S364" s="830"/>
    </row>
    <row r="365" spans="1:19" s="593" customFormat="1" ht="12" hidden="1" thickBot="1">
      <c r="A365" s="541" t="s">
        <v>179</v>
      </c>
      <c r="B365" s="596" t="s">
        <v>1501</v>
      </c>
      <c r="C365" s="541" t="s">
        <v>165</v>
      </c>
      <c r="D365" s="830">
        <f t="shared" si="119"/>
        <v>0</v>
      </c>
      <c r="E365" s="830">
        <f t="shared" si="118"/>
        <v>0</v>
      </c>
      <c r="F365" s="830">
        <f t="shared" si="118"/>
        <v>0</v>
      </c>
      <c r="G365" s="830">
        <f t="shared" si="118"/>
        <v>0</v>
      </c>
      <c r="H365" s="830">
        <f t="shared" si="109"/>
        <v>0</v>
      </c>
      <c r="I365" s="830">
        <f t="shared" si="120"/>
        <v>0</v>
      </c>
      <c r="J365" s="830">
        <f t="shared" si="120"/>
        <v>0</v>
      </c>
      <c r="K365" s="830">
        <f t="shared" si="120"/>
        <v>0</v>
      </c>
      <c r="L365" s="830">
        <f t="shared" si="120"/>
        <v>0</v>
      </c>
      <c r="M365" s="830">
        <f t="shared" si="120"/>
        <v>0</v>
      </c>
      <c r="N365" s="830">
        <f t="shared" si="120"/>
        <v>0</v>
      </c>
      <c r="O365" s="830">
        <f t="shared" si="120"/>
        <v>0</v>
      </c>
      <c r="P365" s="830">
        <f t="shared" si="120"/>
        <v>0</v>
      </c>
      <c r="Q365" s="830">
        <f t="shared" si="116"/>
        <v>0</v>
      </c>
      <c r="R365" s="830">
        <f t="shared" si="113"/>
        <v>0</v>
      </c>
      <c r="S365" s="830"/>
    </row>
    <row r="366" spans="1:19" s="593" customFormat="1" ht="12" thickBot="1">
      <c r="A366" s="541" t="s">
        <v>179</v>
      </c>
      <c r="B366" s="596" t="s">
        <v>1501</v>
      </c>
      <c r="C366" s="541" t="s">
        <v>167</v>
      </c>
      <c r="D366" s="830">
        <f t="shared" si="119"/>
        <v>260</v>
      </c>
      <c r="E366" s="830">
        <f t="shared" si="118"/>
        <v>0</v>
      </c>
      <c r="F366" s="830">
        <f t="shared" si="118"/>
        <v>0</v>
      </c>
      <c r="G366" s="830">
        <f t="shared" si="118"/>
        <v>0</v>
      </c>
      <c r="H366" s="830">
        <f t="shared" si="109"/>
        <v>9652888</v>
      </c>
      <c r="I366" s="830">
        <f t="shared" si="120"/>
        <v>0</v>
      </c>
      <c r="J366" s="830">
        <f t="shared" si="120"/>
        <v>0</v>
      </c>
      <c r="K366" s="830">
        <f t="shared" si="120"/>
        <v>0</v>
      </c>
      <c r="L366" s="830">
        <f t="shared" si="120"/>
        <v>0</v>
      </c>
      <c r="M366" s="830">
        <f t="shared" si="120"/>
        <v>0</v>
      </c>
      <c r="N366" s="830">
        <f t="shared" si="120"/>
        <v>0</v>
      </c>
      <c r="O366" s="830">
        <f>R366</f>
        <v>39766</v>
      </c>
      <c r="P366" s="830">
        <f t="shared" si="120"/>
        <v>0</v>
      </c>
      <c r="Q366" s="830">
        <f t="shared" si="116"/>
        <v>0</v>
      </c>
      <c r="R366" s="830">
        <f t="shared" si="113"/>
        <v>39766</v>
      </c>
      <c r="S366" s="830"/>
    </row>
    <row r="367" spans="1:19" s="593" customFormat="1" ht="12" hidden="1" thickBot="1">
      <c r="A367" s="541" t="s">
        <v>179</v>
      </c>
      <c r="B367" s="596" t="s">
        <v>1501</v>
      </c>
      <c r="C367" s="541" t="s">
        <v>623</v>
      </c>
      <c r="D367" s="830">
        <f t="shared" si="119"/>
        <v>0</v>
      </c>
      <c r="E367" s="830">
        <f t="shared" si="118"/>
        <v>0</v>
      </c>
      <c r="F367" s="830">
        <f t="shared" si="118"/>
        <v>0</v>
      </c>
      <c r="G367" s="830">
        <f t="shared" si="118"/>
        <v>0</v>
      </c>
      <c r="H367" s="830">
        <f t="shared" si="109"/>
        <v>0</v>
      </c>
      <c r="I367" s="830">
        <f t="shared" si="120"/>
        <v>0</v>
      </c>
      <c r="J367" s="830">
        <f t="shared" si="120"/>
        <v>0</v>
      </c>
      <c r="K367" s="830">
        <f t="shared" si="120"/>
        <v>0</v>
      </c>
      <c r="L367" s="830">
        <f t="shared" si="120"/>
        <v>0</v>
      </c>
      <c r="M367" s="830">
        <f t="shared" si="120"/>
        <v>0</v>
      </c>
      <c r="N367" s="830">
        <f t="shared" si="120"/>
        <v>0</v>
      </c>
      <c r="O367" s="830">
        <f t="shared" si="120"/>
        <v>0</v>
      </c>
      <c r="P367" s="830">
        <f t="shared" si="120"/>
        <v>0</v>
      </c>
      <c r="Q367" s="830">
        <f>ROUND(SUMIFS(Q$495:Q$866,$B$495:$B$866,$B367,$C$495:$C$866,$C367),0)</f>
        <v>0</v>
      </c>
      <c r="R367" s="830">
        <f t="shared" si="113"/>
        <v>0</v>
      </c>
      <c r="S367" s="830"/>
    </row>
    <row r="368" spans="1:19" s="593" customFormat="1" ht="12" hidden="1" thickBot="1">
      <c r="A368" s="541" t="s">
        <v>179</v>
      </c>
      <c r="B368" s="596" t="s">
        <v>1501</v>
      </c>
      <c r="C368" s="541" t="s">
        <v>683</v>
      </c>
      <c r="D368" s="830">
        <f t="shared" si="119"/>
        <v>0</v>
      </c>
      <c r="E368" s="830">
        <f t="shared" si="118"/>
        <v>0</v>
      </c>
      <c r="F368" s="830">
        <f t="shared" si="118"/>
        <v>0</v>
      </c>
      <c r="G368" s="830">
        <f t="shared" si="118"/>
        <v>0</v>
      </c>
      <c r="H368" s="830">
        <f t="shared" si="109"/>
        <v>0</v>
      </c>
      <c r="I368" s="830">
        <f t="shared" si="120"/>
        <v>0</v>
      </c>
      <c r="J368" s="830">
        <f t="shared" si="120"/>
        <v>0</v>
      </c>
      <c r="K368" s="830">
        <f t="shared" si="120"/>
        <v>0</v>
      </c>
      <c r="L368" s="830">
        <f t="shared" si="120"/>
        <v>0</v>
      </c>
      <c r="M368" s="830">
        <f t="shared" si="120"/>
        <v>0</v>
      </c>
      <c r="N368" s="830">
        <f t="shared" si="120"/>
        <v>0</v>
      </c>
      <c r="O368" s="830">
        <f t="shared" si="120"/>
        <v>0</v>
      </c>
      <c r="P368" s="830">
        <f t="shared" si="120"/>
        <v>0</v>
      </c>
      <c r="Q368" s="830">
        <f>ROUND(SUMIFS(Q$495:Q$866,$B$495:$B$866,$B368,$C$495:$C$866,$C368),0)</f>
        <v>0</v>
      </c>
      <c r="R368" s="830">
        <f t="shared" si="113"/>
        <v>0</v>
      </c>
      <c r="S368" s="830"/>
    </row>
    <row r="369" spans="1:29" s="593" customFormat="1" ht="12" hidden="1" thickBot="1">
      <c r="A369" s="541" t="s">
        <v>179</v>
      </c>
      <c r="B369" s="596" t="s">
        <v>1501</v>
      </c>
      <c r="C369" s="541" t="s">
        <v>684</v>
      </c>
      <c r="D369" s="830">
        <f t="shared" si="119"/>
        <v>0</v>
      </c>
      <c r="E369" s="830">
        <f t="shared" si="118"/>
        <v>0</v>
      </c>
      <c r="F369" s="830">
        <f t="shared" si="118"/>
        <v>0</v>
      </c>
      <c r="G369" s="830">
        <f t="shared" si="118"/>
        <v>0</v>
      </c>
      <c r="H369" s="830">
        <f t="shared" si="109"/>
        <v>0</v>
      </c>
      <c r="I369" s="830">
        <f t="shared" si="120"/>
        <v>0</v>
      </c>
      <c r="J369" s="830">
        <f t="shared" si="120"/>
        <v>0</v>
      </c>
      <c r="K369" s="830">
        <f t="shared" si="120"/>
        <v>0</v>
      </c>
      <c r="L369" s="830">
        <f t="shared" si="120"/>
        <v>0</v>
      </c>
      <c r="M369" s="830">
        <f t="shared" si="120"/>
        <v>0</v>
      </c>
      <c r="N369" s="830">
        <f t="shared" si="120"/>
        <v>0</v>
      </c>
      <c r="O369" s="830">
        <f t="shared" si="120"/>
        <v>0</v>
      </c>
      <c r="P369" s="830">
        <f t="shared" si="120"/>
        <v>0</v>
      </c>
      <c r="Q369" s="830">
        <f>ROUND(SUMIFS(Q$495:Q$866,$B$495:$B$866,$B369,$C$495:$C$866,$C369),0)</f>
        <v>0</v>
      </c>
      <c r="R369" s="830">
        <f t="shared" si="113"/>
        <v>0</v>
      </c>
      <c r="S369" s="830"/>
    </row>
    <row r="370" spans="1:29" s="593" customFormat="1" ht="12" hidden="1" thickBot="1">
      <c r="A370" s="541" t="s">
        <v>179</v>
      </c>
      <c r="B370" s="596" t="s">
        <v>1501</v>
      </c>
      <c r="C370" s="541" t="s">
        <v>685</v>
      </c>
      <c r="D370" s="830">
        <f t="shared" si="119"/>
        <v>0</v>
      </c>
      <c r="E370" s="830">
        <f t="shared" si="118"/>
        <v>0</v>
      </c>
      <c r="F370" s="830">
        <f t="shared" si="118"/>
        <v>0</v>
      </c>
      <c r="G370" s="830">
        <f t="shared" si="118"/>
        <v>0</v>
      </c>
      <c r="H370" s="830">
        <f t="shared" si="109"/>
        <v>0</v>
      </c>
      <c r="I370" s="830">
        <f t="shared" si="120"/>
        <v>0</v>
      </c>
      <c r="J370" s="830">
        <f t="shared" si="120"/>
        <v>0</v>
      </c>
      <c r="K370" s="830">
        <f t="shared" si="120"/>
        <v>0</v>
      </c>
      <c r="L370" s="830">
        <f t="shared" si="120"/>
        <v>0</v>
      </c>
      <c r="M370" s="830">
        <f t="shared" si="120"/>
        <v>0</v>
      </c>
      <c r="N370" s="830">
        <f t="shared" si="120"/>
        <v>0</v>
      </c>
      <c r="O370" s="830">
        <f t="shared" si="120"/>
        <v>0</v>
      </c>
      <c r="P370" s="830">
        <f t="shared" si="120"/>
        <v>0</v>
      </c>
      <c r="Q370" s="830">
        <f>ROUND(SUMIFS(Q$495:Q$866,$B$495:$B$866,$B370,$C$495:$C$866,$C370),0)</f>
        <v>0</v>
      </c>
      <c r="R370" s="830">
        <f t="shared" si="113"/>
        <v>0</v>
      </c>
      <c r="S370" s="830"/>
    </row>
    <row r="371" spans="1:29" s="593" customFormat="1" ht="12" hidden="1" thickBot="1">
      <c r="A371" s="541" t="s">
        <v>179</v>
      </c>
      <c r="B371" s="596" t="s">
        <v>1501</v>
      </c>
      <c r="C371" s="592" t="s">
        <v>8</v>
      </c>
      <c r="D371" s="558"/>
      <c r="E371" s="558"/>
      <c r="F371" s="558"/>
      <c r="G371" s="558"/>
      <c r="H371" s="558"/>
      <c r="I371" s="558"/>
      <c r="J371" s="558"/>
      <c r="K371" s="558"/>
      <c r="L371" s="558"/>
      <c r="M371" s="558"/>
      <c r="N371" s="558"/>
      <c r="O371" s="558"/>
      <c r="P371" s="558"/>
      <c r="Q371" s="558"/>
      <c r="R371" s="558"/>
      <c r="S371" s="558"/>
    </row>
    <row r="372" spans="1:29" s="593" customFormat="1" ht="12" hidden="1" thickBot="1">
      <c r="A372" s="581" t="s">
        <v>179</v>
      </c>
      <c r="B372" s="938" t="s">
        <v>1502</v>
      </c>
      <c r="C372" s="581" t="s">
        <v>152</v>
      </c>
      <c r="D372" s="830">
        <f t="shared" ref="D372:G394" si="121">ROUND(SUMIFS(D$495:D$866,$B$495:$B$866,$B372,$C$495:$C$866,$C372),0)</f>
        <v>32</v>
      </c>
      <c r="E372" s="830">
        <f t="shared" si="121"/>
        <v>0</v>
      </c>
      <c r="F372" s="830">
        <f t="shared" si="121"/>
        <v>0</v>
      </c>
      <c r="G372" s="830">
        <f t="shared" si="121"/>
        <v>0</v>
      </c>
      <c r="H372" s="830">
        <f t="shared" ref="H372:H410" si="122">ROUND(SUMIFS(H$495:H$866,$B$495:$B$866,$B372,$C$495:$C$866,$C372)*1000,0)</f>
        <v>127037667</v>
      </c>
      <c r="I372" s="830">
        <f t="shared" ref="I372:R372" si="123">ROUND(SUMIFS(I$495:I$866,$B$495:$B$866,$B372,$C$495:$C$866,$C372),0)</f>
        <v>0</v>
      </c>
      <c r="J372" s="830">
        <f t="shared" si="123"/>
        <v>0</v>
      </c>
      <c r="K372" s="830">
        <f t="shared" si="123"/>
        <v>0</v>
      </c>
      <c r="L372" s="830">
        <f t="shared" si="123"/>
        <v>0</v>
      </c>
      <c r="M372" s="830">
        <f t="shared" si="123"/>
        <v>0</v>
      </c>
      <c r="N372" s="830">
        <f t="shared" si="123"/>
        <v>0</v>
      </c>
      <c r="O372" s="830">
        <f t="shared" si="123"/>
        <v>295166</v>
      </c>
      <c r="P372" s="830">
        <f t="shared" si="123"/>
        <v>285093</v>
      </c>
      <c r="Q372" s="830">
        <f t="shared" si="123"/>
        <v>280936</v>
      </c>
      <c r="R372" s="830">
        <f t="shared" si="123"/>
        <v>0</v>
      </c>
      <c r="S372" s="830"/>
    </row>
    <row r="373" spans="1:29" s="593" customFormat="1" ht="12" hidden="1" thickBot="1">
      <c r="A373" s="581" t="s">
        <v>179</v>
      </c>
      <c r="B373" s="938" t="s">
        <v>1502</v>
      </c>
      <c r="C373" s="581" t="s">
        <v>153</v>
      </c>
      <c r="D373" s="830">
        <f t="shared" si="121"/>
        <v>199</v>
      </c>
      <c r="E373" s="830">
        <f t="shared" si="121"/>
        <v>0</v>
      </c>
      <c r="F373" s="830">
        <f t="shared" si="121"/>
        <v>0</v>
      </c>
      <c r="G373" s="830">
        <f t="shared" si="121"/>
        <v>0</v>
      </c>
      <c r="H373" s="830">
        <f t="shared" si="122"/>
        <v>18810649</v>
      </c>
      <c r="I373" s="830">
        <f t="shared" ref="I373:O382" si="124">ROUND(SUMIFS(I$495:I$866,$B$495:$B$866,$B373,$C$495:$C$866,$C373),0)</f>
        <v>0</v>
      </c>
      <c r="J373" s="830">
        <f t="shared" si="124"/>
        <v>0</v>
      </c>
      <c r="K373" s="830">
        <f t="shared" si="124"/>
        <v>0</v>
      </c>
      <c r="L373" s="830">
        <f t="shared" si="124"/>
        <v>0</v>
      </c>
      <c r="M373" s="830">
        <f t="shared" si="124"/>
        <v>0</v>
      </c>
      <c r="N373" s="830">
        <f t="shared" si="124"/>
        <v>0</v>
      </c>
      <c r="O373" s="830">
        <f t="shared" si="124"/>
        <v>0</v>
      </c>
      <c r="P373" s="830">
        <f>R373</f>
        <v>55989</v>
      </c>
      <c r="Q373" s="830">
        <f t="shared" ref="Q373:R392" si="125">ROUND(SUMIFS(Q$495:Q$866,$B$495:$B$866,$B373,$C$495:$C$866,$C373),0)</f>
        <v>0</v>
      </c>
      <c r="R373" s="830">
        <f t="shared" si="125"/>
        <v>55989</v>
      </c>
      <c r="S373" s="830"/>
    </row>
    <row r="374" spans="1:29" s="593" customFormat="1" ht="12" hidden="1" thickBot="1">
      <c r="A374" s="581" t="s">
        <v>179</v>
      </c>
      <c r="B374" s="938" t="s">
        <v>1502</v>
      </c>
      <c r="C374" s="581" t="s">
        <v>154</v>
      </c>
      <c r="D374" s="830">
        <f t="shared" si="121"/>
        <v>4680</v>
      </c>
      <c r="E374" s="830">
        <f t="shared" si="121"/>
        <v>0</v>
      </c>
      <c r="F374" s="830">
        <f t="shared" si="121"/>
        <v>0</v>
      </c>
      <c r="G374" s="830">
        <f t="shared" si="121"/>
        <v>0</v>
      </c>
      <c r="H374" s="830">
        <f t="shared" si="122"/>
        <v>169242348</v>
      </c>
      <c r="I374" s="830">
        <f t="shared" si="124"/>
        <v>0</v>
      </c>
      <c r="J374" s="830">
        <f t="shared" si="124"/>
        <v>0</v>
      </c>
      <c r="K374" s="830">
        <f t="shared" si="124"/>
        <v>0</v>
      </c>
      <c r="L374" s="830">
        <f t="shared" si="124"/>
        <v>0</v>
      </c>
      <c r="M374" s="830">
        <f t="shared" si="124"/>
        <v>0</v>
      </c>
      <c r="N374" s="830">
        <f t="shared" si="124"/>
        <v>0</v>
      </c>
      <c r="O374" s="830">
        <f t="shared" si="124"/>
        <v>0</v>
      </c>
      <c r="P374" s="830">
        <f>R374</f>
        <v>565093</v>
      </c>
      <c r="Q374" s="830">
        <f t="shared" si="125"/>
        <v>0</v>
      </c>
      <c r="R374" s="830">
        <f t="shared" si="125"/>
        <v>565093</v>
      </c>
      <c r="S374" s="830"/>
    </row>
    <row r="375" spans="1:29" s="580" customFormat="1" ht="12" hidden="1" thickBot="1">
      <c r="A375" s="581" t="s">
        <v>179</v>
      </c>
      <c r="B375" s="938" t="s">
        <v>1502</v>
      </c>
      <c r="C375" s="581" t="s">
        <v>155</v>
      </c>
      <c r="D375" s="830">
        <f t="shared" si="121"/>
        <v>52</v>
      </c>
      <c r="E375" s="830">
        <f t="shared" si="121"/>
        <v>0</v>
      </c>
      <c r="F375" s="830">
        <f t="shared" si="121"/>
        <v>0</v>
      </c>
      <c r="G375" s="830">
        <f t="shared" si="121"/>
        <v>0</v>
      </c>
      <c r="H375" s="830">
        <f t="shared" si="122"/>
        <v>242601164</v>
      </c>
      <c r="I375" s="830">
        <f t="shared" si="124"/>
        <v>0</v>
      </c>
      <c r="J375" s="830">
        <f t="shared" si="124"/>
        <v>0</v>
      </c>
      <c r="K375" s="830">
        <f t="shared" si="124"/>
        <v>0</v>
      </c>
      <c r="L375" s="830">
        <f t="shared" si="124"/>
        <v>0</v>
      </c>
      <c r="M375" s="830">
        <f t="shared" si="124"/>
        <v>0</v>
      </c>
      <c r="N375" s="830">
        <f t="shared" si="124"/>
        <v>0</v>
      </c>
      <c r="O375" s="830">
        <f t="shared" si="124"/>
        <v>537698</v>
      </c>
      <c r="P375" s="830">
        <f t="shared" ref="P375:P382" si="126">ROUND(SUMIFS(P$495:P$866,$B$495:$B$866,$B375,$C$495:$C$866,$C375),0)</f>
        <v>522820</v>
      </c>
      <c r="Q375" s="830">
        <f t="shared" si="125"/>
        <v>505852</v>
      </c>
      <c r="R375" s="830">
        <f t="shared" si="125"/>
        <v>0</v>
      </c>
      <c r="S375" s="830"/>
      <c r="T375" s="593"/>
      <c r="U375" s="593"/>
      <c r="V375" s="593"/>
      <c r="W375" s="593"/>
      <c r="X375" s="593"/>
      <c r="Y375" s="593"/>
      <c r="Z375" s="593"/>
      <c r="AA375" s="593"/>
      <c r="AB375" s="593"/>
      <c r="AC375" s="593"/>
    </row>
    <row r="376" spans="1:29" s="580" customFormat="1" ht="12" hidden="1" thickBot="1">
      <c r="A376" s="581" t="s">
        <v>179</v>
      </c>
      <c r="B376" s="938" t="s">
        <v>1502</v>
      </c>
      <c r="C376" s="581" t="s">
        <v>156</v>
      </c>
      <c r="D376" s="830">
        <f t="shared" si="121"/>
        <v>0</v>
      </c>
      <c r="E376" s="830">
        <f t="shared" si="121"/>
        <v>0</v>
      </c>
      <c r="F376" s="830">
        <f t="shared" si="121"/>
        <v>0</v>
      </c>
      <c r="G376" s="830">
        <f t="shared" si="121"/>
        <v>0</v>
      </c>
      <c r="H376" s="830">
        <f t="shared" si="122"/>
        <v>0</v>
      </c>
      <c r="I376" s="830">
        <f t="shared" si="124"/>
        <v>0</v>
      </c>
      <c r="J376" s="830">
        <f t="shared" si="124"/>
        <v>0</v>
      </c>
      <c r="K376" s="830">
        <f t="shared" si="124"/>
        <v>0</v>
      </c>
      <c r="L376" s="830">
        <f t="shared" si="124"/>
        <v>0</v>
      </c>
      <c r="M376" s="830">
        <f t="shared" si="124"/>
        <v>0</v>
      </c>
      <c r="N376" s="830">
        <f t="shared" si="124"/>
        <v>0</v>
      </c>
      <c r="O376" s="830">
        <f t="shared" si="124"/>
        <v>0</v>
      </c>
      <c r="P376" s="830">
        <f t="shared" si="126"/>
        <v>0</v>
      </c>
      <c r="Q376" s="830">
        <f t="shared" si="125"/>
        <v>0</v>
      </c>
      <c r="R376" s="830">
        <f t="shared" si="125"/>
        <v>0</v>
      </c>
      <c r="S376" s="830"/>
      <c r="T376" s="593"/>
      <c r="U376" s="593"/>
      <c r="V376" s="593"/>
      <c r="W376" s="593"/>
      <c r="X376" s="593"/>
      <c r="Y376" s="593"/>
      <c r="Z376" s="593"/>
      <c r="AA376" s="593"/>
      <c r="AB376" s="593"/>
      <c r="AC376" s="593"/>
    </row>
    <row r="377" spans="1:29" s="593" customFormat="1" ht="12" hidden="1" thickBot="1">
      <c r="A377" s="581" t="s">
        <v>179</v>
      </c>
      <c r="B377" s="938" t="s">
        <v>1502</v>
      </c>
      <c r="C377" s="581" t="s">
        <v>157</v>
      </c>
      <c r="D377" s="830">
        <f t="shared" si="121"/>
        <v>0</v>
      </c>
      <c r="E377" s="830">
        <f t="shared" si="121"/>
        <v>0</v>
      </c>
      <c r="F377" s="830">
        <f t="shared" si="121"/>
        <v>0</v>
      </c>
      <c r="G377" s="830">
        <f t="shared" si="121"/>
        <v>0</v>
      </c>
      <c r="H377" s="830">
        <f t="shared" si="122"/>
        <v>0</v>
      </c>
      <c r="I377" s="830">
        <f t="shared" si="124"/>
        <v>0</v>
      </c>
      <c r="J377" s="830">
        <f t="shared" si="124"/>
        <v>0</v>
      </c>
      <c r="K377" s="830">
        <f t="shared" si="124"/>
        <v>0</v>
      </c>
      <c r="L377" s="830">
        <f t="shared" si="124"/>
        <v>0</v>
      </c>
      <c r="M377" s="830">
        <f t="shared" si="124"/>
        <v>0</v>
      </c>
      <c r="N377" s="830">
        <f t="shared" si="124"/>
        <v>0</v>
      </c>
      <c r="O377" s="830">
        <f t="shared" si="124"/>
        <v>0</v>
      </c>
      <c r="P377" s="830">
        <f t="shared" si="126"/>
        <v>0</v>
      </c>
      <c r="Q377" s="830">
        <f t="shared" si="125"/>
        <v>0</v>
      </c>
      <c r="R377" s="830">
        <f t="shared" si="125"/>
        <v>0</v>
      </c>
      <c r="S377" s="830"/>
    </row>
    <row r="378" spans="1:29" s="593" customFormat="1" ht="12" hidden="1" thickBot="1">
      <c r="A378" s="581" t="s">
        <v>179</v>
      </c>
      <c r="B378" s="938" t="s">
        <v>1502</v>
      </c>
      <c r="C378" s="581" t="s">
        <v>158</v>
      </c>
      <c r="D378" s="830">
        <f t="shared" si="121"/>
        <v>199</v>
      </c>
      <c r="E378" s="830">
        <f t="shared" si="121"/>
        <v>0</v>
      </c>
      <c r="F378" s="830">
        <f t="shared" si="121"/>
        <v>0</v>
      </c>
      <c r="G378" s="830">
        <f t="shared" si="121"/>
        <v>0</v>
      </c>
      <c r="H378" s="830">
        <f t="shared" si="122"/>
        <v>101809828</v>
      </c>
      <c r="I378" s="830">
        <f t="shared" si="124"/>
        <v>0</v>
      </c>
      <c r="J378" s="830">
        <f t="shared" si="124"/>
        <v>0</v>
      </c>
      <c r="K378" s="830">
        <f t="shared" si="124"/>
        <v>0</v>
      </c>
      <c r="L378" s="830">
        <f t="shared" si="124"/>
        <v>0</v>
      </c>
      <c r="M378" s="830">
        <f t="shared" si="124"/>
        <v>0</v>
      </c>
      <c r="N378" s="830">
        <f t="shared" si="124"/>
        <v>0</v>
      </c>
      <c r="O378" s="830">
        <f t="shared" si="124"/>
        <v>272350</v>
      </c>
      <c r="P378" s="830">
        <f t="shared" si="126"/>
        <v>262435</v>
      </c>
      <c r="Q378" s="830">
        <f t="shared" si="125"/>
        <v>254158</v>
      </c>
      <c r="R378" s="830">
        <f t="shared" si="125"/>
        <v>0</v>
      </c>
      <c r="S378" s="830"/>
    </row>
    <row r="379" spans="1:29" s="593" customFormat="1" ht="12" hidden="1" thickBot="1">
      <c r="A379" s="581" t="s">
        <v>179</v>
      </c>
      <c r="B379" s="938" t="s">
        <v>1502</v>
      </c>
      <c r="C379" s="581" t="s">
        <v>159</v>
      </c>
      <c r="D379" s="830">
        <f t="shared" si="121"/>
        <v>464</v>
      </c>
      <c r="E379" s="830">
        <f t="shared" si="121"/>
        <v>0</v>
      </c>
      <c r="F379" s="830">
        <f t="shared" si="121"/>
        <v>0</v>
      </c>
      <c r="G379" s="830">
        <f t="shared" si="121"/>
        <v>0</v>
      </c>
      <c r="H379" s="830">
        <f t="shared" si="122"/>
        <v>129968346</v>
      </c>
      <c r="I379" s="830">
        <f t="shared" si="124"/>
        <v>0</v>
      </c>
      <c r="J379" s="830">
        <f t="shared" si="124"/>
        <v>0</v>
      </c>
      <c r="K379" s="830">
        <f t="shared" si="124"/>
        <v>0</v>
      </c>
      <c r="L379" s="830">
        <f t="shared" si="124"/>
        <v>0</v>
      </c>
      <c r="M379" s="830">
        <f t="shared" si="124"/>
        <v>0</v>
      </c>
      <c r="N379" s="830">
        <f t="shared" si="124"/>
        <v>0</v>
      </c>
      <c r="O379" s="830">
        <f t="shared" si="124"/>
        <v>324937</v>
      </c>
      <c r="P379" s="830">
        <f t="shared" si="126"/>
        <v>295953</v>
      </c>
      <c r="Q379" s="830">
        <f t="shared" si="125"/>
        <v>289324</v>
      </c>
      <c r="R379" s="830">
        <f t="shared" si="125"/>
        <v>0</v>
      </c>
      <c r="S379" s="830"/>
    </row>
    <row r="380" spans="1:29" s="593" customFormat="1" ht="12" hidden="1" thickBot="1">
      <c r="A380" s="581" t="s">
        <v>179</v>
      </c>
      <c r="B380" s="938" t="s">
        <v>1502</v>
      </c>
      <c r="C380" s="581" t="s">
        <v>161</v>
      </c>
      <c r="D380" s="830">
        <f t="shared" si="121"/>
        <v>63514</v>
      </c>
      <c r="E380" s="830">
        <f t="shared" si="121"/>
        <v>0</v>
      </c>
      <c r="F380" s="830">
        <f t="shared" si="121"/>
        <v>0</v>
      </c>
      <c r="G380" s="830">
        <f t="shared" si="121"/>
        <v>0</v>
      </c>
      <c r="H380" s="830">
        <f t="shared" si="122"/>
        <v>56367337</v>
      </c>
      <c r="I380" s="830">
        <f t="shared" si="124"/>
        <v>0</v>
      </c>
      <c r="J380" s="830">
        <f t="shared" si="124"/>
        <v>0</v>
      </c>
      <c r="K380" s="830">
        <f t="shared" si="124"/>
        <v>0</v>
      </c>
      <c r="L380" s="830">
        <f t="shared" si="124"/>
        <v>0</v>
      </c>
      <c r="M380" s="830">
        <f t="shared" si="124"/>
        <v>0</v>
      </c>
      <c r="N380" s="830">
        <f t="shared" si="124"/>
        <v>0</v>
      </c>
      <c r="O380" s="830">
        <f t="shared" si="124"/>
        <v>0</v>
      </c>
      <c r="P380" s="830">
        <f t="shared" si="126"/>
        <v>0</v>
      </c>
      <c r="Q380" s="830">
        <f t="shared" si="125"/>
        <v>0</v>
      </c>
      <c r="R380" s="830">
        <f t="shared" si="125"/>
        <v>0</v>
      </c>
      <c r="S380" s="830"/>
    </row>
    <row r="381" spans="1:29" s="593" customFormat="1" ht="12" hidden="1" thickBot="1">
      <c r="A381" s="581" t="s">
        <v>179</v>
      </c>
      <c r="B381" s="938" t="s">
        <v>1502</v>
      </c>
      <c r="C381" s="581" t="s">
        <v>162</v>
      </c>
      <c r="D381" s="830">
        <f t="shared" si="121"/>
        <v>0</v>
      </c>
      <c r="E381" s="830">
        <f t="shared" si="121"/>
        <v>0</v>
      </c>
      <c r="F381" s="830">
        <f t="shared" si="121"/>
        <v>0</v>
      </c>
      <c r="G381" s="830">
        <f t="shared" si="121"/>
        <v>0</v>
      </c>
      <c r="H381" s="830">
        <f t="shared" si="122"/>
        <v>0</v>
      </c>
      <c r="I381" s="830">
        <f t="shared" si="124"/>
        <v>0</v>
      </c>
      <c r="J381" s="830">
        <f t="shared" si="124"/>
        <v>0</v>
      </c>
      <c r="K381" s="830">
        <f t="shared" si="124"/>
        <v>0</v>
      </c>
      <c r="L381" s="830">
        <f t="shared" si="124"/>
        <v>0</v>
      </c>
      <c r="M381" s="830">
        <f t="shared" si="124"/>
        <v>0</v>
      </c>
      <c r="N381" s="830">
        <f t="shared" si="124"/>
        <v>0</v>
      </c>
      <c r="O381" s="830">
        <f t="shared" si="124"/>
        <v>0</v>
      </c>
      <c r="P381" s="830">
        <f t="shared" si="126"/>
        <v>0</v>
      </c>
      <c r="Q381" s="830">
        <f t="shared" si="125"/>
        <v>0</v>
      </c>
      <c r="R381" s="830">
        <f t="shared" si="125"/>
        <v>0</v>
      </c>
      <c r="S381" s="830"/>
    </row>
    <row r="382" spans="1:29" s="593" customFormat="1" ht="12" hidden="1" thickBot="1">
      <c r="A382" s="581" t="s">
        <v>179</v>
      </c>
      <c r="B382" s="938" t="s">
        <v>1502</v>
      </c>
      <c r="C382" s="581" t="s">
        <v>163</v>
      </c>
      <c r="D382" s="830">
        <f t="shared" si="121"/>
        <v>18566</v>
      </c>
      <c r="E382" s="830">
        <f t="shared" si="121"/>
        <v>0</v>
      </c>
      <c r="F382" s="830">
        <f t="shared" si="121"/>
        <v>0</v>
      </c>
      <c r="G382" s="830">
        <f t="shared" si="121"/>
        <v>0</v>
      </c>
      <c r="H382" s="830">
        <f t="shared" si="122"/>
        <v>82175085</v>
      </c>
      <c r="I382" s="830">
        <f t="shared" si="124"/>
        <v>0</v>
      </c>
      <c r="J382" s="830">
        <f t="shared" si="124"/>
        <v>0</v>
      </c>
      <c r="K382" s="830">
        <f t="shared" si="124"/>
        <v>0</v>
      </c>
      <c r="L382" s="830">
        <f t="shared" si="124"/>
        <v>0</v>
      </c>
      <c r="M382" s="830">
        <f t="shared" si="124"/>
        <v>0</v>
      </c>
      <c r="N382" s="830">
        <f t="shared" si="124"/>
        <v>0</v>
      </c>
      <c r="O382" s="830">
        <f>R382</f>
        <v>354292</v>
      </c>
      <c r="P382" s="830">
        <f t="shared" si="126"/>
        <v>0</v>
      </c>
      <c r="Q382" s="830">
        <f t="shared" si="125"/>
        <v>0</v>
      </c>
      <c r="R382" s="830">
        <f t="shared" si="125"/>
        <v>354292</v>
      </c>
      <c r="S382" s="830"/>
    </row>
    <row r="383" spans="1:29" s="593" customFormat="1" ht="12" hidden="1" thickBot="1">
      <c r="A383" s="581" t="s">
        <v>179</v>
      </c>
      <c r="B383" s="938" t="s">
        <v>1502</v>
      </c>
      <c r="C383" s="581" t="s">
        <v>164</v>
      </c>
      <c r="D383" s="830">
        <f t="shared" si="121"/>
        <v>375</v>
      </c>
      <c r="E383" s="830">
        <f t="shared" si="121"/>
        <v>0</v>
      </c>
      <c r="F383" s="830">
        <f t="shared" si="121"/>
        <v>0</v>
      </c>
      <c r="G383" s="830">
        <f t="shared" si="121"/>
        <v>0</v>
      </c>
      <c r="H383" s="830">
        <f t="shared" si="122"/>
        <v>560790</v>
      </c>
      <c r="I383" s="830">
        <f t="shared" ref="I383:O392" si="127">ROUND(SUMIFS(I$495:I$866,$B$495:$B$866,$B383,$C$495:$C$866,$C383),0)</f>
        <v>0</v>
      </c>
      <c r="J383" s="830">
        <f t="shared" si="127"/>
        <v>0</v>
      </c>
      <c r="K383" s="830">
        <f t="shared" si="127"/>
        <v>0</v>
      </c>
      <c r="L383" s="830">
        <f t="shared" si="127"/>
        <v>0</v>
      </c>
      <c r="M383" s="830">
        <f t="shared" si="127"/>
        <v>0</v>
      </c>
      <c r="N383" s="830">
        <f t="shared" si="127"/>
        <v>0</v>
      </c>
      <c r="O383" s="830">
        <f t="shared" si="127"/>
        <v>0</v>
      </c>
      <c r="P383" s="830">
        <f t="shared" ref="P383:P406" si="128">ROUND(SUMIFS(P$495:P$866,$B$495:$B$866,$B383,$C$495:$C$866,$C383),0)</f>
        <v>0</v>
      </c>
      <c r="Q383" s="830">
        <f t="shared" si="125"/>
        <v>0</v>
      </c>
      <c r="R383" s="830">
        <f t="shared" si="125"/>
        <v>0</v>
      </c>
      <c r="S383" s="830"/>
    </row>
    <row r="384" spans="1:29" s="593" customFormat="1" ht="12" hidden="1" thickBot="1">
      <c r="A384" s="581" t="s">
        <v>179</v>
      </c>
      <c r="B384" s="938" t="s">
        <v>1502</v>
      </c>
      <c r="C384" s="581" t="s">
        <v>174</v>
      </c>
      <c r="D384" s="830">
        <f t="shared" si="121"/>
        <v>429884</v>
      </c>
      <c r="E384" s="830">
        <f t="shared" si="121"/>
        <v>0</v>
      </c>
      <c r="F384" s="830">
        <f t="shared" si="121"/>
        <v>0</v>
      </c>
      <c r="G384" s="830">
        <f t="shared" si="121"/>
        <v>0</v>
      </c>
      <c r="H384" s="830">
        <f t="shared" si="122"/>
        <v>372865560</v>
      </c>
      <c r="I384" s="830">
        <f t="shared" si="127"/>
        <v>0</v>
      </c>
      <c r="J384" s="830">
        <f t="shared" si="127"/>
        <v>0</v>
      </c>
      <c r="K384" s="830">
        <f t="shared" si="127"/>
        <v>0</v>
      </c>
      <c r="L384" s="830">
        <f t="shared" si="127"/>
        <v>0</v>
      </c>
      <c r="M384" s="830">
        <f t="shared" si="127"/>
        <v>0</v>
      </c>
      <c r="N384" s="830">
        <f t="shared" si="127"/>
        <v>0</v>
      </c>
      <c r="O384" s="830">
        <f t="shared" si="127"/>
        <v>0</v>
      </c>
      <c r="P384" s="830">
        <f t="shared" si="128"/>
        <v>0</v>
      </c>
      <c r="Q384" s="830">
        <f t="shared" si="125"/>
        <v>0</v>
      </c>
      <c r="R384" s="830">
        <f t="shared" si="125"/>
        <v>0</v>
      </c>
      <c r="S384" s="830"/>
    </row>
    <row r="385" spans="1:19" s="593" customFormat="1" ht="12" hidden="1" thickBot="1">
      <c r="A385" s="581" t="s">
        <v>179</v>
      </c>
      <c r="B385" s="938" t="s">
        <v>1502</v>
      </c>
      <c r="C385" s="581" t="s">
        <v>175</v>
      </c>
      <c r="D385" s="830">
        <f t="shared" si="121"/>
        <v>0</v>
      </c>
      <c r="E385" s="830">
        <f t="shared" si="121"/>
        <v>0</v>
      </c>
      <c r="F385" s="830">
        <f t="shared" si="121"/>
        <v>0</v>
      </c>
      <c r="G385" s="830">
        <f t="shared" si="121"/>
        <v>0</v>
      </c>
      <c r="H385" s="830">
        <f t="shared" si="122"/>
        <v>0</v>
      </c>
      <c r="I385" s="830">
        <f t="shared" si="127"/>
        <v>0</v>
      </c>
      <c r="J385" s="830">
        <f t="shared" si="127"/>
        <v>0</v>
      </c>
      <c r="K385" s="830">
        <f t="shared" si="127"/>
        <v>0</v>
      </c>
      <c r="L385" s="830">
        <f t="shared" si="127"/>
        <v>0</v>
      </c>
      <c r="M385" s="830">
        <f t="shared" si="127"/>
        <v>0</v>
      </c>
      <c r="N385" s="830">
        <f t="shared" si="127"/>
        <v>0</v>
      </c>
      <c r="O385" s="830">
        <f t="shared" si="127"/>
        <v>0</v>
      </c>
      <c r="P385" s="830">
        <f t="shared" si="128"/>
        <v>0</v>
      </c>
      <c r="Q385" s="830">
        <f t="shared" si="125"/>
        <v>0</v>
      </c>
      <c r="R385" s="830">
        <f t="shared" si="125"/>
        <v>0</v>
      </c>
      <c r="S385" s="830"/>
    </row>
    <row r="386" spans="1:19" s="593" customFormat="1" ht="12" hidden="1" thickBot="1">
      <c r="A386" s="581" t="s">
        <v>179</v>
      </c>
      <c r="B386" s="938" t="s">
        <v>1502</v>
      </c>
      <c r="C386" s="581" t="s">
        <v>176</v>
      </c>
      <c r="D386" s="830">
        <f t="shared" si="121"/>
        <v>0</v>
      </c>
      <c r="E386" s="830">
        <f t="shared" si="121"/>
        <v>0</v>
      </c>
      <c r="F386" s="830">
        <f t="shared" si="121"/>
        <v>0</v>
      </c>
      <c r="G386" s="830">
        <f t="shared" si="121"/>
        <v>0</v>
      </c>
      <c r="H386" s="830">
        <f t="shared" si="122"/>
        <v>0</v>
      </c>
      <c r="I386" s="830">
        <f t="shared" si="127"/>
        <v>0</v>
      </c>
      <c r="J386" s="830">
        <f t="shared" si="127"/>
        <v>0</v>
      </c>
      <c r="K386" s="830">
        <f t="shared" si="127"/>
        <v>0</v>
      </c>
      <c r="L386" s="830">
        <f t="shared" si="127"/>
        <v>0</v>
      </c>
      <c r="M386" s="830">
        <f t="shared" si="127"/>
        <v>0</v>
      </c>
      <c r="N386" s="830">
        <f t="shared" si="127"/>
        <v>0</v>
      </c>
      <c r="O386" s="830">
        <f t="shared" si="127"/>
        <v>0</v>
      </c>
      <c r="P386" s="830">
        <f t="shared" si="128"/>
        <v>0</v>
      </c>
      <c r="Q386" s="830">
        <f t="shared" si="125"/>
        <v>0</v>
      </c>
      <c r="R386" s="830">
        <f t="shared" si="125"/>
        <v>0</v>
      </c>
      <c r="S386" s="830"/>
    </row>
    <row r="387" spans="1:19" s="593" customFormat="1" ht="12" hidden="1" thickBot="1">
      <c r="A387" s="581" t="s">
        <v>179</v>
      </c>
      <c r="B387" s="938" t="s">
        <v>1502</v>
      </c>
      <c r="C387" s="581" t="s">
        <v>177</v>
      </c>
      <c r="D387" s="830">
        <f t="shared" si="121"/>
        <v>0</v>
      </c>
      <c r="E387" s="830">
        <f t="shared" si="121"/>
        <v>0</v>
      </c>
      <c r="F387" s="830">
        <f t="shared" si="121"/>
        <v>0</v>
      </c>
      <c r="G387" s="830">
        <f t="shared" si="121"/>
        <v>0</v>
      </c>
      <c r="H387" s="830">
        <f t="shared" si="122"/>
        <v>0</v>
      </c>
      <c r="I387" s="830">
        <f t="shared" si="127"/>
        <v>0</v>
      </c>
      <c r="J387" s="830">
        <f t="shared" si="127"/>
        <v>0</v>
      </c>
      <c r="K387" s="830">
        <f t="shared" si="127"/>
        <v>0</v>
      </c>
      <c r="L387" s="830">
        <f t="shared" si="127"/>
        <v>0</v>
      </c>
      <c r="M387" s="830">
        <f t="shared" si="127"/>
        <v>0</v>
      </c>
      <c r="N387" s="830">
        <f t="shared" si="127"/>
        <v>0</v>
      </c>
      <c r="O387" s="830">
        <f t="shared" si="127"/>
        <v>0</v>
      </c>
      <c r="P387" s="830">
        <f t="shared" si="128"/>
        <v>0</v>
      </c>
      <c r="Q387" s="830">
        <f t="shared" si="125"/>
        <v>0</v>
      </c>
      <c r="R387" s="830">
        <f t="shared" si="125"/>
        <v>0</v>
      </c>
      <c r="S387" s="830"/>
    </row>
    <row r="388" spans="1:19" s="593" customFormat="1" ht="12" hidden="1" thickBot="1">
      <c r="A388" s="581" t="s">
        <v>179</v>
      </c>
      <c r="B388" s="938" t="s">
        <v>1502</v>
      </c>
      <c r="C388" s="581" t="s">
        <v>178</v>
      </c>
      <c r="D388" s="830">
        <f t="shared" si="121"/>
        <v>0</v>
      </c>
      <c r="E388" s="830">
        <f t="shared" si="121"/>
        <v>0</v>
      </c>
      <c r="F388" s="830">
        <f t="shared" si="121"/>
        <v>0</v>
      </c>
      <c r="G388" s="830">
        <f t="shared" si="121"/>
        <v>0</v>
      </c>
      <c r="H388" s="830">
        <f t="shared" si="122"/>
        <v>0</v>
      </c>
      <c r="I388" s="830">
        <f t="shared" si="127"/>
        <v>0</v>
      </c>
      <c r="J388" s="830">
        <f t="shared" si="127"/>
        <v>0</v>
      </c>
      <c r="K388" s="830">
        <f t="shared" si="127"/>
        <v>0</v>
      </c>
      <c r="L388" s="830">
        <f t="shared" si="127"/>
        <v>0</v>
      </c>
      <c r="M388" s="830">
        <f t="shared" si="127"/>
        <v>0</v>
      </c>
      <c r="N388" s="830">
        <f t="shared" si="127"/>
        <v>0</v>
      </c>
      <c r="O388" s="830">
        <f t="shared" si="127"/>
        <v>0</v>
      </c>
      <c r="P388" s="830">
        <f t="shared" si="128"/>
        <v>0</v>
      </c>
      <c r="Q388" s="830">
        <f t="shared" si="125"/>
        <v>0</v>
      </c>
      <c r="R388" s="830">
        <f t="shared" si="125"/>
        <v>0</v>
      </c>
      <c r="S388" s="830"/>
    </row>
    <row r="389" spans="1:19" s="593" customFormat="1" ht="12" hidden="1" thickBot="1">
      <c r="A389" s="581" t="s">
        <v>179</v>
      </c>
      <c r="B389" s="938" t="s">
        <v>1502</v>
      </c>
      <c r="C389" s="581" t="s">
        <v>1394</v>
      </c>
      <c r="D389" s="830">
        <f t="shared" si="121"/>
        <v>0</v>
      </c>
      <c r="E389" s="830">
        <f t="shared" si="121"/>
        <v>0</v>
      </c>
      <c r="F389" s="830">
        <f t="shared" si="121"/>
        <v>0</v>
      </c>
      <c r="G389" s="830">
        <f t="shared" si="121"/>
        <v>0</v>
      </c>
      <c r="H389" s="830">
        <f t="shared" si="122"/>
        <v>0</v>
      </c>
      <c r="I389" s="830">
        <f t="shared" si="127"/>
        <v>0</v>
      </c>
      <c r="J389" s="830">
        <f t="shared" si="127"/>
        <v>0</v>
      </c>
      <c r="K389" s="830">
        <f t="shared" si="127"/>
        <v>0</v>
      </c>
      <c r="L389" s="830">
        <f t="shared" si="127"/>
        <v>0</v>
      </c>
      <c r="M389" s="830">
        <f t="shared" si="127"/>
        <v>0</v>
      </c>
      <c r="N389" s="830">
        <f t="shared" si="127"/>
        <v>0</v>
      </c>
      <c r="O389" s="830">
        <f t="shared" si="127"/>
        <v>0</v>
      </c>
      <c r="P389" s="830">
        <f t="shared" si="128"/>
        <v>0</v>
      </c>
      <c r="Q389" s="830">
        <f t="shared" si="125"/>
        <v>0</v>
      </c>
      <c r="R389" s="830">
        <f t="shared" si="125"/>
        <v>0</v>
      </c>
      <c r="S389" s="830"/>
    </row>
    <row r="390" spans="1:19" s="593" customFormat="1" ht="12" hidden="1" thickBot="1">
      <c r="A390" s="581" t="s">
        <v>179</v>
      </c>
      <c r="B390" s="938" t="s">
        <v>1502</v>
      </c>
      <c r="C390" s="581" t="s">
        <v>434</v>
      </c>
      <c r="D390" s="830">
        <f t="shared" si="121"/>
        <v>0</v>
      </c>
      <c r="E390" s="830">
        <f t="shared" si="121"/>
        <v>0</v>
      </c>
      <c r="F390" s="830">
        <f t="shared" si="121"/>
        <v>0</v>
      </c>
      <c r="G390" s="830">
        <f t="shared" si="121"/>
        <v>0</v>
      </c>
      <c r="H390" s="830">
        <f t="shared" si="122"/>
        <v>0</v>
      </c>
      <c r="I390" s="830">
        <f t="shared" si="127"/>
        <v>0</v>
      </c>
      <c r="J390" s="830">
        <f t="shared" si="127"/>
        <v>0</v>
      </c>
      <c r="K390" s="830">
        <f t="shared" si="127"/>
        <v>0</v>
      </c>
      <c r="L390" s="830">
        <f t="shared" si="127"/>
        <v>0</v>
      </c>
      <c r="M390" s="830">
        <f t="shared" si="127"/>
        <v>0</v>
      </c>
      <c r="N390" s="830">
        <f t="shared" si="127"/>
        <v>0</v>
      </c>
      <c r="O390" s="830">
        <f t="shared" si="127"/>
        <v>0</v>
      </c>
      <c r="P390" s="830">
        <f t="shared" si="128"/>
        <v>0</v>
      </c>
      <c r="Q390" s="830">
        <f t="shared" si="125"/>
        <v>0</v>
      </c>
      <c r="R390" s="830">
        <f t="shared" si="125"/>
        <v>0</v>
      </c>
      <c r="S390" s="830"/>
    </row>
    <row r="391" spans="1:19" s="593" customFormat="1" ht="12" hidden="1" thickBot="1">
      <c r="A391" s="581" t="s">
        <v>179</v>
      </c>
      <c r="B391" s="938" t="s">
        <v>1502</v>
      </c>
      <c r="C391" s="581" t="s">
        <v>424</v>
      </c>
      <c r="D391" s="830">
        <f t="shared" si="121"/>
        <v>0</v>
      </c>
      <c r="E391" s="830">
        <f t="shared" si="121"/>
        <v>0</v>
      </c>
      <c r="F391" s="830">
        <f t="shared" si="121"/>
        <v>0</v>
      </c>
      <c r="G391" s="830">
        <f t="shared" si="121"/>
        <v>0</v>
      </c>
      <c r="H391" s="830">
        <f t="shared" si="122"/>
        <v>0</v>
      </c>
      <c r="I391" s="830">
        <f t="shared" si="127"/>
        <v>0</v>
      </c>
      <c r="J391" s="830">
        <f t="shared" si="127"/>
        <v>0</v>
      </c>
      <c r="K391" s="830">
        <f t="shared" si="127"/>
        <v>0</v>
      </c>
      <c r="L391" s="830">
        <f t="shared" si="127"/>
        <v>0</v>
      </c>
      <c r="M391" s="830">
        <f t="shared" si="127"/>
        <v>0</v>
      </c>
      <c r="N391" s="830">
        <f t="shared" si="127"/>
        <v>0</v>
      </c>
      <c r="O391" s="830">
        <f t="shared" si="127"/>
        <v>0</v>
      </c>
      <c r="P391" s="830">
        <f t="shared" si="128"/>
        <v>0</v>
      </c>
      <c r="Q391" s="830">
        <f t="shared" si="125"/>
        <v>0</v>
      </c>
      <c r="R391" s="830">
        <f t="shared" si="125"/>
        <v>0</v>
      </c>
      <c r="S391" s="830"/>
    </row>
    <row r="392" spans="1:19" s="593" customFormat="1" ht="12" hidden="1" thickBot="1">
      <c r="A392" s="581" t="s">
        <v>179</v>
      </c>
      <c r="B392" s="938" t="s">
        <v>1502</v>
      </c>
      <c r="C392" s="581" t="s">
        <v>425</v>
      </c>
      <c r="D392" s="830">
        <f t="shared" si="121"/>
        <v>0</v>
      </c>
      <c r="E392" s="830">
        <f t="shared" si="121"/>
        <v>0</v>
      </c>
      <c r="F392" s="830">
        <f t="shared" si="121"/>
        <v>0</v>
      </c>
      <c r="G392" s="830">
        <f t="shared" si="121"/>
        <v>0</v>
      </c>
      <c r="H392" s="830">
        <f t="shared" si="122"/>
        <v>0</v>
      </c>
      <c r="I392" s="830">
        <f t="shared" si="127"/>
        <v>0</v>
      </c>
      <c r="J392" s="830">
        <f t="shared" si="127"/>
        <v>0</v>
      </c>
      <c r="K392" s="830">
        <f t="shared" si="127"/>
        <v>0</v>
      </c>
      <c r="L392" s="830">
        <f t="shared" si="127"/>
        <v>0</v>
      </c>
      <c r="M392" s="830">
        <f t="shared" si="127"/>
        <v>0</v>
      </c>
      <c r="N392" s="830">
        <f t="shared" si="127"/>
        <v>0</v>
      </c>
      <c r="O392" s="830">
        <f t="shared" si="127"/>
        <v>0</v>
      </c>
      <c r="P392" s="830">
        <f t="shared" si="128"/>
        <v>0</v>
      </c>
      <c r="Q392" s="830">
        <f t="shared" si="125"/>
        <v>0</v>
      </c>
      <c r="R392" s="830">
        <f t="shared" si="125"/>
        <v>0</v>
      </c>
      <c r="S392" s="830"/>
    </row>
    <row r="393" spans="1:19" s="593" customFormat="1" ht="12" hidden="1" thickBot="1">
      <c r="A393" s="581" t="s">
        <v>179</v>
      </c>
      <c r="B393" s="938" t="s">
        <v>1502</v>
      </c>
      <c r="C393" s="581" t="s">
        <v>169</v>
      </c>
      <c r="D393" s="830">
        <f t="shared" si="121"/>
        <v>0</v>
      </c>
      <c r="E393" s="830">
        <f t="shared" si="121"/>
        <v>0</v>
      </c>
      <c r="F393" s="830">
        <f t="shared" si="121"/>
        <v>0</v>
      </c>
      <c r="G393" s="830">
        <f t="shared" si="121"/>
        <v>0</v>
      </c>
      <c r="H393" s="830">
        <f t="shared" si="122"/>
        <v>0</v>
      </c>
      <c r="I393" s="830">
        <f t="shared" ref="I393:O402" si="129">ROUND(SUMIFS(I$495:I$866,$B$495:$B$866,$B393,$C$495:$C$866,$C393),0)</f>
        <v>0</v>
      </c>
      <c r="J393" s="830">
        <f t="shared" si="129"/>
        <v>0</v>
      </c>
      <c r="K393" s="830">
        <f t="shared" si="129"/>
        <v>0</v>
      </c>
      <c r="L393" s="830">
        <f t="shared" si="129"/>
        <v>0</v>
      </c>
      <c r="M393" s="830">
        <f t="shared" si="129"/>
        <v>0</v>
      </c>
      <c r="N393" s="830">
        <f t="shared" si="129"/>
        <v>0</v>
      </c>
      <c r="O393" s="830">
        <f t="shared" si="129"/>
        <v>0</v>
      </c>
      <c r="P393" s="830">
        <f t="shared" si="128"/>
        <v>0</v>
      </c>
      <c r="Q393" s="830">
        <f t="shared" ref="Q393:R410" si="130">ROUND(SUMIFS(Q$495:Q$866,$B$495:$B$866,$B393,$C$495:$C$866,$C393),0)</f>
        <v>0</v>
      </c>
      <c r="R393" s="830">
        <f t="shared" si="130"/>
        <v>0</v>
      </c>
      <c r="S393" s="830"/>
    </row>
    <row r="394" spans="1:19" s="593" customFormat="1" ht="12" hidden="1" thickBot="1">
      <c r="A394" s="581" t="s">
        <v>179</v>
      </c>
      <c r="B394" s="938" t="s">
        <v>1502</v>
      </c>
      <c r="C394" s="581" t="s">
        <v>173</v>
      </c>
      <c r="D394" s="830">
        <f t="shared" si="121"/>
        <v>1</v>
      </c>
      <c r="E394" s="830">
        <f t="shared" si="121"/>
        <v>0</v>
      </c>
      <c r="F394" s="830">
        <f t="shared" si="121"/>
        <v>0</v>
      </c>
      <c r="G394" s="830">
        <f t="shared" si="121"/>
        <v>0</v>
      </c>
      <c r="H394" s="830">
        <f t="shared" si="122"/>
        <v>45507524</v>
      </c>
      <c r="I394" s="830">
        <f t="shared" si="129"/>
        <v>0</v>
      </c>
      <c r="J394" s="830">
        <f t="shared" si="129"/>
        <v>0</v>
      </c>
      <c r="K394" s="830">
        <f t="shared" si="129"/>
        <v>0</v>
      </c>
      <c r="L394" s="830">
        <f t="shared" si="129"/>
        <v>0</v>
      </c>
      <c r="M394" s="830">
        <f t="shared" si="129"/>
        <v>0</v>
      </c>
      <c r="N394" s="830">
        <f t="shared" si="129"/>
        <v>0</v>
      </c>
      <c r="O394" s="830">
        <f t="shared" si="129"/>
        <v>185158</v>
      </c>
      <c r="P394" s="830">
        <f t="shared" si="128"/>
        <v>185158</v>
      </c>
      <c r="Q394" s="830">
        <f t="shared" si="130"/>
        <v>101388</v>
      </c>
      <c r="R394" s="830">
        <f t="shared" si="130"/>
        <v>0</v>
      </c>
      <c r="S394" s="830"/>
    </row>
    <row r="395" spans="1:19" s="593" customFormat="1" ht="12" hidden="1" thickBot="1">
      <c r="A395" s="581" t="s">
        <v>179</v>
      </c>
      <c r="B395" s="938" t="s">
        <v>1502</v>
      </c>
      <c r="C395" s="581" t="s">
        <v>217</v>
      </c>
      <c r="D395" s="830">
        <v>2</v>
      </c>
      <c r="E395" s="830">
        <f t="shared" ref="E395:G410" si="131">ROUND(SUMIFS(E$495:E$866,$B$495:$B$866,$B395,$C$495:$C$866,$C395),0)</f>
        <v>0</v>
      </c>
      <c r="F395" s="830">
        <f t="shared" si="131"/>
        <v>0</v>
      </c>
      <c r="G395" s="830">
        <f t="shared" si="131"/>
        <v>0</v>
      </c>
      <c r="H395" s="830">
        <f t="shared" si="122"/>
        <v>13752</v>
      </c>
      <c r="I395" s="830">
        <f t="shared" si="129"/>
        <v>0</v>
      </c>
      <c r="J395" s="830">
        <f t="shared" si="129"/>
        <v>0</v>
      </c>
      <c r="K395" s="830">
        <f t="shared" si="129"/>
        <v>0</v>
      </c>
      <c r="L395" s="830">
        <f t="shared" si="129"/>
        <v>0</v>
      </c>
      <c r="M395" s="830">
        <f t="shared" si="129"/>
        <v>0</v>
      </c>
      <c r="N395" s="830">
        <f t="shared" si="129"/>
        <v>0</v>
      </c>
      <c r="O395" s="830">
        <f t="shared" si="129"/>
        <v>0</v>
      </c>
      <c r="P395" s="830">
        <f t="shared" si="128"/>
        <v>0</v>
      </c>
      <c r="Q395" s="830">
        <f t="shared" si="130"/>
        <v>0</v>
      </c>
      <c r="R395" s="830">
        <f t="shared" si="130"/>
        <v>0</v>
      </c>
      <c r="S395" s="830"/>
    </row>
    <row r="396" spans="1:19" s="593" customFormat="1" ht="12" hidden="1" thickBot="1">
      <c r="A396" s="581" t="s">
        <v>179</v>
      </c>
      <c r="B396" s="938" t="s">
        <v>1502</v>
      </c>
      <c r="C396" s="581" t="s">
        <v>216</v>
      </c>
      <c r="D396" s="830">
        <f t="shared" ref="D396:D410" si="132">ROUND(SUMIFS(D$495:D$866,$B$495:$B$866,$B396,$C$495:$C$866,$C396),0)</f>
        <v>0</v>
      </c>
      <c r="E396" s="830">
        <f t="shared" si="131"/>
        <v>0</v>
      </c>
      <c r="F396" s="830">
        <f t="shared" si="131"/>
        <v>0</v>
      </c>
      <c r="G396" s="830">
        <f t="shared" si="131"/>
        <v>0</v>
      </c>
      <c r="H396" s="830">
        <f t="shared" si="122"/>
        <v>0</v>
      </c>
      <c r="I396" s="830">
        <f t="shared" si="129"/>
        <v>0</v>
      </c>
      <c r="J396" s="830">
        <f t="shared" si="129"/>
        <v>0</v>
      </c>
      <c r="K396" s="830">
        <f t="shared" si="129"/>
        <v>0</v>
      </c>
      <c r="L396" s="830">
        <f t="shared" si="129"/>
        <v>0</v>
      </c>
      <c r="M396" s="830">
        <f t="shared" si="129"/>
        <v>0</v>
      </c>
      <c r="N396" s="830">
        <f t="shared" si="129"/>
        <v>0</v>
      </c>
      <c r="O396" s="830">
        <f t="shared" si="129"/>
        <v>0</v>
      </c>
      <c r="P396" s="830">
        <f t="shared" si="128"/>
        <v>0</v>
      </c>
      <c r="Q396" s="830">
        <f t="shared" si="130"/>
        <v>0</v>
      </c>
      <c r="R396" s="830">
        <f t="shared" si="130"/>
        <v>0</v>
      </c>
      <c r="S396" s="830"/>
    </row>
    <row r="397" spans="1:19" s="593" customFormat="1" ht="12" hidden="1" thickBot="1">
      <c r="A397" s="581" t="s">
        <v>179</v>
      </c>
      <c r="B397" s="938" t="s">
        <v>1502</v>
      </c>
      <c r="C397" s="581" t="s">
        <v>168</v>
      </c>
      <c r="D397" s="830">
        <f t="shared" si="132"/>
        <v>747</v>
      </c>
      <c r="E397" s="830">
        <f t="shared" si="131"/>
        <v>0</v>
      </c>
      <c r="F397" s="830">
        <f t="shared" si="131"/>
        <v>0</v>
      </c>
      <c r="G397" s="830">
        <f t="shared" si="131"/>
        <v>0</v>
      </c>
      <c r="H397" s="830">
        <f t="shared" si="122"/>
        <v>95410</v>
      </c>
      <c r="I397" s="830">
        <f t="shared" si="129"/>
        <v>0</v>
      </c>
      <c r="J397" s="830">
        <f t="shared" si="129"/>
        <v>0</v>
      </c>
      <c r="K397" s="830">
        <f t="shared" si="129"/>
        <v>0</v>
      </c>
      <c r="L397" s="830">
        <f t="shared" si="129"/>
        <v>0</v>
      </c>
      <c r="M397" s="830">
        <f t="shared" si="129"/>
        <v>0</v>
      </c>
      <c r="N397" s="830">
        <f t="shared" si="129"/>
        <v>0</v>
      </c>
      <c r="O397" s="830">
        <f t="shared" si="129"/>
        <v>0</v>
      </c>
      <c r="P397" s="830">
        <f t="shared" si="128"/>
        <v>0</v>
      </c>
      <c r="Q397" s="830">
        <f t="shared" si="130"/>
        <v>0</v>
      </c>
      <c r="R397" s="830">
        <f t="shared" si="130"/>
        <v>0</v>
      </c>
      <c r="S397" s="830"/>
    </row>
    <row r="398" spans="1:19" ht="12" hidden="1" thickBot="1">
      <c r="A398" s="838" t="s">
        <v>179</v>
      </c>
      <c r="B398" s="938" t="s">
        <v>1502</v>
      </c>
      <c r="C398" s="838" t="s">
        <v>171</v>
      </c>
      <c r="D398" s="830">
        <f t="shared" si="132"/>
        <v>0</v>
      </c>
      <c r="E398" s="830">
        <f t="shared" si="131"/>
        <v>0</v>
      </c>
      <c r="F398" s="830">
        <f t="shared" si="131"/>
        <v>0</v>
      </c>
      <c r="G398" s="830">
        <f t="shared" si="131"/>
        <v>0</v>
      </c>
      <c r="H398" s="830">
        <f t="shared" si="122"/>
        <v>0</v>
      </c>
      <c r="I398" s="830">
        <f t="shared" si="129"/>
        <v>0</v>
      </c>
      <c r="J398" s="830">
        <f t="shared" si="129"/>
        <v>0</v>
      </c>
      <c r="K398" s="830">
        <f t="shared" si="129"/>
        <v>0</v>
      </c>
      <c r="L398" s="830">
        <f t="shared" si="129"/>
        <v>0</v>
      </c>
      <c r="M398" s="830">
        <f t="shared" si="129"/>
        <v>0</v>
      </c>
      <c r="N398" s="830">
        <f t="shared" si="129"/>
        <v>0</v>
      </c>
      <c r="O398" s="830">
        <f t="shared" si="129"/>
        <v>0</v>
      </c>
      <c r="P398" s="830">
        <f t="shared" si="128"/>
        <v>0</v>
      </c>
      <c r="Q398" s="830">
        <f t="shared" si="130"/>
        <v>0</v>
      </c>
      <c r="R398" s="830">
        <f t="shared" si="130"/>
        <v>0</v>
      </c>
      <c r="S398" s="830"/>
    </row>
    <row r="399" spans="1:19" ht="12" hidden="1" thickBot="1">
      <c r="A399" s="838" t="s">
        <v>179</v>
      </c>
      <c r="B399" s="938" t="s">
        <v>1502</v>
      </c>
      <c r="C399" s="838" t="s">
        <v>172</v>
      </c>
      <c r="D399" s="830">
        <f t="shared" si="132"/>
        <v>0</v>
      </c>
      <c r="E399" s="830">
        <f t="shared" si="131"/>
        <v>0</v>
      </c>
      <c r="F399" s="830">
        <f t="shared" si="131"/>
        <v>0</v>
      </c>
      <c r="G399" s="830">
        <f t="shared" si="131"/>
        <v>0</v>
      </c>
      <c r="H399" s="830">
        <f t="shared" si="122"/>
        <v>0</v>
      </c>
      <c r="I399" s="830">
        <f t="shared" si="129"/>
        <v>0</v>
      </c>
      <c r="J399" s="830">
        <f t="shared" si="129"/>
        <v>0</v>
      </c>
      <c r="K399" s="830">
        <f t="shared" si="129"/>
        <v>0</v>
      </c>
      <c r="L399" s="830">
        <f t="shared" si="129"/>
        <v>0</v>
      </c>
      <c r="M399" s="830">
        <f t="shared" si="129"/>
        <v>0</v>
      </c>
      <c r="N399" s="830">
        <f t="shared" si="129"/>
        <v>0</v>
      </c>
      <c r="O399" s="830">
        <f t="shared" si="129"/>
        <v>0</v>
      </c>
      <c r="P399" s="830">
        <f t="shared" si="128"/>
        <v>0</v>
      </c>
      <c r="Q399" s="830">
        <f t="shared" si="130"/>
        <v>0</v>
      </c>
      <c r="R399" s="830">
        <f t="shared" si="130"/>
        <v>0</v>
      </c>
      <c r="S399" s="830"/>
    </row>
    <row r="400" spans="1:19" ht="12" hidden="1" thickBot="1">
      <c r="A400" s="838" t="s">
        <v>179</v>
      </c>
      <c r="B400" s="938" t="s">
        <v>1502</v>
      </c>
      <c r="C400" s="838" t="s">
        <v>1149</v>
      </c>
      <c r="D400" s="830">
        <f t="shared" si="132"/>
        <v>0</v>
      </c>
      <c r="E400" s="830">
        <f t="shared" si="131"/>
        <v>0</v>
      </c>
      <c r="F400" s="830">
        <f t="shared" si="131"/>
        <v>0</v>
      </c>
      <c r="G400" s="830">
        <f t="shared" si="131"/>
        <v>0</v>
      </c>
      <c r="H400" s="830">
        <f t="shared" si="122"/>
        <v>0</v>
      </c>
      <c r="I400" s="830">
        <f t="shared" si="129"/>
        <v>0</v>
      </c>
      <c r="J400" s="830">
        <f t="shared" si="129"/>
        <v>0</v>
      </c>
      <c r="K400" s="830">
        <f t="shared" si="129"/>
        <v>0</v>
      </c>
      <c r="L400" s="830">
        <f t="shared" si="129"/>
        <v>0</v>
      </c>
      <c r="M400" s="830">
        <f t="shared" si="129"/>
        <v>0</v>
      </c>
      <c r="N400" s="830">
        <f t="shared" si="129"/>
        <v>0</v>
      </c>
      <c r="O400" s="830">
        <f t="shared" si="129"/>
        <v>0</v>
      </c>
      <c r="P400" s="830">
        <f t="shared" si="128"/>
        <v>0</v>
      </c>
      <c r="Q400" s="830">
        <f t="shared" si="130"/>
        <v>0</v>
      </c>
      <c r="R400" s="830">
        <f t="shared" si="130"/>
        <v>0</v>
      </c>
      <c r="S400" s="830"/>
    </row>
    <row r="401" spans="1:19" s="593" customFormat="1" ht="12" hidden="1" thickBot="1">
      <c r="A401" s="581" t="s">
        <v>179</v>
      </c>
      <c r="B401" s="938" t="s">
        <v>1502</v>
      </c>
      <c r="C401" s="581" t="s">
        <v>170</v>
      </c>
      <c r="D401" s="830">
        <f t="shared" si="132"/>
        <v>0</v>
      </c>
      <c r="E401" s="830">
        <f t="shared" si="131"/>
        <v>0</v>
      </c>
      <c r="F401" s="830">
        <f t="shared" si="131"/>
        <v>0</v>
      </c>
      <c r="G401" s="830">
        <f t="shared" si="131"/>
        <v>0</v>
      </c>
      <c r="H401" s="830">
        <f t="shared" si="122"/>
        <v>0</v>
      </c>
      <c r="I401" s="830">
        <f t="shared" si="129"/>
        <v>0</v>
      </c>
      <c r="J401" s="830">
        <f t="shared" si="129"/>
        <v>0</v>
      </c>
      <c r="K401" s="830">
        <f t="shared" si="129"/>
        <v>0</v>
      </c>
      <c r="L401" s="830">
        <f t="shared" si="129"/>
        <v>0</v>
      </c>
      <c r="M401" s="830">
        <f t="shared" si="129"/>
        <v>0</v>
      </c>
      <c r="N401" s="830">
        <f t="shared" si="129"/>
        <v>0</v>
      </c>
      <c r="O401" s="830">
        <f t="shared" si="129"/>
        <v>0</v>
      </c>
      <c r="P401" s="830">
        <f t="shared" si="128"/>
        <v>0</v>
      </c>
      <c r="Q401" s="830">
        <f t="shared" si="130"/>
        <v>0</v>
      </c>
      <c r="R401" s="830">
        <f t="shared" si="130"/>
        <v>0</v>
      </c>
      <c r="S401" s="830"/>
    </row>
    <row r="402" spans="1:19" s="593" customFormat="1" ht="12" hidden="1" thickBot="1">
      <c r="A402" s="581" t="s">
        <v>179</v>
      </c>
      <c r="B402" s="938" t="s">
        <v>1502</v>
      </c>
      <c r="C402" s="581" t="s">
        <v>160</v>
      </c>
      <c r="D402" s="830">
        <f t="shared" si="132"/>
        <v>0</v>
      </c>
      <c r="E402" s="830">
        <f t="shared" si="131"/>
        <v>0</v>
      </c>
      <c r="F402" s="830">
        <f t="shared" si="131"/>
        <v>0</v>
      </c>
      <c r="G402" s="830">
        <f t="shared" si="131"/>
        <v>0</v>
      </c>
      <c r="H402" s="830">
        <f t="shared" si="122"/>
        <v>0</v>
      </c>
      <c r="I402" s="830">
        <f t="shared" si="129"/>
        <v>0</v>
      </c>
      <c r="J402" s="830">
        <f t="shared" si="129"/>
        <v>0</v>
      </c>
      <c r="K402" s="830">
        <f t="shared" si="129"/>
        <v>0</v>
      </c>
      <c r="L402" s="830">
        <f t="shared" si="129"/>
        <v>0</v>
      </c>
      <c r="M402" s="830">
        <f t="shared" si="129"/>
        <v>0</v>
      </c>
      <c r="N402" s="830">
        <f t="shared" si="129"/>
        <v>0</v>
      </c>
      <c r="O402" s="830">
        <f t="shared" si="129"/>
        <v>0</v>
      </c>
      <c r="P402" s="830">
        <f t="shared" si="128"/>
        <v>0</v>
      </c>
      <c r="Q402" s="830">
        <f t="shared" si="130"/>
        <v>0</v>
      </c>
      <c r="R402" s="830">
        <f t="shared" si="130"/>
        <v>0</v>
      </c>
      <c r="S402" s="830"/>
    </row>
    <row r="403" spans="1:19" s="593" customFormat="1" ht="12" hidden="1" thickBot="1">
      <c r="A403" s="581" t="s">
        <v>179</v>
      </c>
      <c r="B403" s="938" t="s">
        <v>1502</v>
      </c>
      <c r="C403" s="581" t="s">
        <v>166</v>
      </c>
      <c r="D403" s="830">
        <f t="shared" si="132"/>
        <v>0</v>
      </c>
      <c r="E403" s="830">
        <f t="shared" si="131"/>
        <v>0</v>
      </c>
      <c r="F403" s="830">
        <f t="shared" si="131"/>
        <v>0</v>
      </c>
      <c r="G403" s="830">
        <f t="shared" si="131"/>
        <v>0</v>
      </c>
      <c r="H403" s="830">
        <f t="shared" si="122"/>
        <v>0</v>
      </c>
      <c r="I403" s="830">
        <f t="shared" ref="I403:O410" si="133">ROUND(SUMIFS(I$495:I$866,$B$495:$B$866,$B403,$C$495:$C$866,$C403),0)</f>
        <v>0</v>
      </c>
      <c r="J403" s="830">
        <f t="shared" si="133"/>
        <v>0</v>
      </c>
      <c r="K403" s="830">
        <f t="shared" si="133"/>
        <v>0</v>
      </c>
      <c r="L403" s="830">
        <f t="shared" si="133"/>
        <v>0</v>
      </c>
      <c r="M403" s="830">
        <f t="shared" si="133"/>
        <v>0</v>
      </c>
      <c r="N403" s="830">
        <f t="shared" si="133"/>
        <v>0</v>
      </c>
      <c r="O403" s="830">
        <f t="shared" si="133"/>
        <v>0</v>
      </c>
      <c r="P403" s="830">
        <f t="shared" si="128"/>
        <v>0</v>
      </c>
      <c r="Q403" s="830">
        <f t="shared" si="130"/>
        <v>0</v>
      </c>
      <c r="R403" s="830">
        <f t="shared" si="130"/>
        <v>0</v>
      </c>
      <c r="S403" s="830"/>
    </row>
    <row r="404" spans="1:19" s="593" customFormat="1" ht="12" hidden="1" thickBot="1">
      <c r="A404" s="581" t="s">
        <v>179</v>
      </c>
      <c r="B404" s="938" t="s">
        <v>1502</v>
      </c>
      <c r="C404" s="581" t="s">
        <v>458</v>
      </c>
      <c r="D404" s="830">
        <f t="shared" si="132"/>
        <v>7</v>
      </c>
      <c r="E404" s="830">
        <f t="shared" si="131"/>
        <v>6021</v>
      </c>
      <c r="F404" s="830">
        <f t="shared" si="131"/>
        <v>2399</v>
      </c>
      <c r="G404" s="830">
        <f t="shared" si="131"/>
        <v>1423</v>
      </c>
      <c r="H404" s="830">
        <f t="shared" si="122"/>
        <v>9843</v>
      </c>
      <c r="I404" s="830">
        <f t="shared" si="133"/>
        <v>0</v>
      </c>
      <c r="J404" s="830">
        <f t="shared" si="133"/>
        <v>0</v>
      </c>
      <c r="K404" s="830">
        <f t="shared" si="133"/>
        <v>0</v>
      </c>
      <c r="L404" s="830">
        <f t="shared" si="133"/>
        <v>0</v>
      </c>
      <c r="M404" s="830">
        <f t="shared" si="133"/>
        <v>0</v>
      </c>
      <c r="N404" s="830">
        <f t="shared" si="133"/>
        <v>0</v>
      </c>
      <c r="O404" s="830">
        <f t="shared" si="133"/>
        <v>0</v>
      </c>
      <c r="P404" s="830">
        <f t="shared" si="128"/>
        <v>0</v>
      </c>
      <c r="Q404" s="830">
        <f t="shared" si="130"/>
        <v>0</v>
      </c>
      <c r="R404" s="830">
        <f t="shared" si="130"/>
        <v>0</v>
      </c>
      <c r="S404" s="830"/>
    </row>
    <row r="405" spans="1:19" s="593" customFormat="1" ht="12" hidden="1" thickBot="1">
      <c r="A405" s="581" t="s">
        <v>179</v>
      </c>
      <c r="B405" s="938" t="s">
        <v>1502</v>
      </c>
      <c r="C405" s="581" t="s">
        <v>165</v>
      </c>
      <c r="D405" s="830">
        <f t="shared" si="132"/>
        <v>0</v>
      </c>
      <c r="E405" s="830">
        <f t="shared" si="131"/>
        <v>0</v>
      </c>
      <c r="F405" s="830">
        <f t="shared" si="131"/>
        <v>0</v>
      </c>
      <c r="G405" s="830">
        <f t="shared" si="131"/>
        <v>0</v>
      </c>
      <c r="H405" s="830">
        <f t="shared" si="122"/>
        <v>0</v>
      </c>
      <c r="I405" s="830">
        <f t="shared" si="133"/>
        <v>0</v>
      </c>
      <c r="J405" s="830">
        <f t="shared" si="133"/>
        <v>0</v>
      </c>
      <c r="K405" s="830">
        <f t="shared" si="133"/>
        <v>0</v>
      </c>
      <c r="L405" s="830">
        <f t="shared" si="133"/>
        <v>0</v>
      </c>
      <c r="M405" s="830">
        <f t="shared" si="133"/>
        <v>0</v>
      </c>
      <c r="N405" s="830">
        <f t="shared" si="133"/>
        <v>0</v>
      </c>
      <c r="O405" s="830">
        <f t="shared" si="133"/>
        <v>0</v>
      </c>
      <c r="P405" s="830">
        <f t="shared" si="128"/>
        <v>0</v>
      </c>
      <c r="Q405" s="830">
        <f t="shared" si="130"/>
        <v>0</v>
      </c>
      <c r="R405" s="830">
        <f t="shared" si="130"/>
        <v>0</v>
      </c>
      <c r="S405" s="830"/>
    </row>
    <row r="406" spans="1:19" s="593" customFormat="1" ht="12" thickBot="1">
      <c r="A406" s="581" t="s">
        <v>179</v>
      </c>
      <c r="B406" s="938" t="s">
        <v>1502</v>
      </c>
      <c r="C406" s="581" t="s">
        <v>167</v>
      </c>
      <c r="D406" s="830">
        <f t="shared" si="132"/>
        <v>260</v>
      </c>
      <c r="E406" s="830">
        <f t="shared" si="131"/>
        <v>0</v>
      </c>
      <c r="F406" s="830">
        <f t="shared" si="131"/>
        <v>0</v>
      </c>
      <c r="G406" s="830">
        <f t="shared" si="131"/>
        <v>0</v>
      </c>
      <c r="H406" s="830">
        <f t="shared" si="122"/>
        <v>10393976</v>
      </c>
      <c r="I406" s="830">
        <f t="shared" si="133"/>
        <v>0</v>
      </c>
      <c r="J406" s="830">
        <f t="shared" si="133"/>
        <v>0</v>
      </c>
      <c r="K406" s="830">
        <f t="shared" si="133"/>
        <v>0</v>
      </c>
      <c r="L406" s="830">
        <f t="shared" si="133"/>
        <v>0</v>
      </c>
      <c r="M406" s="830">
        <f t="shared" si="133"/>
        <v>0</v>
      </c>
      <c r="N406" s="830">
        <f t="shared" si="133"/>
        <v>0</v>
      </c>
      <c r="O406" s="830">
        <f>R406</f>
        <v>43429</v>
      </c>
      <c r="P406" s="830">
        <f t="shared" si="128"/>
        <v>0</v>
      </c>
      <c r="Q406" s="830">
        <f t="shared" si="130"/>
        <v>0</v>
      </c>
      <c r="R406" s="830">
        <f t="shared" si="130"/>
        <v>43429</v>
      </c>
      <c r="S406" s="830"/>
    </row>
    <row r="407" spans="1:19" s="593" customFormat="1" ht="12" hidden="1" thickBot="1">
      <c r="A407" s="581" t="s">
        <v>179</v>
      </c>
      <c r="B407" s="938" t="s">
        <v>1502</v>
      </c>
      <c r="C407" s="581" t="s">
        <v>623</v>
      </c>
      <c r="D407" s="830">
        <f t="shared" si="132"/>
        <v>0</v>
      </c>
      <c r="E407" s="830">
        <f t="shared" si="131"/>
        <v>0</v>
      </c>
      <c r="F407" s="830">
        <f t="shared" si="131"/>
        <v>0</v>
      </c>
      <c r="G407" s="830">
        <f t="shared" si="131"/>
        <v>0</v>
      </c>
      <c r="H407" s="830">
        <f t="shared" si="122"/>
        <v>0</v>
      </c>
      <c r="I407" s="830">
        <f t="shared" si="133"/>
        <v>0</v>
      </c>
      <c r="J407" s="830">
        <f t="shared" si="133"/>
        <v>0</v>
      </c>
      <c r="K407" s="830">
        <f t="shared" si="133"/>
        <v>0</v>
      </c>
      <c r="L407" s="830">
        <f t="shared" si="133"/>
        <v>0</v>
      </c>
      <c r="M407" s="830">
        <f t="shared" si="133"/>
        <v>0</v>
      </c>
      <c r="N407" s="830">
        <f t="shared" si="133"/>
        <v>0</v>
      </c>
      <c r="O407" s="830">
        <f t="shared" si="133"/>
        <v>0</v>
      </c>
      <c r="P407" s="830">
        <f>ROUND(SUMIFS(P$495:P$866,$B$495:$B$866,$B407,$C$495:$C$866,$C407),0)</f>
        <v>0</v>
      </c>
      <c r="Q407" s="830">
        <f t="shared" si="130"/>
        <v>0</v>
      </c>
      <c r="R407" s="830">
        <f t="shared" si="130"/>
        <v>0</v>
      </c>
      <c r="S407" s="830"/>
    </row>
    <row r="408" spans="1:19" s="593" customFormat="1" ht="12" hidden="1" thickBot="1">
      <c r="A408" s="581" t="s">
        <v>179</v>
      </c>
      <c r="B408" s="938" t="s">
        <v>1502</v>
      </c>
      <c r="C408" s="581" t="s">
        <v>683</v>
      </c>
      <c r="D408" s="830">
        <f t="shared" si="132"/>
        <v>0</v>
      </c>
      <c r="E408" s="830">
        <f t="shared" si="131"/>
        <v>0</v>
      </c>
      <c r="F408" s="830">
        <f t="shared" si="131"/>
        <v>0</v>
      </c>
      <c r="G408" s="830">
        <f t="shared" si="131"/>
        <v>0</v>
      </c>
      <c r="H408" s="830">
        <f t="shared" si="122"/>
        <v>0</v>
      </c>
      <c r="I408" s="830">
        <f t="shared" si="133"/>
        <v>0</v>
      </c>
      <c r="J408" s="830">
        <f t="shared" si="133"/>
        <v>0</v>
      </c>
      <c r="K408" s="830">
        <f t="shared" si="133"/>
        <v>0</v>
      </c>
      <c r="L408" s="830">
        <f t="shared" si="133"/>
        <v>0</v>
      </c>
      <c r="M408" s="830">
        <f t="shared" si="133"/>
        <v>0</v>
      </c>
      <c r="N408" s="830">
        <f t="shared" si="133"/>
        <v>0</v>
      </c>
      <c r="O408" s="830">
        <f t="shared" si="133"/>
        <v>0</v>
      </c>
      <c r="P408" s="830">
        <f>ROUND(SUMIFS(P$495:P$866,$B$495:$B$866,$B408,$C$495:$C$866,$C408),0)</f>
        <v>0</v>
      </c>
      <c r="Q408" s="830">
        <f t="shared" si="130"/>
        <v>0</v>
      </c>
      <c r="R408" s="830">
        <f t="shared" si="130"/>
        <v>0</v>
      </c>
      <c r="S408" s="830"/>
    </row>
    <row r="409" spans="1:19" s="593" customFormat="1" ht="12" hidden="1" thickBot="1">
      <c r="A409" s="581" t="s">
        <v>179</v>
      </c>
      <c r="B409" s="938" t="s">
        <v>1502</v>
      </c>
      <c r="C409" s="581" t="s">
        <v>684</v>
      </c>
      <c r="D409" s="830">
        <f t="shared" si="132"/>
        <v>0</v>
      </c>
      <c r="E409" s="830">
        <f t="shared" si="131"/>
        <v>0</v>
      </c>
      <c r="F409" s="830">
        <f t="shared" si="131"/>
        <v>0</v>
      </c>
      <c r="G409" s="830">
        <f t="shared" si="131"/>
        <v>0</v>
      </c>
      <c r="H409" s="830">
        <f t="shared" si="122"/>
        <v>0</v>
      </c>
      <c r="I409" s="830">
        <f t="shared" si="133"/>
        <v>0</v>
      </c>
      <c r="J409" s="830">
        <f t="shared" si="133"/>
        <v>0</v>
      </c>
      <c r="K409" s="830">
        <f t="shared" si="133"/>
        <v>0</v>
      </c>
      <c r="L409" s="830">
        <f t="shared" si="133"/>
        <v>0</v>
      </c>
      <c r="M409" s="830">
        <f t="shared" si="133"/>
        <v>0</v>
      </c>
      <c r="N409" s="830">
        <f t="shared" si="133"/>
        <v>0</v>
      </c>
      <c r="O409" s="830">
        <f t="shared" si="133"/>
        <v>0</v>
      </c>
      <c r="P409" s="830">
        <f>ROUND(SUMIFS(P$495:P$866,$B$495:$B$866,$B409,$C$495:$C$866,$C409),0)</f>
        <v>0</v>
      </c>
      <c r="Q409" s="830">
        <f t="shared" si="130"/>
        <v>0</v>
      </c>
      <c r="R409" s="830">
        <f t="shared" si="130"/>
        <v>0</v>
      </c>
      <c r="S409" s="830"/>
    </row>
    <row r="410" spans="1:19" s="593" customFormat="1" ht="12" hidden="1" thickBot="1">
      <c r="A410" s="581" t="s">
        <v>179</v>
      </c>
      <c r="B410" s="938" t="s">
        <v>1502</v>
      </c>
      <c r="C410" s="581" t="s">
        <v>685</v>
      </c>
      <c r="D410" s="830">
        <f t="shared" si="132"/>
        <v>0</v>
      </c>
      <c r="E410" s="830">
        <f t="shared" si="131"/>
        <v>0</v>
      </c>
      <c r="F410" s="830">
        <f t="shared" si="131"/>
        <v>0</v>
      </c>
      <c r="G410" s="830">
        <f t="shared" si="131"/>
        <v>0</v>
      </c>
      <c r="H410" s="830">
        <f t="shared" si="122"/>
        <v>0</v>
      </c>
      <c r="I410" s="830">
        <f t="shared" si="133"/>
        <v>0</v>
      </c>
      <c r="J410" s="830">
        <f t="shared" si="133"/>
        <v>0</v>
      </c>
      <c r="K410" s="830">
        <f t="shared" si="133"/>
        <v>0</v>
      </c>
      <c r="L410" s="830">
        <f t="shared" si="133"/>
        <v>0</v>
      </c>
      <c r="M410" s="830">
        <f t="shared" si="133"/>
        <v>0</v>
      </c>
      <c r="N410" s="830">
        <f t="shared" si="133"/>
        <v>0</v>
      </c>
      <c r="O410" s="830">
        <f t="shared" si="133"/>
        <v>0</v>
      </c>
      <c r="P410" s="830">
        <f>ROUND(SUMIFS(P$495:P$866,$B$495:$B$866,$B410,$C$495:$C$866,$C410),0)</f>
        <v>0</v>
      </c>
      <c r="Q410" s="830">
        <f t="shared" si="130"/>
        <v>0</v>
      </c>
      <c r="R410" s="830">
        <f t="shared" si="130"/>
        <v>0</v>
      </c>
      <c r="S410" s="830"/>
    </row>
    <row r="411" spans="1:19" s="593" customFormat="1" ht="12" hidden="1" thickBot="1">
      <c r="A411" s="581" t="s">
        <v>179</v>
      </c>
      <c r="B411" s="938" t="s">
        <v>1502</v>
      </c>
      <c r="C411" s="587" t="s">
        <v>8</v>
      </c>
      <c r="D411" s="588"/>
      <c r="E411" s="589"/>
      <c r="F411" s="589"/>
      <c r="G411" s="589"/>
      <c r="H411" s="588"/>
      <c r="I411" s="590"/>
      <c r="J411" s="590"/>
      <c r="K411" s="590"/>
      <c r="L411" s="589"/>
      <c r="M411" s="589"/>
      <c r="N411" s="590"/>
      <c r="O411" s="590"/>
      <c r="P411" s="590"/>
      <c r="Q411" s="590"/>
      <c r="R411" s="589"/>
      <c r="S411" s="589"/>
    </row>
    <row r="412" spans="1:19" s="593" customFormat="1" ht="12" hidden="1" thickBot="1">
      <c r="A412" s="541" t="s">
        <v>179</v>
      </c>
      <c r="B412" s="596" t="s">
        <v>1503</v>
      </c>
      <c r="C412" s="541" t="s">
        <v>152</v>
      </c>
      <c r="D412" s="830">
        <f t="shared" ref="D412:G434" si="134">ROUND(SUMIFS(D$495:D$866,$B$495:$B$866,$B412,$C$495:$C$866,$C412),0)</f>
        <v>32</v>
      </c>
      <c r="E412" s="830">
        <f t="shared" si="134"/>
        <v>0</v>
      </c>
      <c r="F412" s="830">
        <f t="shared" si="134"/>
        <v>0</v>
      </c>
      <c r="G412" s="830">
        <f t="shared" si="134"/>
        <v>0</v>
      </c>
      <c r="H412" s="830">
        <f t="shared" ref="H412:H450" si="135">ROUND(SUMIFS(H$495:H$866,$B$495:$B$866,$B412,$C$495:$C$866,$C412)*1000,0)</f>
        <v>136559534</v>
      </c>
      <c r="I412" s="830">
        <f t="shared" ref="I412:R412" si="136">ROUND(SUMIFS(I$495:I$866,$B$495:$B$866,$B412,$C$495:$C$866,$C412),0)</f>
        <v>0</v>
      </c>
      <c r="J412" s="830">
        <f t="shared" si="136"/>
        <v>0</v>
      </c>
      <c r="K412" s="830">
        <f t="shared" si="136"/>
        <v>0</v>
      </c>
      <c r="L412" s="830">
        <f t="shared" si="136"/>
        <v>0</v>
      </c>
      <c r="M412" s="830">
        <f t="shared" si="136"/>
        <v>0</v>
      </c>
      <c r="N412" s="830">
        <f t="shared" si="136"/>
        <v>0</v>
      </c>
      <c r="O412" s="830">
        <f t="shared" si="136"/>
        <v>301167</v>
      </c>
      <c r="P412" s="830">
        <f t="shared" si="136"/>
        <v>293808</v>
      </c>
      <c r="Q412" s="830">
        <f t="shared" si="136"/>
        <v>283169</v>
      </c>
      <c r="R412" s="830">
        <f t="shared" si="136"/>
        <v>0</v>
      </c>
      <c r="S412" s="830"/>
    </row>
    <row r="413" spans="1:19" s="593" customFormat="1" ht="12" hidden="1" thickBot="1">
      <c r="A413" s="541" t="s">
        <v>179</v>
      </c>
      <c r="B413" s="596" t="s">
        <v>1503</v>
      </c>
      <c r="C413" s="541" t="s">
        <v>153</v>
      </c>
      <c r="D413" s="830">
        <f t="shared" si="134"/>
        <v>198</v>
      </c>
      <c r="E413" s="830">
        <f t="shared" si="134"/>
        <v>0</v>
      </c>
      <c r="F413" s="830">
        <f t="shared" si="134"/>
        <v>0</v>
      </c>
      <c r="G413" s="830">
        <f t="shared" si="134"/>
        <v>0</v>
      </c>
      <c r="H413" s="830">
        <f t="shared" si="135"/>
        <v>19617060</v>
      </c>
      <c r="I413" s="830">
        <f t="shared" ref="I413:O422" si="137">ROUND(SUMIFS(I$495:I$866,$B$495:$B$866,$B413,$C$495:$C$866,$C413),0)</f>
        <v>0</v>
      </c>
      <c r="J413" s="830">
        <f t="shared" si="137"/>
        <v>0</v>
      </c>
      <c r="K413" s="830">
        <f t="shared" si="137"/>
        <v>0</v>
      </c>
      <c r="L413" s="830">
        <f t="shared" si="137"/>
        <v>0</v>
      </c>
      <c r="M413" s="830">
        <f t="shared" si="137"/>
        <v>0</v>
      </c>
      <c r="N413" s="830">
        <f t="shared" si="137"/>
        <v>0</v>
      </c>
      <c r="O413" s="830">
        <f t="shared" si="137"/>
        <v>0</v>
      </c>
      <c r="P413" s="830">
        <f t="shared" ref="P413:P414" si="138">R413</f>
        <v>54525</v>
      </c>
      <c r="Q413" s="830">
        <f t="shared" ref="Q413:R432" si="139">ROUND(SUMIFS(Q$495:Q$866,$B$495:$B$866,$B413,$C$495:$C$866,$C413),0)</f>
        <v>0</v>
      </c>
      <c r="R413" s="830">
        <f t="shared" si="139"/>
        <v>54525</v>
      </c>
      <c r="S413" s="830"/>
    </row>
    <row r="414" spans="1:19" s="593" customFormat="1" ht="12" hidden="1" thickBot="1">
      <c r="A414" s="541" t="s">
        <v>179</v>
      </c>
      <c r="B414" s="596" t="s">
        <v>1503</v>
      </c>
      <c r="C414" s="541" t="s">
        <v>154</v>
      </c>
      <c r="D414" s="830">
        <f t="shared" si="134"/>
        <v>4670</v>
      </c>
      <c r="E414" s="830">
        <f t="shared" si="134"/>
        <v>0</v>
      </c>
      <c r="F414" s="830">
        <f t="shared" si="134"/>
        <v>0</v>
      </c>
      <c r="G414" s="830">
        <f t="shared" si="134"/>
        <v>0</v>
      </c>
      <c r="H414" s="830">
        <f t="shared" si="135"/>
        <v>160821920</v>
      </c>
      <c r="I414" s="830">
        <f t="shared" si="137"/>
        <v>0</v>
      </c>
      <c r="J414" s="830">
        <f t="shared" si="137"/>
        <v>0</v>
      </c>
      <c r="K414" s="830">
        <f t="shared" si="137"/>
        <v>0</v>
      </c>
      <c r="L414" s="830">
        <f t="shared" si="137"/>
        <v>0</v>
      </c>
      <c r="M414" s="830">
        <f t="shared" si="137"/>
        <v>0</v>
      </c>
      <c r="N414" s="830">
        <f t="shared" si="137"/>
        <v>0</v>
      </c>
      <c r="O414" s="830">
        <f t="shared" si="137"/>
        <v>0</v>
      </c>
      <c r="P414" s="830">
        <f t="shared" si="138"/>
        <v>508359</v>
      </c>
      <c r="Q414" s="830">
        <f t="shared" si="139"/>
        <v>0</v>
      </c>
      <c r="R414" s="830">
        <f t="shared" si="139"/>
        <v>508359</v>
      </c>
      <c r="S414" s="830"/>
    </row>
    <row r="415" spans="1:19" s="593" customFormat="1" ht="12" hidden="1" thickBot="1">
      <c r="A415" s="541" t="s">
        <v>179</v>
      </c>
      <c r="B415" s="596" t="s">
        <v>1503</v>
      </c>
      <c r="C415" s="541" t="s">
        <v>155</v>
      </c>
      <c r="D415" s="830">
        <f t="shared" si="134"/>
        <v>52</v>
      </c>
      <c r="E415" s="830">
        <f t="shared" si="134"/>
        <v>0</v>
      </c>
      <c r="F415" s="830">
        <f t="shared" si="134"/>
        <v>0</v>
      </c>
      <c r="G415" s="830">
        <f t="shared" si="134"/>
        <v>0</v>
      </c>
      <c r="H415" s="830">
        <f t="shared" si="135"/>
        <v>250340516</v>
      </c>
      <c r="I415" s="830">
        <f t="shared" si="137"/>
        <v>0</v>
      </c>
      <c r="J415" s="830">
        <f t="shared" si="137"/>
        <v>0</v>
      </c>
      <c r="K415" s="830">
        <f t="shared" si="137"/>
        <v>0</v>
      </c>
      <c r="L415" s="830">
        <f t="shared" si="137"/>
        <v>0</v>
      </c>
      <c r="M415" s="830">
        <f t="shared" si="137"/>
        <v>0</v>
      </c>
      <c r="N415" s="830">
        <f t="shared" si="137"/>
        <v>0</v>
      </c>
      <c r="O415" s="830">
        <f t="shared" si="137"/>
        <v>513159</v>
      </c>
      <c r="P415" s="830">
        <f t="shared" ref="P415:P422" si="140">ROUND(SUMIFS(P$495:P$866,$B$495:$B$866,$B415,$C$495:$C$866,$C415),0)</f>
        <v>490651</v>
      </c>
      <c r="Q415" s="830">
        <f t="shared" si="139"/>
        <v>484533</v>
      </c>
      <c r="R415" s="830">
        <f t="shared" si="139"/>
        <v>0</v>
      </c>
      <c r="S415" s="830"/>
    </row>
    <row r="416" spans="1:19" s="593" customFormat="1" ht="12" hidden="1" thickBot="1">
      <c r="A416" s="541" t="s">
        <v>179</v>
      </c>
      <c r="B416" s="596" t="s">
        <v>1503</v>
      </c>
      <c r="C416" s="541" t="s">
        <v>156</v>
      </c>
      <c r="D416" s="830">
        <f t="shared" si="134"/>
        <v>0</v>
      </c>
      <c r="E416" s="830">
        <f t="shared" si="134"/>
        <v>0</v>
      </c>
      <c r="F416" s="830">
        <f t="shared" si="134"/>
        <v>0</v>
      </c>
      <c r="G416" s="830">
        <f t="shared" si="134"/>
        <v>0</v>
      </c>
      <c r="H416" s="830">
        <f t="shared" si="135"/>
        <v>0</v>
      </c>
      <c r="I416" s="830">
        <f t="shared" si="137"/>
        <v>0</v>
      </c>
      <c r="J416" s="830">
        <f t="shared" si="137"/>
        <v>0</v>
      </c>
      <c r="K416" s="830">
        <f t="shared" si="137"/>
        <v>0</v>
      </c>
      <c r="L416" s="830">
        <f t="shared" si="137"/>
        <v>0</v>
      </c>
      <c r="M416" s="830">
        <f t="shared" si="137"/>
        <v>0</v>
      </c>
      <c r="N416" s="830">
        <f t="shared" si="137"/>
        <v>0</v>
      </c>
      <c r="O416" s="830">
        <f t="shared" si="137"/>
        <v>0</v>
      </c>
      <c r="P416" s="830">
        <f t="shared" si="140"/>
        <v>0</v>
      </c>
      <c r="Q416" s="830">
        <f t="shared" si="139"/>
        <v>0</v>
      </c>
      <c r="R416" s="830">
        <f t="shared" si="139"/>
        <v>0</v>
      </c>
      <c r="S416" s="830"/>
    </row>
    <row r="417" spans="1:19" s="593" customFormat="1" ht="12" hidden="1" thickBot="1">
      <c r="A417" s="541" t="s">
        <v>179</v>
      </c>
      <c r="B417" s="596" t="s">
        <v>1503</v>
      </c>
      <c r="C417" s="541" t="s">
        <v>157</v>
      </c>
      <c r="D417" s="830">
        <f t="shared" si="134"/>
        <v>0</v>
      </c>
      <c r="E417" s="830">
        <f t="shared" si="134"/>
        <v>0</v>
      </c>
      <c r="F417" s="830">
        <f t="shared" si="134"/>
        <v>0</v>
      </c>
      <c r="G417" s="830">
        <f t="shared" si="134"/>
        <v>0</v>
      </c>
      <c r="H417" s="830">
        <f t="shared" si="135"/>
        <v>0</v>
      </c>
      <c r="I417" s="830">
        <f t="shared" si="137"/>
        <v>0</v>
      </c>
      <c r="J417" s="830">
        <f t="shared" si="137"/>
        <v>0</v>
      </c>
      <c r="K417" s="830">
        <f t="shared" si="137"/>
        <v>0</v>
      </c>
      <c r="L417" s="830">
        <f t="shared" si="137"/>
        <v>0</v>
      </c>
      <c r="M417" s="830">
        <f t="shared" si="137"/>
        <v>0</v>
      </c>
      <c r="N417" s="830">
        <f t="shared" si="137"/>
        <v>0</v>
      </c>
      <c r="O417" s="830">
        <f t="shared" si="137"/>
        <v>0</v>
      </c>
      <c r="P417" s="830">
        <f t="shared" si="140"/>
        <v>0</v>
      </c>
      <c r="Q417" s="830">
        <f t="shared" si="139"/>
        <v>0</v>
      </c>
      <c r="R417" s="830">
        <f t="shared" si="139"/>
        <v>0</v>
      </c>
      <c r="S417" s="830"/>
    </row>
    <row r="418" spans="1:19" s="593" customFormat="1" ht="12" hidden="1" thickBot="1">
      <c r="A418" s="541" t="s">
        <v>179</v>
      </c>
      <c r="B418" s="596" t="s">
        <v>1503</v>
      </c>
      <c r="C418" s="541" t="s">
        <v>158</v>
      </c>
      <c r="D418" s="830">
        <f t="shared" si="134"/>
        <v>200</v>
      </c>
      <c r="E418" s="830">
        <f t="shared" si="134"/>
        <v>0</v>
      </c>
      <c r="F418" s="830">
        <f t="shared" si="134"/>
        <v>0</v>
      </c>
      <c r="G418" s="830">
        <f t="shared" si="134"/>
        <v>0</v>
      </c>
      <c r="H418" s="830">
        <f t="shared" si="135"/>
        <v>104851396</v>
      </c>
      <c r="I418" s="830">
        <f t="shared" si="137"/>
        <v>0</v>
      </c>
      <c r="J418" s="830">
        <f t="shared" si="137"/>
        <v>0</v>
      </c>
      <c r="K418" s="830">
        <f t="shared" si="137"/>
        <v>0</v>
      </c>
      <c r="L418" s="830">
        <f t="shared" si="137"/>
        <v>0</v>
      </c>
      <c r="M418" s="830">
        <f t="shared" si="137"/>
        <v>0</v>
      </c>
      <c r="N418" s="830">
        <f t="shared" si="137"/>
        <v>0</v>
      </c>
      <c r="O418" s="830">
        <f t="shared" si="137"/>
        <v>268874</v>
      </c>
      <c r="P418" s="830">
        <f t="shared" si="140"/>
        <v>257789</v>
      </c>
      <c r="Q418" s="830">
        <f t="shared" si="139"/>
        <v>253788</v>
      </c>
      <c r="R418" s="830">
        <f t="shared" si="139"/>
        <v>0</v>
      </c>
      <c r="S418" s="830"/>
    </row>
    <row r="419" spans="1:19" s="593" customFormat="1" ht="12" hidden="1" thickBot="1">
      <c r="A419" s="541" t="s">
        <v>179</v>
      </c>
      <c r="B419" s="596" t="s">
        <v>1503</v>
      </c>
      <c r="C419" s="541" t="s">
        <v>159</v>
      </c>
      <c r="D419" s="830">
        <f t="shared" si="134"/>
        <v>465</v>
      </c>
      <c r="E419" s="830">
        <f t="shared" si="134"/>
        <v>0</v>
      </c>
      <c r="F419" s="830">
        <f t="shared" si="134"/>
        <v>0</v>
      </c>
      <c r="G419" s="830">
        <f t="shared" si="134"/>
        <v>0</v>
      </c>
      <c r="H419" s="830">
        <f t="shared" si="135"/>
        <v>126203044</v>
      </c>
      <c r="I419" s="830">
        <f t="shared" si="137"/>
        <v>0</v>
      </c>
      <c r="J419" s="830">
        <f t="shared" si="137"/>
        <v>0</v>
      </c>
      <c r="K419" s="830">
        <f t="shared" si="137"/>
        <v>0</v>
      </c>
      <c r="L419" s="830">
        <f t="shared" si="137"/>
        <v>0</v>
      </c>
      <c r="M419" s="830">
        <f t="shared" si="137"/>
        <v>0</v>
      </c>
      <c r="N419" s="830">
        <f t="shared" si="137"/>
        <v>0</v>
      </c>
      <c r="O419" s="830">
        <f t="shared" si="137"/>
        <v>300924</v>
      </c>
      <c r="P419" s="830">
        <f t="shared" si="140"/>
        <v>274082</v>
      </c>
      <c r="Q419" s="830">
        <f t="shared" si="139"/>
        <v>267942</v>
      </c>
      <c r="R419" s="830">
        <f t="shared" si="139"/>
        <v>0</v>
      </c>
      <c r="S419" s="830"/>
    </row>
    <row r="420" spans="1:19" s="593" customFormat="1" ht="12" hidden="1" thickBot="1">
      <c r="A420" s="541" t="s">
        <v>179</v>
      </c>
      <c r="B420" s="596" t="s">
        <v>1503</v>
      </c>
      <c r="C420" s="541" t="s">
        <v>161</v>
      </c>
      <c r="D420" s="830">
        <f t="shared" si="134"/>
        <v>63522</v>
      </c>
      <c r="E420" s="830">
        <f t="shared" si="134"/>
        <v>0</v>
      </c>
      <c r="F420" s="830">
        <f t="shared" si="134"/>
        <v>0</v>
      </c>
      <c r="G420" s="830">
        <f t="shared" si="134"/>
        <v>0</v>
      </c>
      <c r="H420" s="830">
        <f t="shared" si="135"/>
        <v>55344548</v>
      </c>
      <c r="I420" s="830">
        <f t="shared" si="137"/>
        <v>0</v>
      </c>
      <c r="J420" s="830">
        <f t="shared" si="137"/>
        <v>0</v>
      </c>
      <c r="K420" s="830">
        <f t="shared" si="137"/>
        <v>0</v>
      </c>
      <c r="L420" s="830">
        <f t="shared" si="137"/>
        <v>0</v>
      </c>
      <c r="M420" s="830">
        <f t="shared" si="137"/>
        <v>0</v>
      </c>
      <c r="N420" s="830">
        <f t="shared" si="137"/>
        <v>0</v>
      </c>
      <c r="O420" s="830">
        <f t="shared" si="137"/>
        <v>0</v>
      </c>
      <c r="P420" s="830">
        <f t="shared" si="140"/>
        <v>0</v>
      </c>
      <c r="Q420" s="830">
        <f t="shared" si="139"/>
        <v>0</v>
      </c>
      <c r="R420" s="830">
        <f t="shared" si="139"/>
        <v>0</v>
      </c>
      <c r="S420" s="830"/>
    </row>
    <row r="421" spans="1:19" s="593" customFormat="1" ht="12" hidden="1" thickBot="1">
      <c r="A421" s="541" t="s">
        <v>179</v>
      </c>
      <c r="B421" s="596" t="s">
        <v>1503</v>
      </c>
      <c r="C421" s="541" t="s">
        <v>162</v>
      </c>
      <c r="D421" s="830">
        <f t="shared" si="134"/>
        <v>0</v>
      </c>
      <c r="E421" s="830">
        <f t="shared" si="134"/>
        <v>0</v>
      </c>
      <c r="F421" s="830">
        <f t="shared" si="134"/>
        <v>0</v>
      </c>
      <c r="G421" s="830">
        <f t="shared" si="134"/>
        <v>0</v>
      </c>
      <c r="H421" s="830">
        <f t="shared" si="135"/>
        <v>0</v>
      </c>
      <c r="I421" s="830">
        <f t="shared" si="137"/>
        <v>0</v>
      </c>
      <c r="J421" s="830">
        <f t="shared" si="137"/>
        <v>0</v>
      </c>
      <c r="K421" s="830">
        <f t="shared" si="137"/>
        <v>0</v>
      </c>
      <c r="L421" s="830">
        <f t="shared" si="137"/>
        <v>0</v>
      </c>
      <c r="M421" s="830">
        <f t="shared" si="137"/>
        <v>0</v>
      </c>
      <c r="N421" s="830">
        <f t="shared" si="137"/>
        <v>0</v>
      </c>
      <c r="O421" s="830">
        <f t="shared" si="137"/>
        <v>0</v>
      </c>
      <c r="P421" s="830">
        <f t="shared" si="140"/>
        <v>0</v>
      </c>
      <c r="Q421" s="830">
        <f t="shared" si="139"/>
        <v>0</v>
      </c>
      <c r="R421" s="830">
        <f t="shared" si="139"/>
        <v>0</v>
      </c>
      <c r="S421" s="830"/>
    </row>
    <row r="422" spans="1:19" s="593" customFormat="1" ht="12" hidden="1" thickBot="1">
      <c r="A422" s="541" t="s">
        <v>179</v>
      </c>
      <c r="B422" s="596" t="s">
        <v>1503</v>
      </c>
      <c r="C422" s="541" t="s">
        <v>163</v>
      </c>
      <c r="D422" s="830">
        <f t="shared" si="134"/>
        <v>18568</v>
      </c>
      <c r="E422" s="830">
        <f t="shared" si="134"/>
        <v>0</v>
      </c>
      <c r="F422" s="830">
        <f t="shared" si="134"/>
        <v>0</v>
      </c>
      <c r="G422" s="830">
        <f t="shared" si="134"/>
        <v>0</v>
      </c>
      <c r="H422" s="830">
        <f t="shared" si="135"/>
        <v>80640902</v>
      </c>
      <c r="I422" s="830">
        <f t="shared" si="137"/>
        <v>0</v>
      </c>
      <c r="J422" s="830">
        <f t="shared" si="137"/>
        <v>0</v>
      </c>
      <c r="K422" s="830">
        <f t="shared" si="137"/>
        <v>0</v>
      </c>
      <c r="L422" s="830">
        <f t="shared" si="137"/>
        <v>0</v>
      </c>
      <c r="M422" s="830">
        <f t="shared" si="137"/>
        <v>0</v>
      </c>
      <c r="N422" s="830">
        <f t="shared" si="137"/>
        <v>0</v>
      </c>
      <c r="O422" s="830">
        <f>R422</f>
        <v>363606</v>
      </c>
      <c r="P422" s="830">
        <f t="shared" si="140"/>
        <v>0</v>
      </c>
      <c r="Q422" s="830">
        <f t="shared" si="139"/>
        <v>0</v>
      </c>
      <c r="R422" s="830">
        <f t="shared" si="139"/>
        <v>363606</v>
      </c>
      <c r="S422" s="830"/>
    </row>
    <row r="423" spans="1:19" s="593" customFormat="1" ht="12" hidden="1" thickBot="1">
      <c r="A423" s="541" t="s">
        <v>179</v>
      </c>
      <c r="B423" s="596" t="s">
        <v>1503</v>
      </c>
      <c r="C423" s="541" t="s">
        <v>164</v>
      </c>
      <c r="D423" s="830">
        <f t="shared" si="134"/>
        <v>374</v>
      </c>
      <c r="E423" s="830">
        <f t="shared" si="134"/>
        <v>0</v>
      </c>
      <c r="F423" s="830">
        <f t="shared" si="134"/>
        <v>0</v>
      </c>
      <c r="G423" s="830">
        <f t="shared" si="134"/>
        <v>0</v>
      </c>
      <c r="H423" s="830">
        <f t="shared" si="135"/>
        <v>645706</v>
      </c>
      <c r="I423" s="830">
        <f t="shared" ref="I423:O432" si="141">ROUND(SUMIFS(I$495:I$866,$B$495:$B$866,$B423,$C$495:$C$866,$C423),0)</f>
        <v>0</v>
      </c>
      <c r="J423" s="830">
        <f t="shared" si="141"/>
        <v>0</v>
      </c>
      <c r="K423" s="830">
        <f t="shared" si="141"/>
        <v>0</v>
      </c>
      <c r="L423" s="830">
        <f t="shared" si="141"/>
        <v>0</v>
      </c>
      <c r="M423" s="830">
        <f t="shared" si="141"/>
        <v>0</v>
      </c>
      <c r="N423" s="830">
        <f t="shared" si="141"/>
        <v>0</v>
      </c>
      <c r="O423" s="830">
        <f t="shared" si="141"/>
        <v>0</v>
      </c>
      <c r="P423" s="830">
        <f t="shared" ref="P423:P446" si="142">ROUND(SUMIFS(P$495:P$866,$B$495:$B$866,$B423,$C$495:$C$866,$C423),0)</f>
        <v>0</v>
      </c>
      <c r="Q423" s="830">
        <f t="shared" si="139"/>
        <v>0</v>
      </c>
      <c r="R423" s="830">
        <f t="shared" si="139"/>
        <v>0</v>
      </c>
      <c r="S423" s="830"/>
    </row>
    <row r="424" spans="1:19" s="593" customFormat="1" ht="12" hidden="1" thickBot="1">
      <c r="A424" s="541" t="s">
        <v>179</v>
      </c>
      <c r="B424" s="596" t="s">
        <v>1503</v>
      </c>
      <c r="C424" s="541" t="s">
        <v>174</v>
      </c>
      <c r="D424" s="830">
        <f t="shared" si="134"/>
        <v>430076</v>
      </c>
      <c r="E424" s="830">
        <f t="shared" si="134"/>
        <v>0</v>
      </c>
      <c r="F424" s="830">
        <f t="shared" si="134"/>
        <v>0</v>
      </c>
      <c r="G424" s="830">
        <f t="shared" si="134"/>
        <v>0</v>
      </c>
      <c r="H424" s="830">
        <f>ROUND(SUMIFS(H$495:H$866,$B$495:$B$866,$B424,$C$495:$C$866,$C424)*1000,0)</f>
        <v>425767369</v>
      </c>
      <c r="I424" s="830">
        <f t="shared" si="141"/>
        <v>0</v>
      </c>
      <c r="J424" s="830">
        <f t="shared" si="141"/>
        <v>0</v>
      </c>
      <c r="K424" s="830">
        <f t="shared" si="141"/>
        <v>0</v>
      </c>
      <c r="L424" s="830">
        <f t="shared" si="141"/>
        <v>0</v>
      </c>
      <c r="M424" s="830">
        <f t="shared" si="141"/>
        <v>0</v>
      </c>
      <c r="N424" s="830">
        <f t="shared" si="141"/>
        <v>0</v>
      </c>
      <c r="O424" s="830">
        <f t="shared" si="141"/>
        <v>0</v>
      </c>
      <c r="P424" s="830">
        <f t="shared" si="142"/>
        <v>0</v>
      </c>
      <c r="Q424" s="830">
        <f t="shared" si="139"/>
        <v>0</v>
      </c>
      <c r="R424" s="830">
        <f t="shared" si="139"/>
        <v>0</v>
      </c>
      <c r="S424" s="830"/>
    </row>
    <row r="425" spans="1:19" s="593" customFormat="1" ht="12" hidden="1" thickBot="1">
      <c r="A425" s="541" t="s">
        <v>179</v>
      </c>
      <c r="B425" s="596" t="s">
        <v>1503</v>
      </c>
      <c r="C425" s="541" t="s">
        <v>175</v>
      </c>
      <c r="D425" s="830">
        <f t="shared" si="134"/>
        <v>0</v>
      </c>
      <c r="E425" s="830">
        <f t="shared" si="134"/>
        <v>0</v>
      </c>
      <c r="F425" s="830">
        <f t="shared" si="134"/>
        <v>0</v>
      </c>
      <c r="G425" s="830">
        <f t="shared" si="134"/>
        <v>0</v>
      </c>
      <c r="H425" s="830">
        <f t="shared" si="135"/>
        <v>0</v>
      </c>
      <c r="I425" s="830">
        <f t="shared" si="141"/>
        <v>0</v>
      </c>
      <c r="J425" s="830">
        <f t="shared" si="141"/>
        <v>0</v>
      </c>
      <c r="K425" s="830">
        <f t="shared" si="141"/>
        <v>0</v>
      </c>
      <c r="L425" s="830">
        <f t="shared" si="141"/>
        <v>0</v>
      </c>
      <c r="M425" s="830">
        <f t="shared" si="141"/>
        <v>0</v>
      </c>
      <c r="N425" s="830">
        <f t="shared" si="141"/>
        <v>0</v>
      </c>
      <c r="O425" s="830">
        <f t="shared" si="141"/>
        <v>0</v>
      </c>
      <c r="P425" s="830">
        <f t="shared" si="142"/>
        <v>0</v>
      </c>
      <c r="Q425" s="830">
        <f t="shared" si="139"/>
        <v>0</v>
      </c>
      <c r="R425" s="830">
        <f t="shared" si="139"/>
        <v>0</v>
      </c>
      <c r="S425" s="830"/>
    </row>
    <row r="426" spans="1:19" s="593" customFormat="1" ht="12" hidden="1" thickBot="1">
      <c r="A426" s="541" t="s">
        <v>179</v>
      </c>
      <c r="B426" s="596" t="s">
        <v>1503</v>
      </c>
      <c r="C426" s="541" t="s">
        <v>176</v>
      </c>
      <c r="D426" s="830">
        <f t="shared" si="134"/>
        <v>0</v>
      </c>
      <c r="E426" s="830">
        <f t="shared" si="134"/>
        <v>0</v>
      </c>
      <c r="F426" s="830">
        <f t="shared" si="134"/>
        <v>0</v>
      </c>
      <c r="G426" s="830">
        <f t="shared" si="134"/>
        <v>0</v>
      </c>
      <c r="H426" s="830">
        <f t="shared" si="135"/>
        <v>0</v>
      </c>
      <c r="I426" s="830">
        <f t="shared" si="141"/>
        <v>0</v>
      </c>
      <c r="J426" s="830">
        <f t="shared" si="141"/>
        <v>0</v>
      </c>
      <c r="K426" s="830">
        <f t="shared" si="141"/>
        <v>0</v>
      </c>
      <c r="L426" s="830">
        <f t="shared" si="141"/>
        <v>0</v>
      </c>
      <c r="M426" s="830">
        <f t="shared" si="141"/>
        <v>0</v>
      </c>
      <c r="N426" s="830">
        <f t="shared" si="141"/>
        <v>0</v>
      </c>
      <c r="O426" s="830">
        <f t="shared" si="141"/>
        <v>0</v>
      </c>
      <c r="P426" s="830">
        <f t="shared" si="142"/>
        <v>0</v>
      </c>
      <c r="Q426" s="830">
        <f t="shared" si="139"/>
        <v>0</v>
      </c>
      <c r="R426" s="830">
        <f t="shared" si="139"/>
        <v>0</v>
      </c>
      <c r="S426" s="830"/>
    </row>
    <row r="427" spans="1:19" s="593" customFormat="1" ht="12" hidden="1" thickBot="1">
      <c r="A427" s="541" t="s">
        <v>179</v>
      </c>
      <c r="B427" s="596" t="s">
        <v>1503</v>
      </c>
      <c r="C427" s="541" t="s">
        <v>177</v>
      </c>
      <c r="D427" s="830">
        <f t="shared" si="134"/>
        <v>0</v>
      </c>
      <c r="E427" s="830">
        <f t="shared" si="134"/>
        <v>0</v>
      </c>
      <c r="F427" s="830">
        <f t="shared" si="134"/>
        <v>0</v>
      </c>
      <c r="G427" s="830">
        <f t="shared" si="134"/>
        <v>0</v>
      </c>
      <c r="H427" s="830">
        <f t="shared" si="135"/>
        <v>0</v>
      </c>
      <c r="I427" s="830">
        <f t="shared" si="141"/>
        <v>0</v>
      </c>
      <c r="J427" s="830">
        <f t="shared" si="141"/>
        <v>0</v>
      </c>
      <c r="K427" s="830">
        <f t="shared" si="141"/>
        <v>0</v>
      </c>
      <c r="L427" s="830">
        <f t="shared" si="141"/>
        <v>0</v>
      </c>
      <c r="M427" s="830">
        <f t="shared" si="141"/>
        <v>0</v>
      </c>
      <c r="N427" s="830">
        <f t="shared" si="141"/>
        <v>0</v>
      </c>
      <c r="O427" s="830">
        <f t="shared" si="141"/>
        <v>0</v>
      </c>
      <c r="P427" s="830">
        <f t="shared" si="142"/>
        <v>0</v>
      </c>
      <c r="Q427" s="830">
        <f t="shared" si="139"/>
        <v>0</v>
      </c>
      <c r="R427" s="830">
        <f t="shared" si="139"/>
        <v>0</v>
      </c>
      <c r="S427" s="830"/>
    </row>
    <row r="428" spans="1:19" s="593" customFormat="1" ht="12" hidden="1" thickBot="1">
      <c r="A428" s="541" t="s">
        <v>179</v>
      </c>
      <c r="B428" s="596" t="s">
        <v>1503</v>
      </c>
      <c r="C428" s="541" t="s">
        <v>178</v>
      </c>
      <c r="D428" s="830">
        <f t="shared" si="134"/>
        <v>0</v>
      </c>
      <c r="E428" s="830">
        <f t="shared" si="134"/>
        <v>0</v>
      </c>
      <c r="F428" s="830">
        <f t="shared" si="134"/>
        <v>0</v>
      </c>
      <c r="G428" s="830">
        <f t="shared" si="134"/>
        <v>0</v>
      </c>
      <c r="H428" s="830">
        <f t="shared" si="135"/>
        <v>0</v>
      </c>
      <c r="I428" s="830">
        <f t="shared" si="141"/>
        <v>0</v>
      </c>
      <c r="J428" s="830">
        <f t="shared" si="141"/>
        <v>0</v>
      </c>
      <c r="K428" s="830">
        <f t="shared" si="141"/>
        <v>0</v>
      </c>
      <c r="L428" s="830">
        <f t="shared" si="141"/>
        <v>0</v>
      </c>
      <c r="M428" s="830">
        <f t="shared" si="141"/>
        <v>0</v>
      </c>
      <c r="N428" s="830">
        <f t="shared" si="141"/>
        <v>0</v>
      </c>
      <c r="O428" s="830">
        <f t="shared" si="141"/>
        <v>0</v>
      </c>
      <c r="P428" s="830">
        <f t="shared" si="142"/>
        <v>0</v>
      </c>
      <c r="Q428" s="830">
        <f t="shared" si="139"/>
        <v>0</v>
      </c>
      <c r="R428" s="830">
        <f t="shared" si="139"/>
        <v>0</v>
      </c>
      <c r="S428" s="830"/>
    </row>
    <row r="429" spans="1:19" s="593" customFormat="1" ht="12" hidden="1" thickBot="1">
      <c r="A429" s="541" t="s">
        <v>179</v>
      </c>
      <c r="B429" s="596" t="s">
        <v>1503</v>
      </c>
      <c r="C429" s="541" t="s">
        <v>1394</v>
      </c>
      <c r="D429" s="830">
        <f t="shared" si="134"/>
        <v>0</v>
      </c>
      <c r="E429" s="830">
        <f t="shared" si="134"/>
        <v>0</v>
      </c>
      <c r="F429" s="830">
        <f t="shared" si="134"/>
        <v>0</v>
      </c>
      <c r="G429" s="830">
        <f t="shared" si="134"/>
        <v>0</v>
      </c>
      <c r="H429" s="830">
        <f t="shared" si="135"/>
        <v>0</v>
      </c>
      <c r="I429" s="830">
        <f t="shared" si="141"/>
        <v>0</v>
      </c>
      <c r="J429" s="830">
        <f t="shared" si="141"/>
        <v>0</v>
      </c>
      <c r="K429" s="830">
        <f t="shared" si="141"/>
        <v>0</v>
      </c>
      <c r="L429" s="830">
        <f t="shared" si="141"/>
        <v>0</v>
      </c>
      <c r="M429" s="830">
        <f t="shared" si="141"/>
        <v>0</v>
      </c>
      <c r="N429" s="830">
        <f t="shared" si="141"/>
        <v>0</v>
      </c>
      <c r="O429" s="830">
        <f t="shared" si="141"/>
        <v>0</v>
      </c>
      <c r="P429" s="830">
        <f t="shared" si="142"/>
        <v>0</v>
      </c>
      <c r="Q429" s="830">
        <f t="shared" si="139"/>
        <v>0</v>
      </c>
      <c r="R429" s="830">
        <f t="shared" si="139"/>
        <v>0</v>
      </c>
      <c r="S429" s="830"/>
    </row>
    <row r="430" spans="1:19" s="593" customFormat="1" ht="12" hidden="1" thickBot="1">
      <c r="A430" s="541" t="s">
        <v>179</v>
      </c>
      <c r="B430" s="596" t="s">
        <v>1503</v>
      </c>
      <c r="C430" s="541" t="s">
        <v>434</v>
      </c>
      <c r="D430" s="830">
        <f t="shared" si="134"/>
        <v>0</v>
      </c>
      <c r="E430" s="830">
        <f t="shared" si="134"/>
        <v>0</v>
      </c>
      <c r="F430" s="830">
        <f t="shared" si="134"/>
        <v>0</v>
      </c>
      <c r="G430" s="830">
        <f t="shared" si="134"/>
        <v>0</v>
      </c>
      <c r="H430" s="830">
        <f t="shared" si="135"/>
        <v>0</v>
      </c>
      <c r="I430" s="830">
        <f t="shared" si="141"/>
        <v>0</v>
      </c>
      <c r="J430" s="830">
        <f t="shared" si="141"/>
        <v>0</v>
      </c>
      <c r="K430" s="830">
        <f t="shared" si="141"/>
        <v>0</v>
      </c>
      <c r="L430" s="830">
        <f t="shared" si="141"/>
        <v>0</v>
      </c>
      <c r="M430" s="830">
        <f t="shared" si="141"/>
        <v>0</v>
      </c>
      <c r="N430" s="830">
        <f t="shared" si="141"/>
        <v>0</v>
      </c>
      <c r="O430" s="830">
        <f t="shared" si="141"/>
        <v>0</v>
      </c>
      <c r="P430" s="830">
        <f t="shared" si="142"/>
        <v>0</v>
      </c>
      <c r="Q430" s="830">
        <f t="shared" si="139"/>
        <v>0</v>
      </c>
      <c r="R430" s="830">
        <f t="shared" si="139"/>
        <v>0</v>
      </c>
      <c r="S430" s="830"/>
    </row>
    <row r="431" spans="1:19" s="593" customFormat="1" ht="12" hidden="1" thickBot="1">
      <c r="A431" s="541" t="s">
        <v>179</v>
      </c>
      <c r="B431" s="596" t="s">
        <v>1503</v>
      </c>
      <c r="C431" s="541" t="s">
        <v>424</v>
      </c>
      <c r="D431" s="830">
        <f t="shared" si="134"/>
        <v>0</v>
      </c>
      <c r="E431" s="830">
        <f t="shared" si="134"/>
        <v>0</v>
      </c>
      <c r="F431" s="830">
        <f t="shared" si="134"/>
        <v>0</v>
      </c>
      <c r="G431" s="830">
        <f t="shared" si="134"/>
        <v>0</v>
      </c>
      <c r="H431" s="830">
        <f t="shared" si="135"/>
        <v>0</v>
      </c>
      <c r="I431" s="830">
        <f t="shared" si="141"/>
        <v>0</v>
      </c>
      <c r="J431" s="830">
        <f t="shared" si="141"/>
        <v>0</v>
      </c>
      <c r="K431" s="830">
        <f t="shared" si="141"/>
        <v>0</v>
      </c>
      <c r="L431" s="830">
        <f t="shared" si="141"/>
        <v>0</v>
      </c>
      <c r="M431" s="830">
        <f t="shared" si="141"/>
        <v>0</v>
      </c>
      <c r="N431" s="830">
        <f t="shared" si="141"/>
        <v>0</v>
      </c>
      <c r="O431" s="830">
        <f t="shared" si="141"/>
        <v>0</v>
      </c>
      <c r="P431" s="830">
        <f t="shared" si="142"/>
        <v>0</v>
      </c>
      <c r="Q431" s="830">
        <f t="shared" si="139"/>
        <v>0</v>
      </c>
      <c r="R431" s="830">
        <f t="shared" si="139"/>
        <v>0</v>
      </c>
      <c r="S431" s="830"/>
    </row>
    <row r="432" spans="1:19" s="593" customFormat="1" ht="12" hidden="1" thickBot="1">
      <c r="A432" s="541" t="s">
        <v>179</v>
      </c>
      <c r="B432" s="596" t="s">
        <v>1503</v>
      </c>
      <c r="C432" s="541" t="s">
        <v>425</v>
      </c>
      <c r="D432" s="830">
        <f t="shared" si="134"/>
        <v>0</v>
      </c>
      <c r="E432" s="830">
        <f t="shared" si="134"/>
        <v>0</v>
      </c>
      <c r="F432" s="830">
        <f t="shared" si="134"/>
        <v>0</v>
      </c>
      <c r="G432" s="830">
        <f t="shared" si="134"/>
        <v>0</v>
      </c>
      <c r="H432" s="830">
        <f t="shared" si="135"/>
        <v>0</v>
      </c>
      <c r="I432" s="830">
        <f t="shared" si="141"/>
        <v>0</v>
      </c>
      <c r="J432" s="830">
        <f t="shared" si="141"/>
        <v>0</v>
      </c>
      <c r="K432" s="830">
        <f t="shared" si="141"/>
        <v>0</v>
      </c>
      <c r="L432" s="830">
        <f t="shared" si="141"/>
        <v>0</v>
      </c>
      <c r="M432" s="830">
        <f t="shared" si="141"/>
        <v>0</v>
      </c>
      <c r="N432" s="830">
        <f t="shared" si="141"/>
        <v>0</v>
      </c>
      <c r="O432" s="830">
        <f t="shared" si="141"/>
        <v>0</v>
      </c>
      <c r="P432" s="830">
        <f t="shared" si="142"/>
        <v>0</v>
      </c>
      <c r="Q432" s="830">
        <f t="shared" si="139"/>
        <v>0</v>
      </c>
      <c r="R432" s="830">
        <f t="shared" si="139"/>
        <v>0</v>
      </c>
      <c r="S432" s="830"/>
    </row>
    <row r="433" spans="1:19" s="593" customFormat="1" ht="12" hidden="1" thickBot="1">
      <c r="A433" s="541" t="s">
        <v>179</v>
      </c>
      <c r="B433" s="596" t="s">
        <v>1503</v>
      </c>
      <c r="C433" s="541" t="s">
        <v>169</v>
      </c>
      <c r="D433" s="830">
        <f t="shared" si="134"/>
        <v>0</v>
      </c>
      <c r="E433" s="830">
        <f t="shared" si="134"/>
        <v>0</v>
      </c>
      <c r="F433" s="830">
        <f t="shared" si="134"/>
        <v>0</v>
      </c>
      <c r="G433" s="830">
        <f t="shared" si="134"/>
        <v>0</v>
      </c>
      <c r="H433" s="830">
        <f t="shared" si="135"/>
        <v>0</v>
      </c>
      <c r="I433" s="830">
        <f t="shared" ref="I433:O442" si="143">ROUND(SUMIFS(I$495:I$866,$B$495:$B$866,$B433,$C$495:$C$866,$C433),0)</f>
        <v>0</v>
      </c>
      <c r="J433" s="830">
        <f t="shared" si="143"/>
        <v>0</v>
      </c>
      <c r="K433" s="830">
        <f t="shared" si="143"/>
        <v>0</v>
      </c>
      <c r="L433" s="830">
        <f t="shared" si="143"/>
        <v>0</v>
      </c>
      <c r="M433" s="830">
        <f t="shared" si="143"/>
        <v>0</v>
      </c>
      <c r="N433" s="830">
        <f t="shared" si="143"/>
        <v>0</v>
      </c>
      <c r="O433" s="830">
        <f t="shared" si="143"/>
        <v>0</v>
      </c>
      <c r="P433" s="830">
        <f t="shared" si="142"/>
        <v>0</v>
      </c>
      <c r="Q433" s="830">
        <f t="shared" ref="Q433:R450" si="144">ROUND(SUMIFS(Q$495:Q$866,$B$495:$B$866,$B433,$C$495:$C$866,$C433),0)</f>
        <v>0</v>
      </c>
      <c r="R433" s="830">
        <f t="shared" si="144"/>
        <v>0</v>
      </c>
      <c r="S433" s="830"/>
    </row>
    <row r="434" spans="1:19" s="593" customFormat="1" ht="12" hidden="1" thickBot="1">
      <c r="A434" s="541" t="s">
        <v>179</v>
      </c>
      <c r="B434" s="596" t="s">
        <v>1503</v>
      </c>
      <c r="C434" s="541" t="s">
        <v>173</v>
      </c>
      <c r="D434" s="830">
        <f t="shared" si="134"/>
        <v>1</v>
      </c>
      <c r="E434" s="830">
        <f t="shared" si="134"/>
        <v>0</v>
      </c>
      <c r="F434" s="830">
        <f t="shared" si="134"/>
        <v>0</v>
      </c>
      <c r="G434" s="830">
        <f t="shared" si="134"/>
        <v>0</v>
      </c>
      <c r="H434" s="830">
        <f t="shared" si="135"/>
        <v>44497248</v>
      </c>
      <c r="I434" s="830">
        <f t="shared" si="143"/>
        <v>0</v>
      </c>
      <c r="J434" s="830">
        <f t="shared" si="143"/>
        <v>0</v>
      </c>
      <c r="K434" s="830">
        <f t="shared" si="143"/>
        <v>0</v>
      </c>
      <c r="L434" s="830">
        <f t="shared" si="143"/>
        <v>0</v>
      </c>
      <c r="M434" s="830">
        <f t="shared" si="143"/>
        <v>0</v>
      </c>
      <c r="N434" s="830">
        <f t="shared" si="143"/>
        <v>0</v>
      </c>
      <c r="O434" s="830">
        <f t="shared" si="143"/>
        <v>185158</v>
      </c>
      <c r="P434" s="830">
        <f t="shared" si="142"/>
        <v>185158</v>
      </c>
      <c r="Q434" s="830">
        <f t="shared" si="144"/>
        <v>101388</v>
      </c>
      <c r="R434" s="830">
        <f t="shared" si="144"/>
        <v>0</v>
      </c>
      <c r="S434" s="830"/>
    </row>
    <row r="435" spans="1:19" s="593" customFormat="1" ht="12" hidden="1" thickBot="1">
      <c r="A435" s="541" t="s">
        <v>179</v>
      </c>
      <c r="B435" s="596" t="s">
        <v>1503</v>
      </c>
      <c r="C435" s="541" t="s">
        <v>217</v>
      </c>
      <c r="D435" s="830">
        <v>2</v>
      </c>
      <c r="E435" s="830">
        <f t="shared" ref="E435:G450" si="145">ROUND(SUMIFS(E$495:E$866,$B$495:$B$866,$B435,$C$495:$C$866,$C435),0)</f>
        <v>0</v>
      </c>
      <c r="F435" s="830">
        <f t="shared" si="145"/>
        <v>0</v>
      </c>
      <c r="G435" s="830">
        <f t="shared" si="145"/>
        <v>0</v>
      </c>
      <c r="H435" s="830">
        <f t="shared" si="135"/>
        <v>16078</v>
      </c>
      <c r="I435" s="830">
        <f t="shared" si="143"/>
        <v>0</v>
      </c>
      <c r="J435" s="830">
        <f t="shared" si="143"/>
        <v>0</v>
      </c>
      <c r="K435" s="830">
        <f t="shared" si="143"/>
        <v>0</v>
      </c>
      <c r="L435" s="830">
        <f t="shared" si="143"/>
        <v>0</v>
      </c>
      <c r="M435" s="830">
        <f t="shared" si="143"/>
        <v>0</v>
      </c>
      <c r="N435" s="830">
        <f t="shared" si="143"/>
        <v>0</v>
      </c>
      <c r="O435" s="830">
        <f t="shared" si="143"/>
        <v>0</v>
      </c>
      <c r="P435" s="830">
        <f t="shared" si="142"/>
        <v>0</v>
      </c>
      <c r="Q435" s="830">
        <f t="shared" si="144"/>
        <v>0</v>
      </c>
      <c r="R435" s="830">
        <f t="shared" si="144"/>
        <v>0</v>
      </c>
      <c r="S435" s="830"/>
    </row>
    <row r="436" spans="1:19" s="593" customFormat="1" ht="12" hidden="1" thickBot="1">
      <c r="A436" s="541" t="s">
        <v>179</v>
      </c>
      <c r="B436" s="596" t="s">
        <v>1503</v>
      </c>
      <c r="C436" s="541" t="s">
        <v>216</v>
      </c>
      <c r="D436" s="830">
        <f t="shared" ref="D436:D450" si="146">ROUND(SUMIFS(D$495:D$866,$B$495:$B$866,$B436,$C$495:$C$866,$C436),0)</f>
        <v>0</v>
      </c>
      <c r="E436" s="830">
        <f t="shared" si="145"/>
        <v>0</v>
      </c>
      <c r="F436" s="830">
        <f t="shared" si="145"/>
        <v>0</v>
      </c>
      <c r="G436" s="830">
        <f t="shared" si="145"/>
        <v>0</v>
      </c>
      <c r="H436" s="830">
        <f t="shared" si="135"/>
        <v>0</v>
      </c>
      <c r="I436" s="830">
        <f t="shared" si="143"/>
        <v>0</v>
      </c>
      <c r="J436" s="830">
        <f t="shared" si="143"/>
        <v>0</v>
      </c>
      <c r="K436" s="830">
        <f t="shared" si="143"/>
        <v>0</v>
      </c>
      <c r="L436" s="830">
        <f t="shared" si="143"/>
        <v>0</v>
      </c>
      <c r="M436" s="830">
        <f t="shared" si="143"/>
        <v>0</v>
      </c>
      <c r="N436" s="830">
        <f t="shared" si="143"/>
        <v>0</v>
      </c>
      <c r="O436" s="830">
        <f t="shared" si="143"/>
        <v>0</v>
      </c>
      <c r="P436" s="830">
        <f t="shared" si="142"/>
        <v>0</v>
      </c>
      <c r="Q436" s="830">
        <f t="shared" si="144"/>
        <v>0</v>
      </c>
      <c r="R436" s="830">
        <f t="shared" si="144"/>
        <v>0</v>
      </c>
      <c r="S436" s="830"/>
    </row>
    <row r="437" spans="1:19" s="593" customFormat="1" ht="12" hidden="1" thickBot="1">
      <c r="A437" s="541" t="s">
        <v>179</v>
      </c>
      <c r="B437" s="596" t="s">
        <v>1503</v>
      </c>
      <c r="C437" s="541" t="s">
        <v>168</v>
      </c>
      <c r="D437" s="830">
        <f t="shared" si="146"/>
        <v>747</v>
      </c>
      <c r="E437" s="830">
        <f t="shared" si="145"/>
        <v>0</v>
      </c>
      <c r="F437" s="830">
        <f t="shared" si="145"/>
        <v>0</v>
      </c>
      <c r="G437" s="830">
        <f t="shared" si="145"/>
        <v>0</v>
      </c>
      <c r="H437" s="830">
        <f t="shared" si="135"/>
        <v>100910</v>
      </c>
      <c r="I437" s="830">
        <f t="shared" si="143"/>
        <v>0</v>
      </c>
      <c r="J437" s="830">
        <f t="shared" si="143"/>
        <v>0</v>
      </c>
      <c r="K437" s="830">
        <f t="shared" si="143"/>
        <v>0</v>
      </c>
      <c r="L437" s="830">
        <f t="shared" si="143"/>
        <v>0</v>
      </c>
      <c r="M437" s="830">
        <f t="shared" si="143"/>
        <v>0</v>
      </c>
      <c r="N437" s="830">
        <f t="shared" si="143"/>
        <v>0</v>
      </c>
      <c r="O437" s="830">
        <f t="shared" si="143"/>
        <v>0</v>
      </c>
      <c r="P437" s="830">
        <f t="shared" si="142"/>
        <v>0</v>
      </c>
      <c r="Q437" s="830">
        <f t="shared" si="144"/>
        <v>0</v>
      </c>
      <c r="R437" s="830">
        <f t="shared" si="144"/>
        <v>0</v>
      </c>
      <c r="S437" s="830"/>
    </row>
    <row r="438" spans="1:19" ht="12" hidden="1" thickBot="1">
      <c r="A438" s="836" t="s">
        <v>179</v>
      </c>
      <c r="B438" s="596" t="s">
        <v>1503</v>
      </c>
      <c r="C438" s="836" t="s">
        <v>171</v>
      </c>
      <c r="D438" s="830">
        <f t="shared" si="146"/>
        <v>0</v>
      </c>
      <c r="E438" s="830">
        <f t="shared" si="145"/>
        <v>0</v>
      </c>
      <c r="F438" s="830">
        <f t="shared" si="145"/>
        <v>0</v>
      </c>
      <c r="G438" s="830">
        <f t="shared" si="145"/>
        <v>0</v>
      </c>
      <c r="H438" s="830">
        <f t="shared" si="135"/>
        <v>0</v>
      </c>
      <c r="I438" s="830">
        <f t="shared" si="143"/>
        <v>0</v>
      </c>
      <c r="J438" s="830">
        <f t="shared" si="143"/>
        <v>0</v>
      </c>
      <c r="K438" s="830">
        <f t="shared" si="143"/>
        <v>0</v>
      </c>
      <c r="L438" s="830">
        <f t="shared" si="143"/>
        <v>0</v>
      </c>
      <c r="M438" s="830">
        <f t="shared" si="143"/>
        <v>0</v>
      </c>
      <c r="N438" s="830">
        <f t="shared" si="143"/>
        <v>0</v>
      </c>
      <c r="O438" s="830">
        <f t="shared" si="143"/>
        <v>0</v>
      </c>
      <c r="P438" s="830">
        <f t="shared" si="142"/>
        <v>0</v>
      </c>
      <c r="Q438" s="830">
        <f t="shared" si="144"/>
        <v>0</v>
      </c>
      <c r="R438" s="830">
        <f t="shared" si="144"/>
        <v>0</v>
      </c>
      <c r="S438" s="830"/>
    </row>
    <row r="439" spans="1:19" ht="12" hidden="1" thickBot="1">
      <c r="A439" s="836" t="s">
        <v>179</v>
      </c>
      <c r="B439" s="596" t="s">
        <v>1503</v>
      </c>
      <c r="C439" s="836" t="s">
        <v>172</v>
      </c>
      <c r="D439" s="830">
        <f t="shared" si="146"/>
        <v>0</v>
      </c>
      <c r="E439" s="830">
        <f t="shared" si="145"/>
        <v>0</v>
      </c>
      <c r="F439" s="830">
        <f t="shared" si="145"/>
        <v>0</v>
      </c>
      <c r="G439" s="830">
        <f t="shared" si="145"/>
        <v>0</v>
      </c>
      <c r="H439" s="830">
        <f t="shared" si="135"/>
        <v>0</v>
      </c>
      <c r="I439" s="830">
        <f t="shared" si="143"/>
        <v>0</v>
      </c>
      <c r="J439" s="830">
        <f t="shared" si="143"/>
        <v>0</v>
      </c>
      <c r="K439" s="830">
        <f t="shared" si="143"/>
        <v>0</v>
      </c>
      <c r="L439" s="830">
        <f t="shared" si="143"/>
        <v>0</v>
      </c>
      <c r="M439" s="830">
        <f t="shared" si="143"/>
        <v>0</v>
      </c>
      <c r="N439" s="830">
        <f t="shared" si="143"/>
        <v>0</v>
      </c>
      <c r="O439" s="830">
        <f t="shared" si="143"/>
        <v>0</v>
      </c>
      <c r="P439" s="830">
        <f t="shared" si="142"/>
        <v>0</v>
      </c>
      <c r="Q439" s="830">
        <f t="shared" si="144"/>
        <v>0</v>
      </c>
      <c r="R439" s="830">
        <f t="shared" si="144"/>
        <v>0</v>
      </c>
      <c r="S439" s="830"/>
    </row>
    <row r="440" spans="1:19" ht="12" hidden="1" thickBot="1">
      <c r="A440" s="836" t="s">
        <v>179</v>
      </c>
      <c r="B440" s="596" t="s">
        <v>1503</v>
      </c>
      <c r="C440" s="836" t="s">
        <v>1149</v>
      </c>
      <c r="D440" s="830">
        <f t="shared" si="146"/>
        <v>0</v>
      </c>
      <c r="E440" s="830">
        <f t="shared" si="145"/>
        <v>0</v>
      </c>
      <c r="F440" s="830">
        <f t="shared" si="145"/>
        <v>0</v>
      </c>
      <c r="G440" s="830">
        <f t="shared" si="145"/>
        <v>0</v>
      </c>
      <c r="H440" s="830">
        <f t="shared" si="135"/>
        <v>0</v>
      </c>
      <c r="I440" s="830">
        <f t="shared" si="143"/>
        <v>0</v>
      </c>
      <c r="J440" s="830">
        <f t="shared" si="143"/>
        <v>0</v>
      </c>
      <c r="K440" s="830">
        <f t="shared" si="143"/>
        <v>0</v>
      </c>
      <c r="L440" s="830">
        <f t="shared" si="143"/>
        <v>0</v>
      </c>
      <c r="M440" s="830">
        <f t="shared" si="143"/>
        <v>0</v>
      </c>
      <c r="N440" s="830">
        <f t="shared" si="143"/>
        <v>0</v>
      </c>
      <c r="O440" s="830">
        <f t="shared" si="143"/>
        <v>0</v>
      </c>
      <c r="P440" s="830">
        <f t="shared" si="142"/>
        <v>0</v>
      </c>
      <c r="Q440" s="830">
        <f t="shared" si="144"/>
        <v>0</v>
      </c>
      <c r="R440" s="830">
        <f t="shared" si="144"/>
        <v>0</v>
      </c>
      <c r="S440" s="830"/>
    </row>
    <row r="441" spans="1:19" s="593" customFormat="1" ht="12" hidden="1" thickBot="1">
      <c r="A441" s="541" t="s">
        <v>179</v>
      </c>
      <c r="B441" s="596" t="s">
        <v>1503</v>
      </c>
      <c r="C441" s="541" t="s">
        <v>170</v>
      </c>
      <c r="D441" s="830">
        <f t="shared" si="146"/>
        <v>0</v>
      </c>
      <c r="E441" s="830">
        <f t="shared" si="145"/>
        <v>0</v>
      </c>
      <c r="F441" s="830">
        <f t="shared" si="145"/>
        <v>0</v>
      </c>
      <c r="G441" s="830">
        <f t="shared" si="145"/>
        <v>0</v>
      </c>
      <c r="H441" s="830">
        <f t="shared" si="135"/>
        <v>0</v>
      </c>
      <c r="I441" s="830">
        <f t="shared" si="143"/>
        <v>0</v>
      </c>
      <c r="J441" s="830">
        <f t="shared" si="143"/>
        <v>0</v>
      </c>
      <c r="K441" s="830">
        <f t="shared" si="143"/>
        <v>0</v>
      </c>
      <c r="L441" s="830">
        <f t="shared" si="143"/>
        <v>0</v>
      </c>
      <c r="M441" s="830">
        <f t="shared" si="143"/>
        <v>0</v>
      </c>
      <c r="N441" s="830">
        <f t="shared" si="143"/>
        <v>0</v>
      </c>
      <c r="O441" s="830">
        <f t="shared" si="143"/>
        <v>0</v>
      </c>
      <c r="P441" s="830">
        <f t="shared" si="142"/>
        <v>0</v>
      </c>
      <c r="Q441" s="830">
        <f t="shared" si="144"/>
        <v>0</v>
      </c>
      <c r="R441" s="830">
        <f t="shared" si="144"/>
        <v>0</v>
      </c>
      <c r="S441" s="830"/>
    </row>
    <row r="442" spans="1:19" s="593" customFormat="1" ht="12" hidden="1" thickBot="1">
      <c r="A442" s="541" t="s">
        <v>179</v>
      </c>
      <c r="B442" s="596" t="s">
        <v>1503</v>
      </c>
      <c r="C442" s="541" t="s">
        <v>160</v>
      </c>
      <c r="D442" s="830">
        <f t="shared" si="146"/>
        <v>0</v>
      </c>
      <c r="E442" s="830">
        <f t="shared" si="145"/>
        <v>0</v>
      </c>
      <c r="F442" s="830">
        <f t="shared" si="145"/>
        <v>0</v>
      </c>
      <c r="G442" s="830">
        <f t="shared" si="145"/>
        <v>0</v>
      </c>
      <c r="H442" s="830">
        <f t="shared" si="135"/>
        <v>0</v>
      </c>
      <c r="I442" s="830">
        <f t="shared" si="143"/>
        <v>0</v>
      </c>
      <c r="J442" s="830">
        <f t="shared" si="143"/>
        <v>0</v>
      </c>
      <c r="K442" s="830">
        <f t="shared" si="143"/>
        <v>0</v>
      </c>
      <c r="L442" s="830">
        <f t="shared" si="143"/>
        <v>0</v>
      </c>
      <c r="M442" s="830">
        <f t="shared" si="143"/>
        <v>0</v>
      </c>
      <c r="N442" s="830">
        <f t="shared" si="143"/>
        <v>0</v>
      </c>
      <c r="O442" s="830">
        <f t="shared" si="143"/>
        <v>0</v>
      </c>
      <c r="P442" s="830">
        <f t="shared" si="142"/>
        <v>0</v>
      </c>
      <c r="Q442" s="830">
        <f t="shared" si="144"/>
        <v>0</v>
      </c>
      <c r="R442" s="830">
        <f t="shared" si="144"/>
        <v>0</v>
      </c>
      <c r="S442" s="830"/>
    </row>
    <row r="443" spans="1:19" s="593" customFormat="1" ht="12" hidden="1" thickBot="1">
      <c r="A443" s="541" t="s">
        <v>179</v>
      </c>
      <c r="B443" s="596" t="s">
        <v>1503</v>
      </c>
      <c r="C443" s="541" t="s">
        <v>166</v>
      </c>
      <c r="D443" s="830">
        <f t="shared" si="146"/>
        <v>0</v>
      </c>
      <c r="E443" s="830">
        <f t="shared" si="145"/>
        <v>0</v>
      </c>
      <c r="F443" s="830">
        <f t="shared" si="145"/>
        <v>0</v>
      </c>
      <c r="G443" s="830">
        <f t="shared" si="145"/>
        <v>0</v>
      </c>
      <c r="H443" s="830">
        <f t="shared" si="135"/>
        <v>0</v>
      </c>
      <c r="I443" s="830">
        <f t="shared" ref="I443:O450" si="147">ROUND(SUMIFS(I$495:I$866,$B$495:$B$866,$B443,$C$495:$C$866,$C443),0)</f>
        <v>0</v>
      </c>
      <c r="J443" s="830">
        <f t="shared" si="147"/>
        <v>0</v>
      </c>
      <c r="K443" s="830">
        <f t="shared" si="147"/>
        <v>0</v>
      </c>
      <c r="L443" s="830">
        <f t="shared" si="147"/>
        <v>0</v>
      </c>
      <c r="M443" s="830">
        <f t="shared" si="147"/>
        <v>0</v>
      </c>
      <c r="N443" s="830">
        <f t="shared" si="147"/>
        <v>0</v>
      </c>
      <c r="O443" s="830">
        <f t="shared" si="147"/>
        <v>0</v>
      </c>
      <c r="P443" s="830">
        <f t="shared" si="142"/>
        <v>0</v>
      </c>
      <c r="Q443" s="830">
        <f t="shared" si="144"/>
        <v>0</v>
      </c>
      <c r="R443" s="830">
        <f t="shared" si="144"/>
        <v>0</v>
      </c>
      <c r="S443" s="830"/>
    </row>
    <row r="444" spans="1:19" s="593" customFormat="1" ht="12" hidden="1" thickBot="1">
      <c r="A444" s="541" t="s">
        <v>179</v>
      </c>
      <c r="B444" s="596" t="s">
        <v>1503</v>
      </c>
      <c r="C444" s="541" t="s">
        <v>458</v>
      </c>
      <c r="D444" s="830">
        <f t="shared" si="146"/>
        <v>7</v>
      </c>
      <c r="E444" s="830">
        <f t="shared" si="145"/>
        <v>6774</v>
      </c>
      <c r="F444" s="830">
        <f t="shared" si="145"/>
        <v>3197</v>
      </c>
      <c r="G444" s="830">
        <f t="shared" si="145"/>
        <v>1832</v>
      </c>
      <c r="H444" s="830">
        <f t="shared" si="135"/>
        <v>11803</v>
      </c>
      <c r="I444" s="830">
        <f t="shared" si="147"/>
        <v>0</v>
      </c>
      <c r="J444" s="830">
        <f t="shared" si="147"/>
        <v>0</v>
      </c>
      <c r="K444" s="830">
        <f t="shared" si="147"/>
        <v>0</v>
      </c>
      <c r="L444" s="830">
        <f t="shared" si="147"/>
        <v>0</v>
      </c>
      <c r="M444" s="830">
        <f t="shared" si="147"/>
        <v>0</v>
      </c>
      <c r="N444" s="830">
        <f t="shared" si="147"/>
        <v>0</v>
      </c>
      <c r="O444" s="830">
        <f t="shared" si="147"/>
        <v>0</v>
      </c>
      <c r="P444" s="830">
        <f t="shared" si="142"/>
        <v>0</v>
      </c>
      <c r="Q444" s="830">
        <f t="shared" si="144"/>
        <v>0</v>
      </c>
      <c r="R444" s="830">
        <f t="shared" si="144"/>
        <v>0</v>
      </c>
      <c r="S444" s="830"/>
    </row>
    <row r="445" spans="1:19" s="593" customFormat="1" ht="12" hidden="1" thickBot="1">
      <c r="A445" s="541" t="s">
        <v>179</v>
      </c>
      <c r="B445" s="596" t="s">
        <v>1503</v>
      </c>
      <c r="C445" s="541" t="s">
        <v>165</v>
      </c>
      <c r="D445" s="830">
        <f t="shared" si="146"/>
        <v>0</v>
      </c>
      <c r="E445" s="830">
        <f t="shared" si="145"/>
        <v>0</v>
      </c>
      <c r="F445" s="830">
        <f t="shared" si="145"/>
        <v>0</v>
      </c>
      <c r="G445" s="830">
        <f t="shared" si="145"/>
        <v>0</v>
      </c>
      <c r="H445" s="830">
        <f t="shared" si="135"/>
        <v>0</v>
      </c>
      <c r="I445" s="830">
        <f t="shared" si="147"/>
        <v>0</v>
      </c>
      <c r="J445" s="830">
        <f t="shared" si="147"/>
        <v>0</v>
      </c>
      <c r="K445" s="830">
        <f t="shared" si="147"/>
        <v>0</v>
      </c>
      <c r="L445" s="830">
        <f t="shared" si="147"/>
        <v>0</v>
      </c>
      <c r="M445" s="830">
        <f t="shared" si="147"/>
        <v>0</v>
      </c>
      <c r="N445" s="830">
        <f t="shared" si="147"/>
        <v>0</v>
      </c>
      <c r="O445" s="830">
        <f t="shared" si="147"/>
        <v>0</v>
      </c>
      <c r="P445" s="830">
        <f t="shared" si="142"/>
        <v>0</v>
      </c>
      <c r="Q445" s="830">
        <f t="shared" si="144"/>
        <v>0</v>
      </c>
      <c r="R445" s="830">
        <f t="shared" si="144"/>
        <v>0</v>
      </c>
      <c r="S445" s="830"/>
    </row>
    <row r="446" spans="1:19" s="593" customFormat="1" ht="12" thickBot="1">
      <c r="A446" s="541" t="s">
        <v>179</v>
      </c>
      <c r="B446" s="596" t="s">
        <v>1503</v>
      </c>
      <c r="C446" s="541" t="s">
        <v>167</v>
      </c>
      <c r="D446" s="830">
        <f t="shared" si="146"/>
        <v>260</v>
      </c>
      <c r="E446" s="830">
        <f t="shared" si="145"/>
        <v>0</v>
      </c>
      <c r="F446" s="830">
        <f t="shared" si="145"/>
        <v>0</v>
      </c>
      <c r="G446" s="830">
        <f t="shared" si="145"/>
        <v>0</v>
      </c>
      <c r="H446" s="830">
        <f t="shared" si="135"/>
        <v>11967848</v>
      </c>
      <c r="I446" s="830">
        <f t="shared" si="147"/>
        <v>0</v>
      </c>
      <c r="J446" s="830">
        <f t="shared" si="147"/>
        <v>0</v>
      </c>
      <c r="K446" s="830">
        <f t="shared" si="147"/>
        <v>0</v>
      </c>
      <c r="L446" s="830">
        <f t="shared" si="147"/>
        <v>0</v>
      </c>
      <c r="M446" s="830">
        <f t="shared" si="147"/>
        <v>0</v>
      </c>
      <c r="N446" s="830">
        <f t="shared" si="147"/>
        <v>0</v>
      </c>
      <c r="O446" s="830">
        <f>R446</f>
        <v>54419</v>
      </c>
      <c r="P446" s="830">
        <f t="shared" si="142"/>
        <v>0</v>
      </c>
      <c r="Q446" s="830">
        <f t="shared" si="144"/>
        <v>0</v>
      </c>
      <c r="R446" s="830">
        <f t="shared" si="144"/>
        <v>54419</v>
      </c>
      <c r="S446" s="830"/>
    </row>
    <row r="447" spans="1:19" s="593" customFormat="1" ht="12" hidden="1" thickBot="1">
      <c r="A447" s="541" t="s">
        <v>179</v>
      </c>
      <c r="B447" s="596" t="s">
        <v>1503</v>
      </c>
      <c r="C447" s="541" t="s">
        <v>623</v>
      </c>
      <c r="D447" s="830">
        <f t="shared" si="146"/>
        <v>0</v>
      </c>
      <c r="E447" s="830">
        <f t="shared" si="145"/>
        <v>0</v>
      </c>
      <c r="F447" s="830">
        <f t="shared" si="145"/>
        <v>0</v>
      </c>
      <c r="G447" s="830">
        <f t="shared" si="145"/>
        <v>0</v>
      </c>
      <c r="H447" s="830">
        <f t="shared" si="135"/>
        <v>0</v>
      </c>
      <c r="I447" s="830">
        <f t="shared" si="147"/>
        <v>0</v>
      </c>
      <c r="J447" s="830">
        <f t="shared" si="147"/>
        <v>0</v>
      </c>
      <c r="K447" s="830">
        <f t="shared" si="147"/>
        <v>0</v>
      </c>
      <c r="L447" s="830">
        <f t="shared" si="147"/>
        <v>0</v>
      </c>
      <c r="M447" s="830">
        <f t="shared" si="147"/>
        <v>0</v>
      </c>
      <c r="N447" s="830">
        <f t="shared" si="147"/>
        <v>0</v>
      </c>
      <c r="O447" s="830">
        <f t="shared" si="147"/>
        <v>0</v>
      </c>
      <c r="P447" s="830">
        <f>ROUND(SUMIFS(P$495:P$866,$B$495:$B$866,$B447,$C$495:$C$866,$C447),0)</f>
        <v>0</v>
      </c>
      <c r="Q447" s="830">
        <f t="shared" si="144"/>
        <v>0</v>
      </c>
      <c r="R447" s="830">
        <f t="shared" si="144"/>
        <v>0</v>
      </c>
      <c r="S447" s="830"/>
    </row>
    <row r="448" spans="1:19" s="593" customFormat="1" ht="12" hidden="1" thickBot="1">
      <c r="A448" s="541" t="s">
        <v>179</v>
      </c>
      <c r="B448" s="596" t="s">
        <v>1503</v>
      </c>
      <c r="C448" s="541" t="s">
        <v>683</v>
      </c>
      <c r="D448" s="830">
        <f t="shared" si="146"/>
        <v>0</v>
      </c>
      <c r="E448" s="830">
        <f t="shared" si="145"/>
        <v>0</v>
      </c>
      <c r="F448" s="830">
        <f t="shared" si="145"/>
        <v>0</v>
      </c>
      <c r="G448" s="830">
        <f t="shared" si="145"/>
        <v>0</v>
      </c>
      <c r="H448" s="830">
        <f t="shared" si="135"/>
        <v>0</v>
      </c>
      <c r="I448" s="830">
        <f t="shared" si="147"/>
        <v>0</v>
      </c>
      <c r="J448" s="830">
        <f t="shared" si="147"/>
        <v>0</v>
      </c>
      <c r="K448" s="830">
        <f t="shared" si="147"/>
        <v>0</v>
      </c>
      <c r="L448" s="830">
        <f t="shared" si="147"/>
        <v>0</v>
      </c>
      <c r="M448" s="830">
        <f t="shared" si="147"/>
        <v>0</v>
      </c>
      <c r="N448" s="830">
        <f t="shared" si="147"/>
        <v>0</v>
      </c>
      <c r="O448" s="830">
        <f t="shared" si="147"/>
        <v>0</v>
      </c>
      <c r="P448" s="830">
        <f>ROUND(SUMIFS(P$495:P$866,$B$495:$B$866,$B448,$C$495:$C$866,$C448),0)</f>
        <v>0</v>
      </c>
      <c r="Q448" s="830">
        <f t="shared" si="144"/>
        <v>0</v>
      </c>
      <c r="R448" s="830">
        <f t="shared" si="144"/>
        <v>0</v>
      </c>
      <c r="S448" s="830"/>
    </row>
    <row r="449" spans="1:19" s="593" customFormat="1" ht="12" hidden="1" thickBot="1">
      <c r="A449" s="541" t="s">
        <v>179</v>
      </c>
      <c r="B449" s="596" t="s">
        <v>1503</v>
      </c>
      <c r="C449" s="541" t="s">
        <v>684</v>
      </c>
      <c r="D449" s="830">
        <f t="shared" si="146"/>
        <v>0</v>
      </c>
      <c r="E449" s="830">
        <f t="shared" si="145"/>
        <v>0</v>
      </c>
      <c r="F449" s="830">
        <f t="shared" si="145"/>
        <v>0</v>
      </c>
      <c r="G449" s="830">
        <f t="shared" si="145"/>
        <v>0</v>
      </c>
      <c r="H449" s="830">
        <f t="shared" si="135"/>
        <v>0</v>
      </c>
      <c r="I449" s="830">
        <f t="shared" si="147"/>
        <v>0</v>
      </c>
      <c r="J449" s="830">
        <f t="shared" si="147"/>
        <v>0</v>
      </c>
      <c r="K449" s="830">
        <f t="shared" si="147"/>
        <v>0</v>
      </c>
      <c r="L449" s="830">
        <f t="shared" si="147"/>
        <v>0</v>
      </c>
      <c r="M449" s="830">
        <f t="shared" si="147"/>
        <v>0</v>
      </c>
      <c r="N449" s="830">
        <f t="shared" si="147"/>
        <v>0</v>
      </c>
      <c r="O449" s="830">
        <f t="shared" si="147"/>
        <v>0</v>
      </c>
      <c r="P449" s="830">
        <f>ROUND(SUMIFS(P$495:P$866,$B$495:$B$866,$B449,$C$495:$C$866,$C449),0)</f>
        <v>0</v>
      </c>
      <c r="Q449" s="830">
        <f t="shared" si="144"/>
        <v>0</v>
      </c>
      <c r="R449" s="830">
        <f t="shared" si="144"/>
        <v>0</v>
      </c>
      <c r="S449" s="830"/>
    </row>
    <row r="450" spans="1:19" s="593" customFormat="1" ht="12" hidden="1" thickBot="1">
      <c r="A450" s="541" t="s">
        <v>179</v>
      </c>
      <c r="B450" s="596" t="s">
        <v>1503</v>
      </c>
      <c r="C450" s="541" t="s">
        <v>685</v>
      </c>
      <c r="D450" s="830">
        <f t="shared" si="146"/>
        <v>0</v>
      </c>
      <c r="E450" s="830">
        <f t="shared" si="145"/>
        <v>0</v>
      </c>
      <c r="F450" s="830">
        <f t="shared" si="145"/>
        <v>0</v>
      </c>
      <c r="G450" s="830">
        <f t="shared" si="145"/>
        <v>0</v>
      </c>
      <c r="H450" s="830">
        <f t="shared" si="135"/>
        <v>0</v>
      </c>
      <c r="I450" s="830">
        <f t="shared" si="147"/>
        <v>0</v>
      </c>
      <c r="J450" s="830">
        <f t="shared" si="147"/>
        <v>0</v>
      </c>
      <c r="K450" s="830">
        <f t="shared" si="147"/>
        <v>0</v>
      </c>
      <c r="L450" s="830">
        <f t="shared" si="147"/>
        <v>0</v>
      </c>
      <c r="M450" s="830">
        <f t="shared" si="147"/>
        <v>0</v>
      </c>
      <c r="N450" s="830">
        <f t="shared" si="147"/>
        <v>0</v>
      </c>
      <c r="O450" s="830">
        <f t="shared" si="147"/>
        <v>0</v>
      </c>
      <c r="P450" s="830">
        <f>ROUND(SUMIFS(P$495:P$866,$B$495:$B$866,$B450,$C$495:$C$866,$C450),0)</f>
        <v>0</v>
      </c>
      <c r="Q450" s="830">
        <f t="shared" si="144"/>
        <v>0</v>
      </c>
      <c r="R450" s="830">
        <f t="shared" si="144"/>
        <v>0</v>
      </c>
      <c r="S450" s="830"/>
    </row>
    <row r="451" spans="1:19" s="593" customFormat="1" ht="12" hidden="1" thickBot="1">
      <c r="A451" s="541" t="s">
        <v>179</v>
      </c>
      <c r="B451" s="596" t="s">
        <v>1503</v>
      </c>
      <c r="C451" s="592" t="s">
        <v>8</v>
      </c>
      <c r="D451" s="558"/>
      <c r="E451" s="559"/>
      <c r="F451" s="559"/>
      <c r="G451" s="559"/>
      <c r="H451" s="558"/>
      <c r="I451" s="591"/>
      <c r="J451" s="591"/>
      <c r="K451" s="591"/>
      <c r="L451" s="559"/>
      <c r="M451" s="559"/>
      <c r="N451" s="591"/>
      <c r="O451" s="591"/>
      <c r="P451" s="591"/>
      <c r="Q451" s="591"/>
      <c r="R451" s="559"/>
      <c r="S451" s="559"/>
    </row>
    <row r="452" spans="1:19" s="593" customFormat="1" ht="12" hidden="1" thickBot="1">
      <c r="A452" s="541" t="s">
        <v>179</v>
      </c>
      <c r="B452" s="596" t="s">
        <v>1504</v>
      </c>
      <c r="C452" s="541" t="s">
        <v>152</v>
      </c>
      <c r="D452" s="830">
        <f t="shared" ref="D452:G474" si="148">ROUND(SUMIFS(D$495:D$866,$B$495:$B$866,$B452,$C$495:$C$866,$C452),0)</f>
        <v>32</v>
      </c>
      <c r="E452" s="830">
        <f t="shared" si="148"/>
        <v>0</v>
      </c>
      <c r="F452" s="830">
        <f t="shared" si="148"/>
        <v>0</v>
      </c>
      <c r="G452" s="830">
        <f t="shared" si="148"/>
        <v>0</v>
      </c>
      <c r="H452" s="830">
        <f t="shared" ref="H452:H490" si="149">ROUND(SUMIFS(H$495:H$866,$B$495:$B$866,$B452,$C$495:$C$866,$C452)*1000,0)</f>
        <v>143877223</v>
      </c>
      <c r="I452" s="830">
        <f t="shared" ref="I452:R452" si="150">ROUND(SUMIFS(I$495:I$866,$B$495:$B$866,$B452,$C$495:$C$866,$C452),0)</f>
        <v>0</v>
      </c>
      <c r="J452" s="830">
        <f t="shared" si="150"/>
        <v>0</v>
      </c>
      <c r="K452" s="830">
        <f t="shared" si="150"/>
        <v>0</v>
      </c>
      <c r="L452" s="830">
        <f t="shared" si="150"/>
        <v>0</v>
      </c>
      <c r="M452" s="830">
        <f t="shared" si="150"/>
        <v>0</v>
      </c>
      <c r="N452" s="830">
        <f t="shared" si="150"/>
        <v>0</v>
      </c>
      <c r="O452" s="830">
        <f t="shared" si="150"/>
        <v>305101</v>
      </c>
      <c r="P452" s="830">
        <f t="shared" si="150"/>
        <v>298666</v>
      </c>
      <c r="Q452" s="830">
        <f t="shared" si="150"/>
        <v>292465</v>
      </c>
      <c r="R452" s="830">
        <f t="shared" si="150"/>
        <v>0</v>
      </c>
      <c r="S452" s="830"/>
    </row>
    <row r="453" spans="1:19" s="593" customFormat="1" ht="12" hidden="1" thickBot="1">
      <c r="A453" s="541" t="s">
        <v>179</v>
      </c>
      <c r="B453" s="596" t="s">
        <v>1504</v>
      </c>
      <c r="C453" s="541" t="s">
        <v>153</v>
      </c>
      <c r="D453" s="830">
        <f t="shared" si="148"/>
        <v>196</v>
      </c>
      <c r="E453" s="830">
        <f t="shared" si="148"/>
        <v>0</v>
      </c>
      <c r="F453" s="830">
        <f t="shared" si="148"/>
        <v>0</v>
      </c>
      <c r="G453" s="830">
        <f t="shared" si="148"/>
        <v>0</v>
      </c>
      <c r="H453" s="830">
        <f t="shared" si="149"/>
        <v>20132212</v>
      </c>
      <c r="I453" s="830">
        <f t="shared" ref="I453:O462" si="151">ROUND(SUMIFS(I$495:I$866,$B$495:$B$866,$B453,$C$495:$C$866,$C453),0)</f>
        <v>0</v>
      </c>
      <c r="J453" s="830">
        <f t="shared" si="151"/>
        <v>0</v>
      </c>
      <c r="K453" s="830">
        <f t="shared" si="151"/>
        <v>0</v>
      </c>
      <c r="L453" s="830">
        <f t="shared" si="151"/>
        <v>0</v>
      </c>
      <c r="M453" s="830">
        <f t="shared" si="151"/>
        <v>0</v>
      </c>
      <c r="N453" s="830">
        <f t="shared" si="151"/>
        <v>0</v>
      </c>
      <c r="O453" s="830">
        <f t="shared" si="151"/>
        <v>0</v>
      </c>
      <c r="P453" s="830">
        <f t="shared" ref="P453:P454" si="152">R453</f>
        <v>54459</v>
      </c>
      <c r="Q453" s="830">
        <f t="shared" ref="Q453:R472" si="153">ROUND(SUMIFS(Q$495:Q$866,$B$495:$B$866,$B453,$C$495:$C$866,$C453),0)</f>
        <v>0</v>
      </c>
      <c r="R453" s="830">
        <f t="shared" si="153"/>
        <v>54459</v>
      </c>
      <c r="S453" s="830"/>
    </row>
    <row r="454" spans="1:19" s="593" customFormat="1" ht="12" hidden="1" thickBot="1">
      <c r="A454" s="541" t="s">
        <v>179</v>
      </c>
      <c r="B454" s="596" t="s">
        <v>1504</v>
      </c>
      <c r="C454" s="541" t="s">
        <v>154</v>
      </c>
      <c r="D454" s="830">
        <f t="shared" si="148"/>
        <v>4660</v>
      </c>
      <c r="E454" s="830">
        <f t="shared" si="148"/>
        <v>0</v>
      </c>
      <c r="F454" s="830">
        <f t="shared" si="148"/>
        <v>0</v>
      </c>
      <c r="G454" s="830">
        <f t="shared" si="148"/>
        <v>0</v>
      </c>
      <c r="H454" s="830">
        <f t="shared" si="149"/>
        <v>177385987</v>
      </c>
      <c r="I454" s="830">
        <f t="shared" si="151"/>
        <v>0</v>
      </c>
      <c r="J454" s="830">
        <f t="shared" si="151"/>
        <v>0</v>
      </c>
      <c r="K454" s="830">
        <f t="shared" si="151"/>
        <v>0</v>
      </c>
      <c r="L454" s="830">
        <f t="shared" si="151"/>
        <v>0</v>
      </c>
      <c r="M454" s="830">
        <f t="shared" si="151"/>
        <v>0</v>
      </c>
      <c r="N454" s="830">
        <f t="shared" si="151"/>
        <v>0</v>
      </c>
      <c r="O454" s="830">
        <f t="shared" si="151"/>
        <v>0</v>
      </c>
      <c r="P454" s="830">
        <f t="shared" si="152"/>
        <v>548106</v>
      </c>
      <c r="Q454" s="830">
        <f t="shared" si="153"/>
        <v>0</v>
      </c>
      <c r="R454" s="830">
        <f t="shared" si="153"/>
        <v>548106</v>
      </c>
      <c r="S454" s="830"/>
    </row>
    <row r="455" spans="1:19" s="593" customFormat="1" ht="12" hidden="1" thickBot="1">
      <c r="A455" s="541" t="s">
        <v>179</v>
      </c>
      <c r="B455" s="596" t="s">
        <v>1504</v>
      </c>
      <c r="C455" s="541" t="s">
        <v>155</v>
      </c>
      <c r="D455" s="830">
        <f t="shared" si="148"/>
        <v>52</v>
      </c>
      <c r="E455" s="830">
        <f t="shared" si="148"/>
        <v>0</v>
      </c>
      <c r="F455" s="830">
        <f t="shared" si="148"/>
        <v>0</v>
      </c>
      <c r="G455" s="830">
        <f t="shared" si="148"/>
        <v>0</v>
      </c>
      <c r="H455" s="830">
        <f t="shared" si="149"/>
        <v>255284575</v>
      </c>
      <c r="I455" s="830">
        <f t="shared" si="151"/>
        <v>0</v>
      </c>
      <c r="J455" s="830">
        <f t="shared" si="151"/>
        <v>0</v>
      </c>
      <c r="K455" s="830">
        <f t="shared" si="151"/>
        <v>0</v>
      </c>
      <c r="L455" s="830">
        <f t="shared" si="151"/>
        <v>0</v>
      </c>
      <c r="M455" s="830">
        <f t="shared" si="151"/>
        <v>0</v>
      </c>
      <c r="N455" s="830">
        <f t="shared" si="151"/>
        <v>0</v>
      </c>
      <c r="O455" s="830">
        <f t="shared" si="151"/>
        <v>517261</v>
      </c>
      <c r="P455" s="830">
        <f t="shared" ref="P455:P462" si="154">ROUND(SUMIFS(P$495:P$866,$B$495:$B$866,$B455,$C$495:$C$866,$C455),0)</f>
        <v>482638</v>
      </c>
      <c r="Q455" s="830">
        <f t="shared" si="153"/>
        <v>479026</v>
      </c>
      <c r="R455" s="830">
        <f t="shared" si="153"/>
        <v>0</v>
      </c>
      <c r="S455" s="830"/>
    </row>
    <row r="456" spans="1:19" s="593" customFormat="1" ht="12" hidden="1" thickBot="1">
      <c r="A456" s="541" t="s">
        <v>179</v>
      </c>
      <c r="B456" s="596" t="s">
        <v>1504</v>
      </c>
      <c r="C456" s="541" t="s">
        <v>156</v>
      </c>
      <c r="D456" s="830">
        <f t="shared" si="148"/>
        <v>0</v>
      </c>
      <c r="E456" s="830">
        <f t="shared" si="148"/>
        <v>0</v>
      </c>
      <c r="F456" s="830">
        <f t="shared" si="148"/>
        <v>0</v>
      </c>
      <c r="G456" s="830">
        <f t="shared" si="148"/>
        <v>0</v>
      </c>
      <c r="H456" s="830">
        <f t="shared" si="149"/>
        <v>0</v>
      </c>
      <c r="I456" s="830">
        <f t="shared" si="151"/>
        <v>0</v>
      </c>
      <c r="J456" s="830">
        <f t="shared" si="151"/>
        <v>0</v>
      </c>
      <c r="K456" s="830">
        <f t="shared" si="151"/>
        <v>0</v>
      </c>
      <c r="L456" s="830">
        <f t="shared" si="151"/>
        <v>0</v>
      </c>
      <c r="M456" s="830">
        <f t="shared" si="151"/>
        <v>0</v>
      </c>
      <c r="N456" s="830">
        <f t="shared" si="151"/>
        <v>0</v>
      </c>
      <c r="O456" s="830">
        <f t="shared" si="151"/>
        <v>0</v>
      </c>
      <c r="P456" s="830">
        <f t="shared" si="154"/>
        <v>0</v>
      </c>
      <c r="Q456" s="830">
        <f t="shared" si="153"/>
        <v>0</v>
      </c>
      <c r="R456" s="830">
        <f t="shared" si="153"/>
        <v>0</v>
      </c>
      <c r="S456" s="830"/>
    </row>
    <row r="457" spans="1:19" s="593" customFormat="1" ht="12" hidden="1" thickBot="1">
      <c r="A457" s="541" t="s">
        <v>179</v>
      </c>
      <c r="B457" s="596" t="s">
        <v>1504</v>
      </c>
      <c r="C457" s="541" t="s">
        <v>157</v>
      </c>
      <c r="D457" s="830">
        <f t="shared" si="148"/>
        <v>0</v>
      </c>
      <c r="E457" s="830">
        <f t="shared" si="148"/>
        <v>0</v>
      </c>
      <c r="F457" s="830">
        <f t="shared" si="148"/>
        <v>0</v>
      </c>
      <c r="G457" s="830">
        <f t="shared" si="148"/>
        <v>0</v>
      </c>
      <c r="H457" s="830">
        <f t="shared" si="149"/>
        <v>0</v>
      </c>
      <c r="I457" s="830">
        <f t="shared" si="151"/>
        <v>0</v>
      </c>
      <c r="J457" s="830">
        <f t="shared" si="151"/>
        <v>0</v>
      </c>
      <c r="K457" s="830">
        <f t="shared" si="151"/>
        <v>0</v>
      </c>
      <c r="L457" s="830">
        <f t="shared" si="151"/>
        <v>0</v>
      </c>
      <c r="M457" s="830">
        <f t="shared" si="151"/>
        <v>0</v>
      </c>
      <c r="N457" s="830">
        <f t="shared" si="151"/>
        <v>0</v>
      </c>
      <c r="O457" s="830">
        <f t="shared" si="151"/>
        <v>0</v>
      </c>
      <c r="P457" s="830">
        <f t="shared" si="154"/>
        <v>0</v>
      </c>
      <c r="Q457" s="830">
        <f t="shared" si="153"/>
        <v>0</v>
      </c>
      <c r="R457" s="830">
        <f t="shared" si="153"/>
        <v>0</v>
      </c>
      <c r="S457" s="830"/>
    </row>
    <row r="458" spans="1:19" s="593" customFormat="1" ht="12" hidden="1" thickBot="1">
      <c r="A458" s="541" t="s">
        <v>179</v>
      </c>
      <c r="B458" s="596" t="s">
        <v>1504</v>
      </c>
      <c r="C458" s="541" t="s">
        <v>158</v>
      </c>
      <c r="D458" s="830">
        <f t="shared" si="148"/>
        <v>202</v>
      </c>
      <c r="E458" s="830">
        <f t="shared" si="148"/>
        <v>0</v>
      </c>
      <c r="F458" s="830">
        <f t="shared" si="148"/>
        <v>0</v>
      </c>
      <c r="G458" s="830">
        <f t="shared" si="148"/>
        <v>0</v>
      </c>
      <c r="H458" s="830">
        <f t="shared" si="149"/>
        <v>106794414</v>
      </c>
      <c r="I458" s="830">
        <f t="shared" si="151"/>
        <v>0</v>
      </c>
      <c r="J458" s="830">
        <f t="shared" si="151"/>
        <v>0</v>
      </c>
      <c r="K458" s="830">
        <f t="shared" si="151"/>
        <v>0</v>
      </c>
      <c r="L458" s="830">
        <f t="shared" si="151"/>
        <v>0</v>
      </c>
      <c r="M458" s="830">
        <f t="shared" si="151"/>
        <v>0</v>
      </c>
      <c r="N458" s="830">
        <f t="shared" si="151"/>
        <v>0</v>
      </c>
      <c r="O458" s="830">
        <f t="shared" si="151"/>
        <v>254407</v>
      </c>
      <c r="P458" s="830">
        <f t="shared" si="154"/>
        <v>244745</v>
      </c>
      <c r="Q458" s="830">
        <f t="shared" si="153"/>
        <v>241237</v>
      </c>
      <c r="R458" s="830">
        <f t="shared" si="153"/>
        <v>0</v>
      </c>
      <c r="S458" s="830"/>
    </row>
    <row r="459" spans="1:19" s="593" customFormat="1" ht="12" hidden="1" thickBot="1">
      <c r="A459" s="541" t="s">
        <v>179</v>
      </c>
      <c r="B459" s="596" t="s">
        <v>1504</v>
      </c>
      <c r="C459" s="541" t="s">
        <v>159</v>
      </c>
      <c r="D459" s="830">
        <f t="shared" si="148"/>
        <v>466</v>
      </c>
      <c r="E459" s="830">
        <f t="shared" si="148"/>
        <v>0</v>
      </c>
      <c r="F459" s="830">
        <f t="shared" si="148"/>
        <v>0</v>
      </c>
      <c r="G459" s="830">
        <f t="shared" si="148"/>
        <v>0</v>
      </c>
      <c r="H459" s="830">
        <f t="shared" si="149"/>
        <v>138941021</v>
      </c>
      <c r="I459" s="830">
        <f t="shared" si="151"/>
        <v>0</v>
      </c>
      <c r="J459" s="830">
        <f t="shared" si="151"/>
        <v>0</v>
      </c>
      <c r="K459" s="830">
        <f t="shared" si="151"/>
        <v>0</v>
      </c>
      <c r="L459" s="830">
        <f t="shared" si="151"/>
        <v>0</v>
      </c>
      <c r="M459" s="830">
        <f t="shared" si="151"/>
        <v>0</v>
      </c>
      <c r="N459" s="830">
        <f t="shared" si="151"/>
        <v>0</v>
      </c>
      <c r="O459" s="830">
        <f t="shared" si="151"/>
        <v>325202</v>
      </c>
      <c r="P459" s="830">
        <f t="shared" si="154"/>
        <v>296195</v>
      </c>
      <c r="Q459" s="830">
        <f t="shared" si="153"/>
        <v>289560</v>
      </c>
      <c r="R459" s="830">
        <f t="shared" si="153"/>
        <v>0</v>
      </c>
      <c r="S459" s="830"/>
    </row>
    <row r="460" spans="1:19" s="593" customFormat="1" ht="12" hidden="1" thickBot="1">
      <c r="A460" s="541" t="s">
        <v>179</v>
      </c>
      <c r="B460" s="596" t="s">
        <v>1504</v>
      </c>
      <c r="C460" s="541" t="s">
        <v>161</v>
      </c>
      <c r="D460" s="830">
        <f t="shared" si="148"/>
        <v>63529</v>
      </c>
      <c r="E460" s="830">
        <f t="shared" si="148"/>
        <v>0</v>
      </c>
      <c r="F460" s="830">
        <f t="shared" si="148"/>
        <v>0</v>
      </c>
      <c r="G460" s="830">
        <f t="shared" si="148"/>
        <v>0</v>
      </c>
      <c r="H460" s="830">
        <f t="shared" si="149"/>
        <v>68970770</v>
      </c>
      <c r="I460" s="830">
        <f t="shared" si="151"/>
        <v>0</v>
      </c>
      <c r="J460" s="830">
        <f t="shared" si="151"/>
        <v>0</v>
      </c>
      <c r="K460" s="830">
        <f t="shared" si="151"/>
        <v>0</v>
      </c>
      <c r="L460" s="830">
        <f t="shared" si="151"/>
        <v>0</v>
      </c>
      <c r="M460" s="830">
        <f t="shared" si="151"/>
        <v>0</v>
      </c>
      <c r="N460" s="830">
        <f t="shared" si="151"/>
        <v>0</v>
      </c>
      <c r="O460" s="830">
        <f t="shared" si="151"/>
        <v>0</v>
      </c>
      <c r="P460" s="830">
        <f t="shared" si="154"/>
        <v>0</v>
      </c>
      <c r="Q460" s="830">
        <f t="shared" si="153"/>
        <v>0</v>
      </c>
      <c r="R460" s="830">
        <f t="shared" si="153"/>
        <v>0</v>
      </c>
      <c r="S460" s="830"/>
    </row>
    <row r="461" spans="1:19" s="593" customFormat="1" ht="12" hidden="1" thickBot="1">
      <c r="A461" s="541" t="s">
        <v>179</v>
      </c>
      <c r="B461" s="596" t="s">
        <v>1504</v>
      </c>
      <c r="C461" s="541" t="s">
        <v>162</v>
      </c>
      <c r="D461" s="830">
        <f t="shared" si="148"/>
        <v>0</v>
      </c>
      <c r="E461" s="830">
        <f t="shared" si="148"/>
        <v>0</v>
      </c>
      <c r="F461" s="830">
        <f t="shared" si="148"/>
        <v>0</v>
      </c>
      <c r="G461" s="830">
        <f t="shared" si="148"/>
        <v>0</v>
      </c>
      <c r="H461" s="830">
        <f t="shared" si="149"/>
        <v>0</v>
      </c>
      <c r="I461" s="830">
        <f t="shared" si="151"/>
        <v>0</v>
      </c>
      <c r="J461" s="830">
        <f t="shared" si="151"/>
        <v>0</v>
      </c>
      <c r="K461" s="830">
        <f t="shared" si="151"/>
        <v>0</v>
      </c>
      <c r="L461" s="830">
        <f t="shared" si="151"/>
        <v>0</v>
      </c>
      <c r="M461" s="830">
        <f t="shared" si="151"/>
        <v>0</v>
      </c>
      <c r="N461" s="830">
        <f t="shared" si="151"/>
        <v>0</v>
      </c>
      <c r="O461" s="830">
        <f t="shared" si="151"/>
        <v>0</v>
      </c>
      <c r="P461" s="830">
        <f t="shared" si="154"/>
        <v>0</v>
      </c>
      <c r="Q461" s="830">
        <f t="shared" si="153"/>
        <v>0</v>
      </c>
      <c r="R461" s="830">
        <f t="shared" si="153"/>
        <v>0</v>
      </c>
      <c r="S461" s="830"/>
    </row>
    <row r="462" spans="1:19" s="593" customFormat="1" ht="12" hidden="1" thickBot="1">
      <c r="A462" s="541" t="s">
        <v>179</v>
      </c>
      <c r="B462" s="596" t="s">
        <v>1504</v>
      </c>
      <c r="C462" s="541" t="s">
        <v>163</v>
      </c>
      <c r="D462" s="830">
        <f t="shared" si="148"/>
        <v>18571</v>
      </c>
      <c r="E462" s="830">
        <f t="shared" si="148"/>
        <v>0</v>
      </c>
      <c r="F462" s="830">
        <f t="shared" si="148"/>
        <v>0</v>
      </c>
      <c r="G462" s="830">
        <f t="shared" si="148"/>
        <v>0</v>
      </c>
      <c r="H462" s="830">
        <f t="shared" si="149"/>
        <v>101080235</v>
      </c>
      <c r="I462" s="830">
        <f t="shared" si="151"/>
        <v>0</v>
      </c>
      <c r="J462" s="830">
        <f t="shared" si="151"/>
        <v>0</v>
      </c>
      <c r="K462" s="830">
        <f t="shared" si="151"/>
        <v>0</v>
      </c>
      <c r="L462" s="830">
        <f t="shared" si="151"/>
        <v>0</v>
      </c>
      <c r="M462" s="830">
        <f t="shared" si="151"/>
        <v>0</v>
      </c>
      <c r="N462" s="830">
        <f t="shared" si="151"/>
        <v>0</v>
      </c>
      <c r="O462" s="830">
        <f>R462</f>
        <v>385178</v>
      </c>
      <c r="P462" s="830">
        <f t="shared" si="154"/>
        <v>0</v>
      </c>
      <c r="Q462" s="830">
        <f t="shared" si="153"/>
        <v>0</v>
      </c>
      <c r="R462" s="830">
        <f t="shared" si="153"/>
        <v>385178</v>
      </c>
      <c r="S462" s="830"/>
    </row>
    <row r="463" spans="1:19" s="593" customFormat="1" ht="12" hidden="1" thickBot="1">
      <c r="A463" s="541" t="s">
        <v>179</v>
      </c>
      <c r="B463" s="596" t="s">
        <v>1504</v>
      </c>
      <c r="C463" s="541" t="s">
        <v>164</v>
      </c>
      <c r="D463" s="830">
        <f t="shared" si="148"/>
        <v>373</v>
      </c>
      <c r="E463" s="830">
        <f t="shared" si="148"/>
        <v>0</v>
      </c>
      <c r="F463" s="830">
        <f t="shared" si="148"/>
        <v>0</v>
      </c>
      <c r="G463" s="830">
        <f t="shared" si="148"/>
        <v>0</v>
      </c>
      <c r="H463" s="830">
        <f t="shared" si="149"/>
        <v>744788</v>
      </c>
      <c r="I463" s="830">
        <f t="shared" ref="I463:O472" si="155">ROUND(SUMIFS(I$495:I$866,$B$495:$B$866,$B463,$C$495:$C$866,$C463),0)</f>
        <v>0</v>
      </c>
      <c r="J463" s="830">
        <f t="shared" si="155"/>
        <v>0</v>
      </c>
      <c r="K463" s="830">
        <f t="shared" si="155"/>
        <v>0</v>
      </c>
      <c r="L463" s="830">
        <f t="shared" si="155"/>
        <v>0</v>
      </c>
      <c r="M463" s="830">
        <f t="shared" si="155"/>
        <v>0</v>
      </c>
      <c r="N463" s="830">
        <f t="shared" si="155"/>
        <v>0</v>
      </c>
      <c r="O463" s="830">
        <f t="shared" si="155"/>
        <v>0</v>
      </c>
      <c r="P463" s="830">
        <f t="shared" ref="P463:P486" si="156">ROUND(SUMIFS(P$495:P$866,$B$495:$B$866,$B463,$C$495:$C$866,$C463),0)</f>
        <v>0</v>
      </c>
      <c r="Q463" s="830">
        <f t="shared" si="153"/>
        <v>0</v>
      </c>
      <c r="R463" s="830">
        <f t="shared" si="153"/>
        <v>0</v>
      </c>
      <c r="S463" s="830"/>
    </row>
    <row r="464" spans="1:19" s="593" customFormat="1" ht="12" hidden="1" thickBot="1">
      <c r="A464" s="541" t="s">
        <v>179</v>
      </c>
      <c r="B464" s="596" t="s">
        <v>1504</v>
      </c>
      <c r="C464" s="541" t="s">
        <v>174</v>
      </c>
      <c r="D464" s="830">
        <f t="shared" si="148"/>
        <v>430268</v>
      </c>
      <c r="E464" s="830">
        <f t="shared" si="148"/>
        <v>0</v>
      </c>
      <c r="F464" s="830">
        <f t="shared" si="148"/>
        <v>0</v>
      </c>
      <c r="G464" s="830">
        <f t="shared" si="148"/>
        <v>0</v>
      </c>
      <c r="H464" s="830">
        <f t="shared" si="149"/>
        <v>619539657</v>
      </c>
      <c r="I464" s="830">
        <f t="shared" si="155"/>
        <v>0</v>
      </c>
      <c r="J464" s="830">
        <f t="shared" si="155"/>
        <v>0</v>
      </c>
      <c r="K464" s="830">
        <f t="shared" si="155"/>
        <v>0</v>
      </c>
      <c r="L464" s="830">
        <f t="shared" si="155"/>
        <v>0</v>
      </c>
      <c r="M464" s="830">
        <f t="shared" si="155"/>
        <v>0</v>
      </c>
      <c r="N464" s="830">
        <f t="shared" si="155"/>
        <v>0</v>
      </c>
      <c r="O464" s="830">
        <f t="shared" si="155"/>
        <v>0</v>
      </c>
      <c r="P464" s="830">
        <f t="shared" si="156"/>
        <v>0</v>
      </c>
      <c r="Q464" s="830">
        <f t="shared" si="153"/>
        <v>0</v>
      </c>
      <c r="R464" s="830">
        <f t="shared" si="153"/>
        <v>0</v>
      </c>
      <c r="S464" s="830"/>
    </row>
    <row r="465" spans="1:19" s="593" customFormat="1" ht="12" hidden="1" thickBot="1">
      <c r="A465" s="541" t="s">
        <v>179</v>
      </c>
      <c r="B465" s="596" t="s">
        <v>1504</v>
      </c>
      <c r="C465" s="541" t="s">
        <v>175</v>
      </c>
      <c r="D465" s="830">
        <f t="shared" si="148"/>
        <v>0</v>
      </c>
      <c r="E465" s="830">
        <f t="shared" si="148"/>
        <v>0</v>
      </c>
      <c r="F465" s="830">
        <f t="shared" si="148"/>
        <v>0</v>
      </c>
      <c r="G465" s="830">
        <f t="shared" si="148"/>
        <v>0</v>
      </c>
      <c r="H465" s="830">
        <f t="shared" si="149"/>
        <v>0</v>
      </c>
      <c r="I465" s="830">
        <f t="shared" si="155"/>
        <v>0</v>
      </c>
      <c r="J465" s="830">
        <f t="shared" si="155"/>
        <v>0</v>
      </c>
      <c r="K465" s="830">
        <f t="shared" si="155"/>
        <v>0</v>
      </c>
      <c r="L465" s="830">
        <f t="shared" si="155"/>
        <v>0</v>
      </c>
      <c r="M465" s="830">
        <f t="shared" si="155"/>
        <v>0</v>
      </c>
      <c r="N465" s="830">
        <f t="shared" si="155"/>
        <v>0</v>
      </c>
      <c r="O465" s="830">
        <f t="shared" si="155"/>
        <v>0</v>
      </c>
      <c r="P465" s="830">
        <f t="shared" si="156"/>
        <v>0</v>
      </c>
      <c r="Q465" s="830">
        <f t="shared" si="153"/>
        <v>0</v>
      </c>
      <c r="R465" s="830">
        <f t="shared" si="153"/>
        <v>0</v>
      </c>
      <c r="S465" s="830"/>
    </row>
    <row r="466" spans="1:19" s="593" customFormat="1" ht="12" hidden="1" thickBot="1">
      <c r="A466" s="541" t="s">
        <v>179</v>
      </c>
      <c r="B466" s="596" t="s">
        <v>1504</v>
      </c>
      <c r="C466" s="541" t="s">
        <v>176</v>
      </c>
      <c r="D466" s="830">
        <f t="shared" si="148"/>
        <v>0</v>
      </c>
      <c r="E466" s="830">
        <f t="shared" si="148"/>
        <v>0</v>
      </c>
      <c r="F466" s="830">
        <f t="shared" si="148"/>
        <v>0</v>
      </c>
      <c r="G466" s="830">
        <f t="shared" si="148"/>
        <v>0</v>
      </c>
      <c r="H466" s="830">
        <f t="shared" si="149"/>
        <v>0</v>
      </c>
      <c r="I466" s="830">
        <f t="shared" si="155"/>
        <v>0</v>
      </c>
      <c r="J466" s="830">
        <f t="shared" si="155"/>
        <v>0</v>
      </c>
      <c r="K466" s="830">
        <f t="shared" si="155"/>
        <v>0</v>
      </c>
      <c r="L466" s="830">
        <f t="shared" si="155"/>
        <v>0</v>
      </c>
      <c r="M466" s="830">
        <f t="shared" si="155"/>
        <v>0</v>
      </c>
      <c r="N466" s="830">
        <f t="shared" si="155"/>
        <v>0</v>
      </c>
      <c r="O466" s="830">
        <f t="shared" si="155"/>
        <v>0</v>
      </c>
      <c r="P466" s="830">
        <f t="shared" si="156"/>
        <v>0</v>
      </c>
      <c r="Q466" s="830">
        <f t="shared" si="153"/>
        <v>0</v>
      </c>
      <c r="R466" s="830">
        <f t="shared" si="153"/>
        <v>0</v>
      </c>
      <c r="S466" s="830"/>
    </row>
    <row r="467" spans="1:19" s="593" customFormat="1" ht="12" hidden="1" thickBot="1">
      <c r="A467" s="541" t="s">
        <v>179</v>
      </c>
      <c r="B467" s="596" t="s">
        <v>1504</v>
      </c>
      <c r="C467" s="541" t="s">
        <v>177</v>
      </c>
      <c r="D467" s="830">
        <f t="shared" si="148"/>
        <v>0</v>
      </c>
      <c r="E467" s="830">
        <f t="shared" si="148"/>
        <v>0</v>
      </c>
      <c r="F467" s="830">
        <f t="shared" si="148"/>
        <v>0</v>
      </c>
      <c r="G467" s="830">
        <f t="shared" si="148"/>
        <v>0</v>
      </c>
      <c r="H467" s="830">
        <f t="shared" si="149"/>
        <v>0</v>
      </c>
      <c r="I467" s="830">
        <f t="shared" si="155"/>
        <v>0</v>
      </c>
      <c r="J467" s="830">
        <f t="shared" si="155"/>
        <v>0</v>
      </c>
      <c r="K467" s="830">
        <f t="shared" si="155"/>
        <v>0</v>
      </c>
      <c r="L467" s="830">
        <f t="shared" si="155"/>
        <v>0</v>
      </c>
      <c r="M467" s="830">
        <f t="shared" si="155"/>
        <v>0</v>
      </c>
      <c r="N467" s="830">
        <f t="shared" si="155"/>
        <v>0</v>
      </c>
      <c r="O467" s="830">
        <f t="shared" si="155"/>
        <v>0</v>
      </c>
      <c r="P467" s="830">
        <f t="shared" si="156"/>
        <v>0</v>
      </c>
      <c r="Q467" s="830">
        <f t="shared" si="153"/>
        <v>0</v>
      </c>
      <c r="R467" s="830">
        <f t="shared" si="153"/>
        <v>0</v>
      </c>
      <c r="S467" s="830"/>
    </row>
    <row r="468" spans="1:19" s="593" customFormat="1" ht="12" hidden="1" thickBot="1">
      <c r="A468" s="541" t="s">
        <v>179</v>
      </c>
      <c r="B468" s="596" t="s">
        <v>1504</v>
      </c>
      <c r="C468" s="541" t="s">
        <v>178</v>
      </c>
      <c r="D468" s="830">
        <f t="shared" si="148"/>
        <v>0</v>
      </c>
      <c r="E468" s="830">
        <f t="shared" si="148"/>
        <v>0</v>
      </c>
      <c r="F468" s="830">
        <f t="shared" si="148"/>
        <v>0</v>
      </c>
      <c r="G468" s="830">
        <f t="shared" si="148"/>
        <v>0</v>
      </c>
      <c r="H468" s="830">
        <f t="shared" si="149"/>
        <v>0</v>
      </c>
      <c r="I468" s="830">
        <f t="shared" si="155"/>
        <v>0</v>
      </c>
      <c r="J468" s="830">
        <f t="shared" si="155"/>
        <v>0</v>
      </c>
      <c r="K468" s="830">
        <f t="shared" si="155"/>
        <v>0</v>
      </c>
      <c r="L468" s="830">
        <f t="shared" si="155"/>
        <v>0</v>
      </c>
      <c r="M468" s="830">
        <f t="shared" si="155"/>
        <v>0</v>
      </c>
      <c r="N468" s="830">
        <f t="shared" si="155"/>
        <v>0</v>
      </c>
      <c r="O468" s="830">
        <f t="shared" si="155"/>
        <v>0</v>
      </c>
      <c r="P468" s="830">
        <f t="shared" si="156"/>
        <v>0</v>
      </c>
      <c r="Q468" s="830">
        <f t="shared" si="153"/>
        <v>0</v>
      </c>
      <c r="R468" s="830">
        <f t="shared" si="153"/>
        <v>0</v>
      </c>
      <c r="S468" s="830"/>
    </row>
    <row r="469" spans="1:19" s="593" customFormat="1" ht="12" hidden="1" thickBot="1">
      <c r="A469" s="541" t="s">
        <v>179</v>
      </c>
      <c r="B469" s="596" t="s">
        <v>1504</v>
      </c>
      <c r="C469" s="541" t="s">
        <v>1394</v>
      </c>
      <c r="D469" s="830">
        <f t="shared" si="148"/>
        <v>0</v>
      </c>
      <c r="E469" s="830">
        <f t="shared" si="148"/>
        <v>0</v>
      </c>
      <c r="F469" s="830">
        <f t="shared" si="148"/>
        <v>0</v>
      </c>
      <c r="G469" s="830">
        <f t="shared" si="148"/>
        <v>0</v>
      </c>
      <c r="H469" s="830">
        <f t="shared" si="149"/>
        <v>0</v>
      </c>
      <c r="I469" s="830">
        <f t="shared" si="155"/>
        <v>0</v>
      </c>
      <c r="J469" s="830">
        <f t="shared" si="155"/>
        <v>0</v>
      </c>
      <c r="K469" s="830">
        <f t="shared" si="155"/>
        <v>0</v>
      </c>
      <c r="L469" s="830">
        <f t="shared" si="155"/>
        <v>0</v>
      </c>
      <c r="M469" s="830">
        <f t="shared" si="155"/>
        <v>0</v>
      </c>
      <c r="N469" s="830">
        <f t="shared" si="155"/>
        <v>0</v>
      </c>
      <c r="O469" s="830">
        <f t="shared" si="155"/>
        <v>0</v>
      </c>
      <c r="P469" s="830">
        <f t="shared" si="156"/>
        <v>0</v>
      </c>
      <c r="Q469" s="830">
        <f t="shared" si="153"/>
        <v>0</v>
      </c>
      <c r="R469" s="830">
        <f t="shared" si="153"/>
        <v>0</v>
      </c>
      <c r="S469" s="830"/>
    </row>
    <row r="470" spans="1:19" s="593" customFormat="1" ht="12" hidden="1" thickBot="1">
      <c r="A470" s="541" t="s">
        <v>179</v>
      </c>
      <c r="B470" s="596" t="s">
        <v>1504</v>
      </c>
      <c r="C470" s="541" t="s">
        <v>434</v>
      </c>
      <c r="D470" s="830">
        <f t="shared" si="148"/>
        <v>0</v>
      </c>
      <c r="E470" s="830">
        <f t="shared" si="148"/>
        <v>0</v>
      </c>
      <c r="F470" s="830">
        <f t="shared" si="148"/>
        <v>0</v>
      </c>
      <c r="G470" s="830">
        <f t="shared" si="148"/>
        <v>0</v>
      </c>
      <c r="H470" s="830">
        <f t="shared" si="149"/>
        <v>0</v>
      </c>
      <c r="I470" s="830">
        <f t="shared" si="155"/>
        <v>0</v>
      </c>
      <c r="J470" s="830">
        <f t="shared" si="155"/>
        <v>0</v>
      </c>
      <c r="K470" s="830">
        <f t="shared" si="155"/>
        <v>0</v>
      </c>
      <c r="L470" s="830">
        <f t="shared" si="155"/>
        <v>0</v>
      </c>
      <c r="M470" s="830">
        <f t="shared" si="155"/>
        <v>0</v>
      </c>
      <c r="N470" s="830">
        <f t="shared" si="155"/>
        <v>0</v>
      </c>
      <c r="O470" s="830">
        <f t="shared" si="155"/>
        <v>0</v>
      </c>
      <c r="P470" s="830">
        <f t="shared" si="156"/>
        <v>0</v>
      </c>
      <c r="Q470" s="830">
        <f t="shared" si="153"/>
        <v>0</v>
      </c>
      <c r="R470" s="830">
        <f t="shared" si="153"/>
        <v>0</v>
      </c>
      <c r="S470" s="830"/>
    </row>
    <row r="471" spans="1:19" s="593" customFormat="1" ht="12" hidden="1" thickBot="1">
      <c r="A471" s="541" t="s">
        <v>179</v>
      </c>
      <c r="B471" s="596" t="s">
        <v>1504</v>
      </c>
      <c r="C471" s="541" t="s">
        <v>424</v>
      </c>
      <c r="D471" s="830">
        <f t="shared" si="148"/>
        <v>0</v>
      </c>
      <c r="E471" s="830">
        <f t="shared" si="148"/>
        <v>0</v>
      </c>
      <c r="F471" s="830">
        <f t="shared" si="148"/>
        <v>0</v>
      </c>
      <c r="G471" s="830">
        <f t="shared" si="148"/>
        <v>0</v>
      </c>
      <c r="H471" s="830">
        <f t="shared" si="149"/>
        <v>0</v>
      </c>
      <c r="I471" s="830">
        <f t="shared" si="155"/>
        <v>0</v>
      </c>
      <c r="J471" s="830">
        <f t="shared" si="155"/>
        <v>0</v>
      </c>
      <c r="K471" s="830">
        <f t="shared" si="155"/>
        <v>0</v>
      </c>
      <c r="L471" s="830">
        <f t="shared" si="155"/>
        <v>0</v>
      </c>
      <c r="M471" s="830">
        <f t="shared" si="155"/>
        <v>0</v>
      </c>
      <c r="N471" s="830">
        <f t="shared" si="155"/>
        <v>0</v>
      </c>
      <c r="O471" s="830">
        <f t="shared" si="155"/>
        <v>0</v>
      </c>
      <c r="P471" s="830">
        <f t="shared" si="156"/>
        <v>0</v>
      </c>
      <c r="Q471" s="830">
        <f t="shared" si="153"/>
        <v>0</v>
      </c>
      <c r="R471" s="830">
        <f t="shared" si="153"/>
        <v>0</v>
      </c>
      <c r="S471" s="830"/>
    </row>
    <row r="472" spans="1:19" s="593" customFormat="1" ht="12" hidden="1" thickBot="1">
      <c r="A472" s="541" t="s">
        <v>179</v>
      </c>
      <c r="B472" s="596" t="s">
        <v>1504</v>
      </c>
      <c r="C472" s="541" t="s">
        <v>425</v>
      </c>
      <c r="D472" s="830">
        <f t="shared" si="148"/>
        <v>0</v>
      </c>
      <c r="E472" s="830">
        <f t="shared" si="148"/>
        <v>0</v>
      </c>
      <c r="F472" s="830">
        <f t="shared" si="148"/>
        <v>0</v>
      </c>
      <c r="G472" s="830">
        <f t="shared" si="148"/>
        <v>0</v>
      </c>
      <c r="H472" s="830">
        <f t="shared" si="149"/>
        <v>0</v>
      </c>
      <c r="I472" s="830">
        <f t="shared" si="155"/>
        <v>0</v>
      </c>
      <c r="J472" s="830">
        <f t="shared" si="155"/>
        <v>0</v>
      </c>
      <c r="K472" s="830">
        <f t="shared" si="155"/>
        <v>0</v>
      </c>
      <c r="L472" s="830">
        <f t="shared" si="155"/>
        <v>0</v>
      </c>
      <c r="M472" s="830">
        <f t="shared" si="155"/>
        <v>0</v>
      </c>
      <c r="N472" s="830">
        <f t="shared" si="155"/>
        <v>0</v>
      </c>
      <c r="O472" s="830">
        <f t="shared" si="155"/>
        <v>0</v>
      </c>
      <c r="P472" s="830">
        <f t="shared" si="156"/>
        <v>0</v>
      </c>
      <c r="Q472" s="830">
        <f t="shared" si="153"/>
        <v>0</v>
      </c>
      <c r="R472" s="830">
        <f t="shared" si="153"/>
        <v>0</v>
      </c>
      <c r="S472" s="830"/>
    </row>
    <row r="473" spans="1:19" s="593" customFormat="1" ht="12" hidden="1" thickBot="1">
      <c r="A473" s="541" t="s">
        <v>179</v>
      </c>
      <c r="B473" s="596" t="s">
        <v>1504</v>
      </c>
      <c r="C473" s="541" t="s">
        <v>169</v>
      </c>
      <c r="D473" s="830">
        <f t="shared" si="148"/>
        <v>0</v>
      </c>
      <c r="E473" s="830">
        <f t="shared" si="148"/>
        <v>0</v>
      </c>
      <c r="F473" s="830">
        <f t="shared" si="148"/>
        <v>0</v>
      </c>
      <c r="G473" s="830">
        <f t="shared" si="148"/>
        <v>0</v>
      </c>
      <c r="H473" s="830">
        <f t="shared" si="149"/>
        <v>0</v>
      </c>
      <c r="I473" s="830">
        <f t="shared" ref="I473:O482" si="157">ROUND(SUMIFS(I$495:I$866,$B$495:$B$866,$B473,$C$495:$C$866,$C473),0)</f>
        <v>0</v>
      </c>
      <c r="J473" s="830">
        <f t="shared" si="157"/>
        <v>0</v>
      </c>
      <c r="K473" s="830">
        <f t="shared" si="157"/>
        <v>0</v>
      </c>
      <c r="L473" s="830">
        <f t="shared" si="157"/>
        <v>0</v>
      </c>
      <c r="M473" s="830">
        <f t="shared" si="157"/>
        <v>0</v>
      </c>
      <c r="N473" s="830">
        <f t="shared" si="157"/>
        <v>0</v>
      </c>
      <c r="O473" s="830">
        <f t="shared" si="157"/>
        <v>0</v>
      </c>
      <c r="P473" s="830">
        <f t="shared" si="156"/>
        <v>0</v>
      </c>
      <c r="Q473" s="830">
        <f t="shared" ref="Q473:R490" si="158">ROUND(SUMIFS(Q$495:Q$866,$B$495:$B$866,$B473,$C$495:$C$866,$C473),0)</f>
        <v>0</v>
      </c>
      <c r="R473" s="830">
        <f t="shared" si="158"/>
        <v>0</v>
      </c>
      <c r="S473" s="830"/>
    </row>
    <row r="474" spans="1:19" s="593" customFormat="1" ht="12" hidden="1" thickBot="1">
      <c r="A474" s="541" t="s">
        <v>179</v>
      </c>
      <c r="B474" s="596" t="s">
        <v>1504</v>
      </c>
      <c r="C474" s="541" t="s">
        <v>173</v>
      </c>
      <c r="D474" s="830">
        <f t="shared" si="148"/>
        <v>1</v>
      </c>
      <c r="E474" s="830">
        <f t="shared" si="148"/>
        <v>0</v>
      </c>
      <c r="F474" s="830">
        <f t="shared" si="148"/>
        <v>0</v>
      </c>
      <c r="G474" s="830">
        <f t="shared" si="148"/>
        <v>0</v>
      </c>
      <c r="H474" s="830">
        <f t="shared" si="149"/>
        <v>48145895</v>
      </c>
      <c r="I474" s="830">
        <f t="shared" si="157"/>
        <v>0</v>
      </c>
      <c r="J474" s="830">
        <f t="shared" si="157"/>
        <v>0</v>
      </c>
      <c r="K474" s="830">
        <f t="shared" si="157"/>
        <v>0</v>
      </c>
      <c r="L474" s="830">
        <f t="shared" si="157"/>
        <v>0</v>
      </c>
      <c r="M474" s="830">
        <f t="shared" si="157"/>
        <v>0</v>
      </c>
      <c r="N474" s="830">
        <f t="shared" si="157"/>
        <v>0</v>
      </c>
      <c r="O474" s="830">
        <f t="shared" si="157"/>
        <v>185158</v>
      </c>
      <c r="P474" s="830">
        <f t="shared" si="156"/>
        <v>185158</v>
      </c>
      <c r="Q474" s="830">
        <f t="shared" si="158"/>
        <v>101388</v>
      </c>
      <c r="R474" s="830">
        <f t="shared" si="158"/>
        <v>0</v>
      </c>
      <c r="S474" s="830"/>
    </row>
    <row r="475" spans="1:19" s="593" customFormat="1" ht="12" hidden="1" thickBot="1">
      <c r="A475" s="541" t="s">
        <v>179</v>
      </c>
      <c r="B475" s="596" t="s">
        <v>1504</v>
      </c>
      <c r="C475" s="541" t="s">
        <v>217</v>
      </c>
      <c r="D475" s="830">
        <v>2</v>
      </c>
      <c r="E475" s="830">
        <f t="shared" ref="E475:G490" si="159">ROUND(SUMIFS(E$495:E$866,$B$495:$B$866,$B475,$C$495:$C$866,$C475),0)</f>
        <v>0</v>
      </c>
      <c r="F475" s="830">
        <f t="shared" si="159"/>
        <v>0</v>
      </c>
      <c r="G475" s="830">
        <f t="shared" si="159"/>
        <v>0</v>
      </c>
      <c r="H475" s="830">
        <f t="shared" si="149"/>
        <v>20203</v>
      </c>
      <c r="I475" s="830">
        <f t="shared" si="157"/>
        <v>0</v>
      </c>
      <c r="J475" s="830">
        <f t="shared" si="157"/>
        <v>0</v>
      </c>
      <c r="K475" s="830">
        <f t="shared" si="157"/>
        <v>0</v>
      </c>
      <c r="L475" s="830">
        <f t="shared" si="157"/>
        <v>0</v>
      </c>
      <c r="M475" s="830">
        <f t="shared" si="157"/>
        <v>0</v>
      </c>
      <c r="N475" s="830">
        <f t="shared" si="157"/>
        <v>0</v>
      </c>
      <c r="O475" s="830">
        <f t="shared" si="157"/>
        <v>0</v>
      </c>
      <c r="P475" s="830">
        <f t="shared" si="156"/>
        <v>0</v>
      </c>
      <c r="Q475" s="830">
        <f t="shared" si="158"/>
        <v>0</v>
      </c>
      <c r="R475" s="830">
        <f t="shared" si="158"/>
        <v>0</v>
      </c>
      <c r="S475" s="830"/>
    </row>
    <row r="476" spans="1:19" s="593" customFormat="1" ht="12" hidden="1" thickBot="1">
      <c r="A476" s="541" t="s">
        <v>179</v>
      </c>
      <c r="B476" s="596" t="s">
        <v>1504</v>
      </c>
      <c r="C476" s="541" t="s">
        <v>216</v>
      </c>
      <c r="D476" s="830">
        <f t="shared" ref="D476:D490" si="160">ROUND(SUMIFS(D$495:D$866,$B$495:$B$866,$B476,$C$495:$C$866,$C476),0)</f>
        <v>0</v>
      </c>
      <c r="E476" s="830">
        <f t="shared" si="159"/>
        <v>0</v>
      </c>
      <c r="F476" s="830">
        <f t="shared" si="159"/>
        <v>0</v>
      </c>
      <c r="G476" s="830">
        <f t="shared" si="159"/>
        <v>0</v>
      </c>
      <c r="H476" s="830">
        <f t="shared" si="149"/>
        <v>0</v>
      </c>
      <c r="I476" s="830">
        <f t="shared" si="157"/>
        <v>0</v>
      </c>
      <c r="J476" s="830">
        <f t="shared" si="157"/>
        <v>0</v>
      </c>
      <c r="K476" s="830">
        <f t="shared" si="157"/>
        <v>0</v>
      </c>
      <c r="L476" s="830">
        <f t="shared" si="157"/>
        <v>0</v>
      </c>
      <c r="M476" s="830">
        <f t="shared" si="157"/>
        <v>0</v>
      </c>
      <c r="N476" s="830">
        <f t="shared" si="157"/>
        <v>0</v>
      </c>
      <c r="O476" s="830">
        <f t="shared" si="157"/>
        <v>0</v>
      </c>
      <c r="P476" s="830">
        <f t="shared" si="156"/>
        <v>0</v>
      </c>
      <c r="Q476" s="830">
        <f t="shared" si="158"/>
        <v>0</v>
      </c>
      <c r="R476" s="830">
        <f t="shared" si="158"/>
        <v>0</v>
      </c>
      <c r="S476" s="830"/>
    </row>
    <row r="477" spans="1:19" s="593" customFormat="1" ht="12" hidden="1" thickBot="1">
      <c r="A477" s="541" t="s">
        <v>179</v>
      </c>
      <c r="B477" s="596" t="s">
        <v>1504</v>
      </c>
      <c r="C477" s="541" t="s">
        <v>168</v>
      </c>
      <c r="D477" s="830">
        <f t="shared" si="160"/>
        <v>747</v>
      </c>
      <c r="E477" s="830">
        <f t="shared" si="159"/>
        <v>0</v>
      </c>
      <c r="F477" s="830">
        <f t="shared" si="159"/>
        <v>0</v>
      </c>
      <c r="G477" s="830">
        <f t="shared" si="159"/>
        <v>0</v>
      </c>
      <c r="H477" s="830">
        <f t="shared" si="149"/>
        <v>118302</v>
      </c>
      <c r="I477" s="830">
        <f t="shared" si="157"/>
        <v>0</v>
      </c>
      <c r="J477" s="830">
        <f t="shared" si="157"/>
        <v>0</v>
      </c>
      <c r="K477" s="830">
        <f t="shared" si="157"/>
        <v>0</v>
      </c>
      <c r="L477" s="830">
        <f t="shared" si="157"/>
        <v>0</v>
      </c>
      <c r="M477" s="830">
        <f t="shared" si="157"/>
        <v>0</v>
      </c>
      <c r="N477" s="830">
        <f t="shared" si="157"/>
        <v>0</v>
      </c>
      <c r="O477" s="830">
        <f t="shared" si="157"/>
        <v>0</v>
      </c>
      <c r="P477" s="830">
        <f t="shared" si="156"/>
        <v>0</v>
      </c>
      <c r="Q477" s="830">
        <f t="shared" si="158"/>
        <v>0</v>
      </c>
      <c r="R477" s="830">
        <f t="shared" si="158"/>
        <v>0</v>
      </c>
      <c r="S477" s="830"/>
    </row>
    <row r="478" spans="1:19" ht="12" hidden="1" thickBot="1">
      <c r="A478" s="836" t="s">
        <v>179</v>
      </c>
      <c r="B478" s="596" t="s">
        <v>1504</v>
      </c>
      <c r="C478" s="836" t="s">
        <v>171</v>
      </c>
      <c r="D478" s="830">
        <f t="shared" si="160"/>
        <v>0</v>
      </c>
      <c r="E478" s="830">
        <f t="shared" si="159"/>
        <v>0</v>
      </c>
      <c r="F478" s="830">
        <f t="shared" si="159"/>
        <v>0</v>
      </c>
      <c r="G478" s="830">
        <f t="shared" si="159"/>
        <v>0</v>
      </c>
      <c r="H478" s="830">
        <f t="shared" si="149"/>
        <v>0</v>
      </c>
      <c r="I478" s="830">
        <f t="shared" si="157"/>
        <v>0</v>
      </c>
      <c r="J478" s="830">
        <f t="shared" si="157"/>
        <v>0</v>
      </c>
      <c r="K478" s="830">
        <f t="shared" si="157"/>
        <v>0</v>
      </c>
      <c r="L478" s="830">
        <f t="shared" si="157"/>
        <v>0</v>
      </c>
      <c r="M478" s="830">
        <f t="shared" si="157"/>
        <v>0</v>
      </c>
      <c r="N478" s="830">
        <f t="shared" si="157"/>
        <v>0</v>
      </c>
      <c r="O478" s="830">
        <f t="shared" si="157"/>
        <v>0</v>
      </c>
      <c r="P478" s="830">
        <f t="shared" si="156"/>
        <v>0</v>
      </c>
      <c r="Q478" s="830">
        <f t="shared" si="158"/>
        <v>0</v>
      </c>
      <c r="R478" s="830">
        <f t="shared" si="158"/>
        <v>0</v>
      </c>
      <c r="S478" s="830"/>
    </row>
    <row r="479" spans="1:19" ht="12" hidden="1" thickBot="1">
      <c r="A479" s="836" t="s">
        <v>179</v>
      </c>
      <c r="B479" s="596" t="s">
        <v>1504</v>
      </c>
      <c r="C479" s="836" t="s">
        <v>172</v>
      </c>
      <c r="D479" s="830">
        <f t="shared" si="160"/>
        <v>0</v>
      </c>
      <c r="E479" s="830">
        <f t="shared" si="159"/>
        <v>0</v>
      </c>
      <c r="F479" s="830">
        <f t="shared" si="159"/>
        <v>0</v>
      </c>
      <c r="G479" s="830">
        <f t="shared" si="159"/>
        <v>0</v>
      </c>
      <c r="H479" s="830">
        <f t="shared" si="149"/>
        <v>0</v>
      </c>
      <c r="I479" s="830">
        <f t="shared" si="157"/>
        <v>0</v>
      </c>
      <c r="J479" s="830">
        <f t="shared" si="157"/>
        <v>0</v>
      </c>
      <c r="K479" s="830">
        <f t="shared" si="157"/>
        <v>0</v>
      </c>
      <c r="L479" s="830">
        <f t="shared" si="157"/>
        <v>0</v>
      </c>
      <c r="M479" s="830">
        <f t="shared" si="157"/>
        <v>0</v>
      </c>
      <c r="N479" s="830">
        <f t="shared" si="157"/>
        <v>0</v>
      </c>
      <c r="O479" s="830">
        <f t="shared" si="157"/>
        <v>0</v>
      </c>
      <c r="P479" s="830">
        <f t="shared" si="156"/>
        <v>0</v>
      </c>
      <c r="Q479" s="830">
        <f t="shared" si="158"/>
        <v>0</v>
      </c>
      <c r="R479" s="830">
        <f t="shared" si="158"/>
        <v>0</v>
      </c>
      <c r="S479" s="830"/>
    </row>
    <row r="480" spans="1:19" ht="12" hidden="1" thickBot="1">
      <c r="A480" s="836" t="s">
        <v>179</v>
      </c>
      <c r="B480" s="596" t="s">
        <v>1504</v>
      </c>
      <c r="C480" s="836" t="s">
        <v>1149</v>
      </c>
      <c r="D480" s="830">
        <f t="shared" si="160"/>
        <v>0</v>
      </c>
      <c r="E480" s="830">
        <f t="shared" si="159"/>
        <v>0</v>
      </c>
      <c r="F480" s="830">
        <f t="shared" si="159"/>
        <v>0</v>
      </c>
      <c r="G480" s="830">
        <f t="shared" si="159"/>
        <v>0</v>
      </c>
      <c r="H480" s="830">
        <f t="shared" si="149"/>
        <v>0</v>
      </c>
      <c r="I480" s="830">
        <f t="shared" si="157"/>
        <v>0</v>
      </c>
      <c r="J480" s="830">
        <f t="shared" si="157"/>
        <v>0</v>
      </c>
      <c r="K480" s="830">
        <f t="shared" si="157"/>
        <v>0</v>
      </c>
      <c r="L480" s="830">
        <f t="shared" si="157"/>
        <v>0</v>
      </c>
      <c r="M480" s="830">
        <f t="shared" si="157"/>
        <v>0</v>
      </c>
      <c r="N480" s="830">
        <f t="shared" si="157"/>
        <v>0</v>
      </c>
      <c r="O480" s="830">
        <f t="shared" si="157"/>
        <v>0</v>
      </c>
      <c r="P480" s="830">
        <f t="shared" si="156"/>
        <v>0</v>
      </c>
      <c r="Q480" s="830">
        <f t="shared" si="158"/>
        <v>0</v>
      </c>
      <c r="R480" s="830">
        <f t="shared" si="158"/>
        <v>0</v>
      </c>
      <c r="S480" s="830"/>
    </row>
    <row r="481" spans="1:29" s="593" customFormat="1" ht="12" hidden="1" thickBot="1">
      <c r="A481" s="541" t="s">
        <v>179</v>
      </c>
      <c r="B481" s="596" t="s">
        <v>1504</v>
      </c>
      <c r="C481" s="541" t="s">
        <v>170</v>
      </c>
      <c r="D481" s="830">
        <f t="shared" si="160"/>
        <v>0</v>
      </c>
      <c r="E481" s="830">
        <f t="shared" si="159"/>
        <v>0</v>
      </c>
      <c r="F481" s="830">
        <f t="shared" si="159"/>
        <v>0</v>
      </c>
      <c r="G481" s="830">
        <f t="shared" si="159"/>
        <v>0</v>
      </c>
      <c r="H481" s="830">
        <f t="shared" si="149"/>
        <v>0</v>
      </c>
      <c r="I481" s="830">
        <f t="shared" si="157"/>
        <v>0</v>
      </c>
      <c r="J481" s="830">
        <f t="shared" si="157"/>
        <v>0</v>
      </c>
      <c r="K481" s="830">
        <f t="shared" si="157"/>
        <v>0</v>
      </c>
      <c r="L481" s="830">
        <f t="shared" si="157"/>
        <v>0</v>
      </c>
      <c r="M481" s="830">
        <f t="shared" si="157"/>
        <v>0</v>
      </c>
      <c r="N481" s="830">
        <f t="shared" si="157"/>
        <v>0</v>
      </c>
      <c r="O481" s="830">
        <f t="shared" si="157"/>
        <v>0</v>
      </c>
      <c r="P481" s="830">
        <f t="shared" si="156"/>
        <v>0</v>
      </c>
      <c r="Q481" s="830">
        <f t="shared" si="158"/>
        <v>0</v>
      </c>
      <c r="R481" s="830">
        <f t="shared" si="158"/>
        <v>0</v>
      </c>
      <c r="S481" s="830"/>
    </row>
    <row r="482" spans="1:29" s="593" customFormat="1" ht="12" hidden="1" thickBot="1">
      <c r="A482" s="541" t="s">
        <v>179</v>
      </c>
      <c r="B482" s="596" t="s">
        <v>1504</v>
      </c>
      <c r="C482" s="541" t="s">
        <v>160</v>
      </c>
      <c r="D482" s="830">
        <f t="shared" si="160"/>
        <v>0</v>
      </c>
      <c r="E482" s="830">
        <f t="shared" si="159"/>
        <v>0</v>
      </c>
      <c r="F482" s="830">
        <f t="shared" si="159"/>
        <v>0</v>
      </c>
      <c r="G482" s="830">
        <f t="shared" si="159"/>
        <v>0</v>
      </c>
      <c r="H482" s="830">
        <f t="shared" si="149"/>
        <v>0</v>
      </c>
      <c r="I482" s="830">
        <f t="shared" si="157"/>
        <v>0</v>
      </c>
      <c r="J482" s="830">
        <f t="shared" si="157"/>
        <v>0</v>
      </c>
      <c r="K482" s="830">
        <f t="shared" si="157"/>
        <v>0</v>
      </c>
      <c r="L482" s="830">
        <f t="shared" si="157"/>
        <v>0</v>
      </c>
      <c r="M482" s="830">
        <f t="shared" si="157"/>
        <v>0</v>
      </c>
      <c r="N482" s="830">
        <f t="shared" si="157"/>
        <v>0</v>
      </c>
      <c r="O482" s="830">
        <f t="shared" si="157"/>
        <v>0</v>
      </c>
      <c r="P482" s="830">
        <f t="shared" si="156"/>
        <v>0</v>
      </c>
      <c r="Q482" s="830">
        <f t="shared" si="158"/>
        <v>0</v>
      </c>
      <c r="R482" s="830">
        <f t="shared" si="158"/>
        <v>0</v>
      </c>
      <c r="S482" s="830"/>
    </row>
    <row r="483" spans="1:29" s="593" customFormat="1" ht="12" hidden="1" thickBot="1">
      <c r="A483" s="541" t="s">
        <v>179</v>
      </c>
      <c r="B483" s="596" t="s">
        <v>1504</v>
      </c>
      <c r="C483" s="541" t="s">
        <v>166</v>
      </c>
      <c r="D483" s="830">
        <f t="shared" si="160"/>
        <v>0</v>
      </c>
      <c r="E483" s="830">
        <f t="shared" si="159"/>
        <v>0</v>
      </c>
      <c r="F483" s="830">
        <f t="shared" si="159"/>
        <v>0</v>
      </c>
      <c r="G483" s="830">
        <f t="shared" si="159"/>
        <v>0</v>
      </c>
      <c r="H483" s="830">
        <f t="shared" si="149"/>
        <v>0</v>
      </c>
      <c r="I483" s="830">
        <f t="shared" ref="I483:O490" si="161">ROUND(SUMIFS(I$495:I$866,$B$495:$B$866,$B483,$C$495:$C$866,$C483),0)</f>
        <v>0</v>
      </c>
      <c r="J483" s="830">
        <f t="shared" si="161"/>
        <v>0</v>
      </c>
      <c r="K483" s="830">
        <f t="shared" si="161"/>
        <v>0</v>
      </c>
      <c r="L483" s="830">
        <f t="shared" si="161"/>
        <v>0</v>
      </c>
      <c r="M483" s="830">
        <f t="shared" si="161"/>
        <v>0</v>
      </c>
      <c r="N483" s="830">
        <f t="shared" si="161"/>
        <v>0</v>
      </c>
      <c r="O483" s="830">
        <f t="shared" si="161"/>
        <v>0</v>
      </c>
      <c r="P483" s="830">
        <f t="shared" si="156"/>
        <v>0</v>
      </c>
      <c r="Q483" s="830">
        <f t="shared" si="158"/>
        <v>0</v>
      </c>
      <c r="R483" s="830">
        <f t="shared" si="158"/>
        <v>0</v>
      </c>
      <c r="S483" s="830"/>
    </row>
    <row r="484" spans="1:29" s="593" customFormat="1" ht="12" hidden="1" thickBot="1">
      <c r="A484" s="541" t="s">
        <v>179</v>
      </c>
      <c r="B484" s="596" t="s">
        <v>1504</v>
      </c>
      <c r="C484" s="541" t="s">
        <v>458</v>
      </c>
      <c r="D484" s="830">
        <f t="shared" si="160"/>
        <v>7</v>
      </c>
      <c r="E484" s="830">
        <f t="shared" si="159"/>
        <v>5906</v>
      </c>
      <c r="F484" s="830">
        <f t="shared" si="159"/>
        <v>2533</v>
      </c>
      <c r="G484" s="830">
        <f t="shared" si="159"/>
        <v>1737</v>
      </c>
      <c r="H484" s="830">
        <f t="shared" si="149"/>
        <v>10176</v>
      </c>
      <c r="I484" s="830">
        <f t="shared" si="161"/>
        <v>0</v>
      </c>
      <c r="J484" s="830">
        <f t="shared" si="161"/>
        <v>0</v>
      </c>
      <c r="K484" s="830">
        <f t="shared" si="161"/>
        <v>0</v>
      </c>
      <c r="L484" s="830">
        <f t="shared" si="161"/>
        <v>0</v>
      </c>
      <c r="M484" s="830">
        <f t="shared" si="161"/>
        <v>0</v>
      </c>
      <c r="N484" s="830">
        <f t="shared" si="161"/>
        <v>0</v>
      </c>
      <c r="O484" s="830">
        <f t="shared" si="161"/>
        <v>0</v>
      </c>
      <c r="P484" s="830">
        <f t="shared" si="156"/>
        <v>0</v>
      </c>
      <c r="Q484" s="830">
        <f t="shared" si="158"/>
        <v>0</v>
      </c>
      <c r="R484" s="830">
        <f t="shared" si="158"/>
        <v>0</v>
      </c>
      <c r="S484" s="830"/>
    </row>
    <row r="485" spans="1:29" s="593" customFormat="1" ht="12" hidden="1" thickBot="1">
      <c r="A485" s="541" t="s">
        <v>179</v>
      </c>
      <c r="B485" s="596" t="s">
        <v>1504</v>
      </c>
      <c r="C485" s="541" t="s">
        <v>165</v>
      </c>
      <c r="D485" s="830">
        <f t="shared" si="160"/>
        <v>0</v>
      </c>
      <c r="E485" s="830">
        <f t="shared" si="159"/>
        <v>0</v>
      </c>
      <c r="F485" s="830">
        <f t="shared" si="159"/>
        <v>0</v>
      </c>
      <c r="G485" s="830">
        <f t="shared" si="159"/>
        <v>0</v>
      </c>
      <c r="H485" s="830">
        <f t="shared" si="149"/>
        <v>0</v>
      </c>
      <c r="I485" s="830">
        <f t="shared" si="161"/>
        <v>0</v>
      </c>
      <c r="J485" s="830">
        <f t="shared" si="161"/>
        <v>0</v>
      </c>
      <c r="K485" s="830">
        <f t="shared" si="161"/>
        <v>0</v>
      </c>
      <c r="L485" s="830">
        <f t="shared" si="161"/>
        <v>0</v>
      </c>
      <c r="M485" s="830">
        <f t="shared" si="161"/>
        <v>0</v>
      </c>
      <c r="N485" s="830">
        <f t="shared" si="161"/>
        <v>0</v>
      </c>
      <c r="O485" s="830">
        <f t="shared" si="161"/>
        <v>0</v>
      </c>
      <c r="P485" s="830">
        <f t="shared" si="156"/>
        <v>0</v>
      </c>
      <c r="Q485" s="830">
        <f t="shared" si="158"/>
        <v>0</v>
      </c>
      <c r="R485" s="830">
        <f t="shared" si="158"/>
        <v>0</v>
      </c>
      <c r="S485" s="830"/>
    </row>
    <row r="486" spans="1:29" s="593" customFormat="1" ht="12" thickBot="1">
      <c r="A486" s="541" t="s">
        <v>179</v>
      </c>
      <c r="B486" s="596" t="s">
        <v>1504</v>
      </c>
      <c r="C486" s="541" t="s">
        <v>167</v>
      </c>
      <c r="D486" s="830">
        <f t="shared" si="160"/>
        <v>260</v>
      </c>
      <c r="E486" s="830">
        <f t="shared" si="159"/>
        <v>0</v>
      </c>
      <c r="F486" s="830">
        <f t="shared" si="159"/>
        <v>0</v>
      </c>
      <c r="G486" s="830">
        <f t="shared" si="159"/>
        <v>0</v>
      </c>
      <c r="H486" s="830">
        <f t="shared" si="149"/>
        <v>13804282</v>
      </c>
      <c r="I486" s="830">
        <f t="shared" si="161"/>
        <v>0</v>
      </c>
      <c r="J486" s="830">
        <f t="shared" si="161"/>
        <v>0</v>
      </c>
      <c r="K486" s="830">
        <f t="shared" si="161"/>
        <v>0</v>
      </c>
      <c r="L486" s="830">
        <f t="shared" si="161"/>
        <v>0</v>
      </c>
      <c r="M486" s="830">
        <f t="shared" si="161"/>
        <v>0</v>
      </c>
      <c r="N486" s="830">
        <f t="shared" si="161"/>
        <v>0</v>
      </c>
      <c r="O486" s="830">
        <f>R486</f>
        <v>51812</v>
      </c>
      <c r="P486" s="830">
        <f t="shared" si="156"/>
        <v>0</v>
      </c>
      <c r="Q486" s="830">
        <f t="shared" si="158"/>
        <v>0</v>
      </c>
      <c r="R486" s="830">
        <f t="shared" si="158"/>
        <v>51812</v>
      </c>
      <c r="S486" s="830"/>
    </row>
    <row r="487" spans="1:29" s="593" customFormat="1" ht="12" hidden="1" thickBot="1">
      <c r="A487" s="541" t="s">
        <v>179</v>
      </c>
      <c r="B487" s="596" t="s">
        <v>1504</v>
      </c>
      <c r="C487" s="541" t="s">
        <v>623</v>
      </c>
      <c r="D487" s="830">
        <f t="shared" si="160"/>
        <v>0</v>
      </c>
      <c r="E487" s="830">
        <f t="shared" si="159"/>
        <v>0</v>
      </c>
      <c r="F487" s="830">
        <f t="shared" si="159"/>
        <v>0</v>
      </c>
      <c r="G487" s="830">
        <f t="shared" si="159"/>
        <v>0</v>
      </c>
      <c r="H487" s="830">
        <f t="shared" si="149"/>
        <v>0</v>
      </c>
      <c r="I487" s="830">
        <f t="shared" si="161"/>
        <v>0</v>
      </c>
      <c r="J487" s="830">
        <f t="shared" si="161"/>
        <v>0</v>
      </c>
      <c r="K487" s="830">
        <f t="shared" si="161"/>
        <v>0</v>
      </c>
      <c r="L487" s="830">
        <f t="shared" si="161"/>
        <v>0</v>
      </c>
      <c r="M487" s="830">
        <f t="shared" si="161"/>
        <v>0</v>
      </c>
      <c r="N487" s="830">
        <f t="shared" si="161"/>
        <v>0</v>
      </c>
      <c r="O487" s="830">
        <f t="shared" si="161"/>
        <v>0</v>
      </c>
      <c r="P487" s="830">
        <f>ROUND(SUMIFS(P$495:P$866,$B$495:$B$866,$B487,$C$495:$C$866,$C487),0)</f>
        <v>0</v>
      </c>
      <c r="Q487" s="830">
        <f t="shared" si="158"/>
        <v>0</v>
      </c>
      <c r="R487" s="830">
        <f t="shared" si="158"/>
        <v>0</v>
      </c>
      <c r="S487" s="830"/>
    </row>
    <row r="488" spans="1:29" s="593" customFormat="1" ht="12" hidden="1" thickBot="1">
      <c r="A488" s="541" t="s">
        <v>179</v>
      </c>
      <c r="B488" s="596" t="s">
        <v>1504</v>
      </c>
      <c r="C488" s="541" t="s">
        <v>683</v>
      </c>
      <c r="D488" s="830">
        <f t="shared" si="160"/>
        <v>0</v>
      </c>
      <c r="E488" s="830">
        <f t="shared" si="159"/>
        <v>0</v>
      </c>
      <c r="F488" s="830">
        <f t="shared" si="159"/>
        <v>0</v>
      </c>
      <c r="G488" s="830">
        <f t="shared" si="159"/>
        <v>0</v>
      </c>
      <c r="H488" s="830">
        <f t="shared" si="149"/>
        <v>0</v>
      </c>
      <c r="I488" s="830">
        <f t="shared" si="161"/>
        <v>0</v>
      </c>
      <c r="J488" s="830">
        <f t="shared" si="161"/>
        <v>0</v>
      </c>
      <c r="K488" s="830">
        <f t="shared" si="161"/>
        <v>0</v>
      </c>
      <c r="L488" s="830">
        <f t="shared" si="161"/>
        <v>0</v>
      </c>
      <c r="M488" s="830">
        <f t="shared" si="161"/>
        <v>0</v>
      </c>
      <c r="N488" s="830">
        <f t="shared" si="161"/>
        <v>0</v>
      </c>
      <c r="O488" s="830">
        <f t="shared" si="161"/>
        <v>0</v>
      </c>
      <c r="P488" s="830">
        <f>ROUND(SUMIFS(P$495:P$866,$B$495:$B$866,$B488,$C$495:$C$866,$C488),0)</f>
        <v>0</v>
      </c>
      <c r="Q488" s="830">
        <f t="shared" si="158"/>
        <v>0</v>
      </c>
      <c r="R488" s="830">
        <f t="shared" si="158"/>
        <v>0</v>
      </c>
      <c r="S488" s="830"/>
    </row>
    <row r="489" spans="1:29" s="593" customFormat="1" ht="12" hidden="1" thickBot="1">
      <c r="A489" s="541" t="s">
        <v>179</v>
      </c>
      <c r="B489" s="596" t="s">
        <v>1504</v>
      </c>
      <c r="C489" s="541" t="s">
        <v>684</v>
      </c>
      <c r="D489" s="830">
        <f t="shared" si="160"/>
        <v>0</v>
      </c>
      <c r="E489" s="830">
        <f t="shared" si="159"/>
        <v>0</v>
      </c>
      <c r="F489" s="830">
        <f t="shared" si="159"/>
        <v>0</v>
      </c>
      <c r="G489" s="830">
        <f t="shared" si="159"/>
        <v>0</v>
      </c>
      <c r="H489" s="830">
        <f t="shared" si="149"/>
        <v>0</v>
      </c>
      <c r="I489" s="830">
        <f t="shared" si="161"/>
        <v>0</v>
      </c>
      <c r="J489" s="830">
        <f t="shared" si="161"/>
        <v>0</v>
      </c>
      <c r="K489" s="830">
        <f t="shared" si="161"/>
        <v>0</v>
      </c>
      <c r="L489" s="830">
        <f t="shared" si="161"/>
        <v>0</v>
      </c>
      <c r="M489" s="830">
        <f t="shared" si="161"/>
        <v>0</v>
      </c>
      <c r="N489" s="830">
        <f t="shared" si="161"/>
        <v>0</v>
      </c>
      <c r="O489" s="830">
        <f t="shared" si="161"/>
        <v>0</v>
      </c>
      <c r="P489" s="830">
        <f>ROUND(SUMIFS(P$495:P$866,$B$495:$B$866,$B489,$C$495:$C$866,$C489),0)</f>
        <v>0</v>
      </c>
      <c r="Q489" s="830">
        <f t="shared" si="158"/>
        <v>0</v>
      </c>
      <c r="R489" s="830">
        <f t="shared" si="158"/>
        <v>0</v>
      </c>
      <c r="S489" s="830"/>
    </row>
    <row r="490" spans="1:29" s="593" customFormat="1" ht="12" hidden="1" thickBot="1">
      <c r="A490" s="541" t="s">
        <v>179</v>
      </c>
      <c r="B490" s="596" t="s">
        <v>1504</v>
      </c>
      <c r="C490" s="541" t="s">
        <v>685</v>
      </c>
      <c r="D490" s="830">
        <f t="shared" si="160"/>
        <v>0</v>
      </c>
      <c r="E490" s="830">
        <f t="shared" si="159"/>
        <v>0</v>
      </c>
      <c r="F490" s="830">
        <f t="shared" si="159"/>
        <v>0</v>
      </c>
      <c r="G490" s="830">
        <f t="shared" si="159"/>
        <v>0</v>
      </c>
      <c r="H490" s="830">
        <f t="shared" si="149"/>
        <v>0</v>
      </c>
      <c r="I490" s="830">
        <f t="shared" si="161"/>
        <v>0</v>
      </c>
      <c r="J490" s="830">
        <f t="shared" si="161"/>
        <v>0</v>
      </c>
      <c r="K490" s="830">
        <f t="shared" si="161"/>
        <v>0</v>
      </c>
      <c r="L490" s="830">
        <f t="shared" si="161"/>
        <v>0</v>
      </c>
      <c r="M490" s="830">
        <f t="shared" si="161"/>
        <v>0</v>
      </c>
      <c r="N490" s="830">
        <f t="shared" si="161"/>
        <v>0</v>
      </c>
      <c r="O490" s="830">
        <f t="shared" si="161"/>
        <v>0</v>
      </c>
      <c r="P490" s="830">
        <f>ROUND(SUMIFS(P$495:P$866,$B$495:$B$866,$B490,$C$495:$C$866,$C490),0)</f>
        <v>0</v>
      </c>
      <c r="Q490" s="830">
        <f t="shared" si="158"/>
        <v>0</v>
      </c>
      <c r="R490" s="830">
        <f t="shared" si="158"/>
        <v>0</v>
      </c>
      <c r="S490" s="830"/>
    </row>
    <row r="491" spans="1:29" s="593" customFormat="1" ht="12" hidden="1" thickBot="1">
      <c r="A491" s="541" t="s">
        <v>179</v>
      </c>
      <c r="B491" s="596" t="s">
        <v>1504</v>
      </c>
      <c r="C491" s="592" t="s">
        <v>8</v>
      </c>
      <c r="D491" s="558"/>
      <c r="E491" s="559"/>
      <c r="F491" s="559"/>
      <c r="G491" s="559"/>
      <c r="H491" s="558"/>
      <c r="I491" s="591"/>
      <c r="J491" s="591"/>
      <c r="K491" s="591"/>
      <c r="L491" s="559"/>
      <c r="M491" s="559"/>
      <c r="N491" s="591"/>
      <c r="O491" s="591"/>
      <c r="P491" s="591"/>
      <c r="Q491" s="591"/>
      <c r="R491" s="559"/>
      <c r="S491" s="559"/>
    </row>
    <row r="492" spans="1:29" s="593" customFormat="1" ht="12" hidden="1" thickBot="1">
      <c r="A492" s="565"/>
      <c r="B492" s="566"/>
      <c r="C492" s="560"/>
      <c r="D492" s="541"/>
      <c r="E492" s="541"/>
      <c r="F492" s="541"/>
      <c r="G492" s="541"/>
      <c r="H492" s="541"/>
      <c r="I492" s="541"/>
      <c r="J492" s="541"/>
      <c r="K492" s="541"/>
      <c r="L492" s="541"/>
      <c r="M492" s="541"/>
      <c r="N492" s="541"/>
      <c r="O492" s="541"/>
      <c r="P492" s="541"/>
      <c r="Q492" s="541"/>
      <c r="R492" s="541"/>
      <c r="S492" s="541"/>
    </row>
    <row r="493" spans="1:29" s="593" customFormat="1" ht="12" hidden="1" thickBot="1">
      <c r="A493" s="541"/>
      <c r="B493" s="541"/>
      <c r="C493" s="541"/>
      <c r="D493" s="560"/>
      <c r="E493" s="560"/>
      <c r="F493" s="560"/>
      <c r="G493" s="560"/>
      <c r="H493" s="560"/>
      <c r="I493" s="560"/>
      <c r="J493" s="560"/>
      <c r="K493" s="560"/>
      <c r="L493" s="560"/>
      <c r="M493" s="560"/>
      <c r="N493" s="560"/>
      <c r="O493" s="560"/>
      <c r="P493" s="560"/>
      <c r="Q493" s="560"/>
      <c r="R493" s="560"/>
      <c r="S493" s="560"/>
    </row>
    <row r="494" spans="1:29" s="593" customFormat="1" ht="12" hidden="1" thickBot="1">
      <c r="A494" s="989" t="s">
        <v>1512</v>
      </c>
      <c r="B494" s="989" t="s">
        <v>1241</v>
      </c>
      <c r="C494" s="989"/>
      <c r="D494" s="989"/>
      <c r="E494" s="990"/>
      <c r="F494" s="991"/>
      <c r="S494" s="582"/>
    </row>
    <row r="495" spans="1:29" s="593" customFormat="1" ht="12" hidden="1" thickBot="1">
      <c r="A495" s="992">
        <v>2015</v>
      </c>
      <c r="B495" s="938" t="s">
        <v>1499</v>
      </c>
      <c r="C495" s="992" t="s">
        <v>174</v>
      </c>
      <c r="D495" s="593">
        <f>AA495-AA507</f>
        <v>429309.12959604198</v>
      </c>
      <c r="E495" s="993"/>
      <c r="H495" s="593">
        <f>AC495-H507</f>
        <v>564329.53099750984</v>
      </c>
      <c r="S495" s="585"/>
      <c r="AA495" s="593">
        <v>429316.12959604198</v>
      </c>
      <c r="AC495" s="593">
        <v>564336.68699750979</v>
      </c>
    </row>
    <row r="496" spans="1:29" s="593" customFormat="1" ht="12" hidden="1" thickBot="1">
      <c r="A496" s="992">
        <v>2015</v>
      </c>
      <c r="B496" s="596" t="s">
        <v>1500</v>
      </c>
      <c r="C496" s="992" t="s">
        <v>174</v>
      </c>
      <c r="D496" s="593">
        <f t="shared" ref="D496:D506" si="162">AA496-AA508</f>
        <v>429500.87785149901</v>
      </c>
      <c r="E496" s="993"/>
      <c r="H496" s="593">
        <f t="shared" ref="H496:H506" si="163">AC496-H508</f>
        <v>576723.27961726859</v>
      </c>
      <c r="S496" s="586"/>
      <c r="AA496" s="593">
        <v>429507.87785149901</v>
      </c>
      <c r="AC496" s="593">
        <v>576729.20261726854</v>
      </c>
    </row>
    <row r="497" spans="1:29" s="593" customFormat="1" ht="12" hidden="1" thickBot="1">
      <c r="A497" s="992">
        <v>2015</v>
      </c>
      <c r="B497" s="596" t="s">
        <v>1501</v>
      </c>
      <c r="C497" s="992" t="s">
        <v>174</v>
      </c>
      <c r="D497" s="593">
        <f t="shared" si="162"/>
        <v>429692.62597027601</v>
      </c>
      <c r="E497" s="993"/>
      <c r="H497" s="593">
        <f t="shared" si="163"/>
        <v>450429.07677050243</v>
      </c>
      <c r="S497" s="584"/>
      <c r="AA497" s="593">
        <v>429699.62597027601</v>
      </c>
      <c r="AC497" s="593">
        <v>450435.83977050241</v>
      </c>
    </row>
    <row r="498" spans="1:29" s="593" customFormat="1" ht="12" hidden="1" thickBot="1">
      <c r="A498" s="992">
        <v>2015</v>
      </c>
      <c r="B498" s="596" t="s">
        <v>1502</v>
      </c>
      <c r="C498" s="992" t="s">
        <v>174</v>
      </c>
      <c r="D498" s="593">
        <f t="shared" si="162"/>
        <v>429884.37408905203</v>
      </c>
      <c r="E498" s="993"/>
      <c r="H498" s="593">
        <f t="shared" si="163"/>
        <v>372865.55956277135</v>
      </c>
      <c r="S498" s="586"/>
      <c r="AA498" s="593">
        <v>429891.37408905203</v>
      </c>
      <c r="AC498" s="593">
        <v>372875.40256277134</v>
      </c>
    </row>
    <row r="499" spans="1:29" s="593" customFormat="1" ht="12" hidden="1" thickBot="1">
      <c r="A499" s="992">
        <v>2015</v>
      </c>
      <c r="B499" s="938" t="s">
        <v>1503</v>
      </c>
      <c r="C499" s="992" t="s">
        <v>174</v>
      </c>
      <c r="D499" s="593">
        <f t="shared" si="162"/>
        <v>430076.122344509</v>
      </c>
      <c r="E499" s="993"/>
      <c r="H499" s="593">
        <f t="shared" si="163"/>
        <v>425767.3689847716</v>
      </c>
      <c r="S499" s="585"/>
      <c r="AA499" s="593">
        <v>430083.122344509</v>
      </c>
      <c r="AC499" s="593">
        <v>425779.17198477162</v>
      </c>
    </row>
    <row r="500" spans="1:29" s="593" customFormat="1" ht="12" hidden="1" thickBot="1">
      <c r="A500" s="992">
        <v>2015</v>
      </c>
      <c r="B500" s="596" t="s">
        <v>1504</v>
      </c>
      <c r="C500" s="992" t="s">
        <v>174</v>
      </c>
      <c r="D500" s="593">
        <f t="shared" si="162"/>
        <v>430267.87046328501</v>
      </c>
      <c r="E500" s="993"/>
      <c r="H500" s="593">
        <f t="shared" si="163"/>
        <v>619539.65717630426</v>
      </c>
      <c r="S500" s="582"/>
      <c r="AA500" s="593">
        <v>430274.87046328501</v>
      </c>
      <c r="AC500" s="593">
        <v>619549.83317630424</v>
      </c>
    </row>
    <row r="501" spans="1:29" s="593" customFormat="1" ht="12" hidden="1" thickBot="1">
      <c r="A501" s="992">
        <v>2016</v>
      </c>
      <c r="B501" s="596" t="s">
        <v>1505</v>
      </c>
      <c r="C501" s="992" t="s">
        <v>174</v>
      </c>
      <c r="D501" s="593">
        <f t="shared" si="162"/>
        <v>430268.12605356902</v>
      </c>
      <c r="E501" s="993"/>
      <c r="H501" s="593">
        <f t="shared" si="163"/>
        <v>742959.05591727968</v>
      </c>
      <c r="S501" s="585"/>
      <c r="AA501" s="593">
        <v>430275.12605356902</v>
      </c>
      <c r="AC501" s="593">
        <v>742967.90091727965</v>
      </c>
    </row>
    <row r="502" spans="1:29" s="593" customFormat="1" ht="12" hidden="1" thickBot="1">
      <c r="A502" s="992">
        <v>2016</v>
      </c>
      <c r="B502" s="938" t="s">
        <v>1506</v>
      </c>
      <c r="C502" s="992" t="s">
        <v>174</v>
      </c>
      <c r="D502" s="593">
        <f t="shared" si="162"/>
        <v>430450.38178053399</v>
      </c>
      <c r="E502" s="993"/>
      <c r="H502" s="593">
        <f t="shared" si="163"/>
        <v>640535.38695542957</v>
      </c>
      <c r="S502" s="582"/>
      <c r="AA502" s="593">
        <v>430457.38178053399</v>
      </c>
      <c r="AC502" s="593">
        <v>640541.92295542953</v>
      </c>
    </row>
    <row r="503" spans="1:29" s="593" customFormat="1" ht="12" hidden="1" thickBot="1">
      <c r="A503" s="992">
        <v>2016</v>
      </c>
      <c r="B503" s="596" t="s">
        <v>1507</v>
      </c>
      <c r="C503" s="992" t="s">
        <v>174</v>
      </c>
      <c r="D503" s="593">
        <f t="shared" si="162"/>
        <v>430996.637370818</v>
      </c>
      <c r="E503" s="993"/>
      <c r="H503" s="593">
        <f t="shared" si="163"/>
        <v>556774.75964333676</v>
      </c>
      <c r="S503" s="584"/>
      <c r="AA503" s="593">
        <v>431003.637370818</v>
      </c>
      <c r="AC503" s="593">
        <v>556780.63464333676</v>
      </c>
    </row>
    <row r="504" spans="1:29" s="593" customFormat="1" ht="12" hidden="1" thickBot="1">
      <c r="A504" s="992">
        <v>2016</v>
      </c>
      <c r="B504" s="596" t="s">
        <v>1508</v>
      </c>
      <c r="C504" s="992" t="s">
        <v>174</v>
      </c>
      <c r="D504" s="593">
        <f t="shared" si="162"/>
        <v>431178.89296110201</v>
      </c>
      <c r="E504" s="993"/>
      <c r="H504" s="593">
        <f t="shared" si="163"/>
        <v>411408.94708052435</v>
      </c>
      <c r="S504" s="582"/>
      <c r="AA504" s="593">
        <v>431185.89296110201</v>
      </c>
      <c r="AC504" s="593">
        <v>411416.35408052435</v>
      </c>
    </row>
    <row r="505" spans="1:29" s="593" customFormat="1" ht="12" hidden="1" thickBot="1">
      <c r="A505" s="992">
        <v>2016</v>
      </c>
      <c r="B505" s="596" t="s">
        <v>1509</v>
      </c>
      <c r="C505" s="992" t="s">
        <v>174</v>
      </c>
      <c r="D505" s="593">
        <f t="shared" si="162"/>
        <v>431179.14868806698</v>
      </c>
      <c r="E505" s="993"/>
      <c r="H505" s="593">
        <f t="shared" si="163"/>
        <v>369792.17565579474</v>
      </c>
      <c r="S505" s="584"/>
      <c r="AA505" s="593">
        <v>431186.14868806698</v>
      </c>
      <c r="AC505" s="593">
        <v>369801.14065579476</v>
      </c>
    </row>
    <row r="506" spans="1:29" s="593" customFormat="1" ht="12" hidden="1" thickBot="1">
      <c r="A506" s="995">
        <v>2016</v>
      </c>
      <c r="B506" s="596" t="s">
        <v>1510</v>
      </c>
      <c r="C506" s="995" t="s">
        <v>174</v>
      </c>
      <c r="D506" s="593">
        <f t="shared" si="162"/>
        <v>431360.40427835099</v>
      </c>
      <c r="E506" s="580"/>
      <c r="F506" s="580"/>
      <c r="G506" s="580"/>
      <c r="H506" s="593">
        <f t="shared" si="163"/>
        <v>466265.09517022053</v>
      </c>
      <c r="I506" s="580"/>
      <c r="J506" s="580"/>
      <c r="K506" s="580"/>
      <c r="L506" s="580"/>
      <c r="M506" s="580"/>
      <c r="N506" s="580"/>
      <c r="O506" s="580"/>
      <c r="P506" s="580"/>
      <c r="Q506" s="580"/>
      <c r="R506" s="580"/>
      <c r="S506" s="582"/>
      <c r="AA506" s="580">
        <v>431368.40427835099</v>
      </c>
      <c r="AC506" s="593">
        <v>466274.25717022055</v>
      </c>
    </row>
    <row r="507" spans="1:29" s="593" customFormat="1" ht="12" hidden="1" thickBot="1">
      <c r="A507" s="992">
        <v>2015</v>
      </c>
      <c r="B507" s="938" t="s">
        <v>1499</v>
      </c>
      <c r="C507" s="998" t="s">
        <v>458</v>
      </c>
      <c r="D507" s="593">
        <f>AA507</f>
        <v>7</v>
      </c>
      <c r="E507" s="993">
        <v>5297</v>
      </c>
      <c r="F507" s="593">
        <v>1092</v>
      </c>
      <c r="G507" s="593">
        <v>767</v>
      </c>
      <c r="H507" s="593">
        <v>7.1559999999999997</v>
      </c>
      <c r="S507" s="585"/>
      <c r="AA507" s="593">
        <v>7</v>
      </c>
    </row>
    <row r="508" spans="1:29" s="593" customFormat="1" ht="12" hidden="1" thickBot="1">
      <c r="A508" s="992">
        <v>2015</v>
      </c>
      <c r="B508" s="596" t="s">
        <v>1500</v>
      </c>
      <c r="C508" s="998" t="s">
        <v>458</v>
      </c>
      <c r="D508" s="593">
        <f t="shared" ref="D508:D518" si="164">AA508</f>
        <v>7</v>
      </c>
      <c r="E508" s="993">
        <v>4017</v>
      </c>
      <c r="F508" s="593">
        <v>1188</v>
      </c>
      <c r="G508" s="593">
        <v>718</v>
      </c>
      <c r="H508" s="593">
        <v>5.923</v>
      </c>
      <c r="S508" s="586"/>
      <c r="AA508" s="593">
        <v>7</v>
      </c>
    </row>
    <row r="509" spans="1:29" s="593" customFormat="1" ht="12" hidden="1" thickBot="1">
      <c r="A509" s="992">
        <v>2015</v>
      </c>
      <c r="B509" s="596" t="s">
        <v>1501</v>
      </c>
      <c r="C509" s="998" t="s">
        <v>458</v>
      </c>
      <c r="D509" s="593">
        <f t="shared" si="164"/>
        <v>7</v>
      </c>
      <c r="E509" s="993">
        <v>4218</v>
      </c>
      <c r="F509" s="593">
        <v>1626</v>
      </c>
      <c r="G509" s="593">
        <v>919</v>
      </c>
      <c r="H509" s="593">
        <v>6.7629999999999999</v>
      </c>
      <c r="S509" s="584"/>
      <c r="AA509" s="593">
        <v>7</v>
      </c>
    </row>
    <row r="510" spans="1:29" s="593" customFormat="1" ht="12" hidden="1" thickBot="1">
      <c r="A510" s="992">
        <v>2015</v>
      </c>
      <c r="B510" s="596" t="s">
        <v>1502</v>
      </c>
      <c r="C510" s="998" t="s">
        <v>458</v>
      </c>
      <c r="D510" s="593">
        <f t="shared" si="164"/>
        <v>7</v>
      </c>
      <c r="E510" s="993">
        <v>6021</v>
      </c>
      <c r="F510" s="593">
        <v>2399</v>
      </c>
      <c r="G510" s="593">
        <v>1423</v>
      </c>
      <c r="H510" s="593">
        <v>9.843</v>
      </c>
      <c r="S510" s="586"/>
      <c r="AA510" s="593">
        <v>7</v>
      </c>
    </row>
    <row r="511" spans="1:29" s="593" customFormat="1" ht="12" hidden="1" thickBot="1">
      <c r="A511" s="992">
        <v>2015</v>
      </c>
      <c r="B511" s="938" t="s">
        <v>1503</v>
      </c>
      <c r="C511" s="998" t="s">
        <v>458</v>
      </c>
      <c r="D511" s="593">
        <f t="shared" si="164"/>
        <v>7</v>
      </c>
      <c r="E511" s="993">
        <v>6774</v>
      </c>
      <c r="F511" s="593">
        <v>3197</v>
      </c>
      <c r="G511" s="593">
        <v>1832</v>
      </c>
      <c r="H511" s="593">
        <v>11.803000000000001</v>
      </c>
      <c r="S511" s="585"/>
      <c r="AA511" s="593">
        <v>7</v>
      </c>
    </row>
    <row r="512" spans="1:29" s="593" customFormat="1" ht="12" hidden="1" thickBot="1">
      <c r="A512" s="992">
        <v>2015</v>
      </c>
      <c r="B512" s="596" t="s">
        <v>1504</v>
      </c>
      <c r="C512" s="998" t="s">
        <v>458</v>
      </c>
      <c r="D512" s="593">
        <f t="shared" si="164"/>
        <v>7</v>
      </c>
      <c r="E512" s="993">
        <v>5906</v>
      </c>
      <c r="F512" s="593">
        <v>2533</v>
      </c>
      <c r="G512" s="593">
        <v>1737</v>
      </c>
      <c r="H512" s="593">
        <v>10.176</v>
      </c>
      <c r="S512" s="582"/>
      <c r="AA512" s="593">
        <v>7</v>
      </c>
    </row>
    <row r="513" spans="1:27" s="593" customFormat="1" ht="12" hidden="1" thickBot="1">
      <c r="A513" s="992">
        <v>2016</v>
      </c>
      <c r="B513" s="596" t="s">
        <v>1505</v>
      </c>
      <c r="C513" s="998" t="s">
        <v>458</v>
      </c>
      <c r="D513" s="593">
        <f t="shared" si="164"/>
        <v>7</v>
      </c>
      <c r="E513" s="993">
        <v>5322</v>
      </c>
      <c r="F513" s="593">
        <v>2200</v>
      </c>
      <c r="G513" s="593">
        <v>1323</v>
      </c>
      <c r="H513" s="593">
        <v>8.8450000000000006</v>
      </c>
      <c r="S513" s="585"/>
      <c r="AA513" s="593">
        <v>7</v>
      </c>
    </row>
    <row r="514" spans="1:27" s="593" customFormat="1" ht="12" hidden="1" thickBot="1">
      <c r="A514" s="992">
        <v>2016</v>
      </c>
      <c r="B514" s="938" t="s">
        <v>1506</v>
      </c>
      <c r="C514" s="998" t="s">
        <v>458</v>
      </c>
      <c r="D514" s="593">
        <f t="shared" si="164"/>
        <v>7</v>
      </c>
      <c r="E514" s="993">
        <v>4008</v>
      </c>
      <c r="F514" s="593">
        <v>1620</v>
      </c>
      <c r="G514" s="593">
        <v>908</v>
      </c>
      <c r="H514" s="593">
        <v>6.5359999999999996</v>
      </c>
      <c r="S514" s="582"/>
      <c r="AA514" s="593">
        <v>7</v>
      </c>
    </row>
    <row r="515" spans="1:27" s="593" customFormat="1" ht="12" hidden="1" thickBot="1">
      <c r="A515" s="992">
        <v>2016</v>
      </c>
      <c r="B515" s="596" t="s">
        <v>1507</v>
      </c>
      <c r="C515" s="998" t="s">
        <v>458</v>
      </c>
      <c r="D515" s="593">
        <f t="shared" si="164"/>
        <v>7</v>
      </c>
      <c r="E515" s="993">
        <v>3962</v>
      </c>
      <c r="F515" s="593">
        <v>1210</v>
      </c>
      <c r="G515" s="593">
        <v>703</v>
      </c>
      <c r="H515" s="593">
        <v>5.875</v>
      </c>
      <c r="S515" s="584"/>
      <c r="AA515" s="593">
        <v>7</v>
      </c>
    </row>
    <row r="516" spans="1:27" s="593" customFormat="1" ht="12" hidden="1" thickBot="1">
      <c r="A516" s="992">
        <v>2016</v>
      </c>
      <c r="B516" s="596" t="s">
        <v>1508</v>
      </c>
      <c r="C516" s="998" t="s">
        <v>458</v>
      </c>
      <c r="D516" s="593">
        <f t="shared" si="164"/>
        <v>7</v>
      </c>
      <c r="E516" s="993">
        <v>5242</v>
      </c>
      <c r="F516" s="593">
        <v>1243</v>
      </c>
      <c r="G516" s="593">
        <v>922</v>
      </c>
      <c r="H516" s="593">
        <v>7.407</v>
      </c>
      <c r="S516" s="582"/>
      <c r="AA516" s="593">
        <v>7</v>
      </c>
    </row>
    <row r="517" spans="1:27" s="593" customFormat="1" ht="12" hidden="1" thickBot="1">
      <c r="A517" s="992">
        <v>2016</v>
      </c>
      <c r="B517" s="596" t="s">
        <v>1509</v>
      </c>
      <c r="C517" s="998" t="s">
        <v>458</v>
      </c>
      <c r="D517" s="593">
        <f t="shared" si="164"/>
        <v>7</v>
      </c>
      <c r="E517" s="993">
        <v>5924</v>
      </c>
      <c r="F517" s="593">
        <v>1775</v>
      </c>
      <c r="G517" s="593">
        <v>1266</v>
      </c>
      <c r="H517" s="593">
        <v>8.9649999999999999</v>
      </c>
      <c r="S517" s="584"/>
      <c r="AA517" s="593">
        <v>7</v>
      </c>
    </row>
    <row r="518" spans="1:27" s="593" customFormat="1" ht="12" hidden="1" thickBot="1">
      <c r="A518" s="995">
        <v>2016</v>
      </c>
      <c r="B518" s="596" t="s">
        <v>1510</v>
      </c>
      <c r="C518" s="998" t="s">
        <v>458</v>
      </c>
      <c r="D518" s="593">
        <f t="shared" si="164"/>
        <v>8</v>
      </c>
      <c r="E518" s="580">
        <v>5929</v>
      </c>
      <c r="F518" s="580">
        <v>1787</v>
      </c>
      <c r="G518" s="580">
        <v>1446</v>
      </c>
      <c r="H518" s="593">
        <v>9.1620000000000008</v>
      </c>
      <c r="I518" s="580"/>
      <c r="J518" s="580"/>
      <c r="K518" s="580"/>
      <c r="L518" s="580"/>
      <c r="M518" s="580"/>
      <c r="N518" s="580"/>
      <c r="O518" s="580"/>
      <c r="P518" s="580"/>
      <c r="Q518" s="580"/>
      <c r="R518" s="580"/>
      <c r="S518" s="582"/>
      <c r="AA518" s="593">
        <v>8</v>
      </c>
    </row>
    <row r="519" spans="1:27" s="593" customFormat="1" ht="12" hidden="1" thickBot="1">
      <c r="B519" s="938" t="s">
        <v>1499</v>
      </c>
      <c r="C519" s="992" t="s">
        <v>161</v>
      </c>
      <c r="D519" s="593">
        <v>63490.607886343161</v>
      </c>
      <c r="H519" s="996">
        <v>71183.679581085453</v>
      </c>
      <c r="S519" s="584"/>
    </row>
    <row r="520" spans="1:27" s="593" customFormat="1" ht="12" hidden="1" thickBot="1">
      <c r="B520" s="596" t="s">
        <v>1500</v>
      </c>
      <c r="C520" s="992" t="s">
        <v>161</v>
      </c>
      <c r="D520" s="593">
        <v>63498.356297630933</v>
      </c>
      <c r="H520" s="996">
        <v>73848.581123839991</v>
      </c>
      <c r="S520" s="582"/>
    </row>
    <row r="521" spans="1:27" s="593" customFormat="1" ht="12" hidden="1" thickBot="1">
      <c r="B521" s="596" t="s">
        <v>1501</v>
      </c>
      <c r="C521" s="992" t="s">
        <v>161</v>
      </c>
      <c r="D521" s="593">
        <v>63506.104708918705</v>
      </c>
      <c r="H521" s="996">
        <v>60603.647004374478</v>
      </c>
      <c r="S521" s="584"/>
    </row>
    <row r="522" spans="1:27" s="593" customFormat="1" ht="12" hidden="1" thickBot="1">
      <c r="B522" s="596" t="s">
        <v>1502</v>
      </c>
      <c r="C522" s="992" t="s">
        <v>161</v>
      </c>
      <c r="D522" s="593">
        <v>63513.853120206477</v>
      </c>
      <c r="H522" s="996">
        <v>56367.33687203849</v>
      </c>
      <c r="S522" s="582"/>
    </row>
    <row r="523" spans="1:27" s="593" customFormat="1" ht="12" hidden="1" thickBot="1">
      <c r="B523" s="938" t="s">
        <v>1503</v>
      </c>
      <c r="C523" s="992" t="s">
        <v>161</v>
      </c>
      <c r="D523" s="593">
        <v>63521.601531494241</v>
      </c>
      <c r="H523" s="996">
        <v>55344.548227952531</v>
      </c>
      <c r="S523" s="584"/>
    </row>
    <row r="524" spans="1:27" s="593" customFormat="1" ht="12" hidden="1" thickBot="1">
      <c r="B524" s="596" t="s">
        <v>1504</v>
      </c>
      <c r="C524" s="992" t="s">
        <v>161</v>
      </c>
      <c r="D524" s="593">
        <v>63529.349942782013</v>
      </c>
      <c r="H524" s="996">
        <v>68970.769700121426</v>
      </c>
      <c r="S524" s="582"/>
    </row>
    <row r="525" spans="1:27" s="593" customFormat="1" ht="12" hidden="1" thickBot="1">
      <c r="B525" s="596" t="s">
        <v>1505</v>
      </c>
      <c r="C525" s="992" t="s">
        <v>161</v>
      </c>
      <c r="D525" s="593">
        <v>63537.098354069785</v>
      </c>
      <c r="H525" s="996">
        <v>75764.743747698652</v>
      </c>
      <c r="S525" s="584"/>
    </row>
    <row r="526" spans="1:27" s="593" customFormat="1" ht="12" hidden="1" thickBot="1">
      <c r="B526" s="938" t="s">
        <v>1506</v>
      </c>
      <c r="C526" s="992" t="s">
        <v>161</v>
      </c>
      <c r="D526" s="593">
        <v>63544.84676535755</v>
      </c>
      <c r="H526" s="996">
        <v>68222.048497787982</v>
      </c>
      <c r="S526" s="582"/>
    </row>
    <row r="527" spans="1:27" s="593" customFormat="1" ht="12" hidden="1" thickBot="1">
      <c r="B527" s="596" t="s">
        <v>1507</v>
      </c>
      <c r="C527" s="992" t="s">
        <v>161</v>
      </c>
      <c r="D527" s="593">
        <v>63552.595176645322</v>
      </c>
      <c r="H527" s="996">
        <v>62577.001248189728</v>
      </c>
      <c r="S527" s="584"/>
    </row>
    <row r="528" spans="1:27" s="593" customFormat="1" ht="12" hidden="1" thickBot="1">
      <c r="B528" s="596" t="s">
        <v>1508</v>
      </c>
      <c r="C528" s="992" t="s">
        <v>161</v>
      </c>
      <c r="D528" s="593">
        <v>63560.343587933094</v>
      </c>
      <c r="H528" s="996">
        <v>53952.630943829136</v>
      </c>
      <c r="S528" s="582"/>
    </row>
    <row r="529" spans="1:19" s="593" customFormat="1" ht="12" hidden="1" thickBot="1">
      <c r="B529" s="596" t="s">
        <v>1509</v>
      </c>
      <c r="C529" s="992" t="s">
        <v>161</v>
      </c>
      <c r="D529" s="593">
        <v>63568.091999220866</v>
      </c>
      <c r="H529" s="996">
        <v>59224.022156726642</v>
      </c>
      <c r="S529" s="584"/>
    </row>
    <row r="530" spans="1:19" ht="12" hidden="1" thickBot="1">
      <c r="A530" s="593"/>
      <c r="B530" s="596" t="s">
        <v>1510</v>
      </c>
      <c r="C530" s="992" t="s">
        <v>161</v>
      </c>
      <c r="D530" s="593">
        <v>63575.84041050863</v>
      </c>
      <c r="E530" s="997"/>
      <c r="F530" s="580"/>
      <c r="G530" s="593"/>
      <c r="H530" s="996">
        <v>67544.146968495945</v>
      </c>
      <c r="I530" s="593"/>
      <c r="J530" s="593"/>
      <c r="K530" s="593"/>
      <c r="L530" s="593"/>
      <c r="M530" s="593"/>
      <c r="N530" s="593"/>
      <c r="O530" s="593"/>
      <c r="P530" s="593"/>
      <c r="Q530" s="593"/>
      <c r="R530" s="593"/>
      <c r="S530" s="845"/>
    </row>
    <row r="531" spans="1:19" ht="12" hidden="1" thickBot="1">
      <c r="A531" s="593"/>
      <c r="B531" s="938" t="s">
        <v>1499</v>
      </c>
      <c r="C531" s="998" t="s">
        <v>163</v>
      </c>
      <c r="D531" s="593">
        <v>18559.392113656839</v>
      </c>
      <c r="E531" s="993"/>
      <c r="F531" s="593"/>
      <c r="G531" s="593"/>
      <c r="H531" s="996">
        <v>104399.59949662816</v>
      </c>
      <c r="I531" s="593"/>
      <c r="J531" s="593"/>
      <c r="K531" s="593"/>
      <c r="L531" s="593"/>
      <c r="M531" s="593"/>
      <c r="N531" s="593"/>
      <c r="O531" s="593"/>
      <c r="P531" s="593"/>
      <c r="Q531" s="593"/>
      <c r="R531" s="593">
        <v>378298.75714964513</v>
      </c>
      <c r="S531" s="844"/>
    </row>
    <row r="532" spans="1:19" ht="12" hidden="1" thickBot="1">
      <c r="A532" s="593"/>
      <c r="B532" s="596" t="s">
        <v>1500</v>
      </c>
      <c r="C532" s="998" t="s">
        <v>163</v>
      </c>
      <c r="D532" s="593">
        <v>18561.643702369067</v>
      </c>
      <c r="E532" s="993"/>
      <c r="F532" s="593"/>
      <c r="G532" s="593"/>
      <c r="H532" s="996">
        <v>108396.95181075994</v>
      </c>
      <c r="I532" s="593"/>
      <c r="J532" s="593"/>
      <c r="K532" s="593"/>
      <c r="L532" s="593"/>
      <c r="M532" s="593"/>
      <c r="N532" s="593"/>
      <c r="O532" s="593"/>
      <c r="P532" s="593"/>
      <c r="Q532" s="593"/>
      <c r="R532" s="593">
        <v>388708.8420671004</v>
      </c>
      <c r="S532" s="845"/>
    </row>
    <row r="533" spans="1:19" s="593" customFormat="1" ht="12" hidden="1" thickBot="1">
      <c r="B533" s="596" t="s">
        <v>1501</v>
      </c>
      <c r="C533" s="998" t="s">
        <v>163</v>
      </c>
      <c r="D533" s="593">
        <v>18563.895291081299</v>
      </c>
      <c r="E533" s="993"/>
      <c r="H533" s="996">
        <v>88529.550631561709</v>
      </c>
      <c r="R533" s="593">
        <v>365688.07501973695</v>
      </c>
      <c r="S533" s="584"/>
    </row>
    <row r="534" spans="1:19" s="593" customFormat="1" ht="12" hidden="1" thickBot="1">
      <c r="B534" s="596" t="s">
        <v>1502</v>
      </c>
      <c r="C534" s="998" t="s">
        <v>163</v>
      </c>
      <c r="D534" s="593">
        <v>18566.14687979353</v>
      </c>
      <c r="E534" s="993"/>
      <c r="H534" s="996">
        <v>82175.085433057728</v>
      </c>
      <c r="R534" s="593">
        <v>354291.87461990153</v>
      </c>
      <c r="S534" s="582"/>
    </row>
    <row r="535" spans="1:19" s="593" customFormat="1" ht="12" hidden="1" thickBot="1">
      <c r="B535" s="938" t="s">
        <v>1503</v>
      </c>
      <c r="C535" s="998" t="s">
        <v>163</v>
      </c>
      <c r="D535" s="593">
        <v>18568.398468505759</v>
      </c>
      <c r="E535" s="993"/>
      <c r="H535" s="996">
        <v>80640.902466928776</v>
      </c>
      <c r="R535" s="593">
        <v>363606.36433044949</v>
      </c>
      <c r="S535" s="584"/>
    </row>
    <row r="536" spans="1:19" s="593" customFormat="1" ht="12" hidden="1" thickBot="1">
      <c r="B536" s="596" t="s">
        <v>1504</v>
      </c>
      <c r="C536" s="998" t="s">
        <v>163</v>
      </c>
      <c r="D536" s="593">
        <v>18570.65005721799</v>
      </c>
      <c r="E536" s="993"/>
      <c r="H536" s="996">
        <v>101080.23467518212</v>
      </c>
      <c r="R536" s="593">
        <v>385177.80146398745</v>
      </c>
      <c r="S536" s="582"/>
    </row>
    <row r="537" spans="1:19" s="593" customFormat="1" ht="12" hidden="1" thickBot="1">
      <c r="B537" s="596" t="s">
        <v>1505</v>
      </c>
      <c r="C537" s="998" t="s">
        <v>163</v>
      </c>
      <c r="D537" s="593">
        <v>18572.901645930218</v>
      </c>
      <c r="E537" s="993"/>
      <c r="H537" s="996">
        <v>111271.19574654794</v>
      </c>
      <c r="R537" s="593">
        <v>421326.15319491102</v>
      </c>
      <c r="S537" s="584"/>
    </row>
    <row r="538" spans="1:19" s="593" customFormat="1" ht="12" hidden="1" thickBot="1">
      <c r="B538" s="938" t="s">
        <v>1506</v>
      </c>
      <c r="C538" s="998" t="s">
        <v>163</v>
      </c>
      <c r="D538" s="593">
        <v>18575.15323464245</v>
      </c>
      <c r="E538" s="993"/>
      <c r="H538" s="996">
        <v>99957.152871681945</v>
      </c>
      <c r="R538" s="593">
        <v>412610.93368839601</v>
      </c>
      <c r="S538" s="582"/>
    </row>
    <row r="539" spans="1:19" s="593" customFormat="1" ht="12" hidden="1" thickBot="1">
      <c r="B539" s="596" t="s">
        <v>1507</v>
      </c>
      <c r="C539" s="998" t="s">
        <v>163</v>
      </c>
      <c r="D539" s="593">
        <v>18577.404823354678</v>
      </c>
      <c r="E539" s="993"/>
      <c r="H539" s="996">
        <v>91489.581997284578</v>
      </c>
      <c r="R539" s="593">
        <v>377207.19804086734</v>
      </c>
      <c r="S539" s="584"/>
    </row>
    <row r="540" spans="1:19" s="593" customFormat="1" ht="12" hidden="1" thickBot="1">
      <c r="B540" s="596" t="s">
        <v>1508</v>
      </c>
      <c r="C540" s="998" t="s">
        <v>163</v>
      </c>
      <c r="D540" s="593">
        <v>18579.65641206691</v>
      </c>
      <c r="E540" s="993"/>
      <c r="H540" s="996">
        <v>78553.026540743696</v>
      </c>
      <c r="R540" s="593">
        <v>371834.457270346</v>
      </c>
      <c r="S540" s="582"/>
    </row>
    <row r="541" spans="1:19" s="593" customFormat="1" ht="12" hidden="1" thickBot="1">
      <c r="B541" s="596" t="s">
        <v>1509</v>
      </c>
      <c r="C541" s="998" t="s">
        <v>163</v>
      </c>
      <c r="D541" s="593">
        <v>18581.908000779138</v>
      </c>
      <c r="E541" s="993"/>
      <c r="H541" s="996">
        <v>86460.113360089948</v>
      </c>
      <c r="R541" s="593">
        <v>363643.72144804656</v>
      </c>
      <c r="S541" s="584"/>
    </row>
    <row r="542" spans="1:19" s="593" customFormat="1" ht="12" hidden="1" thickBot="1">
      <c r="B542" s="596" t="s">
        <v>1510</v>
      </c>
      <c r="C542" s="998" t="s">
        <v>163</v>
      </c>
      <c r="D542" s="593">
        <v>18584.15958949137</v>
      </c>
      <c r="E542" s="580"/>
      <c r="F542" s="999"/>
      <c r="G542" s="999"/>
      <c r="H542" s="996">
        <v>98940.300577743881</v>
      </c>
      <c r="I542" s="999"/>
      <c r="J542" s="1000"/>
      <c r="K542" s="1000"/>
      <c r="L542" s="1000"/>
      <c r="M542" s="1000"/>
      <c r="N542" s="999"/>
      <c r="O542" s="1000"/>
      <c r="P542" s="1000"/>
      <c r="Q542" s="1000"/>
      <c r="R542" s="1000">
        <v>370806.11108489922</v>
      </c>
      <c r="S542" s="582"/>
    </row>
    <row r="543" spans="1:19" s="593" customFormat="1" ht="12" hidden="1" thickBot="1">
      <c r="B543" s="938" t="s">
        <v>1499</v>
      </c>
      <c r="C543" s="998" t="s">
        <v>164</v>
      </c>
      <c r="D543" s="593">
        <v>377</v>
      </c>
      <c r="H543" s="996">
        <v>629.05241014352657</v>
      </c>
      <c r="S543" s="589"/>
    </row>
    <row r="544" spans="1:19" ht="12" hidden="1" thickBot="1">
      <c r="A544" s="593"/>
      <c r="B544" s="596" t="s">
        <v>1500</v>
      </c>
      <c r="C544" s="998" t="s">
        <v>164</v>
      </c>
      <c r="D544" s="593">
        <v>376</v>
      </c>
      <c r="E544" s="593"/>
      <c r="F544" s="593"/>
      <c r="G544" s="593"/>
      <c r="H544" s="996">
        <v>629.51062435221911</v>
      </c>
      <c r="I544" s="593"/>
      <c r="J544" s="593"/>
      <c r="K544" s="593"/>
      <c r="L544" s="593"/>
      <c r="M544" s="593"/>
      <c r="N544" s="593"/>
      <c r="O544" s="593"/>
      <c r="P544" s="593"/>
      <c r="Q544" s="593"/>
      <c r="R544" s="593"/>
    </row>
    <row r="545" spans="1:18" ht="12" hidden="1" thickBot="1">
      <c r="A545" s="593"/>
      <c r="B545" s="596" t="s">
        <v>1501</v>
      </c>
      <c r="C545" s="998" t="s">
        <v>164</v>
      </c>
      <c r="D545" s="593">
        <v>375</v>
      </c>
      <c r="E545" s="593"/>
      <c r="F545" s="593"/>
      <c r="G545" s="593"/>
      <c r="H545" s="996">
        <v>520.80610084206035</v>
      </c>
      <c r="I545" s="593"/>
      <c r="J545" s="593"/>
      <c r="K545" s="593"/>
      <c r="L545" s="593"/>
      <c r="M545" s="593"/>
      <c r="N545" s="593"/>
      <c r="O545" s="593"/>
      <c r="P545" s="593"/>
      <c r="Q545" s="593"/>
      <c r="R545" s="593"/>
    </row>
    <row r="546" spans="1:18" ht="12" hidden="1" thickBot="1">
      <c r="A546" s="593"/>
      <c r="B546" s="596" t="s">
        <v>1502</v>
      </c>
      <c r="C546" s="998" t="s">
        <v>164</v>
      </c>
      <c r="D546" s="593">
        <v>375</v>
      </c>
      <c r="E546" s="593"/>
      <c r="F546" s="593"/>
      <c r="G546" s="593"/>
      <c r="H546" s="996">
        <v>560.79031958512701</v>
      </c>
      <c r="I546" s="593"/>
      <c r="J546" s="593"/>
      <c r="K546" s="593"/>
      <c r="L546" s="593"/>
      <c r="M546" s="593"/>
      <c r="N546" s="593"/>
      <c r="O546" s="593"/>
      <c r="P546" s="593"/>
      <c r="Q546" s="593"/>
      <c r="R546" s="593"/>
    </row>
    <row r="547" spans="1:18" ht="12" hidden="1" thickBot="1">
      <c r="A547" s="593"/>
      <c r="B547" s="938" t="s">
        <v>1503</v>
      </c>
      <c r="C547" s="998" t="s">
        <v>164</v>
      </c>
      <c r="D547" s="593">
        <v>374</v>
      </c>
      <c r="E547" s="593"/>
      <c r="F547" s="593"/>
      <c r="G547" s="593"/>
      <c r="H547" s="996">
        <v>645.70604281293436</v>
      </c>
      <c r="I547" s="593"/>
      <c r="J547" s="593"/>
      <c r="K547" s="593"/>
      <c r="L547" s="593"/>
      <c r="M547" s="593"/>
      <c r="N547" s="593"/>
      <c r="O547" s="593"/>
      <c r="P547" s="593"/>
      <c r="Q547" s="593"/>
      <c r="R547" s="593"/>
    </row>
    <row r="548" spans="1:18" ht="12" hidden="1" thickBot="1">
      <c r="A548" s="593"/>
      <c r="B548" s="596" t="s">
        <v>1504</v>
      </c>
      <c r="C548" s="998" t="s">
        <v>164</v>
      </c>
      <c r="D548" s="593">
        <v>373</v>
      </c>
      <c r="E548" s="593"/>
      <c r="F548" s="593"/>
      <c r="G548" s="593"/>
      <c r="H548" s="996">
        <v>744.78789771379957</v>
      </c>
      <c r="I548" s="593"/>
      <c r="J548" s="593"/>
      <c r="K548" s="593"/>
      <c r="L548" s="593"/>
      <c r="M548" s="593"/>
      <c r="N548" s="593"/>
      <c r="O548" s="593"/>
      <c r="P548" s="593"/>
      <c r="Q548" s="593"/>
      <c r="R548" s="593"/>
    </row>
    <row r="549" spans="1:18" ht="12" hidden="1" thickBot="1">
      <c r="A549" s="593"/>
      <c r="B549" s="596" t="s">
        <v>1505</v>
      </c>
      <c r="C549" s="998" t="s">
        <v>164</v>
      </c>
      <c r="D549" s="593">
        <v>374</v>
      </c>
      <c r="E549" s="593"/>
      <c r="F549" s="593"/>
      <c r="G549" s="593"/>
      <c r="H549" s="996">
        <v>784.3726157770999</v>
      </c>
      <c r="I549" s="593"/>
      <c r="J549" s="593"/>
      <c r="K549" s="593"/>
      <c r="L549" s="593"/>
      <c r="M549" s="593"/>
      <c r="N549" s="593"/>
      <c r="O549" s="593"/>
      <c r="P549" s="593"/>
      <c r="Q549" s="593"/>
      <c r="R549" s="593"/>
    </row>
    <row r="550" spans="1:18" ht="12" hidden="1" thickBot="1">
      <c r="A550" s="593"/>
      <c r="B550" s="938" t="s">
        <v>1506</v>
      </c>
      <c r="C550" s="998" t="s">
        <v>164</v>
      </c>
      <c r="D550" s="593">
        <v>373</v>
      </c>
      <c r="E550" s="593"/>
      <c r="F550" s="593"/>
      <c r="G550" s="593"/>
      <c r="H550" s="996">
        <v>719.70197762416501</v>
      </c>
      <c r="I550" s="593"/>
      <c r="J550" s="593"/>
      <c r="K550" s="593"/>
      <c r="L550" s="593"/>
      <c r="M550" s="593"/>
      <c r="N550" s="593"/>
      <c r="O550" s="593"/>
      <c r="P550" s="593"/>
      <c r="Q550" s="593"/>
      <c r="R550" s="593"/>
    </row>
    <row r="551" spans="1:18" ht="12" hidden="1" thickBot="1">
      <c r="A551" s="593"/>
      <c r="B551" s="596" t="s">
        <v>1507</v>
      </c>
      <c r="C551" s="998" t="s">
        <v>164</v>
      </c>
      <c r="D551" s="593">
        <v>371</v>
      </c>
      <c r="E551" s="593"/>
      <c r="F551" s="593"/>
      <c r="G551" s="593"/>
      <c r="H551" s="996">
        <v>688.33286427595021</v>
      </c>
      <c r="I551" s="593"/>
      <c r="J551" s="593"/>
      <c r="K551" s="593"/>
      <c r="L551" s="593"/>
      <c r="M551" s="593"/>
      <c r="N551" s="593"/>
      <c r="O551" s="593"/>
      <c r="P551" s="593"/>
      <c r="Q551" s="593"/>
      <c r="R551" s="593"/>
    </row>
    <row r="552" spans="1:18" ht="12" hidden="1" thickBot="1">
      <c r="A552" s="593"/>
      <c r="B552" s="596" t="s">
        <v>1508</v>
      </c>
      <c r="C552" s="998" t="s">
        <v>164</v>
      </c>
      <c r="D552" s="593">
        <v>359</v>
      </c>
      <c r="E552" s="593"/>
      <c r="F552" s="593"/>
      <c r="G552" s="593"/>
      <c r="H552" s="996">
        <v>567.97707321684402</v>
      </c>
      <c r="I552" s="593"/>
      <c r="J552" s="593"/>
      <c r="K552" s="593"/>
      <c r="L552" s="593"/>
      <c r="M552" s="593"/>
      <c r="N552" s="593"/>
      <c r="O552" s="593"/>
      <c r="P552" s="593"/>
      <c r="Q552" s="593"/>
      <c r="R552" s="593"/>
    </row>
    <row r="553" spans="1:18" ht="12" hidden="1" thickBot="1">
      <c r="A553" s="593"/>
      <c r="B553" s="596" t="s">
        <v>1509</v>
      </c>
      <c r="C553" s="998" t="s">
        <v>164</v>
      </c>
      <c r="D553" s="593">
        <v>382</v>
      </c>
      <c r="E553" s="593"/>
      <c r="F553" s="593"/>
      <c r="G553" s="593"/>
      <c r="H553" s="996">
        <v>643.62231282366065</v>
      </c>
      <c r="I553" s="593"/>
      <c r="J553" s="593"/>
      <c r="K553" s="593"/>
      <c r="L553" s="593"/>
      <c r="M553" s="593"/>
      <c r="N553" s="593"/>
      <c r="O553" s="593"/>
      <c r="P553" s="593"/>
      <c r="Q553" s="593"/>
      <c r="R553" s="593"/>
    </row>
    <row r="554" spans="1:18" ht="12" hidden="1" thickBot="1">
      <c r="A554" s="593"/>
      <c r="B554" s="596" t="s">
        <v>1510</v>
      </c>
      <c r="C554" s="998" t="s">
        <v>164</v>
      </c>
      <c r="D554" s="593">
        <v>382</v>
      </c>
      <c r="E554" s="593"/>
      <c r="F554" s="593"/>
      <c r="G554" s="593"/>
      <c r="H554" s="996">
        <v>632.03164811660861</v>
      </c>
      <c r="I554" s="593"/>
      <c r="J554" s="593"/>
      <c r="K554" s="593"/>
      <c r="L554" s="593"/>
      <c r="M554" s="593"/>
      <c r="N554" s="593"/>
      <c r="O554" s="593"/>
      <c r="P554" s="593"/>
      <c r="Q554" s="593"/>
      <c r="R554" s="593"/>
    </row>
    <row r="555" spans="1:18" ht="12" thickBot="1">
      <c r="A555" s="593"/>
      <c r="B555" s="938" t="s">
        <v>1499</v>
      </c>
      <c r="C555" s="998" t="s">
        <v>167</v>
      </c>
      <c r="D555" s="593">
        <v>262</v>
      </c>
      <c r="E555" s="593"/>
      <c r="F555" s="593"/>
      <c r="G555" s="593"/>
      <c r="H555" s="996">
        <v>11659.181086451392</v>
      </c>
      <c r="I555" s="593"/>
      <c r="J555" s="593"/>
      <c r="K555" s="593"/>
      <c r="L555" s="593"/>
      <c r="M555" s="593"/>
      <c r="N555" s="593"/>
      <c r="O555" s="593"/>
      <c r="P555" s="593"/>
      <c r="Q555" s="593"/>
      <c r="R555" s="593">
        <v>38479.325614795474</v>
      </c>
    </row>
    <row r="556" spans="1:18" ht="12" thickBot="1">
      <c r="A556" s="593"/>
      <c r="B556" s="596" t="s">
        <v>1500</v>
      </c>
      <c r="C556" s="998" t="s">
        <v>167</v>
      </c>
      <c r="D556" s="593">
        <v>261</v>
      </c>
      <c r="E556" s="593"/>
      <c r="F556" s="593"/>
      <c r="G556" s="593"/>
      <c r="H556" s="996">
        <v>11667.673864397053</v>
      </c>
      <c r="I556" s="593"/>
      <c r="J556" s="593"/>
      <c r="K556" s="593"/>
      <c r="L556" s="593"/>
      <c r="M556" s="593"/>
      <c r="N556" s="593"/>
      <c r="O556" s="593"/>
      <c r="P556" s="593"/>
      <c r="Q556" s="593"/>
      <c r="R556" s="593">
        <v>44048.256146581669</v>
      </c>
    </row>
    <row r="557" spans="1:18" ht="12" thickBot="1">
      <c r="A557" s="593"/>
      <c r="B557" s="596" t="s">
        <v>1501</v>
      </c>
      <c r="C557" s="998" t="s">
        <v>167</v>
      </c>
      <c r="D557" s="593">
        <v>260</v>
      </c>
      <c r="E557" s="593"/>
      <c r="F557" s="593"/>
      <c r="G557" s="593"/>
      <c r="H557" s="996">
        <v>9652.8882851920098</v>
      </c>
      <c r="I557" s="593"/>
      <c r="J557" s="593"/>
      <c r="K557" s="593"/>
      <c r="L557" s="593"/>
      <c r="M557" s="593"/>
      <c r="N557" s="593"/>
      <c r="O557" s="593"/>
      <c r="P557" s="593"/>
      <c r="Q557" s="593"/>
      <c r="R557" s="593">
        <v>39765.878281781886</v>
      </c>
    </row>
    <row r="558" spans="1:18" ht="12" thickBot="1">
      <c r="A558" s="593"/>
      <c r="B558" s="596" t="s">
        <v>1502</v>
      </c>
      <c r="C558" s="998" t="s">
        <v>167</v>
      </c>
      <c r="D558" s="593">
        <v>260</v>
      </c>
      <c r="E558" s="593"/>
      <c r="F558" s="593"/>
      <c r="G558" s="593"/>
      <c r="H558" s="996">
        <v>10393.97637166692</v>
      </c>
      <c r="I558" s="593"/>
      <c r="J558" s="593"/>
      <c r="K558" s="593"/>
      <c r="L558" s="593"/>
      <c r="M558" s="593"/>
      <c r="N558" s="593"/>
      <c r="O558" s="593"/>
      <c r="P558" s="593"/>
      <c r="Q558" s="593"/>
      <c r="R558" s="593">
        <v>43428.978554507368</v>
      </c>
    </row>
    <row r="559" spans="1:18" ht="12" thickBot="1">
      <c r="A559" s="593"/>
      <c r="B559" s="938" t="s">
        <v>1503</v>
      </c>
      <c r="C559" s="998" t="s">
        <v>167</v>
      </c>
      <c r="D559" s="593">
        <v>260</v>
      </c>
      <c r="E559" s="593"/>
      <c r="F559" s="593"/>
      <c r="G559" s="593"/>
      <c r="H559" s="996">
        <v>11967.848084477147</v>
      </c>
      <c r="I559" s="593"/>
      <c r="J559" s="593"/>
      <c r="K559" s="593"/>
      <c r="L559" s="593"/>
      <c r="M559" s="593"/>
      <c r="N559" s="593"/>
      <c r="O559" s="593"/>
      <c r="P559" s="593"/>
      <c r="Q559" s="593"/>
      <c r="R559" s="593">
        <v>54419.307094984259</v>
      </c>
    </row>
    <row r="560" spans="1:18" ht="12" thickBot="1">
      <c r="A560" s="593"/>
      <c r="B560" s="596" t="s">
        <v>1504</v>
      </c>
      <c r="C560" s="998" t="s">
        <v>167</v>
      </c>
      <c r="D560" s="593">
        <v>260</v>
      </c>
      <c r="E560" s="593"/>
      <c r="F560" s="593"/>
      <c r="G560" s="593"/>
      <c r="H560" s="996">
        <v>13804.282171753139</v>
      </c>
      <c r="I560" s="593"/>
      <c r="J560" s="593"/>
      <c r="K560" s="593"/>
      <c r="L560" s="593"/>
      <c r="M560" s="593"/>
      <c r="N560" s="593"/>
      <c r="O560" s="593"/>
      <c r="P560" s="593"/>
      <c r="Q560" s="593"/>
      <c r="R560" s="593">
        <v>51812.189153795145</v>
      </c>
    </row>
    <row r="561" spans="1:18" ht="12" thickBot="1">
      <c r="A561" s="593"/>
      <c r="B561" s="596" t="s">
        <v>1505</v>
      </c>
      <c r="C561" s="998" t="s">
        <v>167</v>
      </c>
      <c r="D561" s="593">
        <v>260</v>
      </c>
      <c r="E561" s="593"/>
      <c r="F561" s="593"/>
      <c r="G561" s="593"/>
      <c r="H561" s="996">
        <v>14537.965707042094</v>
      </c>
      <c r="I561" s="593"/>
      <c r="J561" s="593"/>
      <c r="K561" s="593"/>
      <c r="L561" s="593"/>
      <c r="M561" s="593"/>
      <c r="N561" s="593"/>
      <c r="O561" s="593"/>
      <c r="P561" s="593"/>
      <c r="Q561" s="593"/>
      <c r="R561" s="593">
        <v>55539.78940412173</v>
      </c>
    </row>
    <row r="562" spans="1:18" ht="12" thickBot="1">
      <c r="A562" s="593"/>
      <c r="B562" s="938" t="s">
        <v>1506</v>
      </c>
      <c r="C562" s="998" t="s">
        <v>167</v>
      </c>
      <c r="D562" s="593">
        <v>260</v>
      </c>
      <c r="E562" s="593"/>
      <c r="F562" s="593"/>
      <c r="G562" s="593"/>
      <c r="H562" s="996">
        <v>13339.326819338916</v>
      </c>
      <c r="I562" s="593"/>
      <c r="J562" s="593"/>
      <c r="K562" s="593"/>
      <c r="L562" s="593"/>
      <c r="M562" s="593"/>
      <c r="N562" s="593"/>
      <c r="O562" s="593"/>
      <c r="P562" s="593"/>
      <c r="Q562" s="593"/>
      <c r="R562" s="593">
        <v>55250.911813746985</v>
      </c>
    </row>
    <row r="563" spans="1:18" ht="12" thickBot="1">
      <c r="A563" s="593"/>
      <c r="B563" s="596" t="s">
        <v>1507</v>
      </c>
      <c r="C563" s="998" t="s">
        <v>167</v>
      </c>
      <c r="D563" s="593">
        <v>257</v>
      </c>
      <c r="E563" s="593"/>
      <c r="F563" s="593"/>
      <c r="G563" s="593"/>
      <c r="H563" s="996">
        <v>12757.915529674185</v>
      </c>
      <c r="I563" s="593"/>
      <c r="J563" s="593"/>
      <c r="K563" s="593"/>
      <c r="L563" s="593"/>
      <c r="M563" s="593"/>
      <c r="N563" s="593"/>
      <c r="O563" s="593"/>
      <c r="P563" s="593"/>
      <c r="Q563" s="593"/>
      <c r="R563" s="593">
        <v>54528.971165783572</v>
      </c>
    </row>
    <row r="564" spans="1:18" ht="12" thickBot="1">
      <c r="A564" s="593"/>
      <c r="B564" s="596" t="s">
        <v>1508</v>
      </c>
      <c r="C564" s="998" t="s">
        <v>167</v>
      </c>
      <c r="D564" s="593">
        <v>249</v>
      </c>
      <c r="E564" s="593"/>
      <c r="F564" s="593"/>
      <c r="G564" s="593"/>
      <c r="H564" s="996">
        <v>10527.179361854627</v>
      </c>
      <c r="I564" s="593"/>
      <c r="J564" s="593"/>
      <c r="K564" s="593"/>
      <c r="L564" s="593"/>
      <c r="M564" s="593"/>
      <c r="N564" s="593"/>
      <c r="O564" s="593"/>
      <c r="P564" s="593"/>
      <c r="Q564" s="593"/>
      <c r="R564" s="593">
        <v>53728.555466617785</v>
      </c>
    </row>
    <row r="565" spans="1:18" ht="12" thickBot="1">
      <c r="A565" s="593"/>
      <c r="B565" s="596" t="s">
        <v>1509</v>
      </c>
      <c r="C565" s="998" t="s">
        <v>167</v>
      </c>
      <c r="D565" s="593">
        <v>266</v>
      </c>
      <c r="E565" s="593"/>
      <c r="F565" s="593"/>
      <c r="G565" s="593"/>
      <c r="H565" s="996">
        <v>11929.227160547029</v>
      </c>
      <c r="I565" s="593"/>
      <c r="J565" s="593"/>
      <c r="K565" s="593"/>
      <c r="L565" s="593"/>
      <c r="M565" s="593"/>
      <c r="N565" s="593"/>
      <c r="O565" s="593"/>
      <c r="P565" s="593"/>
      <c r="Q565" s="593"/>
      <c r="R565" s="593">
        <v>49537.23250721881</v>
      </c>
    </row>
    <row r="566" spans="1:18" ht="12" thickBot="1">
      <c r="A566" s="593"/>
      <c r="B566" s="596" t="s">
        <v>1510</v>
      </c>
      <c r="C566" s="998" t="s">
        <v>167</v>
      </c>
      <c r="D566" s="593">
        <v>265</v>
      </c>
      <c r="E566" s="593"/>
      <c r="F566" s="593"/>
      <c r="G566" s="593"/>
      <c r="H566" s="996">
        <v>11714.399816191049</v>
      </c>
      <c r="I566" s="593"/>
      <c r="J566" s="593"/>
      <c r="K566" s="593"/>
      <c r="L566" s="593"/>
      <c r="M566" s="593"/>
      <c r="N566" s="593"/>
      <c r="O566" s="593"/>
      <c r="P566" s="593"/>
      <c r="Q566" s="593"/>
      <c r="R566" s="593">
        <v>47328.539928741455</v>
      </c>
    </row>
    <row r="567" spans="1:18" ht="12" hidden="1" thickBot="1">
      <c r="A567" s="593"/>
      <c r="B567" s="938" t="s">
        <v>1499</v>
      </c>
      <c r="C567" s="998" t="s">
        <v>155</v>
      </c>
      <c r="D567" s="593">
        <v>52</v>
      </c>
      <c r="E567" s="593"/>
      <c r="F567" s="593"/>
      <c r="G567" s="593"/>
      <c r="H567" s="994">
        <v>279512.04619050521</v>
      </c>
      <c r="I567" s="593"/>
      <c r="J567" s="593"/>
      <c r="K567" s="593"/>
      <c r="L567" s="593"/>
      <c r="M567" s="593"/>
      <c r="N567" s="593"/>
      <c r="O567" s="593">
        <v>560341.40522533562</v>
      </c>
      <c r="P567" s="593">
        <v>548515.05892135517</v>
      </c>
      <c r="Q567" s="593">
        <v>538935.5612195665</v>
      </c>
      <c r="R567" s="593"/>
    </row>
    <row r="568" spans="1:18" ht="12" hidden="1" thickBot="1">
      <c r="A568" s="593"/>
      <c r="B568" s="596" t="s">
        <v>1500</v>
      </c>
      <c r="C568" s="998" t="s">
        <v>155</v>
      </c>
      <c r="D568" s="593">
        <v>52</v>
      </c>
      <c r="E568" s="593"/>
      <c r="F568" s="593"/>
      <c r="G568" s="593"/>
      <c r="H568" s="994">
        <v>280193.45598146127</v>
      </c>
      <c r="I568" s="593"/>
      <c r="J568" s="593"/>
      <c r="K568" s="593"/>
      <c r="L568" s="593"/>
      <c r="M568" s="593"/>
      <c r="N568" s="593"/>
      <c r="O568" s="593">
        <v>563206.33418970206</v>
      </c>
      <c r="P568" s="593">
        <v>550094.81235046173</v>
      </c>
      <c r="Q568" s="593">
        <v>544359.17785695463</v>
      </c>
      <c r="R568" s="593"/>
    </row>
    <row r="569" spans="1:18" ht="12" hidden="1" thickBot="1">
      <c r="A569" s="593"/>
      <c r="B569" s="596" t="s">
        <v>1501</v>
      </c>
      <c r="C569" s="998" t="s">
        <v>155</v>
      </c>
      <c r="D569" s="593">
        <v>52</v>
      </c>
      <c r="E569" s="593"/>
      <c r="F569" s="593"/>
      <c r="G569" s="593"/>
      <c r="H569" s="994">
        <v>233921.55828558645</v>
      </c>
      <c r="I569" s="593"/>
      <c r="J569" s="593"/>
      <c r="K569" s="593"/>
      <c r="L569" s="593"/>
      <c r="M569" s="593"/>
      <c r="N569" s="593"/>
      <c r="O569" s="593">
        <v>532319.56058392569</v>
      </c>
      <c r="P569" s="593">
        <v>525566.29052392463</v>
      </c>
      <c r="Q569" s="593">
        <v>518603.47046647372</v>
      </c>
      <c r="R569" s="593"/>
    </row>
    <row r="570" spans="1:18" ht="12" hidden="1" thickBot="1">
      <c r="A570" s="593"/>
      <c r="B570" s="596" t="s">
        <v>1502</v>
      </c>
      <c r="C570" s="998" t="s">
        <v>155</v>
      </c>
      <c r="D570" s="593">
        <v>52</v>
      </c>
      <c r="E570" s="593"/>
      <c r="F570" s="593"/>
      <c r="G570" s="593"/>
      <c r="H570" s="994">
        <v>242601.16388451171</v>
      </c>
      <c r="I570" s="593"/>
      <c r="J570" s="593"/>
      <c r="K570" s="593"/>
      <c r="L570" s="593"/>
      <c r="M570" s="593"/>
      <c r="N570" s="593"/>
      <c r="O570" s="593">
        <v>537697.53900742903</v>
      </c>
      <c r="P570" s="593">
        <v>522820.23814476724</v>
      </c>
      <c r="Q570" s="593">
        <v>505851.97849206597</v>
      </c>
      <c r="R570" s="593"/>
    </row>
    <row r="571" spans="1:18" ht="12" hidden="1" thickBot="1">
      <c r="A571" s="593"/>
      <c r="B571" s="938" t="s">
        <v>1503</v>
      </c>
      <c r="C571" s="998" t="s">
        <v>155</v>
      </c>
      <c r="D571" s="593">
        <v>52</v>
      </c>
      <c r="E571" s="593"/>
      <c r="F571" s="593"/>
      <c r="G571" s="593"/>
      <c r="H571" s="994">
        <v>250340.51575590274</v>
      </c>
      <c r="I571" s="593"/>
      <c r="J571" s="593"/>
      <c r="K571" s="593"/>
      <c r="L571" s="593"/>
      <c r="M571" s="593"/>
      <c r="N571" s="593"/>
      <c r="O571" s="593">
        <v>513158.56739371747</v>
      </c>
      <c r="P571" s="593">
        <v>490650.98050690588</v>
      </c>
      <c r="Q571" s="593">
        <v>484533.30998436536</v>
      </c>
      <c r="R571" s="593"/>
    </row>
    <row r="572" spans="1:18" ht="12" hidden="1" thickBot="1">
      <c r="A572" s="593"/>
      <c r="B572" s="596" t="s">
        <v>1504</v>
      </c>
      <c r="C572" s="998" t="s">
        <v>155</v>
      </c>
      <c r="D572" s="593">
        <v>52</v>
      </c>
      <c r="E572" s="593"/>
      <c r="F572" s="593"/>
      <c r="G572" s="593"/>
      <c r="H572" s="994">
        <v>255284.57484359661</v>
      </c>
      <c r="I572" s="593"/>
      <c r="J572" s="593"/>
      <c r="K572" s="593"/>
      <c r="L572" s="593"/>
      <c r="M572" s="593"/>
      <c r="N572" s="593"/>
      <c r="O572" s="593">
        <v>517261.01572186564</v>
      </c>
      <c r="P572" s="593">
        <v>482638.43181873532</v>
      </c>
      <c r="Q572" s="593">
        <v>479025.85342933796</v>
      </c>
      <c r="R572" s="593"/>
    </row>
    <row r="573" spans="1:18" ht="12" hidden="1" thickBot="1">
      <c r="A573" s="593"/>
      <c r="B573" s="596" t="s">
        <v>1505</v>
      </c>
      <c r="C573" s="998" t="s">
        <v>155</v>
      </c>
      <c r="D573" s="593">
        <v>52</v>
      </c>
      <c r="E573" s="593"/>
      <c r="F573" s="593"/>
      <c r="G573" s="593"/>
      <c r="H573" s="994">
        <v>243518.26055967054</v>
      </c>
      <c r="I573" s="593"/>
      <c r="J573" s="593"/>
      <c r="K573" s="593"/>
      <c r="L573" s="593"/>
      <c r="M573" s="593"/>
      <c r="N573" s="593"/>
      <c r="O573" s="593">
        <v>498856.88548047352</v>
      </c>
      <c r="P573" s="593">
        <v>463847.29134552699</v>
      </c>
      <c r="Q573" s="593">
        <v>457226.81083682226</v>
      </c>
      <c r="R573" s="593"/>
    </row>
    <row r="574" spans="1:18" ht="12" hidden="1" thickBot="1">
      <c r="A574" s="593"/>
      <c r="B574" s="938" t="s">
        <v>1506</v>
      </c>
      <c r="C574" s="998" t="s">
        <v>155</v>
      </c>
      <c r="D574" s="593">
        <v>52</v>
      </c>
      <c r="E574" s="593"/>
      <c r="F574" s="593"/>
      <c r="G574" s="593"/>
      <c r="H574" s="994">
        <v>231780.49989802577</v>
      </c>
      <c r="I574" s="593"/>
      <c r="J574" s="593"/>
      <c r="K574" s="593"/>
      <c r="L574" s="593"/>
      <c r="M574" s="593"/>
      <c r="N574" s="593"/>
      <c r="O574" s="593">
        <v>519785.10543871985</v>
      </c>
      <c r="P574" s="593">
        <v>486707.46676314255</v>
      </c>
      <c r="Q574" s="593">
        <v>480301.26889376534</v>
      </c>
      <c r="R574" s="593"/>
    </row>
    <row r="575" spans="1:18" ht="12" hidden="1" thickBot="1">
      <c r="A575" s="593"/>
      <c r="B575" s="596" t="s">
        <v>1507</v>
      </c>
      <c r="C575" s="998" t="s">
        <v>155</v>
      </c>
      <c r="D575" s="593">
        <v>52</v>
      </c>
      <c r="E575" s="593"/>
      <c r="F575" s="593"/>
      <c r="G575" s="593"/>
      <c r="H575" s="994">
        <v>237299.34387560407</v>
      </c>
      <c r="I575" s="593"/>
      <c r="J575" s="593"/>
      <c r="K575" s="593"/>
      <c r="L575" s="593"/>
      <c r="M575" s="593"/>
      <c r="N575" s="593"/>
      <c r="O575" s="593">
        <v>520467.50035297225</v>
      </c>
      <c r="P575" s="593">
        <v>486706.06940649333</v>
      </c>
      <c r="Q575" s="593">
        <v>481057.50431142305</v>
      </c>
      <c r="R575" s="593"/>
    </row>
    <row r="576" spans="1:18" ht="12" hidden="1" thickBot="1">
      <c r="A576" s="593"/>
      <c r="B576" s="596" t="s">
        <v>1508</v>
      </c>
      <c r="C576" s="998" t="s">
        <v>155</v>
      </c>
      <c r="D576" s="593">
        <v>52</v>
      </c>
      <c r="E576" s="593"/>
      <c r="F576" s="593"/>
      <c r="G576" s="593"/>
      <c r="H576" s="994">
        <v>226428.62105821216</v>
      </c>
      <c r="I576" s="593"/>
      <c r="J576" s="593"/>
      <c r="K576" s="593"/>
      <c r="L576" s="593"/>
      <c r="M576" s="593"/>
      <c r="N576" s="593"/>
      <c r="O576" s="593">
        <v>512309.18930126756</v>
      </c>
      <c r="P576" s="593">
        <v>488087.08831121295</v>
      </c>
      <c r="Q576" s="593">
        <v>484789.02381057164</v>
      </c>
      <c r="R576" s="593"/>
    </row>
    <row r="577" spans="1:18" ht="12" hidden="1" thickBot="1">
      <c r="A577" s="593"/>
      <c r="B577" s="596" t="s">
        <v>1509</v>
      </c>
      <c r="C577" s="998" t="s">
        <v>155</v>
      </c>
      <c r="D577" s="593">
        <v>52</v>
      </c>
      <c r="E577" s="593"/>
      <c r="F577" s="593"/>
      <c r="G577" s="593"/>
      <c r="H577" s="994">
        <v>268486.93707944348</v>
      </c>
      <c r="I577" s="593"/>
      <c r="J577" s="593"/>
      <c r="K577" s="593"/>
      <c r="L577" s="593"/>
      <c r="M577" s="593"/>
      <c r="N577" s="593"/>
      <c r="O577" s="593">
        <v>511206.39920957515</v>
      </c>
      <c r="P577" s="593">
        <v>494009.59647062141</v>
      </c>
      <c r="Q577" s="593">
        <v>487846.6741762181</v>
      </c>
      <c r="R577" s="593"/>
    </row>
    <row r="578" spans="1:18" ht="12" hidden="1" thickBot="1">
      <c r="A578" s="593"/>
      <c r="B578" s="596" t="s">
        <v>1510</v>
      </c>
      <c r="C578" s="998" t="s">
        <v>155</v>
      </c>
      <c r="D578" s="593">
        <v>52</v>
      </c>
      <c r="E578" s="999"/>
      <c r="F578" s="999"/>
      <c r="G578" s="1000"/>
      <c r="H578" s="994">
        <v>279162.97456048708</v>
      </c>
      <c r="I578" s="1001"/>
      <c r="J578" s="1001"/>
      <c r="K578" s="593"/>
      <c r="L578" s="593"/>
      <c r="M578" s="593"/>
      <c r="N578" s="593"/>
      <c r="O578" s="593">
        <v>555460.6550987059</v>
      </c>
      <c r="P578" s="593">
        <v>531146.84292739548</v>
      </c>
      <c r="Q578" s="593">
        <v>525544.88687319274</v>
      </c>
      <c r="R578" s="593"/>
    </row>
    <row r="579" spans="1:18" ht="12" hidden="1" thickBot="1">
      <c r="A579" s="593"/>
      <c r="B579" s="938" t="s">
        <v>1499</v>
      </c>
      <c r="C579" s="998" t="s">
        <v>153</v>
      </c>
      <c r="D579" s="593">
        <v>204</v>
      </c>
      <c r="E579" s="593"/>
      <c r="F579" s="593"/>
      <c r="G579" s="593"/>
      <c r="H579" s="994">
        <v>22656.62337266338</v>
      </c>
      <c r="I579" s="1002"/>
      <c r="J579" s="1002"/>
      <c r="K579" s="593"/>
      <c r="L579" s="593"/>
      <c r="M579" s="593"/>
      <c r="N579" s="593"/>
      <c r="O579" s="593"/>
      <c r="P579" s="593"/>
      <c r="Q579" s="593"/>
      <c r="R579" s="593">
        <v>61569.12904899726</v>
      </c>
    </row>
    <row r="580" spans="1:18" ht="12" hidden="1" thickBot="1">
      <c r="A580" s="593"/>
      <c r="B580" s="596" t="s">
        <v>1500</v>
      </c>
      <c r="C580" s="998" t="s">
        <v>153</v>
      </c>
      <c r="D580" s="593">
        <v>202</v>
      </c>
      <c r="E580" s="593"/>
      <c r="F580" s="593"/>
      <c r="G580" s="593"/>
      <c r="H580" s="994">
        <v>22727.623700520646</v>
      </c>
      <c r="I580" s="1002"/>
      <c r="J580" s="1002"/>
      <c r="K580" s="593"/>
      <c r="L580" s="593"/>
      <c r="M580" s="593"/>
      <c r="N580" s="593"/>
      <c r="O580" s="593"/>
      <c r="P580" s="593"/>
      <c r="Q580" s="593"/>
      <c r="R580" s="593">
        <v>62186.336939093017</v>
      </c>
    </row>
    <row r="581" spans="1:18" ht="12" hidden="1" thickBot="1">
      <c r="A581" s="593"/>
      <c r="B581" s="596" t="s">
        <v>1501</v>
      </c>
      <c r="C581" s="998" t="s">
        <v>153</v>
      </c>
      <c r="D581" s="593">
        <v>201</v>
      </c>
      <c r="E581" s="593"/>
      <c r="F581" s="593"/>
      <c r="G581" s="593"/>
      <c r="H581" s="994">
        <v>17906.266639631009</v>
      </c>
      <c r="I581" s="1002"/>
      <c r="J581" s="1002"/>
      <c r="K581" s="593"/>
      <c r="L581" s="593"/>
      <c r="M581" s="593"/>
      <c r="N581" s="593"/>
      <c r="O581" s="593"/>
      <c r="P581" s="593"/>
      <c r="Q581" s="593"/>
      <c r="R581" s="593">
        <v>60266.782324743283</v>
      </c>
    </row>
    <row r="582" spans="1:18" ht="12" hidden="1" thickBot="1">
      <c r="A582" s="593"/>
      <c r="B582" s="596" t="s">
        <v>1502</v>
      </c>
      <c r="C582" s="998" t="s">
        <v>153</v>
      </c>
      <c r="D582" s="593">
        <v>199</v>
      </c>
      <c r="E582" s="593"/>
      <c r="F582" s="593"/>
      <c r="G582" s="593"/>
      <c r="H582" s="994">
        <v>18810.648777038932</v>
      </c>
      <c r="I582" s="1002"/>
      <c r="J582" s="1002"/>
      <c r="K582" s="593"/>
      <c r="L582" s="593"/>
      <c r="M582" s="593"/>
      <c r="N582" s="593"/>
      <c r="O582" s="593"/>
      <c r="P582" s="593"/>
      <c r="Q582" s="593"/>
      <c r="R582" s="593">
        <v>55989.059402706058</v>
      </c>
    </row>
    <row r="583" spans="1:18" ht="12" hidden="1" thickBot="1">
      <c r="A583" s="593"/>
      <c r="B583" s="938" t="s">
        <v>1503</v>
      </c>
      <c r="C583" s="998" t="s">
        <v>153</v>
      </c>
      <c r="D583" s="593">
        <v>198</v>
      </c>
      <c r="E583" s="593"/>
      <c r="F583" s="593"/>
      <c r="G583" s="593"/>
      <c r="H583" s="994">
        <v>19617.060025548566</v>
      </c>
      <c r="I583" s="1002"/>
      <c r="J583" s="1002"/>
      <c r="K583" s="593"/>
      <c r="L583" s="593"/>
      <c r="M583" s="593"/>
      <c r="N583" s="593"/>
      <c r="O583" s="593"/>
      <c r="P583" s="593"/>
      <c r="Q583" s="593"/>
      <c r="R583" s="593">
        <v>54524.584658645763</v>
      </c>
    </row>
    <row r="584" spans="1:18" ht="12" hidden="1" thickBot="1">
      <c r="A584" s="593"/>
      <c r="B584" s="596" t="s">
        <v>1504</v>
      </c>
      <c r="C584" s="998" t="s">
        <v>153</v>
      </c>
      <c r="D584" s="593">
        <v>196</v>
      </c>
      <c r="E584" s="593"/>
      <c r="F584" s="593"/>
      <c r="G584" s="593"/>
      <c r="H584" s="994">
        <v>20132.212318384682</v>
      </c>
      <c r="I584" s="1002"/>
      <c r="J584" s="1002"/>
      <c r="K584" s="593"/>
      <c r="L584" s="593"/>
      <c r="M584" s="593"/>
      <c r="N584" s="593"/>
      <c r="O584" s="593"/>
      <c r="P584" s="593"/>
      <c r="Q584" s="593"/>
      <c r="R584" s="593">
        <v>54458.579324985985</v>
      </c>
    </row>
    <row r="585" spans="1:18" ht="12" hidden="1" thickBot="1">
      <c r="A585" s="593"/>
      <c r="B585" s="596" t="s">
        <v>1505</v>
      </c>
      <c r="C585" s="998" t="s">
        <v>153</v>
      </c>
      <c r="D585" s="593">
        <v>195</v>
      </c>
      <c r="E585" s="593"/>
      <c r="F585" s="593"/>
      <c r="G585" s="593"/>
      <c r="H585" s="994">
        <v>18906.206788498868</v>
      </c>
      <c r="I585" s="1002"/>
      <c r="J585" s="1002"/>
      <c r="K585" s="593"/>
      <c r="L585" s="593"/>
      <c r="M585" s="593"/>
      <c r="N585" s="593"/>
      <c r="O585" s="593"/>
      <c r="P585" s="593"/>
      <c r="Q585" s="593"/>
      <c r="R585" s="593">
        <v>54537.026843015861</v>
      </c>
    </row>
    <row r="586" spans="1:18" ht="12" hidden="1" thickBot="1">
      <c r="A586" s="593"/>
      <c r="B586" s="938" t="s">
        <v>1506</v>
      </c>
      <c r="C586" s="998" t="s">
        <v>153</v>
      </c>
      <c r="D586" s="593">
        <v>195</v>
      </c>
      <c r="E586" s="593"/>
      <c r="F586" s="593"/>
      <c r="G586" s="593"/>
      <c r="H586" s="994">
        <v>17683.176438263221</v>
      </c>
      <c r="I586" s="1002"/>
      <c r="J586" s="1002"/>
      <c r="K586" s="593"/>
      <c r="L586" s="593"/>
      <c r="M586" s="593"/>
      <c r="N586" s="593"/>
      <c r="O586" s="593"/>
      <c r="P586" s="593"/>
      <c r="Q586" s="593"/>
      <c r="R586" s="593">
        <v>54613.199488927261</v>
      </c>
    </row>
    <row r="587" spans="1:18" ht="12" hidden="1" thickBot="1">
      <c r="A587" s="593"/>
      <c r="B587" s="596" t="s">
        <v>1507</v>
      </c>
      <c r="C587" s="998" t="s">
        <v>153</v>
      </c>
      <c r="D587" s="593">
        <v>195</v>
      </c>
      <c r="E587" s="593"/>
      <c r="F587" s="593"/>
      <c r="G587" s="593"/>
      <c r="H587" s="994">
        <v>18258.219146779968</v>
      </c>
      <c r="I587" s="1002"/>
      <c r="J587" s="1002"/>
      <c r="K587" s="593"/>
      <c r="L587" s="593"/>
      <c r="M587" s="593"/>
      <c r="N587" s="593"/>
      <c r="O587" s="593"/>
      <c r="P587" s="593"/>
      <c r="Q587" s="593"/>
      <c r="R587" s="593">
        <v>54710.616892422622</v>
      </c>
    </row>
    <row r="588" spans="1:18" ht="12" hidden="1" thickBot="1">
      <c r="A588" s="593"/>
      <c r="B588" s="596" t="s">
        <v>1508</v>
      </c>
      <c r="C588" s="998" t="s">
        <v>153</v>
      </c>
      <c r="D588" s="593">
        <v>195</v>
      </c>
      <c r="E588" s="593"/>
      <c r="F588" s="593"/>
      <c r="G588" s="593"/>
      <c r="H588" s="994">
        <v>17125.530866798759</v>
      </c>
      <c r="I588" s="1002"/>
      <c r="J588" s="1002"/>
      <c r="K588" s="593"/>
      <c r="L588" s="593"/>
      <c r="M588" s="593"/>
      <c r="N588" s="593"/>
      <c r="O588" s="593"/>
      <c r="P588" s="593"/>
      <c r="Q588" s="593"/>
      <c r="R588" s="593">
        <v>55075.004353729499</v>
      </c>
    </row>
    <row r="589" spans="1:18" ht="12" hidden="1" thickBot="1">
      <c r="A589" s="593"/>
      <c r="B589" s="596" t="s">
        <v>1509</v>
      </c>
      <c r="C589" s="998" t="s">
        <v>153</v>
      </c>
      <c r="D589" s="593">
        <v>195</v>
      </c>
      <c r="E589" s="593"/>
      <c r="F589" s="593"/>
      <c r="G589" s="593"/>
      <c r="H589" s="994">
        <v>21507.848623698745</v>
      </c>
      <c r="I589" s="1002"/>
      <c r="J589" s="1002"/>
      <c r="K589" s="593"/>
      <c r="L589" s="593"/>
      <c r="M589" s="593"/>
      <c r="N589" s="593"/>
      <c r="O589" s="593"/>
      <c r="P589" s="593"/>
      <c r="Q589" s="593"/>
      <c r="R589" s="593">
        <v>55893.053071998467</v>
      </c>
    </row>
    <row r="590" spans="1:18" ht="12" hidden="1" thickBot="1">
      <c r="A590" s="593"/>
      <c r="B590" s="596" t="s">
        <v>1510</v>
      </c>
      <c r="C590" s="998" t="s">
        <v>153</v>
      </c>
      <c r="D590" s="593">
        <v>195</v>
      </c>
      <c r="E590" s="593"/>
      <c r="F590" s="593"/>
      <c r="G590" s="593"/>
      <c r="H590" s="994">
        <v>22620.251426580569</v>
      </c>
      <c r="I590" s="1002"/>
      <c r="J590" s="1002"/>
      <c r="K590" s="593"/>
      <c r="L590" s="593"/>
      <c r="M590" s="593"/>
      <c r="N590" s="593"/>
      <c r="O590" s="593"/>
      <c r="P590" s="593"/>
      <c r="Q590" s="593"/>
      <c r="R590" s="593">
        <v>58830.280965339756</v>
      </c>
    </row>
    <row r="591" spans="1:18" ht="12" hidden="1" thickBot="1">
      <c r="A591" s="593"/>
      <c r="B591" s="938" t="s">
        <v>1499</v>
      </c>
      <c r="C591" s="998" t="s">
        <v>154</v>
      </c>
      <c r="D591" s="593">
        <v>4710</v>
      </c>
      <c r="E591" s="593"/>
      <c r="F591" s="593"/>
      <c r="G591" s="593"/>
      <c r="H591" s="994">
        <v>209548.84209416798</v>
      </c>
      <c r="I591" s="593"/>
      <c r="J591" s="593"/>
      <c r="K591" s="593"/>
      <c r="L591" s="593"/>
      <c r="M591" s="593"/>
      <c r="N591" s="593"/>
      <c r="O591" s="593"/>
      <c r="P591" s="593"/>
      <c r="Q591" s="593"/>
      <c r="R591" s="593">
        <v>679556.46383267397</v>
      </c>
    </row>
    <row r="592" spans="1:18" ht="12" hidden="1" thickBot="1">
      <c r="A592" s="593"/>
      <c r="B592" s="596" t="s">
        <v>1500</v>
      </c>
      <c r="C592" s="998" t="s">
        <v>154</v>
      </c>
      <c r="D592" s="593">
        <v>4700</v>
      </c>
      <c r="E592" s="593"/>
      <c r="F592" s="593"/>
      <c r="G592" s="593"/>
      <c r="H592" s="994">
        <v>209413.4250227765</v>
      </c>
      <c r="I592" s="593"/>
      <c r="J592" s="593"/>
      <c r="K592" s="593"/>
      <c r="L592" s="593"/>
      <c r="M592" s="593"/>
      <c r="N592" s="593"/>
      <c r="O592" s="593"/>
      <c r="P592" s="593"/>
      <c r="Q592" s="593"/>
      <c r="R592" s="593">
        <v>683205.28571321885</v>
      </c>
    </row>
    <row r="593" spans="1:18" ht="12" hidden="1" thickBot="1">
      <c r="A593" s="593"/>
      <c r="B593" s="596" t="s">
        <v>1501</v>
      </c>
      <c r="C593" s="998" t="s">
        <v>154</v>
      </c>
      <c r="D593" s="593">
        <v>4690</v>
      </c>
      <c r="E593" s="593"/>
      <c r="F593" s="593"/>
      <c r="G593" s="593"/>
      <c r="H593" s="994">
        <v>178051.43600918513</v>
      </c>
      <c r="I593" s="593"/>
      <c r="J593" s="593"/>
      <c r="K593" s="593"/>
      <c r="L593" s="593"/>
      <c r="M593" s="593"/>
      <c r="N593" s="593"/>
      <c r="O593" s="593"/>
      <c r="P593" s="593"/>
      <c r="Q593" s="593"/>
      <c r="R593" s="593">
        <v>684146.93717165105</v>
      </c>
    </row>
    <row r="594" spans="1:18" ht="12" hidden="1" thickBot="1">
      <c r="A594" s="593"/>
      <c r="B594" s="596" t="s">
        <v>1502</v>
      </c>
      <c r="C594" s="998" t="s">
        <v>154</v>
      </c>
      <c r="D594" s="593">
        <v>4680</v>
      </c>
      <c r="E594" s="593"/>
      <c r="F594" s="593"/>
      <c r="G594" s="593"/>
      <c r="H594" s="994">
        <v>169242.34751242396</v>
      </c>
      <c r="I594" s="593"/>
      <c r="J594" s="593"/>
      <c r="K594" s="593"/>
      <c r="L594" s="593"/>
      <c r="M594" s="593"/>
      <c r="N594" s="593"/>
      <c r="O594" s="593"/>
      <c r="P594" s="593"/>
      <c r="Q594" s="593"/>
      <c r="R594" s="593">
        <v>565092.73331254278</v>
      </c>
    </row>
    <row r="595" spans="1:18" ht="12" hidden="1" thickBot="1">
      <c r="A595" s="593"/>
      <c r="B595" s="938" t="s">
        <v>1503</v>
      </c>
      <c r="C595" s="998" t="s">
        <v>154</v>
      </c>
      <c r="D595" s="593">
        <v>4670</v>
      </c>
      <c r="E595" s="593"/>
      <c r="F595" s="593"/>
      <c r="G595" s="593"/>
      <c r="H595" s="994">
        <v>160821.9197469629</v>
      </c>
      <c r="I595" s="593"/>
      <c r="J595" s="593"/>
      <c r="K595" s="593"/>
      <c r="L595" s="593"/>
      <c r="M595" s="593"/>
      <c r="N595" s="593"/>
      <c r="O595" s="593"/>
      <c r="P595" s="593"/>
      <c r="Q595" s="593"/>
      <c r="R595" s="593">
        <v>508358.91736603208</v>
      </c>
    </row>
    <row r="596" spans="1:18" ht="12" hidden="1" thickBot="1">
      <c r="A596" s="593"/>
      <c r="B596" s="596" t="s">
        <v>1504</v>
      </c>
      <c r="C596" s="998" t="s">
        <v>154</v>
      </c>
      <c r="D596" s="593">
        <v>4660</v>
      </c>
      <c r="E596" s="593"/>
      <c r="F596" s="593"/>
      <c r="G596" s="593"/>
      <c r="H596" s="994">
        <v>177385.98730882161</v>
      </c>
      <c r="I596" s="593"/>
      <c r="J596" s="593"/>
      <c r="K596" s="593"/>
      <c r="L596" s="593"/>
      <c r="M596" s="593"/>
      <c r="N596" s="593"/>
      <c r="O596" s="593"/>
      <c r="P596" s="593"/>
      <c r="Q596" s="593"/>
      <c r="R596" s="593">
        <v>548106.31325178512</v>
      </c>
    </row>
    <row r="597" spans="1:18" ht="12" hidden="1" thickBot="1">
      <c r="A597" s="593"/>
      <c r="B597" s="596" t="s">
        <v>1505</v>
      </c>
      <c r="C597" s="998" t="s">
        <v>154</v>
      </c>
      <c r="D597" s="593">
        <v>4650</v>
      </c>
      <c r="E597" s="593"/>
      <c r="F597" s="593"/>
      <c r="G597" s="593"/>
      <c r="H597" s="994">
        <v>174767.46066400758</v>
      </c>
      <c r="I597" s="593"/>
      <c r="J597" s="593"/>
      <c r="K597" s="593"/>
      <c r="L597" s="593"/>
      <c r="M597" s="593"/>
      <c r="N597" s="593"/>
      <c r="O597" s="593"/>
      <c r="P597" s="593"/>
      <c r="Q597" s="593"/>
      <c r="R597" s="593">
        <v>568331.42212264787</v>
      </c>
    </row>
    <row r="598" spans="1:18" ht="12" hidden="1" thickBot="1">
      <c r="A598" s="593"/>
      <c r="B598" s="938" t="s">
        <v>1506</v>
      </c>
      <c r="C598" s="998" t="s">
        <v>154</v>
      </c>
      <c r="D598" s="593">
        <v>4640</v>
      </c>
      <c r="E598" s="593"/>
      <c r="F598" s="593"/>
      <c r="G598" s="593"/>
      <c r="H598" s="994">
        <v>153360.98587915965</v>
      </c>
      <c r="I598" s="593"/>
      <c r="J598" s="593"/>
      <c r="K598" s="593"/>
      <c r="L598" s="593"/>
      <c r="M598" s="593"/>
      <c r="N598" s="593"/>
      <c r="O598" s="593"/>
      <c r="P598" s="593"/>
      <c r="Q598" s="593"/>
      <c r="R598" s="593">
        <v>526967.13232160313</v>
      </c>
    </row>
    <row r="599" spans="1:18" ht="12" hidden="1" thickBot="1">
      <c r="A599" s="593"/>
      <c r="B599" s="596" t="s">
        <v>1507</v>
      </c>
      <c r="C599" s="998" t="s">
        <v>154</v>
      </c>
      <c r="D599" s="593">
        <v>4630</v>
      </c>
      <c r="E599" s="593"/>
      <c r="F599" s="593"/>
      <c r="G599" s="593"/>
      <c r="H599" s="994">
        <v>154898.62990464491</v>
      </c>
      <c r="I599" s="593"/>
      <c r="J599" s="593"/>
      <c r="K599" s="593"/>
      <c r="L599" s="593"/>
      <c r="M599" s="593"/>
      <c r="N599" s="593"/>
      <c r="O599" s="593"/>
      <c r="P599" s="593"/>
      <c r="Q599" s="593"/>
      <c r="R599" s="593">
        <v>519914.18001196493</v>
      </c>
    </row>
    <row r="600" spans="1:18" ht="12" hidden="1" thickBot="1">
      <c r="A600" s="593"/>
      <c r="B600" s="596" t="s">
        <v>1508</v>
      </c>
      <c r="C600" s="998" t="s">
        <v>154</v>
      </c>
      <c r="D600" s="593">
        <v>4620</v>
      </c>
      <c r="E600" s="593"/>
      <c r="F600" s="593"/>
      <c r="G600" s="593"/>
      <c r="H600" s="994">
        <v>148653.38092463589</v>
      </c>
      <c r="I600" s="593"/>
      <c r="J600" s="593"/>
      <c r="K600" s="593"/>
      <c r="L600" s="593"/>
      <c r="M600" s="593"/>
      <c r="N600" s="593"/>
      <c r="O600" s="593"/>
      <c r="P600" s="593"/>
      <c r="Q600" s="593"/>
      <c r="R600" s="593">
        <v>527559.46190258116</v>
      </c>
    </row>
    <row r="601" spans="1:18" ht="12" hidden="1" thickBot="1">
      <c r="A601" s="593"/>
      <c r="B601" s="596" t="s">
        <v>1509</v>
      </c>
      <c r="C601" s="998" t="s">
        <v>154</v>
      </c>
      <c r="D601" s="593">
        <v>4615</v>
      </c>
      <c r="E601" s="593"/>
      <c r="F601" s="593"/>
      <c r="G601" s="593"/>
      <c r="H601" s="994">
        <v>175977.35294685047</v>
      </c>
      <c r="I601" s="593"/>
      <c r="J601" s="593"/>
      <c r="K601" s="593"/>
      <c r="L601" s="593"/>
      <c r="M601" s="593"/>
      <c r="N601" s="593"/>
      <c r="O601" s="593"/>
      <c r="P601" s="593"/>
      <c r="Q601" s="593"/>
      <c r="R601" s="593">
        <v>549351.70245197322</v>
      </c>
    </row>
    <row r="602" spans="1:18" ht="12" hidden="1" thickBot="1">
      <c r="A602" s="593"/>
      <c r="B602" s="596" t="s">
        <v>1510</v>
      </c>
      <c r="C602" s="998" t="s">
        <v>154</v>
      </c>
      <c r="D602" s="593">
        <v>4610</v>
      </c>
      <c r="E602" s="593"/>
      <c r="F602" s="593"/>
      <c r="G602" s="593"/>
      <c r="H602" s="994">
        <v>197280.18159612911</v>
      </c>
      <c r="I602" s="593"/>
      <c r="J602" s="593"/>
      <c r="K602" s="593"/>
      <c r="L602" s="593"/>
      <c r="M602" s="593"/>
      <c r="N602" s="593"/>
      <c r="O602" s="593"/>
      <c r="P602" s="593"/>
      <c r="Q602" s="593"/>
      <c r="R602" s="593">
        <v>616719.94434403244</v>
      </c>
    </row>
    <row r="603" spans="1:18" ht="12" hidden="1" thickBot="1">
      <c r="A603" s="593"/>
      <c r="B603" s="938" t="s">
        <v>1499</v>
      </c>
      <c r="C603" s="998" t="s">
        <v>158</v>
      </c>
      <c r="D603" s="593">
        <v>194</v>
      </c>
      <c r="E603" s="593"/>
      <c r="F603" s="593"/>
      <c r="G603" s="593"/>
      <c r="H603" s="994">
        <v>116315.81918367799</v>
      </c>
      <c r="I603" s="593"/>
      <c r="J603" s="593"/>
      <c r="K603" s="593"/>
      <c r="L603" s="593"/>
      <c r="M603" s="593"/>
      <c r="N603" s="593"/>
      <c r="O603" s="593">
        <v>298883.09503415314</v>
      </c>
      <c r="P603" s="593">
        <v>286626.16346055281</v>
      </c>
      <c r="Q603" s="593">
        <v>280421.84886952193</v>
      </c>
      <c r="R603" s="593"/>
    </row>
    <row r="604" spans="1:18" ht="12" hidden="1" thickBot="1">
      <c r="A604" s="593"/>
      <c r="B604" s="596" t="s">
        <v>1500</v>
      </c>
      <c r="C604" s="998" t="s">
        <v>158</v>
      </c>
      <c r="D604" s="593">
        <v>196</v>
      </c>
      <c r="E604" s="593"/>
      <c r="F604" s="593"/>
      <c r="G604" s="593"/>
      <c r="H604" s="994">
        <v>116583.61349569976</v>
      </c>
      <c r="I604" s="593"/>
      <c r="J604" s="593"/>
      <c r="K604" s="593"/>
      <c r="L604" s="593"/>
      <c r="M604" s="593"/>
      <c r="N604" s="593"/>
      <c r="O604" s="593">
        <v>296541.96709062625</v>
      </c>
      <c r="P604" s="593">
        <v>283712.37949306745</v>
      </c>
      <c r="Q604" s="593">
        <v>275127.35784178786</v>
      </c>
      <c r="R604" s="593"/>
    </row>
    <row r="605" spans="1:18" ht="12" hidden="1" thickBot="1">
      <c r="A605" s="593"/>
      <c r="B605" s="596" t="s">
        <v>1501</v>
      </c>
      <c r="C605" s="998" t="s">
        <v>158</v>
      </c>
      <c r="D605" s="593">
        <v>197</v>
      </c>
      <c r="E605" s="593"/>
      <c r="F605" s="593"/>
      <c r="G605" s="593"/>
      <c r="H605" s="994">
        <v>98398.739762049474</v>
      </c>
      <c r="I605" s="593"/>
      <c r="J605" s="593"/>
      <c r="K605" s="593"/>
      <c r="L605" s="593"/>
      <c r="M605" s="593"/>
      <c r="N605" s="593"/>
      <c r="O605" s="593">
        <v>272896.96545422159</v>
      </c>
      <c r="P605" s="593">
        <v>262231.33361250552</v>
      </c>
      <c r="Q605" s="593">
        <v>252544.0545527795</v>
      </c>
      <c r="R605" s="593"/>
    </row>
    <row r="606" spans="1:18" ht="12" hidden="1" thickBot="1">
      <c r="A606" s="593"/>
      <c r="B606" s="596" t="s">
        <v>1502</v>
      </c>
      <c r="C606" s="998" t="s">
        <v>158</v>
      </c>
      <c r="D606" s="593">
        <v>199</v>
      </c>
      <c r="E606" s="593"/>
      <c r="F606" s="593"/>
      <c r="G606" s="593"/>
      <c r="H606" s="994">
        <v>101809.8281274271</v>
      </c>
      <c r="I606" s="593"/>
      <c r="J606" s="593"/>
      <c r="K606" s="593"/>
      <c r="L606" s="593"/>
      <c r="M606" s="593"/>
      <c r="N606" s="593"/>
      <c r="O606" s="593">
        <v>272350.45919941337</v>
      </c>
      <c r="P606" s="593">
        <v>262434.95653360384</v>
      </c>
      <c r="Q606" s="593">
        <v>254157.90076200388</v>
      </c>
      <c r="R606" s="593"/>
    </row>
    <row r="607" spans="1:18" ht="12" hidden="1" thickBot="1">
      <c r="A607" s="593"/>
      <c r="B607" s="938" t="s">
        <v>1503</v>
      </c>
      <c r="C607" s="998" t="s">
        <v>158</v>
      </c>
      <c r="D607" s="593">
        <v>200</v>
      </c>
      <c r="E607" s="593"/>
      <c r="F607" s="593"/>
      <c r="G607" s="593"/>
      <c r="H607" s="994">
        <v>104851.39641335633</v>
      </c>
      <c r="I607" s="593"/>
      <c r="J607" s="593"/>
      <c r="K607" s="593"/>
      <c r="L607" s="593"/>
      <c r="M607" s="593"/>
      <c r="N607" s="593"/>
      <c r="O607" s="593">
        <v>268873.68127344287</v>
      </c>
      <c r="P607" s="593">
        <v>257788.62862182281</v>
      </c>
      <c r="Q607" s="593">
        <v>253787.83871300635</v>
      </c>
      <c r="R607" s="593"/>
    </row>
    <row r="608" spans="1:18" ht="12" hidden="1" thickBot="1">
      <c r="A608" s="593"/>
      <c r="B608" s="596" t="s">
        <v>1504</v>
      </c>
      <c r="C608" s="998" t="s">
        <v>158</v>
      </c>
      <c r="D608" s="593">
        <v>202</v>
      </c>
      <c r="E608" s="593"/>
      <c r="F608" s="593"/>
      <c r="G608" s="593"/>
      <c r="H608" s="994">
        <v>106794.41355158437</v>
      </c>
      <c r="I608" s="593"/>
      <c r="J608" s="593"/>
      <c r="K608" s="593"/>
      <c r="L608" s="593"/>
      <c r="M608" s="593"/>
      <c r="N608" s="593"/>
      <c r="O608" s="593">
        <v>254407.40649555661</v>
      </c>
      <c r="P608" s="593">
        <v>244745.19159999123</v>
      </c>
      <c r="Q608" s="593">
        <v>241236.90578617735</v>
      </c>
      <c r="R608" s="593"/>
    </row>
    <row r="609" spans="1:18" ht="12" hidden="1" thickBot="1">
      <c r="A609" s="593"/>
      <c r="B609" s="596" t="s">
        <v>1505</v>
      </c>
      <c r="C609" s="998" t="s">
        <v>158</v>
      </c>
      <c r="D609" s="593">
        <v>203</v>
      </c>
      <c r="E609" s="593"/>
      <c r="F609" s="593"/>
      <c r="G609" s="593"/>
      <c r="H609" s="994">
        <v>102170.24747631414</v>
      </c>
      <c r="I609" s="593"/>
      <c r="J609" s="593"/>
      <c r="K609" s="593"/>
      <c r="L609" s="593"/>
      <c r="M609" s="593"/>
      <c r="N609" s="593"/>
      <c r="O609" s="593">
        <v>258077.9687202473</v>
      </c>
      <c r="P609" s="593">
        <v>245777.56228033255</v>
      </c>
      <c r="Q609" s="593">
        <v>241292.09162584605</v>
      </c>
      <c r="R609" s="593"/>
    </row>
    <row r="610" spans="1:18" ht="12" hidden="1" thickBot="1">
      <c r="A610" s="593"/>
      <c r="B610" s="938" t="s">
        <v>1506</v>
      </c>
      <c r="C610" s="998" t="s">
        <v>158</v>
      </c>
      <c r="D610" s="593">
        <v>205</v>
      </c>
      <c r="E610" s="593"/>
      <c r="F610" s="593"/>
      <c r="G610" s="593"/>
      <c r="H610" s="994">
        <v>97557.302985670336</v>
      </c>
      <c r="I610" s="593"/>
      <c r="J610" s="593"/>
      <c r="K610" s="593"/>
      <c r="L610" s="593"/>
      <c r="M610" s="593"/>
      <c r="N610" s="593"/>
      <c r="O610" s="593">
        <v>263568.31940477336</v>
      </c>
      <c r="P610" s="593">
        <v>249791.56331942926</v>
      </c>
      <c r="Q610" s="593">
        <v>246264.528017053</v>
      </c>
      <c r="R610" s="593"/>
    </row>
    <row r="611" spans="1:18" ht="12" hidden="1" thickBot="1">
      <c r="A611" s="593"/>
      <c r="B611" s="596" t="s">
        <v>1507</v>
      </c>
      <c r="C611" s="998" t="s">
        <v>158</v>
      </c>
      <c r="D611" s="593">
        <v>206</v>
      </c>
      <c r="E611" s="593"/>
      <c r="F611" s="593"/>
      <c r="G611" s="593"/>
      <c r="H611" s="994">
        <v>99726.21080846159</v>
      </c>
      <c r="I611" s="593"/>
      <c r="J611" s="593"/>
      <c r="K611" s="593"/>
      <c r="L611" s="593"/>
      <c r="M611" s="593"/>
      <c r="N611" s="593"/>
      <c r="O611" s="593">
        <v>260749.05397636528</v>
      </c>
      <c r="P611" s="593">
        <v>247848.81826284138</v>
      </c>
      <c r="Q611" s="593">
        <v>243450.31400601257</v>
      </c>
      <c r="R611" s="593"/>
    </row>
    <row r="612" spans="1:18" ht="12" hidden="1" thickBot="1">
      <c r="A612" s="593"/>
      <c r="B612" s="596" t="s">
        <v>1508</v>
      </c>
      <c r="C612" s="998" t="s">
        <v>158</v>
      </c>
      <c r="D612" s="593">
        <v>208</v>
      </c>
      <c r="E612" s="593"/>
      <c r="F612" s="593"/>
      <c r="G612" s="593"/>
      <c r="H612" s="994">
        <v>95454.012526751452</v>
      </c>
      <c r="I612" s="593"/>
      <c r="J612" s="593"/>
      <c r="K612" s="593"/>
      <c r="L612" s="593"/>
      <c r="M612" s="593"/>
      <c r="N612" s="593"/>
      <c r="O612" s="593">
        <v>278231.8358735654</v>
      </c>
      <c r="P612" s="593">
        <v>266025.47203130234</v>
      </c>
      <c r="Q612" s="593">
        <v>260650.57801461651</v>
      </c>
      <c r="R612" s="593"/>
    </row>
    <row r="613" spans="1:18" ht="12" hidden="1" thickBot="1">
      <c r="A613" s="593"/>
      <c r="B613" s="596" t="s">
        <v>1509</v>
      </c>
      <c r="C613" s="998" t="s">
        <v>158</v>
      </c>
      <c r="D613" s="593">
        <v>209</v>
      </c>
      <c r="E613" s="593"/>
      <c r="F613" s="593"/>
      <c r="G613" s="593"/>
      <c r="H613" s="994">
        <v>111982.94702870163</v>
      </c>
      <c r="I613" s="593"/>
      <c r="J613" s="593"/>
      <c r="K613" s="593"/>
      <c r="L613" s="593"/>
      <c r="M613" s="593"/>
      <c r="N613" s="593"/>
      <c r="O613" s="593">
        <v>271446.43220174668</v>
      </c>
      <c r="P613" s="593">
        <v>261290.04770344598</v>
      </c>
      <c r="Q613" s="593">
        <v>256589.69865708912</v>
      </c>
      <c r="R613" s="593"/>
    </row>
    <row r="614" spans="1:18" ht="12" hidden="1" thickBot="1">
      <c r="A614" s="593"/>
      <c r="B614" s="596" t="s">
        <v>1510</v>
      </c>
      <c r="C614" s="998" t="s">
        <v>158</v>
      </c>
      <c r="D614" s="593">
        <v>211</v>
      </c>
      <c r="E614" s="593"/>
      <c r="F614" s="593"/>
      <c r="G614" s="593"/>
      <c r="H614" s="994">
        <v>116178.63389774921</v>
      </c>
      <c r="I614" s="593"/>
      <c r="J614" s="593"/>
      <c r="K614" s="593"/>
      <c r="L614" s="593"/>
      <c r="M614" s="593"/>
      <c r="N614" s="593"/>
      <c r="O614" s="593">
        <v>279638.96864237601</v>
      </c>
      <c r="P614" s="593">
        <v>268078.41654824978</v>
      </c>
      <c r="Q614" s="593">
        <v>262859.06198958016</v>
      </c>
      <c r="R614" s="593"/>
    </row>
    <row r="615" spans="1:18" ht="12" hidden="1" thickBot="1">
      <c r="A615" s="593"/>
      <c r="B615" s="938" t="s">
        <v>1499</v>
      </c>
      <c r="C615" s="998" t="s">
        <v>159</v>
      </c>
      <c r="D615" s="593">
        <v>461</v>
      </c>
      <c r="E615" s="593"/>
      <c r="F615" s="593"/>
      <c r="G615" s="593"/>
      <c r="H615" s="994">
        <v>149714.8389770989</v>
      </c>
      <c r="I615" s="593"/>
      <c r="J615" s="593"/>
      <c r="K615" s="593"/>
      <c r="L615" s="593"/>
      <c r="M615" s="593"/>
      <c r="N615" s="593"/>
      <c r="O615" s="593">
        <v>361109.41266800952</v>
      </c>
      <c r="P615" s="593">
        <v>337141.32248322846</v>
      </c>
      <c r="Q615" s="593">
        <v>330578.73656516196</v>
      </c>
      <c r="R615" s="593"/>
    </row>
    <row r="616" spans="1:18" ht="12" hidden="1" thickBot="1">
      <c r="A616" s="593"/>
      <c r="B616" s="596" t="s">
        <v>1500</v>
      </c>
      <c r="C616" s="998" t="s">
        <v>159</v>
      </c>
      <c r="D616" s="593">
        <v>462</v>
      </c>
      <c r="E616" s="593"/>
      <c r="F616" s="593"/>
      <c r="G616" s="593"/>
      <c r="H616" s="994">
        <v>151711.80162118803</v>
      </c>
      <c r="I616" s="593"/>
      <c r="J616" s="593"/>
      <c r="K616" s="593"/>
      <c r="L616" s="593"/>
      <c r="M616" s="593"/>
      <c r="N616" s="593"/>
      <c r="O616" s="593">
        <v>367857.61876212055</v>
      </c>
      <c r="P616" s="593">
        <v>343441.62662138074</v>
      </c>
      <c r="Q616" s="593">
        <v>336756.40285248047</v>
      </c>
      <c r="R616" s="593"/>
    </row>
    <row r="617" spans="1:18" ht="12" hidden="1" thickBot="1">
      <c r="A617" s="593"/>
      <c r="B617" s="596" t="s">
        <v>1501</v>
      </c>
      <c r="C617" s="998" t="s">
        <v>159</v>
      </c>
      <c r="D617" s="593">
        <v>463</v>
      </c>
      <c r="E617" s="593"/>
      <c r="F617" s="593"/>
      <c r="G617" s="593"/>
      <c r="H617" s="994">
        <v>133838.23906568461</v>
      </c>
      <c r="I617" s="593"/>
      <c r="J617" s="593"/>
      <c r="K617" s="593"/>
      <c r="L617" s="593"/>
      <c r="M617" s="593"/>
      <c r="N617" s="593"/>
      <c r="O617" s="593">
        <v>373419.51732492255</v>
      </c>
      <c r="P617" s="593">
        <v>348634.36259335763</v>
      </c>
      <c r="Q617" s="593">
        <v>341848.06021530041</v>
      </c>
      <c r="R617" s="593"/>
    </row>
    <row r="618" spans="1:18" ht="12" hidden="1" thickBot="1">
      <c r="A618" s="593"/>
      <c r="B618" s="596" t="s">
        <v>1502</v>
      </c>
      <c r="C618" s="998" t="s">
        <v>159</v>
      </c>
      <c r="D618" s="593">
        <v>464</v>
      </c>
      <c r="E618" s="593"/>
      <c r="F618" s="593"/>
      <c r="G618" s="593"/>
      <c r="H618" s="994">
        <v>129968.3457005088</v>
      </c>
      <c r="I618" s="593"/>
      <c r="J618" s="593"/>
      <c r="K618" s="593"/>
      <c r="L618" s="593"/>
      <c r="M618" s="593"/>
      <c r="N618" s="593"/>
      <c r="O618" s="593">
        <v>324937.47249832854</v>
      </c>
      <c r="P618" s="593">
        <v>295953.36027439358</v>
      </c>
      <c r="Q618" s="593">
        <v>289324.01360318629</v>
      </c>
      <c r="R618" s="593"/>
    </row>
    <row r="619" spans="1:18" ht="12" hidden="1" thickBot="1">
      <c r="A619" s="593"/>
      <c r="B619" s="938" t="s">
        <v>1503</v>
      </c>
      <c r="C619" s="998" t="s">
        <v>159</v>
      </c>
      <c r="D619" s="593">
        <v>465</v>
      </c>
      <c r="E619" s="593"/>
      <c r="F619" s="593"/>
      <c r="G619" s="593"/>
      <c r="H619" s="994">
        <v>126203.04378615638</v>
      </c>
      <c r="I619" s="593"/>
      <c r="J619" s="593"/>
      <c r="K619" s="593"/>
      <c r="L619" s="593"/>
      <c r="M619" s="593"/>
      <c r="N619" s="593"/>
      <c r="O619" s="593">
        <v>300923.62004606653</v>
      </c>
      <c r="P619" s="593">
        <v>274081.52052708046</v>
      </c>
      <c r="Q619" s="593">
        <v>267942.10243072564</v>
      </c>
      <c r="R619" s="593"/>
    </row>
    <row r="620" spans="1:18" ht="12" hidden="1" thickBot="1">
      <c r="A620" s="593"/>
      <c r="B620" s="596" t="s">
        <v>1504</v>
      </c>
      <c r="C620" s="998" t="s">
        <v>159</v>
      </c>
      <c r="D620" s="593">
        <v>466</v>
      </c>
      <c r="E620" s="593"/>
      <c r="F620" s="593"/>
      <c r="G620" s="593"/>
      <c r="H620" s="994">
        <v>138941.02067399904</v>
      </c>
      <c r="I620" s="593"/>
      <c r="J620" s="593"/>
      <c r="K620" s="593"/>
      <c r="L620" s="593"/>
      <c r="M620" s="593"/>
      <c r="N620" s="593"/>
      <c r="O620" s="593">
        <v>325202.28388579714</v>
      </c>
      <c r="P620" s="593">
        <v>296194.55073900108</v>
      </c>
      <c r="Q620" s="593">
        <v>289559.80140839436</v>
      </c>
      <c r="R620" s="593"/>
    </row>
    <row r="621" spans="1:18" ht="12" hidden="1" thickBot="1">
      <c r="A621" s="593"/>
      <c r="B621" s="596" t="s">
        <v>1505</v>
      </c>
      <c r="C621" s="998" t="s">
        <v>159</v>
      </c>
      <c r="D621" s="593">
        <v>467</v>
      </c>
      <c r="E621" s="593"/>
      <c r="F621" s="593"/>
      <c r="G621" s="593"/>
      <c r="H621" s="994">
        <v>133726.08401632425</v>
      </c>
      <c r="I621" s="593"/>
      <c r="J621" s="593"/>
      <c r="K621" s="593"/>
      <c r="L621" s="593"/>
      <c r="M621" s="593"/>
      <c r="N621" s="593"/>
      <c r="O621" s="593">
        <v>326881.2753982892</v>
      </c>
      <c r="P621" s="593">
        <v>297723.7778120552</v>
      </c>
      <c r="Q621" s="593">
        <v>291054.77383944386</v>
      </c>
      <c r="R621" s="593"/>
    </row>
    <row r="622" spans="1:18" ht="12" hidden="1" thickBot="1">
      <c r="A622" s="593"/>
      <c r="B622" s="938" t="s">
        <v>1506</v>
      </c>
      <c r="C622" s="998" t="s">
        <v>159</v>
      </c>
      <c r="D622" s="593">
        <v>468</v>
      </c>
      <c r="E622" s="593"/>
      <c r="F622" s="593"/>
      <c r="G622" s="593"/>
      <c r="H622" s="994">
        <v>120135.69221724347</v>
      </c>
      <c r="I622" s="593"/>
      <c r="J622" s="593"/>
      <c r="K622" s="593"/>
      <c r="L622" s="593"/>
      <c r="M622" s="593"/>
      <c r="N622" s="593"/>
      <c r="O622" s="593">
        <v>307136.52359476621</v>
      </c>
      <c r="P622" s="593">
        <v>279740.23901270487</v>
      </c>
      <c r="Q622" s="593">
        <v>273474.06578668638</v>
      </c>
      <c r="R622" s="593"/>
    </row>
    <row r="623" spans="1:18" ht="12" hidden="1" thickBot="1">
      <c r="A623" s="593"/>
      <c r="B623" s="596" t="s">
        <v>1507</v>
      </c>
      <c r="C623" s="998" t="s">
        <v>159</v>
      </c>
      <c r="D623" s="593">
        <v>469</v>
      </c>
      <c r="E623" s="593"/>
      <c r="F623" s="593"/>
      <c r="G623" s="593"/>
      <c r="H623" s="994">
        <v>121409.59343030686</v>
      </c>
      <c r="I623" s="593"/>
      <c r="J623" s="593"/>
      <c r="K623" s="593"/>
      <c r="L623" s="593"/>
      <c r="M623" s="593"/>
      <c r="N623" s="593"/>
      <c r="O623" s="593">
        <v>304334.57402527158</v>
      </c>
      <c r="P623" s="593">
        <v>277188.22066888155</v>
      </c>
      <c r="Q623" s="593">
        <v>270979.21257961565</v>
      </c>
      <c r="R623" s="593"/>
    </row>
    <row r="624" spans="1:18" ht="12" hidden="1" thickBot="1">
      <c r="A624" s="593"/>
      <c r="B624" s="596" t="s">
        <v>1508</v>
      </c>
      <c r="C624" s="998" t="s">
        <v>159</v>
      </c>
      <c r="D624" s="593">
        <v>470</v>
      </c>
      <c r="E624" s="593"/>
      <c r="F624" s="593"/>
      <c r="G624" s="593"/>
      <c r="H624" s="994">
        <v>117607.49699989746</v>
      </c>
      <c r="I624" s="593"/>
      <c r="J624" s="593"/>
      <c r="K624" s="593"/>
      <c r="L624" s="593"/>
      <c r="M624" s="593"/>
      <c r="N624" s="593"/>
      <c r="O624" s="593">
        <v>308834.34325137269</v>
      </c>
      <c r="P624" s="593">
        <v>281286.61477739963</v>
      </c>
      <c r="Q624" s="593">
        <v>274985.80277918204</v>
      </c>
      <c r="R624" s="593"/>
    </row>
    <row r="625" spans="1:18" ht="12" hidden="1" thickBot="1">
      <c r="A625" s="593"/>
      <c r="B625" s="596" t="s">
        <v>1509</v>
      </c>
      <c r="C625" s="998" t="s">
        <v>159</v>
      </c>
      <c r="D625" s="593">
        <v>471</v>
      </c>
      <c r="E625" s="593"/>
      <c r="F625" s="593"/>
      <c r="G625" s="593"/>
      <c r="H625" s="994">
        <v>135748.32557448372</v>
      </c>
      <c r="I625" s="593"/>
      <c r="J625" s="593"/>
      <c r="K625" s="593"/>
      <c r="L625" s="593"/>
      <c r="M625" s="593"/>
      <c r="N625" s="593"/>
      <c r="O625" s="593">
        <v>316205.15247670509</v>
      </c>
      <c r="P625" s="593">
        <v>295217.51453213062</v>
      </c>
      <c r="Q625" s="593">
        <v>289470.99171088397</v>
      </c>
      <c r="R625" s="593"/>
    </row>
    <row r="626" spans="1:18" ht="12" hidden="1" thickBot="1">
      <c r="A626" s="593"/>
      <c r="B626" s="596" t="s">
        <v>1510</v>
      </c>
      <c r="C626" s="998" t="s">
        <v>159</v>
      </c>
      <c r="D626" s="593">
        <v>472</v>
      </c>
      <c r="E626" s="999"/>
      <c r="F626" s="1000"/>
      <c r="G626" s="1003"/>
      <c r="H626" s="994">
        <v>150027.76549022656</v>
      </c>
      <c r="I626" s="593"/>
      <c r="J626" s="593"/>
      <c r="K626" s="593"/>
      <c r="L626" s="593"/>
      <c r="M626" s="593"/>
      <c r="N626" s="593"/>
      <c r="O626" s="593">
        <v>350156.54764489742</v>
      </c>
      <c r="P626" s="593">
        <v>326915.43728242599</v>
      </c>
      <c r="Q626" s="593">
        <v>320551.90216514596</v>
      </c>
      <c r="R626" s="593"/>
    </row>
    <row r="627" spans="1:18" ht="12" hidden="1" thickBot="1">
      <c r="A627" s="593"/>
      <c r="B627" s="938" t="s">
        <v>1499</v>
      </c>
      <c r="C627" s="998" t="s">
        <v>152</v>
      </c>
      <c r="D627" s="593">
        <v>32</v>
      </c>
      <c r="E627" s="593"/>
      <c r="F627" s="593"/>
      <c r="G627" s="994"/>
      <c r="H627" s="994">
        <v>124179.78806386862</v>
      </c>
      <c r="I627" s="593"/>
      <c r="J627" s="593"/>
      <c r="K627" s="593"/>
      <c r="L627" s="593"/>
      <c r="M627" s="593"/>
      <c r="N627" s="593"/>
      <c r="O627" s="593">
        <v>303015.95203647082</v>
      </c>
      <c r="P627" s="593">
        <v>286021.98062904342</v>
      </c>
      <c r="Q627" s="593">
        <v>282760.10697236127</v>
      </c>
      <c r="R627" s="593"/>
    </row>
    <row r="628" spans="1:18" ht="12" hidden="1" thickBot="1">
      <c r="A628" s="593"/>
      <c r="B628" s="596" t="s">
        <v>1500</v>
      </c>
      <c r="C628" s="998" t="s">
        <v>152</v>
      </c>
      <c r="D628" s="593">
        <v>32</v>
      </c>
      <c r="E628" s="593"/>
      <c r="F628" s="593"/>
      <c r="G628" s="994"/>
      <c r="H628" s="994">
        <v>138340.91870525325</v>
      </c>
      <c r="I628" s="593"/>
      <c r="J628" s="593"/>
      <c r="K628" s="593"/>
      <c r="L628" s="593"/>
      <c r="M628" s="593"/>
      <c r="N628" s="593"/>
      <c r="O628" s="593">
        <v>292761.3128740986</v>
      </c>
      <c r="P628" s="593">
        <v>277929.19499891426</v>
      </c>
      <c r="Q628" s="593">
        <v>277013.0010792648</v>
      </c>
      <c r="R628" s="593"/>
    </row>
    <row r="629" spans="1:18" ht="12" hidden="1" thickBot="1">
      <c r="A629" s="593"/>
      <c r="B629" s="596" t="s">
        <v>1501</v>
      </c>
      <c r="C629" s="998" t="s">
        <v>152</v>
      </c>
      <c r="D629" s="593">
        <v>32</v>
      </c>
      <c r="E629" s="593"/>
      <c r="F629" s="593"/>
      <c r="G629" s="994"/>
      <c r="H629" s="994">
        <v>118627.72742739633</v>
      </c>
      <c r="I629" s="593"/>
      <c r="J629" s="593"/>
      <c r="K629" s="593"/>
      <c r="L629" s="593"/>
      <c r="M629" s="593"/>
      <c r="N629" s="593"/>
      <c r="O629" s="593">
        <v>303335.93530027539</v>
      </c>
      <c r="P629" s="593">
        <v>286770.12182486581</v>
      </c>
      <c r="Q629" s="593">
        <v>283053.22555020865</v>
      </c>
      <c r="R629" s="593"/>
    </row>
    <row r="630" spans="1:18" ht="12" hidden="1" thickBot="1">
      <c r="A630" s="593"/>
      <c r="B630" s="596" t="s">
        <v>1502</v>
      </c>
      <c r="C630" s="998" t="s">
        <v>152</v>
      </c>
      <c r="D630" s="593">
        <v>32</v>
      </c>
      <c r="E630" s="593"/>
      <c r="F630" s="593"/>
      <c r="G630" s="994"/>
      <c r="H630" s="994">
        <v>127037.66740078342</v>
      </c>
      <c r="I630" s="593"/>
      <c r="J630" s="593"/>
      <c r="K630" s="593"/>
      <c r="L630" s="593"/>
      <c r="M630" s="593"/>
      <c r="N630" s="593"/>
      <c r="O630" s="593">
        <v>295166.35002704972</v>
      </c>
      <c r="P630" s="593">
        <v>285093.16988218762</v>
      </c>
      <c r="Q630" s="593">
        <v>280936.46001079009</v>
      </c>
      <c r="R630" s="593"/>
    </row>
    <row r="631" spans="1:18" ht="12" hidden="1" thickBot="1">
      <c r="A631" s="593"/>
      <c r="B631" s="938" t="s">
        <v>1503</v>
      </c>
      <c r="C631" s="998" t="s">
        <v>152</v>
      </c>
      <c r="D631" s="593">
        <v>32</v>
      </c>
      <c r="E631" s="593"/>
      <c r="F631" s="593"/>
      <c r="G631" s="994"/>
      <c r="H631" s="994">
        <v>136559.53427873555</v>
      </c>
      <c r="I631" s="593"/>
      <c r="J631" s="593"/>
      <c r="K631" s="593"/>
      <c r="L631" s="593"/>
      <c r="M631" s="593"/>
      <c r="N631" s="593"/>
      <c r="O631" s="593">
        <v>301167.41503133258</v>
      </c>
      <c r="P631" s="593">
        <v>293807.68142536085</v>
      </c>
      <c r="Q631" s="593">
        <v>283168.84869375179</v>
      </c>
      <c r="R631" s="593"/>
    </row>
    <row r="632" spans="1:18" ht="12" hidden="1" thickBot="1">
      <c r="A632" s="593"/>
      <c r="B632" s="596" t="s">
        <v>1504</v>
      </c>
      <c r="C632" s="998" t="s">
        <v>152</v>
      </c>
      <c r="D632" s="593">
        <v>32</v>
      </c>
      <c r="E632" s="593"/>
      <c r="F632" s="593"/>
      <c r="G632" s="994"/>
      <c r="H632" s="994">
        <v>143877.22330161318</v>
      </c>
      <c r="I632" s="593"/>
      <c r="J632" s="593"/>
      <c r="K632" s="593"/>
      <c r="L632" s="593"/>
      <c r="M632" s="593"/>
      <c r="N632" s="593"/>
      <c r="O632" s="593">
        <v>305100.75315947487</v>
      </c>
      <c r="P632" s="593">
        <v>298665.59966911457</v>
      </c>
      <c r="Q632" s="593">
        <v>292465.4293481377</v>
      </c>
      <c r="R632" s="593"/>
    </row>
    <row r="633" spans="1:18" ht="12" hidden="1" thickBot="1">
      <c r="A633" s="593"/>
      <c r="B633" s="596" t="s">
        <v>1505</v>
      </c>
      <c r="C633" s="998" t="s">
        <v>152</v>
      </c>
      <c r="D633" s="593">
        <v>32</v>
      </c>
      <c r="E633" s="593"/>
      <c r="F633" s="593"/>
      <c r="G633" s="994"/>
      <c r="H633" s="994">
        <v>138414.53957859159</v>
      </c>
      <c r="I633" s="593"/>
      <c r="J633" s="593"/>
      <c r="K633" s="593"/>
      <c r="L633" s="593"/>
      <c r="M633" s="593"/>
      <c r="N633" s="593"/>
      <c r="O633" s="593">
        <v>307322.51672138652</v>
      </c>
      <c r="P633" s="593">
        <v>296170.30768978159</v>
      </c>
      <c r="Q633" s="593">
        <v>284455.32785144821</v>
      </c>
      <c r="R633" s="593"/>
    </row>
    <row r="634" spans="1:18" ht="12" hidden="1" thickBot="1">
      <c r="A634" s="593"/>
      <c r="B634" s="938" t="s">
        <v>1506</v>
      </c>
      <c r="C634" s="998" t="s">
        <v>152</v>
      </c>
      <c r="D634" s="593">
        <v>32</v>
      </c>
      <c r="E634" s="593"/>
      <c r="F634" s="593"/>
      <c r="G634" s="994"/>
      <c r="H634" s="994">
        <v>130048.8318836425</v>
      </c>
      <c r="I634" s="593"/>
      <c r="J634" s="593"/>
      <c r="K634" s="593"/>
      <c r="L634" s="593"/>
      <c r="M634" s="593"/>
      <c r="N634" s="593"/>
      <c r="O634" s="593">
        <v>313851.82751069509</v>
      </c>
      <c r="P634" s="593">
        <v>298405.35898816219</v>
      </c>
      <c r="Q634" s="593">
        <v>290557.78999287769</v>
      </c>
      <c r="R634" s="593"/>
    </row>
    <row r="635" spans="1:18" ht="12" hidden="1" thickBot="1">
      <c r="A635" s="593"/>
      <c r="B635" s="596" t="s">
        <v>1507</v>
      </c>
      <c r="C635" s="998" t="s">
        <v>152</v>
      </c>
      <c r="D635" s="593">
        <v>32</v>
      </c>
      <c r="E635" s="593"/>
      <c r="F635" s="593"/>
      <c r="G635" s="994"/>
      <c r="H635" s="994">
        <v>134527.23648975903</v>
      </c>
      <c r="I635" s="593"/>
      <c r="J635" s="593"/>
      <c r="K635" s="593"/>
      <c r="L635" s="593"/>
      <c r="M635" s="593"/>
      <c r="N635" s="593"/>
      <c r="O635" s="593">
        <v>301106.54211598623</v>
      </c>
      <c r="P635" s="593">
        <v>289470.46627535054</v>
      </c>
      <c r="Q635" s="593">
        <v>284157.75317857787</v>
      </c>
      <c r="R635" s="593"/>
    </row>
    <row r="636" spans="1:18" ht="12" hidden="1" thickBot="1">
      <c r="A636" s="593"/>
      <c r="B636" s="596" t="s">
        <v>1508</v>
      </c>
      <c r="C636" s="998" t="s">
        <v>152</v>
      </c>
      <c r="D636" s="593">
        <v>32</v>
      </c>
      <c r="E636" s="593"/>
      <c r="F636" s="593"/>
      <c r="G636" s="994"/>
      <c r="H636" s="994">
        <v>125338.352808646</v>
      </c>
      <c r="I636" s="593"/>
      <c r="J636" s="593"/>
      <c r="K636" s="593"/>
      <c r="L636" s="593"/>
      <c r="M636" s="593"/>
      <c r="N636" s="593"/>
      <c r="O636" s="593">
        <v>306601.64710906835</v>
      </c>
      <c r="P636" s="593">
        <v>296919.47935844731</v>
      </c>
      <c r="Q636" s="593">
        <v>283380.76220885338</v>
      </c>
      <c r="R636" s="593"/>
    </row>
    <row r="637" spans="1:18" ht="12" hidden="1" thickBot="1">
      <c r="A637" s="593"/>
      <c r="B637" s="596" t="s">
        <v>1509</v>
      </c>
      <c r="C637" s="998" t="s">
        <v>152</v>
      </c>
      <c r="D637" s="593">
        <v>32</v>
      </c>
      <c r="E637" s="593"/>
      <c r="F637" s="593"/>
      <c r="G637" s="994"/>
      <c r="H637" s="994">
        <v>145721.91942013506</v>
      </c>
      <c r="I637" s="593"/>
      <c r="J637" s="593"/>
      <c r="K637" s="593"/>
      <c r="L637" s="593"/>
      <c r="M637" s="593"/>
      <c r="N637" s="593"/>
      <c r="O637" s="593">
        <v>305164.43508259428</v>
      </c>
      <c r="P637" s="593">
        <v>297245.51100877021</v>
      </c>
      <c r="Q637" s="593">
        <v>289385.66096710658</v>
      </c>
      <c r="R637" s="593"/>
    </row>
    <row r="638" spans="1:18" ht="12" hidden="1" thickBot="1">
      <c r="A638" s="593"/>
      <c r="B638" s="596" t="s">
        <v>1510</v>
      </c>
      <c r="C638" s="998" t="s">
        <v>152</v>
      </c>
      <c r="D638" s="593">
        <v>32</v>
      </c>
      <c r="E638" s="593"/>
      <c r="F638" s="593"/>
      <c r="G638" s="994"/>
      <c r="H638" s="994">
        <v>142956.52064234001</v>
      </c>
      <c r="I638" s="593"/>
      <c r="J638" s="593"/>
      <c r="K638" s="593"/>
      <c r="L638" s="593"/>
      <c r="M638" s="593"/>
      <c r="N638" s="593"/>
      <c r="O638" s="593">
        <v>317092.24799730122</v>
      </c>
      <c r="P638" s="593">
        <v>300623.03892578377</v>
      </c>
      <c r="Q638" s="593">
        <v>296312.25734930608</v>
      </c>
      <c r="R638" s="593"/>
    </row>
    <row r="639" spans="1:18" ht="12" hidden="1" thickBot="1">
      <c r="A639" s="593"/>
      <c r="B639" s="938" t="s">
        <v>1499</v>
      </c>
      <c r="C639" s="998" t="s">
        <v>217</v>
      </c>
      <c r="D639" s="593"/>
      <c r="E639" s="593"/>
      <c r="F639" s="593"/>
      <c r="G639" s="1004"/>
      <c r="H639" s="994">
        <v>8.7129089367619699</v>
      </c>
      <c r="I639" s="593"/>
      <c r="J639" s="593"/>
      <c r="K639" s="593"/>
      <c r="L639" s="593"/>
      <c r="M639" s="593"/>
      <c r="N639" s="593"/>
      <c r="O639" s="593"/>
      <c r="P639" s="593"/>
      <c r="Q639" s="593"/>
      <c r="R639" s="593"/>
    </row>
    <row r="640" spans="1:18" ht="12" hidden="1" thickBot="1">
      <c r="A640" s="593"/>
      <c r="B640" s="596" t="s">
        <v>1500</v>
      </c>
      <c r="C640" s="998" t="s">
        <v>217</v>
      </c>
      <c r="D640" s="593"/>
      <c r="E640" s="593"/>
      <c r="F640" s="593"/>
      <c r="G640" s="593"/>
      <c r="H640" s="994">
        <v>12.623058884353158</v>
      </c>
      <c r="I640" s="593"/>
      <c r="J640" s="593"/>
      <c r="K640" s="593"/>
      <c r="L640" s="593"/>
      <c r="M640" s="593"/>
      <c r="N640" s="593"/>
      <c r="O640" s="593"/>
      <c r="P640" s="593"/>
      <c r="Q640" s="593"/>
      <c r="R640" s="593"/>
    </row>
    <row r="641" spans="1:18" ht="12" hidden="1" thickBot="1">
      <c r="A641" s="593"/>
      <c r="B641" s="596" t="s">
        <v>1501</v>
      </c>
      <c r="C641" s="998" t="s">
        <v>217</v>
      </c>
      <c r="D641" s="593"/>
      <c r="E641" s="593"/>
      <c r="F641" s="593"/>
      <c r="G641" s="593"/>
      <c r="H641" s="994">
        <v>12.72099464591358</v>
      </c>
      <c r="I641" s="593"/>
      <c r="J641" s="593"/>
      <c r="K641" s="593"/>
      <c r="L641" s="593"/>
      <c r="M641" s="593"/>
      <c r="N641" s="593"/>
      <c r="O641" s="593"/>
      <c r="P641" s="593"/>
      <c r="Q641" s="593"/>
      <c r="R641" s="593"/>
    </row>
    <row r="642" spans="1:18" ht="12" hidden="1" thickBot="1">
      <c r="A642" s="593"/>
      <c r="B642" s="596" t="s">
        <v>1502</v>
      </c>
      <c r="C642" s="998" t="s">
        <v>217</v>
      </c>
      <c r="D642" s="593"/>
      <c r="E642" s="593"/>
      <c r="F642" s="593"/>
      <c r="G642" s="593"/>
      <c r="H642" s="994">
        <v>13.751980628865265</v>
      </c>
      <c r="I642" s="593"/>
      <c r="J642" s="593"/>
      <c r="K642" s="593"/>
      <c r="L642" s="593"/>
      <c r="M642" s="593"/>
      <c r="N642" s="593"/>
      <c r="O642" s="593"/>
      <c r="P642" s="593"/>
      <c r="Q642" s="593"/>
      <c r="R642" s="593"/>
    </row>
    <row r="643" spans="1:18" ht="12" hidden="1" thickBot="1">
      <c r="A643" s="593"/>
      <c r="B643" s="938" t="s">
        <v>1503</v>
      </c>
      <c r="C643" s="998" t="s">
        <v>217</v>
      </c>
      <c r="D643" s="593"/>
      <c r="E643" s="593"/>
      <c r="F643" s="593"/>
      <c r="G643" s="593"/>
      <c r="H643" s="994">
        <v>16.078095556380777</v>
      </c>
      <c r="I643" s="593"/>
      <c r="J643" s="593"/>
      <c r="K643" s="593"/>
      <c r="L643" s="593"/>
      <c r="M643" s="593"/>
      <c r="N643" s="593"/>
      <c r="O643" s="593"/>
      <c r="P643" s="593"/>
      <c r="Q643" s="593"/>
      <c r="R643" s="593"/>
    </row>
    <row r="644" spans="1:18" ht="12" hidden="1" thickBot="1">
      <c r="A644" s="593"/>
      <c r="B644" s="596" t="s">
        <v>1504</v>
      </c>
      <c r="C644" s="998" t="s">
        <v>217</v>
      </c>
      <c r="D644" s="593"/>
      <c r="E644" s="593"/>
      <c r="F644" s="593"/>
      <c r="G644" s="593"/>
      <c r="H644" s="994">
        <v>20.202880198346602</v>
      </c>
      <c r="I644" s="593"/>
      <c r="J644" s="593"/>
      <c r="K644" s="593"/>
      <c r="L644" s="593"/>
      <c r="M644" s="593"/>
      <c r="N644" s="593"/>
      <c r="O644" s="593"/>
      <c r="P644" s="593"/>
      <c r="Q644" s="593"/>
      <c r="R644" s="593"/>
    </row>
    <row r="645" spans="1:18" ht="12" hidden="1" thickBot="1">
      <c r="A645" s="593"/>
      <c r="B645" s="596" t="s">
        <v>1505</v>
      </c>
      <c r="C645" s="998" t="s">
        <v>217</v>
      </c>
      <c r="D645" s="593"/>
      <c r="E645" s="593"/>
      <c r="F645" s="593"/>
      <c r="G645" s="593"/>
      <c r="H645" s="994">
        <v>20.881069214325571</v>
      </c>
      <c r="I645" s="593"/>
      <c r="J645" s="593"/>
      <c r="K645" s="593"/>
      <c r="L645" s="593"/>
      <c r="M645" s="593"/>
      <c r="N645" s="593"/>
      <c r="O645" s="593"/>
      <c r="P645" s="593"/>
      <c r="Q645" s="593"/>
      <c r="R645" s="593"/>
    </row>
    <row r="646" spans="1:18" ht="12" hidden="1" thickBot="1">
      <c r="A646" s="593"/>
      <c r="B646" s="938" t="s">
        <v>1506</v>
      </c>
      <c r="C646" s="998" t="s">
        <v>217</v>
      </c>
      <c r="D646" s="593"/>
      <c r="E646" s="593"/>
      <c r="F646" s="593"/>
      <c r="G646" s="593"/>
      <c r="H646" s="994">
        <v>11.655830501868911</v>
      </c>
      <c r="I646" s="593"/>
      <c r="J646" s="593"/>
      <c r="K646" s="593"/>
      <c r="L646" s="593"/>
      <c r="M646" s="593"/>
      <c r="N646" s="593"/>
      <c r="O646" s="593"/>
      <c r="P646" s="593"/>
      <c r="Q646" s="593"/>
      <c r="R646" s="593"/>
    </row>
    <row r="647" spans="1:18" ht="12" hidden="1" thickBot="1">
      <c r="A647" s="593"/>
      <c r="B647" s="596" t="s">
        <v>1507</v>
      </c>
      <c r="C647" s="998" t="s">
        <v>217</v>
      </c>
      <c r="D647" s="593"/>
      <c r="E647" s="593"/>
      <c r="F647" s="593"/>
      <c r="G647" s="593"/>
      <c r="H647" s="994">
        <v>12.796336904242718</v>
      </c>
      <c r="I647" s="593"/>
      <c r="J647" s="593"/>
      <c r="K647" s="593"/>
      <c r="L647" s="593"/>
      <c r="M647" s="593"/>
      <c r="N647" s="593"/>
      <c r="O647" s="593"/>
      <c r="P647" s="593"/>
      <c r="Q647" s="593"/>
      <c r="R647" s="593"/>
    </row>
    <row r="648" spans="1:18" ht="12" hidden="1" thickBot="1">
      <c r="A648" s="593"/>
      <c r="B648" s="596" t="s">
        <v>1508</v>
      </c>
      <c r="C648" s="998" t="s">
        <v>217</v>
      </c>
      <c r="D648" s="593"/>
      <c r="E648" s="593"/>
      <c r="F648" s="593"/>
      <c r="G648" s="593"/>
      <c r="H648" s="994">
        <v>11.211319892421793</v>
      </c>
      <c r="I648" s="593"/>
      <c r="J648" s="593"/>
      <c r="K648" s="593"/>
      <c r="L648" s="593"/>
      <c r="M648" s="593"/>
      <c r="N648" s="593"/>
      <c r="O648" s="593"/>
      <c r="P648" s="593"/>
      <c r="Q648" s="593"/>
      <c r="R648" s="593"/>
    </row>
    <row r="649" spans="1:18" ht="12" hidden="1" thickBot="1">
      <c r="A649" s="593"/>
      <c r="B649" s="596" t="s">
        <v>1509</v>
      </c>
      <c r="C649" s="998" t="s">
        <v>217</v>
      </c>
      <c r="D649" s="593"/>
      <c r="E649" s="593"/>
      <c r="F649" s="593"/>
      <c r="G649" s="593"/>
      <c r="H649" s="994">
        <v>12.931721218011743</v>
      </c>
      <c r="I649" s="593"/>
      <c r="J649" s="593"/>
      <c r="K649" s="593"/>
      <c r="L649" s="593"/>
      <c r="M649" s="593"/>
      <c r="N649" s="593"/>
      <c r="O649" s="593"/>
      <c r="P649" s="593"/>
      <c r="Q649" s="593"/>
      <c r="R649" s="593"/>
    </row>
    <row r="650" spans="1:18" ht="12" hidden="1" thickBot="1">
      <c r="A650" s="593"/>
      <c r="B650" s="596" t="s">
        <v>1510</v>
      </c>
      <c r="C650" s="998" t="s">
        <v>217</v>
      </c>
      <c r="D650" s="593"/>
      <c r="E650" s="593"/>
      <c r="F650" s="593"/>
      <c r="G650" s="593"/>
      <c r="H650" s="994">
        <v>10.964648882415123</v>
      </c>
      <c r="I650" s="593"/>
      <c r="J650" s="593"/>
      <c r="K650" s="593"/>
      <c r="L650" s="593"/>
      <c r="M650" s="593"/>
      <c r="N650" s="593"/>
      <c r="O650" s="593"/>
      <c r="P650" s="593"/>
      <c r="Q650" s="593"/>
      <c r="R650" s="593"/>
    </row>
    <row r="651" spans="1:18" ht="12" hidden="1" thickBot="1">
      <c r="A651" s="593"/>
      <c r="B651" s="938" t="s">
        <v>1499</v>
      </c>
      <c r="C651" s="998" t="s">
        <v>168</v>
      </c>
      <c r="D651" s="593">
        <v>747</v>
      </c>
      <c r="E651" s="593"/>
      <c r="F651" s="593"/>
      <c r="G651" s="593"/>
      <c r="H651" s="994">
        <v>101.73262271996876</v>
      </c>
      <c r="I651" s="593"/>
      <c r="J651" s="593"/>
      <c r="K651" s="593"/>
      <c r="L651" s="593"/>
      <c r="M651" s="593"/>
      <c r="N651" s="593"/>
      <c r="O651" s="593"/>
      <c r="P651" s="593"/>
      <c r="Q651" s="593"/>
      <c r="R651" s="593"/>
    </row>
    <row r="652" spans="1:18" ht="12" hidden="1" thickBot="1">
      <c r="A652" s="593"/>
      <c r="B652" s="596" t="s">
        <v>1500</v>
      </c>
      <c r="C652" s="998" t="s">
        <v>168</v>
      </c>
      <c r="D652" s="593">
        <v>747</v>
      </c>
      <c r="E652" s="593"/>
      <c r="F652" s="593"/>
      <c r="G652" s="593"/>
      <c r="H652" s="994">
        <v>100.53387313219874</v>
      </c>
      <c r="I652" s="593"/>
      <c r="J652" s="593"/>
      <c r="K652" s="593"/>
      <c r="L652" s="593"/>
      <c r="M652" s="593"/>
      <c r="N652" s="593"/>
      <c r="O652" s="593"/>
      <c r="P652" s="593"/>
      <c r="Q652" s="593"/>
      <c r="R652" s="593"/>
    </row>
    <row r="653" spans="1:18" ht="12" hidden="1" thickBot="1">
      <c r="A653" s="593"/>
      <c r="B653" s="596" t="s">
        <v>1501</v>
      </c>
      <c r="C653" s="998" t="s">
        <v>168</v>
      </c>
      <c r="D653" s="593">
        <v>747</v>
      </c>
      <c r="E653" s="593"/>
      <c r="F653" s="593"/>
      <c r="G653" s="593"/>
      <c r="H653" s="994">
        <v>91.749947008687016</v>
      </c>
      <c r="I653" s="593"/>
      <c r="J653" s="593"/>
      <c r="K653" s="593"/>
      <c r="L653" s="593"/>
      <c r="M653" s="593"/>
      <c r="N653" s="593"/>
      <c r="O653" s="593"/>
      <c r="P653" s="593"/>
      <c r="Q653" s="593"/>
      <c r="R653" s="593"/>
    </row>
    <row r="654" spans="1:18" ht="12" hidden="1" thickBot="1">
      <c r="A654" s="593"/>
      <c r="B654" s="596" t="s">
        <v>1502</v>
      </c>
      <c r="C654" s="998" t="s">
        <v>168</v>
      </c>
      <c r="D654" s="593">
        <v>747</v>
      </c>
      <c r="E654" s="593"/>
      <c r="F654" s="593"/>
      <c r="G654" s="593"/>
      <c r="H654" s="994">
        <v>95.409823814101088</v>
      </c>
      <c r="I654" s="593"/>
      <c r="J654" s="593"/>
      <c r="K654" s="593"/>
      <c r="L654" s="593"/>
      <c r="M654" s="593"/>
      <c r="N654" s="593"/>
      <c r="O654" s="593"/>
      <c r="P654" s="593"/>
      <c r="Q654" s="593"/>
      <c r="R654" s="593"/>
    </row>
    <row r="655" spans="1:18" ht="12" hidden="1" thickBot="1">
      <c r="A655" s="593"/>
      <c r="B655" s="938" t="s">
        <v>1503</v>
      </c>
      <c r="C655" s="998" t="s">
        <v>168</v>
      </c>
      <c r="D655" s="593">
        <v>747</v>
      </c>
      <c r="E655" s="593"/>
      <c r="F655" s="593"/>
      <c r="G655" s="593"/>
      <c r="H655" s="994">
        <v>100.91028822697869</v>
      </c>
      <c r="I655" s="593"/>
      <c r="J655" s="593"/>
      <c r="K655" s="593"/>
      <c r="L655" s="593"/>
      <c r="M655" s="593"/>
      <c r="N655" s="593"/>
      <c r="O655" s="593"/>
      <c r="P655" s="593"/>
      <c r="Q655" s="593"/>
      <c r="R655" s="593"/>
    </row>
    <row r="656" spans="1:18" ht="12" hidden="1" thickBot="1">
      <c r="A656" s="593"/>
      <c r="B656" s="596" t="s">
        <v>1504</v>
      </c>
      <c r="C656" s="998" t="s">
        <v>168</v>
      </c>
      <c r="D656" s="593">
        <v>747</v>
      </c>
      <c r="E656" s="593"/>
      <c r="F656" s="593"/>
      <c r="G656" s="593"/>
      <c r="H656" s="994">
        <v>118.30184646870762</v>
      </c>
      <c r="I656" s="593"/>
      <c r="J656" s="593"/>
      <c r="K656" s="593"/>
      <c r="L656" s="593"/>
      <c r="M656" s="593"/>
      <c r="N656" s="593"/>
      <c r="O656" s="593"/>
      <c r="P656" s="593"/>
      <c r="Q656" s="593"/>
      <c r="R656" s="593"/>
    </row>
    <row r="657" spans="1:18" ht="12" hidden="1" thickBot="1">
      <c r="A657" s="593"/>
      <c r="B657" s="596" t="s">
        <v>1505</v>
      </c>
      <c r="C657" s="998" t="s">
        <v>168</v>
      </c>
      <c r="D657" s="593">
        <v>747</v>
      </c>
      <c r="E657" s="593"/>
      <c r="F657" s="593"/>
      <c r="G657" s="593"/>
      <c r="H657" s="994">
        <v>121.96558073065607</v>
      </c>
      <c r="I657" s="593"/>
      <c r="J657" s="593"/>
      <c r="K657" s="593"/>
      <c r="L657" s="593"/>
      <c r="M657" s="593"/>
      <c r="N657" s="593"/>
      <c r="O657" s="593"/>
      <c r="P657" s="593"/>
      <c r="Q657" s="593"/>
      <c r="R657" s="593"/>
    </row>
    <row r="658" spans="1:18" ht="12" hidden="1" thickBot="1">
      <c r="A658" s="593"/>
      <c r="B658" s="938" t="s">
        <v>1506</v>
      </c>
      <c r="C658" s="998" t="s">
        <v>168</v>
      </c>
      <c r="D658" s="593">
        <v>747</v>
      </c>
      <c r="E658" s="593"/>
      <c r="F658" s="593"/>
      <c r="G658" s="593"/>
      <c r="H658" s="994">
        <v>104.31216132330628</v>
      </c>
      <c r="I658" s="593"/>
      <c r="J658" s="593"/>
      <c r="K658" s="593"/>
      <c r="L658" s="593"/>
      <c r="M658" s="593"/>
      <c r="N658" s="593"/>
      <c r="O658" s="593"/>
      <c r="P658" s="593"/>
      <c r="Q658" s="593"/>
      <c r="R658" s="593"/>
    </row>
    <row r="659" spans="1:18" ht="12" hidden="1" thickBot="1">
      <c r="A659" s="593"/>
      <c r="B659" s="596" t="s">
        <v>1507</v>
      </c>
      <c r="C659" s="998" t="s">
        <v>168</v>
      </c>
      <c r="D659" s="593">
        <v>747</v>
      </c>
      <c r="E659" s="593"/>
      <c r="F659" s="593"/>
      <c r="G659" s="593"/>
      <c r="H659" s="994">
        <v>104.30947846876789</v>
      </c>
      <c r="I659" s="593"/>
      <c r="J659" s="593"/>
      <c r="K659" s="593"/>
      <c r="L659" s="593"/>
      <c r="M659" s="593"/>
      <c r="N659" s="593"/>
      <c r="O659" s="593"/>
      <c r="P659" s="593"/>
      <c r="Q659" s="593"/>
      <c r="R659" s="593"/>
    </row>
    <row r="660" spans="1:18" ht="12" hidden="1" thickBot="1">
      <c r="A660" s="593"/>
      <c r="B660" s="596" t="s">
        <v>1508</v>
      </c>
      <c r="C660" s="998" t="s">
        <v>168</v>
      </c>
      <c r="D660" s="593">
        <v>747</v>
      </c>
      <c r="E660" s="593"/>
      <c r="F660" s="593"/>
      <c r="G660" s="593"/>
      <c r="H660" s="994">
        <v>90.687102810327531</v>
      </c>
      <c r="I660" s="593"/>
      <c r="J660" s="593"/>
      <c r="K660" s="593"/>
      <c r="L660" s="593"/>
      <c r="M660" s="593"/>
      <c r="N660" s="593"/>
      <c r="O660" s="593"/>
      <c r="P660" s="593"/>
      <c r="Q660" s="593"/>
      <c r="R660" s="593"/>
    </row>
    <row r="661" spans="1:18" ht="12" hidden="1" thickBot="1">
      <c r="A661" s="593"/>
      <c r="B661" s="596" t="s">
        <v>1509</v>
      </c>
      <c r="C661" s="998" t="s">
        <v>168</v>
      </c>
      <c r="D661" s="593">
        <v>747</v>
      </c>
      <c r="E661" s="593"/>
      <c r="F661" s="593"/>
      <c r="G661" s="593"/>
      <c r="H661" s="994">
        <v>105.15141458091546</v>
      </c>
      <c r="I661" s="593"/>
      <c r="J661" s="593"/>
      <c r="K661" s="593"/>
      <c r="L661" s="593"/>
      <c r="M661" s="593"/>
      <c r="N661" s="593"/>
      <c r="O661" s="593"/>
      <c r="P661" s="593"/>
      <c r="Q661" s="593"/>
      <c r="R661" s="593"/>
    </row>
    <row r="662" spans="1:18" ht="12" hidden="1" thickBot="1">
      <c r="A662" s="593"/>
      <c r="B662" s="596" t="s">
        <v>1510</v>
      </c>
      <c r="C662" s="998" t="s">
        <v>168</v>
      </c>
      <c r="D662" s="593">
        <v>747</v>
      </c>
      <c r="E662" s="593"/>
      <c r="F662" s="593"/>
      <c r="G662" s="593"/>
      <c r="H662" s="994">
        <v>106.30311686940547</v>
      </c>
      <c r="I662" s="593"/>
      <c r="J662" s="593"/>
      <c r="K662" s="593"/>
      <c r="L662" s="593"/>
      <c r="M662" s="593"/>
      <c r="N662" s="593"/>
      <c r="O662" s="593"/>
      <c r="P662" s="593"/>
      <c r="Q662" s="593"/>
      <c r="R662" s="593"/>
    </row>
    <row r="663" spans="1:18" ht="12" hidden="1" thickBot="1">
      <c r="A663" s="593"/>
      <c r="B663" s="938" t="s">
        <v>1499</v>
      </c>
      <c r="C663" s="998" t="s">
        <v>173</v>
      </c>
      <c r="D663" s="593">
        <v>1</v>
      </c>
      <c r="E663" s="1000"/>
      <c r="F663" s="1000"/>
      <c r="G663" s="1005"/>
      <c r="H663" s="994">
        <v>44549.468970203568</v>
      </c>
      <c r="I663" s="593"/>
      <c r="J663" s="593"/>
      <c r="K663" s="593"/>
      <c r="L663" s="593"/>
      <c r="M663" s="593"/>
      <c r="N663" s="593"/>
      <c r="O663" s="593">
        <v>185157.6</v>
      </c>
      <c r="P663" s="593">
        <v>185157.6</v>
      </c>
      <c r="Q663" s="593">
        <v>101387.6</v>
      </c>
      <c r="R663" s="593"/>
    </row>
    <row r="664" spans="1:18" ht="12" hidden="1" thickBot="1">
      <c r="A664" s="593"/>
      <c r="B664" s="596" t="s">
        <v>1500</v>
      </c>
      <c r="C664" s="998" t="s">
        <v>173</v>
      </c>
      <c r="D664" s="593">
        <v>1</v>
      </c>
      <c r="E664" s="593"/>
      <c r="F664" s="593"/>
      <c r="G664" s="993"/>
      <c r="H664" s="994">
        <v>46590.42742533984</v>
      </c>
      <c r="I664" s="593"/>
      <c r="J664" s="593"/>
      <c r="K664" s="593"/>
      <c r="L664" s="593"/>
      <c r="M664" s="593"/>
      <c r="N664" s="593"/>
      <c r="O664" s="593">
        <v>185157.6</v>
      </c>
      <c r="P664" s="593">
        <v>185157.6</v>
      </c>
      <c r="Q664" s="593">
        <v>101387.6</v>
      </c>
      <c r="R664" s="593"/>
    </row>
    <row r="665" spans="1:18" ht="12" hidden="1" thickBot="1">
      <c r="A665" s="593"/>
      <c r="B665" s="596" t="s">
        <v>1501</v>
      </c>
      <c r="C665" s="998" t="s">
        <v>173</v>
      </c>
      <c r="D665" s="593">
        <v>1</v>
      </c>
      <c r="E665" s="593"/>
      <c r="F665" s="593"/>
      <c r="G665" s="993"/>
      <c r="H665" s="994">
        <v>45641.535759228333</v>
      </c>
      <c r="I665" s="593"/>
      <c r="J665" s="593"/>
      <c r="K665" s="593"/>
      <c r="L665" s="593"/>
      <c r="M665" s="593"/>
      <c r="N665" s="593"/>
      <c r="O665" s="593">
        <v>185157.6</v>
      </c>
      <c r="P665" s="593">
        <v>185157.6</v>
      </c>
      <c r="Q665" s="593">
        <v>101387.6</v>
      </c>
      <c r="R665" s="593"/>
    </row>
    <row r="666" spans="1:18" ht="12" hidden="1" thickBot="1">
      <c r="A666" s="593"/>
      <c r="B666" s="596" t="s">
        <v>1502</v>
      </c>
      <c r="C666" s="998" t="s">
        <v>173</v>
      </c>
      <c r="D666" s="593">
        <v>1</v>
      </c>
      <c r="E666" s="593"/>
      <c r="F666" s="593"/>
      <c r="G666" s="993"/>
      <c r="H666" s="994">
        <v>45507.52425543344</v>
      </c>
      <c r="I666" s="593"/>
      <c r="J666" s="593"/>
      <c r="K666" s="593"/>
      <c r="L666" s="593"/>
      <c r="M666" s="593"/>
      <c r="N666" s="593"/>
      <c r="O666" s="593">
        <v>185157.6</v>
      </c>
      <c r="P666" s="593">
        <v>185157.6</v>
      </c>
      <c r="Q666" s="593">
        <v>101387.6</v>
      </c>
      <c r="R666" s="593"/>
    </row>
    <row r="667" spans="1:18" ht="12" hidden="1" thickBot="1">
      <c r="A667" s="593"/>
      <c r="B667" s="938" t="s">
        <v>1503</v>
      </c>
      <c r="C667" s="998" t="s">
        <v>173</v>
      </c>
      <c r="D667" s="593">
        <v>1</v>
      </c>
      <c r="E667" s="593"/>
      <c r="F667" s="593"/>
      <c r="G667" s="993"/>
      <c r="H667" s="994">
        <v>44497.248263400274</v>
      </c>
      <c r="I667" s="593"/>
      <c r="J667" s="593"/>
      <c r="K667" s="593"/>
      <c r="L667" s="593"/>
      <c r="M667" s="593"/>
      <c r="N667" s="593"/>
      <c r="O667" s="593">
        <v>185157.6</v>
      </c>
      <c r="P667" s="593">
        <v>185157.6</v>
      </c>
      <c r="Q667" s="593">
        <v>101387.6</v>
      </c>
      <c r="R667" s="593"/>
    </row>
    <row r="668" spans="1:18" ht="12" hidden="1" thickBot="1">
      <c r="A668" s="593"/>
      <c r="B668" s="596" t="s">
        <v>1504</v>
      </c>
      <c r="C668" s="998" t="s">
        <v>173</v>
      </c>
      <c r="D668" s="593">
        <v>1</v>
      </c>
      <c r="E668" s="593"/>
      <c r="F668" s="593"/>
      <c r="G668" s="993"/>
      <c r="H668" s="994">
        <v>48145.895395850552</v>
      </c>
      <c r="I668" s="593"/>
      <c r="J668" s="593"/>
      <c r="K668" s="593"/>
      <c r="L668" s="593"/>
      <c r="M668" s="593"/>
      <c r="N668" s="593"/>
      <c r="O668" s="593">
        <v>185157.6</v>
      </c>
      <c r="P668" s="593">
        <v>185157.6</v>
      </c>
      <c r="Q668" s="593">
        <v>101387.6</v>
      </c>
      <c r="R668" s="593"/>
    </row>
    <row r="669" spans="1:18" ht="12" hidden="1" thickBot="1">
      <c r="A669" s="593"/>
      <c r="B669" s="596" t="s">
        <v>1505</v>
      </c>
      <c r="C669" s="998" t="s">
        <v>173</v>
      </c>
      <c r="D669" s="593">
        <v>1</v>
      </c>
      <c r="E669" s="593"/>
      <c r="F669" s="593"/>
      <c r="G669" s="993"/>
      <c r="H669" s="994">
        <v>48922.696088106532</v>
      </c>
      <c r="I669" s="593"/>
      <c r="J669" s="593"/>
      <c r="K669" s="593"/>
      <c r="L669" s="593"/>
      <c r="M669" s="593"/>
      <c r="N669" s="593"/>
      <c r="O669" s="593">
        <v>185157.6</v>
      </c>
      <c r="P669" s="593">
        <v>185157.6</v>
      </c>
      <c r="Q669" s="593">
        <v>101387.6</v>
      </c>
      <c r="R669" s="593"/>
    </row>
    <row r="670" spans="1:18" ht="12" hidden="1" thickBot="1">
      <c r="A670" s="593"/>
      <c r="B670" s="938" t="s">
        <v>1506</v>
      </c>
      <c r="C670" s="998" t="s">
        <v>173</v>
      </c>
      <c r="D670" s="593">
        <v>1</v>
      </c>
      <c r="E670" s="593"/>
      <c r="F670" s="593"/>
      <c r="G670" s="993"/>
      <c r="H670" s="994">
        <v>46508.168692297637</v>
      </c>
      <c r="I670" s="593"/>
      <c r="J670" s="593"/>
      <c r="K670" s="593"/>
      <c r="L670" s="593"/>
      <c r="M670" s="593"/>
      <c r="N670" s="593"/>
      <c r="O670" s="593">
        <v>185157.6</v>
      </c>
      <c r="P670" s="593">
        <v>185157.6</v>
      </c>
      <c r="Q670" s="593">
        <v>101387.6</v>
      </c>
      <c r="R670" s="593"/>
    </row>
    <row r="671" spans="1:18" ht="12" hidden="1" thickBot="1">
      <c r="A671" s="593"/>
      <c r="B671" s="596" t="s">
        <v>1507</v>
      </c>
      <c r="C671" s="998" t="s">
        <v>173</v>
      </c>
      <c r="D671" s="593">
        <v>1</v>
      </c>
      <c r="E671" s="593"/>
      <c r="F671" s="593"/>
      <c r="G671" s="993"/>
      <c r="H671" s="994">
        <v>48339.183654632048</v>
      </c>
      <c r="I671" s="593"/>
      <c r="J671" s="593"/>
      <c r="K671" s="593"/>
      <c r="L671" s="593"/>
      <c r="M671" s="593"/>
      <c r="N671" s="593"/>
      <c r="O671" s="593">
        <v>185157.6</v>
      </c>
      <c r="P671" s="593">
        <v>185157.6</v>
      </c>
      <c r="Q671" s="593">
        <v>101387.6</v>
      </c>
      <c r="R671" s="593"/>
    </row>
    <row r="672" spans="1:18" ht="12" hidden="1" thickBot="1">
      <c r="A672" s="593"/>
      <c r="B672" s="596" t="s">
        <v>1508</v>
      </c>
      <c r="C672" s="998" t="s">
        <v>173</v>
      </c>
      <c r="D672" s="593">
        <v>1</v>
      </c>
      <c r="E672" s="593"/>
      <c r="F672" s="593"/>
      <c r="G672" s="993"/>
      <c r="H672" s="994">
        <v>47968.040843209907</v>
      </c>
      <c r="I672" s="593"/>
      <c r="J672" s="593"/>
      <c r="K672" s="593"/>
      <c r="L672" s="593"/>
      <c r="M672" s="593"/>
      <c r="N672" s="593"/>
      <c r="O672" s="593">
        <v>185157.6</v>
      </c>
      <c r="P672" s="593">
        <v>185157.6</v>
      </c>
      <c r="Q672" s="593">
        <v>101387.6</v>
      </c>
      <c r="R672" s="593"/>
    </row>
    <row r="673" spans="1:18" ht="12" hidden="1" thickBot="1">
      <c r="A673" s="593"/>
      <c r="B673" s="596" t="s">
        <v>1509</v>
      </c>
      <c r="C673" s="998" t="s">
        <v>173</v>
      </c>
      <c r="D673" s="593">
        <v>1</v>
      </c>
      <c r="E673" s="593"/>
      <c r="F673" s="593"/>
      <c r="G673" s="993"/>
      <c r="H673" s="994">
        <v>48437.686864592841</v>
      </c>
      <c r="I673" s="593"/>
      <c r="J673" s="593"/>
      <c r="K673" s="593"/>
      <c r="L673" s="593"/>
      <c r="M673" s="593"/>
      <c r="N673" s="593"/>
      <c r="O673" s="593">
        <v>185157.6</v>
      </c>
      <c r="P673" s="593">
        <v>185157.6</v>
      </c>
      <c r="Q673" s="593">
        <v>101387.6</v>
      </c>
      <c r="R673" s="593"/>
    </row>
    <row r="674" spans="1:18" ht="12" hidden="1" thickBot="1">
      <c r="A674" s="593"/>
      <c r="B674" s="596" t="s">
        <v>1510</v>
      </c>
      <c r="C674" s="998" t="s">
        <v>173</v>
      </c>
      <c r="D674" s="593">
        <v>1</v>
      </c>
      <c r="E674" s="593"/>
      <c r="F674" s="593"/>
      <c r="G674" s="993"/>
      <c r="H674" s="994">
        <v>45688.667155562805</v>
      </c>
      <c r="I674" s="593"/>
      <c r="J674" s="593"/>
      <c r="K674" s="593"/>
      <c r="L674" s="593"/>
      <c r="M674" s="593"/>
      <c r="N674" s="593"/>
      <c r="O674" s="593">
        <v>185157.6</v>
      </c>
      <c r="P674" s="593">
        <v>185157.6</v>
      </c>
      <c r="Q674" s="593">
        <v>101387.6</v>
      </c>
      <c r="R674" s="593"/>
    </row>
    <row r="675" spans="1:18" ht="12" hidden="1" thickBot="1">
      <c r="A675" s="593"/>
      <c r="B675" s="938" t="s">
        <v>1499</v>
      </c>
      <c r="C675" s="998" t="s">
        <v>1513</v>
      </c>
      <c r="D675" s="593">
        <v>360392</v>
      </c>
      <c r="E675" s="593"/>
      <c r="F675" s="593"/>
      <c r="G675" s="993"/>
      <c r="H675" s="994">
        <v>517311.36632158561</v>
      </c>
      <c r="I675" s="593"/>
      <c r="J675" s="593"/>
      <c r="K675" s="593"/>
      <c r="L675" s="593"/>
      <c r="M675" s="593"/>
      <c r="N675" s="593"/>
      <c r="O675" s="593"/>
      <c r="P675" s="593"/>
      <c r="Q675" s="593"/>
      <c r="R675" s="593"/>
    </row>
    <row r="676" spans="1:18" ht="12" hidden="1" thickBot="1">
      <c r="A676" s="593"/>
      <c r="B676" s="596" t="s">
        <v>1500</v>
      </c>
      <c r="C676" s="998" t="s">
        <v>1513</v>
      </c>
      <c r="D676" s="593">
        <v>360598</v>
      </c>
      <c r="E676" s="593"/>
      <c r="F676" s="593"/>
      <c r="G676" s="593"/>
      <c r="H676" s="994">
        <v>516787.6026938</v>
      </c>
      <c r="I676" s="593"/>
      <c r="J676" s="593"/>
      <c r="K676" s="593"/>
      <c r="L676" s="593"/>
      <c r="M676" s="593"/>
      <c r="N676" s="593"/>
      <c r="O676" s="593"/>
      <c r="P676" s="593"/>
      <c r="Q676" s="593"/>
      <c r="R676" s="593"/>
    </row>
    <row r="677" spans="1:18" ht="12" hidden="1" thickBot="1">
      <c r="A677" s="593"/>
      <c r="B677" s="596" t="s">
        <v>1501</v>
      </c>
      <c r="C677" s="998" t="s">
        <v>1513</v>
      </c>
      <c r="D677" s="593">
        <v>360805</v>
      </c>
      <c r="E677" s="593"/>
      <c r="F677" s="593"/>
      <c r="G677" s="593"/>
      <c r="H677" s="994">
        <v>387432.16969153268</v>
      </c>
      <c r="I677" s="593"/>
      <c r="J677" s="593"/>
      <c r="K677" s="593"/>
      <c r="L677" s="593"/>
      <c r="M677" s="593"/>
      <c r="N677" s="593"/>
      <c r="O677" s="593"/>
      <c r="P677" s="593"/>
      <c r="Q677" s="593"/>
      <c r="R677" s="593"/>
    </row>
    <row r="678" spans="1:18" ht="12" hidden="1" thickBot="1">
      <c r="A678" s="593"/>
      <c r="B678" s="596" t="s">
        <v>1502</v>
      </c>
      <c r="C678" s="998" t="s">
        <v>1513</v>
      </c>
      <c r="D678" s="593">
        <v>361011</v>
      </c>
      <c r="E678" s="593"/>
      <c r="F678" s="593"/>
      <c r="G678" s="593"/>
      <c r="H678" s="994">
        <v>275120.00512404798</v>
      </c>
      <c r="I678" s="593"/>
      <c r="J678" s="593"/>
      <c r="K678" s="593"/>
      <c r="L678" s="593"/>
      <c r="M678" s="593"/>
      <c r="N678" s="593"/>
      <c r="O678" s="593"/>
      <c r="P678" s="593"/>
      <c r="Q678" s="593"/>
      <c r="R678" s="593"/>
    </row>
    <row r="679" spans="1:18" ht="12" hidden="1" thickBot="1">
      <c r="A679" s="593"/>
      <c r="B679" s="938" t="s">
        <v>1503</v>
      </c>
      <c r="C679" s="998" t="s">
        <v>1513</v>
      </c>
      <c r="D679" s="593">
        <v>361217</v>
      </c>
      <c r="E679" s="593"/>
      <c r="F679" s="593"/>
      <c r="G679" s="593"/>
      <c r="H679" s="994">
        <v>257476.67703438434</v>
      </c>
      <c r="I679" s="593"/>
      <c r="J679" s="593"/>
      <c r="K679" s="593"/>
      <c r="L679" s="593"/>
      <c r="M679" s="593"/>
      <c r="N679" s="593"/>
      <c r="O679" s="593"/>
      <c r="P679" s="593"/>
      <c r="Q679" s="593"/>
      <c r="R679" s="593"/>
    </row>
    <row r="680" spans="1:18" ht="12" hidden="1" thickBot="1">
      <c r="A680" s="593"/>
      <c r="B680" s="596" t="s">
        <v>1504</v>
      </c>
      <c r="C680" s="998" t="s">
        <v>1513</v>
      </c>
      <c r="D680" s="593">
        <v>361423</v>
      </c>
      <c r="E680" s="593"/>
      <c r="F680" s="593"/>
      <c r="G680" s="593"/>
      <c r="H680" s="994">
        <v>335495.73141950357</v>
      </c>
      <c r="I680" s="593"/>
      <c r="J680" s="593"/>
      <c r="K680" s="593"/>
      <c r="L680" s="593"/>
      <c r="M680" s="593"/>
      <c r="N680" s="593"/>
      <c r="O680" s="593"/>
      <c r="P680" s="593"/>
      <c r="Q680" s="593"/>
      <c r="R680" s="593"/>
    </row>
    <row r="681" spans="1:18" ht="12" hidden="1" thickBot="1">
      <c r="A681" s="593"/>
      <c r="B681" s="596" t="s">
        <v>1505</v>
      </c>
      <c r="C681" s="998" t="s">
        <v>1513</v>
      </c>
      <c r="D681" s="593">
        <v>361625</v>
      </c>
      <c r="E681" s="593"/>
      <c r="F681" s="593"/>
      <c r="G681" s="593"/>
      <c r="H681" s="994">
        <v>375149.15213516954</v>
      </c>
      <c r="I681" s="593"/>
      <c r="J681" s="593"/>
      <c r="K681" s="593"/>
      <c r="L681" s="593"/>
      <c r="M681" s="593"/>
      <c r="N681" s="593"/>
      <c r="O681" s="593"/>
      <c r="P681" s="593"/>
      <c r="Q681" s="593"/>
      <c r="R681" s="593"/>
    </row>
    <row r="682" spans="1:18" ht="12" hidden="1" thickBot="1">
      <c r="A682" s="593"/>
      <c r="B682" s="938" t="s">
        <v>1506</v>
      </c>
      <c r="C682" s="998" t="s">
        <v>1513</v>
      </c>
      <c r="D682" s="593">
        <v>361827</v>
      </c>
      <c r="E682" s="593"/>
      <c r="F682" s="593"/>
      <c r="G682" s="593"/>
      <c r="H682" s="994">
        <v>328329.89304486243</v>
      </c>
      <c r="I682" s="593"/>
      <c r="J682" s="593"/>
      <c r="K682" s="593"/>
      <c r="L682" s="593"/>
      <c r="M682" s="593"/>
      <c r="N682" s="593"/>
      <c r="O682" s="593"/>
      <c r="P682" s="593"/>
      <c r="Q682" s="593"/>
      <c r="R682" s="593"/>
    </row>
    <row r="683" spans="1:18" ht="12" hidden="1" thickBot="1">
      <c r="A683" s="593"/>
      <c r="B683" s="596" t="s">
        <v>1507</v>
      </c>
      <c r="C683" s="998" t="s">
        <v>1513</v>
      </c>
      <c r="D683" s="593">
        <v>362029</v>
      </c>
      <c r="E683" s="593"/>
      <c r="F683" s="593"/>
      <c r="G683" s="593"/>
      <c r="H683" s="994">
        <v>309085.71660448238</v>
      </c>
      <c r="I683" s="593"/>
      <c r="J683" s="593"/>
      <c r="K683" s="593"/>
      <c r="L683" s="593"/>
      <c r="M683" s="593"/>
      <c r="N683" s="593"/>
      <c r="O683" s="593"/>
      <c r="P683" s="593"/>
      <c r="Q683" s="593"/>
      <c r="R683" s="593"/>
    </row>
    <row r="684" spans="1:18" ht="12" hidden="1" thickBot="1">
      <c r="A684" s="593"/>
      <c r="B684" s="596" t="s">
        <v>1508</v>
      </c>
      <c r="C684" s="998" t="s">
        <v>1513</v>
      </c>
      <c r="D684" s="593">
        <v>362232</v>
      </c>
      <c r="E684" s="593"/>
      <c r="F684" s="593"/>
      <c r="G684" s="593"/>
      <c r="H684" s="994">
        <v>258348.85696314304</v>
      </c>
      <c r="I684" s="593"/>
      <c r="J684" s="593"/>
      <c r="K684" s="593"/>
      <c r="L684" s="593"/>
      <c r="M684" s="593"/>
      <c r="N684" s="593"/>
      <c r="O684" s="593"/>
      <c r="P684" s="593"/>
      <c r="Q684" s="593"/>
      <c r="R684" s="593"/>
    </row>
    <row r="685" spans="1:18" ht="12" hidden="1" thickBot="1">
      <c r="A685" s="593"/>
      <c r="B685" s="596" t="s">
        <v>1509</v>
      </c>
      <c r="C685" s="998" t="s">
        <v>1513</v>
      </c>
      <c r="D685" s="593">
        <v>362434</v>
      </c>
      <c r="E685" s="593"/>
      <c r="F685" s="593"/>
      <c r="G685" s="593"/>
      <c r="H685" s="994">
        <v>295395.53758102102</v>
      </c>
      <c r="I685" s="593"/>
      <c r="J685" s="593"/>
      <c r="K685" s="593"/>
      <c r="L685" s="593"/>
      <c r="M685" s="593"/>
      <c r="N685" s="593"/>
      <c r="O685" s="593"/>
      <c r="P685" s="593"/>
      <c r="Q685" s="593"/>
      <c r="R685" s="593"/>
    </row>
    <row r="686" spans="1:18" ht="12" hidden="1" thickBot="1">
      <c r="A686" s="593"/>
      <c r="B686" s="596" t="s">
        <v>1510</v>
      </c>
      <c r="C686" s="998" t="s">
        <v>1513</v>
      </c>
      <c r="D686" s="593">
        <v>362636</v>
      </c>
      <c r="E686" s="593"/>
      <c r="F686" s="1000"/>
      <c r="G686" s="1000"/>
      <c r="H686" s="994">
        <v>411112.75320476003</v>
      </c>
      <c r="I686" s="593"/>
      <c r="J686" s="593"/>
      <c r="K686" s="593"/>
      <c r="L686" s="593"/>
      <c r="M686" s="593"/>
      <c r="N686" s="593"/>
      <c r="O686" s="593"/>
      <c r="P686" s="593"/>
      <c r="Q686" s="593"/>
      <c r="R686" s="593"/>
    </row>
    <row r="687" spans="1:18" ht="12" hidden="1" thickBot="1">
      <c r="A687" s="593"/>
      <c r="B687" s="938" t="s">
        <v>1499</v>
      </c>
      <c r="C687" s="998" t="s">
        <v>1514</v>
      </c>
      <c r="D687" s="593">
        <v>28155.718515514094</v>
      </c>
      <c r="E687" s="593"/>
      <c r="F687" s="593"/>
      <c r="G687" s="593"/>
      <c r="H687" s="996">
        <v>40110.980620729155</v>
      </c>
      <c r="I687" s="593"/>
      <c r="J687" s="593"/>
      <c r="K687" s="593"/>
      <c r="L687" s="593"/>
      <c r="M687" s="593"/>
      <c r="N687" s="593"/>
      <c r="O687" s="593"/>
      <c r="P687" s="593"/>
      <c r="Q687" s="593"/>
      <c r="R687" s="593"/>
    </row>
    <row r="688" spans="1:18" ht="12" hidden="1" thickBot="1">
      <c r="A688" s="593"/>
      <c r="B688" s="596" t="s">
        <v>1500</v>
      </c>
      <c r="C688" s="998" t="s">
        <v>1514</v>
      </c>
      <c r="D688" s="593">
        <v>28166.474188242184</v>
      </c>
      <c r="E688" s="593"/>
      <c r="F688" s="593"/>
      <c r="G688" s="593"/>
      <c r="H688" s="996">
        <v>40346.50464380777</v>
      </c>
      <c r="I688" s="593"/>
      <c r="J688" s="593"/>
      <c r="K688" s="593"/>
      <c r="L688" s="593"/>
      <c r="M688" s="593"/>
      <c r="N688" s="593"/>
      <c r="O688" s="593"/>
      <c r="P688" s="593"/>
      <c r="Q688" s="593"/>
      <c r="R688" s="593"/>
    </row>
    <row r="689" spans="1:18" ht="12" hidden="1" thickBot="1">
      <c r="A689" s="593"/>
      <c r="B689" s="596" t="s">
        <v>1501</v>
      </c>
      <c r="C689" s="998" t="s">
        <v>1514</v>
      </c>
      <c r="D689" s="593">
        <v>28177.229860970278</v>
      </c>
      <c r="E689" s="593"/>
      <c r="F689" s="593"/>
      <c r="G689" s="593"/>
      <c r="H689" s="996">
        <v>32918.663173454355</v>
      </c>
      <c r="I689" s="593"/>
      <c r="J689" s="593"/>
      <c r="K689" s="593"/>
      <c r="L689" s="593"/>
      <c r="M689" s="593"/>
      <c r="N689" s="593"/>
      <c r="O689" s="593"/>
      <c r="P689" s="593"/>
      <c r="Q689" s="593"/>
      <c r="R689" s="593"/>
    </row>
    <row r="690" spans="1:18" ht="12" hidden="1" thickBot="1">
      <c r="A690" s="593"/>
      <c r="B690" s="596" t="s">
        <v>1502</v>
      </c>
      <c r="C690" s="998" t="s">
        <v>1514</v>
      </c>
      <c r="D690" s="593">
        <v>28187.985533698367</v>
      </c>
      <c r="E690" s="593"/>
      <c r="F690" s="593"/>
      <c r="G690" s="593"/>
      <c r="H690" s="996">
        <v>29801.686416290719</v>
      </c>
      <c r="I690" s="593"/>
      <c r="J690" s="593"/>
      <c r="K690" s="593"/>
      <c r="L690" s="593"/>
      <c r="M690" s="593"/>
      <c r="N690" s="593"/>
      <c r="O690" s="593"/>
      <c r="P690" s="593"/>
      <c r="Q690" s="593"/>
      <c r="R690" s="593"/>
    </row>
    <row r="691" spans="1:18" ht="12" hidden="1" thickBot="1">
      <c r="A691" s="593"/>
      <c r="B691" s="938" t="s">
        <v>1503</v>
      </c>
      <c r="C691" s="998" t="s">
        <v>1514</v>
      </c>
      <c r="D691" s="593">
        <v>28198.741206426461</v>
      </c>
      <c r="E691" s="593"/>
      <c r="F691" s="593"/>
      <c r="G691" s="593"/>
      <c r="H691" s="996">
        <v>29115.33919018575</v>
      </c>
      <c r="I691" s="593"/>
      <c r="J691" s="593"/>
      <c r="K691" s="593"/>
      <c r="L691" s="593"/>
      <c r="M691" s="593"/>
      <c r="N691" s="593"/>
      <c r="O691" s="593"/>
      <c r="P691" s="593"/>
      <c r="Q691" s="593"/>
      <c r="R691" s="593"/>
    </row>
    <row r="692" spans="1:18" ht="12" hidden="1" thickBot="1">
      <c r="A692" s="593"/>
      <c r="B692" s="596" t="s">
        <v>1504</v>
      </c>
      <c r="C692" s="998" t="s">
        <v>1514</v>
      </c>
      <c r="D692" s="593">
        <v>28209.496879154554</v>
      </c>
      <c r="E692" s="593"/>
      <c r="F692" s="593"/>
      <c r="G692" s="593"/>
      <c r="H692" s="996">
        <v>30941.035844625825</v>
      </c>
      <c r="I692" s="593"/>
      <c r="J692" s="593"/>
      <c r="K692" s="593"/>
      <c r="L692" s="593"/>
      <c r="M692" s="593"/>
      <c r="N692" s="593"/>
      <c r="O692" s="593"/>
      <c r="P692" s="593"/>
      <c r="Q692" s="593"/>
      <c r="R692" s="593"/>
    </row>
    <row r="693" spans="1:18" ht="12" hidden="1" thickBot="1">
      <c r="A693" s="593"/>
      <c r="B693" s="596" t="s">
        <v>1505</v>
      </c>
      <c r="C693" s="998" t="s">
        <v>1514</v>
      </c>
      <c r="D693" s="593">
        <v>28220.252551882644</v>
      </c>
      <c r="E693" s="593"/>
      <c r="F693" s="593"/>
      <c r="G693" s="593"/>
      <c r="H693" s="996">
        <v>31971.164133116858</v>
      </c>
      <c r="I693" s="593"/>
      <c r="J693" s="593"/>
      <c r="K693" s="593"/>
      <c r="L693" s="593"/>
      <c r="M693" s="593"/>
      <c r="N693" s="593"/>
      <c r="O693" s="593"/>
      <c r="P693" s="593"/>
      <c r="Q693" s="593"/>
      <c r="R693" s="593"/>
    </row>
    <row r="694" spans="1:18" ht="12" hidden="1" thickBot="1">
      <c r="A694" s="593"/>
      <c r="B694" s="938" t="s">
        <v>1506</v>
      </c>
      <c r="C694" s="998" t="s">
        <v>1514</v>
      </c>
      <c r="D694" s="593">
        <v>28231.008224610738</v>
      </c>
      <c r="E694" s="593"/>
      <c r="F694" s="593"/>
      <c r="G694" s="593"/>
      <c r="H694" s="996">
        <v>28606.751225367818</v>
      </c>
      <c r="I694" s="593"/>
      <c r="J694" s="593"/>
      <c r="K694" s="593"/>
      <c r="L694" s="593"/>
      <c r="M694" s="593"/>
      <c r="N694" s="593"/>
      <c r="O694" s="593"/>
      <c r="P694" s="593"/>
      <c r="Q694" s="593"/>
      <c r="R694" s="593"/>
    </row>
    <row r="695" spans="1:18" ht="12" hidden="1" thickBot="1">
      <c r="A695" s="593"/>
      <c r="B695" s="596" t="s">
        <v>1507</v>
      </c>
      <c r="C695" s="998" t="s">
        <v>1514</v>
      </c>
      <c r="D695" s="593">
        <v>28241.763897338831</v>
      </c>
      <c r="E695" s="593"/>
      <c r="F695" s="593"/>
      <c r="G695" s="593"/>
      <c r="H695" s="996">
        <v>29862.341049745861</v>
      </c>
      <c r="I695" s="593"/>
      <c r="J695" s="593"/>
      <c r="K695" s="593"/>
      <c r="L695" s="593"/>
      <c r="M695" s="593"/>
      <c r="N695" s="593"/>
      <c r="O695" s="593"/>
      <c r="P695" s="593"/>
      <c r="Q695" s="593"/>
      <c r="R695" s="593"/>
    </row>
    <row r="696" spans="1:18" ht="12" hidden="1" thickBot="1">
      <c r="A696" s="593"/>
      <c r="B696" s="596" t="s">
        <v>1508</v>
      </c>
      <c r="C696" s="998" t="s">
        <v>1514</v>
      </c>
      <c r="D696" s="593">
        <v>28252.519570066921</v>
      </c>
      <c r="E696" s="593"/>
      <c r="F696" s="593"/>
      <c r="G696" s="593"/>
      <c r="H696" s="996">
        <v>28238.91225680193</v>
      </c>
      <c r="I696" s="593"/>
      <c r="J696" s="593"/>
      <c r="K696" s="593"/>
      <c r="L696" s="593"/>
      <c r="M696" s="593"/>
      <c r="N696" s="593"/>
      <c r="O696" s="593"/>
      <c r="P696" s="593"/>
      <c r="Q696" s="593"/>
      <c r="R696" s="593"/>
    </row>
    <row r="697" spans="1:18" ht="12" hidden="1" thickBot="1">
      <c r="A697" s="593"/>
      <c r="B697" s="596" t="s">
        <v>1509</v>
      </c>
      <c r="C697" s="998" t="s">
        <v>1514</v>
      </c>
      <c r="D697" s="593">
        <v>28263.275242795014</v>
      </c>
      <c r="E697" s="593"/>
      <c r="F697" s="593"/>
      <c r="G697" s="593"/>
      <c r="H697" s="996">
        <v>31985.394915248296</v>
      </c>
      <c r="I697" s="593"/>
      <c r="J697" s="593"/>
      <c r="K697" s="593"/>
      <c r="L697" s="593"/>
      <c r="M697" s="593"/>
      <c r="N697" s="593"/>
      <c r="O697" s="593"/>
      <c r="P697" s="593"/>
      <c r="Q697" s="593"/>
      <c r="R697" s="593"/>
    </row>
    <row r="698" spans="1:18" ht="12" hidden="1" thickBot="1">
      <c r="A698" s="593"/>
      <c r="B698" s="596" t="s">
        <v>1510</v>
      </c>
      <c r="C698" s="998" t="s">
        <v>1514</v>
      </c>
      <c r="D698" s="593">
        <v>28274.030915523104</v>
      </c>
      <c r="E698" s="593"/>
      <c r="F698" s="593"/>
      <c r="G698" s="593"/>
      <c r="H698" s="996">
        <v>36031.760246286882</v>
      </c>
      <c r="I698" s="593"/>
      <c r="J698" s="593"/>
      <c r="K698" s="593"/>
      <c r="L698" s="593"/>
      <c r="M698" s="593"/>
      <c r="N698" s="593"/>
      <c r="O698" s="593"/>
      <c r="P698" s="593"/>
      <c r="Q698" s="593"/>
      <c r="R698" s="593"/>
    </row>
    <row r="699" spans="1:18" ht="12" hidden="1" thickBot="1">
      <c r="A699" s="593"/>
      <c r="B699" s="938" t="s">
        <v>1499</v>
      </c>
      <c r="C699" s="998" t="s">
        <v>1515</v>
      </c>
      <c r="D699" s="593">
        <v>16348.281484485904</v>
      </c>
      <c r="E699" s="593"/>
      <c r="F699" s="593"/>
      <c r="G699" s="593"/>
      <c r="H699" s="996">
        <v>102495.32634616065</v>
      </c>
      <c r="I699" s="593"/>
      <c r="J699" s="593"/>
      <c r="K699" s="593"/>
      <c r="L699" s="593"/>
      <c r="M699" s="593"/>
      <c r="N699" s="593"/>
      <c r="O699" s="593"/>
      <c r="P699" s="593"/>
      <c r="Q699" s="593"/>
      <c r="R699" s="593">
        <v>238335.38829164996</v>
      </c>
    </row>
    <row r="700" spans="1:18" ht="12" hidden="1" thickBot="1">
      <c r="A700" s="593"/>
      <c r="B700" s="596" t="s">
        <v>1500</v>
      </c>
      <c r="C700" s="998" t="s">
        <v>1515</v>
      </c>
      <c r="D700" s="593">
        <v>16354.525811757812</v>
      </c>
      <c r="E700" s="593"/>
      <c r="F700" s="593"/>
      <c r="G700" s="593"/>
      <c r="H700" s="996">
        <v>103100.95954836281</v>
      </c>
      <c r="I700" s="593"/>
      <c r="J700" s="593"/>
      <c r="K700" s="593"/>
      <c r="L700" s="593"/>
      <c r="M700" s="593"/>
      <c r="N700" s="593"/>
      <c r="O700" s="593"/>
      <c r="P700" s="593"/>
      <c r="Q700" s="593"/>
      <c r="R700" s="593">
        <v>239618.59462688791</v>
      </c>
    </row>
    <row r="701" spans="1:18" ht="12" hidden="1" thickBot="1">
      <c r="A701" s="593"/>
      <c r="B701" s="596" t="s">
        <v>1501</v>
      </c>
      <c r="C701" s="998" t="s">
        <v>1515</v>
      </c>
      <c r="D701" s="593">
        <v>16360.770139029721</v>
      </c>
      <c r="E701" s="593"/>
      <c r="F701" s="593"/>
      <c r="G701" s="593"/>
      <c r="H701" s="996">
        <v>84000.795767454038</v>
      </c>
      <c r="I701" s="593"/>
      <c r="J701" s="593"/>
      <c r="K701" s="593"/>
      <c r="L701" s="593"/>
      <c r="M701" s="593"/>
      <c r="N701" s="593"/>
      <c r="O701" s="593"/>
      <c r="P701" s="593"/>
      <c r="Q701" s="593"/>
      <c r="R701" s="593">
        <v>227085.82376883039</v>
      </c>
    </row>
    <row r="702" spans="1:18" ht="12" hidden="1" thickBot="1">
      <c r="A702" s="593"/>
      <c r="B702" s="596" t="s">
        <v>1502</v>
      </c>
      <c r="C702" s="998" t="s">
        <v>1515</v>
      </c>
      <c r="D702" s="593">
        <v>16367.014466301629</v>
      </c>
      <c r="E702" s="593"/>
      <c r="F702" s="593"/>
      <c r="G702" s="593"/>
      <c r="H702" s="996">
        <v>75985.712677604693</v>
      </c>
      <c r="I702" s="593"/>
      <c r="J702" s="593"/>
      <c r="K702" s="593"/>
      <c r="L702" s="593"/>
      <c r="M702" s="593"/>
      <c r="N702" s="593"/>
      <c r="O702" s="593"/>
      <c r="P702" s="593"/>
      <c r="Q702" s="593"/>
      <c r="R702" s="593">
        <v>215611.85528763963</v>
      </c>
    </row>
    <row r="703" spans="1:18" ht="12" hidden="1" thickBot="1">
      <c r="A703" s="593"/>
      <c r="B703" s="938" t="s">
        <v>1503</v>
      </c>
      <c r="C703" s="998" t="s">
        <v>1515</v>
      </c>
      <c r="D703" s="593">
        <v>16373.258793573536</v>
      </c>
      <c r="E703" s="593"/>
      <c r="F703" s="593"/>
      <c r="G703" s="593"/>
      <c r="H703" s="996">
        <v>74220.819810477638</v>
      </c>
      <c r="I703" s="593"/>
      <c r="J703" s="593"/>
      <c r="K703" s="593"/>
      <c r="L703" s="593"/>
      <c r="M703" s="593"/>
      <c r="N703" s="593"/>
      <c r="O703" s="593"/>
      <c r="P703" s="593"/>
      <c r="Q703" s="593"/>
      <c r="R703" s="593">
        <v>211285.86459214325</v>
      </c>
    </row>
    <row r="704" spans="1:18" ht="12" hidden="1" thickBot="1">
      <c r="A704" s="593"/>
      <c r="B704" s="596" t="s">
        <v>1504</v>
      </c>
      <c r="C704" s="998" t="s">
        <v>1515</v>
      </c>
      <c r="D704" s="593">
        <v>16379.503120845446</v>
      </c>
      <c r="E704" s="593"/>
      <c r="F704" s="593"/>
      <c r="G704" s="593"/>
      <c r="H704" s="996">
        <v>78915.468350466399</v>
      </c>
      <c r="I704" s="593"/>
      <c r="J704" s="593"/>
      <c r="K704" s="593"/>
      <c r="L704" s="593"/>
      <c r="M704" s="593"/>
      <c r="N704" s="593"/>
      <c r="O704" s="593"/>
      <c r="P704" s="593"/>
      <c r="Q704" s="593"/>
      <c r="R704" s="593">
        <v>192223.27683001317</v>
      </c>
    </row>
    <row r="705" spans="1:18" ht="12" hidden="1" thickBot="1">
      <c r="A705" s="593"/>
      <c r="B705" s="596" t="s">
        <v>1505</v>
      </c>
      <c r="C705" s="998" t="s">
        <v>1515</v>
      </c>
      <c r="D705" s="593">
        <v>16385.747448117352</v>
      </c>
      <c r="E705" s="593"/>
      <c r="F705" s="593"/>
      <c r="G705" s="593"/>
      <c r="H705" s="996">
        <v>81564.369663729056</v>
      </c>
      <c r="I705" s="593"/>
      <c r="J705" s="593"/>
      <c r="K705" s="593"/>
      <c r="L705" s="593"/>
      <c r="M705" s="593"/>
      <c r="N705" s="593"/>
      <c r="O705" s="593"/>
      <c r="P705" s="593"/>
      <c r="Q705" s="593"/>
      <c r="R705" s="593">
        <v>202711.11141043584</v>
      </c>
    </row>
    <row r="706" spans="1:18" ht="12" hidden="1" thickBot="1">
      <c r="A706" s="593"/>
      <c r="B706" s="938" t="s">
        <v>1506</v>
      </c>
      <c r="C706" s="998" t="s">
        <v>1515</v>
      </c>
      <c r="D706" s="593">
        <v>16391.991775389259</v>
      </c>
      <c r="E706" s="593"/>
      <c r="F706" s="593"/>
      <c r="G706" s="593"/>
      <c r="H706" s="996">
        <v>72913.022186660091</v>
      </c>
      <c r="I706" s="593"/>
      <c r="J706" s="593"/>
      <c r="K706" s="593"/>
      <c r="L706" s="593"/>
      <c r="M706" s="593"/>
      <c r="N706" s="593"/>
      <c r="O706" s="593"/>
      <c r="P706" s="593"/>
      <c r="Q706" s="593"/>
      <c r="R706" s="593">
        <v>197213.16095520128</v>
      </c>
    </row>
    <row r="707" spans="1:18" ht="12" hidden="1" thickBot="1">
      <c r="A707" s="593"/>
      <c r="B707" s="596" t="s">
        <v>1507</v>
      </c>
      <c r="C707" s="998" t="s">
        <v>1515</v>
      </c>
      <c r="D707" s="593">
        <v>16398.236102661169</v>
      </c>
      <c r="E707" s="593"/>
      <c r="F707" s="593"/>
      <c r="G707" s="593"/>
      <c r="H707" s="996">
        <v>76141.681735060774</v>
      </c>
      <c r="I707" s="593"/>
      <c r="J707" s="593"/>
      <c r="K707" s="593"/>
      <c r="L707" s="593"/>
      <c r="M707" s="593"/>
      <c r="N707" s="593"/>
      <c r="O707" s="593"/>
      <c r="P707" s="593"/>
      <c r="Q707" s="593"/>
      <c r="R707" s="593">
        <v>197201.13471773706</v>
      </c>
    </row>
    <row r="708" spans="1:18" ht="12" hidden="1" thickBot="1">
      <c r="A708" s="593"/>
      <c r="B708" s="596" t="s">
        <v>1508</v>
      </c>
      <c r="C708" s="998" t="s">
        <v>1515</v>
      </c>
      <c r="D708" s="593">
        <v>16404.480429933075</v>
      </c>
      <c r="E708" s="593"/>
      <c r="F708" s="593"/>
      <c r="G708" s="593"/>
      <c r="H708" s="996">
        <v>71967.150553204949</v>
      </c>
      <c r="I708" s="593"/>
      <c r="J708" s="593"/>
      <c r="K708" s="593"/>
      <c r="L708" s="593"/>
      <c r="M708" s="593"/>
      <c r="N708" s="593"/>
      <c r="O708" s="593"/>
      <c r="P708" s="593"/>
      <c r="Q708" s="593"/>
      <c r="R708" s="593">
        <v>214874.7181046723</v>
      </c>
    </row>
    <row r="709" spans="1:18" ht="12" hidden="1" thickBot="1">
      <c r="A709" s="593"/>
      <c r="B709" s="596" t="s">
        <v>1509</v>
      </c>
      <c r="C709" s="998" t="s">
        <v>1515</v>
      </c>
      <c r="D709" s="593">
        <v>16410.724757204986</v>
      </c>
      <c r="E709" s="593"/>
      <c r="F709" s="593"/>
      <c r="G709" s="593"/>
      <c r="H709" s="996">
        <v>81600.963103495611</v>
      </c>
      <c r="I709" s="593"/>
      <c r="J709" s="593"/>
      <c r="K709" s="593"/>
      <c r="L709" s="593"/>
      <c r="M709" s="593"/>
      <c r="N709" s="593"/>
      <c r="O709" s="593"/>
      <c r="P709" s="593"/>
      <c r="Q709" s="593"/>
      <c r="R709" s="593">
        <v>220978.501265514</v>
      </c>
    </row>
    <row r="710" spans="1:18" ht="12" hidden="1" thickBot="1">
      <c r="A710" s="593"/>
      <c r="B710" s="596" t="s">
        <v>1510</v>
      </c>
      <c r="C710" s="998" t="s">
        <v>1515</v>
      </c>
      <c r="D710" s="593">
        <v>16416.969084476892</v>
      </c>
      <c r="E710" s="593"/>
      <c r="F710" s="593"/>
      <c r="G710" s="593"/>
      <c r="H710" s="996">
        <v>92005.902526166246</v>
      </c>
      <c r="I710" s="593"/>
      <c r="J710" s="593"/>
      <c r="K710" s="593"/>
      <c r="L710" s="593"/>
      <c r="M710" s="593"/>
      <c r="N710" s="593"/>
      <c r="O710" s="593"/>
      <c r="P710" s="593"/>
      <c r="Q710" s="593"/>
      <c r="R710" s="593">
        <v>216925.96502864064</v>
      </c>
    </row>
    <row r="711" spans="1:18" ht="12" hidden="1" thickBot="1">
      <c r="A711" s="593"/>
      <c r="B711" s="938" t="s">
        <v>1499</v>
      </c>
      <c r="C711" s="998" t="s">
        <v>1516</v>
      </c>
      <c r="D711" s="593">
        <v>156</v>
      </c>
      <c r="E711" s="593"/>
      <c r="F711" s="593"/>
      <c r="G711" s="593"/>
      <c r="H711" s="994">
        <v>264.2880539140607</v>
      </c>
      <c r="I711" s="593"/>
      <c r="J711" s="593"/>
      <c r="K711" s="593"/>
      <c r="L711" s="593"/>
      <c r="M711" s="593"/>
      <c r="N711" s="593"/>
      <c r="O711" s="593"/>
      <c r="P711" s="593"/>
      <c r="Q711" s="593"/>
      <c r="R711" s="593"/>
    </row>
    <row r="712" spans="1:18" ht="12" hidden="1" thickBot="1">
      <c r="A712" s="593"/>
      <c r="B712" s="596" t="s">
        <v>1500</v>
      </c>
      <c r="C712" s="998" t="s">
        <v>1516</v>
      </c>
      <c r="D712" s="593">
        <v>156</v>
      </c>
      <c r="E712" s="593"/>
      <c r="F712" s="593"/>
      <c r="G712" s="593"/>
      <c r="H712" s="994">
        <v>258.895694522984</v>
      </c>
      <c r="I712" s="593"/>
      <c r="J712" s="593"/>
      <c r="K712" s="593"/>
      <c r="L712" s="593"/>
      <c r="M712" s="593"/>
      <c r="N712" s="593"/>
      <c r="O712" s="593"/>
      <c r="P712" s="593"/>
      <c r="Q712" s="593"/>
      <c r="R712" s="593"/>
    </row>
    <row r="713" spans="1:18" ht="12" hidden="1" thickBot="1">
      <c r="A713" s="593"/>
      <c r="B713" s="596" t="s">
        <v>1501</v>
      </c>
      <c r="C713" s="998" t="s">
        <v>1516</v>
      </c>
      <c r="D713" s="593">
        <v>156</v>
      </c>
      <c r="E713" s="593"/>
      <c r="F713" s="593"/>
      <c r="G713" s="593"/>
      <c r="H713" s="994">
        <v>238.22162171947591</v>
      </c>
      <c r="I713" s="593"/>
      <c r="J713" s="593"/>
      <c r="K713" s="593"/>
      <c r="L713" s="593"/>
      <c r="M713" s="593"/>
      <c r="N713" s="593"/>
      <c r="O713" s="593"/>
      <c r="P713" s="593"/>
      <c r="Q713" s="593"/>
      <c r="R713" s="593"/>
    </row>
    <row r="714" spans="1:18" ht="12" hidden="1" thickBot="1">
      <c r="A714" s="593"/>
      <c r="B714" s="596" t="s">
        <v>1502</v>
      </c>
      <c r="C714" s="998" t="s">
        <v>1516</v>
      </c>
      <c r="D714" s="593">
        <v>156</v>
      </c>
      <c r="E714" s="593"/>
      <c r="F714" s="593"/>
      <c r="G714" s="593"/>
      <c r="H714" s="994">
        <v>273.37172025554116</v>
      </c>
      <c r="I714" s="593"/>
      <c r="J714" s="593"/>
      <c r="K714" s="593"/>
      <c r="L714" s="593"/>
      <c r="M714" s="593"/>
      <c r="N714" s="593"/>
      <c r="O714" s="593"/>
      <c r="P714" s="593"/>
      <c r="Q714" s="593"/>
      <c r="R714" s="593"/>
    </row>
    <row r="715" spans="1:18" ht="12" hidden="1" thickBot="1">
      <c r="A715" s="593"/>
      <c r="B715" s="938" t="s">
        <v>1503</v>
      </c>
      <c r="C715" s="998" t="s">
        <v>1516</v>
      </c>
      <c r="D715" s="593">
        <v>156</v>
      </c>
      <c r="E715" s="593"/>
      <c r="F715" s="593"/>
      <c r="G715" s="593"/>
      <c r="H715" s="994">
        <v>314.5166453820741</v>
      </c>
      <c r="I715" s="593"/>
      <c r="J715" s="593"/>
      <c r="K715" s="593"/>
      <c r="L715" s="593"/>
      <c r="M715" s="593"/>
      <c r="N715" s="593"/>
      <c r="O715" s="593"/>
      <c r="P715" s="593"/>
      <c r="Q715" s="593"/>
      <c r="R715" s="593"/>
    </row>
    <row r="716" spans="1:18" ht="12" hidden="1" thickBot="1">
      <c r="A716" s="593"/>
      <c r="B716" s="596" t="s">
        <v>1504</v>
      </c>
      <c r="C716" s="998" t="s">
        <v>1516</v>
      </c>
      <c r="D716" s="593">
        <v>156</v>
      </c>
      <c r="E716" s="593"/>
      <c r="F716" s="593"/>
      <c r="G716" s="593"/>
      <c r="H716" s="994">
        <v>359.45832818764893</v>
      </c>
      <c r="I716" s="593"/>
      <c r="J716" s="593"/>
      <c r="K716" s="593"/>
      <c r="L716" s="593"/>
      <c r="M716" s="593"/>
      <c r="N716" s="593"/>
      <c r="O716" s="593"/>
      <c r="P716" s="593"/>
      <c r="Q716" s="593"/>
      <c r="R716" s="593"/>
    </row>
    <row r="717" spans="1:18" ht="12" hidden="1" thickBot="1">
      <c r="A717" s="593"/>
      <c r="B717" s="596" t="s">
        <v>1505</v>
      </c>
      <c r="C717" s="998" t="s">
        <v>1516</v>
      </c>
      <c r="D717" s="593">
        <v>156</v>
      </c>
      <c r="E717" s="593"/>
      <c r="F717" s="593"/>
      <c r="G717" s="593"/>
      <c r="H717" s="994">
        <v>358.27872373312096</v>
      </c>
      <c r="I717" s="593"/>
      <c r="J717" s="593"/>
      <c r="K717" s="593"/>
      <c r="L717" s="593"/>
      <c r="M717" s="593"/>
      <c r="N717" s="593"/>
      <c r="O717" s="593"/>
      <c r="P717" s="593"/>
      <c r="Q717" s="593"/>
      <c r="R717" s="593"/>
    </row>
    <row r="718" spans="1:18" ht="12" hidden="1" thickBot="1">
      <c r="A718" s="593"/>
      <c r="B718" s="938" t="s">
        <v>1506</v>
      </c>
      <c r="C718" s="998" t="s">
        <v>1516</v>
      </c>
      <c r="D718" s="593">
        <v>156</v>
      </c>
      <c r="E718" s="593"/>
      <c r="F718" s="593"/>
      <c r="G718" s="593"/>
      <c r="H718" s="994">
        <v>268.28697051121094</v>
      </c>
      <c r="I718" s="593"/>
      <c r="J718" s="593"/>
      <c r="K718" s="593"/>
      <c r="L718" s="593"/>
      <c r="M718" s="593"/>
      <c r="N718" s="593"/>
      <c r="O718" s="593"/>
      <c r="P718" s="593"/>
      <c r="Q718" s="593"/>
      <c r="R718" s="593"/>
    </row>
    <row r="719" spans="1:18" ht="12" hidden="1" thickBot="1">
      <c r="A719" s="593"/>
      <c r="B719" s="596" t="s">
        <v>1507</v>
      </c>
      <c r="C719" s="998" t="s">
        <v>1516</v>
      </c>
      <c r="D719" s="593">
        <v>156</v>
      </c>
      <c r="E719" s="593"/>
      <c r="F719" s="593"/>
      <c r="G719" s="593"/>
      <c r="H719" s="994">
        <v>246.82042770588157</v>
      </c>
      <c r="I719" s="593"/>
      <c r="J719" s="593"/>
      <c r="K719" s="593"/>
      <c r="L719" s="593"/>
      <c r="M719" s="593"/>
      <c r="N719" s="593"/>
      <c r="O719" s="593"/>
      <c r="P719" s="593"/>
      <c r="Q719" s="593"/>
      <c r="R719" s="593"/>
    </row>
    <row r="720" spans="1:18" ht="12" hidden="1" thickBot="1">
      <c r="A720" s="593"/>
      <c r="B720" s="596" t="s">
        <v>1508</v>
      </c>
      <c r="C720" s="998" t="s">
        <v>1516</v>
      </c>
      <c r="D720" s="593">
        <v>156</v>
      </c>
      <c r="E720" s="593"/>
      <c r="F720" s="593"/>
      <c r="G720" s="593"/>
      <c r="H720" s="994">
        <v>272.30406649460537</v>
      </c>
      <c r="I720" s="593"/>
      <c r="J720" s="593"/>
      <c r="K720" s="593"/>
      <c r="L720" s="593"/>
      <c r="M720" s="593"/>
      <c r="N720" s="593"/>
      <c r="O720" s="593"/>
      <c r="P720" s="593"/>
      <c r="Q720" s="593"/>
      <c r="R720" s="593"/>
    </row>
    <row r="721" spans="1:18" ht="12" hidden="1" thickBot="1">
      <c r="A721" s="593"/>
      <c r="B721" s="596" t="s">
        <v>1509</v>
      </c>
      <c r="C721" s="998" t="s">
        <v>1516</v>
      </c>
      <c r="D721" s="593">
        <v>156</v>
      </c>
      <c r="E721" s="593"/>
      <c r="F721" s="593"/>
      <c r="G721" s="593"/>
      <c r="H721" s="994">
        <v>306.98486850933438</v>
      </c>
      <c r="I721" s="593"/>
      <c r="J721" s="593"/>
      <c r="K721" s="593"/>
      <c r="L721" s="593"/>
      <c r="M721" s="593"/>
      <c r="N721" s="593"/>
      <c r="O721" s="593"/>
      <c r="P721" s="593"/>
      <c r="Q721" s="593"/>
      <c r="R721" s="593"/>
    </row>
    <row r="722" spans="1:18" ht="12" hidden="1" thickBot="1">
      <c r="A722" s="593"/>
      <c r="B722" s="596" t="s">
        <v>1510</v>
      </c>
      <c r="C722" s="998" t="s">
        <v>1516</v>
      </c>
      <c r="D722" s="593">
        <v>156</v>
      </c>
      <c r="E722" s="593"/>
      <c r="F722" s="593"/>
      <c r="G722" s="593"/>
      <c r="H722" s="994">
        <v>281.30950515140518</v>
      </c>
      <c r="I722" s="593"/>
      <c r="J722" s="593"/>
      <c r="K722" s="593"/>
      <c r="L722" s="593"/>
      <c r="M722" s="593"/>
      <c r="N722" s="593"/>
      <c r="O722" s="593"/>
      <c r="P722" s="593"/>
      <c r="Q722" s="593"/>
      <c r="R722" s="593"/>
    </row>
    <row r="723" spans="1:18" ht="12" hidden="1" thickBot="1">
      <c r="A723" s="593"/>
      <c r="B723" s="938" t="s">
        <v>1499</v>
      </c>
      <c r="C723" s="998" t="s">
        <v>1517</v>
      </c>
      <c r="D723" s="593">
        <v>905</v>
      </c>
      <c r="E723" s="593"/>
      <c r="F723" s="1000"/>
      <c r="G723" s="1000"/>
      <c r="H723" s="994">
        <v>256.93593121578107</v>
      </c>
      <c r="I723" s="593"/>
      <c r="J723" s="593"/>
      <c r="K723" s="593"/>
      <c r="L723" s="593"/>
      <c r="M723" s="593"/>
      <c r="N723" s="593"/>
      <c r="O723" s="593"/>
      <c r="P723" s="593"/>
      <c r="Q723" s="593"/>
      <c r="R723" s="593"/>
    </row>
    <row r="724" spans="1:18" ht="12" hidden="1" thickBot="1">
      <c r="A724" s="593"/>
      <c r="B724" s="596" t="s">
        <v>1500</v>
      </c>
      <c r="C724" s="998" t="s">
        <v>1517</v>
      </c>
      <c r="D724" s="593">
        <v>905</v>
      </c>
      <c r="E724" s="593"/>
      <c r="F724" s="593"/>
      <c r="G724" s="593"/>
      <c r="H724" s="994">
        <v>255.20105451214508</v>
      </c>
      <c r="I724" s="593"/>
      <c r="J724" s="593"/>
      <c r="K724" s="593"/>
      <c r="L724" s="593"/>
      <c r="M724" s="593"/>
      <c r="N724" s="593"/>
      <c r="O724" s="593"/>
      <c r="P724" s="593"/>
      <c r="Q724" s="593"/>
      <c r="R724" s="593"/>
    </row>
    <row r="725" spans="1:18" ht="12" hidden="1" thickBot="1">
      <c r="A725" s="593"/>
      <c r="B725" s="596" t="s">
        <v>1501</v>
      </c>
      <c r="C725" s="998" t="s">
        <v>1517</v>
      </c>
      <c r="D725" s="593">
        <v>905</v>
      </c>
      <c r="E725" s="593"/>
      <c r="F725" s="593"/>
      <c r="G725" s="593"/>
      <c r="H725" s="994">
        <v>223.41572142329866</v>
      </c>
      <c r="I725" s="593"/>
      <c r="J725" s="593"/>
      <c r="K725" s="593"/>
      <c r="L725" s="593"/>
      <c r="M725" s="593"/>
      <c r="N725" s="593"/>
      <c r="O725" s="593"/>
      <c r="P725" s="593"/>
      <c r="Q725" s="593"/>
      <c r="R725" s="593"/>
    </row>
    <row r="726" spans="1:18" ht="12" hidden="1" thickBot="1">
      <c r="A726" s="593"/>
      <c r="B726" s="596" t="s">
        <v>1502</v>
      </c>
      <c r="C726" s="998" t="s">
        <v>1517</v>
      </c>
      <c r="D726" s="593">
        <v>905</v>
      </c>
      <c r="E726" s="593"/>
      <c r="F726" s="593"/>
      <c r="G726" s="593"/>
      <c r="H726" s="994">
        <v>250.21709807304211</v>
      </c>
      <c r="I726" s="593"/>
      <c r="J726" s="593"/>
      <c r="K726" s="593"/>
      <c r="L726" s="593"/>
      <c r="M726" s="593"/>
      <c r="N726" s="593"/>
      <c r="O726" s="593"/>
      <c r="P726" s="593"/>
      <c r="Q726" s="593"/>
      <c r="R726" s="593"/>
    </row>
    <row r="727" spans="1:18" ht="12" hidden="1" thickBot="1">
      <c r="A727" s="593"/>
      <c r="B727" s="938" t="s">
        <v>1503</v>
      </c>
      <c r="C727" s="998" t="s">
        <v>1517</v>
      </c>
      <c r="D727" s="593">
        <v>905</v>
      </c>
      <c r="E727" s="593"/>
      <c r="F727" s="593"/>
      <c r="G727" s="593"/>
      <c r="H727" s="994">
        <v>269.91836039994041</v>
      </c>
      <c r="I727" s="593"/>
      <c r="J727" s="593"/>
      <c r="K727" s="593"/>
      <c r="L727" s="593"/>
      <c r="M727" s="593"/>
      <c r="N727" s="593"/>
      <c r="O727" s="593"/>
      <c r="P727" s="593"/>
      <c r="Q727" s="593"/>
      <c r="R727" s="593"/>
    </row>
    <row r="728" spans="1:18" ht="12" hidden="1" thickBot="1">
      <c r="A728" s="593"/>
      <c r="B728" s="596" t="s">
        <v>1504</v>
      </c>
      <c r="C728" s="998" t="s">
        <v>1517</v>
      </c>
      <c r="D728" s="593">
        <v>905</v>
      </c>
      <c r="E728" s="593"/>
      <c r="F728" s="593"/>
      <c r="G728" s="593"/>
      <c r="H728" s="994">
        <v>295.99081323219849</v>
      </c>
      <c r="I728" s="593"/>
      <c r="J728" s="593"/>
      <c r="K728" s="593"/>
      <c r="L728" s="593"/>
      <c r="M728" s="593"/>
      <c r="N728" s="593"/>
      <c r="O728" s="593"/>
      <c r="P728" s="593"/>
      <c r="Q728" s="593"/>
      <c r="R728" s="593"/>
    </row>
    <row r="729" spans="1:18" ht="12" hidden="1" thickBot="1">
      <c r="A729" s="593"/>
      <c r="B729" s="596" t="s">
        <v>1505</v>
      </c>
      <c r="C729" s="998" t="s">
        <v>1517</v>
      </c>
      <c r="D729" s="593">
        <v>905</v>
      </c>
      <c r="E729" s="593"/>
      <c r="F729" s="593"/>
      <c r="G729" s="593"/>
      <c r="H729" s="994">
        <v>289.22627398202656</v>
      </c>
      <c r="I729" s="593"/>
      <c r="J729" s="593"/>
      <c r="K729" s="593"/>
      <c r="L729" s="593"/>
      <c r="M729" s="593"/>
      <c r="N729" s="593"/>
      <c r="O729" s="593"/>
      <c r="P729" s="593"/>
      <c r="Q729" s="593"/>
      <c r="R729" s="593"/>
    </row>
    <row r="730" spans="1:18" ht="12" hidden="1" thickBot="1">
      <c r="A730" s="593"/>
      <c r="B730" s="938" t="s">
        <v>1506</v>
      </c>
      <c r="C730" s="998" t="s">
        <v>1517</v>
      </c>
      <c r="D730" s="593">
        <v>905</v>
      </c>
      <c r="E730" s="593"/>
      <c r="F730" s="593"/>
      <c r="G730" s="593"/>
      <c r="H730" s="994">
        <v>231.4864560113009</v>
      </c>
      <c r="I730" s="593"/>
      <c r="J730" s="593"/>
      <c r="K730" s="593"/>
      <c r="L730" s="593"/>
      <c r="M730" s="593"/>
      <c r="N730" s="593"/>
      <c r="O730" s="593"/>
      <c r="P730" s="593"/>
      <c r="Q730" s="593"/>
      <c r="R730" s="593"/>
    </row>
    <row r="731" spans="1:18" ht="12" hidden="1" thickBot="1">
      <c r="A731" s="593"/>
      <c r="B731" s="596" t="s">
        <v>1507</v>
      </c>
      <c r="C731" s="998" t="s">
        <v>1517</v>
      </c>
      <c r="D731" s="593">
        <v>905</v>
      </c>
      <c r="E731" s="593"/>
      <c r="F731" s="593"/>
      <c r="G731" s="593"/>
      <c r="H731" s="994">
        <v>237.75172913277822</v>
      </c>
      <c r="I731" s="593"/>
      <c r="J731" s="593"/>
      <c r="K731" s="593"/>
      <c r="L731" s="593"/>
      <c r="M731" s="593"/>
      <c r="N731" s="593"/>
      <c r="O731" s="593"/>
      <c r="P731" s="593"/>
      <c r="Q731" s="593"/>
      <c r="R731" s="593"/>
    </row>
    <row r="732" spans="1:18" ht="12" hidden="1" thickBot="1">
      <c r="A732" s="593"/>
      <c r="B732" s="596" t="s">
        <v>1508</v>
      </c>
      <c r="C732" s="998" t="s">
        <v>1517</v>
      </c>
      <c r="D732" s="593">
        <v>905</v>
      </c>
      <c r="E732" s="593"/>
      <c r="F732" s="593"/>
      <c r="G732" s="593"/>
      <c r="H732" s="994">
        <v>241.66082027053915</v>
      </c>
      <c r="I732" s="593"/>
      <c r="J732" s="593"/>
      <c r="K732" s="593"/>
      <c r="L732" s="593"/>
      <c r="M732" s="593"/>
      <c r="N732" s="593"/>
      <c r="O732" s="593"/>
      <c r="P732" s="593"/>
      <c r="Q732" s="593"/>
      <c r="R732" s="593"/>
    </row>
    <row r="733" spans="1:18" ht="12" hidden="1" thickBot="1">
      <c r="A733" s="593"/>
      <c r="B733" s="596" t="s">
        <v>1509</v>
      </c>
      <c r="C733" s="998" t="s">
        <v>1517</v>
      </c>
      <c r="D733" s="593">
        <v>905</v>
      </c>
      <c r="E733" s="593"/>
      <c r="F733" s="593"/>
      <c r="G733" s="593"/>
      <c r="H733" s="994">
        <v>274.25980498916562</v>
      </c>
      <c r="I733" s="593"/>
      <c r="J733" s="593"/>
      <c r="K733" s="593"/>
      <c r="L733" s="593"/>
      <c r="M733" s="593"/>
      <c r="N733" s="593"/>
      <c r="O733" s="593"/>
      <c r="P733" s="593"/>
      <c r="Q733" s="593"/>
      <c r="R733" s="593"/>
    </row>
    <row r="734" spans="1:18" ht="12" hidden="1" thickBot="1">
      <c r="A734" s="593"/>
      <c r="B734" s="596" t="s">
        <v>1510</v>
      </c>
      <c r="C734" s="998" t="s">
        <v>1517</v>
      </c>
      <c r="D734" s="593">
        <v>905</v>
      </c>
      <c r="E734" s="593"/>
      <c r="F734" s="593"/>
      <c r="G734" s="593"/>
      <c r="H734" s="994">
        <v>277.65860397619218</v>
      </c>
      <c r="I734" s="593"/>
      <c r="J734" s="593"/>
      <c r="K734" s="593"/>
      <c r="L734" s="593"/>
      <c r="M734" s="593"/>
      <c r="N734" s="593"/>
      <c r="O734" s="593"/>
      <c r="P734" s="593"/>
      <c r="Q734" s="593"/>
      <c r="R734" s="593"/>
    </row>
    <row r="735" spans="1:18" ht="12" hidden="1" thickBot="1">
      <c r="A735" s="593"/>
      <c r="B735" s="938" t="s">
        <v>1499</v>
      </c>
      <c r="C735" s="998" t="s">
        <v>1518</v>
      </c>
      <c r="D735" s="593">
        <v>12</v>
      </c>
      <c r="E735" s="593"/>
      <c r="F735" s="593"/>
      <c r="G735" s="593"/>
      <c r="H735" s="994">
        <v>71457.685549857837</v>
      </c>
      <c r="I735" s="593"/>
      <c r="J735" s="593"/>
      <c r="K735" s="593"/>
      <c r="L735" s="593"/>
      <c r="M735" s="593"/>
      <c r="N735" s="593"/>
      <c r="O735" s="593">
        <v>148470.77229784758</v>
      </c>
      <c r="P735" s="593">
        <v>144617.46967943848</v>
      </c>
      <c r="Q735" s="593">
        <v>91611.18242421918</v>
      </c>
      <c r="R735" s="593"/>
    </row>
    <row r="736" spans="1:18" ht="12" hidden="1" thickBot="1">
      <c r="A736" s="593"/>
      <c r="B736" s="596" t="s">
        <v>1500</v>
      </c>
      <c r="C736" s="998" t="s">
        <v>1518</v>
      </c>
      <c r="D736" s="593">
        <v>12</v>
      </c>
      <c r="E736" s="593"/>
      <c r="F736" s="593"/>
      <c r="G736" s="593"/>
      <c r="H736" s="994">
        <v>77369.757371949701</v>
      </c>
      <c r="I736" s="593"/>
      <c r="J736" s="593"/>
      <c r="K736" s="593"/>
      <c r="L736" s="593"/>
      <c r="M736" s="593"/>
      <c r="N736" s="593"/>
      <c r="O736" s="593">
        <v>158090.76551559471</v>
      </c>
      <c r="P736" s="593">
        <v>152482.84733311457</v>
      </c>
      <c r="Q736" s="593">
        <v>100355.55937952222</v>
      </c>
      <c r="R736" s="593"/>
    </row>
    <row r="737" spans="1:18" ht="12" hidden="1" thickBot="1">
      <c r="A737" s="593"/>
      <c r="B737" s="596" t="s">
        <v>1501</v>
      </c>
      <c r="C737" s="998" t="s">
        <v>1518</v>
      </c>
      <c r="D737" s="593">
        <v>12</v>
      </c>
      <c r="E737" s="593"/>
      <c r="F737" s="593"/>
      <c r="G737" s="593"/>
      <c r="H737" s="994">
        <v>64168.870259754745</v>
      </c>
      <c r="I737" s="593"/>
      <c r="J737" s="593"/>
      <c r="K737" s="593"/>
      <c r="L737" s="593"/>
      <c r="M737" s="593"/>
      <c r="N737" s="593"/>
      <c r="O737" s="593">
        <v>159695.81905067401</v>
      </c>
      <c r="P737" s="593">
        <v>155508.96994090034</v>
      </c>
      <c r="Q737" s="593">
        <v>97048.216942039508</v>
      </c>
      <c r="R737" s="593"/>
    </row>
    <row r="738" spans="1:18" ht="12" hidden="1" thickBot="1">
      <c r="A738" s="593"/>
      <c r="B738" s="596" t="s">
        <v>1502</v>
      </c>
      <c r="C738" s="998" t="s">
        <v>1518</v>
      </c>
      <c r="D738" s="593">
        <v>12</v>
      </c>
      <c r="E738" s="593"/>
      <c r="F738" s="593"/>
      <c r="G738" s="593"/>
      <c r="H738" s="994">
        <v>68882.846132680541</v>
      </c>
      <c r="I738" s="593"/>
      <c r="J738" s="593"/>
      <c r="K738" s="593"/>
      <c r="L738" s="593"/>
      <c r="M738" s="593"/>
      <c r="N738" s="593"/>
      <c r="O738" s="593">
        <v>163502.24616839769</v>
      </c>
      <c r="P738" s="593">
        <v>157323.40278910627</v>
      </c>
      <c r="Q738" s="593">
        <v>93632.256050971657</v>
      </c>
      <c r="R738" s="593"/>
    </row>
    <row r="739" spans="1:18" ht="12" hidden="1" thickBot="1">
      <c r="A739" s="593"/>
      <c r="B739" s="938" t="s">
        <v>1503</v>
      </c>
      <c r="C739" s="998" t="s">
        <v>1518</v>
      </c>
      <c r="D739" s="593">
        <v>12</v>
      </c>
      <c r="E739" s="593"/>
      <c r="F739" s="593"/>
      <c r="G739" s="593"/>
      <c r="H739" s="994">
        <v>71794.293787000614</v>
      </c>
      <c r="I739" s="593"/>
      <c r="J739" s="593"/>
      <c r="K739" s="593"/>
      <c r="L739" s="593"/>
      <c r="M739" s="593"/>
      <c r="N739" s="593"/>
      <c r="O739" s="593">
        <v>148974.99350695623</v>
      </c>
      <c r="P739" s="593">
        <v>144575.44755621307</v>
      </c>
      <c r="Q739" s="593">
        <v>93494.088334468892</v>
      </c>
      <c r="R739" s="593"/>
    </row>
    <row r="740" spans="1:18" ht="12" hidden="1" thickBot="1">
      <c r="A740" s="593"/>
      <c r="B740" s="596" t="s">
        <v>1504</v>
      </c>
      <c r="C740" s="998" t="s">
        <v>1518</v>
      </c>
      <c r="D740" s="593">
        <v>12</v>
      </c>
      <c r="E740" s="593"/>
      <c r="F740" s="593"/>
      <c r="G740" s="593"/>
      <c r="H740" s="994">
        <v>76289.432746767445</v>
      </c>
      <c r="I740" s="593"/>
      <c r="J740" s="593"/>
      <c r="K740" s="593"/>
      <c r="L740" s="593"/>
      <c r="M740" s="593"/>
      <c r="N740" s="593"/>
      <c r="O740" s="593">
        <v>155351.67840013851</v>
      </c>
      <c r="P740" s="593">
        <v>147640.81568749258</v>
      </c>
      <c r="Q740" s="593">
        <v>99948.185093187552</v>
      </c>
      <c r="R740" s="593"/>
    </row>
    <row r="741" spans="1:18" ht="12" hidden="1" thickBot="1">
      <c r="A741" s="593"/>
      <c r="B741" s="596" t="s">
        <v>1505</v>
      </c>
      <c r="C741" s="998" t="s">
        <v>1518</v>
      </c>
      <c r="D741" s="593">
        <v>12</v>
      </c>
      <c r="E741" s="593"/>
      <c r="F741" s="593"/>
      <c r="G741" s="593"/>
      <c r="H741" s="994">
        <v>68922.948911939398</v>
      </c>
      <c r="I741" s="593"/>
      <c r="J741" s="593"/>
      <c r="K741" s="593"/>
      <c r="L741" s="593"/>
      <c r="M741" s="593"/>
      <c r="N741" s="593"/>
      <c r="O741" s="593">
        <v>167001.90989531289</v>
      </c>
      <c r="P741" s="593">
        <v>151811.21008654367</v>
      </c>
      <c r="Q741" s="593">
        <v>93555.934576787549</v>
      </c>
      <c r="R741" s="593"/>
    </row>
    <row r="742" spans="1:18" ht="12" hidden="1" thickBot="1">
      <c r="A742" s="593"/>
      <c r="B742" s="938" t="s">
        <v>1506</v>
      </c>
      <c r="C742" s="998" t="s">
        <v>1518</v>
      </c>
      <c r="D742" s="593">
        <v>12</v>
      </c>
      <c r="E742" s="593"/>
      <c r="F742" s="593"/>
      <c r="G742" s="593"/>
      <c r="H742" s="994">
        <v>56255.08667656099</v>
      </c>
      <c r="I742" s="593"/>
      <c r="J742" s="593"/>
      <c r="K742" s="593"/>
      <c r="L742" s="593"/>
      <c r="M742" s="593"/>
      <c r="N742" s="593"/>
      <c r="O742" s="593">
        <v>157758.28645370138</v>
      </c>
      <c r="P742" s="593">
        <v>144483.83285628344</v>
      </c>
      <c r="Q742" s="593">
        <v>79385.998792199956</v>
      </c>
      <c r="R742" s="593"/>
    </row>
    <row r="743" spans="1:18" ht="12" hidden="1" thickBot="1">
      <c r="A743" s="593"/>
      <c r="B743" s="596" t="s">
        <v>1507</v>
      </c>
      <c r="C743" s="998" t="s">
        <v>1518</v>
      </c>
      <c r="D743" s="593">
        <v>12</v>
      </c>
      <c r="E743" s="593"/>
      <c r="F743" s="593"/>
      <c r="G743" s="593"/>
      <c r="H743" s="994">
        <v>68950.546189033252</v>
      </c>
      <c r="I743" s="593"/>
      <c r="J743" s="593"/>
      <c r="K743" s="593"/>
      <c r="L743" s="593"/>
      <c r="M743" s="593"/>
      <c r="N743" s="593"/>
      <c r="O743" s="593">
        <v>157141.01461896554</v>
      </c>
      <c r="P743" s="593">
        <v>151309.10064938298</v>
      </c>
      <c r="Q743" s="593">
        <v>92518.161171990054</v>
      </c>
      <c r="R743" s="593"/>
    </row>
    <row r="744" spans="1:18" ht="12" hidden="1" thickBot="1">
      <c r="A744" s="593"/>
      <c r="B744" s="596" t="s">
        <v>1508</v>
      </c>
      <c r="C744" s="998" t="s">
        <v>1518</v>
      </c>
      <c r="D744" s="593">
        <v>12</v>
      </c>
      <c r="E744" s="593"/>
      <c r="F744" s="593"/>
      <c r="G744" s="593"/>
      <c r="H744" s="994">
        <v>78019.986272892304</v>
      </c>
      <c r="I744" s="593"/>
      <c r="J744" s="593"/>
      <c r="K744" s="593"/>
      <c r="L744" s="593"/>
      <c r="M744" s="593"/>
      <c r="N744" s="593"/>
      <c r="O744" s="593">
        <v>171797.59733790279</v>
      </c>
      <c r="P744" s="593">
        <v>168988.37661631728</v>
      </c>
      <c r="Q744" s="593">
        <v>106853.20242639938</v>
      </c>
      <c r="R744" s="593"/>
    </row>
    <row r="745" spans="1:18" ht="12" hidden="1" thickBot="1">
      <c r="A745" s="593"/>
      <c r="B745" s="596" t="s">
        <v>1509</v>
      </c>
      <c r="C745" s="998" t="s">
        <v>1518</v>
      </c>
      <c r="D745" s="593">
        <v>12</v>
      </c>
      <c r="E745" s="593"/>
      <c r="F745" s="593"/>
      <c r="G745" s="593"/>
      <c r="H745" s="994">
        <v>88780.754691590075</v>
      </c>
      <c r="I745" s="593"/>
      <c r="J745" s="593"/>
      <c r="K745" s="593"/>
      <c r="L745" s="593"/>
      <c r="M745" s="593"/>
      <c r="N745" s="593"/>
      <c r="O745" s="593">
        <v>164839.52217747216</v>
      </c>
      <c r="P745" s="593">
        <v>163261.92714364841</v>
      </c>
      <c r="Q745" s="593">
        <v>105280.05147492346</v>
      </c>
      <c r="R745" s="593"/>
    </row>
    <row r="746" spans="1:18" ht="12" hidden="1" thickBot="1">
      <c r="A746" s="593"/>
      <c r="B746" s="596" t="s">
        <v>1510</v>
      </c>
      <c r="C746" s="998" t="s">
        <v>1518</v>
      </c>
      <c r="D746" s="593">
        <v>12</v>
      </c>
      <c r="E746" s="593"/>
      <c r="F746" s="593"/>
      <c r="G746" s="593"/>
      <c r="H746" s="994">
        <v>85948.776275067794</v>
      </c>
      <c r="I746" s="593"/>
      <c r="J746" s="593"/>
      <c r="K746" s="593"/>
      <c r="L746" s="593"/>
      <c r="M746" s="593"/>
      <c r="N746" s="593"/>
      <c r="O746" s="593">
        <v>165068.11834566511</v>
      </c>
      <c r="P746" s="593">
        <v>162432.47010003714</v>
      </c>
      <c r="Q746" s="593">
        <v>104436.47365958507</v>
      </c>
      <c r="R746" s="593"/>
    </row>
    <row r="747" spans="1:18" ht="12" hidden="1" thickBot="1">
      <c r="A747" s="593"/>
      <c r="B747" s="938" t="s">
        <v>1499</v>
      </c>
      <c r="C747" s="998" t="s">
        <v>1519</v>
      </c>
      <c r="D747" s="593">
        <v>52</v>
      </c>
      <c r="E747" s="593"/>
      <c r="F747" s="593"/>
      <c r="G747" s="593"/>
      <c r="H747" s="994">
        <v>14939.405914779942</v>
      </c>
      <c r="I747" s="1000"/>
      <c r="J747" s="593"/>
      <c r="K747" s="593"/>
      <c r="L747" s="593"/>
      <c r="M747" s="593"/>
      <c r="N747" s="593"/>
      <c r="O747" s="593"/>
      <c r="P747" s="593"/>
      <c r="Q747" s="593"/>
      <c r="R747" s="593">
        <v>35012.310954620436</v>
      </c>
    </row>
    <row r="748" spans="1:18" ht="12" hidden="1" thickBot="1">
      <c r="A748" s="593"/>
      <c r="B748" s="596" t="s">
        <v>1500</v>
      </c>
      <c r="C748" s="998" t="s">
        <v>1519</v>
      </c>
      <c r="D748" s="593">
        <v>52</v>
      </c>
      <c r="E748" s="593"/>
      <c r="F748" s="593"/>
      <c r="G748" s="593"/>
      <c r="H748" s="994">
        <v>14885.241305093479</v>
      </c>
      <c r="I748" s="593"/>
      <c r="J748" s="593"/>
      <c r="K748" s="593"/>
      <c r="L748" s="593"/>
      <c r="M748" s="593"/>
      <c r="N748" s="593"/>
      <c r="O748" s="593"/>
      <c r="P748" s="593"/>
      <c r="Q748" s="593"/>
      <c r="R748" s="593">
        <v>35309.763101227101</v>
      </c>
    </row>
    <row r="749" spans="1:18" ht="12" hidden="1" thickBot="1">
      <c r="A749" s="593"/>
      <c r="B749" s="596" t="s">
        <v>1501</v>
      </c>
      <c r="C749" s="998" t="s">
        <v>1519</v>
      </c>
      <c r="D749" s="593">
        <v>52</v>
      </c>
      <c r="E749" s="593"/>
      <c r="F749" s="593"/>
      <c r="G749" s="593"/>
      <c r="H749" s="994">
        <v>13180.844122808485</v>
      </c>
      <c r="I749" s="593"/>
      <c r="J749" s="593"/>
      <c r="K749" s="593"/>
      <c r="L749" s="593"/>
      <c r="M749" s="593"/>
      <c r="N749" s="593"/>
      <c r="O749" s="593"/>
      <c r="P749" s="593"/>
      <c r="Q749" s="593"/>
      <c r="R749" s="593">
        <v>36679.467034354479</v>
      </c>
    </row>
    <row r="750" spans="1:18" ht="12" hidden="1" thickBot="1">
      <c r="A750" s="593"/>
      <c r="B750" s="596" t="s">
        <v>1502</v>
      </c>
      <c r="C750" s="998" t="s">
        <v>1519</v>
      </c>
      <c r="D750" s="593">
        <v>52</v>
      </c>
      <c r="E750" s="593"/>
      <c r="F750" s="593"/>
      <c r="G750" s="593"/>
      <c r="H750" s="994">
        <v>12153.894069492442</v>
      </c>
      <c r="I750" s="593"/>
      <c r="J750" s="593"/>
      <c r="K750" s="593"/>
      <c r="L750" s="593"/>
      <c r="M750" s="593"/>
      <c r="N750" s="593"/>
      <c r="O750" s="593"/>
      <c r="P750" s="593"/>
      <c r="Q750" s="593"/>
      <c r="R750" s="593">
        <v>30304.836367187392</v>
      </c>
    </row>
    <row r="751" spans="1:18" ht="12" hidden="1" thickBot="1">
      <c r="A751" s="593"/>
      <c r="B751" s="938" t="s">
        <v>1503</v>
      </c>
      <c r="C751" s="998" t="s">
        <v>1519</v>
      </c>
      <c r="D751" s="593">
        <v>52</v>
      </c>
      <c r="E751" s="593"/>
      <c r="F751" s="593"/>
      <c r="G751" s="593"/>
      <c r="H751" s="994">
        <v>11303.433358320799</v>
      </c>
      <c r="I751" s="593"/>
      <c r="J751" s="593"/>
      <c r="K751" s="593"/>
      <c r="L751" s="593"/>
      <c r="M751" s="593"/>
      <c r="N751" s="593"/>
      <c r="O751" s="593"/>
      <c r="P751" s="593"/>
      <c r="Q751" s="593"/>
      <c r="R751" s="593">
        <v>26967.243929048298</v>
      </c>
    </row>
    <row r="752" spans="1:18" ht="12" hidden="1" thickBot="1">
      <c r="A752" s="593"/>
      <c r="B752" s="596" t="s">
        <v>1504</v>
      </c>
      <c r="C752" s="998" t="s">
        <v>1519</v>
      </c>
      <c r="D752" s="593">
        <v>52</v>
      </c>
      <c r="E752" s="593"/>
      <c r="F752" s="593"/>
      <c r="G752" s="593"/>
      <c r="H752" s="994">
        <v>11973.010148997595</v>
      </c>
      <c r="I752" s="593"/>
      <c r="J752" s="593"/>
      <c r="K752" s="593"/>
      <c r="L752" s="593"/>
      <c r="M752" s="593"/>
      <c r="N752" s="593"/>
      <c r="O752" s="593"/>
      <c r="P752" s="593"/>
      <c r="Q752" s="593"/>
      <c r="R752" s="593">
        <v>28733.723468174892</v>
      </c>
    </row>
    <row r="753" spans="1:18" ht="12" hidden="1" thickBot="1">
      <c r="A753" s="593"/>
      <c r="B753" s="596" t="s">
        <v>1505</v>
      </c>
      <c r="C753" s="998" t="s">
        <v>1519</v>
      </c>
      <c r="D753" s="593">
        <v>52</v>
      </c>
      <c r="E753" s="593"/>
      <c r="F753" s="593"/>
      <c r="G753" s="593"/>
      <c r="H753" s="994">
        <v>11527.513145984598</v>
      </c>
      <c r="I753" s="593"/>
      <c r="J753" s="593"/>
      <c r="K753" s="593"/>
      <c r="L753" s="593"/>
      <c r="M753" s="593"/>
      <c r="N753" s="593"/>
      <c r="O753" s="593"/>
      <c r="P753" s="593"/>
      <c r="Q753" s="593"/>
      <c r="R753" s="593">
        <v>28708.882566744876</v>
      </c>
    </row>
    <row r="754" spans="1:18" ht="12" hidden="1" thickBot="1">
      <c r="A754" s="593"/>
      <c r="B754" s="938" t="s">
        <v>1506</v>
      </c>
      <c r="C754" s="998" t="s">
        <v>1519</v>
      </c>
      <c r="D754" s="593">
        <v>52</v>
      </c>
      <c r="E754" s="593"/>
      <c r="F754" s="593"/>
      <c r="G754" s="593"/>
      <c r="H754" s="994">
        <v>10127.682640680159</v>
      </c>
      <c r="I754" s="593"/>
      <c r="J754" s="593"/>
      <c r="K754" s="593"/>
      <c r="L754" s="593"/>
      <c r="M754" s="593"/>
      <c r="N754" s="593"/>
      <c r="O754" s="593"/>
      <c r="P754" s="593"/>
      <c r="Q754" s="593"/>
      <c r="R754" s="593">
        <v>26299.880811176277</v>
      </c>
    </row>
    <row r="755" spans="1:18" ht="12" hidden="1" thickBot="1">
      <c r="A755" s="593"/>
      <c r="B755" s="596" t="s">
        <v>1507</v>
      </c>
      <c r="C755" s="998" t="s">
        <v>1519</v>
      </c>
      <c r="D755" s="593">
        <v>52</v>
      </c>
      <c r="E755" s="593"/>
      <c r="F755" s="593"/>
      <c r="G755" s="593"/>
      <c r="H755" s="994">
        <v>10824.709803622309</v>
      </c>
      <c r="I755" s="593"/>
      <c r="J755" s="593"/>
      <c r="K755" s="593"/>
      <c r="L755" s="593"/>
      <c r="M755" s="593"/>
      <c r="N755" s="593"/>
      <c r="O755" s="593"/>
      <c r="P755" s="593"/>
      <c r="Q755" s="593"/>
      <c r="R755" s="593">
        <v>26649.528805177739</v>
      </c>
    </row>
    <row r="756" spans="1:18" ht="12" hidden="1" thickBot="1">
      <c r="A756" s="593"/>
      <c r="B756" s="596" t="s">
        <v>1508</v>
      </c>
      <c r="C756" s="998" t="s">
        <v>1519</v>
      </c>
      <c r="D756" s="593">
        <v>52</v>
      </c>
      <c r="E756" s="593"/>
      <c r="F756" s="593"/>
      <c r="G756" s="593"/>
      <c r="H756" s="994">
        <v>11224.431291304347</v>
      </c>
      <c r="I756" s="593"/>
      <c r="J756" s="593"/>
      <c r="K756" s="593"/>
      <c r="L756" s="593"/>
      <c r="M756" s="593"/>
      <c r="N756" s="593"/>
      <c r="O756" s="593"/>
      <c r="P756" s="593"/>
      <c r="Q756" s="593"/>
      <c r="R756" s="593">
        <v>28221.684843935291</v>
      </c>
    </row>
    <row r="757" spans="1:18" ht="12" hidden="1" thickBot="1">
      <c r="A757" s="593"/>
      <c r="B757" s="596" t="s">
        <v>1509</v>
      </c>
      <c r="C757" s="998" t="s">
        <v>1519</v>
      </c>
      <c r="D757" s="593">
        <v>52</v>
      </c>
      <c r="E757" s="593"/>
      <c r="F757" s="593"/>
      <c r="G757" s="593"/>
      <c r="H757" s="994">
        <v>13088.103210917465</v>
      </c>
      <c r="I757" s="593"/>
      <c r="J757" s="593"/>
      <c r="K757" s="593"/>
      <c r="L757" s="593"/>
      <c r="M757" s="593"/>
      <c r="N757" s="593"/>
      <c r="O757" s="593"/>
      <c r="P757" s="593"/>
      <c r="Q757" s="593"/>
      <c r="R757" s="593">
        <v>28295.638534006815</v>
      </c>
    </row>
    <row r="758" spans="1:18" ht="12" hidden="1" thickBot="1">
      <c r="A758" s="593"/>
      <c r="B758" s="596" t="s">
        <v>1510</v>
      </c>
      <c r="C758" s="998" t="s">
        <v>1519</v>
      </c>
      <c r="D758" s="593">
        <v>52</v>
      </c>
      <c r="E758" s="593"/>
      <c r="F758" s="593"/>
      <c r="G758" s="593"/>
      <c r="H758" s="994">
        <v>14473.038760524563</v>
      </c>
      <c r="I758" s="593"/>
      <c r="J758" s="593"/>
      <c r="K758" s="593"/>
      <c r="L758" s="593"/>
      <c r="M758" s="593"/>
      <c r="N758" s="593"/>
      <c r="O758" s="593"/>
      <c r="P758" s="593"/>
      <c r="Q758" s="593"/>
      <c r="R758" s="593">
        <v>32085.160160696349</v>
      </c>
    </row>
    <row r="759" spans="1:18" ht="12" hidden="1" thickBot="1">
      <c r="A759" s="593"/>
      <c r="B759" s="938" t="s">
        <v>1499</v>
      </c>
      <c r="C759" s="998" t="s">
        <v>1520</v>
      </c>
      <c r="D759" s="593">
        <v>2579</v>
      </c>
      <c r="E759" s="593"/>
      <c r="F759" s="593"/>
      <c r="G759" s="593"/>
      <c r="H759" s="994">
        <v>168924.37801452717</v>
      </c>
      <c r="I759" s="593"/>
      <c r="J759" s="593"/>
      <c r="K759" s="593"/>
      <c r="L759" s="593"/>
      <c r="M759" s="593"/>
      <c r="N759" s="593"/>
      <c r="O759" s="593"/>
      <c r="P759" s="593"/>
      <c r="Q759" s="593"/>
      <c r="R759" s="593">
        <v>406609.28125735972</v>
      </c>
    </row>
    <row r="760" spans="1:18" ht="12" hidden="1" thickBot="1">
      <c r="A760" s="593"/>
      <c r="B760" s="596" t="s">
        <v>1500</v>
      </c>
      <c r="C760" s="998" t="s">
        <v>1520</v>
      </c>
      <c r="D760" s="593">
        <v>2579</v>
      </c>
      <c r="E760" s="593"/>
      <c r="F760" s="593"/>
      <c r="G760" s="593"/>
      <c r="H760" s="994">
        <v>169566.98331133919</v>
      </c>
      <c r="I760" s="593"/>
      <c r="J760" s="593"/>
      <c r="K760" s="593"/>
      <c r="L760" s="593"/>
      <c r="M760" s="593"/>
      <c r="N760" s="593"/>
      <c r="O760" s="593"/>
      <c r="P760" s="593"/>
      <c r="Q760" s="593"/>
      <c r="R760" s="593">
        <v>412938.1055982961</v>
      </c>
    </row>
    <row r="761" spans="1:18" ht="12" hidden="1" thickBot="1">
      <c r="A761" s="593"/>
      <c r="B761" s="596" t="s">
        <v>1501</v>
      </c>
      <c r="C761" s="998" t="s">
        <v>1520</v>
      </c>
      <c r="D761" s="593">
        <v>2579</v>
      </c>
      <c r="E761" s="593"/>
      <c r="F761" s="593"/>
      <c r="G761" s="593"/>
      <c r="H761" s="994">
        <v>143721.39061774054</v>
      </c>
      <c r="I761" s="593"/>
      <c r="J761" s="593"/>
      <c r="K761" s="593"/>
      <c r="L761" s="593"/>
      <c r="M761" s="593"/>
      <c r="N761" s="593"/>
      <c r="O761" s="593"/>
      <c r="P761" s="593"/>
      <c r="Q761" s="593"/>
      <c r="R761" s="593">
        <v>407882.49249422021</v>
      </c>
    </row>
    <row r="762" spans="1:18" ht="12" hidden="1" thickBot="1">
      <c r="A762" s="593"/>
      <c r="B762" s="596" t="s">
        <v>1502</v>
      </c>
      <c r="C762" s="998" t="s">
        <v>1520</v>
      </c>
      <c r="D762" s="593">
        <v>2579</v>
      </c>
      <c r="E762" s="593"/>
      <c r="F762" s="593"/>
      <c r="G762" s="593"/>
      <c r="H762" s="994">
        <v>137270.48375007196</v>
      </c>
      <c r="I762" s="593"/>
      <c r="J762" s="593"/>
      <c r="K762" s="593"/>
      <c r="L762" s="593"/>
      <c r="M762" s="593"/>
      <c r="N762" s="593"/>
      <c r="O762" s="593"/>
      <c r="P762" s="593"/>
      <c r="Q762" s="593"/>
      <c r="R762" s="593">
        <v>350227.83822132717</v>
      </c>
    </row>
    <row r="763" spans="1:18" ht="12" hidden="1" thickBot="1">
      <c r="A763" s="593"/>
      <c r="B763" s="938" t="s">
        <v>1503</v>
      </c>
      <c r="C763" s="998" t="s">
        <v>1520</v>
      </c>
      <c r="D763" s="593">
        <v>2579</v>
      </c>
      <c r="E763" s="593"/>
      <c r="F763" s="593"/>
      <c r="G763" s="593"/>
      <c r="H763" s="994">
        <v>129888.11855477258</v>
      </c>
      <c r="I763" s="593"/>
      <c r="J763" s="593"/>
      <c r="K763" s="593"/>
      <c r="L763" s="593"/>
      <c r="M763" s="593"/>
      <c r="N763" s="593"/>
      <c r="O763" s="593"/>
      <c r="P763" s="593"/>
      <c r="Q763" s="593"/>
      <c r="R763" s="593">
        <v>317513.90242238884</v>
      </c>
    </row>
    <row r="764" spans="1:18" ht="12" hidden="1" thickBot="1">
      <c r="A764" s="593"/>
      <c r="B764" s="596" t="s">
        <v>1504</v>
      </c>
      <c r="C764" s="998" t="s">
        <v>1520</v>
      </c>
      <c r="D764" s="593">
        <v>2579</v>
      </c>
      <c r="E764" s="593"/>
      <c r="F764" s="593"/>
      <c r="G764" s="593"/>
      <c r="H764" s="994">
        <v>135751.63072900844</v>
      </c>
      <c r="I764" s="593"/>
      <c r="J764" s="593"/>
      <c r="K764" s="593"/>
      <c r="L764" s="593"/>
      <c r="M764" s="593"/>
      <c r="N764" s="593"/>
      <c r="O764" s="593"/>
      <c r="P764" s="593"/>
      <c r="Q764" s="593"/>
      <c r="R764" s="593">
        <v>333856.23663905152</v>
      </c>
    </row>
    <row r="765" spans="1:18" ht="12" hidden="1" thickBot="1">
      <c r="A765" s="593"/>
      <c r="B765" s="596" t="s">
        <v>1505</v>
      </c>
      <c r="C765" s="998" t="s">
        <v>1520</v>
      </c>
      <c r="D765" s="593">
        <v>2585</v>
      </c>
      <c r="E765" s="593"/>
      <c r="F765" s="593"/>
      <c r="G765" s="593"/>
      <c r="H765" s="994">
        <v>134413.19376680738</v>
      </c>
      <c r="I765" s="593"/>
      <c r="J765" s="593"/>
      <c r="K765" s="593"/>
      <c r="L765" s="593"/>
      <c r="M765" s="593"/>
      <c r="N765" s="593"/>
      <c r="O765" s="593"/>
      <c r="P765" s="593"/>
      <c r="Q765" s="593"/>
      <c r="R765" s="593">
        <v>342390.27274795045</v>
      </c>
    </row>
    <row r="766" spans="1:18" ht="12" hidden="1" thickBot="1">
      <c r="A766" s="593"/>
      <c r="B766" s="938" t="s">
        <v>1506</v>
      </c>
      <c r="C766" s="998" t="s">
        <v>1520</v>
      </c>
      <c r="D766" s="593">
        <v>2585</v>
      </c>
      <c r="E766" s="593"/>
      <c r="F766" s="593"/>
      <c r="G766" s="593"/>
      <c r="H766" s="994">
        <v>127422.85811673602</v>
      </c>
      <c r="I766" s="593"/>
      <c r="J766" s="593"/>
      <c r="K766" s="593"/>
      <c r="L766" s="593"/>
      <c r="M766" s="593"/>
      <c r="N766" s="593"/>
      <c r="O766" s="593"/>
      <c r="P766" s="593"/>
      <c r="Q766" s="593"/>
      <c r="R766" s="593">
        <v>337388.21076785406</v>
      </c>
    </row>
    <row r="767" spans="1:18" ht="12" hidden="1" thickBot="1">
      <c r="A767" s="593"/>
      <c r="B767" s="596" t="s">
        <v>1507</v>
      </c>
      <c r="C767" s="998" t="s">
        <v>1520</v>
      </c>
      <c r="D767" s="593">
        <v>2585</v>
      </c>
      <c r="E767" s="593"/>
      <c r="F767" s="593"/>
      <c r="G767" s="593"/>
      <c r="H767" s="994">
        <v>130807.80659246906</v>
      </c>
      <c r="I767" s="593"/>
      <c r="J767" s="593"/>
      <c r="K767" s="593"/>
      <c r="L767" s="593"/>
      <c r="M767" s="593"/>
      <c r="N767" s="593"/>
      <c r="O767" s="593"/>
      <c r="P767" s="593"/>
      <c r="Q767" s="593"/>
      <c r="R767" s="593">
        <v>329382.95328027895</v>
      </c>
    </row>
    <row r="768" spans="1:18" ht="12" hidden="1" thickBot="1">
      <c r="A768" s="593"/>
      <c r="B768" s="596" t="s">
        <v>1508</v>
      </c>
      <c r="C768" s="998" t="s">
        <v>1520</v>
      </c>
      <c r="D768" s="593">
        <v>2585</v>
      </c>
      <c r="E768" s="593"/>
      <c r="F768" s="593"/>
      <c r="G768" s="593"/>
      <c r="H768" s="994">
        <v>127586.68951255304</v>
      </c>
      <c r="I768" s="593"/>
      <c r="J768" s="593"/>
      <c r="K768" s="593"/>
      <c r="L768" s="593"/>
      <c r="M768" s="593"/>
      <c r="N768" s="593"/>
      <c r="O768" s="593"/>
      <c r="P768" s="593"/>
      <c r="Q768" s="593"/>
      <c r="R768" s="593">
        <v>327890.15020359476</v>
      </c>
    </row>
    <row r="769" spans="1:18" ht="12" hidden="1" thickBot="1">
      <c r="A769" s="593"/>
      <c r="B769" s="596" t="s">
        <v>1509</v>
      </c>
      <c r="C769" s="998" t="s">
        <v>1520</v>
      </c>
      <c r="D769" s="593">
        <v>2585</v>
      </c>
      <c r="E769" s="593"/>
      <c r="F769" s="593"/>
      <c r="G769" s="593"/>
      <c r="H769" s="994">
        <v>151860.05635973223</v>
      </c>
      <c r="I769" s="593"/>
      <c r="J769" s="593"/>
      <c r="K769" s="593"/>
      <c r="L769" s="593"/>
      <c r="M769" s="593"/>
      <c r="N769" s="593"/>
      <c r="O769" s="593"/>
      <c r="P769" s="593"/>
      <c r="Q769" s="593"/>
      <c r="R769" s="593">
        <v>338103.87386495265</v>
      </c>
    </row>
    <row r="770" spans="1:18" ht="12" hidden="1" thickBot="1">
      <c r="A770" s="593"/>
      <c r="B770" s="596" t="s">
        <v>1510</v>
      </c>
      <c r="C770" s="998" t="s">
        <v>1520</v>
      </c>
      <c r="D770" s="593">
        <v>2585</v>
      </c>
      <c r="E770" s="593"/>
      <c r="F770" s="593"/>
      <c r="G770" s="593"/>
      <c r="H770" s="994">
        <v>170619.42021890104</v>
      </c>
      <c r="I770" s="1000"/>
      <c r="J770" s="593"/>
      <c r="K770" s="593"/>
      <c r="L770" s="593"/>
      <c r="M770" s="593"/>
      <c r="N770" s="593"/>
      <c r="O770" s="593"/>
      <c r="P770" s="593"/>
      <c r="Q770" s="593"/>
      <c r="R770" s="593">
        <v>389230.57526001072</v>
      </c>
    </row>
    <row r="771" spans="1:18" ht="12" hidden="1" thickBot="1">
      <c r="A771" s="593"/>
      <c r="B771" s="938" t="s">
        <v>1499</v>
      </c>
      <c r="C771" s="998" t="s">
        <v>1521</v>
      </c>
      <c r="D771" s="593">
        <v>38</v>
      </c>
      <c r="E771" s="593"/>
      <c r="F771" s="593"/>
      <c r="G771" s="593"/>
      <c r="H771" s="994">
        <v>36804.280467819881</v>
      </c>
      <c r="I771" s="593"/>
      <c r="J771" s="593"/>
      <c r="K771" s="593"/>
      <c r="L771" s="593"/>
      <c r="M771" s="593"/>
      <c r="N771" s="593"/>
      <c r="O771" s="593">
        <v>85062.363489381431</v>
      </c>
      <c r="P771" s="593">
        <v>77957.260872987448</v>
      </c>
      <c r="Q771" s="593">
        <v>76798.412805571512</v>
      </c>
      <c r="R771" s="593"/>
    </row>
    <row r="772" spans="1:18" ht="12" hidden="1" thickBot="1">
      <c r="A772" s="593"/>
      <c r="B772" s="596" t="s">
        <v>1500</v>
      </c>
      <c r="C772" s="998" t="s">
        <v>1521</v>
      </c>
      <c r="D772" s="593">
        <v>38</v>
      </c>
      <c r="E772" s="593"/>
      <c r="F772" s="593"/>
      <c r="G772" s="593"/>
      <c r="H772" s="994">
        <v>36677.896378551464</v>
      </c>
      <c r="I772" s="593"/>
      <c r="J772" s="593"/>
      <c r="K772" s="593"/>
      <c r="L772" s="593"/>
      <c r="M772" s="593"/>
      <c r="N772" s="593"/>
      <c r="O772" s="593">
        <v>83741.128181287189</v>
      </c>
      <c r="P772" s="593">
        <v>78985.069088043019</v>
      </c>
      <c r="Q772" s="593">
        <v>77872.981453778164</v>
      </c>
      <c r="R772" s="593"/>
    </row>
    <row r="773" spans="1:18" ht="12" hidden="1" thickBot="1">
      <c r="A773" s="593"/>
      <c r="B773" s="596" t="s">
        <v>1501</v>
      </c>
      <c r="C773" s="998" t="s">
        <v>1521</v>
      </c>
      <c r="D773" s="593">
        <v>38</v>
      </c>
      <c r="E773" s="593"/>
      <c r="F773" s="593"/>
      <c r="G773" s="593"/>
      <c r="H773" s="994">
        <v>32700.96961988648</v>
      </c>
      <c r="I773" s="593"/>
      <c r="J773" s="593"/>
      <c r="K773" s="593"/>
      <c r="L773" s="593"/>
      <c r="M773" s="593"/>
      <c r="N773" s="593"/>
      <c r="O773" s="593">
        <v>83487.808449771488</v>
      </c>
      <c r="P773" s="593">
        <v>81208.881854592211</v>
      </c>
      <c r="Q773" s="593">
        <v>80535.585103478501</v>
      </c>
      <c r="R773" s="593"/>
    </row>
    <row r="774" spans="1:18" ht="12" hidden="1" thickBot="1">
      <c r="A774" s="593"/>
      <c r="B774" s="596" t="s">
        <v>1502</v>
      </c>
      <c r="C774" s="998" t="s">
        <v>1521</v>
      </c>
      <c r="D774" s="593">
        <v>39</v>
      </c>
      <c r="E774" s="593"/>
      <c r="F774" s="593"/>
      <c r="G774" s="593"/>
      <c r="H774" s="994">
        <v>30304.752828815715</v>
      </c>
      <c r="I774" s="593"/>
      <c r="J774" s="593"/>
      <c r="K774" s="593"/>
      <c r="L774" s="593"/>
      <c r="M774" s="593"/>
      <c r="N774" s="593"/>
      <c r="O774" s="593">
        <v>74509.339324818968</v>
      </c>
      <c r="P774" s="593">
        <v>71650.222246114514</v>
      </c>
      <c r="Q774" s="593">
        <v>70634.172375169961</v>
      </c>
      <c r="R774" s="593"/>
    </row>
    <row r="775" spans="1:18" ht="12" hidden="1" thickBot="1">
      <c r="A775" s="593"/>
      <c r="B775" s="938" t="s">
        <v>1503</v>
      </c>
      <c r="C775" s="998" t="s">
        <v>1521</v>
      </c>
      <c r="D775" s="593">
        <v>39</v>
      </c>
      <c r="E775" s="593"/>
      <c r="F775" s="593"/>
      <c r="G775" s="593"/>
      <c r="H775" s="994">
        <v>28320.344502748543</v>
      </c>
      <c r="I775" s="593"/>
      <c r="J775" s="593"/>
      <c r="K775" s="593"/>
      <c r="L775" s="593"/>
      <c r="M775" s="593"/>
      <c r="N775" s="593"/>
      <c r="O775" s="593">
        <v>70145.62231285352</v>
      </c>
      <c r="P775" s="593">
        <v>65071.995278576687</v>
      </c>
      <c r="Q775" s="593">
        <v>63315.701254870044</v>
      </c>
      <c r="R775" s="593"/>
    </row>
    <row r="776" spans="1:18" ht="12" hidden="1" thickBot="1">
      <c r="A776" s="593"/>
      <c r="B776" s="596" t="s">
        <v>1504</v>
      </c>
      <c r="C776" s="998" t="s">
        <v>1521</v>
      </c>
      <c r="D776" s="593">
        <v>39</v>
      </c>
      <c r="E776" s="593"/>
      <c r="F776" s="593"/>
      <c r="G776" s="593"/>
      <c r="H776" s="994">
        <v>29882.690347661068</v>
      </c>
      <c r="I776" s="593"/>
      <c r="J776" s="593"/>
      <c r="K776" s="593"/>
      <c r="L776" s="593"/>
      <c r="M776" s="593"/>
      <c r="N776" s="593"/>
      <c r="O776" s="593">
        <v>72449.926015992518</v>
      </c>
      <c r="P776" s="593">
        <v>66089.770227961955</v>
      </c>
      <c r="Q776" s="593">
        <v>62923.654825835627</v>
      </c>
      <c r="R776" s="593"/>
    </row>
    <row r="777" spans="1:18" ht="12" hidden="1" thickBot="1">
      <c r="A777" s="593"/>
      <c r="B777" s="596" t="s">
        <v>1505</v>
      </c>
      <c r="C777" s="998" t="s">
        <v>1521</v>
      </c>
      <c r="D777" s="593">
        <v>40</v>
      </c>
      <c r="E777" s="593"/>
      <c r="F777" s="593"/>
      <c r="G777" s="593"/>
      <c r="H777" s="994">
        <v>28843.197340630722</v>
      </c>
      <c r="I777" s="593"/>
      <c r="J777" s="593"/>
      <c r="K777" s="593"/>
      <c r="L777" s="593"/>
      <c r="M777" s="593"/>
      <c r="N777" s="593"/>
      <c r="O777" s="593">
        <v>67143.341530059173</v>
      </c>
      <c r="P777" s="593">
        <v>59358.260141816769</v>
      </c>
      <c r="Q777" s="593">
        <v>57313.82841144019</v>
      </c>
      <c r="R777" s="593"/>
    </row>
    <row r="778" spans="1:18" ht="12" hidden="1" thickBot="1">
      <c r="A778" s="593"/>
      <c r="B778" s="938" t="s">
        <v>1506</v>
      </c>
      <c r="C778" s="998" t="s">
        <v>1521</v>
      </c>
      <c r="D778" s="593">
        <v>40</v>
      </c>
      <c r="E778" s="593"/>
      <c r="F778" s="593"/>
      <c r="G778" s="593"/>
      <c r="H778" s="994">
        <v>25576.926161587049</v>
      </c>
      <c r="I778" s="593"/>
      <c r="J778" s="593"/>
      <c r="K778" s="593"/>
      <c r="L778" s="593"/>
      <c r="M778" s="593"/>
      <c r="N778" s="593"/>
      <c r="O778" s="593">
        <v>65289.540479371986</v>
      </c>
      <c r="P778" s="593">
        <v>56700.86573116036</v>
      </c>
      <c r="Q778" s="593">
        <v>55318.053782952302</v>
      </c>
      <c r="R778" s="593"/>
    </row>
    <row r="779" spans="1:18" ht="12" hidden="1" thickBot="1">
      <c r="A779" s="593"/>
      <c r="B779" s="596" t="s">
        <v>1507</v>
      </c>
      <c r="C779" s="998" t="s">
        <v>1521</v>
      </c>
      <c r="D779" s="593">
        <v>40</v>
      </c>
      <c r="E779" s="593"/>
      <c r="F779" s="593"/>
      <c r="G779" s="593"/>
      <c r="H779" s="994">
        <v>27203.322875118723</v>
      </c>
      <c r="I779" s="593"/>
      <c r="J779" s="593"/>
      <c r="K779" s="593"/>
      <c r="L779" s="593"/>
      <c r="M779" s="593"/>
      <c r="N779" s="593"/>
      <c r="O779" s="593">
        <v>65971.151631763918</v>
      </c>
      <c r="P779" s="593">
        <v>59839.773652030497</v>
      </c>
      <c r="Q779" s="593">
        <v>58530.796184572486</v>
      </c>
      <c r="R779" s="593"/>
    </row>
    <row r="780" spans="1:18" ht="12" hidden="1" thickBot="1">
      <c r="A780" s="593"/>
      <c r="B780" s="596" t="s">
        <v>1508</v>
      </c>
      <c r="C780" s="998" t="s">
        <v>1521</v>
      </c>
      <c r="D780" s="593">
        <v>41</v>
      </c>
      <c r="E780" s="593"/>
      <c r="F780" s="593"/>
      <c r="G780" s="593"/>
      <c r="H780" s="994">
        <v>28136.00634637682</v>
      </c>
      <c r="I780" s="593"/>
      <c r="J780" s="593"/>
      <c r="K780" s="593"/>
      <c r="L780" s="593"/>
      <c r="M780" s="593"/>
      <c r="N780" s="593"/>
      <c r="O780" s="593">
        <v>68635.065220703036</v>
      </c>
      <c r="P780" s="593">
        <v>65177.833603560313</v>
      </c>
      <c r="Q780" s="593">
        <v>62041.228490243149</v>
      </c>
      <c r="R780" s="593"/>
    </row>
    <row r="781" spans="1:18" ht="12" hidden="1" thickBot="1">
      <c r="A781" s="593"/>
      <c r="B781" s="596" t="s">
        <v>1509</v>
      </c>
      <c r="C781" s="998" t="s">
        <v>1521</v>
      </c>
      <c r="D781" s="593">
        <v>41</v>
      </c>
      <c r="E781" s="593"/>
      <c r="F781" s="593"/>
      <c r="G781" s="593"/>
      <c r="H781" s="994">
        <v>32484.574158807412</v>
      </c>
      <c r="I781" s="593"/>
      <c r="J781" s="593"/>
      <c r="K781" s="593"/>
      <c r="L781" s="593"/>
      <c r="M781" s="593"/>
      <c r="N781" s="593"/>
      <c r="O781" s="593">
        <v>69867.930245098483</v>
      </c>
      <c r="P781" s="593">
        <v>65444.556179758685</v>
      </c>
      <c r="Q781" s="593">
        <v>64847.784690417924</v>
      </c>
      <c r="R781" s="593"/>
    </row>
    <row r="782" spans="1:18" ht="12" hidden="1" thickBot="1">
      <c r="A782" s="593"/>
      <c r="B782" s="596" t="s">
        <v>1510</v>
      </c>
      <c r="C782" s="998" t="s">
        <v>1521</v>
      </c>
      <c r="D782" s="593">
        <v>41</v>
      </c>
      <c r="E782" s="593"/>
      <c r="F782" s="593"/>
      <c r="G782" s="593"/>
      <c r="H782" s="994">
        <v>35716.090441223983</v>
      </c>
      <c r="I782" s="593"/>
      <c r="J782" s="593"/>
      <c r="K782" s="593"/>
      <c r="L782" s="593"/>
      <c r="M782" s="593"/>
      <c r="N782" s="593"/>
      <c r="O782" s="593">
        <v>80664.665207381084</v>
      </c>
      <c r="P782" s="593">
        <v>74590.154279044495</v>
      </c>
      <c r="Q782" s="593">
        <v>73984.138755977838</v>
      </c>
      <c r="R782" s="593"/>
    </row>
    <row r="783" spans="1:18" ht="12" hidden="1" thickBot="1">
      <c r="A783" s="593"/>
      <c r="B783" s="938" t="s">
        <v>1499</v>
      </c>
      <c r="C783" s="998" t="s">
        <v>1522</v>
      </c>
      <c r="D783" s="593">
        <v>216</v>
      </c>
      <c r="E783" s="593"/>
      <c r="F783" s="593"/>
      <c r="G783" s="593"/>
      <c r="H783" s="994">
        <v>76574.431030170672</v>
      </c>
      <c r="I783" s="593"/>
      <c r="J783" s="593"/>
      <c r="K783" s="593"/>
      <c r="L783" s="593"/>
      <c r="M783" s="593"/>
      <c r="N783" s="593"/>
      <c r="O783" s="593">
        <v>156986.23170945438</v>
      </c>
      <c r="P783" s="593">
        <v>152069.19103439106</v>
      </c>
      <c r="Q783" s="593">
        <v>150334.16410703011</v>
      </c>
      <c r="R783" s="593"/>
    </row>
    <row r="784" spans="1:18" ht="12" hidden="1" thickBot="1">
      <c r="A784" s="593"/>
      <c r="B784" s="596" t="s">
        <v>1500</v>
      </c>
      <c r="C784" s="998" t="s">
        <v>1522</v>
      </c>
      <c r="D784" s="593">
        <v>217</v>
      </c>
      <c r="E784" s="593"/>
      <c r="F784" s="593"/>
      <c r="G784" s="593"/>
      <c r="H784" s="994">
        <v>77456.014606641751</v>
      </c>
      <c r="I784" s="593"/>
      <c r="J784" s="593"/>
      <c r="K784" s="593"/>
      <c r="L784" s="593"/>
      <c r="M784" s="593"/>
      <c r="N784" s="593"/>
      <c r="O784" s="593">
        <v>162445.05296237452</v>
      </c>
      <c r="P784" s="593">
        <v>157887.72653504129</v>
      </c>
      <c r="Q784" s="593">
        <v>155706.44962387328</v>
      </c>
      <c r="R784" s="593"/>
    </row>
    <row r="785" spans="1:18" ht="12" hidden="1" thickBot="1">
      <c r="A785" s="593"/>
      <c r="B785" s="596" t="s">
        <v>1501</v>
      </c>
      <c r="C785" s="998" t="s">
        <v>1522</v>
      </c>
      <c r="D785" s="593">
        <v>218</v>
      </c>
      <c r="E785" s="593"/>
      <c r="F785" s="593"/>
      <c r="G785" s="593"/>
      <c r="H785" s="994">
        <v>66161.499418095773</v>
      </c>
      <c r="I785" s="593"/>
      <c r="J785" s="593"/>
      <c r="K785" s="593"/>
      <c r="L785" s="593"/>
      <c r="M785" s="593"/>
      <c r="N785" s="593"/>
      <c r="O785" s="593">
        <v>156168.78566089657</v>
      </c>
      <c r="P785" s="593">
        <v>151785.5092228798</v>
      </c>
      <c r="Q785" s="593">
        <v>149867.4276554609</v>
      </c>
      <c r="R785" s="593"/>
    </row>
    <row r="786" spans="1:18" ht="12" hidden="1" thickBot="1">
      <c r="A786" s="593"/>
      <c r="B786" s="596" t="s">
        <v>1502</v>
      </c>
      <c r="C786" s="998" t="s">
        <v>1522</v>
      </c>
      <c r="D786" s="593">
        <v>219</v>
      </c>
      <c r="E786" s="593"/>
      <c r="F786" s="593"/>
      <c r="G786" s="593"/>
      <c r="H786" s="994">
        <v>63676.678347613975</v>
      </c>
      <c r="I786" s="593"/>
      <c r="J786" s="593"/>
      <c r="K786" s="593"/>
      <c r="L786" s="593"/>
      <c r="M786" s="593"/>
      <c r="N786" s="593"/>
      <c r="O786" s="593">
        <v>143906.44334884384</v>
      </c>
      <c r="P786" s="593">
        <v>139177.73698578961</v>
      </c>
      <c r="Q786" s="593">
        <v>137188.86462125176</v>
      </c>
      <c r="R786" s="593"/>
    </row>
    <row r="787" spans="1:18" ht="12" hidden="1" thickBot="1">
      <c r="A787" s="593"/>
      <c r="B787" s="938" t="s">
        <v>1503</v>
      </c>
      <c r="C787" s="998" t="s">
        <v>1522</v>
      </c>
      <c r="D787" s="593">
        <v>220</v>
      </c>
      <c r="E787" s="593"/>
      <c r="F787" s="593"/>
      <c r="G787" s="593"/>
      <c r="H787" s="994">
        <v>60713.56350196433</v>
      </c>
      <c r="I787" s="593"/>
      <c r="J787" s="593"/>
      <c r="K787" s="593"/>
      <c r="L787" s="593"/>
      <c r="M787" s="593"/>
      <c r="N787" s="593"/>
      <c r="O787" s="593">
        <v>137837.98748231615</v>
      </c>
      <c r="P787" s="593">
        <v>130077.26396047787</v>
      </c>
      <c r="Q787" s="593">
        <v>125528.40919570944</v>
      </c>
      <c r="R787" s="593"/>
    </row>
    <row r="788" spans="1:18" ht="12" hidden="1" thickBot="1">
      <c r="A788" s="593"/>
      <c r="B788" s="596" t="s">
        <v>1504</v>
      </c>
      <c r="C788" s="998" t="s">
        <v>1522</v>
      </c>
      <c r="D788" s="593">
        <v>221</v>
      </c>
      <c r="E788" s="593"/>
      <c r="F788" s="593"/>
      <c r="G788" s="593"/>
      <c r="H788" s="994">
        <v>63933.590849028871</v>
      </c>
      <c r="I788" s="593"/>
      <c r="J788" s="593"/>
      <c r="K788" s="593"/>
      <c r="L788" s="593"/>
      <c r="M788" s="593"/>
      <c r="N788" s="593"/>
      <c r="O788" s="593">
        <v>139784.85464457909</v>
      </c>
      <c r="P788" s="593">
        <v>130276.5693747794</v>
      </c>
      <c r="Q788" s="593">
        <v>127193.95225092756</v>
      </c>
      <c r="R788" s="593"/>
    </row>
    <row r="789" spans="1:18" ht="12" hidden="1" thickBot="1">
      <c r="A789" s="593"/>
      <c r="B789" s="596" t="s">
        <v>1505</v>
      </c>
      <c r="C789" s="998" t="s">
        <v>1522</v>
      </c>
      <c r="D789" s="593">
        <v>222</v>
      </c>
      <c r="E789" s="593"/>
      <c r="F789" s="593"/>
      <c r="G789" s="593"/>
      <c r="H789" s="994">
        <v>58180.400526375284</v>
      </c>
      <c r="I789" s="593"/>
      <c r="J789" s="593"/>
      <c r="K789" s="593"/>
      <c r="L789" s="593"/>
      <c r="M789" s="593"/>
      <c r="N789" s="593"/>
      <c r="O789" s="593">
        <v>118759.18571119716</v>
      </c>
      <c r="P789" s="593">
        <v>109001.43911678538</v>
      </c>
      <c r="Q789" s="593">
        <v>106595.40426731382</v>
      </c>
      <c r="R789" s="593"/>
    </row>
    <row r="790" spans="1:18" ht="12" hidden="1" thickBot="1">
      <c r="A790" s="593"/>
      <c r="B790" s="938" t="s">
        <v>1506</v>
      </c>
      <c r="C790" s="998" t="s">
        <v>1522</v>
      </c>
      <c r="D790" s="593">
        <v>223</v>
      </c>
      <c r="E790" s="593"/>
      <c r="F790" s="593"/>
      <c r="G790" s="593"/>
      <c r="H790" s="994">
        <v>55589.071507973735</v>
      </c>
      <c r="I790" s="593"/>
      <c r="J790" s="593"/>
      <c r="K790" s="593"/>
      <c r="L790" s="593"/>
      <c r="M790" s="593"/>
      <c r="N790" s="593"/>
      <c r="O790" s="593">
        <v>135573.83499310981</v>
      </c>
      <c r="P790" s="593">
        <v>124531.00645336138</v>
      </c>
      <c r="Q790" s="593">
        <v>121966.74680013017</v>
      </c>
      <c r="R790" s="593"/>
    </row>
    <row r="791" spans="1:18" ht="12" hidden="1" thickBot="1">
      <c r="A791" s="593"/>
      <c r="B791" s="596" t="s">
        <v>1507</v>
      </c>
      <c r="C791" s="998" t="s">
        <v>1522</v>
      </c>
      <c r="D791" s="593">
        <v>224</v>
      </c>
      <c r="E791" s="593"/>
      <c r="F791" s="593"/>
      <c r="G791" s="593"/>
      <c r="H791" s="994">
        <v>57508.341723499034</v>
      </c>
      <c r="I791" s="593"/>
      <c r="J791" s="593"/>
      <c r="K791" s="593"/>
      <c r="L791" s="593"/>
      <c r="M791" s="593"/>
      <c r="N791" s="593"/>
      <c r="O791" s="593">
        <v>130299.93765103366</v>
      </c>
      <c r="P791" s="593">
        <v>120753.61598268333</v>
      </c>
      <c r="Q791" s="593">
        <v>117661.61611822926</v>
      </c>
      <c r="R791" s="593"/>
    </row>
    <row r="792" spans="1:18" ht="12" hidden="1" thickBot="1">
      <c r="A792" s="593"/>
      <c r="B792" s="596" t="s">
        <v>1508</v>
      </c>
      <c r="C792" s="998" t="s">
        <v>1522</v>
      </c>
      <c r="D792" s="593">
        <v>225</v>
      </c>
      <c r="E792" s="593"/>
      <c r="F792" s="593"/>
      <c r="G792" s="593"/>
      <c r="H792" s="994">
        <v>56529.298803758786</v>
      </c>
      <c r="I792" s="593"/>
      <c r="J792" s="593"/>
      <c r="K792" s="593"/>
      <c r="L792" s="593"/>
      <c r="M792" s="593"/>
      <c r="N792" s="593"/>
      <c r="O792" s="593">
        <v>138479.13169621569</v>
      </c>
      <c r="P792" s="593">
        <v>128047.85969253865</v>
      </c>
      <c r="Q792" s="593">
        <v>124669.01310609802</v>
      </c>
      <c r="R792" s="593"/>
    </row>
    <row r="793" spans="1:18" ht="12" hidden="1" thickBot="1">
      <c r="A793" s="593"/>
      <c r="B793" s="596" t="s">
        <v>1509</v>
      </c>
      <c r="C793" s="998" t="s">
        <v>1522</v>
      </c>
      <c r="D793" s="593">
        <v>226</v>
      </c>
      <c r="E793" s="593"/>
      <c r="F793" s="593"/>
      <c r="G793" s="593"/>
      <c r="H793" s="994">
        <v>67792.800969551739</v>
      </c>
      <c r="I793" s="593"/>
      <c r="J793" s="593"/>
      <c r="K793" s="593"/>
      <c r="L793" s="593"/>
      <c r="M793" s="593"/>
      <c r="N793" s="593"/>
      <c r="O793" s="593">
        <v>139943.83351288579</v>
      </c>
      <c r="P793" s="593">
        <v>132251.92050641935</v>
      </c>
      <c r="Q793" s="593">
        <v>130553.5861440653</v>
      </c>
      <c r="R793" s="593"/>
    </row>
    <row r="794" spans="1:18" ht="12" hidden="1" thickBot="1">
      <c r="A794" s="593"/>
      <c r="B794" s="596" t="s">
        <v>1510</v>
      </c>
      <c r="C794" s="998" t="s">
        <v>1522</v>
      </c>
      <c r="D794" s="593">
        <v>227</v>
      </c>
      <c r="E794" s="593"/>
      <c r="F794" s="593"/>
      <c r="G794" s="593"/>
      <c r="H794" s="994">
        <v>76748.015450108229</v>
      </c>
      <c r="I794" s="593"/>
      <c r="J794" s="593"/>
      <c r="K794" s="593"/>
      <c r="L794" s="593"/>
      <c r="M794" s="593"/>
      <c r="N794" s="593"/>
      <c r="O794" s="593">
        <v>155337.91462213706</v>
      </c>
      <c r="P794" s="593">
        <v>149375.32760851967</v>
      </c>
      <c r="Q794" s="593">
        <v>147578.86992107818</v>
      </c>
      <c r="R794" s="593"/>
    </row>
    <row r="795" spans="1:18" ht="12" hidden="1" thickBot="1">
      <c r="A795" s="593"/>
      <c r="B795" s="938" t="s">
        <v>1499</v>
      </c>
      <c r="C795" s="998" t="s">
        <v>1523</v>
      </c>
      <c r="D795" s="593">
        <v>21</v>
      </c>
      <c r="E795" s="593"/>
      <c r="F795" s="593"/>
      <c r="G795" s="593"/>
      <c r="H795" s="994">
        <v>1185.295480145649</v>
      </c>
      <c r="I795" s="1000"/>
      <c r="J795" s="593"/>
      <c r="K795" s="593"/>
      <c r="L795" s="593"/>
      <c r="M795" s="593"/>
      <c r="N795" s="593"/>
      <c r="O795" s="593"/>
      <c r="P795" s="593"/>
      <c r="Q795" s="593"/>
      <c r="R795" s="593">
        <v>4168.6487839504944</v>
      </c>
    </row>
    <row r="796" spans="1:18" ht="12" hidden="1" thickBot="1">
      <c r="A796" s="593"/>
      <c r="B796" s="596" t="s">
        <v>1500</v>
      </c>
      <c r="C796" s="998" t="s">
        <v>1523</v>
      </c>
      <c r="D796" s="593">
        <v>21</v>
      </c>
      <c r="E796" s="593"/>
      <c r="F796" s="593"/>
      <c r="G796" s="593"/>
      <c r="H796" s="994">
        <v>1251.0828894341798</v>
      </c>
      <c r="I796" s="593"/>
      <c r="J796" s="593"/>
      <c r="K796" s="593"/>
      <c r="L796" s="593"/>
      <c r="M796" s="593"/>
      <c r="N796" s="593"/>
      <c r="O796" s="593"/>
      <c r="P796" s="593"/>
      <c r="Q796" s="593"/>
      <c r="R796" s="593">
        <v>4451.6951961023769</v>
      </c>
    </row>
    <row r="797" spans="1:18" ht="12" hidden="1" thickBot="1">
      <c r="A797" s="593"/>
      <c r="B797" s="596" t="s">
        <v>1501</v>
      </c>
      <c r="C797" s="998" t="s">
        <v>1523</v>
      </c>
      <c r="D797" s="593">
        <v>21</v>
      </c>
      <c r="E797" s="593"/>
      <c r="F797" s="593"/>
      <c r="G797" s="593"/>
      <c r="H797" s="994">
        <v>1023.2181617170635</v>
      </c>
      <c r="I797" s="593"/>
      <c r="J797" s="593"/>
      <c r="K797" s="593"/>
      <c r="L797" s="593"/>
      <c r="M797" s="593"/>
      <c r="N797" s="593"/>
      <c r="O797" s="593"/>
      <c r="P797" s="593"/>
      <c r="Q797" s="593"/>
      <c r="R797" s="593">
        <v>4245.2233342039217</v>
      </c>
    </row>
    <row r="798" spans="1:18" ht="12" hidden="1" thickBot="1">
      <c r="A798" s="593"/>
      <c r="B798" s="596" t="s">
        <v>1502</v>
      </c>
      <c r="C798" s="998" t="s">
        <v>1523</v>
      </c>
      <c r="D798" s="593">
        <v>21</v>
      </c>
      <c r="E798" s="593"/>
      <c r="F798" s="593"/>
      <c r="G798" s="593"/>
      <c r="H798" s="994">
        <v>1042.841168326348</v>
      </c>
      <c r="I798" s="593"/>
      <c r="J798" s="593"/>
      <c r="K798" s="593"/>
      <c r="L798" s="593"/>
      <c r="M798" s="593"/>
      <c r="N798" s="593"/>
      <c r="O798" s="593"/>
      <c r="P798" s="593"/>
      <c r="Q798" s="593"/>
      <c r="R798" s="593">
        <v>3888.6755314945894</v>
      </c>
    </row>
    <row r="799" spans="1:18" ht="12" hidden="1" thickBot="1">
      <c r="A799" s="593"/>
      <c r="B799" s="938" t="s">
        <v>1503</v>
      </c>
      <c r="C799" s="998" t="s">
        <v>1523</v>
      </c>
      <c r="D799" s="593">
        <v>21</v>
      </c>
      <c r="E799" s="593"/>
      <c r="F799" s="593"/>
      <c r="G799" s="593"/>
      <c r="H799" s="994">
        <v>1056.8854732319937</v>
      </c>
      <c r="I799" s="593"/>
      <c r="J799" s="593"/>
      <c r="K799" s="593"/>
      <c r="L799" s="593"/>
      <c r="M799" s="593"/>
      <c r="N799" s="593"/>
      <c r="O799" s="593"/>
      <c r="P799" s="593"/>
      <c r="Q799" s="593"/>
      <c r="R799" s="593">
        <v>3775.6461618416056</v>
      </c>
    </row>
    <row r="800" spans="1:18" ht="12" hidden="1" thickBot="1">
      <c r="A800" s="593"/>
      <c r="B800" s="596" t="s">
        <v>1504</v>
      </c>
      <c r="C800" s="998" t="s">
        <v>1523</v>
      </c>
      <c r="D800" s="593">
        <v>21</v>
      </c>
      <c r="E800" s="593"/>
      <c r="F800" s="593"/>
      <c r="G800" s="593"/>
      <c r="H800" s="994">
        <v>1085.4317478195251</v>
      </c>
      <c r="I800" s="593"/>
      <c r="J800" s="593"/>
      <c r="K800" s="593"/>
      <c r="L800" s="593"/>
      <c r="M800" s="593"/>
      <c r="N800" s="593"/>
      <c r="O800" s="593"/>
      <c r="P800" s="593"/>
      <c r="Q800" s="593"/>
      <c r="R800" s="593">
        <v>3901.0559773356863</v>
      </c>
    </row>
    <row r="801" spans="1:18" ht="12" hidden="1" thickBot="1">
      <c r="A801" s="593"/>
      <c r="B801" s="596" t="s">
        <v>1505</v>
      </c>
      <c r="C801" s="998" t="s">
        <v>1523</v>
      </c>
      <c r="D801" s="593">
        <v>21</v>
      </c>
      <c r="E801" s="593"/>
      <c r="F801" s="593"/>
      <c r="G801" s="593"/>
      <c r="H801" s="994">
        <v>1034.319373758563</v>
      </c>
      <c r="I801" s="593"/>
      <c r="J801" s="593"/>
      <c r="K801" s="593"/>
      <c r="L801" s="593"/>
      <c r="M801" s="593"/>
      <c r="N801" s="593"/>
      <c r="O801" s="593"/>
      <c r="P801" s="593"/>
      <c r="Q801" s="593"/>
      <c r="R801" s="593">
        <v>3850.9049220921556</v>
      </c>
    </row>
    <row r="802" spans="1:18" ht="12" hidden="1" thickBot="1">
      <c r="A802" s="593"/>
      <c r="B802" s="938" t="s">
        <v>1506</v>
      </c>
      <c r="C802" s="998" t="s">
        <v>1523</v>
      </c>
      <c r="D802" s="593">
        <v>21</v>
      </c>
      <c r="E802" s="593"/>
      <c r="F802" s="593"/>
      <c r="G802" s="593"/>
      <c r="H802" s="994">
        <v>963.92828197015808</v>
      </c>
      <c r="I802" s="593"/>
      <c r="J802" s="593"/>
      <c r="K802" s="593"/>
      <c r="L802" s="593"/>
      <c r="M802" s="593"/>
      <c r="N802" s="593"/>
      <c r="O802" s="593"/>
      <c r="P802" s="593"/>
      <c r="Q802" s="593"/>
      <c r="R802" s="593">
        <v>3731.0191978711932</v>
      </c>
    </row>
    <row r="803" spans="1:18" ht="12" hidden="1" thickBot="1">
      <c r="A803" s="593"/>
      <c r="B803" s="596" t="s">
        <v>1507</v>
      </c>
      <c r="C803" s="998" t="s">
        <v>1523</v>
      </c>
      <c r="D803" s="593">
        <v>21</v>
      </c>
      <c r="E803" s="593"/>
      <c r="F803" s="593"/>
      <c r="G803" s="593"/>
      <c r="H803" s="994">
        <v>1034.8584455329715</v>
      </c>
      <c r="I803" s="593"/>
      <c r="J803" s="593"/>
      <c r="K803" s="593"/>
      <c r="L803" s="593"/>
      <c r="M803" s="593"/>
      <c r="N803" s="593"/>
      <c r="O803" s="593"/>
      <c r="P803" s="593"/>
      <c r="Q803" s="593"/>
      <c r="R803" s="593">
        <v>3808.6483452356183</v>
      </c>
    </row>
    <row r="804" spans="1:18" ht="12" hidden="1" thickBot="1">
      <c r="A804" s="593"/>
      <c r="B804" s="596" t="s">
        <v>1508</v>
      </c>
      <c r="C804" s="998" t="s">
        <v>1523</v>
      </c>
      <c r="D804" s="593">
        <v>21</v>
      </c>
      <c r="E804" s="593"/>
      <c r="F804" s="593"/>
      <c r="G804" s="593"/>
      <c r="H804" s="994">
        <v>1038.1682354298866</v>
      </c>
      <c r="I804" s="593"/>
      <c r="J804" s="593"/>
      <c r="K804" s="593"/>
      <c r="L804" s="593"/>
      <c r="M804" s="593"/>
      <c r="N804" s="593"/>
      <c r="O804" s="593"/>
      <c r="P804" s="593"/>
      <c r="Q804" s="593"/>
      <c r="R804" s="593">
        <v>3899.8693299760662</v>
      </c>
    </row>
    <row r="805" spans="1:18" ht="12" hidden="1" thickBot="1">
      <c r="A805" s="593"/>
      <c r="B805" s="596" t="s">
        <v>1509</v>
      </c>
      <c r="C805" s="998" t="s">
        <v>1523</v>
      </c>
      <c r="D805" s="593">
        <v>21</v>
      </c>
      <c r="E805" s="593"/>
      <c r="F805" s="593"/>
      <c r="G805" s="593"/>
      <c r="H805" s="994">
        <v>1232.7856597693733</v>
      </c>
      <c r="I805" s="593"/>
      <c r="J805" s="593"/>
      <c r="K805" s="593"/>
      <c r="L805" s="593"/>
      <c r="M805" s="593"/>
      <c r="N805" s="593"/>
      <c r="O805" s="593"/>
      <c r="P805" s="593"/>
      <c r="Q805" s="593"/>
      <c r="R805" s="593">
        <v>4009.7331944323118</v>
      </c>
    </row>
    <row r="806" spans="1:18" ht="12" hidden="1" thickBot="1">
      <c r="A806" s="593"/>
      <c r="B806" s="596" t="s">
        <v>1510</v>
      </c>
      <c r="C806" s="998" t="s">
        <v>1523</v>
      </c>
      <c r="D806" s="593">
        <v>21</v>
      </c>
      <c r="E806" s="593"/>
      <c r="F806" s="593"/>
      <c r="G806" s="593"/>
      <c r="H806" s="994">
        <v>1298.2518561809027</v>
      </c>
      <c r="I806" s="593"/>
      <c r="J806" s="593"/>
      <c r="K806" s="593"/>
      <c r="L806" s="593"/>
      <c r="M806" s="593"/>
      <c r="N806" s="593"/>
      <c r="O806" s="593"/>
      <c r="P806" s="593"/>
      <c r="Q806" s="593"/>
      <c r="R806" s="593">
        <v>4326.8525904768921</v>
      </c>
    </row>
    <row r="807" spans="1:18" ht="12" hidden="1" thickBot="1">
      <c r="A807" s="593"/>
      <c r="B807" s="938" t="s">
        <v>1499</v>
      </c>
      <c r="C807" s="998" t="s">
        <v>1524</v>
      </c>
      <c r="D807" s="593">
        <v>216</v>
      </c>
      <c r="E807" s="593"/>
      <c r="F807" s="593"/>
      <c r="G807" s="593"/>
      <c r="H807" s="994">
        <v>23496.230346075383</v>
      </c>
      <c r="I807" s="593"/>
      <c r="J807" s="593"/>
      <c r="K807" s="593"/>
      <c r="L807" s="593"/>
      <c r="M807" s="593"/>
      <c r="N807" s="593"/>
      <c r="O807" s="593"/>
      <c r="P807" s="593"/>
      <c r="Q807" s="593"/>
      <c r="R807" s="593">
        <v>71167.354607631103</v>
      </c>
    </row>
    <row r="808" spans="1:18" ht="12" hidden="1" thickBot="1">
      <c r="A808" s="593"/>
      <c r="B808" s="596" t="s">
        <v>1500</v>
      </c>
      <c r="C808" s="998" t="s">
        <v>1524</v>
      </c>
      <c r="D808" s="593">
        <v>216</v>
      </c>
      <c r="E808" s="593"/>
      <c r="F808" s="593"/>
      <c r="G808" s="593"/>
      <c r="H808" s="994">
        <v>22942.934863731276</v>
      </c>
      <c r="I808" s="593"/>
      <c r="J808" s="593"/>
      <c r="K808" s="593"/>
      <c r="L808" s="593"/>
      <c r="M808" s="593"/>
      <c r="N808" s="593"/>
      <c r="O808" s="593"/>
      <c r="P808" s="593"/>
      <c r="Q808" s="593"/>
      <c r="R808" s="593">
        <v>70376.801606944937</v>
      </c>
    </row>
    <row r="809" spans="1:18" ht="12" hidden="1" thickBot="1">
      <c r="A809" s="593"/>
      <c r="B809" s="596" t="s">
        <v>1501</v>
      </c>
      <c r="C809" s="998" t="s">
        <v>1524</v>
      </c>
      <c r="D809" s="593">
        <v>215</v>
      </c>
      <c r="E809" s="593"/>
      <c r="F809" s="593"/>
      <c r="G809" s="593"/>
      <c r="H809" s="994">
        <v>19657.594190646636</v>
      </c>
      <c r="I809" s="593"/>
      <c r="J809" s="593"/>
      <c r="K809" s="593"/>
      <c r="L809" s="593"/>
      <c r="M809" s="593"/>
      <c r="N809" s="593"/>
      <c r="O809" s="593"/>
      <c r="P809" s="593"/>
      <c r="Q809" s="593"/>
      <c r="R809" s="593">
        <v>71082.593438398777</v>
      </c>
    </row>
    <row r="810" spans="1:18" ht="12" hidden="1" thickBot="1">
      <c r="A810" s="593"/>
      <c r="B810" s="596" t="s">
        <v>1502</v>
      </c>
      <c r="C810" s="998" t="s">
        <v>1524</v>
      </c>
      <c r="D810" s="593">
        <v>215</v>
      </c>
      <c r="E810" s="593"/>
      <c r="F810" s="593"/>
      <c r="G810" s="593"/>
      <c r="H810" s="994">
        <v>19399.423014964414</v>
      </c>
      <c r="I810" s="593"/>
      <c r="J810" s="593"/>
      <c r="K810" s="593"/>
      <c r="L810" s="593"/>
      <c r="M810" s="593"/>
      <c r="N810" s="593"/>
      <c r="O810" s="593"/>
      <c r="P810" s="593"/>
      <c r="Q810" s="593"/>
      <c r="R810" s="593">
        <v>62733.20407827395</v>
      </c>
    </row>
    <row r="811" spans="1:18" ht="12" hidden="1" thickBot="1">
      <c r="A811" s="593"/>
      <c r="B811" s="938" t="s">
        <v>1503</v>
      </c>
      <c r="C811" s="998" t="s">
        <v>1524</v>
      </c>
      <c r="D811" s="593">
        <v>214</v>
      </c>
      <c r="E811" s="593"/>
      <c r="F811" s="593"/>
      <c r="G811" s="593"/>
      <c r="H811" s="994">
        <v>19146.671763139882</v>
      </c>
      <c r="I811" s="593"/>
      <c r="J811" s="593"/>
      <c r="K811" s="593"/>
      <c r="L811" s="593"/>
      <c r="M811" s="593"/>
      <c r="N811" s="593"/>
      <c r="O811" s="593"/>
      <c r="P811" s="593"/>
      <c r="Q811" s="593"/>
      <c r="R811" s="593">
        <v>59195.646139415061</v>
      </c>
    </row>
    <row r="812" spans="1:18" ht="12" hidden="1" thickBot="1">
      <c r="A812" s="593"/>
      <c r="B812" s="596" t="s">
        <v>1504</v>
      </c>
      <c r="C812" s="998" t="s">
        <v>1524</v>
      </c>
      <c r="D812" s="593">
        <v>214</v>
      </c>
      <c r="E812" s="593"/>
      <c r="F812" s="593"/>
      <c r="G812" s="593"/>
      <c r="H812" s="994">
        <v>18982.754608259442</v>
      </c>
      <c r="I812" s="593"/>
      <c r="J812" s="593"/>
      <c r="K812" s="593"/>
      <c r="L812" s="593"/>
      <c r="M812" s="593"/>
      <c r="N812" s="593"/>
      <c r="O812" s="593"/>
      <c r="P812" s="593"/>
      <c r="Q812" s="593"/>
      <c r="R812" s="593">
        <v>59075.15957441576</v>
      </c>
    </row>
    <row r="813" spans="1:18" ht="12" hidden="1" thickBot="1">
      <c r="A813" s="593"/>
      <c r="B813" s="596" t="s">
        <v>1505</v>
      </c>
      <c r="C813" s="998" t="s">
        <v>1524</v>
      </c>
      <c r="D813" s="593">
        <v>213</v>
      </c>
      <c r="E813" s="593"/>
      <c r="F813" s="593"/>
      <c r="G813" s="593"/>
      <c r="H813" s="994">
        <v>18274.284108158168</v>
      </c>
      <c r="I813" s="593"/>
      <c r="J813" s="593"/>
      <c r="K813" s="593"/>
      <c r="L813" s="593"/>
      <c r="M813" s="593"/>
      <c r="N813" s="593"/>
      <c r="O813" s="593"/>
      <c r="P813" s="593"/>
      <c r="Q813" s="593"/>
      <c r="R813" s="593">
        <v>59090.078308219883</v>
      </c>
    </row>
    <row r="814" spans="1:18" ht="12" hidden="1" thickBot="1">
      <c r="A814" s="593"/>
      <c r="B814" s="938" t="s">
        <v>1506</v>
      </c>
      <c r="C814" s="998" t="s">
        <v>1524</v>
      </c>
      <c r="D814" s="593">
        <v>213</v>
      </c>
      <c r="E814" s="593"/>
      <c r="F814" s="593"/>
      <c r="G814" s="593"/>
      <c r="H814" s="994">
        <v>17230.018595064917</v>
      </c>
      <c r="I814" s="593"/>
      <c r="J814" s="593"/>
      <c r="K814" s="593"/>
      <c r="L814" s="593"/>
      <c r="M814" s="593"/>
      <c r="N814" s="593"/>
      <c r="O814" s="593"/>
      <c r="P814" s="593"/>
      <c r="Q814" s="593"/>
      <c r="R814" s="593">
        <v>58144.092106100623</v>
      </c>
    </row>
    <row r="815" spans="1:18" ht="12" hidden="1" thickBot="1">
      <c r="A815" s="593"/>
      <c r="B815" s="596" t="s">
        <v>1507</v>
      </c>
      <c r="C815" s="998" t="s">
        <v>1524</v>
      </c>
      <c r="D815" s="593">
        <v>212</v>
      </c>
      <c r="E815" s="593"/>
      <c r="F815" s="593"/>
      <c r="G815" s="593"/>
      <c r="H815" s="994">
        <v>18186.183238583202</v>
      </c>
      <c r="I815" s="593"/>
      <c r="J815" s="593"/>
      <c r="K815" s="593"/>
      <c r="L815" s="593"/>
      <c r="M815" s="593"/>
      <c r="N815" s="593"/>
      <c r="O815" s="593"/>
      <c r="P815" s="593"/>
      <c r="Q815" s="593"/>
      <c r="R815" s="593">
        <v>58098.339581665772</v>
      </c>
    </row>
    <row r="816" spans="1:18" ht="12" hidden="1" thickBot="1">
      <c r="A816" s="593"/>
      <c r="B816" s="596" t="s">
        <v>1508</v>
      </c>
      <c r="C816" s="998" t="s">
        <v>1524</v>
      </c>
      <c r="D816" s="593">
        <v>212</v>
      </c>
      <c r="E816" s="593"/>
      <c r="F816" s="593"/>
      <c r="G816" s="593"/>
      <c r="H816" s="994">
        <v>17964.057685010008</v>
      </c>
      <c r="I816" s="593"/>
      <c r="J816" s="593"/>
      <c r="K816" s="593"/>
      <c r="L816" s="593"/>
      <c r="M816" s="593"/>
      <c r="N816" s="593"/>
      <c r="O816" s="593"/>
      <c r="P816" s="593"/>
      <c r="Q816" s="593"/>
      <c r="R816" s="593">
        <v>58663.566011625815</v>
      </c>
    </row>
    <row r="817" spans="1:18" ht="12" hidden="1" thickBot="1">
      <c r="A817" s="593"/>
      <c r="B817" s="596" t="s">
        <v>1509</v>
      </c>
      <c r="C817" s="998" t="s">
        <v>1524</v>
      </c>
      <c r="D817" s="593">
        <v>211</v>
      </c>
      <c r="E817" s="593"/>
      <c r="F817" s="593"/>
      <c r="G817" s="593"/>
      <c r="H817" s="994">
        <v>20979.803334816064</v>
      </c>
      <c r="I817" s="593"/>
      <c r="J817" s="593"/>
      <c r="K817" s="593"/>
      <c r="L817" s="593"/>
      <c r="M817" s="593"/>
      <c r="N817" s="593"/>
      <c r="O817" s="593"/>
      <c r="P817" s="593"/>
      <c r="Q817" s="593"/>
      <c r="R817" s="593">
        <v>58643.855860572054</v>
      </c>
    </row>
    <row r="818" spans="1:18" ht="12" hidden="1" thickBot="1">
      <c r="A818" s="593"/>
      <c r="B818" s="596" t="s">
        <v>1510</v>
      </c>
      <c r="C818" s="998" t="s">
        <v>1524</v>
      </c>
      <c r="D818" s="593">
        <v>211</v>
      </c>
      <c r="E818" s="593"/>
      <c r="F818" s="593"/>
      <c r="G818" s="593"/>
      <c r="H818" s="994">
        <v>21823.097568450954</v>
      </c>
      <c r="I818" s="593"/>
      <c r="J818" s="593"/>
      <c r="K818" s="593"/>
      <c r="L818" s="593"/>
      <c r="M818" s="593"/>
      <c r="N818" s="593"/>
      <c r="O818" s="593"/>
      <c r="P818" s="593"/>
      <c r="Q818" s="593"/>
      <c r="R818" s="593">
        <v>62551.638696040129</v>
      </c>
    </row>
    <row r="819" spans="1:18" ht="12" hidden="1" thickBot="1">
      <c r="A819" s="593"/>
      <c r="B819" s="938" t="s">
        <v>1499</v>
      </c>
      <c r="C819" s="998" t="s">
        <v>1525</v>
      </c>
      <c r="D819" s="593">
        <v>68</v>
      </c>
      <c r="E819" s="593"/>
      <c r="F819" s="593"/>
      <c r="G819" s="593"/>
      <c r="H819" s="994">
        <v>149464.74259643446</v>
      </c>
      <c r="I819" s="1000"/>
      <c r="J819" s="1006"/>
      <c r="K819" s="1006"/>
      <c r="L819" s="1007"/>
      <c r="M819" s="593"/>
      <c r="N819" s="593"/>
      <c r="O819" s="593">
        <v>355998.49498358078</v>
      </c>
      <c r="P819" s="593">
        <v>323197.40753407922</v>
      </c>
      <c r="Q819" s="593">
        <v>318904.11451893218</v>
      </c>
      <c r="R819" s="593"/>
    </row>
    <row r="820" spans="1:18" ht="12" hidden="1" thickBot="1">
      <c r="A820" s="593"/>
      <c r="B820" s="596" t="s">
        <v>1500</v>
      </c>
      <c r="C820" s="998" t="s">
        <v>1525</v>
      </c>
      <c r="D820" s="593">
        <v>69</v>
      </c>
      <c r="E820" s="593"/>
      <c r="F820" s="593"/>
      <c r="G820" s="593"/>
      <c r="H820" s="994">
        <v>157760.47843623397</v>
      </c>
      <c r="I820" s="593"/>
      <c r="J820" s="1008"/>
      <c r="K820" s="1008"/>
      <c r="L820" s="1007"/>
      <c r="M820" s="593"/>
      <c r="N820" s="593"/>
      <c r="O820" s="593">
        <v>380170.37943796802</v>
      </c>
      <c r="P820" s="593">
        <v>345142.13623646204</v>
      </c>
      <c r="Q820" s="593">
        <v>340557.33361059107</v>
      </c>
      <c r="R820" s="593"/>
    </row>
    <row r="821" spans="1:18" ht="12" hidden="1" thickBot="1">
      <c r="A821" s="593"/>
      <c r="B821" s="596" t="s">
        <v>1501</v>
      </c>
      <c r="C821" s="998" t="s">
        <v>1525</v>
      </c>
      <c r="D821" s="593">
        <v>69</v>
      </c>
      <c r="E821" s="593"/>
      <c r="F821" s="593"/>
      <c r="G821" s="593"/>
      <c r="H821" s="994">
        <v>129026.93186870599</v>
      </c>
      <c r="I821" s="593"/>
      <c r="J821" s="1008"/>
      <c r="K821" s="1008"/>
      <c r="L821" s="1007"/>
      <c r="M821" s="593"/>
      <c r="N821" s="593"/>
      <c r="O821" s="593">
        <v>362537.88605658722</v>
      </c>
      <c r="P821" s="593">
        <v>329134.27039004344</v>
      </c>
      <c r="Q821" s="593">
        <v>324762.11321560177</v>
      </c>
      <c r="R821" s="593"/>
    </row>
    <row r="822" spans="1:18" ht="12" hidden="1" thickBot="1">
      <c r="A822" s="593"/>
      <c r="B822" s="596" t="s">
        <v>1502</v>
      </c>
      <c r="C822" s="998" t="s">
        <v>1525</v>
      </c>
      <c r="D822" s="593">
        <v>69</v>
      </c>
      <c r="E822" s="593"/>
      <c r="F822" s="593"/>
      <c r="G822" s="593"/>
      <c r="H822" s="994">
        <v>131501.37615787555</v>
      </c>
      <c r="I822" s="593"/>
      <c r="J822" s="1008"/>
      <c r="K822" s="1008"/>
      <c r="L822" s="1007"/>
      <c r="M822" s="593"/>
      <c r="N822" s="593"/>
      <c r="O822" s="593">
        <v>332089.05533644755</v>
      </c>
      <c r="P822" s="593">
        <v>301490.94242696575</v>
      </c>
      <c r="Q822" s="593">
        <v>297485.99397416826</v>
      </c>
      <c r="R822" s="593"/>
    </row>
    <row r="823" spans="1:18" ht="12" hidden="1" thickBot="1">
      <c r="A823" s="593"/>
      <c r="B823" s="938" t="s">
        <v>1503</v>
      </c>
      <c r="C823" s="998" t="s">
        <v>1525</v>
      </c>
      <c r="D823" s="593">
        <v>70</v>
      </c>
      <c r="E823" s="593"/>
      <c r="F823" s="593"/>
      <c r="G823" s="593"/>
      <c r="H823" s="994">
        <v>133272.35095093746</v>
      </c>
      <c r="I823" s="593"/>
      <c r="J823" s="1008"/>
      <c r="K823" s="1008"/>
      <c r="L823" s="1007"/>
      <c r="M823" s="593"/>
      <c r="N823" s="593"/>
      <c r="O823" s="593">
        <v>322436.45863884978</v>
      </c>
      <c r="P823" s="593">
        <v>292727.71934429661</v>
      </c>
      <c r="Q823" s="593">
        <v>288839.17988357006</v>
      </c>
      <c r="R823" s="593"/>
    </row>
    <row r="824" spans="1:18" ht="12" hidden="1" thickBot="1">
      <c r="A824" s="593"/>
      <c r="B824" s="596" t="s">
        <v>1504</v>
      </c>
      <c r="C824" s="998" t="s">
        <v>1525</v>
      </c>
      <c r="D824" s="593">
        <v>70</v>
      </c>
      <c r="E824" s="593"/>
      <c r="F824" s="593"/>
      <c r="G824" s="593"/>
      <c r="H824" s="994">
        <v>136872.01167248868</v>
      </c>
      <c r="I824" s="593"/>
      <c r="J824" s="1008"/>
      <c r="K824" s="1008"/>
      <c r="L824" s="1007"/>
      <c r="M824" s="593"/>
      <c r="N824" s="593"/>
      <c r="O824" s="593">
        <v>333146.33320154966</v>
      </c>
      <c r="P824" s="593">
        <v>302450.80453273101</v>
      </c>
      <c r="Q824" s="593">
        <v>298433.10545391316</v>
      </c>
      <c r="R824" s="593"/>
    </row>
    <row r="825" spans="1:18" ht="12" hidden="1" thickBot="1">
      <c r="A825" s="593"/>
      <c r="B825" s="596" t="s">
        <v>1505</v>
      </c>
      <c r="C825" s="998" t="s">
        <v>1525</v>
      </c>
      <c r="D825" s="593">
        <v>70</v>
      </c>
      <c r="E825" s="593"/>
      <c r="F825" s="593"/>
      <c r="G825" s="593"/>
      <c r="H825" s="994">
        <v>130426.78517793083</v>
      </c>
      <c r="I825" s="593"/>
      <c r="J825" s="1008"/>
      <c r="K825" s="1008"/>
      <c r="L825" s="1007"/>
      <c r="M825" s="593"/>
      <c r="N825" s="593"/>
      <c r="O825" s="593">
        <v>328863.48254325654</v>
      </c>
      <c r="P825" s="593">
        <v>298562.56834881176</v>
      </c>
      <c r="Q825" s="593">
        <v>294596.51986142976</v>
      </c>
      <c r="R825" s="593"/>
    </row>
    <row r="826" spans="1:18" ht="12" hidden="1" thickBot="1">
      <c r="A826" s="593"/>
      <c r="B826" s="938" t="s">
        <v>1506</v>
      </c>
      <c r="C826" s="998" t="s">
        <v>1525</v>
      </c>
      <c r="D826" s="593">
        <v>71</v>
      </c>
      <c r="E826" s="593"/>
      <c r="F826" s="593"/>
      <c r="G826" s="593"/>
      <c r="H826" s="994">
        <v>121550.5289266684</v>
      </c>
      <c r="I826" s="593"/>
      <c r="J826" s="1008"/>
      <c r="K826" s="1008"/>
      <c r="L826" s="1007"/>
      <c r="M826" s="593"/>
      <c r="N826" s="593"/>
      <c r="O826" s="593">
        <v>318625.35992736334</v>
      </c>
      <c r="P826" s="593">
        <v>289267.76869628695</v>
      </c>
      <c r="Q826" s="593">
        <v>285425.19056323066</v>
      </c>
      <c r="R826" s="593"/>
    </row>
    <row r="827" spans="1:18" ht="12" hidden="1" thickBot="1">
      <c r="A827" s="593"/>
      <c r="B827" s="596" t="s">
        <v>1507</v>
      </c>
      <c r="C827" s="998" t="s">
        <v>1525</v>
      </c>
      <c r="D827" s="593">
        <v>71</v>
      </c>
      <c r="E827" s="593"/>
      <c r="F827" s="593"/>
      <c r="G827" s="593"/>
      <c r="H827" s="994">
        <v>130494.76166594803</v>
      </c>
      <c r="I827" s="593"/>
      <c r="J827" s="1008"/>
      <c r="K827" s="1008"/>
      <c r="L827" s="1007"/>
      <c r="M827" s="593"/>
      <c r="N827" s="593"/>
      <c r="O827" s="593">
        <v>325254.81255359406</v>
      </c>
      <c r="P827" s="593">
        <v>295286.3949892621</v>
      </c>
      <c r="Q827" s="593">
        <v>291363.86656693352</v>
      </c>
      <c r="R827" s="593"/>
    </row>
    <row r="828" spans="1:18" ht="12" hidden="1" thickBot="1">
      <c r="A828" s="593"/>
      <c r="B828" s="596" t="s">
        <v>1508</v>
      </c>
      <c r="C828" s="998" t="s">
        <v>1525</v>
      </c>
      <c r="D828" s="593">
        <v>71</v>
      </c>
      <c r="E828" s="593"/>
      <c r="F828" s="593"/>
      <c r="G828" s="593"/>
      <c r="H828" s="994">
        <v>130912.12333084691</v>
      </c>
      <c r="I828" s="593"/>
      <c r="J828" s="1008"/>
      <c r="K828" s="1008"/>
      <c r="L828" s="1007"/>
      <c r="M828" s="593"/>
      <c r="N828" s="593"/>
      <c r="O828" s="593">
        <v>333044.99468732235</v>
      </c>
      <c r="P828" s="593">
        <v>302358.80317445798</v>
      </c>
      <c r="Q828" s="593">
        <v>298342.32622422057</v>
      </c>
      <c r="R828" s="593"/>
    </row>
    <row r="829" spans="1:18" ht="12" hidden="1" thickBot="1">
      <c r="A829" s="593"/>
      <c r="B829" s="596" t="s">
        <v>1509</v>
      </c>
      <c r="C829" s="998" t="s">
        <v>1525</v>
      </c>
      <c r="D829" s="593">
        <v>72</v>
      </c>
      <c r="E829" s="593"/>
      <c r="F829" s="593"/>
      <c r="G829" s="593"/>
      <c r="H829" s="994">
        <v>155453.21348172479</v>
      </c>
      <c r="I829" s="593"/>
      <c r="J829" s="1008"/>
      <c r="K829" s="1008"/>
      <c r="L829" s="1007"/>
      <c r="M829" s="593"/>
      <c r="N829" s="593"/>
      <c r="O829" s="593">
        <v>342427.26036297355</v>
      </c>
      <c r="P829" s="593">
        <v>310876.60306938813</v>
      </c>
      <c r="Q829" s="593">
        <v>306746.97728212154</v>
      </c>
      <c r="R829" s="593"/>
    </row>
    <row r="830" spans="1:18" ht="12" hidden="1" thickBot="1">
      <c r="A830" s="593"/>
      <c r="B830" s="596" t="s">
        <v>1510</v>
      </c>
      <c r="C830" s="998" t="s">
        <v>1525</v>
      </c>
      <c r="D830" s="593">
        <v>72</v>
      </c>
      <c r="E830" s="593"/>
      <c r="F830" s="593"/>
      <c r="G830" s="593"/>
      <c r="H830" s="994">
        <v>163708.4446534614</v>
      </c>
      <c r="I830" s="593"/>
      <c r="J830" s="1008"/>
      <c r="K830" s="1008"/>
      <c r="L830" s="1007"/>
      <c r="M830" s="593"/>
      <c r="N830" s="593"/>
      <c r="O830" s="593">
        <v>369508.9440386577</v>
      </c>
      <c r="P830" s="593">
        <v>335463.02711043024</v>
      </c>
      <c r="Q830" s="593">
        <v>331006.79993298481</v>
      </c>
      <c r="R830" s="593"/>
    </row>
    <row r="831" spans="1:18" ht="12" hidden="1" thickBot="1">
      <c r="A831" s="593"/>
      <c r="B831" s="938" t="s">
        <v>1499</v>
      </c>
      <c r="C831" s="998" t="s">
        <v>1526</v>
      </c>
      <c r="D831" s="593">
        <v>93</v>
      </c>
      <c r="E831" s="593"/>
      <c r="F831" s="593"/>
      <c r="G831" s="593"/>
      <c r="H831" s="994">
        <v>23109.450547385324</v>
      </c>
      <c r="I831" s="593"/>
      <c r="J831" s="1008"/>
      <c r="K831" s="1008"/>
      <c r="L831" s="1007"/>
      <c r="M831" s="593"/>
      <c r="N831" s="593"/>
      <c r="O831" s="593">
        <v>55144.261074780305</v>
      </c>
      <c r="P831" s="593">
        <v>51571.522738157575</v>
      </c>
      <c r="Q831" s="593">
        <v>49889.699187456099</v>
      </c>
      <c r="R831" s="593"/>
    </row>
    <row r="832" spans="1:18" ht="12" hidden="1" thickBot="1">
      <c r="A832" s="593"/>
      <c r="B832" s="596" t="s">
        <v>1500</v>
      </c>
      <c r="C832" s="998" t="s">
        <v>1526</v>
      </c>
      <c r="D832" s="593">
        <v>94</v>
      </c>
      <c r="E832" s="593"/>
      <c r="F832" s="593"/>
      <c r="G832" s="593"/>
      <c r="H832" s="994">
        <v>23497.311452521713</v>
      </c>
      <c r="I832" s="593"/>
      <c r="J832" s="593"/>
      <c r="K832" s="593"/>
      <c r="L832" s="1007"/>
      <c r="M832" s="593"/>
      <c r="N832" s="593"/>
      <c r="O832" s="593">
        <v>57192.614796173912</v>
      </c>
      <c r="P832" s="593">
        <v>53980.205937806153</v>
      </c>
      <c r="Q832" s="593">
        <v>52025.148302127658</v>
      </c>
      <c r="R832" s="593"/>
    </row>
    <row r="833" spans="1:18" ht="12" hidden="1" thickBot="1">
      <c r="A833" s="593"/>
      <c r="B833" s="596" t="s">
        <v>1501</v>
      </c>
      <c r="C833" s="998" t="s">
        <v>1526</v>
      </c>
      <c r="D833" s="593">
        <v>95</v>
      </c>
      <c r="E833" s="593"/>
      <c r="F833" s="593"/>
      <c r="G833" s="593"/>
      <c r="H833" s="994">
        <v>20552.866415223216</v>
      </c>
      <c r="I833" s="593"/>
      <c r="J833" s="593"/>
      <c r="K833" s="593"/>
      <c r="L833" s="1007"/>
      <c r="M833" s="593"/>
      <c r="N833" s="593"/>
      <c r="O833" s="593">
        <v>54408.771805032884</v>
      </c>
      <c r="P833" s="593">
        <v>51469.027641312612</v>
      </c>
      <c r="Q833" s="593">
        <v>50101.783063139461</v>
      </c>
      <c r="R833" s="593"/>
    </row>
    <row r="834" spans="1:18" ht="12" hidden="1" thickBot="1">
      <c r="A834" s="593"/>
      <c r="B834" s="596" t="s">
        <v>1502</v>
      </c>
      <c r="C834" s="998" t="s">
        <v>1526</v>
      </c>
      <c r="D834" s="593">
        <v>96</v>
      </c>
      <c r="E834" s="593"/>
      <c r="F834" s="593"/>
      <c r="G834" s="593"/>
      <c r="H834" s="994">
        <v>20321.483763421296</v>
      </c>
      <c r="I834" s="593"/>
      <c r="J834" s="593"/>
      <c r="K834" s="593"/>
      <c r="L834" s="593"/>
      <c r="M834" s="593"/>
      <c r="N834" s="593"/>
      <c r="O834" s="593">
        <v>52058.861856101073</v>
      </c>
      <c r="P834" s="593">
        <v>47897.71868862438</v>
      </c>
      <c r="Q834" s="593">
        <v>46862.112698978905</v>
      </c>
      <c r="R834" s="593"/>
    </row>
    <row r="835" spans="1:18" ht="12" hidden="1" thickBot="1">
      <c r="A835" s="593"/>
      <c r="B835" s="938" t="s">
        <v>1503</v>
      </c>
      <c r="C835" s="998" t="s">
        <v>1526</v>
      </c>
      <c r="D835" s="593">
        <v>97</v>
      </c>
      <c r="E835" s="593"/>
      <c r="F835" s="593"/>
      <c r="G835" s="593"/>
      <c r="H835" s="994">
        <v>20853.450367048375</v>
      </c>
      <c r="I835" s="593"/>
      <c r="J835" s="593"/>
      <c r="K835" s="593"/>
      <c r="L835" s="593"/>
      <c r="M835" s="593"/>
      <c r="N835" s="593"/>
      <c r="O835" s="593">
        <v>53246.551905761145</v>
      </c>
      <c r="P835" s="593">
        <v>49958.163786983787</v>
      </c>
      <c r="Q835" s="593">
        <v>49046.130862501333</v>
      </c>
      <c r="R835" s="593"/>
    </row>
    <row r="836" spans="1:18" ht="12" hidden="1" thickBot="1">
      <c r="A836" s="593"/>
      <c r="B836" s="596" t="s">
        <v>1504</v>
      </c>
      <c r="C836" s="998" t="s">
        <v>1526</v>
      </c>
      <c r="D836" s="593">
        <v>98</v>
      </c>
      <c r="E836" s="593"/>
      <c r="F836" s="593"/>
      <c r="G836" s="593"/>
      <c r="H836" s="994">
        <v>20700.533814381415</v>
      </c>
      <c r="I836" s="593"/>
      <c r="J836" s="593"/>
      <c r="K836" s="593"/>
      <c r="L836" s="593"/>
      <c r="M836" s="593"/>
      <c r="N836" s="593"/>
      <c r="O836" s="593">
        <v>51840.466502393487</v>
      </c>
      <c r="P836" s="593">
        <v>48096.42662898064</v>
      </c>
      <c r="Q836" s="593">
        <v>46727.188821590491</v>
      </c>
      <c r="R836" s="593"/>
    </row>
    <row r="837" spans="1:18" ht="12" hidden="1" thickBot="1">
      <c r="A837" s="593"/>
      <c r="B837" s="596" t="s">
        <v>1505</v>
      </c>
      <c r="C837" s="998" t="s">
        <v>1526</v>
      </c>
      <c r="D837" s="593">
        <v>99</v>
      </c>
      <c r="E837" s="593"/>
      <c r="F837" s="593"/>
      <c r="G837" s="593"/>
      <c r="H837" s="994">
        <v>20040.158866850783</v>
      </c>
      <c r="I837" s="593"/>
      <c r="J837" s="593"/>
      <c r="K837" s="593"/>
      <c r="L837" s="593"/>
      <c r="M837" s="593"/>
      <c r="N837" s="593"/>
      <c r="O837" s="593">
        <v>50459.319756230158</v>
      </c>
      <c r="P837" s="593">
        <v>45580.847936315891</v>
      </c>
      <c r="Q837" s="593">
        <v>44967.338483356682</v>
      </c>
      <c r="R837" s="593"/>
    </row>
    <row r="838" spans="1:18" ht="12" hidden="1" thickBot="1">
      <c r="A838" s="593"/>
      <c r="B838" s="938" t="s">
        <v>1506</v>
      </c>
      <c r="C838" s="998" t="s">
        <v>1526</v>
      </c>
      <c r="D838" s="593">
        <v>100</v>
      </c>
      <c r="E838" s="593"/>
      <c r="F838" s="593"/>
      <c r="G838" s="593"/>
      <c r="H838" s="994">
        <v>19781.342356303285</v>
      </c>
      <c r="I838" s="593"/>
      <c r="J838" s="593"/>
      <c r="K838" s="593"/>
      <c r="L838" s="593"/>
      <c r="M838" s="593"/>
      <c r="N838" s="593"/>
      <c r="O838" s="593">
        <v>53949.459339981593</v>
      </c>
      <c r="P838" s="593">
        <v>49120.142004529494</v>
      </c>
      <c r="Q838" s="593">
        <v>48258.693879862716</v>
      </c>
      <c r="R838" s="593"/>
    </row>
    <row r="839" spans="1:18" ht="12" hidden="1" thickBot="1">
      <c r="A839" s="593"/>
      <c r="B839" s="596" t="s">
        <v>1507</v>
      </c>
      <c r="C839" s="998" t="s">
        <v>1526</v>
      </c>
      <c r="D839" s="593">
        <v>100</v>
      </c>
      <c r="E839" s="593"/>
      <c r="F839" s="593"/>
      <c r="G839" s="593"/>
      <c r="H839" s="994">
        <v>20709.792508216691</v>
      </c>
      <c r="I839" s="593"/>
      <c r="J839" s="593"/>
      <c r="K839" s="593"/>
      <c r="L839" s="593"/>
      <c r="M839" s="593"/>
      <c r="N839" s="593"/>
      <c r="O839" s="593">
        <v>53453.387608720157</v>
      </c>
      <c r="P839" s="593">
        <v>49486.503360009447</v>
      </c>
      <c r="Q839" s="593">
        <v>47392.319055230364</v>
      </c>
      <c r="R839" s="593"/>
    </row>
    <row r="840" spans="1:18" ht="12" hidden="1" thickBot="1">
      <c r="A840" s="593"/>
      <c r="B840" s="596" t="s">
        <v>1508</v>
      </c>
      <c r="C840" s="998" t="s">
        <v>1526</v>
      </c>
      <c r="D840" s="593">
        <v>100</v>
      </c>
      <c r="E840" s="593"/>
      <c r="F840" s="593"/>
      <c r="G840" s="593"/>
      <c r="H840" s="994">
        <v>20494.105277615872</v>
      </c>
      <c r="I840" s="593"/>
      <c r="J840" s="593"/>
      <c r="K840" s="593"/>
      <c r="L840" s="593"/>
      <c r="M840" s="593"/>
      <c r="N840" s="593"/>
      <c r="O840" s="593">
        <v>53481.281243353231</v>
      </c>
      <c r="P840" s="593">
        <v>50359.722685786568</v>
      </c>
      <c r="Q840" s="593">
        <v>48966.085735280183</v>
      </c>
      <c r="R840" s="593"/>
    </row>
    <row r="841" spans="1:18" ht="12" hidden="1" thickBot="1">
      <c r="A841" s="593"/>
      <c r="B841" s="596" t="s">
        <v>1509</v>
      </c>
      <c r="C841" s="998" t="s">
        <v>1526</v>
      </c>
      <c r="D841" s="593">
        <v>100</v>
      </c>
      <c r="E841" s="593"/>
      <c r="F841" s="593"/>
      <c r="G841" s="593"/>
      <c r="H841" s="994">
        <v>24315.210278770133</v>
      </c>
      <c r="I841" s="593"/>
      <c r="J841" s="593"/>
      <c r="K841" s="593"/>
      <c r="L841" s="593"/>
      <c r="M841" s="593"/>
      <c r="N841" s="593"/>
      <c r="O841" s="593">
        <v>55168.113191774013</v>
      </c>
      <c r="P841" s="593">
        <v>52123.56269550541</v>
      </c>
      <c r="Q841" s="593">
        <v>50849.195386709136</v>
      </c>
      <c r="R841" s="593"/>
    </row>
    <row r="842" spans="1:18" ht="12" hidden="1" thickBot="1">
      <c r="A842" s="593"/>
      <c r="B842" s="596" t="s">
        <v>1510</v>
      </c>
      <c r="C842" s="998" t="s">
        <v>1526</v>
      </c>
      <c r="D842" s="593">
        <v>100</v>
      </c>
      <c r="E842" s="593"/>
      <c r="F842" s="593"/>
      <c r="G842" s="593"/>
      <c r="H842" s="994">
        <v>25167.481402223999</v>
      </c>
      <c r="I842" s="593"/>
      <c r="J842" s="593"/>
      <c r="K842" s="593"/>
      <c r="L842" s="593"/>
      <c r="M842" s="593"/>
      <c r="N842" s="593"/>
      <c r="O842" s="593">
        <v>58439.052219322657</v>
      </c>
      <c r="P842" s="593">
        <v>54724.068416778638</v>
      </c>
      <c r="Q842" s="593">
        <v>52685.992795290513</v>
      </c>
      <c r="R842" s="593"/>
    </row>
    <row r="843" spans="1:18" ht="12" hidden="1" thickBot="1">
      <c r="A843" s="593"/>
      <c r="B843" s="938" t="s">
        <v>1499</v>
      </c>
      <c r="C843" s="998" t="s">
        <v>1527</v>
      </c>
      <c r="D843" s="593">
        <v>1</v>
      </c>
      <c r="E843" s="593"/>
      <c r="F843" s="593"/>
      <c r="G843" s="593"/>
      <c r="H843" s="994">
        <v>10990</v>
      </c>
      <c r="I843" s="593"/>
      <c r="J843" s="593"/>
      <c r="K843" s="593"/>
      <c r="L843" s="593"/>
      <c r="M843" s="593"/>
      <c r="N843" s="593"/>
      <c r="O843" s="593"/>
      <c r="P843" s="593"/>
      <c r="Q843" s="593"/>
      <c r="R843" s="593">
        <v>20596</v>
      </c>
    </row>
    <row r="844" spans="1:18" ht="12" hidden="1" thickBot="1">
      <c r="A844" s="593"/>
      <c r="B844" s="596" t="s">
        <v>1500</v>
      </c>
      <c r="C844" s="998" t="s">
        <v>1527</v>
      </c>
      <c r="D844" s="593">
        <v>1</v>
      </c>
      <c r="E844" s="593"/>
      <c r="F844" s="593"/>
      <c r="G844" s="593"/>
      <c r="H844" s="994">
        <v>10824.2</v>
      </c>
      <c r="I844" s="593"/>
      <c r="J844" s="593"/>
      <c r="K844" s="593"/>
      <c r="L844" s="593"/>
      <c r="M844" s="593"/>
      <c r="N844" s="593"/>
      <c r="O844" s="593"/>
      <c r="P844" s="593"/>
      <c r="Q844" s="593"/>
      <c r="R844" s="593">
        <v>16552</v>
      </c>
    </row>
    <row r="845" spans="1:18" ht="12" hidden="1" thickBot="1">
      <c r="A845" s="593"/>
      <c r="B845" s="596" t="s">
        <v>1501</v>
      </c>
      <c r="C845" s="998" t="s">
        <v>1527</v>
      </c>
      <c r="D845" s="593">
        <v>1</v>
      </c>
      <c r="E845" s="593"/>
      <c r="F845" s="593"/>
      <c r="G845" s="593"/>
      <c r="H845" s="994">
        <v>8540</v>
      </c>
      <c r="I845" s="593"/>
      <c r="J845" s="593"/>
      <c r="K845" s="593"/>
      <c r="L845" s="593"/>
      <c r="M845" s="593"/>
      <c r="N845" s="593"/>
      <c r="O845" s="593"/>
      <c r="P845" s="593"/>
      <c r="Q845" s="593"/>
      <c r="R845" s="593">
        <v>13654</v>
      </c>
    </row>
    <row r="846" spans="1:18" ht="12" hidden="1" thickBot="1">
      <c r="A846" s="593"/>
      <c r="B846" s="596" t="s">
        <v>1502</v>
      </c>
      <c r="C846" s="998" t="s">
        <v>1527</v>
      </c>
      <c r="D846" s="593">
        <v>1</v>
      </c>
      <c r="E846" s="593"/>
      <c r="F846" s="593"/>
      <c r="G846" s="593"/>
      <c r="H846" s="994">
        <v>7093.2</v>
      </c>
      <c r="I846" s="593"/>
      <c r="J846" s="593"/>
      <c r="K846" s="593"/>
      <c r="L846" s="593"/>
      <c r="M846" s="593"/>
      <c r="N846" s="593"/>
      <c r="O846" s="593"/>
      <c r="P846" s="593"/>
      <c r="Q846" s="593"/>
      <c r="R846" s="593">
        <v>8332</v>
      </c>
    </row>
    <row r="847" spans="1:18" ht="12" hidden="1" thickBot="1">
      <c r="A847" s="593"/>
      <c r="B847" s="938" t="s">
        <v>1503</v>
      </c>
      <c r="C847" s="998" t="s">
        <v>1527</v>
      </c>
      <c r="D847" s="593">
        <v>1</v>
      </c>
      <c r="E847" s="593"/>
      <c r="F847" s="593"/>
      <c r="G847" s="593"/>
      <c r="H847" s="994">
        <v>7436</v>
      </c>
      <c r="I847" s="593"/>
      <c r="J847" s="593"/>
      <c r="K847" s="593"/>
      <c r="L847" s="593"/>
      <c r="M847" s="593"/>
      <c r="N847" s="593"/>
      <c r="O847" s="593"/>
      <c r="P847" s="593"/>
      <c r="Q847" s="593"/>
      <c r="R847" s="593">
        <v>9520</v>
      </c>
    </row>
    <row r="848" spans="1:18" ht="12" hidden="1" thickBot="1">
      <c r="A848" s="593"/>
      <c r="B848" s="596" t="s">
        <v>1504</v>
      </c>
      <c r="C848" s="998" t="s">
        <v>1527</v>
      </c>
      <c r="D848" s="593">
        <v>1</v>
      </c>
      <c r="E848" s="593"/>
      <c r="F848" s="593"/>
      <c r="G848" s="593"/>
      <c r="H848" s="994">
        <v>9529</v>
      </c>
      <c r="I848" s="593"/>
      <c r="J848" s="593"/>
      <c r="K848" s="593"/>
      <c r="L848" s="593"/>
      <c r="M848" s="593"/>
      <c r="N848" s="593"/>
      <c r="O848" s="593"/>
      <c r="P848" s="593"/>
      <c r="Q848" s="593"/>
      <c r="R848" s="593">
        <v>12334</v>
      </c>
    </row>
    <row r="849" spans="1:18" ht="12" hidden="1" thickBot="1">
      <c r="A849" s="593"/>
      <c r="B849" s="596" t="s">
        <v>1505</v>
      </c>
      <c r="C849" s="998" t="s">
        <v>1527</v>
      </c>
      <c r="D849" s="593">
        <v>1</v>
      </c>
      <c r="E849" s="593"/>
      <c r="F849" s="593"/>
      <c r="G849" s="593"/>
      <c r="H849" s="994">
        <v>10975.5</v>
      </c>
      <c r="I849" s="593"/>
      <c r="J849" s="593"/>
      <c r="K849" s="593"/>
      <c r="L849" s="593"/>
      <c r="M849" s="593"/>
      <c r="N849" s="593"/>
      <c r="O849" s="593"/>
      <c r="P849" s="593"/>
      <c r="Q849" s="593"/>
      <c r="R849" s="593">
        <v>15562</v>
      </c>
    </row>
    <row r="850" spans="1:18" ht="12" hidden="1" thickBot="1">
      <c r="A850" s="593"/>
      <c r="B850" s="938" t="s">
        <v>1506</v>
      </c>
      <c r="C850" s="998" t="s">
        <v>1527</v>
      </c>
      <c r="D850" s="593">
        <v>1</v>
      </c>
      <c r="E850" s="593"/>
      <c r="F850" s="593"/>
      <c r="G850" s="593"/>
      <c r="H850" s="994">
        <v>9522.5</v>
      </c>
      <c r="I850" s="593"/>
      <c r="J850" s="593"/>
      <c r="K850" s="593"/>
      <c r="L850" s="593"/>
      <c r="M850" s="593"/>
      <c r="N850" s="593"/>
      <c r="O850" s="593"/>
      <c r="P850" s="593"/>
      <c r="Q850" s="593"/>
      <c r="R850" s="593">
        <v>14314</v>
      </c>
    </row>
    <row r="851" spans="1:18" ht="12" hidden="1" thickBot="1">
      <c r="A851" s="593"/>
      <c r="B851" s="596" t="s">
        <v>1507</v>
      </c>
      <c r="C851" s="998" t="s">
        <v>1527</v>
      </c>
      <c r="D851" s="593">
        <v>1</v>
      </c>
      <c r="E851" s="593"/>
      <c r="F851" s="593"/>
      <c r="G851" s="593"/>
      <c r="H851" s="994">
        <v>9371</v>
      </c>
      <c r="I851" s="593"/>
      <c r="J851" s="593"/>
      <c r="K851" s="593"/>
      <c r="L851" s="593"/>
      <c r="M851" s="593"/>
      <c r="N851" s="593"/>
      <c r="O851" s="593"/>
      <c r="P851" s="593"/>
      <c r="Q851" s="593"/>
      <c r="R851" s="593">
        <v>12754</v>
      </c>
    </row>
    <row r="852" spans="1:18" ht="12" hidden="1" thickBot="1">
      <c r="A852" s="593"/>
      <c r="B852" s="596" t="s">
        <v>1508</v>
      </c>
      <c r="C852" s="998" t="s">
        <v>1527</v>
      </c>
      <c r="D852" s="593">
        <v>1</v>
      </c>
      <c r="E852" s="593"/>
      <c r="F852" s="593"/>
      <c r="G852" s="593"/>
      <c r="H852" s="994">
        <v>7236.5</v>
      </c>
      <c r="I852" s="593"/>
      <c r="J852" s="593"/>
      <c r="K852" s="593"/>
      <c r="L852" s="593"/>
      <c r="M852" s="593"/>
      <c r="N852" s="593"/>
      <c r="O852" s="593"/>
      <c r="P852" s="593"/>
      <c r="Q852" s="593"/>
      <c r="R852" s="593">
        <v>7072</v>
      </c>
    </row>
    <row r="853" spans="1:18" ht="12" hidden="1" thickBot="1">
      <c r="A853" s="593"/>
      <c r="B853" s="596" t="s">
        <v>1509</v>
      </c>
      <c r="C853" s="998" t="s">
        <v>1527</v>
      </c>
      <c r="D853" s="593">
        <v>1</v>
      </c>
      <c r="E853" s="593"/>
      <c r="F853" s="593"/>
      <c r="G853" s="593"/>
      <c r="H853" s="994">
        <v>8289</v>
      </c>
      <c r="I853" s="593"/>
      <c r="J853" s="593"/>
      <c r="K853" s="593"/>
      <c r="L853" s="593"/>
      <c r="M853" s="593"/>
      <c r="N853" s="593"/>
      <c r="O853" s="593"/>
      <c r="P853" s="593"/>
      <c r="Q853" s="593"/>
      <c r="R853" s="593">
        <v>12946</v>
      </c>
    </row>
    <row r="854" spans="1:18" ht="12" hidden="1" thickBot="1">
      <c r="A854" s="593"/>
      <c r="B854" s="596" t="s">
        <v>1510</v>
      </c>
      <c r="C854" s="998" t="s">
        <v>1527</v>
      </c>
      <c r="D854" s="593">
        <v>1</v>
      </c>
      <c r="E854" s="593"/>
      <c r="F854" s="593"/>
      <c r="G854" s="593"/>
      <c r="H854" s="994">
        <v>10068</v>
      </c>
      <c r="I854" s="593"/>
      <c r="J854" s="593"/>
      <c r="K854" s="593"/>
      <c r="L854" s="593"/>
      <c r="M854" s="593"/>
      <c r="N854" s="593"/>
      <c r="O854" s="593"/>
      <c r="P854" s="593"/>
      <c r="Q854" s="593"/>
      <c r="R854" s="593">
        <v>16030</v>
      </c>
    </row>
    <row r="855" spans="1:18" ht="12" hidden="1" thickBot="1">
      <c r="A855" s="593"/>
      <c r="B855" s="938" t="s">
        <v>1499</v>
      </c>
      <c r="C855" s="998" t="s">
        <v>1528</v>
      </c>
      <c r="D855" s="593">
        <v>2</v>
      </c>
      <c r="E855" s="593"/>
      <c r="F855" s="593"/>
      <c r="G855" s="593"/>
      <c r="H855" s="994">
        <v>5252.4</v>
      </c>
      <c r="I855" s="593"/>
      <c r="J855" s="593"/>
      <c r="K855" s="593"/>
      <c r="L855" s="593"/>
      <c r="M855" s="593"/>
      <c r="N855" s="593"/>
      <c r="O855" s="593"/>
      <c r="P855" s="593"/>
      <c r="Q855" s="593"/>
      <c r="R855" s="593">
        <v>9450.2999999999993</v>
      </c>
    </row>
    <row r="856" spans="1:18" ht="12" hidden="1" thickBot="1">
      <c r="A856" s="593"/>
      <c r="B856" s="596" t="s">
        <v>1500</v>
      </c>
      <c r="C856" s="998" t="s">
        <v>1528</v>
      </c>
      <c r="D856" s="593">
        <v>2</v>
      </c>
      <c r="E856" s="593"/>
      <c r="F856" s="593"/>
      <c r="G856" s="593"/>
      <c r="H856" s="994">
        <v>5119.5</v>
      </c>
      <c r="I856" s="593"/>
      <c r="J856" s="593"/>
      <c r="K856" s="593"/>
      <c r="L856" s="593"/>
      <c r="M856" s="593"/>
      <c r="N856" s="593"/>
      <c r="O856" s="593"/>
      <c r="P856" s="593"/>
      <c r="Q856" s="593"/>
      <c r="R856" s="593">
        <v>9450.2999999999993</v>
      </c>
    </row>
    <row r="857" spans="1:18" ht="12" hidden="1" thickBot="1">
      <c r="A857" s="593"/>
      <c r="B857" s="596" t="s">
        <v>1501</v>
      </c>
      <c r="C857" s="998" t="s">
        <v>1528</v>
      </c>
      <c r="D857" s="593">
        <v>2</v>
      </c>
      <c r="E857" s="593"/>
      <c r="F857" s="593"/>
      <c r="G857" s="593"/>
      <c r="H857" s="994">
        <v>5318.1</v>
      </c>
      <c r="I857" s="593"/>
      <c r="J857" s="593"/>
      <c r="K857" s="593"/>
      <c r="L857" s="593"/>
      <c r="M857" s="593"/>
      <c r="N857" s="593"/>
      <c r="O857" s="593"/>
      <c r="P857" s="593"/>
      <c r="Q857" s="593"/>
      <c r="R857" s="593">
        <v>9450.2999999999993</v>
      </c>
    </row>
    <row r="858" spans="1:18" ht="12" hidden="1" thickBot="1">
      <c r="A858" s="593"/>
      <c r="B858" s="596" t="s">
        <v>1502</v>
      </c>
      <c r="C858" s="998" t="s">
        <v>1528</v>
      </c>
      <c r="D858" s="593">
        <v>2</v>
      </c>
      <c r="E858" s="593"/>
      <c r="F858" s="593"/>
      <c r="G858" s="593"/>
      <c r="H858" s="994">
        <v>4450.8</v>
      </c>
      <c r="I858" s="593"/>
      <c r="J858" s="593"/>
      <c r="K858" s="593"/>
      <c r="L858" s="593"/>
      <c r="M858" s="593"/>
      <c r="N858" s="593"/>
      <c r="O858" s="593"/>
      <c r="P858" s="593"/>
      <c r="Q858" s="593"/>
      <c r="R858" s="593">
        <v>9450.2999999999993</v>
      </c>
    </row>
    <row r="859" spans="1:18" ht="12" hidden="1" thickBot="1">
      <c r="A859" s="593"/>
      <c r="B859" s="938" t="s">
        <v>1503</v>
      </c>
      <c r="C859" s="998" t="s">
        <v>1528</v>
      </c>
      <c r="D859" s="593">
        <v>2</v>
      </c>
      <c r="E859" s="593"/>
      <c r="F859" s="593"/>
      <c r="G859" s="593"/>
      <c r="H859" s="994">
        <v>4366.8</v>
      </c>
      <c r="I859" s="593"/>
      <c r="J859" s="593"/>
      <c r="K859" s="593"/>
      <c r="L859" s="593"/>
      <c r="M859" s="593"/>
      <c r="N859" s="593"/>
      <c r="O859" s="593"/>
      <c r="P859" s="593"/>
      <c r="Q859" s="593"/>
      <c r="R859" s="593">
        <v>9450.2999999999993</v>
      </c>
    </row>
    <row r="860" spans="1:18" ht="12" hidden="1" thickBot="1">
      <c r="A860" s="593"/>
      <c r="B860" s="596" t="s">
        <v>1504</v>
      </c>
      <c r="C860" s="998" t="s">
        <v>1528</v>
      </c>
      <c r="D860" s="593">
        <v>2</v>
      </c>
      <c r="E860" s="593"/>
      <c r="F860" s="593"/>
      <c r="G860" s="593"/>
      <c r="H860" s="994">
        <v>4790.1000000000004</v>
      </c>
      <c r="I860" s="593"/>
      <c r="J860" s="593"/>
      <c r="K860" s="593"/>
      <c r="L860" s="593"/>
      <c r="M860" s="593"/>
      <c r="N860" s="593"/>
      <c r="O860" s="593"/>
      <c r="P860" s="593"/>
      <c r="Q860" s="593"/>
      <c r="R860" s="593">
        <v>9471.9000000000015</v>
      </c>
    </row>
    <row r="861" spans="1:18" ht="12" hidden="1" thickBot="1">
      <c r="A861" s="593"/>
      <c r="B861" s="596" t="s">
        <v>1505</v>
      </c>
      <c r="C861" s="998" t="s">
        <v>1528</v>
      </c>
      <c r="D861" s="593">
        <v>2</v>
      </c>
      <c r="E861" s="593"/>
      <c r="F861" s="593"/>
      <c r="G861" s="593"/>
      <c r="H861" s="994">
        <v>5498.8799999999992</v>
      </c>
      <c r="I861" s="593"/>
      <c r="J861" s="593"/>
      <c r="K861" s="593"/>
      <c r="L861" s="593"/>
      <c r="M861" s="593"/>
      <c r="N861" s="593"/>
      <c r="O861" s="593"/>
      <c r="P861" s="593"/>
      <c r="Q861" s="593"/>
      <c r="R861" s="593">
        <v>9307.1999999999989</v>
      </c>
    </row>
    <row r="862" spans="1:18" ht="12" hidden="1" thickBot="1">
      <c r="A862" s="593"/>
      <c r="B862" s="938" t="s">
        <v>1506</v>
      </c>
      <c r="C862" s="998" t="s">
        <v>1528</v>
      </c>
      <c r="D862" s="593">
        <v>2</v>
      </c>
      <c r="E862" s="593"/>
      <c r="F862" s="593"/>
      <c r="G862" s="593"/>
      <c r="H862" s="994">
        <v>4744.8</v>
      </c>
      <c r="I862" s="593"/>
      <c r="J862" s="593"/>
      <c r="K862" s="593"/>
      <c r="L862" s="593"/>
      <c r="M862" s="593"/>
      <c r="N862" s="593"/>
      <c r="O862" s="593"/>
      <c r="P862" s="593"/>
      <c r="Q862" s="593"/>
      <c r="R862" s="593">
        <v>9307.1999999999989</v>
      </c>
    </row>
    <row r="863" spans="1:18" ht="12" hidden="1" thickBot="1">
      <c r="A863" s="593"/>
      <c r="B863" s="596" t="s">
        <v>1507</v>
      </c>
      <c r="C863" s="998" t="s">
        <v>1528</v>
      </c>
      <c r="D863" s="593">
        <v>2</v>
      </c>
      <c r="E863" s="593"/>
      <c r="F863" s="593"/>
      <c r="G863" s="593"/>
      <c r="H863" s="994">
        <v>4351.2</v>
      </c>
      <c r="I863" s="593"/>
      <c r="J863" s="593"/>
      <c r="K863" s="593"/>
      <c r="L863" s="593"/>
      <c r="M863" s="593"/>
      <c r="N863" s="593"/>
      <c r="O863" s="593"/>
      <c r="P863" s="593"/>
      <c r="Q863" s="593"/>
      <c r="R863" s="593">
        <v>9307.1999999999989</v>
      </c>
    </row>
    <row r="864" spans="1:18" ht="12" hidden="1" thickBot="1">
      <c r="A864" s="593"/>
      <c r="B864" s="596" t="s">
        <v>1508</v>
      </c>
      <c r="C864" s="998" t="s">
        <v>1528</v>
      </c>
      <c r="D864" s="593">
        <v>2</v>
      </c>
      <c r="E864" s="593"/>
      <c r="F864" s="593"/>
      <c r="G864" s="593"/>
      <c r="H864" s="994">
        <v>4414.32</v>
      </c>
      <c r="I864" s="593"/>
      <c r="J864" s="593"/>
      <c r="K864" s="593"/>
      <c r="L864" s="593"/>
      <c r="M864" s="593"/>
      <c r="N864" s="593"/>
      <c r="O864" s="593"/>
      <c r="P864" s="593"/>
      <c r="Q864" s="593"/>
      <c r="R864" s="593">
        <v>9307.1999999999989</v>
      </c>
    </row>
    <row r="865" spans="1:18" ht="12" hidden="1" thickBot="1">
      <c r="A865" s="593"/>
      <c r="B865" s="596" t="s">
        <v>1509</v>
      </c>
      <c r="C865" s="998" t="s">
        <v>1528</v>
      </c>
      <c r="D865" s="593">
        <v>2</v>
      </c>
      <c r="E865" s="593"/>
      <c r="F865" s="593"/>
      <c r="G865" s="593"/>
      <c r="H865" s="994">
        <v>4343.3999999999996</v>
      </c>
      <c r="I865" s="593"/>
      <c r="J865" s="593"/>
      <c r="K865" s="593"/>
      <c r="L865" s="593"/>
      <c r="M865" s="593"/>
      <c r="N865" s="593"/>
      <c r="O865" s="593"/>
      <c r="P865" s="593"/>
      <c r="Q865" s="593"/>
      <c r="R865" s="593">
        <v>9429.0749999999989</v>
      </c>
    </row>
    <row r="866" spans="1:18" ht="12" hidden="1" thickBot="1">
      <c r="A866" s="593"/>
      <c r="B866" s="596" t="s">
        <v>1510</v>
      </c>
      <c r="C866" s="998" t="s">
        <v>1528</v>
      </c>
      <c r="D866" s="593">
        <v>2</v>
      </c>
      <c r="E866" s="593"/>
      <c r="F866" s="593"/>
      <c r="G866" s="593"/>
      <c r="H866" s="994">
        <v>4921.8</v>
      </c>
      <c r="I866" s="593"/>
      <c r="J866" s="593"/>
      <c r="K866" s="593"/>
      <c r="L866" s="593"/>
      <c r="M866" s="593"/>
      <c r="N866" s="593"/>
      <c r="O866" s="593"/>
      <c r="P866" s="593"/>
      <c r="Q866" s="593"/>
      <c r="R866" s="593">
        <v>9434.9250000000011</v>
      </c>
    </row>
  </sheetData>
  <autoFilter ref="A1:C866">
    <filterColumn colId="2">
      <filters>
        <filter val="KUCME224"/>
      </filters>
    </filterColumn>
  </autoFilter>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1642"/>
  <sheetViews>
    <sheetView workbookViewId="0"/>
  </sheetViews>
  <sheetFormatPr defaultColWidth="11.33203125" defaultRowHeight="11.25"/>
  <cols>
    <col min="1" max="3" width="11.33203125" style="1017"/>
    <col min="4" max="4" width="38.6640625" style="1017" bestFit="1" customWidth="1"/>
    <col min="5" max="5" width="11.5" style="1017" bestFit="1" customWidth="1"/>
    <col min="6" max="6" width="6.6640625" style="1017" customWidth="1"/>
    <col min="7" max="7" width="11.33203125" style="1017"/>
    <col min="8" max="8" width="16.1640625" style="1017" bestFit="1" customWidth="1"/>
    <col min="9" max="11" width="11.33203125" style="1017"/>
    <col min="12" max="12" width="13.83203125" style="1017" bestFit="1" customWidth="1"/>
    <col min="13" max="16384" width="11.33203125" style="1017"/>
  </cols>
  <sheetData>
    <row r="1" spans="1:19">
      <c r="A1" s="1016"/>
      <c r="B1" s="1016"/>
      <c r="C1" s="1016"/>
      <c r="D1" s="981"/>
      <c r="E1" s="979" t="s">
        <v>64</v>
      </c>
      <c r="F1" s="595"/>
      <c r="G1" s="595"/>
      <c r="H1" s="595"/>
      <c r="I1" s="595"/>
      <c r="J1" s="595"/>
      <c r="K1" s="595"/>
      <c r="L1" s="595"/>
      <c r="M1" s="595"/>
      <c r="N1" s="595"/>
      <c r="O1" s="595"/>
      <c r="P1" s="595"/>
      <c r="Q1" s="595"/>
      <c r="R1" s="595"/>
      <c r="S1" s="595"/>
    </row>
    <row r="2" spans="1:19">
      <c r="A2" s="979" t="s">
        <v>0</v>
      </c>
      <c r="B2" s="979" t="s">
        <v>69</v>
      </c>
      <c r="C2" s="979" t="s">
        <v>5</v>
      </c>
      <c r="D2" s="1018"/>
      <c r="E2" s="981"/>
      <c r="F2" s="595"/>
      <c r="G2" s="595"/>
      <c r="H2" s="595"/>
      <c r="I2" s="595"/>
      <c r="J2" s="595"/>
      <c r="K2" s="595"/>
      <c r="L2" s="595"/>
      <c r="M2" s="595"/>
      <c r="N2" s="595"/>
      <c r="O2" s="595"/>
      <c r="P2" s="595"/>
      <c r="Q2" s="595"/>
      <c r="R2" s="595"/>
      <c r="S2" s="595"/>
    </row>
    <row r="3" spans="1:19">
      <c r="A3" s="1019" t="s">
        <v>1505</v>
      </c>
      <c r="B3" s="979" t="s">
        <v>420</v>
      </c>
      <c r="C3" s="979" t="s">
        <v>433</v>
      </c>
      <c r="D3" s="979" t="s">
        <v>432</v>
      </c>
      <c r="E3" s="980"/>
      <c r="F3" s="595"/>
      <c r="G3" s="1009"/>
      <c r="H3" s="1009"/>
      <c r="I3" s="1009"/>
      <c r="J3" s="1009"/>
      <c r="K3" s="1009"/>
      <c r="L3" s="1020">
        <f>'12MonLights'!O89</f>
        <v>2133763</v>
      </c>
      <c r="M3" s="595" t="s">
        <v>1529</v>
      </c>
      <c r="N3" s="595"/>
      <c r="O3" s="595"/>
      <c r="P3" s="595"/>
      <c r="Q3" s="1010" t="s">
        <v>1530</v>
      </c>
      <c r="R3" s="595"/>
      <c r="S3" s="595"/>
    </row>
    <row r="4" spans="1:19">
      <c r="A4" s="1019" t="s">
        <v>1505</v>
      </c>
      <c r="B4" s="979" t="s">
        <v>420</v>
      </c>
      <c r="C4" s="979" t="s">
        <v>431</v>
      </c>
      <c r="D4" s="979" t="s">
        <v>430</v>
      </c>
      <c r="E4" s="980"/>
      <c r="F4" s="595"/>
      <c r="G4" s="1009"/>
      <c r="H4" s="1009"/>
      <c r="I4" s="1009"/>
      <c r="J4" s="1009"/>
      <c r="K4" s="1009"/>
      <c r="L4" s="1011">
        <f>'12MonResults'!$AE$23</f>
        <v>1332.21</v>
      </c>
      <c r="M4" s="595" t="s">
        <v>1531</v>
      </c>
      <c r="N4" s="595"/>
      <c r="O4" s="595"/>
      <c r="P4" s="595"/>
      <c r="Q4" s="595"/>
      <c r="R4" s="595"/>
      <c r="S4" s="595"/>
    </row>
    <row r="5" spans="1:19" ht="13.5">
      <c r="A5" s="1019" t="s">
        <v>1505</v>
      </c>
      <c r="B5" s="979" t="s">
        <v>420</v>
      </c>
      <c r="C5" s="979" t="s">
        <v>323</v>
      </c>
      <c r="D5" s="979" t="s">
        <v>1056</v>
      </c>
      <c r="E5" s="1009">
        <v>172</v>
      </c>
      <c r="F5" s="595"/>
      <c r="G5" s="1009">
        <f t="shared" ref="G5:G36" si="0">SUMIF(_Lights_Tariff_Category,20140101&amp;$C5,_Lights_Rates)</f>
        <v>55.33</v>
      </c>
      <c r="H5" s="1012">
        <f t="shared" ref="H5:H36" si="1">E5*G5</f>
        <v>9516.76</v>
      </c>
      <c r="I5" s="1011">
        <f>H5/$L$7*$L$8</f>
        <v>3.1419225223209928E-4</v>
      </c>
      <c r="J5" s="1009">
        <f>ROUND((H5+I5)/G5,0)</f>
        <v>172</v>
      </c>
      <c r="K5" s="1009">
        <f>$L$8/G5</f>
        <v>1.2651364509734672E-3</v>
      </c>
      <c r="L5" s="1013">
        <f>'12MonResults'!$AE$25</f>
        <v>12158.2</v>
      </c>
      <c r="M5" s="1014" t="s">
        <v>1532</v>
      </c>
      <c r="N5" s="595"/>
      <c r="O5" s="595"/>
      <c r="P5" s="595"/>
      <c r="Q5" s="595"/>
      <c r="R5" s="595"/>
      <c r="S5" s="595"/>
    </row>
    <row r="6" spans="1:19">
      <c r="A6" s="1019" t="s">
        <v>1505</v>
      </c>
      <c r="B6" s="979" t="s">
        <v>420</v>
      </c>
      <c r="C6" s="979" t="s">
        <v>328</v>
      </c>
      <c r="D6" s="979" t="s">
        <v>1057</v>
      </c>
      <c r="E6" s="1009">
        <v>26</v>
      </c>
      <c r="F6" s="595"/>
      <c r="G6" s="1009">
        <f t="shared" si="0"/>
        <v>83.16</v>
      </c>
      <c r="H6" s="1012">
        <f t="shared" si="1"/>
        <v>2162.16</v>
      </c>
      <c r="I6" s="1011">
        <f t="shared" ref="I6:I69" si="2">H6/$L$7*$L$8</f>
        <v>7.1382899231057186E-5</v>
      </c>
      <c r="J6" s="1009">
        <f t="shared" ref="J6:J8" si="3">ROUND((H6+I6)/G6,0)</f>
        <v>26</v>
      </c>
      <c r="K6" s="1009">
        <f t="shared" ref="K6:K69" si="4">$L$8/G6</f>
        <v>8.417508397349921E-4</v>
      </c>
      <c r="L6" s="1011">
        <f>L3-L4-L5</f>
        <v>2120272.59</v>
      </c>
      <c r="M6" s="595" t="s">
        <v>1533</v>
      </c>
      <c r="N6" s="595"/>
      <c r="O6" s="595"/>
      <c r="P6" s="595"/>
      <c r="Q6" s="595"/>
      <c r="R6" s="595"/>
      <c r="S6" s="595"/>
    </row>
    <row r="7" spans="1:19">
      <c r="A7" s="1019" t="s">
        <v>1505</v>
      </c>
      <c r="B7" s="979" t="s">
        <v>420</v>
      </c>
      <c r="C7" s="979" t="s">
        <v>331</v>
      </c>
      <c r="D7" s="979" t="s">
        <v>1058</v>
      </c>
      <c r="E7" s="1009">
        <v>44</v>
      </c>
      <c r="F7" s="595"/>
      <c r="G7" s="1009">
        <f t="shared" si="0"/>
        <v>59.78</v>
      </c>
      <c r="H7" s="1012">
        <f t="shared" si="1"/>
        <v>2630.32</v>
      </c>
      <c r="I7" s="1011">
        <f t="shared" si="2"/>
        <v>8.6839025560288952E-5</v>
      </c>
      <c r="J7" s="1009">
        <f t="shared" si="3"/>
        <v>44</v>
      </c>
      <c r="K7" s="1009">
        <f t="shared" si="4"/>
        <v>1.1709601845493801E-3</v>
      </c>
      <c r="L7" s="1011">
        <f>$H$86</f>
        <v>2120272.52</v>
      </c>
      <c r="M7" s="595" t="s">
        <v>1534</v>
      </c>
      <c r="N7" s="595"/>
      <c r="O7" s="595"/>
      <c r="P7" s="595"/>
      <c r="Q7" s="595"/>
      <c r="R7" s="595"/>
      <c r="S7" s="595"/>
    </row>
    <row r="8" spans="1:19">
      <c r="A8" s="1019" t="s">
        <v>1505</v>
      </c>
      <c r="B8" s="979" t="s">
        <v>420</v>
      </c>
      <c r="C8" s="979" t="s">
        <v>332</v>
      </c>
      <c r="D8" s="979" t="s">
        <v>1059</v>
      </c>
      <c r="E8" s="1009">
        <v>5</v>
      </c>
      <c r="F8" s="595"/>
      <c r="G8" s="1009">
        <f t="shared" si="0"/>
        <v>61.75</v>
      </c>
      <c r="H8" s="1012">
        <f t="shared" si="1"/>
        <v>308.75</v>
      </c>
      <c r="I8" s="1011">
        <f t="shared" si="2"/>
        <v>1.0193265131900001E-5</v>
      </c>
      <c r="J8" s="1009">
        <f t="shared" si="3"/>
        <v>5</v>
      </c>
      <c r="K8" s="1009">
        <f t="shared" si="4"/>
        <v>1.1336032361516104E-3</v>
      </c>
      <c r="L8" s="1011">
        <f>L6-L7</f>
        <v>6.9999999832361937E-2</v>
      </c>
      <c r="M8" s="595"/>
      <c r="N8" s="595"/>
      <c r="O8" s="595"/>
      <c r="P8" s="595"/>
      <c r="Q8" s="595"/>
      <c r="R8" s="595"/>
      <c r="S8" s="595"/>
    </row>
    <row r="9" spans="1:19">
      <c r="A9" s="1019" t="s">
        <v>1505</v>
      </c>
      <c r="B9" s="979" t="s">
        <v>420</v>
      </c>
      <c r="C9" s="979" t="s">
        <v>333</v>
      </c>
      <c r="D9" s="979" t="s">
        <v>1060</v>
      </c>
      <c r="E9" s="1009">
        <v>1</v>
      </c>
      <c r="F9" s="595"/>
      <c r="G9" s="1009">
        <f t="shared" si="0"/>
        <v>63.11</v>
      </c>
      <c r="H9" s="1012">
        <f t="shared" si="1"/>
        <v>63.11</v>
      </c>
      <c r="I9" s="1011">
        <f t="shared" si="2"/>
        <v>2.0835529148962239E-6</v>
      </c>
      <c r="J9" s="1009">
        <f t="shared" ref="J9:J57" si="5">ROUND((H9+I9)/G9,0)</f>
        <v>1</v>
      </c>
      <c r="K9" s="1009">
        <f t="shared" si="4"/>
        <v>1.1091744546404998E-3</v>
      </c>
      <c r="L9" s="595"/>
      <c r="M9" s="595"/>
      <c r="N9" s="595"/>
      <c r="O9" s="595"/>
      <c r="P9" s="595"/>
      <c r="Q9" s="595"/>
      <c r="R9" s="595"/>
      <c r="S9" s="595"/>
    </row>
    <row r="10" spans="1:19">
      <c r="A10" s="1019" t="s">
        <v>1505</v>
      </c>
      <c r="B10" s="979" t="s">
        <v>420</v>
      </c>
      <c r="C10" s="979" t="s">
        <v>335</v>
      </c>
      <c r="D10" s="979" t="s">
        <v>1061</v>
      </c>
      <c r="E10" s="1009">
        <v>5</v>
      </c>
      <c r="F10" s="595"/>
      <c r="G10" s="1009">
        <f t="shared" si="0"/>
        <v>80.94</v>
      </c>
      <c r="H10" s="1012">
        <f t="shared" si="1"/>
        <v>404.7</v>
      </c>
      <c r="I10" s="1011">
        <f t="shared" si="2"/>
        <v>1.3361018295967385E-5</v>
      </c>
      <c r="J10" s="1009">
        <f t="shared" si="5"/>
        <v>5</v>
      </c>
      <c r="K10" s="1009">
        <f t="shared" si="4"/>
        <v>8.6483814964618156E-4</v>
      </c>
      <c r="L10" s="595"/>
      <c r="M10" s="595"/>
      <c r="N10" s="595"/>
      <c r="O10" s="595"/>
      <c r="P10" s="595"/>
      <c r="Q10" s="595"/>
      <c r="R10" s="595"/>
      <c r="S10" s="595"/>
    </row>
    <row r="11" spans="1:19">
      <c r="A11" s="1019" t="s">
        <v>1505</v>
      </c>
      <c r="B11" s="979" t="s">
        <v>420</v>
      </c>
      <c r="C11" s="979" t="s">
        <v>336</v>
      </c>
      <c r="D11" s="979" t="s">
        <v>1062</v>
      </c>
      <c r="E11" s="1009">
        <v>10</v>
      </c>
      <c r="F11" s="595"/>
      <c r="G11" s="1009">
        <f t="shared" si="0"/>
        <v>78.97</v>
      </c>
      <c r="H11" s="1012">
        <f t="shared" si="1"/>
        <v>789.7</v>
      </c>
      <c r="I11" s="1011">
        <f t="shared" si="2"/>
        <v>2.6071648500927713E-5</v>
      </c>
      <c r="J11" s="1009">
        <f t="shared" si="5"/>
        <v>10</v>
      </c>
      <c r="K11" s="1009">
        <f t="shared" si="4"/>
        <v>8.8641255960949649E-4</v>
      </c>
      <c r="L11" s="595"/>
      <c r="M11" s="595"/>
      <c r="N11" s="595"/>
      <c r="O11" s="595"/>
      <c r="P11" s="595"/>
      <c r="Q11" s="595"/>
      <c r="R11" s="595"/>
      <c r="S11" s="595"/>
    </row>
    <row r="12" spans="1:19">
      <c r="A12" s="1019" t="s">
        <v>1505</v>
      </c>
      <c r="B12" s="979" t="s">
        <v>420</v>
      </c>
      <c r="C12" s="979" t="s">
        <v>338</v>
      </c>
      <c r="D12" s="979" t="s">
        <v>1063</v>
      </c>
      <c r="E12" s="1009">
        <v>24</v>
      </c>
      <c r="F12" s="595"/>
      <c r="G12" s="1009">
        <f t="shared" si="0"/>
        <v>61.230000000000004</v>
      </c>
      <c r="H12" s="1012">
        <f t="shared" si="1"/>
        <v>1469.52</v>
      </c>
      <c r="I12" s="1011">
        <f t="shared" si="2"/>
        <v>4.8515650126735838E-5</v>
      </c>
      <c r="J12" s="1009">
        <f t="shared" si="5"/>
        <v>24</v>
      </c>
      <c r="K12" s="1009">
        <f t="shared" si="4"/>
        <v>1.1432304398556578E-3</v>
      </c>
      <c r="L12" s="595"/>
      <c r="M12" s="595"/>
      <c r="N12" s="595"/>
      <c r="O12" s="595"/>
      <c r="P12" s="595"/>
      <c r="Q12" s="595"/>
      <c r="R12" s="595"/>
      <c r="S12" s="595"/>
    </row>
    <row r="13" spans="1:19">
      <c r="A13" s="1019" t="s">
        <v>1505</v>
      </c>
      <c r="B13" s="979" t="s">
        <v>420</v>
      </c>
      <c r="C13" s="979" t="s">
        <v>339</v>
      </c>
      <c r="D13" s="979" t="s">
        <v>1064</v>
      </c>
      <c r="E13" s="1009">
        <v>1</v>
      </c>
      <c r="F13" s="595"/>
      <c r="G13" s="1009">
        <f t="shared" si="0"/>
        <v>56.69</v>
      </c>
      <c r="H13" s="1012">
        <f t="shared" si="1"/>
        <v>56.69</v>
      </c>
      <c r="I13" s="1011">
        <f t="shared" si="2"/>
        <v>1.8715990294005216E-6</v>
      </c>
      <c r="J13" s="1009">
        <f t="shared" si="5"/>
        <v>1</v>
      </c>
      <c r="K13" s="1009">
        <f t="shared" si="4"/>
        <v>1.2347856735290517E-3</v>
      </c>
      <c r="L13" s="595"/>
      <c r="M13" s="595"/>
      <c r="N13" s="595"/>
      <c r="O13" s="595"/>
      <c r="P13" s="595"/>
      <c r="Q13" s="595"/>
      <c r="R13" s="595"/>
      <c r="S13" s="595"/>
    </row>
    <row r="14" spans="1:19">
      <c r="A14" s="1019" t="s">
        <v>1505</v>
      </c>
      <c r="B14" s="979" t="s">
        <v>420</v>
      </c>
      <c r="C14" s="979" t="s">
        <v>325</v>
      </c>
      <c r="D14" s="979" t="s">
        <v>1065</v>
      </c>
      <c r="E14" s="1009">
        <v>16</v>
      </c>
      <c r="F14" s="595"/>
      <c r="G14" s="1009">
        <f t="shared" si="0"/>
        <v>74.52</v>
      </c>
      <c r="H14" s="1012">
        <f t="shared" si="1"/>
        <v>1192.32</v>
      </c>
      <c r="I14" s="1011">
        <f t="shared" si="2"/>
        <v>3.9363996379164399E-5</v>
      </c>
      <c r="J14" s="1009">
        <f t="shared" si="5"/>
        <v>16</v>
      </c>
      <c r="K14" s="1009">
        <f t="shared" si="4"/>
        <v>9.3934513999412161E-4</v>
      </c>
      <c r="L14" s="595"/>
      <c r="M14" s="595"/>
      <c r="N14" s="595"/>
      <c r="O14" s="595"/>
      <c r="P14" s="595"/>
      <c r="Q14" s="595"/>
      <c r="R14" s="595"/>
      <c r="S14" s="595"/>
    </row>
    <row r="15" spans="1:19">
      <c r="A15" s="1019" t="s">
        <v>1505</v>
      </c>
      <c r="B15" s="979" t="s">
        <v>420</v>
      </c>
      <c r="C15" s="979" t="s">
        <v>334</v>
      </c>
      <c r="D15" s="979" t="s">
        <v>1066</v>
      </c>
      <c r="E15" s="1009">
        <v>1</v>
      </c>
      <c r="F15" s="595"/>
      <c r="G15" s="1009">
        <f t="shared" si="0"/>
        <v>82.3</v>
      </c>
      <c r="H15" s="1012">
        <f t="shared" si="1"/>
        <v>82.3</v>
      </c>
      <c r="I15" s="1011">
        <f t="shared" si="2"/>
        <v>2.7171035477097006E-6</v>
      </c>
      <c r="J15" s="1009">
        <f t="shared" si="5"/>
        <v>1</v>
      </c>
      <c r="K15" s="1009">
        <f t="shared" si="4"/>
        <v>8.5054677803598957E-4</v>
      </c>
      <c r="L15" s="595"/>
      <c r="M15" s="595"/>
      <c r="N15" s="595"/>
      <c r="O15" s="595"/>
      <c r="P15" s="595"/>
      <c r="Q15" s="595"/>
      <c r="R15" s="595"/>
      <c r="S15" s="595"/>
    </row>
    <row r="16" spans="1:19">
      <c r="A16" s="1019" t="s">
        <v>1505</v>
      </c>
      <c r="B16" s="979" t="s">
        <v>420</v>
      </c>
      <c r="C16" s="979" t="s">
        <v>326</v>
      </c>
      <c r="D16" s="979" t="s">
        <v>1067</v>
      </c>
      <c r="E16" s="1009">
        <v>19</v>
      </c>
      <c r="F16" s="595"/>
      <c r="G16" s="1009">
        <f t="shared" si="0"/>
        <v>74.52</v>
      </c>
      <c r="H16" s="1012">
        <f t="shared" si="1"/>
        <v>1415.8799999999999</v>
      </c>
      <c r="I16" s="1011">
        <f t="shared" si="2"/>
        <v>4.6744745700257726E-5</v>
      </c>
      <c r="J16" s="1009">
        <f t="shared" si="5"/>
        <v>19</v>
      </c>
      <c r="K16" s="1009">
        <f t="shared" si="4"/>
        <v>9.3934513999412161E-4</v>
      </c>
      <c r="L16" s="595"/>
      <c r="M16" s="595"/>
      <c r="N16" s="595"/>
      <c r="O16" s="595"/>
      <c r="P16" s="595"/>
      <c r="Q16" s="595"/>
      <c r="R16" s="595"/>
      <c r="S16" s="595"/>
    </row>
    <row r="17" spans="1:19">
      <c r="A17" s="1019" t="s">
        <v>1505</v>
      </c>
      <c r="B17" s="979" t="s">
        <v>420</v>
      </c>
      <c r="C17" s="979" t="s">
        <v>330</v>
      </c>
      <c r="D17" s="979" t="s">
        <v>1068</v>
      </c>
      <c r="E17" s="1009">
        <v>4</v>
      </c>
      <c r="F17" s="595"/>
      <c r="G17" s="1009">
        <f t="shared" si="0"/>
        <v>75.88</v>
      </c>
      <c r="H17" s="1012">
        <f t="shared" si="1"/>
        <v>303.52</v>
      </c>
      <c r="I17" s="1011">
        <f t="shared" si="2"/>
        <v>1.0020598648855994E-5</v>
      </c>
      <c r="J17" s="1009">
        <f t="shared" si="5"/>
        <v>4</v>
      </c>
      <c r="K17" s="1009">
        <f t="shared" si="4"/>
        <v>9.2250922288299869E-4</v>
      </c>
      <c r="L17" s="595"/>
      <c r="M17" s="595"/>
      <c r="N17" s="595"/>
      <c r="O17" s="595"/>
      <c r="P17" s="595"/>
      <c r="Q17" s="595"/>
      <c r="R17" s="595"/>
      <c r="S17" s="595"/>
    </row>
    <row r="18" spans="1:19">
      <c r="A18" s="1019" t="s">
        <v>1505</v>
      </c>
      <c r="B18" s="979" t="s">
        <v>420</v>
      </c>
      <c r="C18" s="979" t="s">
        <v>337</v>
      </c>
      <c r="D18" s="979" t="s">
        <v>1069</v>
      </c>
      <c r="E18" s="1009">
        <v>3</v>
      </c>
      <c r="F18" s="595"/>
      <c r="G18" s="1009">
        <f t="shared" si="0"/>
        <v>78.97</v>
      </c>
      <c r="H18" s="1012">
        <f t="shared" si="1"/>
        <v>236.91</v>
      </c>
      <c r="I18" s="1011">
        <f t="shared" si="2"/>
        <v>7.8214945502783133E-6</v>
      </c>
      <c r="J18" s="1009">
        <f t="shared" si="5"/>
        <v>3</v>
      </c>
      <c r="K18" s="1009">
        <f t="shared" si="4"/>
        <v>8.8641255960949649E-4</v>
      </c>
      <c r="L18" s="595"/>
      <c r="M18" s="595"/>
      <c r="N18" s="595"/>
      <c r="O18" s="595"/>
      <c r="P18" s="595"/>
      <c r="Q18" s="595"/>
      <c r="R18" s="595"/>
      <c r="S18" s="595"/>
    </row>
    <row r="19" spans="1:19">
      <c r="A19" s="1019" t="s">
        <v>1505</v>
      </c>
      <c r="B19" s="979" t="s">
        <v>420</v>
      </c>
      <c r="C19" s="979" t="s">
        <v>329</v>
      </c>
      <c r="D19" s="979" t="s">
        <v>1070</v>
      </c>
      <c r="E19" s="1009">
        <v>2</v>
      </c>
      <c r="F19" s="595"/>
      <c r="G19" s="1009">
        <f t="shared" si="0"/>
        <v>77.259999999999991</v>
      </c>
      <c r="H19" s="1012">
        <f t="shared" si="1"/>
        <v>154.51999999999998</v>
      </c>
      <c r="I19" s="1011">
        <f t="shared" si="2"/>
        <v>5.1014196864168033E-6</v>
      </c>
      <c r="J19" s="1009">
        <f t="shared" si="5"/>
        <v>2</v>
      </c>
      <c r="K19" s="1009">
        <f t="shared" si="4"/>
        <v>9.0603157950248437E-4</v>
      </c>
      <c r="L19" s="595"/>
      <c r="M19" s="595"/>
      <c r="N19" s="595"/>
      <c r="O19" s="595"/>
      <c r="P19" s="595"/>
      <c r="Q19" s="595"/>
      <c r="R19" s="595"/>
      <c r="S19" s="595"/>
    </row>
    <row r="20" spans="1:19">
      <c r="A20" s="1019" t="s">
        <v>1505</v>
      </c>
      <c r="B20" s="979" t="s">
        <v>420</v>
      </c>
      <c r="C20" s="979" t="s">
        <v>327</v>
      </c>
      <c r="D20" s="979" t="s">
        <v>1071</v>
      </c>
      <c r="E20" s="1009">
        <v>49</v>
      </c>
      <c r="F20" s="595"/>
      <c r="G20" s="1009">
        <f t="shared" si="0"/>
        <v>64.19</v>
      </c>
      <c r="H20" s="1012">
        <f t="shared" si="1"/>
        <v>3145.31</v>
      </c>
      <c r="I20" s="1011">
        <f t="shared" si="2"/>
        <v>1.0384122672717859E-4</v>
      </c>
      <c r="J20" s="1009">
        <f t="shared" si="5"/>
        <v>49</v>
      </c>
      <c r="K20" s="1009">
        <f t="shared" si="4"/>
        <v>1.0905125382826288E-3</v>
      </c>
      <c r="L20" s="595"/>
      <c r="M20" s="595"/>
      <c r="N20" s="595"/>
      <c r="O20" s="595"/>
      <c r="P20" s="595"/>
      <c r="Q20" s="595"/>
      <c r="R20" s="595"/>
      <c r="S20" s="595"/>
    </row>
    <row r="21" spans="1:19">
      <c r="A21" s="1019" t="s">
        <v>1505</v>
      </c>
      <c r="B21" s="979" t="s">
        <v>420</v>
      </c>
      <c r="C21" s="979" t="s">
        <v>453</v>
      </c>
      <c r="D21" s="979" t="s">
        <v>1072</v>
      </c>
      <c r="E21" s="1009">
        <v>2</v>
      </c>
      <c r="F21" s="595"/>
      <c r="G21" s="1009">
        <f t="shared" si="0"/>
        <v>75.899999999999991</v>
      </c>
      <c r="H21" s="1012">
        <f t="shared" si="1"/>
        <v>151.79999999999998</v>
      </c>
      <c r="I21" s="1011">
        <f t="shared" si="2"/>
        <v>5.0116199093843561E-6</v>
      </c>
      <c r="J21" s="1009">
        <f t="shared" si="5"/>
        <v>2</v>
      </c>
      <c r="K21" s="1009">
        <f t="shared" si="4"/>
        <v>9.2226613744877397E-4</v>
      </c>
      <c r="L21" s="595"/>
      <c r="M21" s="595"/>
      <c r="N21" s="595"/>
      <c r="O21" s="595"/>
      <c r="P21" s="595"/>
      <c r="Q21" s="595"/>
      <c r="R21" s="595"/>
      <c r="S21" s="595"/>
    </row>
    <row r="22" spans="1:19">
      <c r="A22" s="1019" t="s">
        <v>1505</v>
      </c>
      <c r="B22" s="979" t="s">
        <v>420</v>
      </c>
      <c r="C22" s="979" t="s">
        <v>366</v>
      </c>
      <c r="D22" s="979" t="s">
        <v>1073</v>
      </c>
      <c r="E22" s="1009">
        <v>52</v>
      </c>
      <c r="F22" s="595"/>
      <c r="G22" s="1009">
        <f t="shared" si="0"/>
        <v>14.860000000000001</v>
      </c>
      <c r="H22" s="1012">
        <f t="shared" si="1"/>
        <v>772.72</v>
      </c>
      <c r="I22" s="1011">
        <f t="shared" si="2"/>
        <v>2.5511060186953098E-5</v>
      </c>
      <c r="J22" s="1009">
        <f t="shared" si="5"/>
        <v>52</v>
      </c>
      <c r="K22" s="1009">
        <f t="shared" si="4"/>
        <v>4.7106325593783268E-3</v>
      </c>
      <c r="L22" s="595"/>
      <c r="M22" s="595"/>
      <c r="N22" s="595"/>
      <c r="O22" s="595"/>
      <c r="P22" s="595"/>
      <c r="Q22" s="595"/>
      <c r="R22" s="595"/>
      <c r="S22" s="595"/>
    </row>
    <row r="23" spans="1:19">
      <c r="A23" s="1019" t="s">
        <v>1505</v>
      </c>
      <c r="B23" s="979" t="s">
        <v>420</v>
      </c>
      <c r="C23" s="979" t="s">
        <v>386</v>
      </c>
      <c r="D23" s="979" t="s">
        <v>1074</v>
      </c>
      <c r="E23" s="1009">
        <v>7293</v>
      </c>
      <c r="F23" s="595"/>
      <c r="G23" s="1009">
        <f t="shared" si="0"/>
        <v>10.570000000000002</v>
      </c>
      <c r="H23" s="1012">
        <f t="shared" si="1"/>
        <v>77087.010000000009</v>
      </c>
      <c r="I23" s="1011">
        <f t="shared" si="2"/>
        <v>2.5449986434183864E-3</v>
      </c>
      <c r="J23" s="1009">
        <f t="shared" si="5"/>
        <v>7293</v>
      </c>
      <c r="K23" s="1009">
        <f t="shared" si="4"/>
        <v>6.622516540431592E-3</v>
      </c>
      <c r="L23" s="595"/>
      <c r="M23" s="595"/>
      <c r="N23" s="595"/>
      <c r="O23" s="595"/>
      <c r="P23" s="595"/>
      <c r="Q23" s="595"/>
      <c r="R23" s="595"/>
      <c r="S23" s="595"/>
    </row>
    <row r="24" spans="1:19">
      <c r="A24" s="1019" t="s">
        <v>1505</v>
      </c>
      <c r="B24" s="979" t="s">
        <v>420</v>
      </c>
      <c r="C24" s="979" t="s">
        <v>382</v>
      </c>
      <c r="D24" s="979" t="s">
        <v>1075</v>
      </c>
      <c r="E24" s="1009">
        <v>147</v>
      </c>
      <c r="F24" s="595"/>
      <c r="G24" s="1009">
        <f t="shared" si="0"/>
        <v>11.71</v>
      </c>
      <c r="H24" s="1012">
        <f t="shared" si="1"/>
        <v>1721.3700000000001</v>
      </c>
      <c r="I24" s="1011">
        <f t="shared" si="2"/>
        <v>5.6830383158214429E-5</v>
      </c>
      <c r="J24" s="1009">
        <f t="shared" si="5"/>
        <v>147</v>
      </c>
      <c r="K24" s="1009">
        <f t="shared" si="4"/>
        <v>5.9777967405945289E-3</v>
      </c>
      <c r="L24" s="595"/>
      <c r="M24" s="595"/>
      <c r="N24" s="595"/>
      <c r="O24" s="595"/>
      <c r="P24" s="595"/>
      <c r="Q24" s="595"/>
      <c r="R24" s="595"/>
      <c r="S24" s="595"/>
    </row>
    <row r="25" spans="1:19">
      <c r="A25" s="1019" t="s">
        <v>1505</v>
      </c>
      <c r="B25" s="979" t="s">
        <v>420</v>
      </c>
      <c r="C25" s="979" t="s">
        <v>360</v>
      </c>
      <c r="D25" s="979" t="s">
        <v>1076</v>
      </c>
      <c r="E25" s="1009">
        <v>240</v>
      </c>
      <c r="F25" s="595"/>
      <c r="G25" s="1009">
        <f t="shared" si="0"/>
        <v>20.259999999999998</v>
      </c>
      <c r="H25" s="1012">
        <f t="shared" si="1"/>
        <v>4862.3999999999996</v>
      </c>
      <c r="I25" s="1011">
        <f t="shared" si="2"/>
        <v>1.6053030729506256E-4</v>
      </c>
      <c r="J25" s="1009">
        <f t="shared" si="5"/>
        <v>240</v>
      </c>
      <c r="K25" s="1009">
        <f t="shared" si="4"/>
        <v>3.4550839009063151E-3</v>
      </c>
      <c r="L25" s="595"/>
      <c r="M25" s="595"/>
      <c r="N25" s="595"/>
      <c r="O25" s="595"/>
      <c r="P25" s="595"/>
      <c r="Q25" s="595"/>
      <c r="R25" s="595"/>
      <c r="S25" s="595"/>
    </row>
    <row r="26" spans="1:19">
      <c r="A26" s="1019" t="s">
        <v>1505</v>
      </c>
      <c r="B26" s="979" t="s">
        <v>420</v>
      </c>
      <c r="C26" s="979" t="s">
        <v>368</v>
      </c>
      <c r="D26" s="979" t="s">
        <v>1077</v>
      </c>
      <c r="E26" s="1009">
        <v>145</v>
      </c>
      <c r="F26" s="595"/>
      <c r="G26" s="1009">
        <f t="shared" si="0"/>
        <v>21.38</v>
      </c>
      <c r="H26" s="1012">
        <f t="shared" si="1"/>
        <v>3100.1</v>
      </c>
      <c r="I26" s="1011">
        <f t="shared" si="2"/>
        <v>1.0234863558025325E-4</v>
      </c>
      <c r="J26" s="1009">
        <f t="shared" si="5"/>
        <v>145</v>
      </c>
      <c r="K26" s="1009">
        <f t="shared" si="4"/>
        <v>3.2740879248064516E-3</v>
      </c>
      <c r="L26" s="595"/>
      <c r="M26" s="595"/>
      <c r="N26" s="595"/>
      <c r="O26" s="595"/>
      <c r="P26" s="595"/>
      <c r="Q26" s="595"/>
      <c r="R26" s="595"/>
      <c r="S26" s="595"/>
    </row>
    <row r="27" spans="1:19">
      <c r="A27" s="1019" t="s">
        <v>1505</v>
      </c>
      <c r="B27" s="979" t="s">
        <v>420</v>
      </c>
      <c r="C27" s="979" t="s">
        <v>370</v>
      </c>
      <c r="D27" s="979" t="s">
        <v>1078</v>
      </c>
      <c r="E27" s="1009">
        <v>28</v>
      </c>
      <c r="F27" s="595"/>
      <c r="G27" s="1009">
        <f t="shared" si="0"/>
        <v>30.84</v>
      </c>
      <c r="H27" s="1012">
        <f t="shared" si="1"/>
        <v>863.52</v>
      </c>
      <c r="I27" s="1011">
        <f t="shared" si="2"/>
        <v>2.8508788037889194E-5</v>
      </c>
      <c r="J27" s="1009">
        <f t="shared" si="5"/>
        <v>28</v>
      </c>
      <c r="K27" s="1009">
        <f t="shared" si="4"/>
        <v>2.2697795016978577E-3</v>
      </c>
      <c r="L27" s="595"/>
      <c r="M27" s="595"/>
      <c r="N27" s="595"/>
      <c r="O27" s="595"/>
      <c r="P27" s="595"/>
      <c r="Q27" s="595"/>
      <c r="R27" s="595"/>
      <c r="S27" s="595"/>
    </row>
    <row r="28" spans="1:19">
      <c r="A28" s="1019" t="s">
        <v>1505</v>
      </c>
      <c r="B28" s="979" t="s">
        <v>420</v>
      </c>
      <c r="C28" s="979" t="s">
        <v>393</v>
      </c>
      <c r="D28" s="979" t="s">
        <v>1079</v>
      </c>
      <c r="E28" s="1009">
        <v>96</v>
      </c>
      <c r="F28" s="595"/>
      <c r="G28" s="1009">
        <f t="shared" si="0"/>
        <v>31.22</v>
      </c>
      <c r="H28" s="1012">
        <f t="shared" si="1"/>
        <v>2997.12</v>
      </c>
      <c r="I28" s="1011">
        <f t="shared" si="2"/>
        <v>9.8948789610105696E-5</v>
      </c>
      <c r="J28" s="1009">
        <f t="shared" si="5"/>
        <v>96</v>
      </c>
      <c r="K28" s="1009">
        <f t="shared" si="4"/>
        <v>2.2421524609981401E-3</v>
      </c>
      <c r="L28" s="595"/>
      <c r="M28" s="595"/>
      <c r="N28" s="595"/>
      <c r="O28" s="595"/>
      <c r="P28" s="595"/>
      <c r="Q28" s="595"/>
      <c r="R28" s="595"/>
      <c r="S28" s="595"/>
    </row>
    <row r="29" spans="1:19">
      <c r="A29" s="1019" t="s">
        <v>1505</v>
      </c>
      <c r="B29" s="979" t="s">
        <v>420</v>
      </c>
      <c r="C29" s="979" t="s">
        <v>371</v>
      </c>
      <c r="D29" s="979" t="s">
        <v>1080</v>
      </c>
      <c r="E29" s="1009">
        <v>21</v>
      </c>
      <c r="F29" s="595"/>
      <c r="G29" s="1009">
        <f t="shared" si="0"/>
        <v>30.84</v>
      </c>
      <c r="H29" s="1012">
        <f t="shared" si="1"/>
        <v>647.64</v>
      </c>
      <c r="I29" s="1011">
        <f t="shared" si="2"/>
        <v>2.1381591028416896E-5</v>
      </c>
      <c r="J29" s="1009">
        <f t="shared" si="5"/>
        <v>21</v>
      </c>
      <c r="K29" s="1009">
        <f t="shared" si="4"/>
        <v>2.2697795016978577E-3</v>
      </c>
      <c r="L29" s="595"/>
      <c r="M29" s="595"/>
      <c r="N29" s="595"/>
      <c r="O29" s="595"/>
      <c r="P29" s="595"/>
      <c r="Q29" s="595"/>
      <c r="R29" s="595"/>
      <c r="S29" s="595"/>
    </row>
    <row r="30" spans="1:19">
      <c r="A30" s="1019" t="s">
        <v>1505</v>
      </c>
      <c r="B30" s="979" t="s">
        <v>420</v>
      </c>
      <c r="C30" s="979" t="s">
        <v>394</v>
      </c>
      <c r="D30" s="979" t="s">
        <v>1081</v>
      </c>
      <c r="E30" s="1009">
        <v>10</v>
      </c>
      <c r="F30" s="595"/>
      <c r="G30" s="1009">
        <f t="shared" si="0"/>
        <v>31.22</v>
      </c>
      <c r="H30" s="1012">
        <f t="shared" si="1"/>
        <v>312.2</v>
      </c>
      <c r="I30" s="1011">
        <f t="shared" si="2"/>
        <v>1.0307165584386007E-5</v>
      </c>
      <c r="J30" s="1009">
        <f t="shared" si="5"/>
        <v>10</v>
      </c>
      <c r="K30" s="1009">
        <f t="shared" si="4"/>
        <v>2.2421524609981401E-3</v>
      </c>
      <c r="L30" s="595"/>
      <c r="M30" s="595"/>
      <c r="N30" s="595"/>
      <c r="O30" s="595"/>
      <c r="P30" s="595"/>
      <c r="Q30" s="595"/>
      <c r="R30" s="595"/>
      <c r="S30" s="595"/>
    </row>
    <row r="31" spans="1:19">
      <c r="A31" s="1019" t="s">
        <v>1505</v>
      </c>
      <c r="B31" s="979" t="s">
        <v>420</v>
      </c>
      <c r="C31" s="979" t="s">
        <v>389</v>
      </c>
      <c r="D31" s="979" t="s">
        <v>1082</v>
      </c>
      <c r="E31" s="1009">
        <v>454</v>
      </c>
      <c r="F31" s="595"/>
      <c r="G31" s="1009">
        <f t="shared" si="0"/>
        <v>15.360000000000001</v>
      </c>
      <c r="H31" s="1012">
        <f t="shared" si="1"/>
        <v>6973.4400000000005</v>
      </c>
      <c r="I31" s="1011">
        <f t="shared" si="2"/>
        <v>2.3022549895189228E-4</v>
      </c>
      <c r="J31" s="1009">
        <f t="shared" si="5"/>
        <v>454</v>
      </c>
      <c r="K31" s="1009">
        <f t="shared" si="4"/>
        <v>4.5572916557527297E-3</v>
      </c>
      <c r="L31" s="595"/>
      <c r="M31" s="595"/>
      <c r="N31" s="595"/>
      <c r="O31" s="595"/>
      <c r="P31" s="595"/>
      <c r="Q31" s="595"/>
      <c r="R31" s="595"/>
      <c r="S31" s="595"/>
    </row>
    <row r="32" spans="1:19">
      <c r="A32" s="1019" t="s">
        <v>1505</v>
      </c>
      <c r="B32" s="979" t="s">
        <v>420</v>
      </c>
      <c r="C32" s="979" t="s">
        <v>310</v>
      </c>
      <c r="D32" s="979" t="s">
        <v>1083</v>
      </c>
      <c r="E32" s="1009">
        <v>5</v>
      </c>
      <c r="F32" s="595"/>
      <c r="G32" s="1009">
        <f t="shared" si="0"/>
        <v>3.39</v>
      </c>
      <c r="H32" s="1012">
        <f t="shared" si="1"/>
        <v>16.95</v>
      </c>
      <c r="I32" s="1011">
        <f t="shared" si="2"/>
        <v>5.595978752573441E-7</v>
      </c>
      <c r="J32" s="1009">
        <f t="shared" si="5"/>
        <v>5</v>
      </c>
      <c r="K32" s="1009">
        <f t="shared" si="4"/>
        <v>2.0648967502171663E-2</v>
      </c>
      <c r="L32" s="595"/>
      <c r="M32" s="595"/>
      <c r="N32" s="595"/>
      <c r="O32" s="595"/>
      <c r="P32" s="595"/>
      <c r="Q32" s="595"/>
      <c r="R32" s="595"/>
      <c r="S32" s="595"/>
    </row>
    <row r="33" spans="1:19">
      <c r="A33" s="1019" t="s">
        <v>1505</v>
      </c>
      <c r="B33" s="979" t="s">
        <v>420</v>
      </c>
      <c r="C33" s="979" t="s">
        <v>340</v>
      </c>
      <c r="D33" s="979" t="s">
        <v>1084</v>
      </c>
      <c r="E33" s="1009">
        <v>684</v>
      </c>
      <c r="F33" s="595"/>
      <c r="G33" s="1009">
        <f t="shared" si="0"/>
        <v>4.5400000000000009</v>
      </c>
      <c r="H33" s="1012">
        <f t="shared" si="1"/>
        <v>3105.3600000000006</v>
      </c>
      <c r="I33" s="1011">
        <f t="shared" si="2"/>
        <v>1.0252229250201456E-4</v>
      </c>
      <c r="J33" s="1009">
        <f t="shared" si="5"/>
        <v>684</v>
      </c>
      <c r="K33" s="1009">
        <f t="shared" si="4"/>
        <v>1.5418502165718485E-2</v>
      </c>
      <c r="L33" s="595"/>
      <c r="M33" s="595"/>
      <c r="N33" s="595"/>
      <c r="O33" s="595"/>
      <c r="P33" s="595"/>
      <c r="Q33" s="595"/>
      <c r="R33" s="595"/>
      <c r="S33" s="595"/>
    </row>
    <row r="34" spans="1:19">
      <c r="A34" s="1019" t="s">
        <v>1505</v>
      </c>
      <c r="B34" s="979" t="s">
        <v>420</v>
      </c>
      <c r="C34" s="979" t="s">
        <v>358</v>
      </c>
      <c r="D34" s="979" t="s">
        <v>1085</v>
      </c>
      <c r="E34" s="1009">
        <v>92</v>
      </c>
      <c r="F34" s="595"/>
      <c r="G34" s="1009">
        <f t="shared" si="0"/>
        <v>6.78</v>
      </c>
      <c r="H34" s="1012">
        <f t="shared" si="1"/>
        <v>623.76</v>
      </c>
      <c r="I34" s="1011">
        <f t="shared" si="2"/>
        <v>2.0593201809470269E-5</v>
      </c>
      <c r="J34" s="1009">
        <f t="shared" si="5"/>
        <v>92</v>
      </c>
      <c r="K34" s="1009">
        <f t="shared" si="4"/>
        <v>1.0324483751085831E-2</v>
      </c>
      <c r="L34" s="595"/>
      <c r="M34" s="595"/>
      <c r="N34" s="595"/>
      <c r="O34" s="595"/>
      <c r="P34" s="595"/>
      <c r="Q34" s="595"/>
      <c r="R34" s="595"/>
      <c r="S34" s="595"/>
    </row>
    <row r="35" spans="1:19">
      <c r="A35" s="1019" t="s">
        <v>1505</v>
      </c>
      <c r="B35" s="979" t="s">
        <v>420</v>
      </c>
      <c r="C35" s="979" t="s">
        <v>383</v>
      </c>
      <c r="D35" s="979" t="s">
        <v>1086</v>
      </c>
      <c r="E35" s="1009">
        <v>2</v>
      </c>
      <c r="F35" s="595"/>
      <c r="G35" s="1009">
        <f t="shared" si="0"/>
        <v>9.06</v>
      </c>
      <c r="H35" s="1012">
        <f t="shared" si="1"/>
        <v>18.12</v>
      </c>
      <c r="I35" s="1011">
        <f t="shared" si="2"/>
        <v>5.9822498523085994E-7</v>
      </c>
      <c r="J35" s="1009">
        <f t="shared" si="5"/>
        <v>2</v>
      </c>
      <c r="K35" s="1009">
        <f t="shared" si="4"/>
        <v>7.7262692971701913E-3</v>
      </c>
      <c r="L35" s="595"/>
      <c r="M35" s="595"/>
      <c r="N35" s="595"/>
      <c r="O35" s="595"/>
      <c r="P35" s="595"/>
      <c r="Q35" s="595"/>
      <c r="R35" s="595"/>
      <c r="S35" s="595"/>
    </row>
    <row r="36" spans="1:19">
      <c r="A36" s="1019" t="s">
        <v>1505</v>
      </c>
      <c r="B36" s="979" t="s">
        <v>420</v>
      </c>
      <c r="C36" s="979" t="s">
        <v>375</v>
      </c>
      <c r="D36" s="979" t="s">
        <v>1087</v>
      </c>
      <c r="E36" s="1009">
        <v>171</v>
      </c>
      <c r="F36" s="595"/>
      <c r="G36" s="1009">
        <f t="shared" si="0"/>
        <v>7.4399999999999995</v>
      </c>
      <c r="H36" s="1012">
        <f t="shared" si="1"/>
        <v>1272.24</v>
      </c>
      <c r="I36" s="1011">
        <f t="shared" si="2"/>
        <v>4.200252512197071E-5</v>
      </c>
      <c r="J36" s="1009">
        <f t="shared" si="5"/>
        <v>171</v>
      </c>
      <c r="K36" s="1009">
        <f t="shared" si="4"/>
        <v>9.4086021280056376E-3</v>
      </c>
      <c r="L36" s="595"/>
      <c r="M36" s="595"/>
      <c r="N36" s="595"/>
      <c r="O36" s="595"/>
      <c r="P36" s="595"/>
      <c r="Q36" s="595"/>
      <c r="R36" s="595"/>
      <c r="S36" s="595"/>
    </row>
    <row r="37" spans="1:19">
      <c r="A37" s="1019" t="s">
        <v>1505</v>
      </c>
      <c r="B37" s="979" t="s">
        <v>420</v>
      </c>
      <c r="C37" s="979" t="s">
        <v>400</v>
      </c>
      <c r="D37" s="979" t="s">
        <v>1088</v>
      </c>
      <c r="E37" s="1009">
        <f>36283-3</f>
        <v>36280</v>
      </c>
      <c r="F37" s="595"/>
      <c r="G37" s="1009">
        <f t="shared" ref="G37:G68" si="6">SUMIF(_Lights_Tariff_Category,20140101&amp;$C37,_Lights_Rates)</f>
        <v>7.84</v>
      </c>
      <c r="H37" s="1012">
        <f t="shared" ref="H37:H68" si="7">E37*G37</f>
        <v>284435.20000000001</v>
      </c>
      <c r="I37" s="1011">
        <f t="shared" si="2"/>
        <v>9.3905211544777437E-3</v>
      </c>
      <c r="J37" s="1009">
        <f t="shared" si="5"/>
        <v>36280</v>
      </c>
      <c r="K37" s="1009">
        <f t="shared" si="4"/>
        <v>8.9285714071890235E-3</v>
      </c>
      <c r="L37" s="595"/>
      <c r="M37" s="595"/>
      <c r="N37" s="595"/>
      <c r="O37" s="595"/>
      <c r="P37" s="595"/>
      <c r="Q37" s="595"/>
      <c r="R37" s="595"/>
      <c r="S37" s="595"/>
    </row>
    <row r="38" spans="1:19">
      <c r="A38" s="1019" t="s">
        <v>1505</v>
      </c>
      <c r="B38" s="979" t="s">
        <v>420</v>
      </c>
      <c r="C38" s="979" t="s">
        <v>391</v>
      </c>
      <c r="D38" s="979" t="s">
        <v>1089</v>
      </c>
      <c r="E38" s="1009">
        <v>1166</v>
      </c>
      <c r="F38" s="595"/>
      <c r="G38" s="1009">
        <f t="shared" si="6"/>
        <v>22</v>
      </c>
      <c r="H38" s="1012">
        <f t="shared" si="7"/>
        <v>25652</v>
      </c>
      <c r="I38" s="1011">
        <f t="shared" si="2"/>
        <v>8.4689113251335652E-4</v>
      </c>
      <c r="J38" s="1009">
        <f t="shared" si="5"/>
        <v>1166</v>
      </c>
      <c r="K38" s="1009">
        <f t="shared" si="4"/>
        <v>3.1818181741982698E-3</v>
      </c>
      <c r="L38" s="595"/>
      <c r="M38" s="595"/>
      <c r="N38" s="595"/>
      <c r="O38" s="595"/>
      <c r="P38" s="595"/>
      <c r="Q38" s="595"/>
      <c r="R38" s="595"/>
      <c r="S38" s="595"/>
    </row>
    <row r="39" spans="1:19">
      <c r="A39" s="1019" t="s">
        <v>1505</v>
      </c>
      <c r="B39" s="979" t="s">
        <v>420</v>
      </c>
      <c r="C39" s="979" t="s">
        <v>357</v>
      </c>
      <c r="D39" s="979" t="s">
        <v>1090</v>
      </c>
      <c r="E39" s="1009">
        <v>6</v>
      </c>
      <c r="F39" s="595"/>
      <c r="G39" s="1009">
        <f t="shared" si="6"/>
        <v>7.74</v>
      </c>
      <c r="H39" s="1012">
        <f t="shared" si="7"/>
        <v>46.44</v>
      </c>
      <c r="I39" s="1011">
        <f t="shared" si="2"/>
        <v>1.533199134333396E-6</v>
      </c>
      <c r="J39" s="1009">
        <f t="shared" si="5"/>
        <v>6</v>
      </c>
      <c r="K39" s="1009">
        <f t="shared" si="4"/>
        <v>9.0439276269201462E-3</v>
      </c>
      <c r="L39" s="595"/>
      <c r="M39" s="595"/>
      <c r="N39" s="595"/>
      <c r="O39" s="595"/>
      <c r="P39" s="595"/>
      <c r="Q39" s="595"/>
      <c r="R39" s="595"/>
      <c r="S39" s="595"/>
    </row>
    <row r="40" spans="1:19">
      <c r="A40" s="1019" t="s">
        <v>1505</v>
      </c>
      <c r="B40" s="979" t="s">
        <v>420</v>
      </c>
      <c r="C40" s="979" t="s">
        <v>359</v>
      </c>
      <c r="D40" s="979" t="s">
        <v>1091</v>
      </c>
      <c r="E40" s="1009">
        <v>2</v>
      </c>
      <c r="F40" s="595"/>
      <c r="G40" s="1009">
        <f t="shared" si="6"/>
        <v>13.610000000000001</v>
      </c>
      <c r="H40" s="1012">
        <f t="shared" si="7"/>
        <v>27.220000000000002</v>
      </c>
      <c r="I40" s="1011">
        <f t="shared" si="2"/>
        <v>8.9865806280264947E-7</v>
      </c>
      <c r="J40" s="1009">
        <f t="shared" si="5"/>
        <v>2</v>
      </c>
      <c r="K40" s="1009">
        <f t="shared" si="4"/>
        <v>5.1432769898869897E-3</v>
      </c>
      <c r="L40" s="595"/>
      <c r="M40" s="595"/>
      <c r="N40" s="595"/>
      <c r="O40" s="595"/>
      <c r="P40" s="595"/>
      <c r="Q40" s="595"/>
      <c r="R40" s="595"/>
      <c r="S40" s="595"/>
    </row>
    <row r="41" spans="1:19">
      <c r="A41" s="1019" t="s">
        <v>1505</v>
      </c>
      <c r="B41" s="979" t="s">
        <v>420</v>
      </c>
      <c r="C41" s="979" t="s">
        <v>385</v>
      </c>
      <c r="D41" s="979" t="s">
        <v>1092</v>
      </c>
      <c r="E41" s="1009">
        <v>1080</v>
      </c>
      <c r="F41" s="595"/>
      <c r="G41" s="1009">
        <f t="shared" si="6"/>
        <v>9.5600000000000023</v>
      </c>
      <c r="H41" s="1012">
        <f t="shared" si="7"/>
        <v>10324.800000000003</v>
      </c>
      <c r="I41" s="1011">
        <f t="shared" si="2"/>
        <v>3.4086938893551795E-4</v>
      </c>
      <c r="J41" s="1009">
        <f t="shared" si="5"/>
        <v>1080</v>
      </c>
      <c r="K41" s="1009">
        <f t="shared" si="4"/>
        <v>7.3221757146822095E-3</v>
      </c>
      <c r="L41" s="595"/>
      <c r="M41" s="595"/>
      <c r="N41" s="595"/>
      <c r="O41" s="595"/>
      <c r="P41" s="595"/>
      <c r="Q41" s="595"/>
      <c r="R41" s="595"/>
      <c r="S41" s="595"/>
    </row>
    <row r="42" spans="1:19">
      <c r="A42" s="1019" t="s">
        <v>1505</v>
      </c>
      <c r="B42" s="979" t="s">
        <v>420</v>
      </c>
      <c r="C42" s="979" t="s">
        <v>312</v>
      </c>
      <c r="D42" s="979" t="s">
        <v>1093</v>
      </c>
      <c r="E42" s="1009">
        <v>728</v>
      </c>
      <c r="F42" s="595"/>
      <c r="G42" s="1009">
        <f t="shared" si="6"/>
        <v>11.32</v>
      </c>
      <c r="H42" s="1012">
        <f t="shared" si="7"/>
        <v>8240.9600000000009</v>
      </c>
      <c r="I42" s="1011">
        <f t="shared" si="2"/>
        <v>2.7207219504901258E-4</v>
      </c>
      <c r="J42" s="1009">
        <f t="shared" si="5"/>
        <v>728</v>
      </c>
      <c r="K42" s="1009">
        <f t="shared" si="4"/>
        <v>6.183745568229853E-3</v>
      </c>
      <c r="L42" s="595"/>
      <c r="M42" s="595"/>
      <c r="N42" s="595"/>
      <c r="O42" s="595"/>
      <c r="P42" s="595"/>
      <c r="Q42" s="595"/>
      <c r="R42" s="595"/>
      <c r="S42" s="595"/>
    </row>
    <row r="43" spans="1:19">
      <c r="A43" s="1019" t="s">
        <v>1505</v>
      </c>
      <c r="B43" s="979" t="s">
        <v>420</v>
      </c>
      <c r="C43" s="979" t="s">
        <v>421</v>
      </c>
      <c r="D43" s="979" t="s">
        <v>1094</v>
      </c>
      <c r="E43" s="1009">
        <v>1476</v>
      </c>
      <c r="F43" s="595"/>
      <c r="G43" s="1009">
        <f t="shared" si="6"/>
        <v>12.809999999999999</v>
      </c>
      <c r="H43" s="1012">
        <f t="shared" si="7"/>
        <v>18907.559999999998</v>
      </c>
      <c r="I43" s="1011">
        <f t="shared" si="2"/>
        <v>6.2422598243662246E-4</v>
      </c>
      <c r="J43" s="1009">
        <f t="shared" si="5"/>
        <v>1476</v>
      </c>
      <c r="K43" s="1009">
        <f t="shared" si="4"/>
        <v>5.464480861230441E-3</v>
      </c>
      <c r="L43" s="595"/>
      <c r="M43" s="595"/>
      <c r="N43" s="595"/>
      <c r="O43" s="595"/>
      <c r="P43" s="595"/>
      <c r="Q43" s="595"/>
      <c r="R43" s="595"/>
      <c r="S43" s="595"/>
    </row>
    <row r="44" spans="1:19">
      <c r="A44" s="1019" t="s">
        <v>1505</v>
      </c>
      <c r="B44" s="979" t="s">
        <v>420</v>
      </c>
      <c r="C44" s="979" t="s">
        <v>322</v>
      </c>
      <c r="D44" s="979" t="s">
        <v>1095</v>
      </c>
      <c r="E44" s="1009">
        <v>646</v>
      </c>
      <c r="F44" s="595"/>
      <c r="G44" s="1009">
        <f t="shared" si="6"/>
        <v>14.25</v>
      </c>
      <c r="H44" s="1012">
        <f t="shared" si="7"/>
        <v>9205.5</v>
      </c>
      <c r="I44" s="1011">
        <f t="shared" si="2"/>
        <v>3.0391612039418767E-4</v>
      </c>
      <c r="J44" s="1009">
        <f t="shared" si="5"/>
        <v>646</v>
      </c>
      <c r="K44" s="1009">
        <f t="shared" si="4"/>
        <v>4.9122806899903112E-3</v>
      </c>
      <c r="L44" s="595"/>
      <c r="M44" s="595"/>
      <c r="N44" s="595"/>
      <c r="O44" s="595"/>
      <c r="P44" s="595"/>
      <c r="Q44" s="595"/>
      <c r="R44" s="595"/>
      <c r="S44" s="595"/>
    </row>
    <row r="45" spans="1:19">
      <c r="A45" s="1019" t="s">
        <v>1505</v>
      </c>
      <c r="B45" s="979" t="s">
        <v>420</v>
      </c>
      <c r="C45" s="979" t="s">
        <v>354</v>
      </c>
      <c r="D45" s="979" t="s">
        <v>1096</v>
      </c>
      <c r="E45" s="1009">
        <v>5134</v>
      </c>
      <c r="F45" s="595"/>
      <c r="G45" s="1009">
        <f t="shared" si="6"/>
        <v>20.200000000000003</v>
      </c>
      <c r="H45" s="1012">
        <f t="shared" si="7"/>
        <v>103706.80000000002</v>
      </c>
      <c r="I45" s="1011">
        <f t="shared" si="2"/>
        <v>3.4238409988046224E-3</v>
      </c>
      <c r="J45" s="1009">
        <f t="shared" si="5"/>
        <v>5134</v>
      </c>
      <c r="K45" s="1009">
        <f t="shared" si="4"/>
        <v>3.4653465263545509E-3</v>
      </c>
      <c r="L45" s="595"/>
      <c r="M45" s="595"/>
      <c r="N45" s="595"/>
      <c r="O45" s="595"/>
      <c r="P45" s="595"/>
      <c r="Q45" s="595"/>
      <c r="R45" s="595"/>
      <c r="S45" s="595"/>
    </row>
    <row r="46" spans="1:19">
      <c r="A46" s="1019" t="s">
        <v>1505</v>
      </c>
      <c r="B46" s="979" t="s">
        <v>420</v>
      </c>
      <c r="C46" s="979" t="s">
        <v>317</v>
      </c>
      <c r="D46" s="979" t="s">
        <v>1097</v>
      </c>
      <c r="E46" s="1009">
        <v>1057</v>
      </c>
      <c r="F46" s="595"/>
      <c r="G46" s="1009">
        <f t="shared" si="6"/>
        <v>42.350000000000009</v>
      </c>
      <c r="H46" s="1012">
        <f t="shared" si="7"/>
        <v>44763.950000000012</v>
      </c>
      <c r="I46" s="1011">
        <f t="shared" si="2"/>
        <v>1.4778649739307374E-3</v>
      </c>
      <c r="J46" s="1009">
        <f t="shared" si="5"/>
        <v>1057</v>
      </c>
      <c r="K46" s="1009">
        <f t="shared" si="4"/>
        <v>1.6528925580250749E-3</v>
      </c>
      <c r="L46" s="595"/>
      <c r="M46" s="595"/>
      <c r="N46" s="595"/>
      <c r="O46" s="595"/>
      <c r="P46" s="595"/>
      <c r="Q46" s="595"/>
      <c r="R46" s="595"/>
      <c r="S46" s="595"/>
    </row>
    <row r="47" spans="1:19">
      <c r="A47" s="1019" t="s">
        <v>1505</v>
      </c>
      <c r="B47" s="979" t="s">
        <v>420</v>
      </c>
      <c r="C47" s="979" t="s">
        <v>320</v>
      </c>
      <c r="D47" s="979" t="s">
        <v>1098</v>
      </c>
      <c r="E47" s="1009">
        <v>150</v>
      </c>
      <c r="F47" s="595"/>
      <c r="G47" s="1009">
        <f t="shared" si="6"/>
        <v>18.649999999999999</v>
      </c>
      <c r="H47" s="1012">
        <f t="shared" si="7"/>
        <v>2797.5</v>
      </c>
      <c r="I47" s="1011">
        <f t="shared" si="2"/>
        <v>9.2358410385393541E-5</v>
      </c>
      <c r="J47" s="1009">
        <f t="shared" si="5"/>
        <v>150</v>
      </c>
      <c r="K47" s="1009">
        <f t="shared" si="4"/>
        <v>3.7533511974456807E-3</v>
      </c>
      <c r="L47" s="595"/>
      <c r="M47" s="595"/>
      <c r="N47" s="595"/>
      <c r="O47" s="595"/>
      <c r="P47" s="595"/>
      <c r="Q47" s="595"/>
      <c r="R47" s="595"/>
      <c r="S47" s="595"/>
    </row>
    <row r="48" spans="1:19">
      <c r="A48" s="1019" t="s">
        <v>1505</v>
      </c>
      <c r="B48" s="979" t="s">
        <v>420</v>
      </c>
      <c r="C48" s="979" t="s">
        <v>352</v>
      </c>
      <c r="D48" s="979" t="s">
        <v>1099</v>
      </c>
      <c r="E48" s="1009">
        <v>1024</v>
      </c>
      <c r="F48" s="595"/>
      <c r="G48" s="1009">
        <f t="shared" si="6"/>
        <v>24.59</v>
      </c>
      <c r="H48" s="1012">
        <f t="shared" si="7"/>
        <v>25180.16</v>
      </c>
      <c r="I48" s="1011">
        <f t="shared" si="2"/>
        <v>8.3131351236813975E-4</v>
      </c>
      <c r="J48" s="1009">
        <f t="shared" si="5"/>
        <v>1024</v>
      </c>
      <c r="K48" s="1009">
        <f t="shared" si="4"/>
        <v>2.8466856377536371E-3</v>
      </c>
      <c r="L48" s="595"/>
      <c r="M48" s="595"/>
      <c r="N48" s="595"/>
      <c r="O48" s="595"/>
      <c r="P48" s="595"/>
      <c r="Q48" s="595"/>
      <c r="R48" s="595"/>
      <c r="S48" s="595"/>
    </row>
    <row r="49" spans="1:19">
      <c r="A49" s="1019" t="s">
        <v>1505</v>
      </c>
      <c r="B49" s="979" t="s">
        <v>420</v>
      </c>
      <c r="C49" s="979" t="s">
        <v>384</v>
      </c>
      <c r="D49" s="979" t="s">
        <v>1100</v>
      </c>
      <c r="E49" s="1009">
        <v>139</v>
      </c>
      <c r="F49" s="595"/>
      <c r="G49" s="1009">
        <f t="shared" si="6"/>
        <v>11.870000000000001</v>
      </c>
      <c r="H49" s="1012">
        <f t="shared" si="7"/>
        <v>1649.93</v>
      </c>
      <c r="I49" s="1011">
        <f t="shared" si="2"/>
        <v>5.4471818426156342E-5</v>
      </c>
      <c r="J49" s="1009">
        <f t="shared" si="5"/>
        <v>139</v>
      </c>
      <c r="K49" s="1009">
        <f t="shared" si="4"/>
        <v>5.897219867932766E-3</v>
      </c>
      <c r="L49" s="595"/>
      <c r="M49" s="595"/>
      <c r="N49" s="595"/>
      <c r="O49" s="595"/>
      <c r="P49" s="595"/>
      <c r="Q49" s="595"/>
      <c r="R49" s="595"/>
      <c r="S49" s="595"/>
    </row>
    <row r="50" spans="1:19">
      <c r="A50" s="1019" t="s">
        <v>1505</v>
      </c>
      <c r="B50" s="979" t="s">
        <v>420</v>
      </c>
      <c r="C50" s="979" t="s">
        <v>311</v>
      </c>
      <c r="D50" s="979" t="s">
        <v>1101</v>
      </c>
      <c r="E50" s="1009">
        <v>439</v>
      </c>
      <c r="F50" s="595"/>
      <c r="G50" s="1009">
        <f t="shared" si="6"/>
        <v>13.360000000000001</v>
      </c>
      <c r="H50" s="1012">
        <f t="shared" si="7"/>
        <v>5865.0400000000009</v>
      </c>
      <c r="I50" s="1011">
        <f t="shared" si="2"/>
        <v>1.9363208981117017E-4</v>
      </c>
      <c r="J50" s="1009">
        <f t="shared" si="5"/>
        <v>439</v>
      </c>
      <c r="K50" s="1009">
        <f t="shared" si="4"/>
        <v>5.2395209455360723E-3</v>
      </c>
      <c r="L50" s="595"/>
      <c r="M50" s="595"/>
      <c r="N50" s="595"/>
      <c r="O50" s="595"/>
      <c r="P50" s="595"/>
      <c r="Q50" s="595"/>
      <c r="R50" s="595"/>
      <c r="S50" s="595"/>
    </row>
    <row r="51" spans="1:19">
      <c r="A51" s="1019" t="s">
        <v>1505</v>
      </c>
      <c r="B51" s="979" t="s">
        <v>420</v>
      </c>
      <c r="C51" s="979" t="s">
        <v>341</v>
      </c>
      <c r="D51" s="979" t="s">
        <v>1102</v>
      </c>
      <c r="E51" s="1009">
        <v>1471</v>
      </c>
      <c r="F51" s="595"/>
      <c r="G51" s="1009">
        <f t="shared" si="6"/>
        <v>15.079999999999998</v>
      </c>
      <c r="H51" s="1012">
        <f t="shared" si="7"/>
        <v>22182.679999999997</v>
      </c>
      <c r="I51" s="1011">
        <f t="shared" si="2"/>
        <v>7.3235283749342674E-4</v>
      </c>
      <c r="J51" s="1009">
        <f t="shared" si="5"/>
        <v>1471</v>
      </c>
      <c r="K51" s="1009">
        <f t="shared" si="4"/>
        <v>4.6419098032070257E-3</v>
      </c>
      <c r="L51" s="595"/>
      <c r="M51" s="595"/>
      <c r="N51" s="595"/>
      <c r="O51" s="595"/>
      <c r="P51" s="595"/>
      <c r="Q51" s="595"/>
      <c r="R51" s="595"/>
      <c r="S51" s="595"/>
    </row>
    <row r="52" spans="1:19">
      <c r="A52" s="1019" t="s">
        <v>1505</v>
      </c>
      <c r="B52" s="979" t="s">
        <v>420</v>
      </c>
      <c r="C52" s="979" t="s">
        <v>315</v>
      </c>
      <c r="D52" s="979" t="s">
        <v>1103</v>
      </c>
      <c r="E52" s="1009">
        <v>231</v>
      </c>
      <c r="F52" s="595"/>
      <c r="G52" s="1009">
        <f t="shared" si="6"/>
        <v>46.740000000000009</v>
      </c>
      <c r="H52" s="1012">
        <f t="shared" si="7"/>
        <v>10796.940000000002</v>
      </c>
      <c r="I52" s="1011">
        <f t="shared" si="2"/>
        <v>3.5645691346790744E-4</v>
      </c>
      <c r="J52" s="1009">
        <f t="shared" si="5"/>
        <v>231</v>
      </c>
      <c r="K52" s="1009">
        <f t="shared" si="4"/>
        <v>1.4976465518263141E-3</v>
      </c>
      <c r="L52" s="595"/>
      <c r="M52" s="595"/>
      <c r="N52" s="595"/>
      <c r="O52" s="595"/>
      <c r="P52" s="595"/>
      <c r="Q52" s="595"/>
      <c r="R52" s="595"/>
      <c r="S52" s="595"/>
    </row>
    <row r="53" spans="1:19">
      <c r="A53" s="1019" t="s">
        <v>1505</v>
      </c>
      <c r="B53" s="979" t="s">
        <v>420</v>
      </c>
      <c r="C53" s="979" t="s">
        <v>319</v>
      </c>
      <c r="D53" s="979" t="s">
        <v>1104</v>
      </c>
      <c r="E53" s="1009">
        <v>28</v>
      </c>
      <c r="F53" s="595"/>
      <c r="G53" s="1009">
        <f t="shared" si="6"/>
        <v>27.15</v>
      </c>
      <c r="H53" s="1012">
        <f t="shared" si="7"/>
        <v>760.19999999999993</v>
      </c>
      <c r="I53" s="1011">
        <f t="shared" si="2"/>
        <v>2.5097717095612566E-5</v>
      </c>
      <c r="J53" s="1009">
        <f t="shared" si="5"/>
        <v>28</v>
      </c>
      <c r="K53" s="1009">
        <f t="shared" si="4"/>
        <v>2.5782688704369039E-3</v>
      </c>
      <c r="L53" s="595"/>
      <c r="M53" s="595"/>
      <c r="N53" s="595"/>
      <c r="O53" s="595"/>
      <c r="P53" s="595"/>
      <c r="Q53" s="595"/>
      <c r="R53" s="595"/>
      <c r="S53" s="595"/>
    </row>
    <row r="54" spans="1:19">
      <c r="A54" s="1019" t="s">
        <v>1505</v>
      </c>
      <c r="B54" s="979" t="s">
        <v>420</v>
      </c>
      <c r="C54" s="979" t="s">
        <v>356</v>
      </c>
      <c r="D54" s="979" t="s">
        <v>1105</v>
      </c>
      <c r="E54" s="1009">
        <v>7211</v>
      </c>
      <c r="F54" s="595"/>
      <c r="G54" s="1009">
        <f t="shared" si="6"/>
        <v>7.54</v>
      </c>
      <c r="H54" s="1012">
        <f t="shared" si="7"/>
        <v>54370.94</v>
      </c>
      <c r="I54" s="1011">
        <f t="shared" si="2"/>
        <v>1.7950361356781444E-3</v>
      </c>
      <c r="J54" s="1009">
        <f t="shared" si="5"/>
        <v>7211</v>
      </c>
      <c r="K54" s="1009">
        <f t="shared" si="4"/>
        <v>9.2838196064140496E-3</v>
      </c>
      <c r="L54" s="595"/>
      <c r="M54" s="595"/>
      <c r="N54" s="595"/>
      <c r="O54" s="595"/>
      <c r="P54" s="595"/>
      <c r="Q54" s="595"/>
      <c r="R54" s="595"/>
      <c r="S54" s="595"/>
    </row>
    <row r="55" spans="1:19">
      <c r="A55" s="1019" t="s">
        <v>1505</v>
      </c>
      <c r="B55" s="979" t="s">
        <v>420</v>
      </c>
      <c r="C55" s="979" t="s">
        <v>365</v>
      </c>
      <c r="D55" s="979" t="s">
        <v>1106</v>
      </c>
      <c r="E55" s="1009">
        <v>8738</v>
      </c>
      <c r="F55" s="595"/>
      <c r="G55" s="1009">
        <f t="shared" si="6"/>
        <v>8.66</v>
      </c>
      <c r="H55" s="1012">
        <f t="shared" si="7"/>
        <v>75671.08</v>
      </c>
      <c r="I55" s="1011">
        <f t="shared" si="2"/>
        <v>2.4982522469869334E-3</v>
      </c>
      <c r="J55" s="1009">
        <f t="shared" si="5"/>
        <v>8738</v>
      </c>
      <c r="K55" s="1009">
        <f t="shared" si="4"/>
        <v>8.0831408582404084E-3</v>
      </c>
      <c r="L55" s="595"/>
      <c r="M55" s="595"/>
      <c r="N55" s="595"/>
      <c r="O55" s="595"/>
      <c r="P55" s="595"/>
      <c r="Q55" s="595"/>
      <c r="R55" s="595"/>
      <c r="S55" s="595"/>
    </row>
    <row r="56" spans="1:19">
      <c r="A56" s="1019" t="s">
        <v>1505</v>
      </c>
      <c r="B56" s="979" t="s">
        <v>420</v>
      </c>
      <c r="C56" s="979" t="s">
        <v>388</v>
      </c>
      <c r="D56" s="979" t="s">
        <v>1107</v>
      </c>
      <c r="E56" s="1009">
        <v>20840</v>
      </c>
      <c r="F56" s="595"/>
      <c r="G56" s="1009">
        <f t="shared" si="6"/>
        <v>9.14</v>
      </c>
      <c r="H56" s="1012">
        <f t="shared" si="7"/>
        <v>190477.6</v>
      </c>
      <c r="I56" s="1011">
        <f t="shared" si="2"/>
        <v>6.288546327086625E-3</v>
      </c>
      <c r="J56" s="1009">
        <f t="shared" si="5"/>
        <v>20840</v>
      </c>
      <c r="K56" s="1009">
        <f t="shared" si="4"/>
        <v>7.6586433076982425E-3</v>
      </c>
      <c r="L56" s="595"/>
      <c r="M56" s="595"/>
      <c r="N56" s="595"/>
      <c r="O56" s="595"/>
      <c r="P56" s="595"/>
      <c r="Q56" s="595"/>
      <c r="R56" s="595"/>
      <c r="S56" s="595"/>
    </row>
    <row r="57" spans="1:19">
      <c r="A57" s="1019" t="s">
        <v>1505</v>
      </c>
      <c r="B57" s="979" t="s">
        <v>420</v>
      </c>
      <c r="C57" s="979" t="s">
        <v>345</v>
      </c>
      <c r="D57" s="979" t="s">
        <v>1108</v>
      </c>
      <c r="E57" s="1009">
        <v>7628</v>
      </c>
      <c r="F57" s="595"/>
      <c r="G57" s="1009">
        <f t="shared" si="6"/>
        <v>14.25</v>
      </c>
      <c r="H57" s="1012">
        <f t="shared" si="7"/>
        <v>108699</v>
      </c>
      <c r="I57" s="1011">
        <f t="shared" si="2"/>
        <v>3.5886566042830715E-3</v>
      </c>
      <c r="J57" s="1009">
        <f t="shared" si="5"/>
        <v>7628</v>
      </c>
      <c r="K57" s="1009">
        <f t="shared" si="4"/>
        <v>4.9122806899903112E-3</v>
      </c>
      <c r="L57" s="595"/>
      <c r="M57" s="595"/>
      <c r="N57" s="595"/>
      <c r="O57" s="595"/>
      <c r="P57" s="595"/>
      <c r="Q57" s="595"/>
      <c r="R57" s="595"/>
      <c r="S57" s="595"/>
    </row>
    <row r="58" spans="1:19">
      <c r="A58" s="1019" t="s">
        <v>1505</v>
      </c>
      <c r="B58" s="979" t="s">
        <v>420</v>
      </c>
      <c r="C58" s="979" t="s">
        <v>377</v>
      </c>
      <c r="D58" s="979" t="s">
        <v>1109</v>
      </c>
      <c r="E58" s="1009">
        <v>2804</v>
      </c>
      <c r="F58" s="595"/>
      <c r="G58" s="1009">
        <f t="shared" si="6"/>
        <v>22.84</v>
      </c>
      <c r="H58" s="1012">
        <f t="shared" si="7"/>
        <v>64043.360000000001</v>
      </c>
      <c r="I58" s="1011">
        <f t="shared" si="2"/>
        <v>2.1143674442679165E-3</v>
      </c>
      <c r="J58" s="1009">
        <f t="shared" ref="J58:J84" si="8">ROUND((H58+I58)/G58,0)</f>
        <v>2804</v>
      </c>
      <c r="K58" s="1009">
        <f t="shared" si="4"/>
        <v>3.0647985916095418E-3</v>
      </c>
      <c r="L58" s="595"/>
      <c r="M58" s="595"/>
      <c r="N58" s="595"/>
      <c r="O58" s="595"/>
      <c r="P58" s="595"/>
      <c r="Q58" s="595"/>
      <c r="R58" s="595"/>
      <c r="S58" s="595"/>
    </row>
    <row r="59" spans="1:19">
      <c r="A59" s="1019" t="s">
        <v>1505</v>
      </c>
      <c r="B59" s="979" t="s">
        <v>420</v>
      </c>
      <c r="C59" s="979" t="s">
        <v>363</v>
      </c>
      <c r="D59" s="979" t="s">
        <v>1110</v>
      </c>
      <c r="E59" s="1009">
        <v>855</v>
      </c>
      <c r="F59" s="595"/>
      <c r="G59" s="1009">
        <f t="shared" si="6"/>
        <v>9.620000000000001</v>
      </c>
      <c r="H59" s="1012">
        <f t="shared" si="7"/>
        <v>8225.1</v>
      </c>
      <c r="I59" s="1011">
        <f t="shared" si="2"/>
        <v>2.7154858311381606E-4</v>
      </c>
      <c r="J59" s="1009">
        <f t="shared" si="8"/>
        <v>855</v>
      </c>
      <c r="K59" s="1009">
        <f t="shared" si="4"/>
        <v>7.2765072590812814E-3</v>
      </c>
      <c r="L59" s="595"/>
      <c r="M59" s="595"/>
      <c r="N59" s="595"/>
      <c r="O59" s="595"/>
      <c r="P59" s="595"/>
      <c r="Q59" s="595"/>
      <c r="R59" s="595"/>
      <c r="S59" s="595"/>
    </row>
    <row r="60" spans="1:19">
      <c r="A60" s="1019" t="s">
        <v>1505</v>
      </c>
      <c r="B60" s="979" t="s">
        <v>420</v>
      </c>
      <c r="C60" s="979" t="s">
        <v>373</v>
      </c>
      <c r="D60" s="979" t="s">
        <v>1111</v>
      </c>
      <c r="E60" s="1009">
        <v>1353</v>
      </c>
      <c r="F60" s="595"/>
      <c r="G60" s="1009">
        <f t="shared" si="6"/>
        <v>10.770000000000001</v>
      </c>
      <c r="H60" s="1012">
        <f t="shared" si="7"/>
        <v>14571.810000000001</v>
      </c>
      <c r="I60" s="1011">
        <f t="shared" si="2"/>
        <v>4.810828268232284E-4</v>
      </c>
      <c r="J60" s="1009">
        <f t="shared" si="8"/>
        <v>1353</v>
      </c>
      <c r="K60" s="1009">
        <f t="shared" si="4"/>
        <v>6.4995357318813306E-3</v>
      </c>
      <c r="L60" s="595"/>
      <c r="M60" s="595"/>
      <c r="N60" s="595"/>
      <c r="O60" s="595"/>
      <c r="P60" s="595"/>
      <c r="Q60" s="595"/>
      <c r="R60" s="595"/>
      <c r="S60" s="595"/>
    </row>
    <row r="61" spans="1:19">
      <c r="A61" s="1019" t="s">
        <v>1505</v>
      </c>
      <c r="B61" s="979" t="s">
        <v>420</v>
      </c>
      <c r="C61" s="979" t="s">
        <v>396</v>
      </c>
      <c r="D61" s="979" t="s">
        <v>1112</v>
      </c>
      <c r="E61" s="1009">
        <v>4050</v>
      </c>
      <c r="F61" s="595"/>
      <c r="G61" s="1009">
        <f t="shared" si="6"/>
        <v>11.16</v>
      </c>
      <c r="H61" s="1012">
        <f t="shared" si="7"/>
        <v>45198</v>
      </c>
      <c r="I61" s="1011">
        <f t="shared" si="2"/>
        <v>1.4921949714384332E-3</v>
      </c>
      <c r="J61" s="1009">
        <f t="shared" si="8"/>
        <v>4050</v>
      </c>
      <c r="K61" s="1009">
        <f t="shared" si="4"/>
        <v>6.2724014186704242E-3</v>
      </c>
      <c r="L61" s="595"/>
      <c r="M61" s="595"/>
      <c r="N61" s="595"/>
      <c r="O61" s="595"/>
      <c r="P61" s="595"/>
      <c r="Q61" s="595"/>
      <c r="R61" s="595"/>
      <c r="S61" s="595"/>
    </row>
    <row r="62" spans="1:19">
      <c r="A62" s="1019" t="s">
        <v>1505</v>
      </c>
      <c r="B62" s="979" t="s">
        <v>420</v>
      </c>
      <c r="C62" s="979" t="s">
        <v>351</v>
      </c>
      <c r="D62" s="979" t="s">
        <v>1113</v>
      </c>
      <c r="E62" s="1009">
        <v>293</v>
      </c>
      <c r="F62" s="595"/>
      <c r="G62" s="1009">
        <f t="shared" si="6"/>
        <v>33.100000000000009</v>
      </c>
      <c r="H62" s="1012">
        <f t="shared" si="7"/>
        <v>9698.3000000000029</v>
      </c>
      <c r="I62" s="1011">
        <f t="shared" si="2"/>
        <v>3.2018572705653706E-4</v>
      </c>
      <c r="J62" s="1009">
        <f t="shared" si="8"/>
        <v>293</v>
      </c>
      <c r="K62" s="1009">
        <f t="shared" si="4"/>
        <v>2.1148036203130489E-3</v>
      </c>
      <c r="L62" s="595"/>
      <c r="M62" s="595"/>
      <c r="N62" s="595"/>
      <c r="O62" s="595"/>
      <c r="P62" s="595"/>
      <c r="Q62" s="595"/>
      <c r="R62" s="595"/>
      <c r="S62" s="595"/>
    </row>
    <row r="63" spans="1:19">
      <c r="A63" s="1019" t="s">
        <v>1505</v>
      </c>
      <c r="B63" s="979" t="s">
        <v>420</v>
      </c>
      <c r="C63" s="979" t="s">
        <v>314</v>
      </c>
      <c r="D63" s="979" t="s">
        <v>1114</v>
      </c>
      <c r="E63" s="1009">
        <v>61</v>
      </c>
      <c r="F63" s="595"/>
      <c r="G63" s="1009">
        <f t="shared" si="6"/>
        <v>55.250000000000007</v>
      </c>
      <c r="H63" s="1012">
        <f t="shared" si="7"/>
        <v>3370.2500000000005</v>
      </c>
      <c r="I63" s="1011">
        <f t="shared" si="2"/>
        <v>1.1126753622926634E-4</v>
      </c>
      <c r="J63" s="1009">
        <f t="shared" si="8"/>
        <v>61</v>
      </c>
      <c r="K63" s="1009">
        <f t="shared" si="4"/>
        <v>1.266968322757682E-3</v>
      </c>
      <c r="L63" s="595"/>
      <c r="M63" s="595"/>
      <c r="N63" s="595"/>
      <c r="O63" s="595"/>
      <c r="P63" s="595"/>
      <c r="Q63" s="595"/>
      <c r="R63" s="595"/>
      <c r="S63" s="595"/>
    </row>
    <row r="64" spans="1:19">
      <c r="A64" s="1019" t="s">
        <v>1505</v>
      </c>
      <c r="B64" s="979" t="s">
        <v>420</v>
      </c>
      <c r="C64" s="979" t="s">
        <v>355</v>
      </c>
      <c r="D64" s="979" t="s">
        <v>1115</v>
      </c>
      <c r="E64" s="1009">
        <v>3569</v>
      </c>
      <c r="F64" s="595"/>
      <c r="G64" s="1009">
        <f t="shared" si="6"/>
        <v>10.49</v>
      </c>
      <c r="H64" s="1012">
        <f t="shared" si="7"/>
        <v>37438.81</v>
      </c>
      <c r="I64" s="1011">
        <f t="shared" si="2"/>
        <v>1.2360282317500535E-3</v>
      </c>
      <c r="J64" s="1009">
        <f t="shared" si="8"/>
        <v>3569</v>
      </c>
      <c r="K64" s="1009">
        <f t="shared" si="4"/>
        <v>6.6730219096627205E-3</v>
      </c>
      <c r="L64" s="595"/>
      <c r="M64" s="595"/>
      <c r="N64" s="595"/>
      <c r="O64" s="595"/>
      <c r="P64" s="595"/>
      <c r="Q64" s="595"/>
      <c r="R64" s="595"/>
      <c r="S64" s="595"/>
    </row>
    <row r="65" spans="1:19">
      <c r="A65" s="1019" t="s">
        <v>1505</v>
      </c>
      <c r="B65" s="979" t="s">
        <v>420</v>
      </c>
      <c r="C65" s="979" t="s">
        <v>364</v>
      </c>
      <c r="D65" s="979" t="s">
        <v>1116</v>
      </c>
      <c r="E65" s="1009">
        <v>8447</v>
      </c>
      <c r="F65" s="595"/>
      <c r="G65" s="1009">
        <f t="shared" si="6"/>
        <v>11.600000000000001</v>
      </c>
      <c r="H65" s="1012">
        <f t="shared" si="7"/>
        <v>97985.200000000012</v>
      </c>
      <c r="I65" s="1011">
        <f t="shared" si="2"/>
        <v>3.2349445266469574E-3</v>
      </c>
      <c r="J65" s="1009">
        <f t="shared" si="8"/>
        <v>8447</v>
      </c>
      <c r="K65" s="1009">
        <f t="shared" si="4"/>
        <v>6.0344827441691316E-3</v>
      </c>
      <c r="L65" s="595"/>
      <c r="M65" s="595"/>
      <c r="N65" s="595"/>
      <c r="O65" s="595"/>
      <c r="P65" s="595"/>
      <c r="Q65" s="595"/>
      <c r="R65" s="595"/>
      <c r="S65" s="595"/>
    </row>
    <row r="66" spans="1:19">
      <c r="A66" s="1019" t="s">
        <v>1505</v>
      </c>
      <c r="B66" s="979" t="s">
        <v>420</v>
      </c>
      <c r="C66" s="979" t="s">
        <v>387</v>
      </c>
      <c r="D66" s="979" t="s">
        <v>1117</v>
      </c>
      <c r="E66" s="1009">
        <v>3345</v>
      </c>
      <c r="F66" s="595"/>
      <c r="G66" s="1009">
        <f t="shared" si="6"/>
        <v>12.3</v>
      </c>
      <c r="H66" s="1012">
        <f t="shared" si="7"/>
        <v>41143.5</v>
      </c>
      <c r="I66" s="1011">
        <f t="shared" si="2"/>
        <v>1.3583371787994419E-3</v>
      </c>
      <c r="J66" s="1009">
        <f t="shared" si="8"/>
        <v>3345</v>
      </c>
      <c r="K66" s="1009">
        <f t="shared" si="4"/>
        <v>5.6910568969399944E-3</v>
      </c>
      <c r="L66" s="595"/>
      <c r="M66" s="595"/>
      <c r="N66" s="595"/>
      <c r="O66" s="595"/>
      <c r="P66" s="595"/>
      <c r="Q66" s="595"/>
      <c r="R66" s="595"/>
      <c r="S66" s="595"/>
    </row>
    <row r="67" spans="1:19">
      <c r="A67" s="1019" t="s">
        <v>1505</v>
      </c>
      <c r="B67" s="979" t="s">
        <v>420</v>
      </c>
      <c r="C67" s="979" t="s">
        <v>344</v>
      </c>
      <c r="D67" s="979" t="s">
        <v>1118</v>
      </c>
      <c r="E67" s="1009">
        <v>5074</v>
      </c>
      <c r="F67" s="595"/>
      <c r="G67" s="1009">
        <f t="shared" si="6"/>
        <v>17.41</v>
      </c>
      <c r="H67" s="1012">
        <f t="shared" si="7"/>
        <v>88338.34</v>
      </c>
      <c r="I67" s="1011">
        <f t="shared" si="2"/>
        <v>2.9164570718442986E-3</v>
      </c>
      <c r="J67" s="1009">
        <f t="shared" si="8"/>
        <v>5074</v>
      </c>
      <c r="K67" s="1009">
        <f t="shared" si="4"/>
        <v>4.020677761766912E-3</v>
      </c>
      <c r="L67" s="595"/>
      <c r="M67" s="595"/>
      <c r="N67" s="595"/>
      <c r="O67" s="595"/>
      <c r="P67" s="595"/>
      <c r="Q67" s="595"/>
      <c r="R67" s="595"/>
      <c r="S67" s="595"/>
    </row>
    <row r="68" spans="1:19">
      <c r="A68" s="1019" t="s">
        <v>1505</v>
      </c>
      <c r="B68" s="979" t="s">
        <v>420</v>
      </c>
      <c r="C68" s="979" t="s">
        <v>376</v>
      </c>
      <c r="D68" s="979" t="s">
        <v>1119</v>
      </c>
      <c r="E68" s="1009">
        <v>506</v>
      </c>
      <c r="F68" s="595"/>
      <c r="G68" s="1009">
        <f t="shared" si="6"/>
        <v>24.46</v>
      </c>
      <c r="H68" s="1012">
        <f t="shared" si="7"/>
        <v>12376.76</v>
      </c>
      <c r="I68" s="1011">
        <f t="shared" si="2"/>
        <v>4.0861407661180459E-4</v>
      </c>
      <c r="J68" s="1009">
        <f t="shared" si="8"/>
        <v>506</v>
      </c>
      <c r="K68" s="1009">
        <f t="shared" si="4"/>
        <v>2.86181520165012E-3</v>
      </c>
      <c r="L68" s="595"/>
      <c r="M68" s="595"/>
      <c r="N68" s="595"/>
      <c r="O68" s="595"/>
      <c r="P68" s="595"/>
      <c r="Q68" s="595"/>
      <c r="R68" s="595"/>
      <c r="S68" s="595"/>
    </row>
    <row r="69" spans="1:19">
      <c r="A69" s="1019" t="s">
        <v>1505</v>
      </c>
      <c r="B69" s="979" t="s">
        <v>420</v>
      </c>
      <c r="C69" s="979" t="s">
        <v>374</v>
      </c>
      <c r="D69" s="979" t="s">
        <v>1120</v>
      </c>
      <c r="E69" s="1009">
        <v>4464</v>
      </c>
      <c r="F69" s="595"/>
      <c r="G69" s="1009">
        <f t="shared" ref="G69:G85" si="9">SUMIF(_Lights_Tariff_Category,20140101&amp;$C69,_Lights_Rates)</f>
        <v>16.79</v>
      </c>
      <c r="H69" s="1012">
        <f t="shared" ref="H69:H85" si="10">E69*G69</f>
        <v>74950.559999999998</v>
      </c>
      <c r="I69" s="1011">
        <f t="shared" si="2"/>
        <v>2.4744645501680288E-3</v>
      </c>
      <c r="J69" s="1009">
        <f t="shared" si="8"/>
        <v>4464</v>
      </c>
      <c r="K69" s="1009">
        <f t="shared" si="4"/>
        <v>4.1691482925766488E-3</v>
      </c>
      <c r="L69" s="595"/>
      <c r="M69" s="595"/>
      <c r="N69" s="595"/>
      <c r="O69" s="595"/>
      <c r="P69" s="595"/>
      <c r="Q69" s="595"/>
      <c r="R69" s="595"/>
      <c r="S69" s="595"/>
    </row>
    <row r="70" spans="1:19">
      <c r="A70" s="1019" t="s">
        <v>1505</v>
      </c>
      <c r="B70" s="979" t="s">
        <v>420</v>
      </c>
      <c r="C70" s="979" t="s">
        <v>398</v>
      </c>
      <c r="D70" s="979" t="s">
        <v>1121</v>
      </c>
      <c r="E70" s="1009">
        <v>1061</v>
      </c>
      <c r="F70" s="595"/>
      <c r="G70" s="1009">
        <f t="shared" si="9"/>
        <v>20.97</v>
      </c>
      <c r="H70" s="1012">
        <f t="shared" si="10"/>
        <v>22249.17</v>
      </c>
      <c r="I70" s="1011">
        <f t="shared" ref="I70:I85" si="11">H70/$L$7*$L$8</f>
        <v>7.3454797983713536E-4</v>
      </c>
      <c r="J70" s="1009">
        <f t="shared" si="8"/>
        <v>1061</v>
      </c>
      <c r="K70" s="1009">
        <f t="shared" ref="K70:K84" si="12">$L$8/G70</f>
        <v>3.3381020425542174E-3</v>
      </c>
      <c r="L70" s="595"/>
      <c r="M70" s="595"/>
      <c r="N70" s="595"/>
      <c r="O70" s="595"/>
      <c r="P70" s="595"/>
      <c r="Q70" s="595"/>
      <c r="R70" s="595"/>
      <c r="S70" s="595"/>
    </row>
    <row r="71" spans="1:19">
      <c r="A71" s="1019" t="s">
        <v>1505</v>
      </c>
      <c r="B71" s="979" t="s">
        <v>420</v>
      </c>
      <c r="C71" s="979" t="s">
        <v>348</v>
      </c>
      <c r="D71" s="979" t="s">
        <v>1122</v>
      </c>
      <c r="E71" s="1009">
        <v>1421</v>
      </c>
      <c r="F71" s="595"/>
      <c r="G71" s="1009">
        <f t="shared" si="9"/>
        <v>26.86</v>
      </c>
      <c r="H71" s="1012">
        <f t="shared" si="10"/>
        <v>38168.06</v>
      </c>
      <c r="I71" s="1011">
        <f t="shared" si="11"/>
        <v>1.260104146235683E-3</v>
      </c>
      <c r="J71" s="1009">
        <f t="shared" si="8"/>
        <v>1421</v>
      </c>
      <c r="K71" s="1009">
        <f t="shared" si="12"/>
        <v>2.6061057271914347E-3</v>
      </c>
      <c r="L71" s="595"/>
      <c r="M71" s="595"/>
      <c r="N71" s="595"/>
      <c r="O71" s="595"/>
      <c r="P71" s="595"/>
      <c r="Q71" s="595"/>
      <c r="R71" s="595"/>
      <c r="S71" s="595"/>
    </row>
    <row r="72" spans="1:19">
      <c r="A72" s="1019" t="s">
        <v>1505</v>
      </c>
      <c r="B72" s="979" t="s">
        <v>420</v>
      </c>
      <c r="C72" s="979" t="s">
        <v>380</v>
      </c>
      <c r="D72" s="979" t="s">
        <v>1123</v>
      </c>
      <c r="E72" s="1009">
        <v>962</v>
      </c>
      <c r="F72" s="595"/>
      <c r="G72" s="1009">
        <f t="shared" si="9"/>
        <v>33.119999999999997</v>
      </c>
      <c r="H72" s="1012">
        <f t="shared" si="10"/>
        <v>31861.439999999999</v>
      </c>
      <c r="I72" s="1011">
        <f t="shared" si="11"/>
        <v>1.0518934587987821E-3</v>
      </c>
      <c r="J72" s="1009">
        <f t="shared" si="8"/>
        <v>962</v>
      </c>
      <c r="K72" s="1009">
        <f t="shared" si="12"/>
        <v>2.1135265649867736E-3</v>
      </c>
      <c r="L72" s="595"/>
      <c r="M72" s="595"/>
      <c r="N72" s="595"/>
      <c r="O72" s="595"/>
      <c r="P72" s="595"/>
      <c r="Q72" s="595"/>
      <c r="R72" s="595"/>
      <c r="S72" s="595"/>
    </row>
    <row r="73" spans="1:19">
      <c r="A73" s="1019" t="s">
        <v>1505</v>
      </c>
      <c r="B73" s="979" t="s">
        <v>420</v>
      </c>
      <c r="C73" s="979" t="s">
        <v>399</v>
      </c>
      <c r="D73" s="979" t="s">
        <v>1124</v>
      </c>
      <c r="E73" s="1009">
        <v>11100</v>
      </c>
      <c r="F73" s="595"/>
      <c r="G73" s="1009">
        <f t="shared" si="9"/>
        <v>9</v>
      </c>
      <c r="H73" s="1012">
        <f t="shared" si="10"/>
        <v>99900</v>
      </c>
      <c r="I73" s="1011">
        <f t="shared" si="11"/>
        <v>3.298160928507887E-3</v>
      </c>
      <c r="J73" s="1009">
        <f t="shared" si="8"/>
        <v>11100</v>
      </c>
      <c r="K73" s="1009">
        <f t="shared" si="12"/>
        <v>7.7777777591513265E-3</v>
      </c>
      <c r="L73" s="595"/>
      <c r="M73" s="595"/>
      <c r="N73" s="595"/>
      <c r="O73" s="595"/>
      <c r="P73" s="595"/>
      <c r="Q73" s="595"/>
      <c r="R73" s="595"/>
      <c r="S73" s="595"/>
    </row>
    <row r="74" spans="1:19">
      <c r="A74" s="1019" t="s">
        <v>1505</v>
      </c>
      <c r="B74" s="979" t="s">
        <v>420</v>
      </c>
      <c r="C74" s="979" t="s">
        <v>349</v>
      </c>
      <c r="D74" s="979" t="s">
        <v>1125</v>
      </c>
      <c r="E74" s="1009">
        <v>6584</v>
      </c>
      <c r="F74" s="595"/>
      <c r="G74" s="1009">
        <f t="shared" si="9"/>
        <v>13.639999999999999</v>
      </c>
      <c r="H74" s="1012">
        <f t="shared" si="10"/>
        <v>89805.759999999995</v>
      </c>
      <c r="I74" s="1011">
        <f t="shared" si="11"/>
        <v>2.964903391260825E-3</v>
      </c>
      <c r="J74" s="1009">
        <f t="shared" si="8"/>
        <v>6584</v>
      </c>
      <c r="K74" s="1009">
        <f t="shared" si="12"/>
        <v>5.1319647970939838E-3</v>
      </c>
      <c r="L74" s="595"/>
      <c r="M74" s="595"/>
      <c r="N74" s="595"/>
      <c r="O74" s="595"/>
      <c r="P74" s="595"/>
      <c r="Q74" s="595"/>
      <c r="R74" s="595"/>
      <c r="S74" s="595"/>
    </row>
    <row r="75" spans="1:19">
      <c r="A75" s="1019" t="s">
        <v>1505</v>
      </c>
      <c r="B75" s="979" t="s">
        <v>420</v>
      </c>
      <c r="C75" s="979" t="s">
        <v>381</v>
      </c>
      <c r="D75" s="979" t="s">
        <v>1126</v>
      </c>
      <c r="E75" s="1009">
        <v>8363</v>
      </c>
      <c r="F75" s="595"/>
      <c r="G75" s="1009">
        <f t="shared" si="9"/>
        <v>19.46</v>
      </c>
      <c r="H75" s="1012">
        <f t="shared" si="10"/>
        <v>162743.98000000001</v>
      </c>
      <c r="I75" s="1011">
        <f t="shared" si="11"/>
        <v>5.3729312931518423E-3</v>
      </c>
      <c r="J75" s="1009">
        <f t="shared" si="8"/>
        <v>8363</v>
      </c>
      <c r="K75" s="1009">
        <f t="shared" si="12"/>
        <v>3.5971222935437786E-3</v>
      </c>
      <c r="L75" s="595"/>
      <c r="M75" s="595"/>
      <c r="N75" s="595"/>
      <c r="O75" s="595"/>
      <c r="P75" s="595"/>
      <c r="Q75" s="595"/>
      <c r="R75" s="595"/>
      <c r="S75" s="595"/>
    </row>
    <row r="76" spans="1:19">
      <c r="A76" s="1019" t="s">
        <v>1505</v>
      </c>
      <c r="B76" s="979" t="s">
        <v>420</v>
      </c>
      <c r="C76" s="979" t="s">
        <v>321</v>
      </c>
      <c r="D76" s="979" t="s">
        <v>1127</v>
      </c>
      <c r="E76" s="1009">
        <v>58</v>
      </c>
      <c r="F76" s="595"/>
      <c r="G76" s="1009">
        <f t="shared" si="9"/>
        <v>15.47</v>
      </c>
      <c r="H76" s="1012">
        <f t="shared" si="10"/>
        <v>897.26</v>
      </c>
      <c r="I76" s="1011">
        <f t="shared" si="11"/>
        <v>2.9622701448578443E-5</v>
      </c>
      <c r="J76" s="1009">
        <f t="shared" si="8"/>
        <v>58</v>
      </c>
      <c r="K76" s="1009">
        <f t="shared" si="12"/>
        <v>4.524886866991722E-3</v>
      </c>
      <c r="L76" s="595"/>
      <c r="M76" s="595"/>
      <c r="N76" s="595"/>
      <c r="O76" s="595"/>
      <c r="P76" s="595"/>
      <c r="Q76" s="595"/>
      <c r="R76" s="595"/>
      <c r="S76" s="595"/>
    </row>
    <row r="77" spans="1:19">
      <c r="A77" s="1019" t="s">
        <v>1505</v>
      </c>
      <c r="B77" s="979" t="s">
        <v>420</v>
      </c>
      <c r="C77" s="979" t="s">
        <v>353</v>
      </c>
      <c r="D77" s="979" t="s">
        <v>1128</v>
      </c>
      <c r="E77" s="1009">
        <v>301</v>
      </c>
      <c r="F77" s="595"/>
      <c r="G77" s="1009">
        <f t="shared" si="9"/>
        <v>21.930000000000003</v>
      </c>
      <c r="H77" s="1012">
        <f t="shared" si="10"/>
        <v>6600.9300000000012</v>
      </c>
      <c r="I77" s="1011">
        <f t="shared" si="11"/>
        <v>2.1792722139955524E-4</v>
      </c>
      <c r="J77" s="1009">
        <f t="shared" si="8"/>
        <v>301</v>
      </c>
      <c r="K77" s="1009">
        <f t="shared" si="12"/>
        <v>3.1919744565600513E-3</v>
      </c>
      <c r="L77" s="595"/>
      <c r="M77" s="595"/>
      <c r="N77" s="595"/>
      <c r="O77" s="595"/>
      <c r="P77" s="595"/>
      <c r="Q77" s="595"/>
      <c r="R77" s="595"/>
      <c r="S77" s="595"/>
    </row>
    <row r="78" spans="1:19">
      <c r="A78" s="1019" t="s">
        <v>1505</v>
      </c>
      <c r="B78" s="979" t="s">
        <v>420</v>
      </c>
      <c r="C78" s="979" t="s">
        <v>678</v>
      </c>
      <c r="D78" s="979" t="s">
        <v>1129</v>
      </c>
      <c r="E78" s="1009">
        <v>2</v>
      </c>
      <c r="F78" s="595"/>
      <c r="G78" s="1009">
        <f t="shared" si="9"/>
        <v>15.370000000000001</v>
      </c>
      <c r="H78" s="1012">
        <f t="shared" si="10"/>
        <v>30.740000000000002</v>
      </c>
      <c r="I78" s="1011">
        <f t="shared" si="11"/>
        <v>1.0148695389622869E-6</v>
      </c>
      <c r="J78" s="1009">
        <f t="shared" si="8"/>
        <v>2</v>
      </c>
      <c r="K78" s="1009">
        <f t="shared" si="12"/>
        <v>4.5543265993729298E-3</v>
      </c>
      <c r="L78" s="595"/>
      <c r="M78" s="595"/>
      <c r="N78" s="595"/>
      <c r="O78" s="595"/>
      <c r="P78" s="595"/>
      <c r="Q78" s="595"/>
      <c r="R78" s="595"/>
      <c r="S78" s="595"/>
    </row>
    <row r="79" spans="1:19">
      <c r="A79" s="1019" t="s">
        <v>1505</v>
      </c>
      <c r="B79" s="979" t="s">
        <v>420</v>
      </c>
      <c r="C79" s="979" t="s">
        <v>316</v>
      </c>
      <c r="D79" s="979" t="s">
        <v>1130</v>
      </c>
      <c r="E79" s="1009">
        <v>43</v>
      </c>
      <c r="F79" s="595"/>
      <c r="G79" s="1009">
        <f t="shared" si="9"/>
        <v>45.7</v>
      </c>
      <c r="H79" s="1012">
        <f t="shared" si="10"/>
        <v>1965.1000000000001</v>
      </c>
      <c r="I79" s="1011">
        <f t="shared" si="11"/>
        <v>6.4877037443552039E-5</v>
      </c>
      <c r="J79" s="1009">
        <f t="shared" si="8"/>
        <v>43</v>
      </c>
      <c r="K79" s="1009">
        <f t="shared" si="12"/>
        <v>1.5317286615396484E-3</v>
      </c>
      <c r="L79" s="595"/>
      <c r="M79" s="595"/>
      <c r="N79" s="595"/>
      <c r="O79" s="595"/>
      <c r="P79" s="595"/>
      <c r="Q79" s="595"/>
      <c r="R79" s="595"/>
      <c r="S79" s="595"/>
    </row>
    <row r="80" spans="1:19">
      <c r="A80" s="1019" t="s">
        <v>1505</v>
      </c>
      <c r="B80" s="979" t="s">
        <v>420</v>
      </c>
      <c r="C80" s="979" t="s">
        <v>318</v>
      </c>
      <c r="D80" s="979" t="s">
        <v>1131</v>
      </c>
      <c r="E80" s="1009">
        <v>167</v>
      </c>
      <c r="F80" s="595"/>
      <c r="G80" s="1009">
        <f t="shared" si="9"/>
        <v>28.37</v>
      </c>
      <c r="H80" s="1012">
        <f t="shared" si="10"/>
        <v>4737.79</v>
      </c>
      <c r="I80" s="1011">
        <f t="shared" si="11"/>
        <v>1.5641635500976357E-4</v>
      </c>
      <c r="J80" s="1009">
        <f t="shared" si="8"/>
        <v>167</v>
      </c>
      <c r="K80" s="1009">
        <f t="shared" si="12"/>
        <v>2.4673951297977418E-3</v>
      </c>
      <c r="L80" s="595"/>
      <c r="M80" s="595"/>
      <c r="N80" s="595"/>
      <c r="O80" s="595"/>
      <c r="P80" s="595"/>
      <c r="Q80" s="595"/>
      <c r="R80" s="595"/>
      <c r="S80" s="595"/>
    </row>
    <row r="81" spans="1:26">
      <c r="A81" s="1019" t="s">
        <v>1505</v>
      </c>
      <c r="B81" s="979" t="s">
        <v>420</v>
      </c>
      <c r="C81" s="979" t="s">
        <v>350</v>
      </c>
      <c r="D81" s="979" t="s">
        <v>1132</v>
      </c>
      <c r="E81" s="1009">
        <v>617</v>
      </c>
      <c r="F81" s="595"/>
      <c r="G81" s="1009">
        <f t="shared" si="9"/>
        <v>34.830000000000005</v>
      </c>
      <c r="H81" s="1012">
        <f t="shared" si="10"/>
        <v>21490.110000000004</v>
      </c>
      <c r="I81" s="1011">
        <f t="shared" si="11"/>
        <v>7.0948789941277914E-4</v>
      </c>
      <c r="J81" s="1009">
        <f t="shared" si="8"/>
        <v>617</v>
      </c>
      <c r="K81" s="1009">
        <f t="shared" si="12"/>
        <v>2.0097616948711434E-3</v>
      </c>
      <c r="L81" s="595"/>
      <c r="M81" s="595"/>
      <c r="N81" s="595"/>
      <c r="O81" s="595"/>
      <c r="P81" s="595"/>
      <c r="Q81" s="595"/>
      <c r="R81" s="595"/>
      <c r="S81" s="595"/>
    </row>
    <row r="82" spans="1:26">
      <c r="A82" s="1019" t="s">
        <v>1505</v>
      </c>
      <c r="B82" s="979" t="s">
        <v>420</v>
      </c>
      <c r="C82" s="979" t="s">
        <v>313</v>
      </c>
      <c r="D82" s="979" t="s">
        <v>1133</v>
      </c>
      <c r="E82" s="1009">
        <v>157</v>
      </c>
      <c r="F82" s="595"/>
      <c r="G82" s="1009">
        <f t="shared" si="9"/>
        <v>58.59</v>
      </c>
      <c r="H82" s="1012">
        <f t="shared" si="10"/>
        <v>9198.630000000001</v>
      </c>
      <c r="I82" s="1011">
        <f t="shared" si="11"/>
        <v>3.0368930992793303E-4</v>
      </c>
      <c r="J82" s="1009">
        <f t="shared" si="8"/>
        <v>157</v>
      </c>
      <c r="K82" s="1009">
        <f t="shared" si="12"/>
        <v>1.1947431273657951E-3</v>
      </c>
      <c r="L82" s="595"/>
      <c r="M82" s="595"/>
      <c r="N82" s="595"/>
      <c r="O82" s="595"/>
      <c r="P82" s="595"/>
      <c r="Q82" s="595"/>
      <c r="R82" s="595"/>
      <c r="S82" s="595"/>
    </row>
    <row r="83" spans="1:26">
      <c r="A83" s="1019" t="s">
        <v>1505</v>
      </c>
      <c r="B83" s="979" t="s">
        <v>420</v>
      </c>
      <c r="C83" s="979" t="s">
        <v>650</v>
      </c>
      <c r="D83" s="979" t="s">
        <v>1151</v>
      </c>
      <c r="E83" s="1009">
        <v>8</v>
      </c>
      <c r="F83" s="595"/>
      <c r="G83" s="1009">
        <f t="shared" si="9"/>
        <v>15.35</v>
      </c>
      <c r="H83" s="1012">
        <f t="shared" si="10"/>
        <v>122.8</v>
      </c>
      <c r="I83" s="1011">
        <f t="shared" si="11"/>
        <v>4.0541958160237086E-6</v>
      </c>
      <c r="J83" s="1009">
        <f t="shared" si="8"/>
        <v>8</v>
      </c>
      <c r="K83" s="1009">
        <f t="shared" si="12"/>
        <v>4.5602605753981718E-3</v>
      </c>
      <c r="L83" s="595"/>
      <c r="M83" s="595"/>
      <c r="N83" s="595"/>
      <c r="O83" s="595"/>
      <c r="P83" s="595"/>
      <c r="Q83" s="595"/>
      <c r="R83" s="595"/>
      <c r="S83" s="595"/>
    </row>
    <row r="84" spans="1:26">
      <c r="A84" s="1019" t="s">
        <v>1505</v>
      </c>
      <c r="B84" s="979" t="s">
        <v>420</v>
      </c>
      <c r="C84" s="979" t="s">
        <v>447</v>
      </c>
      <c r="D84" s="979" t="s">
        <v>1134</v>
      </c>
      <c r="E84" s="1009">
        <v>24</v>
      </c>
      <c r="F84" s="595"/>
      <c r="G84" s="1009">
        <f t="shared" si="9"/>
        <v>17.72</v>
      </c>
      <c r="H84" s="1012">
        <f t="shared" si="10"/>
        <v>425.28</v>
      </c>
      <c r="I84" s="1011">
        <f t="shared" si="11"/>
        <v>1.4040459256014355E-5</v>
      </c>
      <c r="J84" s="1009">
        <f t="shared" si="8"/>
        <v>24</v>
      </c>
      <c r="K84" s="1009">
        <f t="shared" si="12"/>
        <v>3.9503385909910801E-3</v>
      </c>
      <c r="L84" s="595"/>
      <c r="M84" s="595"/>
      <c r="N84" s="595"/>
      <c r="O84" s="595"/>
      <c r="P84" s="595"/>
      <c r="Q84" s="595"/>
      <c r="R84" s="595"/>
      <c r="S84" s="595"/>
    </row>
    <row r="85" spans="1:26">
      <c r="A85" s="1019" t="s">
        <v>1505</v>
      </c>
      <c r="B85" s="979" t="s">
        <v>420</v>
      </c>
      <c r="C85" s="979" t="s">
        <v>624</v>
      </c>
      <c r="D85" s="979" t="s">
        <v>1135</v>
      </c>
      <c r="E85" s="1034">
        <v>24</v>
      </c>
      <c r="F85" s="595"/>
      <c r="G85" s="1035">
        <f t="shared" si="9"/>
        <v>21.490000000000002</v>
      </c>
      <c r="H85" s="1012">
        <f t="shared" si="10"/>
        <v>515.76</v>
      </c>
      <c r="I85" s="1011">
        <f t="shared" si="11"/>
        <v>1.7027622427299576E-5</v>
      </c>
      <c r="J85" s="1034">
        <f t="shared" ref="J85" si="13">ROUND((H85+I85)/G85,0)</f>
        <v>24</v>
      </c>
      <c r="K85" s="1009">
        <f t="shared" ref="K85" si="14">$L$8/G85</f>
        <v>3.2573289824272653E-3</v>
      </c>
      <c r="L85" s="595"/>
      <c r="M85" s="595"/>
      <c r="N85" s="595"/>
      <c r="O85" s="595"/>
      <c r="P85" s="595"/>
      <c r="Q85" s="595"/>
      <c r="R85" s="595"/>
      <c r="S85" s="595"/>
    </row>
    <row r="86" spans="1:26">
      <c r="A86" s="1019" t="s">
        <v>1505</v>
      </c>
      <c r="B86" s="1028" t="s">
        <v>420</v>
      </c>
      <c r="C86" s="1029" t="s">
        <v>8</v>
      </c>
      <c r="D86" s="1029"/>
      <c r="E86" s="1030">
        <f>SUM(E5:E85)</f>
        <v>171011</v>
      </c>
      <c r="F86" s="1031"/>
      <c r="G86" s="1031"/>
      <c r="H86" s="1033">
        <f>SUM(H5:H85)</f>
        <v>2120272.52</v>
      </c>
      <c r="I86" s="1031"/>
      <c r="J86" s="1032">
        <f>SUM(J5:J85)</f>
        <v>171011</v>
      </c>
      <c r="K86" s="1031"/>
      <c r="L86" s="595"/>
      <c r="M86" s="595"/>
      <c r="N86" s="595"/>
      <c r="O86" s="595"/>
      <c r="P86" s="595"/>
      <c r="Q86" s="595"/>
      <c r="R86" s="595"/>
      <c r="S86" s="595"/>
      <c r="T86" s="595"/>
      <c r="U86" s="595"/>
      <c r="V86" s="595"/>
      <c r="W86" s="595"/>
      <c r="X86" s="595"/>
      <c r="Y86" s="595"/>
      <c r="Z86" s="595"/>
    </row>
    <row r="87" spans="1:26">
      <c r="A87" s="1016"/>
      <c r="B87" s="1016"/>
      <c r="C87" s="1016"/>
      <c r="D87" s="981"/>
      <c r="E87" s="979"/>
      <c r="F87" s="595"/>
      <c r="G87" s="595"/>
      <c r="H87" s="595"/>
      <c r="I87" s="595"/>
      <c r="J87" s="595"/>
      <c r="K87" s="595"/>
      <c r="L87" s="595"/>
      <c r="M87" s="595"/>
      <c r="N87" s="595"/>
      <c r="O87" s="595"/>
      <c r="P87" s="595"/>
      <c r="Q87" s="595"/>
      <c r="R87" s="595"/>
      <c r="S87" s="595"/>
      <c r="T87" s="595"/>
      <c r="U87" s="595"/>
      <c r="V87" s="595"/>
      <c r="W87" s="595"/>
      <c r="X87" s="595"/>
      <c r="Y87" s="595"/>
      <c r="Z87" s="595"/>
    </row>
    <row r="88" spans="1:26">
      <c r="A88" s="979"/>
      <c r="B88" s="1021"/>
      <c r="C88" s="979"/>
      <c r="D88" s="1018"/>
      <c r="E88" s="981"/>
      <c r="F88" s="595"/>
      <c r="G88" s="595"/>
      <c r="H88" s="595"/>
      <c r="I88" s="595"/>
      <c r="J88" s="595"/>
      <c r="K88" s="595"/>
      <c r="L88" s="595"/>
      <c r="M88" s="595"/>
      <c r="N88" s="595"/>
      <c r="O88" s="595"/>
      <c r="P88" s="595"/>
      <c r="Q88" s="595"/>
      <c r="R88" s="595"/>
      <c r="S88" s="595"/>
      <c r="T88" s="595"/>
      <c r="U88" s="595"/>
      <c r="V88" s="595"/>
      <c r="W88" s="595"/>
      <c r="X88" s="595"/>
      <c r="Y88" s="595"/>
      <c r="Z88" s="595"/>
    </row>
    <row r="89" spans="1:26">
      <c r="A89" s="1019" t="s">
        <v>1506</v>
      </c>
      <c r="B89" s="979" t="s">
        <v>420</v>
      </c>
      <c r="C89" s="979" t="s">
        <v>433</v>
      </c>
      <c r="D89" s="979" t="s">
        <v>432</v>
      </c>
      <c r="E89" s="980"/>
      <c r="F89" s="595"/>
      <c r="G89" s="1009"/>
      <c r="H89" s="1009"/>
      <c r="I89" s="1009"/>
      <c r="J89" s="1009"/>
      <c r="K89" s="1009"/>
      <c r="L89" s="1020">
        <f>'12MonLights'!$O$177</f>
        <v>2106668</v>
      </c>
      <c r="M89" s="595" t="s">
        <v>1529</v>
      </c>
      <c r="N89" s="595"/>
      <c r="O89" s="595"/>
      <c r="P89" s="595"/>
      <c r="Q89" s="1010" t="s">
        <v>1535</v>
      </c>
      <c r="R89" s="595"/>
      <c r="S89" s="595"/>
      <c r="T89" s="595"/>
      <c r="U89" s="595"/>
      <c r="V89" s="595"/>
      <c r="W89" s="595"/>
      <c r="X89" s="595"/>
      <c r="Y89" s="595"/>
      <c r="Z89" s="595"/>
    </row>
    <row r="90" spans="1:26">
      <c r="A90" s="1019" t="s">
        <v>1506</v>
      </c>
      <c r="B90" s="979" t="s">
        <v>420</v>
      </c>
      <c r="C90" s="979" t="s">
        <v>431</v>
      </c>
      <c r="D90" s="979" t="s">
        <v>430</v>
      </c>
      <c r="E90" s="980"/>
      <c r="F90" s="595"/>
      <c r="G90" s="1009"/>
      <c r="H90" s="1009"/>
      <c r="I90" s="1009"/>
      <c r="J90" s="1009"/>
      <c r="K90" s="1009"/>
      <c r="L90" s="1011">
        <f>'12MonResults'!$AE$62</f>
        <v>743.65</v>
      </c>
      <c r="M90" s="595" t="s">
        <v>1531</v>
      </c>
      <c r="N90" s="595"/>
      <c r="O90" s="595"/>
      <c r="P90" s="595"/>
      <c r="Q90" s="595"/>
      <c r="R90" s="595"/>
      <c r="S90" s="595"/>
      <c r="T90" s="595"/>
      <c r="U90" s="595"/>
      <c r="V90" s="595"/>
      <c r="W90" s="595"/>
      <c r="X90" s="595"/>
      <c r="Y90" s="595"/>
      <c r="Z90" s="595"/>
    </row>
    <row r="91" spans="1:26" ht="13.5">
      <c r="A91" s="1019" t="s">
        <v>1506</v>
      </c>
      <c r="B91" s="979" t="s">
        <v>420</v>
      </c>
      <c r="C91" s="979" t="s">
        <v>323</v>
      </c>
      <c r="D91" s="979" t="s">
        <v>1056</v>
      </c>
      <c r="E91" s="1022">
        <v>177</v>
      </c>
      <c r="F91" s="595"/>
      <c r="G91" s="1009">
        <f t="shared" ref="G91:G122" si="15">SUMIF(_Lights_Tariff_Category,20140101&amp;$C91,_Lights_Rates)</f>
        <v>55.33</v>
      </c>
      <c r="H91" s="1012">
        <f t="shared" ref="H91:H122" si="16">E91*G91</f>
        <v>9793.41</v>
      </c>
      <c r="I91" s="1011">
        <f>H91/$L$93*$L$94</f>
        <v>-1.8697076356104643E-4</v>
      </c>
      <c r="J91" s="1009">
        <f>ROUND((H91+I91)/G91,0)</f>
        <v>177</v>
      </c>
      <c r="K91" s="1009">
        <f>$L$94/G91</f>
        <v>-7.2293511724657341E-4</v>
      </c>
      <c r="L91" s="1013">
        <f>'12MonResults'!$AE$64</f>
        <v>10749.76</v>
      </c>
      <c r="M91" s="1014" t="s">
        <v>1532</v>
      </c>
      <c r="N91" s="595"/>
      <c r="O91" s="595"/>
      <c r="P91" s="595"/>
      <c r="Q91" s="595"/>
      <c r="R91" s="595"/>
      <c r="S91" s="595"/>
      <c r="T91" s="595"/>
      <c r="U91" s="595"/>
      <c r="V91" s="595"/>
      <c r="W91" s="595"/>
      <c r="X91" s="595"/>
      <c r="Y91" s="595"/>
      <c r="Z91" s="595"/>
    </row>
    <row r="92" spans="1:26">
      <c r="A92" s="1019" t="s">
        <v>1506</v>
      </c>
      <c r="B92" s="979" t="s">
        <v>420</v>
      </c>
      <c r="C92" s="979" t="s">
        <v>328</v>
      </c>
      <c r="D92" s="979" t="s">
        <v>1057</v>
      </c>
      <c r="E92" s="1022">
        <v>25</v>
      </c>
      <c r="F92" s="595"/>
      <c r="G92" s="1009">
        <f t="shared" si="15"/>
        <v>83.16</v>
      </c>
      <c r="H92" s="1012">
        <f t="shared" si="16"/>
        <v>2079</v>
      </c>
      <c r="I92" s="1011">
        <f t="shared" ref="I92:I155" si="17">H92/$L$93*$L$94</f>
        <v>-3.969120229250236E-5</v>
      </c>
      <c r="J92" s="1009">
        <f t="shared" ref="J92:J155" si="18">ROUND((H92+I92)/G92,0)</f>
        <v>25</v>
      </c>
      <c r="K92" s="1009">
        <f t="shared" ref="K92:K155" si="19">$L$94/G92</f>
        <v>-4.8100048144844761E-4</v>
      </c>
      <c r="L92" s="1011">
        <f>L89-L90-L91</f>
        <v>2095174.59</v>
      </c>
      <c r="M92" s="595" t="s">
        <v>1533</v>
      </c>
      <c r="N92" s="595"/>
      <c r="O92" s="595"/>
      <c r="P92" s="595"/>
      <c r="Q92" s="595"/>
      <c r="R92" s="595"/>
      <c r="S92" s="595"/>
      <c r="T92" s="595"/>
      <c r="U92" s="595"/>
      <c r="V92" s="595"/>
      <c r="W92" s="595"/>
      <c r="X92" s="595"/>
      <c r="Y92" s="595"/>
      <c r="Z92" s="595"/>
    </row>
    <row r="93" spans="1:26">
      <c r="A93" s="1019" t="s">
        <v>1506</v>
      </c>
      <c r="B93" s="979" t="s">
        <v>420</v>
      </c>
      <c r="C93" s="979" t="s">
        <v>331</v>
      </c>
      <c r="D93" s="979" t="s">
        <v>1058</v>
      </c>
      <c r="E93" s="1022">
        <v>43</v>
      </c>
      <c r="F93" s="595"/>
      <c r="G93" s="1009">
        <f t="shared" si="15"/>
        <v>59.78</v>
      </c>
      <c r="H93" s="1012">
        <f t="shared" si="16"/>
        <v>2570.54</v>
      </c>
      <c r="I93" s="1011">
        <f t="shared" si="17"/>
        <v>-4.9075432006238102E-5</v>
      </c>
      <c r="J93" s="1009">
        <f t="shared" si="18"/>
        <v>43</v>
      </c>
      <c r="K93" s="1009">
        <f t="shared" si="19"/>
        <v>-6.6912010768238378E-4</v>
      </c>
      <c r="L93" s="1011">
        <f>$H$172</f>
        <v>2095174.6300000001</v>
      </c>
      <c r="M93" s="595" t="s">
        <v>1534</v>
      </c>
      <c r="N93" s="595"/>
      <c r="O93" s="595"/>
      <c r="P93" s="595"/>
      <c r="Q93" s="595"/>
      <c r="R93" s="595"/>
      <c r="S93" s="595"/>
      <c r="T93" s="595"/>
      <c r="U93" s="595"/>
      <c r="V93" s="595"/>
      <c r="W93" s="595"/>
      <c r="X93" s="595"/>
      <c r="Y93" s="595"/>
      <c r="Z93" s="595"/>
    </row>
    <row r="94" spans="1:26">
      <c r="A94" s="1019" t="s">
        <v>1506</v>
      </c>
      <c r="B94" s="979" t="s">
        <v>420</v>
      </c>
      <c r="C94" s="979" t="s">
        <v>332</v>
      </c>
      <c r="D94" s="979" t="s">
        <v>1059</v>
      </c>
      <c r="E94" s="1022">
        <v>5</v>
      </c>
      <c r="F94" s="595"/>
      <c r="G94" s="1009">
        <f t="shared" si="15"/>
        <v>61.75</v>
      </c>
      <c r="H94" s="1012">
        <f t="shared" si="16"/>
        <v>308.75</v>
      </c>
      <c r="I94" s="1011">
        <f t="shared" si="17"/>
        <v>-5.894496732953392E-6</v>
      </c>
      <c r="J94" s="1009">
        <f t="shared" si="18"/>
        <v>5</v>
      </c>
      <c r="K94" s="1009">
        <f t="shared" si="19"/>
        <v>-6.4777327995551258E-4</v>
      </c>
      <c r="L94" s="1011">
        <f>L92-L93</f>
        <v>-4.0000000037252903E-2</v>
      </c>
      <c r="M94" s="595"/>
      <c r="N94" s="595"/>
      <c r="O94" s="595"/>
      <c r="P94" s="595"/>
      <c r="Q94" s="595"/>
      <c r="R94" s="595"/>
      <c r="S94" s="595"/>
      <c r="T94" s="595"/>
      <c r="U94" s="595"/>
      <c r="V94" s="595"/>
      <c r="W94" s="595"/>
      <c r="X94" s="595"/>
      <c r="Y94" s="595"/>
      <c r="Z94" s="595"/>
    </row>
    <row r="95" spans="1:26">
      <c r="A95" s="1019" t="s">
        <v>1506</v>
      </c>
      <c r="B95" s="979" t="s">
        <v>420</v>
      </c>
      <c r="C95" s="979" t="s">
        <v>333</v>
      </c>
      <c r="D95" s="979" t="s">
        <v>1060</v>
      </c>
      <c r="E95" s="1022">
        <v>1</v>
      </c>
      <c r="F95" s="595"/>
      <c r="G95" s="1009">
        <f t="shared" si="15"/>
        <v>63.11</v>
      </c>
      <c r="H95" s="1012">
        <f t="shared" si="16"/>
        <v>63.11</v>
      </c>
      <c r="I95" s="1011">
        <f t="shared" si="17"/>
        <v>-1.2048637694467648E-6</v>
      </c>
      <c r="J95" s="1009">
        <f t="shared" si="18"/>
        <v>1</v>
      </c>
      <c r="K95" s="1009">
        <f t="shared" si="19"/>
        <v>-6.3381397618844724E-4</v>
      </c>
      <c r="L95" s="595"/>
      <c r="M95" s="595"/>
      <c r="N95" s="595"/>
      <c r="O95" s="595"/>
      <c r="P95" s="595"/>
      <c r="Q95" s="595"/>
      <c r="R95" s="595"/>
      <c r="S95" s="595"/>
      <c r="T95" s="595"/>
      <c r="U95" s="595"/>
      <c r="V95" s="595"/>
      <c r="W95" s="595"/>
      <c r="X95" s="595"/>
      <c r="Y95" s="595"/>
      <c r="Z95" s="595"/>
    </row>
    <row r="96" spans="1:26">
      <c r="A96" s="1019" t="s">
        <v>1506</v>
      </c>
      <c r="B96" s="979" t="s">
        <v>420</v>
      </c>
      <c r="C96" s="979" t="s">
        <v>335</v>
      </c>
      <c r="D96" s="979" t="s">
        <v>1061</v>
      </c>
      <c r="E96" s="1022">
        <v>5</v>
      </c>
      <c r="F96" s="595"/>
      <c r="G96" s="1009">
        <f t="shared" si="15"/>
        <v>80.94</v>
      </c>
      <c r="H96" s="1012">
        <f t="shared" si="16"/>
        <v>404.7</v>
      </c>
      <c r="I96" s="1011">
        <f t="shared" si="17"/>
        <v>-7.7263249484250626E-6</v>
      </c>
      <c r="J96" s="1009">
        <f t="shared" si="18"/>
        <v>5</v>
      </c>
      <c r="K96" s="1009">
        <f t="shared" si="19"/>
        <v>-4.941932300130084E-4</v>
      </c>
      <c r="L96" s="595"/>
      <c r="M96" s="595"/>
      <c r="N96" s="595"/>
      <c r="O96" s="595"/>
      <c r="P96" s="595"/>
      <c r="Q96" s="595"/>
      <c r="R96" s="595"/>
      <c r="S96" s="595"/>
      <c r="T96" s="595"/>
      <c r="U96" s="595"/>
      <c r="V96" s="595"/>
      <c r="W96" s="595"/>
      <c r="X96" s="595"/>
      <c r="Y96" s="595"/>
      <c r="Z96" s="595"/>
    </row>
    <row r="97" spans="1:26">
      <c r="A97" s="1019" t="s">
        <v>1506</v>
      </c>
      <c r="B97" s="979" t="s">
        <v>420</v>
      </c>
      <c r="C97" s="979" t="s">
        <v>336</v>
      </c>
      <c r="D97" s="979" t="s">
        <v>1062</v>
      </c>
      <c r="E97" s="1022">
        <v>9</v>
      </c>
      <c r="F97" s="595"/>
      <c r="G97" s="1009">
        <f t="shared" si="15"/>
        <v>78.97</v>
      </c>
      <c r="H97" s="1012">
        <f t="shared" si="16"/>
        <v>710.73</v>
      </c>
      <c r="I97" s="1011">
        <f t="shared" si="17"/>
        <v>-1.3568892835666283E-5</v>
      </c>
      <c r="J97" s="1009">
        <f t="shared" si="18"/>
        <v>9</v>
      </c>
      <c r="K97" s="1009">
        <f t="shared" si="19"/>
        <v>-5.0652146431876541E-4</v>
      </c>
      <c r="L97" s="595"/>
      <c r="M97" s="595"/>
      <c r="N97" s="595"/>
      <c r="O97" s="595"/>
      <c r="P97" s="595"/>
      <c r="Q97" s="595"/>
      <c r="R97" s="595"/>
      <c r="S97" s="595"/>
      <c r="T97" s="595"/>
      <c r="U97" s="595"/>
      <c r="V97" s="595"/>
      <c r="W97" s="595"/>
      <c r="X97" s="595"/>
      <c r="Y97" s="595"/>
      <c r="Z97" s="595"/>
    </row>
    <row r="98" spans="1:26">
      <c r="A98" s="1019" t="s">
        <v>1506</v>
      </c>
      <c r="B98" s="979" t="s">
        <v>420</v>
      </c>
      <c r="C98" s="979" t="s">
        <v>338</v>
      </c>
      <c r="D98" s="979" t="s">
        <v>1063</v>
      </c>
      <c r="E98" s="1022">
        <v>25</v>
      </c>
      <c r="F98" s="595"/>
      <c r="G98" s="1009">
        <f t="shared" si="15"/>
        <v>61.230000000000004</v>
      </c>
      <c r="H98" s="1012">
        <f t="shared" si="16"/>
        <v>1530.75</v>
      </c>
      <c r="I98" s="1011">
        <f t="shared" si="17"/>
        <v>-2.9224294328642608E-5</v>
      </c>
      <c r="J98" s="1009">
        <f t="shared" si="18"/>
        <v>25</v>
      </c>
      <c r="K98" s="1009">
        <f t="shared" si="19"/>
        <v>-6.5327453923326635E-4</v>
      </c>
      <c r="L98" s="595"/>
      <c r="M98" s="595"/>
      <c r="N98" s="595"/>
      <c r="O98" s="595"/>
      <c r="P98" s="595"/>
      <c r="Q98" s="595"/>
      <c r="R98" s="595"/>
      <c r="S98" s="595"/>
      <c r="T98" s="595"/>
      <c r="U98" s="595"/>
      <c r="V98" s="595"/>
      <c r="W98" s="595"/>
      <c r="X98" s="595"/>
      <c r="Y98" s="595"/>
      <c r="Z98" s="595"/>
    </row>
    <row r="99" spans="1:26">
      <c r="A99" s="1019" t="s">
        <v>1506</v>
      </c>
      <c r="B99" s="979" t="s">
        <v>420</v>
      </c>
      <c r="C99" s="979" t="s">
        <v>339</v>
      </c>
      <c r="D99" s="979" t="s">
        <v>1064</v>
      </c>
      <c r="E99" s="1022">
        <v>1</v>
      </c>
      <c r="F99" s="595"/>
      <c r="G99" s="1009">
        <f t="shared" si="15"/>
        <v>56.69</v>
      </c>
      <c r="H99" s="1012">
        <f t="shared" si="16"/>
        <v>56.69</v>
      </c>
      <c r="I99" s="1011">
        <f t="shared" si="17"/>
        <v>-1.0822964203761224E-6</v>
      </c>
      <c r="J99" s="1009">
        <f t="shared" si="18"/>
        <v>1</v>
      </c>
      <c r="K99" s="1009">
        <f t="shared" si="19"/>
        <v>-7.0559181579207808E-4</v>
      </c>
      <c r="L99" s="595"/>
      <c r="M99" s="595"/>
      <c r="N99" s="595"/>
      <c r="O99" s="595"/>
      <c r="P99" s="595"/>
      <c r="Q99" s="595"/>
      <c r="R99" s="595"/>
      <c r="S99" s="595"/>
      <c r="T99" s="595"/>
      <c r="U99" s="595"/>
      <c r="V99" s="595"/>
      <c r="W99" s="595"/>
      <c r="X99" s="595"/>
      <c r="Y99" s="595"/>
      <c r="Z99" s="595"/>
    </row>
    <row r="100" spans="1:26">
      <c r="A100" s="1019" t="s">
        <v>1506</v>
      </c>
      <c r="B100" s="979" t="s">
        <v>420</v>
      </c>
      <c r="C100" s="979" t="s">
        <v>325</v>
      </c>
      <c r="D100" s="979" t="s">
        <v>1065</v>
      </c>
      <c r="E100" s="1022">
        <v>15</v>
      </c>
      <c r="F100" s="595"/>
      <c r="G100" s="1009">
        <f t="shared" si="15"/>
        <v>74.52</v>
      </c>
      <c r="H100" s="1012">
        <f t="shared" si="16"/>
        <v>1117.8</v>
      </c>
      <c r="I100" s="1011">
        <f t="shared" si="17"/>
        <v>-2.1340464609215554E-5</v>
      </c>
      <c r="J100" s="1009">
        <f t="shared" si="18"/>
        <v>15</v>
      </c>
      <c r="K100" s="1009">
        <f t="shared" si="19"/>
        <v>-5.367686532105865E-4</v>
      </c>
      <c r="L100" s="595"/>
      <c r="M100" s="595"/>
      <c r="N100" s="595"/>
      <c r="O100" s="595"/>
      <c r="P100" s="595"/>
      <c r="Q100" s="595"/>
      <c r="R100" s="595"/>
      <c r="S100" s="595"/>
      <c r="T100" s="595"/>
      <c r="U100" s="595"/>
      <c r="V100" s="595"/>
      <c r="W100" s="595"/>
      <c r="X100" s="595"/>
      <c r="Y100" s="595"/>
      <c r="Z100" s="595"/>
    </row>
    <row r="101" spans="1:26">
      <c r="A101" s="1019" t="s">
        <v>1506</v>
      </c>
      <c r="B101" s="979" t="s">
        <v>420</v>
      </c>
      <c r="C101" s="979" t="s">
        <v>334</v>
      </c>
      <c r="D101" s="979" t="s">
        <v>1066</v>
      </c>
      <c r="E101" s="1022">
        <v>1</v>
      </c>
      <c r="F101" s="595"/>
      <c r="G101" s="1009">
        <f t="shared" si="15"/>
        <v>82.3</v>
      </c>
      <c r="H101" s="1012">
        <f t="shared" si="16"/>
        <v>82.3</v>
      </c>
      <c r="I101" s="1011">
        <f t="shared" si="17"/>
        <v>-1.5712294125410987E-6</v>
      </c>
      <c r="J101" s="1009">
        <f t="shared" si="18"/>
        <v>1</v>
      </c>
      <c r="K101" s="1009">
        <f t="shared" si="19"/>
        <v>-4.8602673192287856E-4</v>
      </c>
      <c r="L101" s="595"/>
      <c r="M101" s="595"/>
      <c r="N101" s="595"/>
      <c r="O101" s="595"/>
      <c r="P101" s="595"/>
      <c r="Q101" s="595"/>
      <c r="R101" s="595"/>
      <c r="S101" s="595"/>
      <c r="T101" s="595"/>
      <c r="U101" s="595"/>
      <c r="V101" s="595"/>
      <c r="W101" s="595"/>
      <c r="X101" s="595"/>
      <c r="Y101" s="595"/>
      <c r="Z101" s="595"/>
    </row>
    <row r="102" spans="1:26">
      <c r="A102" s="1019" t="s">
        <v>1506</v>
      </c>
      <c r="B102" s="979" t="s">
        <v>420</v>
      </c>
      <c r="C102" s="979" t="s">
        <v>326</v>
      </c>
      <c r="D102" s="979" t="s">
        <v>1067</v>
      </c>
      <c r="E102" s="1022">
        <v>20</v>
      </c>
      <c r="F102" s="595"/>
      <c r="G102" s="1009">
        <f t="shared" si="15"/>
        <v>74.52</v>
      </c>
      <c r="H102" s="1012">
        <f t="shared" si="16"/>
        <v>1490.3999999999999</v>
      </c>
      <c r="I102" s="1011">
        <f t="shared" si="17"/>
        <v>-2.8453952812287406E-5</v>
      </c>
      <c r="J102" s="1009">
        <f t="shared" si="18"/>
        <v>20</v>
      </c>
      <c r="K102" s="1009">
        <f t="shared" si="19"/>
        <v>-5.367686532105865E-4</v>
      </c>
      <c r="L102" s="595"/>
      <c r="M102" s="595"/>
      <c r="N102" s="595"/>
      <c r="O102" s="595"/>
      <c r="P102" s="595"/>
      <c r="Q102" s="595"/>
      <c r="R102" s="595"/>
      <c r="S102" s="595"/>
      <c r="T102" s="595"/>
      <c r="U102" s="595"/>
      <c r="V102" s="595"/>
      <c r="W102" s="595"/>
      <c r="X102" s="595"/>
      <c r="Y102" s="595"/>
      <c r="Z102" s="595"/>
    </row>
    <row r="103" spans="1:26">
      <c r="A103" s="1019" t="s">
        <v>1506</v>
      </c>
      <c r="B103" s="979" t="s">
        <v>420</v>
      </c>
      <c r="C103" s="979" t="s">
        <v>330</v>
      </c>
      <c r="D103" s="979" t="s">
        <v>1068</v>
      </c>
      <c r="E103" s="1022">
        <v>4</v>
      </c>
      <c r="F103" s="595"/>
      <c r="G103" s="1009">
        <f t="shared" si="15"/>
        <v>75.88</v>
      </c>
      <c r="H103" s="1012">
        <f t="shared" si="16"/>
        <v>303.52</v>
      </c>
      <c r="I103" s="1011">
        <f t="shared" si="17"/>
        <v>-5.7946482538818248E-6</v>
      </c>
      <c r="J103" s="1009">
        <f t="shared" si="18"/>
        <v>4</v>
      </c>
      <c r="K103" s="1009">
        <f t="shared" si="19"/>
        <v>-5.2714812911508837E-4</v>
      </c>
      <c r="L103" s="595"/>
      <c r="M103" s="595"/>
      <c r="N103" s="595"/>
      <c r="O103" s="595"/>
      <c r="P103" s="595"/>
      <c r="Q103" s="595"/>
      <c r="R103" s="595"/>
      <c r="S103" s="595"/>
      <c r="T103" s="595"/>
      <c r="U103" s="595"/>
      <c r="V103" s="595"/>
      <c r="W103" s="595"/>
      <c r="X103" s="595"/>
      <c r="Y103" s="595"/>
      <c r="Z103" s="595"/>
    </row>
    <row r="104" spans="1:26">
      <c r="A104" s="1019" t="s">
        <v>1506</v>
      </c>
      <c r="B104" s="979" t="s">
        <v>420</v>
      </c>
      <c r="C104" s="979" t="s">
        <v>337</v>
      </c>
      <c r="D104" s="979" t="s">
        <v>1069</v>
      </c>
      <c r="E104" s="1022">
        <v>3</v>
      </c>
      <c r="F104" s="595"/>
      <c r="G104" s="1009">
        <f t="shared" si="15"/>
        <v>78.97</v>
      </c>
      <c r="H104" s="1012">
        <f t="shared" si="16"/>
        <v>236.91</v>
      </c>
      <c r="I104" s="1011">
        <f t="shared" si="17"/>
        <v>-4.5229642785554274E-6</v>
      </c>
      <c r="J104" s="1009">
        <f t="shared" si="18"/>
        <v>3</v>
      </c>
      <c r="K104" s="1009">
        <f t="shared" si="19"/>
        <v>-5.0652146431876541E-4</v>
      </c>
      <c r="L104" s="595"/>
      <c r="M104" s="595"/>
      <c r="N104" s="595"/>
      <c r="O104" s="595"/>
      <c r="P104" s="595"/>
      <c r="Q104" s="595"/>
      <c r="R104" s="595"/>
      <c r="S104" s="595"/>
      <c r="T104" s="595"/>
      <c r="U104" s="595"/>
      <c r="V104" s="595"/>
      <c r="W104" s="595"/>
      <c r="X104" s="595"/>
      <c r="Y104" s="595"/>
      <c r="Z104" s="595"/>
    </row>
    <row r="105" spans="1:26">
      <c r="A105" s="1019" t="s">
        <v>1506</v>
      </c>
      <c r="B105" s="979" t="s">
        <v>420</v>
      </c>
      <c r="C105" s="979" t="s">
        <v>329</v>
      </c>
      <c r="D105" s="979" t="s">
        <v>1070</v>
      </c>
      <c r="E105" s="1022">
        <v>2</v>
      </c>
      <c r="F105" s="595"/>
      <c r="G105" s="1009">
        <f t="shared" si="15"/>
        <v>77.259999999999991</v>
      </c>
      <c r="H105" s="1012">
        <f t="shared" si="16"/>
        <v>154.51999999999998</v>
      </c>
      <c r="I105" s="1011">
        <f t="shared" si="17"/>
        <v>-2.9500166321488524E-6</v>
      </c>
      <c r="J105" s="1009">
        <f t="shared" si="18"/>
        <v>2</v>
      </c>
      <c r="K105" s="1009">
        <f t="shared" si="19"/>
        <v>-5.1773233286633326E-4</v>
      </c>
      <c r="L105" s="595"/>
      <c r="M105" s="595"/>
      <c r="N105" s="595"/>
      <c r="O105" s="595"/>
      <c r="P105" s="595"/>
      <c r="Q105" s="595"/>
      <c r="R105" s="595"/>
      <c r="S105" s="595"/>
      <c r="T105" s="595"/>
      <c r="U105" s="595"/>
      <c r="V105" s="595"/>
      <c r="W105" s="595"/>
      <c r="X105" s="595"/>
      <c r="Y105" s="595"/>
      <c r="Z105" s="595"/>
    </row>
    <row r="106" spans="1:26">
      <c r="A106" s="1019" t="s">
        <v>1506</v>
      </c>
      <c r="B106" s="979" t="s">
        <v>420</v>
      </c>
      <c r="C106" s="979" t="s">
        <v>327</v>
      </c>
      <c r="D106" s="979" t="s">
        <v>1071</v>
      </c>
      <c r="E106" s="1022">
        <v>51</v>
      </c>
      <c r="F106" s="595"/>
      <c r="G106" s="1009">
        <f t="shared" si="15"/>
        <v>64.19</v>
      </c>
      <c r="H106" s="1012">
        <f t="shared" si="16"/>
        <v>3273.69</v>
      </c>
      <c r="I106" s="1011">
        <f t="shared" si="17"/>
        <v>-6.2499611367456496E-5</v>
      </c>
      <c r="J106" s="1009">
        <f t="shared" si="18"/>
        <v>51</v>
      </c>
      <c r="K106" s="1009">
        <f t="shared" si="19"/>
        <v>-6.2315002394847953E-4</v>
      </c>
      <c r="L106" s="595"/>
      <c r="M106" s="595"/>
      <c r="N106" s="595"/>
      <c r="O106" s="595"/>
      <c r="P106" s="595"/>
      <c r="Q106" s="595"/>
      <c r="R106" s="595"/>
      <c r="S106" s="595"/>
      <c r="T106" s="595"/>
      <c r="U106" s="595"/>
      <c r="V106" s="595"/>
      <c r="W106" s="595"/>
      <c r="X106" s="595"/>
      <c r="Y106" s="595"/>
      <c r="Z106" s="595"/>
    </row>
    <row r="107" spans="1:26">
      <c r="A107" s="1019" t="s">
        <v>1506</v>
      </c>
      <c r="B107" s="979" t="s">
        <v>420</v>
      </c>
      <c r="C107" s="979" t="s">
        <v>453</v>
      </c>
      <c r="D107" s="979" t="s">
        <v>1072</v>
      </c>
      <c r="E107" s="1022">
        <v>2</v>
      </c>
      <c r="F107" s="595"/>
      <c r="G107" s="1009">
        <f t="shared" si="15"/>
        <v>75.899999999999991</v>
      </c>
      <c r="H107" s="1012">
        <f t="shared" si="16"/>
        <v>151.79999999999998</v>
      </c>
      <c r="I107" s="1011">
        <f t="shared" si="17"/>
        <v>-2.89808778643668E-6</v>
      </c>
      <c r="J107" s="1009">
        <f t="shared" si="18"/>
        <v>2</v>
      </c>
      <c r="K107" s="1009">
        <f t="shared" si="19"/>
        <v>-5.2700922315221225E-4</v>
      </c>
      <c r="L107" s="595"/>
      <c r="M107" s="595"/>
      <c r="N107" s="595"/>
      <c r="O107" s="595"/>
      <c r="P107" s="595"/>
      <c r="Q107" s="595"/>
      <c r="R107" s="595"/>
      <c r="S107" s="595"/>
      <c r="T107" s="595"/>
      <c r="U107" s="595"/>
      <c r="V107" s="595"/>
      <c r="W107" s="595"/>
      <c r="X107" s="595"/>
      <c r="Y107" s="595"/>
      <c r="Z107" s="595"/>
    </row>
    <row r="108" spans="1:26">
      <c r="A108" s="1019" t="s">
        <v>1506</v>
      </c>
      <c r="B108" s="979" t="s">
        <v>420</v>
      </c>
      <c r="C108" s="979" t="s">
        <v>366</v>
      </c>
      <c r="D108" s="979" t="s">
        <v>1073</v>
      </c>
      <c r="E108" s="1022">
        <v>52</v>
      </c>
      <c r="F108" s="595"/>
      <c r="G108" s="1009">
        <f t="shared" si="15"/>
        <v>14.860000000000001</v>
      </c>
      <c r="H108" s="1012">
        <f t="shared" si="16"/>
        <v>772.72</v>
      </c>
      <c r="I108" s="1011">
        <f t="shared" si="17"/>
        <v>-1.4752374139231566E-5</v>
      </c>
      <c r="J108" s="1009">
        <f t="shared" si="18"/>
        <v>52</v>
      </c>
      <c r="K108" s="1009">
        <f t="shared" si="19"/>
        <v>-2.6917900428837754E-3</v>
      </c>
      <c r="L108" s="595"/>
      <c r="M108" s="595"/>
      <c r="N108" s="595"/>
      <c r="O108" s="595"/>
      <c r="P108" s="595"/>
      <c r="Q108" s="595"/>
      <c r="R108" s="595"/>
      <c r="S108" s="595"/>
      <c r="T108" s="595"/>
      <c r="U108" s="595"/>
      <c r="V108" s="595"/>
      <c r="W108" s="595"/>
      <c r="X108" s="595"/>
      <c r="Y108" s="595"/>
      <c r="Z108" s="595"/>
    </row>
    <row r="109" spans="1:26">
      <c r="A109" s="1019" t="s">
        <v>1506</v>
      </c>
      <c r="B109" s="979" t="s">
        <v>420</v>
      </c>
      <c r="C109" s="979" t="s">
        <v>386</v>
      </c>
      <c r="D109" s="979" t="s">
        <v>1074</v>
      </c>
      <c r="E109" s="1022">
        <v>7337</v>
      </c>
      <c r="F109" s="595"/>
      <c r="G109" s="1009">
        <f t="shared" si="15"/>
        <v>10.570000000000002</v>
      </c>
      <c r="H109" s="1012">
        <f t="shared" si="16"/>
        <v>77552.090000000011</v>
      </c>
      <c r="I109" s="1011">
        <f t="shared" si="17"/>
        <v>-1.480584748627393E-3</v>
      </c>
      <c r="J109" s="1009">
        <f t="shared" si="18"/>
        <v>7337</v>
      </c>
      <c r="K109" s="1009">
        <f t="shared" si="19"/>
        <v>-3.7842951785480505E-3</v>
      </c>
      <c r="L109" s="595"/>
      <c r="M109" s="595"/>
      <c r="N109" s="595"/>
      <c r="O109" s="595"/>
      <c r="P109" s="595"/>
      <c r="Q109" s="595"/>
      <c r="R109" s="595"/>
      <c r="S109" s="595"/>
      <c r="T109" s="595"/>
      <c r="U109" s="595"/>
      <c r="V109" s="595"/>
      <c r="W109" s="595"/>
      <c r="X109" s="595"/>
      <c r="Y109" s="595"/>
      <c r="Z109" s="595"/>
    </row>
    <row r="110" spans="1:26">
      <c r="A110" s="1019" t="s">
        <v>1506</v>
      </c>
      <c r="B110" s="979" t="s">
        <v>420</v>
      </c>
      <c r="C110" s="979" t="s">
        <v>382</v>
      </c>
      <c r="D110" s="979" t="s">
        <v>1075</v>
      </c>
      <c r="E110" s="1022">
        <v>136</v>
      </c>
      <c r="F110" s="595"/>
      <c r="G110" s="1009">
        <f t="shared" si="15"/>
        <v>11.71</v>
      </c>
      <c r="H110" s="1012">
        <f t="shared" si="16"/>
        <v>1592.5600000000002</v>
      </c>
      <c r="I110" s="1011">
        <f t="shared" si="17"/>
        <v>-3.0404339164476942E-5</v>
      </c>
      <c r="J110" s="1009">
        <f t="shared" si="18"/>
        <v>136</v>
      </c>
      <c r="K110" s="1009">
        <f t="shared" si="19"/>
        <v>-3.4158838631300511E-3</v>
      </c>
      <c r="L110" s="595"/>
      <c r="M110" s="595"/>
      <c r="N110" s="595"/>
      <c r="O110" s="595"/>
      <c r="P110" s="595"/>
      <c r="Q110" s="595"/>
      <c r="R110" s="595"/>
      <c r="S110" s="595"/>
      <c r="T110" s="595"/>
      <c r="U110" s="595"/>
      <c r="V110" s="595"/>
      <c r="W110" s="595"/>
      <c r="X110" s="595"/>
      <c r="Y110" s="595"/>
      <c r="Z110" s="595"/>
    </row>
    <row r="111" spans="1:26">
      <c r="A111" s="1019" t="s">
        <v>1506</v>
      </c>
      <c r="B111" s="979" t="s">
        <v>420</v>
      </c>
      <c r="C111" s="979" t="s">
        <v>360</v>
      </c>
      <c r="D111" s="979" t="s">
        <v>1076</v>
      </c>
      <c r="E111" s="1022">
        <v>239</v>
      </c>
      <c r="F111" s="595"/>
      <c r="G111" s="1009">
        <f t="shared" si="15"/>
        <v>20.259999999999998</v>
      </c>
      <c r="H111" s="1012">
        <f t="shared" si="16"/>
        <v>4842.1399999999994</v>
      </c>
      <c r="I111" s="1011">
        <f t="shared" si="17"/>
        <v>-9.244365477085972E-5</v>
      </c>
      <c r="J111" s="1009">
        <f t="shared" si="18"/>
        <v>239</v>
      </c>
      <c r="K111" s="1009">
        <f t="shared" si="19"/>
        <v>-1.9743336642276854E-3</v>
      </c>
      <c r="L111" s="595"/>
      <c r="M111" s="595"/>
      <c r="N111" s="595"/>
      <c r="O111" s="595"/>
      <c r="P111" s="595"/>
      <c r="Q111" s="595"/>
      <c r="R111" s="595"/>
      <c r="S111" s="595"/>
      <c r="T111" s="595"/>
      <c r="U111" s="595"/>
      <c r="V111" s="595"/>
      <c r="W111" s="595"/>
      <c r="X111" s="595"/>
      <c r="Y111" s="595"/>
      <c r="Z111" s="595"/>
    </row>
    <row r="112" spans="1:26">
      <c r="A112" s="1019" t="s">
        <v>1506</v>
      </c>
      <c r="B112" s="979" t="s">
        <v>420</v>
      </c>
      <c r="C112" s="979" t="s">
        <v>368</v>
      </c>
      <c r="D112" s="979" t="s">
        <v>1077</v>
      </c>
      <c r="E112" s="1022">
        <v>144</v>
      </c>
      <c r="F112" s="595"/>
      <c r="G112" s="1009">
        <f t="shared" si="15"/>
        <v>21.38</v>
      </c>
      <c r="H112" s="1012">
        <f t="shared" si="16"/>
        <v>3078.72</v>
      </c>
      <c r="I112" s="1011">
        <f t="shared" si="17"/>
        <v>-5.8777344070213011E-5</v>
      </c>
      <c r="J112" s="1009">
        <f t="shared" si="18"/>
        <v>144</v>
      </c>
      <c r="K112" s="1009">
        <f t="shared" si="19"/>
        <v>-1.8709073918266091E-3</v>
      </c>
      <c r="L112" s="595"/>
      <c r="M112" s="595"/>
      <c r="N112" s="595"/>
      <c r="O112" s="595"/>
      <c r="P112" s="595"/>
      <c r="Q112" s="595"/>
      <c r="R112" s="595"/>
      <c r="S112" s="595"/>
      <c r="T112" s="595"/>
      <c r="U112" s="595"/>
      <c r="V112" s="595"/>
      <c r="W112" s="595"/>
      <c r="X112" s="595"/>
      <c r="Y112" s="595"/>
      <c r="Z112" s="595"/>
    </row>
    <row r="113" spans="1:26">
      <c r="A113" s="1019" t="s">
        <v>1506</v>
      </c>
      <c r="B113" s="979" t="s">
        <v>420</v>
      </c>
      <c r="C113" s="979" t="s">
        <v>370</v>
      </c>
      <c r="D113" s="979" t="s">
        <v>1078</v>
      </c>
      <c r="E113" s="1022">
        <v>28</v>
      </c>
      <c r="F113" s="595"/>
      <c r="G113" s="1009">
        <f t="shared" si="15"/>
        <v>30.84</v>
      </c>
      <c r="H113" s="1012">
        <f t="shared" si="16"/>
        <v>863.52</v>
      </c>
      <c r="I113" s="1011">
        <f t="shared" si="17"/>
        <v>-1.6485881194623203E-5</v>
      </c>
      <c r="J113" s="1009">
        <f t="shared" si="18"/>
        <v>28</v>
      </c>
      <c r="K113" s="1009">
        <f t="shared" si="19"/>
        <v>-1.2970168624271369E-3</v>
      </c>
      <c r="L113" s="595"/>
      <c r="M113" s="595"/>
      <c r="N113" s="595"/>
      <c r="O113" s="595"/>
      <c r="P113" s="595"/>
      <c r="Q113" s="595"/>
      <c r="R113" s="595"/>
      <c r="S113" s="595"/>
      <c r="T113" s="595"/>
      <c r="U113" s="595"/>
      <c r="V113" s="595"/>
      <c r="W113" s="595"/>
      <c r="X113" s="595"/>
      <c r="Y113" s="595"/>
      <c r="Z113" s="595"/>
    </row>
    <row r="114" spans="1:26">
      <c r="A114" s="1019" t="s">
        <v>1506</v>
      </c>
      <c r="B114" s="979" t="s">
        <v>420</v>
      </c>
      <c r="C114" s="979" t="s">
        <v>393</v>
      </c>
      <c r="D114" s="979" t="s">
        <v>1079</v>
      </c>
      <c r="E114" s="1022">
        <v>96</v>
      </c>
      <c r="F114" s="595"/>
      <c r="G114" s="1009">
        <f t="shared" si="15"/>
        <v>31.22</v>
      </c>
      <c r="H114" s="1012">
        <f t="shared" si="16"/>
        <v>2997.12</v>
      </c>
      <c r="I114" s="1011">
        <f t="shared" si="17"/>
        <v>-5.7219478698847843E-5</v>
      </c>
      <c r="J114" s="1009">
        <f t="shared" si="18"/>
        <v>96</v>
      </c>
      <c r="K114" s="1009">
        <f t="shared" si="19"/>
        <v>-1.2812299819747886E-3</v>
      </c>
      <c r="L114" s="595"/>
      <c r="M114" s="595"/>
      <c r="N114" s="595"/>
      <c r="O114" s="595"/>
      <c r="P114" s="595"/>
      <c r="Q114" s="595"/>
      <c r="R114" s="595"/>
      <c r="S114" s="595"/>
      <c r="T114" s="595"/>
      <c r="U114" s="595"/>
      <c r="V114" s="595"/>
      <c r="W114" s="595"/>
      <c r="X114" s="595"/>
      <c r="Y114" s="595"/>
      <c r="Z114" s="595"/>
    </row>
    <row r="115" spans="1:26">
      <c r="A115" s="1019" t="s">
        <v>1506</v>
      </c>
      <c r="B115" s="979" t="s">
        <v>420</v>
      </c>
      <c r="C115" s="979" t="s">
        <v>371</v>
      </c>
      <c r="D115" s="979" t="s">
        <v>1080</v>
      </c>
      <c r="E115" s="1022">
        <v>21</v>
      </c>
      <c r="F115" s="595"/>
      <c r="G115" s="1009">
        <f t="shared" si="15"/>
        <v>30.84</v>
      </c>
      <c r="H115" s="1012">
        <f t="shared" si="16"/>
        <v>647.64</v>
      </c>
      <c r="I115" s="1011">
        <f t="shared" si="17"/>
        <v>-1.2364410895967401E-5</v>
      </c>
      <c r="J115" s="1009">
        <f t="shared" si="18"/>
        <v>21</v>
      </c>
      <c r="K115" s="1009">
        <f t="shared" si="19"/>
        <v>-1.2970168624271369E-3</v>
      </c>
      <c r="L115" s="595"/>
      <c r="M115" s="595"/>
      <c r="N115" s="595"/>
      <c r="O115" s="595"/>
      <c r="P115" s="595"/>
      <c r="Q115" s="595"/>
      <c r="R115" s="595"/>
      <c r="S115" s="595"/>
      <c r="T115" s="595"/>
      <c r="U115" s="595"/>
      <c r="V115" s="595"/>
      <c r="W115" s="595"/>
      <c r="X115" s="595"/>
      <c r="Y115" s="595"/>
      <c r="Z115" s="595"/>
    </row>
    <row r="116" spans="1:26">
      <c r="A116" s="1019" t="s">
        <v>1506</v>
      </c>
      <c r="B116" s="979" t="s">
        <v>420</v>
      </c>
      <c r="C116" s="979" t="s">
        <v>394</v>
      </c>
      <c r="D116" s="979" t="s">
        <v>1081</v>
      </c>
      <c r="E116" s="1022">
        <v>10</v>
      </c>
      <c r="F116" s="595"/>
      <c r="G116" s="1009">
        <f t="shared" si="15"/>
        <v>31.22</v>
      </c>
      <c r="H116" s="1012">
        <f t="shared" si="16"/>
        <v>312.2</v>
      </c>
      <c r="I116" s="1011">
        <f t="shared" si="17"/>
        <v>-5.9603623644633168E-6</v>
      </c>
      <c r="J116" s="1009">
        <f t="shared" si="18"/>
        <v>10</v>
      </c>
      <c r="K116" s="1009">
        <f t="shared" si="19"/>
        <v>-1.2812299819747886E-3</v>
      </c>
      <c r="L116" s="595"/>
      <c r="M116" s="595"/>
      <c r="N116" s="595"/>
      <c r="O116" s="595"/>
      <c r="P116" s="595"/>
      <c r="Q116" s="595"/>
      <c r="R116" s="595"/>
      <c r="S116" s="595"/>
      <c r="T116" s="595"/>
      <c r="U116" s="595"/>
      <c r="V116" s="595"/>
      <c r="W116" s="595"/>
      <c r="X116" s="595"/>
      <c r="Y116" s="595"/>
      <c r="Z116" s="595"/>
    </row>
    <row r="117" spans="1:26">
      <c r="A117" s="1019" t="s">
        <v>1506</v>
      </c>
      <c r="B117" s="979" t="s">
        <v>420</v>
      </c>
      <c r="C117" s="979" t="s">
        <v>389</v>
      </c>
      <c r="D117" s="979" t="s">
        <v>1082</v>
      </c>
      <c r="E117" s="1022">
        <v>462</v>
      </c>
      <c r="F117" s="595"/>
      <c r="G117" s="1009">
        <f t="shared" si="15"/>
        <v>15.360000000000001</v>
      </c>
      <c r="H117" s="1012">
        <f t="shared" si="16"/>
        <v>7096.3200000000006</v>
      </c>
      <c r="I117" s="1011">
        <f t="shared" si="17"/>
        <v>-1.3547930382507473E-4</v>
      </c>
      <c r="J117" s="1009">
        <f t="shared" si="18"/>
        <v>462</v>
      </c>
      <c r="K117" s="1009">
        <f t="shared" si="19"/>
        <v>-2.6041666690919856E-3</v>
      </c>
      <c r="L117" s="595"/>
      <c r="M117" s="595"/>
      <c r="N117" s="595"/>
      <c r="O117" s="595"/>
      <c r="P117" s="595"/>
      <c r="Q117" s="595"/>
      <c r="R117" s="595"/>
      <c r="S117" s="595"/>
      <c r="T117" s="595"/>
      <c r="U117" s="595"/>
      <c r="V117" s="595"/>
      <c r="W117" s="595"/>
      <c r="X117" s="595"/>
      <c r="Y117" s="595"/>
      <c r="Z117" s="595"/>
    </row>
    <row r="118" spans="1:26">
      <c r="A118" s="1019" t="s">
        <v>1506</v>
      </c>
      <c r="B118" s="979" t="s">
        <v>420</v>
      </c>
      <c r="C118" s="979" t="s">
        <v>310</v>
      </c>
      <c r="D118" s="979" t="s">
        <v>1083</v>
      </c>
      <c r="E118" s="1022">
        <v>5</v>
      </c>
      <c r="F118" s="595"/>
      <c r="G118" s="1009">
        <f t="shared" si="15"/>
        <v>3.39</v>
      </c>
      <c r="H118" s="1012">
        <f t="shared" si="16"/>
        <v>16.95</v>
      </c>
      <c r="I118" s="1011">
        <f t="shared" si="17"/>
        <v>-3.2360071133136839E-7</v>
      </c>
      <c r="J118" s="1009">
        <f t="shared" si="18"/>
        <v>5</v>
      </c>
      <c r="K118" s="1009">
        <f t="shared" si="19"/>
        <v>-1.1799410040487582E-2</v>
      </c>
      <c r="L118" s="595"/>
      <c r="M118" s="595"/>
      <c r="N118" s="595"/>
      <c r="O118" s="595"/>
      <c r="P118" s="595"/>
      <c r="Q118" s="595"/>
      <c r="R118" s="595"/>
      <c r="S118" s="595"/>
      <c r="T118" s="595"/>
      <c r="U118" s="595"/>
      <c r="V118" s="595"/>
      <c r="W118" s="595"/>
      <c r="X118" s="595"/>
      <c r="Y118" s="595"/>
      <c r="Z118" s="595"/>
    </row>
    <row r="119" spans="1:26">
      <c r="A119" s="1019" t="s">
        <v>1506</v>
      </c>
      <c r="B119" s="979" t="s">
        <v>420</v>
      </c>
      <c r="C119" s="979" t="s">
        <v>340</v>
      </c>
      <c r="D119" s="979" t="s">
        <v>1084</v>
      </c>
      <c r="E119" s="1022">
        <v>686</v>
      </c>
      <c r="F119" s="595"/>
      <c r="G119" s="1009">
        <f t="shared" si="15"/>
        <v>4.5400000000000009</v>
      </c>
      <c r="H119" s="1012">
        <f t="shared" si="16"/>
        <v>3114.4400000000005</v>
      </c>
      <c r="I119" s="1011">
        <f t="shared" si="17"/>
        <v>-5.9459291999933166E-5</v>
      </c>
      <c r="J119" s="1009">
        <f t="shared" si="18"/>
        <v>686</v>
      </c>
      <c r="K119" s="1009">
        <f t="shared" si="19"/>
        <v>-8.8105726954301536E-3</v>
      </c>
      <c r="L119" s="595"/>
      <c r="M119" s="595"/>
      <c r="N119" s="595"/>
      <c r="O119" s="595"/>
      <c r="P119" s="595"/>
      <c r="Q119" s="595"/>
      <c r="R119" s="595"/>
      <c r="S119" s="595"/>
      <c r="T119" s="595"/>
      <c r="U119" s="595"/>
      <c r="V119" s="595"/>
      <c r="W119" s="595"/>
      <c r="X119" s="595"/>
      <c r="Y119" s="595"/>
      <c r="Z119" s="595"/>
    </row>
    <row r="120" spans="1:26">
      <c r="A120" s="1019" t="s">
        <v>1506</v>
      </c>
      <c r="B120" s="979" t="s">
        <v>420</v>
      </c>
      <c r="C120" s="979" t="s">
        <v>358</v>
      </c>
      <c r="D120" s="979" t="s">
        <v>1085</v>
      </c>
      <c r="E120" s="1022">
        <v>87</v>
      </c>
      <c r="F120" s="595"/>
      <c r="G120" s="1009">
        <f t="shared" si="15"/>
        <v>6.78</v>
      </c>
      <c r="H120" s="1012">
        <f t="shared" si="16"/>
        <v>589.86</v>
      </c>
      <c r="I120" s="1011">
        <f t="shared" si="17"/>
        <v>-1.1261304754331621E-5</v>
      </c>
      <c r="J120" s="1009">
        <f t="shared" si="18"/>
        <v>87</v>
      </c>
      <c r="K120" s="1009">
        <f t="shared" si="19"/>
        <v>-5.8997050202437909E-3</v>
      </c>
      <c r="L120" s="595"/>
      <c r="M120" s="595"/>
      <c r="N120" s="595"/>
      <c r="O120" s="595"/>
      <c r="P120" s="595"/>
      <c r="Q120" s="595"/>
      <c r="R120" s="595"/>
      <c r="S120" s="595"/>
      <c r="T120" s="595"/>
      <c r="U120" s="595"/>
      <c r="V120" s="595"/>
      <c r="W120" s="595"/>
      <c r="X120" s="595"/>
      <c r="Y120" s="595"/>
      <c r="Z120" s="595"/>
    </row>
    <row r="121" spans="1:26">
      <c r="A121" s="1019" t="s">
        <v>1506</v>
      </c>
      <c r="B121" s="979" t="s">
        <v>420</v>
      </c>
      <c r="C121" s="979" t="s">
        <v>383</v>
      </c>
      <c r="D121" s="979" t="s">
        <v>1086</v>
      </c>
      <c r="E121" s="1022">
        <v>2</v>
      </c>
      <c r="F121" s="595"/>
      <c r="G121" s="1009">
        <f t="shared" si="15"/>
        <v>9.06</v>
      </c>
      <c r="H121" s="1012">
        <f t="shared" si="16"/>
        <v>18.12</v>
      </c>
      <c r="I121" s="1011">
        <f t="shared" si="17"/>
        <v>-3.4593775158256023E-7</v>
      </c>
      <c r="J121" s="1009">
        <f t="shared" si="18"/>
        <v>2</v>
      </c>
      <c r="K121" s="1009">
        <f t="shared" si="19"/>
        <v>-4.4150110416393933E-3</v>
      </c>
      <c r="L121" s="595"/>
      <c r="M121" s="595"/>
      <c r="N121" s="595"/>
      <c r="O121" s="595"/>
      <c r="P121" s="595"/>
      <c r="Q121" s="595"/>
      <c r="R121" s="595"/>
      <c r="S121" s="595"/>
      <c r="T121" s="595"/>
      <c r="U121" s="595"/>
      <c r="V121" s="595"/>
      <c r="W121" s="595"/>
      <c r="X121" s="595"/>
      <c r="Y121" s="595"/>
      <c r="Z121" s="595"/>
    </row>
    <row r="122" spans="1:26">
      <c r="A122" s="1019" t="s">
        <v>1506</v>
      </c>
      <c r="B122" s="979" t="s">
        <v>420</v>
      </c>
      <c r="C122" s="979" t="s">
        <v>375</v>
      </c>
      <c r="D122" s="979" t="s">
        <v>1087</v>
      </c>
      <c r="E122" s="1022">
        <v>171</v>
      </c>
      <c r="F122" s="595"/>
      <c r="G122" s="1009">
        <f t="shared" si="15"/>
        <v>7.4399999999999995</v>
      </c>
      <c r="H122" s="1012">
        <f t="shared" si="16"/>
        <v>1272.24</v>
      </c>
      <c r="I122" s="1011">
        <f t="shared" si="17"/>
        <v>-2.4288953922372874E-5</v>
      </c>
      <c r="J122" s="1009">
        <f t="shared" si="18"/>
        <v>171</v>
      </c>
      <c r="K122" s="1009">
        <f t="shared" si="19"/>
        <v>-5.376344091028616E-3</v>
      </c>
      <c r="L122" s="595"/>
      <c r="M122" s="595"/>
      <c r="N122" s="595"/>
      <c r="O122" s="595"/>
      <c r="P122" s="595"/>
      <c r="Q122" s="595"/>
      <c r="R122" s="595"/>
      <c r="S122" s="595"/>
      <c r="T122" s="595"/>
      <c r="U122" s="595"/>
      <c r="V122" s="595"/>
      <c r="W122" s="595"/>
      <c r="X122" s="595"/>
      <c r="Y122" s="595"/>
      <c r="Z122" s="595"/>
    </row>
    <row r="123" spans="1:26">
      <c r="A123" s="1019" t="s">
        <v>1506</v>
      </c>
      <c r="B123" s="979" t="s">
        <v>420</v>
      </c>
      <c r="C123" s="979" t="s">
        <v>400</v>
      </c>
      <c r="D123" s="979" t="s">
        <v>1088</v>
      </c>
      <c r="E123" s="1022">
        <v>36624</v>
      </c>
      <c r="F123" s="595"/>
      <c r="G123" s="1009">
        <f t="shared" ref="G123:G154" si="20">SUMIF(_Lights_Tariff_Category,20140101&amp;$C123,_Lights_Rates)</f>
        <v>7.84</v>
      </c>
      <c r="H123" s="1012">
        <f t="shared" ref="H123:H154" si="21">E123*G123</f>
        <v>287132.15999999997</v>
      </c>
      <c r="I123" s="1011">
        <f t="shared" si="17"/>
        <v>-5.4817800131039696E-3</v>
      </c>
      <c r="J123" s="1009">
        <f t="shared" si="18"/>
        <v>36624</v>
      </c>
      <c r="K123" s="1009">
        <f t="shared" si="19"/>
        <v>-5.1020408210781763E-3</v>
      </c>
      <c r="L123" s="595"/>
      <c r="M123" s="595"/>
      <c r="N123" s="595"/>
      <c r="O123" s="595"/>
      <c r="P123" s="595"/>
      <c r="Q123" s="595"/>
      <c r="R123" s="595"/>
      <c r="S123" s="595"/>
      <c r="T123" s="595"/>
      <c r="U123" s="595"/>
      <c r="V123" s="595"/>
      <c r="W123" s="595"/>
      <c r="X123" s="595"/>
      <c r="Y123" s="595"/>
      <c r="Z123" s="595"/>
    </row>
    <row r="124" spans="1:26">
      <c r="A124" s="1019" t="s">
        <v>1506</v>
      </c>
      <c r="B124" s="979" t="s">
        <v>420</v>
      </c>
      <c r="C124" s="979" t="s">
        <v>391</v>
      </c>
      <c r="D124" s="979" t="s">
        <v>1089</v>
      </c>
      <c r="E124" s="1022">
        <v>1149</v>
      </c>
      <c r="F124" s="595"/>
      <c r="G124" s="1009">
        <f t="shared" si="20"/>
        <v>22</v>
      </c>
      <c r="H124" s="1012">
        <f t="shared" si="21"/>
        <v>25278</v>
      </c>
      <c r="I124" s="1011">
        <f t="shared" si="17"/>
        <v>-4.8259461835010802E-4</v>
      </c>
      <c r="J124" s="1009">
        <f t="shared" si="18"/>
        <v>1149</v>
      </c>
      <c r="K124" s="1009">
        <f t="shared" si="19"/>
        <v>-1.8181818198751319E-3</v>
      </c>
      <c r="L124" s="595"/>
      <c r="M124" s="595"/>
      <c r="N124" s="595"/>
      <c r="O124" s="595"/>
      <c r="P124" s="595"/>
      <c r="Q124" s="595"/>
      <c r="R124" s="595"/>
      <c r="S124" s="595"/>
      <c r="T124" s="595"/>
      <c r="U124" s="595"/>
      <c r="V124" s="595"/>
      <c r="W124" s="595"/>
      <c r="X124" s="595"/>
      <c r="Y124" s="595"/>
      <c r="Z124" s="595"/>
    </row>
    <row r="125" spans="1:26">
      <c r="A125" s="1019" t="s">
        <v>1506</v>
      </c>
      <c r="B125" s="979" t="s">
        <v>420</v>
      </c>
      <c r="C125" s="979" t="s">
        <v>357</v>
      </c>
      <c r="D125" s="979" t="s">
        <v>1090</v>
      </c>
      <c r="E125" s="1022">
        <v>6</v>
      </c>
      <c r="F125" s="595"/>
      <c r="G125" s="1009">
        <f t="shared" si="20"/>
        <v>7.74</v>
      </c>
      <c r="H125" s="1012">
        <f t="shared" si="21"/>
        <v>46.44</v>
      </c>
      <c r="I125" s="1011">
        <f t="shared" si="17"/>
        <v>-8.8660867458576694E-7</v>
      </c>
      <c r="J125" s="1009">
        <f t="shared" si="18"/>
        <v>6</v>
      </c>
      <c r="K125" s="1009">
        <f t="shared" si="19"/>
        <v>-5.1679586611437858E-3</v>
      </c>
      <c r="L125" s="595"/>
      <c r="M125" s="595"/>
      <c r="N125" s="595"/>
      <c r="O125" s="595"/>
      <c r="P125" s="595"/>
      <c r="Q125" s="595"/>
      <c r="R125" s="595"/>
      <c r="S125" s="595"/>
      <c r="T125" s="595"/>
      <c r="U125" s="595"/>
      <c r="V125" s="595"/>
      <c r="W125" s="595"/>
      <c r="X125" s="595"/>
      <c r="Y125" s="595"/>
      <c r="Z125" s="595"/>
    </row>
    <row r="126" spans="1:26">
      <c r="A126" s="1019" t="s">
        <v>1506</v>
      </c>
      <c r="B126" s="979" t="s">
        <v>420</v>
      </c>
      <c r="C126" s="979" t="s">
        <v>359</v>
      </c>
      <c r="D126" s="979" t="s">
        <v>1091</v>
      </c>
      <c r="E126" s="1022">
        <v>2</v>
      </c>
      <c r="F126" s="595"/>
      <c r="G126" s="1009">
        <f t="shared" si="20"/>
        <v>13.610000000000001</v>
      </c>
      <c r="H126" s="1012">
        <f t="shared" si="21"/>
        <v>27.220000000000002</v>
      </c>
      <c r="I126" s="1011">
        <f t="shared" si="17"/>
        <v>-5.1967028686960762E-7</v>
      </c>
      <c r="J126" s="1009">
        <f t="shared" si="18"/>
        <v>2</v>
      </c>
      <c r="K126" s="1009">
        <f t="shared" si="19"/>
        <v>-2.9390154325681776E-3</v>
      </c>
      <c r="L126" s="595"/>
      <c r="M126" s="595"/>
      <c r="N126" s="595"/>
      <c r="O126" s="595"/>
      <c r="P126" s="595"/>
      <c r="Q126" s="595"/>
      <c r="R126" s="595"/>
      <c r="S126" s="595"/>
      <c r="T126" s="595"/>
      <c r="U126" s="595"/>
      <c r="V126" s="595"/>
      <c r="W126" s="595"/>
      <c r="X126" s="595"/>
      <c r="Y126" s="595"/>
      <c r="Z126" s="595"/>
    </row>
    <row r="127" spans="1:26">
      <c r="A127" s="1019" t="s">
        <v>1506</v>
      </c>
      <c r="B127" s="979" t="s">
        <v>420</v>
      </c>
      <c r="C127" s="979" t="s">
        <v>385</v>
      </c>
      <c r="D127" s="979" t="s">
        <v>1092</v>
      </c>
      <c r="E127" s="1022">
        <v>1082</v>
      </c>
      <c r="F127" s="595"/>
      <c r="G127" s="1009">
        <f t="shared" si="20"/>
        <v>9.5600000000000023</v>
      </c>
      <c r="H127" s="1012">
        <f t="shared" si="21"/>
        <v>10343.920000000002</v>
      </c>
      <c r="I127" s="1011">
        <f t="shared" si="17"/>
        <v>-1.9748081828641705E-4</v>
      </c>
      <c r="J127" s="1009">
        <f t="shared" si="18"/>
        <v>1082</v>
      </c>
      <c r="K127" s="1009">
        <f t="shared" si="19"/>
        <v>-4.1841004223067881E-3</v>
      </c>
      <c r="L127" s="595"/>
      <c r="M127" s="595"/>
      <c r="N127" s="595"/>
      <c r="O127" s="595"/>
      <c r="P127" s="595"/>
      <c r="Q127" s="595"/>
      <c r="R127" s="595"/>
      <c r="S127" s="595"/>
      <c r="T127" s="595"/>
      <c r="U127" s="595"/>
      <c r="V127" s="595"/>
      <c r="W127" s="595"/>
      <c r="X127" s="595"/>
      <c r="Y127" s="595"/>
      <c r="Z127" s="595"/>
    </row>
    <row r="128" spans="1:26">
      <c r="A128" s="1019" t="s">
        <v>1506</v>
      </c>
      <c r="B128" s="979" t="s">
        <v>420</v>
      </c>
      <c r="C128" s="979" t="s">
        <v>312</v>
      </c>
      <c r="D128" s="979" t="s">
        <v>1093</v>
      </c>
      <c r="E128" s="1022">
        <v>752</v>
      </c>
      <c r="F128" s="595"/>
      <c r="G128" s="1009">
        <f t="shared" si="20"/>
        <v>11.32</v>
      </c>
      <c r="H128" s="1012">
        <f t="shared" si="21"/>
        <v>8512.64</v>
      </c>
      <c r="I128" s="1011">
        <f t="shared" si="17"/>
        <v>-1.6251895925120118E-4</v>
      </c>
      <c r="J128" s="1009">
        <f t="shared" si="18"/>
        <v>752</v>
      </c>
      <c r="K128" s="1009">
        <f t="shared" si="19"/>
        <v>-3.5335689078845318E-3</v>
      </c>
      <c r="L128" s="595"/>
      <c r="M128" s="595"/>
      <c r="N128" s="595"/>
      <c r="O128" s="595"/>
      <c r="P128" s="595"/>
      <c r="Q128" s="595"/>
      <c r="R128" s="595"/>
      <c r="S128" s="595"/>
      <c r="T128" s="595"/>
      <c r="U128" s="595"/>
      <c r="V128" s="595"/>
      <c r="W128" s="595"/>
      <c r="X128" s="595"/>
      <c r="Y128" s="595"/>
      <c r="Z128" s="595"/>
    </row>
    <row r="129" spans="1:26">
      <c r="A129" s="1019" t="s">
        <v>1506</v>
      </c>
      <c r="B129" s="979" t="s">
        <v>420</v>
      </c>
      <c r="C129" s="979" t="s">
        <v>421</v>
      </c>
      <c r="D129" s="979" t="s">
        <v>1094</v>
      </c>
      <c r="E129" s="1022">
        <v>1493</v>
      </c>
      <c r="F129" s="595"/>
      <c r="G129" s="1009">
        <f t="shared" si="20"/>
        <v>12.809999999999999</v>
      </c>
      <c r="H129" s="1012">
        <f t="shared" si="21"/>
        <v>19125.329999999998</v>
      </c>
      <c r="I129" s="1011">
        <f t="shared" si="17"/>
        <v>-3.6513099660455222E-4</v>
      </c>
      <c r="J129" s="1009">
        <f t="shared" si="18"/>
        <v>1493</v>
      </c>
      <c r="K129" s="1009">
        <f t="shared" si="19"/>
        <v>-3.1225605025177912E-3</v>
      </c>
      <c r="L129" s="595"/>
      <c r="M129" s="595"/>
      <c r="N129" s="595"/>
      <c r="O129" s="595"/>
      <c r="P129" s="595"/>
      <c r="Q129" s="595"/>
      <c r="R129" s="595"/>
      <c r="S129" s="595"/>
      <c r="T129" s="595"/>
      <c r="U129" s="595"/>
      <c r="V129" s="595"/>
      <c r="W129" s="595"/>
      <c r="X129" s="595"/>
      <c r="Y129" s="595"/>
      <c r="Z129" s="595"/>
    </row>
    <row r="130" spans="1:26">
      <c r="A130" s="1019" t="s">
        <v>1506</v>
      </c>
      <c r="B130" s="979" t="s">
        <v>420</v>
      </c>
      <c r="C130" s="979" t="s">
        <v>322</v>
      </c>
      <c r="D130" s="979" t="s">
        <v>1095</v>
      </c>
      <c r="E130" s="1022">
        <v>660</v>
      </c>
      <c r="F130" s="595"/>
      <c r="G130" s="1009">
        <f t="shared" si="20"/>
        <v>14.25</v>
      </c>
      <c r="H130" s="1012">
        <f t="shared" si="21"/>
        <v>9405</v>
      </c>
      <c r="I130" s="1011">
        <f t="shared" si="17"/>
        <v>-1.7955543894227258E-4</v>
      </c>
      <c r="J130" s="1009">
        <f t="shared" si="18"/>
        <v>660</v>
      </c>
      <c r="K130" s="1009">
        <f t="shared" si="19"/>
        <v>-2.807017546473888E-3</v>
      </c>
      <c r="L130" s="595"/>
      <c r="M130" s="595"/>
      <c r="N130" s="595"/>
      <c r="O130" s="595"/>
      <c r="P130" s="595"/>
      <c r="Q130" s="595"/>
      <c r="R130" s="595"/>
      <c r="S130" s="595"/>
      <c r="T130" s="595"/>
      <c r="U130" s="595"/>
      <c r="V130" s="595"/>
      <c r="W130" s="595"/>
      <c r="X130" s="595"/>
      <c r="Y130" s="595"/>
      <c r="Z130" s="595"/>
    </row>
    <row r="131" spans="1:26">
      <c r="A131" s="1019" t="s">
        <v>1506</v>
      </c>
      <c r="B131" s="979" t="s">
        <v>420</v>
      </c>
      <c r="C131" s="979" t="s">
        <v>354</v>
      </c>
      <c r="D131" s="979" t="s">
        <v>1096</v>
      </c>
      <c r="E131" s="1022">
        <v>5069</v>
      </c>
      <c r="F131" s="595"/>
      <c r="G131" s="1009">
        <f t="shared" si="20"/>
        <v>20.200000000000003</v>
      </c>
      <c r="H131" s="1012">
        <f t="shared" si="21"/>
        <v>102393.80000000002</v>
      </c>
      <c r="I131" s="1011">
        <f t="shared" si="17"/>
        <v>-1.954849941942294E-3</v>
      </c>
      <c r="J131" s="1009">
        <f t="shared" si="18"/>
        <v>5069</v>
      </c>
      <c r="K131" s="1009">
        <f t="shared" si="19"/>
        <v>-1.980198021646183E-3</v>
      </c>
      <c r="L131" s="595"/>
      <c r="M131" s="595"/>
      <c r="N131" s="595"/>
      <c r="O131" s="595"/>
      <c r="P131" s="595"/>
      <c r="Q131" s="595"/>
      <c r="R131" s="595"/>
      <c r="S131" s="595"/>
      <c r="T131" s="595"/>
      <c r="U131" s="595"/>
      <c r="V131" s="595"/>
      <c r="W131" s="595"/>
      <c r="X131" s="595"/>
      <c r="Y131" s="595"/>
      <c r="Z131" s="595"/>
    </row>
    <row r="132" spans="1:26">
      <c r="A132" s="1019" t="s">
        <v>1506</v>
      </c>
      <c r="B132" s="979" t="s">
        <v>420</v>
      </c>
      <c r="C132" s="979" t="s">
        <v>317</v>
      </c>
      <c r="D132" s="979" t="s">
        <v>1097</v>
      </c>
      <c r="E132" s="1022">
        <v>1038</v>
      </c>
      <c r="F132" s="595"/>
      <c r="G132" s="1009">
        <f t="shared" si="20"/>
        <v>42.350000000000009</v>
      </c>
      <c r="H132" s="1012">
        <f t="shared" si="21"/>
        <v>43959.30000000001</v>
      </c>
      <c r="I132" s="1011">
        <f t="shared" si="17"/>
        <v>-8.3924842180702227E-4</v>
      </c>
      <c r="J132" s="1009">
        <f t="shared" si="18"/>
        <v>1038</v>
      </c>
      <c r="K132" s="1009">
        <f t="shared" si="19"/>
        <v>-9.4451003629876962E-4</v>
      </c>
      <c r="L132" s="595"/>
      <c r="M132" s="595"/>
      <c r="N132" s="595"/>
      <c r="O132" s="595"/>
      <c r="P132" s="595"/>
      <c r="Q132" s="595"/>
      <c r="R132" s="595"/>
      <c r="S132" s="595"/>
      <c r="T132" s="595"/>
      <c r="U132" s="595"/>
      <c r="V132" s="595"/>
      <c r="W132" s="595"/>
      <c r="X132" s="595"/>
      <c r="Y132" s="595"/>
      <c r="Z132" s="595"/>
    </row>
    <row r="133" spans="1:26">
      <c r="A133" s="1019" t="s">
        <v>1506</v>
      </c>
      <c r="B133" s="979" t="s">
        <v>420</v>
      </c>
      <c r="C133" s="979" t="s">
        <v>320</v>
      </c>
      <c r="D133" s="979" t="s">
        <v>1098</v>
      </c>
      <c r="E133" s="1022">
        <v>155</v>
      </c>
      <c r="F133" s="595"/>
      <c r="G133" s="1009">
        <f t="shared" si="20"/>
        <v>18.649999999999999</v>
      </c>
      <c r="H133" s="1012">
        <f t="shared" si="21"/>
        <v>2890.75</v>
      </c>
      <c r="I133" s="1011">
        <f t="shared" si="17"/>
        <v>-5.5188717184728815E-5</v>
      </c>
      <c r="J133" s="1009">
        <f t="shared" si="18"/>
        <v>155</v>
      </c>
      <c r="K133" s="1009">
        <f t="shared" si="19"/>
        <v>-2.1447721199599414E-3</v>
      </c>
      <c r="L133" s="595"/>
      <c r="M133" s="595"/>
      <c r="N133" s="595"/>
      <c r="O133" s="595"/>
      <c r="P133" s="595"/>
      <c r="Q133" s="595"/>
      <c r="R133" s="595"/>
      <c r="S133" s="595"/>
      <c r="T133" s="595"/>
      <c r="U133" s="595"/>
      <c r="V133" s="595"/>
      <c r="W133" s="595"/>
      <c r="X133" s="595"/>
      <c r="Y133" s="595"/>
      <c r="Z133" s="595"/>
    </row>
    <row r="134" spans="1:26">
      <c r="A134" s="1019" t="s">
        <v>1506</v>
      </c>
      <c r="B134" s="979" t="s">
        <v>420</v>
      </c>
      <c r="C134" s="979" t="s">
        <v>352</v>
      </c>
      <c r="D134" s="979" t="s">
        <v>1099</v>
      </c>
      <c r="E134" s="1022">
        <v>1014</v>
      </c>
      <c r="F134" s="595"/>
      <c r="G134" s="1009">
        <f t="shared" si="20"/>
        <v>24.59</v>
      </c>
      <c r="H134" s="1012">
        <f t="shared" si="21"/>
        <v>24934.26</v>
      </c>
      <c r="I134" s="1011">
        <f t="shared" si="17"/>
        <v>-4.7603211047323222E-4</v>
      </c>
      <c r="J134" s="1009">
        <f t="shared" si="18"/>
        <v>1014</v>
      </c>
      <c r="K134" s="1009">
        <f t="shared" si="19"/>
        <v>-1.6266775126983694E-3</v>
      </c>
      <c r="L134" s="595"/>
      <c r="M134" s="595"/>
      <c r="N134" s="595"/>
      <c r="O134" s="595"/>
      <c r="P134" s="595"/>
      <c r="Q134" s="595"/>
      <c r="R134" s="595"/>
      <c r="S134" s="595"/>
      <c r="T134" s="595"/>
      <c r="U134" s="595"/>
      <c r="V134" s="595"/>
      <c r="W134" s="595"/>
      <c r="X134" s="595"/>
      <c r="Y134" s="595"/>
      <c r="Z134" s="595"/>
    </row>
    <row r="135" spans="1:26">
      <c r="A135" s="1019" t="s">
        <v>1506</v>
      </c>
      <c r="B135" s="979" t="s">
        <v>420</v>
      </c>
      <c r="C135" s="979" t="s">
        <v>384</v>
      </c>
      <c r="D135" s="979" t="s">
        <v>1100</v>
      </c>
      <c r="E135" s="1022">
        <v>139</v>
      </c>
      <c r="F135" s="595"/>
      <c r="G135" s="1009">
        <f t="shared" si="20"/>
        <v>11.870000000000001</v>
      </c>
      <c r="H135" s="1012">
        <f t="shared" si="21"/>
        <v>1649.93</v>
      </c>
      <c r="I135" s="1011">
        <f t="shared" si="17"/>
        <v>-3.1499617796281104E-5</v>
      </c>
      <c r="J135" s="1009">
        <f t="shared" si="18"/>
        <v>139</v>
      </c>
      <c r="K135" s="1009">
        <f t="shared" si="19"/>
        <v>-3.3698399357416091E-3</v>
      </c>
      <c r="L135" s="595"/>
      <c r="M135" s="595"/>
      <c r="N135" s="595"/>
      <c r="O135" s="595"/>
      <c r="P135" s="595"/>
      <c r="Q135" s="595"/>
      <c r="R135" s="595"/>
      <c r="S135" s="595"/>
      <c r="T135" s="595"/>
      <c r="U135" s="595"/>
      <c r="V135" s="595"/>
      <c r="W135" s="595"/>
      <c r="X135" s="595"/>
      <c r="Y135" s="595"/>
      <c r="Z135" s="595"/>
    </row>
    <row r="136" spans="1:26">
      <c r="A136" s="1019" t="s">
        <v>1506</v>
      </c>
      <c r="B136" s="979" t="s">
        <v>420</v>
      </c>
      <c r="C136" s="979" t="s">
        <v>311</v>
      </c>
      <c r="D136" s="979" t="s">
        <v>1101</v>
      </c>
      <c r="E136" s="1022">
        <v>451</v>
      </c>
      <c r="F136" s="595"/>
      <c r="G136" s="1009">
        <f t="shared" si="20"/>
        <v>13.360000000000001</v>
      </c>
      <c r="H136" s="1012">
        <f t="shared" si="21"/>
        <v>6025.3600000000006</v>
      </c>
      <c r="I136" s="1011">
        <f t="shared" si="17"/>
        <v>-1.1503308448540262E-4</v>
      </c>
      <c r="J136" s="1009">
        <f t="shared" si="18"/>
        <v>451</v>
      </c>
      <c r="K136" s="1009">
        <f t="shared" si="19"/>
        <v>-2.994011978836295E-3</v>
      </c>
      <c r="L136" s="595"/>
      <c r="M136" s="595"/>
      <c r="N136" s="595"/>
      <c r="O136" s="595"/>
      <c r="P136" s="595"/>
      <c r="Q136" s="595"/>
      <c r="R136" s="595"/>
      <c r="S136" s="595"/>
      <c r="T136" s="595"/>
      <c r="U136" s="595"/>
      <c r="V136" s="595"/>
      <c r="W136" s="595"/>
      <c r="X136" s="595"/>
      <c r="Y136" s="595"/>
      <c r="Z136" s="595"/>
    </row>
    <row r="137" spans="1:26">
      <c r="A137" s="1019" t="s">
        <v>1506</v>
      </c>
      <c r="B137" s="979" t="s">
        <v>420</v>
      </c>
      <c r="C137" s="979" t="s">
        <v>341</v>
      </c>
      <c r="D137" s="979" t="s">
        <v>1102</v>
      </c>
      <c r="E137" s="1022">
        <v>1458</v>
      </c>
      <c r="F137" s="595"/>
      <c r="G137" s="1009">
        <f t="shared" si="20"/>
        <v>15.079999999999998</v>
      </c>
      <c r="H137" s="1012">
        <f t="shared" si="21"/>
        <v>21986.639999999996</v>
      </c>
      <c r="I137" s="1011">
        <f t="shared" si="17"/>
        <v>-4.197576604003963E-4</v>
      </c>
      <c r="J137" s="1009">
        <f t="shared" si="18"/>
        <v>1458</v>
      </c>
      <c r="K137" s="1009">
        <f t="shared" si="19"/>
        <v>-2.6525198963695562E-3</v>
      </c>
      <c r="L137" s="595"/>
      <c r="M137" s="595"/>
      <c r="N137" s="595"/>
      <c r="O137" s="595"/>
      <c r="P137" s="595"/>
      <c r="Q137" s="595"/>
      <c r="R137" s="595"/>
      <c r="S137" s="595"/>
      <c r="T137" s="595"/>
      <c r="U137" s="595"/>
      <c r="V137" s="595"/>
      <c r="W137" s="595"/>
      <c r="X137" s="595"/>
      <c r="Y137" s="595"/>
      <c r="Z137" s="595"/>
    </row>
    <row r="138" spans="1:26">
      <c r="A138" s="1019" t="s">
        <v>1506</v>
      </c>
      <c r="B138" s="979" t="s">
        <v>420</v>
      </c>
      <c r="C138" s="979" t="s">
        <v>315</v>
      </c>
      <c r="D138" s="979" t="s">
        <v>1103</v>
      </c>
      <c r="E138" s="1022">
        <v>227</v>
      </c>
      <c r="F138" s="595"/>
      <c r="G138" s="1009">
        <f t="shared" si="20"/>
        <v>46.740000000000009</v>
      </c>
      <c r="H138" s="1012">
        <f t="shared" si="21"/>
        <v>10609.980000000001</v>
      </c>
      <c r="I138" s="1011">
        <f t="shared" si="17"/>
        <v>-2.0256029942251284E-4</v>
      </c>
      <c r="J138" s="1009">
        <f t="shared" si="18"/>
        <v>227</v>
      </c>
      <c r="K138" s="1009">
        <f t="shared" si="19"/>
        <v>-8.5579803246155098E-4</v>
      </c>
      <c r="L138" s="595"/>
      <c r="M138" s="595"/>
      <c r="N138" s="595"/>
      <c r="O138" s="595"/>
      <c r="P138" s="595"/>
      <c r="Q138" s="595"/>
      <c r="R138" s="595"/>
      <c r="S138" s="595"/>
      <c r="T138" s="595"/>
      <c r="U138" s="595"/>
      <c r="V138" s="595"/>
      <c r="W138" s="595"/>
      <c r="X138" s="595"/>
      <c r="Y138" s="595"/>
      <c r="Z138" s="595"/>
    </row>
    <row r="139" spans="1:26">
      <c r="A139" s="1019" t="s">
        <v>1506</v>
      </c>
      <c r="B139" s="979" t="s">
        <v>420</v>
      </c>
      <c r="C139" s="979" t="s">
        <v>319</v>
      </c>
      <c r="D139" s="979" t="s">
        <v>1104</v>
      </c>
      <c r="E139" s="1022">
        <v>27</v>
      </c>
      <c r="F139" s="595"/>
      <c r="G139" s="1009">
        <f t="shared" si="20"/>
        <v>27.15</v>
      </c>
      <c r="H139" s="1012">
        <f t="shared" si="21"/>
        <v>733.05</v>
      </c>
      <c r="I139" s="1011">
        <f t="shared" si="17"/>
        <v>-1.3995014834304403E-5</v>
      </c>
      <c r="J139" s="1009">
        <f t="shared" si="18"/>
        <v>27</v>
      </c>
      <c r="K139" s="1009">
        <f t="shared" si="19"/>
        <v>-1.4732965022929247E-3</v>
      </c>
      <c r="L139" s="1009"/>
      <c r="M139" s="595"/>
      <c r="N139" s="595"/>
      <c r="O139" s="595"/>
      <c r="P139" s="595"/>
      <c r="Q139" s="595"/>
      <c r="R139" s="595"/>
      <c r="S139" s="595"/>
      <c r="T139" s="595"/>
      <c r="U139" s="595"/>
      <c r="V139" s="595"/>
      <c r="W139" s="595"/>
      <c r="X139" s="595"/>
      <c r="Y139" s="595"/>
      <c r="Z139" s="595"/>
    </row>
    <row r="140" spans="1:26">
      <c r="A140" s="1019" t="s">
        <v>1506</v>
      </c>
      <c r="B140" s="979" t="s">
        <v>420</v>
      </c>
      <c r="C140" s="979" t="s">
        <v>356</v>
      </c>
      <c r="D140" s="979" t="s">
        <v>1105</v>
      </c>
      <c r="E140" s="1022">
        <v>6486</v>
      </c>
      <c r="F140" s="595"/>
      <c r="G140" s="1009">
        <f t="shared" si="20"/>
        <v>7.54</v>
      </c>
      <c r="H140" s="1012">
        <f t="shared" si="21"/>
        <v>48904.44</v>
      </c>
      <c r="I140" s="1011">
        <f t="shared" si="17"/>
        <v>-9.3365849977948253E-4</v>
      </c>
      <c r="J140" s="1009">
        <f t="shared" si="18"/>
        <v>6486</v>
      </c>
      <c r="K140" s="1009">
        <f t="shared" si="19"/>
        <v>-5.3050397927391114E-3</v>
      </c>
      <c r="L140" s="595"/>
      <c r="M140" s="595"/>
      <c r="N140" s="595"/>
      <c r="O140" s="595"/>
      <c r="P140" s="595"/>
      <c r="Q140" s="595"/>
      <c r="R140" s="595"/>
      <c r="S140" s="595"/>
      <c r="T140" s="595"/>
      <c r="U140" s="595"/>
      <c r="V140" s="595"/>
      <c r="W140" s="595"/>
      <c r="X140" s="595"/>
      <c r="Y140" s="595"/>
      <c r="Z140" s="595"/>
    </row>
    <row r="141" spans="1:26">
      <c r="A141" s="1019" t="s">
        <v>1506</v>
      </c>
      <c r="B141" s="979" t="s">
        <v>420</v>
      </c>
      <c r="C141" s="979" t="s">
        <v>365</v>
      </c>
      <c r="D141" s="979" t="s">
        <v>1106</v>
      </c>
      <c r="E141" s="1022">
        <v>8585</v>
      </c>
      <c r="F141" s="595"/>
      <c r="G141" s="1009">
        <f t="shared" si="20"/>
        <v>8.66</v>
      </c>
      <c r="H141" s="1012">
        <f t="shared" si="21"/>
        <v>74346.100000000006</v>
      </c>
      <c r="I141" s="1011">
        <f t="shared" si="17"/>
        <v>-1.4193776309565224E-3</v>
      </c>
      <c r="J141" s="1009">
        <f t="shared" si="18"/>
        <v>8585</v>
      </c>
      <c r="K141" s="1009">
        <f t="shared" si="19"/>
        <v>-4.6189376486435226E-3</v>
      </c>
      <c r="L141" s="595"/>
      <c r="M141" s="595"/>
      <c r="N141" s="595"/>
      <c r="O141" s="595"/>
      <c r="P141" s="595"/>
      <c r="Q141" s="595"/>
      <c r="R141" s="595"/>
      <c r="S141" s="595"/>
      <c r="T141" s="595"/>
      <c r="U141" s="595"/>
      <c r="V141" s="595"/>
      <c r="W141" s="595"/>
      <c r="X141" s="595"/>
      <c r="Y141" s="595"/>
      <c r="Z141" s="595"/>
    </row>
    <row r="142" spans="1:26">
      <c r="A142" s="1019" t="s">
        <v>1506</v>
      </c>
      <c r="B142" s="979" t="s">
        <v>420</v>
      </c>
      <c r="C142" s="979" t="s">
        <v>388</v>
      </c>
      <c r="D142" s="979" t="s">
        <v>1107</v>
      </c>
      <c r="E142" s="1022">
        <f>19536-3</f>
        <v>19533</v>
      </c>
      <c r="F142" s="595"/>
      <c r="G142" s="1009">
        <f t="shared" si="20"/>
        <v>9.14</v>
      </c>
      <c r="H142" s="1012">
        <f t="shared" si="21"/>
        <v>178531.62000000002</v>
      </c>
      <c r="I142" s="1011">
        <f t="shared" si="17"/>
        <v>-3.4084341726927179E-3</v>
      </c>
      <c r="J142" s="1009">
        <f t="shared" si="18"/>
        <v>19533</v>
      </c>
      <c r="K142" s="1009">
        <f t="shared" si="19"/>
        <v>-4.3763676189554597E-3</v>
      </c>
      <c r="L142" s="1009"/>
      <c r="M142" s="595"/>
      <c r="N142" s="595"/>
      <c r="O142" s="595"/>
      <c r="P142" s="595"/>
      <c r="Q142" s="595"/>
      <c r="R142" s="595"/>
      <c r="S142" s="595"/>
      <c r="T142" s="595"/>
      <c r="U142" s="595"/>
      <c r="V142" s="595"/>
      <c r="W142" s="595"/>
      <c r="X142" s="595"/>
      <c r="Y142" s="595"/>
      <c r="Z142" s="595"/>
    </row>
    <row r="143" spans="1:26">
      <c r="A143" s="1019" t="s">
        <v>1506</v>
      </c>
      <c r="B143" s="979" t="s">
        <v>420</v>
      </c>
      <c r="C143" s="979" t="s">
        <v>345</v>
      </c>
      <c r="D143" s="979" t="s">
        <v>1108</v>
      </c>
      <c r="E143" s="1022">
        <v>7342</v>
      </c>
      <c r="F143" s="595"/>
      <c r="G143" s="1009">
        <f t="shared" si="20"/>
        <v>14.25</v>
      </c>
      <c r="H143" s="1012">
        <f t="shared" si="21"/>
        <v>104623.5</v>
      </c>
      <c r="I143" s="1011">
        <f t="shared" si="17"/>
        <v>-1.997418231385099E-3</v>
      </c>
      <c r="J143" s="1009">
        <f t="shared" si="18"/>
        <v>7342</v>
      </c>
      <c r="K143" s="1009">
        <f t="shared" si="19"/>
        <v>-2.807017546473888E-3</v>
      </c>
      <c r="L143" s="595"/>
      <c r="M143" s="595"/>
      <c r="N143" s="595"/>
      <c r="O143" s="595"/>
      <c r="P143" s="595"/>
      <c r="Q143" s="595"/>
      <c r="R143" s="595"/>
      <c r="S143" s="595"/>
      <c r="T143" s="595"/>
      <c r="U143" s="595"/>
      <c r="V143" s="595"/>
      <c r="W143" s="595"/>
      <c r="X143" s="595"/>
      <c r="Y143" s="595"/>
      <c r="Z143" s="595"/>
    </row>
    <row r="144" spans="1:26">
      <c r="A144" s="1019" t="s">
        <v>1506</v>
      </c>
      <c r="B144" s="979" t="s">
        <v>420</v>
      </c>
      <c r="C144" s="979" t="s">
        <v>377</v>
      </c>
      <c r="D144" s="979" t="s">
        <v>1109</v>
      </c>
      <c r="E144" s="1022">
        <v>2710</v>
      </c>
      <c r="F144" s="595"/>
      <c r="G144" s="1009">
        <f t="shared" si="20"/>
        <v>22.84</v>
      </c>
      <c r="H144" s="1012">
        <f t="shared" si="21"/>
        <v>61896.4</v>
      </c>
      <c r="I144" s="1011">
        <f t="shared" si="17"/>
        <v>-1.1816943403451866E-3</v>
      </c>
      <c r="J144" s="1009">
        <f t="shared" si="18"/>
        <v>2710</v>
      </c>
      <c r="K144" s="1009">
        <f t="shared" si="19"/>
        <v>-1.7513134867448731E-3</v>
      </c>
      <c r="L144" s="595"/>
      <c r="M144" s="595"/>
      <c r="N144" s="595"/>
      <c r="O144" s="595"/>
      <c r="P144" s="595"/>
      <c r="Q144" s="595"/>
      <c r="R144" s="595"/>
      <c r="S144" s="595"/>
      <c r="T144" s="595"/>
      <c r="U144" s="595"/>
      <c r="V144" s="595"/>
      <c r="W144" s="595"/>
      <c r="X144" s="595"/>
      <c r="Y144" s="595"/>
      <c r="Z144" s="595"/>
    </row>
    <row r="145" spans="1:26">
      <c r="A145" s="1019" t="s">
        <v>1506</v>
      </c>
      <c r="B145" s="979" t="s">
        <v>420</v>
      </c>
      <c r="C145" s="979" t="s">
        <v>363</v>
      </c>
      <c r="D145" s="979" t="s">
        <v>1110</v>
      </c>
      <c r="E145" s="1022">
        <v>713</v>
      </c>
      <c r="F145" s="595"/>
      <c r="G145" s="1009">
        <f t="shared" si="20"/>
        <v>9.620000000000001</v>
      </c>
      <c r="H145" s="1012">
        <f t="shared" si="21"/>
        <v>6859.06</v>
      </c>
      <c r="I145" s="1011">
        <f t="shared" si="17"/>
        <v>-1.3094965752593135E-4</v>
      </c>
      <c r="J145" s="1009">
        <f t="shared" si="18"/>
        <v>713</v>
      </c>
      <c r="K145" s="1009">
        <f t="shared" si="19"/>
        <v>-4.1580041618766005E-3</v>
      </c>
      <c r="L145" s="595"/>
      <c r="M145" s="595"/>
      <c r="N145" s="595"/>
      <c r="O145" s="595"/>
      <c r="P145" s="595"/>
      <c r="Q145" s="595"/>
      <c r="R145" s="595"/>
      <c r="S145" s="595"/>
      <c r="T145" s="595"/>
      <c r="U145" s="595"/>
      <c r="V145" s="595"/>
      <c r="W145" s="595"/>
      <c r="X145" s="595"/>
      <c r="Y145" s="595"/>
      <c r="Z145" s="595"/>
    </row>
    <row r="146" spans="1:26">
      <c r="A146" s="1019" t="s">
        <v>1506</v>
      </c>
      <c r="B146" s="979" t="s">
        <v>420</v>
      </c>
      <c r="C146" s="979" t="s">
        <v>373</v>
      </c>
      <c r="D146" s="979" t="s">
        <v>1111</v>
      </c>
      <c r="E146" s="1022">
        <v>1232</v>
      </c>
      <c r="F146" s="595"/>
      <c r="G146" s="1009">
        <f t="shared" si="20"/>
        <v>10.770000000000001</v>
      </c>
      <c r="H146" s="1012">
        <f t="shared" si="21"/>
        <v>13268.640000000001</v>
      </c>
      <c r="I146" s="1011">
        <f t="shared" si="17"/>
        <v>-2.533180732979262E-4</v>
      </c>
      <c r="J146" s="1009">
        <f t="shared" si="18"/>
        <v>1232</v>
      </c>
      <c r="K146" s="1009">
        <f t="shared" si="19"/>
        <v>-3.7140204305712997E-3</v>
      </c>
      <c r="L146" s="595"/>
      <c r="M146" s="595"/>
      <c r="N146" s="595"/>
      <c r="O146" s="595"/>
      <c r="P146" s="595"/>
      <c r="Q146" s="595"/>
      <c r="R146" s="595"/>
      <c r="S146" s="595"/>
      <c r="T146" s="595"/>
      <c r="U146" s="595"/>
      <c r="V146" s="595"/>
      <c r="W146" s="595"/>
      <c r="X146" s="595"/>
      <c r="Y146" s="595"/>
      <c r="Z146" s="595"/>
    </row>
    <row r="147" spans="1:26">
      <c r="A147" s="1019" t="s">
        <v>1506</v>
      </c>
      <c r="B147" s="979" t="s">
        <v>420</v>
      </c>
      <c r="C147" s="979" t="s">
        <v>396</v>
      </c>
      <c r="D147" s="979" t="s">
        <v>1112</v>
      </c>
      <c r="E147" s="1022">
        <v>3948</v>
      </c>
      <c r="F147" s="595"/>
      <c r="G147" s="1009">
        <f t="shared" si="20"/>
        <v>11.16</v>
      </c>
      <c r="H147" s="1012">
        <f t="shared" si="21"/>
        <v>44059.68</v>
      </c>
      <c r="I147" s="1011">
        <f t="shared" si="17"/>
        <v>-8.4116482531165001E-4</v>
      </c>
      <c r="J147" s="1009">
        <f t="shared" si="18"/>
        <v>3948</v>
      </c>
      <c r="K147" s="1009">
        <f t="shared" si="19"/>
        <v>-3.5842293940190773E-3</v>
      </c>
      <c r="L147" s="595"/>
      <c r="M147" s="595"/>
      <c r="N147" s="595"/>
      <c r="O147" s="595"/>
      <c r="P147" s="595"/>
      <c r="Q147" s="595"/>
      <c r="R147" s="595"/>
      <c r="S147" s="595"/>
      <c r="T147" s="595"/>
      <c r="U147" s="595"/>
      <c r="V147" s="595"/>
      <c r="W147" s="595"/>
      <c r="X147" s="595"/>
      <c r="Y147" s="595"/>
      <c r="Z147" s="595"/>
    </row>
    <row r="148" spans="1:26">
      <c r="A148" s="1019" t="s">
        <v>1506</v>
      </c>
      <c r="B148" s="979" t="s">
        <v>420</v>
      </c>
      <c r="C148" s="979" t="s">
        <v>351</v>
      </c>
      <c r="D148" s="979" t="s">
        <v>1113</v>
      </c>
      <c r="E148" s="1022">
        <v>277</v>
      </c>
      <c r="F148" s="595"/>
      <c r="G148" s="1009">
        <f t="shared" si="20"/>
        <v>33.100000000000009</v>
      </c>
      <c r="H148" s="1012">
        <f t="shared" si="21"/>
        <v>9168.7000000000025</v>
      </c>
      <c r="I148" s="1011">
        <f t="shared" si="17"/>
        <v>-1.7504412047102767E-4</v>
      </c>
      <c r="J148" s="1009">
        <f t="shared" si="18"/>
        <v>277</v>
      </c>
      <c r="K148" s="1009">
        <f t="shared" si="19"/>
        <v>-1.2084592156269755E-3</v>
      </c>
      <c r="L148" s="595"/>
      <c r="M148" s="595"/>
      <c r="N148" s="595"/>
      <c r="O148" s="595"/>
      <c r="P148" s="595"/>
      <c r="Q148" s="595"/>
      <c r="R148" s="595"/>
      <c r="S148" s="595"/>
      <c r="T148" s="595"/>
      <c r="U148" s="595"/>
      <c r="V148" s="595"/>
      <c r="W148" s="595"/>
      <c r="X148" s="595"/>
      <c r="Y148" s="595"/>
      <c r="Z148" s="595"/>
    </row>
    <row r="149" spans="1:26">
      <c r="A149" s="1019" t="s">
        <v>1506</v>
      </c>
      <c r="B149" s="979" t="s">
        <v>420</v>
      </c>
      <c r="C149" s="979" t="s">
        <v>314</v>
      </c>
      <c r="D149" s="979" t="s">
        <v>1114</v>
      </c>
      <c r="E149" s="1022">
        <v>53</v>
      </c>
      <c r="F149" s="595"/>
      <c r="G149" s="1009">
        <f t="shared" si="20"/>
        <v>55.250000000000007</v>
      </c>
      <c r="H149" s="1012">
        <f t="shared" si="21"/>
        <v>2928.2500000000005</v>
      </c>
      <c r="I149" s="1011">
        <f t="shared" si="17"/>
        <v>-5.5904647962010604E-5</v>
      </c>
      <c r="J149" s="1009">
        <f t="shared" si="18"/>
        <v>53</v>
      </c>
      <c r="K149" s="1009">
        <f t="shared" si="19"/>
        <v>-7.2398190112674923E-4</v>
      </c>
      <c r="L149" s="595"/>
      <c r="M149" s="595"/>
      <c r="N149" s="595"/>
      <c r="O149" s="595"/>
      <c r="P149" s="595"/>
      <c r="Q149" s="595"/>
      <c r="R149" s="595"/>
      <c r="S149" s="595"/>
      <c r="T149" s="595"/>
      <c r="U149" s="595"/>
      <c r="V149" s="595"/>
      <c r="W149" s="595"/>
      <c r="X149" s="595"/>
      <c r="Y149" s="595"/>
      <c r="Z149" s="595"/>
    </row>
    <row r="150" spans="1:26">
      <c r="A150" s="1019" t="s">
        <v>1506</v>
      </c>
      <c r="B150" s="979" t="s">
        <v>420</v>
      </c>
      <c r="C150" s="979" t="s">
        <v>355</v>
      </c>
      <c r="D150" s="979" t="s">
        <v>1115</v>
      </c>
      <c r="E150" s="1022">
        <v>3657</v>
      </c>
      <c r="F150" s="595"/>
      <c r="G150" s="1009">
        <f t="shared" si="20"/>
        <v>10.49</v>
      </c>
      <c r="H150" s="1012">
        <f t="shared" si="21"/>
        <v>38361.93</v>
      </c>
      <c r="I150" s="1011">
        <f t="shared" si="17"/>
        <v>-7.3238630301145503E-4</v>
      </c>
      <c r="J150" s="1009">
        <f t="shared" si="18"/>
        <v>3657</v>
      </c>
      <c r="K150" s="1009">
        <f t="shared" si="19"/>
        <v>-3.8131553896332605E-3</v>
      </c>
      <c r="L150" s="595"/>
      <c r="M150" s="595"/>
      <c r="N150" s="595"/>
      <c r="O150" s="595"/>
      <c r="P150" s="595"/>
      <c r="Q150" s="595"/>
      <c r="R150" s="595"/>
      <c r="S150" s="595"/>
      <c r="T150" s="595"/>
      <c r="U150" s="595"/>
      <c r="V150" s="595"/>
      <c r="W150" s="595"/>
      <c r="X150" s="595"/>
      <c r="Y150" s="595"/>
      <c r="Z150" s="595"/>
    </row>
    <row r="151" spans="1:26">
      <c r="A151" s="1019" t="s">
        <v>1506</v>
      </c>
      <c r="B151" s="979" t="s">
        <v>420</v>
      </c>
      <c r="C151" s="979" t="s">
        <v>364</v>
      </c>
      <c r="D151" s="979" t="s">
        <v>1116</v>
      </c>
      <c r="E151" s="1022">
        <v>8690</v>
      </c>
      <c r="F151" s="595"/>
      <c r="G151" s="1009">
        <f t="shared" si="20"/>
        <v>11.600000000000001</v>
      </c>
      <c r="H151" s="1012">
        <f t="shared" si="21"/>
        <v>100804.00000000001</v>
      </c>
      <c r="I151" s="1011">
        <f t="shared" si="17"/>
        <v>-1.9244982952830246E-3</v>
      </c>
      <c r="J151" s="1009">
        <f t="shared" si="18"/>
        <v>8690</v>
      </c>
      <c r="K151" s="1009">
        <f t="shared" si="19"/>
        <v>-3.4482758652804222E-3</v>
      </c>
      <c r="L151" s="595"/>
      <c r="M151" s="595"/>
      <c r="N151" s="595"/>
      <c r="O151" s="595"/>
      <c r="P151" s="595"/>
      <c r="Q151" s="595"/>
      <c r="R151" s="595"/>
      <c r="S151" s="595"/>
      <c r="T151" s="595"/>
      <c r="U151" s="595"/>
      <c r="V151" s="595"/>
      <c r="W151" s="595"/>
      <c r="X151" s="595"/>
      <c r="Y151" s="595"/>
      <c r="Z151" s="595"/>
    </row>
    <row r="152" spans="1:26">
      <c r="A152" s="1019" t="s">
        <v>1506</v>
      </c>
      <c r="B152" s="979" t="s">
        <v>420</v>
      </c>
      <c r="C152" s="979" t="s">
        <v>387</v>
      </c>
      <c r="D152" s="979" t="s">
        <v>1117</v>
      </c>
      <c r="E152" s="1022">
        <v>3354</v>
      </c>
      <c r="F152" s="595"/>
      <c r="G152" s="1009">
        <f t="shared" si="20"/>
        <v>12.3</v>
      </c>
      <c r="H152" s="1012">
        <f t="shared" si="21"/>
        <v>41254.200000000004</v>
      </c>
      <c r="I152" s="1011">
        <f t="shared" si="17"/>
        <v>-7.87604039257023E-4</v>
      </c>
      <c r="J152" s="1009">
        <f t="shared" si="18"/>
        <v>3354</v>
      </c>
      <c r="K152" s="1009">
        <f t="shared" si="19"/>
        <v>-3.2520325233538943E-3</v>
      </c>
      <c r="L152" s="595"/>
      <c r="M152" s="595"/>
      <c r="N152" s="595"/>
      <c r="O152" s="595"/>
      <c r="P152" s="595"/>
      <c r="Q152" s="595"/>
      <c r="R152" s="595"/>
      <c r="S152" s="595"/>
      <c r="T152" s="595"/>
      <c r="U152" s="595"/>
      <c r="V152" s="595"/>
      <c r="W152" s="595"/>
      <c r="X152" s="595"/>
      <c r="Y152" s="595"/>
      <c r="Z152" s="595"/>
    </row>
    <row r="153" spans="1:26">
      <c r="A153" s="1019" t="s">
        <v>1506</v>
      </c>
      <c r="B153" s="979" t="s">
        <v>420</v>
      </c>
      <c r="C153" s="979" t="s">
        <v>344</v>
      </c>
      <c r="D153" s="979" t="s">
        <v>1118</v>
      </c>
      <c r="E153" s="1022">
        <v>5082</v>
      </c>
      <c r="F153" s="595"/>
      <c r="G153" s="1009">
        <f t="shared" si="20"/>
        <v>17.41</v>
      </c>
      <c r="H153" s="1012">
        <f t="shared" si="21"/>
        <v>88477.62</v>
      </c>
      <c r="I153" s="1011">
        <f t="shared" si="17"/>
        <v>-1.6891693668971391E-3</v>
      </c>
      <c r="J153" s="1009">
        <f t="shared" si="18"/>
        <v>5082</v>
      </c>
      <c r="K153" s="1009">
        <f t="shared" si="19"/>
        <v>-2.297530157223027E-3</v>
      </c>
      <c r="L153" s="595"/>
      <c r="M153" s="595"/>
      <c r="N153" s="595"/>
      <c r="O153" s="595"/>
      <c r="P153" s="595"/>
      <c r="Q153" s="595"/>
      <c r="R153" s="595"/>
      <c r="S153" s="595"/>
      <c r="T153" s="595"/>
      <c r="U153" s="595"/>
      <c r="V153" s="595"/>
      <c r="W153" s="595"/>
      <c r="X153" s="595"/>
      <c r="Y153" s="595"/>
      <c r="Z153" s="595"/>
    </row>
    <row r="154" spans="1:26">
      <c r="A154" s="1019" t="s">
        <v>1506</v>
      </c>
      <c r="B154" s="979" t="s">
        <v>420</v>
      </c>
      <c r="C154" s="979" t="s">
        <v>376</v>
      </c>
      <c r="D154" s="979" t="s">
        <v>1119</v>
      </c>
      <c r="E154" s="1022">
        <v>512</v>
      </c>
      <c r="F154" s="595"/>
      <c r="G154" s="1009">
        <f t="shared" si="20"/>
        <v>24.46</v>
      </c>
      <c r="H154" s="1012">
        <f t="shared" si="21"/>
        <v>12523.52</v>
      </c>
      <c r="I154" s="1011">
        <f t="shared" si="17"/>
        <v>-2.3909262421077402E-4</v>
      </c>
      <c r="J154" s="1009">
        <f t="shared" si="18"/>
        <v>512</v>
      </c>
      <c r="K154" s="1009">
        <f t="shared" si="19"/>
        <v>-1.63532297781083E-3</v>
      </c>
      <c r="L154" s="595"/>
      <c r="M154" s="595"/>
      <c r="N154" s="595"/>
      <c r="O154" s="595"/>
      <c r="P154" s="595"/>
      <c r="Q154" s="595"/>
      <c r="R154" s="595"/>
      <c r="S154" s="595"/>
      <c r="T154" s="595"/>
      <c r="U154" s="595"/>
      <c r="V154" s="595"/>
      <c r="W154" s="595"/>
      <c r="X154" s="595"/>
      <c r="Y154" s="595"/>
      <c r="Z154" s="595"/>
    </row>
    <row r="155" spans="1:26">
      <c r="A155" s="1019" t="s">
        <v>1506</v>
      </c>
      <c r="B155" s="979" t="s">
        <v>420</v>
      </c>
      <c r="C155" s="979" t="s">
        <v>374</v>
      </c>
      <c r="D155" s="979" t="s">
        <v>1120</v>
      </c>
      <c r="E155" s="1022">
        <v>4549</v>
      </c>
      <c r="F155" s="595"/>
      <c r="G155" s="1009">
        <f t="shared" ref="G155:G171" si="22">SUMIF(_Lights_Tariff_Category,20140101&amp;$C155,_Lights_Rates)</f>
        <v>16.79</v>
      </c>
      <c r="H155" s="1012">
        <f t="shared" ref="H155:H171" si="23">E155*G155</f>
        <v>76377.709999999992</v>
      </c>
      <c r="I155" s="1011">
        <f t="shared" si="17"/>
        <v>-1.458164087661414E-3</v>
      </c>
      <c r="J155" s="1009">
        <f t="shared" si="18"/>
        <v>4549</v>
      </c>
      <c r="K155" s="1009">
        <f t="shared" si="19"/>
        <v>-2.3823704608250686E-3</v>
      </c>
      <c r="L155" s="595"/>
      <c r="M155" s="595"/>
      <c r="N155" s="595"/>
      <c r="O155" s="595"/>
      <c r="P155" s="595"/>
      <c r="Q155" s="595"/>
      <c r="R155" s="595"/>
      <c r="S155" s="595"/>
      <c r="T155" s="595"/>
      <c r="U155" s="595"/>
      <c r="V155" s="595"/>
      <c r="W155" s="595"/>
      <c r="X155" s="595"/>
      <c r="Y155" s="595"/>
      <c r="Z155" s="595"/>
    </row>
    <row r="156" spans="1:26">
      <c r="A156" s="1019" t="s">
        <v>1506</v>
      </c>
      <c r="B156" s="979" t="s">
        <v>420</v>
      </c>
      <c r="C156" s="979" t="s">
        <v>398</v>
      </c>
      <c r="D156" s="979" t="s">
        <v>1121</v>
      </c>
      <c r="E156" s="1022">
        <v>1057</v>
      </c>
      <c r="F156" s="595"/>
      <c r="G156" s="1009">
        <f t="shared" si="22"/>
        <v>20.97</v>
      </c>
      <c r="H156" s="1012">
        <f t="shared" si="23"/>
        <v>22165.289999999997</v>
      </c>
      <c r="I156" s="1011">
        <f t="shared" ref="I156:I171" si="24">H156/$L$93*$L$94</f>
        <v>-4.2316835462336678E-4</v>
      </c>
      <c r="J156" s="1009">
        <f t="shared" ref="J156:J171" si="25">ROUND((H156+I156)/G156,0)</f>
        <v>1057</v>
      </c>
      <c r="K156" s="1009">
        <f t="shared" ref="K156:K171" si="26">$L$94/G156</f>
        <v>-1.9074868878041443E-3</v>
      </c>
      <c r="L156" s="595"/>
      <c r="M156" s="595"/>
      <c r="N156" s="595"/>
      <c r="O156" s="595"/>
      <c r="P156" s="595"/>
      <c r="Q156" s="595"/>
      <c r="R156" s="595"/>
      <c r="S156" s="595"/>
      <c r="T156" s="595"/>
      <c r="U156" s="595"/>
      <c r="V156" s="595"/>
      <c r="W156" s="595"/>
      <c r="X156" s="595"/>
      <c r="Y156" s="595"/>
      <c r="Z156" s="595"/>
    </row>
    <row r="157" spans="1:26">
      <c r="A157" s="1019" t="s">
        <v>1506</v>
      </c>
      <c r="B157" s="979" t="s">
        <v>420</v>
      </c>
      <c r="C157" s="979" t="s">
        <v>348</v>
      </c>
      <c r="D157" s="979" t="s">
        <v>1122</v>
      </c>
      <c r="E157" s="1022">
        <v>1389</v>
      </c>
      <c r="F157" s="595"/>
      <c r="G157" s="1009">
        <f t="shared" si="22"/>
        <v>26.86</v>
      </c>
      <c r="H157" s="1012">
        <f t="shared" si="23"/>
        <v>37308.54</v>
      </c>
      <c r="I157" s="1011">
        <f t="shared" si="24"/>
        <v>-7.1227552110529862E-4</v>
      </c>
      <c r="J157" s="1009">
        <f t="shared" si="25"/>
        <v>1389</v>
      </c>
      <c r="K157" s="1009">
        <f t="shared" si="26"/>
        <v>-1.4892032776341363E-3</v>
      </c>
      <c r="L157" s="595"/>
      <c r="M157" s="595"/>
      <c r="N157" s="595"/>
      <c r="O157" s="595"/>
      <c r="P157" s="595"/>
      <c r="Q157" s="595"/>
      <c r="R157" s="595"/>
      <c r="S157" s="595"/>
      <c r="T157" s="595"/>
      <c r="U157" s="595"/>
      <c r="V157" s="595"/>
      <c r="W157" s="595"/>
      <c r="X157" s="595"/>
      <c r="Y157" s="595"/>
      <c r="Z157" s="595"/>
    </row>
    <row r="158" spans="1:26">
      <c r="A158" s="1019" t="s">
        <v>1506</v>
      </c>
      <c r="B158" s="979" t="s">
        <v>420</v>
      </c>
      <c r="C158" s="979" t="s">
        <v>380</v>
      </c>
      <c r="D158" s="979" t="s">
        <v>1123</v>
      </c>
      <c r="E158" s="1022">
        <v>955</v>
      </c>
      <c r="F158" s="595"/>
      <c r="G158" s="1009">
        <f t="shared" si="22"/>
        <v>33.119999999999997</v>
      </c>
      <c r="H158" s="1012">
        <f t="shared" si="23"/>
        <v>31629.599999999999</v>
      </c>
      <c r="I158" s="1011">
        <f t="shared" si="24"/>
        <v>-6.0385610968298822E-4</v>
      </c>
      <c r="J158" s="1009">
        <f t="shared" si="25"/>
        <v>955</v>
      </c>
      <c r="K158" s="1009">
        <f t="shared" si="26"/>
        <v>-1.2077294697238196E-3</v>
      </c>
      <c r="L158" s="595"/>
      <c r="M158" s="595"/>
      <c r="N158" s="595"/>
      <c r="O158" s="595"/>
      <c r="P158" s="595"/>
      <c r="Q158" s="595"/>
      <c r="R158" s="595"/>
      <c r="S158" s="595"/>
      <c r="T158" s="595"/>
      <c r="U158" s="595"/>
      <c r="V158" s="595"/>
      <c r="W158" s="595"/>
      <c r="X158" s="595"/>
      <c r="Y158" s="595"/>
      <c r="Z158" s="595"/>
    </row>
    <row r="159" spans="1:26">
      <c r="A159" s="1019" t="s">
        <v>1506</v>
      </c>
      <c r="B159" s="979" t="s">
        <v>420</v>
      </c>
      <c r="C159" s="979" t="s">
        <v>399</v>
      </c>
      <c r="D159" s="979" t="s">
        <v>1124</v>
      </c>
      <c r="E159" s="1022">
        <v>11150</v>
      </c>
      <c r="F159" s="595"/>
      <c r="G159" s="1009">
        <f t="shared" si="22"/>
        <v>9</v>
      </c>
      <c r="H159" s="1012">
        <f t="shared" si="23"/>
        <v>100350</v>
      </c>
      <c r="I159" s="1011">
        <f t="shared" si="24"/>
        <v>-1.9158307600060662E-3</v>
      </c>
      <c r="J159" s="1009">
        <f t="shared" si="25"/>
        <v>11150</v>
      </c>
      <c r="K159" s="1009">
        <f t="shared" si="26"/>
        <v>-4.444444448583656E-3</v>
      </c>
      <c r="L159" s="595"/>
      <c r="M159" s="595"/>
      <c r="N159" s="595"/>
      <c r="O159" s="595"/>
      <c r="P159" s="595"/>
      <c r="Q159" s="595"/>
      <c r="R159" s="595"/>
      <c r="S159" s="595"/>
      <c r="T159" s="595"/>
      <c r="U159" s="595"/>
      <c r="V159" s="595"/>
      <c r="W159" s="595"/>
      <c r="X159" s="595"/>
      <c r="Y159" s="595"/>
      <c r="Z159" s="595"/>
    </row>
    <row r="160" spans="1:26">
      <c r="A160" s="1019" t="s">
        <v>1506</v>
      </c>
      <c r="B160" s="979" t="s">
        <v>420</v>
      </c>
      <c r="C160" s="979" t="s">
        <v>349</v>
      </c>
      <c r="D160" s="979" t="s">
        <v>1125</v>
      </c>
      <c r="E160" s="1022">
        <v>6552</v>
      </c>
      <c r="F160" s="595"/>
      <c r="G160" s="1009">
        <f t="shared" si="22"/>
        <v>13.639999999999999</v>
      </c>
      <c r="H160" s="1012">
        <f t="shared" si="23"/>
        <v>89369.279999999999</v>
      </c>
      <c r="I160" s="1011">
        <f t="shared" si="24"/>
        <v>-1.7061924825470347E-3</v>
      </c>
      <c r="J160" s="1009">
        <f t="shared" si="25"/>
        <v>6552</v>
      </c>
      <c r="K160" s="1009">
        <f t="shared" si="26"/>
        <v>-2.9325513223792455E-3</v>
      </c>
      <c r="L160" s="595"/>
      <c r="M160" s="595"/>
      <c r="N160" s="595"/>
      <c r="O160" s="595"/>
      <c r="P160" s="595"/>
      <c r="Q160" s="595"/>
      <c r="R160" s="595"/>
      <c r="S160" s="595"/>
      <c r="T160" s="595"/>
      <c r="U160" s="595"/>
      <c r="V160" s="595"/>
      <c r="W160" s="595"/>
      <c r="X160" s="595"/>
      <c r="Y160" s="595"/>
      <c r="Z160" s="595"/>
    </row>
    <row r="161" spans="1:26">
      <c r="A161" s="1019" t="s">
        <v>1506</v>
      </c>
      <c r="B161" s="979" t="s">
        <v>420</v>
      </c>
      <c r="C161" s="979" t="s">
        <v>381</v>
      </c>
      <c r="D161" s="979" t="s">
        <v>1126</v>
      </c>
      <c r="E161" s="1022">
        <v>8281</v>
      </c>
      <c r="F161" s="595"/>
      <c r="G161" s="1009">
        <f t="shared" si="22"/>
        <v>19.46</v>
      </c>
      <c r="H161" s="1012">
        <f t="shared" si="23"/>
        <v>161148.26</v>
      </c>
      <c r="I161" s="1011">
        <f t="shared" si="24"/>
        <v>-3.076559974384207E-3</v>
      </c>
      <c r="J161" s="1009">
        <f t="shared" si="25"/>
        <v>8281</v>
      </c>
      <c r="K161" s="1009">
        <f t="shared" si="26"/>
        <v>-2.0554984602904882E-3</v>
      </c>
      <c r="L161" s="595"/>
      <c r="M161" s="595"/>
      <c r="N161" s="595"/>
      <c r="O161" s="595"/>
      <c r="P161" s="595"/>
      <c r="Q161" s="595"/>
      <c r="R161" s="595"/>
      <c r="S161" s="595"/>
      <c r="T161" s="595"/>
      <c r="U161" s="595"/>
      <c r="V161" s="595"/>
      <c r="W161" s="595"/>
      <c r="X161" s="595"/>
      <c r="Y161" s="595"/>
      <c r="Z161" s="595"/>
    </row>
    <row r="162" spans="1:26">
      <c r="A162" s="1019" t="s">
        <v>1506</v>
      </c>
      <c r="B162" s="979" t="s">
        <v>420</v>
      </c>
      <c r="C162" s="979" t="s">
        <v>321</v>
      </c>
      <c r="D162" s="979" t="s">
        <v>1127</v>
      </c>
      <c r="E162" s="1022">
        <v>60</v>
      </c>
      <c r="F162" s="595"/>
      <c r="G162" s="1009">
        <f t="shared" si="22"/>
        <v>15.47</v>
      </c>
      <c r="H162" s="1012">
        <f t="shared" si="23"/>
        <v>928.2</v>
      </c>
      <c r="I162" s="1011">
        <f t="shared" si="24"/>
        <v>-1.7720718599278833E-5</v>
      </c>
      <c r="J162" s="1009">
        <f t="shared" si="25"/>
        <v>60</v>
      </c>
      <c r="K162" s="1009">
        <f t="shared" si="26"/>
        <v>-2.5856496468812475E-3</v>
      </c>
      <c r="L162" s="595"/>
      <c r="M162" s="595"/>
      <c r="N162" s="595"/>
      <c r="O162" s="595"/>
      <c r="P162" s="595"/>
      <c r="Q162" s="595"/>
      <c r="R162" s="595"/>
      <c r="S162" s="595"/>
      <c r="T162" s="595"/>
      <c r="U162" s="595"/>
      <c r="V162" s="595"/>
      <c r="W162" s="595"/>
      <c r="X162" s="595"/>
      <c r="Y162" s="595"/>
      <c r="Z162" s="595"/>
    </row>
    <row r="163" spans="1:26">
      <c r="A163" s="1019" t="s">
        <v>1506</v>
      </c>
      <c r="B163" s="979" t="s">
        <v>420</v>
      </c>
      <c r="C163" s="979" t="s">
        <v>353</v>
      </c>
      <c r="D163" s="979" t="s">
        <v>1128</v>
      </c>
      <c r="E163" s="1022">
        <v>302</v>
      </c>
      <c r="F163" s="595"/>
      <c r="G163" s="1009">
        <f t="shared" si="22"/>
        <v>21.930000000000003</v>
      </c>
      <c r="H163" s="1012">
        <f t="shared" si="23"/>
        <v>6622.8600000000006</v>
      </c>
      <c r="I163" s="1011">
        <f t="shared" si="24"/>
        <v>-1.2644024820342576E-4</v>
      </c>
      <c r="J163" s="1009">
        <f t="shared" si="25"/>
        <v>302</v>
      </c>
      <c r="K163" s="1009">
        <f t="shared" si="26"/>
        <v>-1.8239854098154537E-3</v>
      </c>
      <c r="L163" s="595"/>
      <c r="M163" s="595"/>
      <c r="N163" s="595"/>
      <c r="O163" s="595"/>
      <c r="P163" s="595"/>
      <c r="Q163" s="595"/>
      <c r="R163" s="595"/>
      <c r="S163" s="595"/>
      <c r="T163" s="595"/>
      <c r="U163" s="595"/>
      <c r="V163" s="595"/>
      <c r="W163" s="595"/>
      <c r="X163" s="595"/>
      <c r="Y163" s="595"/>
      <c r="Z163" s="595"/>
    </row>
    <row r="164" spans="1:26">
      <c r="A164" s="1019" t="s">
        <v>1506</v>
      </c>
      <c r="B164" s="979" t="s">
        <v>420</v>
      </c>
      <c r="C164" s="979" t="s">
        <v>678</v>
      </c>
      <c r="D164" s="979" t="s">
        <v>1129</v>
      </c>
      <c r="E164" s="1022">
        <v>2</v>
      </c>
      <c r="F164" s="595"/>
      <c r="G164" s="1009">
        <f t="shared" si="22"/>
        <v>15.370000000000001</v>
      </c>
      <c r="H164" s="1012">
        <f t="shared" si="23"/>
        <v>30.740000000000002</v>
      </c>
      <c r="I164" s="1011">
        <f t="shared" si="24"/>
        <v>-5.8687232249712482E-7</v>
      </c>
      <c r="J164" s="1009">
        <f t="shared" si="25"/>
        <v>2</v>
      </c>
      <c r="K164" s="1009">
        <f t="shared" si="26"/>
        <v>-2.6024723511550358E-3</v>
      </c>
      <c r="L164" s="595"/>
      <c r="M164" s="595"/>
      <c r="N164" s="595"/>
      <c r="O164" s="595"/>
      <c r="P164" s="595"/>
      <c r="Q164" s="595"/>
      <c r="R164" s="595"/>
      <c r="S164" s="595"/>
      <c r="T164" s="595"/>
      <c r="U164" s="595"/>
      <c r="V164" s="595"/>
      <c r="W164" s="595"/>
      <c r="X164" s="595"/>
      <c r="Y164" s="595"/>
      <c r="Z164" s="595"/>
    </row>
    <row r="165" spans="1:26">
      <c r="A165" s="1019" t="s">
        <v>1506</v>
      </c>
      <c r="B165" s="979" t="s">
        <v>420</v>
      </c>
      <c r="C165" s="979" t="s">
        <v>316</v>
      </c>
      <c r="D165" s="979" t="s">
        <v>1130</v>
      </c>
      <c r="E165" s="1022">
        <v>43</v>
      </c>
      <c r="F165" s="595"/>
      <c r="G165" s="1009">
        <f t="shared" si="22"/>
        <v>45.7</v>
      </c>
      <c r="H165" s="1012">
        <f t="shared" si="23"/>
        <v>1965.1000000000001</v>
      </c>
      <c r="I165" s="1011">
        <f t="shared" si="24"/>
        <v>-3.751668187830514E-5</v>
      </c>
      <c r="J165" s="1009">
        <f t="shared" si="25"/>
        <v>43</v>
      </c>
      <c r="K165" s="1009">
        <f t="shared" si="26"/>
        <v>-8.7527352379109197E-4</v>
      </c>
      <c r="L165" s="595"/>
      <c r="M165" s="595"/>
      <c r="N165" s="595"/>
      <c r="O165" s="595"/>
      <c r="P165" s="595"/>
      <c r="Q165" s="595"/>
      <c r="R165" s="595"/>
      <c r="S165" s="595"/>
      <c r="T165" s="595"/>
      <c r="U165" s="595"/>
      <c r="V165" s="595"/>
      <c r="W165" s="595"/>
      <c r="X165" s="595"/>
      <c r="Y165" s="595"/>
      <c r="Z165" s="595"/>
    </row>
    <row r="166" spans="1:26">
      <c r="A166" s="1019" t="s">
        <v>1506</v>
      </c>
      <c r="B166" s="979" t="s">
        <v>420</v>
      </c>
      <c r="C166" s="979" t="s">
        <v>318</v>
      </c>
      <c r="D166" s="979" t="s">
        <v>1131</v>
      </c>
      <c r="E166" s="1022">
        <v>179</v>
      </c>
      <c r="F166" s="595"/>
      <c r="G166" s="1009">
        <f t="shared" si="22"/>
        <v>28.37</v>
      </c>
      <c r="H166" s="1012">
        <f t="shared" si="23"/>
        <v>5078.2300000000005</v>
      </c>
      <c r="I166" s="1011">
        <f t="shared" si="24"/>
        <v>-9.695096402975194E-5</v>
      </c>
      <c r="J166" s="1009">
        <f t="shared" si="25"/>
        <v>179</v>
      </c>
      <c r="K166" s="1009">
        <f t="shared" si="26"/>
        <v>-1.4099400788598131E-3</v>
      </c>
      <c r="L166" s="595"/>
      <c r="M166" s="595"/>
      <c r="N166" s="595"/>
      <c r="O166" s="595"/>
      <c r="P166" s="595"/>
      <c r="Q166" s="595"/>
      <c r="R166" s="595"/>
      <c r="S166" s="595"/>
      <c r="T166" s="595"/>
      <c r="U166" s="595"/>
      <c r="V166" s="595"/>
      <c r="W166" s="595"/>
      <c r="X166" s="595"/>
      <c r="Y166" s="595"/>
      <c r="Z166" s="595"/>
    </row>
    <row r="167" spans="1:26">
      <c r="A167" s="1019" t="s">
        <v>1506</v>
      </c>
      <c r="B167" s="979" t="s">
        <v>420</v>
      </c>
      <c r="C167" s="979" t="s">
        <v>350</v>
      </c>
      <c r="D167" s="979" t="s">
        <v>1132</v>
      </c>
      <c r="E167" s="1022">
        <v>624</v>
      </c>
      <c r="F167" s="595"/>
      <c r="G167" s="1009">
        <f t="shared" si="22"/>
        <v>34.830000000000005</v>
      </c>
      <c r="H167" s="1012">
        <f t="shared" si="23"/>
        <v>21733.920000000002</v>
      </c>
      <c r="I167" s="1011">
        <f t="shared" si="24"/>
        <v>-4.1493285970613898E-4</v>
      </c>
      <c r="J167" s="1009">
        <f t="shared" si="25"/>
        <v>624</v>
      </c>
      <c r="K167" s="1009">
        <f t="shared" si="26"/>
        <v>-1.1484352580319523E-3</v>
      </c>
      <c r="L167" s="595"/>
      <c r="M167" s="595"/>
      <c r="N167" s="595"/>
      <c r="O167" s="595"/>
      <c r="P167" s="595"/>
      <c r="Q167" s="595"/>
      <c r="R167" s="595"/>
      <c r="S167" s="595"/>
      <c r="T167" s="595"/>
      <c r="U167" s="595"/>
      <c r="V167" s="595"/>
      <c r="W167" s="595"/>
      <c r="X167" s="595"/>
      <c r="Y167" s="595"/>
      <c r="Z167" s="595"/>
    </row>
    <row r="168" spans="1:26">
      <c r="A168" s="1019" t="s">
        <v>1506</v>
      </c>
      <c r="B168" s="979" t="s">
        <v>420</v>
      </c>
      <c r="C168" s="979" t="s">
        <v>313</v>
      </c>
      <c r="D168" s="979" t="s">
        <v>1133</v>
      </c>
      <c r="E168" s="1022">
        <v>156</v>
      </c>
      <c r="F168" s="595"/>
      <c r="G168" s="1009">
        <f t="shared" si="22"/>
        <v>58.59</v>
      </c>
      <c r="H168" s="1012">
        <f t="shared" si="23"/>
        <v>9140.0400000000009</v>
      </c>
      <c r="I168" s="1011">
        <f t="shared" si="24"/>
        <v>-1.7449695844231038E-4</v>
      </c>
      <c r="J168" s="1009">
        <f t="shared" si="25"/>
        <v>156</v>
      </c>
      <c r="K168" s="1009">
        <f t="shared" si="26"/>
        <v>-6.8271036076553854E-4</v>
      </c>
      <c r="L168" s="595"/>
      <c r="M168" s="595"/>
      <c r="N168" s="595"/>
      <c r="O168" s="595"/>
      <c r="P168" s="595"/>
      <c r="Q168" s="595"/>
      <c r="R168" s="595"/>
      <c r="S168" s="595"/>
      <c r="T168" s="595"/>
      <c r="U168" s="595"/>
      <c r="V168" s="595"/>
      <c r="W168" s="595"/>
      <c r="X168" s="595"/>
      <c r="Y168" s="595"/>
      <c r="Z168" s="595"/>
    </row>
    <row r="169" spans="1:26">
      <c r="A169" s="1019" t="s">
        <v>1506</v>
      </c>
      <c r="B169" s="979" t="s">
        <v>420</v>
      </c>
      <c r="C169" s="979" t="s">
        <v>650</v>
      </c>
      <c r="D169" s="979" t="s">
        <v>1151</v>
      </c>
      <c r="E169" s="1022">
        <v>8</v>
      </c>
      <c r="F169" s="595"/>
      <c r="G169" s="1009">
        <f t="shared" si="22"/>
        <v>15.35</v>
      </c>
      <c r="H169" s="1012">
        <f t="shared" si="23"/>
        <v>122.8</v>
      </c>
      <c r="I169" s="1011">
        <f t="shared" si="24"/>
        <v>-2.3444346520054302E-6</v>
      </c>
      <c r="J169" s="1009">
        <f t="shared" si="25"/>
        <v>8</v>
      </c>
      <c r="K169" s="1009">
        <f t="shared" si="26"/>
        <v>-2.6058631946093095E-3</v>
      </c>
      <c r="L169" s="595"/>
      <c r="M169" s="595"/>
      <c r="N169" s="595"/>
      <c r="O169" s="595"/>
      <c r="P169" s="595"/>
      <c r="Q169" s="595"/>
      <c r="R169" s="595"/>
      <c r="S169" s="595"/>
      <c r="T169" s="595"/>
      <c r="U169" s="595"/>
      <c r="V169" s="595"/>
      <c r="W169" s="595"/>
      <c r="X169" s="595"/>
      <c r="Y169" s="595"/>
      <c r="Z169" s="595"/>
    </row>
    <row r="170" spans="1:26">
      <c r="A170" s="1019" t="s">
        <v>1506</v>
      </c>
      <c r="B170" s="979" t="s">
        <v>420</v>
      </c>
      <c r="C170" s="979" t="s">
        <v>447</v>
      </c>
      <c r="D170" s="979" t="s">
        <v>1134</v>
      </c>
      <c r="E170" s="1022">
        <v>30</v>
      </c>
      <c r="F170" s="595"/>
      <c r="G170" s="1009">
        <f t="shared" si="22"/>
        <v>17.72</v>
      </c>
      <c r="H170" s="1012">
        <f t="shared" si="23"/>
        <v>531.59999999999991</v>
      </c>
      <c r="I170" s="1011">
        <f t="shared" si="24"/>
        <v>-1.0149034698746633E-5</v>
      </c>
      <c r="J170" s="1009">
        <f t="shared" si="25"/>
        <v>30</v>
      </c>
      <c r="K170" s="1009">
        <f t="shared" si="26"/>
        <v>-2.2573363452174327E-3</v>
      </c>
      <c r="L170" s="595"/>
      <c r="M170" s="595"/>
      <c r="N170" s="595"/>
      <c r="O170" s="595"/>
      <c r="P170" s="595"/>
      <c r="Q170" s="595"/>
      <c r="R170" s="595"/>
      <c r="S170" s="595"/>
      <c r="T170" s="595"/>
      <c r="U170" s="595"/>
      <c r="V170" s="595"/>
      <c r="W170" s="595"/>
      <c r="X170" s="595"/>
      <c r="Y170" s="595"/>
      <c r="Z170" s="595"/>
    </row>
    <row r="171" spans="1:26">
      <c r="A171" s="1019" t="s">
        <v>1506</v>
      </c>
      <c r="B171" s="979" t="s">
        <v>420</v>
      </c>
      <c r="C171" s="979" t="s">
        <v>624</v>
      </c>
      <c r="D171" s="979" t="s">
        <v>1135</v>
      </c>
      <c r="E171" s="1022">
        <v>24</v>
      </c>
      <c r="F171" s="595"/>
      <c r="G171" s="1035">
        <f t="shared" si="22"/>
        <v>21.490000000000002</v>
      </c>
      <c r="H171" s="1012">
        <f t="shared" si="23"/>
        <v>515.76</v>
      </c>
      <c r="I171" s="1011">
        <f t="shared" si="24"/>
        <v>-9.8466255384228083E-6</v>
      </c>
      <c r="J171" s="1034">
        <f t="shared" si="25"/>
        <v>24</v>
      </c>
      <c r="K171" s="1009">
        <f t="shared" si="26"/>
        <v>-1.8613308532923639E-3</v>
      </c>
      <c r="L171" s="595"/>
      <c r="M171" s="595"/>
      <c r="N171" s="595"/>
      <c r="O171" s="595"/>
      <c r="P171" s="595"/>
      <c r="Q171" s="595"/>
      <c r="R171" s="595"/>
      <c r="S171" s="595"/>
      <c r="T171" s="595"/>
      <c r="U171" s="595"/>
      <c r="V171" s="595"/>
      <c r="W171" s="595"/>
      <c r="X171" s="595"/>
      <c r="Y171" s="595"/>
      <c r="Z171" s="595"/>
    </row>
    <row r="172" spans="1:26">
      <c r="A172" s="1019" t="s">
        <v>1506</v>
      </c>
      <c r="B172" s="979" t="s">
        <v>420</v>
      </c>
      <c r="C172" s="1021" t="s">
        <v>8</v>
      </c>
      <c r="D172" s="1021"/>
      <c r="E172" s="980">
        <f>SUM(E91:E171)</f>
        <v>168746</v>
      </c>
      <c r="F172" s="595"/>
      <c r="G172" s="1031"/>
      <c r="H172" s="1033">
        <f>SUM(H91:H171)</f>
        <v>2095174.6300000001</v>
      </c>
      <c r="I172" s="1031"/>
      <c r="J172" s="1032">
        <f>SUM(J91:J171)</f>
        <v>168746</v>
      </c>
      <c r="K172" s="1031"/>
      <c r="L172" s="595"/>
      <c r="M172" s="595"/>
      <c r="N172" s="595"/>
      <c r="O172" s="595"/>
      <c r="P172" s="595"/>
      <c r="Q172" s="595"/>
      <c r="R172" s="595"/>
      <c r="S172" s="595"/>
      <c r="T172" s="595"/>
      <c r="U172" s="595"/>
      <c r="V172" s="595"/>
      <c r="W172" s="595"/>
      <c r="X172" s="595"/>
      <c r="Y172" s="595"/>
      <c r="Z172" s="595"/>
    </row>
    <row r="173" spans="1:26">
      <c r="A173" s="1023"/>
      <c r="B173" s="1023"/>
      <c r="C173" s="1023"/>
      <c r="D173" s="981"/>
      <c r="E173" s="979"/>
      <c r="F173" s="595"/>
      <c r="G173" s="595"/>
      <c r="H173" s="595"/>
      <c r="I173" s="595"/>
      <c r="J173" s="595"/>
      <c r="K173" s="595"/>
      <c r="L173" s="595"/>
      <c r="M173" s="595"/>
      <c r="N173" s="595"/>
      <c r="O173" s="595"/>
      <c r="P173" s="595"/>
      <c r="Q173" s="595"/>
      <c r="R173" s="595"/>
      <c r="S173" s="595"/>
      <c r="T173" s="595"/>
      <c r="U173" s="595"/>
      <c r="V173" s="595"/>
      <c r="W173" s="595"/>
      <c r="X173" s="595"/>
      <c r="Y173" s="595"/>
      <c r="Z173" s="595"/>
    </row>
    <row r="174" spans="1:26">
      <c r="A174" s="979"/>
      <c r="B174" s="979"/>
      <c r="C174" s="979"/>
      <c r="D174" s="1018"/>
      <c r="E174" s="981"/>
      <c r="F174" s="595"/>
      <c r="G174" s="595"/>
      <c r="H174" s="595"/>
      <c r="I174" s="595"/>
      <c r="J174" s="595"/>
      <c r="K174" s="595"/>
      <c r="L174" s="595"/>
      <c r="M174" s="595"/>
      <c r="N174" s="595"/>
      <c r="O174" s="595"/>
      <c r="P174" s="595"/>
      <c r="Q174" s="595"/>
      <c r="R174" s="595"/>
      <c r="S174" s="595"/>
      <c r="T174" s="595"/>
      <c r="U174" s="595"/>
      <c r="V174" s="595"/>
      <c r="W174" s="595"/>
      <c r="X174" s="595"/>
      <c r="Y174" s="595"/>
      <c r="Z174" s="595"/>
    </row>
    <row r="175" spans="1:26">
      <c r="A175" s="1019" t="s">
        <v>1507</v>
      </c>
      <c r="B175" s="979" t="s">
        <v>420</v>
      </c>
      <c r="C175" s="979" t="s">
        <v>433</v>
      </c>
      <c r="D175" s="979" t="s">
        <v>432</v>
      </c>
      <c r="E175" s="980"/>
      <c r="F175" s="595"/>
      <c r="G175" s="1009"/>
      <c r="H175" s="1009"/>
      <c r="I175" s="1009"/>
      <c r="J175" s="1009"/>
      <c r="K175" s="1009"/>
      <c r="L175" s="1020">
        <f>'12MonLights'!$O$265</f>
        <v>2136185</v>
      </c>
      <c r="M175" s="595" t="s">
        <v>1529</v>
      </c>
      <c r="N175" s="595"/>
      <c r="O175" s="595"/>
      <c r="P175" s="595"/>
      <c r="Q175" s="1010" t="s">
        <v>1536</v>
      </c>
      <c r="R175" s="595"/>
      <c r="S175" s="595"/>
      <c r="T175" s="595"/>
      <c r="U175" s="595"/>
      <c r="V175" s="595"/>
      <c r="W175" s="595"/>
      <c r="X175" s="595"/>
      <c r="Y175" s="595"/>
      <c r="Z175" s="595"/>
    </row>
    <row r="176" spans="1:26">
      <c r="A176" s="1019" t="s">
        <v>1507</v>
      </c>
      <c r="B176" s="979" t="s">
        <v>420</v>
      </c>
      <c r="C176" s="979" t="s">
        <v>431</v>
      </c>
      <c r="D176" s="979" t="s">
        <v>430</v>
      </c>
      <c r="E176" s="980"/>
      <c r="F176" s="595"/>
      <c r="G176" s="1009"/>
      <c r="H176" s="1009"/>
      <c r="I176" s="1009"/>
      <c r="J176" s="1009"/>
      <c r="K176" s="1009"/>
      <c r="L176" s="1011">
        <f>'12MonResults'!$AE$101</f>
        <v>816.38</v>
      </c>
      <c r="M176" s="595" t="s">
        <v>1531</v>
      </c>
      <c r="N176" s="595"/>
      <c r="O176" s="595"/>
      <c r="P176" s="595"/>
      <c r="Q176" s="595"/>
      <c r="R176" s="595"/>
      <c r="S176" s="595"/>
      <c r="T176" s="595"/>
      <c r="U176" s="595"/>
      <c r="V176" s="595"/>
      <c r="W176" s="595"/>
      <c r="X176" s="595"/>
      <c r="Y176" s="595"/>
      <c r="Z176" s="595"/>
    </row>
    <row r="177" spans="1:26" ht="13.5">
      <c r="A177" s="1019" t="s">
        <v>1507</v>
      </c>
      <c r="B177" s="979" t="s">
        <v>420</v>
      </c>
      <c r="C177" s="979" t="s">
        <v>323</v>
      </c>
      <c r="D177" s="979" t="s">
        <v>1056</v>
      </c>
      <c r="E177" s="980">
        <v>178</v>
      </c>
      <c r="F177" s="595"/>
      <c r="G177" s="1009">
        <f t="shared" ref="G177:G208" si="27">SUMIF(_Lights_Tariff_Category,20140101&amp;$C177,_Lights_Rates)</f>
        <v>55.33</v>
      </c>
      <c r="H177" s="1012">
        <f t="shared" ref="H177:H208" si="28">E177*G177</f>
        <v>9848.74</v>
      </c>
      <c r="I177" s="1011">
        <f>H177/$L$179*$L$180</f>
        <v>-5.3679168937132066E-2</v>
      </c>
      <c r="J177" s="1009">
        <f>ROUND((H177+I177)/G177,0)</f>
        <v>178</v>
      </c>
      <c r="K177" s="1009">
        <f>$L$180/G177</f>
        <v>-0.20928971624931333</v>
      </c>
      <c r="L177" s="1013">
        <f>'12MonResults'!$AE$103</f>
        <v>10749.52</v>
      </c>
      <c r="M177" s="1014" t="s">
        <v>1532</v>
      </c>
      <c r="N177" s="595"/>
      <c r="O177" s="595"/>
      <c r="P177" s="595"/>
      <c r="Q177" s="595"/>
      <c r="R177" s="595"/>
      <c r="S177" s="595"/>
      <c r="T177" s="595"/>
      <c r="U177" s="595"/>
      <c r="V177" s="595"/>
      <c r="W177" s="595"/>
      <c r="X177" s="595"/>
      <c r="Y177" s="595"/>
      <c r="Z177" s="595"/>
    </row>
    <row r="178" spans="1:26">
      <c r="A178" s="1019" t="s">
        <v>1507</v>
      </c>
      <c r="B178" s="979" t="s">
        <v>420</v>
      </c>
      <c r="C178" s="979" t="s">
        <v>328</v>
      </c>
      <c r="D178" s="979" t="s">
        <v>1057</v>
      </c>
      <c r="E178" s="980">
        <v>25</v>
      </c>
      <c r="F178" s="595"/>
      <c r="G178" s="1009">
        <f t="shared" si="27"/>
        <v>83.16</v>
      </c>
      <c r="H178" s="1012">
        <f t="shared" si="28"/>
        <v>2079</v>
      </c>
      <c r="I178" s="1011">
        <f t="shared" ref="I178:I240" si="29">H178/$L$179*$L$180</f>
        <v>-1.1331296411550876E-2</v>
      </c>
      <c r="J178" s="1009">
        <f t="shared" ref="J178:J240" si="30">ROUND((H178+I178)/G178,0)</f>
        <v>25</v>
      </c>
      <c r="K178" s="1009">
        <f t="shared" ref="K178:K240" si="31">$L$180/G178</f>
        <v>-0.13924963925053518</v>
      </c>
      <c r="L178" s="1011">
        <f>L175-L176-L177</f>
        <v>2124619.1</v>
      </c>
      <c r="M178" s="595" t="s">
        <v>1533</v>
      </c>
      <c r="N178" s="595"/>
      <c r="O178" s="595"/>
      <c r="P178" s="595"/>
      <c r="Q178" s="595"/>
      <c r="R178" s="595"/>
      <c r="S178" s="595"/>
      <c r="T178" s="595"/>
      <c r="U178" s="595"/>
      <c r="V178" s="595"/>
      <c r="W178" s="595"/>
      <c r="X178" s="595"/>
      <c r="Y178" s="595"/>
      <c r="Z178" s="595"/>
    </row>
    <row r="179" spans="1:26">
      <c r="A179" s="1019" t="s">
        <v>1507</v>
      </c>
      <c r="B179" s="979" t="s">
        <v>420</v>
      </c>
      <c r="C179" s="979" t="s">
        <v>331</v>
      </c>
      <c r="D179" s="979" t="s">
        <v>1058</v>
      </c>
      <c r="E179" s="980">
        <v>43</v>
      </c>
      <c r="F179" s="595"/>
      <c r="G179" s="1009">
        <f t="shared" si="27"/>
        <v>59.78</v>
      </c>
      <c r="H179" s="1012">
        <f t="shared" si="28"/>
        <v>2570.54</v>
      </c>
      <c r="I179" s="1011">
        <f t="shared" si="29"/>
        <v>-1.4010365886362668E-2</v>
      </c>
      <c r="J179" s="1009">
        <f t="shared" si="30"/>
        <v>43</v>
      </c>
      <c r="K179" s="1009">
        <f t="shared" si="31"/>
        <v>-0.19371027099488969</v>
      </c>
      <c r="L179" s="1012">
        <f>$H$258</f>
        <v>2124630.6800000002</v>
      </c>
      <c r="M179" s="595" t="s">
        <v>1534</v>
      </c>
      <c r="N179" s="595"/>
      <c r="O179" s="595"/>
      <c r="P179" s="595"/>
      <c r="Q179" s="595"/>
      <c r="R179" s="595"/>
      <c r="S179" s="595"/>
      <c r="T179" s="595"/>
      <c r="U179" s="595"/>
      <c r="V179" s="595"/>
      <c r="W179" s="595"/>
      <c r="X179" s="595"/>
      <c r="Y179" s="595"/>
      <c r="Z179" s="595"/>
    </row>
    <row r="180" spans="1:26">
      <c r="A180" s="1019" t="s">
        <v>1507</v>
      </c>
      <c r="B180" s="979" t="s">
        <v>420</v>
      </c>
      <c r="C180" s="979" t="s">
        <v>332</v>
      </c>
      <c r="D180" s="979" t="s">
        <v>1059</v>
      </c>
      <c r="E180" s="980">
        <v>5</v>
      </c>
      <c r="F180" s="595"/>
      <c r="G180" s="1009">
        <f t="shared" si="27"/>
        <v>61.75</v>
      </c>
      <c r="H180" s="1012">
        <f t="shared" si="28"/>
        <v>308.75</v>
      </c>
      <c r="I180" s="1011">
        <f t="shared" si="29"/>
        <v>-1.6827983487572547E-3</v>
      </c>
      <c r="J180" s="1009">
        <f t="shared" si="30"/>
        <v>5</v>
      </c>
      <c r="K180" s="1009">
        <f t="shared" si="31"/>
        <v>-0.18753036437367621</v>
      </c>
      <c r="L180" s="1011">
        <f>L178-L179</f>
        <v>-11.580000000074506</v>
      </c>
      <c r="M180" s="595"/>
      <c r="N180" s="595"/>
      <c r="O180" s="595"/>
      <c r="P180" s="595"/>
      <c r="Q180" s="595"/>
      <c r="R180" s="595"/>
      <c r="S180" s="595"/>
      <c r="T180" s="595"/>
      <c r="U180" s="595"/>
      <c r="V180" s="595"/>
      <c r="W180" s="595"/>
      <c r="X180" s="595"/>
      <c r="Y180" s="595"/>
      <c r="Z180" s="595"/>
    </row>
    <row r="181" spans="1:26">
      <c r="A181" s="1019" t="s">
        <v>1507</v>
      </c>
      <c r="B181" s="979" t="s">
        <v>420</v>
      </c>
      <c r="C181" s="979" t="s">
        <v>333</v>
      </c>
      <c r="D181" s="979" t="s">
        <v>1060</v>
      </c>
      <c r="E181" s="980">
        <v>1</v>
      </c>
      <c r="F181" s="595"/>
      <c r="G181" s="1009">
        <f t="shared" si="27"/>
        <v>63.11</v>
      </c>
      <c r="H181" s="1012">
        <f t="shared" si="28"/>
        <v>63.11</v>
      </c>
      <c r="I181" s="1011">
        <f t="shared" si="29"/>
        <v>-3.4397215802451931E-4</v>
      </c>
      <c r="J181" s="1009">
        <f t="shared" si="30"/>
        <v>1</v>
      </c>
      <c r="K181" s="1009">
        <f t="shared" si="31"/>
        <v>-0.18348914593684845</v>
      </c>
      <c r="L181" s="595"/>
      <c r="M181" s="595"/>
      <c r="N181" s="595"/>
      <c r="O181" s="595"/>
      <c r="P181" s="595"/>
      <c r="Q181" s="595"/>
      <c r="R181" s="595"/>
      <c r="S181" s="595"/>
      <c r="T181" s="595"/>
      <c r="U181" s="595"/>
      <c r="V181" s="595"/>
      <c r="W181" s="595"/>
      <c r="X181" s="595"/>
      <c r="Y181" s="595"/>
      <c r="Z181" s="595"/>
    </row>
    <row r="182" spans="1:26">
      <c r="A182" s="1019" t="s">
        <v>1507</v>
      </c>
      <c r="B182" s="979" t="s">
        <v>420</v>
      </c>
      <c r="C182" s="979" t="s">
        <v>335</v>
      </c>
      <c r="D182" s="979" t="s">
        <v>1061</v>
      </c>
      <c r="E182" s="980">
        <v>5</v>
      </c>
      <c r="F182" s="595"/>
      <c r="G182" s="1009">
        <f t="shared" si="27"/>
        <v>80.94</v>
      </c>
      <c r="H182" s="1012">
        <f t="shared" si="28"/>
        <v>404.7</v>
      </c>
      <c r="I182" s="1011">
        <f t="shared" si="29"/>
        <v>-2.2057602971402783E-3</v>
      </c>
      <c r="J182" s="1009">
        <f t="shared" si="30"/>
        <v>5</v>
      </c>
      <c r="K182" s="1009">
        <f t="shared" si="31"/>
        <v>-0.14306893995644313</v>
      </c>
      <c r="L182" s="595"/>
      <c r="M182" s="595"/>
      <c r="N182" s="595"/>
      <c r="O182" s="595"/>
      <c r="P182" s="595"/>
      <c r="Q182" s="595"/>
      <c r="R182" s="595"/>
      <c r="S182" s="595"/>
      <c r="T182" s="595"/>
      <c r="U182" s="595"/>
      <c r="V182" s="595"/>
      <c r="W182" s="595"/>
      <c r="X182" s="595"/>
      <c r="Y182" s="595"/>
      <c r="Z182" s="595"/>
    </row>
    <row r="183" spans="1:26">
      <c r="A183" s="1019" t="s">
        <v>1507</v>
      </c>
      <c r="B183" s="979" t="s">
        <v>420</v>
      </c>
      <c r="C183" s="979" t="s">
        <v>336</v>
      </c>
      <c r="D183" s="979" t="s">
        <v>1062</v>
      </c>
      <c r="E183" s="980">
        <v>9</v>
      </c>
      <c r="F183" s="595"/>
      <c r="G183" s="1009">
        <f t="shared" si="27"/>
        <v>78.97</v>
      </c>
      <c r="H183" s="1012">
        <f t="shared" si="28"/>
        <v>710.73</v>
      </c>
      <c r="I183" s="1011">
        <f t="shared" si="29"/>
        <v>-3.8737336693513967E-3</v>
      </c>
      <c r="J183" s="1009">
        <f t="shared" si="30"/>
        <v>9</v>
      </c>
      <c r="K183" s="1009">
        <f t="shared" si="31"/>
        <v>-0.14663796378465882</v>
      </c>
      <c r="L183" s="595"/>
      <c r="M183" s="595"/>
      <c r="N183" s="595"/>
      <c r="O183" s="595"/>
      <c r="P183" s="595"/>
      <c r="Q183" s="595"/>
      <c r="R183" s="595"/>
      <c r="S183" s="595"/>
      <c r="T183" s="595"/>
      <c r="U183" s="595"/>
      <c r="V183" s="595"/>
      <c r="W183" s="595"/>
      <c r="X183" s="595"/>
      <c r="Y183" s="595"/>
      <c r="Z183" s="595"/>
    </row>
    <row r="184" spans="1:26">
      <c r="A184" s="1019" t="s">
        <v>1507</v>
      </c>
      <c r="B184" s="979" t="s">
        <v>420</v>
      </c>
      <c r="C184" s="979" t="s">
        <v>338</v>
      </c>
      <c r="D184" s="979" t="s">
        <v>1063</v>
      </c>
      <c r="E184" s="980">
        <v>25</v>
      </c>
      <c r="F184" s="595"/>
      <c r="G184" s="1009">
        <f t="shared" si="27"/>
        <v>61.230000000000004</v>
      </c>
      <c r="H184" s="1012">
        <f t="shared" si="28"/>
        <v>1530.75</v>
      </c>
      <c r="I184" s="1011">
        <f t="shared" si="29"/>
        <v>-8.3431370764701779E-3</v>
      </c>
      <c r="J184" s="1009">
        <f t="shared" si="30"/>
        <v>25</v>
      </c>
      <c r="K184" s="1009">
        <f t="shared" si="31"/>
        <v>-0.18912297893311295</v>
      </c>
      <c r="L184" s="595"/>
      <c r="M184" s="595"/>
      <c r="N184" s="595"/>
      <c r="O184" s="595"/>
      <c r="P184" s="595"/>
      <c r="Q184" s="595"/>
      <c r="R184" s="595"/>
      <c r="S184" s="595"/>
      <c r="T184" s="595"/>
      <c r="U184" s="595"/>
      <c r="V184" s="595"/>
      <c r="W184" s="595"/>
      <c r="X184" s="595"/>
      <c r="Y184" s="595"/>
      <c r="Z184" s="595"/>
    </row>
    <row r="185" spans="1:26">
      <c r="A185" s="1019" t="s">
        <v>1507</v>
      </c>
      <c r="B185" s="979" t="s">
        <v>420</v>
      </c>
      <c r="C185" s="979" t="s">
        <v>339</v>
      </c>
      <c r="D185" s="979" t="s">
        <v>1064</v>
      </c>
      <c r="E185" s="980">
        <v>1</v>
      </c>
      <c r="F185" s="595"/>
      <c r="G185" s="1009">
        <f t="shared" si="27"/>
        <v>56.69</v>
      </c>
      <c r="H185" s="1012">
        <f t="shared" si="28"/>
        <v>56.69</v>
      </c>
      <c r="I185" s="1011">
        <f t="shared" si="29"/>
        <v>-3.0898085308841706E-4</v>
      </c>
      <c r="J185" s="1009">
        <f t="shared" si="30"/>
        <v>1</v>
      </c>
      <c r="K185" s="1009">
        <f t="shared" si="31"/>
        <v>-0.20426883048288069</v>
      </c>
      <c r="L185" s="595"/>
      <c r="M185" s="595"/>
      <c r="N185" s="595"/>
      <c r="O185" s="595"/>
      <c r="P185" s="595"/>
      <c r="Q185" s="595"/>
      <c r="R185" s="595"/>
      <c r="S185" s="595"/>
      <c r="T185" s="595"/>
      <c r="U185" s="595"/>
      <c r="V185" s="595"/>
      <c r="W185" s="595"/>
      <c r="X185" s="595"/>
      <c r="Y185" s="595"/>
      <c r="Z185" s="595"/>
    </row>
    <row r="186" spans="1:26">
      <c r="A186" s="1019" t="s">
        <v>1507</v>
      </c>
      <c r="B186" s="979" t="s">
        <v>420</v>
      </c>
      <c r="C186" s="979" t="s">
        <v>325</v>
      </c>
      <c r="D186" s="979" t="s">
        <v>1065</v>
      </c>
      <c r="E186" s="980">
        <v>15</v>
      </c>
      <c r="F186" s="595"/>
      <c r="G186" s="1009">
        <f t="shared" si="27"/>
        <v>74.52</v>
      </c>
      <c r="H186" s="1012">
        <f t="shared" si="28"/>
        <v>1117.8</v>
      </c>
      <c r="I186" s="1011">
        <f t="shared" si="29"/>
        <v>-6.0924113173793006E-3</v>
      </c>
      <c r="J186" s="1009">
        <f t="shared" si="30"/>
        <v>15</v>
      </c>
      <c r="K186" s="1009">
        <f t="shared" si="31"/>
        <v>-0.15539452496074216</v>
      </c>
      <c r="L186" s="595"/>
      <c r="M186" s="595"/>
      <c r="N186" s="595"/>
      <c r="O186" s="595"/>
      <c r="P186" s="595"/>
      <c r="Q186" s="595"/>
      <c r="R186" s="595"/>
      <c r="S186" s="595"/>
      <c r="T186" s="595"/>
      <c r="U186" s="595"/>
      <c r="V186" s="595"/>
      <c r="W186" s="595"/>
      <c r="X186" s="595"/>
      <c r="Y186" s="595"/>
      <c r="Z186" s="595"/>
    </row>
    <row r="187" spans="1:26">
      <c r="A187" s="1019" t="s">
        <v>1507</v>
      </c>
      <c r="B187" s="979" t="s">
        <v>420</v>
      </c>
      <c r="C187" s="979" t="s">
        <v>334</v>
      </c>
      <c r="D187" s="979" t="s">
        <v>1066</v>
      </c>
      <c r="E187" s="980">
        <v>1</v>
      </c>
      <c r="F187" s="595"/>
      <c r="G187" s="1009">
        <f t="shared" si="27"/>
        <v>82.3</v>
      </c>
      <c r="H187" s="1012">
        <f t="shared" si="28"/>
        <v>82.3</v>
      </c>
      <c r="I187" s="1011">
        <f t="shared" si="29"/>
        <v>-4.4856454770112413E-4</v>
      </c>
      <c r="J187" s="1009">
        <f t="shared" si="30"/>
        <v>1</v>
      </c>
      <c r="K187" s="1009">
        <f t="shared" si="31"/>
        <v>-0.14070473876153713</v>
      </c>
      <c r="L187" s="595"/>
      <c r="M187" s="595"/>
      <c r="N187" s="595"/>
      <c r="O187" s="595"/>
      <c r="P187" s="595"/>
      <c r="Q187" s="595"/>
      <c r="R187" s="595"/>
      <c r="S187" s="595"/>
      <c r="T187" s="595"/>
      <c r="U187" s="595"/>
      <c r="V187" s="595"/>
      <c r="W187" s="595"/>
      <c r="X187" s="595"/>
      <c r="Y187" s="595"/>
      <c r="Z187" s="595"/>
    </row>
    <row r="188" spans="1:26">
      <c r="A188" s="1019" t="s">
        <v>1507</v>
      </c>
      <c r="B188" s="979" t="s">
        <v>420</v>
      </c>
      <c r="C188" s="979" t="s">
        <v>326</v>
      </c>
      <c r="D188" s="979" t="s">
        <v>1067</v>
      </c>
      <c r="E188" s="980">
        <v>20</v>
      </c>
      <c r="F188" s="595"/>
      <c r="G188" s="1009">
        <f t="shared" si="27"/>
        <v>74.52</v>
      </c>
      <c r="H188" s="1012">
        <f t="shared" si="28"/>
        <v>1490.3999999999999</v>
      </c>
      <c r="I188" s="1011">
        <f t="shared" si="29"/>
        <v>-8.1232150898390681E-3</v>
      </c>
      <c r="J188" s="1009">
        <f t="shared" si="30"/>
        <v>20</v>
      </c>
      <c r="K188" s="1009">
        <f t="shared" si="31"/>
        <v>-0.15539452496074216</v>
      </c>
      <c r="L188" s="595"/>
      <c r="M188" s="595"/>
      <c r="N188" s="595"/>
      <c r="O188" s="595"/>
      <c r="P188" s="595"/>
      <c r="Q188" s="595"/>
      <c r="R188" s="595"/>
      <c r="S188" s="595"/>
      <c r="T188" s="595"/>
      <c r="U188" s="595"/>
      <c r="V188" s="595"/>
      <c r="W188" s="595"/>
      <c r="X188" s="595"/>
      <c r="Y188" s="595"/>
      <c r="Z188" s="595"/>
    </row>
    <row r="189" spans="1:26">
      <c r="A189" s="1019" t="s">
        <v>1507</v>
      </c>
      <c r="B189" s="979" t="s">
        <v>420</v>
      </c>
      <c r="C189" s="979" t="s">
        <v>330</v>
      </c>
      <c r="D189" s="979" t="s">
        <v>1068</v>
      </c>
      <c r="E189" s="980">
        <v>4</v>
      </c>
      <c r="F189" s="595"/>
      <c r="G189" s="1009">
        <f t="shared" si="27"/>
        <v>75.88</v>
      </c>
      <c r="H189" s="1012">
        <f t="shared" si="28"/>
        <v>303.52</v>
      </c>
      <c r="I189" s="1011">
        <f t="shared" si="29"/>
        <v>-1.6542929710600873E-3</v>
      </c>
      <c r="J189" s="1009">
        <f t="shared" si="30"/>
        <v>4</v>
      </c>
      <c r="K189" s="1009">
        <f t="shared" si="31"/>
        <v>-0.1526093832376714</v>
      </c>
      <c r="L189" s="595"/>
      <c r="M189" s="595"/>
      <c r="N189" s="595"/>
      <c r="O189" s="595"/>
      <c r="P189" s="595"/>
      <c r="Q189" s="595"/>
      <c r="R189" s="595"/>
      <c r="S189" s="595"/>
      <c r="T189" s="595"/>
      <c r="U189" s="595"/>
      <c r="V189" s="595"/>
      <c r="W189" s="595"/>
      <c r="X189" s="595"/>
      <c r="Y189" s="595"/>
      <c r="Z189" s="595"/>
    </row>
    <row r="190" spans="1:26">
      <c r="A190" s="1019" t="s">
        <v>1507</v>
      </c>
      <c r="B190" s="979" t="s">
        <v>420</v>
      </c>
      <c r="C190" s="979" t="s">
        <v>337</v>
      </c>
      <c r="D190" s="979" t="s">
        <v>1069</v>
      </c>
      <c r="E190" s="980">
        <v>3</v>
      </c>
      <c r="F190" s="595"/>
      <c r="G190" s="1009">
        <f t="shared" si="27"/>
        <v>78.97</v>
      </c>
      <c r="H190" s="1012">
        <f t="shared" si="28"/>
        <v>236.91</v>
      </c>
      <c r="I190" s="1011">
        <f t="shared" si="29"/>
        <v>-1.2912445564504656E-3</v>
      </c>
      <c r="J190" s="1009">
        <f t="shared" si="30"/>
        <v>3</v>
      </c>
      <c r="K190" s="1009">
        <f t="shared" si="31"/>
        <v>-0.14663796378465882</v>
      </c>
      <c r="L190" s="595"/>
      <c r="M190" s="595"/>
      <c r="N190" s="595"/>
      <c r="O190" s="595"/>
      <c r="P190" s="595"/>
      <c r="Q190" s="595"/>
      <c r="R190" s="595"/>
      <c r="S190" s="595"/>
      <c r="T190" s="595"/>
      <c r="U190" s="595"/>
      <c r="V190" s="595"/>
      <c r="W190" s="595"/>
      <c r="X190" s="595"/>
      <c r="Y190" s="595"/>
      <c r="Z190" s="595"/>
    </row>
    <row r="191" spans="1:26">
      <c r="A191" s="1019" t="s">
        <v>1507</v>
      </c>
      <c r="B191" s="979" t="s">
        <v>420</v>
      </c>
      <c r="C191" s="979" t="s">
        <v>329</v>
      </c>
      <c r="D191" s="979" t="s">
        <v>1070</v>
      </c>
      <c r="E191" s="980">
        <v>2</v>
      </c>
      <c r="F191" s="595"/>
      <c r="G191" s="1009">
        <f t="shared" si="27"/>
        <v>77.259999999999991</v>
      </c>
      <c r="H191" s="1012">
        <f t="shared" si="28"/>
        <v>154.51999999999998</v>
      </c>
      <c r="I191" s="1011">
        <f t="shared" si="29"/>
        <v>-8.4218947643715288E-4</v>
      </c>
      <c r="J191" s="1009">
        <f t="shared" si="30"/>
        <v>2</v>
      </c>
      <c r="K191" s="1009">
        <f t="shared" si="31"/>
        <v>-0.14988351022617794</v>
      </c>
      <c r="L191" s="595"/>
      <c r="M191" s="595"/>
      <c r="N191" s="595"/>
      <c r="O191" s="595"/>
      <c r="P191" s="595"/>
      <c r="Q191" s="595"/>
      <c r="R191" s="595"/>
      <c r="S191" s="595"/>
      <c r="T191" s="595"/>
      <c r="U191" s="595"/>
      <c r="V191" s="595"/>
      <c r="W191" s="595"/>
      <c r="X191" s="595"/>
      <c r="Y191" s="595"/>
      <c r="Z191" s="595"/>
    </row>
    <row r="192" spans="1:26">
      <c r="A192" s="1019" t="s">
        <v>1507</v>
      </c>
      <c r="B192" s="979" t="s">
        <v>420</v>
      </c>
      <c r="C192" s="979" t="s">
        <v>327</v>
      </c>
      <c r="D192" s="979" t="s">
        <v>1071</v>
      </c>
      <c r="E192" s="980">
        <v>51</v>
      </c>
      <c r="F192" s="595"/>
      <c r="G192" s="1009">
        <f t="shared" si="27"/>
        <v>64.19</v>
      </c>
      <c r="H192" s="1012">
        <f t="shared" si="28"/>
        <v>3273.69</v>
      </c>
      <c r="I192" s="1011">
        <f t="shared" si="29"/>
        <v>-1.7842785834309757E-2</v>
      </c>
      <c r="J192" s="1009">
        <f t="shared" si="30"/>
        <v>51</v>
      </c>
      <c r="K192" s="1009">
        <f t="shared" si="31"/>
        <v>-0.18040193176623315</v>
      </c>
      <c r="L192" s="595"/>
      <c r="M192" s="595"/>
      <c r="N192" s="595"/>
      <c r="O192" s="595"/>
      <c r="P192" s="595"/>
      <c r="Q192" s="595"/>
      <c r="R192" s="595"/>
      <c r="S192" s="595"/>
      <c r="T192" s="595"/>
      <c r="U192" s="595"/>
      <c r="V192" s="595"/>
      <c r="W192" s="595"/>
      <c r="X192" s="595"/>
      <c r="Y192" s="595"/>
      <c r="Z192" s="595"/>
    </row>
    <row r="193" spans="1:26">
      <c r="A193" s="1019" t="s">
        <v>1507</v>
      </c>
      <c r="B193" s="979" t="s">
        <v>420</v>
      </c>
      <c r="C193" s="979" t="s">
        <v>453</v>
      </c>
      <c r="D193" s="979" t="s">
        <v>1072</v>
      </c>
      <c r="E193" s="980">
        <v>2</v>
      </c>
      <c r="F193" s="595"/>
      <c r="G193" s="1009">
        <f t="shared" si="27"/>
        <v>75.899999999999991</v>
      </c>
      <c r="H193" s="1012">
        <f t="shared" si="28"/>
        <v>151.79999999999998</v>
      </c>
      <c r="I193" s="1011">
        <f t="shared" si="29"/>
        <v>-8.273644998910162E-4</v>
      </c>
      <c r="J193" s="1009">
        <f t="shared" si="30"/>
        <v>2</v>
      </c>
      <c r="K193" s="1009">
        <f t="shared" si="31"/>
        <v>-0.15256916996145595</v>
      </c>
      <c r="L193" s="595"/>
      <c r="M193" s="595"/>
      <c r="N193" s="595"/>
      <c r="O193" s="595"/>
      <c r="P193" s="595"/>
      <c r="Q193" s="595"/>
      <c r="R193" s="595"/>
      <c r="S193" s="595"/>
      <c r="T193" s="595"/>
      <c r="U193" s="595"/>
      <c r="V193" s="595"/>
      <c r="W193" s="595"/>
      <c r="X193" s="595"/>
      <c r="Y193" s="595"/>
      <c r="Z193" s="595"/>
    </row>
    <row r="194" spans="1:26">
      <c r="A194" s="1019" t="s">
        <v>1507</v>
      </c>
      <c r="B194" s="979" t="s">
        <v>420</v>
      </c>
      <c r="C194" s="979" t="s">
        <v>366</v>
      </c>
      <c r="D194" s="979" t="s">
        <v>1073</v>
      </c>
      <c r="E194" s="980">
        <v>52</v>
      </c>
      <c r="F194" s="595"/>
      <c r="G194" s="1009">
        <f t="shared" si="27"/>
        <v>14.860000000000001</v>
      </c>
      <c r="H194" s="1012">
        <f t="shared" si="28"/>
        <v>772.72</v>
      </c>
      <c r="I194" s="1011">
        <f t="shared" si="29"/>
        <v>-4.2116014252686837E-3</v>
      </c>
      <c r="J194" s="1009">
        <f t="shared" si="30"/>
        <v>52</v>
      </c>
      <c r="K194" s="1009">
        <f t="shared" si="31"/>
        <v>-0.77927321669411209</v>
      </c>
      <c r="L194" s="595"/>
      <c r="M194" s="595"/>
      <c r="N194" s="595"/>
      <c r="O194" s="595"/>
      <c r="P194" s="595"/>
      <c r="Q194" s="595"/>
      <c r="R194" s="595"/>
      <c r="S194" s="595"/>
      <c r="T194" s="595"/>
      <c r="U194" s="595"/>
      <c r="V194" s="595"/>
      <c r="W194" s="595"/>
      <c r="X194" s="595"/>
      <c r="Y194" s="595"/>
      <c r="Z194" s="595"/>
    </row>
    <row r="195" spans="1:26">
      <c r="A195" s="1019" t="s">
        <v>1507</v>
      </c>
      <c r="B195" s="979" t="s">
        <v>420</v>
      </c>
      <c r="C195" s="979" t="s">
        <v>386</v>
      </c>
      <c r="D195" s="979" t="s">
        <v>1074</v>
      </c>
      <c r="E195" s="980">
        <v>7279</v>
      </c>
      <c r="F195" s="595"/>
      <c r="G195" s="1009">
        <f t="shared" si="27"/>
        <v>10.570000000000002</v>
      </c>
      <c r="H195" s="1012">
        <f t="shared" si="28"/>
        <v>76939.030000000013</v>
      </c>
      <c r="I195" s="1011">
        <f t="shared" si="29"/>
        <v>-0.41934533648254219</v>
      </c>
      <c r="J195" s="1009">
        <f t="shared" si="30"/>
        <v>7279</v>
      </c>
      <c r="K195" s="1009">
        <f t="shared" si="31"/>
        <v>-1.0955534531763957</v>
      </c>
      <c r="L195" s="595"/>
      <c r="M195" s="595"/>
      <c r="N195" s="595"/>
      <c r="O195" s="595"/>
      <c r="P195" s="595"/>
      <c r="Q195" s="595"/>
    </row>
    <row r="196" spans="1:26">
      <c r="A196" s="1019" t="s">
        <v>1507</v>
      </c>
      <c r="B196" s="979" t="s">
        <v>420</v>
      </c>
      <c r="C196" s="979" t="s">
        <v>382</v>
      </c>
      <c r="D196" s="979" t="s">
        <v>1075</v>
      </c>
      <c r="E196" s="980">
        <v>143</v>
      </c>
      <c r="F196" s="595"/>
      <c r="G196" s="1009">
        <f t="shared" si="27"/>
        <v>11.71</v>
      </c>
      <c r="H196" s="1012">
        <f t="shared" si="28"/>
        <v>1674.5300000000002</v>
      </c>
      <c r="I196" s="1011">
        <f t="shared" si="29"/>
        <v>-9.1267896969861907E-3</v>
      </c>
      <c r="J196" s="1009">
        <f t="shared" si="30"/>
        <v>143</v>
      </c>
      <c r="K196" s="1009">
        <f t="shared" si="31"/>
        <v>-0.98889837746152898</v>
      </c>
      <c r="L196" s="595"/>
      <c r="M196" s="595"/>
      <c r="N196" s="595"/>
      <c r="O196" s="595"/>
      <c r="P196" s="595"/>
      <c r="Q196" s="595"/>
    </row>
    <row r="197" spans="1:26">
      <c r="A197" s="1019" t="s">
        <v>1507</v>
      </c>
      <c r="B197" s="979" t="s">
        <v>420</v>
      </c>
      <c r="C197" s="979" t="s">
        <v>360</v>
      </c>
      <c r="D197" s="979" t="s">
        <v>1076</v>
      </c>
      <c r="E197" s="980">
        <v>240</v>
      </c>
      <c r="F197" s="595"/>
      <c r="G197" s="1009">
        <f t="shared" si="27"/>
        <v>20.259999999999998</v>
      </c>
      <c r="H197" s="1012">
        <f t="shared" si="28"/>
        <v>4862.3999999999996</v>
      </c>
      <c r="I197" s="1011">
        <f t="shared" si="29"/>
        <v>-2.6501825719829231E-2</v>
      </c>
      <c r="J197" s="1009">
        <f t="shared" si="30"/>
        <v>240</v>
      </c>
      <c r="K197" s="1009">
        <f t="shared" si="31"/>
        <v>-0.57156959526527673</v>
      </c>
      <c r="L197" s="595"/>
      <c r="M197" s="595"/>
      <c r="N197" s="595"/>
      <c r="O197" s="595"/>
      <c r="P197" s="595"/>
      <c r="Q197" s="595"/>
    </row>
    <row r="198" spans="1:26">
      <c r="A198" s="1019" t="s">
        <v>1507</v>
      </c>
      <c r="B198" s="979" t="s">
        <v>420</v>
      </c>
      <c r="C198" s="979" t="s">
        <v>368</v>
      </c>
      <c r="D198" s="979" t="s">
        <v>1077</v>
      </c>
      <c r="E198" s="980">
        <v>145</v>
      </c>
      <c r="F198" s="595"/>
      <c r="G198" s="1009">
        <f t="shared" si="27"/>
        <v>21.38</v>
      </c>
      <c r="H198" s="1012">
        <f t="shared" si="28"/>
        <v>3100.1</v>
      </c>
      <c r="I198" s="1011">
        <f t="shared" si="29"/>
        <v>-1.6896658011278917E-2</v>
      </c>
      <c r="J198" s="1009">
        <f t="shared" si="30"/>
        <v>145</v>
      </c>
      <c r="K198" s="1009">
        <f t="shared" si="31"/>
        <v>-0.54162768943285811</v>
      </c>
      <c r="L198" s="595"/>
      <c r="M198" s="595"/>
      <c r="N198" s="595"/>
      <c r="O198" s="595"/>
      <c r="P198" s="595"/>
      <c r="Q198" s="595"/>
    </row>
    <row r="199" spans="1:26">
      <c r="A199" s="1019" t="s">
        <v>1507</v>
      </c>
      <c r="B199" s="979" t="s">
        <v>420</v>
      </c>
      <c r="C199" s="979" t="s">
        <v>370</v>
      </c>
      <c r="D199" s="979" t="s">
        <v>1078</v>
      </c>
      <c r="E199" s="980">
        <v>28</v>
      </c>
      <c r="F199" s="595"/>
      <c r="G199" s="1009">
        <f t="shared" si="27"/>
        <v>30.84</v>
      </c>
      <c r="H199" s="1012">
        <f t="shared" si="28"/>
        <v>863.52</v>
      </c>
      <c r="I199" s="1011">
        <f t="shared" si="29"/>
        <v>-4.7064940246764842E-3</v>
      </c>
      <c r="J199" s="1009">
        <f t="shared" si="30"/>
        <v>28</v>
      </c>
      <c r="K199" s="1009">
        <f t="shared" si="31"/>
        <v>-0.3754863813253731</v>
      </c>
      <c r="L199" s="595"/>
      <c r="M199" s="595"/>
      <c r="N199" s="595"/>
      <c r="O199" s="595"/>
      <c r="P199" s="595"/>
      <c r="Q199" s="595"/>
    </row>
    <row r="200" spans="1:26">
      <c r="A200" s="1019" t="s">
        <v>1507</v>
      </c>
      <c r="B200" s="979" t="s">
        <v>420</v>
      </c>
      <c r="C200" s="979" t="s">
        <v>393</v>
      </c>
      <c r="D200" s="979" t="s">
        <v>1079</v>
      </c>
      <c r="E200" s="980">
        <v>96</v>
      </c>
      <c r="F200" s="595"/>
      <c r="G200" s="1009">
        <f t="shared" si="27"/>
        <v>31.22</v>
      </c>
      <c r="H200" s="1012">
        <f t="shared" si="28"/>
        <v>2997.12</v>
      </c>
      <c r="I200" s="1011">
        <f t="shared" si="29"/>
        <v>-1.6335380038954957E-2</v>
      </c>
      <c r="J200" s="1009">
        <f t="shared" si="30"/>
        <v>96</v>
      </c>
      <c r="K200" s="1009">
        <f t="shared" si="31"/>
        <v>-0.3709160794386453</v>
      </c>
      <c r="L200" s="595"/>
      <c r="M200" s="595"/>
      <c r="N200" s="595"/>
      <c r="O200" s="595"/>
      <c r="P200" s="595"/>
      <c r="Q200" s="595"/>
    </row>
    <row r="201" spans="1:26">
      <c r="A201" s="1019" t="s">
        <v>1507</v>
      </c>
      <c r="B201" s="979" t="s">
        <v>420</v>
      </c>
      <c r="C201" s="979" t="s">
        <v>371</v>
      </c>
      <c r="D201" s="979" t="s">
        <v>1080</v>
      </c>
      <c r="E201" s="980">
        <v>21</v>
      </c>
      <c r="F201" s="595"/>
      <c r="G201" s="1009">
        <f t="shared" si="27"/>
        <v>30.84</v>
      </c>
      <c r="H201" s="1012">
        <f t="shared" si="28"/>
        <v>647.64</v>
      </c>
      <c r="I201" s="1011">
        <f t="shared" si="29"/>
        <v>-3.529870518507363E-3</v>
      </c>
      <c r="J201" s="1009">
        <f t="shared" si="30"/>
        <v>21</v>
      </c>
      <c r="K201" s="1009">
        <f t="shared" si="31"/>
        <v>-0.3754863813253731</v>
      </c>
      <c r="L201" s="595"/>
      <c r="M201" s="595"/>
      <c r="N201" s="595"/>
      <c r="O201" s="595"/>
      <c r="P201" s="595"/>
      <c r="Q201" s="595"/>
    </row>
    <row r="202" spans="1:26">
      <c r="A202" s="1019" t="s">
        <v>1507</v>
      </c>
      <c r="B202" s="979" t="s">
        <v>420</v>
      </c>
      <c r="C202" s="979" t="s">
        <v>394</v>
      </c>
      <c r="D202" s="979" t="s">
        <v>1081</v>
      </c>
      <c r="E202" s="980">
        <v>10</v>
      </c>
      <c r="F202" s="595"/>
      <c r="G202" s="1009">
        <f t="shared" si="27"/>
        <v>31.22</v>
      </c>
      <c r="H202" s="1012">
        <f t="shared" si="28"/>
        <v>312.2</v>
      </c>
      <c r="I202" s="1011">
        <f t="shared" si="29"/>
        <v>-1.7016020873911416E-3</v>
      </c>
      <c r="J202" s="1009">
        <f t="shared" si="30"/>
        <v>10</v>
      </c>
      <c r="K202" s="1009">
        <f t="shared" si="31"/>
        <v>-0.3709160794386453</v>
      </c>
      <c r="L202" s="595"/>
      <c r="M202" s="595"/>
      <c r="N202" s="595"/>
      <c r="O202" s="595"/>
      <c r="P202" s="595"/>
      <c r="Q202" s="595"/>
    </row>
    <row r="203" spans="1:26">
      <c r="A203" s="1019" t="s">
        <v>1507</v>
      </c>
      <c r="B203" s="979" t="s">
        <v>420</v>
      </c>
      <c r="C203" s="979" t="s">
        <v>389</v>
      </c>
      <c r="D203" s="979" t="s">
        <v>1082</v>
      </c>
      <c r="E203" s="980">
        <v>466</v>
      </c>
      <c r="F203" s="595"/>
      <c r="G203" s="1009">
        <f t="shared" si="27"/>
        <v>15.360000000000001</v>
      </c>
      <c r="H203" s="1012">
        <f t="shared" si="28"/>
        <v>7157.76</v>
      </c>
      <c r="I203" s="1011">
        <f t="shared" si="29"/>
        <v>-3.9012361809880901E-2</v>
      </c>
      <c r="J203" s="1009">
        <f t="shared" si="30"/>
        <v>466</v>
      </c>
      <c r="K203" s="1009">
        <f t="shared" si="31"/>
        <v>-0.75390625000485056</v>
      </c>
      <c r="L203" s="595"/>
      <c r="M203" s="595"/>
      <c r="N203" s="595"/>
      <c r="O203" s="595"/>
      <c r="P203" s="595"/>
      <c r="Q203" s="595"/>
    </row>
    <row r="204" spans="1:26">
      <c r="A204" s="1019" t="s">
        <v>1507</v>
      </c>
      <c r="B204" s="979" t="s">
        <v>420</v>
      </c>
      <c r="C204" s="979" t="s">
        <v>310</v>
      </c>
      <c r="D204" s="979" t="s">
        <v>1083</v>
      </c>
      <c r="E204" s="980">
        <v>5</v>
      </c>
      <c r="F204" s="595"/>
      <c r="G204" s="1009">
        <f t="shared" si="27"/>
        <v>3.39</v>
      </c>
      <c r="H204" s="1012">
        <f t="shared" si="28"/>
        <v>16.95</v>
      </c>
      <c r="I204" s="1011">
        <f t="shared" si="29"/>
        <v>-9.2383585462139177E-5</v>
      </c>
      <c r="J204" s="1009">
        <f t="shared" si="30"/>
        <v>5</v>
      </c>
      <c r="K204" s="1009">
        <f t="shared" si="31"/>
        <v>-3.415929203561801</v>
      </c>
      <c r="L204" s="595"/>
      <c r="M204" s="595"/>
      <c r="N204" s="595"/>
      <c r="O204" s="595"/>
      <c r="P204" s="595"/>
      <c r="Q204" s="595"/>
    </row>
    <row r="205" spans="1:26">
      <c r="A205" s="1019" t="s">
        <v>1507</v>
      </c>
      <c r="B205" s="979" t="s">
        <v>420</v>
      </c>
      <c r="C205" s="979" t="s">
        <v>340</v>
      </c>
      <c r="D205" s="979" t="s">
        <v>1084</v>
      </c>
      <c r="E205" s="980">
        <v>678</v>
      </c>
      <c r="F205" s="595"/>
      <c r="G205" s="1009">
        <f t="shared" si="27"/>
        <v>4.5400000000000009</v>
      </c>
      <c r="H205" s="1012">
        <f t="shared" si="28"/>
        <v>3078.1200000000008</v>
      </c>
      <c r="I205" s="1011">
        <f t="shared" si="29"/>
        <v>-1.6776859119924478E-2</v>
      </c>
      <c r="J205" s="1009">
        <f t="shared" si="30"/>
        <v>678</v>
      </c>
      <c r="K205" s="1009">
        <f t="shared" si="31"/>
        <v>-2.5506607929679523</v>
      </c>
      <c r="L205" s="595"/>
      <c r="M205" s="595"/>
      <c r="N205" s="595"/>
      <c r="O205" s="595"/>
      <c r="P205" s="595"/>
      <c r="Q205" s="595"/>
    </row>
    <row r="206" spans="1:26">
      <c r="A206" s="1019" t="s">
        <v>1507</v>
      </c>
      <c r="B206" s="979" t="s">
        <v>420</v>
      </c>
      <c r="C206" s="979" t="s">
        <v>358</v>
      </c>
      <c r="D206" s="979" t="s">
        <v>1085</v>
      </c>
      <c r="E206" s="980">
        <v>70</v>
      </c>
      <c r="F206" s="595"/>
      <c r="G206" s="1009">
        <f t="shared" si="27"/>
        <v>6.78</v>
      </c>
      <c r="H206" s="1012">
        <f t="shared" si="28"/>
        <v>474.6</v>
      </c>
      <c r="I206" s="1011">
        <f t="shared" si="29"/>
        <v>-2.5867403929398969E-3</v>
      </c>
      <c r="J206" s="1009">
        <f t="shared" si="30"/>
        <v>70</v>
      </c>
      <c r="K206" s="1009">
        <f t="shared" si="31"/>
        <v>-1.7079646017809005</v>
      </c>
      <c r="L206" s="595"/>
      <c r="M206" s="595"/>
      <c r="N206" s="595"/>
      <c r="O206" s="595"/>
      <c r="P206" s="595"/>
      <c r="Q206" s="595"/>
    </row>
    <row r="207" spans="1:26">
      <c r="A207" s="1019" t="s">
        <v>1507</v>
      </c>
      <c r="B207" s="979" t="s">
        <v>420</v>
      </c>
      <c r="C207" s="979" t="s">
        <v>383</v>
      </c>
      <c r="D207" s="979" t="s">
        <v>1086</v>
      </c>
      <c r="E207" s="980">
        <v>2</v>
      </c>
      <c r="F207" s="595"/>
      <c r="G207" s="1009">
        <f t="shared" si="27"/>
        <v>9.06</v>
      </c>
      <c r="H207" s="1012">
        <f t="shared" si="28"/>
        <v>18.12</v>
      </c>
      <c r="I207" s="1011">
        <f t="shared" si="29"/>
        <v>-9.8760505520587708E-5</v>
      </c>
      <c r="J207" s="1009">
        <f t="shared" si="30"/>
        <v>2</v>
      </c>
      <c r="K207" s="1009">
        <f t="shared" si="31"/>
        <v>-1.2781456953724619</v>
      </c>
      <c r="L207" s="595"/>
      <c r="M207" s="595"/>
      <c r="N207" s="595"/>
      <c r="O207" s="595"/>
      <c r="P207" s="595"/>
      <c r="Q207" s="595"/>
    </row>
    <row r="208" spans="1:26">
      <c r="A208" s="1019" t="s">
        <v>1507</v>
      </c>
      <c r="B208" s="979" t="s">
        <v>420</v>
      </c>
      <c r="C208" s="979" t="s">
        <v>375</v>
      </c>
      <c r="D208" s="979" t="s">
        <v>1087</v>
      </c>
      <c r="E208" s="980">
        <v>170</v>
      </c>
      <c r="F208" s="595"/>
      <c r="G208" s="1009">
        <f t="shared" si="27"/>
        <v>7.4399999999999995</v>
      </c>
      <c r="H208" s="1012">
        <f t="shared" si="28"/>
        <v>1264.8</v>
      </c>
      <c r="I208" s="1011">
        <f t="shared" si="29"/>
        <v>-6.8936140939536063E-3</v>
      </c>
      <c r="J208" s="1009">
        <f t="shared" si="30"/>
        <v>170</v>
      </c>
      <c r="K208" s="1009">
        <f t="shared" si="31"/>
        <v>-1.5564516129132402</v>
      </c>
      <c r="L208" s="595"/>
      <c r="M208" s="595"/>
      <c r="N208" s="595"/>
      <c r="O208" s="595"/>
      <c r="P208" s="595"/>
      <c r="Q208" s="595"/>
    </row>
    <row r="209" spans="1:17">
      <c r="A209" s="1019" t="s">
        <v>1507</v>
      </c>
      <c r="B209" s="979" t="s">
        <v>420</v>
      </c>
      <c r="C209" s="979" t="s">
        <v>400</v>
      </c>
      <c r="D209" s="979" t="s">
        <v>1088</v>
      </c>
      <c r="E209" s="980">
        <v>36727</v>
      </c>
      <c r="F209" s="595"/>
      <c r="G209" s="1009">
        <f t="shared" ref="G209:G240" si="32">SUMIF(_Lights_Tariff_Category,20140101&amp;$C209,_Lights_Rates)</f>
        <v>7.84</v>
      </c>
      <c r="H209" s="1012">
        <f t="shared" ref="H209:H240" si="33">E209*G209</f>
        <v>287939.68</v>
      </c>
      <c r="I209" s="1011">
        <f t="shared" si="29"/>
        <v>-1.5693746333463721</v>
      </c>
      <c r="J209" s="1009">
        <f t="shared" si="30"/>
        <v>36727</v>
      </c>
      <c r="K209" s="1009">
        <f t="shared" si="31"/>
        <v>-1.477040816336034</v>
      </c>
      <c r="L209" s="595"/>
      <c r="M209" s="595"/>
      <c r="N209" s="595"/>
      <c r="O209" s="595"/>
      <c r="P209" s="595"/>
      <c r="Q209" s="595"/>
    </row>
    <row r="210" spans="1:17">
      <c r="A210" s="1019" t="s">
        <v>1507</v>
      </c>
      <c r="B210" s="979" t="s">
        <v>420</v>
      </c>
      <c r="C210" s="979" t="s">
        <v>391</v>
      </c>
      <c r="D210" s="979" t="s">
        <v>1089</v>
      </c>
      <c r="E210" s="980">
        <v>1180</v>
      </c>
      <c r="F210" s="595"/>
      <c r="G210" s="1009">
        <f t="shared" si="32"/>
        <v>22</v>
      </c>
      <c r="H210" s="1012">
        <f t="shared" si="33"/>
        <v>25960</v>
      </c>
      <c r="I210" s="1011">
        <f t="shared" si="29"/>
        <v>-0.14149132027121727</v>
      </c>
      <c r="J210" s="1009">
        <f t="shared" si="30"/>
        <v>1180</v>
      </c>
      <c r="K210" s="1009">
        <f t="shared" si="31"/>
        <v>-0.52636363636702299</v>
      </c>
      <c r="L210" s="595"/>
      <c r="M210" s="595"/>
      <c r="N210" s="595"/>
      <c r="O210" s="595"/>
      <c r="P210" s="595"/>
      <c r="Q210" s="595"/>
    </row>
    <row r="211" spans="1:17">
      <c r="A211" s="1019" t="s">
        <v>1507</v>
      </c>
      <c r="B211" s="979" t="s">
        <v>420</v>
      </c>
      <c r="C211" s="979" t="s">
        <v>357</v>
      </c>
      <c r="D211" s="979" t="s">
        <v>1090</v>
      </c>
      <c r="E211" s="980">
        <v>5</v>
      </c>
      <c r="F211" s="595"/>
      <c r="G211" s="1009">
        <f t="shared" si="32"/>
        <v>7.74</v>
      </c>
      <c r="H211" s="1012">
        <f t="shared" si="33"/>
        <v>38.700000000000003</v>
      </c>
      <c r="I211" s="1011">
        <f t="shared" si="29"/>
        <v>-2.1092889424099032E-4</v>
      </c>
      <c r="J211" s="1009">
        <f t="shared" si="30"/>
        <v>5</v>
      </c>
      <c r="K211" s="1009">
        <f t="shared" si="31"/>
        <v>-1.496124031017378</v>
      </c>
      <c r="L211" s="595"/>
      <c r="M211" s="595"/>
      <c r="N211" s="595"/>
      <c r="O211" s="595"/>
      <c r="P211" s="595"/>
      <c r="Q211" s="595"/>
    </row>
    <row r="212" spans="1:17">
      <c r="A212" s="1019" t="s">
        <v>1507</v>
      </c>
      <c r="B212" s="979" t="s">
        <v>420</v>
      </c>
      <c r="C212" s="979" t="s">
        <v>359</v>
      </c>
      <c r="D212" s="979" t="s">
        <v>1091</v>
      </c>
      <c r="E212" s="980">
        <v>2</v>
      </c>
      <c r="F212" s="595"/>
      <c r="G212" s="1009">
        <f t="shared" si="32"/>
        <v>13.610000000000001</v>
      </c>
      <c r="H212" s="1012">
        <f t="shared" si="33"/>
        <v>27.220000000000002</v>
      </c>
      <c r="I212" s="1011">
        <f t="shared" si="29"/>
        <v>-1.4835877264185419E-4</v>
      </c>
      <c r="J212" s="1009">
        <f t="shared" si="30"/>
        <v>2</v>
      </c>
      <c r="K212" s="1009">
        <f t="shared" si="31"/>
        <v>-0.85084496694155065</v>
      </c>
      <c r="L212" s="595"/>
      <c r="M212" s="595"/>
      <c r="N212" s="595"/>
      <c r="O212" s="595"/>
      <c r="P212" s="595"/>
      <c r="Q212" s="595"/>
    </row>
    <row r="213" spans="1:17">
      <c r="A213" s="1019" t="s">
        <v>1507</v>
      </c>
      <c r="B213" s="979" t="s">
        <v>420</v>
      </c>
      <c r="C213" s="979" t="s">
        <v>385</v>
      </c>
      <c r="D213" s="979" t="s">
        <v>1092</v>
      </c>
      <c r="E213" s="980">
        <v>1086</v>
      </c>
      <c r="F213" s="595"/>
      <c r="G213" s="1009">
        <f t="shared" si="32"/>
        <v>9.5600000000000023</v>
      </c>
      <c r="H213" s="1012">
        <f t="shared" si="33"/>
        <v>10382.160000000002</v>
      </c>
      <c r="I213" s="1011">
        <f t="shared" si="29"/>
        <v>-5.6586499447882181E-2</v>
      </c>
      <c r="J213" s="1009">
        <f t="shared" si="30"/>
        <v>1086</v>
      </c>
      <c r="K213" s="1009">
        <f t="shared" si="31"/>
        <v>-1.2112970711375004</v>
      </c>
      <c r="L213" s="595"/>
      <c r="M213" s="595"/>
      <c r="N213" s="595"/>
      <c r="O213" s="595"/>
      <c r="P213" s="595"/>
      <c r="Q213" s="595"/>
    </row>
    <row r="214" spans="1:17">
      <c r="A214" s="1019" t="s">
        <v>1507</v>
      </c>
      <c r="B214" s="979" t="s">
        <v>420</v>
      </c>
      <c r="C214" s="979" t="s">
        <v>312</v>
      </c>
      <c r="D214" s="979" t="s">
        <v>1093</v>
      </c>
      <c r="E214" s="980">
        <v>743</v>
      </c>
      <c r="F214" s="595"/>
      <c r="G214" s="1009">
        <f t="shared" si="32"/>
        <v>11.32</v>
      </c>
      <c r="H214" s="1012">
        <f t="shared" si="33"/>
        <v>8410.76</v>
      </c>
      <c r="I214" s="1011">
        <f t="shared" si="29"/>
        <v>-4.5841661667347593E-2</v>
      </c>
      <c r="J214" s="1009">
        <f t="shared" si="30"/>
        <v>743</v>
      </c>
      <c r="K214" s="1009">
        <f t="shared" si="31"/>
        <v>-1.0229681978864404</v>
      </c>
      <c r="L214" s="595"/>
      <c r="M214" s="595"/>
      <c r="N214" s="595"/>
      <c r="O214" s="595"/>
      <c r="P214" s="595"/>
      <c r="Q214" s="595"/>
    </row>
    <row r="215" spans="1:17">
      <c r="A215" s="1019" t="s">
        <v>1507</v>
      </c>
      <c r="B215" s="979" t="s">
        <v>420</v>
      </c>
      <c r="C215" s="979" t="s">
        <v>421</v>
      </c>
      <c r="D215" s="979" t="s">
        <v>1094</v>
      </c>
      <c r="E215" s="980">
        <v>1487</v>
      </c>
      <c r="F215" s="595"/>
      <c r="G215" s="1009">
        <f t="shared" si="32"/>
        <v>12.809999999999999</v>
      </c>
      <c r="H215" s="1012">
        <f t="shared" si="33"/>
        <v>19048.469999999998</v>
      </c>
      <c r="I215" s="1011">
        <f t="shared" si="29"/>
        <v>-0.10382100036389344</v>
      </c>
      <c r="J215" s="1009">
        <f t="shared" si="30"/>
        <v>1487</v>
      </c>
      <c r="K215" s="1009">
        <f t="shared" si="31"/>
        <v>-0.90398126464281869</v>
      </c>
      <c r="L215" s="595"/>
      <c r="M215" s="595"/>
      <c r="N215" s="595"/>
      <c r="O215" s="595"/>
      <c r="P215" s="595"/>
      <c r="Q215" s="595"/>
    </row>
    <row r="216" spans="1:17">
      <c r="A216" s="1019" t="s">
        <v>1507</v>
      </c>
      <c r="B216" s="979" t="s">
        <v>420</v>
      </c>
      <c r="C216" s="979" t="s">
        <v>322</v>
      </c>
      <c r="D216" s="979" t="s">
        <v>1095</v>
      </c>
      <c r="E216" s="980">
        <v>664</v>
      </c>
      <c r="F216" s="595"/>
      <c r="G216" s="1009">
        <f t="shared" si="32"/>
        <v>14.25</v>
      </c>
      <c r="H216" s="1012">
        <f t="shared" si="33"/>
        <v>9462</v>
      </c>
      <c r="I216" s="1011">
        <f t="shared" si="29"/>
        <v>-5.1571297088068485E-2</v>
      </c>
      <c r="J216" s="1009">
        <f t="shared" si="30"/>
        <v>664</v>
      </c>
      <c r="K216" s="1009">
        <f t="shared" si="31"/>
        <v>-0.81263157895259686</v>
      </c>
      <c r="L216" s="595"/>
      <c r="M216" s="595"/>
      <c r="N216" s="595"/>
      <c r="O216" s="595"/>
      <c r="P216" s="595"/>
      <c r="Q216" s="595"/>
    </row>
    <row r="217" spans="1:17">
      <c r="A217" s="1019" t="s">
        <v>1507</v>
      </c>
      <c r="B217" s="979" t="s">
        <v>420</v>
      </c>
      <c r="C217" s="979" t="s">
        <v>354</v>
      </c>
      <c r="D217" s="979" t="s">
        <v>1096</v>
      </c>
      <c r="E217" s="980">
        <v>5146</v>
      </c>
      <c r="F217" s="595"/>
      <c r="G217" s="1009">
        <f t="shared" si="32"/>
        <v>20.200000000000003</v>
      </c>
      <c r="H217" s="1012">
        <f t="shared" si="33"/>
        <v>103949.20000000001</v>
      </c>
      <c r="I217" s="1011">
        <f t="shared" si="29"/>
        <v>-0.56656046029032436</v>
      </c>
      <c r="J217" s="1009">
        <f t="shared" si="30"/>
        <v>5146</v>
      </c>
      <c r="K217" s="1009">
        <f t="shared" si="31"/>
        <v>-0.5732673267363616</v>
      </c>
      <c r="L217" s="595"/>
      <c r="M217" s="595"/>
      <c r="N217" s="595"/>
      <c r="O217" s="595"/>
      <c r="P217" s="595"/>
      <c r="Q217" s="595"/>
    </row>
    <row r="218" spans="1:17">
      <c r="A218" s="1019" t="s">
        <v>1507</v>
      </c>
      <c r="B218" s="979" t="s">
        <v>420</v>
      </c>
      <c r="C218" s="979" t="s">
        <v>317</v>
      </c>
      <c r="D218" s="979" t="s">
        <v>1097</v>
      </c>
      <c r="E218" s="980">
        <v>1044</v>
      </c>
      <c r="F218" s="595"/>
      <c r="G218" s="1009">
        <f t="shared" si="32"/>
        <v>42.350000000000009</v>
      </c>
      <c r="H218" s="1012">
        <f t="shared" si="33"/>
        <v>44213.400000000009</v>
      </c>
      <c r="I218" s="1011">
        <f t="shared" si="29"/>
        <v>-0.24097890368564867</v>
      </c>
      <c r="J218" s="1009">
        <f t="shared" si="30"/>
        <v>1044</v>
      </c>
      <c r="K218" s="1009">
        <f t="shared" si="31"/>
        <v>-0.27343565525559632</v>
      </c>
      <c r="L218" s="595"/>
      <c r="M218" s="595"/>
      <c r="N218" s="595"/>
      <c r="O218" s="595"/>
      <c r="P218" s="595"/>
      <c r="Q218" s="595"/>
    </row>
    <row r="219" spans="1:17">
      <c r="A219" s="1019" t="s">
        <v>1507</v>
      </c>
      <c r="B219" s="979" t="s">
        <v>420</v>
      </c>
      <c r="C219" s="979" t="s">
        <v>320</v>
      </c>
      <c r="D219" s="979" t="s">
        <v>1098</v>
      </c>
      <c r="E219" s="980">
        <v>151</v>
      </c>
      <c r="F219" s="595"/>
      <c r="G219" s="1009">
        <f t="shared" si="32"/>
        <v>18.649999999999999</v>
      </c>
      <c r="H219" s="1012">
        <f t="shared" si="33"/>
        <v>2816.1499999999996</v>
      </c>
      <c r="I219" s="1011">
        <f t="shared" si="29"/>
        <v>-1.534902856632467E-2</v>
      </c>
      <c r="J219" s="1009">
        <f t="shared" si="30"/>
        <v>151</v>
      </c>
      <c r="K219" s="1009">
        <f t="shared" si="31"/>
        <v>-0.62091152815412909</v>
      </c>
      <c r="L219" s="595"/>
      <c r="M219" s="595"/>
      <c r="N219" s="595"/>
      <c r="O219" s="595"/>
      <c r="P219" s="595"/>
      <c r="Q219" s="595"/>
    </row>
    <row r="220" spans="1:17">
      <c r="A220" s="1019" t="s">
        <v>1507</v>
      </c>
      <c r="B220" s="979" t="s">
        <v>420</v>
      </c>
      <c r="C220" s="979" t="s">
        <v>352</v>
      </c>
      <c r="D220" s="979" t="s">
        <v>1099</v>
      </c>
      <c r="E220" s="980">
        <v>1035</v>
      </c>
      <c r="F220" s="595"/>
      <c r="G220" s="1009">
        <f t="shared" si="32"/>
        <v>24.59</v>
      </c>
      <c r="H220" s="1012">
        <f t="shared" si="33"/>
        <v>25450.65</v>
      </c>
      <c r="I220" s="1011">
        <f t="shared" si="29"/>
        <v>-0.13871517990218243</v>
      </c>
      <c r="J220" s="1009">
        <f t="shared" si="30"/>
        <v>1035</v>
      </c>
      <c r="K220" s="1009">
        <f t="shared" si="31"/>
        <v>-0.47092313949062653</v>
      </c>
      <c r="L220" s="595"/>
      <c r="M220" s="595"/>
      <c r="N220" s="595"/>
      <c r="O220" s="595"/>
      <c r="P220" s="595"/>
      <c r="Q220" s="595"/>
    </row>
    <row r="221" spans="1:17">
      <c r="A221" s="1019" t="s">
        <v>1507</v>
      </c>
      <c r="B221" s="979" t="s">
        <v>420</v>
      </c>
      <c r="C221" s="979" t="s">
        <v>384</v>
      </c>
      <c r="D221" s="979" t="s">
        <v>1100</v>
      </c>
      <c r="E221" s="980">
        <v>140</v>
      </c>
      <c r="F221" s="595"/>
      <c r="G221" s="1009">
        <f t="shared" si="32"/>
        <v>11.870000000000001</v>
      </c>
      <c r="H221" s="1012">
        <f t="shared" si="33"/>
        <v>1661.8000000000002</v>
      </c>
      <c r="I221" s="1011">
        <f t="shared" si="29"/>
        <v>-9.0574066266066594E-3</v>
      </c>
      <c r="J221" s="1009">
        <f t="shared" si="30"/>
        <v>140</v>
      </c>
      <c r="K221" s="1009">
        <f t="shared" si="31"/>
        <v>-0.97556866049490354</v>
      </c>
      <c r="L221" s="595"/>
      <c r="M221" s="595"/>
      <c r="N221" s="595"/>
      <c r="O221" s="595"/>
      <c r="P221" s="595"/>
      <c r="Q221" s="595"/>
    </row>
    <row r="222" spans="1:17">
      <c r="A222" s="1019" t="s">
        <v>1507</v>
      </c>
      <c r="B222" s="979" t="s">
        <v>420</v>
      </c>
      <c r="C222" s="979" t="s">
        <v>311</v>
      </c>
      <c r="D222" s="979" t="s">
        <v>1101</v>
      </c>
      <c r="E222" s="980">
        <v>454</v>
      </c>
      <c r="F222" s="595"/>
      <c r="G222" s="1009">
        <f t="shared" si="32"/>
        <v>13.360000000000001</v>
      </c>
      <c r="H222" s="1012">
        <f t="shared" si="33"/>
        <v>6065.4400000000005</v>
      </c>
      <c r="I222" s="1011">
        <f t="shared" si="29"/>
        <v>-3.3058825640441145E-2</v>
      </c>
      <c r="J222" s="1009">
        <f t="shared" si="30"/>
        <v>454</v>
      </c>
      <c r="K222" s="1009">
        <f t="shared" si="31"/>
        <v>-0.866766467071445</v>
      </c>
      <c r="L222" s="595"/>
      <c r="M222" s="595"/>
      <c r="N222" s="595"/>
      <c r="O222" s="595"/>
      <c r="P222" s="595"/>
      <c r="Q222" s="595"/>
    </row>
    <row r="223" spans="1:17">
      <c r="A223" s="1019" t="s">
        <v>1507</v>
      </c>
      <c r="B223" s="979" t="s">
        <v>420</v>
      </c>
      <c r="C223" s="979" t="s">
        <v>341</v>
      </c>
      <c r="D223" s="979" t="s">
        <v>1102</v>
      </c>
      <c r="E223" s="980">
        <v>1480</v>
      </c>
      <c r="F223" s="595"/>
      <c r="G223" s="1009">
        <f t="shared" si="32"/>
        <v>15.079999999999998</v>
      </c>
      <c r="H223" s="1012">
        <f t="shared" si="33"/>
        <v>22318.399999999998</v>
      </c>
      <c r="I223" s="1011">
        <f t="shared" si="29"/>
        <v>-0.12164329284827179</v>
      </c>
      <c r="J223" s="1009">
        <f t="shared" si="30"/>
        <v>1480</v>
      </c>
      <c r="K223" s="1009">
        <f t="shared" si="31"/>
        <v>-0.76790450928876042</v>
      </c>
      <c r="L223" s="595"/>
      <c r="M223" s="595"/>
      <c r="N223" s="595"/>
      <c r="O223" s="595"/>
      <c r="P223" s="595"/>
      <c r="Q223" s="595"/>
    </row>
    <row r="224" spans="1:17">
      <c r="A224" s="1019" t="s">
        <v>1507</v>
      </c>
      <c r="B224" s="979" t="s">
        <v>420</v>
      </c>
      <c r="C224" s="979" t="s">
        <v>315</v>
      </c>
      <c r="D224" s="979" t="s">
        <v>1103</v>
      </c>
      <c r="E224" s="980">
        <v>228</v>
      </c>
      <c r="F224" s="595"/>
      <c r="G224" s="1009">
        <f t="shared" si="32"/>
        <v>46.740000000000009</v>
      </c>
      <c r="H224" s="1012">
        <f t="shared" si="33"/>
        <v>10656.720000000001</v>
      </c>
      <c r="I224" s="1011">
        <f t="shared" si="29"/>
        <v>-5.80829500215981E-2</v>
      </c>
      <c r="J224" s="1009">
        <f t="shared" si="30"/>
        <v>228</v>
      </c>
      <c r="K224" s="1009">
        <f t="shared" si="31"/>
        <v>-0.24775353016847462</v>
      </c>
      <c r="L224" s="1009"/>
      <c r="M224" s="595"/>
      <c r="N224" s="595"/>
      <c r="O224" s="595"/>
      <c r="P224" s="595"/>
      <c r="Q224" s="595"/>
    </row>
    <row r="225" spans="1:17">
      <c r="A225" s="1019" t="s">
        <v>1507</v>
      </c>
      <c r="B225" s="979" t="s">
        <v>420</v>
      </c>
      <c r="C225" s="979" t="s">
        <v>319</v>
      </c>
      <c r="D225" s="979" t="s">
        <v>1104</v>
      </c>
      <c r="E225" s="980">
        <v>27</v>
      </c>
      <c r="F225" s="595"/>
      <c r="G225" s="1009">
        <f t="shared" si="32"/>
        <v>27.15</v>
      </c>
      <c r="H225" s="1012">
        <f t="shared" si="33"/>
        <v>733.05</v>
      </c>
      <c r="I225" s="1011">
        <f t="shared" si="29"/>
        <v>-3.995385682774107E-3</v>
      </c>
      <c r="J225" s="1009">
        <f t="shared" si="30"/>
        <v>27</v>
      </c>
      <c r="K225" s="1009">
        <f t="shared" si="31"/>
        <v>-0.42651933701931882</v>
      </c>
      <c r="L225" s="595"/>
      <c r="M225" s="595"/>
      <c r="N225" s="595"/>
      <c r="O225" s="595"/>
      <c r="P225" s="595"/>
      <c r="Q225" s="595"/>
    </row>
    <row r="226" spans="1:17">
      <c r="A226" s="1019" t="s">
        <v>1507</v>
      </c>
      <c r="B226" s="979" t="s">
        <v>420</v>
      </c>
      <c r="C226" s="979" t="s">
        <v>356</v>
      </c>
      <c r="D226" s="979" t="s">
        <v>1105</v>
      </c>
      <c r="E226" s="980">
        <v>6927</v>
      </c>
      <c r="F226" s="595"/>
      <c r="G226" s="1009">
        <f t="shared" si="32"/>
        <v>7.54</v>
      </c>
      <c r="H226" s="1012">
        <f t="shared" si="33"/>
        <v>52229.58</v>
      </c>
      <c r="I226" s="1011">
        <f t="shared" si="29"/>
        <v>-0.28466996268918199</v>
      </c>
      <c r="J226" s="1009">
        <f t="shared" si="30"/>
        <v>6927</v>
      </c>
      <c r="K226" s="1009">
        <f t="shared" si="31"/>
        <v>-1.5358090185775206</v>
      </c>
      <c r="L226" s="595"/>
      <c r="M226" s="595"/>
      <c r="N226" s="595"/>
      <c r="O226" s="595"/>
      <c r="P226" s="595"/>
      <c r="Q226" s="595"/>
    </row>
    <row r="227" spans="1:17">
      <c r="A227" s="1019" t="s">
        <v>1507</v>
      </c>
      <c r="B227" s="979" t="s">
        <v>420</v>
      </c>
      <c r="C227" s="979" t="s">
        <v>365</v>
      </c>
      <c r="D227" s="979" t="s">
        <v>1106</v>
      </c>
      <c r="E227" s="980">
        <v>8846</v>
      </c>
      <c r="F227" s="595"/>
      <c r="G227" s="1009">
        <f t="shared" si="32"/>
        <v>8.66</v>
      </c>
      <c r="H227" s="1012">
        <f t="shared" si="33"/>
        <v>76606.36</v>
      </c>
      <c r="I227" s="1011">
        <f t="shared" si="29"/>
        <v>-0.41753216554592326</v>
      </c>
      <c r="J227" s="1009">
        <f t="shared" si="30"/>
        <v>8846</v>
      </c>
      <c r="K227" s="1009">
        <f t="shared" si="31"/>
        <v>-1.337182448045555</v>
      </c>
      <c r="L227" s="1009"/>
      <c r="M227" s="595"/>
      <c r="N227" s="595"/>
      <c r="O227" s="595"/>
      <c r="P227" s="595"/>
      <c r="Q227" s="595"/>
    </row>
    <row r="228" spans="1:17">
      <c r="A228" s="1019" t="s">
        <v>1507</v>
      </c>
      <c r="B228" s="979" t="s">
        <v>420</v>
      </c>
      <c r="C228" s="979" t="s">
        <v>388</v>
      </c>
      <c r="D228" s="979" t="s">
        <v>1107</v>
      </c>
      <c r="E228" s="980">
        <v>20615</v>
      </c>
      <c r="F228" s="595"/>
      <c r="G228" s="1009">
        <f t="shared" si="32"/>
        <v>9.14</v>
      </c>
      <c r="H228" s="1012">
        <f t="shared" si="33"/>
        <v>188421.1</v>
      </c>
      <c r="I228" s="1011">
        <f t="shared" si="29"/>
        <v>-1.0269626427563581</v>
      </c>
      <c r="J228" s="1009">
        <f t="shared" si="30"/>
        <v>20615</v>
      </c>
      <c r="K228" s="1009">
        <f t="shared" si="31"/>
        <v>-1.2669584245158101</v>
      </c>
      <c r="L228" s="595"/>
      <c r="M228" s="595"/>
      <c r="N228" s="595"/>
      <c r="O228" s="595"/>
      <c r="P228" s="595"/>
      <c r="Q228" s="595"/>
    </row>
    <row r="229" spans="1:17">
      <c r="A229" s="1019" t="s">
        <v>1507</v>
      </c>
      <c r="B229" s="979" t="s">
        <v>420</v>
      </c>
      <c r="C229" s="979" t="s">
        <v>345</v>
      </c>
      <c r="D229" s="979" t="s">
        <v>1108</v>
      </c>
      <c r="E229" s="980">
        <v>7599</v>
      </c>
      <c r="F229" s="595"/>
      <c r="G229" s="1009">
        <f t="shared" si="32"/>
        <v>14.25</v>
      </c>
      <c r="H229" s="1012">
        <f t="shared" si="33"/>
        <v>108285.75</v>
      </c>
      <c r="I229" s="1011">
        <f t="shared" si="29"/>
        <v>-0.5901962147172175</v>
      </c>
      <c r="J229" s="1009">
        <f t="shared" si="30"/>
        <v>7599</v>
      </c>
      <c r="K229" s="1009">
        <f t="shared" si="31"/>
        <v>-0.81263157895259686</v>
      </c>
      <c r="L229" s="595"/>
      <c r="M229" s="595"/>
      <c r="N229" s="595"/>
      <c r="O229" s="595"/>
      <c r="P229" s="595"/>
      <c r="Q229" s="595"/>
    </row>
    <row r="230" spans="1:17">
      <c r="A230" s="1019" t="s">
        <v>1507</v>
      </c>
      <c r="B230" s="979" t="s">
        <v>420</v>
      </c>
      <c r="C230" s="979" t="s">
        <v>377</v>
      </c>
      <c r="D230" s="979" t="s">
        <v>1109</v>
      </c>
      <c r="E230" s="980">
        <v>2814</v>
      </c>
      <c r="F230" s="595"/>
      <c r="G230" s="1009">
        <f t="shared" si="32"/>
        <v>22.84</v>
      </c>
      <c r="H230" s="1012">
        <f t="shared" si="33"/>
        <v>64271.76</v>
      </c>
      <c r="I230" s="1011">
        <f t="shared" si="29"/>
        <v>-0.35030416712460755</v>
      </c>
      <c r="J230" s="1009">
        <f t="shared" si="30"/>
        <v>2814</v>
      </c>
      <c r="K230" s="1009">
        <f t="shared" si="31"/>
        <v>-0.50700525394371743</v>
      </c>
      <c r="L230" s="595"/>
      <c r="M230" s="595"/>
      <c r="N230" s="595"/>
      <c r="O230" s="595"/>
      <c r="P230" s="595"/>
      <c r="Q230" s="595"/>
    </row>
    <row r="231" spans="1:17">
      <c r="A231" s="1019" t="s">
        <v>1507</v>
      </c>
      <c r="B231" s="979" t="s">
        <v>420</v>
      </c>
      <c r="C231" s="979" t="s">
        <v>363</v>
      </c>
      <c r="D231" s="979" t="s">
        <v>1110</v>
      </c>
      <c r="E231" s="980">
        <v>858</v>
      </c>
      <c r="F231" s="595"/>
      <c r="G231" s="1009">
        <f t="shared" si="32"/>
        <v>9.620000000000001</v>
      </c>
      <c r="H231" s="1012">
        <f t="shared" si="33"/>
        <v>8253.9600000000009</v>
      </c>
      <c r="I231" s="1011">
        <f t="shared" si="29"/>
        <v>-4.4987045372335006E-2</v>
      </c>
      <c r="J231" s="1009">
        <f t="shared" si="30"/>
        <v>858</v>
      </c>
      <c r="K231" s="1009">
        <f t="shared" si="31"/>
        <v>-1.2037422037499486</v>
      </c>
      <c r="L231" s="595"/>
      <c r="M231" s="595"/>
      <c r="N231" s="595"/>
      <c r="O231" s="595"/>
      <c r="P231" s="595"/>
      <c r="Q231" s="595"/>
    </row>
    <row r="232" spans="1:17">
      <c r="A232" s="1019" t="s">
        <v>1507</v>
      </c>
      <c r="B232" s="979" t="s">
        <v>420</v>
      </c>
      <c r="C232" s="979" t="s">
        <v>373</v>
      </c>
      <c r="D232" s="979" t="s">
        <v>1111</v>
      </c>
      <c r="E232" s="980">
        <v>1355</v>
      </c>
      <c r="F232" s="595"/>
      <c r="G232" s="1009">
        <f t="shared" si="32"/>
        <v>10.770000000000001</v>
      </c>
      <c r="H232" s="1012">
        <f t="shared" si="33"/>
        <v>14593.350000000002</v>
      </c>
      <c r="I232" s="1011">
        <f t="shared" si="29"/>
        <v>-7.9538996867487249E-2</v>
      </c>
      <c r="J232" s="1009">
        <f t="shared" si="30"/>
        <v>1355</v>
      </c>
      <c r="K232" s="1009">
        <f t="shared" si="31"/>
        <v>-1.0752089136559428</v>
      </c>
      <c r="L232" s="595"/>
      <c r="M232" s="595"/>
      <c r="N232" s="595"/>
      <c r="O232" s="595"/>
      <c r="P232" s="595"/>
      <c r="Q232" s="595"/>
    </row>
    <row r="233" spans="1:17">
      <c r="A233" s="1019" t="s">
        <v>1507</v>
      </c>
      <c r="B233" s="979" t="s">
        <v>420</v>
      </c>
      <c r="C233" s="979" t="s">
        <v>396</v>
      </c>
      <c r="D233" s="979" t="s">
        <v>1112</v>
      </c>
      <c r="E233" s="980">
        <f>3989-2</f>
        <v>3987</v>
      </c>
      <c r="F233" s="595"/>
      <c r="G233" s="1009">
        <f t="shared" si="32"/>
        <v>11.16</v>
      </c>
      <c r="H233" s="1012">
        <f t="shared" si="33"/>
        <v>44494.92</v>
      </c>
      <c r="I233" s="1011">
        <f t="shared" si="29"/>
        <v>-0.24251328875817377</v>
      </c>
      <c r="J233" s="1009">
        <f t="shared" si="30"/>
        <v>3987</v>
      </c>
      <c r="K233" s="1009">
        <f t="shared" si="31"/>
        <v>-1.0376344086088267</v>
      </c>
      <c r="L233" s="595"/>
      <c r="M233" s="595"/>
      <c r="N233" s="595"/>
      <c r="O233" s="595"/>
      <c r="P233" s="595"/>
      <c r="Q233" s="595"/>
    </row>
    <row r="234" spans="1:17">
      <c r="A234" s="1019" t="s">
        <v>1507</v>
      </c>
      <c r="B234" s="979" t="s">
        <v>420</v>
      </c>
      <c r="C234" s="979" t="s">
        <v>351</v>
      </c>
      <c r="D234" s="979" t="s">
        <v>1113</v>
      </c>
      <c r="E234" s="980">
        <v>292</v>
      </c>
      <c r="F234" s="595"/>
      <c r="G234" s="1009">
        <f t="shared" si="32"/>
        <v>33.100000000000009</v>
      </c>
      <c r="H234" s="1012">
        <f t="shared" si="33"/>
        <v>9665.2000000000025</v>
      </c>
      <c r="I234" s="1011">
        <f t="shared" si="29"/>
        <v>-5.2678810041809312E-2</v>
      </c>
      <c r="J234" s="1009">
        <f t="shared" si="30"/>
        <v>292</v>
      </c>
      <c r="K234" s="1009">
        <f t="shared" si="31"/>
        <v>-0.34984894260043814</v>
      </c>
      <c r="L234" s="595"/>
      <c r="M234" s="595"/>
      <c r="N234" s="595"/>
      <c r="O234" s="595"/>
      <c r="P234" s="595"/>
      <c r="Q234" s="595"/>
    </row>
    <row r="235" spans="1:17">
      <c r="A235" s="1019" t="s">
        <v>1507</v>
      </c>
      <c r="B235" s="979" t="s">
        <v>420</v>
      </c>
      <c r="C235" s="979" t="s">
        <v>314</v>
      </c>
      <c r="D235" s="979" t="s">
        <v>1114</v>
      </c>
      <c r="E235" s="980">
        <v>61</v>
      </c>
      <c r="F235" s="595"/>
      <c r="G235" s="1009">
        <f t="shared" si="32"/>
        <v>55.250000000000007</v>
      </c>
      <c r="H235" s="1012">
        <f t="shared" si="33"/>
        <v>3370.2500000000005</v>
      </c>
      <c r="I235" s="1011">
        <f t="shared" si="29"/>
        <v>-1.8369072501697618E-2</v>
      </c>
      <c r="J235" s="1009">
        <f t="shared" si="30"/>
        <v>61</v>
      </c>
      <c r="K235" s="1009">
        <f t="shared" si="31"/>
        <v>-0.20959276018234396</v>
      </c>
      <c r="L235" s="595"/>
      <c r="M235" s="595"/>
      <c r="N235" s="595"/>
      <c r="O235" s="595"/>
      <c r="P235" s="595"/>
      <c r="Q235" s="595"/>
    </row>
    <row r="236" spans="1:17">
      <c r="A236" s="1019" t="s">
        <v>1507</v>
      </c>
      <c r="B236" s="979" t="s">
        <v>420</v>
      </c>
      <c r="C236" s="979" t="s">
        <v>355</v>
      </c>
      <c r="D236" s="979" t="s">
        <v>1115</v>
      </c>
      <c r="E236" s="980">
        <v>3672</v>
      </c>
      <c r="F236" s="595"/>
      <c r="G236" s="1009">
        <f t="shared" si="32"/>
        <v>10.49</v>
      </c>
      <c r="H236" s="1012">
        <f t="shared" si="33"/>
        <v>38519.279999999999</v>
      </c>
      <c r="I236" s="1011">
        <f t="shared" si="29"/>
        <v>-0.20994390535811608</v>
      </c>
      <c r="J236" s="1009">
        <f t="shared" si="30"/>
        <v>3672</v>
      </c>
      <c r="K236" s="1009">
        <f t="shared" si="31"/>
        <v>-1.1039084842778366</v>
      </c>
      <c r="L236" s="595"/>
      <c r="M236" s="595"/>
      <c r="N236" s="595"/>
      <c r="O236" s="595"/>
      <c r="P236" s="595"/>
      <c r="Q236" s="595"/>
    </row>
    <row r="237" spans="1:17">
      <c r="A237" s="1019" t="s">
        <v>1507</v>
      </c>
      <c r="B237" s="979" t="s">
        <v>420</v>
      </c>
      <c r="C237" s="979" t="s">
        <v>364</v>
      </c>
      <c r="D237" s="979" t="s">
        <v>1116</v>
      </c>
      <c r="E237" s="980">
        <v>8733</v>
      </c>
      <c r="F237" s="595"/>
      <c r="G237" s="1009">
        <f t="shared" si="32"/>
        <v>11.600000000000001</v>
      </c>
      <c r="H237" s="1012">
        <f t="shared" si="33"/>
        <v>101302.80000000002</v>
      </c>
      <c r="I237" s="1011">
        <f t="shared" si="29"/>
        <v>-0.55213663016837722</v>
      </c>
      <c r="J237" s="1009">
        <f t="shared" si="30"/>
        <v>8733</v>
      </c>
      <c r="K237" s="1009">
        <f t="shared" si="31"/>
        <v>-0.99827586207538832</v>
      </c>
      <c r="L237" s="595"/>
      <c r="M237" s="595"/>
      <c r="N237" s="595"/>
      <c r="O237" s="595"/>
      <c r="P237" s="595"/>
      <c r="Q237" s="595"/>
    </row>
    <row r="238" spans="1:17">
      <c r="A238" s="1019" t="s">
        <v>1507</v>
      </c>
      <c r="B238" s="979" t="s">
        <v>420</v>
      </c>
      <c r="C238" s="979" t="s">
        <v>387</v>
      </c>
      <c r="D238" s="979" t="s">
        <v>1117</v>
      </c>
      <c r="E238" s="980">
        <v>3397</v>
      </c>
      <c r="F238" s="595"/>
      <c r="G238" s="1009">
        <f t="shared" si="32"/>
        <v>12.3</v>
      </c>
      <c r="H238" s="1012">
        <f t="shared" si="33"/>
        <v>41783.100000000006</v>
      </c>
      <c r="I238" s="1011">
        <f t="shared" si="29"/>
        <v>-0.22773289614885589</v>
      </c>
      <c r="J238" s="1009">
        <f t="shared" si="30"/>
        <v>3397</v>
      </c>
      <c r="K238" s="1009">
        <f t="shared" si="31"/>
        <v>-0.94146341464020367</v>
      </c>
      <c r="L238" s="595"/>
      <c r="M238" s="595"/>
      <c r="N238" s="595"/>
      <c r="O238" s="595"/>
      <c r="P238" s="595"/>
      <c r="Q238" s="595"/>
    </row>
    <row r="239" spans="1:17">
      <c r="A239" s="1019" t="s">
        <v>1507</v>
      </c>
      <c r="B239" s="979" t="s">
        <v>420</v>
      </c>
      <c r="C239" s="979" t="s">
        <v>344</v>
      </c>
      <c r="D239" s="979" t="s">
        <v>1118</v>
      </c>
      <c r="E239" s="980">
        <v>5157</v>
      </c>
      <c r="F239" s="595"/>
      <c r="G239" s="1009">
        <f t="shared" si="32"/>
        <v>17.41</v>
      </c>
      <c r="H239" s="1012">
        <f t="shared" si="33"/>
        <v>89783.37</v>
      </c>
      <c r="I239" s="1011">
        <f t="shared" si="29"/>
        <v>-0.48935160091291219</v>
      </c>
      <c r="J239" s="1009">
        <f t="shared" si="30"/>
        <v>5157</v>
      </c>
      <c r="K239" s="1009">
        <f t="shared" si="31"/>
        <v>-0.66513497990089065</v>
      </c>
      <c r="L239" s="595"/>
      <c r="M239" s="595"/>
      <c r="N239" s="595"/>
      <c r="O239" s="595"/>
      <c r="P239" s="595"/>
      <c r="Q239" s="595"/>
    </row>
    <row r="240" spans="1:17">
      <c r="A240" s="1019" t="s">
        <v>1507</v>
      </c>
      <c r="B240" s="979" t="s">
        <v>420</v>
      </c>
      <c r="C240" s="979" t="s">
        <v>376</v>
      </c>
      <c r="D240" s="979" t="s">
        <v>1119</v>
      </c>
      <c r="E240" s="980">
        <v>514</v>
      </c>
      <c r="F240" s="595"/>
      <c r="G240" s="1009">
        <f t="shared" si="32"/>
        <v>24.46</v>
      </c>
      <c r="H240" s="1012">
        <f t="shared" si="33"/>
        <v>12572.44</v>
      </c>
      <c r="I240" s="1011">
        <f t="shared" si="29"/>
        <v>-6.8524311811658828E-2</v>
      </c>
      <c r="J240" s="1009">
        <f t="shared" si="30"/>
        <v>514</v>
      </c>
      <c r="K240" s="1009">
        <f t="shared" si="31"/>
        <v>-0.47342600163836901</v>
      </c>
      <c r="L240" s="595"/>
      <c r="M240" s="595"/>
      <c r="N240" s="595"/>
      <c r="O240" s="595"/>
      <c r="P240" s="595"/>
      <c r="Q240" s="595"/>
    </row>
    <row r="241" spans="1:17">
      <c r="A241" s="1019" t="s">
        <v>1507</v>
      </c>
      <c r="B241" s="979" t="s">
        <v>420</v>
      </c>
      <c r="C241" s="979" t="s">
        <v>374</v>
      </c>
      <c r="D241" s="979" t="s">
        <v>1120</v>
      </c>
      <c r="E241" s="980">
        <v>4568</v>
      </c>
      <c r="F241" s="595"/>
      <c r="G241" s="1009">
        <f t="shared" ref="G241:G257" si="34">SUMIF(_Lights_Tariff_Category,20140101&amp;$C241,_Lights_Rates)</f>
        <v>16.79</v>
      </c>
      <c r="H241" s="1012">
        <f t="shared" ref="H241:H257" si="35">E241*G241</f>
        <v>76696.72</v>
      </c>
      <c r="I241" s="1011">
        <f t="shared" ref="I241:I257" si="36">H241/$L$179*$L$180</f>
        <v>-0.41802465998736038</v>
      </c>
      <c r="J241" s="1009">
        <f t="shared" ref="J241:J256" si="37">ROUND((H241+I241)/G241,0)</f>
        <v>4568</v>
      </c>
      <c r="K241" s="1009">
        <f t="shared" ref="K241:K256" si="38">$L$180/G241</f>
        <v>-0.68969624777096528</v>
      </c>
      <c r="L241" s="595"/>
      <c r="M241" s="595"/>
      <c r="N241" s="595"/>
      <c r="O241" s="595"/>
      <c r="P241" s="595"/>
      <c r="Q241" s="595"/>
    </row>
    <row r="242" spans="1:17">
      <c r="A242" s="1019" t="s">
        <v>1507</v>
      </c>
      <c r="B242" s="979" t="s">
        <v>420</v>
      </c>
      <c r="C242" s="979" t="s">
        <v>398</v>
      </c>
      <c r="D242" s="979" t="s">
        <v>1121</v>
      </c>
      <c r="E242" s="980">
        <v>1063</v>
      </c>
      <c r="F242" s="595"/>
      <c r="G242" s="1009">
        <f t="shared" si="34"/>
        <v>20.97</v>
      </c>
      <c r="H242" s="1012">
        <f t="shared" si="35"/>
        <v>22291.11</v>
      </c>
      <c r="I242" s="1011">
        <f t="shared" si="36"/>
        <v>-0.12149455255049824</v>
      </c>
      <c r="J242" s="1009">
        <f t="shared" si="37"/>
        <v>1063</v>
      </c>
      <c r="K242" s="1009">
        <f t="shared" si="38"/>
        <v>-0.55221745350856011</v>
      </c>
      <c r="L242" s="595"/>
      <c r="M242" s="595"/>
      <c r="N242" s="595"/>
      <c r="O242" s="595"/>
      <c r="P242" s="595"/>
      <c r="Q242" s="595"/>
    </row>
    <row r="243" spans="1:17">
      <c r="A243" s="1019" t="s">
        <v>1507</v>
      </c>
      <c r="B243" s="979" t="s">
        <v>420</v>
      </c>
      <c r="C243" s="979" t="s">
        <v>348</v>
      </c>
      <c r="D243" s="979" t="s">
        <v>1122</v>
      </c>
      <c r="E243" s="980">
        <v>1419</v>
      </c>
      <c r="F243" s="595"/>
      <c r="G243" s="1009">
        <f t="shared" si="34"/>
        <v>26.86</v>
      </c>
      <c r="H243" s="1012">
        <f t="shared" si="35"/>
        <v>38114.339999999997</v>
      </c>
      <c r="I243" s="1011">
        <f t="shared" si="36"/>
        <v>-0.20773683697480999</v>
      </c>
      <c r="J243" s="1009">
        <f t="shared" si="37"/>
        <v>1419</v>
      </c>
      <c r="K243" s="1009">
        <f t="shared" si="38"/>
        <v>-0.43112434847634051</v>
      </c>
      <c r="L243" s="595"/>
      <c r="M243" s="595"/>
      <c r="N243" s="595"/>
      <c r="O243" s="595"/>
      <c r="P243" s="595"/>
      <c r="Q243" s="595"/>
    </row>
    <row r="244" spans="1:17">
      <c r="A244" s="1019" t="s">
        <v>1507</v>
      </c>
      <c r="B244" s="979" t="s">
        <v>420</v>
      </c>
      <c r="C244" s="979" t="s">
        <v>380</v>
      </c>
      <c r="D244" s="979" t="s">
        <v>1123</v>
      </c>
      <c r="E244" s="980">
        <v>961</v>
      </c>
      <c r="F244" s="595"/>
      <c r="G244" s="1009">
        <f t="shared" si="34"/>
        <v>33.119999999999997</v>
      </c>
      <c r="H244" s="1012">
        <f t="shared" si="35"/>
        <v>31828.319999999996</v>
      </c>
      <c r="I244" s="1011">
        <f t="shared" si="36"/>
        <v>-0.17347577114078544</v>
      </c>
      <c r="J244" s="1009">
        <f t="shared" si="37"/>
        <v>961</v>
      </c>
      <c r="K244" s="1009">
        <f t="shared" si="38"/>
        <v>-0.34963768116166988</v>
      </c>
      <c r="L244" s="595"/>
      <c r="M244" s="595"/>
      <c r="N244" s="595"/>
      <c r="O244" s="595"/>
      <c r="P244" s="595"/>
      <c r="Q244" s="595"/>
    </row>
    <row r="245" spans="1:17">
      <c r="A245" s="1019" t="s">
        <v>1507</v>
      </c>
      <c r="B245" s="979" t="s">
        <v>420</v>
      </c>
      <c r="C245" s="979" t="s">
        <v>399</v>
      </c>
      <c r="D245" s="979" t="s">
        <v>1124</v>
      </c>
      <c r="E245" s="980">
        <v>11140</v>
      </c>
      <c r="F245" s="595"/>
      <c r="G245" s="1009">
        <f t="shared" si="34"/>
        <v>9</v>
      </c>
      <c r="H245" s="1012">
        <f t="shared" si="35"/>
        <v>100260</v>
      </c>
      <c r="I245" s="1011">
        <f t="shared" si="36"/>
        <v>-0.54645299577782147</v>
      </c>
      <c r="J245" s="1009">
        <f t="shared" si="37"/>
        <v>11140</v>
      </c>
      <c r="K245" s="1009">
        <f t="shared" si="38"/>
        <v>-1.2866666666749451</v>
      </c>
      <c r="L245" s="595"/>
      <c r="M245" s="595"/>
      <c r="N245" s="595"/>
      <c r="O245" s="595"/>
      <c r="P245" s="595"/>
      <c r="Q245" s="595"/>
    </row>
    <row r="246" spans="1:17">
      <c r="A246" s="1019" t="s">
        <v>1507</v>
      </c>
      <c r="B246" s="979" t="s">
        <v>420</v>
      </c>
      <c r="C246" s="979" t="s">
        <v>349</v>
      </c>
      <c r="D246" s="979" t="s">
        <v>1125</v>
      </c>
      <c r="E246" s="980">
        <v>6428</v>
      </c>
      <c r="F246" s="595"/>
      <c r="G246" s="1009">
        <f t="shared" si="34"/>
        <v>13.639999999999999</v>
      </c>
      <c r="H246" s="1012">
        <f t="shared" si="35"/>
        <v>87677.92</v>
      </c>
      <c r="I246" s="1011">
        <f t="shared" si="36"/>
        <v>-0.47787614250516819</v>
      </c>
      <c r="J246" s="1009">
        <f t="shared" si="37"/>
        <v>6428</v>
      </c>
      <c r="K246" s="1009">
        <f t="shared" si="38"/>
        <v>-0.8489736070435856</v>
      </c>
      <c r="L246" s="595"/>
      <c r="M246" s="595"/>
      <c r="N246" s="595"/>
      <c r="O246" s="595"/>
      <c r="P246" s="595"/>
      <c r="Q246" s="595"/>
    </row>
    <row r="247" spans="1:17">
      <c r="A247" s="1019" t="s">
        <v>1507</v>
      </c>
      <c r="B247" s="979" t="s">
        <v>420</v>
      </c>
      <c r="C247" s="979" t="s">
        <v>381</v>
      </c>
      <c r="D247" s="979" t="s">
        <v>1126</v>
      </c>
      <c r="E247" s="980">
        <v>8179</v>
      </c>
      <c r="F247" s="595"/>
      <c r="G247" s="1009">
        <f t="shared" si="34"/>
        <v>19.46</v>
      </c>
      <c r="H247" s="1012">
        <f t="shared" si="35"/>
        <v>159163.34</v>
      </c>
      <c r="I247" s="1011">
        <f t="shared" si="36"/>
        <v>-0.86749734650911581</v>
      </c>
      <c r="J247" s="1009">
        <f t="shared" si="37"/>
        <v>8179</v>
      </c>
      <c r="K247" s="1009">
        <f t="shared" si="38"/>
        <v>-0.59506680370372589</v>
      </c>
      <c r="L247" s="595"/>
      <c r="M247" s="595"/>
      <c r="N247" s="595"/>
      <c r="O247" s="595"/>
      <c r="P247" s="595"/>
      <c r="Q247" s="595"/>
    </row>
    <row r="248" spans="1:17">
      <c r="A248" s="1019" t="s">
        <v>1507</v>
      </c>
      <c r="B248" s="979" t="s">
        <v>420</v>
      </c>
      <c r="C248" s="979" t="s">
        <v>321</v>
      </c>
      <c r="D248" s="979" t="s">
        <v>1127</v>
      </c>
      <c r="E248" s="980">
        <v>58</v>
      </c>
      <c r="F248" s="595"/>
      <c r="G248" s="1009">
        <f t="shared" si="34"/>
        <v>15.47</v>
      </c>
      <c r="H248" s="1012">
        <f t="shared" si="35"/>
        <v>897.26</v>
      </c>
      <c r="I248" s="1011">
        <f t="shared" si="36"/>
        <v>-4.8903891381568724E-3</v>
      </c>
      <c r="J248" s="1009">
        <f t="shared" si="37"/>
        <v>58</v>
      </c>
      <c r="K248" s="1009">
        <f t="shared" si="38"/>
        <v>-0.74854557207979999</v>
      </c>
      <c r="L248" s="595"/>
      <c r="M248" s="595"/>
      <c r="N248" s="595"/>
      <c r="O248" s="595"/>
      <c r="P248" s="595"/>
      <c r="Q248" s="595"/>
    </row>
    <row r="249" spans="1:17">
      <c r="A249" s="1019" t="s">
        <v>1507</v>
      </c>
      <c r="B249" s="979" t="s">
        <v>420</v>
      </c>
      <c r="C249" s="979" t="s">
        <v>353</v>
      </c>
      <c r="D249" s="979" t="s">
        <v>1128</v>
      </c>
      <c r="E249" s="980">
        <v>314</v>
      </c>
      <c r="F249" s="595"/>
      <c r="G249" s="1009">
        <f t="shared" si="34"/>
        <v>21.930000000000003</v>
      </c>
      <c r="H249" s="1012">
        <f t="shared" si="35"/>
        <v>6886.0200000000013</v>
      </c>
      <c r="I249" s="1011">
        <f t="shared" si="36"/>
        <v>-3.7531281248613553E-2</v>
      </c>
      <c r="J249" s="1009">
        <f t="shared" si="37"/>
        <v>314</v>
      </c>
      <c r="K249" s="1009">
        <f t="shared" si="38"/>
        <v>-0.52804377565319216</v>
      </c>
      <c r="L249" s="595"/>
      <c r="M249" s="595"/>
      <c r="N249" s="595"/>
      <c r="O249" s="595"/>
      <c r="P249" s="595"/>
      <c r="Q249" s="595"/>
    </row>
    <row r="250" spans="1:17">
      <c r="A250" s="1019" t="s">
        <v>1507</v>
      </c>
      <c r="B250" s="979" t="s">
        <v>420</v>
      </c>
      <c r="C250" s="979" t="s">
        <v>678</v>
      </c>
      <c r="D250" s="979" t="s">
        <v>1129</v>
      </c>
      <c r="E250" s="980">
        <v>2</v>
      </c>
      <c r="F250" s="595"/>
      <c r="G250" s="1009">
        <f t="shared" si="34"/>
        <v>15.370000000000001</v>
      </c>
      <c r="H250" s="1012">
        <f t="shared" si="35"/>
        <v>30.740000000000002</v>
      </c>
      <c r="I250" s="1011">
        <f t="shared" si="36"/>
        <v>-1.6754403640744294E-4</v>
      </c>
      <c r="J250" s="1009">
        <f t="shared" si="37"/>
        <v>2</v>
      </c>
      <c r="K250" s="1009">
        <f t="shared" si="38"/>
        <v>-0.75341574496255725</v>
      </c>
      <c r="L250" s="595"/>
      <c r="M250" s="595"/>
      <c r="N250" s="595"/>
      <c r="O250" s="595"/>
      <c r="P250" s="595"/>
      <c r="Q250" s="595"/>
    </row>
    <row r="251" spans="1:17">
      <c r="A251" s="1019" t="s">
        <v>1507</v>
      </c>
      <c r="B251" s="979" t="s">
        <v>420</v>
      </c>
      <c r="C251" s="979" t="s">
        <v>316</v>
      </c>
      <c r="D251" s="979" t="s">
        <v>1130</v>
      </c>
      <c r="E251" s="980">
        <v>43</v>
      </c>
      <c r="F251" s="595"/>
      <c r="G251" s="1009">
        <f t="shared" si="34"/>
        <v>45.7</v>
      </c>
      <c r="H251" s="1012">
        <f t="shared" si="35"/>
        <v>1965.1000000000001</v>
      </c>
      <c r="I251" s="1011">
        <f t="shared" si="36"/>
        <v>-1.0710500518681398E-2</v>
      </c>
      <c r="J251" s="1009">
        <f t="shared" si="37"/>
        <v>43</v>
      </c>
      <c r="K251" s="1009">
        <f t="shared" si="38"/>
        <v>-0.25339168490316205</v>
      </c>
      <c r="L251" s="595"/>
      <c r="M251" s="595"/>
      <c r="N251" s="595"/>
      <c r="O251" s="595"/>
      <c r="P251" s="595"/>
      <c r="Q251" s="595"/>
    </row>
    <row r="252" spans="1:17">
      <c r="A252" s="1019" t="s">
        <v>1507</v>
      </c>
      <c r="B252" s="979" t="s">
        <v>420</v>
      </c>
      <c r="C252" s="979" t="s">
        <v>318</v>
      </c>
      <c r="D252" s="979" t="s">
        <v>1131</v>
      </c>
      <c r="E252" s="980">
        <v>168</v>
      </c>
      <c r="F252" s="595"/>
      <c r="G252" s="1009">
        <f t="shared" si="34"/>
        <v>28.37</v>
      </c>
      <c r="H252" s="1012">
        <f t="shared" si="35"/>
        <v>4766.16</v>
      </c>
      <c r="I252" s="1011">
        <f t="shared" si="36"/>
        <v>-2.5977283167329158E-2</v>
      </c>
      <c r="J252" s="1009">
        <f t="shared" si="37"/>
        <v>168</v>
      </c>
      <c r="K252" s="1009">
        <f t="shared" si="38"/>
        <v>-0.40817765245239707</v>
      </c>
      <c r="L252" s="595"/>
      <c r="M252" s="595"/>
      <c r="N252" s="595"/>
      <c r="O252" s="595"/>
      <c r="P252" s="595"/>
      <c r="Q252" s="595"/>
    </row>
    <row r="253" spans="1:17">
      <c r="A253" s="1019" t="s">
        <v>1507</v>
      </c>
      <c r="B253" s="979" t="s">
        <v>420</v>
      </c>
      <c r="C253" s="979" t="s">
        <v>350</v>
      </c>
      <c r="D253" s="979" t="s">
        <v>1132</v>
      </c>
      <c r="E253" s="980">
        <v>626</v>
      </c>
      <c r="F253" s="595"/>
      <c r="G253" s="1009">
        <f t="shared" si="34"/>
        <v>34.830000000000005</v>
      </c>
      <c r="H253" s="1012">
        <f t="shared" si="35"/>
        <v>21803.58</v>
      </c>
      <c r="I253" s="1011">
        <f t="shared" si="36"/>
        <v>-0.11883733901537395</v>
      </c>
      <c r="J253" s="1009">
        <f t="shared" si="37"/>
        <v>626</v>
      </c>
      <c r="K253" s="1009">
        <f t="shared" si="38"/>
        <v>-0.33247200689275064</v>
      </c>
      <c r="L253" s="595"/>
      <c r="M253" s="595"/>
      <c r="N253" s="595"/>
      <c r="O253" s="595"/>
      <c r="P253" s="595"/>
      <c r="Q253" s="595"/>
    </row>
    <row r="254" spans="1:17">
      <c r="A254" s="1019" t="s">
        <v>1507</v>
      </c>
      <c r="B254" s="979" t="s">
        <v>420</v>
      </c>
      <c r="C254" s="979" t="s">
        <v>313</v>
      </c>
      <c r="D254" s="979" t="s">
        <v>1133</v>
      </c>
      <c r="E254" s="980">
        <v>157</v>
      </c>
      <c r="F254" s="595"/>
      <c r="G254" s="1009">
        <f t="shared" si="34"/>
        <v>58.59</v>
      </c>
      <c r="H254" s="1012">
        <f t="shared" si="35"/>
        <v>9198.630000000001</v>
      </c>
      <c r="I254" s="1011">
        <f t="shared" si="36"/>
        <v>-5.0135836031834656E-2</v>
      </c>
      <c r="J254" s="1009">
        <f t="shared" si="37"/>
        <v>157</v>
      </c>
      <c r="K254" s="1009">
        <f t="shared" si="38"/>
        <v>-0.19764464925882411</v>
      </c>
      <c r="L254" s="595"/>
      <c r="M254" s="595"/>
      <c r="N254" s="595"/>
      <c r="O254" s="595"/>
      <c r="P254" s="595"/>
      <c r="Q254" s="595"/>
    </row>
    <row r="255" spans="1:17">
      <c r="A255" s="1019" t="s">
        <v>1507</v>
      </c>
      <c r="B255" s="979" t="s">
        <v>420</v>
      </c>
      <c r="C255" s="979" t="s">
        <v>650</v>
      </c>
      <c r="D255" s="979" t="s">
        <v>1151</v>
      </c>
      <c r="E255" s="980">
        <v>10</v>
      </c>
      <c r="F255" s="595"/>
      <c r="G255" s="1009">
        <f t="shared" si="34"/>
        <v>15.35</v>
      </c>
      <c r="H255" s="1012">
        <f t="shared" si="35"/>
        <v>153.5</v>
      </c>
      <c r="I255" s="1011">
        <f t="shared" si="36"/>
        <v>-8.3663011023235177E-4</v>
      </c>
      <c r="J255" s="1009">
        <f t="shared" si="37"/>
        <v>10</v>
      </c>
      <c r="K255" s="1009">
        <f t="shared" si="38"/>
        <v>-0.75439739414166163</v>
      </c>
      <c r="L255" s="595"/>
      <c r="M255" s="595"/>
      <c r="N255" s="595"/>
      <c r="O255" s="595"/>
      <c r="P255" s="595"/>
      <c r="Q255" s="595"/>
    </row>
    <row r="256" spans="1:17">
      <c r="A256" s="1019" t="s">
        <v>1507</v>
      </c>
      <c r="B256" s="979" t="s">
        <v>420</v>
      </c>
      <c r="C256" s="979" t="s">
        <v>447</v>
      </c>
      <c r="D256" s="979" t="s">
        <v>1134</v>
      </c>
      <c r="E256" s="980">
        <v>30</v>
      </c>
      <c r="F256" s="595"/>
      <c r="G256" s="1035">
        <f t="shared" si="34"/>
        <v>17.72</v>
      </c>
      <c r="H256" s="1012">
        <f t="shared" si="35"/>
        <v>531.59999999999991</v>
      </c>
      <c r="I256" s="1011">
        <f t="shared" si="36"/>
        <v>-2.8974108573258509E-3</v>
      </c>
      <c r="J256" s="1034">
        <f t="shared" si="37"/>
        <v>30</v>
      </c>
      <c r="K256" s="1009">
        <f t="shared" si="38"/>
        <v>-0.65349887133603313</v>
      </c>
      <c r="L256" s="595"/>
      <c r="M256" s="595"/>
      <c r="N256" s="595"/>
      <c r="O256" s="595"/>
      <c r="P256" s="595"/>
      <c r="Q256" s="595"/>
    </row>
    <row r="257" spans="1:17">
      <c r="A257" s="1019" t="s">
        <v>1507</v>
      </c>
      <c r="B257" s="979" t="s">
        <v>420</v>
      </c>
      <c r="C257" s="979" t="s">
        <v>624</v>
      </c>
      <c r="D257" s="979" t="s">
        <v>1135</v>
      </c>
      <c r="E257" s="980">
        <v>24</v>
      </c>
      <c r="F257" s="595"/>
      <c r="G257" s="1035">
        <f t="shared" si="34"/>
        <v>21.490000000000002</v>
      </c>
      <c r="H257" s="1012">
        <f t="shared" si="35"/>
        <v>515.76</v>
      </c>
      <c r="I257" s="1011">
        <f t="shared" si="36"/>
        <v>-2.8110771703807021E-3</v>
      </c>
      <c r="J257" s="1034">
        <f t="shared" ref="J257" si="39">ROUND((H257+I257)/G257,0)</f>
        <v>24</v>
      </c>
      <c r="K257" s="1009">
        <f t="shared" ref="K257" si="40">$L$180/G257</f>
        <v>-0.53885528152975826</v>
      </c>
      <c r="L257" s="595"/>
      <c r="M257" s="595"/>
      <c r="N257" s="595"/>
      <c r="O257" s="595"/>
      <c r="P257" s="595"/>
      <c r="Q257" s="595"/>
    </row>
    <row r="258" spans="1:17">
      <c r="A258" s="1019" t="s">
        <v>1507</v>
      </c>
      <c r="B258" s="979" t="s">
        <v>420</v>
      </c>
      <c r="C258" s="1021" t="s">
        <v>8</v>
      </c>
      <c r="D258" s="1021"/>
      <c r="E258" s="980">
        <f>SUM(E177:E257)</f>
        <v>171411</v>
      </c>
      <c r="F258" s="595"/>
      <c r="G258" s="1031"/>
      <c r="H258" s="1033">
        <f>SUM(H177:H257)</f>
        <v>2124630.6800000002</v>
      </c>
      <c r="I258" s="1031"/>
      <c r="J258" s="1032">
        <f>SUM(J177:J257)</f>
        <v>171411</v>
      </c>
      <c r="K258" s="1031"/>
      <c r="L258" s="595"/>
      <c r="M258" s="595"/>
      <c r="N258" s="595"/>
      <c r="O258" s="595"/>
      <c r="P258" s="595"/>
    </row>
    <row r="259" spans="1:17">
      <c r="A259" s="1016"/>
      <c r="B259" s="1016"/>
      <c r="C259" s="1016"/>
      <c r="D259" s="981"/>
      <c r="E259" s="979"/>
      <c r="F259" s="595"/>
      <c r="G259" s="595"/>
      <c r="H259" s="595"/>
      <c r="I259" s="595"/>
      <c r="J259" s="595"/>
      <c r="K259" s="595"/>
      <c r="L259" s="595"/>
      <c r="M259" s="595"/>
      <c r="N259" s="595"/>
      <c r="O259" s="595"/>
      <c r="P259" s="595"/>
    </row>
    <row r="260" spans="1:17">
      <c r="A260" s="979"/>
      <c r="B260" s="979"/>
      <c r="C260" s="979"/>
      <c r="D260" s="1018"/>
      <c r="E260" s="981"/>
      <c r="F260" s="595"/>
      <c r="G260" s="595"/>
      <c r="H260" s="595"/>
      <c r="I260" s="595"/>
      <c r="J260" s="595"/>
      <c r="K260" s="595"/>
      <c r="L260" s="595"/>
      <c r="M260" s="595"/>
      <c r="N260" s="595"/>
      <c r="O260" s="595"/>
      <c r="P260" s="595"/>
    </row>
    <row r="261" spans="1:17">
      <c r="A261" s="1036" t="s">
        <v>1508</v>
      </c>
      <c r="B261" s="979" t="s">
        <v>420</v>
      </c>
      <c r="C261" s="979" t="s">
        <v>433</v>
      </c>
      <c r="D261" s="979" t="s">
        <v>432</v>
      </c>
      <c r="E261" s="980"/>
      <c r="F261" s="595"/>
      <c r="G261" s="1009"/>
      <c r="H261" s="1009"/>
      <c r="I261" s="1009"/>
      <c r="J261" s="1009"/>
      <c r="K261" s="1009"/>
      <c r="L261" s="1020">
        <f>'12MonLights'!$O$353</f>
        <v>2131619</v>
      </c>
      <c r="M261" s="595" t="s">
        <v>1529</v>
      </c>
      <c r="N261" s="595"/>
      <c r="O261" s="595"/>
      <c r="P261" s="595"/>
      <c r="Q261" s="1010" t="s">
        <v>1537</v>
      </c>
    </row>
    <row r="262" spans="1:17">
      <c r="A262" s="1036" t="s">
        <v>1508</v>
      </c>
      <c r="B262" s="979" t="s">
        <v>420</v>
      </c>
      <c r="C262" s="979" t="s">
        <v>431</v>
      </c>
      <c r="D262" s="979" t="s">
        <v>430</v>
      </c>
      <c r="E262" s="980"/>
      <c r="F262" s="595"/>
      <c r="G262" s="1009"/>
      <c r="H262" s="1009"/>
      <c r="I262" s="1009"/>
      <c r="J262" s="1009"/>
      <c r="K262" s="1009"/>
      <c r="L262" s="1011">
        <f>'12MonResults'!$AE$140</f>
        <v>715.26</v>
      </c>
      <c r="M262" s="595" t="s">
        <v>1531</v>
      </c>
      <c r="N262" s="595"/>
      <c r="O262" s="595"/>
      <c r="P262" s="595"/>
      <c r="Q262" s="595"/>
    </row>
    <row r="263" spans="1:17" ht="13.5">
      <c r="A263" s="1036" t="s">
        <v>1508</v>
      </c>
      <c r="B263" s="979" t="s">
        <v>420</v>
      </c>
      <c r="C263" s="979" t="s">
        <v>323</v>
      </c>
      <c r="D263" s="979" t="s">
        <v>1056</v>
      </c>
      <c r="E263" s="980">
        <v>178</v>
      </c>
      <c r="F263" s="595"/>
      <c r="G263" s="1009">
        <f t="shared" ref="G263:G294" si="41">SUMIF(_Lights_Tariff_Category,20140101&amp;$C263,_Lights_Rates)</f>
        <v>55.33</v>
      </c>
      <c r="H263" s="1012">
        <f t="shared" ref="H263:H294" si="42">E263*G263</f>
        <v>9848.74</v>
      </c>
      <c r="I263" s="1011">
        <f>H263/$L$265*$L$266</f>
        <v>5.3393803488518549E-2</v>
      </c>
      <c r="J263" s="1009">
        <f>ROUND((H263+I263)/G263,0)</f>
        <v>178</v>
      </c>
      <c r="K263" s="1009">
        <f>$L$266/G263</f>
        <v>0.20784384603165232</v>
      </c>
      <c r="L263" s="1013">
        <f>'12MonResults'!$AE$142</f>
        <v>9662.76</v>
      </c>
      <c r="M263" s="1014" t="s">
        <v>1532</v>
      </c>
      <c r="N263" s="595"/>
      <c r="O263" s="595"/>
      <c r="P263" s="595"/>
      <c r="Q263" s="595"/>
    </row>
    <row r="264" spans="1:17">
      <c r="A264" s="1036" t="s">
        <v>1508</v>
      </c>
      <c r="B264" s="979" t="s">
        <v>420</v>
      </c>
      <c r="C264" s="979" t="s">
        <v>328</v>
      </c>
      <c r="D264" s="979" t="s">
        <v>1057</v>
      </c>
      <c r="E264" s="980">
        <v>25</v>
      </c>
      <c r="F264" s="595"/>
      <c r="G264" s="1009">
        <f t="shared" si="41"/>
        <v>83.16</v>
      </c>
      <c r="H264" s="1012">
        <f t="shared" si="42"/>
        <v>2079</v>
      </c>
      <c r="I264" s="1011">
        <f t="shared" ref="I264:I326" si="43">H264/$L$265*$L$266</f>
        <v>1.1271057765016648E-2</v>
      </c>
      <c r="J264" s="1009">
        <f t="shared" ref="J264:J326" si="44">ROUND((H264+I264)/G264,0)</f>
        <v>25</v>
      </c>
      <c r="K264" s="1009">
        <f t="shared" ref="K264:K326" si="45">$L$266/G264</f>
        <v>0.13828763829883745</v>
      </c>
      <c r="L264" s="1011">
        <f>L261-L262-L263</f>
        <v>2121240.9800000004</v>
      </c>
      <c r="M264" s="595" t="s">
        <v>1533</v>
      </c>
      <c r="N264" s="595"/>
      <c r="O264" s="595"/>
      <c r="P264" s="595"/>
      <c r="Q264" s="595"/>
    </row>
    <row r="265" spans="1:17">
      <c r="A265" s="1036" t="s">
        <v>1508</v>
      </c>
      <c r="B265" s="979" t="s">
        <v>420</v>
      </c>
      <c r="C265" s="979" t="s">
        <v>331</v>
      </c>
      <c r="D265" s="979" t="s">
        <v>1058</v>
      </c>
      <c r="E265" s="980">
        <v>43</v>
      </c>
      <c r="F265" s="595"/>
      <c r="G265" s="1009">
        <f t="shared" si="41"/>
        <v>59.78</v>
      </c>
      <c r="H265" s="1012">
        <f t="shared" si="42"/>
        <v>2570.54</v>
      </c>
      <c r="I265" s="1011">
        <f t="shared" si="43"/>
        <v>1.3935884957809471E-2</v>
      </c>
      <c r="J265" s="1009">
        <f t="shared" si="44"/>
        <v>43</v>
      </c>
      <c r="K265" s="1009">
        <f t="shared" si="45"/>
        <v>0.19237203079510409</v>
      </c>
      <c r="L265" s="1012">
        <f>$H$344</f>
        <v>2121229.4799999995</v>
      </c>
      <c r="M265" s="595" t="s">
        <v>1534</v>
      </c>
      <c r="N265" s="595"/>
      <c r="O265" s="595"/>
      <c r="P265" s="595"/>
      <c r="Q265" s="595"/>
    </row>
    <row r="266" spans="1:17">
      <c r="A266" s="1036" t="s">
        <v>1508</v>
      </c>
      <c r="B266" s="979" t="s">
        <v>420</v>
      </c>
      <c r="C266" s="979" t="s">
        <v>332</v>
      </c>
      <c r="D266" s="979" t="s">
        <v>1059</v>
      </c>
      <c r="E266" s="980">
        <v>5</v>
      </c>
      <c r="F266" s="595"/>
      <c r="G266" s="1009">
        <f t="shared" si="41"/>
        <v>61.75</v>
      </c>
      <c r="H266" s="1012">
        <f t="shared" si="42"/>
        <v>308.75</v>
      </c>
      <c r="I266" s="1011">
        <f t="shared" si="43"/>
        <v>1.6738523737127896E-3</v>
      </c>
      <c r="J266" s="1009">
        <f t="shared" si="44"/>
        <v>5</v>
      </c>
      <c r="K266" s="1009">
        <f t="shared" si="45"/>
        <v>0.18623481782884732</v>
      </c>
      <c r="L266" s="1011">
        <f>L264-L265</f>
        <v>11.500000000931323</v>
      </c>
      <c r="M266" s="595"/>
      <c r="N266" s="595"/>
      <c r="O266" s="595"/>
      <c r="P266" s="595"/>
      <c r="Q266" s="595"/>
    </row>
    <row r="267" spans="1:17">
      <c r="A267" s="1036" t="s">
        <v>1508</v>
      </c>
      <c r="B267" s="979" t="s">
        <v>420</v>
      </c>
      <c r="C267" s="979" t="s">
        <v>333</v>
      </c>
      <c r="D267" s="979" t="s">
        <v>1060</v>
      </c>
      <c r="E267" s="980">
        <v>1</v>
      </c>
      <c r="F267" s="595"/>
      <c r="G267" s="1009">
        <f t="shared" si="41"/>
        <v>63.11</v>
      </c>
      <c r="H267" s="1012">
        <f t="shared" si="42"/>
        <v>63.11</v>
      </c>
      <c r="I267" s="1011">
        <f t="shared" si="43"/>
        <v>3.4214355726320373E-4</v>
      </c>
      <c r="J267" s="1009">
        <f t="shared" si="44"/>
        <v>1</v>
      </c>
      <c r="K267" s="1009">
        <f t="shared" si="45"/>
        <v>0.1822215179992287</v>
      </c>
      <c r="L267" s="595"/>
      <c r="M267" s="595"/>
      <c r="N267" s="595"/>
      <c r="O267" s="595"/>
      <c r="P267" s="595"/>
      <c r="Q267" s="595"/>
    </row>
    <row r="268" spans="1:17">
      <c r="A268" s="1036" t="s">
        <v>1508</v>
      </c>
      <c r="B268" s="979" t="s">
        <v>420</v>
      </c>
      <c r="C268" s="979" t="s">
        <v>335</v>
      </c>
      <c r="D268" s="979" t="s">
        <v>1061</v>
      </c>
      <c r="E268" s="980">
        <v>5</v>
      </c>
      <c r="F268" s="595"/>
      <c r="G268" s="1009">
        <f t="shared" si="41"/>
        <v>80.94</v>
      </c>
      <c r="H268" s="1012">
        <f t="shared" si="42"/>
        <v>404.7</v>
      </c>
      <c r="I268" s="1011">
        <f t="shared" si="43"/>
        <v>2.1940341883127643E-3</v>
      </c>
      <c r="J268" s="1009">
        <f t="shared" si="44"/>
        <v>5</v>
      </c>
      <c r="K268" s="1009">
        <f t="shared" si="45"/>
        <v>0.14208055350792342</v>
      </c>
      <c r="L268" s="595"/>
      <c r="M268" s="595"/>
      <c r="N268" s="595"/>
      <c r="O268" s="595"/>
      <c r="P268" s="595"/>
      <c r="Q268" s="595"/>
    </row>
    <row r="269" spans="1:17">
      <c r="A269" s="1036" t="s">
        <v>1508</v>
      </c>
      <c r="B269" s="979" t="s">
        <v>420</v>
      </c>
      <c r="C269" s="979" t="s">
        <v>336</v>
      </c>
      <c r="D269" s="979" t="s">
        <v>1062</v>
      </c>
      <c r="E269" s="980">
        <v>9</v>
      </c>
      <c r="F269" s="595"/>
      <c r="G269" s="1009">
        <f t="shared" si="41"/>
        <v>78.97</v>
      </c>
      <c r="H269" s="1012">
        <f t="shared" si="42"/>
        <v>710.73</v>
      </c>
      <c r="I269" s="1011">
        <f t="shared" si="43"/>
        <v>3.8531403969842624E-3</v>
      </c>
      <c r="J269" s="1009">
        <f t="shared" si="44"/>
        <v>9</v>
      </c>
      <c r="K269" s="1009">
        <f t="shared" si="45"/>
        <v>0.14562492086781464</v>
      </c>
      <c r="L269" s="595"/>
      <c r="M269" s="595"/>
      <c r="N269" s="595"/>
      <c r="O269" s="595"/>
      <c r="P269" s="595"/>
      <c r="Q269" s="595"/>
    </row>
    <row r="270" spans="1:17">
      <c r="A270" s="1036" t="s">
        <v>1508</v>
      </c>
      <c r="B270" s="979" t="s">
        <v>420</v>
      </c>
      <c r="C270" s="979" t="s">
        <v>338</v>
      </c>
      <c r="D270" s="979" t="s">
        <v>1063</v>
      </c>
      <c r="E270" s="980">
        <v>25</v>
      </c>
      <c r="F270" s="595"/>
      <c r="G270" s="1009">
        <f t="shared" si="41"/>
        <v>61.230000000000004</v>
      </c>
      <c r="H270" s="1012">
        <f t="shared" si="42"/>
        <v>1530.75</v>
      </c>
      <c r="I270" s="1011">
        <f t="shared" si="43"/>
        <v>8.2987838738813047E-3</v>
      </c>
      <c r="J270" s="1009">
        <f t="shared" si="44"/>
        <v>25</v>
      </c>
      <c r="K270" s="1009">
        <f t="shared" si="45"/>
        <v>0.18781642986985664</v>
      </c>
      <c r="L270" s="595"/>
      <c r="M270" s="595"/>
      <c r="N270" s="595"/>
      <c r="O270" s="595"/>
      <c r="P270" s="595"/>
      <c r="Q270" s="595"/>
    </row>
    <row r="271" spans="1:17">
      <c r="A271" s="1036" t="s">
        <v>1508</v>
      </c>
      <c r="B271" s="979" t="s">
        <v>420</v>
      </c>
      <c r="C271" s="979" t="s">
        <v>339</v>
      </c>
      <c r="D271" s="979" t="s">
        <v>1064</v>
      </c>
      <c r="E271" s="980">
        <v>1</v>
      </c>
      <c r="F271" s="595"/>
      <c r="G271" s="1009">
        <f t="shared" si="41"/>
        <v>56.69</v>
      </c>
      <c r="H271" s="1012">
        <f t="shared" si="42"/>
        <v>56.69</v>
      </c>
      <c r="I271" s="1011">
        <f t="shared" si="43"/>
        <v>3.0733827065839044E-4</v>
      </c>
      <c r="J271" s="1009">
        <f t="shared" si="44"/>
        <v>1</v>
      </c>
      <c r="K271" s="1009">
        <f t="shared" si="45"/>
        <v>0.20285764686772487</v>
      </c>
      <c r="L271" s="595"/>
      <c r="M271" s="595"/>
      <c r="N271" s="595"/>
      <c r="O271" s="595"/>
      <c r="P271" s="595"/>
      <c r="Q271" s="595"/>
    </row>
    <row r="272" spans="1:17">
      <c r="A272" s="1036" t="s">
        <v>1508</v>
      </c>
      <c r="B272" s="979" t="s">
        <v>420</v>
      </c>
      <c r="C272" s="979" t="s">
        <v>325</v>
      </c>
      <c r="D272" s="979" t="s">
        <v>1065</v>
      </c>
      <c r="E272" s="980">
        <v>15</v>
      </c>
      <c r="F272" s="595"/>
      <c r="G272" s="1009">
        <f t="shared" si="41"/>
        <v>74.52</v>
      </c>
      <c r="H272" s="1012">
        <f t="shared" si="42"/>
        <v>1117.8</v>
      </c>
      <c r="I272" s="1011">
        <f t="shared" si="43"/>
        <v>6.0600232658660933E-3</v>
      </c>
      <c r="J272" s="1009">
        <f t="shared" si="44"/>
        <v>15</v>
      </c>
      <c r="K272" s="1009">
        <f t="shared" si="45"/>
        <v>0.15432098766681862</v>
      </c>
      <c r="L272" s="595"/>
      <c r="M272" s="595"/>
      <c r="N272" s="595"/>
      <c r="O272" s="595"/>
      <c r="P272" s="595"/>
      <c r="Q272" s="595"/>
    </row>
    <row r="273" spans="1:17">
      <c r="A273" s="1036" t="s">
        <v>1508</v>
      </c>
      <c r="B273" s="979" t="s">
        <v>420</v>
      </c>
      <c r="C273" s="979" t="s">
        <v>334</v>
      </c>
      <c r="D273" s="979" t="s">
        <v>1066</v>
      </c>
      <c r="E273" s="980">
        <v>1</v>
      </c>
      <c r="F273" s="595"/>
      <c r="G273" s="1009">
        <f t="shared" si="41"/>
        <v>82.3</v>
      </c>
      <c r="H273" s="1012">
        <f t="shared" si="42"/>
        <v>82.3</v>
      </c>
      <c r="I273" s="1011">
        <f t="shared" si="43"/>
        <v>4.4617992018319868E-4</v>
      </c>
      <c r="J273" s="1009">
        <f t="shared" si="44"/>
        <v>1</v>
      </c>
      <c r="K273" s="1009">
        <f t="shared" si="45"/>
        <v>0.13973268530900756</v>
      </c>
      <c r="L273" s="595"/>
      <c r="M273" s="595"/>
      <c r="N273" s="595"/>
      <c r="O273" s="595"/>
      <c r="P273" s="595"/>
      <c r="Q273" s="595"/>
    </row>
    <row r="274" spans="1:17">
      <c r="A274" s="1036" t="s">
        <v>1508</v>
      </c>
      <c r="B274" s="979" t="s">
        <v>420</v>
      </c>
      <c r="C274" s="979" t="s">
        <v>326</v>
      </c>
      <c r="D274" s="979" t="s">
        <v>1067</v>
      </c>
      <c r="E274" s="980">
        <v>20</v>
      </c>
      <c r="F274" s="595"/>
      <c r="G274" s="1009">
        <f t="shared" si="41"/>
        <v>74.52</v>
      </c>
      <c r="H274" s="1012">
        <f t="shared" si="42"/>
        <v>1490.3999999999999</v>
      </c>
      <c r="I274" s="1011">
        <f t="shared" si="43"/>
        <v>8.0800310211547911E-3</v>
      </c>
      <c r="J274" s="1009">
        <f t="shared" si="44"/>
        <v>20</v>
      </c>
      <c r="K274" s="1009">
        <f t="shared" si="45"/>
        <v>0.15432098766681862</v>
      </c>
      <c r="L274" s="595"/>
      <c r="M274" s="595"/>
      <c r="N274" s="595"/>
      <c r="O274" s="595"/>
      <c r="P274" s="595"/>
      <c r="Q274" s="595"/>
    </row>
    <row r="275" spans="1:17">
      <c r="A275" s="1036" t="s">
        <v>1508</v>
      </c>
      <c r="B275" s="979" t="s">
        <v>420</v>
      </c>
      <c r="C275" s="979" t="s">
        <v>330</v>
      </c>
      <c r="D275" s="979" t="s">
        <v>1068</v>
      </c>
      <c r="E275" s="980">
        <v>4</v>
      </c>
      <c r="F275" s="595"/>
      <c r="G275" s="1009">
        <f t="shared" si="41"/>
        <v>75.88</v>
      </c>
      <c r="H275" s="1012">
        <f t="shared" si="42"/>
        <v>303.52</v>
      </c>
      <c r="I275" s="1011">
        <f t="shared" si="43"/>
        <v>1.6454985343135416E-3</v>
      </c>
      <c r="J275" s="1009">
        <f t="shared" si="44"/>
        <v>4</v>
      </c>
      <c r="K275" s="1009">
        <f t="shared" si="45"/>
        <v>0.15155508699171485</v>
      </c>
      <c r="L275" s="595"/>
      <c r="M275" s="595"/>
      <c r="N275" s="595"/>
      <c r="O275" s="595"/>
      <c r="P275" s="595"/>
      <c r="Q275" s="595"/>
    </row>
    <row r="276" spans="1:17">
      <c r="A276" s="1036" t="s">
        <v>1508</v>
      </c>
      <c r="B276" s="979" t="s">
        <v>420</v>
      </c>
      <c r="C276" s="979" t="s">
        <v>337</v>
      </c>
      <c r="D276" s="979" t="s">
        <v>1069</v>
      </c>
      <c r="E276" s="980">
        <v>3</v>
      </c>
      <c r="F276" s="595"/>
      <c r="G276" s="1009">
        <f t="shared" si="41"/>
        <v>78.97</v>
      </c>
      <c r="H276" s="1012">
        <f t="shared" si="42"/>
        <v>236.91</v>
      </c>
      <c r="I276" s="1011">
        <f t="shared" si="43"/>
        <v>1.2843801323280876E-3</v>
      </c>
      <c r="J276" s="1009">
        <f t="shared" si="44"/>
        <v>3</v>
      </c>
      <c r="K276" s="1009">
        <f t="shared" si="45"/>
        <v>0.14562492086781464</v>
      </c>
      <c r="L276" s="595"/>
      <c r="M276" s="595"/>
      <c r="N276" s="595"/>
      <c r="O276" s="595"/>
      <c r="P276" s="595"/>
      <c r="Q276" s="595"/>
    </row>
    <row r="277" spans="1:17">
      <c r="A277" s="1036" t="s">
        <v>1508</v>
      </c>
      <c r="B277" s="979" t="s">
        <v>420</v>
      </c>
      <c r="C277" s="979" t="s">
        <v>329</v>
      </c>
      <c r="D277" s="979" t="s">
        <v>1070</v>
      </c>
      <c r="E277" s="980">
        <v>2</v>
      </c>
      <c r="F277" s="595"/>
      <c r="G277" s="1009">
        <f t="shared" si="41"/>
        <v>77.259999999999991</v>
      </c>
      <c r="H277" s="1012">
        <f t="shared" si="42"/>
        <v>154.51999999999998</v>
      </c>
      <c r="I277" s="1011">
        <f t="shared" si="43"/>
        <v>8.3771228756631658E-4</v>
      </c>
      <c r="J277" s="1009">
        <f t="shared" si="44"/>
        <v>2</v>
      </c>
      <c r="K277" s="1009">
        <f t="shared" si="45"/>
        <v>0.14884804557249967</v>
      </c>
      <c r="L277" s="595"/>
      <c r="M277" s="595"/>
      <c r="N277" s="595"/>
      <c r="O277" s="595"/>
      <c r="P277" s="595"/>
      <c r="Q277" s="595"/>
    </row>
    <row r="278" spans="1:17">
      <c r="A278" s="1036" t="s">
        <v>1508</v>
      </c>
      <c r="B278" s="979" t="s">
        <v>420</v>
      </c>
      <c r="C278" s="979" t="s">
        <v>327</v>
      </c>
      <c r="D278" s="979" t="s">
        <v>1071</v>
      </c>
      <c r="E278" s="980">
        <v>51</v>
      </c>
      <c r="F278" s="595"/>
      <c r="G278" s="1009">
        <f t="shared" si="41"/>
        <v>64.19</v>
      </c>
      <c r="H278" s="1012">
        <f t="shared" si="42"/>
        <v>3273.69</v>
      </c>
      <c r="I278" s="1011">
        <f t="shared" si="43"/>
        <v>1.7747931262509547E-2</v>
      </c>
      <c r="J278" s="1009">
        <f t="shared" si="44"/>
        <v>51</v>
      </c>
      <c r="K278" s="1009">
        <f t="shared" si="45"/>
        <v>0.17915563173284504</v>
      </c>
      <c r="L278" s="595"/>
      <c r="M278" s="595"/>
      <c r="N278" s="595"/>
      <c r="O278" s="595"/>
      <c r="P278" s="595"/>
      <c r="Q278" s="595"/>
    </row>
    <row r="279" spans="1:17">
      <c r="A279" s="1036" t="s">
        <v>1508</v>
      </c>
      <c r="B279" s="979" t="s">
        <v>420</v>
      </c>
      <c r="C279" s="979" t="s">
        <v>453</v>
      </c>
      <c r="D279" s="979" t="s">
        <v>1072</v>
      </c>
      <c r="E279" s="980">
        <v>2</v>
      </c>
      <c r="F279" s="595"/>
      <c r="G279" s="1009">
        <f t="shared" si="41"/>
        <v>75.899999999999991</v>
      </c>
      <c r="H279" s="1012">
        <f t="shared" si="42"/>
        <v>151.79999999999998</v>
      </c>
      <c r="I279" s="1011">
        <f t="shared" si="43"/>
        <v>8.2296612252502491E-4</v>
      </c>
      <c r="J279" s="1009">
        <f t="shared" si="44"/>
        <v>2</v>
      </c>
      <c r="K279" s="1009">
        <f t="shared" si="45"/>
        <v>0.15151515152742193</v>
      </c>
      <c r="L279" s="595"/>
      <c r="M279" s="595"/>
      <c r="N279" s="595"/>
      <c r="O279" s="595"/>
      <c r="P279" s="595"/>
      <c r="Q279" s="595"/>
    </row>
    <row r="280" spans="1:17">
      <c r="A280" s="1036" t="s">
        <v>1508</v>
      </c>
      <c r="B280" s="979" t="s">
        <v>420</v>
      </c>
      <c r="C280" s="979" t="s">
        <v>366</v>
      </c>
      <c r="D280" s="979" t="s">
        <v>1073</v>
      </c>
      <c r="E280" s="980">
        <v>52</v>
      </c>
      <c r="F280" s="595"/>
      <c r="G280" s="1009">
        <f t="shared" si="41"/>
        <v>14.860000000000001</v>
      </c>
      <c r="H280" s="1012">
        <f t="shared" si="42"/>
        <v>772.72</v>
      </c>
      <c r="I280" s="1011">
        <f t="shared" si="43"/>
        <v>4.1892120039363464E-3</v>
      </c>
      <c r="J280" s="1009">
        <f t="shared" si="44"/>
        <v>52</v>
      </c>
      <c r="K280" s="1009">
        <f t="shared" si="45"/>
        <v>0.77388963667101762</v>
      </c>
      <c r="L280" s="595"/>
      <c r="M280" s="595"/>
      <c r="N280" s="595"/>
      <c r="O280" s="595"/>
      <c r="P280" s="595"/>
      <c r="Q280" s="595"/>
    </row>
    <row r="281" spans="1:17">
      <c r="A281" s="1036" t="s">
        <v>1508</v>
      </c>
      <c r="B281" s="979" t="s">
        <v>420</v>
      </c>
      <c r="C281" s="979" t="s">
        <v>386</v>
      </c>
      <c r="D281" s="979" t="s">
        <v>1074</v>
      </c>
      <c r="E281" s="980">
        <v>7208</v>
      </c>
      <c r="F281" s="595"/>
      <c r="G281" s="1009">
        <f t="shared" si="41"/>
        <v>10.570000000000002</v>
      </c>
      <c r="H281" s="1012">
        <f t="shared" si="42"/>
        <v>76188.560000000012</v>
      </c>
      <c r="I281" s="1011">
        <f t="shared" si="43"/>
        <v>0.41304745588909902</v>
      </c>
      <c r="J281" s="1009">
        <f t="shared" si="44"/>
        <v>7208</v>
      </c>
      <c r="K281" s="1009">
        <f t="shared" si="45"/>
        <v>1.0879848629074096</v>
      </c>
      <c r="L281" s="595"/>
      <c r="M281" s="595"/>
      <c r="N281" s="595"/>
      <c r="O281" s="595"/>
      <c r="P281" s="595"/>
      <c r="Q281" s="595"/>
    </row>
    <row r="282" spans="1:17">
      <c r="A282" s="1036" t="s">
        <v>1508</v>
      </c>
      <c r="B282" s="979" t="s">
        <v>420</v>
      </c>
      <c r="C282" s="979" t="s">
        <v>382</v>
      </c>
      <c r="D282" s="979" t="s">
        <v>1075</v>
      </c>
      <c r="E282" s="980">
        <v>141</v>
      </c>
      <c r="F282" s="595"/>
      <c r="G282" s="1009">
        <f t="shared" si="41"/>
        <v>11.71</v>
      </c>
      <c r="H282" s="1012">
        <f t="shared" si="42"/>
        <v>1651.1100000000001</v>
      </c>
      <c r="I282" s="1011">
        <f t="shared" si="43"/>
        <v>8.9513016769584598E-3</v>
      </c>
      <c r="J282" s="1009">
        <f t="shared" si="44"/>
        <v>141</v>
      </c>
      <c r="K282" s="1009">
        <f t="shared" si="45"/>
        <v>0.98206660981480121</v>
      </c>
      <c r="L282" s="595"/>
      <c r="M282" s="595"/>
      <c r="N282" s="595"/>
      <c r="O282" s="595"/>
      <c r="P282" s="595"/>
      <c r="Q282" s="595"/>
    </row>
    <row r="283" spans="1:17">
      <c r="A283" s="1036" t="s">
        <v>1508</v>
      </c>
      <c r="B283" s="979" t="s">
        <v>420</v>
      </c>
      <c r="C283" s="979" t="s">
        <v>360</v>
      </c>
      <c r="D283" s="979" t="s">
        <v>1076</v>
      </c>
      <c r="E283" s="980">
        <v>240</v>
      </c>
      <c r="F283" s="595"/>
      <c r="G283" s="1009">
        <f t="shared" si="41"/>
        <v>20.259999999999998</v>
      </c>
      <c r="H283" s="1012">
        <f t="shared" si="42"/>
        <v>4862.3999999999996</v>
      </c>
      <c r="I283" s="1011">
        <f t="shared" si="43"/>
        <v>2.6360938564991315E-2</v>
      </c>
      <c r="J283" s="1009">
        <f t="shared" si="44"/>
        <v>240</v>
      </c>
      <c r="K283" s="1009">
        <f t="shared" si="45"/>
        <v>0.56762092798278996</v>
      </c>
      <c r="L283" s="595"/>
      <c r="M283" s="595"/>
      <c r="N283" s="595"/>
      <c r="O283" s="595"/>
      <c r="P283" s="595"/>
      <c r="Q283" s="595"/>
    </row>
    <row r="284" spans="1:17">
      <c r="A284" s="1036" t="s">
        <v>1508</v>
      </c>
      <c r="B284" s="979" t="s">
        <v>420</v>
      </c>
      <c r="C284" s="979" t="s">
        <v>368</v>
      </c>
      <c r="D284" s="979" t="s">
        <v>1077</v>
      </c>
      <c r="E284" s="980">
        <v>150</v>
      </c>
      <c r="F284" s="595"/>
      <c r="G284" s="1009">
        <f t="shared" si="41"/>
        <v>21.38</v>
      </c>
      <c r="H284" s="1012">
        <f t="shared" si="42"/>
        <v>3207</v>
      </c>
      <c r="I284" s="1011">
        <f t="shared" si="43"/>
        <v>1.7386379149787586E-2</v>
      </c>
      <c r="J284" s="1009">
        <f t="shared" si="44"/>
        <v>150</v>
      </c>
      <c r="K284" s="1009">
        <f t="shared" si="45"/>
        <v>0.53788587469276539</v>
      </c>
      <c r="L284" s="595"/>
      <c r="M284" s="595"/>
      <c r="N284" s="595"/>
      <c r="O284" s="595"/>
      <c r="P284" s="595"/>
      <c r="Q284" s="595"/>
    </row>
    <row r="285" spans="1:17">
      <c r="A285" s="1036" t="s">
        <v>1508</v>
      </c>
      <c r="B285" s="979" t="s">
        <v>420</v>
      </c>
      <c r="C285" s="979" t="s">
        <v>370</v>
      </c>
      <c r="D285" s="979" t="s">
        <v>1078</v>
      </c>
      <c r="E285" s="980">
        <v>28</v>
      </c>
      <c r="F285" s="595"/>
      <c r="G285" s="1009">
        <f t="shared" si="41"/>
        <v>30.84</v>
      </c>
      <c r="H285" s="1012">
        <f t="shared" si="42"/>
        <v>863.52</v>
      </c>
      <c r="I285" s="1011">
        <f t="shared" si="43"/>
        <v>4.6814736898735812E-3</v>
      </c>
      <c r="J285" s="1009">
        <f t="shared" si="44"/>
        <v>28</v>
      </c>
      <c r="K285" s="1009">
        <f t="shared" si="45"/>
        <v>0.37289234763071732</v>
      </c>
      <c r="L285" s="595"/>
      <c r="M285" s="595"/>
      <c r="N285" s="595"/>
      <c r="O285" s="595"/>
      <c r="P285" s="595"/>
      <c r="Q285" s="595"/>
    </row>
    <row r="286" spans="1:17">
      <c r="A286" s="1036" t="s">
        <v>1508</v>
      </c>
      <c r="B286" s="979" t="s">
        <v>420</v>
      </c>
      <c r="C286" s="979" t="s">
        <v>393</v>
      </c>
      <c r="D286" s="979" t="s">
        <v>1079</v>
      </c>
      <c r="E286" s="980">
        <v>96</v>
      </c>
      <c r="F286" s="595"/>
      <c r="G286" s="1009">
        <f t="shared" si="41"/>
        <v>31.22</v>
      </c>
      <c r="H286" s="1012">
        <f t="shared" si="42"/>
        <v>2997.12</v>
      </c>
      <c r="I286" s="1011">
        <f t="shared" si="43"/>
        <v>1.6248539032557331E-2</v>
      </c>
      <c r="J286" s="1009">
        <f t="shared" si="44"/>
        <v>96</v>
      </c>
      <c r="K286" s="1009">
        <f t="shared" si="45"/>
        <v>0.36835361950452666</v>
      </c>
      <c r="L286" s="595"/>
      <c r="M286" s="595"/>
      <c r="N286" s="595"/>
      <c r="O286" s="595"/>
      <c r="P286" s="595"/>
      <c r="Q286" s="595"/>
    </row>
    <row r="287" spans="1:17">
      <c r="A287" s="1036" t="s">
        <v>1508</v>
      </c>
      <c r="B287" s="979" t="s">
        <v>420</v>
      </c>
      <c r="C287" s="979" t="s">
        <v>371</v>
      </c>
      <c r="D287" s="979" t="s">
        <v>1080</v>
      </c>
      <c r="E287" s="980">
        <v>21</v>
      </c>
      <c r="F287" s="595"/>
      <c r="G287" s="1009">
        <f t="shared" si="41"/>
        <v>30.84</v>
      </c>
      <c r="H287" s="1012">
        <f t="shared" si="42"/>
        <v>647.64</v>
      </c>
      <c r="I287" s="1011">
        <f t="shared" si="43"/>
        <v>3.5111052674051857E-3</v>
      </c>
      <c r="J287" s="1009">
        <f t="shared" si="44"/>
        <v>21</v>
      </c>
      <c r="K287" s="1009">
        <f t="shared" si="45"/>
        <v>0.37289234763071732</v>
      </c>
      <c r="L287" s="595"/>
      <c r="M287" s="595"/>
      <c r="N287" s="595"/>
      <c r="O287" s="595"/>
      <c r="P287" s="595"/>
      <c r="Q287" s="595"/>
    </row>
    <row r="288" spans="1:17">
      <c r="A288" s="1036" t="s">
        <v>1508</v>
      </c>
      <c r="B288" s="979" t="s">
        <v>420</v>
      </c>
      <c r="C288" s="979" t="s">
        <v>394</v>
      </c>
      <c r="D288" s="979" t="s">
        <v>1081</v>
      </c>
      <c r="E288" s="980">
        <v>10</v>
      </c>
      <c r="F288" s="595"/>
      <c r="G288" s="1009">
        <f t="shared" si="41"/>
        <v>31.22</v>
      </c>
      <c r="H288" s="1012">
        <f t="shared" si="42"/>
        <v>312.2</v>
      </c>
      <c r="I288" s="1011">
        <f t="shared" si="43"/>
        <v>1.692556149224722E-3</v>
      </c>
      <c r="J288" s="1009">
        <f t="shared" si="44"/>
        <v>10</v>
      </c>
      <c r="K288" s="1009">
        <f t="shared" si="45"/>
        <v>0.36835361950452666</v>
      </c>
      <c r="L288" s="595"/>
      <c r="M288" s="595"/>
      <c r="N288" s="595"/>
      <c r="O288" s="595"/>
      <c r="P288" s="595"/>
      <c r="Q288" s="595"/>
    </row>
    <row r="289" spans="1:17">
      <c r="A289" s="1036" t="s">
        <v>1508</v>
      </c>
      <c r="B289" s="979" t="s">
        <v>420</v>
      </c>
      <c r="C289" s="979" t="s">
        <v>389</v>
      </c>
      <c r="D289" s="979" t="s">
        <v>1082</v>
      </c>
      <c r="E289" s="980">
        <v>465</v>
      </c>
      <c r="F289" s="595"/>
      <c r="G289" s="1009">
        <f t="shared" si="41"/>
        <v>15.360000000000001</v>
      </c>
      <c r="H289" s="1012">
        <f t="shared" si="42"/>
        <v>7142.4000000000005</v>
      </c>
      <c r="I289" s="1011">
        <f t="shared" si="43"/>
        <v>3.8721694555485769E-2</v>
      </c>
      <c r="J289" s="1009">
        <f t="shared" si="44"/>
        <v>465</v>
      </c>
      <c r="K289" s="1009">
        <f t="shared" si="45"/>
        <v>0.74869791672729957</v>
      </c>
      <c r="L289" s="595"/>
      <c r="M289" s="595"/>
      <c r="N289" s="595"/>
      <c r="O289" s="595"/>
      <c r="P289" s="595"/>
      <c r="Q289" s="595"/>
    </row>
    <row r="290" spans="1:17">
      <c r="A290" s="1036" t="s">
        <v>1508</v>
      </c>
      <c r="B290" s="979" t="s">
        <v>420</v>
      </c>
      <c r="C290" s="979" t="s">
        <v>310</v>
      </c>
      <c r="D290" s="979" t="s">
        <v>1083</v>
      </c>
      <c r="E290" s="980">
        <v>5</v>
      </c>
      <c r="F290" s="595"/>
      <c r="G290" s="1009">
        <f t="shared" si="41"/>
        <v>3.39</v>
      </c>
      <c r="H290" s="1012">
        <f t="shared" si="42"/>
        <v>16.95</v>
      </c>
      <c r="I290" s="1011">
        <f t="shared" si="43"/>
        <v>9.1892462297754772E-5</v>
      </c>
      <c r="J290" s="1009">
        <f t="shared" si="44"/>
        <v>5</v>
      </c>
      <c r="K290" s="1009">
        <f t="shared" si="45"/>
        <v>3.3923303837555521</v>
      </c>
      <c r="L290" s="595"/>
      <c r="M290" s="595"/>
      <c r="N290" s="595"/>
      <c r="O290" s="595"/>
      <c r="P290" s="595"/>
      <c r="Q290" s="595"/>
    </row>
    <row r="291" spans="1:17">
      <c r="A291" s="1036" t="s">
        <v>1508</v>
      </c>
      <c r="B291" s="979" t="s">
        <v>420</v>
      </c>
      <c r="C291" s="979" t="s">
        <v>340</v>
      </c>
      <c r="D291" s="979" t="s">
        <v>1084</v>
      </c>
      <c r="E291" s="980">
        <v>676</v>
      </c>
      <c r="F291" s="595"/>
      <c r="G291" s="1009">
        <f t="shared" si="41"/>
        <v>4.5400000000000009</v>
      </c>
      <c r="H291" s="1012">
        <f t="shared" si="42"/>
        <v>3069.0400000000004</v>
      </c>
      <c r="I291" s="1011">
        <f t="shared" si="43"/>
        <v>1.6638444984678546E-2</v>
      </c>
      <c r="J291" s="1009">
        <f t="shared" si="44"/>
        <v>676</v>
      </c>
      <c r="K291" s="1009">
        <f t="shared" si="45"/>
        <v>2.5330396477822292</v>
      </c>
      <c r="L291" s="595"/>
      <c r="M291" s="595"/>
      <c r="N291" s="595"/>
      <c r="O291" s="595"/>
      <c r="P291" s="595"/>
      <c r="Q291" s="595"/>
    </row>
    <row r="292" spans="1:17">
      <c r="A292" s="1036" t="s">
        <v>1508</v>
      </c>
      <c r="B292" s="979" t="s">
        <v>420</v>
      </c>
      <c r="C292" s="979" t="s">
        <v>358</v>
      </c>
      <c r="D292" s="979" t="s">
        <v>1085</v>
      </c>
      <c r="E292" s="980">
        <v>65</v>
      </c>
      <c r="F292" s="595"/>
      <c r="G292" s="1009">
        <f t="shared" si="41"/>
        <v>6.78</v>
      </c>
      <c r="H292" s="1012">
        <f t="shared" si="42"/>
        <v>440.7</v>
      </c>
      <c r="I292" s="1011">
        <f t="shared" si="43"/>
        <v>2.3892040197416239E-3</v>
      </c>
      <c r="J292" s="1009">
        <f t="shared" si="44"/>
        <v>65</v>
      </c>
      <c r="K292" s="1009">
        <f t="shared" si="45"/>
        <v>1.696165191877776</v>
      </c>
      <c r="L292" s="595"/>
      <c r="M292" s="595"/>
      <c r="N292" s="595"/>
      <c r="O292" s="595"/>
      <c r="P292" s="595"/>
      <c r="Q292" s="595"/>
    </row>
    <row r="293" spans="1:17">
      <c r="A293" s="1036" t="s">
        <v>1508</v>
      </c>
      <c r="B293" s="979" t="s">
        <v>420</v>
      </c>
      <c r="C293" s="979" t="s">
        <v>383</v>
      </c>
      <c r="D293" s="979" t="s">
        <v>1086</v>
      </c>
      <c r="E293" s="980">
        <v>2</v>
      </c>
      <c r="F293" s="595"/>
      <c r="G293" s="1009">
        <f t="shared" si="41"/>
        <v>9.06</v>
      </c>
      <c r="H293" s="1012">
        <f t="shared" si="42"/>
        <v>18.12</v>
      </c>
      <c r="I293" s="1011">
        <f t="shared" si="43"/>
        <v>9.8235481819192709E-5</v>
      </c>
      <c r="J293" s="1009">
        <f t="shared" si="44"/>
        <v>2</v>
      </c>
      <c r="K293" s="1009">
        <f t="shared" si="45"/>
        <v>1.2693156733919781</v>
      </c>
      <c r="L293" s="595"/>
      <c r="M293" s="595"/>
      <c r="N293" s="595"/>
      <c r="O293" s="595"/>
      <c r="P293" s="595"/>
      <c r="Q293" s="595"/>
    </row>
    <row r="294" spans="1:17">
      <c r="A294" s="1036" t="s">
        <v>1508</v>
      </c>
      <c r="B294" s="979" t="s">
        <v>420</v>
      </c>
      <c r="C294" s="979" t="s">
        <v>375</v>
      </c>
      <c r="D294" s="979" t="s">
        <v>1087</v>
      </c>
      <c r="E294" s="980">
        <v>172</v>
      </c>
      <c r="F294" s="595"/>
      <c r="G294" s="1009">
        <f t="shared" si="41"/>
        <v>7.4399999999999995</v>
      </c>
      <c r="H294" s="1012">
        <f t="shared" si="42"/>
        <v>1279.6799999999998</v>
      </c>
      <c r="I294" s="1011">
        <f t="shared" si="43"/>
        <v>6.9376369411911984E-3</v>
      </c>
      <c r="J294" s="1009">
        <f t="shared" si="44"/>
        <v>172</v>
      </c>
      <c r="K294" s="1009">
        <f t="shared" si="45"/>
        <v>1.5456989248563606</v>
      </c>
      <c r="L294" s="595"/>
      <c r="M294" s="595"/>
      <c r="N294" s="595"/>
      <c r="O294" s="595"/>
      <c r="P294" s="595"/>
      <c r="Q294" s="595"/>
    </row>
    <row r="295" spans="1:17">
      <c r="A295" s="1036" t="s">
        <v>1508</v>
      </c>
      <c r="B295" s="979" t="s">
        <v>420</v>
      </c>
      <c r="C295" s="979" t="s">
        <v>400</v>
      </c>
      <c r="D295" s="979" t="s">
        <v>1088</v>
      </c>
      <c r="E295" s="980">
        <v>36659</v>
      </c>
      <c r="F295" s="595"/>
      <c r="G295" s="1009">
        <f t="shared" ref="G295:G326" si="46">SUMIF(_Lights_Tariff_Category,20140101&amp;$C295,_Lights_Rates)</f>
        <v>7.84</v>
      </c>
      <c r="H295" s="1012">
        <f t="shared" ref="H295:H326" si="47">E295*G295</f>
        <v>287406.56</v>
      </c>
      <c r="I295" s="1011">
        <f t="shared" si="43"/>
        <v>1.558141385187457</v>
      </c>
      <c r="J295" s="1009">
        <f t="shared" si="44"/>
        <v>36659</v>
      </c>
      <c r="K295" s="1009">
        <f t="shared" si="45"/>
        <v>1.4668367348126687</v>
      </c>
      <c r="L295" s="595"/>
      <c r="M295" s="595"/>
      <c r="N295" s="595"/>
      <c r="O295" s="595"/>
      <c r="P295" s="595"/>
      <c r="Q295" s="595"/>
    </row>
    <row r="296" spans="1:17">
      <c r="A296" s="1036" t="s">
        <v>1508</v>
      </c>
      <c r="B296" s="979" t="s">
        <v>420</v>
      </c>
      <c r="C296" s="979" t="s">
        <v>391</v>
      </c>
      <c r="D296" s="979" t="s">
        <v>1089</v>
      </c>
      <c r="E296" s="980">
        <v>1180</v>
      </c>
      <c r="F296" s="595"/>
      <c r="G296" s="1009">
        <f t="shared" si="46"/>
        <v>22</v>
      </c>
      <c r="H296" s="1012">
        <f t="shared" si="47"/>
        <v>25960</v>
      </c>
      <c r="I296" s="1011">
        <f t="shared" si="43"/>
        <v>0.14073913399703325</v>
      </c>
      <c r="J296" s="1009">
        <f t="shared" si="44"/>
        <v>1180</v>
      </c>
      <c r="K296" s="1009">
        <f t="shared" si="45"/>
        <v>0.52272727276960562</v>
      </c>
      <c r="L296" s="595"/>
      <c r="M296" s="595"/>
      <c r="N296" s="595"/>
      <c r="O296" s="595"/>
      <c r="P296" s="595"/>
      <c r="Q296" s="595"/>
    </row>
    <row r="297" spans="1:17">
      <c r="A297" s="1036" t="s">
        <v>1508</v>
      </c>
      <c r="B297" s="979" t="s">
        <v>420</v>
      </c>
      <c r="C297" s="979" t="s">
        <v>357</v>
      </c>
      <c r="D297" s="979" t="s">
        <v>1090</v>
      </c>
      <c r="E297" s="980">
        <v>5</v>
      </c>
      <c r="F297" s="595"/>
      <c r="G297" s="1009">
        <f t="shared" si="46"/>
        <v>7.74</v>
      </c>
      <c r="H297" s="1012">
        <f t="shared" si="47"/>
        <v>38.700000000000003</v>
      </c>
      <c r="I297" s="1011">
        <f t="shared" si="43"/>
        <v>2.098075687860242E-4</v>
      </c>
      <c r="J297" s="1009">
        <f t="shared" si="44"/>
        <v>5</v>
      </c>
      <c r="K297" s="1009">
        <f t="shared" si="45"/>
        <v>1.4857881138154163</v>
      </c>
      <c r="L297" s="595"/>
      <c r="M297" s="595"/>
      <c r="N297" s="595"/>
      <c r="O297" s="595"/>
      <c r="P297" s="595"/>
      <c r="Q297" s="595"/>
    </row>
    <row r="298" spans="1:17">
      <c r="A298" s="1036" t="s">
        <v>1508</v>
      </c>
      <c r="B298" s="979" t="s">
        <v>420</v>
      </c>
      <c r="C298" s="979" t="s">
        <v>359</v>
      </c>
      <c r="D298" s="979" t="s">
        <v>1091</v>
      </c>
      <c r="E298" s="980">
        <v>2</v>
      </c>
      <c r="F298" s="595"/>
      <c r="G298" s="1009">
        <f t="shared" si="46"/>
        <v>13.610000000000001</v>
      </c>
      <c r="H298" s="1012">
        <f t="shared" si="47"/>
        <v>27.220000000000002</v>
      </c>
      <c r="I298" s="1011">
        <f t="shared" si="43"/>
        <v>1.4757007809704337E-4</v>
      </c>
      <c r="J298" s="1009">
        <f t="shared" si="44"/>
        <v>2</v>
      </c>
      <c r="K298" s="1009">
        <f t="shared" si="45"/>
        <v>0.84496693614484364</v>
      </c>
      <c r="L298" s="595"/>
      <c r="M298" s="595"/>
      <c r="N298" s="595"/>
      <c r="O298" s="595"/>
      <c r="P298" s="595"/>
      <c r="Q298" s="595"/>
    </row>
    <row r="299" spans="1:17">
      <c r="A299" s="1036" t="s">
        <v>1508</v>
      </c>
      <c r="B299" s="979" t="s">
        <v>420</v>
      </c>
      <c r="C299" s="979" t="s">
        <v>385</v>
      </c>
      <c r="D299" s="979" t="s">
        <v>1092</v>
      </c>
      <c r="E299" s="980">
        <v>1081</v>
      </c>
      <c r="F299" s="595"/>
      <c r="G299" s="1009">
        <f t="shared" si="46"/>
        <v>9.5600000000000023</v>
      </c>
      <c r="H299" s="1012">
        <f t="shared" si="47"/>
        <v>10334.360000000002</v>
      </c>
      <c r="I299" s="1011">
        <f t="shared" si="43"/>
        <v>5.6026536086809749E-2</v>
      </c>
      <c r="J299" s="1009">
        <f t="shared" si="44"/>
        <v>1081</v>
      </c>
      <c r="K299" s="1009">
        <f t="shared" si="45"/>
        <v>1.2029288703903054</v>
      </c>
      <c r="L299" s="595"/>
      <c r="M299" s="595"/>
      <c r="N299" s="595"/>
      <c r="O299" s="595"/>
      <c r="P299" s="595"/>
      <c r="Q299" s="595"/>
    </row>
    <row r="300" spans="1:17">
      <c r="A300" s="1036" t="s">
        <v>1508</v>
      </c>
      <c r="B300" s="979" t="s">
        <v>420</v>
      </c>
      <c r="C300" s="979" t="s">
        <v>312</v>
      </c>
      <c r="D300" s="979" t="s">
        <v>1093</v>
      </c>
      <c r="E300" s="980">
        <v>742</v>
      </c>
      <c r="F300" s="595"/>
      <c r="G300" s="1009">
        <f t="shared" si="46"/>
        <v>11.32</v>
      </c>
      <c r="H300" s="1012">
        <f t="shared" si="47"/>
        <v>8399.44</v>
      </c>
      <c r="I300" s="1011">
        <f t="shared" si="43"/>
        <v>4.5536591358245039E-2</v>
      </c>
      <c r="J300" s="1009">
        <f t="shared" si="44"/>
        <v>742</v>
      </c>
      <c r="K300" s="1009">
        <f t="shared" si="45"/>
        <v>1.0159010601529437</v>
      </c>
      <c r="L300" s="595"/>
      <c r="M300" s="595"/>
      <c r="N300" s="595"/>
      <c r="O300" s="595"/>
      <c r="P300" s="595"/>
      <c r="Q300" s="595"/>
    </row>
    <row r="301" spans="1:17">
      <c r="A301" s="1036" t="s">
        <v>1508</v>
      </c>
      <c r="B301" s="979" t="s">
        <v>420</v>
      </c>
      <c r="C301" s="979" t="s">
        <v>421</v>
      </c>
      <c r="D301" s="979" t="s">
        <v>1094</v>
      </c>
      <c r="E301" s="980">
        <v>1480</v>
      </c>
      <c r="F301" s="595"/>
      <c r="G301" s="1009">
        <f t="shared" si="46"/>
        <v>12.809999999999999</v>
      </c>
      <c r="H301" s="1012">
        <f t="shared" si="47"/>
        <v>18958.8</v>
      </c>
      <c r="I301" s="1011">
        <f t="shared" si="43"/>
        <v>0.10278293889148513</v>
      </c>
      <c r="J301" s="1009">
        <f t="shared" si="44"/>
        <v>1480</v>
      </c>
      <c r="K301" s="1009">
        <f t="shared" si="45"/>
        <v>0.89773614371048582</v>
      </c>
      <c r="L301" s="595"/>
      <c r="M301" s="595"/>
      <c r="N301" s="595"/>
      <c r="O301" s="595"/>
      <c r="P301" s="595"/>
      <c r="Q301" s="595"/>
    </row>
    <row r="302" spans="1:17">
      <c r="A302" s="1036" t="s">
        <v>1508</v>
      </c>
      <c r="B302" s="979" t="s">
        <v>420</v>
      </c>
      <c r="C302" s="979" t="s">
        <v>322</v>
      </c>
      <c r="D302" s="979" t="s">
        <v>1095</v>
      </c>
      <c r="E302" s="980">
        <v>660</v>
      </c>
      <c r="F302" s="595"/>
      <c r="G302" s="1009">
        <f t="shared" si="46"/>
        <v>14.25</v>
      </c>
      <c r="H302" s="1012">
        <f t="shared" si="47"/>
        <v>9405</v>
      </c>
      <c r="I302" s="1011">
        <f t="shared" si="43"/>
        <v>5.09881184607896E-2</v>
      </c>
      <c r="J302" s="1009">
        <f t="shared" si="44"/>
        <v>660</v>
      </c>
      <c r="K302" s="1009">
        <f t="shared" si="45"/>
        <v>0.80701754392500513</v>
      </c>
      <c r="L302" s="595"/>
      <c r="M302" s="595"/>
      <c r="N302" s="595"/>
      <c r="O302" s="595"/>
      <c r="P302" s="595"/>
      <c r="Q302" s="595"/>
    </row>
    <row r="303" spans="1:17">
      <c r="A303" s="1036" t="s">
        <v>1508</v>
      </c>
      <c r="B303" s="979" t="s">
        <v>420</v>
      </c>
      <c r="C303" s="979" t="s">
        <v>354</v>
      </c>
      <c r="D303" s="979" t="s">
        <v>1096</v>
      </c>
      <c r="E303" s="980">
        <v>5129</v>
      </c>
      <c r="F303" s="595"/>
      <c r="G303" s="1009">
        <f t="shared" si="46"/>
        <v>20.200000000000003</v>
      </c>
      <c r="H303" s="1012">
        <f t="shared" si="47"/>
        <v>103605.80000000002</v>
      </c>
      <c r="I303" s="1011">
        <f t="shared" si="43"/>
        <v>0.56168684780700429</v>
      </c>
      <c r="J303" s="1009">
        <f t="shared" si="44"/>
        <v>5129</v>
      </c>
      <c r="K303" s="1009">
        <f t="shared" si="45"/>
        <v>0.56930693073917427</v>
      </c>
      <c r="L303" s="595"/>
      <c r="M303" s="595"/>
      <c r="N303" s="595"/>
      <c r="O303" s="595"/>
      <c r="P303" s="595"/>
      <c r="Q303" s="595"/>
    </row>
    <row r="304" spans="1:17">
      <c r="A304" s="1036" t="s">
        <v>1508</v>
      </c>
      <c r="B304" s="979" t="s">
        <v>420</v>
      </c>
      <c r="C304" s="979" t="s">
        <v>317</v>
      </c>
      <c r="D304" s="979" t="s">
        <v>1097</v>
      </c>
      <c r="E304" s="980">
        <v>1045</v>
      </c>
      <c r="F304" s="595"/>
      <c r="G304" s="1009">
        <f t="shared" si="46"/>
        <v>42.350000000000009</v>
      </c>
      <c r="H304" s="1012">
        <f t="shared" si="47"/>
        <v>44255.750000000007</v>
      </c>
      <c r="I304" s="1011">
        <f t="shared" si="43"/>
        <v>0.23992742409049331</v>
      </c>
      <c r="J304" s="1009">
        <f t="shared" si="44"/>
        <v>1045</v>
      </c>
      <c r="K304" s="1009">
        <f t="shared" si="45"/>
        <v>0.27154663520498984</v>
      </c>
      <c r="L304" s="595"/>
      <c r="M304" s="595"/>
      <c r="N304" s="595"/>
      <c r="O304" s="595"/>
      <c r="P304" s="595"/>
      <c r="Q304" s="595"/>
    </row>
    <row r="305" spans="1:17">
      <c r="A305" s="1036" t="s">
        <v>1508</v>
      </c>
      <c r="B305" s="979" t="s">
        <v>420</v>
      </c>
      <c r="C305" s="979" t="s">
        <v>320</v>
      </c>
      <c r="D305" s="979" t="s">
        <v>1098</v>
      </c>
      <c r="E305" s="980">
        <v>150</v>
      </c>
      <c r="F305" s="595"/>
      <c r="G305" s="1009">
        <f t="shared" si="46"/>
        <v>18.649999999999999</v>
      </c>
      <c r="H305" s="1012">
        <f t="shared" si="47"/>
        <v>2797.5</v>
      </c>
      <c r="I305" s="1011">
        <f t="shared" si="43"/>
        <v>1.5166322317284304E-2</v>
      </c>
      <c r="J305" s="1009">
        <f t="shared" si="44"/>
        <v>150</v>
      </c>
      <c r="K305" s="1009">
        <f t="shared" si="45"/>
        <v>0.61662198396414603</v>
      </c>
      <c r="L305" s="595"/>
      <c r="M305" s="595"/>
      <c r="N305" s="595"/>
      <c r="O305" s="595"/>
      <c r="P305" s="595"/>
      <c r="Q305" s="595"/>
    </row>
    <row r="306" spans="1:17">
      <c r="A306" s="1036" t="s">
        <v>1508</v>
      </c>
      <c r="B306" s="979" t="s">
        <v>420</v>
      </c>
      <c r="C306" s="979" t="s">
        <v>352</v>
      </c>
      <c r="D306" s="979" t="s">
        <v>1099</v>
      </c>
      <c r="E306" s="980">
        <v>1022</v>
      </c>
      <c r="F306" s="595"/>
      <c r="G306" s="1009">
        <f t="shared" si="46"/>
        <v>24.59</v>
      </c>
      <c r="H306" s="1012">
        <f t="shared" si="47"/>
        <v>25130.98</v>
      </c>
      <c r="I306" s="1011">
        <f t="shared" si="43"/>
        <v>0.13624469806227901</v>
      </c>
      <c r="J306" s="1009">
        <f t="shared" si="44"/>
        <v>1022</v>
      </c>
      <c r="K306" s="1009">
        <f t="shared" si="45"/>
        <v>0.46766978450310381</v>
      </c>
      <c r="L306" s="595"/>
      <c r="M306" s="595"/>
      <c r="N306" s="595"/>
      <c r="O306" s="595"/>
      <c r="P306" s="595"/>
      <c r="Q306" s="595"/>
    </row>
    <row r="307" spans="1:17">
      <c r="A307" s="1036" t="s">
        <v>1508</v>
      </c>
      <c r="B307" s="979" t="s">
        <v>420</v>
      </c>
      <c r="C307" s="979" t="s">
        <v>384</v>
      </c>
      <c r="D307" s="979" t="s">
        <v>1100</v>
      </c>
      <c r="E307" s="980">
        <f>140+2</f>
        <v>142</v>
      </c>
      <c r="F307" s="595"/>
      <c r="G307" s="1009">
        <f t="shared" si="46"/>
        <v>11.870000000000001</v>
      </c>
      <c r="H307" s="1012">
        <f t="shared" si="47"/>
        <v>1685.5400000000002</v>
      </c>
      <c r="I307" s="1011">
        <f t="shared" si="43"/>
        <v>9.1379599351833398E-3</v>
      </c>
      <c r="J307" s="1009">
        <f t="shared" si="44"/>
        <v>142</v>
      </c>
      <c r="K307" s="1009">
        <f t="shared" si="45"/>
        <v>0.9688289807018805</v>
      </c>
      <c r="L307" s="595"/>
      <c r="M307" s="595"/>
      <c r="N307" s="595"/>
      <c r="O307" s="595"/>
      <c r="P307" s="595"/>
      <c r="Q307" s="595"/>
    </row>
    <row r="308" spans="1:17">
      <c r="A308" s="1036" t="s">
        <v>1508</v>
      </c>
      <c r="B308" s="979" t="s">
        <v>420</v>
      </c>
      <c r="C308" s="979" t="s">
        <v>311</v>
      </c>
      <c r="D308" s="979" t="s">
        <v>1101</v>
      </c>
      <c r="E308" s="980">
        <v>453</v>
      </c>
      <c r="F308" s="595"/>
      <c r="G308" s="1009">
        <f t="shared" si="46"/>
        <v>13.360000000000001</v>
      </c>
      <c r="H308" s="1012">
        <f t="shared" si="47"/>
        <v>6052.0800000000008</v>
      </c>
      <c r="I308" s="1011">
        <f t="shared" si="43"/>
        <v>3.2810650927610367E-2</v>
      </c>
      <c r="J308" s="1009">
        <f t="shared" si="44"/>
        <v>453</v>
      </c>
      <c r="K308" s="1009">
        <f t="shared" si="45"/>
        <v>0.86077844318348218</v>
      </c>
      <c r="L308" s="595"/>
      <c r="M308" s="595"/>
      <c r="N308" s="595"/>
      <c r="O308" s="595"/>
      <c r="P308" s="595"/>
      <c r="Q308" s="595"/>
    </row>
    <row r="309" spans="1:17">
      <c r="A309" s="1036" t="s">
        <v>1508</v>
      </c>
      <c r="B309" s="979" t="s">
        <v>420</v>
      </c>
      <c r="C309" s="979" t="s">
        <v>341</v>
      </c>
      <c r="D309" s="979" t="s">
        <v>1102</v>
      </c>
      <c r="E309" s="980">
        <v>1479</v>
      </c>
      <c r="F309" s="595"/>
      <c r="G309" s="1009">
        <f t="shared" si="46"/>
        <v>15.079999999999998</v>
      </c>
      <c r="H309" s="1012">
        <f t="shared" si="47"/>
        <v>22303.319999999996</v>
      </c>
      <c r="I309" s="1011">
        <f t="shared" si="43"/>
        <v>0.12091486679733096</v>
      </c>
      <c r="J309" s="1009">
        <f t="shared" si="44"/>
        <v>1479</v>
      </c>
      <c r="K309" s="1009">
        <f t="shared" si="45"/>
        <v>0.76259946955778013</v>
      </c>
      <c r="L309" s="1009"/>
      <c r="M309" s="595"/>
      <c r="N309" s="595"/>
      <c r="O309" s="595"/>
      <c r="P309" s="595"/>
      <c r="Q309" s="595"/>
    </row>
    <row r="310" spans="1:17">
      <c r="A310" s="1036" t="s">
        <v>1508</v>
      </c>
      <c r="B310" s="979" t="s">
        <v>420</v>
      </c>
      <c r="C310" s="979" t="s">
        <v>315</v>
      </c>
      <c r="D310" s="979" t="s">
        <v>1103</v>
      </c>
      <c r="E310" s="980">
        <v>224</v>
      </c>
      <c r="F310" s="595"/>
      <c r="G310" s="1009">
        <f t="shared" si="46"/>
        <v>46.740000000000009</v>
      </c>
      <c r="H310" s="1012">
        <f t="shared" si="47"/>
        <v>10469.760000000002</v>
      </c>
      <c r="I310" s="1011">
        <f t="shared" si="43"/>
        <v>5.6760591508350507E-2</v>
      </c>
      <c r="J310" s="1009">
        <f t="shared" si="44"/>
        <v>224</v>
      </c>
      <c r="K310" s="1009">
        <f t="shared" si="45"/>
        <v>0.24604193412347711</v>
      </c>
      <c r="L310" s="595"/>
      <c r="M310" s="595"/>
      <c r="N310" s="595"/>
      <c r="O310" s="595"/>
      <c r="P310" s="595"/>
      <c r="Q310" s="595"/>
    </row>
    <row r="311" spans="1:17">
      <c r="A311" s="1036" t="s">
        <v>1508</v>
      </c>
      <c r="B311" s="979" t="s">
        <v>420</v>
      </c>
      <c r="C311" s="979" t="s">
        <v>319</v>
      </c>
      <c r="D311" s="979" t="s">
        <v>1104</v>
      </c>
      <c r="E311" s="980">
        <v>26</v>
      </c>
      <c r="F311" s="595"/>
      <c r="G311" s="1009">
        <f t="shared" si="46"/>
        <v>27.15</v>
      </c>
      <c r="H311" s="1012">
        <f t="shared" si="47"/>
        <v>705.9</v>
      </c>
      <c r="I311" s="1011">
        <f t="shared" si="43"/>
        <v>3.8269551112675572E-3</v>
      </c>
      <c r="J311" s="1009">
        <f t="shared" si="44"/>
        <v>26</v>
      </c>
      <c r="K311" s="1009">
        <f t="shared" si="45"/>
        <v>0.42357274404903583</v>
      </c>
      <c r="L311" s="595"/>
      <c r="M311" s="595"/>
      <c r="N311" s="595"/>
      <c r="O311" s="595"/>
      <c r="P311" s="595"/>
      <c r="Q311" s="595"/>
    </row>
    <row r="312" spans="1:17">
      <c r="A312" s="1036" t="s">
        <v>1508</v>
      </c>
      <c r="B312" s="979" t="s">
        <v>420</v>
      </c>
      <c r="C312" s="979" t="s">
        <v>356</v>
      </c>
      <c r="D312" s="979" t="s">
        <v>1105</v>
      </c>
      <c r="E312" s="980">
        <v>6932</v>
      </c>
      <c r="F312" s="595"/>
      <c r="G312" s="1009">
        <f t="shared" si="46"/>
        <v>7.54</v>
      </c>
      <c r="H312" s="1012">
        <f t="shared" si="47"/>
        <v>52267.28</v>
      </c>
      <c r="I312" s="1011">
        <f t="shared" si="43"/>
        <v>0.28336100630125027</v>
      </c>
      <c r="J312" s="1009">
        <f t="shared" si="44"/>
        <v>6932</v>
      </c>
      <c r="K312" s="1009">
        <f t="shared" si="45"/>
        <v>1.52519893911556</v>
      </c>
      <c r="L312" s="1009"/>
      <c r="M312" s="595"/>
      <c r="N312" s="595"/>
      <c r="O312" s="595"/>
      <c r="P312" s="595"/>
      <c r="Q312" s="595"/>
    </row>
    <row r="313" spans="1:17">
      <c r="A313" s="1036" t="s">
        <v>1508</v>
      </c>
      <c r="B313" s="979" t="s">
        <v>420</v>
      </c>
      <c r="C313" s="979" t="s">
        <v>365</v>
      </c>
      <c r="D313" s="979" t="s">
        <v>1106</v>
      </c>
      <c r="E313" s="980">
        <v>8852</v>
      </c>
      <c r="F313" s="595"/>
      <c r="G313" s="1009">
        <f t="shared" si="46"/>
        <v>8.66</v>
      </c>
      <c r="H313" s="1012">
        <f t="shared" si="47"/>
        <v>76658.320000000007</v>
      </c>
      <c r="I313" s="1011">
        <f t="shared" si="43"/>
        <v>0.41559420533387742</v>
      </c>
      <c r="J313" s="1009">
        <f t="shared" si="44"/>
        <v>8852</v>
      </c>
      <c r="K313" s="1009">
        <f t="shared" si="45"/>
        <v>1.3279445728558108</v>
      </c>
      <c r="L313" s="595"/>
      <c r="M313" s="595"/>
      <c r="N313" s="595"/>
      <c r="O313" s="595"/>
      <c r="P313" s="595"/>
      <c r="Q313" s="595"/>
    </row>
    <row r="314" spans="1:17">
      <c r="A314" s="1036" t="s">
        <v>1508</v>
      </c>
      <c r="B314" s="979" t="s">
        <v>420</v>
      </c>
      <c r="C314" s="979" t="s">
        <v>388</v>
      </c>
      <c r="D314" s="979" t="s">
        <v>1107</v>
      </c>
      <c r="E314" s="980">
        <v>19948</v>
      </c>
      <c r="F314" s="595"/>
      <c r="G314" s="1009">
        <f t="shared" si="46"/>
        <v>9.14</v>
      </c>
      <c r="H314" s="1012">
        <f t="shared" si="47"/>
        <v>182324.72</v>
      </c>
      <c r="I314" s="1011">
        <f t="shared" si="43"/>
        <v>0.98845235743650117</v>
      </c>
      <c r="J314" s="1009">
        <f t="shared" si="44"/>
        <v>19948</v>
      </c>
      <c r="K314" s="1009">
        <f t="shared" si="45"/>
        <v>1.2582056893797946</v>
      </c>
      <c r="L314" s="595"/>
      <c r="M314" s="595"/>
      <c r="N314" s="595"/>
      <c r="O314" s="595"/>
      <c r="P314" s="595"/>
      <c r="Q314" s="595"/>
    </row>
    <row r="315" spans="1:17">
      <c r="A315" s="1036" t="s">
        <v>1508</v>
      </c>
      <c r="B315" s="979" t="s">
        <v>420</v>
      </c>
      <c r="C315" s="979" t="s">
        <v>345</v>
      </c>
      <c r="D315" s="979" t="s">
        <v>1108</v>
      </c>
      <c r="E315" s="980">
        <v>7558</v>
      </c>
      <c r="F315" s="595"/>
      <c r="G315" s="1009">
        <f t="shared" si="46"/>
        <v>14.25</v>
      </c>
      <c r="H315" s="1012">
        <f t="shared" si="47"/>
        <v>107701.5</v>
      </c>
      <c r="I315" s="1011">
        <f t="shared" si="43"/>
        <v>0.58389121110098152</v>
      </c>
      <c r="J315" s="1009">
        <f t="shared" si="44"/>
        <v>7558</v>
      </c>
      <c r="K315" s="1009">
        <f t="shared" si="45"/>
        <v>0.80701754392500513</v>
      </c>
      <c r="L315" s="595"/>
      <c r="M315" s="595"/>
      <c r="N315" s="595"/>
      <c r="O315" s="595"/>
      <c r="P315" s="595"/>
      <c r="Q315" s="595"/>
    </row>
    <row r="316" spans="1:17">
      <c r="A316" s="1036" t="s">
        <v>1508</v>
      </c>
      <c r="B316" s="979" t="s">
        <v>420</v>
      </c>
      <c r="C316" s="979" t="s">
        <v>377</v>
      </c>
      <c r="D316" s="979" t="s">
        <v>1109</v>
      </c>
      <c r="E316" s="980">
        <v>2807</v>
      </c>
      <c r="F316" s="595"/>
      <c r="G316" s="1009">
        <f t="shared" si="46"/>
        <v>22.84</v>
      </c>
      <c r="H316" s="1012">
        <f t="shared" si="47"/>
        <v>64111.88</v>
      </c>
      <c r="I316" s="1011">
        <f t="shared" si="43"/>
        <v>0.34757513367186893</v>
      </c>
      <c r="J316" s="1009">
        <f t="shared" si="44"/>
        <v>2807</v>
      </c>
      <c r="K316" s="1009">
        <f t="shared" si="45"/>
        <v>0.50350262701100357</v>
      </c>
      <c r="L316" s="595"/>
      <c r="M316" s="595"/>
      <c r="N316" s="595"/>
      <c r="O316" s="595"/>
      <c r="P316" s="595"/>
      <c r="Q316" s="595"/>
    </row>
    <row r="317" spans="1:17">
      <c r="A317" s="1036" t="s">
        <v>1508</v>
      </c>
      <c r="B317" s="979" t="s">
        <v>420</v>
      </c>
      <c r="C317" s="979" t="s">
        <v>363</v>
      </c>
      <c r="D317" s="979" t="s">
        <v>1110</v>
      </c>
      <c r="E317" s="980">
        <v>854</v>
      </c>
      <c r="F317" s="595"/>
      <c r="G317" s="1009">
        <f t="shared" si="46"/>
        <v>9.620000000000001</v>
      </c>
      <c r="H317" s="1012">
        <f t="shared" si="47"/>
        <v>8215.4800000000014</v>
      </c>
      <c r="I317" s="1011">
        <f t="shared" si="43"/>
        <v>4.4539273519643569E-2</v>
      </c>
      <c r="J317" s="1009">
        <f t="shared" si="44"/>
        <v>854</v>
      </c>
      <c r="K317" s="1009">
        <f t="shared" si="45"/>
        <v>1.1954261955230063</v>
      </c>
      <c r="L317" s="595"/>
      <c r="M317" s="595"/>
      <c r="N317" s="595"/>
      <c r="O317" s="595"/>
      <c r="P317" s="595"/>
      <c r="Q317" s="595"/>
    </row>
    <row r="318" spans="1:17">
      <c r="A318" s="1036" t="s">
        <v>1508</v>
      </c>
      <c r="B318" s="979" t="s">
        <v>420</v>
      </c>
      <c r="C318" s="979" t="s">
        <v>373</v>
      </c>
      <c r="D318" s="979" t="s">
        <v>1111</v>
      </c>
      <c r="E318" s="980">
        <v>1355</v>
      </c>
      <c r="F318" s="595"/>
      <c r="G318" s="1009">
        <f t="shared" si="46"/>
        <v>10.770000000000001</v>
      </c>
      <c r="H318" s="1012">
        <f t="shared" si="47"/>
        <v>14593.350000000002</v>
      </c>
      <c r="I318" s="1011">
        <f t="shared" si="43"/>
        <v>7.9116157207843055E-2</v>
      </c>
      <c r="J318" s="1009">
        <f t="shared" si="44"/>
        <v>1355</v>
      </c>
      <c r="K318" s="1009">
        <f t="shared" si="45"/>
        <v>1.0677808728812741</v>
      </c>
      <c r="L318" s="595"/>
      <c r="M318" s="595"/>
      <c r="N318" s="595"/>
      <c r="O318" s="595"/>
      <c r="P318" s="595"/>
      <c r="Q318" s="595"/>
    </row>
    <row r="319" spans="1:17">
      <c r="A319" s="1036" t="s">
        <v>1508</v>
      </c>
      <c r="B319" s="979" t="s">
        <v>420</v>
      </c>
      <c r="C319" s="979" t="s">
        <v>396</v>
      </c>
      <c r="D319" s="979" t="s">
        <v>1112</v>
      </c>
      <c r="E319" s="980">
        <v>4026</v>
      </c>
      <c r="F319" s="595"/>
      <c r="G319" s="1009">
        <f t="shared" si="46"/>
        <v>11.16</v>
      </c>
      <c r="H319" s="1012">
        <f t="shared" si="47"/>
        <v>44930.16</v>
      </c>
      <c r="I319" s="1011">
        <f t="shared" si="43"/>
        <v>0.24358365981310262</v>
      </c>
      <c r="J319" s="1009">
        <f t="shared" si="44"/>
        <v>4026</v>
      </c>
      <c r="K319" s="1009">
        <f t="shared" si="45"/>
        <v>1.0304659499042403</v>
      </c>
      <c r="L319" s="595"/>
      <c r="M319" s="595"/>
      <c r="N319" s="595"/>
      <c r="O319" s="595"/>
      <c r="P319" s="595"/>
      <c r="Q319" s="595"/>
    </row>
    <row r="320" spans="1:17">
      <c r="A320" s="1036" t="s">
        <v>1508</v>
      </c>
      <c r="B320" s="979" t="s">
        <v>420</v>
      </c>
      <c r="C320" s="979" t="s">
        <v>351</v>
      </c>
      <c r="D320" s="979" t="s">
        <v>1113</v>
      </c>
      <c r="E320" s="980">
        <v>294</v>
      </c>
      <c r="F320" s="595"/>
      <c r="G320" s="1009">
        <f t="shared" si="46"/>
        <v>33.100000000000009</v>
      </c>
      <c r="H320" s="1012">
        <f t="shared" si="47"/>
        <v>9731.4000000000033</v>
      </c>
      <c r="I320" s="1011">
        <f t="shared" si="43"/>
        <v>5.2757658265744606E-2</v>
      </c>
      <c r="J320" s="1009">
        <f t="shared" si="44"/>
        <v>294</v>
      </c>
      <c r="K320" s="1009">
        <f t="shared" si="45"/>
        <v>0.34743202419732083</v>
      </c>
      <c r="L320" s="595"/>
      <c r="M320" s="595"/>
      <c r="N320" s="595"/>
      <c r="O320" s="595"/>
      <c r="P320" s="595"/>
      <c r="Q320" s="595"/>
    </row>
    <row r="321" spans="1:17">
      <c r="A321" s="1036" t="s">
        <v>1508</v>
      </c>
      <c r="B321" s="979" t="s">
        <v>420</v>
      </c>
      <c r="C321" s="979" t="s">
        <v>314</v>
      </c>
      <c r="D321" s="979" t="s">
        <v>1114</v>
      </c>
      <c r="E321" s="980">
        <v>61</v>
      </c>
      <c r="F321" s="595"/>
      <c r="G321" s="1009">
        <f t="shared" si="46"/>
        <v>55.250000000000007</v>
      </c>
      <c r="H321" s="1012">
        <f t="shared" si="47"/>
        <v>3370.2500000000005</v>
      </c>
      <c r="I321" s="1011">
        <f t="shared" si="43"/>
        <v>1.8271420121475403E-2</v>
      </c>
      <c r="J321" s="1009">
        <f t="shared" si="44"/>
        <v>61</v>
      </c>
      <c r="K321" s="1009">
        <f t="shared" si="45"/>
        <v>0.208144796396947</v>
      </c>
      <c r="L321" s="595"/>
      <c r="M321" s="595"/>
      <c r="N321" s="595"/>
      <c r="O321" s="595"/>
      <c r="P321" s="595"/>
      <c r="Q321" s="595"/>
    </row>
    <row r="322" spans="1:17">
      <c r="A322" s="1036" t="s">
        <v>1508</v>
      </c>
      <c r="B322" s="979" t="s">
        <v>420</v>
      </c>
      <c r="C322" s="979" t="s">
        <v>355</v>
      </c>
      <c r="D322" s="979" t="s">
        <v>1115</v>
      </c>
      <c r="E322" s="980">
        <v>3667</v>
      </c>
      <c r="F322" s="595"/>
      <c r="G322" s="1009">
        <f t="shared" si="46"/>
        <v>10.49</v>
      </c>
      <c r="H322" s="1012">
        <f t="shared" si="47"/>
        <v>38466.83</v>
      </c>
      <c r="I322" s="1011">
        <f t="shared" si="43"/>
        <v>0.20854346463062787</v>
      </c>
      <c r="J322" s="1009">
        <f t="shared" si="44"/>
        <v>3667</v>
      </c>
      <c r="K322" s="1009">
        <f t="shared" si="45"/>
        <v>1.096282173587352</v>
      </c>
      <c r="L322" s="595"/>
      <c r="M322" s="595"/>
      <c r="N322" s="595"/>
      <c r="O322" s="595"/>
      <c r="P322" s="595"/>
      <c r="Q322" s="595"/>
    </row>
    <row r="323" spans="1:17">
      <c r="A323" s="1036" t="s">
        <v>1508</v>
      </c>
      <c r="B323" s="979" t="s">
        <v>420</v>
      </c>
      <c r="C323" s="979" t="s">
        <v>364</v>
      </c>
      <c r="D323" s="979" t="s">
        <v>1116</v>
      </c>
      <c r="E323" s="980">
        <v>8745</v>
      </c>
      <c r="F323" s="595"/>
      <c r="G323" s="1009">
        <f t="shared" si="46"/>
        <v>11.600000000000001</v>
      </c>
      <c r="H323" s="1012">
        <f t="shared" si="47"/>
        <v>101442.00000000001</v>
      </c>
      <c r="I323" s="1011">
        <f t="shared" si="43"/>
        <v>0.54995605666128855</v>
      </c>
      <c r="J323" s="1009">
        <f t="shared" si="44"/>
        <v>8745</v>
      </c>
      <c r="K323" s="1009">
        <f t="shared" si="45"/>
        <v>0.99137931042511385</v>
      </c>
      <c r="L323" s="595"/>
      <c r="M323" s="595"/>
      <c r="N323" s="595"/>
      <c r="O323" s="595"/>
      <c r="P323" s="595"/>
      <c r="Q323" s="595"/>
    </row>
    <row r="324" spans="1:17">
      <c r="A324" s="1036" t="s">
        <v>1508</v>
      </c>
      <c r="B324" s="979" t="s">
        <v>420</v>
      </c>
      <c r="C324" s="979" t="s">
        <v>387</v>
      </c>
      <c r="D324" s="979" t="s">
        <v>1117</v>
      </c>
      <c r="E324" s="980">
        <v>3397</v>
      </c>
      <c r="F324" s="595"/>
      <c r="G324" s="1009">
        <f t="shared" si="46"/>
        <v>12.3</v>
      </c>
      <c r="H324" s="1012">
        <f t="shared" si="47"/>
        <v>41783.100000000006</v>
      </c>
      <c r="I324" s="1011">
        <f t="shared" si="43"/>
        <v>0.22652223843264413</v>
      </c>
      <c r="J324" s="1009">
        <f t="shared" si="44"/>
        <v>3397</v>
      </c>
      <c r="K324" s="1009">
        <f t="shared" si="45"/>
        <v>0.93495934966921312</v>
      </c>
      <c r="L324" s="595"/>
      <c r="M324" s="595"/>
      <c r="N324" s="595"/>
      <c r="O324" s="595"/>
      <c r="P324" s="595"/>
      <c r="Q324" s="595"/>
    </row>
    <row r="325" spans="1:17">
      <c r="A325" s="1036" t="s">
        <v>1508</v>
      </c>
      <c r="B325" s="979" t="s">
        <v>420</v>
      </c>
      <c r="C325" s="979" t="s">
        <v>344</v>
      </c>
      <c r="D325" s="979" t="s">
        <v>1118</v>
      </c>
      <c r="E325" s="980">
        <v>5168</v>
      </c>
      <c r="F325" s="595"/>
      <c r="G325" s="1009">
        <f t="shared" si="46"/>
        <v>17.41</v>
      </c>
      <c r="H325" s="1012">
        <f t="shared" si="47"/>
        <v>89974.88</v>
      </c>
      <c r="I325" s="1011">
        <f t="shared" si="43"/>
        <v>0.48778839340088553</v>
      </c>
      <c r="J325" s="1009">
        <f t="shared" si="44"/>
        <v>5168</v>
      </c>
      <c r="K325" s="1009">
        <f t="shared" si="45"/>
        <v>0.66053991963993808</v>
      </c>
      <c r="L325" s="595"/>
      <c r="M325" s="595"/>
      <c r="N325" s="595"/>
      <c r="O325" s="595"/>
      <c r="P325" s="595"/>
      <c r="Q325" s="595"/>
    </row>
    <row r="326" spans="1:17">
      <c r="A326" s="1036" t="s">
        <v>1508</v>
      </c>
      <c r="B326" s="979" t="s">
        <v>420</v>
      </c>
      <c r="C326" s="979" t="s">
        <v>376</v>
      </c>
      <c r="D326" s="979" t="s">
        <v>1119</v>
      </c>
      <c r="E326" s="980">
        <v>515</v>
      </c>
      <c r="F326" s="595"/>
      <c r="G326" s="1009">
        <f t="shared" si="46"/>
        <v>24.46</v>
      </c>
      <c r="H326" s="1012">
        <f t="shared" si="47"/>
        <v>12596.9</v>
      </c>
      <c r="I326" s="1011">
        <f t="shared" si="43"/>
        <v>6.829263470906119E-2</v>
      </c>
      <c r="J326" s="1009">
        <f t="shared" si="44"/>
        <v>515</v>
      </c>
      <c r="K326" s="1009">
        <f t="shared" si="45"/>
        <v>0.47015535572082268</v>
      </c>
      <c r="L326" s="595"/>
      <c r="M326" s="595"/>
      <c r="N326" s="595"/>
      <c r="O326" s="595"/>
      <c r="P326" s="595"/>
      <c r="Q326" s="595"/>
    </row>
    <row r="327" spans="1:17">
      <c r="A327" s="1036" t="s">
        <v>1508</v>
      </c>
      <c r="B327" s="979" t="s">
        <v>420</v>
      </c>
      <c r="C327" s="979" t="s">
        <v>374</v>
      </c>
      <c r="D327" s="979" t="s">
        <v>1120</v>
      </c>
      <c r="E327" s="980">
        <v>4570</v>
      </c>
      <c r="F327" s="595"/>
      <c r="G327" s="1009">
        <f t="shared" ref="G327:G343" si="48">SUMIF(_Lights_Tariff_Category,20140101&amp;$C327,_Lights_Rates)</f>
        <v>16.79</v>
      </c>
      <c r="H327" s="1012">
        <f t="shared" ref="H327:H343" si="49">E327*G327</f>
        <v>76730.3</v>
      </c>
      <c r="I327" s="1011">
        <f t="shared" ref="I327:I343" si="50">H327/$L$265*$L$266</f>
        <v>0.41598443656905087</v>
      </c>
      <c r="J327" s="1009">
        <f t="shared" ref="J327:J342" si="51">ROUND((H327+I327)/G327,0)</f>
        <v>4570</v>
      </c>
      <c r="K327" s="1009">
        <f t="shared" ref="K327:K342" si="52">$L$266/G327</f>
        <v>0.68493150690478399</v>
      </c>
      <c r="L327" s="595"/>
      <c r="M327" s="595"/>
      <c r="N327" s="595"/>
      <c r="O327" s="595"/>
      <c r="P327" s="595"/>
      <c r="Q327" s="595"/>
    </row>
    <row r="328" spans="1:17">
      <c r="A328" s="1036" t="s">
        <v>1508</v>
      </c>
      <c r="B328" s="979" t="s">
        <v>420</v>
      </c>
      <c r="C328" s="979" t="s">
        <v>398</v>
      </c>
      <c r="D328" s="979" t="s">
        <v>1121</v>
      </c>
      <c r="E328" s="980">
        <v>1063</v>
      </c>
      <c r="F328" s="595"/>
      <c r="G328" s="1009">
        <f t="shared" si="48"/>
        <v>20.97</v>
      </c>
      <c r="H328" s="1012">
        <f t="shared" si="49"/>
        <v>22291.11</v>
      </c>
      <c r="I328" s="1011">
        <f t="shared" si="50"/>
        <v>0.12084867169617136</v>
      </c>
      <c r="J328" s="1009">
        <f t="shared" si="51"/>
        <v>1063</v>
      </c>
      <c r="K328" s="1009">
        <f t="shared" si="52"/>
        <v>0.548402479777364</v>
      </c>
      <c r="L328" s="595"/>
      <c r="M328" s="595"/>
      <c r="N328" s="595"/>
      <c r="O328" s="595"/>
      <c r="P328" s="595"/>
      <c r="Q328" s="595"/>
    </row>
    <row r="329" spans="1:17">
      <c r="A329" s="1036" t="s">
        <v>1508</v>
      </c>
      <c r="B329" s="979" t="s">
        <v>420</v>
      </c>
      <c r="C329" s="979" t="s">
        <v>348</v>
      </c>
      <c r="D329" s="979" t="s">
        <v>1122</v>
      </c>
      <c r="E329" s="980">
        <v>1411</v>
      </c>
      <c r="F329" s="595"/>
      <c r="G329" s="1009">
        <f t="shared" si="48"/>
        <v>26.86</v>
      </c>
      <c r="H329" s="1012">
        <f t="shared" si="49"/>
        <v>37899.46</v>
      </c>
      <c r="I329" s="1011">
        <f t="shared" si="50"/>
        <v>0.20546753387346697</v>
      </c>
      <c r="J329" s="1009">
        <f t="shared" si="51"/>
        <v>1411</v>
      </c>
      <c r="K329" s="1009">
        <f t="shared" si="52"/>
        <v>0.42814594195574546</v>
      </c>
      <c r="L329" s="595"/>
      <c r="M329" s="595"/>
      <c r="N329" s="595"/>
      <c r="O329" s="595"/>
      <c r="P329" s="595"/>
      <c r="Q329" s="595"/>
    </row>
    <row r="330" spans="1:17">
      <c r="A330" s="1036" t="s">
        <v>1508</v>
      </c>
      <c r="B330" s="979" t="s">
        <v>420</v>
      </c>
      <c r="C330" s="979" t="s">
        <v>380</v>
      </c>
      <c r="D330" s="979" t="s">
        <v>1123</v>
      </c>
      <c r="E330" s="980">
        <v>951</v>
      </c>
      <c r="F330" s="595"/>
      <c r="G330" s="1009">
        <f t="shared" si="48"/>
        <v>33.119999999999997</v>
      </c>
      <c r="H330" s="1012">
        <f t="shared" si="49"/>
        <v>31497.119999999999</v>
      </c>
      <c r="I330" s="1011">
        <f t="shared" si="50"/>
        <v>0.17075798891373792</v>
      </c>
      <c r="J330" s="1009">
        <f t="shared" si="51"/>
        <v>951</v>
      </c>
      <c r="K330" s="1009">
        <f t="shared" si="52"/>
        <v>0.34722222225034188</v>
      </c>
      <c r="L330" s="595"/>
      <c r="M330" s="595"/>
      <c r="N330" s="595"/>
      <c r="O330" s="595"/>
      <c r="P330" s="595"/>
      <c r="Q330" s="595"/>
    </row>
    <row r="331" spans="1:17">
      <c r="A331" s="1036" t="s">
        <v>1508</v>
      </c>
      <c r="B331" s="979" t="s">
        <v>420</v>
      </c>
      <c r="C331" s="979" t="s">
        <v>399</v>
      </c>
      <c r="D331" s="979" t="s">
        <v>1124</v>
      </c>
      <c r="E331" s="980">
        <v>11151</v>
      </c>
      <c r="F331" s="595"/>
      <c r="G331" s="1009">
        <f t="shared" si="48"/>
        <v>9</v>
      </c>
      <c r="H331" s="1012">
        <f t="shared" si="49"/>
        <v>100359</v>
      </c>
      <c r="I331" s="1011">
        <f t="shared" si="50"/>
        <v>0.54408469756580358</v>
      </c>
      <c r="J331" s="1009">
        <f t="shared" si="51"/>
        <v>11151</v>
      </c>
      <c r="K331" s="1009">
        <f t="shared" si="52"/>
        <v>1.277777777881258</v>
      </c>
      <c r="L331" s="595"/>
      <c r="M331" s="595"/>
      <c r="N331" s="595"/>
      <c r="O331" s="595"/>
      <c r="P331" s="595"/>
      <c r="Q331" s="595"/>
    </row>
    <row r="332" spans="1:17">
      <c r="A332" s="1036" t="s">
        <v>1508</v>
      </c>
      <c r="B332" s="979" t="s">
        <v>420</v>
      </c>
      <c r="C332" s="979" t="s">
        <v>349</v>
      </c>
      <c r="D332" s="979" t="s">
        <v>1125</v>
      </c>
      <c r="E332" s="980">
        <v>6634</v>
      </c>
      <c r="F332" s="595"/>
      <c r="G332" s="1009">
        <f t="shared" si="48"/>
        <v>13.639999999999999</v>
      </c>
      <c r="H332" s="1012">
        <f t="shared" si="49"/>
        <v>90487.76</v>
      </c>
      <c r="I332" s="1011">
        <f t="shared" si="50"/>
        <v>0.49056891293264199</v>
      </c>
      <c r="J332" s="1009">
        <f t="shared" si="51"/>
        <v>6634</v>
      </c>
      <c r="K332" s="1009">
        <f t="shared" si="52"/>
        <v>0.84310850446710583</v>
      </c>
      <c r="L332" s="595"/>
      <c r="M332" s="595"/>
      <c r="N332" s="595"/>
      <c r="O332" s="595"/>
      <c r="P332" s="595"/>
      <c r="Q332" s="595"/>
    </row>
    <row r="333" spans="1:17">
      <c r="A333" s="1036" t="s">
        <v>1508</v>
      </c>
      <c r="B333" s="979" t="s">
        <v>420</v>
      </c>
      <c r="C333" s="979" t="s">
        <v>381</v>
      </c>
      <c r="D333" s="979" t="s">
        <v>1126</v>
      </c>
      <c r="E333" s="980">
        <v>8349</v>
      </c>
      <c r="F333" s="595"/>
      <c r="G333" s="1009">
        <f t="shared" si="48"/>
        <v>19.46</v>
      </c>
      <c r="H333" s="1012">
        <f t="shared" si="49"/>
        <v>162471.54</v>
      </c>
      <c r="I333" s="1011">
        <f t="shared" si="50"/>
        <v>0.88082064093853429</v>
      </c>
      <c r="J333" s="1009">
        <f t="shared" si="51"/>
        <v>8349</v>
      </c>
      <c r="K333" s="1009">
        <f t="shared" si="52"/>
        <v>0.59095580683100324</v>
      </c>
      <c r="L333" s="595"/>
      <c r="M333" s="595"/>
      <c r="N333" s="595"/>
      <c r="O333" s="595"/>
      <c r="P333" s="595"/>
      <c r="Q333" s="595"/>
    </row>
    <row r="334" spans="1:17">
      <c r="A334" s="1036" t="s">
        <v>1508</v>
      </c>
      <c r="B334" s="979" t="s">
        <v>420</v>
      </c>
      <c r="C334" s="979" t="s">
        <v>321</v>
      </c>
      <c r="D334" s="979" t="s">
        <v>1127</v>
      </c>
      <c r="E334" s="980">
        <v>58</v>
      </c>
      <c r="F334" s="595"/>
      <c r="G334" s="1009">
        <f t="shared" si="48"/>
        <v>15.47</v>
      </c>
      <c r="H334" s="1012">
        <f t="shared" si="49"/>
        <v>897.26</v>
      </c>
      <c r="I334" s="1011">
        <f t="shared" si="50"/>
        <v>4.864391192996074E-3</v>
      </c>
      <c r="J334" s="1009">
        <f t="shared" si="51"/>
        <v>58</v>
      </c>
      <c r="K334" s="1009">
        <f t="shared" si="52"/>
        <v>0.74337427284623936</v>
      </c>
      <c r="L334" s="595"/>
      <c r="M334" s="595"/>
      <c r="N334" s="595"/>
      <c r="O334" s="595"/>
      <c r="P334" s="595"/>
      <c r="Q334" s="595"/>
    </row>
    <row r="335" spans="1:17">
      <c r="A335" s="1036" t="s">
        <v>1508</v>
      </c>
      <c r="B335" s="979" t="s">
        <v>420</v>
      </c>
      <c r="C335" s="979" t="s">
        <v>353</v>
      </c>
      <c r="D335" s="979" t="s">
        <v>1128</v>
      </c>
      <c r="E335" s="980">
        <v>301</v>
      </c>
      <c r="F335" s="595"/>
      <c r="G335" s="1009">
        <f t="shared" si="48"/>
        <v>21.930000000000003</v>
      </c>
      <c r="H335" s="1012">
        <f t="shared" si="49"/>
        <v>6600.9300000000012</v>
      </c>
      <c r="I335" s="1011">
        <f t="shared" si="50"/>
        <v>3.5786177649269529E-2</v>
      </c>
      <c r="J335" s="1009">
        <f t="shared" si="51"/>
        <v>301</v>
      </c>
      <c r="K335" s="1009">
        <f t="shared" si="52"/>
        <v>0.52439580487602921</v>
      </c>
      <c r="L335" s="595"/>
      <c r="M335" s="595"/>
      <c r="N335" s="595"/>
      <c r="O335" s="595"/>
      <c r="P335" s="595"/>
      <c r="Q335" s="595"/>
    </row>
    <row r="336" spans="1:17">
      <c r="A336" s="1036" t="s">
        <v>1508</v>
      </c>
      <c r="B336" s="979" t="s">
        <v>420</v>
      </c>
      <c r="C336" s="979" t="s">
        <v>678</v>
      </c>
      <c r="D336" s="979" t="s">
        <v>1129</v>
      </c>
      <c r="E336" s="980">
        <v>2</v>
      </c>
      <c r="F336" s="595"/>
      <c r="G336" s="1009">
        <f t="shared" si="48"/>
        <v>15.370000000000001</v>
      </c>
      <c r="H336" s="1012">
        <f t="shared" si="49"/>
        <v>30.740000000000002</v>
      </c>
      <c r="I336" s="1011">
        <f t="shared" si="50"/>
        <v>1.6665335050342075E-4</v>
      </c>
      <c r="J336" s="1009">
        <f t="shared" si="51"/>
        <v>2</v>
      </c>
      <c r="K336" s="1009">
        <f t="shared" si="52"/>
        <v>0.74821080032084075</v>
      </c>
      <c r="L336" s="595"/>
      <c r="M336" s="595"/>
      <c r="N336" s="595"/>
      <c r="O336" s="595"/>
      <c r="P336" s="595"/>
      <c r="Q336" s="595"/>
    </row>
    <row r="337" spans="1:17">
      <c r="A337" s="1036" t="s">
        <v>1508</v>
      </c>
      <c r="B337" s="979" t="s">
        <v>420</v>
      </c>
      <c r="C337" s="979" t="s">
        <v>316</v>
      </c>
      <c r="D337" s="979" t="s">
        <v>1130</v>
      </c>
      <c r="E337" s="980">
        <v>43</v>
      </c>
      <c r="F337" s="595"/>
      <c r="G337" s="1009">
        <f t="shared" si="48"/>
        <v>45.7</v>
      </c>
      <c r="H337" s="1012">
        <f t="shared" si="49"/>
        <v>1965.1000000000001</v>
      </c>
      <c r="I337" s="1011">
        <f t="shared" si="50"/>
        <v>1.0653562103912561E-2</v>
      </c>
      <c r="J337" s="1009">
        <f t="shared" si="51"/>
        <v>43</v>
      </c>
      <c r="K337" s="1009">
        <f t="shared" si="52"/>
        <v>0.25164113787595888</v>
      </c>
      <c r="L337" s="595"/>
      <c r="M337" s="595"/>
      <c r="N337" s="595"/>
      <c r="O337" s="595"/>
      <c r="P337" s="595"/>
      <c r="Q337" s="595"/>
    </row>
    <row r="338" spans="1:17">
      <c r="A338" s="1036" t="s">
        <v>1508</v>
      </c>
      <c r="B338" s="979" t="s">
        <v>420</v>
      </c>
      <c r="C338" s="979" t="s">
        <v>318</v>
      </c>
      <c r="D338" s="979" t="s">
        <v>1131</v>
      </c>
      <c r="E338" s="980">
        <v>168</v>
      </c>
      <c r="F338" s="595"/>
      <c r="G338" s="1009">
        <f t="shared" si="48"/>
        <v>28.37</v>
      </c>
      <c r="H338" s="1012">
        <f t="shared" si="49"/>
        <v>4766.16</v>
      </c>
      <c r="I338" s="1011">
        <f t="shared" si="50"/>
        <v>2.5839184548971498E-2</v>
      </c>
      <c r="J338" s="1009">
        <f t="shared" si="51"/>
        <v>168</v>
      </c>
      <c r="K338" s="1009">
        <f t="shared" si="52"/>
        <v>0.40535777232750519</v>
      </c>
      <c r="L338" s="595"/>
      <c r="M338" s="595"/>
      <c r="N338" s="595"/>
      <c r="O338" s="595"/>
      <c r="P338" s="595"/>
      <c r="Q338" s="595"/>
    </row>
    <row r="339" spans="1:17">
      <c r="A339" s="1036" t="s">
        <v>1508</v>
      </c>
      <c r="B339" s="979" t="s">
        <v>420</v>
      </c>
      <c r="C339" s="979" t="s">
        <v>350</v>
      </c>
      <c r="D339" s="979" t="s">
        <v>1132</v>
      </c>
      <c r="E339" s="980">
        <v>620</v>
      </c>
      <c r="F339" s="595"/>
      <c r="G339" s="1009">
        <f t="shared" si="48"/>
        <v>34.830000000000005</v>
      </c>
      <c r="H339" s="1012">
        <f t="shared" si="49"/>
        <v>21594.600000000002</v>
      </c>
      <c r="I339" s="1011">
        <f t="shared" si="50"/>
        <v>0.11707262338260151</v>
      </c>
      <c r="J339" s="1009">
        <f t="shared" si="51"/>
        <v>620</v>
      </c>
      <c r="K339" s="1009">
        <f t="shared" si="52"/>
        <v>0.33017513640342583</v>
      </c>
      <c r="L339" s="595"/>
      <c r="M339" s="595"/>
      <c r="N339" s="595"/>
      <c r="O339" s="595"/>
      <c r="P339" s="595"/>
      <c r="Q339" s="595"/>
    </row>
    <row r="340" spans="1:17">
      <c r="A340" s="1036" t="s">
        <v>1508</v>
      </c>
      <c r="B340" s="979" t="s">
        <v>420</v>
      </c>
      <c r="C340" s="979" t="s">
        <v>313</v>
      </c>
      <c r="D340" s="979" t="s">
        <v>1133</v>
      </c>
      <c r="E340" s="980">
        <v>157</v>
      </c>
      <c r="F340" s="595"/>
      <c r="G340" s="1009">
        <f t="shared" si="48"/>
        <v>58.59</v>
      </c>
      <c r="H340" s="1012">
        <f t="shared" si="49"/>
        <v>9198.630000000001</v>
      </c>
      <c r="I340" s="1011">
        <f t="shared" si="50"/>
        <v>4.9869307402123655E-2</v>
      </c>
      <c r="J340" s="1009">
        <f t="shared" si="51"/>
        <v>157</v>
      </c>
      <c r="K340" s="1009">
        <f t="shared" si="52"/>
        <v>0.19627922855318863</v>
      </c>
      <c r="L340" s="595"/>
      <c r="M340" s="595"/>
      <c r="N340" s="595"/>
      <c r="O340" s="595"/>
      <c r="P340" s="595"/>
      <c r="Q340" s="595"/>
    </row>
    <row r="341" spans="1:17">
      <c r="A341" s="1036" t="s">
        <v>1508</v>
      </c>
      <c r="B341" s="979" t="s">
        <v>420</v>
      </c>
      <c r="C341" s="979" t="s">
        <v>650</v>
      </c>
      <c r="D341" s="979" t="s">
        <v>1151</v>
      </c>
      <c r="E341" s="980">
        <v>10</v>
      </c>
      <c r="F341" s="595"/>
      <c r="G341" s="1035">
        <f t="shared" si="48"/>
        <v>15.35</v>
      </c>
      <c r="H341" s="1012">
        <f t="shared" si="49"/>
        <v>153.5</v>
      </c>
      <c r="I341" s="1011">
        <f t="shared" si="50"/>
        <v>8.3218247567583227E-4</v>
      </c>
      <c r="J341" s="1034">
        <f t="shared" si="51"/>
        <v>10</v>
      </c>
      <c r="K341" s="1009">
        <f t="shared" si="52"/>
        <v>0.74918566781311546</v>
      </c>
      <c r="L341" s="595"/>
      <c r="M341" s="595"/>
      <c r="N341" s="595"/>
      <c r="O341" s="595"/>
      <c r="P341" s="595"/>
      <c r="Q341" s="595"/>
    </row>
    <row r="342" spans="1:17">
      <c r="A342" s="1036" t="s">
        <v>1508</v>
      </c>
      <c r="B342" s="979" t="s">
        <v>420</v>
      </c>
      <c r="C342" s="979" t="s">
        <v>447</v>
      </c>
      <c r="D342" s="979" t="s">
        <v>1134</v>
      </c>
      <c r="E342" s="980">
        <v>12</v>
      </c>
      <c r="F342" s="595"/>
      <c r="G342" s="1035">
        <f t="shared" si="48"/>
        <v>17.72</v>
      </c>
      <c r="H342" s="1012">
        <f t="shared" si="49"/>
        <v>212.64</v>
      </c>
      <c r="I342" s="1011">
        <f t="shared" si="50"/>
        <v>1.152803137639798E-3</v>
      </c>
      <c r="J342" s="1034">
        <f t="shared" si="51"/>
        <v>12</v>
      </c>
      <c r="K342" s="1009">
        <f t="shared" si="52"/>
        <v>0.64898419869815593</v>
      </c>
      <c r="L342" s="595"/>
      <c r="M342" s="595"/>
      <c r="N342" s="595"/>
      <c r="O342" s="595"/>
      <c r="P342" s="595"/>
      <c r="Q342" s="595"/>
    </row>
    <row r="343" spans="1:17">
      <c r="A343" s="1036" t="s">
        <v>1508</v>
      </c>
      <c r="B343" s="979" t="s">
        <v>420</v>
      </c>
      <c r="C343" s="979" t="s">
        <v>624</v>
      </c>
      <c r="D343" s="979" t="s">
        <v>1135</v>
      </c>
      <c r="E343" s="980">
        <v>24</v>
      </c>
      <c r="F343" s="595"/>
      <c r="G343" s="1035">
        <f t="shared" si="48"/>
        <v>21.490000000000002</v>
      </c>
      <c r="H343" s="1012">
        <f t="shared" si="49"/>
        <v>515.76</v>
      </c>
      <c r="I343" s="1011">
        <f t="shared" si="50"/>
        <v>2.7961331182707965E-3</v>
      </c>
      <c r="J343" s="1034">
        <f t="shared" ref="J343" si="53">ROUND((H343+I343)/G343,0)</f>
        <v>24</v>
      </c>
      <c r="K343" s="1009">
        <f t="shared" ref="K343" si="54">$L$266/G343</f>
        <v>0.53513261986651095</v>
      </c>
      <c r="L343" s="595"/>
      <c r="M343" s="595"/>
      <c r="N343" s="595"/>
      <c r="O343" s="595"/>
      <c r="P343" s="595"/>
    </row>
    <row r="344" spans="1:17">
      <c r="A344" s="1036" t="s">
        <v>1508</v>
      </c>
      <c r="B344" s="979" t="s">
        <v>420</v>
      </c>
      <c r="C344" s="1021" t="s">
        <v>8</v>
      </c>
      <c r="D344" s="1021"/>
      <c r="E344" s="980">
        <f>SUM(E263:E343)</f>
        <v>170903</v>
      </c>
      <c r="F344" s="595"/>
      <c r="G344" s="1031"/>
      <c r="H344" s="1033">
        <f>SUM(H263:H343)</f>
        <v>2121229.4799999995</v>
      </c>
      <c r="I344" s="1031"/>
      <c r="J344" s="1032">
        <f>SUM(J263:J343)</f>
        <v>170903</v>
      </c>
      <c r="K344" s="1031"/>
    </row>
    <row r="345" spans="1:17" ht="12">
      <c r="A345" s="1024"/>
      <c r="B345" s="1024"/>
      <c r="C345" s="1016"/>
      <c r="D345" s="981"/>
      <c r="E345" s="979"/>
      <c r="F345" s="595"/>
    </row>
    <row r="346" spans="1:17">
      <c r="A346" s="979"/>
      <c r="B346" s="979"/>
      <c r="C346" s="979"/>
      <c r="D346" s="1018"/>
      <c r="E346" s="981"/>
      <c r="F346" s="595"/>
    </row>
    <row r="347" spans="1:17">
      <c r="A347" s="1019" t="s">
        <v>1509</v>
      </c>
      <c r="B347" s="979" t="s">
        <v>420</v>
      </c>
      <c r="C347" s="979" t="s">
        <v>433</v>
      </c>
      <c r="D347" s="979" t="s">
        <v>432</v>
      </c>
      <c r="E347" s="980"/>
      <c r="F347" s="595"/>
      <c r="G347" s="1009"/>
      <c r="H347" s="1009"/>
      <c r="I347" s="1009"/>
      <c r="J347" s="1009"/>
      <c r="K347" s="1009"/>
      <c r="L347" s="1020">
        <f>'12MonLights'!$O$441</f>
        <v>2129635</v>
      </c>
      <c r="M347" s="595" t="s">
        <v>1529</v>
      </c>
      <c r="N347" s="595"/>
      <c r="O347" s="595"/>
      <c r="P347" s="595"/>
      <c r="Q347" s="1010" t="s">
        <v>1538</v>
      </c>
    </row>
    <row r="348" spans="1:17">
      <c r="A348" s="1019" t="s">
        <v>1509</v>
      </c>
      <c r="B348" s="979" t="s">
        <v>420</v>
      </c>
      <c r="C348" s="979" t="s">
        <v>431</v>
      </c>
      <c r="D348" s="979" t="s">
        <v>430</v>
      </c>
      <c r="E348" s="980"/>
      <c r="F348" s="595"/>
      <c r="G348" s="1009"/>
      <c r="H348" s="1009"/>
      <c r="I348" s="1009"/>
      <c r="J348" s="1009"/>
      <c r="K348" s="1009"/>
      <c r="L348" s="1011">
        <f>'12MonResults'!$AE$179</f>
        <v>825.06</v>
      </c>
      <c r="M348" s="595" t="s">
        <v>1531</v>
      </c>
      <c r="N348" s="595"/>
      <c r="O348" s="595"/>
      <c r="P348" s="595"/>
      <c r="Q348" s="595"/>
    </row>
    <row r="349" spans="1:17" ht="13.5">
      <c r="A349" s="1019" t="s">
        <v>1509</v>
      </c>
      <c r="B349" s="979" t="s">
        <v>420</v>
      </c>
      <c r="C349" s="979" t="s">
        <v>323</v>
      </c>
      <c r="D349" s="979" t="s">
        <v>1056</v>
      </c>
      <c r="E349" s="980">
        <v>179</v>
      </c>
      <c r="F349" s="595"/>
      <c r="G349" s="1009">
        <f t="shared" ref="G349:G380" si="55">SUMIF(_Lights_Tariff_Category,20140101&amp;$C349,_Lights_Rates)</f>
        <v>55.33</v>
      </c>
      <c r="H349" s="1012">
        <f t="shared" ref="H349:H380" si="56">E349*G349</f>
        <v>9904.07</v>
      </c>
      <c r="I349" s="1011">
        <f>H349/$L$351*$L$352</f>
        <v>-3.5819236999132448E-2</v>
      </c>
      <c r="J349" s="1009">
        <f>ROUND((H349+I349)/G349,0)</f>
        <v>179</v>
      </c>
      <c r="K349" s="1009">
        <f>$L$352/G349</f>
        <v>-0.13844207482647772</v>
      </c>
      <c r="L349" s="1013">
        <f>'12MonResults'!$AE$181</f>
        <v>10816.7</v>
      </c>
      <c r="M349" s="1014" t="s">
        <v>1532</v>
      </c>
      <c r="N349" s="595"/>
      <c r="O349" s="595"/>
      <c r="P349" s="595"/>
      <c r="Q349" s="595"/>
    </row>
    <row r="350" spans="1:17">
      <c r="A350" s="1019" t="s">
        <v>1509</v>
      </c>
      <c r="B350" s="979" t="s">
        <v>420</v>
      </c>
      <c r="C350" s="979" t="s">
        <v>328</v>
      </c>
      <c r="D350" s="979" t="s">
        <v>1057</v>
      </c>
      <c r="E350" s="980">
        <v>25</v>
      </c>
      <c r="F350" s="595"/>
      <c r="G350" s="1009">
        <f t="shared" si="55"/>
        <v>83.16</v>
      </c>
      <c r="H350" s="1012">
        <f t="shared" si="56"/>
        <v>2079</v>
      </c>
      <c r="I350" s="1011">
        <f t="shared" ref="I350:I413" si="57">H350/$L$351*$L$352</f>
        <v>-7.5189486464853706E-3</v>
      </c>
      <c r="J350" s="1009">
        <f t="shared" ref="J350:J413" si="58">ROUND((H350+I350)/G350,0)</f>
        <v>25</v>
      </c>
      <c r="K350" s="1009">
        <f t="shared" ref="K350:K413" si="59">$L$352/G350</f>
        <v>-9.2111592113383975E-2</v>
      </c>
      <c r="L350" s="1011">
        <f>L347-L348-L349</f>
        <v>2117993.2399999998</v>
      </c>
      <c r="M350" s="595" t="s">
        <v>1533</v>
      </c>
      <c r="N350" s="595"/>
      <c r="O350" s="595"/>
      <c r="P350" s="595"/>
      <c r="Q350" s="595"/>
    </row>
    <row r="351" spans="1:17">
      <c r="A351" s="1019" t="s">
        <v>1509</v>
      </c>
      <c r="B351" s="979" t="s">
        <v>420</v>
      </c>
      <c r="C351" s="979" t="s">
        <v>331</v>
      </c>
      <c r="D351" s="979" t="s">
        <v>1058</v>
      </c>
      <c r="E351" s="980">
        <v>43</v>
      </c>
      <c r="F351" s="595"/>
      <c r="G351" s="1009">
        <f t="shared" si="55"/>
        <v>59.78</v>
      </c>
      <c r="H351" s="1012">
        <f t="shared" si="56"/>
        <v>2570.54</v>
      </c>
      <c r="I351" s="1011">
        <f t="shared" si="57"/>
        <v>-9.2966610167082749E-3</v>
      </c>
      <c r="J351" s="1009">
        <f t="shared" si="58"/>
        <v>43</v>
      </c>
      <c r="K351" s="1009">
        <f t="shared" si="59"/>
        <v>-0.12813650050433276</v>
      </c>
      <c r="L351" s="1012">
        <f>$H$430</f>
        <v>2118000.9</v>
      </c>
      <c r="M351" s="595" t="s">
        <v>1534</v>
      </c>
      <c r="N351" s="595"/>
      <c r="O351" s="595"/>
      <c r="P351" s="595"/>
      <c r="Q351" s="595"/>
    </row>
    <row r="352" spans="1:17">
      <c r="A352" s="1019" t="s">
        <v>1509</v>
      </c>
      <c r="B352" s="979" t="s">
        <v>420</v>
      </c>
      <c r="C352" s="979" t="s">
        <v>332</v>
      </c>
      <c r="D352" s="979" t="s">
        <v>1059</v>
      </c>
      <c r="E352" s="980">
        <v>5</v>
      </c>
      <c r="F352" s="595"/>
      <c r="G352" s="1009">
        <f t="shared" si="55"/>
        <v>61.75</v>
      </c>
      <c r="H352" s="1012">
        <f t="shared" si="56"/>
        <v>308.75</v>
      </c>
      <c r="I352" s="1011">
        <f t="shared" si="57"/>
        <v>-1.1166307814345156E-3</v>
      </c>
      <c r="J352" s="1009">
        <f t="shared" si="58"/>
        <v>5</v>
      </c>
      <c r="K352" s="1009">
        <f t="shared" si="59"/>
        <v>-0.12404858299836456</v>
      </c>
      <c r="L352" s="1011">
        <f>L350-L351</f>
        <v>-7.6600000001490116</v>
      </c>
      <c r="M352" s="595"/>
      <c r="N352" s="595"/>
      <c r="O352" s="595"/>
      <c r="P352" s="595"/>
      <c r="Q352" s="595"/>
    </row>
    <row r="353" spans="1:17">
      <c r="A353" s="1019" t="s">
        <v>1509</v>
      </c>
      <c r="B353" s="979" t="s">
        <v>420</v>
      </c>
      <c r="C353" s="979" t="s">
        <v>333</v>
      </c>
      <c r="D353" s="979" t="s">
        <v>1060</v>
      </c>
      <c r="E353" s="980">
        <v>1</v>
      </c>
      <c r="F353" s="595"/>
      <c r="G353" s="1009">
        <f t="shared" si="55"/>
        <v>63.11</v>
      </c>
      <c r="H353" s="1012">
        <f t="shared" si="56"/>
        <v>63.11</v>
      </c>
      <c r="I353" s="1011">
        <f t="shared" si="57"/>
        <v>-2.2824475665208835E-4</v>
      </c>
      <c r="J353" s="1009">
        <f t="shared" si="58"/>
        <v>1</v>
      </c>
      <c r="K353" s="1009">
        <f t="shared" si="59"/>
        <v>-0.12137537632940916</v>
      </c>
      <c r="L353" s="595"/>
      <c r="M353" s="595"/>
      <c r="N353" s="595"/>
      <c r="O353" s="595"/>
      <c r="P353" s="595"/>
      <c r="Q353" s="595"/>
    </row>
    <row r="354" spans="1:17">
      <c r="A354" s="1019" t="s">
        <v>1509</v>
      </c>
      <c r="B354" s="979" t="s">
        <v>420</v>
      </c>
      <c r="C354" s="979" t="s">
        <v>335</v>
      </c>
      <c r="D354" s="979" t="s">
        <v>1061</v>
      </c>
      <c r="E354" s="980">
        <v>5</v>
      </c>
      <c r="F354" s="595"/>
      <c r="G354" s="1009">
        <f t="shared" si="55"/>
        <v>80.94</v>
      </c>
      <c r="H354" s="1012">
        <f t="shared" si="56"/>
        <v>404.7</v>
      </c>
      <c r="I354" s="1011">
        <f t="shared" si="57"/>
        <v>-1.463645270434165E-3</v>
      </c>
      <c r="J354" s="1009">
        <f t="shared" si="58"/>
        <v>5</v>
      </c>
      <c r="K354" s="1009">
        <f t="shared" si="59"/>
        <v>-9.4638003461193623E-2</v>
      </c>
      <c r="L354" s="595"/>
      <c r="M354" s="595"/>
      <c r="N354" s="595"/>
      <c r="O354" s="595"/>
      <c r="P354" s="595"/>
      <c r="Q354" s="595"/>
    </row>
    <row r="355" spans="1:17">
      <c r="A355" s="1019" t="s">
        <v>1509</v>
      </c>
      <c r="B355" s="979" t="s">
        <v>420</v>
      </c>
      <c r="C355" s="979" t="s">
        <v>336</v>
      </c>
      <c r="D355" s="979" t="s">
        <v>1062</v>
      </c>
      <c r="E355" s="980">
        <v>9</v>
      </c>
      <c r="F355" s="595"/>
      <c r="G355" s="1009">
        <f t="shared" si="55"/>
        <v>78.97</v>
      </c>
      <c r="H355" s="1012">
        <f t="shared" si="56"/>
        <v>710.73</v>
      </c>
      <c r="I355" s="1011">
        <f t="shared" si="57"/>
        <v>-2.5704388511383104E-3</v>
      </c>
      <c r="J355" s="1009">
        <f t="shared" si="58"/>
        <v>9</v>
      </c>
      <c r="K355" s="1009">
        <f t="shared" si="59"/>
        <v>-9.6998860328593284E-2</v>
      </c>
      <c r="L355" s="595"/>
      <c r="M355" s="595"/>
      <c r="N355" s="595"/>
      <c r="O355" s="595"/>
      <c r="P355" s="595"/>
      <c r="Q355" s="595"/>
    </row>
    <row r="356" spans="1:17">
      <c r="A356" s="1019" t="s">
        <v>1509</v>
      </c>
      <c r="B356" s="979" t="s">
        <v>420</v>
      </c>
      <c r="C356" s="979" t="s">
        <v>338</v>
      </c>
      <c r="D356" s="979" t="s">
        <v>1063</v>
      </c>
      <c r="E356" s="980">
        <v>25</v>
      </c>
      <c r="F356" s="595"/>
      <c r="G356" s="1009">
        <f t="shared" si="55"/>
        <v>61.230000000000004</v>
      </c>
      <c r="H356" s="1012">
        <f t="shared" si="56"/>
        <v>1530.75</v>
      </c>
      <c r="I356" s="1011">
        <f t="shared" si="57"/>
        <v>-5.5361378742700721E-3</v>
      </c>
      <c r="J356" s="1009">
        <f t="shared" si="58"/>
        <v>25</v>
      </c>
      <c r="K356" s="1009">
        <f t="shared" si="59"/>
        <v>-0.12510207414909377</v>
      </c>
      <c r="L356" s="595"/>
      <c r="M356" s="595"/>
      <c r="N356" s="595"/>
      <c r="O356" s="595"/>
      <c r="P356" s="595"/>
      <c r="Q356" s="595"/>
    </row>
    <row r="357" spans="1:17">
      <c r="A357" s="1019" t="s">
        <v>1509</v>
      </c>
      <c r="B357" s="979" t="s">
        <v>420</v>
      </c>
      <c r="C357" s="979" t="s">
        <v>339</v>
      </c>
      <c r="D357" s="979" t="s">
        <v>1064</v>
      </c>
      <c r="E357" s="980">
        <v>1</v>
      </c>
      <c r="F357" s="595"/>
      <c r="G357" s="1009">
        <f t="shared" si="55"/>
        <v>56.69</v>
      </c>
      <c r="H357" s="1012">
        <f t="shared" si="56"/>
        <v>56.69</v>
      </c>
      <c r="I357" s="1011">
        <f t="shared" si="57"/>
        <v>-2.0502606963408157E-4</v>
      </c>
      <c r="J357" s="1009">
        <f t="shared" si="58"/>
        <v>1</v>
      </c>
      <c r="K357" s="1009">
        <f t="shared" si="59"/>
        <v>-0.13512083260097041</v>
      </c>
      <c r="L357" s="595"/>
      <c r="M357" s="595"/>
      <c r="N357" s="595"/>
      <c r="O357" s="595"/>
      <c r="P357" s="595"/>
      <c r="Q357" s="595"/>
    </row>
    <row r="358" spans="1:17">
      <c r="A358" s="1019" t="s">
        <v>1509</v>
      </c>
      <c r="B358" s="979" t="s">
        <v>420</v>
      </c>
      <c r="C358" s="979" t="s">
        <v>325</v>
      </c>
      <c r="D358" s="979" t="s">
        <v>1065</v>
      </c>
      <c r="E358" s="980">
        <v>15</v>
      </c>
      <c r="F358" s="595"/>
      <c r="G358" s="1009">
        <f t="shared" si="55"/>
        <v>74.52</v>
      </c>
      <c r="H358" s="1012">
        <f t="shared" si="56"/>
        <v>1117.8</v>
      </c>
      <c r="I358" s="1011">
        <f t="shared" si="57"/>
        <v>-4.0426555060323931E-3</v>
      </c>
      <c r="J358" s="1009">
        <f t="shared" si="58"/>
        <v>15</v>
      </c>
      <c r="K358" s="1009">
        <f t="shared" si="59"/>
        <v>-0.10279119699609517</v>
      </c>
      <c r="L358" s="595"/>
      <c r="M358" s="595"/>
      <c r="N358" s="595"/>
      <c r="O358" s="595"/>
      <c r="P358" s="595"/>
      <c r="Q358" s="595"/>
    </row>
    <row r="359" spans="1:17">
      <c r="A359" s="1019" t="s">
        <v>1509</v>
      </c>
      <c r="B359" s="979" t="s">
        <v>420</v>
      </c>
      <c r="C359" s="979" t="s">
        <v>334</v>
      </c>
      <c r="D359" s="979" t="s">
        <v>1066</v>
      </c>
      <c r="E359" s="980">
        <v>1</v>
      </c>
      <c r="F359" s="595"/>
      <c r="G359" s="1009">
        <f t="shared" si="55"/>
        <v>82.3</v>
      </c>
      <c r="H359" s="1012">
        <f t="shared" si="56"/>
        <v>82.3</v>
      </c>
      <c r="I359" s="1011">
        <f t="shared" si="57"/>
        <v>-2.9764765445201825E-4</v>
      </c>
      <c r="J359" s="1009">
        <f t="shared" si="58"/>
        <v>1</v>
      </c>
      <c r="K359" s="1009">
        <f t="shared" si="59"/>
        <v>-9.3074119078359802E-2</v>
      </c>
      <c r="L359" s="595"/>
      <c r="M359" s="595"/>
      <c r="N359" s="595"/>
      <c r="O359" s="595"/>
      <c r="P359" s="595"/>
      <c r="Q359" s="595"/>
    </row>
    <row r="360" spans="1:17">
      <c r="A360" s="1019" t="s">
        <v>1509</v>
      </c>
      <c r="B360" s="979" t="s">
        <v>420</v>
      </c>
      <c r="C360" s="979" t="s">
        <v>326</v>
      </c>
      <c r="D360" s="979" t="s">
        <v>1067</v>
      </c>
      <c r="E360" s="980">
        <v>20</v>
      </c>
      <c r="F360" s="595"/>
      <c r="G360" s="1009">
        <f t="shared" si="55"/>
        <v>74.52</v>
      </c>
      <c r="H360" s="1012">
        <f t="shared" si="56"/>
        <v>1490.3999999999999</v>
      </c>
      <c r="I360" s="1011">
        <f t="shared" si="57"/>
        <v>-5.3902073413765244E-3</v>
      </c>
      <c r="J360" s="1009">
        <f t="shared" si="58"/>
        <v>20</v>
      </c>
      <c r="K360" s="1009">
        <f t="shared" si="59"/>
        <v>-0.10279119699609517</v>
      </c>
      <c r="L360" s="595"/>
      <c r="M360" s="595"/>
      <c r="N360" s="595"/>
      <c r="O360" s="595"/>
      <c r="P360" s="595"/>
      <c r="Q360" s="595"/>
    </row>
    <row r="361" spans="1:17">
      <c r="A361" s="1019" t="s">
        <v>1509</v>
      </c>
      <c r="B361" s="979" t="s">
        <v>420</v>
      </c>
      <c r="C361" s="979" t="s">
        <v>330</v>
      </c>
      <c r="D361" s="979" t="s">
        <v>1068</v>
      </c>
      <c r="E361" s="980">
        <v>4</v>
      </c>
      <c r="F361" s="595"/>
      <c r="G361" s="1009">
        <f t="shared" si="55"/>
        <v>75.88</v>
      </c>
      <c r="H361" s="1012">
        <f t="shared" si="56"/>
        <v>303.52</v>
      </c>
      <c r="I361" s="1011">
        <f t="shared" si="57"/>
        <v>-1.0977158697360457E-3</v>
      </c>
      <c r="J361" s="1009">
        <f t="shared" si="58"/>
        <v>4</v>
      </c>
      <c r="K361" s="1009">
        <f t="shared" si="59"/>
        <v>-0.10094886663348725</v>
      </c>
      <c r="L361" s="595"/>
      <c r="M361" s="595"/>
      <c r="N361" s="595"/>
      <c r="O361" s="595"/>
      <c r="P361" s="595"/>
      <c r="Q361" s="595"/>
    </row>
    <row r="362" spans="1:17">
      <c r="A362" s="1019" t="s">
        <v>1509</v>
      </c>
      <c r="B362" s="979" t="s">
        <v>420</v>
      </c>
      <c r="C362" s="979" t="s">
        <v>337</v>
      </c>
      <c r="D362" s="979" t="s">
        <v>1069</v>
      </c>
      <c r="E362" s="980">
        <v>3</v>
      </c>
      <c r="F362" s="595"/>
      <c r="G362" s="1009">
        <f t="shared" si="55"/>
        <v>78.97</v>
      </c>
      <c r="H362" s="1012">
        <f t="shared" si="56"/>
        <v>236.91</v>
      </c>
      <c r="I362" s="1011">
        <f t="shared" si="57"/>
        <v>-8.5681295037943681E-4</v>
      </c>
      <c r="J362" s="1009">
        <f t="shared" si="58"/>
        <v>3</v>
      </c>
      <c r="K362" s="1009">
        <f t="shared" si="59"/>
        <v>-9.6998860328593284E-2</v>
      </c>
      <c r="L362" s="595"/>
      <c r="M362" s="595"/>
      <c r="N362" s="595"/>
      <c r="O362" s="595"/>
      <c r="P362" s="595"/>
      <c r="Q362" s="595"/>
    </row>
    <row r="363" spans="1:17">
      <c r="A363" s="1019" t="s">
        <v>1509</v>
      </c>
      <c r="B363" s="979" t="s">
        <v>420</v>
      </c>
      <c r="C363" s="979" t="s">
        <v>329</v>
      </c>
      <c r="D363" s="979" t="s">
        <v>1070</v>
      </c>
      <c r="E363" s="980">
        <v>2</v>
      </c>
      <c r="F363" s="595"/>
      <c r="G363" s="1009">
        <f t="shared" si="55"/>
        <v>77.259999999999991</v>
      </c>
      <c r="H363" s="1012">
        <f t="shared" si="56"/>
        <v>154.51999999999998</v>
      </c>
      <c r="I363" s="1011">
        <f t="shared" si="57"/>
        <v>-5.5883980031501651E-4</v>
      </c>
      <c r="J363" s="1009">
        <f t="shared" si="58"/>
        <v>2</v>
      </c>
      <c r="K363" s="1009">
        <f t="shared" si="59"/>
        <v>-9.9145741653494851E-2</v>
      </c>
      <c r="L363" s="595"/>
      <c r="M363" s="595"/>
      <c r="N363" s="595"/>
      <c r="O363" s="595"/>
      <c r="P363" s="595"/>
      <c r="Q363" s="595"/>
    </row>
    <row r="364" spans="1:17">
      <c r="A364" s="1019" t="s">
        <v>1509</v>
      </c>
      <c r="B364" s="979" t="s">
        <v>420</v>
      </c>
      <c r="C364" s="979" t="s">
        <v>327</v>
      </c>
      <c r="D364" s="979" t="s">
        <v>1071</v>
      </c>
      <c r="E364" s="980">
        <v>51</v>
      </c>
      <c r="F364" s="595"/>
      <c r="G364" s="1009">
        <f t="shared" si="55"/>
        <v>64.19</v>
      </c>
      <c r="H364" s="1012">
        <f t="shared" si="56"/>
        <v>3273.69</v>
      </c>
      <c r="I364" s="1011">
        <f t="shared" si="57"/>
        <v>-1.1839685904046509E-2</v>
      </c>
      <c r="J364" s="1009">
        <f t="shared" si="58"/>
        <v>51</v>
      </c>
      <c r="K364" s="1009">
        <f t="shared" si="59"/>
        <v>-0.11933322947731752</v>
      </c>
      <c r="L364" s="595"/>
      <c r="M364" s="595"/>
      <c r="N364" s="595"/>
      <c r="O364" s="595"/>
      <c r="P364" s="595"/>
      <c r="Q364" s="595"/>
    </row>
    <row r="365" spans="1:17">
      <c r="A365" s="1019" t="s">
        <v>1509</v>
      </c>
      <c r="B365" s="979" t="s">
        <v>420</v>
      </c>
      <c r="C365" s="979" t="s">
        <v>453</v>
      </c>
      <c r="D365" s="979" t="s">
        <v>1072</v>
      </c>
      <c r="E365" s="980">
        <v>2</v>
      </c>
      <c r="F365" s="595"/>
      <c r="G365" s="1009">
        <f t="shared" si="55"/>
        <v>75.899999999999991</v>
      </c>
      <c r="H365" s="1012">
        <f t="shared" si="56"/>
        <v>151.79999999999998</v>
      </c>
      <c r="I365" s="1011">
        <f t="shared" si="57"/>
        <v>-5.4900259958464608E-4</v>
      </c>
      <c r="J365" s="1009">
        <f t="shared" si="58"/>
        <v>2</v>
      </c>
      <c r="K365" s="1009">
        <f t="shared" si="59"/>
        <v>-0.10092226614162071</v>
      </c>
      <c r="L365" s="595"/>
      <c r="M365" s="595"/>
      <c r="N365" s="595"/>
      <c r="O365" s="595"/>
      <c r="P365" s="595"/>
      <c r="Q365" s="595"/>
    </row>
    <row r="366" spans="1:17">
      <c r="A366" s="1019" t="s">
        <v>1509</v>
      </c>
      <c r="B366" s="979" t="s">
        <v>420</v>
      </c>
      <c r="C366" s="979" t="s">
        <v>366</v>
      </c>
      <c r="D366" s="979" t="s">
        <v>1073</v>
      </c>
      <c r="E366" s="980">
        <v>52</v>
      </c>
      <c r="F366" s="595"/>
      <c r="G366" s="1009">
        <f t="shared" si="55"/>
        <v>14.860000000000001</v>
      </c>
      <c r="H366" s="1012">
        <f t="shared" si="56"/>
        <v>772.72</v>
      </c>
      <c r="I366" s="1011">
        <f t="shared" si="57"/>
        <v>-2.7946329957249522E-3</v>
      </c>
      <c r="J366" s="1009">
        <f t="shared" si="58"/>
        <v>52</v>
      </c>
      <c r="K366" s="1009">
        <f t="shared" si="59"/>
        <v>-0.51547779274219452</v>
      </c>
      <c r="L366" s="595"/>
      <c r="M366" s="595"/>
      <c r="N366" s="595"/>
      <c r="O366" s="595"/>
      <c r="P366" s="595"/>
      <c r="Q366" s="595"/>
    </row>
    <row r="367" spans="1:17">
      <c r="A367" s="1019" t="s">
        <v>1509</v>
      </c>
      <c r="B367" s="979" t="s">
        <v>420</v>
      </c>
      <c r="C367" s="979" t="s">
        <v>386</v>
      </c>
      <c r="D367" s="979" t="s">
        <v>1074</v>
      </c>
      <c r="E367" s="980">
        <v>7158</v>
      </c>
      <c r="F367" s="595"/>
      <c r="G367" s="1009">
        <f t="shared" si="55"/>
        <v>10.570000000000002</v>
      </c>
      <c r="H367" s="1012">
        <f t="shared" si="56"/>
        <v>75660.060000000012</v>
      </c>
      <c r="I367" s="1011">
        <f t="shared" si="57"/>
        <v>-0.27363352848965944</v>
      </c>
      <c r="J367" s="1009">
        <f t="shared" si="58"/>
        <v>7158</v>
      </c>
      <c r="K367" s="1009">
        <f t="shared" si="59"/>
        <v>-0.72469252603112677</v>
      </c>
      <c r="L367" s="595"/>
      <c r="M367" s="595"/>
      <c r="N367" s="595"/>
      <c r="O367" s="595"/>
      <c r="P367" s="595"/>
      <c r="Q367" s="595"/>
    </row>
    <row r="368" spans="1:17">
      <c r="A368" s="1019" t="s">
        <v>1509</v>
      </c>
      <c r="B368" s="979" t="s">
        <v>420</v>
      </c>
      <c r="C368" s="979" t="s">
        <v>382</v>
      </c>
      <c r="D368" s="979" t="s">
        <v>1075</v>
      </c>
      <c r="E368" s="980">
        <v>142</v>
      </c>
      <c r="F368" s="595"/>
      <c r="G368" s="1009">
        <f t="shared" si="55"/>
        <v>11.71</v>
      </c>
      <c r="H368" s="1012">
        <f t="shared" si="56"/>
        <v>1662.8200000000002</v>
      </c>
      <c r="I368" s="1011">
        <f t="shared" si="57"/>
        <v>-6.0137846023803777E-3</v>
      </c>
      <c r="J368" s="1009">
        <f t="shared" si="58"/>
        <v>142</v>
      </c>
      <c r="K368" s="1009">
        <f t="shared" si="59"/>
        <v>-0.65414175919291295</v>
      </c>
      <c r="L368" s="595"/>
      <c r="M368" s="595"/>
      <c r="N368" s="595"/>
      <c r="O368" s="595"/>
      <c r="P368" s="595"/>
      <c r="Q368" s="595"/>
    </row>
    <row r="369" spans="1:17">
      <c r="A369" s="1019" t="s">
        <v>1509</v>
      </c>
      <c r="B369" s="979" t="s">
        <v>420</v>
      </c>
      <c r="C369" s="979" t="s">
        <v>360</v>
      </c>
      <c r="D369" s="979" t="s">
        <v>1076</v>
      </c>
      <c r="E369" s="980">
        <v>242</v>
      </c>
      <c r="F369" s="595"/>
      <c r="G369" s="1009">
        <f t="shared" si="55"/>
        <v>20.259999999999998</v>
      </c>
      <c r="H369" s="1012">
        <f t="shared" si="56"/>
        <v>4902.9199999999992</v>
      </c>
      <c r="I369" s="1011">
        <f t="shared" si="57"/>
        <v>-1.7731988310642637E-2</v>
      </c>
      <c r="J369" s="1009">
        <f t="shared" si="58"/>
        <v>242</v>
      </c>
      <c r="K369" s="1009">
        <f t="shared" si="59"/>
        <v>-0.37808489635483772</v>
      </c>
      <c r="L369" s="595"/>
      <c r="M369" s="595"/>
      <c r="N369" s="595"/>
      <c r="O369" s="595"/>
      <c r="P369" s="595"/>
      <c r="Q369" s="595"/>
    </row>
    <row r="370" spans="1:17">
      <c r="A370" s="1019" t="s">
        <v>1509</v>
      </c>
      <c r="B370" s="979" t="s">
        <v>420</v>
      </c>
      <c r="C370" s="979" t="s">
        <v>368</v>
      </c>
      <c r="D370" s="979" t="s">
        <v>1077</v>
      </c>
      <c r="E370" s="980">
        <v>151</v>
      </c>
      <c r="F370" s="595"/>
      <c r="G370" s="1009">
        <f t="shared" si="55"/>
        <v>21.38</v>
      </c>
      <c r="H370" s="1012">
        <f t="shared" si="56"/>
        <v>3228.3799999999997</v>
      </c>
      <c r="I370" s="1011">
        <f t="shared" si="57"/>
        <v>-1.1675816946291696E-2</v>
      </c>
      <c r="J370" s="1009">
        <f t="shared" si="58"/>
        <v>151</v>
      </c>
      <c r="K370" s="1009">
        <f t="shared" si="59"/>
        <v>-0.35827876520809221</v>
      </c>
      <c r="L370" s="595"/>
      <c r="M370" s="595"/>
      <c r="N370" s="595"/>
      <c r="O370" s="595"/>
      <c r="P370" s="595"/>
      <c r="Q370" s="595"/>
    </row>
    <row r="371" spans="1:17">
      <c r="A371" s="1019" t="s">
        <v>1509</v>
      </c>
      <c r="B371" s="979" t="s">
        <v>420</v>
      </c>
      <c r="C371" s="979" t="s">
        <v>370</v>
      </c>
      <c r="D371" s="979" t="s">
        <v>1078</v>
      </c>
      <c r="E371" s="980">
        <v>28</v>
      </c>
      <c r="F371" s="595"/>
      <c r="G371" s="1009">
        <f t="shared" si="55"/>
        <v>30.84</v>
      </c>
      <c r="H371" s="1012">
        <f t="shared" si="56"/>
        <v>863.52</v>
      </c>
      <c r="I371" s="1011">
        <f t="shared" si="57"/>
        <v>-3.1230219024593778E-3</v>
      </c>
      <c r="J371" s="1009">
        <f t="shared" si="58"/>
        <v>28</v>
      </c>
      <c r="K371" s="1009">
        <f t="shared" si="59"/>
        <v>-0.24837872892830776</v>
      </c>
      <c r="L371" s="595"/>
      <c r="M371" s="595"/>
      <c r="N371" s="595"/>
      <c r="O371" s="595"/>
      <c r="P371" s="595"/>
      <c r="Q371" s="595"/>
    </row>
    <row r="372" spans="1:17">
      <c r="A372" s="1019" t="s">
        <v>1509</v>
      </c>
      <c r="B372" s="979" t="s">
        <v>420</v>
      </c>
      <c r="C372" s="979" t="s">
        <v>393</v>
      </c>
      <c r="D372" s="979" t="s">
        <v>1079</v>
      </c>
      <c r="E372" s="980">
        <v>97</v>
      </c>
      <c r="F372" s="595"/>
      <c r="G372" s="1009">
        <f t="shared" si="55"/>
        <v>31.22</v>
      </c>
      <c r="H372" s="1012">
        <f t="shared" si="56"/>
        <v>3028.3399999999997</v>
      </c>
      <c r="I372" s="1011">
        <f t="shared" si="57"/>
        <v>-1.0952348698459598E-2</v>
      </c>
      <c r="J372" s="1009">
        <f t="shared" si="58"/>
        <v>97</v>
      </c>
      <c r="K372" s="1009">
        <f t="shared" si="59"/>
        <v>-0.24535554132443985</v>
      </c>
      <c r="L372" s="595"/>
      <c r="M372" s="595"/>
      <c r="N372" s="595"/>
      <c r="O372" s="595"/>
      <c r="P372" s="595"/>
      <c r="Q372" s="595"/>
    </row>
    <row r="373" spans="1:17">
      <c r="A373" s="1019" t="s">
        <v>1509</v>
      </c>
      <c r="B373" s="979" t="s">
        <v>420</v>
      </c>
      <c r="C373" s="979" t="s">
        <v>371</v>
      </c>
      <c r="D373" s="979" t="s">
        <v>1080</v>
      </c>
      <c r="E373" s="980">
        <v>21</v>
      </c>
      <c r="F373" s="595"/>
      <c r="G373" s="1009">
        <f t="shared" si="55"/>
        <v>30.84</v>
      </c>
      <c r="H373" s="1012">
        <f t="shared" si="56"/>
        <v>647.64</v>
      </c>
      <c r="I373" s="1011">
        <f t="shared" si="57"/>
        <v>-2.3422664268445332E-3</v>
      </c>
      <c r="J373" s="1009">
        <f t="shared" si="58"/>
        <v>21</v>
      </c>
      <c r="K373" s="1009">
        <f t="shared" si="59"/>
        <v>-0.24837872892830776</v>
      </c>
      <c r="L373" s="595"/>
      <c r="M373" s="595"/>
      <c r="N373" s="595"/>
      <c r="O373" s="595"/>
      <c r="P373" s="595"/>
      <c r="Q373" s="595"/>
    </row>
    <row r="374" spans="1:17">
      <c r="A374" s="1019" t="s">
        <v>1509</v>
      </c>
      <c r="B374" s="979" t="s">
        <v>420</v>
      </c>
      <c r="C374" s="979" t="s">
        <v>394</v>
      </c>
      <c r="D374" s="979" t="s">
        <v>1081</v>
      </c>
      <c r="E374" s="980">
        <v>10</v>
      </c>
      <c r="F374" s="595"/>
      <c r="G374" s="1009">
        <f t="shared" si="55"/>
        <v>31.22</v>
      </c>
      <c r="H374" s="1012">
        <f t="shared" si="56"/>
        <v>312.2</v>
      </c>
      <c r="I374" s="1011">
        <f t="shared" si="57"/>
        <v>-1.1291081132432576E-3</v>
      </c>
      <c r="J374" s="1009">
        <f t="shared" si="58"/>
        <v>10</v>
      </c>
      <c r="K374" s="1009">
        <f t="shared" si="59"/>
        <v>-0.24535554132443985</v>
      </c>
      <c r="L374" s="595"/>
      <c r="M374" s="595"/>
      <c r="N374" s="595"/>
      <c r="O374" s="595"/>
      <c r="P374" s="595"/>
      <c r="Q374" s="595"/>
    </row>
    <row r="375" spans="1:17">
      <c r="A375" s="1019" t="s">
        <v>1509</v>
      </c>
      <c r="B375" s="979" t="s">
        <v>420</v>
      </c>
      <c r="C375" s="979" t="s">
        <v>389</v>
      </c>
      <c r="D375" s="979" t="s">
        <v>1082</v>
      </c>
      <c r="E375" s="980">
        <v>470</v>
      </c>
      <c r="F375" s="595"/>
      <c r="G375" s="1009">
        <f t="shared" si="55"/>
        <v>15.360000000000001</v>
      </c>
      <c r="H375" s="1012">
        <f t="shared" si="56"/>
        <v>7219.2000000000007</v>
      </c>
      <c r="I375" s="1011">
        <f t="shared" si="57"/>
        <v>-2.6109088056136216E-2</v>
      </c>
      <c r="J375" s="1009">
        <f t="shared" si="58"/>
        <v>470</v>
      </c>
      <c r="K375" s="1009">
        <f t="shared" si="59"/>
        <v>-0.49869791667636792</v>
      </c>
      <c r="L375" s="595"/>
      <c r="M375" s="595"/>
      <c r="N375" s="595"/>
      <c r="O375" s="595"/>
      <c r="P375" s="595"/>
      <c r="Q375" s="595"/>
    </row>
    <row r="376" spans="1:17">
      <c r="A376" s="1019" t="s">
        <v>1509</v>
      </c>
      <c r="B376" s="979" t="s">
        <v>420</v>
      </c>
      <c r="C376" s="979" t="s">
        <v>310</v>
      </c>
      <c r="D376" s="979" t="s">
        <v>1083</v>
      </c>
      <c r="E376" s="980">
        <v>5</v>
      </c>
      <c r="F376" s="595"/>
      <c r="G376" s="1009">
        <f t="shared" si="55"/>
        <v>3.39</v>
      </c>
      <c r="H376" s="1012">
        <f t="shared" si="56"/>
        <v>16.95</v>
      </c>
      <c r="I376" s="1011">
        <f t="shared" si="57"/>
        <v>-6.1301673669036558E-5</v>
      </c>
      <c r="J376" s="1009">
        <f t="shared" si="58"/>
        <v>5</v>
      </c>
      <c r="K376" s="1009">
        <f t="shared" si="59"/>
        <v>-2.2595870206929236</v>
      </c>
      <c r="L376" s="595"/>
      <c r="M376" s="595"/>
      <c r="N376" s="595"/>
      <c r="O376" s="595"/>
      <c r="P376" s="595"/>
      <c r="Q376" s="595"/>
    </row>
    <row r="377" spans="1:17">
      <c r="A377" s="1019" t="s">
        <v>1509</v>
      </c>
      <c r="B377" s="979" t="s">
        <v>420</v>
      </c>
      <c r="C377" s="979" t="s">
        <v>340</v>
      </c>
      <c r="D377" s="979" t="s">
        <v>1084</v>
      </c>
      <c r="E377" s="980">
        <v>679</v>
      </c>
      <c r="F377" s="595"/>
      <c r="G377" s="1009">
        <f t="shared" si="55"/>
        <v>4.5400000000000009</v>
      </c>
      <c r="H377" s="1012">
        <f t="shared" si="56"/>
        <v>3082.6600000000008</v>
      </c>
      <c r="I377" s="1011">
        <f t="shared" si="57"/>
        <v>-1.1148803383633764E-2</v>
      </c>
      <c r="J377" s="1009">
        <f t="shared" si="58"/>
        <v>679</v>
      </c>
      <c r="K377" s="1009">
        <f t="shared" si="59"/>
        <v>-1.6872246696363458</v>
      </c>
      <c r="L377" s="595"/>
      <c r="M377" s="595"/>
      <c r="N377" s="595"/>
      <c r="O377" s="595"/>
      <c r="P377" s="595"/>
      <c r="Q377" s="595"/>
    </row>
    <row r="378" spans="1:17">
      <c r="A378" s="1019" t="s">
        <v>1509</v>
      </c>
      <c r="B378" s="979" t="s">
        <v>420</v>
      </c>
      <c r="C378" s="979" t="s">
        <v>358</v>
      </c>
      <c r="D378" s="979" t="s">
        <v>1085</v>
      </c>
      <c r="E378" s="980">
        <v>47</v>
      </c>
      <c r="F378" s="595"/>
      <c r="G378" s="1009">
        <f t="shared" si="55"/>
        <v>6.78</v>
      </c>
      <c r="H378" s="1012">
        <f t="shared" si="56"/>
        <v>318.66000000000003</v>
      </c>
      <c r="I378" s="1011">
        <f t="shared" si="57"/>
        <v>-1.1524714649778875E-3</v>
      </c>
      <c r="J378" s="1009">
        <f t="shared" si="58"/>
        <v>47</v>
      </c>
      <c r="K378" s="1009">
        <f t="shared" si="59"/>
        <v>-1.1297935103464618</v>
      </c>
      <c r="L378" s="595"/>
      <c r="M378" s="595"/>
      <c r="N378" s="595"/>
      <c r="O378" s="595"/>
      <c r="P378" s="595"/>
      <c r="Q378" s="595"/>
    </row>
    <row r="379" spans="1:17">
      <c r="A379" s="1019" t="s">
        <v>1509</v>
      </c>
      <c r="B379" s="979" t="s">
        <v>420</v>
      </c>
      <c r="C379" s="979" t="s">
        <v>383</v>
      </c>
      <c r="D379" s="979" t="s">
        <v>1086</v>
      </c>
      <c r="E379" s="980">
        <v>2</v>
      </c>
      <c r="F379" s="595"/>
      <c r="G379" s="1009">
        <f t="shared" si="55"/>
        <v>9.06</v>
      </c>
      <c r="H379" s="1012">
        <f t="shared" si="56"/>
        <v>18.12</v>
      </c>
      <c r="I379" s="1011">
        <f t="shared" si="57"/>
        <v>-6.5533116630262113E-5</v>
      </c>
      <c r="J379" s="1009">
        <f t="shared" si="58"/>
        <v>2</v>
      </c>
      <c r="K379" s="1009">
        <f t="shared" si="59"/>
        <v>-0.84547461370298138</v>
      </c>
      <c r="L379" s="595"/>
      <c r="M379" s="595"/>
      <c r="N379" s="595"/>
      <c r="O379" s="595"/>
      <c r="P379" s="595"/>
      <c r="Q379" s="595"/>
    </row>
    <row r="380" spans="1:17">
      <c r="A380" s="1019" t="s">
        <v>1509</v>
      </c>
      <c r="B380" s="979" t="s">
        <v>420</v>
      </c>
      <c r="C380" s="979" t="s">
        <v>375</v>
      </c>
      <c r="D380" s="979" t="s">
        <v>1087</v>
      </c>
      <c r="E380" s="980">
        <v>171</v>
      </c>
      <c r="F380" s="595"/>
      <c r="G380" s="1009">
        <f t="shared" si="55"/>
        <v>7.4399999999999995</v>
      </c>
      <c r="H380" s="1012">
        <f t="shared" si="56"/>
        <v>1272.24</v>
      </c>
      <c r="I380" s="1011">
        <f t="shared" si="57"/>
        <v>-4.6012059769141639E-3</v>
      </c>
      <c r="J380" s="1009">
        <f t="shared" si="58"/>
        <v>171</v>
      </c>
      <c r="K380" s="1009">
        <f t="shared" si="59"/>
        <v>-1.0295698924931469</v>
      </c>
      <c r="L380" s="595"/>
      <c r="M380" s="595"/>
      <c r="N380" s="595"/>
      <c r="O380" s="595"/>
      <c r="P380" s="595"/>
      <c r="Q380" s="595"/>
    </row>
    <row r="381" spans="1:17">
      <c r="A381" s="1019" t="s">
        <v>1509</v>
      </c>
      <c r="B381" s="979" t="s">
        <v>420</v>
      </c>
      <c r="C381" s="979" t="s">
        <v>400</v>
      </c>
      <c r="D381" s="979" t="s">
        <v>1088</v>
      </c>
      <c r="E381" s="980">
        <v>36951</v>
      </c>
      <c r="F381" s="595"/>
      <c r="G381" s="1009">
        <f t="shared" ref="G381:G412" si="60">SUMIF(_Lights_Tariff_Category,20140101&amp;$C381,_Lights_Rates)</f>
        <v>7.84</v>
      </c>
      <c r="H381" s="1012">
        <f t="shared" ref="H381:H412" si="61">E381*G381</f>
        <v>289695.83999999997</v>
      </c>
      <c r="I381" s="1011">
        <f t="shared" si="57"/>
        <v>-1.0477191650122377</v>
      </c>
      <c r="J381" s="1009">
        <f t="shared" si="58"/>
        <v>36951</v>
      </c>
      <c r="K381" s="1009">
        <f t="shared" si="59"/>
        <v>-0.97704081634553719</v>
      </c>
      <c r="L381" s="595"/>
      <c r="M381" s="595"/>
      <c r="N381" s="595"/>
      <c r="O381" s="595"/>
      <c r="P381" s="595"/>
      <c r="Q381" s="595"/>
    </row>
    <row r="382" spans="1:17">
      <c r="A382" s="1019" t="s">
        <v>1509</v>
      </c>
      <c r="B382" s="979" t="s">
        <v>420</v>
      </c>
      <c r="C382" s="979" t="s">
        <v>391</v>
      </c>
      <c r="D382" s="979" t="s">
        <v>1089</v>
      </c>
      <c r="E382" s="980">
        <v>1194</v>
      </c>
      <c r="F382" s="595"/>
      <c r="G382" s="1009">
        <f t="shared" si="60"/>
        <v>22</v>
      </c>
      <c r="H382" s="1012">
        <f t="shared" si="61"/>
        <v>26268</v>
      </c>
      <c r="I382" s="1011">
        <f t="shared" si="57"/>
        <v>-9.5001319406386578E-2</v>
      </c>
      <c r="J382" s="1009">
        <f t="shared" si="58"/>
        <v>1194</v>
      </c>
      <c r="K382" s="1009">
        <f t="shared" si="59"/>
        <v>-0.34818181818859145</v>
      </c>
      <c r="L382" s="595"/>
      <c r="M382" s="595"/>
      <c r="N382" s="595"/>
      <c r="O382" s="595"/>
      <c r="P382" s="595"/>
      <c r="Q382" s="595"/>
    </row>
    <row r="383" spans="1:17">
      <c r="A383" s="1019" t="s">
        <v>1509</v>
      </c>
      <c r="B383" s="979" t="s">
        <v>420</v>
      </c>
      <c r="C383" s="979" t="s">
        <v>357</v>
      </c>
      <c r="D383" s="979" t="s">
        <v>1090</v>
      </c>
      <c r="E383" s="980">
        <v>3</v>
      </c>
      <c r="F383" s="595"/>
      <c r="G383" s="1009">
        <f t="shared" si="60"/>
        <v>7.74</v>
      </c>
      <c r="H383" s="1012">
        <f t="shared" si="61"/>
        <v>23.22</v>
      </c>
      <c r="I383" s="1011">
        <f t="shared" si="57"/>
        <v>-8.3977867999706737E-5</v>
      </c>
      <c r="J383" s="1009">
        <f t="shared" si="58"/>
        <v>3</v>
      </c>
      <c r="K383" s="1009">
        <f t="shared" si="59"/>
        <v>-0.98966408270659068</v>
      </c>
      <c r="L383" s="595"/>
      <c r="M383" s="595"/>
      <c r="N383" s="595"/>
      <c r="O383" s="595"/>
      <c r="P383" s="595"/>
      <c r="Q383" s="595"/>
    </row>
    <row r="384" spans="1:17">
      <c r="A384" s="1019" t="s">
        <v>1509</v>
      </c>
      <c r="B384" s="979" t="s">
        <v>420</v>
      </c>
      <c r="C384" s="979" t="s">
        <v>359</v>
      </c>
      <c r="D384" s="979" t="s">
        <v>1091</v>
      </c>
      <c r="E384" s="980">
        <v>2</v>
      </c>
      <c r="F384" s="595"/>
      <c r="G384" s="1009">
        <f t="shared" si="60"/>
        <v>13.610000000000001</v>
      </c>
      <c r="H384" s="1012">
        <f t="shared" si="61"/>
        <v>27.220000000000002</v>
      </c>
      <c r="I384" s="1011">
        <f t="shared" si="57"/>
        <v>-9.8444339662016254E-5</v>
      </c>
      <c r="J384" s="1009">
        <f t="shared" si="58"/>
        <v>2</v>
      </c>
      <c r="K384" s="1009">
        <f t="shared" si="59"/>
        <v>-0.56282145482358636</v>
      </c>
      <c r="L384" s="595"/>
      <c r="M384" s="595"/>
      <c r="N384" s="595"/>
      <c r="O384" s="595"/>
      <c r="P384" s="595"/>
      <c r="Q384" s="595"/>
    </row>
    <row r="385" spans="1:17">
      <c r="A385" s="1019" t="s">
        <v>1509</v>
      </c>
      <c r="B385" s="979" t="s">
        <v>420</v>
      </c>
      <c r="C385" s="979" t="s">
        <v>385</v>
      </c>
      <c r="D385" s="979" t="s">
        <v>1092</v>
      </c>
      <c r="E385" s="980">
        <v>1088</v>
      </c>
      <c r="F385" s="595"/>
      <c r="G385" s="1009">
        <f t="shared" si="60"/>
        <v>9.5600000000000023</v>
      </c>
      <c r="H385" s="1012">
        <f t="shared" si="61"/>
        <v>10401.280000000002</v>
      </c>
      <c r="I385" s="1011">
        <f t="shared" si="57"/>
        <v>-3.7617455592936687E-2</v>
      </c>
      <c r="J385" s="1009">
        <f t="shared" si="58"/>
        <v>1088</v>
      </c>
      <c r="K385" s="1009">
        <f t="shared" si="59"/>
        <v>-0.80125523014110978</v>
      </c>
      <c r="L385" s="595"/>
      <c r="M385" s="595"/>
      <c r="N385" s="595"/>
      <c r="O385" s="595"/>
      <c r="P385" s="595"/>
      <c r="Q385" s="595"/>
    </row>
    <row r="386" spans="1:17">
      <c r="A386" s="1019" t="s">
        <v>1509</v>
      </c>
      <c r="B386" s="979" t="s">
        <v>420</v>
      </c>
      <c r="C386" s="979" t="s">
        <v>312</v>
      </c>
      <c r="D386" s="979" t="s">
        <v>1093</v>
      </c>
      <c r="E386" s="980">
        <v>748</v>
      </c>
      <c r="F386" s="595"/>
      <c r="G386" s="1009">
        <f t="shared" si="60"/>
        <v>11.32</v>
      </c>
      <c r="H386" s="1012">
        <f t="shared" si="61"/>
        <v>8467.36</v>
      </c>
      <c r="I386" s="1011">
        <f t="shared" si="57"/>
        <v>-3.0623205873643273E-2</v>
      </c>
      <c r="J386" s="1009">
        <f t="shared" si="58"/>
        <v>748</v>
      </c>
      <c r="K386" s="1009">
        <f t="shared" si="59"/>
        <v>-0.67667844524284548</v>
      </c>
      <c r="L386" s="595"/>
      <c r="M386" s="595"/>
      <c r="N386" s="595"/>
      <c r="O386" s="595"/>
      <c r="P386" s="595"/>
      <c r="Q386" s="595"/>
    </row>
    <row r="387" spans="1:17">
      <c r="A387" s="1019" t="s">
        <v>1509</v>
      </c>
      <c r="B387" s="979" t="s">
        <v>420</v>
      </c>
      <c r="C387" s="979" t="s">
        <v>421</v>
      </c>
      <c r="D387" s="979" t="s">
        <v>1094</v>
      </c>
      <c r="E387" s="980">
        <v>1489</v>
      </c>
      <c r="F387" s="595"/>
      <c r="G387" s="1009">
        <f t="shared" si="60"/>
        <v>12.809999999999999</v>
      </c>
      <c r="H387" s="1012">
        <f t="shared" si="61"/>
        <v>19074.089999999997</v>
      </c>
      <c r="I387" s="1011">
        <f t="shared" si="57"/>
        <v>-6.8983695617335306E-2</v>
      </c>
      <c r="J387" s="1009">
        <f t="shared" si="58"/>
        <v>1489</v>
      </c>
      <c r="K387" s="1009">
        <f t="shared" si="59"/>
        <v>-0.59797033568688618</v>
      </c>
      <c r="L387" s="595"/>
      <c r="M387" s="595"/>
      <c r="N387" s="595"/>
      <c r="O387" s="595"/>
      <c r="P387" s="595"/>
      <c r="Q387" s="595"/>
    </row>
    <row r="388" spans="1:17">
      <c r="A388" s="1019" t="s">
        <v>1509</v>
      </c>
      <c r="B388" s="979" t="s">
        <v>420</v>
      </c>
      <c r="C388" s="979" t="s">
        <v>322</v>
      </c>
      <c r="D388" s="979" t="s">
        <v>1095</v>
      </c>
      <c r="E388" s="980">
        <v>674</v>
      </c>
      <c r="F388" s="595"/>
      <c r="G388" s="1009">
        <f t="shared" si="60"/>
        <v>14.25</v>
      </c>
      <c r="H388" s="1012">
        <f t="shared" si="61"/>
        <v>9604.5</v>
      </c>
      <c r="I388" s="1011">
        <f t="shared" si="57"/>
        <v>-3.4735806770162934E-2</v>
      </c>
      <c r="J388" s="1009">
        <f t="shared" si="58"/>
        <v>674</v>
      </c>
      <c r="K388" s="1009">
        <f t="shared" si="59"/>
        <v>-0.53754385965957974</v>
      </c>
      <c r="L388" s="595"/>
      <c r="M388" s="595"/>
      <c r="N388" s="595"/>
      <c r="O388" s="595"/>
      <c r="P388" s="595"/>
      <c r="Q388" s="595"/>
    </row>
    <row r="389" spans="1:17">
      <c r="A389" s="1019" t="s">
        <v>1509</v>
      </c>
      <c r="B389" s="979" t="s">
        <v>420</v>
      </c>
      <c r="C389" s="979" t="s">
        <v>354</v>
      </c>
      <c r="D389" s="979" t="s">
        <v>1096</v>
      </c>
      <c r="E389" s="980">
        <v>5222</v>
      </c>
      <c r="F389" s="595"/>
      <c r="G389" s="1009">
        <f t="shared" si="60"/>
        <v>20.200000000000003</v>
      </c>
      <c r="H389" s="1012">
        <f t="shared" si="61"/>
        <v>105484.40000000001</v>
      </c>
      <c r="I389" s="1011">
        <f t="shared" si="57"/>
        <v>-0.38149677085393047</v>
      </c>
      <c r="J389" s="1009">
        <f t="shared" si="58"/>
        <v>5222</v>
      </c>
      <c r="K389" s="1009">
        <f t="shared" si="59"/>
        <v>-0.37920792079945598</v>
      </c>
      <c r="L389" s="595"/>
      <c r="M389" s="595"/>
      <c r="N389" s="595"/>
      <c r="O389" s="595"/>
      <c r="P389" s="595"/>
      <c r="Q389" s="595"/>
    </row>
    <row r="390" spans="1:17">
      <c r="A390" s="1019" t="s">
        <v>1509</v>
      </c>
      <c r="B390" s="979" t="s">
        <v>420</v>
      </c>
      <c r="C390" s="979" t="s">
        <v>317</v>
      </c>
      <c r="D390" s="979" t="s">
        <v>1097</v>
      </c>
      <c r="E390" s="980">
        <v>1046</v>
      </c>
      <c r="F390" s="595"/>
      <c r="G390" s="1009">
        <f t="shared" si="60"/>
        <v>42.350000000000009</v>
      </c>
      <c r="H390" s="1012">
        <f t="shared" si="61"/>
        <v>44298.100000000006</v>
      </c>
      <c r="I390" s="1011">
        <f t="shared" si="57"/>
        <v>-0.16020930208603829</v>
      </c>
      <c r="J390" s="1009">
        <f t="shared" si="58"/>
        <v>1046</v>
      </c>
      <c r="K390" s="1009">
        <f t="shared" si="59"/>
        <v>-0.18087367178628122</v>
      </c>
      <c r="L390" s="595"/>
      <c r="M390" s="595"/>
      <c r="N390" s="595"/>
      <c r="O390" s="595"/>
      <c r="P390" s="595"/>
      <c r="Q390" s="595"/>
    </row>
    <row r="391" spans="1:17">
      <c r="A391" s="1019" t="s">
        <v>1509</v>
      </c>
      <c r="B391" s="979" t="s">
        <v>420</v>
      </c>
      <c r="C391" s="979" t="s">
        <v>320</v>
      </c>
      <c r="D391" s="979" t="s">
        <v>1098</v>
      </c>
      <c r="E391" s="980">
        <v>152</v>
      </c>
      <c r="F391" s="595"/>
      <c r="G391" s="1009">
        <f t="shared" si="60"/>
        <v>18.649999999999999</v>
      </c>
      <c r="H391" s="1012">
        <f t="shared" si="61"/>
        <v>2834.7999999999997</v>
      </c>
      <c r="I391" s="1011">
        <f t="shared" si="57"/>
        <v>-1.0252388467078752E-2</v>
      </c>
      <c r="J391" s="1009">
        <f t="shared" si="58"/>
        <v>152</v>
      </c>
      <c r="K391" s="1009">
        <f t="shared" si="59"/>
        <v>-0.41072386059780225</v>
      </c>
      <c r="L391" s="595"/>
      <c r="M391" s="595"/>
      <c r="N391" s="595"/>
      <c r="O391" s="595"/>
      <c r="P391" s="595"/>
      <c r="Q391" s="595"/>
    </row>
    <row r="392" spans="1:17">
      <c r="A392" s="1019" t="s">
        <v>1509</v>
      </c>
      <c r="B392" s="979" t="s">
        <v>420</v>
      </c>
      <c r="C392" s="979" t="s">
        <v>352</v>
      </c>
      <c r="D392" s="979" t="s">
        <v>1099</v>
      </c>
      <c r="E392" s="980">
        <v>1059</v>
      </c>
      <c r="F392" s="595"/>
      <c r="G392" s="1009">
        <f t="shared" si="60"/>
        <v>24.59</v>
      </c>
      <c r="H392" s="1012">
        <f t="shared" si="61"/>
        <v>26040.81</v>
      </c>
      <c r="I392" s="1011">
        <f t="shared" si="57"/>
        <v>-9.4179659982146557E-2</v>
      </c>
      <c r="J392" s="1009">
        <f t="shared" si="58"/>
        <v>1059</v>
      </c>
      <c r="K392" s="1009">
        <f t="shared" si="59"/>
        <v>-0.31150874339768247</v>
      </c>
      <c r="L392" s="595"/>
      <c r="M392" s="595"/>
      <c r="N392" s="595"/>
      <c r="O392" s="595"/>
      <c r="P392" s="595"/>
      <c r="Q392" s="595"/>
    </row>
    <row r="393" spans="1:17">
      <c r="A393" s="1019" t="s">
        <v>1509</v>
      </c>
      <c r="B393" s="979" t="s">
        <v>420</v>
      </c>
      <c r="C393" s="979" t="s">
        <v>384</v>
      </c>
      <c r="D393" s="979" t="s">
        <v>1100</v>
      </c>
      <c r="E393" s="980">
        <v>141</v>
      </c>
      <c r="F393" s="595"/>
      <c r="G393" s="1009">
        <f t="shared" si="60"/>
        <v>11.870000000000001</v>
      </c>
      <c r="H393" s="1012">
        <f t="shared" si="61"/>
        <v>1673.67</v>
      </c>
      <c r="I393" s="1011">
        <f t="shared" si="57"/>
        <v>-6.0530249067643916E-3</v>
      </c>
      <c r="J393" s="1009">
        <f t="shared" si="58"/>
        <v>141</v>
      </c>
      <c r="K393" s="1009">
        <f t="shared" si="59"/>
        <v>-0.64532434710606668</v>
      </c>
      <c r="L393" s="595"/>
      <c r="M393" s="595"/>
      <c r="N393" s="595"/>
      <c r="O393" s="595"/>
      <c r="P393" s="595"/>
      <c r="Q393" s="595"/>
    </row>
    <row r="394" spans="1:17">
      <c r="A394" s="1019" t="s">
        <v>1509</v>
      </c>
      <c r="B394" s="979" t="s">
        <v>420</v>
      </c>
      <c r="C394" s="979" t="s">
        <v>311</v>
      </c>
      <c r="D394" s="979" t="s">
        <v>1101</v>
      </c>
      <c r="E394" s="980">
        <v>457</v>
      </c>
      <c r="F394" s="595"/>
      <c r="G394" s="1009">
        <f t="shared" si="60"/>
        <v>13.360000000000001</v>
      </c>
      <c r="H394" s="1012">
        <f t="shared" si="61"/>
        <v>6105.52</v>
      </c>
      <c r="I394" s="1011">
        <f t="shared" si="57"/>
        <v>-2.2081333015915999E-2</v>
      </c>
      <c r="J394" s="1009">
        <f t="shared" si="58"/>
        <v>457</v>
      </c>
      <c r="K394" s="1009">
        <f t="shared" si="59"/>
        <v>-0.57335329342432717</v>
      </c>
      <c r="L394" s="595"/>
      <c r="M394" s="595"/>
      <c r="N394" s="595"/>
      <c r="O394" s="595"/>
      <c r="P394" s="595"/>
      <c r="Q394" s="595"/>
    </row>
    <row r="395" spans="1:17">
      <c r="A395" s="1019" t="s">
        <v>1509</v>
      </c>
      <c r="B395" s="979" t="s">
        <v>420</v>
      </c>
      <c r="C395" s="979" t="s">
        <v>341</v>
      </c>
      <c r="D395" s="979" t="s">
        <v>1102</v>
      </c>
      <c r="E395" s="980">
        <v>1485</v>
      </c>
      <c r="F395" s="595"/>
      <c r="G395" s="1009">
        <f t="shared" si="60"/>
        <v>15.079999999999998</v>
      </c>
      <c r="H395" s="1012">
        <f t="shared" si="61"/>
        <v>22393.8</v>
      </c>
      <c r="I395" s="1011">
        <f t="shared" si="57"/>
        <v>-8.0989818277856701E-2</v>
      </c>
      <c r="J395" s="1009">
        <f t="shared" si="58"/>
        <v>1485</v>
      </c>
      <c r="K395" s="1009">
        <f t="shared" si="59"/>
        <v>-0.50795755969157907</v>
      </c>
      <c r="L395" s="1009"/>
      <c r="M395" s="595"/>
      <c r="N395" s="595"/>
      <c r="O395" s="595"/>
      <c r="P395" s="595"/>
      <c r="Q395" s="595"/>
    </row>
    <row r="396" spans="1:17">
      <c r="A396" s="1019" t="s">
        <v>1509</v>
      </c>
      <c r="B396" s="979" t="s">
        <v>420</v>
      </c>
      <c r="C396" s="979" t="s">
        <v>315</v>
      </c>
      <c r="D396" s="979" t="s">
        <v>1103</v>
      </c>
      <c r="E396" s="980">
        <v>225</v>
      </c>
      <c r="F396" s="595"/>
      <c r="G396" s="1009">
        <f t="shared" si="60"/>
        <v>46.740000000000009</v>
      </c>
      <c r="H396" s="1012">
        <f t="shared" si="61"/>
        <v>10516.500000000002</v>
      </c>
      <c r="I396" s="1011">
        <f t="shared" si="57"/>
        <v>-3.8034162309169506E-2</v>
      </c>
      <c r="J396" s="1009">
        <f t="shared" si="58"/>
        <v>225</v>
      </c>
      <c r="K396" s="1009">
        <f t="shared" si="59"/>
        <v>-0.163885323066945</v>
      </c>
      <c r="L396" s="595"/>
      <c r="M396" s="595"/>
      <c r="N396" s="595"/>
      <c r="O396" s="595"/>
      <c r="P396" s="595"/>
      <c r="Q396" s="595"/>
    </row>
    <row r="397" spans="1:17">
      <c r="A397" s="1019" t="s">
        <v>1509</v>
      </c>
      <c r="B397" s="979" t="s">
        <v>420</v>
      </c>
      <c r="C397" s="979" t="s">
        <v>319</v>
      </c>
      <c r="D397" s="979" t="s">
        <v>1104</v>
      </c>
      <c r="E397" s="980">
        <v>26</v>
      </c>
      <c r="F397" s="595"/>
      <c r="G397" s="1009">
        <f t="shared" si="60"/>
        <v>27.15</v>
      </c>
      <c r="H397" s="1012">
        <f t="shared" si="61"/>
        <v>705.9</v>
      </c>
      <c r="I397" s="1011">
        <f t="shared" si="57"/>
        <v>-2.5529705866060713E-3</v>
      </c>
      <c r="J397" s="1009">
        <f t="shared" si="58"/>
        <v>26</v>
      </c>
      <c r="K397" s="1009">
        <f t="shared" si="59"/>
        <v>-0.28213627993182366</v>
      </c>
      <c r="L397" s="595"/>
      <c r="M397" s="595"/>
      <c r="N397" s="595"/>
      <c r="O397" s="595"/>
      <c r="P397" s="595"/>
      <c r="Q397" s="595"/>
    </row>
    <row r="398" spans="1:17">
      <c r="A398" s="1019" t="s">
        <v>1509</v>
      </c>
      <c r="B398" s="979" t="s">
        <v>420</v>
      </c>
      <c r="C398" s="979" t="s">
        <v>356</v>
      </c>
      <c r="D398" s="979" t="s">
        <v>1105</v>
      </c>
      <c r="E398" s="980">
        <v>4404</v>
      </c>
      <c r="F398" s="595"/>
      <c r="G398" s="1009">
        <f t="shared" si="60"/>
        <v>7.54</v>
      </c>
      <c r="H398" s="1012">
        <f t="shared" si="61"/>
        <v>33206.160000000003</v>
      </c>
      <c r="I398" s="1011">
        <f t="shared" si="57"/>
        <v>-0.12009399316352895</v>
      </c>
      <c r="J398" s="1009">
        <f t="shared" si="58"/>
        <v>4404</v>
      </c>
      <c r="K398" s="1009">
        <f t="shared" si="59"/>
        <v>-1.0159151193831579</v>
      </c>
      <c r="L398" s="1009"/>
      <c r="M398" s="595"/>
      <c r="N398" s="595"/>
      <c r="O398" s="595"/>
      <c r="P398" s="595"/>
      <c r="Q398" s="595"/>
    </row>
    <row r="399" spans="1:17">
      <c r="A399" s="1019" t="s">
        <v>1509</v>
      </c>
      <c r="B399" s="979" t="s">
        <v>420</v>
      </c>
      <c r="C399" s="979" t="s">
        <v>365</v>
      </c>
      <c r="D399" s="979" t="s">
        <v>1106</v>
      </c>
      <c r="E399" s="980">
        <v>8921</v>
      </c>
      <c r="F399" s="595"/>
      <c r="G399" s="1009">
        <f t="shared" si="60"/>
        <v>8.66</v>
      </c>
      <c r="H399" s="1012">
        <f t="shared" si="61"/>
        <v>77255.86</v>
      </c>
      <c r="I399" s="1011">
        <f t="shared" si="57"/>
        <v>-0.27940492735933775</v>
      </c>
      <c r="J399" s="1009">
        <f t="shared" si="58"/>
        <v>8921</v>
      </c>
      <c r="K399" s="1009">
        <f t="shared" si="59"/>
        <v>-0.88452655890866183</v>
      </c>
      <c r="L399" s="595"/>
      <c r="M399" s="595"/>
      <c r="N399" s="595"/>
      <c r="O399" s="595"/>
      <c r="P399" s="595"/>
      <c r="Q399" s="595"/>
    </row>
    <row r="400" spans="1:17">
      <c r="A400" s="1019" t="s">
        <v>1509</v>
      </c>
      <c r="B400" s="979" t="s">
        <v>420</v>
      </c>
      <c r="C400" s="979" t="s">
        <v>388</v>
      </c>
      <c r="D400" s="979" t="s">
        <v>1107</v>
      </c>
      <c r="E400" s="980">
        <v>20402</v>
      </c>
      <c r="F400" s="595"/>
      <c r="G400" s="1009">
        <f t="shared" si="60"/>
        <v>9.14</v>
      </c>
      <c r="H400" s="1012">
        <f t="shared" si="61"/>
        <v>186474.28</v>
      </c>
      <c r="I400" s="1011">
        <f t="shared" si="57"/>
        <v>-0.67440622184239241</v>
      </c>
      <c r="J400" s="1009">
        <f t="shared" si="58"/>
        <v>20402</v>
      </c>
      <c r="K400" s="1009">
        <f t="shared" si="59"/>
        <v>-0.83807439826575614</v>
      </c>
      <c r="L400" s="595"/>
      <c r="M400" s="595"/>
      <c r="N400" s="595"/>
      <c r="O400" s="595"/>
      <c r="P400" s="595"/>
      <c r="Q400" s="595"/>
    </row>
    <row r="401" spans="1:17">
      <c r="A401" s="1019" t="s">
        <v>1509</v>
      </c>
      <c r="B401" s="979" t="s">
        <v>420</v>
      </c>
      <c r="C401" s="979" t="s">
        <v>345</v>
      </c>
      <c r="D401" s="979" t="s">
        <v>1108</v>
      </c>
      <c r="E401" s="980">
        <v>7454</v>
      </c>
      <c r="F401" s="595"/>
      <c r="G401" s="1009">
        <f t="shared" si="60"/>
        <v>14.25</v>
      </c>
      <c r="H401" s="1012">
        <f t="shared" si="61"/>
        <v>106219.5</v>
      </c>
      <c r="I401" s="1011">
        <f t="shared" si="57"/>
        <v>-0.38415534668367135</v>
      </c>
      <c r="J401" s="1009">
        <f t="shared" si="58"/>
        <v>7454</v>
      </c>
      <c r="K401" s="1009">
        <f t="shared" si="59"/>
        <v>-0.53754385965957974</v>
      </c>
      <c r="L401" s="1009"/>
      <c r="M401" s="595"/>
      <c r="N401" s="595"/>
      <c r="O401" s="595"/>
      <c r="P401" s="595"/>
      <c r="Q401" s="595"/>
    </row>
    <row r="402" spans="1:17">
      <c r="A402" s="1019" t="s">
        <v>1509</v>
      </c>
      <c r="B402" s="979" t="s">
        <v>420</v>
      </c>
      <c r="C402" s="979" t="s">
        <v>377</v>
      </c>
      <c r="D402" s="979" t="s">
        <v>1109</v>
      </c>
      <c r="E402" s="980">
        <v>2835</v>
      </c>
      <c r="F402" s="595"/>
      <c r="G402" s="1009">
        <f t="shared" si="60"/>
        <v>22.84</v>
      </c>
      <c r="H402" s="1012">
        <f t="shared" si="61"/>
        <v>64751.4</v>
      </c>
      <c r="I402" s="1011">
        <f t="shared" si="57"/>
        <v>-0.2341810732987171</v>
      </c>
      <c r="J402" s="1009">
        <f t="shared" si="58"/>
        <v>2835</v>
      </c>
      <c r="K402" s="1009">
        <f t="shared" si="59"/>
        <v>-0.3353765324058236</v>
      </c>
      <c r="L402" s="595"/>
      <c r="M402" s="595"/>
      <c r="N402" s="595"/>
      <c r="O402" s="595"/>
      <c r="P402" s="595"/>
      <c r="Q402" s="595"/>
    </row>
    <row r="403" spans="1:17">
      <c r="A403" s="1019" t="s">
        <v>1509</v>
      </c>
      <c r="B403" s="979" t="s">
        <v>420</v>
      </c>
      <c r="C403" s="979" t="s">
        <v>363</v>
      </c>
      <c r="D403" s="979" t="s">
        <v>1110</v>
      </c>
      <c r="E403" s="980">
        <v>865</v>
      </c>
      <c r="F403" s="595"/>
      <c r="G403" s="1009">
        <f t="shared" si="60"/>
        <v>9.620000000000001</v>
      </c>
      <c r="H403" s="1012">
        <f t="shared" si="61"/>
        <v>8321.3000000000011</v>
      </c>
      <c r="I403" s="1011">
        <f t="shared" si="57"/>
        <v>-3.0094962660894047E-2</v>
      </c>
      <c r="J403" s="1009">
        <f t="shared" si="58"/>
        <v>865</v>
      </c>
      <c r="K403" s="1009">
        <f t="shared" si="59"/>
        <v>-0.79625779627328597</v>
      </c>
      <c r="L403" s="595"/>
      <c r="M403" s="595"/>
      <c r="N403" s="595"/>
      <c r="O403" s="595"/>
      <c r="P403" s="595"/>
      <c r="Q403" s="595"/>
    </row>
    <row r="404" spans="1:17">
      <c r="A404" s="1019" t="s">
        <v>1509</v>
      </c>
      <c r="B404" s="979" t="s">
        <v>420</v>
      </c>
      <c r="C404" s="979" t="s">
        <v>373</v>
      </c>
      <c r="D404" s="979" t="s">
        <v>1111</v>
      </c>
      <c r="E404" s="980">
        <v>1370</v>
      </c>
      <c r="F404" s="595"/>
      <c r="G404" s="1009">
        <f t="shared" si="60"/>
        <v>10.770000000000001</v>
      </c>
      <c r="H404" s="1012">
        <f t="shared" si="61"/>
        <v>14754.900000000001</v>
      </c>
      <c r="I404" s="1011">
        <f t="shared" si="57"/>
        <v>-5.3362835682552671E-2</v>
      </c>
      <c r="J404" s="1009">
        <f t="shared" si="58"/>
        <v>1370</v>
      </c>
      <c r="K404" s="1009">
        <f t="shared" si="59"/>
        <v>-0.71123491180585052</v>
      </c>
      <c r="L404" s="595"/>
      <c r="M404" s="595"/>
      <c r="N404" s="595"/>
      <c r="O404" s="595"/>
      <c r="P404" s="595"/>
      <c r="Q404" s="595"/>
    </row>
    <row r="405" spans="1:17">
      <c r="A405" s="1019" t="s">
        <v>1509</v>
      </c>
      <c r="B405" s="979" t="s">
        <v>420</v>
      </c>
      <c r="C405" s="979" t="s">
        <v>396</v>
      </c>
      <c r="D405" s="979" t="s">
        <v>1112</v>
      </c>
      <c r="E405" s="980">
        <v>4061</v>
      </c>
      <c r="F405" s="595"/>
      <c r="G405" s="1009">
        <f t="shared" si="60"/>
        <v>11.16</v>
      </c>
      <c r="H405" s="1012">
        <f t="shared" si="61"/>
        <v>45320.76</v>
      </c>
      <c r="I405" s="1011">
        <f t="shared" si="57"/>
        <v>-0.16390787256358264</v>
      </c>
      <c r="J405" s="1009">
        <f t="shared" si="58"/>
        <v>4061</v>
      </c>
      <c r="K405" s="1009">
        <f t="shared" si="59"/>
        <v>-0.68637992832876449</v>
      </c>
      <c r="L405" s="595"/>
      <c r="M405" s="595"/>
      <c r="N405" s="595"/>
      <c r="O405" s="595"/>
      <c r="P405" s="595"/>
      <c r="Q405" s="595"/>
    </row>
    <row r="406" spans="1:17">
      <c r="A406" s="1019" t="s">
        <v>1509</v>
      </c>
      <c r="B406" s="979" t="s">
        <v>420</v>
      </c>
      <c r="C406" s="979" t="s">
        <v>351</v>
      </c>
      <c r="D406" s="979" t="s">
        <v>1113</v>
      </c>
      <c r="E406" s="980">
        <v>296</v>
      </c>
      <c r="F406" s="595"/>
      <c r="G406" s="1009">
        <f t="shared" si="60"/>
        <v>33.100000000000009</v>
      </c>
      <c r="H406" s="1012">
        <f t="shared" si="61"/>
        <v>9797.6000000000022</v>
      </c>
      <c r="I406" s="1011">
        <f t="shared" si="57"/>
        <v>-3.5434175689660931E-2</v>
      </c>
      <c r="J406" s="1009">
        <f t="shared" si="58"/>
        <v>296</v>
      </c>
      <c r="K406" s="1009">
        <f t="shared" si="59"/>
        <v>-0.23141993958154108</v>
      </c>
      <c r="L406" s="595"/>
      <c r="M406" s="595"/>
      <c r="N406" s="595"/>
      <c r="O406" s="595"/>
      <c r="P406" s="595"/>
      <c r="Q406" s="595"/>
    </row>
    <row r="407" spans="1:17">
      <c r="A407" s="1019" t="s">
        <v>1509</v>
      </c>
      <c r="B407" s="979" t="s">
        <v>420</v>
      </c>
      <c r="C407" s="979" t="s">
        <v>314</v>
      </c>
      <c r="D407" s="979" t="s">
        <v>1114</v>
      </c>
      <c r="E407" s="980">
        <v>61</v>
      </c>
      <c r="F407" s="595"/>
      <c r="G407" s="1009">
        <f t="shared" si="60"/>
        <v>55.250000000000007</v>
      </c>
      <c r="H407" s="1012">
        <f t="shared" si="61"/>
        <v>3370.2500000000005</v>
      </c>
      <c r="I407" s="1011">
        <f t="shared" si="57"/>
        <v>-1.2188906529974662E-2</v>
      </c>
      <c r="J407" s="1009">
        <f t="shared" si="58"/>
        <v>61</v>
      </c>
      <c r="K407" s="1009">
        <f t="shared" si="59"/>
        <v>-0.13864253393934861</v>
      </c>
      <c r="L407" s="595"/>
      <c r="M407" s="595"/>
      <c r="N407" s="595"/>
      <c r="O407" s="595"/>
      <c r="P407" s="595"/>
      <c r="Q407" s="595"/>
    </row>
    <row r="408" spans="1:17">
      <c r="A408" s="1019" t="s">
        <v>1509</v>
      </c>
      <c r="B408" s="979" t="s">
        <v>420</v>
      </c>
      <c r="C408" s="979" t="s">
        <v>355</v>
      </c>
      <c r="D408" s="979" t="s">
        <v>1115</v>
      </c>
      <c r="E408" s="980">
        <v>3695</v>
      </c>
      <c r="F408" s="595"/>
      <c r="G408" s="1009">
        <f t="shared" si="60"/>
        <v>10.49</v>
      </c>
      <c r="H408" s="1012">
        <f t="shared" si="61"/>
        <v>38760.550000000003</v>
      </c>
      <c r="I408" s="1011">
        <f t="shared" si="57"/>
        <v>-0.14018209954763278</v>
      </c>
      <c r="J408" s="1009">
        <f t="shared" si="58"/>
        <v>3695</v>
      </c>
      <c r="K408" s="1009">
        <f t="shared" si="59"/>
        <v>-0.73021925644890484</v>
      </c>
      <c r="L408" s="595"/>
      <c r="M408" s="595"/>
      <c r="N408" s="595"/>
      <c r="O408" s="595"/>
      <c r="P408" s="595"/>
      <c r="Q408" s="595"/>
    </row>
    <row r="409" spans="1:17">
      <c r="A409" s="1019" t="s">
        <v>1509</v>
      </c>
      <c r="B409" s="979" t="s">
        <v>420</v>
      </c>
      <c r="C409" s="979" t="s">
        <v>364</v>
      </c>
      <c r="D409" s="979" t="s">
        <v>1116</v>
      </c>
      <c r="E409" s="980">
        <v>8811</v>
      </c>
      <c r="F409" s="595"/>
      <c r="G409" s="1009">
        <f t="shared" si="60"/>
        <v>11.600000000000001</v>
      </c>
      <c r="H409" s="1012">
        <f t="shared" si="61"/>
        <v>102207.6</v>
      </c>
      <c r="I409" s="1011">
        <f t="shared" si="57"/>
        <v>-0.36964583726816652</v>
      </c>
      <c r="J409" s="1009">
        <f t="shared" si="58"/>
        <v>8811</v>
      </c>
      <c r="K409" s="1009">
        <f t="shared" si="59"/>
        <v>-0.66034482759905266</v>
      </c>
      <c r="L409" s="595"/>
      <c r="M409" s="595"/>
      <c r="N409" s="595"/>
      <c r="O409" s="595"/>
      <c r="P409" s="595"/>
      <c r="Q409" s="595"/>
    </row>
    <row r="410" spans="1:17">
      <c r="A410" s="1019" t="s">
        <v>1509</v>
      </c>
      <c r="B410" s="979" t="s">
        <v>420</v>
      </c>
      <c r="C410" s="979" t="s">
        <v>387</v>
      </c>
      <c r="D410" s="979" t="s">
        <v>1117</v>
      </c>
      <c r="E410" s="980">
        <v>3418</v>
      </c>
      <c r="F410" s="595"/>
      <c r="G410" s="1009">
        <f t="shared" si="60"/>
        <v>12.3</v>
      </c>
      <c r="H410" s="1012">
        <f t="shared" si="61"/>
        <v>42041.4</v>
      </c>
      <c r="I410" s="1011">
        <f t="shared" si="57"/>
        <v>-0.15204768043595482</v>
      </c>
      <c r="J410" s="1009">
        <f t="shared" si="58"/>
        <v>3418</v>
      </c>
      <c r="K410" s="1009">
        <f t="shared" si="59"/>
        <v>-0.6227642276543911</v>
      </c>
      <c r="L410" s="595"/>
      <c r="M410" s="595"/>
      <c r="N410" s="595"/>
      <c r="O410" s="595"/>
      <c r="P410" s="595"/>
      <c r="Q410" s="595"/>
    </row>
    <row r="411" spans="1:17">
      <c r="A411" s="1019" t="s">
        <v>1509</v>
      </c>
      <c r="B411" s="979" t="s">
        <v>420</v>
      </c>
      <c r="C411" s="979" t="s">
        <v>344</v>
      </c>
      <c r="D411" s="979" t="s">
        <v>1118</v>
      </c>
      <c r="E411" s="980">
        <v>5209</v>
      </c>
      <c r="F411" s="595"/>
      <c r="G411" s="1009">
        <f t="shared" si="60"/>
        <v>17.41</v>
      </c>
      <c r="H411" s="1012">
        <f t="shared" si="61"/>
        <v>90688.69</v>
      </c>
      <c r="I411" s="1011">
        <f t="shared" si="57"/>
        <v>-0.32798634099424306</v>
      </c>
      <c r="J411" s="1009">
        <f t="shared" si="58"/>
        <v>5209</v>
      </c>
      <c r="K411" s="1009">
        <f t="shared" si="59"/>
        <v>-0.43997702470700811</v>
      </c>
      <c r="L411" s="595"/>
      <c r="M411" s="595"/>
      <c r="N411" s="595"/>
      <c r="O411" s="595"/>
      <c r="P411" s="595"/>
      <c r="Q411" s="595"/>
    </row>
    <row r="412" spans="1:17">
      <c r="A412" s="1019" t="s">
        <v>1509</v>
      </c>
      <c r="B412" s="979" t="s">
        <v>420</v>
      </c>
      <c r="C412" s="979" t="s">
        <v>376</v>
      </c>
      <c r="D412" s="979" t="s">
        <v>1119</v>
      </c>
      <c r="E412" s="980">
        <v>519</v>
      </c>
      <c r="F412" s="595"/>
      <c r="G412" s="1009">
        <f t="shared" si="60"/>
        <v>24.46</v>
      </c>
      <c r="H412" s="1012">
        <f t="shared" si="61"/>
        <v>12694.74</v>
      </c>
      <c r="I412" s="1011">
        <f t="shared" si="57"/>
        <v>-4.5912024117596768E-2</v>
      </c>
      <c r="J412" s="1009">
        <f t="shared" si="58"/>
        <v>519</v>
      </c>
      <c r="K412" s="1009">
        <f t="shared" si="59"/>
        <v>-0.31316434996520898</v>
      </c>
      <c r="L412" s="595"/>
      <c r="M412" s="595"/>
      <c r="N412" s="595"/>
      <c r="O412" s="595"/>
      <c r="P412" s="595"/>
      <c r="Q412" s="595"/>
    </row>
    <row r="413" spans="1:17">
      <c r="A413" s="1019" t="s">
        <v>1509</v>
      </c>
      <c r="B413" s="979" t="s">
        <v>420</v>
      </c>
      <c r="C413" s="979" t="s">
        <v>374</v>
      </c>
      <c r="D413" s="979" t="s">
        <v>1120</v>
      </c>
      <c r="E413" s="980">
        <v>4601</v>
      </c>
      <c r="F413" s="595"/>
      <c r="G413" s="1009">
        <f t="shared" ref="G413:G429" si="62">SUMIF(_Lights_Tariff_Category,20140101&amp;$C413,_Lights_Rates)</f>
        <v>16.79</v>
      </c>
      <c r="H413" s="1012">
        <f t="shared" ref="H413:H429" si="63">E413*G413</f>
        <v>77250.789999999994</v>
      </c>
      <c r="I413" s="1011">
        <f t="shared" si="57"/>
        <v>-0.27938659110650577</v>
      </c>
      <c r="J413" s="1009">
        <f t="shared" si="58"/>
        <v>4601</v>
      </c>
      <c r="K413" s="1009">
        <f t="shared" si="59"/>
        <v>-0.45622394283198403</v>
      </c>
      <c r="L413" s="595"/>
      <c r="M413" s="595"/>
      <c r="N413" s="595"/>
      <c r="O413" s="595"/>
      <c r="P413" s="595"/>
      <c r="Q413" s="595"/>
    </row>
    <row r="414" spans="1:17">
      <c r="A414" s="1019" t="s">
        <v>1509</v>
      </c>
      <c r="B414" s="979" t="s">
        <v>420</v>
      </c>
      <c r="C414" s="979" t="s">
        <v>398</v>
      </c>
      <c r="D414" s="979" t="s">
        <v>1121</v>
      </c>
      <c r="E414" s="980">
        <v>1060</v>
      </c>
      <c r="F414" s="595"/>
      <c r="G414" s="1009">
        <f t="shared" si="62"/>
        <v>20.97</v>
      </c>
      <c r="H414" s="1012">
        <f t="shared" si="63"/>
        <v>22228.199999999997</v>
      </c>
      <c r="I414" s="1011">
        <f t="shared" ref="I414:I429" si="64">H414/$L$351*$L$352</f>
        <v>-8.0390906351037072E-2</v>
      </c>
      <c r="J414" s="1009">
        <f t="shared" ref="J414:J429" si="65">ROUND((H414+I414)/G414,0)</f>
        <v>1060</v>
      </c>
      <c r="K414" s="1009">
        <f t="shared" ref="K414:K429" si="66">$L$352/G414</f>
        <v>-0.36528373868140257</v>
      </c>
      <c r="L414" s="595"/>
      <c r="M414" s="595"/>
      <c r="N414" s="595"/>
      <c r="O414" s="595"/>
      <c r="P414" s="595"/>
      <c r="Q414" s="595"/>
    </row>
    <row r="415" spans="1:17">
      <c r="A415" s="1019" t="s">
        <v>1509</v>
      </c>
      <c r="B415" s="979" t="s">
        <v>420</v>
      </c>
      <c r="C415" s="979" t="s">
        <v>348</v>
      </c>
      <c r="D415" s="979" t="s">
        <v>1122</v>
      </c>
      <c r="E415" s="980">
        <v>1423</v>
      </c>
      <c r="F415" s="595"/>
      <c r="G415" s="1009">
        <f t="shared" si="62"/>
        <v>26.86</v>
      </c>
      <c r="H415" s="1012">
        <f t="shared" si="63"/>
        <v>38221.78</v>
      </c>
      <c r="I415" s="1011">
        <f t="shared" si="64"/>
        <v>-0.13823357431325714</v>
      </c>
      <c r="J415" s="1009">
        <f t="shared" si="65"/>
        <v>1423</v>
      </c>
      <c r="K415" s="1009">
        <f t="shared" si="66"/>
        <v>-0.28518242740688798</v>
      </c>
      <c r="L415" s="595"/>
      <c r="M415" s="595"/>
      <c r="N415" s="595"/>
      <c r="O415" s="595"/>
      <c r="P415" s="595"/>
      <c r="Q415" s="595"/>
    </row>
    <row r="416" spans="1:17">
      <c r="A416" s="1019" t="s">
        <v>1509</v>
      </c>
      <c r="B416" s="979" t="s">
        <v>420</v>
      </c>
      <c r="C416" s="979" t="s">
        <v>380</v>
      </c>
      <c r="D416" s="979" t="s">
        <v>1123</v>
      </c>
      <c r="E416" s="980">
        <v>956</v>
      </c>
      <c r="F416" s="595"/>
      <c r="G416" s="1009">
        <f t="shared" si="62"/>
        <v>33.119999999999997</v>
      </c>
      <c r="H416" s="1012">
        <f t="shared" si="63"/>
        <v>31662.719999999998</v>
      </c>
      <c r="I416" s="1011">
        <f t="shared" si="64"/>
        <v>-0.11451196040791016</v>
      </c>
      <c r="J416" s="1009">
        <f t="shared" si="65"/>
        <v>956</v>
      </c>
      <c r="K416" s="1009">
        <f t="shared" si="66"/>
        <v>-0.23128019324121413</v>
      </c>
      <c r="L416" s="595"/>
      <c r="M416" s="595"/>
      <c r="N416" s="595"/>
      <c r="O416" s="595"/>
      <c r="P416" s="595"/>
      <c r="Q416" s="595"/>
    </row>
    <row r="417" spans="1:17">
      <c r="A417" s="1019" t="s">
        <v>1509</v>
      </c>
      <c r="B417" s="979" t="s">
        <v>420</v>
      </c>
      <c r="C417" s="979" t="s">
        <v>399</v>
      </c>
      <c r="D417" s="979" t="s">
        <v>1124</v>
      </c>
      <c r="E417" s="980">
        <v>11252</v>
      </c>
      <c r="F417" s="595"/>
      <c r="G417" s="1009">
        <f t="shared" si="62"/>
        <v>9</v>
      </c>
      <c r="H417" s="1012">
        <f t="shared" si="63"/>
        <v>101268</v>
      </c>
      <c r="I417" s="1011">
        <f t="shared" si="64"/>
        <v>-0.36624766307468998</v>
      </c>
      <c r="J417" s="1009">
        <f t="shared" si="65"/>
        <v>11252</v>
      </c>
      <c r="K417" s="1009">
        <f t="shared" si="66"/>
        <v>-0.85111111112766791</v>
      </c>
      <c r="L417" s="595"/>
      <c r="M417" s="595"/>
      <c r="N417" s="595"/>
      <c r="O417" s="595"/>
      <c r="P417" s="595"/>
      <c r="Q417" s="595"/>
    </row>
    <row r="418" spans="1:17">
      <c r="A418" s="1019" t="s">
        <v>1509</v>
      </c>
      <c r="B418" s="979" t="s">
        <v>420</v>
      </c>
      <c r="C418" s="979" t="s">
        <v>349</v>
      </c>
      <c r="D418" s="979" t="s">
        <v>1125</v>
      </c>
      <c r="E418" s="980">
        <v>6689</v>
      </c>
      <c r="F418" s="595"/>
      <c r="G418" s="1009">
        <f t="shared" si="62"/>
        <v>13.639999999999999</v>
      </c>
      <c r="H418" s="1012">
        <f t="shared" si="63"/>
        <v>91237.959999999992</v>
      </c>
      <c r="I418" s="1011">
        <f t="shared" si="64"/>
        <v>-0.32997284071673222</v>
      </c>
      <c r="J418" s="1009">
        <f t="shared" si="65"/>
        <v>6689</v>
      </c>
      <c r="K418" s="1009">
        <f t="shared" si="66"/>
        <v>-0.56158357772353462</v>
      </c>
      <c r="L418" s="595"/>
      <c r="M418" s="595"/>
      <c r="N418" s="595"/>
      <c r="O418" s="595"/>
      <c r="P418" s="595"/>
      <c r="Q418" s="595"/>
    </row>
    <row r="419" spans="1:17">
      <c r="A419" s="1019" t="s">
        <v>1509</v>
      </c>
      <c r="B419" s="979" t="s">
        <v>420</v>
      </c>
      <c r="C419" s="979" t="s">
        <v>381</v>
      </c>
      <c r="D419" s="979" t="s">
        <v>1126</v>
      </c>
      <c r="E419" s="980">
        <v>8376</v>
      </c>
      <c r="F419" s="595"/>
      <c r="G419" s="1009">
        <f t="shared" si="62"/>
        <v>19.46</v>
      </c>
      <c r="H419" s="1012">
        <f t="shared" si="63"/>
        <v>162996.96000000002</v>
      </c>
      <c r="I419" s="1011">
        <f t="shared" si="64"/>
        <v>-0.5894977257206494</v>
      </c>
      <c r="J419" s="1009">
        <f t="shared" si="65"/>
        <v>8376</v>
      </c>
      <c r="K419" s="1009">
        <f t="shared" si="66"/>
        <v>-0.39362795478669121</v>
      </c>
      <c r="L419" s="595"/>
      <c r="M419" s="595"/>
      <c r="N419" s="595"/>
      <c r="O419" s="595"/>
      <c r="P419" s="595"/>
      <c r="Q419" s="595"/>
    </row>
    <row r="420" spans="1:17">
      <c r="A420" s="1019" t="s">
        <v>1509</v>
      </c>
      <c r="B420" s="979" t="s">
        <v>420</v>
      </c>
      <c r="C420" s="979" t="s">
        <v>321</v>
      </c>
      <c r="D420" s="979" t="s">
        <v>1127</v>
      </c>
      <c r="E420" s="980">
        <v>58</v>
      </c>
      <c r="F420" s="595"/>
      <c r="G420" s="1009">
        <f t="shared" si="62"/>
        <v>15.47</v>
      </c>
      <c r="H420" s="1012">
        <f t="shared" si="63"/>
        <v>897.26</v>
      </c>
      <c r="I420" s="1011">
        <f t="shared" si="64"/>
        <v>-3.2450465909309588E-3</v>
      </c>
      <c r="J420" s="1009">
        <f t="shared" si="65"/>
        <v>58</v>
      </c>
      <c r="K420" s="1009">
        <f t="shared" si="66"/>
        <v>-0.49515190692624506</v>
      </c>
      <c r="L420" s="595"/>
      <c r="M420" s="595"/>
      <c r="N420" s="595"/>
      <c r="O420" s="595"/>
      <c r="P420" s="595"/>
      <c r="Q420" s="595"/>
    </row>
    <row r="421" spans="1:17">
      <c r="A421" s="1019" t="s">
        <v>1509</v>
      </c>
      <c r="B421" s="979" t="s">
        <v>420</v>
      </c>
      <c r="C421" s="979" t="s">
        <v>353</v>
      </c>
      <c r="D421" s="979" t="s">
        <v>1128</v>
      </c>
      <c r="E421" s="980">
        <v>297</v>
      </c>
      <c r="F421" s="595"/>
      <c r="G421" s="1009">
        <f t="shared" si="62"/>
        <v>21.930000000000003</v>
      </c>
      <c r="H421" s="1012">
        <f t="shared" si="63"/>
        <v>6513.2100000000009</v>
      </c>
      <c r="I421" s="1011">
        <f t="shared" si="64"/>
        <v>-2.3555791973917741E-2</v>
      </c>
      <c r="J421" s="1009">
        <f t="shared" si="65"/>
        <v>297</v>
      </c>
      <c r="K421" s="1009">
        <f t="shared" si="66"/>
        <v>-0.34929320566114958</v>
      </c>
      <c r="L421" s="595"/>
      <c r="M421" s="595"/>
      <c r="N421" s="595"/>
      <c r="O421" s="595"/>
      <c r="P421" s="595"/>
      <c r="Q421" s="595"/>
    </row>
    <row r="422" spans="1:17">
      <c r="A422" s="1019" t="s">
        <v>1509</v>
      </c>
      <c r="B422" s="979" t="s">
        <v>420</v>
      </c>
      <c r="C422" s="979" t="s">
        <v>678</v>
      </c>
      <c r="D422" s="979" t="s">
        <v>1129</v>
      </c>
      <c r="E422" s="980">
        <v>2</v>
      </c>
      <c r="F422" s="595"/>
      <c r="G422" s="1009">
        <f t="shared" si="62"/>
        <v>15.370000000000001</v>
      </c>
      <c r="H422" s="1012">
        <f t="shared" si="63"/>
        <v>30.740000000000002</v>
      </c>
      <c r="I422" s="1011">
        <f t="shared" si="64"/>
        <v>-1.1117483472484863E-4</v>
      </c>
      <c r="J422" s="1009">
        <f t="shared" si="65"/>
        <v>2</v>
      </c>
      <c r="K422" s="1009">
        <f t="shared" si="66"/>
        <v>-0.49837345479173789</v>
      </c>
      <c r="L422" s="595"/>
      <c r="M422" s="595"/>
      <c r="N422" s="595"/>
      <c r="O422" s="595"/>
      <c r="P422" s="595"/>
      <c r="Q422" s="595"/>
    </row>
    <row r="423" spans="1:17">
      <c r="A423" s="1019" t="s">
        <v>1509</v>
      </c>
      <c r="B423" s="979" t="s">
        <v>420</v>
      </c>
      <c r="C423" s="979" t="s">
        <v>316</v>
      </c>
      <c r="D423" s="979" t="s">
        <v>1130</v>
      </c>
      <c r="E423" s="980">
        <v>43</v>
      </c>
      <c r="F423" s="595"/>
      <c r="G423" s="1009">
        <f t="shared" si="62"/>
        <v>45.7</v>
      </c>
      <c r="H423" s="1012">
        <f t="shared" si="63"/>
        <v>1965.1000000000001</v>
      </c>
      <c r="I423" s="1011">
        <f t="shared" si="64"/>
        <v>-7.1070158659011073E-3</v>
      </c>
      <c r="J423" s="1009">
        <f t="shared" si="65"/>
        <v>43</v>
      </c>
      <c r="K423" s="1009">
        <f t="shared" si="66"/>
        <v>-0.16761487965315122</v>
      </c>
      <c r="L423" s="595"/>
      <c r="M423" s="595"/>
      <c r="N423" s="595"/>
      <c r="O423" s="595"/>
      <c r="P423" s="595"/>
      <c r="Q423" s="595"/>
    </row>
    <row r="424" spans="1:17">
      <c r="A424" s="1019" t="s">
        <v>1509</v>
      </c>
      <c r="B424" s="979" t="s">
        <v>420</v>
      </c>
      <c r="C424" s="979" t="s">
        <v>318</v>
      </c>
      <c r="D424" s="979" t="s">
        <v>1131</v>
      </c>
      <c r="E424" s="980">
        <f>169+1</f>
        <v>170</v>
      </c>
      <c r="F424" s="595"/>
      <c r="G424" s="1009">
        <f t="shared" si="62"/>
        <v>28.37</v>
      </c>
      <c r="H424" s="1012">
        <f t="shared" si="63"/>
        <v>4822.9000000000005</v>
      </c>
      <c r="I424" s="1011">
        <f t="shared" si="64"/>
        <v>-1.7442586545038143E-2</v>
      </c>
      <c r="J424" s="1009">
        <f t="shared" si="65"/>
        <v>170</v>
      </c>
      <c r="K424" s="1009">
        <f t="shared" si="66"/>
        <v>-0.27000352485544632</v>
      </c>
      <c r="L424" s="1009"/>
      <c r="M424" s="595"/>
      <c r="N424" s="595"/>
      <c r="O424" s="595"/>
      <c r="P424" s="595"/>
      <c r="Q424" s="595"/>
    </row>
    <row r="425" spans="1:17">
      <c r="A425" s="1019" t="s">
        <v>1509</v>
      </c>
      <c r="B425" s="979" t="s">
        <v>420</v>
      </c>
      <c r="C425" s="979" t="s">
        <v>350</v>
      </c>
      <c r="D425" s="979" t="s">
        <v>1132</v>
      </c>
      <c r="E425" s="980">
        <v>626</v>
      </c>
      <c r="F425" s="595"/>
      <c r="G425" s="1009">
        <f t="shared" si="62"/>
        <v>34.830000000000005</v>
      </c>
      <c r="H425" s="1012">
        <f t="shared" si="63"/>
        <v>21803.58</v>
      </c>
      <c r="I425" s="1011">
        <f t="shared" si="64"/>
        <v>-7.8855218051724629E-2</v>
      </c>
      <c r="J425" s="1009">
        <f t="shared" si="65"/>
        <v>626</v>
      </c>
      <c r="K425" s="1009">
        <f t="shared" si="66"/>
        <v>-0.21992535171257566</v>
      </c>
      <c r="L425" s="595"/>
      <c r="M425" s="595"/>
      <c r="N425" s="595"/>
      <c r="O425" s="595"/>
      <c r="P425" s="595"/>
      <c r="Q425" s="595"/>
    </row>
    <row r="426" spans="1:17">
      <c r="A426" s="1019" t="s">
        <v>1509</v>
      </c>
      <c r="B426" s="979" t="s">
        <v>420</v>
      </c>
      <c r="C426" s="979" t="s">
        <v>313</v>
      </c>
      <c r="D426" s="979" t="s">
        <v>1133</v>
      </c>
      <c r="E426" s="980">
        <v>155</v>
      </c>
      <c r="F426" s="595"/>
      <c r="G426" s="1009">
        <f t="shared" si="62"/>
        <v>58.59</v>
      </c>
      <c r="H426" s="1012">
        <f t="shared" si="63"/>
        <v>9081.4500000000007</v>
      </c>
      <c r="I426" s="1011">
        <f t="shared" si="64"/>
        <v>-3.2844134769420184E-2</v>
      </c>
      <c r="J426" s="1009">
        <f t="shared" si="65"/>
        <v>155</v>
      </c>
      <c r="K426" s="1009">
        <f t="shared" si="66"/>
        <v>-0.13073903396738371</v>
      </c>
      <c r="L426" s="595"/>
      <c r="M426" s="595"/>
      <c r="N426" s="595"/>
      <c r="O426" s="595"/>
      <c r="P426" s="595"/>
      <c r="Q426" s="595"/>
    </row>
    <row r="427" spans="1:17">
      <c r="A427" s="1019" t="s">
        <v>1509</v>
      </c>
      <c r="B427" s="979" t="s">
        <v>420</v>
      </c>
      <c r="C427" s="979" t="s">
        <v>650</v>
      </c>
      <c r="D427" s="979" t="s">
        <v>1151</v>
      </c>
      <c r="E427" s="980">
        <v>10</v>
      </c>
      <c r="F427" s="595"/>
      <c r="G427" s="1035">
        <f t="shared" si="62"/>
        <v>15.35</v>
      </c>
      <c r="H427" s="1012">
        <f t="shared" si="63"/>
        <v>153.5</v>
      </c>
      <c r="I427" s="1011">
        <f t="shared" si="64"/>
        <v>-5.5515085004112757E-4</v>
      </c>
      <c r="J427" s="1034">
        <f t="shared" si="65"/>
        <v>10</v>
      </c>
      <c r="K427" s="1009">
        <f t="shared" si="66"/>
        <v>-0.49902280131263921</v>
      </c>
      <c r="L427" s="595"/>
      <c r="M427" s="595"/>
      <c r="N427" s="595"/>
      <c r="O427" s="595"/>
      <c r="P427" s="595"/>
      <c r="Q427" s="595"/>
    </row>
    <row r="428" spans="1:17">
      <c r="A428" s="1019" t="s">
        <v>1509</v>
      </c>
      <c r="B428" s="979" t="s">
        <v>420</v>
      </c>
      <c r="C428" s="979" t="s">
        <v>447</v>
      </c>
      <c r="D428" s="979" t="s">
        <v>1134</v>
      </c>
      <c r="E428" s="980">
        <v>24</v>
      </c>
      <c r="F428" s="595"/>
      <c r="G428" s="1035">
        <f t="shared" si="62"/>
        <v>17.72</v>
      </c>
      <c r="H428" s="1012">
        <f t="shared" si="63"/>
        <v>425.28</v>
      </c>
      <c r="I428" s="1011">
        <f t="shared" si="64"/>
        <v>-1.5380752671367475E-3</v>
      </c>
      <c r="J428" s="1034">
        <f t="shared" si="65"/>
        <v>24</v>
      </c>
      <c r="K428" s="1009">
        <f t="shared" si="66"/>
        <v>-0.43227990971495556</v>
      </c>
      <c r="L428" s="595"/>
      <c r="M428" s="595"/>
      <c r="N428" s="595"/>
      <c r="O428" s="595"/>
      <c r="P428" s="595"/>
      <c r="Q428" s="595"/>
    </row>
    <row r="429" spans="1:17">
      <c r="A429" s="1019" t="s">
        <v>1509</v>
      </c>
      <c r="B429" s="979" t="s">
        <v>420</v>
      </c>
      <c r="C429" s="979" t="s">
        <v>624</v>
      </c>
      <c r="D429" s="979" t="s">
        <v>1135</v>
      </c>
      <c r="E429" s="980">
        <v>24</v>
      </c>
      <c r="F429" s="595"/>
      <c r="G429" s="1035">
        <f t="shared" si="62"/>
        <v>21.490000000000002</v>
      </c>
      <c r="H429" s="1012">
        <f t="shared" si="63"/>
        <v>515.76</v>
      </c>
      <c r="I429" s="1011">
        <f t="shared" si="64"/>
        <v>-1.8653068561381887E-3</v>
      </c>
      <c r="J429" s="1034">
        <f t="shared" si="65"/>
        <v>24</v>
      </c>
      <c r="K429" s="1009">
        <f t="shared" si="66"/>
        <v>-0.35644485808045651</v>
      </c>
      <c r="L429" s="595"/>
      <c r="M429" s="595"/>
      <c r="N429" s="595"/>
      <c r="O429" s="595"/>
      <c r="P429" s="595"/>
    </row>
    <row r="430" spans="1:17">
      <c r="A430" s="1019" t="s">
        <v>1509</v>
      </c>
      <c r="B430" s="979" t="s">
        <v>420</v>
      </c>
      <c r="C430" s="1021" t="s">
        <v>8</v>
      </c>
      <c r="D430" s="1021"/>
      <c r="E430" s="980">
        <f>SUM(E349:E429)</f>
        <v>169715</v>
      </c>
      <c r="F430" s="595"/>
      <c r="G430" s="1031"/>
      <c r="H430" s="1033">
        <f>SUM(H349:H429)</f>
        <v>2118000.9</v>
      </c>
      <c r="I430" s="1031"/>
      <c r="J430" s="1032">
        <f>SUM(J349:J429)</f>
        <v>169715</v>
      </c>
      <c r="K430" s="1031"/>
    </row>
    <row r="431" spans="1:17">
      <c r="A431" s="1016"/>
      <c r="B431" s="1016"/>
      <c r="C431" s="1016"/>
      <c r="D431" s="981"/>
      <c r="E431" s="979"/>
      <c r="F431" s="595"/>
    </row>
    <row r="432" spans="1:17">
      <c r="A432" s="979"/>
      <c r="B432" s="979"/>
      <c r="C432" s="979"/>
      <c r="D432" s="1018"/>
      <c r="E432" s="981"/>
      <c r="F432" s="595"/>
    </row>
    <row r="433" spans="1:17">
      <c r="A433" s="1019" t="s">
        <v>1510</v>
      </c>
      <c r="B433" s="979" t="s">
        <v>420</v>
      </c>
      <c r="C433" s="979" t="s">
        <v>433</v>
      </c>
      <c r="D433" s="979" t="s">
        <v>432</v>
      </c>
      <c r="E433" s="980"/>
      <c r="F433" s="595"/>
      <c r="G433" s="1009"/>
      <c r="H433" s="1009"/>
      <c r="I433" s="1009"/>
      <c r="J433" s="1009"/>
      <c r="K433" s="1009"/>
      <c r="L433" s="1020">
        <f>'12MonLights'!$O$529</f>
        <v>2142961</v>
      </c>
      <c r="M433" s="595" t="s">
        <v>1529</v>
      </c>
      <c r="N433" s="595"/>
      <c r="O433" s="595"/>
      <c r="P433" s="595"/>
      <c r="Q433" s="1010" t="s">
        <v>1539</v>
      </c>
    </row>
    <row r="434" spans="1:17">
      <c r="A434" s="1019" t="s">
        <v>1510</v>
      </c>
      <c r="B434" s="979" t="s">
        <v>420</v>
      </c>
      <c r="C434" s="979" t="s">
        <v>431</v>
      </c>
      <c r="D434" s="979" t="s">
        <v>430</v>
      </c>
      <c r="E434" s="980"/>
      <c r="F434" s="595"/>
      <c r="G434" s="1009"/>
      <c r="H434" s="1009"/>
      <c r="I434" s="1009"/>
      <c r="J434" s="1009"/>
      <c r="K434" s="1009"/>
      <c r="L434" s="1011">
        <f>'12MonResults'!$AE$218</f>
        <v>699.57</v>
      </c>
      <c r="M434" s="595" t="s">
        <v>1531</v>
      </c>
      <c r="N434" s="595"/>
      <c r="O434" s="595"/>
      <c r="P434" s="595"/>
      <c r="Q434" s="595"/>
    </row>
    <row r="435" spans="1:17" ht="13.5">
      <c r="A435" s="1019" t="s">
        <v>1510</v>
      </c>
      <c r="B435" s="979" t="s">
        <v>420</v>
      </c>
      <c r="C435" s="979" t="s">
        <v>323</v>
      </c>
      <c r="D435" s="979" t="s">
        <v>1056</v>
      </c>
      <c r="E435" s="980">
        <v>178</v>
      </c>
      <c r="F435" s="595"/>
      <c r="G435" s="1009">
        <f t="shared" ref="G435:G466" si="67">SUMIF(_Lights_Tariff_Category,20140101&amp;$C435,_Lights_Rates)</f>
        <v>55.33</v>
      </c>
      <c r="H435" s="1012">
        <f t="shared" ref="H435:H466" si="68">E435*G435</f>
        <v>9848.74</v>
      </c>
      <c r="I435" s="1011">
        <f>H435/$L$437*$L$438</f>
        <v>-0.10128879532041576</v>
      </c>
      <c r="J435" s="1009">
        <f>ROUND((H435+I435)/G435,0)</f>
        <v>178</v>
      </c>
      <c r="K435" s="1009">
        <f>$L$438/G435</f>
        <v>-0.39616844388923111</v>
      </c>
      <c r="L435" s="1013">
        <f>'12MonResults'!$AE$220</f>
        <v>10908.6</v>
      </c>
      <c r="M435" s="1014" t="s">
        <v>1532</v>
      </c>
      <c r="N435" s="595"/>
      <c r="O435" s="595"/>
      <c r="P435" s="595"/>
      <c r="Q435" s="595"/>
    </row>
    <row r="436" spans="1:17">
      <c r="A436" s="1019" t="s">
        <v>1510</v>
      </c>
      <c r="B436" s="979" t="s">
        <v>420</v>
      </c>
      <c r="C436" s="979" t="s">
        <v>328</v>
      </c>
      <c r="D436" s="979" t="s">
        <v>1057</v>
      </c>
      <c r="E436" s="980">
        <v>25</v>
      </c>
      <c r="F436" s="595"/>
      <c r="G436" s="1009">
        <f t="shared" si="67"/>
        <v>83.16</v>
      </c>
      <c r="H436" s="1012">
        <f t="shared" si="68"/>
        <v>2079</v>
      </c>
      <c r="I436" s="1011">
        <f t="shared" ref="I436:I499" si="69">H436/$L$437*$L$438</f>
        <v>-2.1381354921659462E-2</v>
      </c>
      <c r="J436" s="1009">
        <f t="shared" ref="J436:J499" si="70">ROUND((H436+I436)/G436,0)</f>
        <v>25</v>
      </c>
      <c r="K436" s="1009">
        <f t="shared" ref="K436:K499" si="71">$L$438/G436</f>
        <v>-0.26358826359296728</v>
      </c>
      <c r="L436" s="1011">
        <f>L433-L434-L435</f>
        <v>2131352.83</v>
      </c>
      <c r="M436" s="595" t="s">
        <v>1533</v>
      </c>
      <c r="N436" s="595"/>
      <c r="O436" s="595"/>
      <c r="P436" s="595"/>
      <c r="Q436" s="595"/>
    </row>
    <row r="437" spans="1:17">
      <c r="A437" s="1019" t="s">
        <v>1510</v>
      </c>
      <c r="B437" s="979" t="s">
        <v>420</v>
      </c>
      <c r="C437" s="979" t="s">
        <v>331</v>
      </c>
      <c r="D437" s="979" t="s">
        <v>1058</v>
      </c>
      <c r="E437" s="980">
        <v>43</v>
      </c>
      <c r="F437" s="595"/>
      <c r="G437" s="1009">
        <f t="shared" si="67"/>
        <v>59.78</v>
      </c>
      <c r="H437" s="1012">
        <f t="shared" si="68"/>
        <v>2570.54</v>
      </c>
      <c r="I437" s="1011">
        <f t="shared" si="69"/>
        <v>-2.6436569543204669E-2</v>
      </c>
      <c r="J437" s="1009">
        <f t="shared" si="70"/>
        <v>43</v>
      </c>
      <c r="K437" s="1009">
        <f t="shared" si="71"/>
        <v>-0.36667781867499422</v>
      </c>
      <c r="L437" s="1012">
        <f>$H$516</f>
        <v>2131374.7500000005</v>
      </c>
      <c r="M437" s="595" t="s">
        <v>1534</v>
      </c>
      <c r="N437" s="595"/>
      <c r="O437" s="595"/>
      <c r="P437" s="595"/>
      <c r="Q437" s="595"/>
    </row>
    <row r="438" spans="1:17">
      <c r="A438" s="1019" t="s">
        <v>1510</v>
      </c>
      <c r="B438" s="979" t="s">
        <v>420</v>
      </c>
      <c r="C438" s="979" t="s">
        <v>332</v>
      </c>
      <c r="D438" s="979" t="s">
        <v>1059</v>
      </c>
      <c r="E438" s="980">
        <v>5</v>
      </c>
      <c r="F438" s="595"/>
      <c r="G438" s="1009">
        <f t="shared" si="67"/>
        <v>61.75</v>
      </c>
      <c r="H438" s="1012">
        <f t="shared" si="68"/>
        <v>308.75</v>
      </c>
      <c r="I438" s="1011">
        <f t="shared" si="69"/>
        <v>-3.1753214680434621E-3</v>
      </c>
      <c r="J438" s="1009">
        <f t="shared" si="70"/>
        <v>5</v>
      </c>
      <c r="K438" s="1009">
        <f t="shared" si="71"/>
        <v>-0.35497975709135476</v>
      </c>
      <c r="L438" s="1011">
        <f>L436-L437</f>
        <v>-21.920000000391155</v>
      </c>
      <c r="M438" s="595"/>
      <c r="N438" s="595"/>
      <c r="O438" s="595"/>
      <c r="P438" s="595"/>
      <c r="Q438" s="595"/>
    </row>
    <row r="439" spans="1:17">
      <c r="A439" s="1019" t="s">
        <v>1510</v>
      </c>
      <c r="B439" s="979" t="s">
        <v>420</v>
      </c>
      <c r="C439" s="979" t="s">
        <v>333</v>
      </c>
      <c r="D439" s="979" t="s">
        <v>1060</v>
      </c>
      <c r="E439" s="980">
        <v>1</v>
      </c>
      <c r="F439" s="595"/>
      <c r="G439" s="1009">
        <f t="shared" si="67"/>
        <v>63.11</v>
      </c>
      <c r="H439" s="1012">
        <f t="shared" si="68"/>
        <v>63.11</v>
      </c>
      <c r="I439" s="1011">
        <f t="shared" si="69"/>
        <v>-6.490511347310863E-4</v>
      </c>
      <c r="J439" s="1009">
        <f t="shared" si="70"/>
        <v>1</v>
      </c>
      <c r="K439" s="1009">
        <f t="shared" si="71"/>
        <v>-0.34733005863399075</v>
      </c>
      <c r="L439" s="595"/>
      <c r="M439" s="595"/>
      <c r="N439" s="595"/>
      <c r="O439" s="595"/>
      <c r="P439" s="595"/>
      <c r="Q439" s="595"/>
    </row>
    <row r="440" spans="1:17">
      <c r="A440" s="1019" t="s">
        <v>1510</v>
      </c>
      <c r="B440" s="979" t="s">
        <v>420</v>
      </c>
      <c r="C440" s="979" t="s">
        <v>335</v>
      </c>
      <c r="D440" s="979" t="s">
        <v>1061</v>
      </c>
      <c r="E440" s="980">
        <v>5</v>
      </c>
      <c r="F440" s="595"/>
      <c r="G440" s="1009">
        <f t="shared" si="67"/>
        <v>80.94</v>
      </c>
      <c r="H440" s="1012">
        <f t="shared" si="68"/>
        <v>404.7</v>
      </c>
      <c r="I440" s="1011">
        <f t="shared" si="69"/>
        <v>-4.1621136781123539E-3</v>
      </c>
      <c r="J440" s="1009">
        <f t="shared" si="70"/>
        <v>5</v>
      </c>
      <c r="K440" s="1009">
        <f t="shared" si="71"/>
        <v>-0.27081788979974247</v>
      </c>
      <c r="L440" s="595"/>
      <c r="M440" s="595"/>
      <c r="N440" s="595"/>
      <c r="O440" s="595"/>
      <c r="P440" s="595"/>
      <c r="Q440" s="595"/>
    </row>
    <row r="441" spans="1:17">
      <c r="A441" s="1019" t="s">
        <v>1510</v>
      </c>
      <c r="B441" s="979" t="s">
        <v>420</v>
      </c>
      <c r="C441" s="979" t="s">
        <v>336</v>
      </c>
      <c r="D441" s="979" t="s">
        <v>1062</v>
      </c>
      <c r="E441" s="980">
        <v>9</v>
      </c>
      <c r="F441" s="595"/>
      <c r="G441" s="1009">
        <f t="shared" si="67"/>
        <v>78.97</v>
      </c>
      <c r="H441" s="1012">
        <f t="shared" si="68"/>
        <v>710.73</v>
      </c>
      <c r="I441" s="1011">
        <f t="shared" si="69"/>
        <v>-7.3094614639110291E-3</v>
      </c>
      <c r="J441" s="1009">
        <f t="shared" si="70"/>
        <v>9</v>
      </c>
      <c r="K441" s="1009">
        <f t="shared" si="71"/>
        <v>-0.27757376219312596</v>
      </c>
      <c r="L441" s="595"/>
      <c r="M441" s="595"/>
      <c r="N441" s="595"/>
      <c r="O441" s="595"/>
      <c r="P441" s="595"/>
      <c r="Q441" s="595"/>
    </row>
    <row r="442" spans="1:17">
      <c r="A442" s="1019" t="s">
        <v>1510</v>
      </c>
      <c r="B442" s="979" t="s">
        <v>420</v>
      </c>
      <c r="C442" s="979" t="s">
        <v>338</v>
      </c>
      <c r="D442" s="979" t="s">
        <v>1063</v>
      </c>
      <c r="E442" s="980">
        <v>25</v>
      </c>
      <c r="F442" s="595"/>
      <c r="G442" s="1009">
        <f t="shared" si="67"/>
        <v>61.230000000000004</v>
      </c>
      <c r="H442" s="1012">
        <f t="shared" si="68"/>
        <v>1530.75</v>
      </c>
      <c r="I442" s="1011">
        <f t="shared" si="69"/>
        <v>-1.5742909594194429E-2</v>
      </c>
      <c r="J442" s="1009">
        <f t="shared" si="70"/>
        <v>25</v>
      </c>
      <c r="K442" s="1009">
        <f t="shared" si="71"/>
        <v>-0.35799444717280998</v>
      </c>
      <c r="L442" s="595"/>
      <c r="M442" s="595"/>
      <c r="N442" s="595"/>
      <c r="O442" s="595"/>
      <c r="P442" s="595"/>
      <c r="Q442" s="595"/>
    </row>
    <row r="443" spans="1:17">
      <c r="A443" s="1019" t="s">
        <v>1510</v>
      </c>
      <c r="B443" s="979" t="s">
        <v>420</v>
      </c>
      <c r="C443" s="979" t="s">
        <v>339</v>
      </c>
      <c r="D443" s="979" t="s">
        <v>1064</v>
      </c>
      <c r="E443" s="980">
        <v>1</v>
      </c>
      <c r="F443" s="595"/>
      <c r="G443" s="1009">
        <f t="shared" si="67"/>
        <v>56.69</v>
      </c>
      <c r="H443" s="1012">
        <f t="shared" si="68"/>
        <v>56.69</v>
      </c>
      <c r="I443" s="1011">
        <f t="shared" si="69"/>
        <v>-5.8302501707978586E-4</v>
      </c>
      <c r="J443" s="1009">
        <f t="shared" si="70"/>
        <v>1</v>
      </c>
      <c r="K443" s="1009">
        <f t="shared" si="71"/>
        <v>-0.38666431470084944</v>
      </c>
      <c r="L443" s="595"/>
      <c r="M443" s="595"/>
      <c r="N443" s="595"/>
      <c r="O443" s="595"/>
      <c r="P443" s="595"/>
      <c r="Q443" s="595"/>
    </row>
    <row r="444" spans="1:17">
      <c r="A444" s="1019" t="s">
        <v>1510</v>
      </c>
      <c r="B444" s="979" t="s">
        <v>420</v>
      </c>
      <c r="C444" s="979" t="s">
        <v>325</v>
      </c>
      <c r="D444" s="979" t="s">
        <v>1065</v>
      </c>
      <c r="E444" s="980">
        <v>15</v>
      </c>
      <c r="F444" s="595"/>
      <c r="G444" s="1009">
        <f t="shared" si="67"/>
        <v>74.52</v>
      </c>
      <c r="H444" s="1012">
        <f t="shared" si="68"/>
        <v>1117.8</v>
      </c>
      <c r="I444" s="1011">
        <f t="shared" si="69"/>
        <v>-1.1495949269567554E-2</v>
      </c>
      <c r="J444" s="1009">
        <f t="shared" si="70"/>
        <v>15</v>
      </c>
      <c r="K444" s="1009">
        <f t="shared" si="71"/>
        <v>-0.29414922169070257</v>
      </c>
      <c r="L444" s="595"/>
      <c r="M444" s="595"/>
      <c r="N444" s="595"/>
      <c r="O444" s="595"/>
      <c r="P444" s="595"/>
      <c r="Q444" s="595"/>
    </row>
    <row r="445" spans="1:17">
      <c r="A445" s="1019" t="s">
        <v>1510</v>
      </c>
      <c r="B445" s="979" t="s">
        <v>420</v>
      </c>
      <c r="C445" s="979" t="s">
        <v>334</v>
      </c>
      <c r="D445" s="979" t="s">
        <v>1066</v>
      </c>
      <c r="E445" s="980">
        <v>1</v>
      </c>
      <c r="F445" s="595"/>
      <c r="G445" s="1009">
        <f t="shared" si="67"/>
        <v>82.3</v>
      </c>
      <c r="H445" s="1012">
        <f t="shared" si="68"/>
        <v>82.3</v>
      </c>
      <c r="I445" s="1011">
        <f t="shared" si="69"/>
        <v>-8.4640957674486466E-4</v>
      </c>
      <c r="J445" s="1009">
        <f t="shared" si="70"/>
        <v>1</v>
      </c>
      <c r="K445" s="1009">
        <f t="shared" si="71"/>
        <v>-0.26634264885043935</v>
      </c>
      <c r="L445" s="595"/>
      <c r="M445" s="595"/>
      <c r="N445" s="595"/>
      <c r="O445" s="595"/>
      <c r="P445" s="595"/>
      <c r="Q445" s="595"/>
    </row>
    <row r="446" spans="1:17">
      <c r="A446" s="1019" t="s">
        <v>1510</v>
      </c>
      <c r="B446" s="979" t="s">
        <v>420</v>
      </c>
      <c r="C446" s="979" t="s">
        <v>326</v>
      </c>
      <c r="D446" s="979" t="s">
        <v>1067</v>
      </c>
      <c r="E446" s="980">
        <v>20</v>
      </c>
      <c r="F446" s="595"/>
      <c r="G446" s="1009">
        <f t="shared" si="67"/>
        <v>74.52</v>
      </c>
      <c r="H446" s="1012">
        <f t="shared" si="68"/>
        <v>1490.3999999999999</v>
      </c>
      <c r="I446" s="1011">
        <f t="shared" si="69"/>
        <v>-1.5327932359423405E-2</v>
      </c>
      <c r="J446" s="1009">
        <f t="shared" si="70"/>
        <v>20</v>
      </c>
      <c r="K446" s="1009">
        <f t="shared" si="71"/>
        <v>-0.29414922169070257</v>
      </c>
      <c r="L446" s="595"/>
      <c r="M446" s="595"/>
      <c r="N446" s="595"/>
      <c r="O446" s="595"/>
      <c r="P446" s="595"/>
      <c r="Q446" s="595"/>
    </row>
    <row r="447" spans="1:17">
      <c r="A447" s="1019" t="s">
        <v>1510</v>
      </c>
      <c r="B447" s="979" t="s">
        <v>420</v>
      </c>
      <c r="C447" s="979" t="s">
        <v>330</v>
      </c>
      <c r="D447" s="979" t="s">
        <v>1068</v>
      </c>
      <c r="E447" s="980">
        <v>4</v>
      </c>
      <c r="F447" s="595"/>
      <c r="G447" s="1009">
        <f t="shared" si="67"/>
        <v>75.88</v>
      </c>
      <c r="H447" s="1012">
        <f t="shared" si="68"/>
        <v>303.52</v>
      </c>
      <c r="I447" s="1011">
        <f t="shared" si="69"/>
        <v>-3.1215338363742564E-3</v>
      </c>
      <c r="J447" s="1009">
        <f t="shared" si="70"/>
        <v>4</v>
      </c>
      <c r="K447" s="1009">
        <f t="shared" si="71"/>
        <v>-0.2888771744911855</v>
      </c>
      <c r="L447" s="595"/>
      <c r="M447" s="595"/>
      <c r="N447" s="595"/>
      <c r="O447" s="595"/>
      <c r="P447" s="595"/>
      <c r="Q447" s="595"/>
    </row>
    <row r="448" spans="1:17">
      <c r="A448" s="1019" t="s">
        <v>1510</v>
      </c>
      <c r="B448" s="979" t="s">
        <v>420</v>
      </c>
      <c r="C448" s="979" t="s">
        <v>337</v>
      </c>
      <c r="D448" s="979" t="s">
        <v>1069</v>
      </c>
      <c r="E448" s="980">
        <v>3</v>
      </c>
      <c r="F448" s="595"/>
      <c r="G448" s="1009">
        <f t="shared" si="67"/>
        <v>78.97</v>
      </c>
      <c r="H448" s="1012">
        <f t="shared" si="68"/>
        <v>236.91</v>
      </c>
      <c r="I448" s="1011">
        <f t="shared" si="69"/>
        <v>-2.4364871546370096E-3</v>
      </c>
      <c r="J448" s="1009">
        <f t="shared" si="70"/>
        <v>3</v>
      </c>
      <c r="K448" s="1009">
        <f t="shared" si="71"/>
        <v>-0.27757376219312596</v>
      </c>
      <c r="L448" s="595"/>
      <c r="M448" s="595"/>
      <c r="N448" s="595"/>
      <c r="O448" s="595"/>
      <c r="P448" s="595"/>
      <c r="Q448" s="595"/>
    </row>
    <row r="449" spans="1:17">
      <c r="A449" s="1019" t="s">
        <v>1510</v>
      </c>
      <c r="B449" s="979" t="s">
        <v>420</v>
      </c>
      <c r="C449" s="979" t="s">
        <v>329</v>
      </c>
      <c r="D449" s="979" t="s">
        <v>1070</v>
      </c>
      <c r="E449" s="980">
        <v>2</v>
      </c>
      <c r="F449" s="595"/>
      <c r="G449" s="1009">
        <f t="shared" si="67"/>
        <v>77.259999999999991</v>
      </c>
      <c r="H449" s="1012">
        <f t="shared" si="68"/>
        <v>154.51999999999998</v>
      </c>
      <c r="I449" s="1011">
        <f t="shared" si="69"/>
        <v>-1.5891519781119864E-3</v>
      </c>
      <c r="J449" s="1009">
        <f t="shared" si="70"/>
        <v>2</v>
      </c>
      <c r="K449" s="1009">
        <f t="shared" si="71"/>
        <v>-0.28371731815158113</v>
      </c>
      <c r="L449" s="595"/>
      <c r="M449" s="595"/>
      <c r="N449" s="595"/>
      <c r="O449" s="595"/>
      <c r="P449" s="595"/>
      <c r="Q449" s="595"/>
    </row>
    <row r="450" spans="1:17">
      <c r="A450" s="1019" t="s">
        <v>1510</v>
      </c>
      <c r="B450" s="979" t="s">
        <v>420</v>
      </c>
      <c r="C450" s="979" t="s">
        <v>327</v>
      </c>
      <c r="D450" s="979" t="s">
        <v>1071</v>
      </c>
      <c r="E450" s="980">
        <v>51</v>
      </c>
      <c r="F450" s="595"/>
      <c r="G450" s="1009">
        <f t="shared" si="67"/>
        <v>64.19</v>
      </c>
      <c r="H450" s="1012">
        <f t="shared" si="68"/>
        <v>3273.69</v>
      </c>
      <c r="I450" s="1011">
        <f t="shared" si="69"/>
        <v>-3.3668074936742357E-2</v>
      </c>
      <c r="J450" s="1009">
        <f t="shared" si="70"/>
        <v>51</v>
      </c>
      <c r="K450" s="1009">
        <f t="shared" si="71"/>
        <v>-0.34148621281182673</v>
      </c>
      <c r="L450" s="595"/>
      <c r="M450" s="595"/>
      <c r="N450" s="595"/>
      <c r="O450" s="595"/>
      <c r="P450" s="595"/>
      <c r="Q450" s="595"/>
    </row>
    <row r="451" spans="1:17">
      <c r="A451" s="1019" t="s">
        <v>1510</v>
      </c>
      <c r="B451" s="979" t="s">
        <v>420</v>
      </c>
      <c r="C451" s="979" t="s">
        <v>453</v>
      </c>
      <c r="D451" s="979" t="s">
        <v>1072</v>
      </c>
      <c r="E451" s="980">
        <v>2</v>
      </c>
      <c r="F451" s="595"/>
      <c r="G451" s="1009">
        <f t="shared" si="67"/>
        <v>75.899999999999991</v>
      </c>
      <c r="H451" s="1012">
        <f t="shared" si="68"/>
        <v>151.79999999999998</v>
      </c>
      <c r="I451" s="1011">
        <f t="shared" si="69"/>
        <v>-1.5611782958671987E-3</v>
      </c>
      <c r="J451" s="1009">
        <f t="shared" si="70"/>
        <v>2</v>
      </c>
      <c r="K451" s="1009">
        <f t="shared" si="71"/>
        <v>-0.2888010540235989</v>
      </c>
      <c r="L451" s="595"/>
      <c r="M451" s="595"/>
      <c r="N451" s="595"/>
      <c r="O451" s="595"/>
      <c r="P451" s="595"/>
      <c r="Q451" s="595"/>
    </row>
    <row r="452" spans="1:17">
      <c r="A452" s="1019" t="s">
        <v>1510</v>
      </c>
      <c r="B452" s="979" t="s">
        <v>420</v>
      </c>
      <c r="C452" s="979" t="s">
        <v>366</v>
      </c>
      <c r="D452" s="979" t="s">
        <v>1073</v>
      </c>
      <c r="E452" s="980">
        <v>52</v>
      </c>
      <c r="F452" s="595"/>
      <c r="G452" s="1009">
        <f t="shared" si="67"/>
        <v>14.860000000000001</v>
      </c>
      <c r="H452" s="1012">
        <f t="shared" si="68"/>
        <v>772.72</v>
      </c>
      <c r="I452" s="1011">
        <f t="shared" si="69"/>
        <v>-7.9469940236001433E-3</v>
      </c>
      <c r="J452" s="1009">
        <f t="shared" si="70"/>
        <v>52</v>
      </c>
      <c r="K452" s="1009">
        <f t="shared" si="71"/>
        <v>-1.4751009421528367</v>
      </c>
      <c r="L452" s="595"/>
      <c r="M452" s="595"/>
      <c r="N452" s="595"/>
      <c r="O452" s="595"/>
      <c r="P452" s="595"/>
      <c r="Q452" s="595"/>
    </row>
    <row r="453" spans="1:17">
      <c r="A453" s="1019" t="s">
        <v>1510</v>
      </c>
      <c r="B453" s="979" t="s">
        <v>420</v>
      </c>
      <c r="C453" s="979" t="s">
        <v>386</v>
      </c>
      <c r="D453" s="979" t="s">
        <v>1074</v>
      </c>
      <c r="E453" s="980">
        <v>7151</v>
      </c>
      <c r="F453" s="595"/>
      <c r="G453" s="1009">
        <f t="shared" si="67"/>
        <v>10.570000000000002</v>
      </c>
      <c r="H453" s="1012">
        <f t="shared" si="68"/>
        <v>75586.070000000022</v>
      </c>
      <c r="I453" s="1011">
        <f t="shared" si="69"/>
        <v>-0.77736055305598695</v>
      </c>
      <c r="J453" s="1009">
        <f t="shared" si="70"/>
        <v>7151</v>
      </c>
      <c r="K453" s="1009">
        <f t="shared" si="71"/>
        <v>-2.0737937559499668</v>
      </c>
      <c r="L453" s="595"/>
      <c r="M453" s="595"/>
      <c r="N453" s="595"/>
      <c r="O453" s="595"/>
      <c r="P453" s="595"/>
      <c r="Q453" s="595"/>
    </row>
    <row r="454" spans="1:17">
      <c r="A454" s="1019" t="s">
        <v>1510</v>
      </c>
      <c r="B454" s="979" t="s">
        <v>420</v>
      </c>
      <c r="C454" s="979" t="s">
        <v>382</v>
      </c>
      <c r="D454" s="979" t="s">
        <v>1075</v>
      </c>
      <c r="E454" s="980">
        <v>141</v>
      </c>
      <c r="F454" s="595"/>
      <c r="G454" s="1009">
        <f t="shared" si="67"/>
        <v>11.71</v>
      </c>
      <c r="H454" s="1012">
        <f t="shared" si="68"/>
        <v>1651.1100000000001</v>
      </c>
      <c r="I454" s="1011">
        <f t="shared" si="69"/>
        <v>-1.6980745033526288E-2</v>
      </c>
      <c r="J454" s="1009">
        <f t="shared" si="70"/>
        <v>141</v>
      </c>
      <c r="K454" s="1009">
        <f t="shared" si="71"/>
        <v>-1.871904355285325</v>
      </c>
      <c r="L454" s="595"/>
      <c r="M454" s="595"/>
      <c r="N454" s="595"/>
      <c r="O454" s="595"/>
      <c r="P454" s="595"/>
      <c r="Q454" s="595"/>
    </row>
    <row r="455" spans="1:17">
      <c r="A455" s="1019" t="s">
        <v>1510</v>
      </c>
      <c r="B455" s="979" t="s">
        <v>420</v>
      </c>
      <c r="C455" s="979" t="s">
        <v>360</v>
      </c>
      <c r="D455" s="979" t="s">
        <v>1076</v>
      </c>
      <c r="E455" s="980">
        <v>241</v>
      </c>
      <c r="F455" s="595"/>
      <c r="G455" s="1009">
        <f t="shared" si="67"/>
        <v>20.259999999999998</v>
      </c>
      <c r="H455" s="1012">
        <f t="shared" si="68"/>
        <v>4882.66</v>
      </c>
      <c r="I455" s="1011">
        <f t="shared" si="69"/>
        <v>-5.0215433584314469E-2</v>
      </c>
      <c r="J455" s="1009">
        <f t="shared" si="70"/>
        <v>241</v>
      </c>
      <c r="K455" s="1009">
        <f t="shared" si="71"/>
        <v>-1.081934847008448</v>
      </c>
      <c r="L455" s="595"/>
      <c r="M455" s="595"/>
      <c r="N455" s="595"/>
      <c r="O455" s="595"/>
      <c r="P455" s="595"/>
      <c r="Q455" s="595"/>
    </row>
    <row r="456" spans="1:17">
      <c r="A456" s="1019" t="s">
        <v>1510</v>
      </c>
      <c r="B456" s="979" t="s">
        <v>420</v>
      </c>
      <c r="C456" s="979" t="s">
        <v>368</v>
      </c>
      <c r="D456" s="979" t="s">
        <v>1077</v>
      </c>
      <c r="E456" s="980">
        <v>150</v>
      </c>
      <c r="F456" s="595"/>
      <c r="G456" s="1009">
        <f t="shared" si="67"/>
        <v>21.38</v>
      </c>
      <c r="H456" s="1012">
        <f t="shared" si="68"/>
        <v>3207</v>
      </c>
      <c r="I456" s="1011">
        <f t="shared" si="69"/>
        <v>-3.2982205499644965E-2</v>
      </c>
      <c r="J456" s="1009">
        <f t="shared" si="70"/>
        <v>150</v>
      </c>
      <c r="K456" s="1009">
        <f t="shared" si="71"/>
        <v>-1.0252572497844321</v>
      </c>
      <c r="L456" s="595"/>
      <c r="M456" s="595"/>
      <c r="N456" s="595"/>
      <c r="O456" s="595"/>
      <c r="P456" s="595"/>
      <c r="Q456" s="595"/>
    </row>
    <row r="457" spans="1:17">
      <c r="A457" s="1019" t="s">
        <v>1510</v>
      </c>
      <c r="B457" s="979" t="s">
        <v>420</v>
      </c>
      <c r="C457" s="979" t="s">
        <v>370</v>
      </c>
      <c r="D457" s="979" t="s">
        <v>1078</v>
      </c>
      <c r="E457" s="980">
        <v>28</v>
      </c>
      <c r="F457" s="595"/>
      <c r="G457" s="1009">
        <f t="shared" si="67"/>
        <v>30.84</v>
      </c>
      <c r="H457" s="1012">
        <f t="shared" si="68"/>
        <v>863.52</v>
      </c>
      <c r="I457" s="1011">
        <f t="shared" si="69"/>
        <v>-8.8808213573599703E-3</v>
      </c>
      <c r="J457" s="1009">
        <f t="shared" si="70"/>
        <v>28</v>
      </c>
      <c r="K457" s="1009">
        <f t="shared" si="71"/>
        <v>-0.71076523996080276</v>
      </c>
      <c r="L457" s="595"/>
      <c r="M457" s="595"/>
      <c r="N457" s="595"/>
      <c r="O457" s="595"/>
      <c r="P457" s="595"/>
      <c r="Q457" s="595"/>
    </row>
    <row r="458" spans="1:17">
      <c r="A458" s="1019" t="s">
        <v>1510</v>
      </c>
      <c r="B458" s="979" t="s">
        <v>420</v>
      </c>
      <c r="C458" s="979" t="s">
        <v>393</v>
      </c>
      <c r="D458" s="979" t="s">
        <v>1079</v>
      </c>
      <c r="E458" s="980">
        <v>96</v>
      </c>
      <c r="F458" s="595"/>
      <c r="G458" s="1009">
        <f t="shared" si="67"/>
        <v>31.22</v>
      </c>
      <c r="H458" s="1012">
        <f t="shared" si="68"/>
        <v>2997.12</v>
      </c>
      <c r="I458" s="1011">
        <f t="shared" si="69"/>
        <v>-3.0823706812315537E-2</v>
      </c>
      <c r="J458" s="1009">
        <f t="shared" si="70"/>
        <v>96</v>
      </c>
      <c r="K458" s="1009">
        <f t="shared" si="71"/>
        <v>-0.70211402948081858</v>
      </c>
      <c r="L458" s="595"/>
      <c r="M458" s="595"/>
      <c r="N458" s="595"/>
      <c r="O458" s="595"/>
      <c r="P458" s="595"/>
      <c r="Q458" s="595"/>
    </row>
    <row r="459" spans="1:17">
      <c r="A459" s="1019" t="s">
        <v>1510</v>
      </c>
      <c r="B459" s="979" t="s">
        <v>420</v>
      </c>
      <c r="C459" s="979" t="s">
        <v>371</v>
      </c>
      <c r="D459" s="979" t="s">
        <v>1080</v>
      </c>
      <c r="E459" s="980">
        <v>21</v>
      </c>
      <c r="F459" s="595"/>
      <c r="G459" s="1009">
        <f t="shared" si="67"/>
        <v>30.84</v>
      </c>
      <c r="H459" s="1012">
        <f t="shared" si="68"/>
        <v>647.64</v>
      </c>
      <c r="I459" s="1011">
        <f t="shared" si="69"/>
        <v>-6.6606160180199773E-3</v>
      </c>
      <c r="J459" s="1009">
        <f t="shared" si="70"/>
        <v>21</v>
      </c>
      <c r="K459" s="1009">
        <f t="shared" si="71"/>
        <v>-0.71076523996080276</v>
      </c>
      <c r="L459" s="595"/>
      <c r="M459" s="595"/>
      <c r="N459" s="595"/>
      <c r="O459" s="595"/>
      <c r="P459" s="595"/>
      <c r="Q459" s="595"/>
    </row>
    <row r="460" spans="1:17">
      <c r="A460" s="1019" t="s">
        <v>1510</v>
      </c>
      <c r="B460" s="979" t="s">
        <v>420</v>
      </c>
      <c r="C460" s="979" t="s">
        <v>394</v>
      </c>
      <c r="D460" s="979" t="s">
        <v>1081</v>
      </c>
      <c r="E460" s="980">
        <v>10</v>
      </c>
      <c r="F460" s="595"/>
      <c r="G460" s="1009">
        <f t="shared" si="67"/>
        <v>31.22</v>
      </c>
      <c r="H460" s="1012">
        <f t="shared" si="68"/>
        <v>312.2</v>
      </c>
      <c r="I460" s="1011">
        <f t="shared" si="69"/>
        <v>-3.2108027929495355E-3</v>
      </c>
      <c r="J460" s="1009">
        <f t="shared" si="70"/>
        <v>10</v>
      </c>
      <c r="K460" s="1009">
        <f t="shared" si="71"/>
        <v>-0.70211402948081858</v>
      </c>
      <c r="L460" s="595"/>
      <c r="M460" s="595"/>
      <c r="N460" s="595"/>
      <c r="O460" s="595"/>
      <c r="P460" s="595"/>
      <c r="Q460" s="595"/>
    </row>
    <row r="461" spans="1:17">
      <c r="A461" s="1019" t="s">
        <v>1510</v>
      </c>
      <c r="B461" s="979" t="s">
        <v>420</v>
      </c>
      <c r="C461" s="979" t="s">
        <v>389</v>
      </c>
      <c r="D461" s="979" t="s">
        <v>1082</v>
      </c>
      <c r="E461" s="980">
        <v>478</v>
      </c>
      <c r="F461" s="595"/>
      <c r="G461" s="1009">
        <f t="shared" si="67"/>
        <v>15.360000000000001</v>
      </c>
      <c r="H461" s="1012">
        <f t="shared" si="68"/>
        <v>7342.0800000000008</v>
      </c>
      <c r="I461" s="1011">
        <f t="shared" si="69"/>
        <v>-7.5509195932283557E-2</v>
      </c>
      <c r="J461" s="1009">
        <f t="shared" si="70"/>
        <v>478</v>
      </c>
      <c r="K461" s="1009">
        <f t="shared" si="71"/>
        <v>-1.4270833333587991</v>
      </c>
      <c r="L461" s="595"/>
      <c r="M461" s="595"/>
      <c r="N461" s="595"/>
      <c r="O461" s="595"/>
      <c r="P461" s="595"/>
      <c r="Q461" s="595"/>
    </row>
    <row r="462" spans="1:17">
      <c r="A462" s="1019" t="s">
        <v>1510</v>
      </c>
      <c r="B462" s="979" t="s">
        <v>420</v>
      </c>
      <c r="C462" s="979" t="s">
        <v>310</v>
      </c>
      <c r="D462" s="979" t="s">
        <v>1083</v>
      </c>
      <c r="E462" s="980">
        <v>5</v>
      </c>
      <c r="F462" s="595"/>
      <c r="G462" s="1009">
        <f t="shared" si="67"/>
        <v>3.39</v>
      </c>
      <c r="H462" s="1012">
        <f t="shared" si="68"/>
        <v>16.95</v>
      </c>
      <c r="I462" s="1011">
        <f t="shared" si="69"/>
        <v>-1.7432129192983541E-4</v>
      </c>
      <c r="J462" s="1009">
        <f t="shared" si="70"/>
        <v>5</v>
      </c>
      <c r="K462" s="1009">
        <f t="shared" si="71"/>
        <v>-6.4660766962805765</v>
      </c>
      <c r="L462" s="595"/>
      <c r="M462" s="595"/>
      <c r="N462" s="595"/>
      <c r="O462" s="595"/>
      <c r="P462" s="595"/>
      <c r="Q462" s="595"/>
    </row>
    <row r="463" spans="1:17">
      <c r="A463" s="1019" t="s">
        <v>1510</v>
      </c>
      <c r="B463" s="979" t="s">
        <v>420</v>
      </c>
      <c r="C463" s="979" t="s">
        <v>340</v>
      </c>
      <c r="D463" s="979" t="s">
        <v>1084</v>
      </c>
      <c r="E463" s="980">
        <v>674</v>
      </c>
      <c r="F463" s="595"/>
      <c r="G463" s="1009">
        <f t="shared" si="67"/>
        <v>4.5400000000000009</v>
      </c>
      <c r="H463" s="1012">
        <f t="shared" si="68"/>
        <v>3059.9600000000005</v>
      </c>
      <c r="I463" s="1011">
        <f t="shared" si="69"/>
        <v>-3.1469981147706154E-2</v>
      </c>
      <c r="J463" s="1009">
        <f t="shared" si="70"/>
        <v>674</v>
      </c>
      <c r="K463" s="1009">
        <f t="shared" si="71"/>
        <v>-4.8281938326852751</v>
      </c>
      <c r="L463" s="595"/>
      <c r="M463" s="595"/>
      <c r="N463" s="595"/>
      <c r="O463" s="595"/>
      <c r="P463" s="595"/>
      <c r="Q463" s="595"/>
    </row>
    <row r="464" spans="1:17">
      <c r="A464" s="1019" t="s">
        <v>1510</v>
      </c>
      <c r="B464" s="979" t="s">
        <v>420</v>
      </c>
      <c r="C464" s="979" t="s">
        <v>358</v>
      </c>
      <c r="D464" s="979" t="s">
        <v>1085</v>
      </c>
      <c r="E464" s="980">
        <v>47</v>
      </c>
      <c r="F464" s="595"/>
      <c r="G464" s="1009">
        <f t="shared" si="67"/>
        <v>6.78</v>
      </c>
      <c r="H464" s="1012">
        <f t="shared" si="68"/>
        <v>318.66000000000003</v>
      </c>
      <c r="I464" s="1011">
        <f t="shared" si="69"/>
        <v>-3.2772402882809059E-3</v>
      </c>
      <c r="J464" s="1009">
        <f t="shared" si="70"/>
        <v>47</v>
      </c>
      <c r="K464" s="1009">
        <f t="shared" si="71"/>
        <v>-3.2330383481402882</v>
      </c>
      <c r="L464" s="595"/>
      <c r="M464" s="595"/>
      <c r="N464" s="595"/>
      <c r="O464" s="595"/>
      <c r="P464" s="595"/>
      <c r="Q464" s="595"/>
    </row>
    <row r="465" spans="1:17">
      <c r="A465" s="1019" t="s">
        <v>1510</v>
      </c>
      <c r="B465" s="979" t="s">
        <v>420</v>
      </c>
      <c r="C465" s="979" t="s">
        <v>383</v>
      </c>
      <c r="D465" s="979" t="s">
        <v>1086</v>
      </c>
      <c r="E465" s="980">
        <v>2</v>
      </c>
      <c r="F465" s="595"/>
      <c r="G465" s="1009">
        <f t="shared" si="67"/>
        <v>9.06</v>
      </c>
      <c r="H465" s="1012">
        <f t="shared" si="68"/>
        <v>18.12</v>
      </c>
      <c r="I465" s="1011">
        <f t="shared" si="69"/>
        <v>-1.8635408907189489E-4</v>
      </c>
      <c r="J465" s="1009">
        <f t="shared" si="70"/>
        <v>2</v>
      </c>
      <c r="K465" s="1009">
        <f t="shared" si="71"/>
        <v>-2.4194260486082952</v>
      </c>
      <c r="L465" s="595"/>
      <c r="M465" s="595"/>
      <c r="N465" s="595"/>
      <c r="O465" s="595"/>
      <c r="P465" s="595"/>
      <c r="Q465" s="595"/>
    </row>
    <row r="466" spans="1:17">
      <c r="A466" s="1019" t="s">
        <v>1510</v>
      </c>
      <c r="B466" s="979" t="s">
        <v>420</v>
      </c>
      <c r="C466" s="979" t="s">
        <v>375</v>
      </c>
      <c r="D466" s="979" t="s">
        <v>1087</v>
      </c>
      <c r="E466" s="980">
        <v>173</v>
      </c>
      <c r="F466" s="595"/>
      <c r="G466" s="1009">
        <f t="shared" si="67"/>
        <v>7.4399999999999995</v>
      </c>
      <c r="H466" s="1012">
        <f t="shared" si="68"/>
        <v>1287.1199999999999</v>
      </c>
      <c r="I466" s="1011">
        <f t="shared" si="69"/>
        <v>-1.3237310989305591E-2</v>
      </c>
      <c r="J466" s="1009">
        <f t="shared" si="70"/>
        <v>173</v>
      </c>
      <c r="K466" s="1009">
        <f t="shared" si="71"/>
        <v>-2.9462365591923598</v>
      </c>
      <c r="L466" s="595"/>
      <c r="M466" s="595"/>
      <c r="N466" s="595"/>
      <c r="O466" s="595"/>
      <c r="P466" s="595"/>
      <c r="Q466" s="595"/>
    </row>
    <row r="467" spans="1:17">
      <c r="A467" s="1019" t="s">
        <v>1510</v>
      </c>
      <c r="B467" s="979" t="s">
        <v>420</v>
      </c>
      <c r="C467" s="979" t="s">
        <v>400</v>
      </c>
      <c r="D467" s="979" t="s">
        <v>1088</v>
      </c>
      <c r="E467" s="980">
        <v>36760</v>
      </c>
      <c r="F467" s="595"/>
      <c r="G467" s="1009">
        <f t="shared" ref="G467:G498" si="72">SUMIF(_Lights_Tariff_Category,20140101&amp;$C467,_Lights_Rates)</f>
        <v>7.84</v>
      </c>
      <c r="H467" s="1012">
        <f t="shared" ref="H467:H498" si="73">E467*G467</f>
        <v>288198.40000000002</v>
      </c>
      <c r="I467" s="1011">
        <f t="shared" si="69"/>
        <v>-2.9639597298000875</v>
      </c>
      <c r="J467" s="1009">
        <f t="shared" si="70"/>
        <v>36760</v>
      </c>
      <c r="K467" s="1009">
        <f t="shared" si="71"/>
        <v>-2.7959183673968311</v>
      </c>
      <c r="L467" s="595"/>
      <c r="M467" s="595"/>
      <c r="N467" s="595"/>
      <c r="O467" s="595"/>
      <c r="P467" s="595"/>
      <c r="Q467" s="595"/>
    </row>
    <row r="468" spans="1:17">
      <c r="A468" s="1019" t="s">
        <v>1510</v>
      </c>
      <c r="B468" s="979" t="s">
        <v>420</v>
      </c>
      <c r="C468" s="979" t="s">
        <v>391</v>
      </c>
      <c r="D468" s="979" t="s">
        <v>1089</v>
      </c>
      <c r="E468" s="980">
        <v>1176</v>
      </c>
      <c r="F468" s="595"/>
      <c r="G468" s="1009">
        <f t="shared" si="72"/>
        <v>22</v>
      </c>
      <c r="H468" s="1012">
        <f t="shared" si="73"/>
        <v>25872</v>
      </c>
      <c r="I468" s="1011">
        <f t="shared" si="69"/>
        <v>-0.26607908346953996</v>
      </c>
      <c r="J468" s="1009">
        <f t="shared" si="70"/>
        <v>1176</v>
      </c>
      <c r="K468" s="1009">
        <f t="shared" si="71"/>
        <v>-0.99636363638141612</v>
      </c>
      <c r="L468" s="595"/>
      <c r="M468" s="595"/>
      <c r="N468" s="595"/>
      <c r="O468" s="595"/>
      <c r="P468" s="595"/>
      <c r="Q468" s="595"/>
    </row>
    <row r="469" spans="1:17">
      <c r="A469" s="1019" t="s">
        <v>1510</v>
      </c>
      <c r="B469" s="979" t="s">
        <v>420</v>
      </c>
      <c r="C469" s="979" t="s">
        <v>357</v>
      </c>
      <c r="D469" s="979" t="s">
        <v>1090</v>
      </c>
      <c r="E469" s="980">
        <v>3</v>
      </c>
      <c r="F469" s="595"/>
      <c r="G469" s="1009">
        <f t="shared" si="72"/>
        <v>7.74</v>
      </c>
      <c r="H469" s="1012">
        <f t="shared" si="73"/>
        <v>23.22</v>
      </c>
      <c r="I469" s="1011">
        <f t="shared" si="69"/>
        <v>-2.388047432808719E-4</v>
      </c>
      <c r="J469" s="1009">
        <f t="shared" si="70"/>
        <v>3</v>
      </c>
      <c r="K469" s="1009">
        <f t="shared" si="71"/>
        <v>-2.8320413437197876</v>
      </c>
      <c r="L469" s="595"/>
      <c r="M469" s="595"/>
      <c r="N469" s="595"/>
      <c r="O469" s="595"/>
      <c r="P469" s="595"/>
      <c r="Q469" s="595"/>
    </row>
    <row r="470" spans="1:17">
      <c r="A470" s="1019" t="s">
        <v>1510</v>
      </c>
      <c r="B470" s="979" t="s">
        <v>420</v>
      </c>
      <c r="C470" s="979" t="s">
        <v>359</v>
      </c>
      <c r="D470" s="979" t="s">
        <v>1091</v>
      </c>
      <c r="E470" s="980">
        <v>2</v>
      </c>
      <c r="F470" s="595"/>
      <c r="G470" s="1009">
        <f t="shared" si="72"/>
        <v>13.610000000000001</v>
      </c>
      <c r="H470" s="1012">
        <f t="shared" si="73"/>
        <v>27.220000000000002</v>
      </c>
      <c r="I470" s="1011">
        <f t="shared" si="69"/>
        <v>-2.7994251128791271E-4</v>
      </c>
      <c r="J470" s="1009">
        <f t="shared" si="70"/>
        <v>2</v>
      </c>
      <c r="K470" s="1009">
        <f t="shared" si="71"/>
        <v>-1.6105804555761318</v>
      </c>
      <c r="L470" s="595"/>
      <c r="M470" s="595"/>
      <c r="N470" s="595"/>
      <c r="O470" s="595"/>
      <c r="P470" s="595"/>
      <c r="Q470" s="595"/>
    </row>
    <row r="471" spans="1:17">
      <c r="A471" s="1019" t="s">
        <v>1510</v>
      </c>
      <c r="B471" s="979" t="s">
        <v>420</v>
      </c>
      <c r="C471" s="979" t="s">
        <v>385</v>
      </c>
      <c r="D471" s="979" t="s">
        <v>1092</v>
      </c>
      <c r="E471" s="980">
        <v>1086</v>
      </c>
      <c r="F471" s="595"/>
      <c r="G471" s="1009">
        <f t="shared" si="72"/>
        <v>9.5600000000000023</v>
      </c>
      <c r="H471" s="1012">
        <f t="shared" si="73"/>
        <v>10382.160000000002</v>
      </c>
      <c r="I471" s="1011">
        <f t="shared" si="69"/>
        <v>-0.10677472237299472</v>
      </c>
      <c r="J471" s="1009">
        <f t="shared" si="70"/>
        <v>1086</v>
      </c>
      <c r="K471" s="1009">
        <f t="shared" si="71"/>
        <v>-2.2928870293296182</v>
      </c>
      <c r="L471" s="595"/>
      <c r="M471" s="595"/>
      <c r="N471" s="595"/>
      <c r="O471" s="595"/>
      <c r="P471" s="595"/>
      <c r="Q471" s="595"/>
    </row>
    <row r="472" spans="1:17">
      <c r="A472" s="1019" t="s">
        <v>1510</v>
      </c>
      <c r="B472" s="979" t="s">
        <v>420</v>
      </c>
      <c r="C472" s="979" t="s">
        <v>312</v>
      </c>
      <c r="D472" s="979" t="s">
        <v>1093</v>
      </c>
      <c r="E472" s="980">
        <v>713</v>
      </c>
      <c r="F472" s="595"/>
      <c r="G472" s="1009">
        <f t="shared" si="72"/>
        <v>11.32</v>
      </c>
      <c r="H472" s="1012">
        <f t="shared" si="73"/>
        <v>8071.16</v>
      </c>
      <c r="I472" s="1011">
        <f t="shared" si="69"/>
        <v>-8.3007376906926875E-2</v>
      </c>
      <c r="J472" s="1009">
        <f t="shared" si="70"/>
        <v>713</v>
      </c>
      <c r="K472" s="1009">
        <f t="shared" si="71"/>
        <v>-1.9363957597518688</v>
      </c>
      <c r="L472" s="595"/>
      <c r="M472" s="595"/>
      <c r="N472" s="595"/>
      <c r="O472" s="595"/>
      <c r="P472" s="595"/>
      <c r="Q472" s="595"/>
    </row>
    <row r="473" spans="1:17">
      <c r="A473" s="1019" t="s">
        <v>1510</v>
      </c>
      <c r="B473" s="979" t="s">
        <v>420</v>
      </c>
      <c r="C473" s="979" t="s">
        <v>421</v>
      </c>
      <c r="D473" s="979" t="s">
        <v>1094</v>
      </c>
      <c r="E473" s="980">
        <v>1484</v>
      </c>
      <c r="F473" s="595"/>
      <c r="G473" s="1009">
        <f t="shared" si="72"/>
        <v>12.809999999999999</v>
      </c>
      <c r="H473" s="1012">
        <f t="shared" si="73"/>
        <v>19010.039999999997</v>
      </c>
      <c r="I473" s="1011">
        <f t="shared" si="69"/>
        <v>-0.19550765383114149</v>
      </c>
      <c r="J473" s="1009">
        <f t="shared" si="70"/>
        <v>1484</v>
      </c>
      <c r="K473" s="1009">
        <f t="shared" si="71"/>
        <v>-1.7111631538166399</v>
      </c>
      <c r="L473" s="595"/>
      <c r="M473" s="595"/>
      <c r="N473" s="595"/>
      <c r="O473" s="595"/>
      <c r="P473" s="595"/>
      <c r="Q473" s="595"/>
    </row>
    <row r="474" spans="1:17">
      <c r="A474" s="1019" t="s">
        <v>1510</v>
      </c>
      <c r="B474" s="979" t="s">
        <v>420</v>
      </c>
      <c r="C474" s="979" t="s">
        <v>322</v>
      </c>
      <c r="D474" s="979" t="s">
        <v>1095</v>
      </c>
      <c r="E474" s="980">
        <v>670</v>
      </c>
      <c r="F474" s="595"/>
      <c r="G474" s="1009">
        <f t="shared" si="72"/>
        <v>14.25</v>
      </c>
      <c r="H474" s="1012">
        <f t="shared" si="73"/>
        <v>9547.5</v>
      </c>
      <c r="I474" s="1011">
        <f t="shared" si="69"/>
        <v>-9.8190710011805543E-2</v>
      </c>
      <c r="J474" s="1009">
        <f t="shared" si="70"/>
        <v>670</v>
      </c>
      <c r="K474" s="1009">
        <f t="shared" si="71"/>
        <v>-1.5382456140625371</v>
      </c>
      <c r="L474" s="595"/>
      <c r="M474" s="595"/>
      <c r="N474" s="595"/>
      <c r="O474" s="595"/>
      <c r="P474" s="595"/>
      <c r="Q474" s="595"/>
    </row>
    <row r="475" spans="1:17">
      <c r="A475" s="1019" t="s">
        <v>1510</v>
      </c>
      <c r="B475" s="979" t="s">
        <v>420</v>
      </c>
      <c r="C475" s="979" t="s">
        <v>354</v>
      </c>
      <c r="D475" s="979" t="s">
        <v>1096</v>
      </c>
      <c r="E475" s="980">
        <v>5215</v>
      </c>
      <c r="F475" s="595"/>
      <c r="G475" s="1009">
        <f t="shared" si="72"/>
        <v>20.200000000000003</v>
      </c>
      <c r="H475" s="1012">
        <f t="shared" si="73"/>
        <v>105343.00000000001</v>
      </c>
      <c r="I475" s="1011">
        <f t="shared" si="69"/>
        <v>-1.0833939737914251</v>
      </c>
      <c r="J475" s="1009">
        <f t="shared" si="70"/>
        <v>5215</v>
      </c>
      <c r="K475" s="1009">
        <f t="shared" si="71"/>
        <v>-1.0851485148708491</v>
      </c>
      <c r="L475" s="595"/>
      <c r="M475" s="595"/>
      <c r="N475" s="595"/>
      <c r="O475" s="595"/>
      <c r="P475" s="595"/>
      <c r="Q475" s="595"/>
    </row>
    <row r="476" spans="1:17">
      <c r="A476" s="1019" t="s">
        <v>1510</v>
      </c>
      <c r="B476" s="979" t="s">
        <v>420</v>
      </c>
      <c r="C476" s="979" t="s">
        <v>317</v>
      </c>
      <c r="D476" s="979" t="s">
        <v>1097</v>
      </c>
      <c r="E476" s="980">
        <v>1044</v>
      </c>
      <c r="F476" s="595"/>
      <c r="G476" s="1009">
        <f t="shared" si="72"/>
        <v>42.350000000000009</v>
      </c>
      <c r="H476" s="1012">
        <f t="shared" si="73"/>
        <v>44213.400000000009</v>
      </c>
      <c r="I476" s="1011">
        <f t="shared" si="69"/>
        <v>-0.45471014800062459</v>
      </c>
      <c r="J476" s="1009">
        <f t="shared" si="70"/>
        <v>1044</v>
      </c>
      <c r="K476" s="1009">
        <f t="shared" si="71"/>
        <v>-0.51759149941891736</v>
      </c>
      <c r="L476" s="595"/>
      <c r="M476" s="595"/>
      <c r="N476" s="595"/>
      <c r="O476" s="595"/>
      <c r="P476" s="595"/>
      <c r="Q476" s="595"/>
    </row>
    <row r="477" spans="1:17">
      <c r="A477" s="1019" t="s">
        <v>1510</v>
      </c>
      <c r="B477" s="979" t="s">
        <v>420</v>
      </c>
      <c r="C477" s="979" t="s">
        <v>320</v>
      </c>
      <c r="D477" s="979" t="s">
        <v>1098</v>
      </c>
      <c r="E477" s="980">
        <v>150</v>
      </c>
      <c r="F477" s="595"/>
      <c r="G477" s="1009">
        <f t="shared" si="72"/>
        <v>18.649999999999999</v>
      </c>
      <c r="H477" s="1012">
        <f t="shared" si="73"/>
        <v>2797.5</v>
      </c>
      <c r="I477" s="1011">
        <f t="shared" si="69"/>
        <v>-2.8770726499924165E-2</v>
      </c>
      <c r="J477" s="1009">
        <f t="shared" si="70"/>
        <v>150</v>
      </c>
      <c r="K477" s="1009">
        <f t="shared" si="71"/>
        <v>-1.1753351206644052</v>
      </c>
      <c r="L477" s="595"/>
      <c r="M477" s="595"/>
      <c r="N477" s="595"/>
      <c r="O477" s="595"/>
      <c r="P477" s="595"/>
      <c r="Q477" s="595"/>
    </row>
    <row r="478" spans="1:17">
      <c r="A478" s="1019" t="s">
        <v>1510</v>
      </c>
      <c r="B478" s="979" t="s">
        <v>420</v>
      </c>
      <c r="C478" s="979" t="s">
        <v>352</v>
      </c>
      <c r="D478" s="979" t="s">
        <v>1099</v>
      </c>
      <c r="E478" s="980">
        <v>1029</v>
      </c>
      <c r="F478" s="595"/>
      <c r="G478" s="1009">
        <f t="shared" si="72"/>
        <v>24.59</v>
      </c>
      <c r="H478" s="1012">
        <f t="shared" si="73"/>
        <v>25303.11</v>
      </c>
      <c r="I478" s="1011">
        <f t="shared" si="69"/>
        <v>-0.2602283672591586</v>
      </c>
      <c r="J478" s="1009">
        <f t="shared" si="70"/>
        <v>1029</v>
      </c>
      <c r="K478" s="1009">
        <f t="shared" si="71"/>
        <v>-0.89141927614441463</v>
      </c>
      <c r="L478" s="595"/>
      <c r="M478" s="595"/>
      <c r="N478" s="595"/>
      <c r="O478" s="595"/>
      <c r="P478" s="595"/>
      <c r="Q478" s="595"/>
    </row>
    <row r="479" spans="1:17">
      <c r="A479" s="1019" t="s">
        <v>1510</v>
      </c>
      <c r="B479" s="979" t="s">
        <v>420</v>
      </c>
      <c r="C479" s="979" t="s">
        <v>384</v>
      </c>
      <c r="D479" s="979" t="s">
        <v>1100</v>
      </c>
      <c r="E479" s="980">
        <v>141</v>
      </c>
      <c r="F479" s="595"/>
      <c r="G479" s="1009">
        <f t="shared" si="72"/>
        <v>11.870000000000001</v>
      </c>
      <c r="H479" s="1012">
        <f t="shared" si="73"/>
        <v>1673.67</v>
      </c>
      <c r="I479" s="1011">
        <f t="shared" si="69"/>
        <v>-1.7212762045085997E-2</v>
      </c>
      <c r="J479" s="1009">
        <f t="shared" si="70"/>
        <v>141</v>
      </c>
      <c r="K479" s="1009">
        <f t="shared" si="71"/>
        <v>-1.8466722830995075</v>
      </c>
      <c r="L479" s="595"/>
      <c r="M479" s="595"/>
      <c r="N479" s="595"/>
      <c r="O479" s="595"/>
      <c r="P479" s="595"/>
      <c r="Q479" s="595"/>
    </row>
    <row r="480" spans="1:17">
      <c r="A480" s="1019" t="s">
        <v>1510</v>
      </c>
      <c r="B480" s="979" t="s">
        <v>420</v>
      </c>
      <c r="C480" s="979" t="s">
        <v>311</v>
      </c>
      <c r="D480" s="979" t="s">
        <v>1101</v>
      </c>
      <c r="E480" s="980">
        <v>454</v>
      </c>
      <c r="F480" s="595"/>
      <c r="G480" s="1009">
        <f t="shared" si="72"/>
        <v>13.360000000000001</v>
      </c>
      <c r="H480" s="1012">
        <f t="shared" si="73"/>
        <v>6065.4400000000005</v>
      </c>
      <c r="I480" s="1011">
        <f t="shared" si="69"/>
        <v>-6.2379665895156401E-2</v>
      </c>
      <c r="J480" s="1009">
        <f t="shared" si="70"/>
        <v>454</v>
      </c>
      <c r="K480" s="1009">
        <f t="shared" si="71"/>
        <v>-1.6407185629035295</v>
      </c>
      <c r="L480" s="595"/>
      <c r="M480" s="595"/>
      <c r="N480" s="595"/>
      <c r="O480" s="595"/>
      <c r="P480" s="595"/>
      <c r="Q480" s="595"/>
    </row>
    <row r="481" spans="1:17">
      <c r="A481" s="1019" t="s">
        <v>1510</v>
      </c>
      <c r="B481" s="979" t="s">
        <v>420</v>
      </c>
      <c r="C481" s="979" t="s">
        <v>341</v>
      </c>
      <c r="D481" s="979" t="s">
        <v>1102</v>
      </c>
      <c r="E481" s="980">
        <v>1464</v>
      </c>
      <c r="F481" s="595"/>
      <c r="G481" s="1009">
        <f t="shared" si="72"/>
        <v>15.079999999999998</v>
      </c>
      <c r="H481" s="1012">
        <f t="shared" si="73"/>
        <v>22077.119999999999</v>
      </c>
      <c r="I481" s="1011">
        <f t="shared" si="69"/>
        <v>-0.22705086020590021</v>
      </c>
      <c r="J481" s="1009">
        <f t="shared" si="70"/>
        <v>1464</v>
      </c>
      <c r="K481" s="1009">
        <f t="shared" si="71"/>
        <v>-1.4535809018827028</v>
      </c>
      <c r="L481" s="1009"/>
      <c r="M481" s="595"/>
      <c r="N481" s="595"/>
      <c r="O481" s="595"/>
      <c r="P481" s="595"/>
      <c r="Q481" s="595"/>
    </row>
    <row r="482" spans="1:17">
      <c r="A482" s="1019" t="s">
        <v>1510</v>
      </c>
      <c r="B482" s="979" t="s">
        <v>420</v>
      </c>
      <c r="C482" s="979" t="s">
        <v>315</v>
      </c>
      <c r="D482" s="979" t="s">
        <v>1103</v>
      </c>
      <c r="E482" s="980">
        <v>227</v>
      </c>
      <c r="F482" s="595"/>
      <c r="G482" s="1009">
        <f t="shared" si="72"/>
        <v>46.740000000000009</v>
      </c>
      <c r="H482" s="1012">
        <f t="shared" si="73"/>
        <v>10609.980000000001</v>
      </c>
      <c r="I482" s="1011">
        <f t="shared" si="69"/>
        <v>-0.10911772394983572</v>
      </c>
      <c r="J482" s="1009">
        <f t="shared" si="70"/>
        <v>227</v>
      </c>
      <c r="K482" s="1009">
        <f t="shared" si="71"/>
        <v>-0.46897732136052955</v>
      </c>
      <c r="L482" s="595"/>
      <c r="M482" s="595"/>
      <c r="N482" s="595"/>
      <c r="O482" s="595"/>
      <c r="P482" s="595"/>
      <c r="Q482" s="595"/>
    </row>
    <row r="483" spans="1:17">
      <c r="A483" s="1019" t="s">
        <v>1510</v>
      </c>
      <c r="B483" s="979" t="s">
        <v>420</v>
      </c>
      <c r="C483" s="979" t="s">
        <v>319</v>
      </c>
      <c r="D483" s="979" t="s">
        <v>1104</v>
      </c>
      <c r="E483" s="980">
        <v>26</v>
      </c>
      <c r="F483" s="595"/>
      <c r="G483" s="1009">
        <f t="shared" si="72"/>
        <v>27.15</v>
      </c>
      <c r="H483" s="1012">
        <f t="shared" si="73"/>
        <v>705.9</v>
      </c>
      <c r="I483" s="1011">
        <f t="shared" si="69"/>
        <v>-7.2597876090425267E-3</v>
      </c>
      <c r="J483" s="1009">
        <f t="shared" si="70"/>
        <v>26</v>
      </c>
      <c r="K483" s="1009">
        <f t="shared" si="71"/>
        <v>-0.80736648251901133</v>
      </c>
      <c r="L483" s="595"/>
      <c r="M483" s="595"/>
      <c r="N483" s="595"/>
      <c r="O483" s="595"/>
      <c r="P483" s="595"/>
      <c r="Q483" s="595"/>
    </row>
    <row r="484" spans="1:17">
      <c r="A484" s="1019" t="s">
        <v>1510</v>
      </c>
      <c r="B484" s="979" t="s">
        <v>420</v>
      </c>
      <c r="C484" s="979" t="s">
        <v>356</v>
      </c>
      <c r="D484" s="979" t="s">
        <v>1105</v>
      </c>
      <c r="E484" s="980">
        <v>6948</v>
      </c>
      <c r="F484" s="595"/>
      <c r="G484" s="1009">
        <f t="shared" si="72"/>
        <v>7.54</v>
      </c>
      <c r="H484" s="1012">
        <f t="shared" si="73"/>
        <v>52387.92</v>
      </c>
      <c r="I484" s="1011">
        <f t="shared" si="69"/>
        <v>-0.53878052483285332</v>
      </c>
      <c r="J484" s="1009">
        <f t="shared" si="70"/>
        <v>6948</v>
      </c>
      <c r="K484" s="1009">
        <f t="shared" si="71"/>
        <v>-2.9071618037654052</v>
      </c>
      <c r="L484" s="1009"/>
      <c r="M484" s="595"/>
      <c r="N484" s="595"/>
      <c r="O484" s="595"/>
      <c r="P484" s="595"/>
      <c r="Q484" s="595"/>
    </row>
    <row r="485" spans="1:17">
      <c r="A485" s="1019" t="s">
        <v>1510</v>
      </c>
      <c r="B485" s="979" t="s">
        <v>420</v>
      </c>
      <c r="C485" s="979" t="s">
        <v>365</v>
      </c>
      <c r="D485" s="979" t="s">
        <v>1106</v>
      </c>
      <c r="E485" s="980">
        <v>8771</v>
      </c>
      <c r="F485" s="595"/>
      <c r="G485" s="1009">
        <f t="shared" si="72"/>
        <v>8.66</v>
      </c>
      <c r="H485" s="1012">
        <f t="shared" si="73"/>
        <v>75956.86</v>
      </c>
      <c r="I485" s="1011">
        <f t="shared" si="69"/>
        <v>-0.78117392130581942</v>
      </c>
      <c r="J485" s="1009">
        <f t="shared" si="70"/>
        <v>8771</v>
      </c>
      <c r="K485" s="1009">
        <f t="shared" si="71"/>
        <v>-2.5311778291444753</v>
      </c>
      <c r="L485" s="595"/>
      <c r="M485" s="595"/>
      <c r="N485" s="595"/>
      <c r="O485" s="595"/>
      <c r="P485" s="595"/>
      <c r="Q485" s="595"/>
    </row>
    <row r="486" spans="1:17">
      <c r="A486" s="1019" t="s">
        <v>1510</v>
      </c>
      <c r="B486" s="979" t="s">
        <v>420</v>
      </c>
      <c r="C486" s="979" t="s">
        <v>388</v>
      </c>
      <c r="D486" s="979" t="s">
        <v>1107</v>
      </c>
      <c r="E486" s="980">
        <v>20445</v>
      </c>
      <c r="F486" s="595"/>
      <c r="G486" s="1009">
        <f t="shared" si="72"/>
        <v>9.14</v>
      </c>
      <c r="H486" s="1012">
        <f t="shared" si="73"/>
        <v>186867.30000000002</v>
      </c>
      <c r="I486" s="1011">
        <f t="shared" si="69"/>
        <v>-1.9218259088755245</v>
      </c>
      <c r="J486" s="1009">
        <f t="shared" si="70"/>
        <v>20445</v>
      </c>
      <c r="K486" s="1009">
        <f t="shared" si="71"/>
        <v>-2.3982494529968439</v>
      </c>
      <c r="L486" s="595"/>
      <c r="M486" s="595"/>
      <c r="N486" s="595"/>
      <c r="O486" s="595"/>
      <c r="P486" s="595"/>
      <c r="Q486" s="595"/>
    </row>
    <row r="487" spans="1:17">
      <c r="A487" s="1019" t="s">
        <v>1510</v>
      </c>
      <c r="B487" s="979" t="s">
        <v>420</v>
      </c>
      <c r="C487" s="979" t="s">
        <v>345</v>
      </c>
      <c r="D487" s="979" t="s">
        <v>1108</v>
      </c>
      <c r="E487" s="980">
        <v>7600</v>
      </c>
      <c r="F487" s="595"/>
      <c r="G487" s="1009">
        <f t="shared" si="72"/>
        <v>14.25</v>
      </c>
      <c r="H487" s="1012">
        <f t="shared" si="73"/>
        <v>108300</v>
      </c>
      <c r="I487" s="1011">
        <f t="shared" si="69"/>
        <v>-1.11380506879063</v>
      </c>
      <c r="J487" s="1009">
        <f t="shared" si="70"/>
        <v>7600</v>
      </c>
      <c r="K487" s="1009">
        <f t="shared" si="71"/>
        <v>-1.5382456140625371</v>
      </c>
      <c r="L487" s="1009"/>
      <c r="M487" s="595"/>
      <c r="N487" s="595"/>
      <c r="O487" s="595"/>
      <c r="P487" s="595"/>
      <c r="Q487" s="595"/>
    </row>
    <row r="488" spans="1:17">
      <c r="A488" s="1019" t="s">
        <v>1510</v>
      </c>
      <c r="B488" s="979" t="s">
        <v>420</v>
      </c>
      <c r="C488" s="979" t="s">
        <v>377</v>
      </c>
      <c r="D488" s="979" t="s">
        <v>1109</v>
      </c>
      <c r="E488" s="980">
        <v>2817</v>
      </c>
      <c r="F488" s="595"/>
      <c r="G488" s="1009">
        <f t="shared" si="72"/>
        <v>22.84</v>
      </c>
      <c r="H488" s="1012">
        <f t="shared" si="73"/>
        <v>64340.28</v>
      </c>
      <c r="I488" s="1011">
        <f t="shared" si="69"/>
        <v>-0.66170387803701192</v>
      </c>
      <c r="J488" s="1009">
        <f t="shared" si="70"/>
        <v>2817</v>
      </c>
      <c r="K488" s="1009">
        <f t="shared" si="71"/>
        <v>-0.95971978985950768</v>
      </c>
      <c r="L488" s="595"/>
      <c r="M488" s="595"/>
      <c r="N488" s="595"/>
      <c r="O488" s="595"/>
      <c r="P488" s="595"/>
      <c r="Q488" s="595"/>
    </row>
    <row r="489" spans="1:17">
      <c r="A489" s="1019" t="s">
        <v>1510</v>
      </c>
      <c r="B489" s="979" t="s">
        <v>420</v>
      </c>
      <c r="C489" s="979" t="s">
        <v>363</v>
      </c>
      <c r="D489" s="979" t="s">
        <v>1110</v>
      </c>
      <c r="E489" s="980">
        <v>866</v>
      </c>
      <c r="F489" s="595"/>
      <c r="G489" s="1009">
        <f t="shared" si="72"/>
        <v>9.620000000000001</v>
      </c>
      <c r="H489" s="1012">
        <f t="shared" si="73"/>
        <v>8330.92</v>
      </c>
      <c r="I489" s="1011">
        <f t="shared" si="69"/>
        <v>-8.5678863561304108E-2</v>
      </c>
      <c r="J489" s="1009">
        <f t="shared" si="70"/>
        <v>866</v>
      </c>
      <c r="K489" s="1009">
        <f t="shared" si="71"/>
        <v>-2.2785862786269391</v>
      </c>
      <c r="L489" s="595"/>
      <c r="M489" s="595"/>
      <c r="N489" s="595"/>
      <c r="O489" s="595"/>
      <c r="P489" s="595"/>
      <c r="Q489" s="595"/>
    </row>
    <row r="490" spans="1:17">
      <c r="A490" s="1019" t="s">
        <v>1510</v>
      </c>
      <c r="B490" s="979" t="s">
        <v>420</v>
      </c>
      <c r="C490" s="979" t="s">
        <v>373</v>
      </c>
      <c r="D490" s="979" t="s">
        <v>1111</v>
      </c>
      <c r="E490" s="980">
        <v>1367</v>
      </c>
      <c r="F490" s="595"/>
      <c r="G490" s="1009">
        <f t="shared" si="72"/>
        <v>10.770000000000001</v>
      </c>
      <c r="H490" s="1012">
        <f t="shared" si="73"/>
        <v>14722.590000000002</v>
      </c>
      <c r="I490" s="1011">
        <f t="shared" si="69"/>
        <v>-0.15141362297069477</v>
      </c>
      <c r="J490" s="1009">
        <f t="shared" si="70"/>
        <v>1367</v>
      </c>
      <c r="K490" s="1009">
        <f t="shared" si="71"/>
        <v>-2.035283194093886</v>
      </c>
      <c r="L490" s="595"/>
      <c r="M490" s="595"/>
      <c r="N490" s="595"/>
      <c r="O490" s="595"/>
      <c r="P490" s="595"/>
      <c r="Q490" s="595"/>
    </row>
    <row r="491" spans="1:17">
      <c r="A491" s="1019" t="s">
        <v>1510</v>
      </c>
      <c r="B491" s="979" t="s">
        <v>420</v>
      </c>
      <c r="C491" s="979" t="s">
        <v>396</v>
      </c>
      <c r="D491" s="979" t="s">
        <v>1112</v>
      </c>
      <c r="E491" s="980">
        <v>4042</v>
      </c>
      <c r="F491" s="595"/>
      <c r="G491" s="1009">
        <f t="shared" si="72"/>
        <v>11.16</v>
      </c>
      <c r="H491" s="1012">
        <f t="shared" si="73"/>
        <v>45108.72</v>
      </c>
      <c r="I491" s="1011">
        <f t="shared" si="69"/>
        <v>-0.46391801461364046</v>
      </c>
      <c r="J491" s="1009">
        <f t="shared" si="70"/>
        <v>4042</v>
      </c>
      <c r="K491" s="1009">
        <f t="shared" si="71"/>
        <v>-1.9641577061282398</v>
      </c>
      <c r="L491" s="595"/>
      <c r="M491" s="595"/>
      <c r="N491" s="595"/>
      <c r="O491" s="595"/>
      <c r="P491" s="595"/>
      <c r="Q491" s="595"/>
    </row>
    <row r="492" spans="1:17">
      <c r="A492" s="1019" t="s">
        <v>1510</v>
      </c>
      <c r="B492" s="979" t="s">
        <v>420</v>
      </c>
      <c r="C492" s="979" t="s">
        <v>351</v>
      </c>
      <c r="D492" s="979" t="s">
        <v>1113</v>
      </c>
      <c r="E492" s="980">
        <v>296</v>
      </c>
      <c r="F492" s="595"/>
      <c r="G492" s="1009">
        <f t="shared" si="72"/>
        <v>33.100000000000009</v>
      </c>
      <c r="H492" s="1012">
        <f t="shared" si="73"/>
        <v>9797.6000000000022</v>
      </c>
      <c r="I492" s="1011">
        <f t="shared" si="69"/>
        <v>-0.10076284895644579</v>
      </c>
      <c r="J492" s="1009">
        <f t="shared" si="70"/>
        <v>296</v>
      </c>
      <c r="K492" s="1009">
        <f t="shared" si="71"/>
        <v>-0.662235649558645</v>
      </c>
      <c r="L492" s="595"/>
      <c r="M492" s="595"/>
      <c r="N492" s="595"/>
      <c r="O492" s="595"/>
      <c r="P492" s="595"/>
      <c r="Q492" s="595"/>
    </row>
    <row r="493" spans="1:17">
      <c r="A493" s="1019" t="s">
        <v>1510</v>
      </c>
      <c r="B493" s="979" t="s">
        <v>420</v>
      </c>
      <c r="C493" s="979" t="s">
        <v>314</v>
      </c>
      <c r="D493" s="979" t="s">
        <v>1114</v>
      </c>
      <c r="E493" s="980">
        <v>61</v>
      </c>
      <c r="F493" s="595"/>
      <c r="G493" s="1009">
        <f t="shared" si="72"/>
        <v>55.250000000000007</v>
      </c>
      <c r="H493" s="1012">
        <f t="shared" si="73"/>
        <v>3370.2500000000005</v>
      </c>
      <c r="I493" s="1011">
        <f t="shared" si="69"/>
        <v>-3.4661140656432325E-2</v>
      </c>
      <c r="J493" s="1009">
        <f t="shared" si="70"/>
        <v>61</v>
      </c>
      <c r="K493" s="1009">
        <f t="shared" si="71"/>
        <v>-0.39674208145504347</v>
      </c>
      <c r="L493" s="595"/>
      <c r="M493" s="595"/>
      <c r="N493" s="595"/>
      <c r="O493" s="595"/>
      <c r="P493" s="595"/>
      <c r="Q493" s="595"/>
    </row>
    <row r="494" spans="1:17">
      <c r="A494" s="1019" t="s">
        <v>1510</v>
      </c>
      <c r="B494" s="979" t="s">
        <v>420</v>
      </c>
      <c r="C494" s="979" t="s">
        <v>355</v>
      </c>
      <c r="D494" s="979" t="s">
        <v>1115</v>
      </c>
      <c r="E494" s="980">
        <v>3675</v>
      </c>
      <c r="F494" s="595"/>
      <c r="G494" s="1009">
        <f t="shared" si="72"/>
        <v>10.49</v>
      </c>
      <c r="H494" s="1012">
        <f t="shared" si="73"/>
        <v>38550.75</v>
      </c>
      <c r="I494" s="1011">
        <f t="shared" si="69"/>
        <v>-0.39647295249935716</v>
      </c>
      <c r="J494" s="1009">
        <f t="shared" si="70"/>
        <v>3675</v>
      </c>
      <c r="K494" s="1009">
        <f t="shared" si="71"/>
        <v>-2.0896091516102149</v>
      </c>
      <c r="L494" s="595"/>
      <c r="M494" s="595"/>
      <c r="N494" s="595"/>
      <c r="O494" s="595"/>
      <c r="P494" s="595"/>
      <c r="Q494" s="595"/>
    </row>
    <row r="495" spans="1:17">
      <c r="A495" s="1019" t="s">
        <v>1510</v>
      </c>
      <c r="B495" s="979" t="s">
        <v>420</v>
      </c>
      <c r="C495" s="979" t="s">
        <v>364</v>
      </c>
      <c r="D495" s="979" t="s">
        <v>1116</v>
      </c>
      <c r="E495" s="980">
        <v>8789</v>
      </c>
      <c r="F495" s="595"/>
      <c r="G495" s="1009">
        <f t="shared" si="72"/>
        <v>11.600000000000001</v>
      </c>
      <c r="H495" s="1012">
        <f t="shared" si="73"/>
        <v>101952.40000000001</v>
      </c>
      <c r="I495" s="1011">
        <f t="shared" si="69"/>
        <v>-1.0485235447402568</v>
      </c>
      <c r="J495" s="1009">
        <f t="shared" si="70"/>
        <v>8789</v>
      </c>
      <c r="K495" s="1009">
        <f t="shared" si="71"/>
        <v>-1.8896551724475132</v>
      </c>
      <c r="L495" s="595"/>
      <c r="M495" s="595"/>
      <c r="N495" s="595"/>
      <c r="O495" s="595"/>
      <c r="P495" s="595"/>
      <c r="Q495" s="595"/>
    </row>
    <row r="496" spans="1:17">
      <c r="A496" s="1019" t="s">
        <v>1510</v>
      </c>
      <c r="B496" s="979" t="s">
        <v>420</v>
      </c>
      <c r="C496" s="979" t="s">
        <v>387</v>
      </c>
      <c r="D496" s="979" t="s">
        <v>1117</v>
      </c>
      <c r="E496" s="980">
        <v>3381</v>
      </c>
      <c r="F496" s="595"/>
      <c r="G496" s="1009">
        <f t="shared" si="72"/>
        <v>12.3</v>
      </c>
      <c r="H496" s="1012">
        <f t="shared" si="73"/>
        <v>41586.300000000003</v>
      </c>
      <c r="I496" s="1011">
        <f t="shared" si="69"/>
        <v>-0.42769189041780037</v>
      </c>
      <c r="J496" s="1009">
        <f t="shared" si="70"/>
        <v>3381</v>
      </c>
      <c r="K496" s="1009">
        <f t="shared" si="71"/>
        <v>-1.7821138211700125</v>
      </c>
      <c r="L496" s="595"/>
      <c r="M496" s="595"/>
      <c r="N496" s="595"/>
      <c r="O496" s="595"/>
      <c r="P496" s="595"/>
      <c r="Q496" s="595"/>
    </row>
    <row r="497" spans="1:17">
      <c r="A497" s="1019" t="s">
        <v>1510</v>
      </c>
      <c r="B497" s="979" t="s">
        <v>420</v>
      </c>
      <c r="C497" s="979" t="s">
        <v>344</v>
      </c>
      <c r="D497" s="979" t="s">
        <v>1118</v>
      </c>
      <c r="E497" s="980">
        <v>5208</v>
      </c>
      <c r="F497" s="595"/>
      <c r="G497" s="1009">
        <f t="shared" si="72"/>
        <v>17.41</v>
      </c>
      <c r="H497" s="1012">
        <f t="shared" si="73"/>
        <v>90671.28</v>
      </c>
      <c r="I497" s="1011">
        <f t="shared" si="69"/>
        <v>-0.93250352038535977</v>
      </c>
      <c r="J497" s="1009">
        <f t="shared" si="70"/>
        <v>5208</v>
      </c>
      <c r="K497" s="1009">
        <f t="shared" si="71"/>
        <v>-1.2590465250081078</v>
      </c>
      <c r="L497" s="595"/>
      <c r="M497" s="595"/>
      <c r="N497" s="595"/>
      <c r="O497" s="595"/>
      <c r="P497" s="595"/>
      <c r="Q497" s="595"/>
    </row>
    <row r="498" spans="1:17">
      <c r="A498" s="1019" t="s">
        <v>1510</v>
      </c>
      <c r="B498" s="979" t="s">
        <v>420</v>
      </c>
      <c r="C498" s="979" t="s">
        <v>376</v>
      </c>
      <c r="D498" s="979" t="s">
        <v>1119</v>
      </c>
      <c r="E498" s="980">
        <v>509</v>
      </c>
      <c r="F498" s="595"/>
      <c r="G498" s="1009">
        <f t="shared" si="72"/>
        <v>24.46</v>
      </c>
      <c r="H498" s="1012">
        <f t="shared" si="73"/>
        <v>12450.140000000001</v>
      </c>
      <c r="I498" s="1011">
        <f t="shared" si="69"/>
        <v>-0.12804274274379479</v>
      </c>
      <c r="J498" s="1009">
        <f t="shared" si="70"/>
        <v>509</v>
      </c>
      <c r="K498" s="1009">
        <f t="shared" si="71"/>
        <v>-0.8961569910217152</v>
      </c>
      <c r="L498" s="595"/>
      <c r="M498" s="595"/>
      <c r="N498" s="595"/>
      <c r="O498" s="595"/>
      <c r="P498" s="595"/>
      <c r="Q498" s="595"/>
    </row>
    <row r="499" spans="1:17">
      <c r="A499" s="1019" t="s">
        <v>1510</v>
      </c>
      <c r="B499" s="979" t="s">
        <v>420</v>
      </c>
      <c r="C499" s="979" t="s">
        <v>374</v>
      </c>
      <c r="D499" s="979" t="s">
        <v>1120</v>
      </c>
      <c r="E499" s="980">
        <v>4575</v>
      </c>
      <c r="F499" s="595"/>
      <c r="G499" s="1009">
        <f t="shared" ref="G499:G515" si="74">SUMIF(_Lights_Tariff_Category,20140101&amp;$C499,_Lights_Rates)</f>
        <v>16.79</v>
      </c>
      <c r="H499" s="1012">
        <f t="shared" ref="H499:H515" si="75">E499*G499</f>
        <v>76814.25</v>
      </c>
      <c r="I499" s="1011">
        <f t="shared" si="69"/>
        <v>-0.78999169903370869</v>
      </c>
      <c r="J499" s="1009">
        <f t="shared" si="70"/>
        <v>4575</v>
      </c>
      <c r="K499" s="1009">
        <f t="shared" si="71"/>
        <v>-1.3055390113395566</v>
      </c>
      <c r="L499" s="595"/>
      <c r="M499" s="595"/>
      <c r="N499" s="595"/>
      <c r="O499" s="595"/>
      <c r="P499" s="595"/>
      <c r="Q499" s="595"/>
    </row>
    <row r="500" spans="1:17">
      <c r="A500" s="1019" t="s">
        <v>1510</v>
      </c>
      <c r="B500" s="979" t="s">
        <v>420</v>
      </c>
      <c r="C500" s="979" t="s">
        <v>398</v>
      </c>
      <c r="D500" s="979" t="s">
        <v>1121</v>
      </c>
      <c r="E500" s="980">
        <v>1055</v>
      </c>
      <c r="F500" s="595"/>
      <c r="G500" s="1009">
        <f t="shared" si="74"/>
        <v>20.97</v>
      </c>
      <c r="H500" s="1012">
        <f t="shared" si="75"/>
        <v>22123.35</v>
      </c>
      <c r="I500" s="1011">
        <f t="shared" ref="I500:I515" si="76">H500/$L$437*$L$438</f>
        <v>-0.22752630995964154</v>
      </c>
      <c r="J500" s="1009">
        <f t="shared" ref="J500:J515" si="77">ROUND((H500+I500)/G500,0)</f>
        <v>1055</v>
      </c>
      <c r="K500" s="1009">
        <f t="shared" ref="K500:K515" si="78">$L$438/G500</f>
        <v>-1.0453028135618101</v>
      </c>
      <c r="L500" s="595"/>
      <c r="M500" s="595"/>
      <c r="N500" s="595"/>
      <c r="O500" s="595"/>
      <c r="P500" s="595"/>
      <c r="Q500" s="595"/>
    </row>
    <row r="501" spans="1:17">
      <c r="A501" s="1019" t="s">
        <v>1510</v>
      </c>
      <c r="B501" s="979" t="s">
        <v>420</v>
      </c>
      <c r="C501" s="979" t="s">
        <v>348</v>
      </c>
      <c r="D501" s="979" t="s">
        <v>1122</v>
      </c>
      <c r="E501" s="980">
        <v>1411</v>
      </c>
      <c r="F501" s="595"/>
      <c r="G501" s="1009">
        <f t="shared" si="74"/>
        <v>26.86</v>
      </c>
      <c r="H501" s="1012">
        <f t="shared" si="75"/>
        <v>37899.46</v>
      </c>
      <c r="I501" s="1011">
        <f t="shared" si="76"/>
        <v>-0.38977479826803069</v>
      </c>
      <c r="J501" s="1009">
        <f t="shared" si="77"/>
        <v>1411</v>
      </c>
      <c r="K501" s="1009">
        <f t="shared" si="78"/>
        <v>-0.81608339539803265</v>
      </c>
      <c r="L501" s="595"/>
      <c r="M501" s="595"/>
      <c r="N501" s="595"/>
      <c r="O501" s="595"/>
      <c r="P501" s="595"/>
      <c r="Q501" s="595"/>
    </row>
    <row r="502" spans="1:17">
      <c r="A502" s="1019" t="s">
        <v>1510</v>
      </c>
      <c r="B502" s="979" t="s">
        <v>420</v>
      </c>
      <c r="C502" s="979" t="s">
        <v>380</v>
      </c>
      <c r="D502" s="979" t="s">
        <v>1123</v>
      </c>
      <c r="E502" s="980">
        <v>943</v>
      </c>
      <c r="F502" s="595"/>
      <c r="G502" s="1009">
        <f t="shared" si="74"/>
        <v>33.119999999999997</v>
      </c>
      <c r="H502" s="1012">
        <f t="shared" si="75"/>
        <v>31232.159999999996</v>
      </c>
      <c r="I502" s="1011">
        <f t="shared" si="76"/>
        <v>-0.32120533810969487</v>
      </c>
      <c r="J502" s="1009">
        <f t="shared" si="77"/>
        <v>943</v>
      </c>
      <c r="K502" s="1009">
        <f t="shared" si="78"/>
        <v>-0.6618357488040808</v>
      </c>
      <c r="L502" s="595"/>
      <c r="M502" s="595"/>
      <c r="N502" s="595"/>
      <c r="O502" s="595"/>
      <c r="P502" s="595"/>
      <c r="Q502" s="595"/>
    </row>
    <row r="503" spans="1:17">
      <c r="A503" s="1019" t="s">
        <v>1510</v>
      </c>
      <c r="B503" s="979" t="s">
        <v>420</v>
      </c>
      <c r="C503" s="979" t="s">
        <v>399</v>
      </c>
      <c r="D503" s="979" t="s">
        <v>1124</v>
      </c>
      <c r="E503" s="980">
        <v>11195</v>
      </c>
      <c r="F503" s="595"/>
      <c r="G503" s="1009">
        <f t="shared" si="74"/>
        <v>9</v>
      </c>
      <c r="H503" s="1012">
        <f t="shared" si="75"/>
        <v>100755</v>
      </c>
      <c r="I503" s="1011">
        <f t="shared" si="76"/>
        <v>-1.0362089538873491</v>
      </c>
      <c r="J503" s="1009">
        <f t="shared" si="77"/>
        <v>11195</v>
      </c>
      <c r="K503" s="1009">
        <f t="shared" si="78"/>
        <v>-2.4355555555990174</v>
      </c>
      <c r="L503" s="595"/>
      <c r="M503" s="595"/>
      <c r="N503" s="595"/>
      <c r="O503" s="595"/>
      <c r="P503" s="595"/>
      <c r="Q503" s="595"/>
    </row>
    <row r="504" spans="1:17">
      <c r="A504" s="1019" t="s">
        <v>1510</v>
      </c>
      <c r="B504" s="979" t="s">
        <v>420</v>
      </c>
      <c r="C504" s="979" t="s">
        <v>349</v>
      </c>
      <c r="D504" s="979" t="s">
        <v>1125</v>
      </c>
      <c r="E504" s="980">
        <v>6647</v>
      </c>
      <c r="F504" s="595"/>
      <c r="G504" s="1009">
        <f t="shared" si="74"/>
        <v>13.639999999999999</v>
      </c>
      <c r="H504" s="1012">
        <f t="shared" si="75"/>
        <v>90665.079999999987</v>
      </c>
      <c r="I504" s="1011">
        <f t="shared" si="76"/>
        <v>-0.93243975684494873</v>
      </c>
      <c r="J504" s="1009">
        <f t="shared" si="77"/>
        <v>6647</v>
      </c>
      <c r="K504" s="1009">
        <f t="shared" si="78"/>
        <v>-1.6070381231958326</v>
      </c>
      <c r="L504" s="595"/>
      <c r="M504" s="595"/>
      <c r="N504" s="595"/>
      <c r="O504" s="595"/>
      <c r="P504" s="595"/>
      <c r="Q504" s="595"/>
    </row>
    <row r="505" spans="1:17">
      <c r="A505" s="1019" t="s">
        <v>1510</v>
      </c>
      <c r="B505" s="979" t="s">
        <v>420</v>
      </c>
      <c r="C505" s="979" t="s">
        <v>381</v>
      </c>
      <c r="D505" s="979" t="s">
        <v>1126</v>
      </c>
      <c r="E505" s="980">
        <v>8399</v>
      </c>
      <c r="F505" s="595"/>
      <c r="G505" s="1009">
        <f t="shared" si="74"/>
        <v>19.46</v>
      </c>
      <c r="H505" s="1012">
        <f t="shared" si="75"/>
        <v>163444.54</v>
      </c>
      <c r="I505" s="1011">
        <f t="shared" si="76"/>
        <v>-1.6809358921343756</v>
      </c>
      <c r="J505" s="1009">
        <f t="shared" si="77"/>
        <v>8399</v>
      </c>
      <c r="K505" s="1009">
        <f t="shared" si="78"/>
        <v>-1.1264131552102341</v>
      </c>
      <c r="L505" s="595"/>
      <c r="M505" s="595"/>
      <c r="N505" s="595"/>
      <c r="O505" s="595"/>
      <c r="P505" s="595"/>
      <c r="Q505" s="595"/>
    </row>
    <row r="506" spans="1:17">
      <c r="A506" s="1019" t="s">
        <v>1510</v>
      </c>
      <c r="B506" s="979" t="s">
        <v>420</v>
      </c>
      <c r="C506" s="979" t="s">
        <v>321</v>
      </c>
      <c r="D506" s="979" t="s">
        <v>1127</v>
      </c>
      <c r="E506" s="980">
        <v>58</v>
      </c>
      <c r="F506" s="595"/>
      <c r="G506" s="1009">
        <f t="shared" si="74"/>
        <v>15.47</v>
      </c>
      <c r="H506" s="1012">
        <f t="shared" si="75"/>
        <v>897.26</v>
      </c>
      <c r="I506" s="1011">
        <f t="shared" si="76"/>
        <v>-9.2278184304993589E-3</v>
      </c>
      <c r="J506" s="1009">
        <f t="shared" si="77"/>
        <v>58</v>
      </c>
      <c r="K506" s="1009">
        <f t="shared" si="78"/>
        <v>-1.416936005196584</v>
      </c>
      <c r="L506" s="595"/>
      <c r="M506" s="595"/>
      <c r="N506" s="595"/>
      <c r="O506" s="595"/>
      <c r="P506" s="595"/>
      <c r="Q506" s="595"/>
    </row>
    <row r="507" spans="1:17">
      <c r="A507" s="1019" t="s">
        <v>1510</v>
      </c>
      <c r="B507" s="979" t="s">
        <v>420</v>
      </c>
      <c r="C507" s="979" t="s">
        <v>353</v>
      </c>
      <c r="D507" s="979" t="s">
        <v>1128</v>
      </c>
      <c r="E507" s="980">
        <v>313</v>
      </c>
      <c r="F507" s="595"/>
      <c r="G507" s="1009">
        <f t="shared" si="74"/>
        <v>21.930000000000003</v>
      </c>
      <c r="H507" s="1012">
        <f t="shared" si="75"/>
        <v>6864.0900000000011</v>
      </c>
      <c r="I507" s="1011">
        <f t="shared" si="76"/>
        <v>-7.05933354998622E-2</v>
      </c>
      <c r="J507" s="1009">
        <f t="shared" si="77"/>
        <v>313</v>
      </c>
      <c r="K507" s="1009">
        <f t="shared" si="78"/>
        <v>-0.9995440036658072</v>
      </c>
      <c r="L507" s="595"/>
      <c r="M507" s="595"/>
      <c r="N507" s="595"/>
      <c r="O507" s="595"/>
      <c r="P507" s="595"/>
      <c r="Q507" s="595"/>
    </row>
    <row r="508" spans="1:17">
      <c r="A508" s="1019" t="s">
        <v>1510</v>
      </c>
      <c r="B508" s="979" t="s">
        <v>420</v>
      </c>
      <c r="C508" s="979" t="s">
        <v>678</v>
      </c>
      <c r="D508" s="979" t="s">
        <v>1129</v>
      </c>
      <c r="E508" s="980">
        <v>2</v>
      </c>
      <c r="F508" s="595"/>
      <c r="G508" s="1009">
        <f t="shared" si="74"/>
        <v>15.370000000000001</v>
      </c>
      <c r="H508" s="1012">
        <f t="shared" si="75"/>
        <v>30.740000000000002</v>
      </c>
      <c r="I508" s="1011">
        <f t="shared" si="76"/>
        <v>-3.1614374713410861E-4</v>
      </c>
      <c r="J508" s="1009">
        <f t="shared" si="77"/>
        <v>2</v>
      </c>
      <c r="K508" s="1009">
        <f t="shared" si="78"/>
        <v>-1.4261548471301988</v>
      </c>
      <c r="L508" s="595"/>
      <c r="M508" s="595"/>
      <c r="N508" s="595"/>
      <c r="O508" s="595"/>
      <c r="P508" s="595"/>
      <c r="Q508" s="595"/>
    </row>
    <row r="509" spans="1:17">
      <c r="A509" s="1019" t="s">
        <v>1510</v>
      </c>
      <c r="B509" s="979" t="s">
        <v>420</v>
      </c>
      <c r="C509" s="979" t="s">
        <v>316</v>
      </c>
      <c r="D509" s="979" t="s">
        <v>1130</v>
      </c>
      <c r="E509" s="980">
        <v>43</v>
      </c>
      <c r="F509" s="595"/>
      <c r="G509" s="1009">
        <f t="shared" si="74"/>
        <v>45.7</v>
      </c>
      <c r="H509" s="1012">
        <f t="shared" si="75"/>
        <v>1965.1000000000001</v>
      </c>
      <c r="I509" s="1011">
        <f t="shared" si="76"/>
        <v>-2.0209956977658976E-2</v>
      </c>
      <c r="J509" s="1009">
        <f t="shared" si="77"/>
        <v>43</v>
      </c>
      <c r="K509" s="1009">
        <f t="shared" si="78"/>
        <v>-0.4796498905993688</v>
      </c>
      <c r="L509" s="595"/>
      <c r="M509" s="595"/>
      <c r="N509" s="595"/>
      <c r="O509" s="595"/>
      <c r="P509" s="595"/>
      <c r="Q509" s="595"/>
    </row>
    <row r="510" spans="1:17">
      <c r="A510" s="1019" t="s">
        <v>1510</v>
      </c>
      <c r="B510" s="979" t="s">
        <v>420</v>
      </c>
      <c r="C510" s="979" t="s">
        <v>318</v>
      </c>
      <c r="D510" s="979" t="s">
        <v>1131</v>
      </c>
      <c r="E510" s="980">
        <v>168</v>
      </c>
      <c r="F510" s="595"/>
      <c r="G510" s="1009">
        <f t="shared" si="74"/>
        <v>28.37</v>
      </c>
      <c r="H510" s="1012">
        <f t="shared" si="75"/>
        <v>4766.16</v>
      </c>
      <c r="I510" s="1011">
        <f t="shared" si="76"/>
        <v>-4.9017296091109407E-2</v>
      </c>
      <c r="J510" s="1009">
        <f t="shared" si="77"/>
        <v>168</v>
      </c>
      <c r="K510" s="1009">
        <f t="shared" si="78"/>
        <v>-0.77264716250938159</v>
      </c>
      <c r="L510" s="1009"/>
      <c r="M510" s="595"/>
      <c r="N510" s="595"/>
      <c r="O510" s="595"/>
      <c r="P510" s="595"/>
      <c r="Q510" s="595"/>
    </row>
    <row r="511" spans="1:17">
      <c r="A511" s="1019" t="s">
        <v>1510</v>
      </c>
      <c r="B511" s="979" t="s">
        <v>420</v>
      </c>
      <c r="C511" s="979" t="s">
        <v>350</v>
      </c>
      <c r="D511" s="979" t="s">
        <v>1132</v>
      </c>
      <c r="E511" s="980">
        <v>634</v>
      </c>
      <c r="F511" s="595"/>
      <c r="G511" s="1009">
        <f t="shared" si="74"/>
        <v>34.830000000000005</v>
      </c>
      <c r="H511" s="1012">
        <f t="shared" si="75"/>
        <v>22082.220000000005</v>
      </c>
      <c r="I511" s="1011">
        <f t="shared" si="76"/>
        <v>-0.22710331086010921</v>
      </c>
      <c r="J511" s="1009">
        <f t="shared" si="77"/>
        <v>634</v>
      </c>
      <c r="K511" s="1009">
        <f t="shared" si="78"/>
        <v>-0.62934252082661934</v>
      </c>
      <c r="L511" s="595"/>
      <c r="M511" s="595"/>
      <c r="N511" s="595"/>
      <c r="O511" s="595"/>
      <c r="P511" s="595"/>
      <c r="Q511" s="595"/>
    </row>
    <row r="512" spans="1:17">
      <c r="A512" s="1019" t="s">
        <v>1510</v>
      </c>
      <c r="B512" s="979" t="s">
        <v>420</v>
      </c>
      <c r="C512" s="979" t="s">
        <v>313</v>
      </c>
      <c r="D512" s="979" t="s">
        <v>1133</v>
      </c>
      <c r="E512" s="980">
        <v>154</v>
      </c>
      <c r="F512" s="595"/>
      <c r="G512" s="1009">
        <f t="shared" si="74"/>
        <v>58.59</v>
      </c>
      <c r="H512" s="1012">
        <f t="shared" si="75"/>
        <v>9022.86</v>
      </c>
      <c r="I512" s="1011">
        <f t="shared" si="76"/>
        <v>-9.2795080360002058E-2</v>
      </c>
      <c r="J512" s="1009">
        <f t="shared" si="77"/>
        <v>154</v>
      </c>
      <c r="K512" s="1009">
        <f t="shared" si="78"/>
        <v>-0.37412527735775991</v>
      </c>
      <c r="L512" s="595"/>
      <c r="M512" s="595"/>
      <c r="N512" s="595"/>
      <c r="O512" s="595"/>
      <c r="P512" s="595"/>
      <c r="Q512" s="595"/>
    </row>
    <row r="513" spans="1:17">
      <c r="A513" s="1019" t="s">
        <v>1510</v>
      </c>
      <c r="B513" s="979" t="s">
        <v>420</v>
      </c>
      <c r="C513" s="979" t="s">
        <v>650</v>
      </c>
      <c r="D513" s="979" t="s">
        <v>1151</v>
      </c>
      <c r="E513" s="980">
        <v>10</v>
      </c>
      <c r="F513" s="595"/>
      <c r="G513" s="1035">
        <f t="shared" si="74"/>
        <v>15.35</v>
      </c>
      <c r="H513" s="1012">
        <f t="shared" si="75"/>
        <v>153.5</v>
      </c>
      <c r="I513" s="1011">
        <f t="shared" si="76"/>
        <v>-1.5786618472701909E-3</v>
      </c>
      <c r="J513" s="1034">
        <f t="shared" si="77"/>
        <v>10</v>
      </c>
      <c r="K513" s="1009">
        <f t="shared" si="78"/>
        <v>-1.4280130293414435</v>
      </c>
      <c r="L513" s="595"/>
      <c r="M513" s="595"/>
      <c r="N513" s="595"/>
      <c r="O513" s="595"/>
      <c r="P513" s="595"/>
      <c r="Q513" s="595"/>
    </row>
    <row r="514" spans="1:17">
      <c r="A514" s="1019" t="s">
        <v>1510</v>
      </c>
      <c r="B514" s="979" t="s">
        <v>420</v>
      </c>
      <c r="C514" s="979" t="s">
        <v>447</v>
      </c>
      <c r="D514" s="979" t="s">
        <v>1134</v>
      </c>
      <c r="E514" s="980">
        <v>26</v>
      </c>
      <c r="F514" s="595"/>
      <c r="G514" s="1035">
        <f t="shared" si="74"/>
        <v>17.72</v>
      </c>
      <c r="H514" s="1012">
        <f t="shared" si="75"/>
        <v>460.71999999999997</v>
      </c>
      <c r="I514" s="1011">
        <f t="shared" si="76"/>
        <v>-4.7382481190509597E-3</v>
      </c>
      <c r="J514" s="1034">
        <f t="shared" si="77"/>
        <v>26</v>
      </c>
      <c r="K514" s="1009">
        <f t="shared" si="78"/>
        <v>-1.2370203160491624</v>
      </c>
      <c r="L514" s="595"/>
      <c r="M514" s="595"/>
      <c r="N514" s="595"/>
      <c r="O514" s="595"/>
      <c r="P514" s="595"/>
      <c r="Q514" s="595"/>
    </row>
    <row r="515" spans="1:17">
      <c r="A515" s="1019" t="s">
        <v>1510</v>
      </c>
      <c r="B515" s="979" t="s">
        <v>420</v>
      </c>
      <c r="C515" s="979" t="s">
        <v>624</v>
      </c>
      <c r="D515" s="979" t="s">
        <v>1135</v>
      </c>
      <c r="E515" s="980">
        <f>24+1</f>
        <v>25</v>
      </c>
      <c r="F515" s="595"/>
      <c r="G515" s="1035">
        <f t="shared" si="74"/>
        <v>21.490000000000002</v>
      </c>
      <c r="H515" s="1012">
        <f t="shared" si="75"/>
        <v>537.25</v>
      </c>
      <c r="I515" s="1011">
        <f t="shared" si="76"/>
        <v>-5.5253164654456687E-3</v>
      </c>
      <c r="J515" s="1034">
        <f t="shared" si="77"/>
        <v>25</v>
      </c>
      <c r="K515" s="1009">
        <f t="shared" si="78"/>
        <v>-1.0200093066724594</v>
      </c>
      <c r="L515" s="595"/>
      <c r="M515" s="595"/>
      <c r="N515" s="595"/>
      <c r="O515" s="595"/>
      <c r="P515" s="595"/>
    </row>
    <row r="516" spans="1:17">
      <c r="A516" s="1019" t="s">
        <v>1510</v>
      </c>
      <c r="B516" s="979" t="s">
        <v>420</v>
      </c>
      <c r="C516" s="1021" t="s">
        <v>8</v>
      </c>
      <c r="D516" s="1021"/>
      <c r="E516" s="1032">
        <f>SUM(E435:E515)</f>
        <v>171736</v>
      </c>
      <c r="F516" s="595"/>
      <c r="G516" s="1031"/>
      <c r="H516" s="1033">
        <f>SUM(H435:H515)</f>
        <v>2131374.7500000005</v>
      </c>
      <c r="I516" s="1031"/>
      <c r="J516" s="1032">
        <f>SUM(J435:J515)</f>
        <v>171736</v>
      </c>
      <c r="K516" s="1031"/>
    </row>
    <row r="517" spans="1:17">
      <c r="A517" s="979"/>
      <c r="B517" s="979"/>
      <c r="C517" s="1021"/>
      <c r="D517" s="1021"/>
      <c r="E517" s="980"/>
      <c r="F517" s="595"/>
    </row>
    <row r="518" spans="1:17">
      <c r="A518" s="1019" t="s">
        <v>1499</v>
      </c>
      <c r="B518" s="979" t="s">
        <v>420</v>
      </c>
      <c r="C518" s="979" t="s">
        <v>433</v>
      </c>
      <c r="D518" s="979" t="s">
        <v>432</v>
      </c>
      <c r="E518" s="980"/>
      <c r="F518" s="595"/>
      <c r="G518" s="1009"/>
      <c r="H518" s="1009"/>
      <c r="I518" s="1009"/>
      <c r="J518" s="1009"/>
      <c r="K518" s="1009"/>
      <c r="L518" s="1020">
        <f>'12MonLights'!$O$617</f>
        <v>2150525</v>
      </c>
      <c r="M518" s="595" t="s">
        <v>1529</v>
      </c>
      <c r="N518" s="595"/>
      <c r="O518" s="595"/>
      <c r="P518" s="595"/>
      <c r="Q518" s="1010" t="s">
        <v>1540</v>
      </c>
    </row>
    <row r="519" spans="1:17">
      <c r="A519" s="1019" t="s">
        <v>1499</v>
      </c>
      <c r="B519" s="979" t="s">
        <v>420</v>
      </c>
      <c r="C519" s="979" t="s">
        <v>431</v>
      </c>
      <c r="D519" s="979" t="s">
        <v>430</v>
      </c>
      <c r="E519" s="980"/>
      <c r="F519" s="595"/>
      <c r="G519" s="1009"/>
      <c r="H519" s="1009"/>
      <c r="I519" s="1009"/>
      <c r="J519" s="1009"/>
      <c r="K519" s="1009"/>
      <c r="L519" s="1011">
        <f>'12MonResults'!$AE$257</f>
        <v>555.89</v>
      </c>
      <c r="M519" s="595" t="s">
        <v>1531</v>
      </c>
      <c r="N519" s="595"/>
      <c r="O519" s="595"/>
      <c r="P519" s="595"/>
      <c r="Q519" s="595"/>
    </row>
    <row r="520" spans="1:17" ht="13.5">
      <c r="A520" s="1019" t="s">
        <v>1499</v>
      </c>
      <c r="B520" s="979" t="s">
        <v>420</v>
      </c>
      <c r="C520" s="979" t="s">
        <v>323</v>
      </c>
      <c r="D520" s="979" t="s">
        <v>1056</v>
      </c>
      <c r="E520" s="980">
        <v>178</v>
      </c>
      <c r="F520" s="595"/>
      <c r="G520" s="1009">
        <f t="shared" ref="G520:G551" si="79">SUMIF(_Lights_Tariff_Category,20140101&amp;$C520,_Lights_Rates)</f>
        <v>55.33</v>
      </c>
      <c r="H520" s="1012">
        <f t="shared" ref="H520:H551" si="80">E520*G520</f>
        <v>9848.74</v>
      </c>
      <c r="I520" s="1011">
        <f>H520/$L$522*$L$523</f>
        <v>0.18087293689442258</v>
      </c>
      <c r="J520" s="1009">
        <f>ROUND((H520+I520)/G520,0)</f>
        <v>178</v>
      </c>
      <c r="K520" s="1009">
        <f>$L$523/G520</f>
        <v>0.7101030182632011</v>
      </c>
      <c r="L520" s="1013">
        <f>'12MonResults'!$AE$259</f>
        <v>10544.01</v>
      </c>
      <c r="M520" s="1014" t="s">
        <v>1532</v>
      </c>
      <c r="N520" s="595"/>
      <c r="O520" s="595"/>
      <c r="P520" s="595"/>
      <c r="Q520" s="595"/>
    </row>
    <row r="521" spans="1:17">
      <c r="A521" s="1019" t="s">
        <v>1499</v>
      </c>
      <c r="B521" s="979" t="s">
        <v>420</v>
      </c>
      <c r="C521" s="979" t="s">
        <v>328</v>
      </c>
      <c r="D521" s="979" t="s">
        <v>1057</v>
      </c>
      <c r="E521" s="980">
        <v>25</v>
      </c>
      <c r="F521" s="595"/>
      <c r="G521" s="1009">
        <f t="shared" si="79"/>
        <v>83.16</v>
      </c>
      <c r="H521" s="1012">
        <f t="shared" si="80"/>
        <v>2079</v>
      </c>
      <c r="I521" s="1011">
        <f t="shared" ref="I521:I584" si="81">H521/$L$522*$L$523</f>
        <v>3.818100953050893E-2</v>
      </c>
      <c r="J521" s="1009">
        <f t="shared" ref="J521:J584" si="82">ROUND((H521+I521)/G521,0)</f>
        <v>25</v>
      </c>
      <c r="K521" s="1009">
        <f t="shared" ref="K521:K584" si="83">$L$523/G521</f>
        <v>0.47246272246877002</v>
      </c>
      <c r="L521" s="1011">
        <f>L518-L519-L520</f>
        <v>2139425.1</v>
      </c>
      <c r="M521" s="595" t="s">
        <v>1533</v>
      </c>
      <c r="N521" s="595"/>
      <c r="O521" s="595"/>
      <c r="P521" s="595"/>
      <c r="Q521" s="595"/>
    </row>
    <row r="522" spans="1:17">
      <c r="A522" s="1019" t="s">
        <v>1499</v>
      </c>
      <c r="B522" s="979" t="s">
        <v>420</v>
      </c>
      <c r="C522" s="979" t="s">
        <v>331</v>
      </c>
      <c r="D522" s="979" t="s">
        <v>1058</v>
      </c>
      <c r="E522" s="980">
        <v>43</v>
      </c>
      <c r="F522" s="595"/>
      <c r="G522" s="1009">
        <f t="shared" si="79"/>
        <v>59.78</v>
      </c>
      <c r="H522" s="1012">
        <f t="shared" si="80"/>
        <v>2570.54</v>
      </c>
      <c r="I522" s="1011">
        <f t="shared" si="81"/>
        <v>4.7208182894927578E-2</v>
      </c>
      <c r="J522" s="1009">
        <f t="shared" si="82"/>
        <v>43</v>
      </c>
      <c r="K522" s="1009">
        <f t="shared" si="83"/>
        <v>0.6572432251673288</v>
      </c>
      <c r="L522" s="1012">
        <f>$H$600</f>
        <v>2139385.8099999996</v>
      </c>
      <c r="M522" s="595" t="s">
        <v>1534</v>
      </c>
      <c r="N522" s="595"/>
      <c r="O522" s="595"/>
      <c r="P522" s="595"/>
      <c r="Q522" s="595"/>
    </row>
    <row r="523" spans="1:17">
      <c r="A523" s="1019" t="s">
        <v>1499</v>
      </c>
      <c r="B523" s="979" t="s">
        <v>420</v>
      </c>
      <c r="C523" s="979" t="s">
        <v>332</v>
      </c>
      <c r="D523" s="979" t="s">
        <v>1059</v>
      </c>
      <c r="E523" s="980">
        <v>5</v>
      </c>
      <c r="F523" s="595"/>
      <c r="G523" s="1009">
        <f t="shared" si="79"/>
        <v>61.75</v>
      </c>
      <c r="H523" s="1012">
        <f t="shared" si="80"/>
        <v>308.75</v>
      </c>
      <c r="I523" s="1011">
        <f t="shared" si="81"/>
        <v>5.6702196693336386E-3</v>
      </c>
      <c r="J523" s="1009">
        <f t="shared" si="82"/>
        <v>5</v>
      </c>
      <c r="K523" s="1009">
        <f t="shared" si="83"/>
        <v>0.63627530365186902</v>
      </c>
      <c r="L523" s="1011">
        <f>L521-L522</f>
        <v>39.290000000502914</v>
      </c>
      <c r="M523" s="595"/>
      <c r="N523" s="595"/>
      <c r="O523" s="595"/>
      <c r="P523" s="595"/>
      <c r="Q523" s="595"/>
    </row>
    <row r="524" spans="1:17">
      <c r="A524" s="1019" t="s">
        <v>1499</v>
      </c>
      <c r="B524" s="979" t="s">
        <v>420</v>
      </c>
      <c r="C524" s="979" t="s">
        <v>333</v>
      </c>
      <c r="D524" s="979" t="s">
        <v>1060</v>
      </c>
      <c r="E524" s="980">
        <v>1</v>
      </c>
      <c r="F524" s="595"/>
      <c r="G524" s="1009">
        <f t="shared" si="79"/>
        <v>63.11</v>
      </c>
      <c r="H524" s="1012">
        <f t="shared" si="80"/>
        <v>63.11</v>
      </c>
      <c r="I524" s="1011">
        <f t="shared" si="81"/>
        <v>1.1590204480377195E-3</v>
      </c>
      <c r="J524" s="1009">
        <f t="shared" si="82"/>
        <v>1</v>
      </c>
      <c r="K524" s="1009">
        <f t="shared" si="83"/>
        <v>0.6225637775392634</v>
      </c>
      <c r="L524" s="595"/>
      <c r="M524" s="595"/>
      <c r="N524" s="595"/>
      <c r="O524" s="595"/>
      <c r="P524" s="595"/>
      <c r="Q524" s="595"/>
    </row>
    <row r="525" spans="1:17">
      <c r="A525" s="1019" t="s">
        <v>1499</v>
      </c>
      <c r="B525" s="979" t="s">
        <v>420</v>
      </c>
      <c r="C525" s="979" t="s">
        <v>335</v>
      </c>
      <c r="D525" s="979" t="s">
        <v>1061</v>
      </c>
      <c r="E525" s="980">
        <v>5</v>
      </c>
      <c r="F525" s="595"/>
      <c r="G525" s="1009">
        <f t="shared" si="79"/>
        <v>80.94</v>
      </c>
      <c r="H525" s="1012">
        <f t="shared" si="80"/>
        <v>404.7</v>
      </c>
      <c r="I525" s="1011">
        <f t="shared" si="81"/>
        <v>7.432349474265014E-3</v>
      </c>
      <c r="J525" s="1009">
        <f t="shared" si="82"/>
        <v>5</v>
      </c>
      <c r="K525" s="1009">
        <f t="shared" si="83"/>
        <v>0.48542129973440717</v>
      </c>
      <c r="L525" s="595"/>
      <c r="M525" s="595"/>
      <c r="N525" s="595"/>
      <c r="O525" s="595"/>
      <c r="P525" s="595"/>
      <c r="Q525" s="595"/>
    </row>
    <row r="526" spans="1:17">
      <c r="A526" s="1019" t="s">
        <v>1499</v>
      </c>
      <c r="B526" s="979" t="s">
        <v>420</v>
      </c>
      <c r="C526" s="979" t="s">
        <v>336</v>
      </c>
      <c r="D526" s="979" t="s">
        <v>1062</v>
      </c>
      <c r="E526" s="980">
        <v>9</v>
      </c>
      <c r="F526" s="595"/>
      <c r="G526" s="1009">
        <f t="shared" si="79"/>
        <v>78.97</v>
      </c>
      <c r="H526" s="1012">
        <f t="shared" si="80"/>
        <v>710.73</v>
      </c>
      <c r="I526" s="1011">
        <f t="shared" si="81"/>
        <v>1.305261611525667E-2</v>
      </c>
      <c r="J526" s="1009">
        <f t="shared" si="82"/>
        <v>9</v>
      </c>
      <c r="K526" s="1009">
        <f t="shared" si="83"/>
        <v>0.49753070787011416</v>
      </c>
      <c r="L526" s="595"/>
      <c r="M526" s="595"/>
      <c r="N526" s="595"/>
      <c r="O526" s="595"/>
      <c r="P526" s="595"/>
      <c r="Q526" s="595"/>
    </row>
    <row r="527" spans="1:17">
      <c r="A527" s="1019" t="s">
        <v>1499</v>
      </c>
      <c r="B527" s="979" t="s">
        <v>420</v>
      </c>
      <c r="C527" s="979" t="s">
        <v>338</v>
      </c>
      <c r="D527" s="979" t="s">
        <v>1063</v>
      </c>
      <c r="E527" s="980">
        <v>25</v>
      </c>
      <c r="F527" s="595"/>
      <c r="G527" s="1009">
        <f t="shared" si="79"/>
        <v>61.230000000000004</v>
      </c>
      <c r="H527" s="1012">
        <f t="shared" si="80"/>
        <v>1530.75</v>
      </c>
      <c r="I527" s="1011">
        <f t="shared" si="81"/>
        <v>2.8112352255327825E-2</v>
      </c>
      <c r="J527" s="1009">
        <f t="shared" si="82"/>
        <v>25</v>
      </c>
      <c r="K527" s="1009">
        <f t="shared" si="83"/>
        <v>0.64167891557247936</v>
      </c>
      <c r="L527" s="595"/>
      <c r="M527" s="595"/>
      <c r="N527" s="595"/>
      <c r="O527" s="595"/>
      <c r="P527" s="595"/>
      <c r="Q527" s="595"/>
    </row>
    <row r="528" spans="1:17">
      <c r="A528" s="1019" t="s">
        <v>1499</v>
      </c>
      <c r="B528" s="979" t="s">
        <v>420</v>
      </c>
      <c r="C528" s="979" t="s">
        <v>339</v>
      </c>
      <c r="D528" s="979" t="s">
        <v>1064</v>
      </c>
      <c r="E528" s="980">
        <v>1</v>
      </c>
      <c r="F528" s="595"/>
      <c r="G528" s="1009">
        <f t="shared" si="79"/>
        <v>56.69</v>
      </c>
      <c r="H528" s="1012">
        <f t="shared" si="80"/>
        <v>56.69</v>
      </c>
      <c r="I528" s="1011">
        <f t="shared" si="81"/>
        <v>1.0411166090834782E-3</v>
      </c>
      <c r="J528" s="1009">
        <f t="shared" si="82"/>
        <v>1</v>
      </c>
      <c r="K528" s="1009">
        <f t="shared" si="83"/>
        <v>0.69306756042517048</v>
      </c>
      <c r="L528" s="595"/>
      <c r="M528" s="595"/>
      <c r="N528" s="595"/>
      <c r="O528" s="595"/>
      <c r="P528" s="595"/>
      <c r="Q528" s="595"/>
    </row>
    <row r="529" spans="1:17">
      <c r="A529" s="1019" t="s">
        <v>1499</v>
      </c>
      <c r="B529" s="979" t="s">
        <v>420</v>
      </c>
      <c r="C529" s="979" t="s">
        <v>325</v>
      </c>
      <c r="D529" s="979" t="s">
        <v>1065</v>
      </c>
      <c r="E529" s="980">
        <v>15</v>
      </c>
      <c r="F529" s="595"/>
      <c r="G529" s="1009">
        <f t="shared" si="79"/>
        <v>74.52</v>
      </c>
      <c r="H529" s="1012">
        <f t="shared" si="80"/>
        <v>1117.8</v>
      </c>
      <c r="I529" s="1011">
        <f t="shared" si="81"/>
        <v>2.0528490838481427E-2</v>
      </c>
      <c r="J529" s="1009">
        <f t="shared" si="82"/>
        <v>15</v>
      </c>
      <c r="K529" s="1009">
        <f t="shared" si="83"/>
        <v>0.52724100913181582</v>
      </c>
      <c r="L529" s="595"/>
      <c r="M529" s="595"/>
      <c r="N529" s="595"/>
      <c r="O529" s="595"/>
      <c r="P529" s="595"/>
      <c r="Q529" s="595"/>
    </row>
    <row r="530" spans="1:17">
      <c r="A530" s="1019" t="s">
        <v>1499</v>
      </c>
      <c r="B530" s="979" t="s">
        <v>420</v>
      </c>
      <c r="C530" s="979" t="s">
        <v>334</v>
      </c>
      <c r="D530" s="979" t="s">
        <v>1066</v>
      </c>
      <c r="E530" s="980">
        <v>1</v>
      </c>
      <c r="F530" s="595"/>
      <c r="G530" s="1009">
        <f t="shared" si="79"/>
        <v>82.3</v>
      </c>
      <c r="H530" s="1012">
        <f t="shared" si="80"/>
        <v>82.3</v>
      </c>
      <c r="I530" s="1011">
        <f t="shared" si="81"/>
        <v>1.5114464090239946E-3</v>
      </c>
      <c r="J530" s="1009">
        <f t="shared" si="82"/>
        <v>1</v>
      </c>
      <c r="K530" s="1009">
        <f t="shared" si="83"/>
        <v>0.47739975699274501</v>
      </c>
      <c r="L530" s="595"/>
      <c r="M530" s="595"/>
      <c r="N530" s="595"/>
      <c r="O530" s="595"/>
      <c r="P530" s="595"/>
      <c r="Q530" s="595"/>
    </row>
    <row r="531" spans="1:17">
      <c r="A531" s="1019" t="s">
        <v>1499</v>
      </c>
      <c r="B531" s="979" t="s">
        <v>420</v>
      </c>
      <c r="C531" s="979" t="s">
        <v>326</v>
      </c>
      <c r="D531" s="979" t="s">
        <v>1067</v>
      </c>
      <c r="E531" s="980">
        <v>20</v>
      </c>
      <c r="F531" s="595"/>
      <c r="G531" s="1009">
        <f t="shared" si="79"/>
        <v>74.52</v>
      </c>
      <c r="H531" s="1012">
        <f t="shared" si="80"/>
        <v>1490.3999999999999</v>
      </c>
      <c r="I531" s="1011">
        <f t="shared" si="81"/>
        <v>2.7371321117975231E-2</v>
      </c>
      <c r="J531" s="1009">
        <f t="shared" si="82"/>
        <v>20</v>
      </c>
      <c r="K531" s="1009">
        <f t="shared" si="83"/>
        <v>0.52724100913181582</v>
      </c>
      <c r="L531" s="595"/>
      <c r="M531" s="595"/>
      <c r="N531" s="595"/>
      <c r="O531" s="595"/>
      <c r="P531" s="595"/>
      <c r="Q531" s="595"/>
    </row>
    <row r="532" spans="1:17">
      <c r="A532" s="1019" t="s">
        <v>1499</v>
      </c>
      <c r="B532" s="979" t="s">
        <v>420</v>
      </c>
      <c r="C532" s="979" t="s">
        <v>330</v>
      </c>
      <c r="D532" s="979" t="s">
        <v>1068</v>
      </c>
      <c r="E532" s="980">
        <v>4</v>
      </c>
      <c r="F532" s="595"/>
      <c r="G532" s="1009">
        <f t="shared" si="79"/>
        <v>75.88</v>
      </c>
      <c r="H532" s="1012">
        <f t="shared" si="80"/>
        <v>303.52</v>
      </c>
      <c r="I532" s="1011">
        <f t="shared" si="81"/>
        <v>5.5741702802790142E-3</v>
      </c>
      <c r="J532" s="1009">
        <f t="shared" si="82"/>
        <v>4</v>
      </c>
      <c r="K532" s="1009">
        <f t="shared" si="83"/>
        <v>0.51779124934769261</v>
      </c>
      <c r="L532" s="595"/>
      <c r="M532" s="595"/>
      <c r="N532" s="595"/>
      <c r="O532" s="595"/>
      <c r="P532" s="595"/>
      <c r="Q532" s="595"/>
    </row>
    <row r="533" spans="1:17">
      <c r="A533" s="1019" t="s">
        <v>1499</v>
      </c>
      <c r="B533" s="979" t="s">
        <v>420</v>
      </c>
      <c r="C533" s="979" t="s">
        <v>337</v>
      </c>
      <c r="D533" s="979" t="s">
        <v>1069</v>
      </c>
      <c r="E533" s="980">
        <v>3</v>
      </c>
      <c r="F533" s="595"/>
      <c r="G533" s="1009">
        <f t="shared" si="79"/>
        <v>78.97</v>
      </c>
      <c r="H533" s="1012">
        <f t="shared" si="80"/>
        <v>236.91</v>
      </c>
      <c r="I533" s="1011">
        <f t="shared" si="81"/>
        <v>4.35087203841889E-3</v>
      </c>
      <c r="J533" s="1009">
        <f t="shared" si="82"/>
        <v>3</v>
      </c>
      <c r="K533" s="1009">
        <f t="shared" si="83"/>
        <v>0.49753070787011416</v>
      </c>
      <c r="L533" s="595"/>
      <c r="M533" s="595"/>
      <c r="N533" s="595"/>
      <c r="O533" s="595"/>
      <c r="P533" s="595"/>
      <c r="Q533" s="595"/>
    </row>
    <row r="534" spans="1:17">
      <c r="A534" s="1019" t="s">
        <v>1499</v>
      </c>
      <c r="B534" s="979" t="s">
        <v>420</v>
      </c>
      <c r="C534" s="979" t="s">
        <v>329</v>
      </c>
      <c r="D534" s="979" t="s">
        <v>1070</v>
      </c>
      <c r="E534" s="980">
        <v>2</v>
      </c>
      <c r="F534" s="595"/>
      <c r="G534" s="1009">
        <f t="shared" si="79"/>
        <v>77.259999999999991</v>
      </c>
      <c r="H534" s="1012">
        <f t="shared" si="80"/>
        <v>154.51999999999998</v>
      </c>
      <c r="I534" s="1011">
        <f t="shared" si="81"/>
        <v>2.8377727718394614E-3</v>
      </c>
      <c r="J534" s="1009">
        <f t="shared" si="82"/>
        <v>2</v>
      </c>
      <c r="K534" s="1009">
        <f t="shared" si="83"/>
        <v>0.50854258349084802</v>
      </c>
      <c r="L534" s="595"/>
      <c r="M534" s="595"/>
      <c r="N534" s="595"/>
      <c r="O534" s="595"/>
      <c r="P534" s="595"/>
      <c r="Q534" s="595"/>
    </row>
    <row r="535" spans="1:17">
      <c r="A535" s="1019" t="s">
        <v>1499</v>
      </c>
      <c r="B535" s="979" t="s">
        <v>420</v>
      </c>
      <c r="C535" s="979" t="s">
        <v>327</v>
      </c>
      <c r="D535" s="979" t="s">
        <v>1071</v>
      </c>
      <c r="E535" s="980">
        <v>51</v>
      </c>
      <c r="F535" s="595"/>
      <c r="G535" s="1009">
        <f t="shared" si="79"/>
        <v>64.19</v>
      </c>
      <c r="H535" s="1012">
        <f t="shared" si="80"/>
        <v>3273.69</v>
      </c>
      <c r="I535" s="1011">
        <f t="shared" si="81"/>
        <v>6.0121591673848861E-2</v>
      </c>
      <c r="J535" s="1009">
        <f t="shared" si="82"/>
        <v>51</v>
      </c>
      <c r="K535" s="1009">
        <f t="shared" si="83"/>
        <v>0.61208911046117642</v>
      </c>
      <c r="L535" s="595"/>
      <c r="M535" s="595"/>
      <c r="N535" s="595"/>
      <c r="O535" s="595"/>
      <c r="P535" s="595"/>
      <c r="Q535" s="595"/>
    </row>
    <row r="536" spans="1:17">
      <c r="A536" s="1019" t="s">
        <v>1499</v>
      </c>
      <c r="B536" s="979" t="s">
        <v>420</v>
      </c>
      <c r="C536" s="979" t="s">
        <v>453</v>
      </c>
      <c r="D536" s="979" t="s">
        <v>1072</v>
      </c>
      <c r="E536" s="980">
        <v>2</v>
      </c>
      <c r="F536" s="595"/>
      <c r="G536" s="1009">
        <f t="shared" si="79"/>
        <v>75.899999999999991</v>
      </c>
      <c r="H536" s="1012">
        <f t="shared" si="80"/>
        <v>151.79999999999998</v>
      </c>
      <c r="I536" s="1011">
        <f t="shared" si="81"/>
        <v>2.7878197434974775E-3</v>
      </c>
      <c r="J536" s="1009">
        <f t="shared" si="82"/>
        <v>2</v>
      </c>
      <c r="K536" s="1009">
        <f t="shared" si="83"/>
        <v>0.51765480896578286</v>
      </c>
      <c r="L536" s="595"/>
      <c r="M536" s="595"/>
      <c r="N536" s="595"/>
      <c r="O536" s="595"/>
      <c r="P536" s="595"/>
      <c r="Q536" s="595"/>
    </row>
    <row r="537" spans="1:17">
      <c r="A537" s="1019" t="s">
        <v>1499</v>
      </c>
      <c r="B537" s="979" t="s">
        <v>420</v>
      </c>
      <c r="C537" s="979" t="s">
        <v>366</v>
      </c>
      <c r="D537" s="979" t="s">
        <v>1073</v>
      </c>
      <c r="E537" s="980">
        <v>52</v>
      </c>
      <c r="F537" s="595"/>
      <c r="G537" s="1009">
        <f t="shared" si="79"/>
        <v>14.860000000000001</v>
      </c>
      <c r="H537" s="1012">
        <f t="shared" si="80"/>
        <v>772.72</v>
      </c>
      <c r="I537" s="1011">
        <f t="shared" si="81"/>
        <v>1.4191067669271218E-2</v>
      </c>
      <c r="J537" s="1009">
        <f t="shared" si="82"/>
        <v>52</v>
      </c>
      <c r="K537" s="1009">
        <f t="shared" si="83"/>
        <v>2.644010767194005</v>
      </c>
      <c r="L537" s="595"/>
      <c r="M537" s="595"/>
      <c r="N537" s="595"/>
      <c r="O537" s="595"/>
      <c r="P537" s="595"/>
      <c r="Q537" s="595"/>
    </row>
    <row r="538" spans="1:17">
      <c r="A538" s="1019" t="s">
        <v>1499</v>
      </c>
      <c r="B538" s="979" t="s">
        <v>420</v>
      </c>
      <c r="C538" s="979" t="s">
        <v>386</v>
      </c>
      <c r="D538" s="979" t="s">
        <v>1074</v>
      </c>
      <c r="E538" s="980">
        <v>7070</v>
      </c>
      <c r="F538" s="595"/>
      <c r="G538" s="1009">
        <f t="shared" si="79"/>
        <v>10.570000000000002</v>
      </c>
      <c r="H538" s="1012">
        <f t="shared" si="80"/>
        <v>74729.900000000009</v>
      </c>
      <c r="I538" s="1011">
        <f t="shared" si="81"/>
        <v>1.3724208870197112</v>
      </c>
      <c r="J538" s="1009">
        <f t="shared" si="82"/>
        <v>7070</v>
      </c>
      <c r="K538" s="1009">
        <f t="shared" si="83"/>
        <v>3.7171239357145609</v>
      </c>
      <c r="L538" s="595"/>
      <c r="M538" s="595"/>
      <c r="N538" s="595"/>
      <c r="O538" s="595"/>
      <c r="P538" s="595"/>
      <c r="Q538" s="595"/>
    </row>
    <row r="539" spans="1:17">
      <c r="A539" s="1019" t="s">
        <v>1499</v>
      </c>
      <c r="B539" s="979" t="s">
        <v>420</v>
      </c>
      <c r="C539" s="979" t="s">
        <v>382</v>
      </c>
      <c r="D539" s="979" t="s">
        <v>1075</v>
      </c>
      <c r="E539" s="980">
        <v>137</v>
      </c>
      <c r="F539" s="595"/>
      <c r="G539" s="1009">
        <f t="shared" si="79"/>
        <v>11.71</v>
      </c>
      <c r="H539" s="1012">
        <f t="shared" si="80"/>
        <v>1604.2700000000002</v>
      </c>
      <c r="I539" s="1011">
        <f t="shared" si="81"/>
        <v>2.9462553227277331E-2</v>
      </c>
      <c r="J539" s="1009">
        <f t="shared" si="82"/>
        <v>137</v>
      </c>
      <c r="K539" s="1009">
        <f t="shared" si="83"/>
        <v>3.3552519214776182</v>
      </c>
      <c r="L539" s="595"/>
      <c r="M539" s="595"/>
      <c r="N539" s="595"/>
      <c r="O539" s="595"/>
      <c r="P539" s="595"/>
      <c r="Q539" s="595"/>
    </row>
    <row r="540" spans="1:17">
      <c r="A540" s="1019" t="s">
        <v>1499</v>
      </c>
      <c r="B540" s="979" t="s">
        <v>420</v>
      </c>
      <c r="C540" s="979" t="s">
        <v>360</v>
      </c>
      <c r="D540" s="979" t="s">
        <v>1076</v>
      </c>
      <c r="E540" s="980">
        <v>239</v>
      </c>
      <c r="F540" s="595"/>
      <c r="G540" s="1009">
        <f t="shared" si="79"/>
        <v>20.259999999999998</v>
      </c>
      <c r="H540" s="1012">
        <f t="shared" si="80"/>
        <v>4842.1399999999994</v>
      </c>
      <c r="I540" s="1011">
        <f t="shared" si="81"/>
        <v>8.8926307594063739E-2</v>
      </c>
      <c r="J540" s="1009">
        <f t="shared" si="82"/>
        <v>239</v>
      </c>
      <c r="K540" s="1009">
        <f t="shared" si="83"/>
        <v>1.9392892399063633</v>
      </c>
      <c r="L540" s="595"/>
      <c r="M540" s="595"/>
      <c r="N540" s="595"/>
      <c r="O540" s="595"/>
      <c r="P540" s="595"/>
      <c r="Q540" s="595"/>
    </row>
    <row r="541" spans="1:17">
      <c r="A541" s="1019" t="s">
        <v>1499</v>
      </c>
      <c r="B541" s="979" t="s">
        <v>420</v>
      </c>
      <c r="C541" s="979" t="s">
        <v>368</v>
      </c>
      <c r="D541" s="979" t="s">
        <v>1077</v>
      </c>
      <c r="E541" s="980">
        <v>150</v>
      </c>
      <c r="F541" s="595"/>
      <c r="G541" s="1009">
        <f t="shared" si="79"/>
        <v>21.38</v>
      </c>
      <c r="H541" s="1012">
        <f t="shared" si="80"/>
        <v>3207</v>
      </c>
      <c r="I541" s="1011">
        <f t="shared" si="81"/>
        <v>5.8896824225272794E-2</v>
      </c>
      <c r="J541" s="1009">
        <f t="shared" si="82"/>
        <v>150</v>
      </c>
      <c r="K541" s="1009">
        <f t="shared" si="83"/>
        <v>1.8376987839337191</v>
      </c>
      <c r="L541" s="595"/>
      <c r="M541" s="595"/>
      <c r="N541" s="595"/>
      <c r="O541" s="595"/>
      <c r="P541" s="595"/>
      <c r="Q541" s="595"/>
    </row>
    <row r="542" spans="1:17">
      <c r="A542" s="1019" t="s">
        <v>1499</v>
      </c>
      <c r="B542" s="979" t="s">
        <v>420</v>
      </c>
      <c r="C542" s="979" t="s">
        <v>370</v>
      </c>
      <c r="D542" s="979" t="s">
        <v>1078</v>
      </c>
      <c r="E542" s="980">
        <v>28</v>
      </c>
      <c r="F542" s="595"/>
      <c r="G542" s="1009">
        <f t="shared" si="79"/>
        <v>30.84</v>
      </c>
      <c r="H542" s="1012">
        <f t="shared" si="80"/>
        <v>863.52</v>
      </c>
      <c r="I542" s="1011">
        <f t="shared" si="81"/>
        <v>1.5858617291863913E-2</v>
      </c>
      <c r="J542" s="1009">
        <f t="shared" si="82"/>
        <v>28</v>
      </c>
      <c r="K542" s="1009">
        <f t="shared" si="83"/>
        <v>1.2739948119488624</v>
      </c>
      <c r="L542" s="595"/>
      <c r="M542" s="595"/>
      <c r="N542" s="595"/>
      <c r="O542" s="595"/>
      <c r="P542" s="595"/>
      <c r="Q542" s="595"/>
    </row>
    <row r="543" spans="1:17">
      <c r="A543" s="1019" t="s">
        <v>1499</v>
      </c>
      <c r="B543" s="979" t="s">
        <v>420</v>
      </c>
      <c r="C543" s="979" t="s">
        <v>393</v>
      </c>
      <c r="D543" s="979" t="s">
        <v>1079</v>
      </c>
      <c r="E543" s="980">
        <v>96</v>
      </c>
      <c r="F543" s="595"/>
      <c r="G543" s="1009">
        <f t="shared" si="79"/>
        <v>31.22</v>
      </c>
      <c r="H543" s="1012">
        <f t="shared" si="80"/>
        <v>2997.12</v>
      </c>
      <c r="I543" s="1011">
        <f t="shared" si="81"/>
        <v>5.5042360406002369E-2</v>
      </c>
      <c r="J543" s="1009">
        <f t="shared" si="82"/>
        <v>96</v>
      </c>
      <c r="K543" s="1009">
        <f t="shared" si="83"/>
        <v>1.2584881486387864</v>
      </c>
      <c r="L543" s="595"/>
      <c r="M543" s="595"/>
      <c r="N543" s="595"/>
      <c r="O543" s="595"/>
      <c r="P543" s="595"/>
      <c r="Q543" s="595"/>
    </row>
    <row r="544" spans="1:17">
      <c r="A544" s="1019" t="s">
        <v>1499</v>
      </c>
      <c r="B544" s="979" t="s">
        <v>420</v>
      </c>
      <c r="C544" s="979" t="s">
        <v>371</v>
      </c>
      <c r="D544" s="979" t="s">
        <v>1080</v>
      </c>
      <c r="E544" s="980">
        <v>21</v>
      </c>
      <c r="F544" s="595"/>
      <c r="G544" s="1009">
        <f t="shared" si="79"/>
        <v>30.84</v>
      </c>
      <c r="H544" s="1012">
        <f t="shared" si="80"/>
        <v>647.64</v>
      </c>
      <c r="I544" s="1011">
        <f t="shared" si="81"/>
        <v>1.1893962968897935E-2</v>
      </c>
      <c r="J544" s="1009">
        <f t="shared" si="82"/>
        <v>21</v>
      </c>
      <c r="K544" s="1009">
        <f t="shared" si="83"/>
        <v>1.2739948119488624</v>
      </c>
      <c r="L544" s="595"/>
      <c r="M544" s="595"/>
      <c r="N544" s="595"/>
      <c r="O544" s="595"/>
      <c r="P544" s="595"/>
      <c r="Q544" s="595"/>
    </row>
    <row r="545" spans="1:17">
      <c r="A545" s="1019" t="s">
        <v>1499</v>
      </c>
      <c r="B545" s="979" t="s">
        <v>420</v>
      </c>
      <c r="C545" s="979" t="s">
        <v>394</v>
      </c>
      <c r="D545" s="979" t="s">
        <v>1081</v>
      </c>
      <c r="E545" s="980">
        <v>10</v>
      </c>
      <c r="F545" s="595"/>
      <c r="G545" s="1009">
        <f t="shared" si="79"/>
        <v>31.22</v>
      </c>
      <c r="H545" s="1012">
        <f t="shared" si="80"/>
        <v>312.2</v>
      </c>
      <c r="I545" s="1011">
        <f t="shared" si="81"/>
        <v>5.7335792089585804E-3</v>
      </c>
      <c r="J545" s="1009">
        <f t="shared" si="82"/>
        <v>10</v>
      </c>
      <c r="K545" s="1009">
        <f t="shared" si="83"/>
        <v>1.2584881486387864</v>
      </c>
      <c r="L545" s="595"/>
      <c r="M545" s="595"/>
      <c r="N545" s="595"/>
      <c r="O545" s="595"/>
      <c r="P545" s="595"/>
      <c r="Q545" s="595"/>
    </row>
    <row r="546" spans="1:17">
      <c r="A546" s="1019" t="s">
        <v>1499</v>
      </c>
      <c r="B546" s="979" t="s">
        <v>420</v>
      </c>
      <c r="C546" s="979" t="s">
        <v>389</v>
      </c>
      <c r="D546" s="979" t="s">
        <v>1082</v>
      </c>
      <c r="E546" s="980">
        <v>476</v>
      </c>
      <c r="F546" s="595"/>
      <c r="G546" s="1009">
        <f t="shared" si="79"/>
        <v>15.360000000000001</v>
      </c>
      <c r="H546" s="1012">
        <f t="shared" si="80"/>
        <v>7311.3600000000006</v>
      </c>
      <c r="I546" s="1011">
        <f t="shared" si="81"/>
        <v>0.13427374018325244</v>
      </c>
      <c r="J546" s="1009">
        <f t="shared" si="82"/>
        <v>476</v>
      </c>
      <c r="K546" s="1009">
        <f t="shared" si="83"/>
        <v>2.5579427083660748</v>
      </c>
      <c r="L546" s="595"/>
      <c r="M546" s="595"/>
      <c r="N546" s="595"/>
      <c r="O546" s="595"/>
      <c r="P546" s="595"/>
      <c r="Q546" s="595"/>
    </row>
    <row r="547" spans="1:17">
      <c r="A547" s="1019" t="s">
        <v>1499</v>
      </c>
      <c r="B547" s="979" t="s">
        <v>420</v>
      </c>
      <c r="C547" s="979" t="s">
        <v>310</v>
      </c>
      <c r="D547" s="979" t="s">
        <v>1083</v>
      </c>
      <c r="E547" s="980">
        <v>5</v>
      </c>
      <c r="F547" s="595"/>
      <c r="G547" s="1009">
        <f t="shared" si="79"/>
        <v>3.39</v>
      </c>
      <c r="H547" s="1012">
        <f t="shared" si="80"/>
        <v>16.95</v>
      </c>
      <c r="I547" s="1011">
        <f t="shared" si="81"/>
        <v>3.1128817293993576E-4</v>
      </c>
      <c r="J547" s="1009">
        <f t="shared" si="82"/>
        <v>5</v>
      </c>
      <c r="K547" s="1009">
        <f t="shared" si="83"/>
        <v>11.589970501623277</v>
      </c>
      <c r="L547" s="595"/>
      <c r="M547" s="595"/>
      <c r="N547" s="595"/>
      <c r="O547" s="595"/>
      <c r="P547" s="595"/>
      <c r="Q547" s="595"/>
    </row>
    <row r="548" spans="1:17">
      <c r="A548" s="1019" t="s">
        <v>1499</v>
      </c>
      <c r="B548" s="979" t="s">
        <v>420</v>
      </c>
      <c r="C548" s="979" t="s">
        <v>340</v>
      </c>
      <c r="D548" s="979" t="s">
        <v>1084</v>
      </c>
      <c r="E548" s="980">
        <v>666</v>
      </c>
      <c r="F548" s="595"/>
      <c r="G548" s="1009">
        <f t="shared" si="79"/>
        <v>4.5400000000000009</v>
      </c>
      <c r="H548" s="1012">
        <f t="shared" si="80"/>
        <v>3023.6400000000008</v>
      </c>
      <c r="I548" s="1011">
        <f t="shared" si="81"/>
        <v>5.5529402432336727E-2</v>
      </c>
      <c r="J548" s="1009">
        <f t="shared" si="82"/>
        <v>666</v>
      </c>
      <c r="K548" s="1009">
        <f t="shared" si="83"/>
        <v>8.6541850221372041</v>
      </c>
      <c r="L548" s="595"/>
      <c r="M548" s="595"/>
      <c r="N548" s="595"/>
      <c r="O548" s="595"/>
      <c r="P548" s="595"/>
      <c r="Q548" s="595"/>
    </row>
    <row r="549" spans="1:17">
      <c r="A549" s="1019" t="s">
        <v>1499</v>
      </c>
      <c r="B549" s="979" t="s">
        <v>420</v>
      </c>
      <c r="C549" s="979" t="s">
        <v>358</v>
      </c>
      <c r="D549" s="979" t="s">
        <v>1085</v>
      </c>
      <c r="E549" s="980">
        <v>49</v>
      </c>
      <c r="F549" s="595"/>
      <c r="G549" s="1009">
        <f t="shared" si="79"/>
        <v>6.78</v>
      </c>
      <c r="H549" s="1012">
        <f t="shared" si="80"/>
        <v>332.22</v>
      </c>
      <c r="I549" s="1011">
        <f t="shared" si="81"/>
        <v>6.1012481896227412E-3</v>
      </c>
      <c r="J549" s="1009">
        <f t="shared" si="82"/>
        <v>49</v>
      </c>
      <c r="K549" s="1009">
        <f t="shared" si="83"/>
        <v>5.7949852508116386</v>
      </c>
      <c r="L549" s="595"/>
      <c r="M549" s="595"/>
      <c r="N549" s="595"/>
      <c r="O549" s="595"/>
      <c r="P549" s="595"/>
      <c r="Q549" s="595"/>
    </row>
    <row r="550" spans="1:17">
      <c r="A550" s="1019" t="s">
        <v>1499</v>
      </c>
      <c r="B550" s="979" t="s">
        <v>420</v>
      </c>
      <c r="C550" s="979" t="s">
        <v>383</v>
      </c>
      <c r="D550" s="979" t="s">
        <v>1086</v>
      </c>
      <c r="E550" s="980">
        <v>2</v>
      </c>
      <c r="F550" s="595"/>
      <c r="G550" s="1009">
        <f t="shared" si="79"/>
        <v>9.06</v>
      </c>
      <c r="H550" s="1012">
        <f t="shared" si="80"/>
        <v>18.12</v>
      </c>
      <c r="I550" s="1011">
        <f t="shared" si="81"/>
        <v>3.3277532116056851E-4</v>
      </c>
      <c r="J550" s="1009">
        <f t="shared" si="82"/>
        <v>2</v>
      </c>
      <c r="K550" s="1009">
        <f t="shared" si="83"/>
        <v>4.336644591666988</v>
      </c>
      <c r="L550" s="595"/>
      <c r="M550" s="595"/>
      <c r="N550" s="595"/>
      <c r="O550" s="595"/>
      <c r="P550" s="595"/>
      <c r="Q550" s="595"/>
    </row>
    <row r="551" spans="1:17">
      <c r="A551" s="1019" t="s">
        <v>1499</v>
      </c>
      <c r="B551" s="979" t="s">
        <v>420</v>
      </c>
      <c r="C551" s="979" t="s">
        <v>375</v>
      </c>
      <c r="D551" s="979" t="s">
        <v>1087</v>
      </c>
      <c r="E551" s="980">
        <v>176</v>
      </c>
      <c r="F551" s="595"/>
      <c r="G551" s="1009">
        <f t="shared" si="79"/>
        <v>7.4399999999999995</v>
      </c>
      <c r="H551" s="1012">
        <f t="shared" si="80"/>
        <v>1309.4399999999998</v>
      </c>
      <c r="I551" s="1011">
        <f t="shared" si="81"/>
        <v>2.4047975526517371E-2</v>
      </c>
      <c r="J551" s="1009">
        <f t="shared" si="82"/>
        <v>176</v>
      </c>
      <c r="K551" s="1009">
        <f t="shared" si="83"/>
        <v>5.2809139785622197</v>
      </c>
      <c r="L551" s="595"/>
      <c r="M551" s="595"/>
      <c r="N551" s="595"/>
      <c r="O551" s="595"/>
      <c r="P551" s="595"/>
      <c r="Q551" s="595"/>
    </row>
    <row r="552" spans="1:17">
      <c r="A552" s="1019" t="s">
        <v>1499</v>
      </c>
      <c r="B552" s="979" t="s">
        <v>420</v>
      </c>
      <c r="C552" s="979" t="s">
        <v>400</v>
      </c>
      <c r="D552" s="979" t="s">
        <v>1088</v>
      </c>
      <c r="E552" s="980">
        <v>36590</v>
      </c>
      <c r="F552" s="595"/>
      <c r="G552" s="1009">
        <f t="shared" ref="G552:G583" si="84">SUMIF(_Lights_Tariff_Category,20140101&amp;$C552,_Lights_Rates)</f>
        <v>7.84</v>
      </c>
      <c r="H552" s="1012">
        <f t="shared" ref="H552:H583" si="85">E552*G552</f>
        <v>286865.59999999998</v>
      </c>
      <c r="I552" s="1011">
        <f t="shared" si="81"/>
        <v>5.2683108261544795</v>
      </c>
      <c r="J552" s="1009">
        <f t="shared" si="82"/>
        <v>36591</v>
      </c>
      <c r="K552" s="1009">
        <f t="shared" si="83"/>
        <v>5.0114795919008817</v>
      </c>
      <c r="L552" s="595"/>
      <c r="M552" s="595"/>
      <c r="N552" s="595"/>
      <c r="O552" s="595"/>
      <c r="P552" s="595"/>
      <c r="Q552" s="595"/>
    </row>
    <row r="553" spans="1:17">
      <c r="A553" s="1019" t="s">
        <v>1499</v>
      </c>
      <c r="B553" s="979" t="s">
        <v>420</v>
      </c>
      <c r="C553" s="979" t="s">
        <v>391</v>
      </c>
      <c r="D553" s="979" t="s">
        <v>1089</v>
      </c>
      <c r="E553" s="980">
        <v>1178</v>
      </c>
      <c r="F553" s="595"/>
      <c r="G553" s="1009">
        <f t="shared" si="84"/>
        <v>22</v>
      </c>
      <c r="H553" s="1012">
        <f t="shared" si="85"/>
        <v>25916</v>
      </c>
      <c r="I553" s="1011">
        <f t="shared" si="81"/>
        <v>0.47594951562898968</v>
      </c>
      <c r="J553" s="1009">
        <f t="shared" si="82"/>
        <v>1178</v>
      </c>
      <c r="K553" s="1009">
        <f t="shared" si="83"/>
        <v>1.7859090909319506</v>
      </c>
      <c r="L553" s="595"/>
      <c r="M553" s="595"/>
      <c r="N553" s="595"/>
      <c r="O553" s="595"/>
      <c r="P553" s="595"/>
      <c r="Q553" s="595"/>
    </row>
    <row r="554" spans="1:17">
      <c r="A554" s="1019" t="s">
        <v>1499</v>
      </c>
      <c r="B554" s="979" t="s">
        <v>420</v>
      </c>
      <c r="C554" s="979" t="s">
        <v>359</v>
      </c>
      <c r="D554" s="979" t="s">
        <v>1091</v>
      </c>
      <c r="E554" s="980">
        <v>2</v>
      </c>
      <c r="F554" s="595"/>
      <c r="G554" s="1009">
        <f t="shared" si="84"/>
        <v>13.610000000000001</v>
      </c>
      <c r="H554" s="1012">
        <f t="shared" si="85"/>
        <v>27.220000000000002</v>
      </c>
      <c r="I554" s="1011">
        <f t="shared" si="81"/>
        <v>4.9989758509882314E-4</v>
      </c>
      <c r="J554" s="1009">
        <f t="shared" si="82"/>
        <v>2</v>
      </c>
      <c r="K554" s="1009">
        <f t="shared" si="83"/>
        <v>2.886847905988458</v>
      </c>
      <c r="L554" s="595"/>
      <c r="M554" s="595"/>
      <c r="N554" s="595"/>
      <c r="O554" s="595"/>
      <c r="P554" s="595"/>
      <c r="Q554" s="595"/>
    </row>
    <row r="555" spans="1:17">
      <c r="A555" s="1019" t="s">
        <v>1499</v>
      </c>
      <c r="B555" s="979" t="s">
        <v>420</v>
      </c>
      <c r="C555" s="979" t="s">
        <v>385</v>
      </c>
      <c r="D555" s="979" t="s">
        <v>1092</v>
      </c>
      <c r="E555" s="980">
        <v>1077</v>
      </c>
      <c r="F555" s="595"/>
      <c r="G555" s="1009">
        <f t="shared" si="84"/>
        <v>9.5600000000000023</v>
      </c>
      <c r="H555" s="1012">
        <f t="shared" si="85"/>
        <v>10296.120000000003</v>
      </c>
      <c r="I555" s="1011">
        <f t="shared" si="81"/>
        <v>0.18908910815164201</v>
      </c>
      <c r="J555" s="1009">
        <f t="shared" si="82"/>
        <v>1077</v>
      </c>
      <c r="K555" s="1009">
        <f t="shared" si="83"/>
        <v>4.1098326360358683</v>
      </c>
      <c r="L555" s="595"/>
      <c r="M555" s="595"/>
      <c r="N555" s="595"/>
      <c r="O555" s="595"/>
      <c r="P555" s="595"/>
      <c r="Q555" s="595"/>
    </row>
    <row r="556" spans="1:17">
      <c r="A556" s="1019" t="s">
        <v>1499</v>
      </c>
      <c r="B556" s="979" t="s">
        <v>420</v>
      </c>
      <c r="C556" s="979" t="s">
        <v>312</v>
      </c>
      <c r="D556" s="979" t="s">
        <v>1093</v>
      </c>
      <c r="E556" s="980">
        <v>709</v>
      </c>
      <c r="F556" s="595"/>
      <c r="G556" s="1009">
        <f t="shared" si="84"/>
        <v>11.32</v>
      </c>
      <c r="H556" s="1012">
        <f t="shared" si="85"/>
        <v>8025.88</v>
      </c>
      <c r="I556" s="1011">
        <f t="shared" si="81"/>
        <v>0.14739595996667679</v>
      </c>
      <c r="J556" s="1009">
        <f t="shared" si="82"/>
        <v>709</v>
      </c>
      <c r="K556" s="1009">
        <f t="shared" si="83"/>
        <v>3.4708480565815294</v>
      </c>
      <c r="L556" s="595"/>
      <c r="M556" s="595"/>
      <c r="N556" s="595"/>
      <c r="O556" s="595"/>
      <c r="P556" s="595"/>
      <c r="Q556" s="595"/>
    </row>
    <row r="557" spans="1:17">
      <c r="A557" s="1019" t="s">
        <v>1499</v>
      </c>
      <c r="B557" s="979" t="s">
        <v>420</v>
      </c>
      <c r="C557" s="979" t="s">
        <v>421</v>
      </c>
      <c r="D557" s="979" t="s">
        <v>1094</v>
      </c>
      <c r="E557" s="980">
        <v>1481</v>
      </c>
      <c r="F557" s="595"/>
      <c r="G557" s="1009">
        <f t="shared" si="84"/>
        <v>12.809999999999999</v>
      </c>
      <c r="H557" s="1012">
        <f t="shared" si="85"/>
        <v>18971.609999999997</v>
      </c>
      <c r="I557" s="1011">
        <f t="shared" si="81"/>
        <v>0.34841521030259665</v>
      </c>
      <c r="J557" s="1009">
        <f t="shared" si="82"/>
        <v>1481</v>
      </c>
      <c r="K557" s="1009">
        <f t="shared" si="83"/>
        <v>3.0671350507808679</v>
      </c>
      <c r="L557" s="595"/>
      <c r="M557" s="595"/>
      <c r="N557" s="595"/>
      <c r="O557" s="595"/>
      <c r="P557" s="595"/>
      <c r="Q557" s="595"/>
    </row>
    <row r="558" spans="1:17">
      <c r="A558" s="1019" t="s">
        <v>1499</v>
      </c>
      <c r="B558" s="979" t="s">
        <v>420</v>
      </c>
      <c r="C558" s="979" t="s">
        <v>322</v>
      </c>
      <c r="D558" s="979" t="s">
        <v>1095</v>
      </c>
      <c r="E558" s="980">
        <v>672</v>
      </c>
      <c r="F558" s="595"/>
      <c r="G558" s="1009">
        <f t="shared" si="84"/>
        <v>14.25</v>
      </c>
      <c r="H558" s="1012">
        <f t="shared" si="85"/>
        <v>9576</v>
      </c>
      <c r="I558" s="1011">
        <f t="shared" si="81"/>
        <v>0.17586404389810176</v>
      </c>
      <c r="J558" s="1009">
        <f t="shared" si="82"/>
        <v>672</v>
      </c>
      <c r="K558" s="1009">
        <f t="shared" si="83"/>
        <v>2.7571929824914325</v>
      </c>
      <c r="L558" s="595"/>
      <c r="M558" s="595"/>
      <c r="N558" s="595"/>
      <c r="O558" s="595"/>
      <c r="P558" s="595"/>
      <c r="Q558" s="595"/>
    </row>
    <row r="559" spans="1:17">
      <c r="A559" s="1019" t="s">
        <v>1499</v>
      </c>
      <c r="B559" s="979" t="s">
        <v>420</v>
      </c>
      <c r="C559" s="979" t="s">
        <v>354</v>
      </c>
      <c r="D559" s="979" t="s">
        <v>1096</v>
      </c>
      <c r="E559" s="980">
        <v>5245</v>
      </c>
      <c r="F559" s="595"/>
      <c r="G559" s="1009">
        <f t="shared" si="84"/>
        <v>20.200000000000003</v>
      </c>
      <c r="H559" s="1012">
        <f t="shared" si="85"/>
        <v>105949.00000000001</v>
      </c>
      <c r="I559" s="1011">
        <f t="shared" si="81"/>
        <v>1.9457622793400151</v>
      </c>
      <c r="J559" s="1009">
        <f t="shared" si="82"/>
        <v>5245</v>
      </c>
      <c r="K559" s="1009">
        <f t="shared" si="83"/>
        <v>1.9450495049753915</v>
      </c>
      <c r="L559" s="595"/>
      <c r="M559" s="595"/>
      <c r="N559" s="595"/>
      <c r="O559" s="595"/>
      <c r="P559" s="595"/>
      <c r="Q559" s="595"/>
    </row>
    <row r="560" spans="1:17">
      <c r="A560" s="1019" t="s">
        <v>1499</v>
      </c>
      <c r="B560" s="979" t="s">
        <v>420</v>
      </c>
      <c r="C560" s="979" t="s">
        <v>317</v>
      </c>
      <c r="D560" s="979" t="s">
        <v>1097</v>
      </c>
      <c r="E560" s="980">
        <v>1047</v>
      </c>
      <c r="F560" s="595"/>
      <c r="G560" s="1009">
        <f t="shared" si="84"/>
        <v>42.350000000000009</v>
      </c>
      <c r="H560" s="1012">
        <f t="shared" si="85"/>
        <v>44340.450000000012</v>
      </c>
      <c r="I560" s="1011">
        <f t="shared" si="81"/>
        <v>0.81431608659791022</v>
      </c>
      <c r="J560" s="1009">
        <f t="shared" si="82"/>
        <v>1047</v>
      </c>
      <c r="K560" s="1009">
        <f t="shared" si="83"/>
        <v>0.92774498230231184</v>
      </c>
      <c r="L560" s="595"/>
      <c r="M560" s="595"/>
      <c r="N560" s="595"/>
      <c r="O560" s="595"/>
      <c r="P560" s="595"/>
      <c r="Q560" s="595"/>
    </row>
    <row r="561" spans="1:17">
      <c r="A561" s="1019" t="s">
        <v>1499</v>
      </c>
      <c r="B561" s="979" t="s">
        <v>420</v>
      </c>
      <c r="C561" s="979" t="s">
        <v>320</v>
      </c>
      <c r="D561" s="979" t="s">
        <v>1098</v>
      </c>
      <c r="E561" s="980">
        <v>152</v>
      </c>
      <c r="F561" s="595"/>
      <c r="G561" s="1009">
        <f t="shared" si="84"/>
        <v>18.649999999999999</v>
      </c>
      <c r="H561" s="1012">
        <f t="shared" si="85"/>
        <v>2834.7999999999997</v>
      </c>
      <c r="I561" s="1011">
        <f t="shared" si="81"/>
        <v>5.206133997935869E-2</v>
      </c>
      <c r="J561" s="1009">
        <f t="shared" si="82"/>
        <v>152</v>
      </c>
      <c r="K561" s="1009">
        <f t="shared" si="83"/>
        <v>2.1067024128955989</v>
      </c>
      <c r="L561" s="595"/>
      <c r="M561" s="595"/>
      <c r="N561" s="595"/>
      <c r="O561" s="595"/>
      <c r="P561" s="595"/>
      <c r="Q561" s="595"/>
    </row>
    <row r="562" spans="1:17">
      <c r="A562" s="1019" t="s">
        <v>1499</v>
      </c>
      <c r="B562" s="979" t="s">
        <v>420</v>
      </c>
      <c r="C562" s="979" t="s">
        <v>352</v>
      </c>
      <c r="D562" s="979" t="s">
        <v>1099</v>
      </c>
      <c r="E562" s="980">
        <v>1030</v>
      </c>
      <c r="F562" s="595"/>
      <c r="G562" s="1009">
        <f t="shared" si="84"/>
        <v>24.59</v>
      </c>
      <c r="H562" s="1012">
        <f t="shared" si="85"/>
        <v>25327.7</v>
      </c>
      <c r="I562" s="1011">
        <f t="shared" si="81"/>
        <v>0.46514533674164071</v>
      </c>
      <c r="J562" s="1009">
        <f t="shared" si="82"/>
        <v>1030</v>
      </c>
      <c r="K562" s="1009">
        <f t="shared" si="83"/>
        <v>1.5978039853803543</v>
      </c>
      <c r="L562" s="595"/>
      <c r="M562" s="595"/>
      <c r="N562" s="595"/>
      <c r="O562" s="595"/>
      <c r="P562" s="595"/>
      <c r="Q562" s="595"/>
    </row>
    <row r="563" spans="1:17">
      <c r="A563" s="1019" t="s">
        <v>1499</v>
      </c>
      <c r="B563" s="979" t="s">
        <v>420</v>
      </c>
      <c r="C563" s="979" t="s">
        <v>384</v>
      </c>
      <c r="D563" s="979" t="s">
        <v>1100</v>
      </c>
      <c r="E563" s="980">
        <v>141</v>
      </c>
      <c r="F563" s="595"/>
      <c r="G563" s="1009">
        <f t="shared" si="84"/>
        <v>11.870000000000001</v>
      </c>
      <c r="H563" s="1012">
        <f t="shared" si="85"/>
        <v>1673.67</v>
      </c>
      <c r="I563" s="1011">
        <f t="shared" si="81"/>
        <v>3.0737090053355887E-2</v>
      </c>
      <c r="J563" s="1009">
        <f t="shared" si="82"/>
        <v>141</v>
      </c>
      <c r="K563" s="1009">
        <f t="shared" si="83"/>
        <v>3.310025273841863</v>
      </c>
      <c r="L563" s="595"/>
      <c r="M563" s="595"/>
      <c r="N563" s="595"/>
      <c r="O563" s="595"/>
      <c r="P563" s="595"/>
      <c r="Q563" s="595"/>
    </row>
    <row r="564" spans="1:17">
      <c r="A564" s="1019" t="s">
        <v>1499</v>
      </c>
      <c r="B564" s="979" t="s">
        <v>420</v>
      </c>
      <c r="C564" s="979" t="s">
        <v>311</v>
      </c>
      <c r="D564" s="979" t="s">
        <v>1101</v>
      </c>
      <c r="E564" s="980">
        <v>452</v>
      </c>
      <c r="F564" s="595"/>
      <c r="G564" s="1009">
        <f t="shared" si="84"/>
        <v>13.360000000000001</v>
      </c>
      <c r="H564" s="1012">
        <f t="shared" si="85"/>
        <v>6038.72</v>
      </c>
      <c r="I564" s="1011">
        <f t="shared" si="81"/>
        <v>0.11090159974606778</v>
      </c>
      <c r="J564" s="1009">
        <f t="shared" si="82"/>
        <v>452</v>
      </c>
      <c r="K564" s="1009">
        <f t="shared" si="83"/>
        <v>2.9408682635106969</v>
      </c>
      <c r="L564" s="595"/>
      <c r="M564" s="595"/>
      <c r="N564" s="595"/>
      <c r="O564" s="595"/>
      <c r="P564" s="595"/>
      <c r="Q564" s="595"/>
    </row>
    <row r="565" spans="1:17">
      <c r="A565" s="1019" t="s">
        <v>1499</v>
      </c>
      <c r="B565" s="979" t="s">
        <v>420</v>
      </c>
      <c r="C565" s="979" t="s">
        <v>341</v>
      </c>
      <c r="D565" s="979" t="s">
        <v>1102</v>
      </c>
      <c r="E565" s="980">
        <v>1457</v>
      </c>
      <c r="F565" s="595"/>
      <c r="G565" s="1009">
        <f t="shared" si="84"/>
        <v>15.079999999999998</v>
      </c>
      <c r="H565" s="1012">
        <f t="shared" si="85"/>
        <v>21971.559999999998</v>
      </c>
      <c r="I565" s="1011">
        <f t="shared" si="81"/>
        <v>0.40350954389617544</v>
      </c>
      <c r="J565" s="1009">
        <f t="shared" si="82"/>
        <v>1457</v>
      </c>
      <c r="K565" s="1009">
        <f t="shared" si="83"/>
        <v>2.6054376658158436</v>
      </c>
      <c r="L565" s="595"/>
      <c r="M565" s="595"/>
      <c r="N565" s="595"/>
      <c r="O565" s="595"/>
      <c r="P565" s="595"/>
      <c r="Q565" s="595"/>
    </row>
    <row r="566" spans="1:17">
      <c r="A566" s="1019" t="s">
        <v>1499</v>
      </c>
      <c r="B566" s="979" t="s">
        <v>420</v>
      </c>
      <c r="C566" s="979" t="s">
        <v>315</v>
      </c>
      <c r="D566" s="979" t="s">
        <v>1103</v>
      </c>
      <c r="E566" s="980">
        <v>222</v>
      </c>
      <c r="F566" s="595"/>
      <c r="G566" s="1009">
        <f t="shared" si="84"/>
        <v>46.740000000000009</v>
      </c>
      <c r="H566" s="1012">
        <f t="shared" si="85"/>
        <v>10376.280000000002</v>
      </c>
      <c r="I566" s="1011">
        <f t="shared" si="81"/>
        <v>0.19056125328101461</v>
      </c>
      <c r="J566" s="1009">
        <f t="shared" si="82"/>
        <v>222</v>
      </c>
      <c r="K566" s="1009">
        <f t="shared" si="83"/>
        <v>0.84060761661324146</v>
      </c>
      <c r="L566" s="1009"/>
      <c r="M566" s="595"/>
      <c r="N566" s="595"/>
      <c r="O566" s="595"/>
      <c r="P566" s="595"/>
      <c r="Q566" s="595"/>
    </row>
    <row r="567" spans="1:17">
      <c r="A567" s="1019" t="s">
        <v>1499</v>
      </c>
      <c r="B567" s="979" t="s">
        <v>420</v>
      </c>
      <c r="C567" s="979" t="s">
        <v>319</v>
      </c>
      <c r="D567" s="979" t="s">
        <v>1104</v>
      </c>
      <c r="E567" s="980">
        <v>26</v>
      </c>
      <c r="F567" s="595"/>
      <c r="G567" s="1009">
        <f t="shared" si="84"/>
        <v>27.15</v>
      </c>
      <c r="H567" s="1012">
        <f t="shared" si="85"/>
        <v>705.9</v>
      </c>
      <c r="I567" s="1011">
        <f t="shared" si="81"/>
        <v>1.2963912759781749E-2</v>
      </c>
      <c r="J567" s="1009">
        <f t="shared" si="82"/>
        <v>26</v>
      </c>
      <c r="K567" s="1009">
        <f t="shared" si="83"/>
        <v>1.4471454880479895</v>
      </c>
      <c r="L567" s="595"/>
      <c r="M567" s="595"/>
      <c r="N567" s="595"/>
      <c r="O567" s="595"/>
      <c r="P567" s="595"/>
      <c r="Q567" s="595"/>
    </row>
    <row r="568" spans="1:17">
      <c r="A568" s="1019" t="s">
        <v>1499</v>
      </c>
      <c r="B568" s="979" t="s">
        <v>420</v>
      </c>
      <c r="C568" s="979" t="s">
        <v>356</v>
      </c>
      <c r="D568" s="979" t="s">
        <v>1105</v>
      </c>
      <c r="E568" s="980">
        <v>6980</v>
      </c>
      <c r="F568" s="595"/>
      <c r="G568" s="1009">
        <f t="shared" si="84"/>
        <v>7.54</v>
      </c>
      <c r="H568" s="1012">
        <f t="shared" si="85"/>
        <v>52629.2</v>
      </c>
      <c r="I568" s="1011">
        <f t="shared" si="81"/>
        <v>0.96653967618232839</v>
      </c>
      <c r="J568" s="1009">
        <f t="shared" si="82"/>
        <v>6980</v>
      </c>
      <c r="K568" s="1009">
        <f t="shared" si="83"/>
        <v>5.2108753316316863</v>
      </c>
      <c r="L568" s="595"/>
      <c r="M568" s="595"/>
      <c r="N568" s="595"/>
      <c r="O568" s="595"/>
      <c r="P568" s="595"/>
      <c r="Q568" s="595"/>
    </row>
    <row r="569" spans="1:17">
      <c r="A569" s="1019" t="s">
        <v>1499</v>
      </c>
      <c r="B569" s="979" t="s">
        <v>420</v>
      </c>
      <c r="C569" s="979" t="s">
        <v>365</v>
      </c>
      <c r="D569" s="979" t="s">
        <v>1106</v>
      </c>
      <c r="E569" s="980">
        <v>8948</v>
      </c>
      <c r="F569" s="595"/>
      <c r="G569" s="1009">
        <f t="shared" si="84"/>
        <v>8.66</v>
      </c>
      <c r="H569" s="1012">
        <f t="shared" si="85"/>
        <v>77489.680000000008</v>
      </c>
      <c r="I569" s="1011">
        <f t="shared" si="81"/>
        <v>1.4231044784011966</v>
      </c>
      <c r="J569" s="1009">
        <f t="shared" si="82"/>
        <v>8948</v>
      </c>
      <c r="K569" s="1009">
        <f t="shared" si="83"/>
        <v>4.5369515012128074</v>
      </c>
      <c r="L569" s="1009"/>
      <c r="M569" s="595"/>
      <c r="N569" s="595"/>
      <c r="O569" s="595"/>
      <c r="P569" s="595"/>
      <c r="Q569" s="595"/>
    </row>
    <row r="570" spans="1:17">
      <c r="A570" s="1019" t="s">
        <v>1499</v>
      </c>
      <c r="B570" s="979" t="s">
        <v>420</v>
      </c>
      <c r="C570" s="979" t="s">
        <v>388</v>
      </c>
      <c r="D570" s="979" t="s">
        <v>1107</v>
      </c>
      <c r="E570" s="980">
        <v>20988</v>
      </c>
      <c r="F570" s="595"/>
      <c r="G570" s="1009">
        <f t="shared" si="84"/>
        <v>9.14</v>
      </c>
      <c r="H570" s="1012">
        <f t="shared" si="85"/>
        <v>191830.32</v>
      </c>
      <c r="I570" s="1011">
        <f t="shared" si="81"/>
        <v>3.5229799308131691</v>
      </c>
      <c r="J570" s="1009">
        <f t="shared" si="82"/>
        <v>20988</v>
      </c>
      <c r="K570" s="1009">
        <f t="shared" si="83"/>
        <v>4.2986870897705591</v>
      </c>
      <c r="L570" s="595"/>
      <c r="M570" s="595"/>
      <c r="N570" s="595"/>
      <c r="O570" s="595"/>
      <c r="P570" s="595"/>
      <c r="Q570" s="595"/>
    </row>
    <row r="571" spans="1:17">
      <c r="A571" s="1019" t="s">
        <v>1499</v>
      </c>
      <c r="B571" s="979" t="s">
        <v>420</v>
      </c>
      <c r="C571" s="979" t="s">
        <v>345</v>
      </c>
      <c r="D571" s="979" t="s">
        <v>1108</v>
      </c>
      <c r="E571" s="980">
        <v>7748</v>
      </c>
      <c r="F571" s="595"/>
      <c r="G571" s="1009">
        <f t="shared" si="84"/>
        <v>14.25</v>
      </c>
      <c r="H571" s="1012">
        <f t="shared" si="85"/>
        <v>110409</v>
      </c>
      <c r="I571" s="1011">
        <f t="shared" si="81"/>
        <v>2.0276705537537092</v>
      </c>
      <c r="J571" s="1009">
        <f t="shared" si="82"/>
        <v>7748</v>
      </c>
      <c r="K571" s="1009">
        <f t="shared" si="83"/>
        <v>2.7571929824914325</v>
      </c>
      <c r="L571" s="595"/>
      <c r="M571" s="595"/>
      <c r="N571" s="595"/>
      <c r="O571" s="595"/>
      <c r="P571" s="595"/>
      <c r="Q571" s="595"/>
    </row>
    <row r="572" spans="1:17">
      <c r="A572" s="1019" t="s">
        <v>1499</v>
      </c>
      <c r="B572" s="979" t="s">
        <v>420</v>
      </c>
      <c r="C572" s="979" t="s">
        <v>377</v>
      </c>
      <c r="D572" s="979" t="s">
        <v>1109</v>
      </c>
      <c r="E572" s="980">
        <v>2794</v>
      </c>
      <c r="F572" s="595"/>
      <c r="G572" s="1009">
        <f t="shared" si="84"/>
        <v>22.84</v>
      </c>
      <c r="H572" s="1012">
        <f t="shared" si="85"/>
        <v>63814.96</v>
      </c>
      <c r="I572" s="1011">
        <f t="shared" si="81"/>
        <v>1.171967097618589</v>
      </c>
      <c r="J572" s="1009">
        <f t="shared" si="82"/>
        <v>2794</v>
      </c>
      <c r="K572" s="1009">
        <f t="shared" si="83"/>
        <v>1.7202276707750839</v>
      </c>
      <c r="L572" s="1009"/>
      <c r="M572" s="595"/>
      <c r="N572" s="595"/>
      <c r="O572" s="595"/>
      <c r="P572" s="595"/>
      <c r="Q572" s="595"/>
    </row>
    <row r="573" spans="1:17">
      <c r="A573" s="1019" t="s">
        <v>1499</v>
      </c>
      <c r="B573" s="979" t="s">
        <v>420</v>
      </c>
      <c r="C573" s="979" t="s">
        <v>363</v>
      </c>
      <c r="D573" s="979" t="s">
        <v>1110</v>
      </c>
      <c r="E573" s="980">
        <v>995</v>
      </c>
      <c r="F573" s="595"/>
      <c r="G573" s="1009">
        <f t="shared" si="84"/>
        <v>9.620000000000001</v>
      </c>
      <c r="H573" s="1012">
        <f t="shared" si="85"/>
        <v>9571.9000000000015</v>
      </c>
      <c r="I573" s="1011">
        <f t="shared" si="81"/>
        <v>0.17578874705390982</v>
      </c>
      <c r="J573" s="1009">
        <f t="shared" si="82"/>
        <v>995</v>
      </c>
      <c r="K573" s="1009">
        <f t="shared" si="83"/>
        <v>4.0841995842518619</v>
      </c>
      <c r="L573" s="595"/>
      <c r="M573" s="595"/>
      <c r="N573" s="595"/>
      <c r="O573" s="595"/>
      <c r="P573" s="595"/>
      <c r="Q573" s="595"/>
    </row>
    <row r="574" spans="1:17">
      <c r="A574" s="1019" t="s">
        <v>1499</v>
      </c>
      <c r="B574" s="979" t="s">
        <v>420</v>
      </c>
      <c r="C574" s="979" t="s">
        <v>373</v>
      </c>
      <c r="D574" s="979" t="s">
        <v>1111</v>
      </c>
      <c r="E574" s="980">
        <v>1475</v>
      </c>
      <c r="F574" s="595"/>
      <c r="G574" s="1009">
        <f t="shared" si="84"/>
        <v>10.770000000000001</v>
      </c>
      <c r="H574" s="1012">
        <f t="shared" si="85"/>
        <v>15885.750000000002</v>
      </c>
      <c r="I574" s="1011">
        <f t="shared" si="81"/>
        <v>0.29174313234693716</v>
      </c>
      <c r="J574" s="1009">
        <f t="shared" si="82"/>
        <v>1475</v>
      </c>
      <c r="K574" s="1009">
        <f t="shared" si="83"/>
        <v>3.6480965645778003</v>
      </c>
      <c r="L574" s="595"/>
      <c r="M574" s="595"/>
      <c r="N574" s="595"/>
      <c r="O574" s="595"/>
      <c r="P574" s="595"/>
      <c r="Q574" s="595"/>
    </row>
    <row r="575" spans="1:17">
      <c r="A575" s="1019" t="s">
        <v>1499</v>
      </c>
      <c r="B575" s="979" t="s">
        <v>420</v>
      </c>
      <c r="C575" s="979" t="s">
        <v>396</v>
      </c>
      <c r="D575" s="979" t="s">
        <v>1112</v>
      </c>
      <c r="E575" s="980">
        <v>4065</v>
      </c>
      <c r="F575" s="595"/>
      <c r="G575" s="1009">
        <f t="shared" si="84"/>
        <v>11.16</v>
      </c>
      <c r="H575" s="1012">
        <f t="shared" si="85"/>
        <v>45365.4</v>
      </c>
      <c r="I575" s="1011">
        <f t="shared" si="81"/>
        <v>0.83313937939170268</v>
      </c>
      <c r="J575" s="1009">
        <f t="shared" si="82"/>
        <v>4065</v>
      </c>
      <c r="K575" s="1009">
        <f t="shared" si="83"/>
        <v>3.5206093190414798</v>
      </c>
      <c r="L575" s="595"/>
      <c r="M575" s="595"/>
      <c r="N575" s="595"/>
      <c r="O575" s="595"/>
      <c r="P575" s="595"/>
      <c r="Q575" s="595"/>
    </row>
    <row r="576" spans="1:17">
      <c r="A576" s="1019" t="s">
        <v>1499</v>
      </c>
      <c r="B576" s="979" t="s">
        <v>420</v>
      </c>
      <c r="C576" s="979" t="s">
        <v>351</v>
      </c>
      <c r="D576" s="979" t="s">
        <v>1113</v>
      </c>
      <c r="E576" s="980">
        <v>293</v>
      </c>
      <c r="F576" s="595"/>
      <c r="G576" s="1009">
        <f t="shared" si="84"/>
        <v>33.100000000000009</v>
      </c>
      <c r="H576" s="1012">
        <f t="shared" si="85"/>
        <v>9698.3000000000029</v>
      </c>
      <c r="I576" s="1011">
        <f t="shared" si="81"/>
        <v>0.17811009366509614</v>
      </c>
      <c r="J576" s="1009">
        <f t="shared" si="82"/>
        <v>293</v>
      </c>
      <c r="K576" s="1009">
        <f t="shared" si="83"/>
        <v>1.1870090634593022</v>
      </c>
      <c r="L576" s="595"/>
      <c r="M576" s="595"/>
      <c r="N576" s="595"/>
      <c r="O576" s="595"/>
      <c r="P576" s="595"/>
      <c r="Q576" s="595"/>
    </row>
    <row r="577" spans="1:17">
      <c r="A577" s="1019" t="s">
        <v>1499</v>
      </c>
      <c r="B577" s="979" t="s">
        <v>420</v>
      </c>
      <c r="C577" s="979" t="s">
        <v>314</v>
      </c>
      <c r="D577" s="979" t="s">
        <v>1114</v>
      </c>
      <c r="E577" s="980">
        <v>61</v>
      </c>
      <c r="F577" s="595"/>
      <c r="G577" s="1009">
        <f t="shared" si="84"/>
        <v>55.250000000000007</v>
      </c>
      <c r="H577" s="1012">
        <f t="shared" si="85"/>
        <v>3370.2500000000005</v>
      </c>
      <c r="I577" s="1011">
        <f t="shared" si="81"/>
        <v>6.1894924179989291E-2</v>
      </c>
      <c r="J577" s="1009">
        <f t="shared" si="82"/>
        <v>61</v>
      </c>
      <c r="K577" s="1009">
        <f t="shared" si="83"/>
        <v>0.71113122172855947</v>
      </c>
      <c r="L577" s="595"/>
      <c r="M577" s="595"/>
      <c r="N577" s="595"/>
      <c r="O577" s="595"/>
      <c r="P577" s="595"/>
      <c r="Q577" s="595"/>
    </row>
    <row r="578" spans="1:17">
      <c r="A578" s="1019" t="s">
        <v>1499</v>
      </c>
      <c r="B578" s="979" t="s">
        <v>420</v>
      </c>
      <c r="C578" s="979" t="s">
        <v>355</v>
      </c>
      <c r="D578" s="979" t="s">
        <v>1115</v>
      </c>
      <c r="E578" s="980">
        <v>3658</v>
      </c>
      <c r="F578" s="595"/>
      <c r="G578" s="1009">
        <f t="shared" si="84"/>
        <v>10.49</v>
      </c>
      <c r="H578" s="1012">
        <f t="shared" si="85"/>
        <v>38372.42</v>
      </c>
      <c r="I578" s="1011">
        <f t="shared" si="81"/>
        <v>0.70471271463621532</v>
      </c>
      <c r="J578" s="1009">
        <f t="shared" si="82"/>
        <v>3658</v>
      </c>
      <c r="K578" s="1009">
        <f t="shared" si="83"/>
        <v>3.74547187802697</v>
      </c>
      <c r="L578" s="595"/>
      <c r="M578" s="595"/>
      <c r="N578" s="595"/>
      <c r="O578" s="595"/>
      <c r="P578" s="595"/>
      <c r="Q578" s="595"/>
    </row>
    <row r="579" spans="1:17">
      <c r="A579" s="1019" t="s">
        <v>1499</v>
      </c>
      <c r="B579" s="979" t="s">
        <v>420</v>
      </c>
      <c r="C579" s="979" t="s">
        <v>364</v>
      </c>
      <c r="D579" s="979" t="s">
        <v>1116</v>
      </c>
      <c r="E579" s="980">
        <v>8782</v>
      </c>
      <c r="F579" s="595"/>
      <c r="G579" s="1009">
        <f t="shared" si="84"/>
        <v>11.600000000000001</v>
      </c>
      <c r="H579" s="1012">
        <f t="shared" si="85"/>
        <v>101871.20000000001</v>
      </c>
      <c r="I579" s="1011">
        <f t="shared" si="81"/>
        <v>1.8708731400117278</v>
      </c>
      <c r="J579" s="1009">
        <f t="shared" si="82"/>
        <v>8782</v>
      </c>
      <c r="K579" s="1009">
        <f t="shared" si="83"/>
        <v>3.3870689655605957</v>
      </c>
      <c r="L579" s="595"/>
      <c r="M579" s="595"/>
      <c r="N579" s="595"/>
      <c r="O579" s="595"/>
      <c r="P579" s="595"/>
      <c r="Q579" s="595"/>
    </row>
    <row r="580" spans="1:17">
      <c r="A580" s="1019" t="s">
        <v>1499</v>
      </c>
      <c r="B580" s="979" t="s">
        <v>420</v>
      </c>
      <c r="C580" s="979" t="s">
        <v>387</v>
      </c>
      <c r="D580" s="979" t="s">
        <v>1117</v>
      </c>
      <c r="E580" s="980">
        <f>3390-2</f>
        <v>3388</v>
      </c>
      <c r="F580" s="595"/>
      <c r="G580" s="1009">
        <f t="shared" si="84"/>
        <v>12.3</v>
      </c>
      <c r="H580" s="1012">
        <f t="shared" si="85"/>
        <v>41672.400000000001</v>
      </c>
      <c r="I580" s="1011">
        <f t="shared" si="81"/>
        <v>0.76531712436709021</v>
      </c>
      <c r="J580" s="1009">
        <f t="shared" si="82"/>
        <v>3388</v>
      </c>
      <c r="K580" s="1009">
        <f t="shared" si="83"/>
        <v>3.1943089431303182</v>
      </c>
      <c r="L580" s="595"/>
      <c r="M580" s="595"/>
      <c r="N580" s="595"/>
      <c r="O580" s="595"/>
      <c r="P580" s="595"/>
      <c r="Q580" s="595"/>
    </row>
    <row r="581" spans="1:17">
      <c r="A581" s="1019" t="s">
        <v>1499</v>
      </c>
      <c r="B581" s="979" t="s">
        <v>420</v>
      </c>
      <c r="C581" s="979" t="s">
        <v>344</v>
      </c>
      <c r="D581" s="979" t="s">
        <v>1118</v>
      </c>
      <c r="E581" s="980">
        <v>5209</v>
      </c>
      <c r="F581" s="595"/>
      <c r="G581" s="1009">
        <f t="shared" si="84"/>
        <v>17.41</v>
      </c>
      <c r="H581" s="1012">
        <f t="shared" si="85"/>
        <v>90688.69</v>
      </c>
      <c r="I581" s="1011">
        <f t="shared" si="81"/>
        <v>1.665505405098302</v>
      </c>
      <c r="J581" s="1009">
        <f t="shared" si="82"/>
        <v>5209</v>
      </c>
      <c r="K581" s="1009">
        <f t="shared" si="83"/>
        <v>2.2567489948594437</v>
      </c>
      <c r="L581" s="595"/>
      <c r="M581" s="595"/>
      <c r="N581" s="595"/>
      <c r="O581" s="595"/>
      <c r="P581" s="595"/>
      <c r="Q581" s="595"/>
    </row>
    <row r="582" spans="1:17">
      <c r="A582" s="1019" t="s">
        <v>1499</v>
      </c>
      <c r="B582" s="979" t="s">
        <v>420</v>
      </c>
      <c r="C582" s="979" t="s">
        <v>376</v>
      </c>
      <c r="D582" s="979" t="s">
        <v>1119</v>
      </c>
      <c r="E582" s="980">
        <v>508</v>
      </c>
      <c r="F582" s="595"/>
      <c r="G582" s="1009">
        <f t="shared" si="84"/>
        <v>24.46</v>
      </c>
      <c r="H582" s="1012">
        <f t="shared" si="85"/>
        <v>12425.68</v>
      </c>
      <c r="I582" s="1011">
        <f t="shared" si="81"/>
        <v>0.22819865632662542</v>
      </c>
      <c r="J582" s="1009">
        <f t="shared" si="82"/>
        <v>508</v>
      </c>
      <c r="K582" s="1009">
        <f t="shared" si="83"/>
        <v>1.6062959934792687</v>
      </c>
      <c r="L582" s="595"/>
      <c r="M582" s="595"/>
      <c r="N582" s="595"/>
      <c r="O582" s="595"/>
      <c r="P582" s="595"/>
      <c r="Q582" s="595"/>
    </row>
    <row r="583" spans="1:17">
      <c r="A583" s="1019" t="s">
        <v>1499</v>
      </c>
      <c r="B583" s="979" t="s">
        <v>420</v>
      </c>
      <c r="C583" s="979" t="s">
        <v>374</v>
      </c>
      <c r="D583" s="979" t="s">
        <v>1120</v>
      </c>
      <c r="E583" s="980">
        <v>4553</v>
      </c>
      <c r="F583" s="595"/>
      <c r="G583" s="1009">
        <f t="shared" si="84"/>
        <v>16.79</v>
      </c>
      <c r="H583" s="1012">
        <f t="shared" si="85"/>
        <v>76444.87</v>
      </c>
      <c r="I583" s="1011">
        <f t="shared" si="81"/>
        <v>1.4039164550401715</v>
      </c>
      <c r="J583" s="1009">
        <f t="shared" si="82"/>
        <v>4553</v>
      </c>
      <c r="K583" s="1009">
        <f t="shared" si="83"/>
        <v>2.3400833829960046</v>
      </c>
      <c r="L583" s="595"/>
      <c r="M583" s="595"/>
      <c r="N583" s="595"/>
      <c r="O583" s="595"/>
      <c r="P583" s="595"/>
      <c r="Q583" s="595"/>
    </row>
    <row r="584" spans="1:17">
      <c r="A584" s="1019" t="s">
        <v>1499</v>
      </c>
      <c r="B584" s="979" t="s">
        <v>420</v>
      </c>
      <c r="C584" s="979" t="s">
        <v>398</v>
      </c>
      <c r="D584" s="979" t="s">
        <v>1121</v>
      </c>
      <c r="E584" s="980">
        <v>1050</v>
      </c>
      <c r="F584" s="595"/>
      <c r="G584" s="1009">
        <f t="shared" ref="G584:G599" si="86">SUMIF(_Lights_Tariff_Category,20140101&amp;$C584,_Lights_Rates)</f>
        <v>20.97</v>
      </c>
      <c r="H584" s="1012">
        <f t="shared" ref="H584:H599" si="87">E584*G584</f>
        <v>22018.5</v>
      </c>
      <c r="I584" s="1011">
        <f t="shared" si="81"/>
        <v>0.40437160093675367</v>
      </c>
      <c r="J584" s="1009">
        <f t="shared" si="82"/>
        <v>1050</v>
      </c>
      <c r="K584" s="1009">
        <f t="shared" si="83"/>
        <v>1.8736289938246502</v>
      </c>
      <c r="L584" s="595"/>
      <c r="M584" s="595"/>
      <c r="N584" s="595"/>
      <c r="O584" s="595"/>
      <c r="P584" s="595"/>
      <c r="Q584" s="595"/>
    </row>
    <row r="585" spans="1:17">
      <c r="A585" s="1019" t="s">
        <v>1499</v>
      </c>
      <c r="B585" s="979" t="s">
        <v>420</v>
      </c>
      <c r="C585" s="979" t="s">
        <v>348</v>
      </c>
      <c r="D585" s="979" t="s">
        <v>1122</v>
      </c>
      <c r="E585" s="980">
        <v>1406</v>
      </c>
      <c r="F585" s="595"/>
      <c r="G585" s="1009">
        <f t="shared" si="86"/>
        <v>26.86</v>
      </c>
      <c r="H585" s="1012">
        <f t="shared" si="87"/>
        <v>37765.159999999996</v>
      </c>
      <c r="I585" s="1011">
        <f t="shared" ref="I585:I599" si="88">H585/$L$522*$L$523</f>
        <v>0.6935603337571884</v>
      </c>
      <c r="J585" s="1009">
        <f t="shared" ref="J585:J599" si="89">ROUND((H585+I585)/G585,0)</f>
        <v>1406</v>
      </c>
      <c r="K585" s="1009">
        <f t="shared" ref="K585:K599" si="90">$L$523/G585</f>
        <v>1.4627699181125433</v>
      </c>
      <c r="L585" s="595"/>
      <c r="M585" s="595"/>
      <c r="N585" s="595"/>
      <c r="O585" s="595"/>
      <c r="P585" s="595"/>
      <c r="Q585" s="595"/>
    </row>
    <row r="586" spans="1:17">
      <c r="A586" s="1019" t="s">
        <v>1499</v>
      </c>
      <c r="B586" s="979" t="s">
        <v>420</v>
      </c>
      <c r="C586" s="979" t="s">
        <v>380</v>
      </c>
      <c r="D586" s="979" t="s">
        <v>1123</v>
      </c>
      <c r="E586" s="980">
        <v>946</v>
      </c>
      <c r="F586" s="595"/>
      <c r="G586" s="1009">
        <f t="shared" si="86"/>
        <v>33.119999999999997</v>
      </c>
      <c r="H586" s="1012">
        <f t="shared" si="87"/>
        <v>31331.519999999997</v>
      </c>
      <c r="I586" s="1011">
        <f t="shared" si="88"/>
        <v>0.57540599505787937</v>
      </c>
      <c r="J586" s="1009">
        <f t="shared" si="89"/>
        <v>946</v>
      </c>
      <c r="K586" s="1009">
        <f t="shared" si="90"/>
        <v>1.1862922705465857</v>
      </c>
      <c r="L586" s="595"/>
      <c r="M586" s="595"/>
      <c r="N586" s="595"/>
      <c r="O586" s="595"/>
      <c r="P586" s="595"/>
      <c r="Q586" s="595"/>
    </row>
    <row r="587" spans="1:17">
      <c r="A587" s="1019" t="s">
        <v>1499</v>
      </c>
      <c r="B587" s="979" t="s">
        <v>420</v>
      </c>
      <c r="C587" s="979" t="s">
        <v>399</v>
      </c>
      <c r="D587" s="979" t="s">
        <v>1124</v>
      </c>
      <c r="E587" s="980">
        <v>11139</v>
      </c>
      <c r="F587" s="595"/>
      <c r="G587" s="1009">
        <f t="shared" si="86"/>
        <v>9</v>
      </c>
      <c r="H587" s="1012">
        <f t="shared" si="87"/>
        <v>100251</v>
      </c>
      <c r="I587" s="1011">
        <f t="shared" si="88"/>
        <v>1.8411180309971384</v>
      </c>
      <c r="J587" s="1009">
        <f t="shared" si="89"/>
        <v>11139</v>
      </c>
      <c r="K587" s="1009">
        <f t="shared" si="90"/>
        <v>4.3655555556114347</v>
      </c>
      <c r="L587" s="595"/>
      <c r="M587" s="595"/>
      <c r="N587" s="595"/>
      <c r="O587" s="595"/>
      <c r="P587" s="595"/>
      <c r="Q587" s="595"/>
    </row>
    <row r="588" spans="1:17">
      <c r="A588" s="1019" t="s">
        <v>1499</v>
      </c>
      <c r="B588" s="979" t="s">
        <v>420</v>
      </c>
      <c r="C588" s="979" t="s">
        <v>349</v>
      </c>
      <c r="D588" s="979" t="s">
        <v>1125</v>
      </c>
      <c r="E588" s="980">
        <v>6653</v>
      </c>
      <c r="F588" s="595"/>
      <c r="G588" s="1009">
        <f t="shared" si="86"/>
        <v>13.639999999999999</v>
      </c>
      <c r="H588" s="1012">
        <f t="shared" si="87"/>
        <v>90746.92</v>
      </c>
      <c r="I588" s="1011">
        <f t="shared" si="88"/>
        <v>1.6665748039366677</v>
      </c>
      <c r="J588" s="1009">
        <f t="shared" si="89"/>
        <v>6653</v>
      </c>
      <c r="K588" s="1009">
        <f t="shared" si="90"/>
        <v>2.880498533761211</v>
      </c>
      <c r="L588" s="595"/>
      <c r="M588" s="595"/>
      <c r="N588" s="595"/>
      <c r="O588" s="595"/>
      <c r="P588" s="595"/>
      <c r="Q588" s="595"/>
    </row>
    <row r="589" spans="1:17">
      <c r="A589" s="1019" t="s">
        <v>1499</v>
      </c>
      <c r="B589" s="979" t="s">
        <v>420</v>
      </c>
      <c r="C589" s="979" t="s">
        <v>381</v>
      </c>
      <c r="D589" s="979" t="s">
        <v>1126</v>
      </c>
      <c r="E589" s="980">
        <v>8370</v>
      </c>
      <c r="F589" s="595"/>
      <c r="G589" s="1009">
        <f t="shared" si="86"/>
        <v>19.46</v>
      </c>
      <c r="H589" s="1012">
        <f t="shared" si="87"/>
        <v>162880.20000000001</v>
      </c>
      <c r="I589" s="1011">
        <f t="shared" si="88"/>
        <v>2.9913085466720544</v>
      </c>
      <c r="J589" s="1009">
        <f t="shared" si="89"/>
        <v>8370</v>
      </c>
      <c r="K589" s="1009">
        <f t="shared" si="90"/>
        <v>2.0190133607658227</v>
      </c>
      <c r="L589" s="595"/>
      <c r="M589" s="595"/>
      <c r="N589" s="595"/>
      <c r="O589" s="595"/>
      <c r="P589" s="595"/>
      <c r="Q589" s="595"/>
    </row>
    <row r="590" spans="1:17">
      <c r="A590" s="1019" t="s">
        <v>1499</v>
      </c>
      <c r="B590" s="979" t="s">
        <v>420</v>
      </c>
      <c r="C590" s="979" t="s">
        <v>321</v>
      </c>
      <c r="D590" s="979" t="s">
        <v>1127</v>
      </c>
      <c r="E590" s="980">
        <v>60</v>
      </c>
      <c r="F590" s="595"/>
      <c r="G590" s="1009">
        <f t="shared" si="86"/>
        <v>15.47</v>
      </c>
      <c r="H590" s="1012">
        <f t="shared" si="87"/>
        <v>928.2</v>
      </c>
      <c r="I590" s="1011">
        <f t="shared" si="88"/>
        <v>1.7046470921701969E-2</v>
      </c>
      <c r="J590" s="1009">
        <f t="shared" si="89"/>
        <v>60</v>
      </c>
      <c r="K590" s="1009">
        <f t="shared" si="90"/>
        <v>2.539754363316284</v>
      </c>
      <c r="L590" s="595"/>
      <c r="M590" s="595"/>
      <c r="N590" s="595"/>
      <c r="O590" s="595"/>
      <c r="P590" s="595"/>
      <c r="Q590" s="595"/>
    </row>
    <row r="591" spans="1:17">
      <c r="A591" s="1019" t="s">
        <v>1499</v>
      </c>
      <c r="B591" s="979" t="s">
        <v>420</v>
      </c>
      <c r="C591" s="979" t="s">
        <v>353</v>
      </c>
      <c r="D591" s="979" t="s">
        <v>1128</v>
      </c>
      <c r="E591" s="980">
        <v>303</v>
      </c>
      <c r="F591" s="595"/>
      <c r="G591" s="1009">
        <f t="shared" si="86"/>
        <v>21.930000000000003</v>
      </c>
      <c r="H591" s="1012">
        <f t="shared" si="87"/>
        <v>6644.7900000000009</v>
      </c>
      <c r="I591" s="1011">
        <f t="shared" si="88"/>
        <v>0.12203212617519504</v>
      </c>
      <c r="J591" s="1009">
        <f t="shared" si="89"/>
        <v>303</v>
      </c>
      <c r="K591" s="1009">
        <f t="shared" si="90"/>
        <v>1.7916096671455954</v>
      </c>
      <c r="L591" s="595"/>
      <c r="M591" s="595"/>
      <c r="N591" s="595"/>
      <c r="O591" s="595"/>
      <c r="P591" s="595"/>
      <c r="Q591" s="595"/>
    </row>
    <row r="592" spans="1:17">
      <c r="A592" s="1019" t="s">
        <v>1499</v>
      </c>
      <c r="B592" s="979" t="s">
        <v>420</v>
      </c>
      <c r="C592" s="979" t="s">
        <v>678</v>
      </c>
      <c r="D592" s="979" t="s">
        <v>1129</v>
      </c>
      <c r="E592" s="980">
        <v>2</v>
      </c>
      <c r="F592" s="595"/>
      <c r="G592" s="1009">
        <f t="shared" si="86"/>
        <v>15.370000000000001</v>
      </c>
      <c r="H592" s="1012">
        <f t="shared" si="87"/>
        <v>30.740000000000002</v>
      </c>
      <c r="I592" s="1011">
        <f t="shared" si="88"/>
        <v>5.645426806002139E-4</v>
      </c>
      <c r="J592" s="1009">
        <f t="shared" si="89"/>
        <v>2</v>
      </c>
      <c r="K592" s="1009">
        <f t="shared" si="90"/>
        <v>2.5562784645740346</v>
      </c>
      <c r="L592" s="595"/>
      <c r="M592" s="595"/>
      <c r="N592" s="595"/>
      <c r="O592" s="595"/>
      <c r="P592" s="595"/>
      <c r="Q592" s="595"/>
    </row>
    <row r="593" spans="1:17">
      <c r="A593" s="1019" t="s">
        <v>1499</v>
      </c>
      <c r="B593" s="979" t="s">
        <v>420</v>
      </c>
      <c r="C593" s="979" t="s">
        <v>316</v>
      </c>
      <c r="D593" s="979" t="s">
        <v>1130</v>
      </c>
      <c r="E593" s="980">
        <v>43</v>
      </c>
      <c r="F593" s="595"/>
      <c r="G593" s="1009">
        <f t="shared" si="86"/>
        <v>45.7</v>
      </c>
      <c r="H593" s="1012">
        <f t="shared" si="87"/>
        <v>1965.1000000000001</v>
      </c>
      <c r="I593" s="1011">
        <f t="shared" si="88"/>
        <v>3.6089226468688368E-2</v>
      </c>
      <c r="J593" s="1009">
        <f t="shared" si="89"/>
        <v>43</v>
      </c>
      <c r="K593" s="1009">
        <f t="shared" si="90"/>
        <v>0.85973741795411185</v>
      </c>
      <c r="L593" s="595"/>
      <c r="M593" s="595"/>
      <c r="N593" s="595"/>
      <c r="O593" s="595"/>
      <c r="P593" s="595"/>
      <c r="Q593" s="595"/>
    </row>
    <row r="594" spans="1:17">
      <c r="A594" s="1019" t="s">
        <v>1499</v>
      </c>
      <c r="B594" s="979" t="s">
        <v>420</v>
      </c>
      <c r="C594" s="979" t="s">
        <v>318</v>
      </c>
      <c r="D594" s="979" t="s">
        <v>1131</v>
      </c>
      <c r="E594" s="980">
        <v>182</v>
      </c>
      <c r="F594" s="595"/>
      <c r="G594" s="1009">
        <f t="shared" si="86"/>
        <v>28.37</v>
      </c>
      <c r="H594" s="1012">
        <f t="shared" si="87"/>
        <v>5163.34</v>
      </c>
      <c r="I594" s="1011">
        <f t="shared" si="88"/>
        <v>9.4825172558565651E-2</v>
      </c>
      <c r="J594" s="1009">
        <f t="shared" si="89"/>
        <v>182</v>
      </c>
      <c r="K594" s="1009">
        <f t="shared" si="90"/>
        <v>1.3849136411879772</v>
      </c>
      <c r="L594" s="595"/>
      <c r="M594" s="595"/>
      <c r="N594" s="595"/>
      <c r="O594" s="595"/>
      <c r="P594" s="595"/>
      <c r="Q594" s="595"/>
    </row>
    <row r="595" spans="1:17">
      <c r="A595" s="1019" t="s">
        <v>1499</v>
      </c>
      <c r="B595" s="979" t="s">
        <v>420</v>
      </c>
      <c r="C595" s="979" t="s">
        <v>350</v>
      </c>
      <c r="D595" s="979" t="s">
        <v>1132</v>
      </c>
      <c r="E595" s="980">
        <v>648</v>
      </c>
      <c r="F595" s="595"/>
      <c r="G595" s="1009">
        <f t="shared" si="86"/>
        <v>34.830000000000005</v>
      </c>
      <c r="H595" s="1012">
        <f t="shared" si="87"/>
        <v>22569.840000000004</v>
      </c>
      <c r="I595" s="1011">
        <f t="shared" si="88"/>
        <v>0.41449700632133807</v>
      </c>
      <c r="J595" s="1009">
        <f t="shared" si="89"/>
        <v>648</v>
      </c>
      <c r="K595" s="1009">
        <f t="shared" si="90"/>
        <v>1.1280505311657454</v>
      </c>
      <c r="L595" s="1009"/>
      <c r="M595" s="595"/>
      <c r="N595" s="595"/>
      <c r="O595" s="595"/>
      <c r="P595" s="595"/>
      <c r="Q595" s="595"/>
    </row>
    <row r="596" spans="1:17">
      <c r="A596" s="1019" t="s">
        <v>1499</v>
      </c>
      <c r="B596" s="979" t="s">
        <v>420</v>
      </c>
      <c r="C596" s="979" t="s">
        <v>313</v>
      </c>
      <c r="D596" s="979" t="s">
        <v>1133</v>
      </c>
      <c r="E596" s="980">
        <v>154</v>
      </c>
      <c r="F596" s="595"/>
      <c r="G596" s="1009">
        <f t="shared" si="86"/>
        <v>58.59</v>
      </c>
      <c r="H596" s="1012">
        <f t="shared" si="87"/>
        <v>9022.86</v>
      </c>
      <c r="I596" s="1011">
        <f t="shared" si="88"/>
        <v>0.16570558136240879</v>
      </c>
      <c r="J596" s="1009">
        <f t="shared" si="89"/>
        <v>154</v>
      </c>
      <c r="K596" s="1009">
        <f t="shared" si="90"/>
        <v>0.67059225124599608</v>
      </c>
      <c r="L596" s="595"/>
      <c r="M596" s="595"/>
      <c r="N596" s="595"/>
      <c r="O596" s="595"/>
      <c r="P596" s="595"/>
      <c r="Q596" s="595"/>
    </row>
    <row r="597" spans="1:17">
      <c r="A597" s="1019" t="s">
        <v>1499</v>
      </c>
      <c r="B597" s="979" t="s">
        <v>420</v>
      </c>
      <c r="C597" s="979" t="s">
        <v>650</v>
      </c>
      <c r="D597" s="979" t="s">
        <v>1151</v>
      </c>
      <c r="E597" s="980">
        <v>10</v>
      </c>
      <c r="F597" s="595"/>
      <c r="G597" s="1009">
        <f t="shared" si="86"/>
        <v>15.35</v>
      </c>
      <c r="H597" s="1012">
        <f t="shared" si="87"/>
        <v>153.5</v>
      </c>
      <c r="I597" s="1011">
        <f t="shared" si="88"/>
        <v>2.8190403862112172E-3</v>
      </c>
      <c r="J597" s="1009">
        <f t="shared" si="89"/>
        <v>10</v>
      </c>
      <c r="K597" s="1009">
        <f t="shared" si="90"/>
        <v>2.5596091205539357</v>
      </c>
      <c r="L597" s="595"/>
      <c r="M597" s="595"/>
      <c r="N597" s="595"/>
      <c r="O597" s="595"/>
      <c r="P597" s="595"/>
      <c r="Q597" s="595"/>
    </row>
    <row r="598" spans="1:17">
      <c r="A598" s="1019" t="s">
        <v>1499</v>
      </c>
      <c r="B598" s="979" t="s">
        <v>420</v>
      </c>
      <c r="C598" s="979" t="s">
        <v>447</v>
      </c>
      <c r="D598" s="979" t="s">
        <v>1134</v>
      </c>
      <c r="E598" s="980">
        <v>26</v>
      </c>
      <c r="F598" s="595"/>
      <c r="G598" s="1035">
        <f t="shared" si="86"/>
        <v>17.72</v>
      </c>
      <c r="H598" s="1012">
        <f t="shared" si="87"/>
        <v>460.71999999999997</v>
      </c>
      <c r="I598" s="1011">
        <f t="shared" si="88"/>
        <v>8.4611614771024895E-3</v>
      </c>
      <c r="J598" s="1034">
        <f t="shared" si="89"/>
        <v>26</v>
      </c>
      <c r="K598" s="1009">
        <f t="shared" si="90"/>
        <v>2.2172686230532119</v>
      </c>
      <c r="L598" s="595"/>
      <c r="M598" s="595"/>
      <c r="N598" s="595"/>
      <c r="O598" s="595"/>
      <c r="P598" s="595"/>
      <c r="Q598" s="595"/>
    </row>
    <row r="599" spans="1:17">
      <c r="A599" s="1019" t="s">
        <v>1499</v>
      </c>
      <c r="B599" s="979" t="s">
        <v>420</v>
      </c>
      <c r="C599" s="979" t="s">
        <v>624</v>
      </c>
      <c r="D599" s="979" t="s">
        <v>1135</v>
      </c>
      <c r="E599" s="980">
        <v>30</v>
      </c>
      <c r="F599" s="595"/>
      <c r="G599" s="1035">
        <f t="shared" si="86"/>
        <v>21.490000000000002</v>
      </c>
      <c r="H599" s="1012">
        <f t="shared" si="87"/>
        <v>644.70000000000005</v>
      </c>
      <c r="I599" s="1011">
        <f t="shared" si="88"/>
        <v>1.1839969622087113E-2</v>
      </c>
      <c r="J599" s="1034">
        <f t="shared" si="89"/>
        <v>30</v>
      </c>
      <c r="K599" s="1009">
        <f t="shared" si="90"/>
        <v>1.8282922289670969</v>
      </c>
      <c r="L599" s="595"/>
      <c r="M599" s="595"/>
      <c r="N599" s="595"/>
      <c r="O599" s="595"/>
      <c r="P599" s="595"/>
      <c r="Q599" s="595"/>
    </row>
    <row r="600" spans="1:17">
      <c r="A600" s="1019" t="s">
        <v>1499</v>
      </c>
      <c r="B600" s="979" t="s">
        <v>420</v>
      </c>
      <c r="C600" s="1021" t="s">
        <v>8</v>
      </c>
      <c r="D600" s="1021"/>
      <c r="E600" s="980"/>
      <c r="F600" s="595"/>
      <c r="G600" s="1035"/>
      <c r="H600" s="1033">
        <f>SUM(H520:H599)</f>
        <v>2139385.8099999996</v>
      </c>
      <c r="I600" s="1011"/>
      <c r="K600" s="1009"/>
      <c r="L600" s="595"/>
      <c r="M600" s="595"/>
      <c r="N600" s="595"/>
      <c r="O600" s="595"/>
      <c r="P600" s="595"/>
    </row>
    <row r="601" spans="1:17">
      <c r="A601" s="979"/>
      <c r="B601" s="979"/>
      <c r="C601" s="979"/>
      <c r="D601" s="979"/>
      <c r="E601" s="980"/>
      <c r="F601" s="595"/>
    </row>
    <row r="602" spans="1:17">
      <c r="A602" s="1019" t="s">
        <v>1500</v>
      </c>
      <c r="B602" s="979" t="s">
        <v>420</v>
      </c>
      <c r="C602" s="979" t="s">
        <v>323</v>
      </c>
      <c r="D602" s="979" t="s">
        <v>1056</v>
      </c>
      <c r="E602" s="980">
        <v>177</v>
      </c>
      <c r="F602" s="595"/>
      <c r="G602" s="1009">
        <f t="shared" ref="G602:G633" si="91">SUMIF(_Lights_Tariff_Category,20140101&amp;$C602,_Lights_Rates)</f>
        <v>55.33</v>
      </c>
      <c r="H602" s="1012">
        <f t="shared" ref="H602:H633" si="92">E602*G602</f>
        <v>9793.41</v>
      </c>
      <c r="I602" s="1011">
        <f>H602/$L$606*$L$607</f>
        <v>0.28166892708812719</v>
      </c>
      <c r="J602" s="1009">
        <f>ROUND((H602+I602)/G602,0)</f>
        <v>177</v>
      </c>
      <c r="K602" s="1009">
        <f>$L$607/G602</f>
        <v>1.1057292607850411</v>
      </c>
      <c r="L602" s="1020">
        <f>'12MonLights'!$O$705</f>
        <v>2138496</v>
      </c>
      <c r="M602" s="595" t="s">
        <v>1529</v>
      </c>
      <c r="N602" s="595"/>
      <c r="O602" s="595"/>
      <c r="P602" s="595"/>
      <c r="Q602" s="1010" t="s">
        <v>1541</v>
      </c>
    </row>
    <row r="603" spans="1:17">
      <c r="A603" s="1019" t="s">
        <v>1500</v>
      </c>
      <c r="B603" s="979" t="s">
        <v>420</v>
      </c>
      <c r="C603" s="979" t="s">
        <v>328</v>
      </c>
      <c r="D603" s="979" t="s">
        <v>1057</v>
      </c>
      <c r="E603" s="980">
        <v>25</v>
      </c>
      <c r="F603" s="595"/>
      <c r="G603" s="1009">
        <f t="shared" si="91"/>
        <v>83.16</v>
      </c>
      <c r="H603" s="1012">
        <f t="shared" si="92"/>
        <v>2079</v>
      </c>
      <c r="I603" s="1011">
        <f>H603/$L$606*$L$607</f>
        <v>5.979425954965803E-2</v>
      </c>
      <c r="J603" s="1009">
        <f>ROUND((H603+I603)/G603,0)</f>
        <v>25</v>
      </c>
      <c r="K603" s="1009">
        <f>$L$607/G603</f>
        <v>0.73569023568105241</v>
      </c>
      <c r="L603" s="1011">
        <f>'12MonResults'!$AE$296</f>
        <v>805.35</v>
      </c>
      <c r="M603" s="595" t="s">
        <v>1531</v>
      </c>
      <c r="N603" s="595"/>
      <c r="O603" s="595"/>
      <c r="P603" s="595"/>
      <c r="Q603" s="595"/>
    </row>
    <row r="604" spans="1:17" ht="13.5">
      <c r="A604" s="1019" t="s">
        <v>1500</v>
      </c>
      <c r="B604" s="979" t="s">
        <v>420</v>
      </c>
      <c r="C604" s="979" t="s">
        <v>331</v>
      </c>
      <c r="D604" s="979" t="s">
        <v>1058</v>
      </c>
      <c r="E604" s="980">
        <v>43</v>
      </c>
      <c r="F604" s="595"/>
      <c r="G604" s="1009">
        <f t="shared" si="91"/>
        <v>59.78</v>
      </c>
      <c r="H604" s="1012">
        <f t="shared" si="92"/>
        <v>2570.54</v>
      </c>
      <c r="I604" s="1011">
        <f>H604/$L$606*$L$607</f>
        <v>7.3931474719950915E-2</v>
      </c>
      <c r="J604" s="1009">
        <f>ROUND((H604+I604)/G604,0)</f>
        <v>43</v>
      </c>
      <c r="K604" s="1009">
        <f>$L$607/G604</f>
        <v>1.0234192037342977</v>
      </c>
      <c r="L604" s="1013">
        <f>'12MonResults'!$AE$298</f>
        <v>10448.35</v>
      </c>
      <c r="M604" s="1014" t="s">
        <v>1532</v>
      </c>
      <c r="N604" s="595"/>
      <c r="O604" s="595"/>
      <c r="P604" s="595"/>
      <c r="Q604" s="595"/>
    </row>
    <row r="605" spans="1:17">
      <c r="A605" s="1019" t="s">
        <v>1500</v>
      </c>
      <c r="B605" s="979" t="s">
        <v>420</v>
      </c>
      <c r="C605" s="979" t="s">
        <v>332</v>
      </c>
      <c r="D605" s="979" t="s">
        <v>1059</v>
      </c>
      <c r="E605" s="980">
        <v>5</v>
      </c>
      <c r="F605" s="595"/>
      <c r="G605" s="1009">
        <f t="shared" si="91"/>
        <v>61.75</v>
      </c>
      <c r="H605" s="1012">
        <f t="shared" si="92"/>
        <v>308.75</v>
      </c>
      <c r="I605" s="1011">
        <f t="shared" ref="I605:I668" si="93">H605/$L$606*$L$607</f>
        <v>8.8799796228748989E-3</v>
      </c>
      <c r="J605" s="1009">
        <f t="shared" ref="J605:J668" si="94">ROUND((H605+I605)/G605,0)</f>
        <v>5</v>
      </c>
      <c r="K605" s="1009">
        <f t="shared" ref="K605:K668" si="95">$L$607/G605</f>
        <v>0.99076923075686341</v>
      </c>
      <c r="L605" s="1011">
        <f>L602-L603-L604</f>
        <v>2127242.2999999998</v>
      </c>
      <c r="M605" s="595" t="s">
        <v>1533</v>
      </c>
      <c r="N605" s="595"/>
      <c r="O605" s="595"/>
      <c r="P605" s="595"/>
      <c r="Q605" s="595"/>
    </row>
    <row r="606" spans="1:17">
      <c r="A606" s="1019" t="s">
        <v>1500</v>
      </c>
      <c r="B606" s="979" t="s">
        <v>420</v>
      </c>
      <c r="C606" s="979" t="s">
        <v>333</v>
      </c>
      <c r="D606" s="979" t="s">
        <v>1060</v>
      </c>
      <c r="E606" s="980">
        <v>1</v>
      </c>
      <c r="F606" s="595"/>
      <c r="G606" s="1009">
        <f t="shared" si="91"/>
        <v>63.11</v>
      </c>
      <c r="H606" s="1012">
        <f t="shared" si="92"/>
        <v>63.11</v>
      </c>
      <c r="I606" s="1011">
        <f t="shared" si="93"/>
        <v>1.8151109765170361E-3</v>
      </c>
      <c r="J606" s="1009">
        <f t="shared" si="94"/>
        <v>1</v>
      </c>
      <c r="K606" s="1009">
        <f t="shared" si="95"/>
        <v>0.96941847566528783</v>
      </c>
      <c r="L606" s="1012">
        <f>$H$682</f>
        <v>2127181.1200000006</v>
      </c>
      <c r="M606" s="595" t="s">
        <v>1534</v>
      </c>
      <c r="N606" s="595"/>
      <c r="O606" s="595"/>
      <c r="P606" s="595"/>
      <c r="Q606" s="595"/>
    </row>
    <row r="607" spans="1:17">
      <c r="A607" s="1019" t="s">
        <v>1500</v>
      </c>
      <c r="B607" s="979" t="s">
        <v>420</v>
      </c>
      <c r="C607" s="979" t="s">
        <v>335</v>
      </c>
      <c r="D607" s="979" t="s">
        <v>1061</v>
      </c>
      <c r="E607" s="980">
        <v>5</v>
      </c>
      <c r="F607" s="595"/>
      <c r="G607" s="1009">
        <f t="shared" si="91"/>
        <v>80.94</v>
      </c>
      <c r="H607" s="1012">
        <f t="shared" si="92"/>
        <v>404.7</v>
      </c>
      <c r="I607" s="1011">
        <f t="shared" si="93"/>
        <v>1.1639604059522177E-2</v>
      </c>
      <c r="J607" s="1009">
        <f t="shared" si="94"/>
        <v>5</v>
      </c>
      <c r="K607" s="1009">
        <f t="shared" si="95"/>
        <v>0.75586854459150377</v>
      </c>
      <c r="L607" s="1011">
        <f>L605-L606</f>
        <v>61.179999999236315</v>
      </c>
      <c r="M607" s="595"/>
      <c r="N607" s="595"/>
      <c r="O607" s="595"/>
      <c r="P607" s="595"/>
      <c r="Q607" s="595"/>
    </row>
    <row r="608" spans="1:17">
      <c r="A608" s="1019" t="s">
        <v>1500</v>
      </c>
      <c r="B608" s="979" t="s">
        <v>420</v>
      </c>
      <c r="C608" s="979" t="s">
        <v>336</v>
      </c>
      <c r="D608" s="979" t="s">
        <v>1062</v>
      </c>
      <c r="E608" s="980">
        <v>9</v>
      </c>
      <c r="F608" s="595"/>
      <c r="G608" s="1009">
        <f t="shared" si="91"/>
        <v>78.97</v>
      </c>
      <c r="H608" s="1012">
        <f t="shared" si="92"/>
        <v>710.73</v>
      </c>
      <c r="I608" s="1011">
        <f t="shared" si="93"/>
        <v>2.0441353578512966E-2</v>
      </c>
      <c r="J608" s="1009">
        <f t="shared" si="94"/>
        <v>9</v>
      </c>
      <c r="K608" s="1009">
        <f t="shared" si="95"/>
        <v>0.77472457894436264</v>
      </c>
      <c r="L608" s="595"/>
      <c r="M608" s="595"/>
      <c r="N608" s="595"/>
      <c r="O608" s="595"/>
      <c r="P608" s="595"/>
      <c r="Q608" s="595"/>
    </row>
    <row r="609" spans="1:17">
      <c r="A609" s="1019" t="s">
        <v>1500</v>
      </c>
      <c r="B609" s="979" t="s">
        <v>420</v>
      </c>
      <c r="C609" s="979" t="s">
        <v>338</v>
      </c>
      <c r="D609" s="979" t="s">
        <v>1063</v>
      </c>
      <c r="E609" s="980">
        <v>25</v>
      </c>
      <c r="F609" s="595"/>
      <c r="G609" s="1009">
        <f t="shared" si="91"/>
        <v>61.230000000000004</v>
      </c>
      <c r="H609" s="1012">
        <f t="shared" si="92"/>
        <v>1530.75</v>
      </c>
      <c r="I609" s="1011">
        <f t="shared" si="93"/>
        <v>4.4026004235516607E-2</v>
      </c>
      <c r="J609" s="1009">
        <f t="shared" si="94"/>
        <v>25</v>
      </c>
      <c r="K609" s="1009">
        <f t="shared" si="95"/>
        <v>0.99918340681424644</v>
      </c>
      <c r="L609" s="595"/>
      <c r="M609" s="595"/>
      <c r="N609" s="595"/>
      <c r="O609" s="595"/>
      <c r="P609" s="595"/>
      <c r="Q609" s="595"/>
    </row>
    <row r="610" spans="1:17">
      <c r="A610" s="1019" t="s">
        <v>1500</v>
      </c>
      <c r="B610" s="979" t="s">
        <v>420</v>
      </c>
      <c r="C610" s="979" t="s">
        <v>339</v>
      </c>
      <c r="D610" s="979" t="s">
        <v>1064</v>
      </c>
      <c r="E610" s="980">
        <v>1</v>
      </c>
      <c r="F610" s="595"/>
      <c r="G610" s="1009">
        <f t="shared" si="91"/>
        <v>56.69</v>
      </c>
      <c r="H610" s="1012">
        <f t="shared" si="92"/>
        <v>56.69</v>
      </c>
      <c r="I610" s="1011">
        <f t="shared" si="93"/>
        <v>1.6304649224964472E-3</v>
      </c>
      <c r="J610" s="1009">
        <f t="shared" si="94"/>
        <v>1</v>
      </c>
      <c r="K610" s="1009">
        <f t="shared" si="95"/>
        <v>1.0792026812354263</v>
      </c>
      <c r="L610" s="595"/>
      <c r="M610" s="595"/>
      <c r="N610" s="595"/>
      <c r="O610" s="595"/>
      <c r="P610" s="595"/>
      <c r="Q610" s="595"/>
    </row>
    <row r="611" spans="1:17">
      <c r="A611" s="1019" t="s">
        <v>1500</v>
      </c>
      <c r="B611" s="979" t="s">
        <v>420</v>
      </c>
      <c r="C611" s="979" t="s">
        <v>325</v>
      </c>
      <c r="D611" s="979" t="s">
        <v>1065</v>
      </c>
      <c r="E611" s="980">
        <v>15</v>
      </c>
      <c r="F611" s="595"/>
      <c r="G611" s="1009">
        <f t="shared" si="91"/>
        <v>74.52</v>
      </c>
      <c r="H611" s="1012">
        <f t="shared" si="92"/>
        <v>1117.8</v>
      </c>
      <c r="I611" s="1011">
        <f t="shared" si="93"/>
        <v>3.2149121368257698E-2</v>
      </c>
      <c r="J611" s="1009">
        <f t="shared" si="94"/>
        <v>15</v>
      </c>
      <c r="K611" s="1009">
        <f t="shared" si="95"/>
        <v>0.82098765431073961</v>
      </c>
      <c r="L611" s="595"/>
      <c r="M611" s="595"/>
      <c r="N611" s="595"/>
      <c r="O611" s="595"/>
      <c r="P611" s="595"/>
      <c r="Q611" s="595"/>
    </row>
    <row r="612" spans="1:17">
      <c r="A612" s="1019" t="s">
        <v>1500</v>
      </c>
      <c r="B612" s="979" t="s">
        <v>420</v>
      </c>
      <c r="C612" s="979" t="s">
        <v>334</v>
      </c>
      <c r="D612" s="979" t="s">
        <v>1066</v>
      </c>
      <c r="E612" s="980">
        <v>1</v>
      </c>
      <c r="F612" s="595"/>
      <c r="G612" s="1009">
        <f t="shared" si="91"/>
        <v>82.3</v>
      </c>
      <c r="H612" s="1012">
        <f t="shared" si="92"/>
        <v>82.3</v>
      </c>
      <c r="I612" s="1011">
        <f t="shared" si="93"/>
        <v>2.3670358638464917E-3</v>
      </c>
      <c r="J612" s="1009">
        <f t="shared" si="94"/>
        <v>1</v>
      </c>
      <c r="K612" s="1009">
        <f t="shared" si="95"/>
        <v>0.74337788577443886</v>
      </c>
      <c r="L612" s="595"/>
      <c r="M612" s="595"/>
      <c r="N612" s="595"/>
      <c r="O612" s="595"/>
      <c r="P612" s="595"/>
      <c r="Q612" s="595"/>
    </row>
    <row r="613" spans="1:17">
      <c r="A613" s="1019" t="s">
        <v>1500</v>
      </c>
      <c r="B613" s="979" t="s">
        <v>420</v>
      </c>
      <c r="C613" s="979" t="s">
        <v>326</v>
      </c>
      <c r="D613" s="979" t="s">
        <v>1067</v>
      </c>
      <c r="E613" s="980">
        <v>20</v>
      </c>
      <c r="F613" s="595"/>
      <c r="G613" s="1009">
        <f t="shared" si="91"/>
        <v>74.52</v>
      </c>
      <c r="H613" s="1012">
        <f t="shared" si="92"/>
        <v>1490.3999999999999</v>
      </c>
      <c r="I613" s="1011">
        <f t="shared" si="93"/>
        <v>4.2865495157676917E-2</v>
      </c>
      <c r="J613" s="1009">
        <f t="shared" si="94"/>
        <v>20</v>
      </c>
      <c r="K613" s="1009">
        <f t="shared" si="95"/>
        <v>0.82098765431073961</v>
      </c>
      <c r="L613" s="595"/>
      <c r="M613" s="595"/>
      <c r="N613" s="595"/>
      <c r="O613" s="595"/>
      <c r="P613" s="595"/>
      <c r="Q613" s="595"/>
    </row>
    <row r="614" spans="1:17">
      <c r="A614" s="1019" t="s">
        <v>1500</v>
      </c>
      <c r="B614" s="979" t="s">
        <v>420</v>
      </c>
      <c r="C614" s="979" t="s">
        <v>330</v>
      </c>
      <c r="D614" s="979" t="s">
        <v>1068</v>
      </c>
      <c r="E614" s="980">
        <v>4</v>
      </c>
      <c r="F614" s="595"/>
      <c r="G614" s="1009">
        <f t="shared" si="91"/>
        <v>75.88</v>
      </c>
      <c r="H614" s="1012">
        <f t="shared" si="92"/>
        <v>303.52</v>
      </c>
      <c r="I614" s="1011">
        <f t="shared" si="93"/>
        <v>8.7295592393036095E-3</v>
      </c>
      <c r="J614" s="1009">
        <f t="shared" si="94"/>
        <v>4</v>
      </c>
      <c r="K614" s="1009">
        <f t="shared" si="95"/>
        <v>0.80627306272056298</v>
      </c>
      <c r="L614" s="595"/>
      <c r="M614" s="595"/>
      <c r="N614" s="595"/>
      <c r="O614" s="595"/>
      <c r="P614" s="595"/>
      <c r="Q614" s="595"/>
    </row>
    <row r="615" spans="1:17">
      <c r="A615" s="1019" t="s">
        <v>1500</v>
      </c>
      <c r="B615" s="979" t="s">
        <v>420</v>
      </c>
      <c r="C615" s="979" t="s">
        <v>337</v>
      </c>
      <c r="D615" s="979" t="s">
        <v>1069</v>
      </c>
      <c r="E615" s="980">
        <v>3</v>
      </c>
      <c r="F615" s="595"/>
      <c r="G615" s="1009">
        <f t="shared" si="91"/>
        <v>78.97</v>
      </c>
      <c r="H615" s="1012">
        <f t="shared" si="92"/>
        <v>236.91</v>
      </c>
      <c r="I615" s="1011">
        <f t="shared" si="93"/>
        <v>6.8137845261709885E-3</v>
      </c>
      <c r="J615" s="1009">
        <f t="shared" si="94"/>
        <v>3</v>
      </c>
      <c r="K615" s="1009">
        <f t="shared" si="95"/>
        <v>0.77472457894436264</v>
      </c>
      <c r="L615" s="595"/>
      <c r="M615" s="595"/>
      <c r="N615" s="595"/>
      <c r="O615" s="595"/>
      <c r="P615" s="595"/>
      <c r="Q615" s="595"/>
    </row>
    <row r="616" spans="1:17">
      <c r="A616" s="1019" t="s">
        <v>1500</v>
      </c>
      <c r="B616" s="979" t="s">
        <v>420</v>
      </c>
      <c r="C616" s="979" t="s">
        <v>329</v>
      </c>
      <c r="D616" s="979" t="s">
        <v>1070</v>
      </c>
      <c r="E616" s="980">
        <v>2</v>
      </c>
      <c r="F616" s="595"/>
      <c r="G616" s="1009">
        <f t="shared" si="91"/>
        <v>77.259999999999991</v>
      </c>
      <c r="H616" s="1012">
        <f t="shared" si="92"/>
        <v>154.51999999999998</v>
      </c>
      <c r="I616" s="1011">
        <f t="shared" si="93"/>
        <v>4.4441601662400954E-3</v>
      </c>
      <c r="J616" s="1009">
        <f t="shared" si="94"/>
        <v>2</v>
      </c>
      <c r="K616" s="1009">
        <f t="shared" si="95"/>
        <v>0.79187160237168419</v>
      </c>
      <c r="L616" s="595"/>
      <c r="M616" s="595"/>
      <c r="N616" s="595"/>
      <c r="O616" s="595"/>
      <c r="P616" s="595"/>
      <c r="Q616" s="595"/>
    </row>
    <row r="617" spans="1:17">
      <c r="A617" s="1019" t="s">
        <v>1500</v>
      </c>
      <c r="B617" s="979" t="s">
        <v>420</v>
      </c>
      <c r="C617" s="979" t="s">
        <v>327</v>
      </c>
      <c r="D617" s="979" t="s">
        <v>1071</v>
      </c>
      <c r="E617" s="980">
        <v>51</v>
      </c>
      <c r="F617" s="595"/>
      <c r="G617" s="1009">
        <f t="shared" si="91"/>
        <v>64.19</v>
      </c>
      <c r="H617" s="1012">
        <f t="shared" si="92"/>
        <v>3273.69</v>
      </c>
      <c r="I617" s="1011">
        <f t="shared" si="93"/>
        <v>9.4154819406022119E-2</v>
      </c>
      <c r="J617" s="1009">
        <f t="shared" si="94"/>
        <v>51</v>
      </c>
      <c r="K617" s="1009">
        <f t="shared" si="95"/>
        <v>0.95310796072965132</v>
      </c>
      <c r="L617" s="595"/>
      <c r="M617" s="595"/>
      <c r="N617" s="595"/>
      <c r="O617" s="595"/>
      <c r="P617" s="595"/>
      <c r="Q617" s="595"/>
    </row>
    <row r="618" spans="1:17">
      <c r="A618" s="1019" t="s">
        <v>1500</v>
      </c>
      <c r="B618" s="979" t="s">
        <v>420</v>
      </c>
      <c r="C618" s="979" t="s">
        <v>453</v>
      </c>
      <c r="D618" s="979" t="s">
        <v>1072</v>
      </c>
      <c r="E618" s="980">
        <v>2</v>
      </c>
      <c r="F618" s="595"/>
      <c r="G618" s="1009">
        <f t="shared" si="91"/>
        <v>75.899999999999991</v>
      </c>
      <c r="H618" s="1012">
        <f t="shared" si="92"/>
        <v>151.79999999999998</v>
      </c>
      <c r="I618" s="1011">
        <f t="shared" si="93"/>
        <v>4.3659300623559829E-3</v>
      </c>
      <c r="J618" s="1009">
        <f t="shared" si="94"/>
        <v>2</v>
      </c>
      <c r="K618" s="1009">
        <f t="shared" si="95"/>
        <v>0.80606060605054441</v>
      </c>
      <c r="L618" s="595"/>
      <c r="M618" s="595"/>
      <c r="N618" s="595"/>
      <c r="O618" s="595"/>
      <c r="P618" s="595"/>
      <c r="Q618" s="595"/>
    </row>
    <row r="619" spans="1:17">
      <c r="A619" s="1019" t="s">
        <v>1500</v>
      </c>
      <c r="B619" s="979" t="s">
        <v>420</v>
      </c>
      <c r="C619" s="979" t="s">
        <v>366</v>
      </c>
      <c r="D619" s="979" t="s">
        <v>1073</v>
      </c>
      <c r="E619" s="980">
        <v>52</v>
      </c>
      <c r="F619" s="595"/>
      <c r="G619" s="1009">
        <f t="shared" si="91"/>
        <v>14.860000000000001</v>
      </c>
      <c r="H619" s="1012">
        <f t="shared" si="92"/>
        <v>772.72</v>
      </c>
      <c r="I619" s="1011">
        <f t="shared" si="93"/>
        <v>2.2224252159313014E-2</v>
      </c>
      <c r="J619" s="1009">
        <f t="shared" si="94"/>
        <v>52</v>
      </c>
      <c r="K619" s="1009">
        <f t="shared" si="95"/>
        <v>4.1170928667050006</v>
      </c>
      <c r="L619" s="595"/>
      <c r="M619" s="595"/>
      <c r="N619" s="595"/>
      <c r="O619" s="595"/>
      <c r="P619" s="595"/>
      <c r="Q619" s="595"/>
    </row>
    <row r="620" spans="1:17">
      <c r="A620" s="1019" t="s">
        <v>1500</v>
      </c>
      <c r="B620" s="979" t="s">
        <v>420</v>
      </c>
      <c r="C620" s="979" t="s">
        <v>386</v>
      </c>
      <c r="D620" s="979" t="s">
        <v>1074</v>
      </c>
      <c r="E620" s="980">
        <v>7030</v>
      </c>
      <c r="F620" s="595"/>
      <c r="G620" s="1009">
        <f t="shared" si="91"/>
        <v>10.570000000000002</v>
      </c>
      <c r="H620" s="1012">
        <f t="shared" si="92"/>
        <v>74307.10000000002</v>
      </c>
      <c r="I620" s="1011">
        <f t="shared" si="93"/>
        <v>2.1371515265908587</v>
      </c>
      <c r="J620" s="1009">
        <f t="shared" si="94"/>
        <v>7030</v>
      </c>
      <c r="K620" s="1009">
        <f t="shared" si="95"/>
        <v>5.7880794701264238</v>
      </c>
      <c r="L620" s="595"/>
      <c r="M620" s="595"/>
      <c r="N620" s="595"/>
      <c r="O620" s="595"/>
      <c r="P620" s="595"/>
      <c r="Q620" s="595"/>
    </row>
    <row r="621" spans="1:17">
      <c r="A621" s="1019" t="s">
        <v>1500</v>
      </c>
      <c r="B621" s="979" t="s">
        <v>420</v>
      </c>
      <c r="C621" s="979" t="s">
        <v>382</v>
      </c>
      <c r="D621" s="979" t="s">
        <v>1075</v>
      </c>
      <c r="E621" s="980">
        <v>136</v>
      </c>
      <c r="F621" s="595"/>
      <c r="G621" s="1009">
        <f t="shared" si="91"/>
        <v>11.71</v>
      </c>
      <c r="H621" s="1012">
        <f t="shared" si="92"/>
        <v>1592.5600000000002</v>
      </c>
      <c r="I621" s="1011">
        <f t="shared" si="93"/>
        <v>4.5803725824147865E-2</v>
      </c>
      <c r="J621" s="1009">
        <f t="shared" si="94"/>
        <v>136</v>
      </c>
      <c r="K621" s="1009">
        <f t="shared" si="95"/>
        <v>5.2245943637264141</v>
      </c>
      <c r="L621" s="595"/>
      <c r="M621" s="595"/>
      <c r="N621" s="595"/>
      <c r="O621" s="595"/>
      <c r="P621" s="595"/>
      <c r="Q621" s="595"/>
    </row>
    <row r="622" spans="1:17">
      <c r="A622" s="1019" t="s">
        <v>1500</v>
      </c>
      <c r="B622" s="979" t="s">
        <v>420</v>
      </c>
      <c r="C622" s="979" t="s">
        <v>360</v>
      </c>
      <c r="D622" s="979" t="s">
        <v>1076</v>
      </c>
      <c r="E622" s="980">
        <v>238</v>
      </c>
      <c r="F622" s="595"/>
      <c r="G622" s="1009">
        <f t="shared" si="91"/>
        <v>20.259999999999998</v>
      </c>
      <c r="H622" s="1012">
        <f t="shared" si="92"/>
        <v>4821.8799999999992</v>
      </c>
      <c r="I622" s="1011">
        <f t="shared" si="93"/>
        <v>0.13868241666056039</v>
      </c>
      <c r="J622" s="1009">
        <f t="shared" si="94"/>
        <v>238</v>
      </c>
      <c r="K622" s="1009">
        <f t="shared" si="95"/>
        <v>3.0197433365861954</v>
      </c>
      <c r="L622" s="595"/>
      <c r="M622" s="595"/>
      <c r="N622" s="595"/>
      <c r="O622" s="595"/>
      <c r="P622" s="595"/>
      <c r="Q622" s="595"/>
    </row>
    <row r="623" spans="1:17">
      <c r="A623" s="1019" t="s">
        <v>1500</v>
      </c>
      <c r="B623" s="979" t="s">
        <v>420</v>
      </c>
      <c r="C623" s="979" t="s">
        <v>368</v>
      </c>
      <c r="D623" s="979" t="s">
        <v>1077</v>
      </c>
      <c r="E623" s="980">
        <v>149</v>
      </c>
      <c r="F623" s="595"/>
      <c r="G623" s="1009">
        <f t="shared" si="91"/>
        <v>21.38</v>
      </c>
      <c r="H623" s="1012">
        <f t="shared" si="92"/>
        <v>3185.62</v>
      </c>
      <c r="I623" s="1011">
        <f t="shared" si="93"/>
        <v>9.1621832182097934E-2</v>
      </c>
      <c r="J623" s="1009">
        <f t="shared" si="94"/>
        <v>149</v>
      </c>
      <c r="K623" s="1009">
        <f t="shared" si="95"/>
        <v>2.8615528530980505</v>
      </c>
      <c r="L623" s="595"/>
      <c r="M623" s="595"/>
      <c r="N623" s="595"/>
      <c r="O623" s="595"/>
      <c r="P623" s="595"/>
      <c r="Q623" s="595"/>
    </row>
    <row r="624" spans="1:17">
      <c r="A624" s="1019" t="s">
        <v>1500</v>
      </c>
      <c r="B624" s="979" t="s">
        <v>420</v>
      </c>
      <c r="C624" s="979" t="s">
        <v>370</v>
      </c>
      <c r="D624" s="979" t="s">
        <v>1078</v>
      </c>
      <c r="E624" s="980">
        <v>28</v>
      </c>
      <c r="F624" s="595"/>
      <c r="G624" s="1009">
        <f t="shared" si="91"/>
        <v>30.84</v>
      </c>
      <c r="H624" s="1012">
        <f t="shared" si="92"/>
        <v>863.52</v>
      </c>
      <c r="I624" s="1011">
        <f t="shared" si="93"/>
        <v>2.4835757097797354E-2</v>
      </c>
      <c r="J624" s="1009">
        <f t="shared" si="94"/>
        <v>28</v>
      </c>
      <c r="K624" s="1009">
        <f t="shared" si="95"/>
        <v>1.9837872892099973</v>
      </c>
      <c r="L624" s="595"/>
      <c r="M624" s="595"/>
      <c r="N624" s="595"/>
      <c r="O624" s="595"/>
      <c r="P624" s="595"/>
      <c r="Q624" s="595"/>
    </row>
    <row r="625" spans="1:17">
      <c r="A625" s="1019" t="s">
        <v>1500</v>
      </c>
      <c r="B625" s="979" t="s">
        <v>420</v>
      </c>
      <c r="C625" s="979" t="s">
        <v>393</v>
      </c>
      <c r="D625" s="979" t="s">
        <v>1079</v>
      </c>
      <c r="E625" s="980">
        <v>95</v>
      </c>
      <c r="F625" s="595"/>
      <c r="G625" s="1009">
        <f t="shared" si="91"/>
        <v>31.22</v>
      </c>
      <c r="H625" s="1012">
        <f t="shared" si="92"/>
        <v>2965.9</v>
      </c>
      <c r="I625" s="1011">
        <f t="shared" si="93"/>
        <v>8.53024504080475E-2</v>
      </c>
      <c r="J625" s="1009">
        <f t="shared" si="94"/>
        <v>95</v>
      </c>
      <c r="K625" s="1009">
        <f t="shared" si="95"/>
        <v>1.9596412555809199</v>
      </c>
      <c r="L625" s="595"/>
      <c r="M625" s="595"/>
      <c r="N625" s="595"/>
      <c r="O625" s="595"/>
      <c r="P625" s="595"/>
      <c r="Q625" s="595"/>
    </row>
    <row r="626" spans="1:17">
      <c r="A626" s="1019" t="s">
        <v>1500</v>
      </c>
      <c r="B626" s="979" t="s">
        <v>420</v>
      </c>
      <c r="C626" s="979" t="s">
        <v>371</v>
      </c>
      <c r="D626" s="979" t="s">
        <v>1080</v>
      </c>
      <c r="E626" s="980">
        <v>21</v>
      </c>
      <c r="F626" s="595"/>
      <c r="G626" s="1009">
        <f t="shared" si="91"/>
        <v>30.84</v>
      </c>
      <c r="H626" s="1012">
        <f t="shared" si="92"/>
        <v>647.64</v>
      </c>
      <c r="I626" s="1011">
        <f t="shared" si="93"/>
        <v>1.8626817823348019E-2</v>
      </c>
      <c r="J626" s="1009">
        <f t="shared" si="94"/>
        <v>21</v>
      </c>
      <c r="K626" s="1009">
        <f t="shared" si="95"/>
        <v>1.9837872892099973</v>
      </c>
      <c r="L626" s="595"/>
      <c r="M626" s="595"/>
      <c r="N626" s="595"/>
      <c r="O626" s="595"/>
      <c r="P626" s="595"/>
      <c r="Q626" s="595"/>
    </row>
    <row r="627" spans="1:17" s="1025" customFormat="1" ht="12">
      <c r="A627" s="1019" t="s">
        <v>1500</v>
      </c>
      <c r="B627" s="979" t="s">
        <v>420</v>
      </c>
      <c r="C627" s="979" t="s">
        <v>394</v>
      </c>
      <c r="D627" s="979" t="s">
        <v>1081</v>
      </c>
      <c r="E627" s="980">
        <v>10</v>
      </c>
      <c r="F627" s="595"/>
      <c r="G627" s="1009">
        <f t="shared" si="91"/>
        <v>31.22</v>
      </c>
      <c r="H627" s="1012">
        <f t="shared" si="92"/>
        <v>312.2</v>
      </c>
      <c r="I627" s="1011">
        <f t="shared" si="93"/>
        <v>8.9792053061102627E-3</v>
      </c>
      <c r="J627" s="1009">
        <f t="shared" si="94"/>
        <v>10</v>
      </c>
      <c r="K627" s="1009">
        <f t="shared" si="95"/>
        <v>1.9596412555809199</v>
      </c>
      <c r="L627" s="595"/>
      <c r="M627" s="595"/>
      <c r="N627" s="595"/>
      <c r="O627" s="595"/>
      <c r="P627" s="595"/>
      <c r="Q627" s="595"/>
    </row>
    <row r="628" spans="1:17" s="1025" customFormat="1" ht="12">
      <c r="A628" s="1019" t="s">
        <v>1500</v>
      </c>
      <c r="B628" s="979" t="s">
        <v>420</v>
      </c>
      <c r="C628" s="979" t="s">
        <v>389</v>
      </c>
      <c r="D628" s="979" t="s">
        <v>1082</v>
      </c>
      <c r="E628" s="980">
        <v>473</v>
      </c>
      <c r="F628" s="595"/>
      <c r="G628" s="1009">
        <f t="shared" si="91"/>
        <v>15.360000000000001</v>
      </c>
      <c r="H628" s="1012">
        <f t="shared" si="92"/>
        <v>7265.2800000000007</v>
      </c>
      <c r="I628" s="1011">
        <f t="shared" si="93"/>
        <v>0.20895720924528116</v>
      </c>
      <c r="J628" s="1009">
        <f t="shared" si="94"/>
        <v>473</v>
      </c>
      <c r="K628" s="1009">
        <f t="shared" si="95"/>
        <v>3.9830729166169472</v>
      </c>
      <c r="L628" s="595"/>
      <c r="M628" s="595"/>
      <c r="N628" s="595"/>
      <c r="O628" s="595"/>
      <c r="P628" s="595"/>
      <c r="Q628" s="595"/>
    </row>
    <row r="629" spans="1:17" s="1025" customFormat="1" ht="12">
      <c r="A629" s="1019" t="s">
        <v>1500</v>
      </c>
      <c r="B629" s="979" t="s">
        <v>420</v>
      </c>
      <c r="C629" s="979" t="s">
        <v>310</v>
      </c>
      <c r="D629" s="979" t="s">
        <v>1083</v>
      </c>
      <c r="E629" s="980">
        <v>5</v>
      </c>
      <c r="F629" s="595"/>
      <c r="G629" s="1009">
        <f t="shared" si="91"/>
        <v>3.39</v>
      </c>
      <c r="H629" s="1012">
        <f t="shared" si="92"/>
        <v>16.95</v>
      </c>
      <c r="I629" s="1011">
        <f t="shared" si="93"/>
        <v>4.8750009589548034E-4</v>
      </c>
      <c r="J629" s="1009">
        <f t="shared" si="94"/>
        <v>5</v>
      </c>
      <c r="K629" s="1009">
        <f t="shared" si="95"/>
        <v>18.047197639892719</v>
      </c>
      <c r="L629" s="595"/>
      <c r="M629" s="595"/>
      <c r="N629" s="595"/>
      <c r="O629" s="595"/>
      <c r="P629" s="595"/>
      <c r="Q629" s="595"/>
    </row>
    <row r="630" spans="1:17" s="1025" customFormat="1" ht="12">
      <c r="A630" s="1019" t="s">
        <v>1500</v>
      </c>
      <c r="B630" s="979" t="s">
        <v>420</v>
      </c>
      <c r="C630" s="979" t="s">
        <v>340</v>
      </c>
      <c r="D630" s="979" t="s">
        <v>1084</v>
      </c>
      <c r="E630" s="980">
        <v>662</v>
      </c>
      <c r="F630" s="595"/>
      <c r="G630" s="1009">
        <f t="shared" si="91"/>
        <v>4.5400000000000009</v>
      </c>
      <c r="H630" s="1012">
        <f t="shared" si="92"/>
        <v>3005.4800000000005</v>
      </c>
      <c r="I630" s="1011">
        <f t="shared" si="93"/>
        <v>8.644081346383177E-2</v>
      </c>
      <c r="J630" s="1009">
        <f t="shared" si="94"/>
        <v>662</v>
      </c>
      <c r="K630" s="1009">
        <f t="shared" si="95"/>
        <v>13.475770924941918</v>
      </c>
      <c r="L630" s="595"/>
      <c r="M630" s="595"/>
      <c r="N630" s="595"/>
      <c r="O630" s="595"/>
      <c r="P630" s="595"/>
      <c r="Q630" s="595"/>
    </row>
    <row r="631" spans="1:17" s="1025" customFormat="1" ht="12">
      <c r="A631" s="1019" t="s">
        <v>1500</v>
      </c>
      <c r="B631" s="979" t="s">
        <v>420</v>
      </c>
      <c r="C631" s="979" t="s">
        <v>358</v>
      </c>
      <c r="D631" s="979" t="s">
        <v>1085</v>
      </c>
      <c r="E631" s="980">
        <v>49</v>
      </c>
      <c r="F631" s="595"/>
      <c r="G631" s="1009">
        <f t="shared" si="91"/>
        <v>6.78</v>
      </c>
      <c r="H631" s="1012">
        <f t="shared" si="92"/>
        <v>332.22</v>
      </c>
      <c r="I631" s="1011">
        <f t="shared" si="93"/>
        <v>9.5550018795514148E-3</v>
      </c>
      <c r="J631" s="1009">
        <f t="shared" si="94"/>
        <v>49</v>
      </c>
      <c r="K631" s="1009">
        <f t="shared" si="95"/>
        <v>9.0235988199463595</v>
      </c>
      <c r="L631" s="595"/>
      <c r="M631" s="595"/>
      <c r="N631" s="595"/>
      <c r="O631" s="595"/>
      <c r="P631" s="595"/>
      <c r="Q631" s="595"/>
    </row>
    <row r="632" spans="1:17" s="1025" customFormat="1" ht="12">
      <c r="A632" s="1019" t="s">
        <v>1500</v>
      </c>
      <c r="B632" s="979" t="s">
        <v>420</v>
      </c>
      <c r="C632" s="979" t="s">
        <v>383</v>
      </c>
      <c r="D632" s="979" t="s">
        <v>1086</v>
      </c>
      <c r="E632" s="980">
        <v>2</v>
      </c>
      <c r="F632" s="595"/>
      <c r="G632" s="1009">
        <f t="shared" si="91"/>
        <v>9.06</v>
      </c>
      <c r="H632" s="1012">
        <f t="shared" si="92"/>
        <v>18.12</v>
      </c>
      <c r="I632" s="1011">
        <f t="shared" si="93"/>
        <v>5.2115054499269047E-4</v>
      </c>
      <c r="J632" s="1009">
        <f t="shared" si="94"/>
        <v>2</v>
      </c>
      <c r="K632" s="1009">
        <f t="shared" si="95"/>
        <v>6.7527593818141627</v>
      </c>
      <c r="L632" s="595"/>
      <c r="M632" s="595"/>
      <c r="N632" s="595"/>
      <c r="O632" s="595"/>
      <c r="P632" s="595"/>
      <c r="Q632" s="595"/>
    </row>
    <row r="633" spans="1:17" s="1025" customFormat="1" ht="12">
      <c r="A633" s="1019" t="s">
        <v>1500</v>
      </c>
      <c r="B633" s="979" t="s">
        <v>420</v>
      </c>
      <c r="C633" s="979" t="s">
        <v>375</v>
      </c>
      <c r="D633" s="979" t="s">
        <v>1087</v>
      </c>
      <c r="E633" s="980">
        <v>175</v>
      </c>
      <c r="F633" s="595"/>
      <c r="G633" s="1009">
        <f t="shared" si="91"/>
        <v>7.4399999999999995</v>
      </c>
      <c r="H633" s="1012">
        <f t="shared" si="92"/>
        <v>1302</v>
      </c>
      <c r="I633" s="1011">
        <f t="shared" si="93"/>
        <v>3.744691002099796E-2</v>
      </c>
      <c r="J633" s="1009">
        <f t="shared" si="94"/>
        <v>175</v>
      </c>
      <c r="K633" s="1009">
        <f t="shared" si="95"/>
        <v>8.223118279467247</v>
      </c>
      <c r="L633" s="595"/>
      <c r="M633" s="595"/>
      <c r="N633" s="595"/>
      <c r="O633" s="595"/>
      <c r="P633" s="595"/>
      <c r="Q633" s="595"/>
    </row>
    <row r="634" spans="1:17" s="1025" customFormat="1" ht="12">
      <c r="A634" s="1019" t="s">
        <v>1500</v>
      </c>
      <c r="B634" s="979" t="s">
        <v>420</v>
      </c>
      <c r="C634" s="979" t="s">
        <v>400</v>
      </c>
      <c r="D634" s="979" t="s">
        <v>1088</v>
      </c>
      <c r="E634" s="980">
        <v>36380</v>
      </c>
      <c r="F634" s="595"/>
      <c r="G634" s="1009">
        <f t="shared" ref="G634:G665" si="96">SUMIF(_Lights_Tariff_Category,20140101&amp;$C634,_Lights_Rates)</f>
        <v>7.84</v>
      </c>
      <c r="H634" s="1012">
        <f t="shared" ref="H634:H665" si="97">E634*G634</f>
        <v>285219.20000000001</v>
      </c>
      <c r="I634" s="1011">
        <f t="shared" si="93"/>
        <v>8.203208693288035</v>
      </c>
      <c r="J634" s="1009">
        <f t="shared" si="94"/>
        <v>36381</v>
      </c>
      <c r="K634" s="1009">
        <f t="shared" si="95"/>
        <v>7.8035714284740196</v>
      </c>
      <c r="L634" s="595"/>
      <c r="M634" s="595"/>
      <c r="N634" s="595"/>
      <c r="O634" s="595"/>
      <c r="P634" s="595"/>
      <c r="Q634" s="595"/>
    </row>
    <row r="635" spans="1:17" s="1025" customFormat="1" ht="12">
      <c r="A635" s="1019" t="s">
        <v>1500</v>
      </c>
      <c r="B635" s="979" t="s">
        <v>420</v>
      </c>
      <c r="C635" s="979" t="s">
        <v>391</v>
      </c>
      <c r="D635" s="979" t="s">
        <v>1089</v>
      </c>
      <c r="E635" s="980">
        <v>1171</v>
      </c>
      <c r="F635" s="595"/>
      <c r="G635" s="1009">
        <f t="shared" si="96"/>
        <v>22</v>
      </c>
      <c r="H635" s="1012">
        <f t="shared" si="97"/>
        <v>25762</v>
      </c>
      <c r="I635" s="1011">
        <f t="shared" si="93"/>
        <v>0.74094262362592112</v>
      </c>
      <c r="J635" s="1009">
        <f t="shared" si="94"/>
        <v>1171</v>
      </c>
      <c r="K635" s="1009">
        <f t="shared" si="95"/>
        <v>2.7809090908743781</v>
      </c>
      <c r="L635" s="595"/>
      <c r="M635" s="595"/>
      <c r="N635" s="595"/>
      <c r="O635" s="595"/>
      <c r="P635" s="595"/>
      <c r="Q635" s="595"/>
    </row>
    <row r="636" spans="1:17" s="1025" customFormat="1" ht="12">
      <c r="A636" s="1019" t="s">
        <v>1500</v>
      </c>
      <c r="B636" s="979" t="s">
        <v>420</v>
      </c>
      <c r="C636" s="979" t="s">
        <v>359</v>
      </c>
      <c r="D636" s="979" t="s">
        <v>1091</v>
      </c>
      <c r="E636" s="980">
        <v>2</v>
      </c>
      <c r="F636" s="595"/>
      <c r="G636" s="1009">
        <f t="shared" si="96"/>
        <v>13.610000000000001</v>
      </c>
      <c r="H636" s="1012">
        <f t="shared" si="97"/>
        <v>27.220000000000002</v>
      </c>
      <c r="I636" s="1011">
        <f t="shared" si="93"/>
        <v>7.8287626019321393E-4</v>
      </c>
      <c r="J636" s="1009">
        <f t="shared" si="94"/>
        <v>2</v>
      </c>
      <c r="K636" s="1009">
        <f t="shared" si="95"/>
        <v>4.4952240998704118</v>
      </c>
      <c r="L636" s="595"/>
      <c r="M636" s="595"/>
      <c r="N636" s="595"/>
      <c r="O636" s="595"/>
      <c r="P636" s="595"/>
      <c r="Q636" s="595"/>
    </row>
    <row r="637" spans="1:17" s="1025" customFormat="1" ht="12">
      <c r="A637" s="1019" t="s">
        <v>1500</v>
      </c>
      <c r="B637" s="979" t="s">
        <v>420</v>
      </c>
      <c r="C637" s="979" t="s">
        <v>385</v>
      </c>
      <c r="D637" s="979" t="s">
        <v>1092</v>
      </c>
      <c r="E637" s="980">
        <f>1071-3</f>
        <v>1068</v>
      </c>
      <c r="F637" s="595"/>
      <c r="G637" s="1009">
        <f t="shared" si="96"/>
        <v>9.5600000000000023</v>
      </c>
      <c r="H637" s="1012">
        <f t="shared" si="97"/>
        <v>10210.080000000002</v>
      </c>
      <c r="I637" s="1011">
        <f t="shared" si="93"/>
        <v>0.29365280112687475</v>
      </c>
      <c r="J637" s="1009">
        <f t="shared" si="94"/>
        <v>1068</v>
      </c>
      <c r="K637" s="1009">
        <f t="shared" si="95"/>
        <v>6.3995815898782737</v>
      </c>
      <c r="L637" s="595"/>
      <c r="M637" s="595"/>
      <c r="N637" s="595"/>
      <c r="O637" s="595"/>
      <c r="P637" s="595"/>
      <c r="Q637" s="595"/>
    </row>
    <row r="638" spans="1:17" s="1025" customFormat="1" ht="12">
      <c r="A638" s="1019" t="s">
        <v>1500</v>
      </c>
      <c r="B638" s="979" t="s">
        <v>420</v>
      </c>
      <c r="C638" s="979" t="s">
        <v>312</v>
      </c>
      <c r="D638" s="979" t="s">
        <v>1093</v>
      </c>
      <c r="E638" s="980">
        <v>705</v>
      </c>
      <c r="F638" s="595"/>
      <c r="G638" s="1009">
        <f t="shared" si="96"/>
        <v>11.32</v>
      </c>
      <c r="H638" s="1012">
        <f t="shared" si="97"/>
        <v>7980.6</v>
      </c>
      <c r="I638" s="1011">
        <f t="shared" si="93"/>
        <v>0.22953057612409855</v>
      </c>
      <c r="J638" s="1009">
        <f t="shared" si="94"/>
        <v>705</v>
      </c>
      <c r="K638" s="1009">
        <f t="shared" si="95"/>
        <v>5.4045936395085086</v>
      </c>
      <c r="L638" s="595"/>
      <c r="M638" s="595"/>
      <c r="N638" s="595"/>
      <c r="O638" s="595"/>
      <c r="P638" s="595"/>
      <c r="Q638" s="595"/>
    </row>
    <row r="639" spans="1:17" s="1025" customFormat="1" ht="12">
      <c r="A639" s="1019" t="s">
        <v>1500</v>
      </c>
      <c r="B639" s="979" t="s">
        <v>420</v>
      </c>
      <c r="C639" s="979" t="s">
        <v>421</v>
      </c>
      <c r="D639" s="979" t="s">
        <v>1094</v>
      </c>
      <c r="E639" s="980">
        <v>1473</v>
      </c>
      <c r="F639" s="595"/>
      <c r="G639" s="1009">
        <f t="shared" si="96"/>
        <v>12.809999999999999</v>
      </c>
      <c r="H639" s="1012">
        <f t="shared" si="97"/>
        <v>18869.129999999997</v>
      </c>
      <c r="I639" s="1011">
        <f t="shared" si="93"/>
        <v>0.54269632356721431</v>
      </c>
      <c r="J639" s="1009">
        <f t="shared" si="94"/>
        <v>1473</v>
      </c>
      <c r="K639" s="1009">
        <f t="shared" si="95"/>
        <v>4.7759562840933896</v>
      </c>
      <c r="L639" s="595"/>
      <c r="M639" s="595"/>
      <c r="N639" s="595"/>
      <c r="O639" s="595"/>
      <c r="P639" s="595"/>
      <c r="Q639" s="595"/>
    </row>
    <row r="640" spans="1:17" s="1025" customFormat="1" ht="12">
      <c r="A640" s="1019" t="s">
        <v>1500</v>
      </c>
      <c r="B640" s="979" t="s">
        <v>420</v>
      </c>
      <c r="C640" s="979" t="s">
        <v>322</v>
      </c>
      <c r="D640" s="979" t="s">
        <v>1095</v>
      </c>
      <c r="E640" s="980">
        <v>668</v>
      </c>
      <c r="F640" s="595"/>
      <c r="G640" s="1009">
        <f t="shared" si="96"/>
        <v>14.25</v>
      </c>
      <c r="H640" s="1012">
        <f t="shared" si="97"/>
        <v>9519</v>
      </c>
      <c r="I640" s="1011">
        <f t="shared" si="93"/>
        <v>0.27377660252678926</v>
      </c>
      <c r="J640" s="1009">
        <f t="shared" si="94"/>
        <v>668</v>
      </c>
      <c r="K640" s="1009">
        <f t="shared" si="95"/>
        <v>4.2933333332797412</v>
      </c>
      <c r="L640" s="595"/>
      <c r="M640" s="595"/>
      <c r="N640" s="595"/>
      <c r="O640" s="595"/>
      <c r="P640" s="595"/>
      <c r="Q640" s="595"/>
    </row>
    <row r="641" spans="1:17" s="1025" customFormat="1" ht="12">
      <c r="A641" s="1019" t="s">
        <v>1500</v>
      </c>
      <c r="B641" s="979" t="s">
        <v>420</v>
      </c>
      <c r="C641" s="979" t="s">
        <v>354</v>
      </c>
      <c r="D641" s="979" t="s">
        <v>1096</v>
      </c>
      <c r="E641" s="980">
        <v>5215</v>
      </c>
      <c r="F641" s="595"/>
      <c r="G641" s="1009">
        <f t="shared" si="96"/>
        <v>20.200000000000003</v>
      </c>
      <c r="H641" s="1012">
        <f t="shared" si="97"/>
        <v>105343.00000000001</v>
      </c>
      <c r="I641" s="1011">
        <f t="shared" si="93"/>
        <v>3.0297771446559052</v>
      </c>
      <c r="J641" s="1009">
        <f t="shared" si="94"/>
        <v>5215</v>
      </c>
      <c r="K641" s="1009">
        <f t="shared" si="95"/>
        <v>3.0287128712493221</v>
      </c>
      <c r="L641" s="595"/>
      <c r="M641" s="595"/>
      <c r="N641" s="595"/>
      <c r="O641" s="595"/>
      <c r="P641" s="595"/>
      <c r="Q641" s="595"/>
    </row>
    <row r="642" spans="1:17" s="1025" customFormat="1" ht="12">
      <c r="A642" s="1019" t="s">
        <v>1500</v>
      </c>
      <c r="B642" s="979" t="s">
        <v>420</v>
      </c>
      <c r="C642" s="979" t="s">
        <v>317</v>
      </c>
      <c r="D642" s="979" t="s">
        <v>1097</v>
      </c>
      <c r="E642" s="980">
        <v>1041</v>
      </c>
      <c r="F642" s="595"/>
      <c r="G642" s="1009">
        <f t="shared" si="96"/>
        <v>42.350000000000009</v>
      </c>
      <c r="H642" s="1012">
        <f t="shared" si="97"/>
        <v>44086.350000000006</v>
      </c>
      <c r="I642" s="1011">
        <f t="shared" si="93"/>
        <v>1.267970492783582</v>
      </c>
      <c r="J642" s="1009">
        <f t="shared" si="94"/>
        <v>1041</v>
      </c>
      <c r="K642" s="1009">
        <f t="shared" si="95"/>
        <v>1.4446280991555207</v>
      </c>
      <c r="L642" s="595"/>
      <c r="M642" s="595"/>
      <c r="N642" s="595"/>
      <c r="O642" s="595"/>
      <c r="P642" s="595"/>
      <c r="Q642" s="595"/>
    </row>
    <row r="643" spans="1:17" s="1025" customFormat="1" ht="12">
      <c r="A643" s="1019" t="s">
        <v>1500</v>
      </c>
      <c r="B643" s="979" t="s">
        <v>420</v>
      </c>
      <c r="C643" s="979" t="s">
        <v>320</v>
      </c>
      <c r="D643" s="979" t="s">
        <v>1098</v>
      </c>
      <c r="E643" s="980">
        <v>151</v>
      </c>
      <c r="F643" s="595"/>
      <c r="G643" s="1009">
        <f t="shared" si="96"/>
        <v>18.649999999999999</v>
      </c>
      <c r="H643" s="1012">
        <f t="shared" si="97"/>
        <v>2816.1499999999996</v>
      </c>
      <c r="I643" s="1011">
        <f t="shared" si="93"/>
        <v>8.0995480534280628E-2</v>
      </c>
      <c r="J643" s="1009">
        <f t="shared" si="94"/>
        <v>151</v>
      </c>
      <c r="K643" s="1009">
        <f t="shared" si="95"/>
        <v>3.2804289543826446</v>
      </c>
      <c r="L643" s="595"/>
      <c r="M643" s="595"/>
      <c r="N643" s="595"/>
      <c r="O643" s="595"/>
      <c r="P643" s="595"/>
      <c r="Q643" s="595"/>
    </row>
    <row r="644" spans="1:17" s="1025" customFormat="1" ht="12">
      <c r="A644" s="1019" t="s">
        <v>1500</v>
      </c>
      <c r="B644" s="979" t="s">
        <v>420</v>
      </c>
      <c r="C644" s="979" t="s">
        <v>352</v>
      </c>
      <c r="D644" s="979" t="s">
        <v>1099</v>
      </c>
      <c r="E644" s="980">
        <v>1024</v>
      </c>
      <c r="F644" s="595"/>
      <c r="G644" s="1009">
        <f t="shared" si="96"/>
        <v>24.59</v>
      </c>
      <c r="H644" s="1012">
        <f t="shared" si="97"/>
        <v>25180.16</v>
      </c>
      <c r="I644" s="1011">
        <f t="shared" si="93"/>
        <v>0.72420828405094617</v>
      </c>
      <c r="J644" s="1009">
        <f t="shared" si="94"/>
        <v>1024</v>
      </c>
      <c r="K644" s="1009">
        <f t="shared" si="95"/>
        <v>2.4880032533239658</v>
      </c>
      <c r="L644" s="595"/>
      <c r="M644" s="595"/>
      <c r="N644" s="595"/>
      <c r="O644" s="595"/>
      <c r="P644" s="595"/>
      <c r="Q644" s="595"/>
    </row>
    <row r="645" spans="1:17" s="1025" customFormat="1" ht="12">
      <c r="A645" s="1019" t="s">
        <v>1500</v>
      </c>
      <c r="B645" s="979" t="s">
        <v>420</v>
      </c>
      <c r="C645" s="979" t="s">
        <v>384</v>
      </c>
      <c r="D645" s="979" t="s">
        <v>1100</v>
      </c>
      <c r="E645" s="980">
        <v>140</v>
      </c>
      <c r="F645" s="595"/>
      <c r="G645" s="1009">
        <f t="shared" si="96"/>
        <v>11.870000000000001</v>
      </c>
      <c r="H645" s="1012">
        <f t="shared" si="97"/>
        <v>1661.8000000000002</v>
      </c>
      <c r="I645" s="1011">
        <f t="shared" si="93"/>
        <v>4.7795142145080197E-2</v>
      </c>
      <c r="J645" s="1009">
        <f t="shared" si="94"/>
        <v>140</v>
      </c>
      <c r="K645" s="1009">
        <f t="shared" si="95"/>
        <v>5.1541701768522588</v>
      </c>
      <c r="L645" s="595"/>
      <c r="M645" s="595"/>
      <c r="N645" s="595"/>
      <c r="O645" s="595"/>
      <c r="P645" s="595"/>
      <c r="Q645" s="595"/>
    </row>
    <row r="646" spans="1:17" s="1025" customFormat="1" ht="12">
      <c r="A646" s="1019" t="s">
        <v>1500</v>
      </c>
      <c r="B646" s="979" t="s">
        <v>420</v>
      </c>
      <c r="C646" s="979" t="s">
        <v>311</v>
      </c>
      <c r="D646" s="979" t="s">
        <v>1101</v>
      </c>
      <c r="E646" s="980">
        <v>449</v>
      </c>
      <c r="F646" s="595"/>
      <c r="G646" s="1009">
        <f t="shared" si="96"/>
        <v>13.360000000000001</v>
      </c>
      <c r="H646" s="1012">
        <f t="shared" si="97"/>
        <v>5998.64</v>
      </c>
      <c r="I646" s="1011">
        <f t="shared" si="93"/>
        <v>0.17252729057477667</v>
      </c>
      <c r="J646" s="1009">
        <f t="shared" si="94"/>
        <v>449</v>
      </c>
      <c r="K646" s="1009">
        <f t="shared" si="95"/>
        <v>4.5793413173081072</v>
      </c>
      <c r="L646" s="595"/>
      <c r="M646" s="595"/>
      <c r="N646" s="595"/>
      <c r="O646" s="595"/>
      <c r="P646" s="595"/>
      <c r="Q646" s="595"/>
    </row>
    <row r="647" spans="1:17" s="1025" customFormat="1" ht="12">
      <c r="A647" s="1019" t="s">
        <v>1500</v>
      </c>
      <c r="B647" s="979" t="s">
        <v>420</v>
      </c>
      <c r="C647" s="979" t="s">
        <v>341</v>
      </c>
      <c r="D647" s="979" t="s">
        <v>1102</v>
      </c>
      <c r="E647" s="980">
        <v>1449</v>
      </c>
      <c r="F647" s="595"/>
      <c r="G647" s="1009">
        <f t="shared" si="96"/>
        <v>15.079999999999998</v>
      </c>
      <c r="H647" s="1012">
        <f t="shared" si="97"/>
        <v>21850.92</v>
      </c>
      <c r="I647" s="1011">
        <f t="shared" si="93"/>
        <v>0.6284557873394967</v>
      </c>
      <c r="J647" s="1009">
        <f t="shared" si="94"/>
        <v>1449</v>
      </c>
      <c r="K647" s="1009">
        <f t="shared" si="95"/>
        <v>4.0570291776681913</v>
      </c>
      <c r="L647" s="595"/>
      <c r="M647" s="595"/>
      <c r="N647" s="595"/>
      <c r="O647" s="595"/>
      <c r="P647" s="595"/>
      <c r="Q647" s="595"/>
    </row>
    <row r="648" spans="1:17" s="1025" customFormat="1" ht="12">
      <c r="A648" s="1019" t="s">
        <v>1500</v>
      </c>
      <c r="B648" s="979" t="s">
        <v>420</v>
      </c>
      <c r="C648" s="979" t="s">
        <v>315</v>
      </c>
      <c r="D648" s="979" t="s">
        <v>1103</v>
      </c>
      <c r="E648" s="980">
        <v>221</v>
      </c>
      <c r="F648" s="595"/>
      <c r="G648" s="1009">
        <f t="shared" si="96"/>
        <v>46.740000000000009</v>
      </c>
      <c r="H648" s="1012">
        <f t="shared" si="97"/>
        <v>10329.540000000003</v>
      </c>
      <c r="I648" s="1011">
        <f t="shared" si="93"/>
        <v>0.29708859826290274</v>
      </c>
      <c r="J648" s="1009">
        <f t="shared" si="94"/>
        <v>221</v>
      </c>
      <c r="K648" s="1009">
        <f t="shared" si="95"/>
        <v>1.3089430894145551</v>
      </c>
      <c r="L648" s="595"/>
      <c r="M648" s="595"/>
      <c r="N648" s="595"/>
      <c r="O648" s="595"/>
      <c r="P648" s="595"/>
      <c r="Q648" s="595"/>
    </row>
    <row r="649" spans="1:17" s="1025" customFormat="1" ht="12">
      <c r="A649" s="1019" t="s">
        <v>1500</v>
      </c>
      <c r="B649" s="979" t="s">
        <v>420</v>
      </c>
      <c r="C649" s="979" t="s">
        <v>319</v>
      </c>
      <c r="D649" s="979" t="s">
        <v>1104</v>
      </c>
      <c r="E649" s="980">
        <v>26</v>
      </c>
      <c r="F649" s="595"/>
      <c r="G649" s="1009">
        <f t="shared" si="96"/>
        <v>27.15</v>
      </c>
      <c r="H649" s="1012">
        <f t="shared" si="97"/>
        <v>705.9</v>
      </c>
      <c r="I649" s="1011">
        <f t="shared" si="93"/>
        <v>2.0302437621983454E-2</v>
      </c>
      <c r="J649" s="1009">
        <f t="shared" si="94"/>
        <v>26</v>
      </c>
      <c r="K649" s="1009">
        <f t="shared" si="95"/>
        <v>2.2534069981302514</v>
      </c>
      <c r="L649" s="595"/>
      <c r="M649" s="595"/>
      <c r="N649" s="595"/>
      <c r="O649" s="595"/>
      <c r="P649" s="595"/>
      <c r="Q649" s="595"/>
    </row>
    <row r="650" spans="1:17" s="1025" customFormat="1" ht="12">
      <c r="A650" s="1019" t="s">
        <v>1500</v>
      </c>
      <c r="B650" s="979" t="s">
        <v>420</v>
      </c>
      <c r="C650" s="979" t="s">
        <v>356</v>
      </c>
      <c r="D650" s="979" t="s">
        <v>1105</v>
      </c>
      <c r="E650" s="980">
        <v>6941</v>
      </c>
      <c r="F650" s="595"/>
      <c r="G650" s="1009">
        <f t="shared" si="96"/>
        <v>7.54</v>
      </c>
      <c r="H650" s="1012">
        <f t="shared" si="97"/>
        <v>52335.14</v>
      </c>
      <c r="I650" s="1011">
        <f t="shared" si="93"/>
        <v>1.5052144996285184</v>
      </c>
      <c r="J650" s="1009">
        <f t="shared" si="94"/>
        <v>6941</v>
      </c>
      <c r="K650" s="1009">
        <f t="shared" si="95"/>
        <v>8.1140583553363808</v>
      </c>
      <c r="L650" s="1009"/>
      <c r="M650" s="595"/>
      <c r="N650" s="595"/>
      <c r="O650" s="595"/>
      <c r="P650" s="595"/>
      <c r="Q650" s="595"/>
    </row>
    <row r="651" spans="1:17" s="1025" customFormat="1" ht="12">
      <c r="A651" s="1019" t="s">
        <v>1500</v>
      </c>
      <c r="B651" s="979" t="s">
        <v>420</v>
      </c>
      <c r="C651" s="979" t="s">
        <v>365</v>
      </c>
      <c r="D651" s="979" t="s">
        <v>1106</v>
      </c>
      <c r="E651" s="980">
        <v>8897</v>
      </c>
      <c r="F651" s="595"/>
      <c r="G651" s="1009">
        <f t="shared" si="96"/>
        <v>8.66</v>
      </c>
      <c r="H651" s="1012">
        <f t="shared" si="97"/>
        <v>77048.02</v>
      </c>
      <c r="I651" s="1011">
        <f t="shared" si="93"/>
        <v>2.2159833120092558</v>
      </c>
      <c r="J651" s="1009">
        <f t="shared" si="94"/>
        <v>8897</v>
      </c>
      <c r="K651" s="1009">
        <f t="shared" si="95"/>
        <v>7.0646651269326002</v>
      </c>
      <c r="L651" s="595"/>
      <c r="M651" s="595"/>
      <c r="N651" s="595"/>
      <c r="O651" s="595"/>
      <c r="P651" s="595"/>
      <c r="Q651" s="595"/>
    </row>
    <row r="652" spans="1:17" s="1025" customFormat="1" ht="12">
      <c r="A652" s="1019" t="s">
        <v>1500</v>
      </c>
      <c r="B652" s="979" t="s">
        <v>420</v>
      </c>
      <c r="C652" s="979" t="s">
        <v>388</v>
      </c>
      <c r="D652" s="979" t="s">
        <v>1107</v>
      </c>
      <c r="E652" s="980">
        <v>20867</v>
      </c>
      <c r="F652" s="595"/>
      <c r="G652" s="1009">
        <f t="shared" si="96"/>
        <v>9.14</v>
      </c>
      <c r="H652" s="1012">
        <f t="shared" si="97"/>
        <v>190724.38</v>
      </c>
      <c r="I652" s="1011">
        <f t="shared" si="93"/>
        <v>5.4854367869974068</v>
      </c>
      <c r="J652" s="1009">
        <f t="shared" si="94"/>
        <v>20868</v>
      </c>
      <c r="K652" s="1009">
        <f t="shared" si="95"/>
        <v>6.6936542668748702</v>
      </c>
      <c r="L652" s="595"/>
      <c r="M652" s="595"/>
      <c r="N652" s="595"/>
      <c r="O652" s="595"/>
      <c r="P652" s="595"/>
      <c r="Q652" s="595"/>
    </row>
    <row r="653" spans="1:17" s="1025" customFormat="1" ht="12">
      <c r="A653" s="1019" t="s">
        <v>1500</v>
      </c>
      <c r="B653" s="979" t="s">
        <v>420</v>
      </c>
      <c r="C653" s="979" t="s">
        <v>345</v>
      </c>
      <c r="D653" s="979" t="s">
        <v>1108</v>
      </c>
      <c r="E653" s="980">
        <v>7704</v>
      </c>
      <c r="F653" s="595"/>
      <c r="G653" s="1009">
        <f t="shared" si="96"/>
        <v>14.25</v>
      </c>
      <c r="H653" s="1012">
        <f t="shared" si="97"/>
        <v>109782</v>
      </c>
      <c r="I653" s="1011">
        <f t="shared" si="93"/>
        <v>3.1574475237520723</v>
      </c>
      <c r="J653" s="1009">
        <f t="shared" si="94"/>
        <v>7704</v>
      </c>
      <c r="K653" s="1009">
        <f t="shared" si="95"/>
        <v>4.2933333332797412</v>
      </c>
      <c r="L653" s="1009"/>
      <c r="M653" s="595"/>
      <c r="N653" s="595"/>
      <c r="O653" s="595"/>
      <c r="P653" s="595"/>
      <c r="Q653" s="595"/>
    </row>
    <row r="654" spans="1:17" s="1025" customFormat="1" ht="12">
      <c r="A654" s="1019" t="s">
        <v>1500</v>
      </c>
      <c r="B654" s="979" t="s">
        <v>420</v>
      </c>
      <c r="C654" s="979" t="s">
        <v>377</v>
      </c>
      <c r="D654" s="979" t="s">
        <v>1109</v>
      </c>
      <c r="E654" s="980">
        <v>2778</v>
      </c>
      <c r="F654" s="595"/>
      <c r="G654" s="1009">
        <f t="shared" si="96"/>
        <v>22.84</v>
      </c>
      <c r="H654" s="1012">
        <f t="shared" si="97"/>
        <v>63449.52</v>
      </c>
      <c r="I654" s="1011">
        <f t="shared" si="93"/>
        <v>1.8248759341901</v>
      </c>
      <c r="J654" s="1009">
        <f t="shared" si="94"/>
        <v>2778</v>
      </c>
      <c r="K654" s="1009">
        <f t="shared" si="95"/>
        <v>2.6786339754481752</v>
      </c>
      <c r="L654" s="595"/>
      <c r="M654" s="595"/>
      <c r="N654" s="595"/>
      <c r="O654" s="595"/>
      <c r="P654" s="595"/>
      <c r="Q654" s="595"/>
    </row>
    <row r="655" spans="1:17" s="1025" customFormat="1" ht="12">
      <c r="A655" s="1019" t="s">
        <v>1500</v>
      </c>
      <c r="B655" s="979" t="s">
        <v>420</v>
      </c>
      <c r="C655" s="979" t="s">
        <v>363</v>
      </c>
      <c r="D655" s="979" t="s">
        <v>1110</v>
      </c>
      <c r="E655" s="980">
        <v>989</v>
      </c>
      <c r="F655" s="595"/>
      <c r="G655" s="1009">
        <f t="shared" si="96"/>
        <v>9.620000000000001</v>
      </c>
      <c r="H655" s="1012">
        <f t="shared" si="97"/>
        <v>9514.18</v>
      </c>
      <c r="I655" s="1011">
        <f t="shared" si="93"/>
        <v>0.27363797418093577</v>
      </c>
      <c r="J655" s="1009">
        <f t="shared" si="94"/>
        <v>989</v>
      </c>
      <c r="K655" s="1009">
        <f t="shared" si="95"/>
        <v>6.3596673595879736</v>
      </c>
      <c r="L655" s="595"/>
      <c r="M655" s="595"/>
      <c r="N655" s="595"/>
      <c r="O655" s="595"/>
      <c r="P655" s="595"/>
      <c r="Q655" s="595"/>
    </row>
    <row r="656" spans="1:17" s="1025" customFormat="1" ht="12">
      <c r="A656" s="1019" t="s">
        <v>1500</v>
      </c>
      <c r="B656" s="979" t="s">
        <v>420</v>
      </c>
      <c r="C656" s="979" t="s">
        <v>373</v>
      </c>
      <c r="D656" s="979" t="s">
        <v>1111</v>
      </c>
      <c r="E656" s="980">
        <v>1467</v>
      </c>
      <c r="F656" s="595"/>
      <c r="G656" s="1009">
        <f t="shared" si="96"/>
        <v>10.770000000000001</v>
      </c>
      <c r="H656" s="1012">
        <f t="shared" si="97"/>
        <v>15799.590000000002</v>
      </c>
      <c r="I656" s="1011">
        <f t="shared" si="93"/>
        <v>0.45441307611264148</v>
      </c>
      <c r="J656" s="1009">
        <f t="shared" si="94"/>
        <v>1467</v>
      </c>
      <c r="K656" s="1009">
        <f t="shared" si="95"/>
        <v>5.6805942431974286</v>
      </c>
      <c r="L656" s="1009"/>
      <c r="M656" s="595"/>
      <c r="N656" s="595"/>
      <c r="O656" s="595"/>
      <c r="P656" s="595"/>
      <c r="Q656" s="595"/>
    </row>
    <row r="657" spans="1:17" s="1025" customFormat="1" ht="12">
      <c r="A657" s="1019" t="s">
        <v>1500</v>
      </c>
      <c r="B657" s="979" t="s">
        <v>420</v>
      </c>
      <c r="C657" s="979" t="s">
        <v>396</v>
      </c>
      <c r="D657" s="979" t="s">
        <v>1112</v>
      </c>
      <c r="E657" s="980">
        <v>4042</v>
      </c>
      <c r="F657" s="595"/>
      <c r="G657" s="1009">
        <f t="shared" si="96"/>
        <v>11.16</v>
      </c>
      <c r="H657" s="1012">
        <f t="shared" si="97"/>
        <v>45108.72</v>
      </c>
      <c r="I657" s="1011">
        <f t="shared" si="93"/>
        <v>1.2973749454703465</v>
      </c>
      <c r="J657" s="1009">
        <f t="shared" si="94"/>
        <v>4042</v>
      </c>
      <c r="K657" s="1009">
        <f t="shared" si="95"/>
        <v>5.4820788529781641</v>
      </c>
      <c r="L657" s="595"/>
      <c r="M657" s="595"/>
      <c r="N657" s="595"/>
      <c r="O657" s="595"/>
      <c r="P657" s="595"/>
      <c r="Q657" s="595"/>
    </row>
    <row r="658" spans="1:17" s="1025" customFormat="1" ht="12">
      <c r="A658" s="1019" t="s">
        <v>1500</v>
      </c>
      <c r="B658" s="979" t="s">
        <v>420</v>
      </c>
      <c r="C658" s="979" t="s">
        <v>351</v>
      </c>
      <c r="D658" s="979" t="s">
        <v>1113</v>
      </c>
      <c r="E658" s="980">
        <v>291</v>
      </c>
      <c r="F658" s="595"/>
      <c r="G658" s="1009">
        <f t="shared" si="96"/>
        <v>33.100000000000009</v>
      </c>
      <c r="H658" s="1012">
        <f t="shared" si="97"/>
        <v>9632.1000000000022</v>
      </c>
      <c r="I658" s="1011">
        <f t="shared" si="93"/>
        <v>0.27702947927285293</v>
      </c>
      <c r="J658" s="1009">
        <f t="shared" si="94"/>
        <v>291</v>
      </c>
      <c r="K658" s="1009">
        <f t="shared" si="95"/>
        <v>1.8483383685569879</v>
      </c>
      <c r="L658" s="595"/>
      <c r="M658" s="595"/>
      <c r="N658" s="595"/>
      <c r="O658" s="595"/>
      <c r="P658" s="595"/>
      <c r="Q658" s="595"/>
    </row>
    <row r="659" spans="1:17" s="1025" customFormat="1" ht="12">
      <c r="A659" s="1019" t="s">
        <v>1500</v>
      </c>
      <c r="B659" s="979" t="s">
        <v>420</v>
      </c>
      <c r="C659" s="979" t="s">
        <v>314</v>
      </c>
      <c r="D659" s="979" t="s">
        <v>1114</v>
      </c>
      <c r="E659" s="980">
        <v>61</v>
      </c>
      <c r="F659" s="595"/>
      <c r="G659" s="1009">
        <f t="shared" si="96"/>
        <v>55.250000000000007</v>
      </c>
      <c r="H659" s="1012">
        <f t="shared" si="97"/>
        <v>3370.2500000000005</v>
      </c>
      <c r="I659" s="1011">
        <f t="shared" si="93"/>
        <v>9.6931988093908128E-2</v>
      </c>
      <c r="J659" s="1009">
        <f t="shared" si="94"/>
        <v>61</v>
      </c>
      <c r="K659" s="1009">
        <f t="shared" si="95"/>
        <v>1.1073303167282589</v>
      </c>
      <c r="L659" s="595"/>
      <c r="M659" s="595"/>
      <c r="N659" s="595"/>
      <c r="O659" s="595"/>
      <c r="P659" s="595"/>
      <c r="Q659" s="595"/>
    </row>
    <row r="660" spans="1:17" s="1025" customFormat="1" ht="12">
      <c r="A660" s="1019" t="s">
        <v>1500</v>
      </c>
      <c r="B660" s="979" t="s">
        <v>420</v>
      </c>
      <c r="C660" s="979" t="s">
        <v>355</v>
      </c>
      <c r="D660" s="979" t="s">
        <v>1115</v>
      </c>
      <c r="E660" s="980">
        <v>3637</v>
      </c>
      <c r="F660" s="595"/>
      <c r="G660" s="1009">
        <f t="shared" si="96"/>
        <v>10.49</v>
      </c>
      <c r="H660" s="1012">
        <f t="shared" si="97"/>
        <v>38152.129999999997</v>
      </c>
      <c r="I660" s="1011">
        <f t="shared" si="93"/>
        <v>1.0972959901838839</v>
      </c>
      <c r="J660" s="1009">
        <f t="shared" si="94"/>
        <v>3637</v>
      </c>
      <c r="K660" s="1009">
        <f t="shared" si="95"/>
        <v>5.8322211629395913</v>
      </c>
      <c r="L660" s="595"/>
      <c r="M660" s="595"/>
      <c r="N660" s="595"/>
      <c r="O660" s="595"/>
      <c r="P660" s="595"/>
      <c r="Q660" s="595"/>
    </row>
    <row r="661" spans="1:17" s="1025" customFormat="1" ht="12">
      <c r="A661" s="1019" t="s">
        <v>1500</v>
      </c>
      <c r="B661" s="979" t="s">
        <v>420</v>
      </c>
      <c r="C661" s="979" t="s">
        <v>364</v>
      </c>
      <c r="D661" s="979" t="s">
        <v>1116</v>
      </c>
      <c r="E661" s="980">
        <v>8732</v>
      </c>
      <c r="F661" s="595"/>
      <c r="G661" s="1009">
        <f t="shared" si="96"/>
        <v>11.600000000000001</v>
      </c>
      <c r="H661" s="1012">
        <f t="shared" si="97"/>
        <v>101291.20000000001</v>
      </c>
      <c r="I661" s="1011">
        <f t="shared" si="93"/>
        <v>2.913243050936182</v>
      </c>
      <c r="J661" s="1009">
        <f t="shared" si="94"/>
        <v>8732</v>
      </c>
      <c r="K661" s="1009">
        <f t="shared" si="95"/>
        <v>5.2741379309686476</v>
      </c>
      <c r="L661" s="595"/>
      <c r="M661" s="595"/>
      <c r="N661" s="595"/>
      <c r="O661" s="595"/>
      <c r="P661" s="595"/>
      <c r="Q661" s="595"/>
    </row>
    <row r="662" spans="1:17" s="1025" customFormat="1" ht="12">
      <c r="A662" s="1019" t="s">
        <v>1500</v>
      </c>
      <c r="B662" s="979" t="s">
        <v>420</v>
      </c>
      <c r="C662" s="979" t="s">
        <v>387</v>
      </c>
      <c r="D662" s="979" t="s">
        <v>1117</v>
      </c>
      <c r="E662" s="980">
        <v>3369</v>
      </c>
      <c r="F662" s="595"/>
      <c r="G662" s="1009">
        <f t="shared" si="96"/>
        <v>12.3</v>
      </c>
      <c r="H662" s="1012">
        <f t="shared" si="97"/>
        <v>41438.700000000004</v>
      </c>
      <c r="I662" s="1011">
        <f t="shared" si="93"/>
        <v>1.1918212521406515</v>
      </c>
      <c r="J662" s="1009">
        <f t="shared" si="94"/>
        <v>3369</v>
      </c>
      <c r="K662" s="1009">
        <f t="shared" si="95"/>
        <v>4.9739837397753099</v>
      </c>
      <c r="L662" s="595"/>
      <c r="M662" s="595"/>
      <c r="N662" s="595"/>
      <c r="O662" s="595"/>
      <c r="P662" s="595"/>
      <c r="Q662" s="595"/>
    </row>
    <row r="663" spans="1:17" s="1025" customFormat="1" ht="12">
      <c r="A663" s="1019" t="s">
        <v>1500</v>
      </c>
      <c r="B663" s="979" t="s">
        <v>420</v>
      </c>
      <c r="C663" s="979" t="s">
        <v>344</v>
      </c>
      <c r="D663" s="979" t="s">
        <v>1118</v>
      </c>
      <c r="E663" s="980">
        <v>5180</v>
      </c>
      <c r="F663" s="595"/>
      <c r="G663" s="1009">
        <f t="shared" si="96"/>
        <v>17.41</v>
      </c>
      <c r="H663" s="1012">
        <f t="shared" si="97"/>
        <v>90183.8</v>
      </c>
      <c r="I663" s="1011">
        <f t="shared" si="93"/>
        <v>2.5937823686264787</v>
      </c>
      <c r="J663" s="1009">
        <f t="shared" si="94"/>
        <v>5180</v>
      </c>
      <c r="K663" s="1009">
        <f t="shared" si="95"/>
        <v>3.5140723721560203</v>
      </c>
      <c r="L663" s="595"/>
      <c r="M663" s="595"/>
      <c r="N663" s="595"/>
      <c r="O663" s="595"/>
      <c r="P663" s="595"/>
      <c r="Q663" s="595"/>
    </row>
    <row r="664" spans="1:17" s="1025" customFormat="1" ht="12">
      <c r="A664" s="1019" t="s">
        <v>1500</v>
      </c>
      <c r="B664" s="979" t="s">
        <v>420</v>
      </c>
      <c r="C664" s="979" t="s">
        <v>376</v>
      </c>
      <c r="D664" s="979" t="s">
        <v>1119</v>
      </c>
      <c r="E664" s="980">
        <v>505</v>
      </c>
      <c r="F664" s="595"/>
      <c r="G664" s="1009">
        <f t="shared" si="96"/>
        <v>24.46</v>
      </c>
      <c r="H664" s="1012">
        <f t="shared" si="97"/>
        <v>12352.300000000001</v>
      </c>
      <c r="I664" s="1011">
        <f t="shared" si="93"/>
        <v>0.35526533537048627</v>
      </c>
      <c r="J664" s="1009">
        <f t="shared" si="94"/>
        <v>505</v>
      </c>
      <c r="K664" s="1009">
        <f t="shared" si="95"/>
        <v>2.5012264922009941</v>
      </c>
      <c r="L664" s="595"/>
      <c r="M664" s="595"/>
      <c r="N664" s="595"/>
      <c r="O664" s="595"/>
      <c r="P664" s="595"/>
      <c r="Q664" s="595"/>
    </row>
    <row r="665" spans="1:17" s="1025" customFormat="1" ht="12">
      <c r="A665" s="1019" t="s">
        <v>1500</v>
      </c>
      <c r="B665" s="979" t="s">
        <v>420</v>
      </c>
      <c r="C665" s="979" t="s">
        <v>374</v>
      </c>
      <c r="D665" s="979" t="s">
        <v>1120</v>
      </c>
      <c r="E665" s="980">
        <v>4527</v>
      </c>
      <c r="F665" s="595"/>
      <c r="G665" s="1009">
        <f t="shared" si="96"/>
        <v>16.79</v>
      </c>
      <c r="H665" s="1012">
        <f t="shared" si="97"/>
        <v>76008.33</v>
      </c>
      <c r="I665" s="1011">
        <f t="shared" si="93"/>
        <v>2.1860807176315822</v>
      </c>
      <c r="J665" s="1009">
        <f t="shared" si="94"/>
        <v>4527</v>
      </c>
      <c r="K665" s="1009">
        <f t="shared" si="95"/>
        <v>3.643835616392872</v>
      </c>
      <c r="L665" s="595"/>
      <c r="M665" s="595"/>
      <c r="N665" s="595"/>
      <c r="O665" s="595"/>
      <c r="P665" s="595"/>
      <c r="Q665" s="595"/>
    </row>
    <row r="666" spans="1:17" s="1025" customFormat="1" ht="12">
      <c r="A666" s="1019" t="s">
        <v>1500</v>
      </c>
      <c r="B666" s="979" t="s">
        <v>420</v>
      </c>
      <c r="C666" s="979" t="s">
        <v>398</v>
      </c>
      <c r="D666" s="979" t="s">
        <v>1121</v>
      </c>
      <c r="E666" s="980">
        <v>1044</v>
      </c>
      <c r="F666" s="595"/>
      <c r="G666" s="1009">
        <f t="shared" ref="G666:G681" si="98">SUMIF(_Lights_Tariff_Category,20140101&amp;$C666,_Lights_Rates)</f>
        <v>20.97</v>
      </c>
      <c r="H666" s="1012">
        <f t="shared" ref="H666:H681" si="99">E666*G666</f>
        <v>21892.68</v>
      </c>
      <c r="I666" s="1011">
        <f t="shared" si="93"/>
        <v>0.62965684952265866</v>
      </c>
      <c r="J666" s="1009">
        <f t="shared" si="94"/>
        <v>1044</v>
      </c>
      <c r="K666" s="1009">
        <f t="shared" si="95"/>
        <v>2.9175011921428862</v>
      </c>
      <c r="L666" s="595"/>
      <c r="M666" s="595"/>
      <c r="N666" s="595"/>
      <c r="O666" s="595"/>
      <c r="P666" s="595"/>
      <c r="Q666" s="595"/>
    </row>
    <row r="667" spans="1:17" s="1025" customFormat="1" ht="12">
      <c r="A667" s="1019" t="s">
        <v>1500</v>
      </c>
      <c r="B667" s="979" t="s">
        <v>420</v>
      </c>
      <c r="C667" s="979" t="s">
        <v>348</v>
      </c>
      <c r="D667" s="979" t="s">
        <v>1122</v>
      </c>
      <c r="E667" s="980">
        <v>1398</v>
      </c>
      <c r="F667" s="595"/>
      <c r="G667" s="1009">
        <f t="shared" si="98"/>
        <v>26.86</v>
      </c>
      <c r="H667" s="1012">
        <f t="shared" si="99"/>
        <v>37550.28</v>
      </c>
      <c r="I667" s="1011">
        <f t="shared" si="93"/>
        <v>1.0799861416461438</v>
      </c>
      <c r="J667" s="1009">
        <f t="shared" si="94"/>
        <v>1398</v>
      </c>
      <c r="K667" s="1009">
        <f t="shared" si="95"/>
        <v>2.2777364109916722</v>
      </c>
      <c r="L667" s="595"/>
      <c r="M667" s="595"/>
      <c r="N667" s="595"/>
      <c r="O667" s="595"/>
      <c r="P667" s="595"/>
      <c r="Q667" s="595"/>
    </row>
    <row r="668" spans="1:17" s="1025" customFormat="1" ht="12">
      <c r="A668" s="1019" t="s">
        <v>1500</v>
      </c>
      <c r="B668" s="979" t="s">
        <v>420</v>
      </c>
      <c r="C668" s="979" t="s">
        <v>380</v>
      </c>
      <c r="D668" s="979" t="s">
        <v>1123</v>
      </c>
      <c r="E668" s="980">
        <v>941</v>
      </c>
      <c r="F668" s="595"/>
      <c r="G668" s="1009">
        <f t="shared" si="98"/>
        <v>33.119999999999997</v>
      </c>
      <c r="H668" s="1012">
        <f t="shared" si="99"/>
        <v>31165.919999999998</v>
      </c>
      <c r="I668" s="1011">
        <f t="shared" si="93"/>
        <v>0.89636513207497737</v>
      </c>
      <c r="J668" s="1009">
        <f t="shared" si="94"/>
        <v>941</v>
      </c>
      <c r="K668" s="1009">
        <f t="shared" si="95"/>
        <v>1.8472222221991643</v>
      </c>
      <c r="L668" s="595"/>
      <c r="M668" s="595"/>
      <c r="N668" s="595"/>
      <c r="O668" s="595"/>
      <c r="P668" s="595"/>
      <c r="Q668" s="595"/>
    </row>
    <row r="669" spans="1:17" s="1025" customFormat="1" ht="12">
      <c r="A669" s="1019" t="s">
        <v>1500</v>
      </c>
      <c r="B669" s="979" t="s">
        <v>420</v>
      </c>
      <c r="C669" s="979" t="s">
        <v>399</v>
      </c>
      <c r="D669" s="979" t="s">
        <v>1124</v>
      </c>
      <c r="E669" s="980">
        <v>11076</v>
      </c>
      <c r="F669" s="595"/>
      <c r="G669" s="1009">
        <f t="shared" si="98"/>
        <v>9</v>
      </c>
      <c r="H669" s="1012">
        <f t="shared" si="99"/>
        <v>99684</v>
      </c>
      <c r="I669" s="1011">
        <f t="shared" ref="I669:I681" si="100">H669/$L$606*$L$607</f>
        <v>2.8670182630823047</v>
      </c>
      <c r="J669" s="1009">
        <f t="shared" ref="J669:J681" si="101">ROUND((H669+I669)/G669,0)</f>
        <v>11076</v>
      </c>
      <c r="K669" s="1009">
        <f t="shared" ref="K669:K681" si="102">$L$607/G669</f>
        <v>6.7977777776929242</v>
      </c>
      <c r="L669" s="595"/>
      <c r="M669" s="595"/>
      <c r="N669" s="595"/>
      <c r="O669" s="595"/>
      <c r="P669" s="595"/>
      <c r="Q669" s="595"/>
    </row>
    <row r="670" spans="1:17" s="1025" customFormat="1" ht="12">
      <c r="A670" s="1019" t="s">
        <v>1500</v>
      </c>
      <c r="B670" s="979" t="s">
        <v>420</v>
      </c>
      <c r="C670" s="979" t="s">
        <v>349</v>
      </c>
      <c r="D670" s="979" t="s">
        <v>1125</v>
      </c>
      <c r="E670" s="980">
        <v>6615</v>
      </c>
      <c r="F670" s="595"/>
      <c r="G670" s="1009">
        <f t="shared" si="98"/>
        <v>13.639999999999999</v>
      </c>
      <c r="H670" s="1012">
        <f t="shared" si="99"/>
        <v>90228.599999999991</v>
      </c>
      <c r="I670" s="1011">
        <f t="shared" si="100"/>
        <v>2.5950708644551579</v>
      </c>
      <c r="J670" s="1009">
        <f t="shared" si="101"/>
        <v>6615</v>
      </c>
      <c r="K670" s="1009">
        <f t="shared" si="102"/>
        <v>4.4853372433457714</v>
      </c>
      <c r="L670" s="595"/>
      <c r="M670" s="595"/>
      <c r="N670" s="595"/>
      <c r="O670" s="595"/>
      <c r="P670" s="595"/>
      <c r="Q670" s="595"/>
    </row>
    <row r="671" spans="1:17" s="1025" customFormat="1" ht="12">
      <c r="A671" s="1019" t="s">
        <v>1500</v>
      </c>
      <c r="B671" s="979" t="s">
        <v>420</v>
      </c>
      <c r="C671" s="979" t="s">
        <v>381</v>
      </c>
      <c r="D671" s="979" t="s">
        <v>1126</v>
      </c>
      <c r="E671" s="980">
        <v>8323</v>
      </c>
      <c r="F671" s="595"/>
      <c r="G671" s="1009">
        <f t="shared" si="98"/>
        <v>19.46</v>
      </c>
      <c r="H671" s="1012">
        <f t="shared" si="99"/>
        <v>161965.58000000002</v>
      </c>
      <c r="I671" s="1011">
        <f t="shared" si="100"/>
        <v>4.6583029959744602</v>
      </c>
      <c r="J671" s="1009">
        <f t="shared" si="101"/>
        <v>8323</v>
      </c>
      <c r="K671" s="1009">
        <f t="shared" si="102"/>
        <v>3.1438848920470872</v>
      </c>
      <c r="L671" s="595"/>
      <c r="M671" s="595"/>
      <c r="N671" s="595"/>
      <c r="O671" s="595"/>
      <c r="P671" s="595"/>
      <c r="Q671" s="595"/>
    </row>
    <row r="672" spans="1:17" s="1025" customFormat="1" ht="12">
      <c r="A672" s="1019" t="s">
        <v>1500</v>
      </c>
      <c r="B672" s="979" t="s">
        <v>420</v>
      </c>
      <c r="C672" s="979" t="s">
        <v>321</v>
      </c>
      <c r="D672" s="979" t="s">
        <v>1127</v>
      </c>
      <c r="E672" s="980">
        <v>60</v>
      </c>
      <c r="F672" s="595"/>
      <c r="G672" s="1009">
        <f t="shared" si="98"/>
        <v>15.47</v>
      </c>
      <c r="H672" s="1012">
        <f t="shared" si="99"/>
        <v>928.2</v>
      </c>
      <c r="I672" s="1011">
        <f t="shared" si="100"/>
        <v>2.6696022950453382E-2</v>
      </c>
      <c r="J672" s="1009">
        <f t="shared" si="101"/>
        <v>60</v>
      </c>
      <c r="K672" s="1009">
        <f t="shared" si="102"/>
        <v>3.9547511311723538</v>
      </c>
      <c r="L672" s="595"/>
      <c r="M672" s="595"/>
      <c r="N672" s="595"/>
      <c r="O672" s="595"/>
      <c r="P672" s="595"/>
      <c r="Q672" s="595"/>
    </row>
    <row r="673" spans="1:17" s="1025" customFormat="1" ht="12">
      <c r="A673" s="1019" t="s">
        <v>1500</v>
      </c>
      <c r="B673" s="979" t="s">
        <v>420</v>
      </c>
      <c r="C673" s="979" t="s">
        <v>353</v>
      </c>
      <c r="D673" s="979" t="s">
        <v>1128</v>
      </c>
      <c r="E673" s="980">
        <v>301</v>
      </c>
      <c r="F673" s="595"/>
      <c r="G673" s="1009">
        <f t="shared" si="98"/>
        <v>21.930000000000003</v>
      </c>
      <c r="H673" s="1012">
        <f t="shared" si="99"/>
        <v>6600.9300000000012</v>
      </c>
      <c r="I673" s="1011">
        <f t="shared" si="100"/>
        <v>0.18984979398226273</v>
      </c>
      <c r="J673" s="1009">
        <f t="shared" si="101"/>
        <v>301</v>
      </c>
      <c r="K673" s="1009">
        <f t="shared" si="102"/>
        <v>2.7897856816797222</v>
      </c>
      <c r="L673" s="595"/>
      <c r="M673" s="595"/>
      <c r="N673" s="595"/>
      <c r="O673" s="595"/>
      <c r="P673" s="595"/>
      <c r="Q673" s="595"/>
    </row>
    <row r="674" spans="1:17" s="1025" customFormat="1" ht="12">
      <c r="A674" s="1019" t="s">
        <v>1500</v>
      </c>
      <c r="B674" s="979" t="s">
        <v>420</v>
      </c>
      <c r="C674" s="979" t="s">
        <v>678</v>
      </c>
      <c r="D674" s="979" t="s">
        <v>1129</v>
      </c>
      <c r="E674" s="980">
        <v>2</v>
      </c>
      <c r="F674" s="595"/>
      <c r="G674" s="1009">
        <f t="shared" si="98"/>
        <v>15.370000000000001</v>
      </c>
      <c r="H674" s="1012">
        <f t="shared" si="99"/>
        <v>30.740000000000002</v>
      </c>
      <c r="I674" s="1011">
        <f t="shared" si="100"/>
        <v>8.8411521816088886E-4</v>
      </c>
      <c r="J674" s="1009">
        <f t="shared" si="101"/>
        <v>2</v>
      </c>
      <c r="K674" s="1009">
        <f t="shared" si="102"/>
        <v>3.9804814573348284</v>
      </c>
      <c r="L674" s="595"/>
      <c r="M674" s="595"/>
      <c r="N674" s="595"/>
      <c r="O674" s="595"/>
      <c r="P674" s="595"/>
      <c r="Q674" s="595"/>
    </row>
    <row r="675" spans="1:17" s="1025" customFormat="1" ht="12">
      <c r="A675" s="1019" t="s">
        <v>1500</v>
      </c>
      <c r="B675" s="979" t="s">
        <v>420</v>
      </c>
      <c r="C675" s="979" t="s">
        <v>316</v>
      </c>
      <c r="D675" s="979" t="s">
        <v>1130</v>
      </c>
      <c r="E675" s="980">
        <v>43</v>
      </c>
      <c r="F675" s="595"/>
      <c r="G675" s="1009">
        <f t="shared" si="98"/>
        <v>45.7</v>
      </c>
      <c r="H675" s="1012">
        <f t="shared" si="99"/>
        <v>1965.1000000000001</v>
      </c>
      <c r="I675" s="1011">
        <f t="shared" si="100"/>
        <v>5.6518373949510828E-2</v>
      </c>
      <c r="J675" s="1009">
        <f t="shared" si="101"/>
        <v>43</v>
      </c>
      <c r="K675" s="1009">
        <f t="shared" si="102"/>
        <v>1.338730853374974</v>
      </c>
      <c r="L675" s="595"/>
      <c r="M675" s="595"/>
      <c r="N675" s="595"/>
      <c r="O675" s="595"/>
      <c r="P675" s="595"/>
      <c r="Q675" s="595"/>
    </row>
    <row r="676" spans="1:17" s="1025" customFormat="1" ht="12">
      <c r="A676" s="1019" t="s">
        <v>1500</v>
      </c>
      <c r="B676" s="979" t="s">
        <v>420</v>
      </c>
      <c r="C676" s="979" t="s">
        <v>318</v>
      </c>
      <c r="D676" s="979" t="s">
        <v>1131</v>
      </c>
      <c r="E676" s="980">
        <v>181</v>
      </c>
      <c r="F676" s="595"/>
      <c r="G676" s="1009">
        <f t="shared" si="98"/>
        <v>28.37</v>
      </c>
      <c r="H676" s="1012">
        <f t="shared" si="99"/>
        <v>5134.97</v>
      </c>
      <c r="I676" s="1011">
        <f t="shared" si="100"/>
        <v>0.14768721931683865</v>
      </c>
      <c r="J676" s="1009">
        <f t="shared" si="101"/>
        <v>181</v>
      </c>
      <c r="K676" s="1009">
        <f t="shared" si="102"/>
        <v>2.1565033485807654</v>
      </c>
      <c r="L676" s="595"/>
      <c r="M676" s="595"/>
      <c r="N676" s="595"/>
      <c r="O676" s="595"/>
      <c r="P676" s="595"/>
      <c r="Q676" s="595"/>
    </row>
    <row r="677" spans="1:17" s="1025" customFormat="1" ht="12">
      <c r="A677" s="1019" t="s">
        <v>1500</v>
      </c>
      <c r="B677" s="979" t="s">
        <v>420</v>
      </c>
      <c r="C677" s="979" t="s">
        <v>350</v>
      </c>
      <c r="D677" s="979" t="s">
        <v>1132</v>
      </c>
      <c r="E677" s="980">
        <v>644</v>
      </c>
      <c r="F677" s="595"/>
      <c r="G677" s="1009">
        <f t="shared" si="98"/>
        <v>34.830000000000005</v>
      </c>
      <c r="H677" s="1012">
        <f t="shared" si="99"/>
        <v>22430.520000000004</v>
      </c>
      <c r="I677" s="1011">
        <f t="shared" si="100"/>
        <v>0.64512570212303788</v>
      </c>
      <c r="J677" s="1009">
        <f t="shared" si="101"/>
        <v>644</v>
      </c>
      <c r="K677" s="1009">
        <f t="shared" si="102"/>
        <v>1.7565317255020472</v>
      </c>
      <c r="L677" s="595"/>
      <c r="M677" s="595"/>
      <c r="N677" s="595"/>
      <c r="O677" s="595"/>
      <c r="P677" s="595"/>
      <c r="Q677" s="595"/>
    </row>
    <row r="678" spans="1:17" s="1025" customFormat="1" ht="12">
      <c r="A678" s="1019" t="s">
        <v>1500</v>
      </c>
      <c r="B678" s="979" t="s">
        <v>420</v>
      </c>
      <c r="C678" s="979" t="s">
        <v>313</v>
      </c>
      <c r="D678" s="979" t="s">
        <v>1133</v>
      </c>
      <c r="E678" s="980">
        <v>153</v>
      </c>
      <c r="F678" s="595"/>
      <c r="G678" s="1009">
        <f t="shared" si="98"/>
        <v>58.59</v>
      </c>
      <c r="H678" s="1012">
        <f t="shared" si="99"/>
        <v>8964.27</v>
      </c>
      <c r="I678" s="1011">
        <f t="shared" si="100"/>
        <v>0.25782197549457098</v>
      </c>
      <c r="J678" s="1009">
        <f t="shared" si="101"/>
        <v>153</v>
      </c>
      <c r="K678" s="1009">
        <f t="shared" si="102"/>
        <v>1.0442054958053646</v>
      </c>
      <c r="L678" s="595"/>
      <c r="M678" s="595"/>
      <c r="N678" s="595"/>
      <c r="O678" s="595"/>
      <c r="P678" s="595"/>
      <c r="Q678" s="595"/>
    </row>
    <row r="679" spans="1:17" s="1025" customFormat="1" ht="12">
      <c r="A679" s="1019" t="s">
        <v>1500</v>
      </c>
      <c r="B679" s="979" t="s">
        <v>420</v>
      </c>
      <c r="C679" s="979" t="s">
        <v>650</v>
      </c>
      <c r="D679" s="979" t="s">
        <v>1151</v>
      </c>
      <c r="E679" s="980">
        <v>10</v>
      </c>
      <c r="F679" s="595"/>
      <c r="G679" s="1009">
        <f t="shared" si="98"/>
        <v>15.35</v>
      </c>
      <c r="H679" s="1012">
        <f t="shared" si="99"/>
        <v>153.5</v>
      </c>
      <c r="I679" s="1011">
        <f t="shared" si="100"/>
        <v>4.414823877283554E-3</v>
      </c>
      <c r="J679" s="1009">
        <f t="shared" si="101"/>
        <v>10</v>
      </c>
      <c r="K679" s="1009">
        <f t="shared" si="102"/>
        <v>3.9856677523932453</v>
      </c>
      <c r="L679" s="1009"/>
      <c r="M679" s="595"/>
      <c r="N679" s="595"/>
      <c r="O679" s="595"/>
      <c r="P679" s="595"/>
      <c r="Q679" s="595"/>
    </row>
    <row r="680" spans="1:17" s="1025" customFormat="1" ht="12">
      <c r="A680" s="1019" t="s">
        <v>1500</v>
      </c>
      <c r="B680" s="979" t="s">
        <v>420</v>
      </c>
      <c r="C680" s="979" t="s">
        <v>447</v>
      </c>
      <c r="D680" s="979" t="s">
        <v>1134</v>
      </c>
      <c r="E680" s="980">
        <v>26</v>
      </c>
      <c r="F680" s="595"/>
      <c r="G680" s="1009">
        <f t="shared" si="98"/>
        <v>17.72</v>
      </c>
      <c r="H680" s="1012">
        <f t="shared" si="99"/>
        <v>460.71999999999997</v>
      </c>
      <c r="I680" s="1011">
        <f t="shared" si="100"/>
        <v>1.3250799066723639E-2</v>
      </c>
      <c r="J680" s="1009">
        <f t="shared" si="101"/>
        <v>26</v>
      </c>
      <c r="K680" s="1009">
        <f t="shared" si="102"/>
        <v>3.4525959367514854</v>
      </c>
      <c r="L680" s="595"/>
      <c r="M680" s="595"/>
      <c r="N680" s="595"/>
      <c r="O680" s="595"/>
      <c r="P680" s="595"/>
      <c r="Q680" s="595"/>
    </row>
    <row r="681" spans="1:17" s="1025" customFormat="1" ht="12">
      <c r="A681" s="1019" t="s">
        <v>1500</v>
      </c>
      <c r="B681" s="979" t="s">
        <v>420</v>
      </c>
      <c r="C681" s="979" t="s">
        <v>624</v>
      </c>
      <c r="D681" s="979" t="s">
        <v>1135</v>
      </c>
      <c r="E681" s="980">
        <v>25</v>
      </c>
      <c r="F681" s="595"/>
      <c r="G681" s="1009">
        <f t="shared" si="98"/>
        <v>21.490000000000002</v>
      </c>
      <c r="H681" s="1012">
        <f t="shared" si="99"/>
        <v>537.25</v>
      </c>
      <c r="I681" s="1011">
        <f t="shared" si="100"/>
        <v>1.5451883570492438E-2</v>
      </c>
      <c r="J681" s="1009">
        <f t="shared" si="101"/>
        <v>25</v>
      </c>
      <c r="K681" s="1009">
        <f t="shared" si="102"/>
        <v>2.8469055374237464</v>
      </c>
      <c r="L681" s="595"/>
      <c r="M681" s="595"/>
      <c r="N681" s="595"/>
      <c r="O681" s="595"/>
      <c r="P681" s="595"/>
      <c r="Q681" s="595"/>
    </row>
    <row r="682" spans="1:17" s="1025" customFormat="1" ht="12">
      <c r="A682" s="1019" t="s">
        <v>1500</v>
      </c>
      <c r="B682" s="979" t="s">
        <v>420</v>
      </c>
      <c r="C682" s="1021" t="s">
        <v>8</v>
      </c>
      <c r="D682" s="1021"/>
      <c r="E682" s="980"/>
      <c r="F682" s="595"/>
      <c r="G682" s="1035"/>
      <c r="H682" s="1033">
        <f>SUM(H602:H681)</f>
        <v>2127181.1200000006</v>
      </c>
      <c r="I682" s="1011"/>
      <c r="J682" s="1034"/>
      <c r="K682" s="1009"/>
      <c r="L682" s="595"/>
      <c r="M682" s="595"/>
      <c r="N682" s="595"/>
      <c r="O682" s="595"/>
      <c r="P682" s="595"/>
      <c r="Q682" s="595"/>
    </row>
    <row r="683" spans="1:17" s="1025" customFormat="1" ht="12">
      <c r="A683" s="1019"/>
      <c r="B683" s="979"/>
      <c r="C683" s="979"/>
      <c r="D683" s="979"/>
      <c r="E683" s="980"/>
      <c r="F683" s="595"/>
      <c r="G683" s="1035"/>
      <c r="H683" s="1012"/>
      <c r="I683" s="1011"/>
      <c r="J683" s="1034"/>
      <c r="K683" s="1009"/>
      <c r="L683" s="595"/>
      <c r="M683" s="595"/>
      <c r="N683" s="595"/>
      <c r="O683" s="595"/>
      <c r="P683" s="595"/>
      <c r="Q683" s="595"/>
    </row>
    <row r="684" spans="1:17" s="1025" customFormat="1" ht="12">
      <c r="A684" s="1019"/>
      <c r="B684" s="979"/>
      <c r="C684" s="979"/>
      <c r="D684" s="979"/>
      <c r="E684" s="980"/>
      <c r="F684" s="595"/>
      <c r="G684" s="1035"/>
      <c r="H684" s="1012"/>
      <c r="I684" s="1011"/>
      <c r="J684" s="1017"/>
      <c r="K684" s="1009"/>
      <c r="L684" s="595"/>
      <c r="M684" s="595"/>
      <c r="N684" s="595"/>
      <c r="O684" s="595"/>
      <c r="P684" s="595"/>
      <c r="Q684" s="1017"/>
    </row>
    <row r="685" spans="1:17" s="1025" customFormat="1" ht="12">
      <c r="A685" s="1019" t="s">
        <v>1501</v>
      </c>
      <c r="B685" s="979" t="s">
        <v>420</v>
      </c>
      <c r="C685" s="979" t="s">
        <v>323</v>
      </c>
      <c r="D685" s="979" t="s">
        <v>1056</v>
      </c>
      <c r="E685" s="1022">
        <v>172</v>
      </c>
      <c r="F685" s="595"/>
      <c r="G685" s="1009">
        <f t="shared" ref="G685:G716" si="103">SUMIF(_Lights_Tariff_Category,20140101&amp;$C685,_Lights_Rates)</f>
        <v>55.33</v>
      </c>
      <c r="H685" s="1012">
        <f t="shared" ref="H685:H716" si="104">E685*G685</f>
        <v>9516.76</v>
      </c>
      <c r="I685" s="1011">
        <f>H685/$L$689*$L$690</f>
        <v>0.17750026824159243</v>
      </c>
      <c r="J685" s="1009">
        <f>ROUND((H685+I685)/G685,0)</f>
        <v>172</v>
      </c>
      <c r="K685" s="1009">
        <f>$L$690/G685</f>
        <v>0.68353515271701359</v>
      </c>
      <c r="L685" s="1020">
        <f>'12MonLights'!$O$793</f>
        <v>2038334</v>
      </c>
      <c r="M685" s="595" t="s">
        <v>1529</v>
      </c>
      <c r="N685" s="595"/>
      <c r="O685" s="595"/>
      <c r="P685" s="595"/>
      <c r="Q685" s="1010" t="s">
        <v>1542</v>
      </c>
    </row>
    <row r="686" spans="1:17" s="1025" customFormat="1" ht="12">
      <c r="A686" s="1019" t="s">
        <v>1501</v>
      </c>
      <c r="B686" s="979" t="s">
        <v>420</v>
      </c>
      <c r="C686" s="979" t="s">
        <v>328</v>
      </c>
      <c r="D686" s="979" t="s">
        <v>1057</v>
      </c>
      <c r="E686" s="1022">
        <v>26</v>
      </c>
      <c r="F686" s="595"/>
      <c r="G686" s="1009">
        <f t="shared" si="103"/>
        <v>83.16</v>
      </c>
      <c r="H686" s="1012">
        <f t="shared" si="104"/>
        <v>2162.16</v>
      </c>
      <c r="I686" s="1011">
        <f t="shared" ref="I686:I749" si="105">H686/$L$689*$L$690</f>
        <v>4.0327168067834165E-2</v>
      </c>
      <c r="J686" s="1009">
        <f>ROUND((H686+I686)/G686,0)</f>
        <v>26</v>
      </c>
      <c r="K686" s="1009">
        <f t="shared" ref="K686:K749" si="106">$L$690/G686</f>
        <v>0.45478595478393896</v>
      </c>
      <c r="L686" s="1011">
        <f>'12MonResults'!$AE$335</f>
        <v>811.6</v>
      </c>
      <c r="M686" s="595" t="s">
        <v>1531</v>
      </c>
      <c r="N686" s="595"/>
      <c r="O686" s="595"/>
      <c r="P686" s="595"/>
      <c r="Q686" s="595"/>
    </row>
    <row r="687" spans="1:17" s="1025" customFormat="1" ht="14.25">
      <c r="A687" s="1019" t="s">
        <v>1501</v>
      </c>
      <c r="B687" s="979" t="s">
        <v>420</v>
      </c>
      <c r="C687" s="979" t="s">
        <v>331</v>
      </c>
      <c r="D687" s="979" t="s">
        <v>1058</v>
      </c>
      <c r="E687" s="1022">
        <v>40</v>
      </c>
      <c r="F687" s="595"/>
      <c r="G687" s="1009">
        <f t="shared" si="103"/>
        <v>59.78</v>
      </c>
      <c r="H687" s="1012">
        <f t="shared" si="104"/>
        <v>2391.1999999999998</v>
      </c>
      <c r="I687" s="1011">
        <f t="shared" si="105"/>
        <v>4.4599069580329422E-2</v>
      </c>
      <c r="J687" s="1009">
        <f>ROUND((H687+I687)/G687,0)</f>
        <v>40</v>
      </c>
      <c r="K687" s="1009">
        <f t="shared" si="106"/>
        <v>0.63265306122168552</v>
      </c>
      <c r="L687" s="1013">
        <f>'12MonResults'!$AE$337</f>
        <v>9747.57</v>
      </c>
      <c r="M687" s="1014" t="s">
        <v>1532</v>
      </c>
      <c r="N687" s="595"/>
      <c r="O687" s="595"/>
      <c r="P687" s="595"/>
      <c r="Q687" s="595"/>
    </row>
    <row r="688" spans="1:17" s="1025" customFormat="1" ht="12">
      <c r="A688" s="1019" t="s">
        <v>1501</v>
      </c>
      <c r="B688" s="979" t="s">
        <v>420</v>
      </c>
      <c r="C688" s="979" t="s">
        <v>332</v>
      </c>
      <c r="D688" s="979" t="s">
        <v>1059</v>
      </c>
      <c r="E688" s="1022">
        <v>5</v>
      </c>
      <c r="F688" s="595"/>
      <c r="G688" s="1009">
        <f t="shared" si="103"/>
        <v>61.75</v>
      </c>
      <c r="H688" s="1012">
        <f t="shared" si="104"/>
        <v>308.75</v>
      </c>
      <c r="I688" s="1011">
        <f t="shared" si="105"/>
        <v>5.7585993362858435E-3</v>
      </c>
      <c r="J688" s="1009">
        <f t="shared" ref="J688:J751" si="107">ROUND((H688+I688)/G688,0)</f>
        <v>5</v>
      </c>
      <c r="K688" s="1009">
        <f t="shared" si="106"/>
        <v>0.6124696356248156</v>
      </c>
      <c r="L688" s="1011">
        <f>L685-L686-L687</f>
        <v>2027774.8299999998</v>
      </c>
      <c r="M688" s="595" t="s">
        <v>1533</v>
      </c>
      <c r="N688" s="595"/>
      <c r="O688" s="595"/>
      <c r="P688" s="595"/>
      <c r="Q688" s="595"/>
    </row>
    <row r="689" spans="1:17" s="1025" customFormat="1" ht="12">
      <c r="A689" s="1019" t="s">
        <v>1501</v>
      </c>
      <c r="B689" s="979" t="s">
        <v>420</v>
      </c>
      <c r="C689" s="979" t="s">
        <v>333</v>
      </c>
      <c r="D689" s="979" t="s">
        <v>1060</v>
      </c>
      <c r="E689" s="1022">
        <v>1</v>
      </c>
      <c r="F689" s="595"/>
      <c r="G689" s="1009">
        <f t="shared" si="103"/>
        <v>63.11</v>
      </c>
      <c r="H689" s="1012">
        <f t="shared" si="104"/>
        <v>63.11</v>
      </c>
      <c r="I689" s="1011">
        <f t="shared" si="105"/>
        <v>1.1770856813376506E-3</v>
      </c>
      <c r="J689" s="1009">
        <f t="shared" si="107"/>
        <v>1</v>
      </c>
      <c r="K689" s="1009">
        <f t="shared" si="106"/>
        <v>0.59927111392540588</v>
      </c>
      <c r="L689" s="1012">
        <f>$H$766</f>
        <v>2027737.01</v>
      </c>
      <c r="M689" s="595" t="s">
        <v>1534</v>
      </c>
      <c r="N689" s="595"/>
      <c r="O689" s="595"/>
      <c r="P689" s="595"/>
      <c r="Q689" s="595"/>
    </row>
    <row r="690" spans="1:17" s="1025" customFormat="1" ht="12">
      <c r="A690" s="1019" t="s">
        <v>1501</v>
      </c>
      <c r="B690" s="979" t="s">
        <v>420</v>
      </c>
      <c r="C690" s="979" t="s">
        <v>335</v>
      </c>
      <c r="D690" s="979" t="s">
        <v>1061</v>
      </c>
      <c r="E690" s="1022">
        <v>5</v>
      </c>
      <c r="F690" s="595"/>
      <c r="G690" s="1009">
        <f t="shared" si="103"/>
        <v>80.94</v>
      </c>
      <c r="H690" s="1012">
        <f t="shared" si="104"/>
        <v>404.7</v>
      </c>
      <c r="I690" s="1011">
        <f t="shared" si="105"/>
        <v>7.5481948223315989E-3</v>
      </c>
      <c r="J690" s="1009">
        <f t="shared" si="107"/>
        <v>5</v>
      </c>
      <c r="K690" s="1009">
        <f t="shared" si="106"/>
        <v>0.46725969854005883</v>
      </c>
      <c r="L690" s="1011">
        <f>L688-L689</f>
        <v>37.819999999832362</v>
      </c>
      <c r="M690" s="595"/>
      <c r="N690" s="595"/>
      <c r="O690" s="595"/>
      <c r="P690" s="595"/>
      <c r="Q690" s="595"/>
    </row>
    <row r="691" spans="1:17" s="1025" customFormat="1" ht="12">
      <c r="A691" s="1019" t="s">
        <v>1501</v>
      </c>
      <c r="B691" s="979" t="s">
        <v>420</v>
      </c>
      <c r="C691" s="979" t="s">
        <v>336</v>
      </c>
      <c r="D691" s="979" t="s">
        <v>1062</v>
      </c>
      <c r="E691" s="1022">
        <v>10</v>
      </c>
      <c r="F691" s="595"/>
      <c r="G691" s="1009">
        <f t="shared" si="103"/>
        <v>78.97</v>
      </c>
      <c r="H691" s="1012">
        <f t="shared" si="104"/>
        <v>789.7</v>
      </c>
      <c r="I691" s="1011">
        <f t="shared" si="105"/>
        <v>1.4728958367173866E-2</v>
      </c>
      <c r="J691" s="1009">
        <f t="shared" si="107"/>
        <v>10</v>
      </c>
      <c r="K691" s="1009">
        <f t="shared" si="106"/>
        <v>0.47891604406524457</v>
      </c>
      <c r="L691" s="595"/>
      <c r="M691" s="595"/>
      <c r="N691" s="595"/>
      <c r="O691" s="595"/>
      <c r="P691" s="595"/>
      <c r="Q691" s="595"/>
    </row>
    <row r="692" spans="1:17" s="1025" customFormat="1" ht="12">
      <c r="A692" s="1019" t="s">
        <v>1501</v>
      </c>
      <c r="B692" s="979" t="s">
        <v>420</v>
      </c>
      <c r="C692" s="979" t="s">
        <v>338</v>
      </c>
      <c r="D692" s="979" t="s">
        <v>1063</v>
      </c>
      <c r="E692" s="1022">
        <v>24</v>
      </c>
      <c r="F692" s="595"/>
      <c r="G692" s="1009">
        <f t="shared" si="103"/>
        <v>61.230000000000004</v>
      </c>
      <c r="H692" s="1012">
        <f t="shared" si="104"/>
        <v>1469.52</v>
      </c>
      <c r="I692" s="1011">
        <f t="shared" si="105"/>
        <v>2.7408508167315868E-2</v>
      </c>
      <c r="J692" s="1009">
        <f t="shared" si="107"/>
        <v>24</v>
      </c>
      <c r="K692" s="1009">
        <f t="shared" si="106"/>
        <v>0.61767107626706452</v>
      </c>
      <c r="L692" s="595"/>
      <c r="M692" s="595"/>
      <c r="N692" s="595"/>
      <c r="O692" s="595"/>
      <c r="P692" s="595"/>
      <c r="Q692" s="595"/>
    </row>
    <row r="693" spans="1:17" s="1025" customFormat="1" ht="12">
      <c r="A693" s="1019" t="s">
        <v>1501</v>
      </c>
      <c r="B693" s="979" t="s">
        <v>420</v>
      </c>
      <c r="C693" s="979" t="s">
        <v>339</v>
      </c>
      <c r="D693" s="979" t="s">
        <v>1064</v>
      </c>
      <c r="E693" s="1022">
        <v>1</v>
      </c>
      <c r="F693" s="595"/>
      <c r="G693" s="1009">
        <f t="shared" si="103"/>
        <v>56.69</v>
      </c>
      <c r="H693" s="1012">
        <f t="shared" si="104"/>
        <v>56.69</v>
      </c>
      <c r="I693" s="1011">
        <f t="shared" si="105"/>
        <v>1.0573441178106703E-3</v>
      </c>
      <c r="J693" s="1009">
        <f t="shared" si="107"/>
        <v>1</v>
      </c>
      <c r="K693" s="1009">
        <f t="shared" si="106"/>
        <v>0.6671370612071329</v>
      </c>
      <c r="L693" s="595"/>
      <c r="M693" s="595"/>
      <c r="N693" s="595"/>
      <c r="O693" s="595"/>
      <c r="P693" s="595"/>
      <c r="Q693" s="595"/>
    </row>
    <row r="694" spans="1:17" s="1025" customFormat="1" ht="12">
      <c r="A694" s="1019" t="s">
        <v>1501</v>
      </c>
      <c r="B694" s="979" t="s">
        <v>420</v>
      </c>
      <c r="C694" s="979" t="s">
        <v>325</v>
      </c>
      <c r="D694" s="979" t="s">
        <v>1065</v>
      </c>
      <c r="E694" s="1022">
        <v>16</v>
      </c>
      <c r="F694" s="595"/>
      <c r="G694" s="1009">
        <f t="shared" si="103"/>
        <v>74.52</v>
      </c>
      <c r="H694" s="1012">
        <f t="shared" si="104"/>
        <v>1192.32</v>
      </c>
      <c r="I694" s="1011">
        <f t="shared" si="105"/>
        <v>2.2238358415029431E-2</v>
      </c>
      <c r="J694" s="1009">
        <f t="shared" si="107"/>
        <v>16</v>
      </c>
      <c r="K694" s="1009">
        <f t="shared" si="106"/>
        <v>0.50751476113570004</v>
      </c>
      <c r="L694" s="595"/>
      <c r="M694" s="595"/>
      <c r="N694" s="595"/>
      <c r="O694" s="595"/>
      <c r="P694" s="595"/>
      <c r="Q694" s="595"/>
    </row>
    <row r="695" spans="1:17" s="1025" customFormat="1" ht="12">
      <c r="A695" s="1019" t="s">
        <v>1501</v>
      </c>
      <c r="B695" s="979" t="s">
        <v>420</v>
      </c>
      <c r="C695" s="979" t="s">
        <v>334</v>
      </c>
      <c r="D695" s="979" t="s">
        <v>1066</v>
      </c>
      <c r="E695" s="1022">
        <v>1</v>
      </c>
      <c r="F695" s="595"/>
      <c r="G695" s="1009">
        <f t="shared" si="103"/>
        <v>82.3</v>
      </c>
      <c r="H695" s="1012">
        <f t="shared" si="104"/>
        <v>82.3</v>
      </c>
      <c r="I695" s="1011">
        <f t="shared" si="105"/>
        <v>1.5350047785468014E-3</v>
      </c>
      <c r="J695" s="1009">
        <f t="shared" si="107"/>
        <v>1</v>
      </c>
      <c r="K695" s="1009">
        <f t="shared" si="106"/>
        <v>0.4595382746030664</v>
      </c>
      <c r="L695" s="595"/>
      <c r="M695" s="595"/>
      <c r="N695" s="595"/>
      <c r="O695" s="595"/>
      <c r="P695" s="595"/>
      <c r="Q695" s="595"/>
    </row>
    <row r="696" spans="1:17" s="1025" customFormat="1" ht="12">
      <c r="A696" s="1019" t="s">
        <v>1501</v>
      </c>
      <c r="B696" s="979" t="s">
        <v>420</v>
      </c>
      <c r="C696" s="979" t="s">
        <v>326</v>
      </c>
      <c r="D696" s="979" t="s">
        <v>1067</v>
      </c>
      <c r="E696" s="1022">
        <v>19</v>
      </c>
      <c r="F696" s="595"/>
      <c r="G696" s="1009">
        <f t="shared" si="103"/>
        <v>74.52</v>
      </c>
      <c r="H696" s="1012">
        <f t="shared" si="104"/>
        <v>1415.8799999999999</v>
      </c>
      <c r="I696" s="1011">
        <f t="shared" si="105"/>
        <v>2.6408050617847449E-2</v>
      </c>
      <c r="J696" s="1009">
        <f t="shared" si="107"/>
        <v>19</v>
      </c>
      <c r="K696" s="1009">
        <f t="shared" si="106"/>
        <v>0.50751476113570004</v>
      </c>
      <c r="L696" s="595"/>
      <c r="M696" s="595"/>
      <c r="N696" s="595"/>
      <c r="O696" s="595"/>
      <c r="P696" s="595"/>
      <c r="Q696" s="595"/>
    </row>
    <row r="697" spans="1:17" s="1025" customFormat="1" ht="12">
      <c r="A697" s="1019" t="s">
        <v>1501</v>
      </c>
      <c r="B697" s="979" t="s">
        <v>420</v>
      </c>
      <c r="C697" s="979" t="s">
        <v>330</v>
      </c>
      <c r="D697" s="979" t="s">
        <v>1068</v>
      </c>
      <c r="E697" s="1022">
        <v>4</v>
      </c>
      <c r="F697" s="595"/>
      <c r="G697" s="1009">
        <f t="shared" si="103"/>
        <v>75.88</v>
      </c>
      <c r="H697" s="1012">
        <f t="shared" si="104"/>
        <v>303.52</v>
      </c>
      <c r="I697" s="1011">
        <f t="shared" si="105"/>
        <v>5.6610528600792853E-3</v>
      </c>
      <c r="J697" s="1009">
        <f t="shared" si="107"/>
        <v>4</v>
      </c>
      <c r="K697" s="1009">
        <f t="shared" si="106"/>
        <v>0.49841855561191833</v>
      </c>
      <c r="L697" s="595"/>
      <c r="M697" s="595"/>
      <c r="N697" s="595"/>
      <c r="O697" s="595"/>
      <c r="P697" s="595"/>
      <c r="Q697" s="595"/>
    </row>
    <row r="698" spans="1:17" s="1025" customFormat="1" ht="12">
      <c r="A698" s="1019" t="s">
        <v>1501</v>
      </c>
      <c r="B698" s="979" t="s">
        <v>420</v>
      </c>
      <c r="C698" s="979" t="s">
        <v>337</v>
      </c>
      <c r="D698" s="979" t="s">
        <v>1069</v>
      </c>
      <c r="E698" s="1022">
        <v>3</v>
      </c>
      <c r="F698" s="595"/>
      <c r="G698" s="1009">
        <f t="shared" si="103"/>
        <v>78.97</v>
      </c>
      <c r="H698" s="1012">
        <f t="shared" si="104"/>
        <v>236.91</v>
      </c>
      <c r="I698" s="1011">
        <f t="shared" si="105"/>
        <v>4.4186875101521594E-3</v>
      </c>
      <c r="J698" s="1009">
        <f t="shared" si="107"/>
        <v>3</v>
      </c>
      <c r="K698" s="1009">
        <f t="shared" si="106"/>
        <v>0.47891604406524457</v>
      </c>
      <c r="L698" s="595"/>
      <c r="M698" s="595"/>
      <c r="N698" s="595"/>
      <c r="O698" s="595"/>
      <c r="P698" s="595"/>
      <c r="Q698" s="595"/>
    </row>
    <row r="699" spans="1:17" s="1025" customFormat="1" ht="12">
      <c r="A699" s="1019" t="s">
        <v>1501</v>
      </c>
      <c r="B699" s="979" t="s">
        <v>420</v>
      </c>
      <c r="C699" s="979" t="s">
        <v>329</v>
      </c>
      <c r="D699" s="979" t="s">
        <v>1070</v>
      </c>
      <c r="E699" s="1022">
        <v>2</v>
      </c>
      <c r="F699" s="595"/>
      <c r="G699" s="1009">
        <f t="shared" si="103"/>
        <v>77.259999999999991</v>
      </c>
      <c r="H699" s="1012">
        <f t="shared" si="104"/>
        <v>154.51999999999998</v>
      </c>
      <c r="I699" s="1011">
        <f t="shared" si="105"/>
        <v>2.8820041115559143E-3</v>
      </c>
      <c r="J699" s="1009">
        <f t="shared" si="107"/>
        <v>2</v>
      </c>
      <c r="K699" s="1009">
        <f t="shared" si="106"/>
        <v>0.4895159202670511</v>
      </c>
      <c r="L699" s="595"/>
      <c r="M699" s="595"/>
      <c r="N699" s="595"/>
      <c r="O699" s="595"/>
      <c r="P699" s="595"/>
      <c r="Q699" s="595"/>
    </row>
    <row r="700" spans="1:17" s="1025" customFormat="1" ht="12">
      <c r="A700" s="1019" t="s">
        <v>1501</v>
      </c>
      <c r="B700" s="979" t="s">
        <v>420</v>
      </c>
      <c r="C700" s="979" t="s">
        <v>327</v>
      </c>
      <c r="D700" s="979" t="s">
        <v>1071</v>
      </c>
      <c r="E700" s="1022">
        <v>49</v>
      </c>
      <c r="F700" s="595"/>
      <c r="G700" s="1009">
        <f t="shared" si="103"/>
        <v>64.19</v>
      </c>
      <c r="H700" s="1012">
        <f t="shared" si="104"/>
        <v>3145.31</v>
      </c>
      <c r="I700" s="1011">
        <f t="shared" si="105"/>
        <v>5.8664226974617741E-2</v>
      </c>
      <c r="J700" s="1009">
        <f t="shared" si="107"/>
        <v>49</v>
      </c>
      <c r="K700" s="1009">
        <f t="shared" si="106"/>
        <v>0.58918834709195145</v>
      </c>
      <c r="L700" s="595"/>
      <c r="M700" s="595"/>
      <c r="N700" s="595"/>
      <c r="O700" s="595"/>
      <c r="P700" s="595"/>
      <c r="Q700" s="595"/>
    </row>
    <row r="701" spans="1:17" s="1025" customFormat="1" ht="12">
      <c r="A701" s="1019" t="s">
        <v>1501</v>
      </c>
      <c r="B701" s="979" t="s">
        <v>420</v>
      </c>
      <c r="C701" s="979" t="s">
        <v>453</v>
      </c>
      <c r="D701" s="979" t="s">
        <v>1072</v>
      </c>
      <c r="E701" s="1022">
        <v>2</v>
      </c>
      <c r="F701" s="595"/>
      <c r="G701" s="1009">
        <f t="shared" si="103"/>
        <v>75.899999999999991</v>
      </c>
      <c r="H701" s="1012">
        <f t="shared" si="104"/>
        <v>151.79999999999998</v>
      </c>
      <c r="I701" s="1011">
        <f t="shared" si="105"/>
        <v>2.8312724833949509E-3</v>
      </c>
      <c r="J701" s="1009">
        <f t="shared" si="107"/>
        <v>2</v>
      </c>
      <c r="K701" s="1009">
        <f t="shared" si="106"/>
        <v>0.49828722002414183</v>
      </c>
      <c r="L701" s="595"/>
      <c r="M701" s="595"/>
      <c r="N701" s="595"/>
      <c r="O701" s="595"/>
      <c r="P701" s="595"/>
      <c r="Q701" s="595"/>
    </row>
    <row r="702" spans="1:17" s="1025" customFormat="1" ht="12">
      <c r="A702" s="1019" t="s">
        <v>1501</v>
      </c>
      <c r="B702" s="979" t="s">
        <v>420</v>
      </c>
      <c r="C702" s="979" t="s">
        <v>366</v>
      </c>
      <c r="D702" s="979" t="s">
        <v>1073</v>
      </c>
      <c r="E702" s="1022">
        <v>50</v>
      </c>
      <c r="F702" s="595"/>
      <c r="G702" s="1009">
        <f t="shared" si="103"/>
        <v>14.860000000000001</v>
      </c>
      <c r="H702" s="1012">
        <f t="shared" si="104"/>
        <v>743.00000000000011</v>
      </c>
      <c r="I702" s="1011">
        <f t="shared" si="105"/>
        <v>1.3857941074851443E-2</v>
      </c>
      <c r="J702" s="1009">
        <f t="shared" si="107"/>
        <v>50</v>
      </c>
      <c r="K702" s="1009">
        <f t="shared" si="106"/>
        <v>2.5450874831650308</v>
      </c>
      <c r="L702" s="595"/>
      <c r="M702" s="595"/>
      <c r="N702" s="595"/>
      <c r="O702" s="595"/>
      <c r="P702" s="595"/>
      <c r="Q702" s="595"/>
    </row>
    <row r="703" spans="1:17" s="1025" customFormat="1" ht="12">
      <c r="A703" s="1019" t="s">
        <v>1501</v>
      </c>
      <c r="B703" s="979" t="s">
        <v>420</v>
      </c>
      <c r="C703" s="979" t="s">
        <v>386</v>
      </c>
      <c r="D703" s="979" t="s">
        <v>1074</v>
      </c>
      <c r="E703" s="1022">
        <v>7169</v>
      </c>
      <c r="F703" s="595"/>
      <c r="G703" s="1009">
        <f t="shared" si="103"/>
        <v>10.570000000000002</v>
      </c>
      <c r="H703" s="1012">
        <f t="shared" si="104"/>
        <v>75776.330000000016</v>
      </c>
      <c r="I703" s="1011">
        <f t="shared" si="105"/>
        <v>1.4133296312362014</v>
      </c>
      <c r="J703" s="1009">
        <f t="shared" si="107"/>
        <v>7169</v>
      </c>
      <c r="K703" s="1009">
        <f t="shared" si="106"/>
        <v>3.5780510879690022</v>
      </c>
      <c r="L703" s="595"/>
      <c r="M703" s="595"/>
      <c r="N703" s="595"/>
      <c r="O703" s="595"/>
      <c r="P703" s="595"/>
      <c r="Q703" s="595"/>
    </row>
    <row r="704" spans="1:17" s="1025" customFormat="1" ht="12">
      <c r="A704" s="1019" t="s">
        <v>1501</v>
      </c>
      <c r="B704" s="979" t="s">
        <v>420</v>
      </c>
      <c r="C704" s="979" t="s">
        <v>382</v>
      </c>
      <c r="D704" s="979" t="s">
        <v>1075</v>
      </c>
      <c r="E704" s="1022">
        <v>134</v>
      </c>
      <c r="F704" s="595"/>
      <c r="G704" s="1009">
        <f t="shared" si="103"/>
        <v>11.71</v>
      </c>
      <c r="H704" s="1012">
        <f t="shared" si="104"/>
        <v>1569.14</v>
      </c>
      <c r="I704" s="1011">
        <f t="shared" si="105"/>
        <v>2.9266554048711157E-2</v>
      </c>
      <c r="J704" s="1009">
        <f t="shared" si="107"/>
        <v>134</v>
      </c>
      <c r="K704" s="1009">
        <f t="shared" si="106"/>
        <v>3.229718189567238</v>
      </c>
      <c r="L704" s="595"/>
      <c r="M704" s="595"/>
      <c r="N704" s="595"/>
      <c r="O704" s="595"/>
      <c r="P704" s="595"/>
      <c r="Q704" s="595"/>
    </row>
    <row r="705" spans="1:17" s="1025" customFormat="1" ht="12">
      <c r="A705" s="1019" t="s">
        <v>1501</v>
      </c>
      <c r="B705" s="979" t="s">
        <v>420</v>
      </c>
      <c r="C705" s="979" t="s">
        <v>360</v>
      </c>
      <c r="D705" s="979" t="s">
        <v>1076</v>
      </c>
      <c r="E705" s="1022">
        <v>236</v>
      </c>
      <c r="F705" s="595"/>
      <c r="G705" s="1009">
        <f t="shared" si="103"/>
        <v>20.259999999999998</v>
      </c>
      <c r="H705" s="1012">
        <f t="shared" si="104"/>
        <v>4781.3599999999997</v>
      </c>
      <c r="I705" s="1011">
        <f t="shared" si="105"/>
        <v>8.9178741773420833E-2</v>
      </c>
      <c r="J705" s="1009">
        <f t="shared" si="107"/>
        <v>236</v>
      </c>
      <c r="K705" s="1009">
        <f t="shared" si="106"/>
        <v>1.8667324777804721</v>
      </c>
      <c r="L705" s="595"/>
      <c r="M705" s="595"/>
      <c r="N705" s="595"/>
      <c r="O705" s="595"/>
      <c r="P705" s="595"/>
      <c r="Q705" s="595"/>
    </row>
    <row r="706" spans="1:17" s="1025" customFormat="1" ht="12">
      <c r="A706" s="1019" t="s">
        <v>1501</v>
      </c>
      <c r="B706" s="979" t="s">
        <v>420</v>
      </c>
      <c r="C706" s="979" t="s">
        <v>368</v>
      </c>
      <c r="D706" s="979" t="s">
        <v>1077</v>
      </c>
      <c r="E706" s="1022">
        <v>142</v>
      </c>
      <c r="F706" s="595"/>
      <c r="G706" s="1009">
        <f t="shared" si="103"/>
        <v>21.38</v>
      </c>
      <c r="H706" s="1012">
        <f t="shared" si="104"/>
        <v>3035.96</v>
      </c>
      <c r="I706" s="1011">
        <f t="shared" si="105"/>
        <v>5.6624703614543713E-2</v>
      </c>
      <c r="J706" s="1009">
        <f t="shared" si="107"/>
        <v>142</v>
      </c>
      <c r="K706" s="1009">
        <f t="shared" si="106"/>
        <v>1.7689429373167616</v>
      </c>
      <c r="L706" s="595"/>
      <c r="M706" s="595"/>
      <c r="N706" s="595"/>
      <c r="O706" s="595"/>
      <c r="P706" s="595"/>
      <c r="Q706" s="595"/>
    </row>
    <row r="707" spans="1:17" s="1025" customFormat="1" ht="12">
      <c r="A707" s="1019" t="s">
        <v>1501</v>
      </c>
      <c r="B707" s="979" t="s">
        <v>420</v>
      </c>
      <c r="C707" s="979" t="s">
        <v>370</v>
      </c>
      <c r="D707" s="979" t="s">
        <v>1078</v>
      </c>
      <c r="E707" s="1022">
        <v>28</v>
      </c>
      <c r="F707" s="595"/>
      <c r="G707" s="1009">
        <f t="shared" si="103"/>
        <v>30.84</v>
      </c>
      <c r="H707" s="1012">
        <f t="shared" si="104"/>
        <v>863.52</v>
      </c>
      <c r="I707" s="1011">
        <f t="shared" si="105"/>
        <v>1.610579983439531E-2</v>
      </c>
      <c r="J707" s="1009">
        <f t="shared" si="107"/>
        <v>28</v>
      </c>
      <c r="K707" s="1009">
        <f t="shared" si="106"/>
        <v>1.2263294422773139</v>
      </c>
      <c r="L707" s="595"/>
      <c r="M707" s="595"/>
      <c r="N707" s="595"/>
      <c r="O707" s="595"/>
      <c r="P707" s="595"/>
      <c r="Q707" s="595"/>
    </row>
    <row r="708" spans="1:17" s="1025" customFormat="1" ht="12">
      <c r="A708" s="1019" t="s">
        <v>1501</v>
      </c>
      <c r="B708" s="979" t="s">
        <v>420</v>
      </c>
      <c r="C708" s="979" t="s">
        <v>393</v>
      </c>
      <c r="D708" s="979" t="s">
        <v>1079</v>
      </c>
      <c r="E708" s="1022">
        <v>95</v>
      </c>
      <c r="F708" s="595"/>
      <c r="G708" s="1009">
        <f t="shared" si="103"/>
        <v>31.22</v>
      </c>
      <c r="H708" s="1012">
        <f t="shared" si="104"/>
        <v>2965.9</v>
      </c>
      <c r="I708" s="1011">
        <f t="shared" si="105"/>
        <v>5.5317991162721243E-2</v>
      </c>
      <c r="J708" s="1009">
        <f t="shared" si="107"/>
        <v>95</v>
      </c>
      <c r="K708" s="1009">
        <f t="shared" si="106"/>
        <v>1.2114029468235863</v>
      </c>
      <c r="L708" s="595"/>
      <c r="M708" s="595"/>
      <c r="N708" s="595"/>
      <c r="O708" s="595"/>
      <c r="P708" s="595"/>
      <c r="Q708" s="595"/>
    </row>
    <row r="709" spans="1:17" s="1025" customFormat="1" ht="12">
      <c r="A709" s="1019" t="s">
        <v>1501</v>
      </c>
      <c r="B709" s="979" t="s">
        <v>420</v>
      </c>
      <c r="C709" s="979" t="s">
        <v>371</v>
      </c>
      <c r="D709" s="979" t="s">
        <v>1080</v>
      </c>
      <c r="E709" s="1022">
        <v>21</v>
      </c>
      <c r="F709" s="595"/>
      <c r="G709" s="1009">
        <f t="shared" si="103"/>
        <v>30.84</v>
      </c>
      <c r="H709" s="1012">
        <f t="shared" si="104"/>
        <v>647.64</v>
      </c>
      <c r="I709" s="1011">
        <f t="shared" si="105"/>
        <v>1.2079349875796482E-2</v>
      </c>
      <c r="J709" s="1009">
        <f t="shared" si="107"/>
        <v>21</v>
      </c>
      <c r="K709" s="1009">
        <f t="shared" si="106"/>
        <v>1.2263294422773139</v>
      </c>
      <c r="L709" s="595"/>
      <c r="M709" s="595"/>
      <c r="N709" s="595"/>
      <c r="O709" s="595"/>
      <c r="P709" s="595"/>
      <c r="Q709" s="595"/>
    </row>
    <row r="710" spans="1:17" s="1025" customFormat="1" ht="12">
      <c r="A710" s="1019" t="s">
        <v>1501</v>
      </c>
      <c r="B710" s="979" t="s">
        <v>420</v>
      </c>
      <c r="C710" s="979" t="s">
        <v>394</v>
      </c>
      <c r="D710" s="979" t="s">
        <v>1081</v>
      </c>
      <c r="E710" s="1022">
        <v>10</v>
      </c>
      <c r="F710" s="595"/>
      <c r="G710" s="1009">
        <f t="shared" si="103"/>
        <v>31.22</v>
      </c>
      <c r="H710" s="1012">
        <f t="shared" si="104"/>
        <v>312.2</v>
      </c>
      <c r="I710" s="1011">
        <f t="shared" si="105"/>
        <v>5.822946438181183E-3</v>
      </c>
      <c r="J710" s="1009">
        <f t="shared" si="107"/>
        <v>10</v>
      </c>
      <c r="K710" s="1009">
        <f t="shared" si="106"/>
        <v>1.2114029468235863</v>
      </c>
      <c r="L710" s="595"/>
      <c r="M710" s="595"/>
      <c r="N710" s="595"/>
      <c r="O710" s="595"/>
      <c r="P710" s="595"/>
      <c r="Q710" s="595"/>
    </row>
    <row r="711" spans="1:17" s="1025" customFormat="1" ht="12">
      <c r="A711" s="1019" t="s">
        <v>1501</v>
      </c>
      <c r="B711" s="979" t="s">
        <v>420</v>
      </c>
      <c r="C711" s="979" t="s">
        <v>389</v>
      </c>
      <c r="D711" s="979" t="s">
        <v>1082</v>
      </c>
      <c r="E711" s="1022">
        <v>448</v>
      </c>
      <c r="F711" s="595"/>
      <c r="G711" s="1009">
        <f t="shared" si="103"/>
        <v>15.360000000000001</v>
      </c>
      <c r="H711" s="1012">
        <f t="shared" si="104"/>
        <v>6881.2800000000007</v>
      </c>
      <c r="I711" s="1011">
        <f t="shared" si="105"/>
        <v>0.12834505082039532</v>
      </c>
      <c r="J711" s="1009">
        <f t="shared" si="107"/>
        <v>448</v>
      </c>
      <c r="K711" s="1009">
        <f t="shared" si="106"/>
        <v>2.4622395833224191</v>
      </c>
      <c r="L711" s="595"/>
      <c r="M711" s="595"/>
      <c r="N711" s="595"/>
      <c r="O711" s="595"/>
      <c r="P711" s="595"/>
      <c r="Q711" s="595"/>
    </row>
    <row r="712" spans="1:17" s="1025" customFormat="1" ht="12">
      <c r="A712" s="1019" t="s">
        <v>1501</v>
      </c>
      <c r="B712" s="979" t="s">
        <v>420</v>
      </c>
      <c r="C712" s="979" t="s">
        <v>310</v>
      </c>
      <c r="D712" s="979" t="s">
        <v>1083</v>
      </c>
      <c r="E712" s="1022">
        <v>5</v>
      </c>
      <c r="F712" s="595"/>
      <c r="G712" s="1009">
        <f t="shared" si="103"/>
        <v>3.39</v>
      </c>
      <c r="H712" s="1012">
        <f t="shared" si="104"/>
        <v>16.95</v>
      </c>
      <c r="I712" s="1011">
        <f t="shared" si="105"/>
        <v>3.1614010931188676E-4</v>
      </c>
      <c r="J712" s="1009">
        <f t="shared" si="107"/>
        <v>5</v>
      </c>
      <c r="K712" s="1009">
        <f t="shared" si="106"/>
        <v>11.156342182841405</v>
      </c>
      <c r="L712" s="595"/>
      <c r="M712" s="595"/>
      <c r="N712" s="595"/>
      <c r="O712" s="595"/>
      <c r="P712" s="595"/>
      <c r="Q712" s="595"/>
    </row>
    <row r="713" spans="1:17" s="1025" customFormat="1" ht="12">
      <c r="A713" s="1019" t="s">
        <v>1501</v>
      </c>
      <c r="B713" s="979" t="s">
        <v>420</v>
      </c>
      <c r="C713" s="979" t="s">
        <v>340</v>
      </c>
      <c r="D713" s="979" t="s">
        <v>1084</v>
      </c>
      <c r="E713" s="1022">
        <v>680</v>
      </c>
      <c r="F713" s="595"/>
      <c r="G713" s="1009">
        <f t="shared" si="103"/>
        <v>4.5400000000000009</v>
      </c>
      <c r="H713" s="1012">
        <f t="shared" si="104"/>
        <v>3087.2000000000007</v>
      </c>
      <c r="I713" s="1011">
        <f t="shared" si="105"/>
        <v>5.7580397962693639E-2</v>
      </c>
      <c r="J713" s="1009">
        <f t="shared" si="107"/>
        <v>680</v>
      </c>
      <c r="K713" s="1009">
        <f t="shared" si="106"/>
        <v>8.3303964757339983</v>
      </c>
      <c r="L713" s="595"/>
      <c r="M713" s="595"/>
      <c r="N713" s="595"/>
      <c r="O713" s="595"/>
      <c r="P713" s="595"/>
      <c r="Q713" s="595"/>
    </row>
    <row r="714" spans="1:17" s="1025" customFormat="1" ht="12">
      <c r="A714" s="1019" t="s">
        <v>1501</v>
      </c>
      <c r="B714" s="979" t="s">
        <v>420</v>
      </c>
      <c r="C714" s="979" t="s">
        <v>358</v>
      </c>
      <c r="D714" s="979" t="s">
        <v>1085</v>
      </c>
      <c r="E714" s="1022">
        <v>134</v>
      </c>
      <c r="F714" s="595"/>
      <c r="G714" s="1009">
        <f t="shared" si="103"/>
        <v>6.78</v>
      </c>
      <c r="H714" s="1012">
        <f t="shared" si="104"/>
        <v>908.52</v>
      </c>
      <c r="I714" s="1011">
        <f t="shared" si="105"/>
        <v>1.6945109859117131E-2</v>
      </c>
      <c r="J714" s="1009">
        <f t="shared" si="107"/>
        <v>134</v>
      </c>
      <c r="K714" s="1009">
        <f t="shared" si="106"/>
        <v>5.5781710914207023</v>
      </c>
      <c r="L714" s="595"/>
      <c r="M714" s="595"/>
      <c r="N714" s="595"/>
      <c r="O714" s="595"/>
      <c r="P714" s="595"/>
      <c r="Q714" s="595"/>
    </row>
    <row r="715" spans="1:17" s="1025" customFormat="1" ht="12">
      <c r="A715" s="1019" t="s">
        <v>1501</v>
      </c>
      <c r="B715" s="979" t="s">
        <v>420</v>
      </c>
      <c r="C715" s="979" t="s">
        <v>383</v>
      </c>
      <c r="D715" s="979" t="s">
        <v>1086</v>
      </c>
      <c r="E715" s="1022">
        <v>2</v>
      </c>
      <c r="F715" s="595"/>
      <c r="G715" s="1009">
        <f t="shared" si="103"/>
        <v>9.06</v>
      </c>
      <c r="H715" s="1012">
        <f t="shared" si="104"/>
        <v>18.12</v>
      </c>
      <c r="I715" s="1011">
        <f t="shared" si="105"/>
        <v>3.3796216995465427E-4</v>
      </c>
      <c r="J715" s="1009">
        <f t="shared" si="107"/>
        <v>2</v>
      </c>
      <c r="K715" s="1009">
        <f t="shared" si="106"/>
        <v>4.1743929359638363</v>
      </c>
      <c r="L715" s="595"/>
      <c r="M715" s="595"/>
      <c r="N715" s="595"/>
      <c r="O715" s="595"/>
      <c r="P715" s="595"/>
      <c r="Q715" s="595"/>
    </row>
    <row r="716" spans="1:17" s="1025" customFormat="1" ht="12">
      <c r="A716" s="1019" t="s">
        <v>1501</v>
      </c>
      <c r="B716" s="979" t="s">
        <v>420</v>
      </c>
      <c r="C716" s="979" t="s">
        <v>375</v>
      </c>
      <c r="D716" s="979" t="s">
        <v>1087</v>
      </c>
      <c r="E716" s="1022">
        <v>161</v>
      </c>
      <c r="F716" s="595"/>
      <c r="G716" s="1009">
        <f t="shared" si="103"/>
        <v>7.4399999999999995</v>
      </c>
      <c r="H716" s="1012">
        <f t="shared" si="104"/>
        <v>1197.8399999999999</v>
      </c>
      <c r="I716" s="1011">
        <f t="shared" si="105"/>
        <v>2.2341313778061974E-2</v>
      </c>
      <c r="J716" s="1009">
        <f t="shared" si="107"/>
        <v>161</v>
      </c>
      <c r="K716" s="1009">
        <f t="shared" si="106"/>
        <v>5.0833333333108017</v>
      </c>
      <c r="L716" s="595"/>
      <c r="M716" s="595"/>
      <c r="N716" s="595"/>
      <c r="O716" s="595"/>
      <c r="P716" s="595"/>
      <c r="Q716" s="595"/>
    </row>
    <row r="717" spans="1:17" s="1025" customFormat="1" ht="12">
      <c r="A717" s="1019" t="s">
        <v>1501</v>
      </c>
      <c r="B717" s="979" t="s">
        <v>420</v>
      </c>
      <c r="C717" s="979" t="s">
        <v>400</v>
      </c>
      <c r="D717" s="979" t="s">
        <v>1088</v>
      </c>
      <c r="E717" s="1022">
        <v>34832</v>
      </c>
      <c r="F717" s="595"/>
      <c r="G717" s="1009">
        <f t="shared" ref="G717:G748" si="108">SUMIF(_Lights_Tariff_Category,20140101&amp;$C717,_Lights_Rates)</f>
        <v>7.84</v>
      </c>
      <c r="H717" s="1012">
        <f t="shared" ref="H717:H748" si="109">E717*G717</f>
        <v>273082.88</v>
      </c>
      <c r="I717" s="1011">
        <f t="shared" si="105"/>
        <v>5.0933599725312613</v>
      </c>
      <c r="J717" s="1009">
        <f t="shared" si="107"/>
        <v>34833</v>
      </c>
      <c r="K717" s="1009">
        <f t="shared" si="106"/>
        <v>4.8239795918153527</v>
      </c>
      <c r="L717" s="595"/>
      <c r="M717" s="595"/>
      <c r="N717" s="595"/>
      <c r="O717" s="595"/>
      <c r="P717" s="595"/>
      <c r="Q717" s="595"/>
    </row>
    <row r="718" spans="1:17" s="1025" customFormat="1" ht="12">
      <c r="A718" s="1019" t="s">
        <v>1501</v>
      </c>
      <c r="B718" s="979" t="s">
        <v>420</v>
      </c>
      <c r="C718" s="979" t="s">
        <v>391</v>
      </c>
      <c r="D718" s="979" t="s">
        <v>1089</v>
      </c>
      <c r="E718" s="1022">
        <v>1087</v>
      </c>
      <c r="F718" s="595"/>
      <c r="G718" s="1009">
        <f t="shared" si="108"/>
        <v>22</v>
      </c>
      <c r="H718" s="1012">
        <f t="shared" si="109"/>
        <v>23914</v>
      </c>
      <c r="I718" s="1011">
        <f t="shared" si="105"/>
        <v>0.44602799847105967</v>
      </c>
      <c r="J718" s="1009">
        <f t="shared" si="107"/>
        <v>1087</v>
      </c>
      <c r="K718" s="1009">
        <f t="shared" si="106"/>
        <v>1.7190909090832891</v>
      </c>
      <c r="L718" s="595"/>
      <c r="M718" s="595"/>
      <c r="N718" s="595"/>
      <c r="O718" s="595"/>
      <c r="P718" s="595"/>
      <c r="Q718" s="595"/>
    </row>
    <row r="719" spans="1:17" s="1025" customFormat="1" ht="12">
      <c r="A719" s="1019" t="s">
        <v>1501</v>
      </c>
      <c r="B719" s="979" t="s">
        <v>420</v>
      </c>
      <c r="C719" s="979" t="s">
        <v>357</v>
      </c>
      <c r="D719" s="979" t="s">
        <v>1090</v>
      </c>
      <c r="E719" s="1022">
        <v>8</v>
      </c>
      <c r="F719" s="595"/>
      <c r="G719" s="1009">
        <f t="shared" si="108"/>
        <v>7.74</v>
      </c>
      <c r="H719" s="1012">
        <f t="shared" si="109"/>
        <v>61.92</v>
      </c>
      <c r="I719" s="1011">
        <f t="shared" si="105"/>
        <v>1.1548905940172291E-3</v>
      </c>
      <c r="J719" s="1009">
        <f t="shared" si="107"/>
        <v>8</v>
      </c>
      <c r="K719" s="1009">
        <f t="shared" si="106"/>
        <v>4.8863049095390645</v>
      </c>
      <c r="L719" s="595"/>
      <c r="M719" s="595"/>
      <c r="N719" s="595"/>
      <c r="O719" s="595"/>
      <c r="P719" s="595"/>
      <c r="Q719" s="595"/>
    </row>
    <row r="720" spans="1:17" s="1025" customFormat="1" ht="12">
      <c r="A720" s="1019" t="s">
        <v>1501</v>
      </c>
      <c r="B720" s="979" t="s">
        <v>420</v>
      </c>
      <c r="C720" s="979" t="s">
        <v>359</v>
      </c>
      <c r="D720" s="979" t="s">
        <v>1091</v>
      </c>
      <c r="E720" s="1022">
        <v>2</v>
      </c>
      <c r="F720" s="595"/>
      <c r="G720" s="1009">
        <f t="shared" si="108"/>
        <v>13.610000000000001</v>
      </c>
      <c r="H720" s="1012">
        <f t="shared" si="109"/>
        <v>27.220000000000002</v>
      </c>
      <c r="I720" s="1011">
        <f t="shared" si="105"/>
        <v>5.0768930828728966E-4</v>
      </c>
      <c r="J720" s="1009">
        <f t="shared" si="107"/>
        <v>2</v>
      </c>
      <c r="K720" s="1009">
        <f t="shared" si="106"/>
        <v>2.7788390888928993</v>
      </c>
      <c r="L720" s="595"/>
      <c r="M720" s="595"/>
      <c r="N720" s="595"/>
      <c r="O720" s="595"/>
      <c r="P720" s="595"/>
      <c r="Q720" s="595"/>
    </row>
    <row r="721" spans="1:17" s="1025" customFormat="1" ht="12">
      <c r="A721" s="1019" t="s">
        <v>1501</v>
      </c>
      <c r="B721" s="979" t="s">
        <v>420</v>
      </c>
      <c r="C721" s="979" t="s">
        <v>385</v>
      </c>
      <c r="D721" s="979" t="s">
        <v>1092</v>
      </c>
      <c r="E721" s="1022">
        <v>1038</v>
      </c>
      <c r="F721" s="595"/>
      <c r="G721" s="1009">
        <f t="shared" si="108"/>
        <v>9.5600000000000023</v>
      </c>
      <c r="H721" s="1012">
        <f t="shared" si="109"/>
        <v>9923.2800000000025</v>
      </c>
      <c r="I721" s="1011">
        <f t="shared" si="105"/>
        <v>0.18508240849159063</v>
      </c>
      <c r="J721" s="1009">
        <f t="shared" si="107"/>
        <v>1038</v>
      </c>
      <c r="K721" s="1009">
        <f t="shared" si="106"/>
        <v>3.9560669455891584</v>
      </c>
      <c r="L721" s="595"/>
      <c r="M721" s="595"/>
      <c r="N721" s="595"/>
      <c r="O721" s="595"/>
      <c r="P721" s="595"/>
      <c r="Q721" s="595"/>
    </row>
    <row r="722" spans="1:17" s="1025" customFormat="1" ht="12">
      <c r="A722" s="1019" t="s">
        <v>1501</v>
      </c>
      <c r="B722" s="979" t="s">
        <v>420</v>
      </c>
      <c r="C722" s="979" t="s">
        <v>312</v>
      </c>
      <c r="D722" s="979" t="s">
        <v>1093</v>
      </c>
      <c r="E722" s="1022">
        <v>728</v>
      </c>
      <c r="F722" s="595"/>
      <c r="G722" s="1009">
        <f t="shared" si="108"/>
        <v>11.32</v>
      </c>
      <c r="H722" s="1012">
        <f t="shared" si="109"/>
        <v>8240.9600000000009</v>
      </c>
      <c r="I722" s="1011">
        <f t="shared" si="105"/>
        <v>0.15370489647403465</v>
      </c>
      <c r="J722" s="1009">
        <f t="shared" si="107"/>
        <v>728</v>
      </c>
      <c r="K722" s="1009">
        <f t="shared" si="106"/>
        <v>3.3409893992784769</v>
      </c>
      <c r="L722" s="595"/>
      <c r="M722" s="595"/>
      <c r="N722" s="595"/>
      <c r="O722" s="595"/>
      <c r="P722" s="595"/>
      <c r="Q722" s="595"/>
    </row>
    <row r="723" spans="1:17" s="1025" customFormat="1" ht="12">
      <c r="A723" s="1019" t="s">
        <v>1501</v>
      </c>
      <c r="B723" s="979" t="s">
        <v>420</v>
      </c>
      <c r="C723" s="979" t="s">
        <v>421</v>
      </c>
      <c r="D723" s="979" t="s">
        <v>1094</v>
      </c>
      <c r="E723" s="1022">
        <v>1562</v>
      </c>
      <c r="F723" s="595"/>
      <c r="G723" s="1009">
        <f t="shared" si="108"/>
        <v>12.809999999999999</v>
      </c>
      <c r="H723" s="1012">
        <f t="shared" si="109"/>
        <v>20009.219999999998</v>
      </c>
      <c r="I723" s="1011">
        <f t="shared" si="105"/>
        <v>0.37319864295254224</v>
      </c>
      <c r="J723" s="1009">
        <f t="shared" si="107"/>
        <v>1562</v>
      </c>
      <c r="K723" s="1009">
        <f t="shared" si="106"/>
        <v>2.9523809523678661</v>
      </c>
      <c r="L723" s="595"/>
      <c r="M723" s="595"/>
      <c r="N723" s="595"/>
      <c r="O723" s="595"/>
      <c r="P723" s="595"/>
      <c r="Q723" s="595"/>
    </row>
    <row r="724" spans="1:17" s="1025" customFormat="1" ht="12">
      <c r="A724" s="1019" t="s">
        <v>1501</v>
      </c>
      <c r="B724" s="979" t="s">
        <v>420</v>
      </c>
      <c r="C724" s="979" t="s">
        <v>322</v>
      </c>
      <c r="D724" s="979" t="s">
        <v>1095</v>
      </c>
      <c r="E724" s="1022">
        <v>614</v>
      </c>
      <c r="F724" s="595"/>
      <c r="G724" s="1009">
        <f t="shared" si="108"/>
        <v>14.25</v>
      </c>
      <c r="H724" s="1012">
        <f t="shared" si="109"/>
        <v>8749.5</v>
      </c>
      <c r="I724" s="1011">
        <f t="shared" si="105"/>
        <v>0.16318984580674656</v>
      </c>
      <c r="J724" s="1009">
        <f t="shared" si="107"/>
        <v>614</v>
      </c>
      <c r="K724" s="1009">
        <f t="shared" si="106"/>
        <v>2.654035087707534</v>
      </c>
      <c r="L724" s="595"/>
      <c r="M724" s="595"/>
      <c r="N724" s="595"/>
      <c r="O724" s="595"/>
      <c r="P724" s="595"/>
      <c r="Q724" s="595"/>
    </row>
    <row r="725" spans="1:17" s="1025" customFormat="1" ht="12">
      <c r="A725" s="1019" t="s">
        <v>1501</v>
      </c>
      <c r="B725" s="979" t="s">
        <v>420</v>
      </c>
      <c r="C725" s="979" t="s">
        <v>354</v>
      </c>
      <c r="D725" s="979" t="s">
        <v>1096</v>
      </c>
      <c r="E725" s="1022">
        <v>4845</v>
      </c>
      <c r="F725" s="595"/>
      <c r="G725" s="1009">
        <f t="shared" si="108"/>
        <v>20.200000000000003</v>
      </c>
      <c r="H725" s="1012">
        <f t="shared" si="109"/>
        <v>97869.000000000015</v>
      </c>
      <c r="I725" s="1011">
        <f t="shared" si="105"/>
        <v>1.8253873957666698</v>
      </c>
      <c r="J725" s="1009">
        <f t="shared" si="107"/>
        <v>4845</v>
      </c>
      <c r="K725" s="1009">
        <f t="shared" si="106"/>
        <v>1.872277227714473</v>
      </c>
      <c r="L725" s="595"/>
      <c r="M725" s="595"/>
      <c r="N725" s="595"/>
      <c r="O725" s="595"/>
      <c r="P725" s="595"/>
      <c r="Q725" s="595"/>
    </row>
    <row r="726" spans="1:17" s="1025" customFormat="1" ht="12">
      <c r="A726" s="1019" t="s">
        <v>1501</v>
      </c>
      <c r="B726" s="979" t="s">
        <v>420</v>
      </c>
      <c r="C726" s="979" t="s">
        <v>317</v>
      </c>
      <c r="D726" s="979" t="s">
        <v>1097</v>
      </c>
      <c r="E726" s="1022">
        <v>993</v>
      </c>
      <c r="F726" s="595"/>
      <c r="G726" s="1009">
        <f t="shared" si="108"/>
        <v>42.350000000000009</v>
      </c>
      <c r="H726" s="1012">
        <f t="shared" si="109"/>
        <v>42053.55000000001</v>
      </c>
      <c r="I726" s="1011">
        <f t="shared" si="105"/>
        <v>0.78435480200312102</v>
      </c>
      <c r="J726" s="1009">
        <f t="shared" si="107"/>
        <v>993</v>
      </c>
      <c r="K726" s="1009">
        <f t="shared" si="106"/>
        <v>0.89303423848482533</v>
      </c>
      <c r="L726" s="595"/>
      <c r="M726" s="595"/>
      <c r="N726" s="595"/>
      <c r="O726" s="595"/>
      <c r="P726" s="595"/>
      <c r="Q726" s="595"/>
    </row>
    <row r="727" spans="1:17" s="1025" customFormat="1" ht="12">
      <c r="A727" s="1019" t="s">
        <v>1501</v>
      </c>
      <c r="B727" s="979" t="s">
        <v>420</v>
      </c>
      <c r="C727" s="979" t="s">
        <v>320</v>
      </c>
      <c r="D727" s="979" t="s">
        <v>1098</v>
      </c>
      <c r="E727" s="1022">
        <v>142</v>
      </c>
      <c r="F727" s="595"/>
      <c r="G727" s="1009">
        <f t="shared" si="108"/>
        <v>18.649999999999999</v>
      </c>
      <c r="H727" s="1012">
        <f t="shared" si="109"/>
        <v>2648.2999999999997</v>
      </c>
      <c r="I727" s="1011">
        <f t="shared" si="105"/>
        <v>4.9394327521573439E-2</v>
      </c>
      <c r="J727" s="1009">
        <f t="shared" si="107"/>
        <v>142</v>
      </c>
      <c r="K727" s="1009">
        <f t="shared" si="106"/>
        <v>2.0278820375245235</v>
      </c>
      <c r="L727" s="595"/>
      <c r="M727" s="595"/>
      <c r="N727" s="595"/>
      <c r="O727" s="595"/>
      <c r="P727" s="595"/>
      <c r="Q727" s="595"/>
    </row>
    <row r="728" spans="1:17" s="1025" customFormat="1" ht="12">
      <c r="A728" s="1019" t="s">
        <v>1501</v>
      </c>
      <c r="B728" s="979" t="s">
        <v>420</v>
      </c>
      <c r="C728" s="979" t="s">
        <v>352</v>
      </c>
      <c r="D728" s="979" t="s">
        <v>1099</v>
      </c>
      <c r="E728" s="1022">
        <v>991</v>
      </c>
      <c r="F728" s="595"/>
      <c r="G728" s="1009">
        <f t="shared" si="108"/>
        <v>24.59</v>
      </c>
      <c r="H728" s="1012">
        <f t="shared" si="109"/>
        <v>24368.69</v>
      </c>
      <c r="I728" s="1011">
        <f t="shared" si="105"/>
        <v>0.45450857347418777</v>
      </c>
      <c r="J728" s="1009">
        <f t="shared" si="107"/>
        <v>991</v>
      </c>
      <c r="K728" s="1009">
        <f t="shared" si="106"/>
        <v>1.5380235868170948</v>
      </c>
      <c r="L728" s="595"/>
      <c r="M728" s="595"/>
      <c r="N728" s="595"/>
      <c r="O728" s="595"/>
      <c r="P728" s="595"/>
      <c r="Q728" s="595"/>
    </row>
    <row r="729" spans="1:17" s="1025" customFormat="1" ht="12">
      <c r="A729" s="1019" t="s">
        <v>1501</v>
      </c>
      <c r="B729" s="979" t="s">
        <v>420</v>
      </c>
      <c r="C729" s="979" t="s">
        <v>384</v>
      </c>
      <c r="D729" s="979" t="s">
        <v>1100</v>
      </c>
      <c r="E729" s="1022">
        <v>135</v>
      </c>
      <c r="F729" s="595"/>
      <c r="G729" s="1009">
        <f t="shared" si="108"/>
        <v>11.870000000000001</v>
      </c>
      <c r="H729" s="1012">
        <f t="shared" si="109"/>
        <v>1602.45</v>
      </c>
      <c r="I729" s="1011">
        <f t="shared" si="105"/>
        <v>2.988782998034413E-2</v>
      </c>
      <c r="J729" s="1009">
        <f t="shared" si="107"/>
        <v>135</v>
      </c>
      <c r="K729" s="1009">
        <f t="shared" si="106"/>
        <v>3.1861836562622039</v>
      </c>
      <c r="L729" s="595"/>
      <c r="M729" s="595"/>
      <c r="N729" s="595"/>
      <c r="O729" s="595"/>
      <c r="P729" s="595"/>
      <c r="Q729" s="595"/>
    </row>
    <row r="730" spans="1:17" s="1025" customFormat="1" ht="12">
      <c r="A730" s="1019" t="s">
        <v>1501</v>
      </c>
      <c r="B730" s="979" t="s">
        <v>420</v>
      </c>
      <c r="C730" s="979" t="s">
        <v>311</v>
      </c>
      <c r="D730" s="979" t="s">
        <v>1101</v>
      </c>
      <c r="E730" s="1022">
        <v>440</v>
      </c>
      <c r="F730" s="595"/>
      <c r="G730" s="1009">
        <f t="shared" si="108"/>
        <v>13.360000000000001</v>
      </c>
      <c r="H730" s="1012">
        <f t="shared" si="109"/>
        <v>5878.4000000000005</v>
      </c>
      <c r="I730" s="1011">
        <f t="shared" si="105"/>
        <v>0.10964000109610593</v>
      </c>
      <c r="J730" s="1009">
        <f t="shared" si="107"/>
        <v>440</v>
      </c>
      <c r="K730" s="1009">
        <f t="shared" si="106"/>
        <v>2.8308383233407453</v>
      </c>
      <c r="L730" s="595"/>
      <c r="M730" s="595"/>
      <c r="N730" s="595"/>
      <c r="O730" s="595"/>
      <c r="P730" s="595"/>
      <c r="Q730" s="595"/>
    </row>
    <row r="731" spans="1:17" s="1025" customFormat="1" ht="12">
      <c r="A731" s="1019" t="s">
        <v>1501</v>
      </c>
      <c r="B731" s="979" t="s">
        <v>420</v>
      </c>
      <c r="C731" s="979" t="s">
        <v>341</v>
      </c>
      <c r="D731" s="979" t="s">
        <v>1102</v>
      </c>
      <c r="E731" s="1022">
        <v>1451</v>
      </c>
      <c r="F731" s="595"/>
      <c r="G731" s="1009">
        <f t="shared" si="108"/>
        <v>15.079999999999998</v>
      </c>
      <c r="H731" s="1012">
        <f t="shared" si="109"/>
        <v>21881.079999999998</v>
      </c>
      <c r="I731" s="1011">
        <f t="shared" si="105"/>
        <v>0.40811132879422657</v>
      </c>
      <c r="J731" s="1009">
        <f t="shared" si="107"/>
        <v>1451</v>
      </c>
      <c r="K731" s="1009">
        <f t="shared" si="106"/>
        <v>2.5079575596705812</v>
      </c>
      <c r="L731" s="595"/>
      <c r="M731" s="595"/>
      <c r="N731" s="595"/>
      <c r="O731" s="595"/>
      <c r="P731" s="595"/>
      <c r="Q731" s="595"/>
    </row>
    <row r="732" spans="1:17">
      <c r="A732" s="1019" t="s">
        <v>1501</v>
      </c>
      <c r="B732" s="979" t="s">
        <v>420</v>
      </c>
      <c r="C732" s="979" t="s">
        <v>315</v>
      </c>
      <c r="D732" s="979" t="s">
        <v>1103</v>
      </c>
      <c r="E732" s="1022">
        <v>216</v>
      </c>
      <c r="F732" s="595"/>
      <c r="G732" s="1009">
        <f t="shared" si="108"/>
        <v>46.740000000000009</v>
      </c>
      <c r="H732" s="1012">
        <f t="shared" si="109"/>
        <v>10095.840000000002</v>
      </c>
      <c r="I732" s="1011">
        <f t="shared" si="105"/>
        <v>0.18830088266639056</v>
      </c>
      <c r="J732" s="1009">
        <f t="shared" si="107"/>
        <v>216</v>
      </c>
      <c r="K732" s="1009">
        <f t="shared" si="106"/>
        <v>0.80915703893522373</v>
      </c>
      <c r="L732" s="595"/>
      <c r="M732" s="595"/>
      <c r="N732" s="595"/>
      <c r="O732" s="595"/>
      <c r="P732" s="595"/>
      <c r="Q732" s="595"/>
    </row>
    <row r="733" spans="1:17">
      <c r="A733" s="1019" t="s">
        <v>1501</v>
      </c>
      <c r="B733" s="979" t="s">
        <v>420</v>
      </c>
      <c r="C733" s="979" t="s">
        <v>319</v>
      </c>
      <c r="D733" s="979" t="s">
        <v>1104</v>
      </c>
      <c r="E733" s="1022">
        <f>26+1</f>
        <v>27</v>
      </c>
      <c r="F733" s="595"/>
      <c r="G733" s="1009">
        <f t="shared" si="108"/>
        <v>27.15</v>
      </c>
      <c r="H733" s="1012">
        <f t="shared" si="109"/>
        <v>733.05</v>
      </c>
      <c r="I733" s="1011">
        <f t="shared" si="105"/>
        <v>1.3672360302718503E-2</v>
      </c>
      <c r="J733" s="1009">
        <f t="shared" si="107"/>
        <v>27</v>
      </c>
      <c r="K733" s="1009">
        <f t="shared" si="106"/>
        <v>1.3930018416144516</v>
      </c>
      <c r="L733" s="1009"/>
      <c r="M733" s="595"/>
      <c r="N733" s="595"/>
      <c r="O733" s="595"/>
      <c r="P733" s="595"/>
      <c r="Q733" s="595"/>
    </row>
    <row r="734" spans="1:17">
      <c r="A734" s="1019" t="s">
        <v>1501</v>
      </c>
      <c r="B734" s="979" t="s">
        <v>420</v>
      </c>
      <c r="C734" s="979" t="s">
        <v>356</v>
      </c>
      <c r="D734" s="979" t="s">
        <v>1105</v>
      </c>
      <c r="E734" s="1022">
        <v>6651</v>
      </c>
      <c r="F734" s="595"/>
      <c r="G734" s="1009">
        <f t="shared" si="108"/>
        <v>7.54</v>
      </c>
      <c r="H734" s="1012">
        <f t="shared" si="109"/>
        <v>50148.54</v>
      </c>
      <c r="I734" s="1011">
        <f t="shared" si="105"/>
        <v>0.93533716327029659</v>
      </c>
      <c r="J734" s="1009">
        <f t="shared" si="107"/>
        <v>6651</v>
      </c>
      <c r="K734" s="1009">
        <f t="shared" si="106"/>
        <v>5.0159151193411624</v>
      </c>
      <c r="L734" s="595"/>
      <c r="M734" s="595"/>
      <c r="N734" s="595"/>
      <c r="O734" s="595"/>
      <c r="P734" s="595"/>
      <c r="Q734" s="595"/>
    </row>
    <row r="735" spans="1:17">
      <c r="A735" s="1019" t="s">
        <v>1501</v>
      </c>
      <c r="B735" s="979" t="s">
        <v>420</v>
      </c>
      <c r="C735" s="979" t="s">
        <v>365</v>
      </c>
      <c r="D735" s="979" t="s">
        <v>1106</v>
      </c>
      <c r="E735" s="1022">
        <v>7035</v>
      </c>
      <c r="F735" s="595"/>
      <c r="G735" s="1009">
        <f t="shared" si="108"/>
        <v>8.66</v>
      </c>
      <c r="H735" s="1012">
        <f t="shared" si="109"/>
        <v>60923.1</v>
      </c>
      <c r="I735" s="1011">
        <f t="shared" si="105"/>
        <v>1.1362970792695581</v>
      </c>
      <c r="J735" s="1009">
        <f t="shared" si="107"/>
        <v>7035</v>
      </c>
      <c r="K735" s="1009">
        <f t="shared" si="106"/>
        <v>4.3672055427058156</v>
      </c>
      <c r="L735" s="595"/>
      <c r="M735" s="595"/>
      <c r="N735" s="595"/>
      <c r="O735" s="595"/>
      <c r="P735" s="595"/>
      <c r="Q735" s="595"/>
    </row>
    <row r="736" spans="1:17">
      <c r="A736" s="1019" t="s">
        <v>1501</v>
      </c>
      <c r="B736" s="979" t="s">
        <v>420</v>
      </c>
      <c r="C736" s="979" t="s">
        <v>388</v>
      </c>
      <c r="D736" s="979" t="s">
        <v>1107</v>
      </c>
      <c r="E736" s="1022">
        <v>19648</v>
      </c>
      <c r="F736" s="595"/>
      <c r="G736" s="1009">
        <f t="shared" si="108"/>
        <v>9.14</v>
      </c>
      <c r="H736" s="1012">
        <f t="shared" si="109"/>
        <v>179582.72</v>
      </c>
      <c r="I736" s="1011">
        <f t="shared" si="105"/>
        <v>3.3494572702847174</v>
      </c>
      <c r="J736" s="1009">
        <f t="shared" si="107"/>
        <v>19648</v>
      </c>
      <c r="K736" s="1009">
        <f t="shared" si="106"/>
        <v>4.1378555798503678</v>
      </c>
      <c r="L736" s="1009"/>
      <c r="M736" s="595"/>
      <c r="N736" s="595"/>
      <c r="O736" s="595"/>
      <c r="P736" s="595"/>
      <c r="Q736" s="595"/>
    </row>
    <row r="737" spans="1:17">
      <c r="A737" s="1019" t="s">
        <v>1501</v>
      </c>
      <c r="B737" s="979" t="s">
        <v>420</v>
      </c>
      <c r="C737" s="979" t="s">
        <v>345</v>
      </c>
      <c r="D737" s="979" t="s">
        <v>1108</v>
      </c>
      <c r="E737" s="1022">
        <v>7196</v>
      </c>
      <c r="F737" s="595"/>
      <c r="G737" s="1009">
        <f t="shared" si="108"/>
        <v>14.25</v>
      </c>
      <c r="H737" s="1012">
        <f t="shared" si="109"/>
        <v>102543</v>
      </c>
      <c r="I737" s="1011">
        <f t="shared" si="105"/>
        <v>1.9125637303344429</v>
      </c>
      <c r="J737" s="1009">
        <f t="shared" si="107"/>
        <v>7196</v>
      </c>
      <c r="K737" s="1009">
        <f t="shared" si="106"/>
        <v>2.654035087707534</v>
      </c>
      <c r="L737" s="595"/>
      <c r="M737" s="595"/>
      <c r="N737" s="595"/>
      <c r="O737" s="595"/>
      <c r="P737" s="595"/>
      <c r="Q737" s="595"/>
    </row>
    <row r="738" spans="1:17">
      <c r="A738" s="1019" t="s">
        <v>1501</v>
      </c>
      <c r="B738" s="979" t="s">
        <v>420</v>
      </c>
      <c r="C738" s="979" t="s">
        <v>377</v>
      </c>
      <c r="D738" s="979" t="s">
        <v>1109</v>
      </c>
      <c r="E738" s="1022">
        <v>2704</v>
      </c>
      <c r="F738" s="595"/>
      <c r="G738" s="1009">
        <f t="shared" si="108"/>
        <v>22.84</v>
      </c>
      <c r="H738" s="1012">
        <f t="shared" si="109"/>
        <v>61759.360000000001</v>
      </c>
      <c r="I738" s="1011">
        <f t="shared" si="105"/>
        <v>1.1518944437423109</v>
      </c>
      <c r="J738" s="1009">
        <f t="shared" si="107"/>
        <v>2704</v>
      </c>
      <c r="K738" s="1009">
        <f t="shared" si="106"/>
        <v>1.6558669001677917</v>
      </c>
      <c r="L738" s="595"/>
      <c r="M738" s="595"/>
      <c r="N738" s="595"/>
      <c r="O738" s="595"/>
      <c r="P738" s="595"/>
      <c r="Q738" s="595"/>
    </row>
    <row r="739" spans="1:17">
      <c r="A739" s="1019" t="s">
        <v>1501</v>
      </c>
      <c r="B739" s="979" t="s">
        <v>420</v>
      </c>
      <c r="C739" s="979" t="s">
        <v>363</v>
      </c>
      <c r="D739" s="979" t="s">
        <v>1110</v>
      </c>
      <c r="E739" s="1022">
        <v>828</v>
      </c>
      <c r="F739" s="595"/>
      <c r="G739" s="1009">
        <f t="shared" si="108"/>
        <v>9.620000000000001</v>
      </c>
      <c r="H739" s="1012">
        <f t="shared" si="109"/>
        <v>7965.3600000000006</v>
      </c>
      <c r="I739" s="1011">
        <f t="shared" si="105"/>
        <v>0.14856458885596052</v>
      </c>
      <c r="J739" s="1009">
        <f t="shared" si="107"/>
        <v>828</v>
      </c>
      <c r="K739" s="1009">
        <f t="shared" si="106"/>
        <v>3.9313929313755049</v>
      </c>
      <c r="L739" s="1009"/>
      <c r="M739" s="595"/>
      <c r="N739" s="595"/>
      <c r="O739" s="595"/>
      <c r="P739" s="595"/>
      <c r="Q739" s="595"/>
    </row>
    <row r="740" spans="1:17">
      <c r="A740" s="1019" t="s">
        <v>1501</v>
      </c>
      <c r="B740" s="979" t="s">
        <v>420</v>
      </c>
      <c r="C740" s="979" t="s">
        <v>373</v>
      </c>
      <c r="D740" s="979" t="s">
        <v>1111</v>
      </c>
      <c r="E740" s="1022">
        <v>1211</v>
      </c>
      <c r="F740" s="595"/>
      <c r="G740" s="1009">
        <f t="shared" si="108"/>
        <v>10.770000000000001</v>
      </c>
      <c r="H740" s="1012">
        <f t="shared" si="109"/>
        <v>13042.470000000001</v>
      </c>
      <c r="I740" s="1011">
        <f t="shared" si="105"/>
        <v>0.24325946262519202</v>
      </c>
      <c r="J740" s="1009">
        <f t="shared" si="107"/>
        <v>1211</v>
      </c>
      <c r="K740" s="1009">
        <f t="shared" si="106"/>
        <v>3.5116063138191604</v>
      </c>
      <c r="L740" s="595"/>
      <c r="M740" s="595"/>
      <c r="N740" s="595"/>
      <c r="O740" s="595"/>
      <c r="P740" s="595"/>
      <c r="Q740" s="595"/>
    </row>
    <row r="741" spans="1:17">
      <c r="A741" s="1019" t="s">
        <v>1501</v>
      </c>
      <c r="B741" s="979" t="s">
        <v>420</v>
      </c>
      <c r="C741" s="979" t="s">
        <v>396</v>
      </c>
      <c r="D741" s="979" t="s">
        <v>1112</v>
      </c>
      <c r="E741" s="1022">
        <v>3811</v>
      </c>
      <c r="F741" s="595"/>
      <c r="G741" s="1009">
        <f t="shared" si="108"/>
        <v>11.16</v>
      </c>
      <c r="H741" s="1012">
        <f t="shared" si="109"/>
        <v>42530.76</v>
      </c>
      <c r="I741" s="1011">
        <f t="shared" si="105"/>
        <v>0.79325540504528758</v>
      </c>
      <c r="J741" s="1009">
        <f t="shared" si="107"/>
        <v>3811</v>
      </c>
      <c r="K741" s="1009">
        <f t="shared" si="106"/>
        <v>3.3888888888738675</v>
      </c>
      <c r="L741" s="595"/>
      <c r="M741" s="595"/>
      <c r="N741" s="595"/>
      <c r="O741" s="595"/>
      <c r="P741" s="595"/>
      <c r="Q741" s="595"/>
    </row>
    <row r="742" spans="1:17">
      <c r="A742" s="1019" t="s">
        <v>1501</v>
      </c>
      <c r="B742" s="979" t="s">
        <v>420</v>
      </c>
      <c r="C742" s="979" t="s">
        <v>351</v>
      </c>
      <c r="D742" s="979" t="s">
        <v>1113</v>
      </c>
      <c r="E742" s="1022">
        <v>283</v>
      </c>
      <c r="F742" s="595"/>
      <c r="G742" s="1009">
        <f t="shared" si="108"/>
        <v>33.100000000000009</v>
      </c>
      <c r="H742" s="1012">
        <f t="shared" si="109"/>
        <v>9367.3000000000029</v>
      </c>
      <c r="I742" s="1011">
        <f t="shared" si="105"/>
        <v>0.17471263987948307</v>
      </c>
      <c r="J742" s="1009">
        <f t="shared" si="107"/>
        <v>283</v>
      </c>
      <c r="K742" s="1009">
        <f t="shared" si="106"/>
        <v>1.1425981873061133</v>
      </c>
      <c r="L742" s="595"/>
      <c r="M742" s="595"/>
      <c r="N742" s="595"/>
      <c r="O742" s="595"/>
      <c r="P742" s="595"/>
      <c r="Q742" s="595"/>
    </row>
    <row r="743" spans="1:17">
      <c r="A743" s="1019" t="s">
        <v>1501</v>
      </c>
      <c r="B743" s="979" t="s">
        <v>420</v>
      </c>
      <c r="C743" s="979" t="s">
        <v>314</v>
      </c>
      <c r="D743" s="979" t="s">
        <v>1114</v>
      </c>
      <c r="E743" s="1022">
        <v>68</v>
      </c>
      <c r="F743" s="595"/>
      <c r="G743" s="1009">
        <f t="shared" si="108"/>
        <v>55.250000000000007</v>
      </c>
      <c r="H743" s="1012">
        <f t="shared" si="109"/>
        <v>3757.0000000000005</v>
      </c>
      <c r="I743" s="1011">
        <f t="shared" si="105"/>
        <v>7.007306139733091E-2</v>
      </c>
      <c r="J743" s="1009">
        <f t="shared" si="107"/>
        <v>68</v>
      </c>
      <c r="K743" s="1009">
        <f t="shared" si="106"/>
        <v>0.68452488687479385</v>
      </c>
      <c r="L743" s="595"/>
      <c r="M743" s="595"/>
      <c r="N743" s="595"/>
      <c r="O743" s="595"/>
      <c r="P743" s="595"/>
      <c r="Q743" s="595"/>
    </row>
    <row r="744" spans="1:17">
      <c r="A744" s="1019" t="s">
        <v>1501</v>
      </c>
      <c r="B744" s="979" t="s">
        <v>420</v>
      </c>
      <c r="C744" s="979" t="s">
        <v>355</v>
      </c>
      <c r="D744" s="979" t="s">
        <v>1115</v>
      </c>
      <c r="E744" s="1022">
        <v>3586</v>
      </c>
      <c r="F744" s="595"/>
      <c r="G744" s="1009">
        <f t="shared" si="108"/>
        <v>10.49</v>
      </c>
      <c r="H744" s="1012">
        <f t="shared" si="109"/>
        <v>37617.14</v>
      </c>
      <c r="I744" s="1011">
        <f t="shared" si="105"/>
        <v>0.70160983785253983</v>
      </c>
      <c r="J744" s="1009">
        <f t="shared" si="107"/>
        <v>3586</v>
      </c>
      <c r="K744" s="1009">
        <f t="shared" si="106"/>
        <v>3.6053384175245338</v>
      </c>
      <c r="L744" s="595"/>
      <c r="M744" s="595"/>
      <c r="N744" s="595"/>
      <c r="O744" s="595"/>
      <c r="P744" s="595"/>
      <c r="Q744" s="595"/>
    </row>
    <row r="745" spans="1:17">
      <c r="A745" s="1019" t="s">
        <v>1501</v>
      </c>
      <c r="B745" s="979" t="s">
        <v>420</v>
      </c>
      <c r="C745" s="979" t="s">
        <v>364</v>
      </c>
      <c r="D745" s="979" t="s">
        <v>1116</v>
      </c>
      <c r="E745" s="1022">
        <v>8391</v>
      </c>
      <c r="F745" s="595"/>
      <c r="G745" s="1009">
        <f t="shared" si="108"/>
        <v>11.600000000000001</v>
      </c>
      <c r="H745" s="1012">
        <f t="shared" si="109"/>
        <v>97335.6</v>
      </c>
      <c r="I745" s="1011">
        <f t="shared" si="105"/>
        <v>1.8154387742736338</v>
      </c>
      <c r="J745" s="1009">
        <f t="shared" si="107"/>
        <v>8391</v>
      </c>
      <c r="K745" s="1009">
        <f t="shared" si="106"/>
        <v>3.260344827571755</v>
      </c>
      <c r="L745" s="595"/>
      <c r="M745" s="595"/>
      <c r="N745" s="595"/>
      <c r="O745" s="595"/>
      <c r="P745" s="595"/>
      <c r="Q745" s="595"/>
    </row>
    <row r="746" spans="1:17">
      <c r="A746" s="1019" t="s">
        <v>1501</v>
      </c>
      <c r="B746" s="979" t="s">
        <v>420</v>
      </c>
      <c r="C746" s="979" t="s">
        <v>387</v>
      </c>
      <c r="D746" s="979" t="s">
        <v>1117</v>
      </c>
      <c r="E746" s="1022">
        <v>3288</v>
      </c>
      <c r="F746" s="595"/>
      <c r="G746" s="1009">
        <f t="shared" si="108"/>
        <v>12.3</v>
      </c>
      <c r="H746" s="1012">
        <f t="shared" si="109"/>
        <v>40442.400000000001</v>
      </c>
      <c r="I746" s="1011">
        <f t="shared" si="105"/>
        <v>0.7543047054179971</v>
      </c>
      <c r="J746" s="1009">
        <f t="shared" si="107"/>
        <v>3288</v>
      </c>
      <c r="K746" s="1009">
        <f t="shared" si="106"/>
        <v>3.0747967479538505</v>
      </c>
      <c r="L746" s="595"/>
      <c r="M746" s="595"/>
      <c r="N746" s="595"/>
      <c r="O746" s="595"/>
      <c r="P746" s="595"/>
      <c r="Q746" s="595"/>
    </row>
    <row r="747" spans="1:17">
      <c r="A747" s="1019" t="s">
        <v>1501</v>
      </c>
      <c r="B747" s="979" t="s">
        <v>420</v>
      </c>
      <c r="C747" s="979" t="s">
        <v>344</v>
      </c>
      <c r="D747" s="979" t="s">
        <v>1118</v>
      </c>
      <c r="E747" s="1022">
        <v>4910</v>
      </c>
      <c r="F747" s="595"/>
      <c r="G747" s="1009">
        <f t="shared" si="108"/>
        <v>17.41</v>
      </c>
      <c r="H747" s="1012">
        <f t="shared" si="109"/>
        <v>85483.1</v>
      </c>
      <c r="I747" s="1011">
        <f t="shared" si="105"/>
        <v>1.5943738394288469</v>
      </c>
      <c r="J747" s="1009">
        <f t="shared" si="107"/>
        <v>4910</v>
      </c>
      <c r="K747" s="1009">
        <f t="shared" si="106"/>
        <v>2.1723147616216174</v>
      </c>
      <c r="L747" s="595"/>
      <c r="M747" s="595"/>
      <c r="N747" s="595"/>
      <c r="O747" s="595"/>
      <c r="P747" s="595"/>
      <c r="Q747" s="595"/>
    </row>
    <row r="748" spans="1:17">
      <c r="A748" s="1019" t="s">
        <v>1501</v>
      </c>
      <c r="B748" s="979" t="s">
        <v>420</v>
      </c>
      <c r="C748" s="979" t="s">
        <v>376</v>
      </c>
      <c r="D748" s="979" t="s">
        <v>1119</v>
      </c>
      <c r="E748" s="1022">
        <v>470</v>
      </c>
      <c r="F748" s="595"/>
      <c r="G748" s="1009">
        <f t="shared" si="108"/>
        <v>24.46</v>
      </c>
      <c r="H748" s="1012">
        <f t="shared" si="109"/>
        <v>11496.2</v>
      </c>
      <c r="I748" s="1011">
        <f t="shared" si="105"/>
        <v>0.2144194645823784</v>
      </c>
      <c r="J748" s="1009">
        <f t="shared" si="107"/>
        <v>470</v>
      </c>
      <c r="K748" s="1009">
        <f t="shared" si="106"/>
        <v>1.5461978740732771</v>
      </c>
      <c r="L748" s="595"/>
      <c r="M748" s="595"/>
      <c r="N748" s="595"/>
      <c r="O748" s="595"/>
      <c r="P748" s="595"/>
      <c r="Q748" s="595"/>
    </row>
    <row r="749" spans="1:17">
      <c r="A749" s="1019" t="s">
        <v>1501</v>
      </c>
      <c r="B749" s="979" t="s">
        <v>420</v>
      </c>
      <c r="C749" s="979" t="s">
        <v>374</v>
      </c>
      <c r="D749" s="979" t="s">
        <v>1120</v>
      </c>
      <c r="E749" s="1022">
        <v>4455</v>
      </c>
      <c r="F749" s="595"/>
      <c r="G749" s="1009">
        <f t="shared" ref="G749:G765" si="110">SUMIF(_Lights_Tariff_Category,20140101&amp;$C749,_Lights_Rates)</f>
        <v>16.79</v>
      </c>
      <c r="H749" s="1012">
        <f t="shared" ref="H749:H765" si="111">E749*G749</f>
        <v>74799.45</v>
      </c>
      <c r="I749" s="1011">
        <f t="shared" si="105"/>
        <v>1.3951095161928619</v>
      </c>
      <c r="J749" s="1009">
        <f t="shared" si="107"/>
        <v>4455</v>
      </c>
      <c r="K749" s="1009">
        <f t="shared" si="106"/>
        <v>2.2525312686022851</v>
      </c>
      <c r="L749" s="595"/>
      <c r="M749" s="595"/>
      <c r="N749" s="595"/>
      <c r="O749" s="595"/>
      <c r="P749" s="595"/>
      <c r="Q749" s="595"/>
    </row>
    <row r="750" spans="1:17">
      <c r="A750" s="1019" t="s">
        <v>1501</v>
      </c>
      <c r="B750" s="979" t="s">
        <v>420</v>
      </c>
      <c r="C750" s="979" t="s">
        <v>398</v>
      </c>
      <c r="D750" s="979" t="s">
        <v>1121</v>
      </c>
      <c r="E750" s="1022">
        <v>1033</v>
      </c>
      <c r="F750" s="595"/>
      <c r="G750" s="1009">
        <f t="shared" si="110"/>
        <v>20.97</v>
      </c>
      <c r="H750" s="1012">
        <f t="shared" si="111"/>
        <v>21662.01</v>
      </c>
      <c r="I750" s="1011">
        <f t="shared" ref="I750:I765" si="112">H750/$L$689*$L$690</f>
        <v>0.40402538108054187</v>
      </c>
      <c r="J750" s="1009">
        <f t="shared" si="107"/>
        <v>1033</v>
      </c>
      <c r="K750" s="1009">
        <f t="shared" ref="K750:K765" si="113">$L$690/G750</f>
        <v>1.8035288507311571</v>
      </c>
      <c r="L750" s="595"/>
      <c r="M750" s="595"/>
      <c r="N750" s="595"/>
      <c r="O750" s="595"/>
      <c r="P750" s="595"/>
      <c r="Q750" s="595"/>
    </row>
    <row r="751" spans="1:17">
      <c r="A751" s="1019" t="s">
        <v>1501</v>
      </c>
      <c r="B751" s="979" t="s">
        <v>420</v>
      </c>
      <c r="C751" s="979" t="s">
        <v>348</v>
      </c>
      <c r="D751" s="979" t="s">
        <v>1122</v>
      </c>
      <c r="E751" s="1022">
        <v>1364</v>
      </c>
      <c r="F751" s="595"/>
      <c r="G751" s="1009">
        <f t="shared" si="110"/>
        <v>26.86</v>
      </c>
      <c r="H751" s="1012">
        <f t="shared" si="111"/>
        <v>36637.040000000001</v>
      </c>
      <c r="I751" s="1011">
        <f t="shared" si="112"/>
        <v>0.68332966551409857</v>
      </c>
      <c r="J751" s="1009">
        <f t="shared" si="107"/>
        <v>1364</v>
      </c>
      <c r="K751" s="1009">
        <f t="shared" si="113"/>
        <v>1.4080416976854937</v>
      </c>
      <c r="L751" s="595"/>
      <c r="M751" s="595"/>
      <c r="N751" s="595"/>
      <c r="O751" s="595"/>
      <c r="P751" s="595"/>
      <c r="Q751" s="595"/>
    </row>
    <row r="752" spans="1:17">
      <c r="A752" s="1019" t="s">
        <v>1501</v>
      </c>
      <c r="B752" s="979" t="s">
        <v>420</v>
      </c>
      <c r="C752" s="979" t="s">
        <v>380</v>
      </c>
      <c r="D752" s="979" t="s">
        <v>1123</v>
      </c>
      <c r="E752" s="1022">
        <v>889</v>
      </c>
      <c r="F752" s="595"/>
      <c r="G752" s="1009">
        <f t="shared" si="110"/>
        <v>33.119999999999997</v>
      </c>
      <c r="H752" s="1012">
        <f t="shared" si="111"/>
        <v>29443.679999999997</v>
      </c>
      <c r="I752" s="1011">
        <f t="shared" si="112"/>
        <v>0.54916390641558788</v>
      </c>
      <c r="J752" s="1009">
        <f t="shared" ref="J752:J764" si="114">ROUND((H752+I752)/G752,0)</f>
        <v>889</v>
      </c>
      <c r="K752" s="1009">
        <f t="shared" si="113"/>
        <v>1.141908212555325</v>
      </c>
      <c r="L752" s="595"/>
      <c r="M752" s="595"/>
      <c r="N752" s="595"/>
      <c r="O752" s="595"/>
      <c r="P752" s="595"/>
      <c r="Q752" s="595"/>
    </row>
    <row r="753" spans="1:17">
      <c r="A753" s="1019" t="s">
        <v>1501</v>
      </c>
      <c r="B753" s="979" t="s">
        <v>420</v>
      </c>
      <c r="C753" s="979" t="s">
        <v>399</v>
      </c>
      <c r="D753" s="979" t="s">
        <v>1124</v>
      </c>
      <c r="E753" s="1022">
        <v>10616</v>
      </c>
      <c r="F753" s="595"/>
      <c r="G753" s="1009">
        <f t="shared" si="110"/>
        <v>9</v>
      </c>
      <c r="H753" s="1012">
        <f t="shared" si="111"/>
        <v>95544</v>
      </c>
      <c r="I753" s="1011">
        <f t="shared" si="112"/>
        <v>1.7820230444893754</v>
      </c>
      <c r="J753" s="1009">
        <f t="shared" si="114"/>
        <v>10616</v>
      </c>
      <c r="K753" s="1009">
        <f t="shared" si="113"/>
        <v>4.2022222222035959</v>
      </c>
      <c r="L753" s="595"/>
      <c r="M753" s="595"/>
      <c r="N753" s="595"/>
      <c r="O753" s="595"/>
      <c r="P753" s="595"/>
      <c r="Q753" s="595"/>
    </row>
    <row r="754" spans="1:17">
      <c r="A754" s="1019" t="s">
        <v>1501</v>
      </c>
      <c r="B754" s="979" t="s">
        <v>420</v>
      </c>
      <c r="C754" s="979" t="s">
        <v>349</v>
      </c>
      <c r="D754" s="979" t="s">
        <v>1125</v>
      </c>
      <c r="E754" s="1022">
        <v>6292</v>
      </c>
      <c r="F754" s="595"/>
      <c r="G754" s="1009">
        <f t="shared" si="110"/>
        <v>13.639999999999999</v>
      </c>
      <c r="H754" s="1012">
        <f t="shared" si="111"/>
        <v>85822.87999999999</v>
      </c>
      <c r="I754" s="1011">
        <f t="shared" si="112"/>
        <v>1.6007111896555128</v>
      </c>
      <c r="J754" s="1009">
        <f t="shared" si="114"/>
        <v>6292</v>
      </c>
      <c r="K754" s="1009">
        <f t="shared" si="113"/>
        <v>2.7727272727149828</v>
      </c>
      <c r="L754" s="595"/>
      <c r="M754" s="595"/>
      <c r="N754" s="595"/>
      <c r="O754" s="595"/>
      <c r="P754" s="595"/>
      <c r="Q754" s="595"/>
    </row>
    <row r="755" spans="1:17">
      <c r="A755" s="1019" t="s">
        <v>1501</v>
      </c>
      <c r="B755" s="979" t="s">
        <v>420</v>
      </c>
      <c r="C755" s="979" t="s">
        <v>381</v>
      </c>
      <c r="D755" s="979" t="s">
        <v>1126</v>
      </c>
      <c r="E755" s="1022">
        <v>7976</v>
      </c>
      <c r="F755" s="595"/>
      <c r="G755" s="1009">
        <f t="shared" si="110"/>
        <v>19.46</v>
      </c>
      <c r="H755" s="1012">
        <f t="shared" si="111"/>
        <v>155212.96000000002</v>
      </c>
      <c r="I755" s="1011">
        <f t="shared" si="112"/>
        <v>2.8949287398832753</v>
      </c>
      <c r="J755" s="1009">
        <f t="shared" si="114"/>
        <v>7976</v>
      </c>
      <c r="K755" s="1009">
        <f t="shared" si="113"/>
        <v>1.9434737923860412</v>
      </c>
      <c r="L755" s="595"/>
      <c r="M755" s="595"/>
      <c r="N755" s="595"/>
      <c r="O755" s="595"/>
      <c r="P755" s="595"/>
      <c r="Q755" s="595"/>
    </row>
    <row r="756" spans="1:17">
      <c r="A756" s="1019" t="s">
        <v>1501</v>
      </c>
      <c r="B756" s="979" t="s">
        <v>420</v>
      </c>
      <c r="C756" s="979" t="s">
        <v>321</v>
      </c>
      <c r="D756" s="979" t="s">
        <v>1127</v>
      </c>
      <c r="E756" s="1022">
        <v>56</v>
      </c>
      <c r="F756" s="595"/>
      <c r="G756" s="1009">
        <f t="shared" si="110"/>
        <v>15.47</v>
      </c>
      <c r="H756" s="1012">
        <f t="shared" si="111"/>
        <v>866.32</v>
      </c>
      <c r="I756" s="1011">
        <f t="shared" si="112"/>
        <v>1.6158023569266891E-2</v>
      </c>
      <c r="J756" s="1009">
        <f t="shared" si="114"/>
        <v>56</v>
      </c>
      <c r="K756" s="1009">
        <f t="shared" si="113"/>
        <v>2.4447317388385494</v>
      </c>
      <c r="L756" s="595"/>
      <c r="M756" s="595"/>
      <c r="N756" s="595"/>
      <c r="O756" s="595"/>
      <c r="P756" s="595"/>
      <c r="Q756" s="595"/>
    </row>
    <row r="757" spans="1:17">
      <c r="A757" s="1019" t="s">
        <v>1501</v>
      </c>
      <c r="B757" s="979" t="s">
        <v>420</v>
      </c>
      <c r="C757" s="979" t="s">
        <v>353</v>
      </c>
      <c r="D757" s="979" t="s">
        <v>1128</v>
      </c>
      <c r="E757" s="1022">
        <v>311</v>
      </c>
      <c r="F757" s="595"/>
      <c r="G757" s="1009">
        <f t="shared" si="110"/>
        <v>21.930000000000003</v>
      </c>
      <c r="H757" s="1012">
        <f t="shared" si="111"/>
        <v>6820.2300000000014</v>
      </c>
      <c r="I757" s="1011">
        <f t="shared" si="112"/>
        <v>0.12720638688685607</v>
      </c>
      <c r="J757" s="1009">
        <f t="shared" si="114"/>
        <v>311</v>
      </c>
      <c r="K757" s="1009">
        <f t="shared" si="113"/>
        <v>1.7245782033667285</v>
      </c>
      <c r="L757" s="595"/>
      <c r="M757" s="595"/>
      <c r="N757" s="595"/>
      <c r="O757" s="595"/>
      <c r="P757" s="595"/>
      <c r="Q757" s="595"/>
    </row>
    <row r="758" spans="1:17">
      <c r="A758" s="1019" t="s">
        <v>1501</v>
      </c>
      <c r="B758" s="979" t="s">
        <v>420</v>
      </c>
      <c r="C758" s="979" t="s">
        <v>678</v>
      </c>
      <c r="D758" s="979" t="s">
        <v>1129</v>
      </c>
      <c r="E758" s="1022">
        <v>2</v>
      </c>
      <c r="F758" s="595"/>
      <c r="G758" s="1009">
        <f t="shared" si="110"/>
        <v>15.370000000000001</v>
      </c>
      <c r="H758" s="1012">
        <f t="shared" si="111"/>
        <v>30.740000000000002</v>
      </c>
      <c r="I758" s="1011">
        <f t="shared" si="112"/>
        <v>5.7334200355441903E-4</v>
      </c>
      <c r="J758" s="1009">
        <f t="shared" si="114"/>
        <v>2</v>
      </c>
      <c r="K758" s="1009">
        <f t="shared" si="113"/>
        <v>2.4606376057145321</v>
      </c>
      <c r="L758" s="595"/>
      <c r="M758" s="595"/>
      <c r="N758" s="595"/>
      <c r="O758" s="595"/>
      <c r="P758" s="595"/>
      <c r="Q758" s="595"/>
    </row>
    <row r="759" spans="1:17">
      <c r="A759" s="1019" t="s">
        <v>1501</v>
      </c>
      <c r="B759" s="979" t="s">
        <v>420</v>
      </c>
      <c r="C759" s="979" t="s">
        <v>316</v>
      </c>
      <c r="D759" s="979" t="s">
        <v>1130</v>
      </c>
      <c r="E759" s="1022">
        <v>48</v>
      </c>
      <c r="F759" s="595"/>
      <c r="G759" s="1009">
        <f t="shared" si="110"/>
        <v>45.7</v>
      </c>
      <c r="H759" s="1012">
        <f t="shared" si="111"/>
        <v>2193.6000000000004</v>
      </c>
      <c r="I759" s="1011">
        <f t="shared" si="112"/>
        <v>4.091356600510649E-2</v>
      </c>
      <c r="J759" s="1009">
        <f t="shared" si="114"/>
        <v>48</v>
      </c>
      <c r="K759" s="1009">
        <f t="shared" si="113"/>
        <v>0.82757111597007349</v>
      </c>
      <c r="L759" s="595"/>
      <c r="M759" s="595"/>
      <c r="N759" s="595"/>
      <c r="O759" s="595"/>
      <c r="P759" s="595"/>
      <c r="Q759" s="595"/>
    </row>
    <row r="760" spans="1:17">
      <c r="A760" s="1019" t="s">
        <v>1501</v>
      </c>
      <c r="B760" s="979" t="s">
        <v>420</v>
      </c>
      <c r="C760" s="979" t="s">
        <v>318</v>
      </c>
      <c r="D760" s="979" t="s">
        <v>1131</v>
      </c>
      <c r="E760" s="1022">
        <v>191</v>
      </c>
      <c r="F760" s="595"/>
      <c r="G760" s="1009">
        <f t="shared" si="110"/>
        <v>28.37</v>
      </c>
      <c r="H760" s="1012">
        <f t="shared" si="111"/>
        <v>5418.67</v>
      </c>
      <c r="I760" s="1011">
        <f t="shared" si="112"/>
        <v>0.10106542337020895</v>
      </c>
      <c r="J760" s="1009">
        <f t="shared" si="114"/>
        <v>191</v>
      </c>
      <c r="K760" s="1009">
        <f t="shared" si="113"/>
        <v>1.3330983433144998</v>
      </c>
      <c r="L760" s="595"/>
      <c r="M760" s="595"/>
      <c r="N760" s="595"/>
      <c r="O760" s="595"/>
      <c r="P760" s="595"/>
      <c r="Q760" s="595"/>
    </row>
    <row r="761" spans="1:17">
      <c r="A761" s="1019" t="s">
        <v>1501</v>
      </c>
      <c r="B761" s="979" t="s">
        <v>420</v>
      </c>
      <c r="C761" s="979" t="s">
        <v>350</v>
      </c>
      <c r="D761" s="979" t="s">
        <v>1132</v>
      </c>
      <c r="E761" s="1022">
        <v>612</v>
      </c>
      <c r="F761" s="595"/>
      <c r="G761" s="1009">
        <f t="shared" si="110"/>
        <v>34.830000000000005</v>
      </c>
      <c r="H761" s="1012">
        <f t="shared" si="111"/>
        <v>21315.960000000003</v>
      </c>
      <c r="I761" s="1011">
        <f t="shared" si="112"/>
        <v>0.39757108699043114</v>
      </c>
      <c r="J761" s="1009">
        <f t="shared" si="114"/>
        <v>612</v>
      </c>
      <c r="K761" s="1009">
        <f t="shared" si="113"/>
        <v>1.0858455354531253</v>
      </c>
      <c r="L761" s="595"/>
      <c r="M761" s="595"/>
      <c r="N761" s="595"/>
      <c r="O761" s="595"/>
      <c r="P761" s="595"/>
      <c r="Q761" s="595"/>
    </row>
    <row r="762" spans="1:17">
      <c r="A762" s="1019" t="s">
        <v>1501</v>
      </c>
      <c r="B762" s="979" t="s">
        <v>420</v>
      </c>
      <c r="C762" s="979" t="s">
        <v>313</v>
      </c>
      <c r="D762" s="979" t="s">
        <v>1133</v>
      </c>
      <c r="E762" s="1022">
        <v>159</v>
      </c>
      <c r="F762" s="595"/>
      <c r="G762" s="1009">
        <f t="shared" si="110"/>
        <v>58.59</v>
      </c>
      <c r="H762" s="1012">
        <f t="shared" si="111"/>
        <v>9315.8100000000013</v>
      </c>
      <c r="I762" s="1011">
        <f t="shared" si="112"/>
        <v>0.17375228269786244</v>
      </c>
      <c r="J762" s="1009">
        <f t="shared" si="114"/>
        <v>159</v>
      </c>
      <c r="K762" s="1009">
        <f t="shared" si="113"/>
        <v>0.64550264549978431</v>
      </c>
      <c r="L762" s="1009"/>
      <c r="M762" s="595"/>
      <c r="N762" s="595"/>
      <c r="O762" s="595"/>
      <c r="P762" s="595"/>
      <c r="Q762" s="595"/>
    </row>
    <row r="763" spans="1:17">
      <c r="A763" s="1019" t="s">
        <v>1501</v>
      </c>
      <c r="B763" s="979" t="s">
        <v>420</v>
      </c>
      <c r="C763" s="979" t="s">
        <v>650</v>
      </c>
      <c r="D763" s="979" t="s">
        <v>1151</v>
      </c>
      <c r="E763" s="1022">
        <v>7</v>
      </c>
      <c r="F763" s="595"/>
      <c r="G763" s="1009">
        <f t="shared" si="110"/>
        <v>15.35</v>
      </c>
      <c r="H763" s="1012">
        <f t="shared" si="111"/>
        <v>107.45</v>
      </c>
      <c r="I763" s="1011">
        <f t="shared" si="112"/>
        <v>2.0040858256968872E-3</v>
      </c>
      <c r="J763" s="1009">
        <f t="shared" si="114"/>
        <v>7</v>
      </c>
      <c r="K763" s="1009">
        <f t="shared" si="113"/>
        <v>2.4638436481975479</v>
      </c>
      <c r="L763" s="595"/>
      <c r="M763" s="595"/>
      <c r="N763" s="595"/>
      <c r="O763" s="595"/>
      <c r="P763" s="595"/>
      <c r="Q763" s="595"/>
    </row>
    <row r="764" spans="1:17">
      <c r="A764" s="1019" t="s">
        <v>1501</v>
      </c>
      <c r="B764" s="979" t="s">
        <v>420</v>
      </c>
      <c r="C764" s="979" t="s">
        <v>447</v>
      </c>
      <c r="D764" s="979" t="s">
        <v>1134</v>
      </c>
      <c r="E764" s="1022">
        <v>20</v>
      </c>
      <c r="F764" s="595"/>
      <c r="G764" s="1009">
        <f t="shared" si="110"/>
        <v>17.72</v>
      </c>
      <c r="H764" s="1012">
        <f t="shared" si="111"/>
        <v>354.4</v>
      </c>
      <c r="I764" s="1011">
        <f t="shared" si="112"/>
        <v>6.6100327280314269E-3</v>
      </c>
      <c r="J764" s="1009">
        <f t="shared" si="114"/>
        <v>20</v>
      </c>
      <c r="K764" s="1009">
        <f t="shared" si="113"/>
        <v>2.1343115124058896</v>
      </c>
      <c r="L764" s="595"/>
      <c r="M764" s="595"/>
      <c r="N764" s="595"/>
      <c r="O764" s="595"/>
      <c r="P764" s="595"/>
      <c r="Q764" s="595"/>
    </row>
    <row r="765" spans="1:17">
      <c r="A765" s="1019" t="s">
        <v>1501</v>
      </c>
      <c r="B765" s="979" t="s">
        <v>420</v>
      </c>
      <c r="C765" s="979" t="s">
        <v>624</v>
      </c>
      <c r="D765" s="979" t="s">
        <v>1135</v>
      </c>
      <c r="E765" s="1022">
        <v>19</v>
      </c>
      <c r="F765" s="595"/>
      <c r="G765" s="1009">
        <f t="shared" si="110"/>
        <v>21.490000000000002</v>
      </c>
      <c r="H765" s="1012">
        <f t="shared" si="111"/>
        <v>408.31000000000006</v>
      </c>
      <c r="I765" s="1011">
        <f t="shared" si="112"/>
        <v>7.6155261376481724E-3</v>
      </c>
      <c r="J765" s="1009">
        <f t="shared" ref="J765" si="115">ROUND((H765+I765)/G765,0)</f>
        <v>19</v>
      </c>
      <c r="K765" s="1009">
        <f t="shared" si="113"/>
        <v>1.7598883201411055</v>
      </c>
      <c r="L765" s="595"/>
      <c r="M765" s="595"/>
      <c r="N765" s="595"/>
      <c r="O765" s="595"/>
      <c r="P765" s="595"/>
      <c r="Q765" s="595"/>
    </row>
    <row r="766" spans="1:17">
      <c r="A766" s="1019" t="s">
        <v>1501</v>
      </c>
      <c r="B766" s="979" t="s">
        <v>420</v>
      </c>
      <c r="C766" s="1021" t="s">
        <v>8</v>
      </c>
      <c r="D766" s="1021"/>
      <c r="E766" s="1015"/>
      <c r="F766" s="595"/>
      <c r="H766" s="1037">
        <f>SUM(H685:H765)</f>
        <v>2027737.01</v>
      </c>
    </row>
    <row r="767" spans="1:17">
      <c r="A767" s="1019"/>
      <c r="B767" s="979"/>
      <c r="C767" s="979"/>
      <c r="D767" s="979"/>
      <c r="E767" s="980"/>
      <c r="F767" s="595"/>
    </row>
    <row r="768" spans="1:17">
      <c r="A768" s="1019"/>
      <c r="B768" s="979"/>
      <c r="C768" s="979"/>
      <c r="D768" s="979"/>
      <c r="E768" s="980"/>
      <c r="F768" s="595"/>
    </row>
    <row r="769" spans="1:17">
      <c r="A769" s="1019" t="s">
        <v>1502</v>
      </c>
      <c r="B769" s="979" t="s">
        <v>420</v>
      </c>
      <c r="C769" s="979" t="s">
        <v>323</v>
      </c>
      <c r="D769" s="979" t="s">
        <v>1056</v>
      </c>
      <c r="E769" s="1022">
        <v>172</v>
      </c>
      <c r="F769" s="595"/>
      <c r="G769" s="1009">
        <f t="shared" ref="G769:G800" si="116">SUMIF(_Lights_Tariff_Category,20140101&amp;$C769,_Lights_Rates)</f>
        <v>55.33</v>
      </c>
      <c r="H769" s="1012">
        <f t="shared" ref="H769:H800" si="117">E769*G769</f>
        <v>9516.76</v>
      </c>
      <c r="I769" s="1011">
        <f>H769/$L$774*$L$775</f>
        <v>-7.7525201722838874E-2</v>
      </c>
      <c r="J769" s="1009">
        <f>ROUND((H769+I769)/G769,0)</f>
        <v>172</v>
      </c>
      <c r="K769" s="1009">
        <f>$L$775/G769</f>
        <v>-0.30670522320992033</v>
      </c>
      <c r="L769" s="595"/>
      <c r="M769" s="595"/>
      <c r="N769" s="595"/>
      <c r="O769" s="595"/>
      <c r="P769" s="595"/>
    </row>
    <row r="770" spans="1:17">
      <c r="A770" s="1019" t="s">
        <v>1502</v>
      </c>
      <c r="B770" s="979" t="s">
        <v>420</v>
      </c>
      <c r="C770" s="979" t="s">
        <v>328</v>
      </c>
      <c r="D770" s="979" t="s">
        <v>1057</v>
      </c>
      <c r="E770" s="1022">
        <v>26</v>
      </c>
      <c r="F770" s="595"/>
      <c r="G770" s="1009">
        <f t="shared" si="116"/>
        <v>83.16</v>
      </c>
      <c r="H770" s="1012">
        <f t="shared" si="117"/>
        <v>2162.16</v>
      </c>
      <c r="I770" s="1011">
        <f t="shared" ref="I770:I833" si="118">H770/$L$774*$L$775</f>
        <v>-1.761333585769246E-2</v>
      </c>
      <c r="J770" s="1009">
        <f>ROUND((H770+I770)/G770,0)</f>
        <v>26</v>
      </c>
      <c r="K770" s="1009">
        <f>$L$775/G770</f>
        <v>-0.20406445406691789</v>
      </c>
      <c r="L770" s="1020">
        <f>'12MonLights'!$O$881</f>
        <v>2094086</v>
      </c>
      <c r="M770" s="595" t="s">
        <v>1529</v>
      </c>
      <c r="N770" s="595"/>
      <c r="O770" s="595"/>
      <c r="P770" s="595"/>
      <c r="Q770" s="1010" t="s">
        <v>1543</v>
      </c>
    </row>
    <row r="771" spans="1:17">
      <c r="A771" s="1019" t="s">
        <v>1502</v>
      </c>
      <c r="B771" s="979" t="s">
        <v>420</v>
      </c>
      <c r="C771" s="979" t="s">
        <v>331</v>
      </c>
      <c r="D771" s="979" t="s">
        <v>1058</v>
      </c>
      <c r="E771" s="1022">
        <v>44</v>
      </c>
      <c r="F771" s="595"/>
      <c r="G771" s="1009">
        <f t="shared" si="116"/>
        <v>59.78</v>
      </c>
      <c r="H771" s="1012">
        <f t="shared" si="117"/>
        <v>2630.32</v>
      </c>
      <c r="I771" s="1011">
        <f t="shared" si="118"/>
        <v>-2.1427049604657213E-2</v>
      </c>
      <c r="J771" s="1009">
        <f>ROUND((H771+I771)/G771,0)</f>
        <v>44</v>
      </c>
      <c r="K771" s="1009">
        <f t="shared" ref="K771:K834" si="119">$L$775/G771</f>
        <v>-0.28387420542330027</v>
      </c>
      <c r="L771" s="1011">
        <f>'12MonResults'!$AE$374</f>
        <v>877.38</v>
      </c>
      <c r="M771" s="595" t="s">
        <v>1531</v>
      </c>
      <c r="N771" s="595"/>
      <c r="O771" s="595"/>
      <c r="P771" s="595"/>
      <c r="Q771" s="595"/>
    </row>
    <row r="772" spans="1:17" ht="13.5">
      <c r="A772" s="1019" t="s">
        <v>1502</v>
      </c>
      <c r="B772" s="979" t="s">
        <v>420</v>
      </c>
      <c r="C772" s="979" t="s">
        <v>332</v>
      </c>
      <c r="D772" s="979" t="s">
        <v>1059</v>
      </c>
      <c r="E772" s="1022">
        <v>5</v>
      </c>
      <c r="F772" s="595"/>
      <c r="G772" s="1009">
        <f t="shared" si="116"/>
        <v>61.75</v>
      </c>
      <c r="H772" s="1012">
        <f t="shared" si="117"/>
        <v>308.75</v>
      </c>
      <c r="I772" s="1011">
        <f t="shared" si="118"/>
        <v>-2.5151318339357619E-3</v>
      </c>
      <c r="J772" s="1009">
        <f>ROUND((H772+I772)/G772,0)</f>
        <v>5</v>
      </c>
      <c r="K772" s="1009">
        <f t="shared" si="119"/>
        <v>-0.27481781376850029</v>
      </c>
      <c r="L772" s="1013">
        <f>'12MonResults'!$AE$376</f>
        <v>10039.560000000001</v>
      </c>
      <c r="M772" s="1014" t="s">
        <v>1532</v>
      </c>
      <c r="N772" s="595"/>
      <c r="O772" s="595"/>
      <c r="P772" s="595"/>
      <c r="Q772" s="595"/>
    </row>
    <row r="773" spans="1:17">
      <c r="A773" s="1019" t="s">
        <v>1502</v>
      </c>
      <c r="B773" s="979" t="s">
        <v>420</v>
      </c>
      <c r="C773" s="979" t="s">
        <v>333</v>
      </c>
      <c r="D773" s="979" t="s">
        <v>1060</v>
      </c>
      <c r="E773" s="1022">
        <v>1</v>
      </c>
      <c r="F773" s="595"/>
      <c r="G773" s="1009">
        <f t="shared" si="116"/>
        <v>63.11</v>
      </c>
      <c r="H773" s="1012">
        <f t="shared" si="117"/>
        <v>63.11</v>
      </c>
      <c r="I773" s="1011">
        <f t="shared" si="118"/>
        <v>-5.1410516612044026E-4</v>
      </c>
      <c r="J773" s="1009">
        <f t="shared" ref="J773:J836" si="120">ROUND((H773+I773)/G773,0)</f>
        <v>1</v>
      </c>
      <c r="K773" s="1009">
        <f t="shared" si="119"/>
        <v>-0.26889557915076678</v>
      </c>
      <c r="L773" s="1011">
        <f>L770-L771-L772</f>
        <v>2083169.06</v>
      </c>
      <c r="M773" s="595" t="s">
        <v>1533</v>
      </c>
      <c r="N773" s="595"/>
      <c r="O773" s="595"/>
      <c r="P773" s="595"/>
      <c r="Q773" s="595"/>
    </row>
    <row r="774" spans="1:17">
      <c r="A774" s="1019" t="s">
        <v>1502</v>
      </c>
      <c r="B774" s="979" t="s">
        <v>420</v>
      </c>
      <c r="C774" s="979" t="s">
        <v>335</v>
      </c>
      <c r="D774" s="979" t="s">
        <v>1061</v>
      </c>
      <c r="E774" s="1022">
        <v>5</v>
      </c>
      <c r="F774" s="595"/>
      <c r="G774" s="1009">
        <f t="shared" si="116"/>
        <v>80.94</v>
      </c>
      <c r="H774" s="1012">
        <f t="shared" si="117"/>
        <v>404.7</v>
      </c>
      <c r="I774" s="1011">
        <f t="shared" si="118"/>
        <v>-3.2967574192511832E-3</v>
      </c>
      <c r="J774" s="1009">
        <f t="shared" si="120"/>
        <v>5</v>
      </c>
      <c r="K774" s="1009">
        <f t="shared" si="119"/>
        <v>-0.20966147764028775</v>
      </c>
      <c r="L774" s="1012">
        <f>$H$850</f>
        <v>2083186.0300000003</v>
      </c>
      <c r="M774" s="595" t="s">
        <v>1534</v>
      </c>
      <c r="N774" s="595"/>
      <c r="O774" s="595"/>
      <c r="P774" s="595"/>
      <c r="Q774" s="595"/>
    </row>
    <row r="775" spans="1:17">
      <c r="A775" s="1019" t="s">
        <v>1502</v>
      </c>
      <c r="B775" s="979" t="s">
        <v>420</v>
      </c>
      <c r="C775" s="979" t="s">
        <v>336</v>
      </c>
      <c r="D775" s="979" t="s">
        <v>1062</v>
      </c>
      <c r="E775" s="1022">
        <v>10</v>
      </c>
      <c r="F775" s="595"/>
      <c r="G775" s="1009">
        <f t="shared" si="116"/>
        <v>78.97</v>
      </c>
      <c r="H775" s="1012">
        <f t="shared" si="117"/>
        <v>789.7</v>
      </c>
      <c r="I775" s="1011">
        <f t="shared" si="118"/>
        <v>-6.4330351716893001E-3</v>
      </c>
      <c r="J775" s="1009">
        <f t="shared" si="120"/>
        <v>10</v>
      </c>
      <c r="K775" s="1009">
        <f t="shared" si="119"/>
        <v>-0.21489173103969725</v>
      </c>
      <c r="L775" s="1011">
        <f>L773-L774</f>
        <v>-16.970000000204891</v>
      </c>
      <c r="M775" s="595"/>
      <c r="N775" s="595"/>
      <c r="O775" s="595"/>
      <c r="P775" s="595"/>
      <c r="Q775" s="595"/>
    </row>
    <row r="776" spans="1:17">
      <c r="A776" s="1019" t="s">
        <v>1502</v>
      </c>
      <c r="B776" s="979" t="s">
        <v>420</v>
      </c>
      <c r="C776" s="979" t="s">
        <v>338</v>
      </c>
      <c r="D776" s="979" t="s">
        <v>1063</v>
      </c>
      <c r="E776" s="1022">
        <v>24</v>
      </c>
      <c r="F776" s="595"/>
      <c r="G776" s="1009">
        <f t="shared" si="116"/>
        <v>61.230000000000004</v>
      </c>
      <c r="H776" s="1012">
        <f t="shared" si="117"/>
        <v>1469.52</v>
      </c>
      <c r="I776" s="1011">
        <f t="shared" si="118"/>
        <v>-1.1970968526656781E-2</v>
      </c>
      <c r="J776" s="1009">
        <f t="shared" si="120"/>
        <v>24</v>
      </c>
      <c r="K776" s="1009">
        <f t="shared" si="119"/>
        <v>-0.27715172301494184</v>
      </c>
      <c r="L776" s="595"/>
      <c r="M776" s="595"/>
      <c r="N776" s="595"/>
      <c r="O776" s="595"/>
      <c r="P776" s="595"/>
      <c r="Q776" s="595"/>
    </row>
    <row r="777" spans="1:17">
      <c r="A777" s="1019" t="s">
        <v>1502</v>
      </c>
      <c r="B777" s="979" t="s">
        <v>420</v>
      </c>
      <c r="C777" s="979" t="s">
        <v>339</v>
      </c>
      <c r="D777" s="979" t="s">
        <v>1064</v>
      </c>
      <c r="E777" s="1022">
        <v>1</v>
      </c>
      <c r="F777" s="595"/>
      <c r="G777" s="1009">
        <f t="shared" si="116"/>
        <v>56.69</v>
      </c>
      <c r="H777" s="1012">
        <f t="shared" si="117"/>
        <v>56.69</v>
      </c>
      <c r="I777" s="1011">
        <f t="shared" si="118"/>
        <v>-4.6180671632653714E-4</v>
      </c>
      <c r="J777" s="1009">
        <f t="shared" si="120"/>
        <v>1</v>
      </c>
      <c r="K777" s="1009">
        <f t="shared" si="119"/>
        <v>-0.29934732757461441</v>
      </c>
      <c r="L777" s="595"/>
      <c r="M777" s="595"/>
      <c r="N777" s="595"/>
      <c r="O777" s="595"/>
      <c r="P777" s="595"/>
      <c r="Q777" s="595"/>
    </row>
    <row r="778" spans="1:17">
      <c r="A778" s="1019" t="s">
        <v>1502</v>
      </c>
      <c r="B778" s="979" t="s">
        <v>420</v>
      </c>
      <c r="C778" s="979" t="s">
        <v>325</v>
      </c>
      <c r="D778" s="979" t="s">
        <v>1065</v>
      </c>
      <c r="E778" s="1022">
        <v>16</v>
      </c>
      <c r="F778" s="595"/>
      <c r="G778" s="1009">
        <f t="shared" si="116"/>
        <v>74.52</v>
      </c>
      <c r="H778" s="1012">
        <f t="shared" si="117"/>
        <v>1192.32</v>
      </c>
      <c r="I778" s="1011">
        <f t="shared" si="118"/>
        <v>-9.7128485449013372E-3</v>
      </c>
      <c r="J778" s="1009">
        <f t="shared" si="120"/>
        <v>16</v>
      </c>
      <c r="K778" s="1009">
        <f t="shared" si="119"/>
        <v>-0.22772410091525619</v>
      </c>
      <c r="L778" s="595"/>
      <c r="M778" s="595"/>
      <c r="N778" s="595"/>
      <c r="O778" s="595"/>
      <c r="P778" s="595"/>
      <c r="Q778" s="595"/>
    </row>
    <row r="779" spans="1:17">
      <c r="A779" s="1019" t="s">
        <v>1502</v>
      </c>
      <c r="B779" s="979" t="s">
        <v>420</v>
      </c>
      <c r="C779" s="979" t="s">
        <v>334</v>
      </c>
      <c r="D779" s="979" t="s">
        <v>1066</v>
      </c>
      <c r="E779" s="1022">
        <v>1</v>
      </c>
      <c r="F779" s="595"/>
      <c r="G779" s="1009">
        <f t="shared" si="116"/>
        <v>82.3</v>
      </c>
      <c r="H779" s="1012">
        <f t="shared" si="117"/>
        <v>82.3</v>
      </c>
      <c r="I779" s="1011">
        <f t="shared" si="118"/>
        <v>-6.7043028318352455E-4</v>
      </c>
      <c r="J779" s="1009">
        <f t="shared" si="120"/>
        <v>1</v>
      </c>
      <c r="K779" s="1009">
        <f t="shared" si="119"/>
        <v>-0.20619684082873502</v>
      </c>
      <c r="L779" s="595"/>
      <c r="M779" s="595"/>
      <c r="N779" s="595"/>
      <c r="O779" s="595"/>
      <c r="P779" s="595"/>
      <c r="Q779" s="595"/>
    </row>
    <row r="780" spans="1:17">
      <c r="A780" s="1019" t="s">
        <v>1502</v>
      </c>
      <c r="B780" s="979" t="s">
        <v>420</v>
      </c>
      <c r="C780" s="979" t="s">
        <v>326</v>
      </c>
      <c r="D780" s="979" t="s">
        <v>1067</v>
      </c>
      <c r="E780" s="1022">
        <v>19</v>
      </c>
      <c r="F780" s="595"/>
      <c r="G780" s="1009">
        <f t="shared" si="116"/>
        <v>74.52</v>
      </c>
      <c r="H780" s="1012">
        <f t="shared" si="117"/>
        <v>1415.8799999999999</v>
      </c>
      <c r="I780" s="1011">
        <f t="shared" si="118"/>
        <v>-1.1534007647070337E-2</v>
      </c>
      <c r="J780" s="1009">
        <f t="shared" si="120"/>
        <v>19</v>
      </c>
      <c r="K780" s="1009">
        <f t="shared" si="119"/>
        <v>-0.22772410091525619</v>
      </c>
      <c r="L780" s="595"/>
      <c r="M780" s="595"/>
      <c r="N780" s="595"/>
      <c r="O780" s="595"/>
      <c r="P780" s="595"/>
      <c r="Q780" s="595"/>
    </row>
    <row r="781" spans="1:17">
      <c r="A781" s="1019" t="s">
        <v>1502</v>
      </c>
      <c r="B781" s="979" t="s">
        <v>420</v>
      </c>
      <c r="C781" s="979" t="s">
        <v>330</v>
      </c>
      <c r="D781" s="979" t="s">
        <v>1068</v>
      </c>
      <c r="E781" s="1022">
        <v>4</v>
      </c>
      <c r="F781" s="595"/>
      <c r="G781" s="1009">
        <f t="shared" si="116"/>
        <v>75.88</v>
      </c>
      <c r="H781" s="1012">
        <f t="shared" si="117"/>
        <v>303.52</v>
      </c>
      <c r="I781" s="1011">
        <f t="shared" si="118"/>
        <v>-2.4725273335584859E-3</v>
      </c>
      <c r="J781" s="1009">
        <f t="shared" si="120"/>
        <v>4</v>
      </c>
      <c r="K781" s="1009">
        <f t="shared" si="119"/>
        <v>-0.22364259357149305</v>
      </c>
      <c r="L781" s="595"/>
      <c r="M781" s="595"/>
      <c r="N781" s="595"/>
      <c r="O781" s="595"/>
      <c r="P781" s="595"/>
      <c r="Q781" s="595"/>
    </row>
    <row r="782" spans="1:17">
      <c r="A782" s="1019" t="s">
        <v>1502</v>
      </c>
      <c r="B782" s="979" t="s">
        <v>420</v>
      </c>
      <c r="C782" s="979" t="s">
        <v>337</v>
      </c>
      <c r="D782" s="979" t="s">
        <v>1069</v>
      </c>
      <c r="E782" s="1022">
        <v>3</v>
      </c>
      <c r="F782" s="595"/>
      <c r="G782" s="1009">
        <f t="shared" si="116"/>
        <v>78.97</v>
      </c>
      <c r="H782" s="1012">
        <f t="shared" si="117"/>
        <v>236.91</v>
      </c>
      <c r="I782" s="1011">
        <f t="shared" si="118"/>
        <v>-1.9299105515067898E-3</v>
      </c>
      <c r="J782" s="1009">
        <f t="shared" si="120"/>
        <v>3</v>
      </c>
      <c r="K782" s="1009">
        <f t="shared" si="119"/>
        <v>-0.21489173103969725</v>
      </c>
      <c r="L782" s="595"/>
      <c r="M782" s="595"/>
      <c r="N782" s="595"/>
      <c r="O782" s="595"/>
      <c r="P782" s="595"/>
      <c r="Q782" s="595"/>
    </row>
    <row r="783" spans="1:17">
      <c r="A783" s="1019" t="s">
        <v>1502</v>
      </c>
      <c r="B783" s="979" t="s">
        <v>420</v>
      </c>
      <c r="C783" s="979" t="s">
        <v>329</v>
      </c>
      <c r="D783" s="979" t="s">
        <v>1070</v>
      </c>
      <c r="E783" s="1022">
        <v>2</v>
      </c>
      <c r="F783" s="595"/>
      <c r="G783" s="1009">
        <f t="shared" si="116"/>
        <v>77.259999999999991</v>
      </c>
      <c r="H783" s="1012">
        <f t="shared" si="117"/>
        <v>154.51999999999998</v>
      </c>
      <c r="I783" s="1011">
        <f t="shared" si="118"/>
        <v>-1.258747112485033E-3</v>
      </c>
      <c r="J783" s="1009">
        <f t="shared" si="120"/>
        <v>2</v>
      </c>
      <c r="K783" s="1009">
        <f t="shared" si="119"/>
        <v>-0.21964794201663077</v>
      </c>
      <c r="L783" s="595"/>
      <c r="M783" s="595"/>
      <c r="N783" s="595"/>
      <c r="O783" s="595"/>
      <c r="P783" s="595"/>
      <c r="Q783" s="595"/>
    </row>
    <row r="784" spans="1:17">
      <c r="A784" s="1019" t="s">
        <v>1502</v>
      </c>
      <c r="B784" s="979" t="s">
        <v>420</v>
      </c>
      <c r="C784" s="979" t="s">
        <v>327</v>
      </c>
      <c r="D784" s="979" t="s">
        <v>1071</v>
      </c>
      <c r="E784" s="1022">
        <v>49</v>
      </c>
      <c r="F784" s="595"/>
      <c r="G784" s="1009">
        <f t="shared" si="116"/>
        <v>64.19</v>
      </c>
      <c r="H784" s="1012">
        <f t="shared" si="117"/>
        <v>3145.31</v>
      </c>
      <c r="I784" s="1011">
        <f t="shared" si="118"/>
        <v>-2.5622248772782158E-2</v>
      </c>
      <c r="J784" s="1009">
        <f t="shared" si="120"/>
        <v>49</v>
      </c>
      <c r="K784" s="1009">
        <f t="shared" si="119"/>
        <v>-0.26437139741711935</v>
      </c>
      <c r="L784" s="595"/>
      <c r="M784" s="595"/>
      <c r="N784" s="595"/>
      <c r="O784" s="595"/>
      <c r="P784" s="595"/>
      <c r="Q784" s="595"/>
    </row>
    <row r="785" spans="1:17">
      <c r="A785" s="1019" t="s">
        <v>1502</v>
      </c>
      <c r="B785" s="979" t="s">
        <v>420</v>
      </c>
      <c r="C785" s="979" t="s">
        <v>453</v>
      </c>
      <c r="D785" s="979" t="s">
        <v>1072</v>
      </c>
      <c r="E785" s="1022">
        <v>2</v>
      </c>
      <c r="F785" s="595"/>
      <c r="G785" s="1009">
        <f t="shared" si="116"/>
        <v>75.899999999999991</v>
      </c>
      <c r="H785" s="1012">
        <f t="shared" si="117"/>
        <v>151.79999999999998</v>
      </c>
      <c r="I785" s="1011">
        <f t="shared" si="118"/>
        <v>-1.2365895138184571E-3</v>
      </c>
      <c r="J785" s="1009">
        <f t="shared" si="120"/>
        <v>2</v>
      </c>
      <c r="K785" s="1009">
        <f t="shared" si="119"/>
        <v>-0.223583662716797</v>
      </c>
      <c r="L785" s="595"/>
      <c r="M785" s="595"/>
      <c r="N785" s="595"/>
      <c r="O785" s="595"/>
      <c r="P785" s="595"/>
      <c r="Q785" s="595"/>
    </row>
    <row r="786" spans="1:17">
      <c r="A786" s="1019" t="s">
        <v>1502</v>
      </c>
      <c r="B786" s="979" t="s">
        <v>420</v>
      </c>
      <c r="C786" s="979" t="s">
        <v>366</v>
      </c>
      <c r="D786" s="979" t="s">
        <v>1073</v>
      </c>
      <c r="E786" s="1022">
        <v>56</v>
      </c>
      <c r="F786" s="595"/>
      <c r="G786" s="1009">
        <f t="shared" si="116"/>
        <v>14.860000000000001</v>
      </c>
      <c r="H786" s="1012">
        <f t="shared" si="117"/>
        <v>832.16000000000008</v>
      </c>
      <c r="I786" s="1011">
        <f t="shared" si="118"/>
        <v>-6.7789218038153331E-3</v>
      </c>
      <c r="J786" s="1009">
        <f t="shared" si="120"/>
        <v>56</v>
      </c>
      <c r="K786" s="1009">
        <f t="shared" si="119"/>
        <v>-1.1419919246436669</v>
      </c>
      <c r="L786" s="595"/>
      <c r="M786" s="595"/>
      <c r="N786" s="595"/>
      <c r="O786" s="595"/>
      <c r="P786" s="595"/>
      <c r="Q786" s="595"/>
    </row>
    <row r="787" spans="1:17">
      <c r="A787" s="1019" t="s">
        <v>1502</v>
      </c>
      <c r="B787" s="979" t="s">
        <v>420</v>
      </c>
      <c r="C787" s="979" t="s">
        <v>386</v>
      </c>
      <c r="D787" s="979" t="s">
        <v>1074</v>
      </c>
      <c r="E787" s="1022">
        <v>7156</v>
      </c>
      <c r="F787" s="595"/>
      <c r="G787" s="1009">
        <f t="shared" si="116"/>
        <v>10.570000000000002</v>
      </c>
      <c r="H787" s="1012">
        <f t="shared" si="117"/>
        <v>75638.920000000013</v>
      </c>
      <c r="I787" s="1011">
        <f t="shared" si="118"/>
        <v>-0.61616795328427665</v>
      </c>
      <c r="J787" s="1009">
        <f t="shared" si="120"/>
        <v>7156</v>
      </c>
      <c r="K787" s="1009">
        <f t="shared" si="119"/>
        <v>-1.6054872280231682</v>
      </c>
      <c r="L787" s="595"/>
      <c r="M787" s="595"/>
      <c r="N787" s="595"/>
      <c r="O787" s="595"/>
      <c r="P787" s="595"/>
      <c r="Q787" s="595"/>
    </row>
    <row r="788" spans="1:17">
      <c r="A788" s="1019" t="s">
        <v>1502</v>
      </c>
      <c r="B788" s="979" t="s">
        <v>420</v>
      </c>
      <c r="C788" s="979" t="s">
        <v>382</v>
      </c>
      <c r="D788" s="979" t="s">
        <v>1075</v>
      </c>
      <c r="E788" s="1022">
        <v>134</v>
      </c>
      <c r="F788" s="595"/>
      <c r="G788" s="1009">
        <f t="shared" si="116"/>
        <v>11.71</v>
      </c>
      <c r="H788" s="1012">
        <f t="shared" si="117"/>
        <v>1569.14</v>
      </c>
      <c r="I788" s="1011">
        <f t="shared" si="118"/>
        <v>-1.2782490577820119E-2</v>
      </c>
      <c r="J788" s="1009">
        <f t="shared" si="120"/>
        <v>134</v>
      </c>
      <c r="K788" s="1009">
        <f t="shared" si="119"/>
        <v>-1.4491887276007591</v>
      </c>
      <c r="L788" s="595"/>
      <c r="M788" s="595"/>
      <c r="N788" s="595"/>
      <c r="O788" s="595"/>
      <c r="P788" s="595"/>
      <c r="Q788" s="595"/>
    </row>
    <row r="789" spans="1:17">
      <c r="A789" s="1019" t="s">
        <v>1502</v>
      </c>
      <c r="B789" s="979" t="s">
        <v>420</v>
      </c>
      <c r="C789" s="979" t="s">
        <v>360</v>
      </c>
      <c r="D789" s="979" t="s">
        <v>1076</v>
      </c>
      <c r="E789" s="1022">
        <v>236</v>
      </c>
      <c r="F789" s="595"/>
      <c r="G789" s="1009">
        <f t="shared" si="116"/>
        <v>20.259999999999998</v>
      </c>
      <c r="H789" s="1012">
        <f t="shared" si="117"/>
        <v>4781.3599999999997</v>
      </c>
      <c r="I789" s="1011">
        <f t="shared" si="118"/>
        <v>-3.8949799985448078E-2</v>
      </c>
      <c r="J789" s="1009">
        <f t="shared" si="120"/>
        <v>236</v>
      </c>
      <c r="K789" s="1009">
        <f t="shared" si="119"/>
        <v>-0.83761105627862253</v>
      </c>
      <c r="L789" s="595"/>
      <c r="M789" s="595"/>
      <c r="N789" s="595"/>
      <c r="O789" s="595"/>
      <c r="P789" s="595"/>
      <c r="Q789" s="595"/>
    </row>
    <row r="790" spans="1:17">
      <c r="A790" s="1019" t="s">
        <v>1502</v>
      </c>
      <c r="B790" s="979" t="s">
        <v>420</v>
      </c>
      <c r="C790" s="979" t="s">
        <v>368</v>
      </c>
      <c r="D790" s="979" t="s">
        <v>1077</v>
      </c>
      <c r="E790" s="1022">
        <v>142</v>
      </c>
      <c r="F790" s="595"/>
      <c r="G790" s="1009">
        <f t="shared" si="116"/>
        <v>21.38</v>
      </c>
      <c r="H790" s="1012">
        <f t="shared" si="117"/>
        <v>3035.96</v>
      </c>
      <c r="I790" s="1011">
        <f t="shared" si="118"/>
        <v>-2.4731464429329931E-2</v>
      </c>
      <c r="J790" s="1009">
        <f t="shared" si="120"/>
        <v>142</v>
      </c>
      <c r="K790" s="1009">
        <f t="shared" si="119"/>
        <v>-0.79373246025280131</v>
      </c>
      <c r="L790" s="595"/>
      <c r="M790" s="595"/>
      <c r="N790" s="595"/>
      <c r="O790" s="595"/>
      <c r="P790" s="595"/>
      <c r="Q790" s="595"/>
    </row>
    <row r="791" spans="1:17">
      <c r="A791" s="1019" t="s">
        <v>1502</v>
      </c>
      <c r="B791" s="979" t="s">
        <v>420</v>
      </c>
      <c r="C791" s="979" t="s">
        <v>370</v>
      </c>
      <c r="D791" s="979" t="s">
        <v>1078</v>
      </c>
      <c r="E791" s="1022">
        <v>28</v>
      </c>
      <c r="F791" s="595"/>
      <c r="G791" s="1009">
        <f t="shared" si="116"/>
        <v>30.84</v>
      </c>
      <c r="H791" s="1012">
        <f t="shared" si="117"/>
        <v>863.52</v>
      </c>
      <c r="I791" s="1011">
        <f t="shared" si="118"/>
        <v>-7.0343858825593821E-3</v>
      </c>
      <c r="J791" s="1009">
        <f t="shared" si="120"/>
        <v>28</v>
      </c>
      <c r="K791" s="1009">
        <f t="shared" si="119"/>
        <v>-0.55025940337888757</v>
      </c>
      <c r="L791" s="595"/>
      <c r="M791" s="595"/>
      <c r="N791" s="595"/>
      <c r="O791" s="595"/>
      <c r="P791" s="595"/>
      <c r="Q791" s="595"/>
    </row>
    <row r="792" spans="1:17">
      <c r="A792" s="1019" t="s">
        <v>1502</v>
      </c>
      <c r="B792" s="979" t="s">
        <v>420</v>
      </c>
      <c r="C792" s="979" t="s">
        <v>393</v>
      </c>
      <c r="D792" s="979" t="s">
        <v>1079</v>
      </c>
      <c r="E792" s="1022">
        <v>95</v>
      </c>
      <c r="F792" s="595"/>
      <c r="G792" s="1009">
        <f t="shared" si="116"/>
        <v>31.22</v>
      </c>
      <c r="H792" s="1012">
        <f t="shared" si="117"/>
        <v>2965.9</v>
      </c>
      <c r="I792" s="1011">
        <f t="shared" si="118"/>
        <v>-2.4160743340146E-2</v>
      </c>
      <c r="J792" s="1009">
        <f t="shared" si="120"/>
        <v>95</v>
      </c>
      <c r="K792" s="1009">
        <f t="shared" si="119"/>
        <v>-0.54356181935313552</v>
      </c>
      <c r="L792" s="595"/>
      <c r="M792" s="595"/>
      <c r="N792" s="595"/>
      <c r="O792" s="595"/>
      <c r="P792" s="595"/>
      <c r="Q792" s="595"/>
    </row>
    <row r="793" spans="1:17">
      <c r="A793" s="1019" t="s">
        <v>1502</v>
      </c>
      <c r="B793" s="979" t="s">
        <v>420</v>
      </c>
      <c r="C793" s="979" t="s">
        <v>371</v>
      </c>
      <c r="D793" s="979" t="s">
        <v>1080</v>
      </c>
      <c r="E793" s="1022">
        <v>21</v>
      </c>
      <c r="F793" s="595"/>
      <c r="G793" s="1009">
        <f t="shared" si="116"/>
        <v>30.84</v>
      </c>
      <c r="H793" s="1012">
        <f t="shared" si="117"/>
        <v>647.64</v>
      </c>
      <c r="I793" s="1011">
        <f t="shared" si="118"/>
        <v>-5.275789411919537E-3</v>
      </c>
      <c r="J793" s="1009">
        <f t="shared" si="120"/>
        <v>21</v>
      </c>
      <c r="K793" s="1009">
        <f t="shared" si="119"/>
        <v>-0.55025940337888757</v>
      </c>
      <c r="L793" s="595"/>
      <c r="M793" s="595"/>
      <c r="N793" s="595"/>
      <c r="O793" s="595"/>
      <c r="P793" s="595"/>
      <c r="Q793" s="595"/>
    </row>
    <row r="794" spans="1:17">
      <c r="A794" s="1019" t="s">
        <v>1502</v>
      </c>
      <c r="B794" s="979" t="s">
        <v>420</v>
      </c>
      <c r="C794" s="979" t="s">
        <v>394</v>
      </c>
      <c r="D794" s="979" t="s">
        <v>1081</v>
      </c>
      <c r="E794" s="1022">
        <v>10</v>
      </c>
      <c r="F794" s="595"/>
      <c r="G794" s="1009">
        <f t="shared" si="116"/>
        <v>31.22</v>
      </c>
      <c r="H794" s="1012">
        <f t="shared" si="117"/>
        <v>312.2</v>
      </c>
      <c r="I794" s="1011">
        <f t="shared" si="118"/>
        <v>-2.5432361410679997E-3</v>
      </c>
      <c r="J794" s="1009">
        <f t="shared" si="120"/>
        <v>10</v>
      </c>
      <c r="K794" s="1009">
        <f t="shared" si="119"/>
        <v>-0.54356181935313552</v>
      </c>
      <c r="L794" s="595"/>
      <c r="M794" s="595"/>
      <c r="N794" s="595"/>
      <c r="O794" s="595"/>
      <c r="P794" s="595"/>
      <c r="Q794" s="595"/>
    </row>
    <row r="795" spans="1:17">
      <c r="A795" s="1019" t="s">
        <v>1502</v>
      </c>
      <c r="B795" s="979" t="s">
        <v>420</v>
      </c>
      <c r="C795" s="979" t="s">
        <v>389</v>
      </c>
      <c r="D795" s="979" t="s">
        <v>1082</v>
      </c>
      <c r="E795" s="1022">
        <v>468</v>
      </c>
      <c r="F795" s="595"/>
      <c r="G795" s="1009">
        <f t="shared" si="116"/>
        <v>15.360000000000001</v>
      </c>
      <c r="H795" s="1012">
        <f t="shared" si="117"/>
        <v>7188.4800000000005</v>
      </c>
      <c r="I795" s="1011">
        <f t="shared" si="118"/>
        <v>-5.8558623111289225E-2</v>
      </c>
      <c r="J795" s="1009">
        <f t="shared" si="120"/>
        <v>468</v>
      </c>
      <c r="K795" s="1009">
        <f t="shared" si="119"/>
        <v>-1.1048177083466726</v>
      </c>
      <c r="L795" s="595"/>
      <c r="M795" s="595"/>
      <c r="N795" s="595"/>
      <c r="O795" s="595"/>
      <c r="P795" s="595"/>
      <c r="Q795" s="595"/>
    </row>
    <row r="796" spans="1:17">
      <c r="A796" s="1019" t="s">
        <v>1502</v>
      </c>
      <c r="B796" s="979" t="s">
        <v>420</v>
      </c>
      <c r="C796" s="979" t="s">
        <v>310</v>
      </c>
      <c r="D796" s="979" t="s">
        <v>1083</v>
      </c>
      <c r="E796" s="1022">
        <v>5</v>
      </c>
      <c r="F796" s="595"/>
      <c r="G796" s="1009">
        <f t="shared" si="116"/>
        <v>3.39</v>
      </c>
      <c r="H796" s="1012">
        <f t="shared" si="117"/>
        <v>16.95</v>
      </c>
      <c r="I796" s="1011">
        <f t="shared" si="118"/>
        <v>-1.3807768286708068E-4</v>
      </c>
      <c r="J796" s="1009">
        <f t="shared" si="120"/>
        <v>5</v>
      </c>
      <c r="K796" s="1009">
        <f t="shared" si="119"/>
        <v>-5.0058997050751888</v>
      </c>
      <c r="L796" s="595"/>
      <c r="M796" s="595"/>
      <c r="N796" s="595"/>
      <c r="O796" s="595"/>
      <c r="P796" s="595"/>
      <c r="Q796" s="595"/>
    </row>
    <row r="797" spans="1:17">
      <c r="A797" s="1019" t="s">
        <v>1502</v>
      </c>
      <c r="B797" s="979" t="s">
        <v>420</v>
      </c>
      <c r="C797" s="979" t="s">
        <v>340</v>
      </c>
      <c r="D797" s="979" t="s">
        <v>1084</v>
      </c>
      <c r="E797" s="1022">
        <v>676</v>
      </c>
      <c r="F797" s="595"/>
      <c r="G797" s="1009">
        <f t="shared" si="116"/>
        <v>4.5400000000000009</v>
      </c>
      <c r="H797" s="1012">
        <f t="shared" si="117"/>
        <v>3069.0400000000004</v>
      </c>
      <c r="I797" s="1011">
        <f t="shared" si="118"/>
        <v>-2.5000939930760201E-2</v>
      </c>
      <c r="J797" s="1009">
        <f t="shared" si="120"/>
        <v>676</v>
      </c>
      <c r="K797" s="1009">
        <f t="shared" si="119"/>
        <v>-3.7378854626001954</v>
      </c>
      <c r="L797" s="595"/>
      <c r="M797" s="595"/>
      <c r="N797" s="595"/>
      <c r="O797" s="595"/>
      <c r="P797" s="595"/>
      <c r="Q797" s="595"/>
    </row>
    <row r="798" spans="1:17">
      <c r="A798" s="1019" t="s">
        <v>1502</v>
      </c>
      <c r="B798" s="979" t="s">
        <v>420</v>
      </c>
      <c r="C798" s="979" t="s">
        <v>358</v>
      </c>
      <c r="D798" s="979" t="s">
        <v>1085</v>
      </c>
      <c r="E798" s="1022">
        <v>120</v>
      </c>
      <c r="F798" s="595"/>
      <c r="G798" s="1009">
        <f t="shared" si="116"/>
        <v>6.78</v>
      </c>
      <c r="H798" s="1012">
        <f t="shared" si="117"/>
        <v>813.6</v>
      </c>
      <c r="I798" s="1011">
        <f t="shared" si="118"/>
        <v>-6.6277287776198741E-3</v>
      </c>
      <c r="J798" s="1009">
        <f t="shared" si="120"/>
        <v>120</v>
      </c>
      <c r="K798" s="1009">
        <f t="shared" si="119"/>
        <v>-2.5029498525375944</v>
      </c>
      <c r="L798" s="595"/>
      <c r="M798" s="595"/>
      <c r="N798" s="595"/>
      <c r="O798" s="595"/>
      <c r="P798" s="595"/>
      <c r="Q798" s="595"/>
    </row>
    <row r="799" spans="1:17">
      <c r="A799" s="1019" t="s">
        <v>1502</v>
      </c>
      <c r="B799" s="979" t="s">
        <v>420</v>
      </c>
      <c r="C799" s="979" t="s">
        <v>383</v>
      </c>
      <c r="D799" s="979" t="s">
        <v>1086</v>
      </c>
      <c r="E799" s="1022">
        <v>2</v>
      </c>
      <c r="F799" s="595"/>
      <c r="G799" s="1009">
        <f t="shared" si="116"/>
        <v>9.06</v>
      </c>
      <c r="H799" s="1012">
        <f t="shared" si="117"/>
        <v>18.12</v>
      </c>
      <c r="I799" s="1011">
        <f t="shared" si="118"/>
        <v>-1.4760870876410044E-4</v>
      </c>
      <c r="J799" s="1009">
        <f t="shared" si="120"/>
        <v>2</v>
      </c>
      <c r="K799" s="1009">
        <f t="shared" si="119"/>
        <v>-1.8730684326936964</v>
      </c>
      <c r="L799" s="595"/>
      <c r="M799" s="595"/>
      <c r="N799" s="595"/>
      <c r="O799" s="595"/>
      <c r="P799" s="595"/>
      <c r="Q799" s="595"/>
    </row>
    <row r="800" spans="1:17">
      <c r="A800" s="1019" t="s">
        <v>1502</v>
      </c>
      <c r="B800" s="979" t="s">
        <v>420</v>
      </c>
      <c r="C800" s="979" t="s">
        <v>375</v>
      </c>
      <c r="D800" s="979" t="s">
        <v>1087</v>
      </c>
      <c r="E800" s="1022">
        <v>162</v>
      </c>
      <c r="F800" s="595"/>
      <c r="G800" s="1009">
        <f t="shared" si="116"/>
        <v>7.4399999999999995</v>
      </c>
      <c r="H800" s="1012">
        <f t="shared" si="117"/>
        <v>1205.28</v>
      </c>
      <c r="I800" s="1011">
        <f t="shared" si="118"/>
        <v>-9.8184229856067857E-3</v>
      </c>
      <c r="J800" s="1009">
        <f t="shared" si="120"/>
        <v>162</v>
      </c>
      <c r="K800" s="1009">
        <f t="shared" si="119"/>
        <v>-2.2809139785221628</v>
      </c>
      <c r="L800" s="595"/>
      <c r="M800" s="595"/>
      <c r="N800" s="595"/>
      <c r="O800" s="595"/>
      <c r="P800" s="595"/>
      <c r="Q800" s="595"/>
    </row>
    <row r="801" spans="1:17">
      <c r="A801" s="1019" t="s">
        <v>1502</v>
      </c>
      <c r="B801" s="979" t="s">
        <v>420</v>
      </c>
      <c r="C801" s="979" t="s">
        <v>400</v>
      </c>
      <c r="D801" s="979" t="s">
        <v>1088</v>
      </c>
      <c r="E801" s="1022">
        <v>34926</v>
      </c>
      <c r="F801" s="595"/>
      <c r="G801" s="1009">
        <f t="shared" ref="G801:G832" si="121">SUMIF(_Lights_Tariff_Category,20140101&amp;$C801,_Lights_Rates)</f>
        <v>7.84</v>
      </c>
      <c r="H801" s="1012">
        <f t="shared" ref="H801:H832" si="122">E801*G801</f>
        <v>273819.83999999997</v>
      </c>
      <c r="I801" s="1011">
        <f t="shared" si="118"/>
        <v>-2.2305846035536736</v>
      </c>
      <c r="J801" s="1009">
        <f t="shared" si="120"/>
        <v>34926</v>
      </c>
      <c r="K801" s="1009">
        <f t="shared" si="119"/>
        <v>-2.1645408163526647</v>
      </c>
      <c r="L801" s="595"/>
      <c r="M801" s="595"/>
      <c r="N801" s="595"/>
      <c r="O801" s="595"/>
      <c r="P801" s="595"/>
      <c r="Q801" s="595"/>
    </row>
    <row r="802" spans="1:17">
      <c r="A802" s="1019" t="s">
        <v>1502</v>
      </c>
      <c r="B802" s="979" t="s">
        <v>420</v>
      </c>
      <c r="C802" s="979" t="s">
        <v>391</v>
      </c>
      <c r="D802" s="979" t="s">
        <v>1089</v>
      </c>
      <c r="E802" s="1022">
        <v>1146</v>
      </c>
      <c r="F802" s="595"/>
      <c r="G802" s="1009">
        <f t="shared" si="121"/>
        <v>22</v>
      </c>
      <c r="H802" s="1012">
        <f t="shared" si="122"/>
        <v>25212</v>
      </c>
      <c r="I802" s="1011">
        <f t="shared" si="118"/>
        <v>-0.20538138881680465</v>
      </c>
      <c r="J802" s="1009">
        <f t="shared" si="120"/>
        <v>1146</v>
      </c>
      <c r="K802" s="1009">
        <f t="shared" si="119"/>
        <v>-0.77136363637294958</v>
      </c>
      <c r="L802" s="595"/>
      <c r="M802" s="595"/>
      <c r="N802" s="595"/>
      <c r="O802" s="595"/>
      <c r="P802" s="595"/>
      <c r="Q802" s="595"/>
    </row>
    <row r="803" spans="1:17">
      <c r="A803" s="1019" t="s">
        <v>1502</v>
      </c>
      <c r="B803" s="979"/>
      <c r="C803" s="979" t="s">
        <v>357</v>
      </c>
      <c r="D803" s="979" t="s">
        <v>1090</v>
      </c>
      <c r="E803" s="1022">
        <v>16</v>
      </c>
      <c r="F803" s="595"/>
      <c r="G803" s="1009">
        <f t="shared" si="121"/>
        <v>7.74</v>
      </c>
      <c r="H803" s="1012">
        <f t="shared" si="122"/>
        <v>123.84</v>
      </c>
      <c r="I803" s="1011">
        <f t="shared" si="118"/>
        <v>-1.0088224334076268E-3</v>
      </c>
      <c r="J803" s="1009">
        <f t="shared" si="120"/>
        <v>16</v>
      </c>
      <c r="K803" s="1009">
        <f t="shared" si="119"/>
        <v>-2.1925064599747919</v>
      </c>
      <c r="L803" s="595"/>
      <c r="M803" s="595"/>
      <c r="N803" s="595"/>
      <c r="O803" s="595"/>
      <c r="P803" s="595"/>
      <c r="Q803" s="595"/>
    </row>
    <row r="804" spans="1:17">
      <c r="A804" s="1019" t="s">
        <v>1502</v>
      </c>
      <c r="B804" s="979" t="s">
        <v>420</v>
      </c>
      <c r="C804" s="979" t="s">
        <v>359</v>
      </c>
      <c r="D804" s="979" t="s">
        <v>1091</v>
      </c>
      <c r="E804" s="1022">
        <v>2</v>
      </c>
      <c r="F804" s="595"/>
      <c r="G804" s="1009">
        <f t="shared" si="121"/>
        <v>13.610000000000001</v>
      </c>
      <c r="H804" s="1012">
        <f t="shared" si="122"/>
        <v>27.220000000000002</v>
      </c>
      <c r="I804" s="1011">
        <f t="shared" si="118"/>
        <v>-2.2173891018536501E-4</v>
      </c>
      <c r="J804" s="1009">
        <f t="shared" si="120"/>
        <v>2</v>
      </c>
      <c r="K804" s="1009">
        <f t="shared" si="119"/>
        <v>-1.246877296120859</v>
      </c>
      <c r="L804" s="595"/>
      <c r="M804" s="595"/>
      <c r="N804" s="595"/>
      <c r="O804" s="595"/>
      <c r="P804" s="595"/>
      <c r="Q804" s="595"/>
    </row>
    <row r="805" spans="1:17">
      <c r="A805" s="1019" t="s">
        <v>1502</v>
      </c>
      <c r="B805" s="979" t="s">
        <v>420</v>
      </c>
      <c r="C805" s="979" t="s">
        <v>385</v>
      </c>
      <c r="D805" s="979" t="s">
        <v>1092</v>
      </c>
      <c r="E805" s="1022">
        <v>1070</v>
      </c>
      <c r="F805" s="595"/>
      <c r="G805" s="1009">
        <f t="shared" si="121"/>
        <v>9.5600000000000023</v>
      </c>
      <c r="H805" s="1012">
        <f t="shared" si="122"/>
        <v>10229.200000000003</v>
      </c>
      <c r="I805" s="1011">
        <f t="shared" si="118"/>
        <v>-8.332886333828568E-2</v>
      </c>
      <c r="J805" s="1009">
        <f t="shared" si="120"/>
        <v>1070</v>
      </c>
      <c r="K805" s="1009">
        <f t="shared" si="119"/>
        <v>-1.775104602531892</v>
      </c>
      <c r="L805" s="595"/>
      <c r="M805" s="595"/>
      <c r="N805" s="595"/>
      <c r="O805" s="595"/>
      <c r="P805" s="595"/>
      <c r="Q805" s="595"/>
    </row>
    <row r="806" spans="1:17">
      <c r="A806" s="1019" t="s">
        <v>1502</v>
      </c>
      <c r="B806" s="979" t="s">
        <v>420</v>
      </c>
      <c r="C806" s="979" t="s">
        <v>312</v>
      </c>
      <c r="D806" s="979" t="s">
        <v>1093</v>
      </c>
      <c r="E806" s="1022">
        <v>734</v>
      </c>
      <c r="F806" s="595"/>
      <c r="G806" s="1009">
        <f t="shared" si="121"/>
        <v>11.32</v>
      </c>
      <c r="H806" s="1012">
        <f t="shared" si="122"/>
        <v>8308.880000000001</v>
      </c>
      <c r="I806" s="1011">
        <f t="shared" si="118"/>
        <v>-6.768559867968317E-2</v>
      </c>
      <c r="J806" s="1009">
        <f t="shared" si="120"/>
        <v>734</v>
      </c>
      <c r="K806" s="1009">
        <f t="shared" si="119"/>
        <v>-1.4991166077919515</v>
      </c>
      <c r="L806" s="595"/>
      <c r="M806" s="595"/>
      <c r="N806" s="595"/>
      <c r="O806" s="595"/>
      <c r="P806" s="595"/>
      <c r="Q806" s="595"/>
    </row>
    <row r="807" spans="1:17">
      <c r="A807" s="1019" t="s">
        <v>1502</v>
      </c>
      <c r="B807" s="979" t="s">
        <v>420</v>
      </c>
      <c r="C807" s="979" t="s">
        <v>421</v>
      </c>
      <c r="D807" s="979" t="s">
        <v>1094</v>
      </c>
      <c r="E807" s="1022">
        <v>1606</v>
      </c>
      <c r="F807" s="595"/>
      <c r="G807" s="1009">
        <f t="shared" si="121"/>
        <v>12.809999999999999</v>
      </c>
      <c r="H807" s="1012">
        <f t="shared" si="122"/>
        <v>20572.859999999997</v>
      </c>
      <c r="I807" s="1011">
        <f t="shared" si="118"/>
        <v>-0.16759013797928315</v>
      </c>
      <c r="J807" s="1009">
        <f t="shared" si="120"/>
        <v>1606</v>
      </c>
      <c r="K807" s="1009">
        <f t="shared" si="119"/>
        <v>-1.3247462919754014</v>
      </c>
      <c r="L807" s="595"/>
      <c r="M807" s="595"/>
      <c r="N807" s="595"/>
      <c r="O807" s="595"/>
      <c r="P807" s="595"/>
      <c r="Q807" s="595"/>
    </row>
    <row r="808" spans="1:17">
      <c r="A808" s="1019" t="s">
        <v>1502</v>
      </c>
      <c r="B808" s="979" t="s">
        <v>420</v>
      </c>
      <c r="C808" s="979" t="s">
        <v>322</v>
      </c>
      <c r="D808" s="979" t="s">
        <v>1095</v>
      </c>
      <c r="E808" s="1022">
        <v>614</v>
      </c>
      <c r="F808" s="595"/>
      <c r="G808" s="1009">
        <f t="shared" si="121"/>
        <v>14.25</v>
      </c>
      <c r="H808" s="1012">
        <f t="shared" si="122"/>
        <v>8749.5</v>
      </c>
      <c r="I808" s="1011">
        <f t="shared" si="118"/>
        <v>-7.1274966740148826E-2</v>
      </c>
      <c r="J808" s="1009">
        <f t="shared" si="120"/>
        <v>614</v>
      </c>
      <c r="K808" s="1009">
        <f t="shared" si="119"/>
        <v>-1.1908771929968345</v>
      </c>
      <c r="L808" s="595"/>
      <c r="M808" s="595"/>
      <c r="N808" s="595"/>
      <c r="O808" s="595"/>
      <c r="P808" s="595"/>
      <c r="Q808" s="595"/>
    </row>
    <row r="809" spans="1:17">
      <c r="A809" s="1019" t="s">
        <v>1502</v>
      </c>
      <c r="B809" s="979" t="s">
        <v>420</v>
      </c>
      <c r="C809" s="979" t="s">
        <v>354</v>
      </c>
      <c r="D809" s="979" t="s">
        <v>1096</v>
      </c>
      <c r="E809" s="1022">
        <v>5013</v>
      </c>
      <c r="F809" s="595"/>
      <c r="G809" s="1009">
        <f t="shared" si="121"/>
        <v>20.200000000000003</v>
      </c>
      <c r="H809" s="1012">
        <f t="shared" si="122"/>
        <v>101262.60000000002</v>
      </c>
      <c r="I809" s="1011">
        <f t="shared" si="118"/>
        <v>-0.82490295982867545</v>
      </c>
      <c r="J809" s="1009">
        <f t="shared" si="120"/>
        <v>5013</v>
      </c>
      <c r="K809" s="1009">
        <f t="shared" si="119"/>
        <v>-0.84009900991113307</v>
      </c>
      <c r="L809" s="595"/>
      <c r="M809" s="595"/>
      <c r="N809" s="595"/>
      <c r="O809" s="595"/>
      <c r="P809" s="595"/>
      <c r="Q809" s="595"/>
    </row>
    <row r="810" spans="1:17">
      <c r="A810" s="1019" t="s">
        <v>1502</v>
      </c>
      <c r="B810" s="979" t="s">
        <v>420</v>
      </c>
      <c r="C810" s="979" t="s">
        <v>317</v>
      </c>
      <c r="D810" s="979" t="s">
        <v>1097</v>
      </c>
      <c r="E810" s="1022">
        <v>1038</v>
      </c>
      <c r="F810" s="595"/>
      <c r="G810" s="1009">
        <f t="shared" si="121"/>
        <v>42.350000000000009</v>
      </c>
      <c r="H810" s="1012">
        <f t="shared" si="122"/>
        <v>43959.30000000001</v>
      </c>
      <c r="I810" s="1011">
        <f t="shared" si="118"/>
        <v>-0.3581001937733842</v>
      </c>
      <c r="J810" s="1009">
        <f t="shared" si="120"/>
        <v>1038</v>
      </c>
      <c r="K810" s="1009">
        <f t="shared" si="119"/>
        <v>-0.40070838253140229</v>
      </c>
      <c r="L810" s="595"/>
      <c r="M810" s="595"/>
      <c r="N810" s="595"/>
      <c r="O810" s="595"/>
      <c r="P810" s="595"/>
      <c r="Q810" s="595"/>
    </row>
    <row r="811" spans="1:17">
      <c r="A811" s="1019" t="s">
        <v>1502</v>
      </c>
      <c r="B811" s="979" t="s">
        <v>420</v>
      </c>
      <c r="C811" s="979" t="s">
        <v>320</v>
      </c>
      <c r="D811" s="979" t="s">
        <v>1098</v>
      </c>
      <c r="E811" s="1022">
        <v>124</v>
      </c>
      <c r="F811" s="595"/>
      <c r="G811" s="1009">
        <f t="shared" si="121"/>
        <v>18.649999999999999</v>
      </c>
      <c r="H811" s="1012">
        <f t="shared" si="122"/>
        <v>2312.6</v>
      </c>
      <c r="I811" s="1011">
        <f t="shared" si="118"/>
        <v>-1.8838846572177631E-2</v>
      </c>
      <c r="J811" s="1009">
        <f t="shared" si="120"/>
        <v>124</v>
      </c>
      <c r="K811" s="1009">
        <f t="shared" si="119"/>
        <v>-0.90991957105656263</v>
      </c>
      <c r="L811" s="595"/>
      <c r="M811" s="595"/>
      <c r="N811" s="595"/>
      <c r="O811" s="595"/>
      <c r="P811" s="595"/>
      <c r="Q811" s="595"/>
    </row>
    <row r="812" spans="1:17">
      <c r="A812" s="1019" t="s">
        <v>1502</v>
      </c>
      <c r="B812" s="979" t="s">
        <v>420</v>
      </c>
      <c r="C812" s="979" t="s">
        <v>352</v>
      </c>
      <c r="D812" s="979" t="s">
        <v>1099</v>
      </c>
      <c r="E812" s="1022">
        <v>1027</v>
      </c>
      <c r="F812" s="595"/>
      <c r="G812" s="1009">
        <f t="shared" si="121"/>
        <v>24.59</v>
      </c>
      <c r="H812" s="1012">
        <f t="shared" si="122"/>
        <v>25253.93</v>
      </c>
      <c r="I812" s="1011">
        <f t="shared" si="118"/>
        <v>-0.20572295797566109</v>
      </c>
      <c r="J812" s="1009">
        <f t="shared" si="120"/>
        <v>1027</v>
      </c>
      <c r="K812" s="1009">
        <f t="shared" si="119"/>
        <v>-0.69011793412789313</v>
      </c>
      <c r="L812" s="595"/>
      <c r="M812" s="595"/>
      <c r="N812" s="595"/>
      <c r="O812" s="595"/>
      <c r="P812" s="595"/>
      <c r="Q812" s="595"/>
    </row>
    <row r="813" spans="1:17">
      <c r="A813" s="1019" t="s">
        <v>1502</v>
      </c>
      <c r="B813" s="979" t="s">
        <v>420</v>
      </c>
      <c r="C813" s="979" t="s">
        <v>384</v>
      </c>
      <c r="D813" s="979" t="s">
        <v>1100</v>
      </c>
      <c r="E813" s="1022">
        <v>126</v>
      </c>
      <c r="F813" s="595"/>
      <c r="G813" s="1009">
        <f t="shared" si="121"/>
        <v>11.870000000000001</v>
      </c>
      <c r="H813" s="1012">
        <f t="shared" si="122"/>
        <v>1495.6200000000001</v>
      </c>
      <c r="I813" s="1011">
        <f t="shared" si="118"/>
        <v>-1.2183583719744146E-2</v>
      </c>
      <c r="J813" s="1009">
        <f t="shared" si="120"/>
        <v>126</v>
      </c>
      <c r="K813" s="1009">
        <f t="shared" si="119"/>
        <v>-1.4296545914241694</v>
      </c>
      <c r="L813" s="595"/>
      <c r="M813" s="595"/>
      <c r="N813" s="595"/>
      <c r="O813" s="595"/>
      <c r="P813" s="595"/>
      <c r="Q813" s="595"/>
    </row>
    <row r="814" spans="1:17">
      <c r="A814" s="1019" t="s">
        <v>1502</v>
      </c>
      <c r="B814" s="979" t="s">
        <v>420</v>
      </c>
      <c r="C814" s="979" t="s">
        <v>311</v>
      </c>
      <c r="D814" s="979" t="s">
        <v>1101</v>
      </c>
      <c r="E814" s="1022">
        <v>402</v>
      </c>
      <c r="F814" s="595"/>
      <c r="G814" s="1009">
        <f t="shared" si="121"/>
        <v>13.360000000000001</v>
      </c>
      <c r="H814" s="1012">
        <f t="shared" si="122"/>
        <v>5370.72</v>
      </c>
      <c r="I814" s="1011">
        <f t="shared" si="118"/>
        <v>-4.3750830261232311E-2</v>
      </c>
      <c r="J814" s="1009">
        <f t="shared" si="120"/>
        <v>402</v>
      </c>
      <c r="K814" s="1009">
        <f t="shared" si="119"/>
        <v>-1.2702095808536593</v>
      </c>
      <c r="L814" s="595"/>
      <c r="M814" s="595"/>
      <c r="N814" s="595"/>
      <c r="O814" s="595"/>
      <c r="P814" s="595"/>
      <c r="Q814" s="595"/>
    </row>
    <row r="815" spans="1:17">
      <c r="A815" s="1019" t="s">
        <v>1502</v>
      </c>
      <c r="B815" s="979" t="s">
        <v>420</v>
      </c>
      <c r="C815" s="979" t="s">
        <v>341</v>
      </c>
      <c r="D815" s="979" t="s">
        <v>1102</v>
      </c>
      <c r="E815" s="1022">
        <v>1593</v>
      </c>
      <c r="F815" s="595"/>
      <c r="G815" s="1009">
        <f t="shared" si="121"/>
        <v>15.079999999999998</v>
      </c>
      <c r="H815" s="1012">
        <f t="shared" si="122"/>
        <v>24022.44</v>
      </c>
      <c r="I815" s="1011">
        <f t="shared" si="118"/>
        <v>-0.1956910237176091</v>
      </c>
      <c r="J815" s="1009">
        <f t="shared" si="120"/>
        <v>1593</v>
      </c>
      <c r="K815" s="1009">
        <f t="shared" si="119"/>
        <v>-1.1253315650003244</v>
      </c>
      <c r="L815" s="595"/>
      <c r="M815" s="595"/>
      <c r="N815" s="595"/>
      <c r="O815" s="595"/>
      <c r="P815" s="595"/>
      <c r="Q815" s="595"/>
    </row>
    <row r="816" spans="1:17">
      <c r="A816" s="1019" t="s">
        <v>1502</v>
      </c>
      <c r="B816" s="979" t="s">
        <v>420</v>
      </c>
      <c r="C816" s="979" t="s">
        <v>315</v>
      </c>
      <c r="D816" s="979" t="s">
        <v>1103</v>
      </c>
      <c r="E816" s="1022">
        <v>246</v>
      </c>
      <c r="F816" s="595"/>
      <c r="G816" s="1009">
        <f t="shared" si="121"/>
        <v>46.740000000000009</v>
      </c>
      <c r="H816" s="1012">
        <f t="shared" si="122"/>
        <v>11498.040000000003</v>
      </c>
      <c r="I816" s="1011">
        <f t="shared" si="118"/>
        <v>-9.3665057269204072E-2</v>
      </c>
      <c r="J816" s="1009">
        <f t="shared" si="120"/>
        <v>246</v>
      </c>
      <c r="K816" s="1009">
        <f t="shared" si="119"/>
        <v>-0.36307231493805919</v>
      </c>
      <c r="L816" s="595"/>
      <c r="M816" s="595"/>
      <c r="N816" s="595"/>
      <c r="O816" s="595"/>
      <c r="P816" s="595"/>
      <c r="Q816" s="595"/>
    </row>
    <row r="817" spans="1:17">
      <c r="A817" s="1019" t="s">
        <v>1502</v>
      </c>
      <c r="B817" s="979" t="s">
        <v>420</v>
      </c>
      <c r="C817" s="979" t="s">
        <v>319</v>
      </c>
      <c r="D817" s="979" t="s">
        <v>1104</v>
      </c>
      <c r="E817" s="1022">
        <v>-249</v>
      </c>
      <c r="F817" s="595"/>
      <c r="G817" s="1009">
        <f t="shared" si="121"/>
        <v>27.15</v>
      </c>
      <c r="H817" s="1012">
        <f t="shared" si="122"/>
        <v>-6760.3499999999995</v>
      </c>
      <c r="I817" s="1011">
        <f t="shared" si="118"/>
        <v>5.5071000788818228E-2</v>
      </c>
      <c r="J817" s="1009">
        <f t="shared" si="120"/>
        <v>-249</v>
      </c>
      <c r="K817" s="1009">
        <f t="shared" si="119"/>
        <v>-0.62504604052320045</v>
      </c>
      <c r="L817" s="595"/>
      <c r="M817" s="595"/>
      <c r="N817" s="595"/>
      <c r="O817" s="595"/>
      <c r="P817" s="595"/>
      <c r="Q817" s="595"/>
    </row>
    <row r="818" spans="1:17">
      <c r="A818" s="1019" t="s">
        <v>1502</v>
      </c>
      <c r="B818" s="979" t="s">
        <v>420</v>
      </c>
      <c r="C818" s="979" t="s">
        <v>356</v>
      </c>
      <c r="D818" s="979" t="s">
        <v>1105</v>
      </c>
      <c r="E818" s="1022">
        <v>6468</v>
      </c>
      <c r="F818" s="595"/>
      <c r="G818" s="1009">
        <f t="shared" si="121"/>
        <v>7.54</v>
      </c>
      <c r="H818" s="1012">
        <f t="shared" si="122"/>
        <v>48768.72</v>
      </c>
      <c r="I818" s="1011">
        <f t="shared" si="118"/>
        <v>-0.39727857545684109</v>
      </c>
      <c r="J818" s="1009">
        <f t="shared" si="120"/>
        <v>6468</v>
      </c>
      <c r="K818" s="1009">
        <f t="shared" si="119"/>
        <v>-2.2506631300006488</v>
      </c>
      <c r="L818" s="1009"/>
      <c r="M818" s="595"/>
      <c r="N818" s="595"/>
      <c r="O818" s="595"/>
      <c r="P818" s="595"/>
      <c r="Q818" s="595"/>
    </row>
    <row r="819" spans="1:17">
      <c r="A819" s="1019" t="s">
        <v>1502</v>
      </c>
      <c r="B819" s="979" t="s">
        <v>420</v>
      </c>
      <c r="C819" s="979" t="s">
        <v>365</v>
      </c>
      <c r="D819" s="979" t="s">
        <v>1106</v>
      </c>
      <c r="E819" s="1022">
        <v>9867</v>
      </c>
      <c r="F819" s="595"/>
      <c r="G819" s="1009">
        <f t="shared" si="121"/>
        <v>8.66</v>
      </c>
      <c r="H819" s="1012">
        <f t="shared" si="122"/>
        <v>85448.22</v>
      </c>
      <c r="I819" s="1011">
        <f t="shared" si="118"/>
        <v>-0.69607623732840962</v>
      </c>
      <c r="J819" s="1009">
        <f t="shared" si="120"/>
        <v>9867</v>
      </c>
      <c r="K819" s="1009">
        <f t="shared" si="119"/>
        <v>-1.9595842956356686</v>
      </c>
      <c r="L819" s="595"/>
      <c r="M819" s="595"/>
      <c r="N819" s="595"/>
      <c r="O819" s="595"/>
      <c r="P819" s="595"/>
      <c r="Q819" s="595"/>
    </row>
    <row r="820" spans="1:17">
      <c r="A820" s="1019" t="s">
        <v>1502</v>
      </c>
      <c r="B820" s="979" t="s">
        <v>420</v>
      </c>
      <c r="C820" s="979" t="s">
        <v>388</v>
      </c>
      <c r="D820" s="979" t="s">
        <v>1107</v>
      </c>
      <c r="E820" s="1022">
        <v>20338</v>
      </c>
      <c r="F820" s="595"/>
      <c r="G820" s="1009">
        <f t="shared" si="121"/>
        <v>9.14</v>
      </c>
      <c r="H820" s="1012">
        <f t="shared" si="122"/>
        <v>185889.32</v>
      </c>
      <c r="I820" s="1011">
        <f t="shared" si="118"/>
        <v>-1.5142871135892202</v>
      </c>
      <c r="J820" s="1009">
        <f t="shared" si="120"/>
        <v>20338</v>
      </c>
      <c r="K820" s="1009">
        <f t="shared" si="119"/>
        <v>-1.8566739606351084</v>
      </c>
      <c r="L820" s="595"/>
      <c r="M820" s="595"/>
      <c r="N820" s="595"/>
      <c r="O820" s="595"/>
      <c r="P820" s="595"/>
      <c r="Q820" s="595"/>
    </row>
    <row r="821" spans="1:17">
      <c r="A821" s="1019" t="s">
        <v>1502</v>
      </c>
      <c r="B821" s="979" t="s">
        <v>420</v>
      </c>
      <c r="C821" s="979" t="s">
        <v>345</v>
      </c>
      <c r="D821" s="979" t="s">
        <v>1108</v>
      </c>
      <c r="E821" s="1022">
        <v>7723</v>
      </c>
      <c r="F821" s="595"/>
      <c r="G821" s="1009">
        <f t="shared" si="121"/>
        <v>14.25</v>
      </c>
      <c r="H821" s="1012">
        <f t="shared" si="122"/>
        <v>110052.75</v>
      </c>
      <c r="I821" s="1011">
        <f t="shared" si="118"/>
        <v>-0.89650906862242563</v>
      </c>
      <c r="J821" s="1009">
        <f t="shared" si="120"/>
        <v>7723</v>
      </c>
      <c r="K821" s="1009">
        <f t="shared" si="119"/>
        <v>-1.1908771929968345</v>
      </c>
      <c r="L821" s="1009"/>
      <c r="M821" s="595"/>
      <c r="N821" s="595"/>
      <c r="O821" s="595"/>
      <c r="P821" s="595"/>
      <c r="Q821" s="595"/>
    </row>
    <row r="822" spans="1:17">
      <c r="A822" s="1019" t="s">
        <v>1502</v>
      </c>
      <c r="B822" s="979" t="s">
        <v>420</v>
      </c>
      <c r="C822" s="979" t="s">
        <v>377</v>
      </c>
      <c r="D822" s="979" t="s">
        <v>1109</v>
      </c>
      <c r="E822" s="1022">
        <v>2855</v>
      </c>
      <c r="F822" s="595"/>
      <c r="G822" s="1009">
        <f t="shared" si="121"/>
        <v>22.84</v>
      </c>
      <c r="H822" s="1012">
        <f t="shared" si="122"/>
        <v>65208.2</v>
      </c>
      <c r="I822" s="1011">
        <f t="shared" si="118"/>
        <v>-0.531197472562429</v>
      </c>
      <c r="J822" s="1009">
        <f t="shared" si="120"/>
        <v>2855</v>
      </c>
      <c r="K822" s="1009">
        <f t="shared" si="119"/>
        <v>-0.74299474606851534</v>
      </c>
      <c r="L822" s="595"/>
      <c r="M822" s="595"/>
      <c r="N822" s="595"/>
      <c r="O822" s="595"/>
      <c r="P822" s="595"/>
      <c r="Q822" s="595"/>
    </row>
    <row r="823" spans="1:17">
      <c r="A823" s="1019" t="s">
        <v>1502</v>
      </c>
      <c r="B823" s="979" t="s">
        <v>420</v>
      </c>
      <c r="C823" s="979" t="s">
        <v>363</v>
      </c>
      <c r="D823" s="979" t="s">
        <v>1110</v>
      </c>
      <c r="E823" s="1022">
        <v>804</v>
      </c>
      <c r="F823" s="595"/>
      <c r="G823" s="1009">
        <f t="shared" si="121"/>
        <v>9.620000000000001</v>
      </c>
      <c r="H823" s="1012">
        <f t="shared" si="122"/>
        <v>7734.4800000000005</v>
      </c>
      <c r="I823" s="1011">
        <f t="shared" si="118"/>
        <v>-6.3006435196565097E-2</v>
      </c>
      <c r="J823" s="1009">
        <f t="shared" si="120"/>
        <v>804</v>
      </c>
      <c r="K823" s="1009">
        <f t="shared" si="119"/>
        <v>-1.7640332640545622</v>
      </c>
      <c r="L823" s="595"/>
      <c r="M823" s="595"/>
      <c r="N823" s="595"/>
      <c r="O823" s="595"/>
      <c r="P823" s="595"/>
      <c r="Q823" s="595"/>
    </row>
    <row r="824" spans="1:17">
      <c r="A824" s="1019" t="s">
        <v>1502</v>
      </c>
      <c r="B824" s="979" t="s">
        <v>420</v>
      </c>
      <c r="C824" s="979" t="s">
        <v>373</v>
      </c>
      <c r="D824" s="979" t="s">
        <v>1111</v>
      </c>
      <c r="E824" s="1022">
        <v>1329</v>
      </c>
      <c r="F824" s="595"/>
      <c r="G824" s="1009">
        <f t="shared" si="121"/>
        <v>10.770000000000001</v>
      </c>
      <c r="H824" s="1012">
        <f t="shared" si="122"/>
        <v>14313.330000000002</v>
      </c>
      <c r="I824" s="1011">
        <f t="shared" si="118"/>
        <v>-0.11659890504494823</v>
      </c>
      <c r="J824" s="1009">
        <f t="shared" si="120"/>
        <v>1329</v>
      </c>
      <c r="K824" s="1009">
        <f t="shared" si="119"/>
        <v>-1.575673166221438</v>
      </c>
      <c r="L824" s="1009"/>
      <c r="M824" s="595"/>
      <c r="N824" s="595"/>
      <c r="O824" s="595"/>
      <c r="P824" s="595"/>
      <c r="Q824" s="595"/>
    </row>
    <row r="825" spans="1:17">
      <c r="A825" s="1019" t="s">
        <v>1502</v>
      </c>
      <c r="B825" s="979" t="s">
        <v>420</v>
      </c>
      <c r="C825" s="979" t="s">
        <v>396</v>
      </c>
      <c r="D825" s="979" t="s">
        <v>1112</v>
      </c>
      <c r="E825" s="1022">
        <v>3982</v>
      </c>
      <c r="F825" s="595"/>
      <c r="G825" s="1009">
        <f t="shared" si="121"/>
        <v>11.16</v>
      </c>
      <c r="H825" s="1012">
        <f t="shared" si="122"/>
        <v>44439.12</v>
      </c>
      <c r="I825" s="1011">
        <f t="shared" si="118"/>
        <v>-0.36200889193227986</v>
      </c>
      <c r="J825" s="1009">
        <f t="shared" si="120"/>
        <v>3982</v>
      </c>
      <c r="K825" s="1009">
        <f t="shared" si="119"/>
        <v>-1.5206093190147751</v>
      </c>
      <c r="L825" s="595"/>
      <c r="M825" s="595"/>
      <c r="N825" s="595"/>
      <c r="O825" s="595"/>
      <c r="P825" s="595"/>
      <c r="Q825" s="595"/>
    </row>
    <row r="826" spans="1:17">
      <c r="A826" s="1019" t="s">
        <v>1502</v>
      </c>
      <c r="B826" s="979" t="s">
        <v>420</v>
      </c>
      <c r="C826" s="979" t="s">
        <v>351</v>
      </c>
      <c r="D826" s="979" t="s">
        <v>1113</v>
      </c>
      <c r="E826" s="1022">
        <v>291</v>
      </c>
      <c r="F826" s="595"/>
      <c r="G826" s="1009">
        <f t="shared" si="121"/>
        <v>33.100000000000009</v>
      </c>
      <c r="H826" s="1012">
        <f t="shared" si="122"/>
        <v>9632.1000000000022</v>
      </c>
      <c r="I826" s="1011">
        <f t="shared" si="118"/>
        <v>-7.8464781660413485E-2</v>
      </c>
      <c r="J826" s="1009">
        <f t="shared" si="120"/>
        <v>291</v>
      </c>
      <c r="K826" s="1009">
        <f t="shared" si="119"/>
        <v>-0.51268882175845576</v>
      </c>
      <c r="L826" s="595"/>
      <c r="M826" s="595"/>
      <c r="N826" s="595"/>
      <c r="O826" s="595"/>
      <c r="P826" s="595"/>
      <c r="Q826" s="595"/>
    </row>
    <row r="827" spans="1:17">
      <c r="A827" s="1019" t="s">
        <v>1502</v>
      </c>
      <c r="B827" s="979" t="s">
        <v>420</v>
      </c>
      <c r="C827" s="979" t="s">
        <v>314</v>
      </c>
      <c r="D827" s="979" t="s">
        <v>1114</v>
      </c>
      <c r="E827" s="1022">
        <v>-36</v>
      </c>
      <c r="F827" s="595"/>
      <c r="G827" s="1009">
        <f t="shared" si="121"/>
        <v>55.250000000000007</v>
      </c>
      <c r="H827" s="1012">
        <f t="shared" si="122"/>
        <v>-1989.0000000000002</v>
      </c>
      <c r="I827" s="1011">
        <f t="shared" si="118"/>
        <v>1.6202744024933543E-2</v>
      </c>
      <c r="J827" s="1009">
        <f t="shared" si="120"/>
        <v>-36</v>
      </c>
      <c r="K827" s="1009">
        <f t="shared" si="119"/>
        <v>-0.30714932127067673</v>
      </c>
      <c r="L827" s="595"/>
      <c r="M827" s="595"/>
      <c r="N827" s="595"/>
      <c r="O827" s="595"/>
      <c r="P827" s="595"/>
      <c r="Q827" s="595"/>
    </row>
    <row r="828" spans="1:17">
      <c r="A828" s="1019" t="s">
        <v>1502</v>
      </c>
      <c r="B828" s="979" t="s">
        <v>420</v>
      </c>
      <c r="C828" s="979" t="s">
        <v>355</v>
      </c>
      <c r="D828" s="979" t="s">
        <v>1115</v>
      </c>
      <c r="E828" s="1022">
        <v>3400</v>
      </c>
      <c r="F828" s="595"/>
      <c r="G828" s="1009">
        <f t="shared" si="121"/>
        <v>10.49</v>
      </c>
      <c r="H828" s="1012">
        <f t="shared" si="122"/>
        <v>35666</v>
      </c>
      <c r="I828" s="1011">
        <f t="shared" si="118"/>
        <v>-0.29054151251547494</v>
      </c>
      <c r="J828" s="1009">
        <f t="shared" si="120"/>
        <v>3400</v>
      </c>
      <c r="K828" s="1009">
        <f t="shared" si="119"/>
        <v>-1.6177311725648131</v>
      </c>
      <c r="L828" s="595"/>
      <c r="M828" s="595"/>
      <c r="N828" s="595"/>
      <c r="O828" s="595"/>
      <c r="P828" s="595"/>
      <c r="Q828" s="595"/>
    </row>
    <row r="829" spans="1:17">
      <c r="A829" s="1019" t="s">
        <v>1502</v>
      </c>
      <c r="B829" s="979" t="s">
        <v>420</v>
      </c>
      <c r="C829" s="979" t="s">
        <v>364</v>
      </c>
      <c r="D829" s="979" t="s">
        <v>1116</v>
      </c>
      <c r="E829" s="1022">
        <v>8623</v>
      </c>
      <c r="F829" s="595"/>
      <c r="G829" s="1009">
        <f t="shared" si="121"/>
        <v>11.600000000000001</v>
      </c>
      <c r="H829" s="1012">
        <f t="shared" si="122"/>
        <v>100026.80000000002</v>
      </c>
      <c r="I829" s="1011">
        <f t="shared" si="118"/>
        <v>-0.81483591555214807</v>
      </c>
      <c r="J829" s="1009">
        <f t="shared" si="120"/>
        <v>8623</v>
      </c>
      <c r="K829" s="1009">
        <f t="shared" si="119"/>
        <v>-1.4629310345004214</v>
      </c>
      <c r="L829" s="595"/>
      <c r="M829" s="595"/>
      <c r="N829" s="595"/>
      <c r="O829" s="595"/>
      <c r="P829" s="595"/>
      <c r="Q829" s="595"/>
    </row>
    <row r="830" spans="1:17">
      <c r="A830" s="1019" t="s">
        <v>1502</v>
      </c>
      <c r="B830" s="979" t="s">
        <v>420</v>
      </c>
      <c r="C830" s="979" t="s">
        <v>387</v>
      </c>
      <c r="D830" s="979" t="s">
        <v>1117</v>
      </c>
      <c r="E830" s="1022">
        <v>3232</v>
      </c>
      <c r="F830" s="595"/>
      <c r="G830" s="1009">
        <f t="shared" si="121"/>
        <v>12.3</v>
      </c>
      <c r="H830" s="1012">
        <f t="shared" si="122"/>
        <v>39753.600000000006</v>
      </c>
      <c r="I830" s="1011">
        <f t="shared" si="118"/>
        <v>-0.32383982145278939</v>
      </c>
      <c r="J830" s="1009">
        <f t="shared" si="120"/>
        <v>3232</v>
      </c>
      <c r="K830" s="1009">
        <f t="shared" si="119"/>
        <v>-1.3796747967646252</v>
      </c>
      <c r="L830" s="595"/>
      <c r="M830" s="595"/>
      <c r="N830" s="595"/>
      <c r="O830" s="595"/>
      <c r="P830" s="595"/>
      <c r="Q830" s="595"/>
    </row>
    <row r="831" spans="1:17">
      <c r="A831" s="1019" t="s">
        <v>1502</v>
      </c>
      <c r="B831" s="979" t="s">
        <v>420</v>
      </c>
      <c r="C831" s="979" t="s">
        <v>344</v>
      </c>
      <c r="D831" s="979" t="s">
        <v>1118</v>
      </c>
      <c r="E831" s="1022">
        <v>5197</v>
      </c>
      <c r="F831" s="595"/>
      <c r="G831" s="1009">
        <f t="shared" si="121"/>
        <v>17.41</v>
      </c>
      <c r="H831" s="1012">
        <f t="shared" si="122"/>
        <v>90479.77</v>
      </c>
      <c r="I831" s="1011">
        <f t="shared" si="118"/>
        <v>-0.73706412908238361</v>
      </c>
      <c r="J831" s="1009">
        <f t="shared" si="120"/>
        <v>5197</v>
      </c>
      <c r="K831" s="1009">
        <f t="shared" si="119"/>
        <v>-0.97472716830585238</v>
      </c>
      <c r="L831" s="595"/>
      <c r="M831" s="595"/>
      <c r="N831" s="595"/>
      <c r="O831" s="595"/>
      <c r="P831" s="595"/>
      <c r="Q831" s="595"/>
    </row>
    <row r="832" spans="1:17">
      <c r="A832" s="1019" t="s">
        <v>1502</v>
      </c>
      <c r="B832" s="979" t="s">
        <v>420</v>
      </c>
      <c r="C832" s="979" t="s">
        <v>376</v>
      </c>
      <c r="D832" s="979" t="s">
        <v>1119</v>
      </c>
      <c r="E832" s="1022">
        <v>453</v>
      </c>
      <c r="F832" s="595"/>
      <c r="G832" s="1009">
        <f t="shared" si="121"/>
        <v>24.46</v>
      </c>
      <c r="H832" s="1012">
        <f t="shared" si="122"/>
        <v>11080.380000000001</v>
      </c>
      <c r="I832" s="1011">
        <f t="shared" si="118"/>
        <v>-9.0262725409247416E-2</v>
      </c>
      <c r="J832" s="1009">
        <f t="shared" si="120"/>
        <v>453</v>
      </c>
      <c r="K832" s="1009">
        <f t="shared" si="119"/>
        <v>-0.69378577269848285</v>
      </c>
      <c r="L832" s="595"/>
      <c r="M832" s="595"/>
      <c r="N832" s="595"/>
      <c r="O832" s="595"/>
      <c r="P832" s="595"/>
      <c r="Q832" s="595"/>
    </row>
    <row r="833" spans="1:17">
      <c r="A833" s="1019" t="s">
        <v>1502</v>
      </c>
      <c r="B833" s="979" t="s">
        <v>420</v>
      </c>
      <c r="C833" s="979" t="s">
        <v>374</v>
      </c>
      <c r="D833" s="979" t="s">
        <v>1120</v>
      </c>
      <c r="E833" s="1022">
        <v>4555</v>
      </c>
      <c r="F833" s="595"/>
      <c r="G833" s="1009">
        <f t="shared" ref="G833:G849" si="123">SUMIF(_Lights_Tariff_Category,20140101&amp;$C833,_Lights_Rates)</f>
        <v>16.79</v>
      </c>
      <c r="H833" s="1012">
        <f t="shared" ref="H833:H849" si="124">E833*G833</f>
        <v>76478.45</v>
      </c>
      <c r="I833" s="1011">
        <f t="shared" si="118"/>
        <v>-0.62300691240506711</v>
      </c>
      <c r="J833" s="1009">
        <f t="shared" si="120"/>
        <v>4555</v>
      </c>
      <c r="K833" s="1009">
        <f t="shared" si="119"/>
        <v>-1.0107206670759317</v>
      </c>
      <c r="L833" s="595"/>
      <c r="M833" s="595"/>
      <c r="N833" s="595"/>
      <c r="O833" s="595"/>
      <c r="P833" s="595"/>
      <c r="Q833" s="595"/>
    </row>
    <row r="834" spans="1:17">
      <c r="A834" s="1019" t="s">
        <v>1502</v>
      </c>
      <c r="B834" s="979" t="s">
        <v>420</v>
      </c>
      <c r="C834" s="979" t="s">
        <v>398</v>
      </c>
      <c r="D834" s="979" t="s">
        <v>1121</v>
      </c>
      <c r="E834" s="1022">
        <v>1021</v>
      </c>
      <c r="F834" s="595"/>
      <c r="G834" s="1009">
        <f t="shared" si="123"/>
        <v>20.97</v>
      </c>
      <c r="H834" s="1012">
        <f t="shared" si="124"/>
        <v>21410.37</v>
      </c>
      <c r="I834" s="1011">
        <f t="shared" ref="I834:I849" si="125">H834/$L$774*$L$775</f>
        <v>-0.17441264182459343</v>
      </c>
      <c r="J834" s="1009">
        <f t="shared" si="120"/>
        <v>1021</v>
      </c>
      <c r="K834" s="1009">
        <f t="shared" si="119"/>
        <v>-0.8092513114070049</v>
      </c>
      <c r="L834" s="595"/>
      <c r="M834" s="595"/>
      <c r="N834" s="595"/>
      <c r="O834" s="595"/>
      <c r="P834" s="595"/>
      <c r="Q834" s="595"/>
    </row>
    <row r="835" spans="1:17">
      <c r="A835" s="1019" t="s">
        <v>1502</v>
      </c>
      <c r="B835" s="979" t="s">
        <v>420</v>
      </c>
      <c r="C835" s="979" t="s">
        <v>348</v>
      </c>
      <c r="D835" s="979" t="s">
        <v>1122</v>
      </c>
      <c r="E835" s="1022">
        <f>1391+1</f>
        <v>1392</v>
      </c>
      <c r="F835" s="595"/>
      <c r="G835" s="1009">
        <f t="shared" si="123"/>
        <v>26.86</v>
      </c>
      <c r="H835" s="1012">
        <f t="shared" si="124"/>
        <v>37389.120000000003</v>
      </c>
      <c r="I835" s="1011">
        <f t="shared" si="125"/>
        <v>-0.30457835127075072</v>
      </c>
      <c r="J835" s="1009">
        <f t="shared" si="120"/>
        <v>1392</v>
      </c>
      <c r="K835" s="1009">
        <f t="shared" ref="K835:K849" si="126">$L$775/G835</f>
        <v>-0.63179448995550602</v>
      </c>
      <c r="L835" s="595"/>
      <c r="M835" s="595"/>
      <c r="N835" s="595"/>
      <c r="O835" s="595"/>
      <c r="P835" s="595"/>
      <c r="Q835" s="595"/>
    </row>
    <row r="836" spans="1:17">
      <c r="A836" s="1019" t="s">
        <v>1502</v>
      </c>
      <c r="B836" s="979" t="s">
        <v>420</v>
      </c>
      <c r="C836" s="979" t="s">
        <v>380</v>
      </c>
      <c r="D836" s="979" t="s">
        <v>1123</v>
      </c>
      <c r="E836" s="1022">
        <v>999</v>
      </c>
      <c r="F836" s="595"/>
      <c r="G836" s="1009">
        <f t="shared" si="123"/>
        <v>33.119999999999997</v>
      </c>
      <c r="H836" s="1012">
        <f t="shared" si="124"/>
        <v>33086.879999999997</v>
      </c>
      <c r="I836" s="1011">
        <f t="shared" si="125"/>
        <v>-0.26953154712101213</v>
      </c>
      <c r="J836" s="1009">
        <f t="shared" si="120"/>
        <v>999</v>
      </c>
      <c r="K836" s="1009">
        <f t="shared" si="126"/>
        <v>-0.51237922705932648</v>
      </c>
      <c r="L836" s="595"/>
      <c r="M836" s="595"/>
      <c r="N836" s="595"/>
      <c r="O836" s="595"/>
      <c r="P836" s="595"/>
      <c r="Q836" s="595"/>
    </row>
    <row r="837" spans="1:17">
      <c r="A837" s="1019" t="s">
        <v>1502</v>
      </c>
      <c r="B837" s="979" t="s">
        <v>420</v>
      </c>
      <c r="C837" s="979" t="s">
        <v>399</v>
      </c>
      <c r="D837" s="979" t="s">
        <v>1124</v>
      </c>
      <c r="E837" s="1022">
        <v>10673</v>
      </c>
      <c r="F837" s="595"/>
      <c r="G837" s="1009">
        <f t="shared" si="123"/>
        <v>9</v>
      </c>
      <c r="H837" s="1012">
        <f t="shared" si="124"/>
        <v>96057</v>
      </c>
      <c r="I837" s="1011">
        <f t="shared" si="125"/>
        <v>-0.7824972261453198</v>
      </c>
      <c r="J837" s="1009">
        <f t="shared" ref="J837:J849" si="127">ROUND((H837+I837)/G837,0)</f>
        <v>10673</v>
      </c>
      <c r="K837" s="1009">
        <f t="shared" si="126"/>
        <v>-1.8855555555783212</v>
      </c>
      <c r="L837" s="595"/>
      <c r="M837" s="595"/>
      <c r="N837" s="595"/>
      <c r="O837" s="595"/>
      <c r="P837" s="595"/>
      <c r="Q837" s="595"/>
    </row>
    <row r="838" spans="1:17">
      <c r="A838" s="1019" t="s">
        <v>1502</v>
      </c>
      <c r="B838" s="979" t="s">
        <v>420</v>
      </c>
      <c r="C838" s="979" t="s">
        <v>349</v>
      </c>
      <c r="D838" s="979" t="s">
        <v>1125</v>
      </c>
      <c r="E838" s="1022">
        <v>6332</v>
      </c>
      <c r="F838" s="595"/>
      <c r="G838" s="1009">
        <f t="shared" si="123"/>
        <v>13.639999999999999</v>
      </c>
      <c r="H838" s="1012">
        <f t="shared" si="124"/>
        <v>86368.48</v>
      </c>
      <c r="I838" s="1011">
        <f t="shared" si="125"/>
        <v>-0.70357283723609454</v>
      </c>
      <c r="J838" s="1009">
        <f t="shared" si="127"/>
        <v>6332</v>
      </c>
      <c r="K838" s="1009">
        <f t="shared" si="126"/>
        <v>-1.2441348973757254</v>
      </c>
      <c r="L838" s="595"/>
      <c r="M838" s="595"/>
      <c r="N838" s="595"/>
      <c r="O838" s="595"/>
      <c r="P838" s="595"/>
      <c r="Q838" s="595"/>
    </row>
    <row r="839" spans="1:17">
      <c r="A839" s="1019" t="s">
        <v>1502</v>
      </c>
      <c r="B839" s="979" t="s">
        <v>420</v>
      </c>
      <c r="C839" s="979" t="s">
        <v>381</v>
      </c>
      <c r="D839" s="979" t="s">
        <v>1126</v>
      </c>
      <c r="E839" s="1022">
        <v>8016</v>
      </c>
      <c r="F839" s="595"/>
      <c r="G839" s="1009">
        <f t="shared" si="123"/>
        <v>19.46</v>
      </c>
      <c r="H839" s="1012">
        <f t="shared" si="124"/>
        <v>155991.36000000002</v>
      </c>
      <c r="I839" s="1011">
        <f t="shared" si="125"/>
        <v>-1.2707330699754937</v>
      </c>
      <c r="J839" s="1009">
        <f t="shared" si="127"/>
        <v>8016</v>
      </c>
      <c r="K839" s="1009">
        <f t="shared" si="126"/>
        <v>-0.87204522097661308</v>
      </c>
      <c r="L839" s="595"/>
      <c r="M839" s="595"/>
      <c r="N839" s="595"/>
      <c r="O839" s="595"/>
      <c r="P839" s="595"/>
      <c r="Q839" s="595"/>
    </row>
    <row r="840" spans="1:17">
      <c r="A840" s="1019" t="s">
        <v>1502</v>
      </c>
      <c r="B840" s="979" t="s">
        <v>420</v>
      </c>
      <c r="C840" s="979" t="s">
        <v>321</v>
      </c>
      <c r="D840" s="979" t="s">
        <v>1127</v>
      </c>
      <c r="E840" s="1022">
        <v>56</v>
      </c>
      <c r="F840" s="595"/>
      <c r="G840" s="1009">
        <f t="shared" si="123"/>
        <v>15.47</v>
      </c>
      <c r="H840" s="1012">
        <f t="shared" si="124"/>
        <v>866.32</v>
      </c>
      <c r="I840" s="1011">
        <f t="shared" si="125"/>
        <v>-7.0571951753043869E-3</v>
      </c>
      <c r="J840" s="1009">
        <f t="shared" si="127"/>
        <v>56</v>
      </c>
      <c r="K840" s="1009">
        <f t="shared" si="126"/>
        <v>-1.0969618616809884</v>
      </c>
      <c r="L840" s="595"/>
      <c r="M840" s="595"/>
      <c r="N840" s="595"/>
      <c r="O840" s="595"/>
      <c r="P840" s="595"/>
      <c r="Q840" s="595"/>
    </row>
    <row r="841" spans="1:17">
      <c r="A841" s="1019" t="s">
        <v>1502</v>
      </c>
      <c r="B841" s="979" t="s">
        <v>420</v>
      </c>
      <c r="C841" s="979" t="s">
        <v>353</v>
      </c>
      <c r="D841" s="979" t="s">
        <v>1128</v>
      </c>
      <c r="E841" s="1022">
        <v>317</v>
      </c>
      <c r="F841" s="595"/>
      <c r="G841" s="1009">
        <f t="shared" si="123"/>
        <v>21.930000000000003</v>
      </c>
      <c r="H841" s="1012">
        <f t="shared" si="124"/>
        <v>6951.8100000000013</v>
      </c>
      <c r="I841" s="1011">
        <f t="shared" si="125"/>
        <v>-5.6630667642017726E-2</v>
      </c>
      <c r="J841" s="1009">
        <f t="shared" si="127"/>
        <v>317</v>
      </c>
      <c r="K841" s="1009">
        <f t="shared" si="126"/>
        <v>-0.77382580940286771</v>
      </c>
      <c r="L841" s="595"/>
      <c r="M841" s="595"/>
      <c r="N841" s="595"/>
      <c r="O841" s="595"/>
      <c r="P841" s="595"/>
      <c r="Q841" s="595"/>
    </row>
    <row r="842" spans="1:17">
      <c r="A842" s="1019" t="s">
        <v>1502</v>
      </c>
      <c r="B842" s="979" t="s">
        <v>420</v>
      </c>
      <c r="C842" s="979" t="s">
        <v>678</v>
      </c>
      <c r="D842" s="979" t="s">
        <v>1129</v>
      </c>
      <c r="E842" s="1022">
        <v>2</v>
      </c>
      <c r="F842" s="595"/>
      <c r="G842" s="1009">
        <f t="shared" si="123"/>
        <v>15.370000000000001</v>
      </c>
      <c r="H842" s="1012">
        <f t="shared" si="124"/>
        <v>30.740000000000002</v>
      </c>
      <c r="I842" s="1011">
        <f t="shared" si="125"/>
        <v>-2.5041344963622778E-4</v>
      </c>
      <c r="J842" s="1009">
        <f t="shared" si="127"/>
        <v>2</v>
      </c>
      <c r="K842" s="1009">
        <f t="shared" si="126"/>
        <v>-1.1040988939625822</v>
      </c>
      <c r="L842" s="595"/>
      <c r="M842" s="595"/>
      <c r="N842" s="595"/>
      <c r="O842" s="595"/>
      <c r="P842" s="595"/>
      <c r="Q842" s="595"/>
    </row>
    <row r="843" spans="1:17">
      <c r="A843" s="1019" t="s">
        <v>1502</v>
      </c>
      <c r="B843" s="979" t="s">
        <v>420</v>
      </c>
      <c r="C843" s="979" t="s">
        <v>316</v>
      </c>
      <c r="D843" s="979" t="s">
        <v>1130</v>
      </c>
      <c r="E843" s="1022">
        <v>47</v>
      </c>
      <c r="F843" s="595"/>
      <c r="G843" s="1009">
        <f t="shared" si="123"/>
        <v>45.7</v>
      </c>
      <c r="H843" s="1012">
        <f t="shared" si="124"/>
        <v>2147.9</v>
      </c>
      <c r="I843" s="1011">
        <f t="shared" si="125"/>
        <v>-1.7497171388212544E-2</v>
      </c>
      <c r="J843" s="1009">
        <f t="shared" si="127"/>
        <v>47</v>
      </c>
      <c r="K843" s="1009">
        <f t="shared" si="126"/>
        <v>-0.37133479212702164</v>
      </c>
      <c r="L843" s="595"/>
      <c r="M843" s="595"/>
      <c r="N843" s="595"/>
      <c r="O843" s="595"/>
      <c r="P843" s="595"/>
      <c r="Q843" s="595"/>
    </row>
    <row r="844" spans="1:17">
      <c r="A844" s="1019" t="s">
        <v>1502</v>
      </c>
      <c r="B844" s="979" t="s">
        <v>420</v>
      </c>
      <c r="C844" s="979" t="s">
        <v>318</v>
      </c>
      <c r="D844" s="979" t="s">
        <v>1131</v>
      </c>
      <c r="E844" s="1022">
        <v>191</v>
      </c>
      <c r="F844" s="595"/>
      <c r="G844" s="1009">
        <f t="shared" si="123"/>
        <v>28.37</v>
      </c>
      <c r="H844" s="1012">
        <f t="shared" si="124"/>
        <v>5418.67</v>
      </c>
      <c r="I844" s="1011">
        <f t="shared" si="125"/>
        <v>-4.4141439399490515E-2</v>
      </c>
      <c r="J844" s="1009">
        <f t="shared" si="127"/>
        <v>191</v>
      </c>
      <c r="K844" s="1009">
        <f t="shared" si="126"/>
        <v>-0.59816707790641133</v>
      </c>
      <c r="L844" s="595"/>
      <c r="M844" s="595"/>
      <c r="N844" s="595"/>
      <c r="O844" s="595"/>
      <c r="P844" s="595"/>
      <c r="Q844" s="595"/>
    </row>
    <row r="845" spans="1:17">
      <c r="A845" s="1019" t="s">
        <v>1502</v>
      </c>
      <c r="B845" s="979" t="s">
        <v>420</v>
      </c>
      <c r="C845" s="979" t="s">
        <v>350</v>
      </c>
      <c r="D845" s="979" t="s">
        <v>1132</v>
      </c>
      <c r="E845" s="1022">
        <v>624</v>
      </c>
      <c r="F845" s="595"/>
      <c r="G845" s="1009">
        <f t="shared" si="123"/>
        <v>34.830000000000005</v>
      </c>
      <c r="H845" s="1012">
        <f t="shared" si="124"/>
        <v>21733.920000000002</v>
      </c>
      <c r="I845" s="1011">
        <f t="shared" si="125"/>
        <v>-0.17704833706303852</v>
      </c>
      <c r="J845" s="1009">
        <f t="shared" si="127"/>
        <v>624</v>
      </c>
      <c r="K845" s="1009">
        <f t="shared" si="126"/>
        <v>-0.48722365777217597</v>
      </c>
      <c r="L845" s="595"/>
      <c r="M845" s="595"/>
      <c r="N845" s="595"/>
      <c r="O845" s="595"/>
      <c r="P845" s="595"/>
      <c r="Q845" s="595"/>
    </row>
    <row r="846" spans="1:17">
      <c r="A846" s="1019" t="s">
        <v>1502</v>
      </c>
      <c r="B846" s="979" t="s">
        <v>420</v>
      </c>
      <c r="C846" s="979" t="s">
        <v>313</v>
      </c>
      <c r="D846" s="979" t="s">
        <v>1133</v>
      </c>
      <c r="E846" s="1022">
        <v>159</v>
      </c>
      <c r="F846" s="595"/>
      <c r="G846" s="1009">
        <f t="shared" si="123"/>
        <v>58.59</v>
      </c>
      <c r="H846" s="1012">
        <f t="shared" si="124"/>
        <v>9315.8100000000013</v>
      </c>
      <c r="I846" s="1011">
        <f t="shared" si="125"/>
        <v>-7.5888227659585805E-2</v>
      </c>
      <c r="J846" s="1009">
        <f t="shared" si="127"/>
        <v>159</v>
      </c>
      <c r="K846" s="1009">
        <f t="shared" si="126"/>
        <v>-0.28963987028852861</v>
      </c>
      <c r="L846" s="595"/>
      <c r="M846" s="595"/>
      <c r="N846" s="595"/>
      <c r="O846" s="595"/>
      <c r="P846" s="595"/>
      <c r="Q846" s="595"/>
    </row>
    <row r="847" spans="1:17">
      <c r="A847" s="1019" t="s">
        <v>1502</v>
      </c>
      <c r="B847" s="979" t="s">
        <v>420</v>
      </c>
      <c r="C847" s="979" t="s">
        <v>650</v>
      </c>
      <c r="D847" s="979" t="s">
        <v>1151</v>
      </c>
      <c r="E847" s="1022">
        <v>7</v>
      </c>
      <c r="F847" s="595"/>
      <c r="G847" s="1009">
        <f t="shared" si="123"/>
        <v>15.35</v>
      </c>
      <c r="H847" s="1012">
        <f t="shared" si="124"/>
        <v>107.45</v>
      </c>
      <c r="I847" s="1011">
        <f t="shared" si="125"/>
        <v>-8.7530660908954709E-4</v>
      </c>
      <c r="J847" s="1009">
        <f t="shared" si="127"/>
        <v>7</v>
      </c>
      <c r="K847" s="1009">
        <f t="shared" si="126"/>
        <v>-1.1055374592967355</v>
      </c>
      <c r="L847" s="1009"/>
      <c r="M847" s="595"/>
      <c r="N847" s="595"/>
      <c r="O847" s="595"/>
      <c r="P847" s="595"/>
      <c r="Q847" s="595"/>
    </row>
    <row r="848" spans="1:17">
      <c r="A848" s="1019" t="s">
        <v>1502</v>
      </c>
      <c r="B848" s="979" t="s">
        <v>420</v>
      </c>
      <c r="C848" s="979" t="s">
        <v>447</v>
      </c>
      <c r="D848" s="979" t="s">
        <v>1134</v>
      </c>
      <c r="E848" s="1022">
        <v>20</v>
      </c>
      <c r="F848" s="595"/>
      <c r="G848" s="1009">
        <f t="shared" si="123"/>
        <v>17.72</v>
      </c>
      <c r="H848" s="1012">
        <f t="shared" si="124"/>
        <v>354.4</v>
      </c>
      <c r="I848" s="1011">
        <f t="shared" si="125"/>
        <v>-2.8870047674391386E-3</v>
      </c>
      <c r="J848" s="1009">
        <f t="shared" si="127"/>
        <v>20</v>
      </c>
      <c r="K848" s="1009">
        <f t="shared" si="126"/>
        <v>-0.95767494357815419</v>
      </c>
      <c r="L848" s="595"/>
      <c r="M848" s="595"/>
      <c r="N848" s="595"/>
      <c r="O848" s="595"/>
      <c r="P848" s="595"/>
      <c r="Q848" s="595"/>
    </row>
    <row r="849" spans="1:17">
      <c r="A849" s="1019" t="s">
        <v>1502</v>
      </c>
      <c r="B849" s="979" t="s">
        <v>420</v>
      </c>
      <c r="C849" s="979" t="s">
        <v>624</v>
      </c>
      <c r="D849" s="979" t="s">
        <v>1135</v>
      </c>
      <c r="E849" s="1022">
        <v>22</v>
      </c>
      <c r="F849" s="595"/>
      <c r="G849" s="1009">
        <f t="shared" si="123"/>
        <v>21.490000000000002</v>
      </c>
      <c r="H849" s="1012">
        <f t="shared" si="124"/>
        <v>472.78000000000003</v>
      </c>
      <c r="I849" s="1011">
        <f t="shared" si="125"/>
        <v>-3.8513490799940071E-3</v>
      </c>
      <c r="J849" s="1009">
        <f t="shared" si="127"/>
        <v>22</v>
      </c>
      <c r="K849" s="1009">
        <f t="shared" si="126"/>
        <v>-0.78966961378338252</v>
      </c>
      <c r="L849" s="595"/>
      <c r="M849" s="595"/>
      <c r="N849" s="595"/>
      <c r="O849" s="595"/>
      <c r="P849" s="595"/>
      <c r="Q849" s="595"/>
    </row>
    <row r="850" spans="1:17">
      <c r="A850" s="1019" t="s">
        <v>1502</v>
      </c>
      <c r="B850" s="979" t="s">
        <v>420</v>
      </c>
      <c r="C850" s="1021" t="s">
        <v>8</v>
      </c>
      <c r="D850" s="1021"/>
      <c r="E850" s="980"/>
      <c r="F850" s="595"/>
      <c r="G850" s="1009"/>
      <c r="H850" s="1037">
        <f>SUM(H769:H849)</f>
        <v>2083186.0300000003</v>
      </c>
      <c r="I850" s="1011"/>
      <c r="J850" s="1009"/>
      <c r="K850" s="1009"/>
      <c r="L850" s="595"/>
      <c r="M850" s="595"/>
      <c r="N850" s="595"/>
      <c r="O850" s="595"/>
      <c r="P850" s="595"/>
      <c r="Q850" s="595"/>
    </row>
    <row r="851" spans="1:17">
      <c r="A851" s="1019"/>
      <c r="B851" s="1026"/>
      <c r="C851" s="1026"/>
      <c r="D851" s="1026"/>
      <c r="E851" s="1026"/>
      <c r="F851" s="595"/>
    </row>
    <row r="852" spans="1:17">
      <c r="A852" s="1019" t="s">
        <v>1503</v>
      </c>
      <c r="B852" s="979" t="s">
        <v>420</v>
      </c>
      <c r="C852" s="979" t="s">
        <v>433</v>
      </c>
      <c r="D852" s="979" t="s">
        <v>432</v>
      </c>
      <c r="E852" s="980"/>
      <c r="F852" s="595"/>
      <c r="G852" s="1009"/>
      <c r="H852" s="1012"/>
      <c r="I852" s="1011"/>
      <c r="J852" s="1009"/>
      <c r="K852" s="1009"/>
      <c r="L852" s="595"/>
      <c r="M852" s="595"/>
      <c r="N852" s="595"/>
      <c r="O852" s="595"/>
      <c r="P852" s="595"/>
    </row>
    <row r="853" spans="1:17">
      <c r="A853" s="1019" t="s">
        <v>1503</v>
      </c>
      <c r="B853" s="979" t="s">
        <v>420</v>
      </c>
      <c r="C853" s="979" t="s">
        <v>431</v>
      </c>
      <c r="D853" s="979" t="s">
        <v>430</v>
      </c>
      <c r="E853" s="980"/>
      <c r="F853" s="595"/>
      <c r="G853" s="1009"/>
      <c r="H853" s="1012"/>
      <c r="I853" s="1011"/>
      <c r="J853" s="1009"/>
      <c r="K853" s="1009"/>
      <c r="L853" s="1020">
        <f>'12MonLights'!$O$969</f>
        <v>2027330</v>
      </c>
      <c r="M853" s="595" t="s">
        <v>1529</v>
      </c>
      <c r="N853" s="595"/>
      <c r="O853" s="595"/>
      <c r="P853" s="595"/>
      <c r="Q853" s="1010" t="s">
        <v>1544</v>
      </c>
    </row>
    <row r="854" spans="1:17">
      <c r="A854" s="1019" t="s">
        <v>1503</v>
      </c>
      <c r="B854" s="979" t="s">
        <v>420</v>
      </c>
      <c r="C854" s="979" t="s">
        <v>323</v>
      </c>
      <c r="D854" s="979" t="s">
        <v>1056</v>
      </c>
      <c r="E854" s="1022">
        <v>172</v>
      </c>
      <c r="F854" s="595"/>
      <c r="G854" s="1009">
        <f t="shared" ref="G854:G885" si="128">SUMIF(_Lights_Tariff_Category,20140101&amp;$C854,_Lights_Rates)</f>
        <v>55.33</v>
      </c>
      <c r="H854" s="1012">
        <f t="shared" ref="H854:H885" si="129">E854*G854</f>
        <v>9516.76</v>
      </c>
      <c r="I854" s="1011">
        <f>H854/$L$857*$L$858</f>
        <v>8.3090074758995873E-3</v>
      </c>
      <c r="J854" s="1009">
        <f>ROUND((H854+I854)/G854,0)</f>
        <v>172</v>
      </c>
      <c r="K854" s="1009">
        <f>$L$858/G854</f>
        <v>3.1809145129392973E-2</v>
      </c>
      <c r="L854" s="1011">
        <f>'12MonResults'!$AE$413</f>
        <v>1025.78</v>
      </c>
      <c r="M854" s="595" t="s">
        <v>1531</v>
      </c>
      <c r="N854" s="595"/>
      <c r="O854" s="595"/>
      <c r="P854" s="595"/>
      <c r="Q854" s="595"/>
    </row>
    <row r="855" spans="1:17" ht="13.5">
      <c r="A855" s="1019" t="s">
        <v>1503</v>
      </c>
      <c r="B855" s="979" t="s">
        <v>420</v>
      </c>
      <c r="C855" s="979" t="s">
        <v>328</v>
      </c>
      <c r="D855" s="979" t="s">
        <v>1057</v>
      </c>
      <c r="E855" s="1022">
        <v>26</v>
      </c>
      <c r="F855" s="595"/>
      <c r="G855" s="1009">
        <f t="shared" si="128"/>
        <v>83.16</v>
      </c>
      <c r="H855" s="1012">
        <f t="shared" si="129"/>
        <v>2162.16</v>
      </c>
      <c r="I855" s="1011">
        <f t="shared" ref="I855:I918" si="130">H855/$L$857*$L$858</f>
        <v>1.8877647018618784E-3</v>
      </c>
      <c r="J855" s="1009">
        <f>ROUND((H855+I855)/G855,0)</f>
        <v>26</v>
      </c>
      <c r="K855" s="1009">
        <f t="shared" ref="K855:K918" si="131">$L$858/G855</f>
        <v>2.1164021164133157E-2</v>
      </c>
      <c r="L855" s="1013">
        <f>'12MonResults'!$AE$415</f>
        <v>10478.35</v>
      </c>
      <c r="M855" s="1014" t="s">
        <v>1532</v>
      </c>
      <c r="N855" s="595"/>
      <c r="O855" s="595"/>
      <c r="P855" s="595"/>
      <c r="Q855" s="595"/>
    </row>
    <row r="856" spans="1:17">
      <c r="A856" s="1019" t="s">
        <v>1503</v>
      </c>
      <c r="B856" s="979" t="s">
        <v>420</v>
      </c>
      <c r="C856" s="979" t="s">
        <v>331</v>
      </c>
      <c r="D856" s="979" t="s">
        <v>1058</v>
      </c>
      <c r="E856" s="1022">
        <v>44</v>
      </c>
      <c r="F856" s="595"/>
      <c r="G856" s="1009">
        <f t="shared" si="128"/>
        <v>59.78</v>
      </c>
      <c r="H856" s="1012">
        <f t="shared" si="129"/>
        <v>2630.32</v>
      </c>
      <c r="I856" s="1011">
        <f t="shared" si="130"/>
        <v>2.2965114749145935E-3</v>
      </c>
      <c r="J856" s="1009">
        <f t="shared" ref="J856:J919" si="132">ROUND((H856+I856)/G856,0)</f>
        <v>44</v>
      </c>
      <c r="K856" s="1009">
        <f t="shared" si="131"/>
        <v>2.9441284710761344E-2</v>
      </c>
      <c r="L856" s="1011">
        <f>L853-L854-L855</f>
        <v>2015825.8699999999</v>
      </c>
      <c r="M856" s="595" t="s">
        <v>1533</v>
      </c>
      <c r="N856" s="595"/>
      <c r="O856" s="595"/>
      <c r="P856" s="595"/>
      <c r="Q856" s="595"/>
    </row>
    <row r="857" spans="1:17">
      <c r="A857" s="1019" t="s">
        <v>1503</v>
      </c>
      <c r="B857" s="979" t="s">
        <v>420</v>
      </c>
      <c r="C857" s="979" t="s">
        <v>332</v>
      </c>
      <c r="D857" s="979" t="s">
        <v>1059</v>
      </c>
      <c r="E857" s="1022">
        <v>5</v>
      </c>
      <c r="F857" s="595"/>
      <c r="G857" s="1009">
        <f t="shared" si="128"/>
        <v>61.75</v>
      </c>
      <c r="H857" s="1012">
        <f t="shared" si="129"/>
        <v>308.75</v>
      </c>
      <c r="I857" s="1011">
        <f t="shared" si="130"/>
        <v>2.695671697283527E-4</v>
      </c>
      <c r="J857" s="1009">
        <f t="shared" si="132"/>
        <v>5</v>
      </c>
      <c r="K857" s="1009">
        <f t="shared" si="131"/>
        <v>2.8502024291648796E-2</v>
      </c>
      <c r="L857" s="1012">
        <f>$H$935</f>
        <v>2015824.1099999999</v>
      </c>
      <c r="M857" s="595" t="s">
        <v>1534</v>
      </c>
      <c r="N857" s="595"/>
      <c r="O857" s="595"/>
      <c r="P857" s="595"/>
      <c r="Q857" s="595"/>
    </row>
    <row r="858" spans="1:17">
      <c r="A858" s="1019" t="s">
        <v>1503</v>
      </c>
      <c r="B858" s="979" t="s">
        <v>420</v>
      </c>
      <c r="C858" s="979" t="s">
        <v>333</v>
      </c>
      <c r="D858" s="979" t="s">
        <v>1060</v>
      </c>
      <c r="E858" s="1022">
        <v>1</v>
      </c>
      <c r="F858" s="595"/>
      <c r="G858" s="1009">
        <f t="shared" si="128"/>
        <v>63.11</v>
      </c>
      <c r="H858" s="1012">
        <f t="shared" si="129"/>
        <v>63.11</v>
      </c>
      <c r="I858" s="1011">
        <f t="shared" si="130"/>
        <v>5.5100839130546845E-5</v>
      </c>
      <c r="J858" s="1009">
        <f t="shared" si="132"/>
        <v>1</v>
      </c>
      <c r="K858" s="1009">
        <f t="shared" si="131"/>
        <v>2.7887814926466695E-2</v>
      </c>
      <c r="L858" s="1011">
        <f>L856-L857</f>
        <v>1.7600000000093132</v>
      </c>
      <c r="M858" s="595"/>
      <c r="N858" s="595"/>
      <c r="O858" s="595"/>
      <c r="P858" s="595"/>
      <c r="Q858" s="595"/>
    </row>
    <row r="859" spans="1:17">
      <c r="A859" s="1019" t="s">
        <v>1503</v>
      </c>
      <c r="B859" s="979" t="s">
        <v>420</v>
      </c>
      <c r="C859" s="979" t="s">
        <v>335</v>
      </c>
      <c r="D859" s="979" t="s">
        <v>1061</v>
      </c>
      <c r="E859" s="1022">
        <v>5</v>
      </c>
      <c r="F859" s="595"/>
      <c r="G859" s="1009">
        <f t="shared" si="128"/>
        <v>80.94</v>
      </c>
      <c r="H859" s="1012">
        <f t="shared" si="129"/>
        <v>404.7</v>
      </c>
      <c r="I859" s="1011">
        <f t="shared" si="130"/>
        <v>3.533403517054715E-4</v>
      </c>
      <c r="J859" s="1009">
        <f t="shared" si="132"/>
        <v>5</v>
      </c>
      <c r="K859" s="1009">
        <f t="shared" si="131"/>
        <v>2.174450210043629E-2</v>
      </c>
      <c r="L859" s="595"/>
      <c r="M859" s="595"/>
      <c r="N859" s="595"/>
      <c r="O859" s="595"/>
      <c r="P859" s="595"/>
      <c r="Q859" s="595"/>
    </row>
    <row r="860" spans="1:17">
      <c r="A860" s="1019" t="s">
        <v>1503</v>
      </c>
      <c r="B860" s="979" t="s">
        <v>420</v>
      </c>
      <c r="C860" s="979" t="s">
        <v>336</v>
      </c>
      <c r="D860" s="979" t="s">
        <v>1062</v>
      </c>
      <c r="E860" s="1022">
        <v>10</v>
      </c>
      <c r="F860" s="595"/>
      <c r="G860" s="1009">
        <f t="shared" si="128"/>
        <v>78.97</v>
      </c>
      <c r="H860" s="1012">
        <f t="shared" si="129"/>
        <v>789.7</v>
      </c>
      <c r="I860" s="1011">
        <f t="shared" si="130"/>
        <v>6.8948079007119067E-4</v>
      </c>
      <c r="J860" s="1009">
        <f t="shared" si="132"/>
        <v>10</v>
      </c>
      <c r="K860" s="1009">
        <f t="shared" si="131"/>
        <v>2.2286944409387277E-2</v>
      </c>
      <c r="L860" s="595"/>
      <c r="M860" s="595"/>
      <c r="N860" s="595"/>
      <c r="O860" s="595"/>
      <c r="P860" s="595"/>
      <c r="Q860" s="595"/>
    </row>
    <row r="861" spans="1:17">
      <c r="A861" s="1019" t="s">
        <v>1503</v>
      </c>
      <c r="B861" s="979" t="s">
        <v>420</v>
      </c>
      <c r="C861" s="979" t="s">
        <v>338</v>
      </c>
      <c r="D861" s="979" t="s">
        <v>1063</v>
      </c>
      <c r="E861" s="1022">
        <v>24</v>
      </c>
      <c r="F861" s="595"/>
      <c r="G861" s="1009">
        <f t="shared" si="128"/>
        <v>61.230000000000004</v>
      </c>
      <c r="H861" s="1012">
        <f t="shared" si="129"/>
        <v>1469.52</v>
      </c>
      <c r="I861" s="1011">
        <f t="shared" si="130"/>
        <v>1.2830262259407575E-3</v>
      </c>
      <c r="J861" s="1009">
        <f t="shared" si="132"/>
        <v>24</v>
      </c>
      <c r="K861" s="1009">
        <f t="shared" si="131"/>
        <v>2.8744079699645812E-2</v>
      </c>
      <c r="L861" s="595"/>
      <c r="M861" s="595"/>
      <c r="N861" s="595"/>
      <c r="O861" s="595"/>
      <c r="P861" s="595"/>
      <c r="Q861" s="595"/>
    </row>
    <row r="862" spans="1:17">
      <c r="A862" s="1019" t="s">
        <v>1503</v>
      </c>
      <c r="B862" s="979" t="s">
        <v>420</v>
      </c>
      <c r="C862" s="979" t="s">
        <v>339</v>
      </c>
      <c r="D862" s="979" t="s">
        <v>1064</v>
      </c>
      <c r="E862" s="1022">
        <v>1</v>
      </c>
      <c r="F862" s="595"/>
      <c r="G862" s="1009">
        <f t="shared" si="128"/>
        <v>56.69</v>
      </c>
      <c r="H862" s="1012">
        <f t="shared" si="129"/>
        <v>56.69</v>
      </c>
      <c r="I862" s="1011">
        <f t="shared" si="130"/>
        <v>4.9495588184292517E-5</v>
      </c>
      <c r="J862" s="1009">
        <f t="shared" si="132"/>
        <v>1</v>
      </c>
      <c r="K862" s="1009">
        <f t="shared" si="131"/>
        <v>3.1046039866101841E-2</v>
      </c>
      <c r="L862" s="595"/>
      <c r="M862" s="595"/>
      <c r="N862" s="595"/>
      <c r="O862" s="595"/>
      <c r="P862" s="595"/>
      <c r="Q862" s="595"/>
    </row>
    <row r="863" spans="1:17">
      <c r="A863" s="1019" t="s">
        <v>1503</v>
      </c>
      <c r="B863" s="979" t="s">
        <v>420</v>
      </c>
      <c r="C863" s="979" t="s">
        <v>325</v>
      </c>
      <c r="D863" s="979" t="s">
        <v>1065</v>
      </c>
      <c r="E863" s="1022">
        <v>16</v>
      </c>
      <c r="F863" s="595"/>
      <c r="G863" s="1009">
        <f t="shared" si="128"/>
        <v>74.52</v>
      </c>
      <c r="H863" s="1012">
        <f t="shared" si="129"/>
        <v>1192.32</v>
      </c>
      <c r="I863" s="1011">
        <f t="shared" si="130"/>
        <v>1.0410051103174394E-3</v>
      </c>
      <c r="J863" s="1009">
        <f t="shared" si="132"/>
        <v>16</v>
      </c>
      <c r="K863" s="1009">
        <f t="shared" si="131"/>
        <v>2.3617820719394972E-2</v>
      </c>
      <c r="L863" s="595"/>
      <c r="M863" s="595"/>
      <c r="N863" s="595"/>
      <c r="O863" s="595"/>
      <c r="P863" s="595"/>
      <c r="Q863" s="595"/>
    </row>
    <row r="864" spans="1:17">
      <c r="A864" s="1019" t="s">
        <v>1503</v>
      </c>
      <c r="B864" s="979" t="s">
        <v>420</v>
      </c>
      <c r="C864" s="979" t="s">
        <v>334</v>
      </c>
      <c r="D864" s="979" t="s">
        <v>1066</v>
      </c>
      <c r="E864" s="1022">
        <v>1</v>
      </c>
      <c r="F864" s="595"/>
      <c r="G864" s="1009">
        <f t="shared" si="128"/>
        <v>82.3</v>
      </c>
      <c r="H864" s="1012">
        <f t="shared" si="129"/>
        <v>82.3</v>
      </c>
      <c r="I864" s="1011">
        <f t="shared" si="130"/>
        <v>7.1855475525970606E-5</v>
      </c>
      <c r="J864" s="1009">
        <f t="shared" si="132"/>
        <v>1</v>
      </c>
      <c r="K864" s="1009">
        <f t="shared" si="131"/>
        <v>2.1385176184803321E-2</v>
      </c>
      <c r="L864" s="595"/>
      <c r="M864" s="595"/>
      <c r="N864" s="595"/>
      <c r="O864" s="595"/>
      <c r="P864" s="595"/>
      <c r="Q864" s="595"/>
    </row>
    <row r="865" spans="1:17">
      <c r="A865" s="1019" t="s">
        <v>1503</v>
      </c>
      <c r="B865" s="979" t="s">
        <v>420</v>
      </c>
      <c r="C865" s="979" t="s">
        <v>326</v>
      </c>
      <c r="D865" s="979" t="s">
        <v>1067</v>
      </c>
      <c r="E865" s="1022">
        <v>19</v>
      </c>
      <c r="F865" s="595"/>
      <c r="G865" s="1009">
        <f t="shared" si="128"/>
        <v>74.52</v>
      </c>
      <c r="H865" s="1012">
        <f t="shared" si="129"/>
        <v>1415.8799999999999</v>
      </c>
      <c r="I865" s="1011">
        <f t="shared" si="130"/>
        <v>1.2361935685019593E-3</v>
      </c>
      <c r="J865" s="1009">
        <f t="shared" si="132"/>
        <v>19</v>
      </c>
      <c r="K865" s="1009">
        <f t="shared" si="131"/>
        <v>2.3617820719394972E-2</v>
      </c>
      <c r="L865" s="595"/>
      <c r="M865" s="595"/>
      <c r="N865" s="595"/>
      <c r="O865" s="595"/>
      <c r="P865" s="595"/>
      <c r="Q865" s="595"/>
    </row>
    <row r="866" spans="1:17">
      <c r="A866" s="1019" t="s">
        <v>1503</v>
      </c>
      <c r="B866" s="979" t="s">
        <v>420</v>
      </c>
      <c r="C866" s="979" t="s">
        <v>330</v>
      </c>
      <c r="D866" s="979" t="s">
        <v>1068</v>
      </c>
      <c r="E866" s="1022">
        <v>4</v>
      </c>
      <c r="F866" s="595"/>
      <c r="G866" s="1009">
        <f t="shared" si="128"/>
        <v>75.88</v>
      </c>
      <c r="H866" s="1012">
        <f t="shared" si="129"/>
        <v>303.52</v>
      </c>
      <c r="I866" s="1011">
        <f t="shared" si="130"/>
        <v>2.6500089831886509E-4</v>
      </c>
      <c r="J866" s="1009">
        <f t="shared" si="132"/>
        <v>4</v>
      </c>
      <c r="K866" s="1009">
        <f t="shared" si="131"/>
        <v>2.3194517659585048E-2</v>
      </c>
      <c r="L866" s="595"/>
      <c r="M866" s="595"/>
      <c r="N866" s="595"/>
      <c r="O866" s="595"/>
      <c r="P866" s="595"/>
      <c r="Q866" s="595"/>
    </row>
    <row r="867" spans="1:17">
      <c r="A867" s="1019" t="s">
        <v>1503</v>
      </c>
      <c r="B867" s="979" t="s">
        <v>420</v>
      </c>
      <c r="C867" s="979" t="s">
        <v>337</v>
      </c>
      <c r="D867" s="979" t="s">
        <v>1069</v>
      </c>
      <c r="E867" s="1022">
        <v>3</v>
      </c>
      <c r="F867" s="595"/>
      <c r="G867" s="1009">
        <f t="shared" si="128"/>
        <v>78.97</v>
      </c>
      <c r="H867" s="1012">
        <f t="shared" si="129"/>
        <v>236.91</v>
      </c>
      <c r="I867" s="1011">
        <f t="shared" si="130"/>
        <v>2.0684423702135719E-4</v>
      </c>
      <c r="J867" s="1009">
        <f t="shared" si="132"/>
        <v>3</v>
      </c>
      <c r="K867" s="1009">
        <f t="shared" si="131"/>
        <v>2.2286944409387277E-2</v>
      </c>
      <c r="L867" s="595"/>
      <c r="M867" s="595"/>
      <c r="N867" s="595"/>
      <c r="O867" s="595"/>
      <c r="P867" s="595"/>
      <c r="Q867" s="595"/>
    </row>
    <row r="868" spans="1:17">
      <c r="A868" s="1019" t="s">
        <v>1503</v>
      </c>
      <c r="B868" s="979" t="s">
        <v>420</v>
      </c>
      <c r="C868" s="979" t="s">
        <v>329</v>
      </c>
      <c r="D868" s="979" t="s">
        <v>1070</v>
      </c>
      <c r="E868" s="1022">
        <v>2</v>
      </c>
      <c r="F868" s="595"/>
      <c r="G868" s="1009">
        <f t="shared" si="128"/>
        <v>77.259999999999991</v>
      </c>
      <c r="H868" s="1012">
        <f t="shared" si="129"/>
        <v>154.51999999999998</v>
      </c>
      <c r="I868" s="1011">
        <f t="shared" si="130"/>
        <v>1.3491018321109329E-4</v>
      </c>
      <c r="J868" s="1009">
        <f t="shared" si="132"/>
        <v>2</v>
      </c>
      <c r="K868" s="1009">
        <f t="shared" si="131"/>
        <v>2.2780222625023473E-2</v>
      </c>
      <c r="L868" s="595"/>
      <c r="M868" s="595"/>
      <c r="N868" s="595"/>
      <c r="O868" s="595"/>
      <c r="P868" s="595"/>
      <c r="Q868" s="595"/>
    </row>
    <row r="869" spans="1:17">
      <c r="A869" s="1019" t="s">
        <v>1503</v>
      </c>
      <c r="B869" s="979" t="s">
        <v>420</v>
      </c>
      <c r="C869" s="979" t="s">
        <v>327</v>
      </c>
      <c r="D869" s="979" t="s">
        <v>1071</v>
      </c>
      <c r="E869" s="1022">
        <v>49</v>
      </c>
      <c r="F869" s="595"/>
      <c r="G869" s="1009">
        <f t="shared" si="128"/>
        <v>64.19</v>
      </c>
      <c r="H869" s="1012">
        <f t="shared" si="129"/>
        <v>3145.31</v>
      </c>
      <c r="I869" s="1011">
        <f t="shared" si="130"/>
        <v>2.7461451485612468E-3</v>
      </c>
      <c r="J869" s="1009">
        <f t="shared" si="132"/>
        <v>49</v>
      </c>
      <c r="K869" s="1009">
        <f t="shared" si="131"/>
        <v>2.7418601028342628E-2</v>
      </c>
      <c r="L869" s="595"/>
      <c r="M869" s="595"/>
      <c r="N869" s="595"/>
      <c r="O869" s="595"/>
      <c r="P869" s="595"/>
      <c r="Q869" s="595"/>
    </row>
    <row r="870" spans="1:17">
      <c r="A870" s="1019" t="s">
        <v>1503</v>
      </c>
      <c r="B870" s="979" t="s">
        <v>420</v>
      </c>
      <c r="C870" s="979" t="s">
        <v>453</v>
      </c>
      <c r="D870" s="979" t="s">
        <v>1072</v>
      </c>
      <c r="E870" s="1022">
        <v>2</v>
      </c>
      <c r="F870" s="595"/>
      <c r="G870" s="1009">
        <f t="shared" si="128"/>
        <v>75.899999999999991</v>
      </c>
      <c r="H870" s="1012">
        <f t="shared" si="129"/>
        <v>151.79999999999998</v>
      </c>
      <c r="I870" s="1011">
        <f t="shared" si="130"/>
        <v>1.3253537284134068E-4</v>
      </c>
      <c r="J870" s="1009">
        <f t="shared" si="132"/>
        <v>2</v>
      </c>
      <c r="K870" s="1009">
        <f t="shared" si="131"/>
        <v>2.3188405797224157E-2</v>
      </c>
      <c r="L870" s="595"/>
      <c r="M870" s="595"/>
      <c r="N870" s="595"/>
      <c r="O870" s="595"/>
      <c r="P870" s="595"/>
      <c r="Q870" s="595"/>
    </row>
    <row r="871" spans="1:17">
      <c r="A871" s="1019" t="s">
        <v>1503</v>
      </c>
      <c r="B871" s="979" t="s">
        <v>420</v>
      </c>
      <c r="C871" s="979" t="s">
        <v>366</v>
      </c>
      <c r="D871" s="979" t="s">
        <v>1073</v>
      </c>
      <c r="E871" s="1022">
        <v>45</v>
      </c>
      <c r="F871" s="595"/>
      <c r="G871" s="1009">
        <f t="shared" si="128"/>
        <v>14.860000000000001</v>
      </c>
      <c r="H871" s="1012">
        <f t="shared" si="129"/>
        <v>668.7</v>
      </c>
      <c r="I871" s="1011">
        <f t="shared" si="130"/>
        <v>5.8383665229910754E-4</v>
      </c>
      <c r="J871" s="1009">
        <f t="shared" si="132"/>
        <v>45</v>
      </c>
      <c r="K871" s="1009">
        <f t="shared" si="131"/>
        <v>0.11843876177720815</v>
      </c>
      <c r="L871" s="595"/>
      <c r="M871" s="595"/>
      <c r="N871" s="595"/>
      <c r="O871" s="595"/>
      <c r="P871" s="595"/>
      <c r="Q871" s="595"/>
    </row>
    <row r="872" spans="1:17">
      <c r="A872" s="1019" t="s">
        <v>1503</v>
      </c>
      <c r="B872" s="979" t="s">
        <v>420</v>
      </c>
      <c r="C872" s="979" t="s">
        <v>386</v>
      </c>
      <c r="D872" s="979" t="s">
        <v>1074</v>
      </c>
      <c r="E872" s="1022">
        <v>7081</v>
      </c>
      <c r="F872" s="595"/>
      <c r="G872" s="1009">
        <f t="shared" si="128"/>
        <v>10.570000000000002</v>
      </c>
      <c r="H872" s="1012">
        <f t="shared" si="129"/>
        <v>74846.170000000013</v>
      </c>
      <c r="I872" s="1011">
        <f t="shared" si="130"/>
        <v>6.5347595828039326E-2</v>
      </c>
      <c r="J872" s="1009">
        <f t="shared" si="132"/>
        <v>7081</v>
      </c>
      <c r="K872" s="1009">
        <f t="shared" si="131"/>
        <v>0.16650898770192174</v>
      </c>
      <c r="L872" s="595"/>
      <c r="M872" s="595"/>
      <c r="N872" s="595"/>
      <c r="O872" s="595"/>
      <c r="P872" s="595"/>
      <c r="Q872" s="595"/>
    </row>
    <row r="873" spans="1:17">
      <c r="A873" s="1019" t="s">
        <v>1503</v>
      </c>
      <c r="B873" s="979" t="s">
        <v>420</v>
      </c>
      <c r="C873" s="979" t="s">
        <v>382</v>
      </c>
      <c r="D873" s="979" t="s">
        <v>1075</v>
      </c>
      <c r="E873" s="1022">
        <v>133</v>
      </c>
      <c r="F873" s="595"/>
      <c r="G873" s="1009">
        <f t="shared" si="128"/>
        <v>11.71</v>
      </c>
      <c r="H873" s="1012">
        <f t="shared" si="129"/>
        <v>1557.43</v>
      </c>
      <c r="I873" s="1011">
        <f t="shared" si="130"/>
        <v>1.3597797478543427E-3</v>
      </c>
      <c r="J873" s="1009">
        <f t="shared" si="132"/>
        <v>133</v>
      </c>
      <c r="K873" s="1009">
        <f t="shared" si="131"/>
        <v>0.15029888983854084</v>
      </c>
      <c r="L873" s="595"/>
      <c r="M873" s="595"/>
      <c r="N873" s="595"/>
      <c r="O873" s="595"/>
      <c r="P873" s="595"/>
      <c r="Q873" s="595"/>
    </row>
    <row r="874" spans="1:17">
      <c r="A874" s="1019" t="s">
        <v>1503</v>
      </c>
      <c r="B874" s="979" t="s">
        <v>420</v>
      </c>
      <c r="C874" s="979" t="s">
        <v>360</v>
      </c>
      <c r="D874" s="979" t="s">
        <v>1076</v>
      </c>
      <c r="E874" s="1022">
        <v>236</v>
      </c>
      <c r="F874" s="595"/>
      <c r="G874" s="1009">
        <f t="shared" si="128"/>
        <v>20.259999999999998</v>
      </c>
      <c r="H874" s="1012">
        <f t="shared" si="129"/>
        <v>4781.3599999999997</v>
      </c>
      <c r="I874" s="1011">
        <f t="shared" si="130"/>
        <v>4.1745673932060126E-3</v>
      </c>
      <c r="J874" s="1009">
        <f t="shared" si="132"/>
        <v>236</v>
      </c>
      <c r="K874" s="1009">
        <f t="shared" si="131"/>
        <v>8.6870681145573211E-2</v>
      </c>
      <c r="L874" s="595"/>
      <c r="M874" s="595"/>
      <c r="N874" s="595"/>
      <c r="O874" s="595"/>
      <c r="P874" s="595"/>
      <c r="Q874" s="595"/>
    </row>
    <row r="875" spans="1:17">
      <c r="A875" s="1019" t="s">
        <v>1503</v>
      </c>
      <c r="B875" s="979" t="s">
        <v>420</v>
      </c>
      <c r="C875" s="979" t="s">
        <v>368</v>
      </c>
      <c r="D875" s="979" t="s">
        <v>1077</v>
      </c>
      <c r="E875" s="1022">
        <v>142</v>
      </c>
      <c r="F875" s="595"/>
      <c r="G875" s="1009">
        <f t="shared" si="128"/>
        <v>21.38</v>
      </c>
      <c r="H875" s="1012">
        <f t="shared" si="129"/>
        <v>3035.96</v>
      </c>
      <c r="I875" s="1011">
        <f t="shared" si="130"/>
        <v>2.6506725331449056E-3</v>
      </c>
      <c r="J875" s="1009">
        <f t="shared" si="132"/>
        <v>142</v>
      </c>
      <c r="K875" s="1009">
        <f t="shared" si="131"/>
        <v>8.2319925164140009E-2</v>
      </c>
      <c r="L875" s="595"/>
      <c r="M875" s="595"/>
      <c r="N875" s="595"/>
      <c r="O875" s="595"/>
      <c r="P875" s="595"/>
      <c r="Q875" s="595"/>
    </row>
    <row r="876" spans="1:17">
      <c r="A876" s="1019" t="s">
        <v>1503</v>
      </c>
      <c r="B876" s="979" t="s">
        <v>420</v>
      </c>
      <c r="C876" s="979" t="s">
        <v>370</v>
      </c>
      <c r="D876" s="979" t="s">
        <v>1078</v>
      </c>
      <c r="E876" s="1022">
        <v>28</v>
      </c>
      <c r="F876" s="595"/>
      <c r="G876" s="1009">
        <f t="shared" si="128"/>
        <v>30.84</v>
      </c>
      <c r="H876" s="1012">
        <f t="shared" si="129"/>
        <v>863.52</v>
      </c>
      <c r="I876" s="1011">
        <f t="shared" si="130"/>
        <v>7.5393244503263836E-4</v>
      </c>
      <c r="J876" s="1009">
        <f t="shared" si="132"/>
        <v>28</v>
      </c>
      <c r="K876" s="1009">
        <f t="shared" si="131"/>
        <v>5.7068741893946603E-2</v>
      </c>
      <c r="L876" s="595"/>
      <c r="M876" s="595"/>
      <c r="N876" s="595"/>
      <c r="O876" s="595"/>
      <c r="P876" s="595"/>
      <c r="Q876" s="595"/>
    </row>
    <row r="877" spans="1:17">
      <c r="A877" s="1019" t="s">
        <v>1503</v>
      </c>
      <c r="B877" s="979" t="s">
        <v>420</v>
      </c>
      <c r="C877" s="979" t="s">
        <v>393</v>
      </c>
      <c r="D877" s="979" t="s">
        <v>1079</v>
      </c>
      <c r="E877" s="1022">
        <v>95</v>
      </c>
      <c r="F877" s="595"/>
      <c r="G877" s="1009">
        <f t="shared" si="128"/>
        <v>31.22</v>
      </c>
      <c r="H877" s="1012">
        <f t="shared" si="129"/>
        <v>2965.9</v>
      </c>
      <c r="I877" s="1011">
        <f t="shared" si="130"/>
        <v>2.5895037042828217E-3</v>
      </c>
      <c r="J877" s="1009">
        <f t="shared" si="132"/>
        <v>95</v>
      </c>
      <c r="K877" s="1009">
        <f t="shared" si="131"/>
        <v>5.6374119154686528E-2</v>
      </c>
      <c r="L877" s="595"/>
      <c r="M877" s="595"/>
      <c r="N877" s="595"/>
      <c r="O877" s="595"/>
      <c r="P877" s="595"/>
      <c r="Q877" s="595"/>
    </row>
    <row r="878" spans="1:17">
      <c r="A878" s="1019" t="s">
        <v>1503</v>
      </c>
      <c r="B878" s="979" t="s">
        <v>420</v>
      </c>
      <c r="C878" s="979" t="s">
        <v>371</v>
      </c>
      <c r="D878" s="979" t="s">
        <v>1080</v>
      </c>
      <c r="E878" s="1022">
        <v>21</v>
      </c>
      <c r="F878" s="595"/>
      <c r="G878" s="1009">
        <f t="shared" si="128"/>
        <v>30.84</v>
      </c>
      <c r="H878" s="1012">
        <f t="shared" si="129"/>
        <v>647.64</v>
      </c>
      <c r="I878" s="1011">
        <f t="shared" si="130"/>
        <v>5.6544933377447885E-4</v>
      </c>
      <c r="J878" s="1009">
        <f t="shared" si="132"/>
        <v>21</v>
      </c>
      <c r="K878" s="1009">
        <f t="shared" si="131"/>
        <v>5.7068741893946603E-2</v>
      </c>
      <c r="L878" s="595"/>
      <c r="M878" s="595"/>
      <c r="N878" s="595"/>
      <c r="O878" s="595"/>
      <c r="P878" s="595"/>
      <c r="Q878" s="595"/>
    </row>
    <row r="879" spans="1:17">
      <c r="A879" s="1019" t="s">
        <v>1503</v>
      </c>
      <c r="B879" s="979" t="s">
        <v>420</v>
      </c>
      <c r="C879" s="979" t="s">
        <v>394</v>
      </c>
      <c r="D879" s="979" t="s">
        <v>1081</v>
      </c>
      <c r="E879" s="1022">
        <v>10</v>
      </c>
      <c r="F879" s="595"/>
      <c r="G879" s="1009">
        <f t="shared" si="128"/>
        <v>31.22</v>
      </c>
      <c r="H879" s="1012">
        <f t="shared" si="129"/>
        <v>312.2</v>
      </c>
      <c r="I879" s="1011">
        <f t="shared" si="130"/>
        <v>2.7257933729292862E-4</v>
      </c>
      <c r="J879" s="1009">
        <f t="shared" si="132"/>
        <v>10</v>
      </c>
      <c r="K879" s="1009">
        <f t="shared" si="131"/>
        <v>5.6374119154686528E-2</v>
      </c>
      <c r="L879" s="595"/>
      <c r="M879" s="595"/>
      <c r="N879" s="595"/>
      <c r="O879" s="595"/>
      <c r="P879" s="595"/>
      <c r="Q879" s="595"/>
    </row>
    <row r="880" spans="1:17">
      <c r="A880" s="1019" t="s">
        <v>1503</v>
      </c>
      <c r="B880" s="979" t="s">
        <v>420</v>
      </c>
      <c r="C880" s="979" t="s">
        <v>389</v>
      </c>
      <c r="D880" s="979" t="s">
        <v>1082</v>
      </c>
      <c r="E880" s="1022">
        <v>449</v>
      </c>
      <c r="F880" s="595"/>
      <c r="G880" s="1009">
        <f t="shared" si="128"/>
        <v>15.360000000000001</v>
      </c>
      <c r="H880" s="1012">
        <f t="shared" si="129"/>
        <v>6896.64</v>
      </c>
      <c r="I880" s="1011">
        <f t="shared" si="130"/>
        <v>6.0214015398715676E-3</v>
      </c>
      <c r="J880" s="1009">
        <f t="shared" si="132"/>
        <v>449</v>
      </c>
      <c r="K880" s="1009">
        <f t="shared" si="131"/>
        <v>0.11458333333393965</v>
      </c>
      <c r="L880" s="595"/>
      <c r="M880" s="595"/>
      <c r="N880" s="595"/>
      <c r="O880" s="595"/>
      <c r="P880" s="595"/>
      <c r="Q880" s="595"/>
    </row>
    <row r="881" spans="1:17">
      <c r="A881" s="1019" t="s">
        <v>1503</v>
      </c>
      <c r="B881" s="979" t="s">
        <v>420</v>
      </c>
      <c r="C881" s="979" t="s">
        <v>310</v>
      </c>
      <c r="D881" s="979" t="s">
        <v>1083</v>
      </c>
      <c r="E881" s="1022">
        <v>5</v>
      </c>
      <c r="F881" s="595"/>
      <c r="G881" s="1009">
        <f t="shared" si="128"/>
        <v>3.39</v>
      </c>
      <c r="H881" s="1012">
        <f t="shared" si="129"/>
        <v>16.95</v>
      </c>
      <c r="I881" s="1011">
        <f t="shared" si="130"/>
        <v>1.4798910208568672E-5</v>
      </c>
      <c r="J881" s="1009">
        <f t="shared" si="132"/>
        <v>5</v>
      </c>
      <c r="K881" s="1009">
        <f t="shared" si="131"/>
        <v>0.51917404130068234</v>
      </c>
      <c r="L881" s="595"/>
      <c r="M881" s="595"/>
      <c r="N881" s="595"/>
      <c r="O881" s="595"/>
      <c r="P881" s="595"/>
      <c r="Q881" s="595"/>
    </row>
    <row r="882" spans="1:17">
      <c r="A882" s="1019" t="s">
        <v>1503</v>
      </c>
      <c r="B882" s="979" t="s">
        <v>420</v>
      </c>
      <c r="C882" s="979" t="s">
        <v>340</v>
      </c>
      <c r="D882" s="979" t="s">
        <v>1084</v>
      </c>
      <c r="E882" s="1022">
        <v>676</v>
      </c>
      <c r="F882" s="595"/>
      <c r="G882" s="1009">
        <f t="shared" si="128"/>
        <v>4.5400000000000009</v>
      </c>
      <c r="H882" s="1012">
        <f t="shared" si="129"/>
        <v>3069.0400000000004</v>
      </c>
      <c r="I882" s="1011">
        <f t="shared" si="130"/>
        <v>2.679554418082927E-3</v>
      </c>
      <c r="J882" s="1009">
        <f t="shared" si="132"/>
        <v>676</v>
      </c>
      <c r="K882" s="1009">
        <f t="shared" si="131"/>
        <v>0.38766519823993678</v>
      </c>
      <c r="L882" s="595"/>
      <c r="M882" s="595"/>
      <c r="N882" s="595"/>
      <c r="O882" s="595"/>
      <c r="P882" s="595"/>
      <c r="Q882" s="595"/>
    </row>
    <row r="883" spans="1:17">
      <c r="A883" s="1019" t="s">
        <v>1503</v>
      </c>
      <c r="B883" s="979" t="s">
        <v>420</v>
      </c>
      <c r="C883" s="979" t="s">
        <v>358</v>
      </c>
      <c r="D883" s="979" t="s">
        <v>1085</v>
      </c>
      <c r="E883" s="1022">
        <v>113</v>
      </c>
      <c r="F883" s="595"/>
      <c r="G883" s="1009">
        <f t="shared" si="128"/>
        <v>6.78</v>
      </c>
      <c r="H883" s="1012">
        <f t="shared" si="129"/>
        <v>766.14</v>
      </c>
      <c r="I883" s="1011">
        <f t="shared" si="130"/>
        <v>6.6891074142730409E-4</v>
      </c>
      <c r="J883" s="1009">
        <f t="shared" si="132"/>
        <v>113</v>
      </c>
      <c r="K883" s="1009">
        <f t="shared" si="131"/>
        <v>0.25958702065034117</v>
      </c>
      <c r="L883" s="595"/>
      <c r="M883" s="595"/>
      <c r="N883" s="595"/>
      <c r="O883" s="595"/>
      <c r="P883" s="595"/>
      <c r="Q883" s="595"/>
    </row>
    <row r="884" spans="1:17">
      <c r="A884" s="1019" t="s">
        <v>1503</v>
      </c>
      <c r="B884" s="979" t="s">
        <v>420</v>
      </c>
      <c r="C884" s="979" t="s">
        <v>383</v>
      </c>
      <c r="D884" s="979" t="s">
        <v>1086</v>
      </c>
      <c r="E884" s="1022">
        <v>2</v>
      </c>
      <c r="F884" s="595"/>
      <c r="G884" s="1009">
        <f t="shared" si="128"/>
        <v>9.06</v>
      </c>
      <c r="H884" s="1012">
        <f t="shared" si="129"/>
        <v>18.12</v>
      </c>
      <c r="I884" s="1011">
        <f t="shared" si="130"/>
        <v>1.582042790438138E-5</v>
      </c>
      <c r="J884" s="1009">
        <f t="shared" si="132"/>
        <v>2</v>
      </c>
      <c r="K884" s="1009">
        <f t="shared" si="131"/>
        <v>0.19426048565224208</v>
      </c>
      <c r="L884" s="595"/>
      <c r="M884" s="595"/>
      <c r="N884" s="595"/>
      <c r="O884" s="595"/>
      <c r="P884" s="595"/>
      <c r="Q884" s="595"/>
    </row>
    <row r="885" spans="1:17">
      <c r="A885" s="1019" t="s">
        <v>1503</v>
      </c>
      <c r="B885" s="979" t="s">
        <v>420</v>
      </c>
      <c r="C885" s="979" t="s">
        <v>375</v>
      </c>
      <c r="D885" s="979" t="s">
        <v>1087</v>
      </c>
      <c r="E885" s="1022">
        <v>162</v>
      </c>
      <c r="F885" s="595"/>
      <c r="G885" s="1009">
        <f t="shared" si="128"/>
        <v>7.4399999999999995</v>
      </c>
      <c r="H885" s="1012">
        <f t="shared" si="129"/>
        <v>1205.28</v>
      </c>
      <c r="I885" s="1011">
        <f t="shared" si="130"/>
        <v>1.0523203832556725E-3</v>
      </c>
      <c r="J885" s="1009">
        <f t="shared" si="132"/>
        <v>162</v>
      </c>
      <c r="K885" s="1009">
        <f t="shared" si="131"/>
        <v>0.23655913978619802</v>
      </c>
      <c r="L885" s="595"/>
      <c r="M885" s="595"/>
      <c r="N885" s="595"/>
      <c r="O885" s="595"/>
      <c r="P885" s="595"/>
      <c r="Q885" s="595"/>
    </row>
    <row r="886" spans="1:17">
      <c r="A886" s="1019" t="s">
        <v>1503</v>
      </c>
      <c r="B886" s="979" t="s">
        <v>420</v>
      </c>
      <c r="C886" s="979" t="s">
        <v>400</v>
      </c>
      <c r="D886" s="979" t="s">
        <v>1088</v>
      </c>
      <c r="E886" s="1022">
        <v>34801</v>
      </c>
      <c r="F886" s="595"/>
      <c r="G886" s="1009">
        <f t="shared" ref="G886:G917" si="133">SUMIF(_Lights_Tariff_Category,20140101&amp;$C886,_Lights_Rates)</f>
        <v>7.84</v>
      </c>
      <c r="H886" s="1012">
        <f t="shared" ref="H886:H917" si="134">E886*G886</f>
        <v>272839.83999999997</v>
      </c>
      <c r="I886" s="1011">
        <f t="shared" si="130"/>
        <v>0.23821429460060428</v>
      </c>
      <c r="J886" s="1009">
        <f t="shared" si="132"/>
        <v>34801</v>
      </c>
      <c r="K886" s="1009">
        <f t="shared" si="131"/>
        <v>0.22448979591955526</v>
      </c>
      <c r="L886" s="595"/>
      <c r="M886" s="595"/>
      <c r="N886" s="595"/>
      <c r="O886" s="595"/>
      <c r="P886" s="595"/>
      <c r="Q886" s="595"/>
    </row>
    <row r="887" spans="1:17">
      <c r="A887" s="1019" t="s">
        <v>1503</v>
      </c>
      <c r="B887" s="979" t="s">
        <v>420</v>
      </c>
      <c r="C887" s="979" t="s">
        <v>391</v>
      </c>
      <c r="D887" s="979" t="s">
        <v>1089</v>
      </c>
      <c r="E887" s="1022">
        <v>1089</v>
      </c>
      <c r="F887" s="595"/>
      <c r="G887" s="1009">
        <f t="shared" si="133"/>
        <v>22</v>
      </c>
      <c r="H887" s="1012">
        <f t="shared" si="134"/>
        <v>23958</v>
      </c>
      <c r="I887" s="1011">
        <f t="shared" si="130"/>
        <v>2.0917539278872466E-2</v>
      </c>
      <c r="J887" s="1009">
        <f t="shared" si="132"/>
        <v>1089</v>
      </c>
      <c r="K887" s="1009">
        <f t="shared" si="131"/>
        <v>8.000000000042333E-2</v>
      </c>
      <c r="L887" s="595"/>
      <c r="M887" s="595"/>
      <c r="N887" s="595"/>
      <c r="O887" s="595"/>
      <c r="P887" s="595"/>
      <c r="Q887" s="595"/>
    </row>
    <row r="888" spans="1:17">
      <c r="A888" s="1019" t="s">
        <v>1503</v>
      </c>
      <c r="B888" s="979" t="s">
        <v>420</v>
      </c>
      <c r="C888" s="979" t="s">
        <v>357</v>
      </c>
      <c r="D888" s="979" t="s">
        <v>1090</v>
      </c>
      <c r="E888" s="1022">
        <v>8</v>
      </c>
      <c r="F888" s="595"/>
      <c r="G888" s="1009">
        <f t="shared" si="133"/>
        <v>7.74</v>
      </c>
      <c r="H888" s="1012">
        <f t="shared" si="134"/>
        <v>61.92</v>
      </c>
      <c r="I888" s="1011">
        <f t="shared" si="130"/>
        <v>5.406185959378007E-5</v>
      </c>
      <c r="J888" s="1009">
        <f t="shared" si="132"/>
        <v>8</v>
      </c>
      <c r="K888" s="1009">
        <f t="shared" si="131"/>
        <v>0.22739018087975624</v>
      </c>
      <c r="L888" s="595"/>
      <c r="M888" s="595"/>
      <c r="N888" s="595"/>
      <c r="O888" s="595"/>
      <c r="P888" s="595"/>
      <c r="Q888" s="595"/>
    </row>
    <row r="889" spans="1:17">
      <c r="A889" s="1019" t="s">
        <v>1503</v>
      </c>
      <c r="B889" s="979" t="s">
        <v>420</v>
      </c>
      <c r="C889" s="979" t="s">
        <v>359</v>
      </c>
      <c r="D889" s="979" t="s">
        <v>1091</v>
      </c>
      <c r="E889" s="1022">
        <v>2</v>
      </c>
      <c r="F889" s="595"/>
      <c r="G889" s="1009">
        <f t="shared" si="133"/>
        <v>13.610000000000001</v>
      </c>
      <c r="H889" s="1012">
        <f t="shared" si="134"/>
        <v>27.220000000000002</v>
      </c>
      <c r="I889" s="1011">
        <f t="shared" si="130"/>
        <v>2.3765565538480199E-5</v>
      </c>
      <c r="J889" s="1009">
        <f t="shared" si="132"/>
        <v>2</v>
      </c>
      <c r="K889" s="1009">
        <f t="shared" si="131"/>
        <v>0.12931667891324858</v>
      </c>
      <c r="L889" s="595"/>
      <c r="M889" s="595"/>
      <c r="N889" s="595"/>
      <c r="O889" s="595"/>
      <c r="P889" s="595"/>
      <c r="Q889" s="595"/>
    </row>
    <row r="890" spans="1:17">
      <c r="A890" s="1019" t="s">
        <v>1503</v>
      </c>
      <c r="B890" s="979" t="s">
        <v>420</v>
      </c>
      <c r="C890" s="979" t="s">
        <v>385</v>
      </c>
      <c r="D890" s="979" t="s">
        <v>1092</v>
      </c>
      <c r="E890" s="1022">
        <v>1035</v>
      </c>
      <c r="F890" s="595"/>
      <c r="G890" s="1009">
        <f t="shared" si="133"/>
        <v>9.5600000000000023</v>
      </c>
      <c r="H890" s="1012">
        <f t="shared" si="134"/>
        <v>9894.6000000000022</v>
      </c>
      <c r="I890" s="1011">
        <f t="shared" si="130"/>
        <v>8.6388965752037545E-3</v>
      </c>
      <c r="J890" s="1009">
        <f t="shared" si="132"/>
        <v>1035</v>
      </c>
      <c r="K890" s="1009">
        <f t="shared" si="131"/>
        <v>0.18410041841101599</v>
      </c>
      <c r="L890" s="595"/>
      <c r="M890" s="595"/>
      <c r="N890" s="595"/>
      <c r="O890" s="595"/>
      <c r="P890" s="595"/>
      <c r="Q890" s="595"/>
    </row>
    <row r="891" spans="1:17">
      <c r="A891" s="1019" t="s">
        <v>1503</v>
      </c>
      <c r="B891" s="979" t="s">
        <v>420</v>
      </c>
      <c r="C891" s="979" t="s">
        <v>312</v>
      </c>
      <c r="D891" s="979" t="s">
        <v>1093</v>
      </c>
      <c r="E891" s="1022">
        <v>728</v>
      </c>
      <c r="F891" s="595"/>
      <c r="G891" s="1009">
        <f t="shared" si="133"/>
        <v>11.32</v>
      </c>
      <c r="H891" s="1012">
        <f t="shared" si="134"/>
        <v>8240.9600000000009</v>
      </c>
      <c r="I891" s="1011">
        <f t="shared" si="130"/>
        <v>7.1951166414398887E-3</v>
      </c>
      <c r="J891" s="1009">
        <f t="shared" si="132"/>
        <v>728</v>
      </c>
      <c r="K891" s="1009">
        <f t="shared" si="131"/>
        <v>0.15547703180294287</v>
      </c>
      <c r="L891" s="595"/>
      <c r="M891" s="595"/>
      <c r="N891" s="595"/>
      <c r="O891" s="595"/>
      <c r="P891" s="595"/>
      <c r="Q891" s="595"/>
    </row>
    <row r="892" spans="1:17">
      <c r="A892" s="1019" t="s">
        <v>1503</v>
      </c>
      <c r="B892" s="979" t="s">
        <v>420</v>
      </c>
      <c r="C892" s="979" t="s">
        <v>421</v>
      </c>
      <c r="D892" s="979" t="s">
        <v>1094</v>
      </c>
      <c r="E892" s="1022">
        <v>1364</v>
      </c>
      <c r="F892" s="595"/>
      <c r="G892" s="1009">
        <f t="shared" si="133"/>
        <v>12.809999999999999</v>
      </c>
      <c r="H892" s="1012">
        <f t="shared" si="134"/>
        <v>17472.839999999997</v>
      </c>
      <c r="I892" s="1011">
        <f t="shared" si="130"/>
        <v>1.5255397654789794E-2</v>
      </c>
      <c r="J892" s="1009">
        <f t="shared" si="132"/>
        <v>1364</v>
      </c>
      <c r="K892" s="1009">
        <f t="shared" si="131"/>
        <v>0.13739266198355296</v>
      </c>
      <c r="L892" s="595"/>
      <c r="M892" s="595"/>
      <c r="N892" s="595"/>
      <c r="O892" s="595"/>
      <c r="P892" s="595"/>
      <c r="Q892" s="595"/>
    </row>
    <row r="893" spans="1:17">
      <c r="A893" s="1019" t="s">
        <v>1503</v>
      </c>
      <c r="B893" s="979" t="s">
        <v>420</v>
      </c>
      <c r="C893" s="979" t="s">
        <v>322</v>
      </c>
      <c r="D893" s="979" t="s">
        <v>1095</v>
      </c>
      <c r="E893" s="1022">
        <v>612</v>
      </c>
      <c r="F893" s="595"/>
      <c r="G893" s="1009">
        <f t="shared" si="133"/>
        <v>14.25</v>
      </c>
      <c r="H893" s="1012">
        <f t="shared" si="134"/>
        <v>8721</v>
      </c>
      <c r="I893" s="1011">
        <f t="shared" si="130"/>
        <v>7.6142357480193153E-3</v>
      </c>
      <c r="J893" s="1009">
        <f t="shared" si="132"/>
        <v>612</v>
      </c>
      <c r="K893" s="1009">
        <f t="shared" si="131"/>
        <v>0.12350877193047811</v>
      </c>
      <c r="L893" s="595"/>
      <c r="M893" s="595"/>
      <c r="N893" s="595"/>
      <c r="O893" s="595"/>
      <c r="P893" s="595"/>
      <c r="Q893" s="595"/>
    </row>
    <row r="894" spans="1:17">
      <c r="A894" s="1019" t="s">
        <v>1503</v>
      </c>
      <c r="B894" s="979" t="s">
        <v>420</v>
      </c>
      <c r="C894" s="979" t="s">
        <v>354</v>
      </c>
      <c r="D894" s="979" t="s">
        <v>1096</v>
      </c>
      <c r="E894" s="1022">
        <v>4819</v>
      </c>
      <c r="F894" s="595"/>
      <c r="G894" s="1009">
        <f t="shared" si="133"/>
        <v>20.200000000000003</v>
      </c>
      <c r="H894" s="1012">
        <f t="shared" si="134"/>
        <v>97343.800000000017</v>
      </c>
      <c r="I894" s="1011">
        <f t="shared" si="130"/>
        <v>8.4990097673207518E-2</v>
      </c>
      <c r="J894" s="1009">
        <f t="shared" si="132"/>
        <v>4819</v>
      </c>
      <c r="K894" s="1009">
        <f t="shared" si="131"/>
        <v>8.7128712871748171E-2</v>
      </c>
      <c r="L894" s="595"/>
      <c r="M894" s="595"/>
      <c r="N894" s="595"/>
      <c r="O894" s="595"/>
      <c r="P894" s="595"/>
      <c r="Q894" s="595"/>
    </row>
    <row r="895" spans="1:17">
      <c r="A895" s="1019" t="s">
        <v>1503</v>
      </c>
      <c r="B895" s="979" t="s">
        <v>420</v>
      </c>
      <c r="C895" s="979" t="s">
        <v>317</v>
      </c>
      <c r="D895" s="979" t="s">
        <v>1097</v>
      </c>
      <c r="E895" s="1022">
        <v>1013</v>
      </c>
      <c r="F895" s="595"/>
      <c r="G895" s="1009">
        <f t="shared" si="133"/>
        <v>42.350000000000009</v>
      </c>
      <c r="H895" s="1012">
        <f t="shared" si="134"/>
        <v>42900.55000000001</v>
      </c>
      <c r="I895" s="1011">
        <f t="shared" si="130"/>
        <v>3.7456129047092092E-2</v>
      </c>
      <c r="J895" s="1009">
        <f t="shared" si="132"/>
        <v>1013</v>
      </c>
      <c r="K895" s="1009">
        <f t="shared" si="131"/>
        <v>4.1558441558661459E-2</v>
      </c>
      <c r="L895" s="595"/>
      <c r="M895" s="595"/>
      <c r="N895" s="595"/>
      <c r="O895" s="595"/>
      <c r="P895" s="595"/>
      <c r="Q895" s="595"/>
    </row>
    <row r="896" spans="1:17">
      <c r="A896" s="1019" t="s">
        <v>1503</v>
      </c>
      <c r="B896" s="979" t="s">
        <v>420</v>
      </c>
      <c r="C896" s="979" t="s">
        <v>320</v>
      </c>
      <c r="D896" s="979" t="s">
        <v>1098</v>
      </c>
      <c r="E896" s="1022">
        <v>146</v>
      </c>
      <c r="F896" s="595"/>
      <c r="G896" s="1009">
        <f t="shared" si="133"/>
        <v>18.649999999999999</v>
      </c>
      <c r="H896" s="1012">
        <f t="shared" si="134"/>
        <v>2722.8999999999996</v>
      </c>
      <c r="I896" s="1011">
        <f t="shared" si="130"/>
        <v>2.3773423366909522E-3</v>
      </c>
      <c r="J896" s="1009">
        <f t="shared" si="132"/>
        <v>146</v>
      </c>
      <c r="K896" s="1009">
        <f t="shared" si="131"/>
        <v>9.4369973190847903E-2</v>
      </c>
      <c r="L896" s="595"/>
      <c r="M896" s="595"/>
      <c r="N896" s="595"/>
      <c r="O896" s="595"/>
      <c r="P896" s="595"/>
      <c r="Q896" s="595"/>
    </row>
    <row r="897" spans="1:17">
      <c r="A897" s="1019" t="s">
        <v>1503</v>
      </c>
      <c r="B897" s="979" t="s">
        <v>420</v>
      </c>
      <c r="C897" s="979" t="s">
        <v>352</v>
      </c>
      <c r="D897" s="979" t="s">
        <v>1099</v>
      </c>
      <c r="E897" s="1022">
        <v>979</v>
      </c>
      <c r="F897" s="595"/>
      <c r="G897" s="1009">
        <f t="shared" si="133"/>
        <v>24.59</v>
      </c>
      <c r="H897" s="1012">
        <f t="shared" si="134"/>
        <v>24073.61</v>
      </c>
      <c r="I897" s="1011">
        <f t="shared" si="130"/>
        <v>2.1018477450507427E-2</v>
      </c>
      <c r="J897" s="1009">
        <f t="shared" si="132"/>
        <v>979</v>
      </c>
      <c r="K897" s="1009">
        <f t="shared" si="131"/>
        <v>7.1573810492448695E-2</v>
      </c>
      <c r="L897" s="595"/>
      <c r="M897" s="595"/>
      <c r="N897" s="595"/>
      <c r="O897" s="595"/>
      <c r="P897" s="595"/>
      <c r="Q897" s="595"/>
    </row>
    <row r="898" spans="1:17">
      <c r="A898" s="1019" t="s">
        <v>1503</v>
      </c>
      <c r="B898" s="979" t="s">
        <v>420</v>
      </c>
      <c r="C898" s="979" t="s">
        <v>384</v>
      </c>
      <c r="D898" s="979" t="s">
        <v>1100</v>
      </c>
      <c r="E898" s="1022">
        <v>136</v>
      </c>
      <c r="F898" s="595"/>
      <c r="G898" s="1009">
        <f t="shared" si="133"/>
        <v>11.870000000000001</v>
      </c>
      <c r="H898" s="1012">
        <f t="shared" si="134"/>
        <v>1614.3200000000002</v>
      </c>
      <c r="I898" s="1011">
        <f t="shared" si="130"/>
        <v>1.4094499544481762E-3</v>
      </c>
      <c r="J898" s="1009">
        <f t="shared" si="132"/>
        <v>136</v>
      </c>
      <c r="K898" s="1009">
        <f t="shared" si="131"/>
        <v>0.14827295703532545</v>
      </c>
      <c r="L898" s="595"/>
      <c r="M898" s="595"/>
      <c r="N898" s="595"/>
      <c r="O898" s="595"/>
      <c r="P898" s="595"/>
      <c r="Q898" s="595"/>
    </row>
    <row r="899" spans="1:17">
      <c r="A899" s="1019" t="s">
        <v>1503</v>
      </c>
      <c r="B899" s="979" t="s">
        <v>420</v>
      </c>
      <c r="C899" s="979" t="s">
        <v>311</v>
      </c>
      <c r="D899" s="979" t="s">
        <v>1101</v>
      </c>
      <c r="E899" s="1022">
        <v>441</v>
      </c>
      <c r="F899" s="595"/>
      <c r="G899" s="1009">
        <f t="shared" si="133"/>
        <v>13.360000000000001</v>
      </c>
      <c r="H899" s="1012">
        <f t="shared" si="134"/>
        <v>5891.76</v>
      </c>
      <c r="I899" s="1011">
        <f t="shared" si="130"/>
        <v>5.1440488029756088E-3</v>
      </c>
      <c r="J899" s="1009">
        <f t="shared" si="132"/>
        <v>441</v>
      </c>
      <c r="K899" s="1009">
        <f t="shared" si="131"/>
        <v>0.13173652694680488</v>
      </c>
      <c r="L899" s="595"/>
      <c r="M899" s="595"/>
      <c r="N899" s="595"/>
      <c r="O899" s="595"/>
      <c r="P899" s="595"/>
      <c r="Q899" s="595"/>
    </row>
    <row r="900" spans="1:17">
      <c r="A900" s="1019" t="s">
        <v>1503</v>
      </c>
      <c r="B900" s="979" t="s">
        <v>420</v>
      </c>
      <c r="C900" s="979" t="s">
        <v>341</v>
      </c>
      <c r="D900" s="979" t="s">
        <v>1102</v>
      </c>
      <c r="E900" s="1022">
        <v>1355</v>
      </c>
      <c r="F900" s="595"/>
      <c r="G900" s="1009">
        <f t="shared" si="133"/>
        <v>15.079999999999998</v>
      </c>
      <c r="H900" s="1012">
        <f t="shared" si="134"/>
        <v>20433.399999999998</v>
      </c>
      <c r="I900" s="1011">
        <f t="shared" si="130"/>
        <v>1.7840239047537884E-2</v>
      </c>
      <c r="J900" s="1009">
        <f t="shared" si="132"/>
        <v>1355</v>
      </c>
      <c r="K900" s="1009">
        <f t="shared" si="131"/>
        <v>0.11671087533218259</v>
      </c>
      <c r="L900" s="595"/>
      <c r="M900" s="595"/>
      <c r="N900" s="595"/>
      <c r="O900" s="595"/>
      <c r="P900" s="595"/>
      <c r="Q900" s="595"/>
    </row>
    <row r="901" spans="1:17">
      <c r="A901" s="1019" t="s">
        <v>1503</v>
      </c>
      <c r="B901" s="979" t="s">
        <v>420</v>
      </c>
      <c r="C901" s="979" t="s">
        <v>315</v>
      </c>
      <c r="D901" s="979" t="s">
        <v>1103</v>
      </c>
      <c r="E901" s="1022">
        <v>226</v>
      </c>
      <c r="F901" s="595"/>
      <c r="G901" s="1009">
        <f t="shared" si="133"/>
        <v>46.740000000000009</v>
      </c>
      <c r="H901" s="1012">
        <f t="shared" si="134"/>
        <v>10563.240000000002</v>
      </c>
      <c r="I901" s="1011">
        <f t="shared" si="130"/>
        <v>9.2226808419799983E-3</v>
      </c>
      <c r="J901" s="1009">
        <f t="shared" si="132"/>
        <v>226</v>
      </c>
      <c r="K901" s="1009">
        <f t="shared" si="131"/>
        <v>3.7655113393438445E-2</v>
      </c>
      <c r="L901" s="1009"/>
      <c r="M901" s="595"/>
      <c r="N901" s="595"/>
      <c r="O901" s="595"/>
      <c r="P901" s="595"/>
      <c r="Q901" s="595"/>
    </row>
    <row r="902" spans="1:17">
      <c r="A902" s="1019" t="s">
        <v>1503</v>
      </c>
      <c r="B902" s="979" t="s">
        <v>420</v>
      </c>
      <c r="C902" s="979" t="s">
        <v>319</v>
      </c>
      <c r="D902" s="979" t="s">
        <v>1104</v>
      </c>
      <c r="E902" s="1022">
        <v>26</v>
      </c>
      <c r="F902" s="595"/>
      <c r="G902" s="1009">
        <f t="shared" si="133"/>
        <v>27.15</v>
      </c>
      <c r="H902" s="1012">
        <f t="shared" si="134"/>
        <v>705.9</v>
      </c>
      <c r="I902" s="1011">
        <f t="shared" si="130"/>
        <v>6.1631567647366526E-4</v>
      </c>
      <c r="J902" s="1009">
        <f t="shared" si="132"/>
        <v>26</v>
      </c>
      <c r="K902" s="1009">
        <f t="shared" si="131"/>
        <v>6.4825046040858689E-2</v>
      </c>
      <c r="L902" s="595"/>
      <c r="M902" s="595"/>
      <c r="N902" s="595"/>
      <c r="O902" s="595"/>
      <c r="P902" s="595"/>
      <c r="Q902" s="595"/>
    </row>
    <row r="903" spans="1:17">
      <c r="A903" s="1019" t="s">
        <v>1503</v>
      </c>
      <c r="B903" s="979" t="s">
        <v>420</v>
      </c>
      <c r="C903" s="979" t="s">
        <v>356</v>
      </c>
      <c r="D903" s="979" t="s">
        <v>1105</v>
      </c>
      <c r="E903" s="1022">
        <v>6648</v>
      </c>
      <c r="F903" s="595"/>
      <c r="G903" s="1009">
        <f t="shared" si="133"/>
        <v>7.54</v>
      </c>
      <c r="H903" s="1012">
        <f t="shared" si="134"/>
        <v>50125.919999999998</v>
      </c>
      <c r="I903" s="1011">
        <f t="shared" si="130"/>
        <v>4.3764542135805114E-2</v>
      </c>
      <c r="J903" s="1009">
        <f t="shared" si="132"/>
        <v>6648</v>
      </c>
      <c r="K903" s="1009">
        <f t="shared" si="131"/>
        <v>0.23342175066436516</v>
      </c>
      <c r="L903" s="595"/>
      <c r="M903" s="595"/>
      <c r="N903" s="595"/>
      <c r="O903" s="595"/>
      <c r="P903" s="595"/>
      <c r="Q903" s="595"/>
    </row>
    <row r="904" spans="1:17">
      <c r="A904" s="1019" t="s">
        <v>1503</v>
      </c>
      <c r="B904" s="979" t="s">
        <v>420</v>
      </c>
      <c r="C904" s="979" t="s">
        <v>365</v>
      </c>
      <c r="D904" s="979" t="s">
        <v>1106</v>
      </c>
      <c r="E904" s="1022">
        <v>6813</v>
      </c>
      <c r="F904" s="595"/>
      <c r="G904" s="1009">
        <f t="shared" si="133"/>
        <v>8.66</v>
      </c>
      <c r="H904" s="1012">
        <f t="shared" si="134"/>
        <v>59000.58</v>
      </c>
      <c r="I904" s="1011">
        <f t="shared" si="130"/>
        <v>5.1512937207874497E-2</v>
      </c>
      <c r="J904" s="1009">
        <f t="shared" si="132"/>
        <v>6813</v>
      </c>
      <c r="K904" s="1009">
        <f t="shared" si="131"/>
        <v>0.2032332563521147</v>
      </c>
      <c r="L904" s="1009"/>
      <c r="M904" s="595"/>
      <c r="N904" s="595"/>
      <c r="O904" s="595"/>
      <c r="P904" s="595"/>
      <c r="Q904" s="595"/>
    </row>
    <row r="905" spans="1:17">
      <c r="A905" s="1019" t="s">
        <v>1503</v>
      </c>
      <c r="B905" s="979" t="s">
        <v>420</v>
      </c>
      <c r="C905" s="979" t="s">
        <v>388</v>
      </c>
      <c r="D905" s="979" t="s">
        <v>1107</v>
      </c>
      <c r="E905" s="1022">
        <f>19652-3</f>
        <v>19649</v>
      </c>
      <c r="F905" s="595"/>
      <c r="G905" s="1009">
        <f t="shared" si="133"/>
        <v>9.14</v>
      </c>
      <c r="H905" s="1012">
        <f t="shared" si="134"/>
        <v>179591.86000000002</v>
      </c>
      <c r="I905" s="1011">
        <f t="shared" si="130"/>
        <v>0.15680022479822042</v>
      </c>
      <c r="J905" s="1009">
        <f t="shared" si="132"/>
        <v>19649</v>
      </c>
      <c r="K905" s="1009">
        <f t="shared" si="131"/>
        <v>0.19256017505572354</v>
      </c>
      <c r="L905" s="595"/>
      <c r="M905" s="595"/>
      <c r="N905" s="595"/>
      <c r="O905" s="595"/>
      <c r="P905" s="595"/>
      <c r="Q905" s="595"/>
    </row>
    <row r="906" spans="1:17">
      <c r="A906" s="1019" t="s">
        <v>1503</v>
      </c>
      <c r="B906" s="979" t="s">
        <v>420</v>
      </c>
      <c r="C906" s="979" t="s">
        <v>345</v>
      </c>
      <c r="D906" s="979" t="s">
        <v>1108</v>
      </c>
      <c r="E906" s="1022">
        <v>7024</v>
      </c>
      <c r="F906" s="595"/>
      <c r="G906" s="1009">
        <f t="shared" si="133"/>
        <v>14.25</v>
      </c>
      <c r="H906" s="1012">
        <f t="shared" si="134"/>
        <v>100092</v>
      </c>
      <c r="I906" s="1011">
        <f t="shared" si="130"/>
        <v>8.7389529238705355E-2</v>
      </c>
      <c r="J906" s="1009">
        <f t="shared" si="132"/>
        <v>7024</v>
      </c>
      <c r="K906" s="1009">
        <f t="shared" si="131"/>
        <v>0.12350877193047811</v>
      </c>
      <c r="L906" s="595"/>
      <c r="M906" s="595"/>
      <c r="N906" s="595"/>
      <c r="O906" s="595"/>
      <c r="P906" s="595"/>
      <c r="Q906" s="595"/>
    </row>
    <row r="907" spans="1:17">
      <c r="A907" s="1019" t="s">
        <v>1503</v>
      </c>
      <c r="B907" s="979" t="s">
        <v>420</v>
      </c>
      <c r="C907" s="979" t="s">
        <v>377</v>
      </c>
      <c r="D907" s="979" t="s">
        <v>1109</v>
      </c>
      <c r="E907" s="1022">
        <v>2645</v>
      </c>
      <c r="F907" s="595"/>
      <c r="G907" s="1009">
        <f t="shared" si="133"/>
        <v>22.84</v>
      </c>
      <c r="H907" s="1012">
        <f t="shared" si="134"/>
        <v>60411.8</v>
      </c>
      <c r="I907" s="1011">
        <f t="shared" si="130"/>
        <v>5.2745062167434166E-2</v>
      </c>
      <c r="J907" s="1009">
        <f t="shared" si="132"/>
        <v>2645</v>
      </c>
      <c r="K907" s="1009">
        <f t="shared" si="131"/>
        <v>7.7057793345416514E-2</v>
      </c>
      <c r="L907" s="1009"/>
      <c r="M907" s="595"/>
      <c r="N907" s="595"/>
      <c r="O907" s="595"/>
      <c r="P907" s="595"/>
      <c r="Q907" s="595"/>
    </row>
    <row r="908" spans="1:17">
      <c r="A908" s="1019" t="s">
        <v>1503</v>
      </c>
      <c r="B908" s="979" t="s">
        <v>420</v>
      </c>
      <c r="C908" s="979" t="s">
        <v>363</v>
      </c>
      <c r="D908" s="979" t="s">
        <v>1110</v>
      </c>
      <c r="E908" s="1022">
        <v>829</v>
      </c>
      <c r="F908" s="595"/>
      <c r="G908" s="1009">
        <f t="shared" si="133"/>
        <v>9.620000000000001</v>
      </c>
      <c r="H908" s="1012">
        <f t="shared" si="134"/>
        <v>7974.9800000000005</v>
      </c>
      <c r="I908" s="1011">
        <f t="shared" si="130"/>
        <v>6.9628916185918007E-3</v>
      </c>
      <c r="J908" s="1009">
        <f t="shared" si="132"/>
        <v>829</v>
      </c>
      <c r="K908" s="1009">
        <f t="shared" si="131"/>
        <v>0.18295218295315105</v>
      </c>
      <c r="L908" s="595"/>
      <c r="M908" s="595"/>
      <c r="N908" s="595"/>
      <c r="O908" s="595"/>
      <c r="P908" s="595"/>
      <c r="Q908" s="595"/>
    </row>
    <row r="909" spans="1:17">
      <c r="A909" s="1019" t="s">
        <v>1503</v>
      </c>
      <c r="B909" s="979" t="s">
        <v>420</v>
      </c>
      <c r="C909" s="979" t="s">
        <v>373</v>
      </c>
      <c r="D909" s="979" t="s">
        <v>1111</v>
      </c>
      <c r="E909" s="1022">
        <v>1213</v>
      </c>
      <c r="F909" s="595"/>
      <c r="G909" s="1009">
        <f t="shared" si="133"/>
        <v>10.770000000000001</v>
      </c>
      <c r="H909" s="1012">
        <f t="shared" si="134"/>
        <v>13064.010000000002</v>
      </c>
      <c r="I909" s="1011">
        <f t="shared" si="130"/>
        <v>1.1406083242114647E-2</v>
      </c>
      <c r="J909" s="1009">
        <f t="shared" si="132"/>
        <v>1213</v>
      </c>
      <c r="K909" s="1009">
        <f t="shared" si="131"/>
        <v>0.16341689879380808</v>
      </c>
      <c r="L909" s="595"/>
      <c r="M909" s="595"/>
      <c r="N909" s="595"/>
      <c r="O909" s="595"/>
      <c r="P909" s="595"/>
      <c r="Q909" s="595"/>
    </row>
    <row r="910" spans="1:17">
      <c r="A910" s="1019" t="s">
        <v>1503</v>
      </c>
      <c r="B910" s="979" t="s">
        <v>420</v>
      </c>
      <c r="C910" s="979" t="s">
        <v>396</v>
      </c>
      <c r="D910" s="979" t="s">
        <v>1112</v>
      </c>
      <c r="E910" s="1022">
        <v>3824</v>
      </c>
      <c r="F910" s="595"/>
      <c r="G910" s="1009">
        <f t="shared" si="133"/>
        <v>11.16</v>
      </c>
      <c r="H910" s="1012">
        <f t="shared" si="134"/>
        <v>42675.840000000004</v>
      </c>
      <c r="I910" s="1011">
        <f t="shared" si="130"/>
        <v>3.7259936533052707E-2</v>
      </c>
      <c r="J910" s="1009">
        <f t="shared" si="132"/>
        <v>3824</v>
      </c>
      <c r="K910" s="1009">
        <f t="shared" si="131"/>
        <v>0.15770609319079867</v>
      </c>
      <c r="L910" s="595"/>
      <c r="M910" s="595"/>
      <c r="N910" s="595"/>
      <c r="O910" s="595"/>
      <c r="P910" s="595"/>
      <c r="Q910" s="595"/>
    </row>
    <row r="911" spans="1:17">
      <c r="A911" s="1019" t="s">
        <v>1503</v>
      </c>
      <c r="B911" s="979" t="s">
        <v>420</v>
      </c>
      <c r="C911" s="979" t="s">
        <v>351</v>
      </c>
      <c r="D911" s="979" t="s">
        <v>1113</v>
      </c>
      <c r="E911" s="1022">
        <v>284</v>
      </c>
      <c r="F911" s="595"/>
      <c r="G911" s="1009">
        <f t="shared" si="133"/>
        <v>33.100000000000009</v>
      </c>
      <c r="H911" s="1012">
        <f t="shared" si="134"/>
        <v>9400.4000000000033</v>
      </c>
      <c r="I911" s="1011">
        <f t="shared" si="130"/>
        <v>8.2074144852288498E-3</v>
      </c>
      <c r="J911" s="1009">
        <f t="shared" si="132"/>
        <v>284</v>
      </c>
      <c r="K911" s="1009">
        <f t="shared" si="131"/>
        <v>5.3172205438347817E-2</v>
      </c>
      <c r="L911" s="595"/>
      <c r="M911" s="595"/>
      <c r="N911" s="595"/>
      <c r="O911" s="595"/>
      <c r="P911" s="595"/>
      <c r="Q911" s="595"/>
    </row>
    <row r="912" spans="1:17">
      <c r="A912" s="1019" t="s">
        <v>1503</v>
      </c>
      <c r="B912" s="979" t="s">
        <v>420</v>
      </c>
      <c r="C912" s="979" t="s">
        <v>314</v>
      </c>
      <c r="D912" s="979" t="s">
        <v>1114</v>
      </c>
      <c r="E912" s="1022">
        <v>63</v>
      </c>
      <c r="F912" s="595"/>
      <c r="G912" s="1009">
        <f t="shared" si="133"/>
        <v>55.250000000000007</v>
      </c>
      <c r="H912" s="1012">
        <f t="shared" si="134"/>
        <v>3480.7500000000005</v>
      </c>
      <c r="I912" s="1011">
        <f t="shared" si="130"/>
        <v>3.0390151450427976E-3</v>
      </c>
      <c r="J912" s="1009">
        <f t="shared" si="132"/>
        <v>63</v>
      </c>
      <c r="K912" s="1009">
        <f t="shared" si="131"/>
        <v>3.1855203620078064E-2</v>
      </c>
      <c r="L912" s="595"/>
      <c r="M912" s="595"/>
      <c r="N912" s="595"/>
      <c r="O912" s="595"/>
      <c r="P912" s="595"/>
      <c r="Q912" s="595"/>
    </row>
    <row r="913" spans="1:17">
      <c r="A913" s="1019" t="s">
        <v>1503</v>
      </c>
      <c r="B913" s="979" t="s">
        <v>420</v>
      </c>
      <c r="C913" s="979" t="s">
        <v>355</v>
      </c>
      <c r="D913" s="979" t="s">
        <v>1115</v>
      </c>
      <c r="E913" s="1022">
        <v>3585</v>
      </c>
      <c r="F913" s="595"/>
      <c r="G913" s="1009">
        <f t="shared" si="133"/>
        <v>10.49</v>
      </c>
      <c r="H913" s="1012">
        <f t="shared" si="134"/>
        <v>37606.65</v>
      </c>
      <c r="I913" s="1011">
        <f t="shared" si="130"/>
        <v>3.283406705575629E-2</v>
      </c>
      <c r="J913" s="1009">
        <f t="shared" si="132"/>
        <v>3585</v>
      </c>
      <c r="K913" s="1009">
        <f t="shared" si="131"/>
        <v>0.16777883698849505</v>
      </c>
      <c r="L913" s="595"/>
      <c r="M913" s="595"/>
      <c r="N913" s="595"/>
      <c r="O913" s="595"/>
      <c r="P913" s="595"/>
      <c r="Q913" s="595"/>
    </row>
    <row r="914" spans="1:17">
      <c r="A914" s="1019" t="s">
        <v>1503</v>
      </c>
      <c r="B914" s="979" t="s">
        <v>420</v>
      </c>
      <c r="C914" s="979" t="s">
        <v>364</v>
      </c>
      <c r="D914" s="979" t="s">
        <v>1116</v>
      </c>
      <c r="E914" s="1022">
        <v>8388</v>
      </c>
      <c r="F914" s="595"/>
      <c r="G914" s="1009">
        <f t="shared" si="133"/>
        <v>11.600000000000001</v>
      </c>
      <c r="H914" s="1012">
        <f t="shared" si="134"/>
        <v>97300.800000000017</v>
      </c>
      <c r="I914" s="1011">
        <f t="shared" si="130"/>
        <v>8.4952554715156295E-2</v>
      </c>
      <c r="J914" s="1009">
        <f t="shared" si="132"/>
        <v>8388</v>
      </c>
      <c r="K914" s="1009">
        <f t="shared" si="131"/>
        <v>0.15172413793183734</v>
      </c>
      <c r="L914" s="595"/>
      <c r="M914" s="595"/>
      <c r="N914" s="595"/>
      <c r="O914" s="595"/>
      <c r="P914" s="595"/>
      <c r="Q914" s="595"/>
    </row>
    <row r="915" spans="1:17">
      <c r="A915" s="1019" t="s">
        <v>1503</v>
      </c>
      <c r="B915" s="979" t="s">
        <v>420</v>
      </c>
      <c r="C915" s="979" t="s">
        <v>387</v>
      </c>
      <c r="D915" s="979" t="s">
        <v>1117</v>
      </c>
      <c r="E915" s="1022">
        <v>3296</v>
      </c>
      <c r="F915" s="595"/>
      <c r="G915" s="1009">
        <f t="shared" si="133"/>
        <v>12.3</v>
      </c>
      <c r="H915" s="1012">
        <f t="shared" si="134"/>
        <v>40540.800000000003</v>
      </c>
      <c r="I915" s="1011">
        <f t="shared" si="130"/>
        <v>3.5395850087524543E-2</v>
      </c>
      <c r="J915" s="1009">
        <f t="shared" si="132"/>
        <v>3296</v>
      </c>
      <c r="K915" s="1009">
        <f t="shared" si="131"/>
        <v>0.14308943089506609</v>
      </c>
      <c r="L915" s="595"/>
      <c r="M915" s="595"/>
      <c r="N915" s="595"/>
      <c r="O915" s="595"/>
      <c r="P915" s="595"/>
      <c r="Q915" s="595"/>
    </row>
    <row r="916" spans="1:17">
      <c r="A916" s="1019" t="s">
        <v>1503</v>
      </c>
      <c r="B916" s="979" t="s">
        <v>420</v>
      </c>
      <c r="C916" s="979" t="s">
        <v>344</v>
      </c>
      <c r="D916" s="979" t="s">
        <v>1118</v>
      </c>
      <c r="E916" s="1022">
        <v>4926</v>
      </c>
      <c r="F916" s="595"/>
      <c r="G916" s="1009">
        <f t="shared" si="133"/>
        <v>17.41</v>
      </c>
      <c r="H916" s="1012">
        <f t="shared" si="134"/>
        <v>85761.66</v>
      </c>
      <c r="I916" s="1011">
        <f t="shared" si="130"/>
        <v>7.4877823343822758E-2</v>
      </c>
      <c r="J916" s="1009">
        <f t="shared" si="132"/>
        <v>4926</v>
      </c>
      <c r="K916" s="1009">
        <f t="shared" si="131"/>
        <v>0.1010913268241995</v>
      </c>
      <c r="L916" s="595"/>
      <c r="M916" s="595"/>
      <c r="N916" s="595"/>
      <c r="O916" s="595"/>
      <c r="P916" s="595"/>
      <c r="Q916" s="595"/>
    </row>
    <row r="917" spans="1:17">
      <c r="A917" s="1019" t="s">
        <v>1503</v>
      </c>
      <c r="B917" s="979" t="s">
        <v>420</v>
      </c>
      <c r="C917" s="979" t="s">
        <v>376</v>
      </c>
      <c r="D917" s="979" t="s">
        <v>1119</v>
      </c>
      <c r="E917" s="1022">
        <v>466</v>
      </c>
      <c r="F917" s="595"/>
      <c r="G917" s="1009">
        <f t="shared" si="133"/>
        <v>24.46</v>
      </c>
      <c r="H917" s="1012">
        <f t="shared" si="134"/>
        <v>11398.36</v>
      </c>
      <c r="I917" s="1011">
        <f t="shared" si="130"/>
        <v>9.9518174728578674E-3</v>
      </c>
      <c r="J917" s="1009">
        <f t="shared" si="132"/>
        <v>466</v>
      </c>
      <c r="K917" s="1009">
        <f t="shared" si="131"/>
        <v>7.1954210957044698E-2</v>
      </c>
      <c r="L917" s="595"/>
      <c r="M917" s="595"/>
      <c r="N917" s="595"/>
      <c r="O917" s="595"/>
      <c r="P917" s="595"/>
      <c r="Q917" s="595"/>
    </row>
    <row r="918" spans="1:17">
      <c r="A918" s="1019" t="s">
        <v>1503</v>
      </c>
      <c r="B918" s="979" t="s">
        <v>420</v>
      </c>
      <c r="C918" s="979" t="s">
        <v>374</v>
      </c>
      <c r="D918" s="979" t="s">
        <v>1120</v>
      </c>
      <c r="E918" s="1022">
        <v>4461</v>
      </c>
      <c r="F918" s="595"/>
      <c r="G918" s="1009">
        <f t="shared" ref="G918:G934" si="135">SUMIF(_Lights_Tariff_Category,20140101&amp;$C918,_Lights_Rates)</f>
        <v>16.79</v>
      </c>
      <c r="H918" s="1012">
        <f t="shared" ref="H918:H932" si="136">E918*G918</f>
        <v>74900.19</v>
      </c>
      <c r="I918" s="1011">
        <f t="shared" si="130"/>
        <v>6.539476026045625E-2</v>
      </c>
      <c r="J918" s="1009">
        <f t="shared" si="132"/>
        <v>4461</v>
      </c>
      <c r="K918" s="1009">
        <f t="shared" si="131"/>
        <v>0.10482430017923249</v>
      </c>
      <c r="L918" s="595"/>
      <c r="M918" s="595"/>
      <c r="N918" s="595"/>
      <c r="O918" s="595"/>
      <c r="P918" s="595"/>
      <c r="Q918" s="595"/>
    </row>
    <row r="919" spans="1:17">
      <c r="A919" s="1019" t="s">
        <v>1503</v>
      </c>
      <c r="B919" s="979" t="s">
        <v>420</v>
      </c>
      <c r="C919" s="979" t="s">
        <v>398</v>
      </c>
      <c r="D919" s="979" t="s">
        <v>1121</v>
      </c>
      <c r="E919" s="1022">
        <v>1034</v>
      </c>
      <c r="F919" s="595"/>
      <c r="G919" s="1009">
        <f t="shared" si="135"/>
        <v>20.97</v>
      </c>
      <c r="H919" s="1012">
        <f t="shared" si="136"/>
        <v>21682.98</v>
      </c>
      <c r="I919" s="1011">
        <f t="shared" ref="I919:I934" si="137">H919/$L$857*$L$858</f>
        <v>1.8931237408506808E-2</v>
      </c>
      <c r="J919" s="1009">
        <f t="shared" si="132"/>
        <v>1034</v>
      </c>
      <c r="K919" s="1009">
        <f t="shared" ref="K919:K934" si="138">$L$858/G919</f>
        <v>8.3929422985661098E-2</v>
      </c>
      <c r="L919" s="595"/>
      <c r="M919" s="595"/>
      <c r="N919" s="595"/>
      <c r="O919" s="595"/>
      <c r="P919" s="595"/>
      <c r="Q919" s="595"/>
    </row>
    <row r="920" spans="1:17">
      <c r="A920" s="1019" t="s">
        <v>1503</v>
      </c>
      <c r="B920" s="979" t="s">
        <v>420</v>
      </c>
      <c r="C920" s="979" t="s">
        <v>348</v>
      </c>
      <c r="D920" s="979" t="s">
        <v>1122</v>
      </c>
      <c r="E920" s="1022">
        <v>1369</v>
      </c>
      <c r="F920" s="595"/>
      <c r="G920" s="1009">
        <f t="shared" si="135"/>
        <v>26.86</v>
      </c>
      <c r="H920" s="1012">
        <f t="shared" si="136"/>
        <v>36771.339999999997</v>
      </c>
      <c r="I920" s="1011">
        <f t="shared" si="137"/>
        <v>3.2104764537389356E-2</v>
      </c>
      <c r="J920" s="1009">
        <f t="shared" ref="J920:J932" si="139">ROUND((H920+I920)/G920,0)</f>
        <v>1369</v>
      </c>
      <c r="K920" s="1009">
        <f t="shared" si="138"/>
        <v>6.5524944155223877E-2</v>
      </c>
      <c r="L920" s="595"/>
      <c r="M920" s="595"/>
      <c r="N920" s="595"/>
      <c r="O920" s="595"/>
      <c r="P920" s="595"/>
      <c r="Q920" s="595"/>
    </row>
    <row r="921" spans="1:17">
      <c r="A921" s="1019" t="s">
        <v>1503</v>
      </c>
      <c r="B921" s="979" t="s">
        <v>420</v>
      </c>
      <c r="C921" s="979" t="s">
        <v>380</v>
      </c>
      <c r="D921" s="979" t="s">
        <v>1123</v>
      </c>
      <c r="E921" s="1022">
        <v>917</v>
      </c>
      <c r="F921" s="595"/>
      <c r="G921" s="1009">
        <f t="shared" si="135"/>
        <v>33.119999999999997</v>
      </c>
      <c r="H921" s="1012">
        <f t="shared" si="136"/>
        <v>30371.039999999997</v>
      </c>
      <c r="I921" s="1011">
        <f t="shared" si="137"/>
        <v>2.6516713504474779E-2</v>
      </c>
      <c r="J921" s="1009">
        <f t="shared" si="139"/>
        <v>917</v>
      </c>
      <c r="K921" s="1009">
        <f t="shared" si="138"/>
        <v>5.3140096618638687E-2</v>
      </c>
      <c r="L921" s="595"/>
      <c r="M921" s="595"/>
      <c r="N921" s="595"/>
      <c r="O921" s="595"/>
      <c r="P921" s="595"/>
      <c r="Q921" s="595"/>
    </row>
    <row r="922" spans="1:17">
      <c r="A922" s="1019" t="s">
        <v>1503</v>
      </c>
      <c r="B922" s="979" t="s">
        <v>420</v>
      </c>
      <c r="C922" s="979" t="s">
        <v>399</v>
      </c>
      <c r="D922" s="979" t="s">
        <v>1124</v>
      </c>
      <c r="E922" s="1022">
        <v>10653</v>
      </c>
      <c r="F922" s="595"/>
      <c r="G922" s="1009">
        <f t="shared" si="135"/>
        <v>9</v>
      </c>
      <c r="H922" s="1012">
        <f t="shared" si="136"/>
        <v>95877</v>
      </c>
      <c r="I922" s="1011">
        <f t="shared" si="137"/>
        <v>8.3709446257636502E-2</v>
      </c>
      <c r="J922" s="1009">
        <f t="shared" si="139"/>
        <v>10653</v>
      </c>
      <c r="K922" s="1009">
        <f t="shared" si="138"/>
        <v>0.19555555555659035</v>
      </c>
      <c r="L922" s="595"/>
      <c r="M922" s="595"/>
      <c r="N922" s="595"/>
      <c r="O922" s="595"/>
      <c r="P922" s="595"/>
      <c r="Q922" s="595"/>
    </row>
    <row r="923" spans="1:17">
      <c r="A923" s="1019" t="s">
        <v>1503</v>
      </c>
      <c r="B923" s="979" t="s">
        <v>420</v>
      </c>
      <c r="C923" s="979" t="s">
        <v>349</v>
      </c>
      <c r="D923" s="979" t="s">
        <v>1125</v>
      </c>
      <c r="E923" s="1022">
        <v>6273</v>
      </c>
      <c r="F923" s="595"/>
      <c r="G923" s="1009">
        <f t="shared" si="135"/>
        <v>13.639999999999999</v>
      </c>
      <c r="H923" s="1012">
        <f t="shared" si="136"/>
        <v>85563.719999999987</v>
      </c>
      <c r="I923" s="1011">
        <f t="shared" si="137"/>
        <v>7.4705003503900372E-2</v>
      </c>
      <c r="J923" s="1009">
        <f t="shared" si="139"/>
        <v>6273</v>
      </c>
      <c r="K923" s="1009">
        <f t="shared" si="138"/>
        <v>0.12903225806519894</v>
      </c>
      <c r="L923" s="595"/>
      <c r="M923" s="595"/>
      <c r="N923" s="595"/>
      <c r="O923" s="595"/>
      <c r="P923" s="595"/>
      <c r="Q923" s="595"/>
    </row>
    <row r="924" spans="1:17">
      <c r="A924" s="1019" t="s">
        <v>1503</v>
      </c>
      <c r="B924" s="979" t="s">
        <v>420</v>
      </c>
      <c r="C924" s="979" t="s">
        <v>381</v>
      </c>
      <c r="D924" s="979" t="s">
        <v>1126</v>
      </c>
      <c r="E924" s="1022">
        <v>7884</v>
      </c>
      <c r="F924" s="595"/>
      <c r="G924" s="1009">
        <f t="shared" si="135"/>
        <v>19.46</v>
      </c>
      <c r="H924" s="1012">
        <f t="shared" si="136"/>
        <v>153422.64000000001</v>
      </c>
      <c r="I924" s="1011">
        <f t="shared" si="137"/>
        <v>0.13395208692162577</v>
      </c>
      <c r="J924" s="1009">
        <f t="shared" si="139"/>
        <v>7884</v>
      </c>
      <c r="K924" s="1009">
        <f t="shared" si="138"/>
        <v>9.0441932169029446E-2</v>
      </c>
      <c r="L924" s="595"/>
      <c r="M924" s="595"/>
      <c r="N924" s="595"/>
      <c r="O924" s="595"/>
      <c r="P924" s="595"/>
      <c r="Q924" s="595"/>
    </row>
    <row r="925" spans="1:17">
      <c r="A925" s="1019" t="s">
        <v>1503</v>
      </c>
      <c r="B925" s="979" t="s">
        <v>420</v>
      </c>
      <c r="C925" s="979" t="s">
        <v>321</v>
      </c>
      <c r="D925" s="979" t="s">
        <v>1127</v>
      </c>
      <c r="E925" s="1022">
        <v>56</v>
      </c>
      <c r="F925" s="595"/>
      <c r="G925" s="1009">
        <f t="shared" si="135"/>
        <v>15.47</v>
      </c>
      <c r="H925" s="1012">
        <f t="shared" si="136"/>
        <v>866.32</v>
      </c>
      <c r="I925" s="1011">
        <f t="shared" si="137"/>
        <v>7.5637710276620725E-4</v>
      </c>
      <c r="J925" s="1009">
        <f t="shared" si="139"/>
        <v>56</v>
      </c>
      <c r="K925" s="1009">
        <f t="shared" si="138"/>
        <v>0.11376858435742167</v>
      </c>
      <c r="L925" s="595"/>
      <c r="M925" s="595"/>
      <c r="N925" s="595"/>
      <c r="O925" s="595"/>
      <c r="P925" s="595"/>
      <c r="Q925" s="595"/>
    </row>
    <row r="926" spans="1:17">
      <c r="A926" s="1019" t="s">
        <v>1503</v>
      </c>
      <c r="B926" s="979" t="s">
        <v>420</v>
      </c>
      <c r="C926" s="979" t="s">
        <v>353</v>
      </c>
      <c r="D926" s="979" t="s">
        <v>1128</v>
      </c>
      <c r="E926" s="1022">
        <v>287</v>
      </c>
      <c r="F926" s="595"/>
      <c r="G926" s="1009">
        <f t="shared" si="135"/>
        <v>21.930000000000003</v>
      </c>
      <c r="H926" s="1012">
        <f t="shared" si="136"/>
        <v>6293.9100000000008</v>
      </c>
      <c r="I926" s="1011">
        <f t="shared" si="137"/>
        <v>5.4951627699594378E-3</v>
      </c>
      <c r="J926" s="1009">
        <f t="shared" si="139"/>
        <v>287</v>
      </c>
      <c r="K926" s="1009">
        <f t="shared" si="138"/>
        <v>8.0255357957561016E-2</v>
      </c>
      <c r="L926" s="595"/>
      <c r="M926" s="595"/>
      <c r="N926" s="595"/>
      <c r="O926" s="595"/>
      <c r="P926" s="595"/>
      <c r="Q926" s="595"/>
    </row>
    <row r="927" spans="1:17">
      <c r="A927" s="1019" t="s">
        <v>1503</v>
      </c>
      <c r="B927" s="979" t="s">
        <v>420</v>
      </c>
      <c r="C927" s="979" t="s">
        <v>678</v>
      </c>
      <c r="D927" s="979" t="s">
        <v>1129</v>
      </c>
      <c r="E927" s="1022">
        <v>2</v>
      </c>
      <c r="F927" s="595"/>
      <c r="G927" s="1009">
        <f t="shared" si="135"/>
        <v>15.370000000000001</v>
      </c>
      <c r="H927" s="1012">
        <f t="shared" si="136"/>
        <v>30.740000000000002</v>
      </c>
      <c r="I927" s="1011">
        <f t="shared" si="137"/>
        <v>2.6838849546395342E-5</v>
      </c>
      <c r="J927" s="1009">
        <f t="shared" si="139"/>
        <v>2</v>
      </c>
      <c r="K927" s="1009">
        <f t="shared" si="138"/>
        <v>0.1145087833447829</v>
      </c>
      <c r="L927" s="595"/>
      <c r="M927" s="595"/>
      <c r="N927" s="595"/>
      <c r="O927" s="595"/>
      <c r="P927" s="595"/>
      <c r="Q927" s="595"/>
    </row>
    <row r="928" spans="1:17">
      <c r="A928" s="1019" t="s">
        <v>1503</v>
      </c>
      <c r="B928" s="979" t="s">
        <v>420</v>
      </c>
      <c r="C928" s="979" t="s">
        <v>316</v>
      </c>
      <c r="D928" s="979" t="s">
        <v>1130</v>
      </c>
      <c r="E928" s="1022">
        <v>45</v>
      </c>
      <c r="F928" s="595"/>
      <c r="G928" s="1009">
        <f t="shared" si="135"/>
        <v>45.7</v>
      </c>
      <c r="H928" s="1012">
        <f t="shared" si="136"/>
        <v>2056.5</v>
      </c>
      <c r="I928" s="1011">
        <f t="shared" si="137"/>
        <v>1.7955137961015622E-3</v>
      </c>
      <c r="J928" s="1009">
        <f t="shared" si="139"/>
        <v>45</v>
      </c>
      <c r="K928" s="1009">
        <f t="shared" si="138"/>
        <v>3.851203501114471E-2</v>
      </c>
      <c r="L928" s="595"/>
      <c r="M928" s="595"/>
      <c r="N928" s="595"/>
      <c r="O928" s="595"/>
      <c r="P928" s="595"/>
      <c r="Q928" s="595"/>
    </row>
    <row r="929" spans="1:17">
      <c r="A929" s="1019" t="s">
        <v>1503</v>
      </c>
      <c r="B929" s="979" t="s">
        <v>420</v>
      </c>
      <c r="C929" s="979" t="s">
        <v>318</v>
      </c>
      <c r="D929" s="979" t="s">
        <v>1131</v>
      </c>
      <c r="E929" s="1022">
        <v>191</v>
      </c>
      <c r="F929" s="595"/>
      <c r="G929" s="1009">
        <f t="shared" si="135"/>
        <v>28.37</v>
      </c>
      <c r="H929" s="1012">
        <f t="shared" si="136"/>
        <v>5418.67</v>
      </c>
      <c r="I929" s="1011">
        <f t="shared" si="137"/>
        <v>4.7309976861277178E-3</v>
      </c>
      <c r="J929" s="1009">
        <f t="shared" si="139"/>
        <v>191</v>
      </c>
      <c r="K929" s="1009">
        <f t="shared" si="138"/>
        <v>6.2037363412383265E-2</v>
      </c>
      <c r="L929" s="595"/>
      <c r="M929" s="595"/>
      <c r="N929" s="595"/>
      <c r="O929" s="595"/>
      <c r="P929" s="595"/>
      <c r="Q929" s="595"/>
    </row>
    <row r="930" spans="1:17">
      <c r="A930" s="1019" t="s">
        <v>1503</v>
      </c>
      <c r="B930" s="979" t="s">
        <v>420</v>
      </c>
      <c r="C930" s="979" t="s">
        <v>350</v>
      </c>
      <c r="D930" s="979" t="s">
        <v>1132</v>
      </c>
      <c r="E930" s="1022">
        <v>593</v>
      </c>
      <c r="F930" s="595"/>
      <c r="G930" s="1009">
        <f t="shared" si="135"/>
        <v>34.830000000000005</v>
      </c>
      <c r="H930" s="1012">
        <f t="shared" si="136"/>
        <v>20654.190000000002</v>
      </c>
      <c r="I930" s="1011">
        <f t="shared" si="137"/>
        <v>1.8033009040750267E-2</v>
      </c>
      <c r="J930" s="1009">
        <f t="shared" si="139"/>
        <v>593</v>
      </c>
      <c r="K930" s="1009">
        <f t="shared" si="138"/>
        <v>5.0531151306612489E-2</v>
      </c>
      <c r="L930" s="1009"/>
      <c r="M930" s="595"/>
      <c r="N930" s="595"/>
      <c r="O930" s="595"/>
      <c r="P930" s="595"/>
      <c r="Q930" s="595"/>
    </row>
    <row r="931" spans="1:17">
      <c r="A931" s="1019" t="s">
        <v>1503</v>
      </c>
      <c r="B931" s="979" t="s">
        <v>420</v>
      </c>
      <c r="C931" s="979" t="s">
        <v>313</v>
      </c>
      <c r="D931" s="979" t="s">
        <v>1133</v>
      </c>
      <c r="E931" s="1022">
        <v>159</v>
      </c>
      <c r="F931" s="595"/>
      <c r="G931" s="1009">
        <f t="shared" si="135"/>
        <v>58.59</v>
      </c>
      <c r="H931" s="1012">
        <f t="shared" si="136"/>
        <v>9315.8100000000013</v>
      </c>
      <c r="I931" s="1011">
        <f t="shared" si="137"/>
        <v>8.1335596289136367E-3</v>
      </c>
      <c r="J931" s="1009">
        <f t="shared" si="139"/>
        <v>159</v>
      </c>
      <c r="K931" s="1009">
        <f t="shared" si="138"/>
        <v>3.0039255845866412E-2</v>
      </c>
      <c r="L931" s="595"/>
      <c r="M931" s="595"/>
      <c r="N931" s="595"/>
      <c r="O931" s="595"/>
      <c r="P931" s="595"/>
      <c r="Q931" s="595"/>
    </row>
    <row r="932" spans="1:17">
      <c r="A932" s="1019" t="s">
        <v>1503</v>
      </c>
      <c r="B932" s="979" t="s">
        <v>420</v>
      </c>
      <c r="C932" s="979" t="s">
        <v>650</v>
      </c>
      <c r="D932" s="979" t="s">
        <v>1151</v>
      </c>
      <c r="E932" s="1022">
        <v>8</v>
      </c>
      <c r="F932" s="595"/>
      <c r="G932" s="1009">
        <f t="shared" si="135"/>
        <v>15.35</v>
      </c>
      <c r="H932" s="1012">
        <f t="shared" si="136"/>
        <v>122.8</v>
      </c>
      <c r="I932" s="1011">
        <f t="shared" si="137"/>
        <v>1.0721570345794884E-4</v>
      </c>
      <c r="J932" s="1009">
        <f t="shared" si="139"/>
        <v>8</v>
      </c>
      <c r="K932" s="1009">
        <f t="shared" si="138"/>
        <v>0.11465798045663278</v>
      </c>
      <c r="L932" s="595"/>
      <c r="M932" s="595"/>
      <c r="N932" s="595"/>
      <c r="O932" s="595"/>
      <c r="P932" s="595"/>
      <c r="Q932" s="595"/>
    </row>
    <row r="933" spans="1:17">
      <c r="A933" s="1019" t="s">
        <v>1503</v>
      </c>
      <c r="B933" s="979" t="s">
        <v>420</v>
      </c>
      <c r="C933" s="979" t="s">
        <v>447</v>
      </c>
      <c r="D933" s="979" t="s">
        <v>1134</v>
      </c>
      <c r="E933" s="1022">
        <v>20</v>
      </c>
      <c r="F933" s="595"/>
      <c r="G933" s="1009">
        <f t="shared" si="135"/>
        <v>17.72</v>
      </c>
      <c r="H933" s="1012">
        <f t="shared" ref="H933:H934" si="140">E933*G933</f>
        <v>354.4</v>
      </c>
      <c r="I933" s="1011">
        <f t="shared" si="137"/>
        <v>3.0942382170600225E-4</v>
      </c>
      <c r="J933" s="1009">
        <f t="shared" ref="J933:J934" si="141">ROUND((H933+I933)/G933,0)</f>
        <v>20</v>
      </c>
      <c r="K933" s="1009">
        <f t="shared" si="138"/>
        <v>9.932279909759105E-2</v>
      </c>
      <c r="L933" s="595"/>
      <c r="M933" s="595"/>
      <c r="N933" s="595"/>
      <c r="O933" s="595"/>
      <c r="P933" s="595"/>
      <c r="Q933" s="595"/>
    </row>
    <row r="934" spans="1:17">
      <c r="A934" s="1019" t="s">
        <v>1503</v>
      </c>
      <c r="B934" s="979" t="s">
        <v>420</v>
      </c>
      <c r="C934" s="979" t="s">
        <v>624</v>
      </c>
      <c r="D934" s="979" t="s">
        <v>1135</v>
      </c>
      <c r="E934" s="1022">
        <v>23</v>
      </c>
      <c r="F934" s="595"/>
      <c r="G934" s="1009">
        <f t="shared" si="135"/>
        <v>21.490000000000002</v>
      </c>
      <c r="H934" s="1012">
        <f t="shared" si="140"/>
        <v>494.27000000000004</v>
      </c>
      <c r="I934" s="1011">
        <f t="shared" si="137"/>
        <v>4.315432064182442E-4</v>
      </c>
      <c r="J934" s="1009">
        <f t="shared" si="141"/>
        <v>23</v>
      </c>
      <c r="K934" s="1009">
        <f t="shared" si="138"/>
        <v>8.1898557469023414E-2</v>
      </c>
    </row>
    <row r="935" spans="1:17">
      <c r="A935" s="1019" t="s">
        <v>1503</v>
      </c>
      <c r="B935" s="979" t="s">
        <v>420</v>
      </c>
      <c r="C935" s="1021" t="s">
        <v>8</v>
      </c>
      <c r="D935" s="1021"/>
      <c r="E935" s="1027"/>
      <c r="F935" s="595"/>
      <c r="H935" s="1037">
        <f>SUM(H854:H934)</f>
        <v>2015824.1099999999</v>
      </c>
      <c r="I935" s="1011"/>
    </row>
    <row r="936" spans="1:17">
      <c r="A936" s="1019"/>
      <c r="B936" s="979"/>
      <c r="C936" s="979"/>
      <c r="D936" s="979"/>
      <c r="E936" s="980"/>
      <c r="F936" s="595"/>
    </row>
    <row r="937" spans="1:17">
      <c r="A937" s="1019"/>
      <c r="B937" s="979"/>
      <c r="C937" s="979"/>
      <c r="D937" s="979"/>
      <c r="E937" s="980"/>
      <c r="F937" s="595"/>
    </row>
    <row r="938" spans="1:17">
      <c r="A938" s="1019" t="s">
        <v>1504</v>
      </c>
      <c r="B938" s="979" t="s">
        <v>420</v>
      </c>
      <c r="C938" s="979" t="s">
        <v>323</v>
      </c>
      <c r="D938" s="979" t="s">
        <v>1056</v>
      </c>
      <c r="E938" s="980">
        <v>172</v>
      </c>
      <c r="F938" s="595"/>
      <c r="G938" s="1009">
        <f t="shared" ref="G938:G969" si="142">SUMIF(_Lights_Tariff_Category,20140101&amp;$C938,_Lights_Rates)</f>
        <v>55.33</v>
      </c>
      <c r="H938" s="1012">
        <f t="shared" ref="H938:H969" si="143">E938*G938</f>
        <v>9516.76</v>
      </c>
      <c r="I938" s="1011">
        <f>H938/$L$942*$L$943</f>
        <v>-0.17355949501192253</v>
      </c>
      <c r="J938" s="1009">
        <f>ROUND((H938+I938)/G938,0)</f>
        <v>172</v>
      </c>
      <c r="K938" s="1009">
        <f>$L$943/G938</f>
        <v>-0.67160672329086124</v>
      </c>
      <c r="L938" s="1020">
        <f>'12MonLights'!$O$1057</f>
        <v>2050706</v>
      </c>
      <c r="M938" s="595" t="s">
        <v>1529</v>
      </c>
      <c r="N938" s="595"/>
      <c r="O938" s="595"/>
      <c r="P938" s="595"/>
      <c r="Q938" s="1010" t="s">
        <v>1544</v>
      </c>
    </row>
    <row r="939" spans="1:17">
      <c r="A939" s="1019" t="s">
        <v>1504</v>
      </c>
      <c r="B939" s="979" t="s">
        <v>420</v>
      </c>
      <c r="C939" s="979" t="s">
        <v>328</v>
      </c>
      <c r="D939" s="979" t="s">
        <v>1057</v>
      </c>
      <c r="E939" s="980">
        <v>26</v>
      </c>
      <c r="F939" s="595"/>
      <c r="G939" s="1009">
        <f t="shared" si="142"/>
        <v>83.16</v>
      </c>
      <c r="H939" s="1012">
        <f t="shared" si="143"/>
        <v>2162.16</v>
      </c>
      <c r="I939" s="1011">
        <f t="shared" ref="I939:I1002" si="144">H939/$L$942*$L$943</f>
        <v>-3.943184421325939E-2</v>
      </c>
      <c r="J939" s="1009">
        <f>ROUND((H939+I939)/G939,0)</f>
        <v>26</v>
      </c>
      <c r="K939" s="1009">
        <f t="shared" ref="K939:K1001" si="145">$L$943/G939</f>
        <v>-0.44684944684563915</v>
      </c>
      <c r="L939" s="1011">
        <f>'12MonResults'!$AE$452</f>
        <v>1288.95</v>
      </c>
      <c r="M939" s="595" t="s">
        <v>1531</v>
      </c>
      <c r="N939" s="595"/>
      <c r="O939" s="595"/>
      <c r="P939" s="595"/>
      <c r="Q939" s="595"/>
    </row>
    <row r="940" spans="1:17" ht="13.5">
      <c r="A940" s="1019" t="s">
        <v>1504</v>
      </c>
      <c r="B940" s="979" t="s">
        <v>420</v>
      </c>
      <c r="C940" s="979" t="s">
        <v>331</v>
      </c>
      <c r="D940" s="979" t="s">
        <v>1058</v>
      </c>
      <c r="E940" s="980">
        <v>44</v>
      </c>
      <c r="F940" s="595"/>
      <c r="G940" s="1009">
        <f t="shared" si="142"/>
        <v>59.78</v>
      </c>
      <c r="H940" s="1012">
        <f t="shared" si="143"/>
        <v>2630.32</v>
      </c>
      <c r="I940" s="1011">
        <f t="shared" si="144"/>
        <v>-4.7969793387640347E-2</v>
      </c>
      <c r="J940" s="1009">
        <f t="shared" ref="J940:J1002" si="146">ROUND((H940+I940)/G940,0)</f>
        <v>44</v>
      </c>
      <c r="K940" s="1009">
        <f t="shared" si="145"/>
        <v>-0.62161257945271575</v>
      </c>
      <c r="L940" s="1013">
        <f>'12MonResults'!$AE$454</f>
        <v>11865.88</v>
      </c>
      <c r="M940" s="1014" t="s">
        <v>1532</v>
      </c>
      <c r="N940" s="595"/>
      <c r="O940" s="595"/>
      <c r="P940" s="595"/>
      <c r="Q940" s="595"/>
    </row>
    <row r="941" spans="1:17">
      <c r="A941" s="1019" t="s">
        <v>1504</v>
      </c>
      <c r="B941" s="979" t="s">
        <v>420</v>
      </c>
      <c r="C941" s="979" t="s">
        <v>332</v>
      </c>
      <c r="D941" s="979" t="s">
        <v>1059</v>
      </c>
      <c r="E941" s="980">
        <v>5</v>
      </c>
      <c r="F941" s="595"/>
      <c r="G941" s="1009">
        <f t="shared" si="142"/>
        <v>61.75</v>
      </c>
      <c r="H941" s="1012">
        <f t="shared" si="143"/>
        <v>308.75</v>
      </c>
      <c r="I941" s="1011">
        <f t="shared" si="144"/>
        <v>-5.6307497598900337E-3</v>
      </c>
      <c r="J941" s="1009">
        <f t="shared" si="146"/>
        <v>5</v>
      </c>
      <c r="K941" s="1009">
        <f t="shared" si="145"/>
        <v>-0.60178137651309072</v>
      </c>
      <c r="L941" s="1011">
        <f>L938-L939-L940</f>
        <v>2037551.1700000002</v>
      </c>
      <c r="M941" s="595" t="s">
        <v>1533</v>
      </c>
      <c r="N941" s="595"/>
      <c r="O941" s="595"/>
      <c r="P941" s="595"/>
      <c r="Q941" s="595"/>
    </row>
    <row r="942" spans="1:17">
      <c r="A942" s="1019" t="s">
        <v>1504</v>
      </c>
      <c r="B942" s="979" t="s">
        <v>420</v>
      </c>
      <c r="C942" s="979" t="s">
        <v>333</v>
      </c>
      <c r="D942" s="979" t="s">
        <v>1060</v>
      </c>
      <c r="E942" s="980">
        <v>1</v>
      </c>
      <c r="F942" s="595"/>
      <c r="G942" s="1009">
        <f t="shared" si="142"/>
        <v>63.11</v>
      </c>
      <c r="H942" s="1012">
        <f t="shared" si="143"/>
        <v>63.11</v>
      </c>
      <c r="I942" s="1011">
        <f t="shared" si="144"/>
        <v>-1.1509526067908019E-3</v>
      </c>
      <c r="J942" s="1009">
        <f t="shared" si="146"/>
        <v>1</v>
      </c>
      <c r="K942" s="1009">
        <f t="shared" si="145"/>
        <v>-0.588813183325675</v>
      </c>
      <c r="L942" s="1012">
        <f>$H$1019</f>
        <v>2037588.3299999998</v>
      </c>
      <c r="M942" s="595" t="s">
        <v>1534</v>
      </c>
      <c r="N942" s="595"/>
      <c r="O942" s="595"/>
      <c r="P942" s="595"/>
      <c r="Q942" s="595"/>
    </row>
    <row r="943" spans="1:17">
      <c r="A943" s="1019" t="s">
        <v>1504</v>
      </c>
      <c r="B943" s="979" t="s">
        <v>420</v>
      </c>
      <c r="C943" s="979" t="s">
        <v>335</v>
      </c>
      <c r="D943" s="979" t="s">
        <v>1061</v>
      </c>
      <c r="E943" s="980">
        <v>5</v>
      </c>
      <c r="F943" s="595"/>
      <c r="G943" s="1009">
        <f t="shared" si="142"/>
        <v>80.94</v>
      </c>
      <c r="H943" s="1012">
        <f t="shared" si="143"/>
        <v>404.7</v>
      </c>
      <c r="I943" s="1011">
        <f t="shared" si="144"/>
        <v>-7.3806135314250908E-3</v>
      </c>
      <c r="J943" s="1009">
        <f t="shared" si="146"/>
        <v>5</v>
      </c>
      <c r="K943" s="1009">
        <f t="shared" si="145"/>
        <v>-0.45910551025059737</v>
      </c>
      <c r="L943" s="1011">
        <f>L941-L942</f>
        <v>-37.15999999968335</v>
      </c>
      <c r="M943" s="595"/>
      <c r="N943" s="595"/>
      <c r="O943" s="595"/>
      <c r="P943" s="595"/>
      <c r="Q943" s="595"/>
    </row>
    <row r="944" spans="1:17">
      <c r="A944" s="1019" t="s">
        <v>1504</v>
      </c>
      <c r="B944" s="979" t="s">
        <v>420</v>
      </c>
      <c r="C944" s="979" t="s">
        <v>336</v>
      </c>
      <c r="D944" s="979" t="s">
        <v>1062</v>
      </c>
      <c r="E944" s="980">
        <v>10</v>
      </c>
      <c r="F944" s="595"/>
      <c r="G944" s="1009">
        <f t="shared" si="142"/>
        <v>78.97</v>
      </c>
      <c r="H944" s="1012">
        <f t="shared" si="143"/>
        <v>789.7</v>
      </c>
      <c r="I944" s="1011">
        <f t="shared" si="144"/>
        <v>-1.4401953312988373E-2</v>
      </c>
      <c r="J944" s="1009">
        <f t="shared" si="146"/>
        <v>10</v>
      </c>
      <c r="K944" s="1009">
        <f t="shared" si="145"/>
        <v>-0.47055843990988161</v>
      </c>
      <c r="L944" s="595"/>
      <c r="M944" s="595"/>
      <c r="N944" s="595"/>
      <c r="O944" s="595"/>
      <c r="P944" s="595"/>
      <c r="Q944" s="595"/>
    </row>
    <row r="945" spans="1:17">
      <c r="A945" s="1019" t="s">
        <v>1504</v>
      </c>
      <c r="B945" s="979" t="s">
        <v>420</v>
      </c>
      <c r="C945" s="979" t="s">
        <v>338</v>
      </c>
      <c r="D945" s="979" t="s">
        <v>1063</v>
      </c>
      <c r="E945" s="980">
        <v>24</v>
      </c>
      <c r="F945" s="595"/>
      <c r="G945" s="1009">
        <f t="shared" si="142"/>
        <v>61.230000000000004</v>
      </c>
      <c r="H945" s="1012">
        <f t="shared" si="143"/>
        <v>1469.52</v>
      </c>
      <c r="I945" s="1011">
        <f t="shared" si="144"/>
        <v>-2.6799998015072397E-2</v>
      </c>
      <c r="J945" s="1009">
        <f t="shared" si="146"/>
        <v>24</v>
      </c>
      <c r="K945" s="1009">
        <f t="shared" si="145"/>
        <v>-0.60689204637732075</v>
      </c>
      <c r="L945" s="595"/>
      <c r="M945" s="595"/>
      <c r="N945" s="595"/>
      <c r="O945" s="595"/>
      <c r="P945" s="595"/>
      <c r="Q945" s="595"/>
    </row>
    <row r="946" spans="1:17">
      <c r="A946" s="1019" t="s">
        <v>1504</v>
      </c>
      <c r="B946" s="979" t="s">
        <v>420</v>
      </c>
      <c r="C946" s="979" t="s">
        <v>339</v>
      </c>
      <c r="D946" s="979" t="s">
        <v>1064</v>
      </c>
      <c r="E946" s="980">
        <v>1</v>
      </c>
      <c r="F946" s="595"/>
      <c r="G946" s="1009">
        <f t="shared" si="142"/>
        <v>56.69</v>
      </c>
      <c r="H946" s="1012">
        <f t="shared" si="143"/>
        <v>56.69</v>
      </c>
      <c r="I946" s="1011">
        <f t="shared" si="144"/>
        <v>-1.0338694862774608E-3</v>
      </c>
      <c r="J946" s="1009">
        <f t="shared" si="146"/>
        <v>1</v>
      </c>
      <c r="K946" s="1009">
        <f t="shared" si="145"/>
        <v>-0.6554947962547778</v>
      </c>
      <c r="L946" s="595"/>
      <c r="M946" s="595"/>
      <c r="N946" s="595"/>
      <c r="O946" s="595"/>
      <c r="P946" s="595"/>
      <c r="Q946" s="595"/>
    </row>
    <row r="947" spans="1:17">
      <c r="A947" s="1019" t="s">
        <v>1504</v>
      </c>
      <c r="B947" s="979" t="s">
        <v>420</v>
      </c>
      <c r="C947" s="979" t="s">
        <v>325</v>
      </c>
      <c r="D947" s="979" t="s">
        <v>1065</v>
      </c>
      <c r="E947" s="980">
        <v>16</v>
      </c>
      <c r="F947" s="595"/>
      <c r="G947" s="1009">
        <f t="shared" si="142"/>
        <v>74.52</v>
      </c>
      <c r="H947" s="1012">
        <f t="shared" si="143"/>
        <v>1192.32</v>
      </c>
      <c r="I947" s="1011">
        <f t="shared" si="144"/>
        <v>-2.1744633372346833E-2</v>
      </c>
      <c r="J947" s="1009">
        <f t="shared" si="146"/>
        <v>16</v>
      </c>
      <c r="K947" s="1009">
        <f t="shared" si="145"/>
        <v>-0.49865807836397413</v>
      </c>
      <c r="L947" s="595"/>
      <c r="M947" s="595"/>
      <c r="N947" s="595"/>
      <c r="O947" s="595"/>
      <c r="P947" s="595"/>
      <c r="Q947" s="595"/>
    </row>
    <row r="948" spans="1:17">
      <c r="A948" s="1019" t="s">
        <v>1504</v>
      </c>
      <c r="B948" s="979" t="s">
        <v>420</v>
      </c>
      <c r="C948" s="979" t="s">
        <v>334</v>
      </c>
      <c r="D948" s="979" t="s">
        <v>1066</v>
      </c>
      <c r="E948" s="980">
        <v>1</v>
      </c>
      <c r="F948" s="595"/>
      <c r="G948" s="1009">
        <f t="shared" si="142"/>
        <v>82.3</v>
      </c>
      <c r="H948" s="1012">
        <f t="shared" si="143"/>
        <v>82.3</v>
      </c>
      <c r="I948" s="1011">
        <f t="shared" si="144"/>
        <v>-1.5009253610978131E-3</v>
      </c>
      <c r="J948" s="1009">
        <f t="shared" si="146"/>
        <v>1</v>
      </c>
      <c r="K948" s="1009">
        <f t="shared" si="145"/>
        <v>-0.45151883353199695</v>
      </c>
      <c r="L948" s="595"/>
      <c r="M948" s="595"/>
      <c r="N948" s="595"/>
      <c r="O948" s="595"/>
      <c r="P948" s="595"/>
      <c r="Q948" s="595"/>
    </row>
    <row r="949" spans="1:17">
      <c r="A949" s="1019" t="s">
        <v>1504</v>
      </c>
      <c r="B949" s="979" t="s">
        <v>420</v>
      </c>
      <c r="C949" s="979" t="s">
        <v>326</v>
      </c>
      <c r="D949" s="979" t="s">
        <v>1067</v>
      </c>
      <c r="E949" s="980">
        <v>19</v>
      </c>
      <c r="F949" s="595"/>
      <c r="G949" s="1009">
        <f t="shared" si="142"/>
        <v>74.52</v>
      </c>
      <c r="H949" s="1012">
        <f t="shared" si="143"/>
        <v>1415.8799999999999</v>
      </c>
      <c r="I949" s="1011">
        <f t="shared" si="144"/>
        <v>-2.5821752129661868E-2</v>
      </c>
      <c r="J949" s="1009">
        <f t="shared" si="146"/>
        <v>19</v>
      </c>
      <c r="K949" s="1009">
        <f t="shared" si="145"/>
        <v>-0.49865807836397413</v>
      </c>
      <c r="L949" s="595"/>
      <c r="M949" s="595"/>
      <c r="N949" s="595"/>
      <c r="O949" s="595"/>
      <c r="P949" s="595"/>
      <c r="Q949" s="595"/>
    </row>
    <row r="950" spans="1:17">
      <c r="A950" s="1019" t="s">
        <v>1504</v>
      </c>
      <c r="B950" s="979" t="s">
        <v>420</v>
      </c>
      <c r="C950" s="979" t="s">
        <v>330</v>
      </c>
      <c r="D950" s="979" t="s">
        <v>1068</v>
      </c>
      <c r="E950" s="980">
        <v>4</v>
      </c>
      <c r="F950" s="595"/>
      <c r="G950" s="1009">
        <f t="shared" si="142"/>
        <v>75.88</v>
      </c>
      <c r="H950" s="1012">
        <f t="shared" si="143"/>
        <v>303.52</v>
      </c>
      <c r="I950" s="1011">
        <f t="shared" si="144"/>
        <v>-5.5353689623378879E-3</v>
      </c>
      <c r="J950" s="1009">
        <f t="shared" si="146"/>
        <v>4</v>
      </c>
      <c r="K950" s="1009">
        <f t="shared" si="145"/>
        <v>-0.48972061148765622</v>
      </c>
      <c r="L950" s="595"/>
      <c r="M950" s="595"/>
      <c r="N950" s="595"/>
      <c r="O950" s="595"/>
      <c r="P950" s="595"/>
      <c r="Q950" s="595"/>
    </row>
    <row r="951" spans="1:17">
      <c r="A951" s="1019" t="s">
        <v>1504</v>
      </c>
      <c r="B951" s="979" t="s">
        <v>420</v>
      </c>
      <c r="C951" s="979" t="s">
        <v>337</v>
      </c>
      <c r="D951" s="979" t="s">
        <v>1069</v>
      </c>
      <c r="E951" s="980">
        <v>3</v>
      </c>
      <c r="F951" s="595"/>
      <c r="G951" s="1009">
        <f t="shared" si="142"/>
        <v>78.97</v>
      </c>
      <c r="H951" s="1012">
        <f t="shared" si="143"/>
        <v>236.91</v>
      </c>
      <c r="I951" s="1011">
        <f t="shared" si="144"/>
        <v>-4.3205859938965111E-3</v>
      </c>
      <c r="J951" s="1009">
        <f t="shared" si="146"/>
        <v>3</v>
      </c>
      <c r="K951" s="1009">
        <f t="shared" si="145"/>
        <v>-0.47055843990988161</v>
      </c>
      <c r="L951" s="595"/>
      <c r="M951" s="595"/>
      <c r="N951" s="595"/>
      <c r="O951" s="595"/>
      <c r="P951" s="595"/>
      <c r="Q951" s="595"/>
    </row>
    <row r="952" spans="1:17">
      <c r="A952" s="1019" t="s">
        <v>1504</v>
      </c>
      <c r="B952" s="979" t="s">
        <v>420</v>
      </c>
      <c r="C952" s="979" t="s">
        <v>329</v>
      </c>
      <c r="D952" s="979" t="s">
        <v>1070</v>
      </c>
      <c r="E952" s="980">
        <v>2</v>
      </c>
      <c r="F952" s="595"/>
      <c r="G952" s="1009">
        <f t="shared" si="142"/>
        <v>77.259999999999991</v>
      </c>
      <c r="H952" s="1012">
        <f t="shared" si="143"/>
        <v>154.51999999999998</v>
      </c>
      <c r="I952" s="1011">
        <f t="shared" si="144"/>
        <v>-2.8180192806419695E-3</v>
      </c>
      <c r="J952" s="1009">
        <f t="shared" si="146"/>
        <v>2</v>
      </c>
      <c r="K952" s="1009">
        <f t="shared" si="145"/>
        <v>-0.4809733367807838</v>
      </c>
      <c r="L952" s="595"/>
      <c r="M952" s="595"/>
      <c r="N952" s="595"/>
      <c r="O952" s="595"/>
      <c r="P952" s="595"/>
      <c r="Q952" s="595"/>
    </row>
    <row r="953" spans="1:17">
      <c r="A953" s="1019" t="s">
        <v>1504</v>
      </c>
      <c r="B953" s="979" t="s">
        <v>420</v>
      </c>
      <c r="C953" s="979" t="s">
        <v>327</v>
      </c>
      <c r="D953" s="979" t="s">
        <v>1071</v>
      </c>
      <c r="E953" s="980">
        <v>52</v>
      </c>
      <c r="F953" s="595"/>
      <c r="G953" s="1009">
        <f t="shared" si="142"/>
        <v>64.19</v>
      </c>
      <c r="H953" s="1012">
        <f t="shared" si="143"/>
        <v>3337.88</v>
      </c>
      <c r="I953" s="1011">
        <f t="shared" si="144"/>
        <v>-6.0873739298920641E-2</v>
      </c>
      <c r="J953" s="1009">
        <f t="shared" si="146"/>
        <v>52</v>
      </c>
      <c r="K953" s="1009">
        <f t="shared" si="145"/>
        <v>-0.5789063717040559</v>
      </c>
      <c r="L953" s="595"/>
      <c r="M953" s="595"/>
      <c r="N953" s="595"/>
      <c r="O953" s="595"/>
      <c r="P953" s="595"/>
      <c r="Q953" s="595"/>
    </row>
    <row r="954" spans="1:17">
      <c r="A954" s="1019" t="s">
        <v>1504</v>
      </c>
      <c r="B954" s="979" t="s">
        <v>420</v>
      </c>
      <c r="C954" s="979" t="s">
        <v>453</v>
      </c>
      <c r="D954" s="979" t="s">
        <v>1072</v>
      </c>
      <c r="E954" s="980">
        <v>2</v>
      </c>
      <c r="F954" s="595"/>
      <c r="G954" s="1009">
        <f t="shared" si="142"/>
        <v>75.899999999999991</v>
      </c>
      <c r="H954" s="1012">
        <f t="shared" si="143"/>
        <v>151.79999999999998</v>
      </c>
      <c r="I954" s="1011">
        <f t="shared" si="144"/>
        <v>-2.7684139710163792E-3</v>
      </c>
      <c r="J954" s="1009">
        <f t="shared" si="146"/>
        <v>2</v>
      </c>
      <c r="K954" s="1009">
        <f t="shared" si="145"/>
        <v>-0.48959156784826552</v>
      </c>
      <c r="L954" s="595"/>
      <c r="M954" s="595"/>
      <c r="N954" s="595"/>
      <c r="O954" s="595"/>
      <c r="P954" s="595"/>
      <c r="Q954" s="595"/>
    </row>
    <row r="955" spans="1:17">
      <c r="A955" s="1019" t="s">
        <v>1504</v>
      </c>
      <c r="B955" s="979" t="s">
        <v>420</v>
      </c>
      <c r="C955" s="979" t="s">
        <v>366</v>
      </c>
      <c r="D955" s="979" t="s">
        <v>1073</v>
      </c>
      <c r="E955" s="980">
        <v>51</v>
      </c>
      <c r="F955" s="595"/>
      <c r="G955" s="1009">
        <f t="shared" si="142"/>
        <v>14.860000000000001</v>
      </c>
      <c r="H955" s="1012">
        <f t="shared" si="143"/>
        <v>757.86</v>
      </c>
      <c r="I955" s="1011">
        <f t="shared" si="144"/>
        <v>-1.3821279394429996E-2</v>
      </c>
      <c r="J955" s="1009">
        <f t="shared" si="146"/>
        <v>51</v>
      </c>
      <c r="K955" s="1009">
        <f t="shared" si="145"/>
        <v>-2.500672947488785</v>
      </c>
      <c r="L955" s="595"/>
      <c r="M955" s="595"/>
      <c r="N955" s="595"/>
      <c r="O955" s="595"/>
      <c r="P955" s="595"/>
      <c r="Q955" s="595"/>
    </row>
    <row r="956" spans="1:17">
      <c r="A956" s="1019" t="s">
        <v>1504</v>
      </c>
      <c r="B956" s="979" t="s">
        <v>420</v>
      </c>
      <c r="C956" s="979" t="s">
        <v>386</v>
      </c>
      <c r="D956" s="979" t="s">
        <v>1074</v>
      </c>
      <c r="E956" s="980">
        <v>7046</v>
      </c>
      <c r="F956" s="595"/>
      <c r="G956" s="1009">
        <f t="shared" si="142"/>
        <v>10.570000000000002</v>
      </c>
      <c r="H956" s="1012">
        <f t="shared" si="143"/>
        <v>74476.220000000016</v>
      </c>
      <c r="I956" s="1011">
        <f t="shared" si="144"/>
        <v>-1.3582411591336598</v>
      </c>
      <c r="J956" s="1009">
        <f t="shared" si="146"/>
        <v>7046</v>
      </c>
      <c r="K956" s="1009">
        <f t="shared" si="145"/>
        <v>-3.5156102175670143</v>
      </c>
      <c r="L956" s="595"/>
      <c r="M956" s="595"/>
      <c r="N956" s="595"/>
      <c r="O956" s="595"/>
      <c r="P956" s="595"/>
      <c r="Q956" s="595"/>
    </row>
    <row r="957" spans="1:17">
      <c r="A957" s="1019" t="s">
        <v>1504</v>
      </c>
      <c r="B957" s="979" t="s">
        <v>420</v>
      </c>
      <c r="C957" s="979" t="s">
        <v>382</v>
      </c>
      <c r="D957" s="979" t="s">
        <v>1075</v>
      </c>
      <c r="E957" s="980">
        <v>130</v>
      </c>
      <c r="F957" s="595"/>
      <c r="G957" s="1009">
        <f t="shared" si="142"/>
        <v>11.71</v>
      </c>
      <c r="H957" s="1012">
        <f t="shared" si="143"/>
        <v>1522.3000000000002</v>
      </c>
      <c r="I957" s="1011">
        <f t="shared" si="144"/>
        <v>-2.7762559868763078E-2</v>
      </c>
      <c r="J957" s="1009">
        <f t="shared" si="146"/>
        <v>130</v>
      </c>
      <c r="K957" s="1009">
        <f t="shared" si="145"/>
        <v>-3.1733561058653583</v>
      </c>
      <c r="L957" s="595"/>
      <c r="M957" s="595"/>
      <c r="N957" s="595"/>
      <c r="O957" s="595"/>
      <c r="P957" s="595"/>
      <c r="Q957" s="595"/>
    </row>
    <row r="958" spans="1:17">
      <c r="A958" s="1019" t="s">
        <v>1504</v>
      </c>
      <c r="B958" s="979" t="s">
        <v>420</v>
      </c>
      <c r="C958" s="979" t="s">
        <v>360</v>
      </c>
      <c r="D958" s="979" t="s">
        <v>1076</v>
      </c>
      <c r="E958" s="980">
        <v>236</v>
      </c>
      <c r="F958" s="595"/>
      <c r="G958" s="1009">
        <f t="shared" si="142"/>
        <v>20.259999999999998</v>
      </c>
      <c r="H958" s="1012">
        <f t="shared" si="143"/>
        <v>4781.3599999999997</v>
      </c>
      <c r="I958" s="1011">
        <f t="shared" si="144"/>
        <v>-8.7198839423312746E-2</v>
      </c>
      <c r="J958" s="1009">
        <f t="shared" si="146"/>
        <v>236</v>
      </c>
      <c r="K958" s="1009">
        <f t="shared" si="145"/>
        <v>-1.8341559723436995</v>
      </c>
      <c r="L958" s="595"/>
      <c r="M958" s="595"/>
      <c r="N958" s="595"/>
      <c r="O958" s="595"/>
      <c r="P958" s="595"/>
      <c r="Q958" s="595"/>
    </row>
    <row r="959" spans="1:17">
      <c r="A959" s="1019" t="s">
        <v>1504</v>
      </c>
      <c r="B959" s="979" t="s">
        <v>420</v>
      </c>
      <c r="C959" s="979" t="s">
        <v>368</v>
      </c>
      <c r="D959" s="979" t="s">
        <v>1077</v>
      </c>
      <c r="E959" s="980">
        <v>142</v>
      </c>
      <c r="F959" s="595"/>
      <c r="G959" s="1009">
        <f t="shared" si="142"/>
        <v>21.38</v>
      </c>
      <c r="H959" s="1012">
        <f t="shared" si="143"/>
        <v>3035.96</v>
      </c>
      <c r="I959" s="1011">
        <f t="shared" si="144"/>
        <v>-5.5367549930480153E-2</v>
      </c>
      <c r="J959" s="1009">
        <f t="shared" si="146"/>
        <v>142</v>
      </c>
      <c r="K959" s="1009">
        <f t="shared" si="145"/>
        <v>-1.7380729653734028</v>
      </c>
      <c r="L959" s="595"/>
      <c r="M959" s="595"/>
      <c r="N959" s="595"/>
      <c r="O959" s="595"/>
      <c r="P959" s="595"/>
      <c r="Q959" s="595"/>
    </row>
    <row r="960" spans="1:17">
      <c r="A960" s="1019" t="s">
        <v>1504</v>
      </c>
      <c r="B960" s="979" t="s">
        <v>420</v>
      </c>
      <c r="C960" s="979" t="s">
        <v>370</v>
      </c>
      <c r="D960" s="979" t="s">
        <v>1078</v>
      </c>
      <c r="E960" s="980">
        <v>28</v>
      </c>
      <c r="F960" s="595"/>
      <c r="G960" s="1009">
        <f t="shared" si="142"/>
        <v>30.84</v>
      </c>
      <c r="H960" s="1012">
        <f t="shared" si="143"/>
        <v>863.52</v>
      </c>
      <c r="I960" s="1011">
        <f t="shared" si="144"/>
        <v>-1.5748226826429935E-2</v>
      </c>
      <c r="J960" s="1009">
        <f t="shared" si="146"/>
        <v>28</v>
      </c>
      <c r="K960" s="1009">
        <f t="shared" si="145"/>
        <v>-1.2049286640623655</v>
      </c>
      <c r="L960" s="595"/>
      <c r="M960" s="595"/>
      <c r="N960" s="595"/>
      <c r="O960" s="595"/>
      <c r="P960" s="595"/>
      <c r="Q960" s="595"/>
    </row>
    <row r="961" spans="1:17">
      <c r="A961" s="1019" t="s">
        <v>1504</v>
      </c>
      <c r="B961" s="979" t="s">
        <v>420</v>
      </c>
      <c r="C961" s="979" t="s">
        <v>393</v>
      </c>
      <c r="D961" s="979" t="s">
        <v>1079</v>
      </c>
      <c r="E961" s="980">
        <v>97</v>
      </c>
      <c r="F961" s="595"/>
      <c r="G961" s="1009">
        <f t="shared" si="142"/>
        <v>31.22</v>
      </c>
      <c r="H961" s="1012">
        <f t="shared" si="143"/>
        <v>3028.3399999999997</v>
      </c>
      <c r="I961" s="1011">
        <f t="shared" si="144"/>
        <v>-5.5228582114543755E-2</v>
      </c>
      <c r="J961" s="1009">
        <f t="shared" si="146"/>
        <v>97</v>
      </c>
      <c r="K961" s="1009">
        <f t="shared" si="145"/>
        <v>-1.1902626521359176</v>
      </c>
      <c r="L961" s="595"/>
      <c r="M961" s="595"/>
      <c r="N961" s="595"/>
      <c r="O961" s="595"/>
      <c r="P961" s="595"/>
      <c r="Q961" s="595"/>
    </row>
    <row r="962" spans="1:17">
      <c r="A962" s="1019" t="s">
        <v>1504</v>
      </c>
      <c r="B962" s="979" t="s">
        <v>420</v>
      </c>
      <c r="C962" s="979" t="s">
        <v>371</v>
      </c>
      <c r="D962" s="979" t="s">
        <v>1080</v>
      </c>
      <c r="E962" s="980">
        <v>21</v>
      </c>
      <c r="F962" s="595"/>
      <c r="G962" s="1009">
        <f t="shared" si="142"/>
        <v>30.84</v>
      </c>
      <c r="H962" s="1012">
        <f t="shared" si="143"/>
        <v>647.64</v>
      </c>
      <c r="I962" s="1011">
        <f t="shared" si="144"/>
        <v>-1.181117011982245E-2</v>
      </c>
      <c r="J962" s="1009">
        <f t="shared" si="146"/>
        <v>21</v>
      </c>
      <c r="K962" s="1009">
        <f t="shared" si="145"/>
        <v>-1.2049286640623655</v>
      </c>
      <c r="L962" s="595"/>
      <c r="M962" s="595"/>
      <c r="N962" s="595"/>
      <c r="O962" s="595"/>
      <c r="P962" s="595"/>
      <c r="Q962" s="595"/>
    </row>
    <row r="963" spans="1:17">
      <c r="A963" s="1019" t="s">
        <v>1504</v>
      </c>
      <c r="B963" s="979" t="s">
        <v>420</v>
      </c>
      <c r="C963" s="979" t="s">
        <v>394</v>
      </c>
      <c r="D963" s="979" t="s">
        <v>1081</v>
      </c>
      <c r="E963" s="980">
        <v>10</v>
      </c>
      <c r="F963" s="595"/>
      <c r="G963" s="1009">
        <f t="shared" si="142"/>
        <v>31.22</v>
      </c>
      <c r="H963" s="1012">
        <f t="shared" si="143"/>
        <v>312.2</v>
      </c>
      <c r="I963" s="1011">
        <f t="shared" si="144"/>
        <v>-5.6936682592313151E-3</v>
      </c>
      <c r="J963" s="1009">
        <f t="shared" si="146"/>
        <v>10</v>
      </c>
      <c r="K963" s="1009">
        <f t="shared" si="145"/>
        <v>-1.1902626521359176</v>
      </c>
      <c r="L963" s="595"/>
      <c r="M963" s="595"/>
      <c r="N963" s="595"/>
      <c r="O963" s="595"/>
      <c r="P963" s="595"/>
      <c r="Q963" s="595"/>
    </row>
    <row r="964" spans="1:17">
      <c r="A964" s="1019" t="s">
        <v>1504</v>
      </c>
      <c r="B964" s="979" t="s">
        <v>420</v>
      </c>
      <c r="C964" s="979" t="s">
        <v>389</v>
      </c>
      <c r="D964" s="979" t="s">
        <v>1082</v>
      </c>
      <c r="E964" s="980">
        <v>458</v>
      </c>
      <c r="F964" s="595"/>
      <c r="G964" s="1009">
        <f t="shared" si="142"/>
        <v>15.360000000000001</v>
      </c>
      <c r="H964" s="1012">
        <f t="shared" si="143"/>
        <v>7034.88</v>
      </c>
      <c r="I964" s="1011">
        <f t="shared" si="144"/>
        <v>-0.12829683844811401</v>
      </c>
      <c r="J964" s="1009">
        <f t="shared" si="146"/>
        <v>458</v>
      </c>
      <c r="K964" s="1009">
        <f t="shared" si="145"/>
        <v>-2.419270833312718</v>
      </c>
      <c r="L964" s="595"/>
      <c r="M964" s="595"/>
      <c r="N964" s="595"/>
      <c r="O964" s="595"/>
      <c r="P964" s="595"/>
      <c r="Q964" s="595"/>
    </row>
    <row r="965" spans="1:17">
      <c r="A965" s="1019" t="s">
        <v>1504</v>
      </c>
      <c r="B965" s="979" t="s">
        <v>420</v>
      </c>
      <c r="C965" s="979" t="s">
        <v>310</v>
      </c>
      <c r="D965" s="979" t="s">
        <v>1083</v>
      </c>
      <c r="E965" s="980">
        <v>5</v>
      </c>
      <c r="F965" s="595"/>
      <c r="G965" s="1009">
        <f t="shared" si="142"/>
        <v>3.39</v>
      </c>
      <c r="H965" s="1012">
        <f t="shared" si="143"/>
        <v>16.95</v>
      </c>
      <c r="I965" s="1011">
        <f t="shared" si="144"/>
        <v>-3.0912132285064312E-4</v>
      </c>
      <c r="J965" s="1009">
        <f t="shared" si="146"/>
        <v>5</v>
      </c>
      <c r="K965" s="1009">
        <f t="shared" si="145"/>
        <v>-10.961651917310723</v>
      </c>
      <c r="L965" s="595"/>
      <c r="M965" s="595"/>
      <c r="N965" s="595"/>
      <c r="O965" s="595"/>
      <c r="P965" s="595"/>
      <c r="Q965" s="595"/>
    </row>
    <row r="966" spans="1:17">
      <c r="A966" s="1019" t="s">
        <v>1504</v>
      </c>
      <c r="B966" s="979" t="s">
        <v>420</v>
      </c>
      <c r="C966" s="979" t="s">
        <v>340</v>
      </c>
      <c r="D966" s="979" t="s">
        <v>1084</v>
      </c>
      <c r="E966" s="980">
        <v>674</v>
      </c>
      <c r="F966" s="595"/>
      <c r="G966" s="1009">
        <f t="shared" si="142"/>
        <v>4.5400000000000009</v>
      </c>
      <c r="H966" s="1012">
        <f t="shared" si="143"/>
        <v>3059.9600000000005</v>
      </c>
      <c r="I966" s="1011">
        <f t="shared" si="144"/>
        <v>-5.5805243838941247E-2</v>
      </c>
      <c r="J966" s="1009">
        <f t="shared" si="146"/>
        <v>674</v>
      </c>
      <c r="K966" s="1009">
        <f t="shared" si="145"/>
        <v>-8.1850220263619704</v>
      </c>
      <c r="L966" s="595"/>
      <c r="M966" s="595"/>
      <c r="N966" s="595"/>
      <c r="O966" s="595"/>
      <c r="P966" s="595"/>
      <c r="Q966" s="595"/>
    </row>
    <row r="967" spans="1:17">
      <c r="A967" s="1019" t="s">
        <v>1504</v>
      </c>
      <c r="B967" s="979" t="s">
        <v>420</v>
      </c>
      <c r="C967" s="979" t="s">
        <v>358</v>
      </c>
      <c r="D967" s="979" t="s">
        <v>1085</v>
      </c>
      <c r="E967" s="980">
        <v>113</v>
      </c>
      <c r="F967" s="595"/>
      <c r="G967" s="1009">
        <f t="shared" si="142"/>
        <v>6.78</v>
      </c>
      <c r="H967" s="1012">
        <f t="shared" si="143"/>
        <v>766.14</v>
      </c>
      <c r="I967" s="1011">
        <f t="shared" si="144"/>
        <v>-1.3972283792849071E-2</v>
      </c>
      <c r="J967" s="1009">
        <f t="shared" si="146"/>
        <v>113</v>
      </c>
      <c r="K967" s="1009">
        <f t="shared" si="145"/>
        <v>-5.4808259586553616</v>
      </c>
      <c r="L967" s="595"/>
      <c r="M967" s="595"/>
      <c r="N967" s="595"/>
      <c r="O967" s="595"/>
      <c r="P967" s="595"/>
      <c r="Q967" s="595"/>
    </row>
    <row r="968" spans="1:17">
      <c r="A968" s="1019" t="s">
        <v>1504</v>
      </c>
      <c r="B968" s="979" t="s">
        <v>420</v>
      </c>
      <c r="C968" s="979" t="s">
        <v>383</v>
      </c>
      <c r="D968" s="979" t="s">
        <v>1086</v>
      </c>
      <c r="E968" s="980">
        <v>2</v>
      </c>
      <c r="F968" s="595"/>
      <c r="G968" s="1009">
        <f t="shared" si="142"/>
        <v>9.06</v>
      </c>
      <c r="H968" s="1012">
        <f t="shared" si="143"/>
        <v>18.12</v>
      </c>
      <c r="I968" s="1011">
        <f t="shared" si="144"/>
        <v>-3.3045890088812121E-4</v>
      </c>
      <c r="J968" s="1009">
        <f t="shared" si="146"/>
        <v>2</v>
      </c>
      <c r="K968" s="1009">
        <f t="shared" si="145"/>
        <v>-4.101545253828184</v>
      </c>
      <c r="L968" s="595"/>
      <c r="M968" s="595"/>
      <c r="N968" s="595"/>
      <c r="O968" s="595"/>
      <c r="P968" s="595"/>
      <c r="Q968" s="595"/>
    </row>
    <row r="969" spans="1:17">
      <c r="A969" s="1019" t="s">
        <v>1504</v>
      </c>
      <c r="B969" s="979" t="s">
        <v>420</v>
      </c>
      <c r="C969" s="979" t="s">
        <v>375</v>
      </c>
      <c r="D969" s="979" t="s">
        <v>1087</v>
      </c>
      <c r="E969" s="980">
        <v>161</v>
      </c>
      <c r="F969" s="595"/>
      <c r="G969" s="1009">
        <f t="shared" si="142"/>
        <v>7.4399999999999995</v>
      </c>
      <c r="H969" s="1012">
        <f t="shared" si="143"/>
        <v>1197.8399999999999</v>
      </c>
      <c r="I969" s="1011">
        <f t="shared" si="144"/>
        <v>-2.1845302971292883E-2</v>
      </c>
      <c r="J969" s="1009">
        <f t="shared" si="146"/>
        <v>161</v>
      </c>
      <c r="K969" s="1009">
        <f t="shared" si="145"/>
        <v>-4.9946236558714183</v>
      </c>
      <c r="L969" s="595"/>
      <c r="M969" s="595"/>
      <c r="N969" s="595"/>
      <c r="O969" s="595"/>
      <c r="P969" s="595"/>
      <c r="Q969" s="595"/>
    </row>
    <row r="970" spans="1:17">
      <c r="A970" s="1019" t="s">
        <v>1504</v>
      </c>
      <c r="B970" s="979" t="s">
        <v>420</v>
      </c>
      <c r="C970" s="979" t="s">
        <v>400</v>
      </c>
      <c r="D970" s="979" t="s">
        <v>1088</v>
      </c>
      <c r="E970" s="980">
        <v>34888</v>
      </c>
      <c r="F970" s="595"/>
      <c r="G970" s="1009">
        <f t="shared" ref="G970:G1001" si="147">SUMIF(_Lights_Tariff_Category,20140101&amp;$C970,_Lights_Rates)</f>
        <v>7.84</v>
      </c>
      <c r="H970" s="1012">
        <f t="shared" ref="H970:H1001" si="148">E970*G970</f>
        <v>273521.91999999998</v>
      </c>
      <c r="I970" s="1011">
        <f t="shared" si="144"/>
        <v>-4.9882865922742061</v>
      </c>
      <c r="J970" s="1009">
        <f t="shared" si="146"/>
        <v>34887</v>
      </c>
      <c r="K970" s="1009">
        <f t="shared" si="145"/>
        <v>-4.7397959183269585</v>
      </c>
      <c r="L970" s="595"/>
      <c r="M970" s="595"/>
      <c r="N970" s="595"/>
      <c r="O970" s="595"/>
      <c r="P970" s="595"/>
      <c r="Q970" s="595"/>
    </row>
    <row r="971" spans="1:17">
      <c r="A971" s="1019" t="s">
        <v>1504</v>
      </c>
      <c r="B971" s="979" t="s">
        <v>420</v>
      </c>
      <c r="C971" s="979" t="s">
        <v>391</v>
      </c>
      <c r="D971" s="979" t="s">
        <v>1089</v>
      </c>
      <c r="E971" s="980">
        <v>1109</v>
      </c>
      <c r="F971" s="595"/>
      <c r="G971" s="1009">
        <f t="shared" si="147"/>
        <v>22</v>
      </c>
      <c r="H971" s="1012">
        <f t="shared" si="148"/>
        <v>24398</v>
      </c>
      <c r="I971" s="1011">
        <f t="shared" si="144"/>
        <v>-0.44495233244306737</v>
      </c>
      <c r="J971" s="1009">
        <f t="shared" si="146"/>
        <v>1109</v>
      </c>
      <c r="K971" s="1009">
        <f t="shared" si="145"/>
        <v>-1.6890909090765158</v>
      </c>
      <c r="L971" s="595"/>
      <c r="M971" s="595"/>
      <c r="N971" s="595"/>
      <c r="O971" s="595"/>
      <c r="P971" s="595"/>
      <c r="Q971" s="595"/>
    </row>
    <row r="972" spans="1:17">
      <c r="A972" s="1019" t="s">
        <v>1504</v>
      </c>
      <c r="B972" s="979" t="s">
        <v>420</v>
      </c>
      <c r="C972" s="979" t="s">
        <v>357</v>
      </c>
      <c r="D972" s="979" t="s">
        <v>1090</v>
      </c>
      <c r="E972" s="980">
        <v>8</v>
      </c>
      <c r="F972" s="595"/>
      <c r="G972" s="1009">
        <f t="shared" si="147"/>
        <v>7.74</v>
      </c>
      <c r="H972" s="1012">
        <f t="shared" si="148"/>
        <v>61.92</v>
      </c>
      <c r="I972" s="1011">
        <f t="shared" si="144"/>
        <v>-1.1292502838296061E-3</v>
      </c>
      <c r="J972" s="1009">
        <f t="shared" si="146"/>
        <v>8</v>
      </c>
      <c r="K972" s="1009">
        <f t="shared" si="145"/>
        <v>-4.8010335916903548</v>
      </c>
      <c r="L972" s="595"/>
      <c r="M972" s="595"/>
      <c r="N972" s="595"/>
      <c r="O972" s="595"/>
      <c r="P972" s="595"/>
      <c r="Q972" s="595"/>
    </row>
    <row r="973" spans="1:17">
      <c r="A973" s="1019" t="s">
        <v>1504</v>
      </c>
      <c r="B973" s="979" t="s">
        <v>420</v>
      </c>
      <c r="C973" s="979" t="s">
        <v>359</v>
      </c>
      <c r="D973" s="979" t="s">
        <v>1091</v>
      </c>
      <c r="E973" s="980">
        <v>2</v>
      </c>
      <c r="F973" s="595"/>
      <c r="G973" s="1009">
        <f t="shared" si="147"/>
        <v>13.610000000000001</v>
      </c>
      <c r="H973" s="1012">
        <f t="shared" si="148"/>
        <v>27.220000000000002</v>
      </c>
      <c r="I973" s="1011">
        <f t="shared" si="144"/>
        <v>-4.9641784117961693E-4</v>
      </c>
      <c r="J973" s="1009">
        <f t="shared" si="146"/>
        <v>2</v>
      </c>
      <c r="K973" s="1009">
        <f t="shared" si="145"/>
        <v>-2.7303453342897388</v>
      </c>
      <c r="L973" s="595"/>
      <c r="M973" s="595"/>
      <c r="N973" s="595"/>
      <c r="O973" s="595"/>
      <c r="P973" s="595"/>
      <c r="Q973" s="595"/>
    </row>
    <row r="974" spans="1:17">
      <c r="A974" s="1019" t="s">
        <v>1504</v>
      </c>
      <c r="B974" s="979" t="s">
        <v>420</v>
      </c>
      <c r="C974" s="979" t="s">
        <v>385</v>
      </c>
      <c r="D974" s="979" t="s">
        <v>1092</v>
      </c>
      <c r="E974" s="980">
        <v>1048</v>
      </c>
      <c r="F974" s="595"/>
      <c r="G974" s="1009">
        <f t="shared" si="147"/>
        <v>9.5600000000000023</v>
      </c>
      <c r="H974" s="1012">
        <f t="shared" si="148"/>
        <v>10018.880000000003</v>
      </c>
      <c r="I974" s="1011">
        <f t="shared" si="144"/>
        <v>-0.18271678106677597</v>
      </c>
      <c r="J974" s="1009">
        <f t="shared" si="146"/>
        <v>1048</v>
      </c>
      <c r="K974" s="1009">
        <f t="shared" si="145"/>
        <v>-3.8870292886698055</v>
      </c>
      <c r="L974" s="595"/>
      <c r="M974" s="595"/>
      <c r="N974" s="595"/>
      <c r="O974" s="595"/>
      <c r="P974" s="595"/>
      <c r="Q974" s="595"/>
    </row>
    <row r="975" spans="1:17">
      <c r="A975" s="1019" t="s">
        <v>1504</v>
      </c>
      <c r="B975" s="979" t="s">
        <v>420</v>
      </c>
      <c r="C975" s="979" t="s">
        <v>312</v>
      </c>
      <c r="D975" s="979" t="s">
        <v>1093</v>
      </c>
      <c r="E975" s="980">
        <v>729</v>
      </c>
      <c r="F975" s="595"/>
      <c r="G975" s="1009">
        <f t="shared" si="147"/>
        <v>11.32</v>
      </c>
      <c r="H975" s="1012">
        <f t="shared" si="148"/>
        <v>8252.2800000000007</v>
      </c>
      <c r="I975" s="1011">
        <f t="shared" si="144"/>
        <v>-0.15049886195480269</v>
      </c>
      <c r="J975" s="1009">
        <f t="shared" si="146"/>
        <v>729</v>
      </c>
      <c r="K975" s="1009">
        <f t="shared" si="145"/>
        <v>-3.2826855123395187</v>
      </c>
      <c r="L975" s="595"/>
      <c r="M975" s="595"/>
      <c r="N975" s="595"/>
      <c r="O975" s="595"/>
      <c r="P975" s="595"/>
      <c r="Q975" s="595"/>
    </row>
    <row r="976" spans="1:17">
      <c r="A976" s="1019" t="s">
        <v>1504</v>
      </c>
      <c r="B976" s="979" t="s">
        <v>420</v>
      </c>
      <c r="C976" s="979" t="s">
        <v>421</v>
      </c>
      <c r="D976" s="979" t="s">
        <v>1094</v>
      </c>
      <c r="E976" s="980">
        <v>1465</v>
      </c>
      <c r="F976" s="595"/>
      <c r="G976" s="1009">
        <f t="shared" si="147"/>
        <v>12.809999999999999</v>
      </c>
      <c r="H976" s="1012">
        <f t="shared" si="148"/>
        <v>18766.649999999998</v>
      </c>
      <c r="I976" s="1011">
        <f t="shared" si="144"/>
        <v>-0.34225201613421957</v>
      </c>
      <c r="J976" s="1009">
        <f t="shared" si="146"/>
        <v>1465</v>
      </c>
      <c r="K976" s="1009">
        <f t="shared" si="145"/>
        <v>-2.9008587041126739</v>
      </c>
      <c r="L976" s="595"/>
      <c r="M976" s="595"/>
      <c r="N976" s="595"/>
      <c r="O976" s="595"/>
      <c r="P976" s="595"/>
      <c r="Q976" s="595"/>
    </row>
    <row r="977" spans="1:17">
      <c r="A977" s="1019" t="s">
        <v>1504</v>
      </c>
      <c r="B977" s="979" t="s">
        <v>420</v>
      </c>
      <c r="C977" s="979" t="s">
        <v>322</v>
      </c>
      <c r="D977" s="979" t="s">
        <v>1095</v>
      </c>
      <c r="E977" s="980">
        <v>632</v>
      </c>
      <c r="F977" s="595"/>
      <c r="G977" s="1009">
        <f t="shared" si="147"/>
        <v>14.25</v>
      </c>
      <c r="H977" s="1012">
        <f t="shared" si="148"/>
        <v>9006</v>
      </c>
      <c r="I977" s="1011">
        <f t="shared" si="144"/>
        <v>-0.16424463915002313</v>
      </c>
      <c r="J977" s="1009">
        <f t="shared" si="146"/>
        <v>632</v>
      </c>
      <c r="K977" s="1009">
        <f t="shared" si="145"/>
        <v>-2.607719298223393</v>
      </c>
      <c r="L977" s="595"/>
      <c r="M977" s="595"/>
      <c r="N977" s="595"/>
      <c r="O977" s="595"/>
      <c r="P977" s="595"/>
      <c r="Q977" s="595"/>
    </row>
    <row r="978" spans="1:17">
      <c r="A978" s="1019" t="s">
        <v>1504</v>
      </c>
      <c r="B978" s="979" t="s">
        <v>420</v>
      </c>
      <c r="C978" s="979" t="s">
        <v>354</v>
      </c>
      <c r="D978" s="979" t="s">
        <v>1096</v>
      </c>
      <c r="E978" s="980">
        <v>4824</v>
      </c>
      <c r="F978" s="595"/>
      <c r="G978" s="1009">
        <f t="shared" si="147"/>
        <v>20.200000000000003</v>
      </c>
      <c r="H978" s="1012">
        <f t="shared" si="148"/>
        <v>97444.800000000017</v>
      </c>
      <c r="I978" s="1011">
        <f t="shared" si="144"/>
        <v>-1.7771248071337082</v>
      </c>
      <c r="J978" s="1009">
        <f t="shared" si="146"/>
        <v>4824</v>
      </c>
      <c r="K978" s="1009">
        <f t="shared" si="145"/>
        <v>-1.8396039603803636</v>
      </c>
      <c r="L978" s="595"/>
      <c r="M978" s="595"/>
      <c r="N978" s="595"/>
      <c r="O978" s="595"/>
      <c r="P978" s="595"/>
      <c r="Q978" s="595"/>
    </row>
    <row r="979" spans="1:17">
      <c r="A979" s="1019" t="s">
        <v>1504</v>
      </c>
      <c r="B979" s="979" t="s">
        <v>420</v>
      </c>
      <c r="C979" s="979" t="s">
        <v>317</v>
      </c>
      <c r="D979" s="979" t="s">
        <v>1097</v>
      </c>
      <c r="E979" s="980">
        <v>1015</v>
      </c>
      <c r="F979" s="595"/>
      <c r="G979" s="1009">
        <f t="shared" si="147"/>
        <v>42.350000000000009</v>
      </c>
      <c r="H979" s="1012">
        <f t="shared" si="148"/>
        <v>42985.250000000007</v>
      </c>
      <c r="I979" s="1011">
        <f t="shared" si="144"/>
        <v>-0.78393258661154053</v>
      </c>
      <c r="J979" s="1009">
        <f t="shared" si="146"/>
        <v>1015</v>
      </c>
      <c r="K979" s="1009">
        <f t="shared" si="145"/>
        <v>-0.87744982289689122</v>
      </c>
      <c r="L979" s="595"/>
      <c r="M979" s="595"/>
      <c r="N979" s="595"/>
      <c r="O979" s="595"/>
      <c r="P979" s="595"/>
      <c r="Q979" s="595"/>
    </row>
    <row r="980" spans="1:17">
      <c r="A980" s="1019" t="s">
        <v>1504</v>
      </c>
      <c r="B980" s="979" t="s">
        <v>420</v>
      </c>
      <c r="C980" s="979" t="s">
        <v>320</v>
      </c>
      <c r="D980" s="979" t="s">
        <v>1098</v>
      </c>
      <c r="E980" s="980">
        <v>150</v>
      </c>
      <c r="F980" s="595"/>
      <c r="G980" s="1009">
        <f t="shared" si="147"/>
        <v>18.649999999999999</v>
      </c>
      <c r="H980" s="1012">
        <f t="shared" si="148"/>
        <v>2797.5</v>
      </c>
      <c r="I980" s="1011">
        <f t="shared" si="144"/>
        <v>-5.101869620499553E-2</v>
      </c>
      <c r="J980" s="1009">
        <f t="shared" si="146"/>
        <v>150</v>
      </c>
      <c r="K980" s="1009">
        <f t="shared" si="145"/>
        <v>-1.992493297570153</v>
      </c>
      <c r="L980" s="595"/>
      <c r="M980" s="595"/>
      <c r="N980" s="595"/>
      <c r="O980" s="595"/>
      <c r="P980" s="595"/>
      <c r="Q980" s="595"/>
    </row>
    <row r="981" spans="1:17">
      <c r="A981" s="1019" t="s">
        <v>1504</v>
      </c>
      <c r="B981" s="979" t="s">
        <v>420</v>
      </c>
      <c r="C981" s="979" t="s">
        <v>352</v>
      </c>
      <c r="D981" s="979" t="s">
        <v>1099</v>
      </c>
      <c r="E981" s="980">
        <v>998</v>
      </c>
      <c r="F981" s="595"/>
      <c r="G981" s="1009">
        <f t="shared" si="147"/>
        <v>24.59</v>
      </c>
      <c r="H981" s="1012">
        <f t="shared" si="148"/>
        <v>24540.82</v>
      </c>
      <c r="I981" s="1011">
        <f t="shared" si="144"/>
        <v>-0.4475569759433346</v>
      </c>
      <c r="J981" s="1009">
        <f t="shared" si="146"/>
        <v>998</v>
      </c>
      <c r="K981" s="1009">
        <f t="shared" si="145"/>
        <v>-1.5111834078765087</v>
      </c>
      <c r="L981" s="595"/>
      <c r="M981" s="595"/>
      <c r="N981" s="595"/>
      <c r="O981" s="595"/>
      <c r="P981" s="595"/>
      <c r="Q981" s="595"/>
    </row>
    <row r="982" spans="1:17">
      <c r="A982" s="1019" t="s">
        <v>1504</v>
      </c>
      <c r="B982" s="979" t="s">
        <v>420</v>
      </c>
      <c r="C982" s="979" t="s">
        <v>384</v>
      </c>
      <c r="D982" s="979" t="s">
        <v>1100</v>
      </c>
      <c r="E982" s="980">
        <v>136</v>
      </c>
      <c r="F982" s="595"/>
      <c r="G982" s="1009">
        <f t="shared" si="147"/>
        <v>11.870000000000001</v>
      </c>
      <c r="H982" s="1012">
        <f t="shared" si="148"/>
        <v>1614.3200000000002</v>
      </c>
      <c r="I982" s="1011">
        <f t="shared" si="144"/>
        <v>-2.944075126278763E-2</v>
      </c>
      <c r="J982" s="1009">
        <f t="shared" si="146"/>
        <v>136</v>
      </c>
      <c r="K982" s="1009">
        <f t="shared" si="145"/>
        <v>-3.1305812973616973</v>
      </c>
      <c r="L982" s="595"/>
      <c r="M982" s="595"/>
      <c r="N982" s="595"/>
      <c r="O982" s="595"/>
      <c r="P982" s="595"/>
      <c r="Q982" s="595"/>
    </row>
    <row r="983" spans="1:17">
      <c r="A983" s="1019" t="s">
        <v>1504</v>
      </c>
      <c r="B983" s="979" t="s">
        <v>420</v>
      </c>
      <c r="C983" s="979" t="s">
        <v>311</v>
      </c>
      <c r="D983" s="979" t="s">
        <v>1101</v>
      </c>
      <c r="E983" s="980">
        <v>440</v>
      </c>
      <c r="F983" s="595"/>
      <c r="G983" s="1009">
        <f t="shared" si="147"/>
        <v>13.360000000000001</v>
      </c>
      <c r="H983" s="1012">
        <f t="shared" si="148"/>
        <v>5878.4000000000005</v>
      </c>
      <c r="I983" s="1011">
        <f t="shared" si="144"/>
        <v>-0.10720582797906908</v>
      </c>
      <c r="J983" s="1009">
        <f t="shared" si="146"/>
        <v>440</v>
      </c>
      <c r="K983" s="1009">
        <f t="shared" si="145"/>
        <v>-2.7814371257248016</v>
      </c>
      <c r="L983" s="595"/>
      <c r="M983" s="595"/>
      <c r="N983" s="595"/>
      <c r="O983" s="595"/>
      <c r="P983" s="595"/>
      <c r="Q983" s="595"/>
    </row>
    <row r="984" spans="1:17">
      <c r="A984" s="1019" t="s">
        <v>1504</v>
      </c>
      <c r="B984" s="979" t="s">
        <v>420</v>
      </c>
      <c r="C984" s="979" t="s">
        <v>341</v>
      </c>
      <c r="D984" s="979" t="s">
        <v>1102</v>
      </c>
      <c r="E984" s="980">
        <v>1463</v>
      </c>
      <c r="F984" s="595"/>
      <c r="G984" s="1009">
        <f t="shared" si="147"/>
        <v>15.079999999999998</v>
      </c>
      <c r="H984" s="1012">
        <f t="shared" si="148"/>
        <v>22062.039999999997</v>
      </c>
      <c r="I984" s="1011">
        <f t="shared" si="144"/>
        <v>-0.40235085484270222</v>
      </c>
      <c r="J984" s="1009">
        <f t="shared" si="146"/>
        <v>1463</v>
      </c>
      <c r="K984" s="1009">
        <f t="shared" si="145"/>
        <v>-2.4641909814113632</v>
      </c>
      <c r="L984" s="595"/>
      <c r="M984" s="595"/>
      <c r="N984" s="595"/>
      <c r="O984" s="595"/>
      <c r="P984" s="595"/>
      <c r="Q984" s="595"/>
    </row>
    <row r="985" spans="1:17">
      <c r="A985" s="1019" t="s">
        <v>1504</v>
      </c>
      <c r="B985" s="979" t="s">
        <v>420</v>
      </c>
      <c r="C985" s="979" t="s">
        <v>315</v>
      </c>
      <c r="D985" s="979" t="s">
        <v>1103</v>
      </c>
      <c r="E985" s="980">
        <v>223</v>
      </c>
      <c r="F985" s="595"/>
      <c r="G985" s="1009">
        <f t="shared" si="147"/>
        <v>46.740000000000009</v>
      </c>
      <c r="H985" s="1012">
        <f t="shared" si="148"/>
        <v>10423.020000000002</v>
      </c>
      <c r="I985" s="1011">
        <f t="shared" si="144"/>
        <v>-0.19008718174033698</v>
      </c>
      <c r="J985" s="1009">
        <f t="shared" si="146"/>
        <v>223</v>
      </c>
      <c r="K985" s="1009">
        <f t="shared" si="145"/>
        <v>-0.79503637140957084</v>
      </c>
      <c r="L985" s="1009"/>
      <c r="M985" s="595"/>
      <c r="N985" s="595"/>
      <c r="O985" s="595"/>
      <c r="P985" s="595"/>
      <c r="Q985" s="595"/>
    </row>
    <row r="986" spans="1:17">
      <c r="A986" s="1019" t="s">
        <v>1504</v>
      </c>
      <c r="B986" s="979" t="s">
        <v>420</v>
      </c>
      <c r="C986" s="979" t="s">
        <v>319</v>
      </c>
      <c r="D986" s="979" t="s">
        <v>1104</v>
      </c>
      <c r="E986" s="980">
        <v>26</v>
      </c>
      <c r="F986" s="595"/>
      <c r="G986" s="1009">
        <f t="shared" si="147"/>
        <v>27.15</v>
      </c>
      <c r="H986" s="1012">
        <f t="shared" si="148"/>
        <v>705.9</v>
      </c>
      <c r="I986" s="1011">
        <f t="shared" si="144"/>
        <v>-1.2873672082611741E-2</v>
      </c>
      <c r="J986" s="1009">
        <f t="shared" si="146"/>
        <v>26</v>
      </c>
      <c r="K986" s="1009">
        <f t="shared" si="145"/>
        <v>-1.36869244934377</v>
      </c>
      <c r="L986" s="595"/>
      <c r="M986" s="595"/>
      <c r="N986" s="595"/>
      <c r="O986" s="595"/>
      <c r="P986" s="595"/>
      <c r="Q986" s="595"/>
    </row>
    <row r="987" spans="1:17">
      <c r="A987" s="1019" t="s">
        <v>1504</v>
      </c>
      <c r="B987" s="979" t="s">
        <v>420</v>
      </c>
      <c r="C987" s="979" t="s">
        <v>356</v>
      </c>
      <c r="D987" s="979" t="s">
        <v>1105</v>
      </c>
      <c r="E987" s="980">
        <v>6310</v>
      </c>
      <c r="F987" s="595"/>
      <c r="G987" s="1009">
        <f t="shared" si="147"/>
        <v>7.54</v>
      </c>
      <c r="H987" s="1012">
        <f t="shared" si="148"/>
        <v>47577.4</v>
      </c>
      <c r="I987" s="1011">
        <f t="shared" si="144"/>
        <v>-0.867680756684023</v>
      </c>
      <c r="J987" s="1009">
        <f t="shared" si="146"/>
        <v>6310</v>
      </c>
      <c r="K987" s="1009">
        <f t="shared" si="145"/>
        <v>-4.9283819628227254</v>
      </c>
      <c r="L987" s="595"/>
      <c r="M987" s="595"/>
      <c r="N987" s="595"/>
      <c r="O987" s="595"/>
      <c r="P987" s="595"/>
      <c r="Q987" s="595"/>
    </row>
    <row r="988" spans="1:17">
      <c r="A988" s="1019" t="s">
        <v>1504</v>
      </c>
      <c r="B988" s="979" t="s">
        <v>420</v>
      </c>
      <c r="C988" s="979" t="s">
        <v>365</v>
      </c>
      <c r="D988" s="979" t="s">
        <v>1106</v>
      </c>
      <c r="E988" s="980">
        <v>8386</v>
      </c>
      <c r="F988" s="595"/>
      <c r="G988" s="1009">
        <f t="shared" si="147"/>
        <v>8.66</v>
      </c>
      <c r="H988" s="1012">
        <f t="shared" si="148"/>
        <v>72622.759999999995</v>
      </c>
      <c r="I988" s="1011">
        <f t="shared" si="144"/>
        <v>-1.3244391528179806</v>
      </c>
      <c r="J988" s="1009">
        <f t="shared" si="146"/>
        <v>8386</v>
      </c>
      <c r="K988" s="1009">
        <f t="shared" si="145"/>
        <v>-4.2909930715569686</v>
      </c>
      <c r="L988" s="1009"/>
      <c r="M988" s="595"/>
      <c r="N988" s="595"/>
      <c r="O988" s="595"/>
      <c r="P988" s="595"/>
      <c r="Q988" s="595"/>
    </row>
    <row r="989" spans="1:17">
      <c r="A989" s="1019" t="s">
        <v>1504</v>
      </c>
      <c r="B989" s="979" t="s">
        <v>420</v>
      </c>
      <c r="C989" s="979" t="s">
        <v>388</v>
      </c>
      <c r="D989" s="979" t="s">
        <v>1107</v>
      </c>
      <c r="E989" s="980">
        <v>19399</v>
      </c>
      <c r="F989" s="595"/>
      <c r="G989" s="1009">
        <f t="shared" si="147"/>
        <v>9.14</v>
      </c>
      <c r="H989" s="1012">
        <f t="shared" si="148"/>
        <v>177306.86000000002</v>
      </c>
      <c r="I989" s="1011">
        <f t="shared" si="144"/>
        <v>-3.2335888562651207</v>
      </c>
      <c r="J989" s="1009">
        <f t="shared" si="146"/>
        <v>19399</v>
      </c>
      <c r="K989" s="1009">
        <f t="shared" si="145"/>
        <v>-4.0656455141885504</v>
      </c>
      <c r="L989" s="595"/>
      <c r="M989" s="595"/>
      <c r="N989" s="595"/>
      <c r="O989" s="595"/>
      <c r="P989" s="595"/>
      <c r="Q989" s="595"/>
    </row>
    <row r="990" spans="1:17">
      <c r="A990" s="1019" t="s">
        <v>1504</v>
      </c>
      <c r="B990" s="979" t="s">
        <v>420</v>
      </c>
      <c r="C990" s="979" t="s">
        <v>345</v>
      </c>
      <c r="D990" s="979" t="s">
        <v>1108</v>
      </c>
      <c r="E990" s="980">
        <v>7205</v>
      </c>
      <c r="F990" s="595"/>
      <c r="G990" s="1009">
        <f t="shared" si="147"/>
        <v>14.25</v>
      </c>
      <c r="H990" s="1012">
        <f t="shared" si="148"/>
        <v>102671.25</v>
      </c>
      <c r="I990" s="1011">
        <f t="shared" si="144"/>
        <v>-1.8724408624618936</v>
      </c>
      <c r="J990" s="1009">
        <f t="shared" si="146"/>
        <v>7205</v>
      </c>
      <c r="K990" s="1009">
        <f t="shared" si="145"/>
        <v>-2.607719298223393</v>
      </c>
      <c r="L990" s="595"/>
      <c r="M990" s="595"/>
      <c r="N990" s="595"/>
      <c r="O990" s="595"/>
      <c r="P990" s="595"/>
      <c r="Q990" s="595"/>
    </row>
    <row r="991" spans="1:17">
      <c r="A991" s="1019" t="s">
        <v>1504</v>
      </c>
      <c r="B991" s="979" t="s">
        <v>420</v>
      </c>
      <c r="C991" s="979" t="s">
        <v>377</v>
      </c>
      <c r="D991" s="979" t="s">
        <v>1109</v>
      </c>
      <c r="E991" s="980">
        <v>2683</v>
      </c>
      <c r="F991" s="595"/>
      <c r="G991" s="1009">
        <f t="shared" si="147"/>
        <v>22.84</v>
      </c>
      <c r="H991" s="1012">
        <f t="shared" si="148"/>
        <v>61279.72</v>
      </c>
      <c r="I991" s="1011">
        <f t="shared" si="144"/>
        <v>-1.1175733398417118</v>
      </c>
      <c r="J991" s="1009">
        <f t="shared" si="146"/>
        <v>2683</v>
      </c>
      <c r="K991" s="1009">
        <f t="shared" si="145"/>
        <v>-1.6269702276568891</v>
      </c>
      <c r="L991" s="1009"/>
      <c r="M991" s="595"/>
      <c r="N991" s="595"/>
      <c r="O991" s="595"/>
      <c r="P991" s="595"/>
      <c r="Q991" s="595"/>
    </row>
    <row r="992" spans="1:17">
      <c r="A992" s="1019" t="s">
        <v>1504</v>
      </c>
      <c r="B992" s="979" t="s">
        <v>420</v>
      </c>
      <c r="C992" s="979" t="s">
        <v>363</v>
      </c>
      <c r="D992" s="979" t="s">
        <v>1110</v>
      </c>
      <c r="E992" s="980">
        <v>828</v>
      </c>
      <c r="F992" s="595"/>
      <c r="G992" s="1009">
        <f t="shared" si="147"/>
        <v>9.620000000000001</v>
      </c>
      <c r="H992" s="1012">
        <f t="shared" si="148"/>
        <v>7965.3600000000006</v>
      </c>
      <c r="I992" s="1011">
        <f t="shared" si="144"/>
        <v>-0.14526623127915039</v>
      </c>
      <c r="J992" s="1009">
        <f t="shared" si="146"/>
        <v>828</v>
      </c>
      <c r="K992" s="1009">
        <f t="shared" si="145"/>
        <v>-3.8627858627529466</v>
      </c>
      <c r="L992" s="595"/>
      <c r="M992" s="595"/>
      <c r="N992" s="595"/>
      <c r="O992" s="595"/>
      <c r="P992" s="595"/>
      <c r="Q992" s="595"/>
    </row>
    <row r="993" spans="1:17">
      <c r="A993" s="1019" t="s">
        <v>1504</v>
      </c>
      <c r="B993" s="979" t="s">
        <v>420</v>
      </c>
      <c r="C993" s="979" t="s">
        <v>373</v>
      </c>
      <c r="D993" s="979" t="s">
        <v>1111</v>
      </c>
      <c r="E993" s="980">
        <v>1298</v>
      </c>
      <c r="F993" s="595"/>
      <c r="G993" s="1009">
        <f t="shared" si="147"/>
        <v>10.770000000000001</v>
      </c>
      <c r="H993" s="1012">
        <f t="shared" si="148"/>
        <v>13979.460000000001</v>
      </c>
      <c r="I993" s="1011">
        <f t="shared" si="144"/>
        <v>-0.25494685356564317</v>
      </c>
      <c r="J993" s="1009">
        <f t="shared" si="146"/>
        <v>1298</v>
      </c>
      <c r="K993" s="1009">
        <f t="shared" si="145"/>
        <v>-3.4503249767579707</v>
      </c>
      <c r="L993" s="595"/>
      <c r="M993" s="595"/>
      <c r="N993" s="595"/>
      <c r="O993" s="595"/>
      <c r="P993" s="595"/>
      <c r="Q993" s="595"/>
    </row>
    <row r="994" spans="1:17">
      <c r="A994" s="1019" t="s">
        <v>1504</v>
      </c>
      <c r="B994" s="979" t="s">
        <v>420</v>
      </c>
      <c r="C994" s="979" t="s">
        <v>396</v>
      </c>
      <c r="D994" s="979" t="s">
        <v>1112</v>
      </c>
      <c r="E994" s="980">
        <v>3842</v>
      </c>
      <c r="F994" s="595"/>
      <c r="G994" s="1009">
        <f t="shared" si="147"/>
        <v>11.16</v>
      </c>
      <c r="H994" s="1012">
        <f t="shared" si="148"/>
        <v>42876.72</v>
      </c>
      <c r="I994" s="1011">
        <f t="shared" si="144"/>
        <v>-0.78195329828298699</v>
      </c>
      <c r="J994" s="1009">
        <f t="shared" si="146"/>
        <v>3842</v>
      </c>
      <c r="K994" s="1009">
        <f t="shared" si="145"/>
        <v>-3.3297491039142786</v>
      </c>
      <c r="L994" s="595"/>
      <c r="M994" s="595"/>
      <c r="N994" s="595"/>
      <c r="O994" s="595"/>
      <c r="P994" s="595"/>
      <c r="Q994" s="595"/>
    </row>
    <row r="995" spans="1:17">
      <c r="A995" s="1019" t="s">
        <v>1504</v>
      </c>
      <c r="B995" s="979" t="s">
        <v>420</v>
      </c>
      <c r="C995" s="979" t="s">
        <v>351</v>
      </c>
      <c r="D995" s="979" t="s">
        <v>1113</v>
      </c>
      <c r="E995" s="980">
        <v>288</v>
      </c>
      <c r="F995" s="595"/>
      <c r="G995" s="1009">
        <f t="shared" si="147"/>
        <v>33.100000000000009</v>
      </c>
      <c r="H995" s="1012">
        <f t="shared" si="148"/>
        <v>9532.8000000000029</v>
      </c>
      <c r="I995" s="1011">
        <f t="shared" si="144"/>
        <v>-0.17385202044074408</v>
      </c>
      <c r="J995" s="1009">
        <f t="shared" si="146"/>
        <v>288</v>
      </c>
      <c r="K995" s="1009">
        <f t="shared" si="145"/>
        <v>-1.1226586102623366</v>
      </c>
      <c r="L995" s="595"/>
      <c r="M995" s="595"/>
      <c r="N995" s="595"/>
      <c r="O995" s="595"/>
      <c r="P995" s="595"/>
      <c r="Q995" s="595"/>
    </row>
    <row r="996" spans="1:17">
      <c r="A996" s="1019" t="s">
        <v>1504</v>
      </c>
      <c r="B996" s="979" t="s">
        <v>420</v>
      </c>
      <c r="C996" s="979" t="s">
        <v>314</v>
      </c>
      <c r="D996" s="979" t="s">
        <v>1114</v>
      </c>
      <c r="E996" s="980">
        <v>62</v>
      </c>
      <c r="F996" s="595"/>
      <c r="G996" s="1009">
        <f t="shared" si="147"/>
        <v>55.250000000000007</v>
      </c>
      <c r="H996" s="1012">
        <f t="shared" si="148"/>
        <v>3425.5000000000005</v>
      </c>
      <c r="I996" s="1011">
        <f t="shared" si="144"/>
        <v>-6.2471686809727332E-2</v>
      </c>
      <c r="J996" s="1009">
        <f t="shared" si="146"/>
        <v>62</v>
      </c>
      <c r="K996" s="1009">
        <f t="shared" si="145"/>
        <v>-0.6725791855146307</v>
      </c>
      <c r="L996" s="595"/>
      <c r="M996" s="595"/>
      <c r="N996" s="595"/>
      <c r="O996" s="595"/>
      <c r="P996" s="595"/>
      <c r="Q996" s="595"/>
    </row>
    <row r="997" spans="1:17">
      <c r="A997" s="1019" t="s">
        <v>1504</v>
      </c>
      <c r="B997" s="979" t="s">
        <v>420</v>
      </c>
      <c r="C997" s="979" t="s">
        <v>355</v>
      </c>
      <c r="D997" s="979" t="s">
        <v>1115</v>
      </c>
      <c r="E997" s="980">
        <v>3578</v>
      </c>
      <c r="F997" s="595"/>
      <c r="G997" s="1009">
        <f t="shared" si="147"/>
        <v>10.49</v>
      </c>
      <c r="H997" s="1012">
        <f t="shared" si="148"/>
        <v>37533.22</v>
      </c>
      <c r="I997" s="1011">
        <f t="shared" si="144"/>
        <v>-0.68450257328874442</v>
      </c>
      <c r="J997" s="1009">
        <f t="shared" si="146"/>
        <v>3578</v>
      </c>
      <c r="K997" s="1009">
        <f t="shared" si="145"/>
        <v>-3.542421353639976</v>
      </c>
      <c r="L997" s="595"/>
      <c r="M997" s="595"/>
      <c r="N997" s="595"/>
      <c r="O997" s="595"/>
      <c r="P997" s="595"/>
      <c r="Q997" s="595"/>
    </row>
    <row r="998" spans="1:17">
      <c r="A998" s="1019" t="s">
        <v>1504</v>
      </c>
      <c r="B998" s="979" t="s">
        <v>420</v>
      </c>
      <c r="C998" s="979" t="s">
        <v>364</v>
      </c>
      <c r="D998" s="979" t="s">
        <v>1116</v>
      </c>
      <c r="E998" s="980">
        <v>8410</v>
      </c>
      <c r="F998" s="595"/>
      <c r="G998" s="1009">
        <f t="shared" si="147"/>
        <v>11.600000000000001</v>
      </c>
      <c r="H998" s="1012">
        <f t="shared" si="148"/>
        <v>97556.000000000015</v>
      </c>
      <c r="I998" s="1011">
        <f t="shared" si="144"/>
        <v>-1.7791527889095782</v>
      </c>
      <c r="J998" s="1009">
        <f t="shared" si="146"/>
        <v>8410</v>
      </c>
      <c r="K998" s="1009">
        <f t="shared" si="145"/>
        <v>-3.2034482758347713</v>
      </c>
      <c r="L998" s="595"/>
      <c r="M998" s="595"/>
      <c r="N998" s="595"/>
      <c r="O998" s="595"/>
      <c r="P998" s="595"/>
      <c r="Q998" s="595"/>
    </row>
    <row r="999" spans="1:17">
      <c r="A999" s="1019" t="s">
        <v>1504</v>
      </c>
      <c r="B999" s="979" t="s">
        <v>420</v>
      </c>
      <c r="C999" s="979" t="s">
        <v>387</v>
      </c>
      <c r="D999" s="979" t="s">
        <v>1117</v>
      </c>
      <c r="E999" s="980">
        <f>3240-2</f>
        <v>3238</v>
      </c>
      <c r="F999" s="595"/>
      <c r="G999" s="1009">
        <f t="shared" si="147"/>
        <v>12.3</v>
      </c>
      <c r="H999" s="1012">
        <f t="shared" si="148"/>
        <v>39827.4</v>
      </c>
      <c r="I999" s="1011">
        <f t="shared" si="144"/>
        <v>-0.72634209874346345</v>
      </c>
      <c r="J999" s="1009">
        <f t="shared" si="146"/>
        <v>3238</v>
      </c>
      <c r="K999" s="1009">
        <f t="shared" si="145"/>
        <v>-3.0211382113563698</v>
      </c>
      <c r="L999" s="595"/>
      <c r="M999" s="595"/>
      <c r="N999" s="595"/>
      <c r="O999" s="595"/>
      <c r="P999" s="595"/>
      <c r="Q999" s="595"/>
    </row>
    <row r="1000" spans="1:17">
      <c r="A1000" s="1019" t="s">
        <v>1504</v>
      </c>
      <c r="B1000" s="979" t="s">
        <v>420</v>
      </c>
      <c r="C1000" s="979" t="s">
        <v>344</v>
      </c>
      <c r="D1000" s="979" t="s">
        <v>1118</v>
      </c>
      <c r="E1000" s="980">
        <v>4981</v>
      </c>
      <c r="F1000" s="595"/>
      <c r="G1000" s="1009">
        <f t="shared" si="147"/>
        <v>17.41</v>
      </c>
      <c r="H1000" s="1012">
        <f t="shared" si="148"/>
        <v>86719.21</v>
      </c>
      <c r="I1000" s="1011">
        <f t="shared" si="144"/>
        <v>-1.5815195818149099</v>
      </c>
      <c r="J1000" s="1009">
        <f t="shared" si="146"/>
        <v>4981</v>
      </c>
      <c r="K1000" s="1009">
        <f t="shared" si="145"/>
        <v>-2.1344055140541842</v>
      </c>
      <c r="L1000" s="595"/>
      <c r="M1000" s="595"/>
      <c r="N1000" s="595"/>
      <c r="O1000" s="595"/>
      <c r="P1000" s="595"/>
      <c r="Q1000" s="595"/>
    </row>
    <row r="1001" spans="1:17">
      <c r="A1001" s="1019" t="s">
        <v>1504</v>
      </c>
      <c r="B1001" s="979" t="s">
        <v>420</v>
      </c>
      <c r="C1001" s="979" t="s">
        <v>376</v>
      </c>
      <c r="D1001" s="979" t="s">
        <v>1119</v>
      </c>
      <c r="E1001" s="980">
        <v>499</v>
      </c>
      <c r="F1001" s="595"/>
      <c r="G1001" s="1009">
        <f t="shared" si="147"/>
        <v>24.46</v>
      </c>
      <c r="H1001" s="1012">
        <f t="shared" si="148"/>
        <v>12205.54</v>
      </c>
      <c r="I1001" s="1011">
        <f t="shared" si="144"/>
        <v>-0.22259543781158933</v>
      </c>
      <c r="J1001" s="1009">
        <f t="shared" si="146"/>
        <v>499</v>
      </c>
      <c r="K1001" s="1009">
        <f t="shared" si="145"/>
        <v>-1.5192150449584363</v>
      </c>
      <c r="L1001" s="595"/>
      <c r="M1001" s="595"/>
      <c r="N1001" s="595"/>
      <c r="O1001" s="595"/>
      <c r="P1001" s="595"/>
      <c r="Q1001" s="595"/>
    </row>
    <row r="1002" spans="1:17">
      <c r="A1002" s="1019" t="s">
        <v>1504</v>
      </c>
      <c r="B1002" s="979" t="s">
        <v>420</v>
      </c>
      <c r="C1002" s="979" t="s">
        <v>374</v>
      </c>
      <c r="D1002" s="979" t="s">
        <v>1120</v>
      </c>
      <c r="E1002" s="980">
        <v>4457</v>
      </c>
      <c r="F1002" s="595"/>
      <c r="G1002" s="1009">
        <f t="shared" ref="G1002:G1018" si="149">SUMIF(_Lights_Tariff_Category,20140101&amp;$C1002,_Lights_Rates)</f>
        <v>16.79</v>
      </c>
      <c r="H1002" s="1012">
        <f t="shared" ref="H1002:H1015" si="150">E1002*G1002</f>
        <v>74833.03</v>
      </c>
      <c r="I1002" s="1011">
        <f t="shared" si="144"/>
        <v>-1.3647483909452429</v>
      </c>
      <c r="J1002" s="1009">
        <f t="shared" si="146"/>
        <v>4457</v>
      </c>
      <c r="K1002" s="1009">
        <f t="shared" ref="K1002:K1018" si="151">$L$943/G1002</f>
        <v>-2.2132221560264056</v>
      </c>
      <c r="L1002" s="595"/>
      <c r="M1002" s="595"/>
      <c r="N1002" s="595"/>
      <c r="O1002" s="595"/>
      <c r="P1002" s="595"/>
      <c r="Q1002" s="595"/>
    </row>
    <row r="1003" spans="1:17">
      <c r="A1003" s="1019" t="s">
        <v>1504</v>
      </c>
      <c r="B1003" s="979" t="s">
        <v>420</v>
      </c>
      <c r="C1003" s="979" t="s">
        <v>398</v>
      </c>
      <c r="D1003" s="979" t="s">
        <v>1121</v>
      </c>
      <c r="E1003" s="980">
        <v>1033</v>
      </c>
      <c r="F1003" s="595"/>
      <c r="G1003" s="1009">
        <f t="shared" si="149"/>
        <v>20.97</v>
      </c>
      <c r="H1003" s="1012">
        <f t="shared" si="150"/>
        <v>21662.01</v>
      </c>
      <c r="I1003" s="1011">
        <f t="shared" ref="I1003:I1018" si="152">H1003/$L$942*$L$943</f>
        <v>-0.39505540925096522</v>
      </c>
      <c r="J1003" s="1009">
        <f t="shared" ref="J1003:J1017" si="153">ROUND((H1003+I1003)/G1003,0)</f>
        <v>1033</v>
      </c>
      <c r="K1003" s="1009">
        <f t="shared" si="151"/>
        <v>-1.7720553171045947</v>
      </c>
      <c r="L1003" s="595"/>
      <c r="M1003" s="595"/>
      <c r="N1003" s="595"/>
      <c r="O1003" s="595"/>
      <c r="P1003" s="595"/>
      <c r="Q1003" s="595"/>
    </row>
    <row r="1004" spans="1:17">
      <c r="A1004" s="1019" t="s">
        <v>1504</v>
      </c>
      <c r="B1004" s="979" t="s">
        <v>420</v>
      </c>
      <c r="C1004" s="979" t="s">
        <v>348</v>
      </c>
      <c r="D1004" s="979" t="s">
        <v>1122</v>
      </c>
      <c r="E1004" s="980">
        <v>1361</v>
      </c>
      <c r="F1004" s="595"/>
      <c r="G1004" s="1009">
        <f t="shared" si="149"/>
        <v>26.86</v>
      </c>
      <c r="H1004" s="1012">
        <f t="shared" si="150"/>
        <v>36556.46</v>
      </c>
      <c r="I1004" s="1011">
        <f t="shared" si="152"/>
        <v>-0.66668916070422546</v>
      </c>
      <c r="J1004" s="1009">
        <f t="shared" si="153"/>
        <v>1361</v>
      </c>
      <c r="K1004" s="1009">
        <f t="shared" si="151"/>
        <v>-1.3834698436218671</v>
      </c>
      <c r="L1004" s="595"/>
      <c r="M1004" s="595"/>
      <c r="N1004" s="595"/>
      <c r="O1004" s="595"/>
      <c r="P1004" s="595"/>
      <c r="Q1004" s="595"/>
    </row>
    <row r="1005" spans="1:17">
      <c r="A1005" s="1019" t="s">
        <v>1504</v>
      </c>
      <c r="B1005" s="979" t="s">
        <v>420</v>
      </c>
      <c r="C1005" s="979" t="s">
        <v>380</v>
      </c>
      <c r="D1005" s="979" t="s">
        <v>1123</v>
      </c>
      <c r="E1005" s="980">
        <v>920</v>
      </c>
      <c r="F1005" s="595"/>
      <c r="G1005" s="1009">
        <f t="shared" si="149"/>
        <v>33.119999999999997</v>
      </c>
      <c r="H1005" s="1012">
        <f t="shared" si="150"/>
        <v>30470.399999999998</v>
      </c>
      <c r="I1005" s="1011">
        <f t="shared" si="152"/>
        <v>-0.55569618618219685</v>
      </c>
      <c r="J1005" s="1009">
        <f t="shared" si="153"/>
        <v>920</v>
      </c>
      <c r="K1005" s="1009">
        <f t="shared" si="151"/>
        <v>-1.1219806763189417</v>
      </c>
      <c r="L1005" s="595"/>
      <c r="M1005" s="595"/>
      <c r="N1005" s="595"/>
      <c r="O1005" s="595"/>
      <c r="P1005" s="595"/>
      <c r="Q1005" s="595"/>
    </row>
    <row r="1006" spans="1:17">
      <c r="A1006" s="1019" t="s">
        <v>1504</v>
      </c>
      <c r="B1006" s="979" t="s">
        <v>420</v>
      </c>
      <c r="C1006" s="979" t="s">
        <v>399</v>
      </c>
      <c r="D1006" s="979" t="s">
        <v>1124</v>
      </c>
      <c r="E1006" s="980">
        <v>10668</v>
      </c>
      <c r="F1006" s="595"/>
      <c r="G1006" s="1009">
        <f t="shared" si="149"/>
        <v>9</v>
      </c>
      <c r="H1006" s="1012">
        <f t="shared" si="150"/>
        <v>96012</v>
      </c>
      <c r="I1006" s="1011">
        <f t="shared" si="152"/>
        <v>-1.7509944807985811</v>
      </c>
      <c r="J1006" s="1009">
        <f t="shared" si="153"/>
        <v>10668</v>
      </c>
      <c r="K1006" s="1009">
        <f t="shared" si="151"/>
        <v>-4.1288888888537052</v>
      </c>
      <c r="L1006" s="595"/>
      <c r="M1006" s="595"/>
      <c r="N1006" s="595"/>
      <c r="O1006" s="595"/>
      <c r="P1006" s="595"/>
      <c r="Q1006" s="595"/>
    </row>
    <row r="1007" spans="1:17">
      <c r="A1007" s="1019" t="s">
        <v>1504</v>
      </c>
      <c r="B1007" s="979" t="s">
        <v>420</v>
      </c>
      <c r="C1007" s="979" t="s">
        <v>349</v>
      </c>
      <c r="D1007" s="979" t="s">
        <v>1125</v>
      </c>
      <c r="E1007" s="980">
        <v>6284</v>
      </c>
      <c r="F1007" s="595"/>
      <c r="G1007" s="1009">
        <f t="shared" si="149"/>
        <v>13.639999999999999</v>
      </c>
      <c r="H1007" s="1012">
        <f t="shared" si="150"/>
        <v>85713.76</v>
      </c>
      <c r="I1007" s="1011">
        <f t="shared" si="152"/>
        <v>-1.5631829426373183</v>
      </c>
      <c r="J1007" s="1009">
        <f t="shared" si="153"/>
        <v>6284</v>
      </c>
      <c r="K1007" s="1009">
        <f t="shared" si="151"/>
        <v>-2.7243401759298647</v>
      </c>
      <c r="L1007" s="595"/>
      <c r="M1007" s="595"/>
      <c r="N1007" s="595"/>
      <c r="O1007" s="595"/>
      <c r="P1007" s="595"/>
      <c r="Q1007" s="595"/>
    </row>
    <row r="1008" spans="1:17">
      <c r="A1008" s="1019" t="s">
        <v>1504</v>
      </c>
      <c r="B1008" s="979" t="s">
        <v>420</v>
      </c>
      <c r="C1008" s="979" t="s">
        <v>381</v>
      </c>
      <c r="D1008" s="979" t="s">
        <v>1126</v>
      </c>
      <c r="E1008" s="980">
        <v>7982</v>
      </c>
      <c r="F1008" s="595"/>
      <c r="G1008" s="1009">
        <f t="shared" si="149"/>
        <v>19.46</v>
      </c>
      <c r="H1008" s="1012">
        <f t="shared" si="150"/>
        <v>155329.72</v>
      </c>
      <c r="I1008" s="1011">
        <f t="shared" si="152"/>
        <v>-2.8327863436235989</v>
      </c>
      <c r="J1008" s="1009">
        <f t="shared" si="153"/>
        <v>7982</v>
      </c>
      <c r="K1008" s="1009">
        <f t="shared" si="151"/>
        <v>-1.9095580678151771</v>
      </c>
      <c r="L1008" s="595"/>
      <c r="M1008" s="595"/>
      <c r="N1008" s="595"/>
      <c r="O1008" s="595"/>
      <c r="P1008" s="595"/>
      <c r="Q1008" s="595"/>
    </row>
    <row r="1009" spans="1:17">
      <c r="A1009" s="1019" t="s">
        <v>1504</v>
      </c>
      <c r="B1009" s="979" t="s">
        <v>420</v>
      </c>
      <c r="C1009" s="979" t="s">
        <v>321</v>
      </c>
      <c r="D1009" s="979" t="s">
        <v>1127</v>
      </c>
      <c r="E1009" s="980">
        <v>56</v>
      </c>
      <c r="F1009" s="595"/>
      <c r="G1009" s="1009">
        <f t="shared" si="149"/>
        <v>15.47</v>
      </c>
      <c r="H1009" s="1012">
        <f t="shared" si="150"/>
        <v>866.32</v>
      </c>
      <c r="I1009" s="1011">
        <f t="shared" si="152"/>
        <v>-1.5799291115750395E-2</v>
      </c>
      <c r="J1009" s="1009">
        <f t="shared" si="153"/>
        <v>56</v>
      </c>
      <c r="K1009" s="1009">
        <f t="shared" si="151"/>
        <v>-2.4020685196951099</v>
      </c>
      <c r="L1009" s="595"/>
      <c r="M1009" s="595"/>
      <c r="N1009" s="595"/>
      <c r="O1009" s="595"/>
      <c r="P1009" s="595"/>
      <c r="Q1009" s="595"/>
    </row>
    <row r="1010" spans="1:17">
      <c r="A1010" s="1019" t="s">
        <v>1504</v>
      </c>
      <c r="B1010" s="979" t="s">
        <v>420</v>
      </c>
      <c r="C1010" s="979" t="s">
        <v>353</v>
      </c>
      <c r="D1010" s="979" t="s">
        <v>1128</v>
      </c>
      <c r="E1010" s="980">
        <v>286</v>
      </c>
      <c r="F1010" s="595"/>
      <c r="G1010" s="1009">
        <f t="shared" si="149"/>
        <v>21.930000000000003</v>
      </c>
      <c r="H1010" s="1012">
        <f t="shared" si="150"/>
        <v>6271.9800000000014</v>
      </c>
      <c r="I1010" s="1011">
        <f t="shared" si="152"/>
        <v>-0.11438364333290721</v>
      </c>
      <c r="J1010" s="1009">
        <f t="shared" si="153"/>
        <v>286</v>
      </c>
      <c r="K1010" s="1009">
        <f t="shared" si="151"/>
        <v>-1.6944824441260076</v>
      </c>
      <c r="L1010" s="595"/>
      <c r="M1010" s="595"/>
      <c r="N1010" s="595"/>
      <c r="O1010" s="595"/>
      <c r="P1010" s="595"/>
      <c r="Q1010" s="595"/>
    </row>
    <row r="1011" spans="1:17">
      <c r="A1011" s="1019" t="s">
        <v>1504</v>
      </c>
      <c r="B1011" s="979" t="s">
        <v>420</v>
      </c>
      <c r="C1011" s="979" t="s">
        <v>678</v>
      </c>
      <c r="D1011" s="979" t="s">
        <v>1129</v>
      </c>
      <c r="E1011" s="980">
        <v>2</v>
      </c>
      <c r="F1011" s="595"/>
      <c r="G1011" s="1009">
        <f t="shared" si="149"/>
        <v>15.370000000000001</v>
      </c>
      <c r="H1011" s="1012">
        <f t="shared" si="150"/>
        <v>30.740000000000002</v>
      </c>
      <c r="I1011" s="1011">
        <f t="shared" si="152"/>
        <v>-5.606129477539098E-4</v>
      </c>
      <c r="J1011" s="1009">
        <f t="shared" si="153"/>
        <v>2</v>
      </c>
      <c r="K1011" s="1009">
        <f t="shared" si="151"/>
        <v>-2.4176968119507709</v>
      </c>
      <c r="L1011" s="595"/>
      <c r="M1011" s="595"/>
      <c r="N1011" s="595"/>
      <c r="O1011" s="595"/>
      <c r="P1011" s="595"/>
      <c r="Q1011" s="595"/>
    </row>
    <row r="1012" spans="1:17">
      <c r="A1012" s="1019" t="s">
        <v>1504</v>
      </c>
      <c r="B1012" s="979" t="s">
        <v>420</v>
      </c>
      <c r="C1012" s="979" t="s">
        <v>316</v>
      </c>
      <c r="D1012" s="979" t="s">
        <v>1130</v>
      </c>
      <c r="E1012" s="980">
        <v>45</v>
      </c>
      <c r="F1012" s="595"/>
      <c r="G1012" s="1009">
        <f t="shared" si="149"/>
        <v>45.7</v>
      </c>
      <c r="H1012" s="1012">
        <f t="shared" si="150"/>
        <v>2056.5</v>
      </c>
      <c r="I1012" s="1011">
        <f t="shared" si="152"/>
        <v>-3.7504896781259449E-2</v>
      </c>
      <c r="J1012" s="1009">
        <f t="shared" si="153"/>
        <v>45</v>
      </c>
      <c r="K1012" s="1009">
        <f t="shared" si="151"/>
        <v>-0.81312910283771</v>
      </c>
      <c r="L1012" s="595"/>
      <c r="M1012" s="595"/>
      <c r="N1012" s="595"/>
      <c r="O1012" s="595"/>
      <c r="P1012" s="595"/>
      <c r="Q1012" s="595"/>
    </row>
    <row r="1013" spans="1:17">
      <c r="A1013" s="1019" t="s">
        <v>1504</v>
      </c>
      <c r="B1013" s="979" t="s">
        <v>420</v>
      </c>
      <c r="C1013" s="979" t="s">
        <v>318</v>
      </c>
      <c r="D1013" s="979" t="s">
        <v>1131</v>
      </c>
      <c r="E1013" s="980">
        <v>174</v>
      </c>
      <c r="F1013" s="595"/>
      <c r="G1013" s="1009">
        <f t="shared" si="149"/>
        <v>28.37</v>
      </c>
      <c r="H1013" s="1012">
        <f t="shared" si="150"/>
        <v>4936.38</v>
      </c>
      <c r="I1013" s="1011">
        <f t="shared" si="152"/>
        <v>-9.002597732704766E-2</v>
      </c>
      <c r="J1013" s="1009">
        <f t="shared" si="153"/>
        <v>174</v>
      </c>
      <c r="K1013" s="1009">
        <f t="shared" si="151"/>
        <v>-1.3098343320297268</v>
      </c>
      <c r="L1013" s="595"/>
      <c r="M1013" s="595"/>
      <c r="N1013" s="595"/>
      <c r="O1013" s="595"/>
      <c r="P1013" s="595"/>
      <c r="Q1013" s="595"/>
    </row>
    <row r="1014" spans="1:17">
      <c r="A1014" s="1019" t="s">
        <v>1504</v>
      </c>
      <c r="B1014" s="979" t="s">
        <v>420</v>
      </c>
      <c r="C1014" s="979" t="s">
        <v>350</v>
      </c>
      <c r="D1014" s="979" t="s">
        <v>1132</v>
      </c>
      <c r="E1014" s="980">
        <v>593</v>
      </c>
      <c r="F1014" s="595"/>
      <c r="G1014" s="1009">
        <f t="shared" si="149"/>
        <v>34.830000000000005</v>
      </c>
      <c r="H1014" s="1012">
        <f t="shared" si="150"/>
        <v>20654.190000000002</v>
      </c>
      <c r="I1014" s="1011">
        <f t="shared" si="152"/>
        <v>-0.37667554779991308</v>
      </c>
      <c r="J1014" s="1009">
        <f t="shared" si="153"/>
        <v>593</v>
      </c>
      <c r="K1014" s="1009">
        <f t="shared" si="151"/>
        <v>-1.0668963537089677</v>
      </c>
      <c r="L1014" s="1009"/>
      <c r="M1014" s="595"/>
      <c r="N1014" s="595"/>
      <c r="O1014" s="595"/>
      <c r="P1014" s="595"/>
      <c r="Q1014" s="595"/>
    </row>
    <row r="1015" spans="1:17">
      <c r="A1015" s="1019" t="s">
        <v>1504</v>
      </c>
      <c r="B1015" s="979" t="s">
        <v>420</v>
      </c>
      <c r="C1015" s="979" t="s">
        <v>313</v>
      </c>
      <c r="D1015" s="979" t="s">
        <v>1133</v>
      </c>
      <c r="E1015" s="980">
        <v>168</v>
      </c>
      <c r="F1015" s="595"/>
      <c r="G1015" s="1009">
        <f t="shared" si="149"/>
        <v>58.59</v>
      </c>
      <c r="H1015" s="1012">
        <f t="shared" si="150"/>
        <v>9843.1200000000008</v>
      </c>
      <c r="I1015" s="1011">
        <f t="shared" si="152"/>
        <v>-0.17951140267714588</v>
      </c>
      <c r="J1015" s="1009">
        <f t="shared" si="153"/>
        <v>168</v>
      </c>
      <c r="K1015" s="1009">
        <f t="shared" si="151"/>
        <v>-0.63423792455510064</v>
      </c>
      <c r="L1015" s="595"/>
      <c r="M1015" s="595"/>
      <c r="N1015" s="595"/>
      <c r="O1015" s="595"/>
      <c r="P1015" s="595"/>
      <c r="Q1015" s="595"/>
    </row>
    <row r="1016" spans="1:17">
      <c r="A1016" s="1019" t="s">
        <v>1504</v>
      </c>
      <c r="B1016" s="979" t="s">
        <v>420</v>
      </c>
      <c r="C1016" s="979" t="s">
        <v>650</v>
      </c>
      <c r="D1016" s="979" t="s">
        <v>1151</v>
      </c>
      <c r="E1016" s="980">
        <v>8</v>
      </c>
      <c r="F1016" s="595"/>
      <c r="G1016" s="1009">
        <f t="shared" si="149"/>
        <v>15.35</v>
      </c>
      <c r="H1016" s="1012">
        <f t="shared" ref="H1016:H1017" si="154">E1016*G1016</f>
        <v>122.8</v>
      </c>
      <c r="I1016" s="1011">
        <f t="shared" si="152"/>
        <v>-2.2395338316258985E-3</v>
      </c>
      <c r="J1016" s="1009">
        <f t="shared" si="153"/>
        <v>8</v>
      </c>
      <c r="K1016" s="1009">
        <f t="shared" si="151"/>
        <v>-2.4208469055168309</v>
      </c>
      <c r="L1016" s="595"/>
      <c r="M1016" s="595"/>
      <c r="N1016" s="595"/>
      <c r="O1016" s="595"/>
      <c r="P1016" s="595"/>
      <c r="Q1016" s="595"/>
    </row>
    <row r="1017" spans="1:17">
      <c r="A1017" s="1019" t="s">
        <v>1504</v>
      </c>
      <c r="B1017" s="979" t="s">
        <v>420</v>
      </c>
      <c r="C1017" s="979" t="s">
        <v>447</v>
      </c>
      <c r="D1017" s="979" t="s">
        <v>1134</v>
      </c>
      <c r="E1017" s="980">
        <v>20</v>
      </c>
      <c r="F1017" s="595"/>
      <c r="G1017" s="1009">
        <f t="shared" si="149"/>
        <v>17.72</v>
      </c>
      <c r="H1017" s="1012">
        <f t="shared" si="154"/>
        <v>354.4</v>
      </c>
      <c r="I1017" s="1011">
        <f t="shared" si="152"/>
        <v>-6.4632800482753942E-3</v>
      </c>
      <c r="J1017" s="1009">
        <f t="shared" si="153"/>
        <v>20</v>
      </c>
      <c r="K1017" s="1009">
        <f t="shared" si="151"/>
        <v>-2.0970654627360807</v>
      </c>
      <c r="L1017" s="595"/>
      <c r="M1017" s="595"/>
      <c r="N1017" s="595"/>
      <c r="O1017" s="595"/>
      <c r="P1017" s="595"/>
      <c r="Q1017" s="595"/>
    </row>
    <row r="1018" spans="1:17">
      <c r="A1018" s="1019" t="s">
        <v>1504</v>
      </c>
      <c r="B1018" s="979" t="s">
        <v>420</v>
      </c>
      <c r="C1018" s="979" t="s">
        <v>624</v>
      </c>
      <c r="D1018" s="979" t="s">
        <v>1135</v>
      </c>
      <c r="E1018" s="980">
        <v>23</v>
      </c>
      <c r="F1018" s="595"/>
      <c r="G1018" s="1009">
        <f t="shared" si="149"/>
        <v>21.490000000000002</v>
      </c>
      <c r="H1018" s="1012">
        <f t="shared" ref="H1018" si="155">E1018*G1018</f>
        <v>494.27000000000004</v>
      </c>
      <c r="I1018" s="1011">
        <f t="shared" si="152"/>
        <v>-9.0141236722942417E-3</v>
      </c>
      <c r="J1018" s="1009">
        <f t="shared" ref="J1018" si="156">ROUND((H1018+I1018)/G1018,0)</f>
        <v>23</v>
      </c>
      <c r="K1018" s="1009">
        <f t="shared" si="151"/>
        <v>-1.7291763610834503</v>
      </c>
    </row>
    <row r="1019" spans="1:17">
      <c r="A1019" s="979"/>
      <c r="B1019" s="979"/>
      <c r="C1019" s="979"/>
      <c r="D1019" s="979"/>
      <c r="E1019" s="980"/>
      <c r="F1019" s="595"/>
      <c r="H1019" s="1037">
        <f>SUM(H938:H1018)</f>
        <v>2037588.3299999998</v>
      </c>
      <c r="I1019" s="1011"/>
    </row>
    <row r="1020" spans="1:17">
      <c r="F1020" s="595"/>
    </row>
    <row r="1021" spans="1:17">
      <c r="F1021" s="595"/>
    </row>
    <row r="1022" spans="1:17">
      <c r="F1022" s="595"/>
    </row>
    <row r="1023" spans="1:17">
      <c r="F1023" s="595"/>
    </row>
    <row r="1024" spans="1:17">
      <c r="F1024" s="595"/>
    </row>
    <row r="1025" spans="6:6">
      <c r="F1025" s="595"/>
    </row>
    <row r="1026" spans="6:6">
      <c r="F1026" s="595"/>
    </row>
    <row r="1027" spans="6:6">
      <c r="F1027" s="595"/>
    </row>
    <row r="1028" spans="6:6">
      <c r="F1028" s="595"/>
    </row>
    <row r="1029" spans="6:6">
      <c r="F1029" s="595"/>
    </row>
    <row r="1030" spans="6:6">
      <c r="F1030" s="595"/>
    </row>
    <row r="1031" spans="6:6">
      <c r="F1031" s="595"/>
    </row>
    <row r="1032" spans="6:6">
      <c r="F1032" s="595"/>
    </row>
    <row r="1033" spans="6:6">
      <c r="F1033" s="595"/>
    </row>
    <row r="1034" spans="6:6">
      <c r="F1034" s="595"/>
    </row>
    <row r="1035" spans="6:6">
      <c r="F1035" s="595"/>
    </row>
    <row r="1036" spans="6:6">
      <c r="F1036" s="595"/>
    </row>
    <row r="1037" spans="6:6">
      <c r="F1037" s="595"/>
    </row>
    <row r="1038" spans="6:6">
      <c r="F1038" s="595"/>
    </row>
    <row r="1039" spans="6:6">
      <c r="F1039" s="595"/>
    </row>
    <row r="1040" spans="6:6">
      <c r="F1040" s="595"/>
    </row>
    <row r="1041" spans="6:6">
      <c r="F1041" s="595"/>
    </row>
    <row r="1042" spans="6:6">
      <c r="F1042" s="595"/>
    </row>
    <row r="1043" spans="6:6">
      <c r="F1043" s="595"/>
    </row>
    <row r="1044" spans="6:6">
      <c r="F1044" s="595"/>
    </row>
    <row r="1045" spans="6:6">
      <c r="F1045" s="595"/>
    </row>
    <row r="1046" spans="6:6">
      <c r="F1046" s="595"/>
    </row>
    <row r="1047" spans="6:6">
      <c r="F1047" s="595"/>
    </row>
    <row r="1048" spans="6:6">
      <c r="F1048" s="595"/>
    </row>
    <row r="1049" spans="6:6">
      <c r="F1049" s="595"/>
    </row>
    <row r="1050" spans="6:6">
      <c r="F1050" s="595"/>
    </row>
    <row r="1051" spans="6:6">
      <c r="F1051" s="595"/>
    </row>
    <row r="1052" spans="6:6">
      <c r="F1052" s="595"/>
    </row>
    <row r="1053" spans="6:6">
      <c r="F1053" s="595"/>
    </row>
    <row r="1054" spans="6:6">
      <c r="F1054" s="595"/>
    </row>
    <row r="1055" spans="6:6">
      <c r="F1055" s="595"/>
    </row>
    <row r="1056" spans="6:6">
      <c r="F1056" s="595"/>
    </row>
    <row r="1057" spans="6:6">
      <c r="F1057" s="595"/>
    </row>
    <row r="1058" spans="6:6">
      <c r="F1058" s="595"/>
    </row>
    <row r="1059" spans="6:6">
      <c r="F1059" s="595"/>
    </row>
    <row r="1060" spans="6:6">
      <c r="F1060" s="595"/>
    </row>
    <row r="1061" spans="6:6">
      <c r="F1061" s="595"/>
    </row>
    <row r="1062" spans="6:6">
      <c r="F1062" s="595"/>
    </row>
    <row r="1063" spans="6:6">
      <c r="F1063" s="595"/>
    </row>
    <row r="1064" spans="6:6">
      <c r="F1064" s="595"/>
    </row>
    <row r="1065" spans="6:6">
      <c r="F1065" s="595"/>
    </row>
    <row r="1066" spans="6:6">
      <c r="F1066" s="595"/>
    </row>
    <row r="1067" spans="6:6">
      <c r="F1067" s="595"/>
    </row>
    <row r="1068" spans="6:6">
      <c r="F1068" s="595"/>
    </row>
    <row r="1069" spans="6:6">
      <c r="F1069" s="595"/>
    </row>
    <row r="1070" spans="6:6">
      <c r="F1070" s="595"/>
    </row>
    <row r="1071" spans="6:6">
      <c r="F1071" s="595"/>
    </row>
    <row r="1072" spans="6:6">
      <c r="F1072" s="595"/>
    </row>
    <row r="1073" spans="6:6">
      <c r="F1073" s="595"/>
    </row>
    <row r="1074" spans="6:6">
      <c r="F1074" s="595"/>
    </row>
    <row r="1075" spans="6:6">
      <c r="F1075" s="595"/>
    </row>
    <row r="1076" spans="6:6">
      <c r="F1076" s="595"/>
    </row>
    <row r="1077" spans="6:6">
      <c r="F1077" s="595"/>
    </row>
    <row r="1078" spans="6:6">
      <c r="F1078" s="595"/>
    </row>
    <row r="1079" spans="6:6">
      <c r="F1079" s="595"/>
    </row>
    <row r="1080" spans="6:6">
      <c r="F1080" s="595"/>
    </row>
    <row r="1081" spans="6:6">
      <c r="F1081" s="595"/>
    </row>
    <row r="1082" spans="6:6">
      <c r="F1082" s="595"/>
    </row>
    <row r="1083" spans="6:6">
      <c r="F1083" s="595"/>
    </row>
    <row r="1084" spans="6:6">
      <c r="F1084" s="595"/>
    </row>
    <row r="1085" spans="6:6">
      <c r="F1085" s="595"/>
    </row>
    <row r="1086" spans="6:6">
      <c r="F1086" s="595"/>
    </row>
    <row r="1087" spans="6:6">
      <c r="F1087" s="595"/>
    </row>
    <row r="1088" spans="6:6">
      <c r="F1088" s="595"/>
    </row>
    <row r="1089" spans="6:6">
      <c r="F1089" s="595"/>
    </row>
    <row r="1090" spans="6:6">
      <c r="F1090" s="595"/>
    </row>
    <row r="1091" spans="6:6">
      <c r="F1091" s="595"/>
    </row>
    <row r="1092" spans="6:6">
      <c r="F1092" s="595"/>
    </row>
    <row r="1093" spans="6:6">
      <c r="F1093" s="595"/>
    </row>
    <row r="1094" spans="6:6">
      <c r="F1094" s="595"/>
    </row>
    <row r="1095" spans="6:6">
      <c r="F1095" s="595"/>
    </row>
    <row r="1096" spans="6:6">
      <c r="F1096" s="595"/>
    </row>
    <row r="1097" spans="6:6">
      <c r="F1097" s="595"/>
    </row>
    <row r="1098" spans="6:6">
      <c r="F1098" s="595"/>
    </row>
    <row r="1099" spans="6:6">
      <c r="F1099" s="595"/>
    </row>
    <row r="1100" spans="6:6">
      <c r="F1100" s="595"/>
    </row>
    <row r="1101" spans="6:6">
      <c r="F1101" s="595"/>
    </row>
    <row r="1102" spans="6:6">
      <c r="F1102" s="595"/>
    </row>
    <row r="1103" spans="6:6">
      <c r="F1103" s="595"/>
    </row>
    <row r="1104" spans="6:6">
      <c r="F1104" s="595"/>
    </row>
    <row r="1105" spans="6:6">
      <c r="F1105" s="595"/>
    </row>
    <row r="1106" spans="6:6">
      <c r="F1106" s="595"/>
    </row>
    <row r="1107" spans="6:6">
      <c r="F1107" s="595"/>
    </row>
    <row r="1108" spans="6:6">
      <c r="F1108" s="595"/>
    </row>
    <row r="1109" spans="6:6">
      <c r="F1109" s="595"/>
    </row>
    <row r="1110" spans="6:6">
      <c r="F1110" s="595"/>
    </row>
    <row r="1111" spans="6:6">
      <c r="F1111" s="595"/>
    </row>
    <row r="1112" spans="6:6">
      <c r="F1112" s="595"/>
    </row>
    <row r="1113" spans="6:6">
      <c r="F1113" s="595"/>
    </row>
    <row r="1114" spans="6:6">
      <c r="F1114" s="595"/>
    </row>
    <row r="1115" spans="6:6">
      <c r="F1115" s="595"/>
    </row>
    <row r="1116" spans="6:6">
      <c r="F1116" s="595"/>
    </row>
    <row r="1117" spans="6:6">
      <c r="F1117" s="595"/>
    </row>
    <row r="1118" spans="6:6">
      <c r="F1118" s="595"/>
    </row>
    <row r="1119" spans="6:6">
      <c r="F1119" s="595"/>
    </row>
    <row r="1120" spans="6:6">
      <c r="F1120" s="595"/>
    </row>
    <row r="1121" spans="6:6">
      <c r="F1121" s="595"/>
    </row>
    <row r="1122" spans="6:6">
      <c r="F1122" s="595"/>
    </row>
    <row r="1123" spans="6:6">
      <c r="F1123" s="595"/>
    </row>
    <row r="1124" spans="6:6">
      <c r="F1124" s="595"/>
    </row>
    <row r="1125" spans="6:6">
      <c r="F1125" s="595"/>
    </row>
    <row r="1126" spans="6:6">
      <c r="F1126" s="595"/>
    </row>
    <row r="1127" spans="6:6">
      <c r="F1127" s="595"/>
    </row>
    <row r="1128" spans="6:6">
      <c r="F1128" s="595"/>
    </row>
    <row r="1129" spans="6:6">
      <c r="F1129" s="595"/>
    </row>
    <row r="1130" spans="6:6">
      <c r="F1130" s="595"/>
    </row>
    <row r="1131" spans="6:6">
      <c r="F1131" s="595"/>
    </row>
    <row r="1132" spans="6:6">
      <c r="F1132" s="595"/>
    </row>
    <row r="1133" spans="6:6">
      <c r="F1133" s="595"/>
    </row>
    <row r="1134" spans="6:6">
      <c r="F1134" s="595"/>
    </row>
    <row r="1135" spans="6:6">
      <c r="F1135" s="595"/>
    </row>
    <row r="1136" spans="6:6">
      <c r="F1136" s="595"/>
    </row>
    <row r="1137" spans="6:6">
      <c r="F1137" s="595"/>
    </row>
    <row r="1138" spans="6:6">
      <c r="F1138" s="595"/>
    </row>
    <row r="1139" spans="6:6">
      <c r="F1139" s="595"/>
    </row>
    <row r="1140" spans="6:6">
      <c r="F1140" s="595"/>
    </row>
    <row r="1141" spans="6:6">
      <c r="F1141" s="595"/>
    </row>
    <row r="1142" spans="6:6">
      <c r="F1142" s="595"/>
    </row>
    <row r="1143" spans="6:6">
      <c r="F1143" s="595"/>
    </row>
    <row r="1144" spans="6:6">
      <c r="F1144" s="595"/>
    </row>
    <row r="1145" spans="6:6">
      <c r="F1145" s="595"/>
    </row>
    <row r="1146" spans="6:6">
      <c r="F1146" s="595"/>
    </row>
    <row r="1147" spans="6:6">
      <c r="F1147" s="595"/>
    </row>
    <row r="1148" spans="6:6">
      <c r="F1148" s="595"/>
    </row>
    <row r="1149" spans="6:6">
      <c r="F1149" s="595"/>
    </row>
    <row r="1150" spans="6:6">
      <c r="F1150" s="595"/>
    </row>
    <row r="1151" spans="6:6">
      <c r="F1151" s="595"/>
    </row>
    <row r="1152" spans="6:6">
      <c r="F1152" s="595"/>
    </row>
    <row r="1153" spans="6:6">
      <c r="F1153" s="595"/>
    </row>
    <row r="1154" spans="6:6">
      <c r="F1154" s="595"/>
    </row>
    <row r="1155" spans="6:6">
      <c r="F1155" s="595"/>
    </row>
    <row r="1156" spans="6:6">
      <c r="F1156" s="595"/>
    </row>
    <row r="1157" spans="6:6">
      <c r="F1157" s="595"/>
    </row>
    <row r="1158" spans="6:6">
      <c r="F1158" s="595"/>
    </row>
    <row r="1159" spans="6:6">
      <c r="F1159" s="595"/>
    </row>
    <row r="1160" spans="6:6">
      <c r="F1160" s="595"/>
    </row>
    <row r="1161" spans="6:6">
      <c r="F1161" s="595"/>
    </row>
    <row r="1162" spans="6:6">
      <c r="F1162" s="595"/>
    </row>
    <row r="1163" spans="6:6">
      <c r="F1163" s="595"/>
    </row>
    <row r="1164" spans="6:6">
      <c r="F1164" s="595"/>
    </row>
    <row r="1165" spans="6:6">
      <c r="F1165" s="595"/>
    </row>
    <row r="1166" spans="6:6">
      <c r="F1166" s="595"/>
    </row>
    <row r="1167" spans="6:6">
      <c r="F1167" s="595"/>
    </row>
    <row r="1168" spans="6:6">
      <c r="F1168" s="595"/>
    </row>
    <row r="1169" spans="6:6">
      <c r="F1169" s="595"/>
    </row>
    <row r="1170" spans="6:6">
      <c r="F1170" s="595"/>
    </row>
    <row r="1171" spans="6:6">
      <c r="F1171" s="595"/>
    </row>
    <row r="1172" spans="6:6">
      <c r="F1172" s="595"/>
    </row>
    <row r="1173" spans="6:6">
      <c r="F1173" s="595"/>
    </row>
    <row r="1174" spans="6:6">
      <c r="F1174" s="595"/>
    </row>
    <row r="1175" spans="6:6">
      <c r="F1175" s="595"/>
    </row>
    <row r="1176" spans="6:6">
      <c r="F1176" s="595"/>
    </row>
    <row r="1177" spans="6:6">
      <c r="F1177" s="595"/>
    </row>
    <row r="1178" spans="6:6">
      <c r="F1178" s="595"/>
    </row>
    <row r="1179" spans="6:6">
      <c r="F1179" s="595"/>
    </row>
    <row r="1180" spans="6:6">
      <c r="F1180" s="595"/>
    </row>
    <row r="1181" spans="6:6">
      <c r="F1181" s="595"/>
    </row>
    <row r="1182" spans="6:6">
      <c r="F1182" s="595"/>
    </row>
    <row r="1183" spans="6:6">
      <c r="F1183" s="595"/>
    </row>
    <row r="1184" spans="6:6">
      <c r="F1184" s="595"/>
    </row>
    <row r="1185" spans="6:6">
      <c r="F1185" s="595"/>
    </row>
    <row r="1186" spans="6:6">
      <c r="F1186" s="595"/>
    </row>
    <row r="1187" spans="6:6">
      <c r="F1187" s="595"/>
    </row>
    <row r="1188" spans="6:6">
      <c r="F1188" s="595"/>
    </row>
    <row r="1189" spans="6:6">
      <c r="F1189" s="595"/>
    </row>
    <row r="1190" spans="6:6">
      <c r="F1190" s="595"/>
    </row>
    <row r="1191" spans="6:6">
      <c r="F1191" s="595"/>
    </row>
    <row r="1192" spans="6:6">
      <c r="F1192" s="595"/>
    </row>
    <row r="1193" spans="6:6">
      <c r="F1193" s="595"/>
    </row>
    <row r="1194" spans="6:6">
      <c r="F1194" s="595"/>
    </row>
    <row r="1195" spans="6:6">
      <c r="F1195" s="595"/>
    </row>
    <row r="1196" spans="6:6">
      <c r="F1196" s="595"/>
    </row>
    <row r="1197" spans="6:6">
      <c r="F1197" s="595"/>
    </row>
    <row r="1198" spans="6:6">
      <c r="F1198" s="595"/>
    </row>
    <row r="1199" spans="6:6">
      <c r="F1199" s="595"/>
    </row>
    <row r="1200" spans="6:6">
      <c r="F1200" s="595"/>
    </row>
    <row r="1201" spans="6:6">
      <c r="F1201" s="595"/>
    </row>
    <row r="1202" spans="6:6">
      <c r="F1202" s="595"/>
    </row>
    <row r="1203" spans="6:6">
      <c r="F1203" s="595"/>
    </row>
    <row r="1204" spans="6:6">
      <c r="F1204" s="595"/>
    </row>
    <row r="1205" spans="6:6">
      <c r="F1205" s="595"/>
    </row>
    <row r="1206" spans="6:6">
      <c r="F1206" s="595"/>
    </row>
    <row r="1207" spans="6:6">
      <c r="F1207" s="595"/>
    </row>
    <row r="1208" spans="6:6">
      <c r="F1208" s="595"/>
    </row>
    <row r="1209" spans="6:6">
      <c r="F1209" s="595"/>
    </row>
    <row r="1210" spans="6:6">
      <c r="F1210" s="595"/>
    </row>
    <row r="1211" spans="6:6">
      <c r="F1211" s="595"/>
    </row>
    <row r="1212" spans="6:6">
      <c r="F1212" s="595"/>
    </row>
    <row r="1213" spans="6:6">
      <c r="F1213" s="595"/>
    </row>
    <row r="1214" spans="6:6">
      <c r="F1214" s="595"/>
    </row>
    <row r="1215" spans="6:6">
      <c r="F1215" s="595"/>
    </row>
    <row r="1216" spans="6:6">
      <c r="F1216" s="595"/>
    </row>
    <row r="1217" spans="6:6">
      <c r="F1217" s="595"/>
    </row>
    <row r="1218" spans="6:6">
      <c r="F1218" s="595"/>
    </row>
    <row r="1219" spans="6:6">
      <c r="F1219" s="595"/>
    </row>
    <row r="1220" spans="6:6">
      <c r="F1220" s="595"/>
    </row>
    <row r="1221" spans="6:6">
      <c r="F1221" s="595"/>
    </row>
    <row r="1222" spans="6:6">
      <c r="F1222" s="595"/>
    </row>
    <row r="1223" spans="6:6">
      <c r="F1223" s="595"/>
    </row>
    <row r="1224" spans="6:6">
      <c r="F1224" s="595"/>
    </row>
    <row r="1225" spans="6:6">
      <c r="F1225" s="595"/>
    </row>
    <row r="1226" spans="6:6">
      <c r="F1226" s="595"/>
    </row>
    <row r="1227" spans="6:6">
      <c r="F1227" s="595"/>
    </row>
    <row r="1228" spans="6:6">
      <c r="F1228" s="595"/>
    </row>
    <row r="1229" spans="6:6">
      <c r="F1229" s="595"/>
    </row>
    <row r="1230" spans="6:6">
      <c r="F1230" s="595"/>
    </row>
    <row r="1231" spans="6:6">
      <c r="F1231" s="595"/>
    </row>
    <row r="1232" spans="6:6">
      <c r="F1232" s="595"/>
    </row>
    <row r="1233" spans="6:6">
      <c r="F1233" s="595"/>
    </row>
    <row r="1234" spans="6:6">
      <c r="F1234" s="595"/>
    </row>
    <row r="1235" spans="6:6">
      <c r="F1235" s="595"/>
    </row>
    <row r="1236" spans="6:6">
      <c r="F1236" s="595"/>
    </row>
    <row r="1237" spans="6:6">
      <c r="F1237" s="595"/>
    </row>
    <row r="1238" spans="6:6">
      <c r="F1238" s="595"/>
    </row>
    <row r="1239" spans="6:6">
      <c r="F1239" s="595"/>
    </row>
    <row r="1240" spans="6:6">
      <c r="F1240" s="595"/>
    </row>
    <row r="1241" spans="6:6">
      <c r="F1241" s="595"/>
    </row>
    <row r="1242" spans="6:6">
      <c r="F1242" s="595"/>
    </row>
    <row r="1243" spans="6:6">
      <c r="F1243" s="595"/>
    </row>
    <row r="1244" spans="6:6">
      <c r="F1244" s="595"/>
    </row>
    <row r="1245" spans="6:6">
      <c r="F1245" s="595"/>
    </row>
    <row r="1246" spans="6:6">
      <c r="F1246" s="595"/>
    </row>
    <row r="1247" spans="6:6">
      <c r="F1247" s="595"/>
    </row>
    <row r="1248" spans="6:6">
      <c r="F1248" s="595"/>
    </row>
    <row r="1249" spans="6:6">
      <c r="F1249" s="595"/>
    </row>
    <row r="1250" spans="6:6">
      <c r="F1250" s="595"/>
    </row>
    <row r="1251" spans="6:6">
      <c r="F1251" s="595"/>
    </row>
    <row r="1252" spans="6:6">
      <c r="F1252" s="595"/>
    </row>
    <row r="1253" spans="6:6">
      <c r="F1253" s="595"/>
    </row>
    <row r="1254" spans="6:6">
      <c r="F1254" s="595"/>
    </row>
    <row r="1255" spans="6:6">
      <c r="F1255" s="595"/>
    </row>
    <row r="1256" spans="6:6">
      <c r="F1256" s="595"/>
    </row>
    <row r="1257" spans="6:6">
      <c r="F1257" s="595"/>
    </row>
    <row r="1258" spans="6:6">
      <c r="F1258" s="595"/>
    </row>
    <row r="1259" spans="6:6">
      <c r="F1259" s="595"/>
    </row>
    <row r="1260" spans="6:6">
      <c r="F1260" s="595"/>
    </row>
    <row r="1261" spans="6:6">
      <c r="F1261" s="595"/>
    </row>
    <row r="1262" spans="6:6">
      <c r="F1262" s="595"/>
    </row>
    <row r="1263" spans="6:6">
      <c r="F1263" s="595"/>
    </row>
    <row r="1264" spans="6:6">
      <c r="F1264" s="595"/>
    </row>
    <row r="1265" spans="6:6">
      <c r="F1265" s="595"/>
    </row>
    <row r="1266" spans="6:6">
      <c r="F1266" s="595"/>
    </row>
    <row r="1267" spans="6:6">
      <c r="F1267" s="595"/>
    </row>
    <row r="1268" spans="6:6">
      <c r="F1268" s="595"/>
    </row>
    <row r="1269" spans="6:6">
      <c r="F1269" s="595"/>
    </row>
    <row r="1270" spans="6:6">
      <c r="F1270" s="595"/>
    </row>
    <row r="1271" spans="6:6">
      <c r="F1271" s="595"/>
    </row>
    <row r="1272" spans="6:6">
      <c r="F1272" s="595"/>
    </row>
    <row r="1273" spans="6:6">
      <c r="F1273" s="595"/>
    </row>
    <row r="1274" spans="6:6">
      <c r="F1274" s="595"/>
    </row>
    <row r="1275" spans="6:6">
      <c r="F1275" s="595"/>
    </row>
    <row r="1276" spans="6:6">
      <c r="F1276" s="595"/>
    </row>
    <row r="1277" spans="6:6">
      <c r="F1277" s="595"/>
    </row>
    <row r="1278" spans="6:6">
      <c r="F1278" s="595"/>
    </row>
    <row r="1279" spans="6:6">
      <c r="F1279" s="595"/>
    </row>
    <row r="1280" spans="6:6">
      <c r="F1280" s="595"/>
    </row>
    <row r="1281" spans="6:6">
      <c r="F1281" s="595"/>
    </row>
    <row r="1282" spans="6:6">
      <c r="F1282" s="595"/>
    </row>
    <row r="1283" spans="6:6">
      <c r="F1283" s="595"/>
    </row>
    <row r="1284" spans="6:6">
      <c r="F1284" s="595"/>
    </row>
    <row r="1285" spans="6:6">
      <c r="F1285" s="595"/>
    </row>
    <row r="1286" spans="6:6">
      <c r="F1286" s="595"/>
    </row>
    <row r="1287" spans="6:6">
      <c r="F1287" s="595"/>
    </row>
    <row r="1288" spans="6:6">
      <c r="F1288" s="595"/>
    </row>
    <row r="1289" spans="6:6">
      <c r="F1289" s="595"/>
    </row>
    <row r="1290" spans="6:6">
      <c r="F1290" s="595"/>
    </row>
    <row r="1291" spans="6:6">
      <c r="F1291" s="595"/>
    </row>
    <row r="1292" spans="6:6">
      <c r="F1292" s="595"/>
    </row>
    <row r="1293" spans="6:6">
      <c r="F1293" s="595"/>
    </row>
    <row r="1294" spans="6:6">
      <c r="F1294" s="595"/>
    </row>
    <row r="1295" spans="6:6">
      <c r="F1295" s="595"/>
    </row>
    <row r="1296" spans="6:6">
      <c r="F1296" s="595"/>
    </row>
    <row r="1297" spans="6:6">
      <c r="F1297" s="595"/>
    </row>
    <row r="1298" spans="6:6">
      <c r="F1298" s="595"/>
    </row>
    <row r="1299" spans="6:6">
      <c r="F1299" s="595"/>
    </row>
    <row r="1300" spans="6:6">
      <c r="F1300" s="595"/>
    </row>
    <row r="1301" spans="6:6">
      <c r="F1301" s="595"/>
    </row>
    <row r="1302" spans="6:6">
      <c r="F1302" s="595"/>
    </row>
    <row r="1303" spans="6:6">
      <c r="F1303" s="595"/>
    </row>
    <row r="1304" spans="6:6">
      <c r="F1304" s="595"/>
    </row>
    <row r="1305" spans="6:6">
      <c r="F1305" s="595"/>
    </row>
    <row r="1306" spans="6:6">
      <c r="F1306" s="595"/>
    </row>
    <row r="1307" spans="6:6">
      <c r="F1307" s="595"/>
    </row>
    <row r="1308" spans="6:6">
      <c r="F1308" s="595"/>
    </row>
    <row r="1309" spans="6:6">
      <c r="F1309" s="595"/>
    </row>
    <row r="1310" spans="6:6">
      <c r="F1310" s="595"/>
    </row>
    <row r="1311" spans="6:6">
      <c r="F1311" s="595"/>
    </row>
    <row r="1312" spans="6:6">
      <c r="F1312" s="595"/>
    </row>
    <row r="1313" spans="6:6">
      <c r="F1313" s="595"/>
    </row>
    <row r="1314" spans="6:6">
      <c r="F1314" s="595"/>
    </row>
    <row r="1315" spans="6:6">
      <c r="F1315" s="595"/>
    </row>
    <row r="1316" spans="6:6">
      <c r="F1316" s="595"/>
    </row>
    <row r="1317" spans="6:6">
      <c r="F1317" s="595"/>
    </row>
    <row r="1318" spans="6:6">
      <c r="F1318" s="595"/>
    </row>
    <row r="1319" spans="6:6">
      <c r="F1319" s="595"/>
    </row>
    <row r="1320" spans="6:6">
      <c r="F1320" s="595"/>
    </row>
    <row r="1321" spans="6:6">
      <c r="F1321" s="595"/>
    </row>
    <row r="1322" spans="6:6">
      <c r="F1322" s="595"/>
    </row>
    <row r="1323" spans="6:6">
      <c r="F1323" s="595"/>
    </row>
    <row r="1324" spans="6:6">
      <c r="F1324" s="595"/>
    </row>
    <row r="1325" spans="6:6">
      <c r="F1325" s="595"/>
    </row>
    <row r="1326" spans="6:6">
      <c r="F1326" s="595"/>
    </row>
    <row r="1327" spans="6:6">
      <c r="F1327" s="595"/>
    </row>
    <row r="1328" spans="6:6">
      <c r="F1328" s="595"/>
    </row>
    <row r="1329" spans="6:6">
      <c r="F1329" s="595"/>
    </row>
    <row r="1330" spans="6:6">
      <c r="F1330" s="595"/>
    </row>
    <row r="1331" spans="6:6">
      <c r="F1331" s="595"/>
    </row>
    <row r="1332" spans="6:6">
      <c r="F1332" s="595"/>
    </row>
    <row r="1333" spans="6:6">
      <c r="F1333" s="595"/>
    </row>
    <row r="1334" spans="6:6">
      <c r="F1334" s="595"/>
    </row>
    <row r="1335" spans="6:6">
      <c r="F1335" s="595"/>
    </row>
    <row r="1336" spans="6:6">
      <c r="F1336" s="595"/>
    </row>
    <row r="1337" spans="6:6">
      <c r="F1337" s="595"/>
    </row>
    <row r="1338" spans="6:6">
      <c r="F1338" s="595"/>
    </row>
    <row r="1339" spans="6:6">
      <c r="F1339" s="595"/>
    </row>
    <row r="1340" spans="6:6">
      <c r="F1340" s="595"/>
    </row>
    <row r="1341" spans="6:6">
      <c r="F1341" s="595"/>
    </row>
    <row r="1342" spans="6:6">
      <c r="F1342" s="595"/>
    </row>
    <row r="1343" spans="6:6">
      <c r="F1343" s="595"/>
    </row>
    <row r="1344" spans="6:6">
      <c r="F1344" s="595"/>
    </row>
    <row r="1345" spans="6:6">
      <c r="F1345" s="595"/>
    </row>
    <row r="1346" spans="6:6">
      <c r="F1346" s="595"/>
    </row>
    <row r="1347" spans="6:6">
      <c r="F1347" s="595"/>
    </row>
    <row r="1348" spans="6:6">
      <c r="F1348" s="595"/>
    </row>
    <row r="1349" spans="6:6">
      <c r="F1349" s="595"/>
    </row>
    <row r="1350" spans="6:6">
      <c r="F1350" s="595"/>
    </row>
    <row r="1351" spans="6:6">
      <c r="F1351" s="595"/>
    </row>
    <row r="1352" spans="6:6">
      <c r="F1352" s="595"/>
    </row>
    <row r="1353" spans="6:6">
      <c r="F1353" s="595"/>
    </row>
    <row r="1354" spans="6:6">
      <c r="F1354" s="595"/>
    </row>
    <row r="1355" spans="6:6">
      <c r="F1355" s="595"/>
    </row>
    <row r="1356" spans="6:6">
      <c r="F1356" s="595"/>
    </row>
    <row r="1357" spans="6:6">
      <c r="F1357" s="595"/>
    </row>
    <row r="1358" spans="6:6">
      <c r="F1358" s="595"/>
    </row>
    <row r="1359" spans="6:6">
      <c r="F1359" s="595"/>
    </row>
    <row r="1360" spans="6:6">
      <c r="F1360" s="595"/>
    </row>
    <row r="1361" spans="6:6">
      <c r="F1361" s="595"/>
    </row>
    <row r="1362" spans="6:6">
      <c r="F1362" s="595"/>
    </row>
    <row r="1363" spans="6:6">
      <c r="F1363" s="595"/>
    </row>
    <row r="1364" spans="6:6">
      <c r="F1364" s="595"/>
    </row>
    <row r="1365" spans="6:6">
      <c r="F1365" s="595"/>
    </row>
    <row r="1366" spans="6:6">
      <c r="F1366" s="595"/>
    </row>
    <row r="1367" spans="6:6">
      <c r="F1367" s="595"/>
    </row>
    <row r="1368" spans="6:6">
      <c r="F1368" s="595"/>
    </row>
    <row r="1369" spans="6:6">
      <c r="F1369" s="595"/>
    </row>
    <row r="1370" spans="6:6">
      <c r="F1370" s="595"/>
    </row>
    <row r="1371" spans="6:6">
      <c r="F1371" s="595"/>
    </row>
    <row r="1372" spans="6:6">
      <c r="F1372" s="595"/>
    </row>
    <row r="1373" spans="6:6">
      <c r="F1373" s="595"/>
    </row>
    <row r="1374" spans="6:6">
      <c r="F1374" s="595"/>
    </row>
    <row r="1375" spans="6:6">
      <c r="F1375" s="595"/>
    </row>
    <row r="1376" spans="6:6">
      <c r="F1376" s="595"/>
    </row>
    <row r="1377" spans="6:6">
      <c r="F1377" s="595"/>
    </row>
    <row r="1378" spans="6:6">
      <c r="F1378" s="595"/>
    </row>
    <row r="1379" spans="6:6">
      <c r="F1379" s="595"/>
    </row>
    <row r="1380" spans="6:6">
      <c r="F1380" s="595"/>
    </row>
    <row r="1381" spans="6:6">
      <c r="F1381" s="595"/>
    </row>
    <row r="1382" spans="6:6">
      <c r="F1382" s="595"/>
    </row>
    <row r="1383" spans="6:6">
      <c r="F1383" s="595"/>
    </row>
    <row r="1384" spans="6:6">
      <c r="F1384" s="595"/>
    </row>
    <row r="1385" spans="6:6">
      <c r="F1385" s="595"/>
    </row>
    <row r="1386" spans="6:6">
      <c r="F1386" s="595"/>
    </row>
    <row r="1387" spans="6:6">
      <c r="F1387" s="595"/>
    </row>
    <row r="1388" spans="6:6">
      <c r="F1388" s="595"/>
    </row>
    <row r="1389" spans="6:6">
      <c r="F1389" s="595"/>
    </row>
    <row r="1390" spans="6:6">
      <c r="F1390" s="595"/>
    </row>
    <row r="1391" spans="6:6">
      <c r="F1391" s="595"/>
    </row>
    <row r="1392" spans="6:6">
      <c r="F1392" s="595"/>
    </row>
    <row r="1393" spans="6:6">
      <c r="F1393" s="595"/>
    </row>
    <row r="1394" spans="6:6">
      <c r="F1394" s="595"/>
    </row>
    <row r="1395" spans="6:6">
      <c r="F1395" s="595"/>
    </row>
    <row r="1396" spans="6:6">
      <c r="F1396" s="595"/>
    </row>
    <row r="1397" spans="6:6">
      <c r="F1397" s="595"/>
    </row>
    <row r="1398" spans="6:6">
      <c r="F1398" s="595"/>
    </row>
    <row r="1399" spans="6:6">
      <c r="F1399" s="595"/>
    </row>
    <row r="1400" spans="6:6">
      <c r="F1400" s="595"/>
    </row>
    <row r="1401" spans="6:6">
      <c r="F1401" s="595"/>
    </row>
    <row r="1402" spans="6:6">
      <c r="F1402" s="595"/>
    </row>
    <row r="1403" spans="6:6">
      <c r="F1403" s="595"/>
    </row>
    <row r="1404" spans="6:6">
      <c r="F1404" s="595"/>
    </row>
    <row r="1405" spans="6:6">
      <c r="F1405" s="595"/>
    </row>
    <row r="1406" spans="6:6">
      <c r="F1406" s="595"/>
    </row>
    <row r="1407" spans="6:6">
      <c r="F1407" s="595"/>
    </row>
    <row r="1408" spans="6:6">
      <c r="F1408" s="595"/>
    </row>
    <row r="1409" spans="6:6">
      <c r="F1409" s="595"/>
    </row>
    <row r="1410" spans="6:6">
      <c r="F1410" s="595"/>
    </row>
    <row r="1411" spans="6:6">
      <c r="F1411" s="595"/>
    </row>
    <row r="1412" spans="6:6">
      <c r="F1412" s="595"/>
    </row>
    <row r="1413" spans="6:6">
      <c r="F1413" s="595"/>
    </row>
    <row r="1414" spans="6:6">
      <c r="F1414" s="595"/>
    </row>
    <row r="1415" spans="6:6">
      <c r="F1415" s="595"/>
    </row>
    <row r="1416" spans="6:6">
      <c r="F1416" s="595"/>
    </row>
    <row r="1417" spans="6:6">
      <c r="F1417" s="595"/>
    </row>
    <row r="1418" spans="6:6">
      <c r="F1418" s="595"/>
    </row>
    <row r="1419" spans="6:6">
      <c r="F1419" s="595"/>
    </row>
    <row r="1420" spans="6:6">
      <c r="F1420" s="595"/>
    </row>
    <row r="1421" spans="6:6">
      <c r="F1421" s="595"/>
    </row>
    <row r="1422" spans="6:6">
      <c r="F1422" s="595"/>
    </row>
    <row r="1423" spans="6:6">
      <c r="F1423" s="595"/>
    </row>
    <row r="1424" spans="6:6">
      <c r="F1424" s="595"/>
    </row>
    <row r="1425" spans="6:6">
      <c r="F1425" s="595"/>
    </row>
    <row r="1426" spans="6:6">
      <c r="F1426" s="595"/>
    </row>
    <row r="1427" spans="6:6">
      <c r="F1427" s="595"/>
    </row>
    <row r="1428" spans="6:6">
      <c r="F1428" s="595"/>
    </row>
    <row r="1429" spans="6:6">
      <c r="F1429" s="595"/>
    </row>
    <row r="1430" spans="6:6">
      <c r="F1430" s="595"/>
    </row>
    <row r="1431" spans="6:6">
      <c r="F1431" s="595"/>
    </row>
    <row r="1432" spans="6:6">
      <c r="F1432" s="595"/>
    </row>
    <row r="1433" spans="6:6">
      <c r="F1433" s="595"/>
    </row>
    <row r="1434" spans="6:6">
      <c r="F1434" s="595"/>
    </row>
    <row r="1435" spans="6:6">
      <c r="F1435" s="595"/>
    </row>
    <row r="1436" spans="6:6">
      <c r="F1436" s="595"/>
    </row>
    <row r="1437" spans="6:6">
      <c r="F1437" s="595"/>
    </row>
    <row r="1438" spans="6:6">
      <c r="F1438" s="595"/>
    </row>
    <row r="1439" spans="6:6">
      <c r="F1439" s="595"/>
    </row>
    <row r="1440" spans="6:6">
      <c r="F1440" s="595"/>
    </row>
    <row r="1441" spans="6:6">
      <c r="F1441" s="595"/>
    </row>
    <row r="1442" spans="6:6">
      <c r="F1442" s="595"/>
    </row>
    <row r="1443" spans="6:6">
      <c r="F1443" s="595"/>
    </row>
    <row r="1444" spans="6:6">
      <c r="F1444" s="595"/>
    </row>
    <row r="1445" spans="6:6">
      <c r="F1445" s="595"/>
    </row>
    <row r="1446" spans="6:6">
      <c r="F1446" s="595"/>
    </row>
    <row r="1447" spans="6:6">
      <c r="F1447" s="595"/>
    </row>
    <row r="1448" spans="6:6">
      <c r="F1448" s="595"/>
    </row>
    <row r="1449" spans="6:6">
      <c r="F1449" s="595"/>
    </row>
    <row r="1450" spans="6:6">
      <c r="F1450" s="595"/>
    </row>
    <row r="1451" spans="6:6">
      <c r="F1451" s="595"/>
    </row>
    <row r="1452" spans="6:6">
      <c r="F1452" s="595"/>
    </row>
    <row r="1453" spans="6:6">
      <c r="F1453" s="595"/>
    </row>
    <row r="1454" spans="6:6">
      <c r="F1454" s="595"/>
    </row>
    <row r="1455" spans="6:6">
      <c r="F1455" s="595"/>
    </row>
    <row r="1456" spans="6:6">
      <c r="F1456" s="595"/>
    </row>
    <row r="1457" spans="6:6">
      <c r="F1457" s="595"/>
    </row>
    <row r="1458" spans="6:6">
      <c r="F1458" s="595"/>
    </row>
    <row r="1459" spans="6:6">
      <c r="F1459" s="595"/>
    </row>
    <row r="1460" spans="6:6">
      <c r="F1460" s="595"/>
    </row>
    <row r="1461" spans="6:6">
      <c r="F1461" s="595"/>
    </row>
    <row r="1462" spans="6:6">
      <c r="F1462" s="595"/>
    </row>
    <row r="1463" spans="6:6">
      <c r="F1463" s="595"/>
    </row>
    <row r="1464" spans="6:6">
      <c r="F1464" s="595"/>
    </row>
    <row r="1465" spans="6:6">
      <c r="F1465" s="595"/>
    </row>
    <row r="1466" spans="6:6">
      <c r="F1466" s="595"/>
    </row>
    <row r="1467" spans="6:6">
      <c r="F1467" s="595"/>
    </row>
    <row r="1468" spans="6:6">
      <c r="F1468" s="595"/>
    </row>
    <row r="1469" spans="6:6">
      <c r="F1469" s="595"/>
    </row>
    <row r="1470" spans="6:6">
      <c r="F1470" s="595"/>
    </row>
    <row r="1471" spans="6:6">
      <c r="F1471" s="595"/>
    </row>
    <row r="1472" spans="6:6">
      <c r="F1472" s="595"/>
    </row>
    <row r="1473" spans="6:6">
      <c r="F1473" s="595"/>
    </row>
    <row r="1474" spans="6:6">
      <c r="F1474" s="595"/>
    </row>
    <row r="1475" spans="6:6">
      <c r="F1475" s="595"/>
    </row>
    <row r="1476" spans="6:6">
      <c r="F1476" s="595"/>
    </row>
    <row r="1477" spans="6:6">
      <c r="F1477" s="595"/>
    </row>
    <row r="1478" spans="6:6">
      <c r="F1478" s="595"/>
    </row>
    <row r="1479" spans="6:6">
      <c r="F1479" s="595"/>
    </row>
    <row r="1480" spans="6:6">
      <c r="F1480" s="595"/>
    </row>
    <row r="1481" spans="6:6">
      <c r="F1481" s="595"/>
    </row>
    <row r="1482" spans="6:6">
      <c r="F1482" s="595"/>
    </row>
    <row r="1483" spans="6:6">
      <c r="F1483" s="595"/>
    </row>
    <row r="1484" spans="6:6">
      <c r="F1484" s="595"/>
    </row>
    <row r="1485" spans="6:6">
      <c r="F1485" s="595"/>
    </row>
    <row r="1486" spans="6:6">
      <c r="F1486" s="595"/>
    </row>
    <row r="1487" spans="6:6">
      <c r="F1487" s="595"/>
    </row>
    <row r="1488" spans="6:6">
      <c r="F1488" s="595"/>
    </row>
    <row r="1489" spans="6:6">
      <c r="F1489" s="595"/>
    </row>
    <row r="1490" spans="6:6">
      <c r="F1490" s="595"/>
    </row>
    <row r="1491" spans="6:6">
      <c r="F1491" s="595"/>
    </row>
    <row r="1492" spans="6:6">
      <c r="F1492" s="595"/>
    </row>
    <row r="1493" spans="6:6">
      <c r="F1493" s="595"/>
    </row>
    <row r="1494" spans="6:6">
      <c r="F1494" s="595"/>
    </row>
    <row r="1495" spans="6:6">
      <c r="F1495" s="595"/>
    </row>
    <row r="1496" spans="6:6">
      <c r="F1496" s="595"/>
    </row>
    <row r="1497" spans="6:6">
      <c r="F1497" s="595"/>
    </row>
    <row r="1498" spans="6:6">
      <c r="F1498" s="595"/>
    </row>
    <row r="1499" spans="6:6">
      <c r="F1499" s="595"/>
    </row>
    <row r="1500" spans="6:6">
      <c r="F1500" s="595"/>
    </row>
    <row r="1501" spans="6:6">
      <c r="F1501" s="595"/>
    </row>
    <row r="1502" spans="6:6">
      <c r="F1502" s="595"/>
    </row>
    <row r="1503" spans="6:6">
      <c r="F1503" s="595"/>
    </row>
    <row r="1504" spans="6:6">
      <c r="F1504" s="595"/>
    </row>
    <row r="1505" spans="6:6">
      <c r="F1505" s="595"/>
    </row>
    <row r="1506" spans="6:6">
      <c r="F1506" s="595"/>
    </row>
    <row r="1507" spans="6:6">
      <c r="F1507" s="595"/>
    </row>
    <row r="1508" spans="6:6">
      <c r="F1508" s="595"/>
    </row>
    <row r="1509" spans="6:6">
      <c r="F1509" s="595"/>
    </row>
    <row r="1510" spans="6:6">
      <c r="F1510" s="595"/>
    </row>
    <row r="1511" spans="6:6">
      <c r="F1511" s="595"/>
    </row>
    <row r="1512" spans="6:6">
      <c r="F1512" s="595"/>
    </row>
    <row r="1513" spans="6:6">
      <c r="F1513" s="595"/>
    </row>
    <row r="1514" spans="6:6">
      <c r="F1514" s="595"/>
    </row>
    <row r="1515" spans="6:6">
      <c r="F1515" s="595"/>
    </row>
    <row r="1516" spans="6:6">
      <c r="F1516" s="595"/>
    </row>
    <row r="1517" spans="6:6">
      <c r="F1517" s="595"/>
    </row>
    <row r="1518" spans="6:6">
      <c r="F1518" s="595"/>
    </row>
    <row r="1519" spans="6:6">
      <c r="F1519" s="595"/>
    </row>
    <row r="1520" spans="6:6">
      <c r="F1520" s="595"/>
    </row>
    <row r="1521" spans="6:6">
      <c r="F1521" s="595"/>
    </row>
    <row r="1522" spans="6:6">
      <c r="F1522" s="595"/>
    </row>
    <row r="1523" spans="6:6">
      <c r="F1523" s="595"/>
    </row>
    <row r="1524" spans="6:6">
      <c r="F1524" s="595"/>
    </row>
    <row r="1525" spans="6:6">
      <c r="F1525" s="595"/>
    </row>
    <row r="1526" spans="6:6">
      <c r="F1526" s="595"/>
    </row>
    <row r="1527" spans="6:6">
      <c r="F1527" s="595"/>
    </row>
    <row r="1528" spans="6:6">
      <c r="F1528" s="595"/>
    </row>
    <row r="1529" spans="6:6">
      <c r="F1529" s="595"/>
    </row>
    <row r="1530" spans="6:6">
      <c r="F1530" s="595"/>
    </row>
    <row r="1531" spans="6:6">
      <c r="F1531" s="595"/>
    </row>
    <row r="1532" spans="6:6">
      <c r="F1532" s="595"/>
    </row>
    <row r="1533" spans="6:6">
      <c r="F1533" s="595"/>
    </row>
    <row r="1534" spans="6:6">
      <c r="F1534" s="595"/>
    </row>
    <row r="1535" spans="6:6">
      <c r="F1535" s="595"/>
    </row>
    <row r="1536" spans="6:6">
      <c r="F1536" s="595"/>
    </row>
    <row r="1537" spans="6:6">
      <c r="F1537" s="595"/>
    </row>
    <row r="1538" spans="6:6">
      <c r="F1538" s="595"/>
    </row>
    <row r="1539" spans="6:6">
      <c r="F1539" s="595"/>
    </row>
    <row r="1540" spans="6:6">
      <c r="F1540" s="595"/>
    </row>
    <row r="1541" spans="6:6">
      <c r="F1541" s="595"/>
    </row>
    <row r="1542" spans="6:6">
      <c r="F1542" s="595"/>
    </row>
    <row r="1543" spans="6:6">
      <c r="F1543" s="595"/>
    </row>
    <row r="1544" spans="6:6">
      <c r="F1544" s="595"/>
    </row>
    <row r="1545" spans="6:6">
      <c r="F1545" s="595"/>
    </row>
    <row r="1546" spans="6:6">
      <c r="F1546" s="595"/>
    </row>
    <row r="1547" spans="6:6">
      <c r="F1547" s="595"/>
    </row>
    <row r="1548" spans="6:6">
      <c r="F1548" s="595"/>
    </row>
    <row r="1549" spans="6:6">
      <c r="F1549" s="595"/>
    </row>
    <row r="1550" spans="6:6">
      <c r="F1550" s="595"/>
    </row>
    <row r="1551" spans="6:6">
      <c r="F1551" s="595"/>
    </row>
    <row r="1552" spans="6:6">
      <c r="F1552" s="595"/>
    </row>
    <row r="1553" spans="6:6">
      <c r="F1553" s="595"/>
    </row>
    <row r="1554" spans="6:6">
      <c r="F1554" s="595"/>
    </row>
    <row r="1555" spans="6:6">
      <c r="F1555" s="595"/>
    </row>
    <row r="1556" spans="6:6">
      <c r="F1556" s="595"/>
    </row>
    <row r="1557" spans="6:6">
      <c r="F1557" s="595"/>
    </row>
    <row r="1558" spans="6:6">
      <c r="F1558" s="595"/>
    </row>
    <row r="1559" spans="6:6">
      <c r="F1559" s="595"/>
    </row>
    <row r="1560" spans="6:6">
      <c r="F1560" s="595"/>
    </row>
    <row r="1561" spans="6:6">
      <c r="F1561" s="595"/>
    </row>
    <row r="1562" spans="6:6">
      <c r="F1562" s="595"/>
    </row>
    <row r="1563" spans="6:6">
      <c r="F1563" s="595"/>
    </row>
    <row r="1564" spans="6:6">
      <c r="F1564" s="595"/>
    </row>
    <row r="1565" spans="6:6">
      <c r="F1565" s="595"/>
    </row>
    <row r="1566" spans="6:6">
      <c r="F1566" s="595"/>
    </row>
    <row r="1567" spans="6:6">
      <c r="F1567" s="595"/>
    </row>
    <row r="1568" spans="6:6">
      <c r="F1568" s="595"/>
    </row>
    <row r="1569" spans="6:6">
      <c r="F1569" s="595"/>
    </row>
    <row r="1570" spans="6:6">
      <c r="F1570" s="595"/>
    </row>
    <row r="1571" spans="6:6">
      <c r="F1571" s="595"/>
    </row>
    <row r="1572" spans="6:6">
      <c r="F1572" s="595"/>
    </row>
    <row r="1573" spans="6:6">
      <c r="F1573" s="595"/>
    </row>
    <row r="1574" spans="6:6">
      <c r="F1574" s="595"/>
    </row>
    <row r="1575" spans="6:6">
      <c r="F1575" s="595"/>
    </row>
    <row r="1576" spans="6:6">
      <c r="F1576" s="595"/>
    </row>
    <row r="1577" spans="6:6">
      <c r="F1577" s="595"/>
    </row>
    <row r="1578" spans="6:6">
      <c r="F1578" s="595"/>
    </row>
    <row r="1579" spans="6:6">
      <c r="F1579" s="595"/>
    </row>
    <row r="1580" spans="6:6">
      <c r="F1580" s="595"/>
    </row>
    <row r="1581" spans="6:6">
      <c r="F1581" s="595"/>
    </row>
    <row r="1582" spans="6:6">
      <c r="F1582" s="595"/>
    </row>
    <row r="1583" spans="6:6">
      <c r="F1583" s="595"/>
    </row>
    <row r="1584" spans="6:6">
      <c r="F1584" s="595"/>
    </row>
    <row r="1585" spans="6:6">
      <c r="F1585" s="595"/>
    </row>
    <row r="1586" spans="6:6">
      <c r="F1586" s="595"/>
    </row>
    <row r="1587" spans="6:6">
      <c r="F1587" s="595"/>
    </row>
    <row r="1588" spans="6:6">
      <c r="F1588" s="595"/>
    </row>
    <row r="1589" spans="6:6">
      <c r="F1589" s="595"/>
    </row>
    <row r="1590" spans="6:6">
      <c r="F1590" s="595"/>
    </row>
    <row r="1591" spans="6:6">
      <c r="F1591" s="595"/>
    </row>
    <row r="1592" spans="6:6">
      <c r="F1592" s="595"/>
    </row>
    <row r="1593" spans="6:6">
      <c r="F1593" s="595"/>
    </row>
    <row r="1594" spans="6:6">
      <c r="F1594" s="595"/>
    </row>
    <row r="1595" spans="6:6">
      <c r="F1595" s="595"/>
    </row>
    <row r="1596" spans="6:6">
      <c r="F1596" s="595"/>
    </row>
    <row r="1597" spans="6:6">
      <c r="F1597" s="595"/>
    </row>
    <row r="1598" spans="6:6">
      <c r="F1598" s="595"/>
    </row>
    <row r="1599" spans="6:6">
      <c r="F1599" s="595"/>
    </row>
    <row r="1600" spans="6:6">
      <c r="F1600" s="595"/>
    </row>
    <row r="1601" spans="6:6">
      <c r="F1601" s="595"/>
    </row>
    <row r="1602" spans="6:6">
      <c r="F1602" s="595"/>
    </row>
    <row r="1603" spans="6:6">
      <c r="F1603" s="595"/>
    </row>
    <row r="1604" spans="6:6">
      <c r="F1604" s="595"/>
    </row>
    <row r="1605" spans="6:6">
      <c r="F1605" s="595"/>
    </row>
    <row r="1606" spans="6:6">
      <c r="F1606" s="595"/>
    </row>
    <row r="1607" spans="6:6">
      <c r="F1607" s="595"/>
    </row>
    <row r="1608" spans="6:6">
      <c r="F1608" s="595"/>
    </row>
    <row r="1609" spans="6:6">
      <c r="F1609" s="595"/>
    </row>
    <row r="1610" spans="6:6">
      <c r="F1610" s="595"/>
    </row>
    <row r="1611" spans="6:6">
      <c r="F1611" s="595"/>
    </row>
    <row r="1612" spans="6:6">
      <c r="F1612" s="595"/>
    </row>
    <row r="1613" spans="6:6">
      <c r="F1613" s="595"/>
    </row>
    <row r="1614" spans="6:6">
      <c r="F1614" s="595"/>
    </row>
    <row r="1615" spans="6:6">
      <c r="F1615" s="595"/>
    </row>
    <row r="1616" spans="6:6">
      <c r="F1616" s="595"/>
    </row>
    <row r="1617" spans="6:6">
      <c r="F1617" s="595"/>
    </row>
    <row r="1618" spans="6:6">
      <c r="F1618" s="595"/>
    </row>
    <row r="1619" spans="6:6">
      <c r="F1619" s="595"/>
    </row>
    <row r="1620" spans="6:6">
      <c r="F1620" s="595"/>
    </row>
    <row r="1621" spans="6:6">
      <c r="F1621" s="595"/>
    </row>
    <row r="1622" spans="6:6">
      <c r="F1622" s="595"/>
    </row>
    <row r="1623" spans="6:6">
      <c r="F1623" s="595"/>
    </row>
    <row r="1624" spans="6:6">
      <c r="F1624" s="595"/>
    </row>
    <row r="1625" spans="6:6">
      <c r="F1625" s="595"/>
    </row>
    <row r="1626" spans="6:6">
      <c r="F1626" s="595"/>
    </row>
    <row r="1627" spans="6:6">
      <c r="F1627" s="595"/>
    </row>
    <row r="1628" spans="6:6">
      <c r="F1628" s="595"/>
    </row>
    <row r="1629" spans="6:6">
      <c r="F1629" s="595"/>
    </row>
    <row r="1630" spans="6:6" ht="12.75" customHeight="1">
      <c r="F1630" s="595"/>
    </row>
    <row r="1631" spans="6:6">
      <c r="F1631" s="595"/>
    </row>
    <row r="1632" spans="6:6">
      <c r="F1632" s="595"/>
    </row>
    <row r="1633" spans="6:6">
      <c r="F1633" s="595"/>
    </row>
    <row r="1634" spans="6:6">
      <c r="F1634" s="595"/>
    </row>
    <row r="1635" spans="6:6">
      <c r="F1635" s="595"/>
    </row>
    <row r="1636" spans="6:6">
      <c r="F1636" s="595"/>
    </row>
    <row r="1637" spans="6:6">
      <c r="F1637" s="595"/>
    </row>
    <row r="1638" spans="6:6">
      <c r="F1638" s="595"/>
    </row>
    <row r="1639" spans="6:6">
      <c r="F1639" s="595"/>
    </row>
    <row r="1640" spans="6:6">
      <c r="F1640" s="595"/>
    </row>
    <row r="1641" spans="6:6">
      <c r="F1641" s="595"/>
    </row>
    <row r="1642" spans="6:6">
      <c r="F1642" s="595"/>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CC1902"/>
  <sheetViews>
    <sheetView topLeftCell="M2" workbookViewId="0">
      <selection activeCell="AA39" sqref="AA39"/>
    </sheetView>
  </sheetViews>
  <sheetFormatPr defaultRowHeight="11.25"/>
  <cols>
    <col min="1" max="1" width="11" style="548" customWidth="1"/>
    <col min="2" max="2" width="10" style="548" customWidth="1"/>
    <col min="3" max="3" width="15.1640625" style="548" customWidth="1"/>
    <col min="4" max="4" width="5.33203125" style="548" customWidth="1"/>
    <col min="5" max="5" width="16.5" style="548" bestFit="1" customWidth="1"/>
    <col min="6" max="6" width="15.33203125" style="548" customWidth="1"/>
    <col min="7" max="7" width="15.6640625" style="548" bestFit="1" customWidth="1"/>
    <col min="8" max="11" width="15.5" style="548" customWidth="1"/>
    <col min="12" max="12" width="14.1640625" style="548" customWidth="1"/>
    <col min="13" max="13" width="15.5" style="548" customWidth="1"/>
    <col min="14" max="15" width="14.83203125" style="548" customWidth="1"/>
    <col min="16" max="16" width="9.6640625" style="548" customWidth="1"/>
    <col min="17" max="17" width="2.6640625" style="548" customWidth="1"/>
    <col min="18" max="18" width="16.5" style="548" bestFit="1" customWidth="1"/>
    <col min="19" max="19" width="14.83203125" style="548" bestFit="1" customWidth="1"/>
    <col min="20" max="20" width="14.33203125" style="351" bestFit="1" customWidth="1"/>
    <col min="21" max="21" width="17.83203125" style="548" customWidth="1"/>
    <col min="22" max="22" width="9.33203125" style="548"/>
    <col min="23" max="23" width="16.33203125" style="548" bestFit="1" customWidth="1"/>
    <col min="24" max="24" width="15.5" style="548" bestFit="1" customWidth="1"/>
    <col min="25" max="25" width="9.33203125" style="548"/>
    <col min="26" max="26" width="14.83203125" style="548" bestFit="1" customWidth="1"/>
    <col min="27" max="27" width="18.1640625" style="548" customWidth="1"/>
    <col min="28" max="28" width="38.5" style="548" bestFit="1" customWidth="1"/>
    <col min="29" max="29" width="18" style="548" bestFit="1" customWidth="1"/>
    <col min="30" max="30" width="16" style="548" bestFit="1" customWidth="1"/>
    <col min="31" max="31" width="20.5" style="548" bestFit="1" customWidth="1"/>
    <col min="32" max="32" width="19.5" style="548" bestFit="1" customWidth="1"/>
    <col min="33" max="33" width="16.83203125" style="548" bestFit="1" customWidth="1"/>
    <col min="34" max="34" width="17" style="548" bestFit="1" customWidth="1"/>
    <col min="35" max="35" width="12.6640625" style="548" bestFit="1" customWidth="1"/>
    <col min="36" max="36" width="14.6640625" style="548" bestFit="1" customWidth="1"/>
    <col min="37" max="37" width="11.6640625" style="548" bestFit="1" customWidth="1"/>
    <col min="38" max="38" width="10.83203125" style="548" bestFit="1" customWidth="1"/>
    <col min="39" max="39" width="11.6640625" style="548" bestFit="1" customWidth="1"/>
    <col min="40" max="40" width="13.33203125" style="548" bestFit="1" customWidth="1"/>
    <col min="41" max="41" width="22" style="548" bestFit="1" customWidth="1"/>
    <col min="42" max="42" width="5.33203125" style="548" bestFit="1" customWidth="1"/>
    <col min="43" max="43" width="17.1640625" style="548" bestFit="1" customWidth="1"/>
    <col min="44" max="49" width="9.33203125" style="548"/>
    <col min="50" max="50" width="13" style="548" bestFit="1" customWidth="1"/>
    <col min="51" max="51" width="14.1640625" style="548" bestFit="1" customWidth="1"/>
    <col min="52" max="52" width="13" style="548" bestFit="1" customWidth="1"/>
    <col min="53" max="54" width="14.1640625" style="548" bestFit="1" customWidth="1"/>
    <col min="55" max="55" width="13" style="548" bestFit="1" customWidth="1"/>
    <col min="56" max="57" width="14.1640625" style="548" bestFit="1" customWidth="1"/>
    <col min="58" max="58" width="9.33203125" style="548"/>
    <col min="59" max="59" width="13" style="548" bestFit="1" customWidth="1"/>
    <col min="60" max="60" width="12.1640625" style="548" bestFit="1" customWidth="1"/>
    <col min="61" max="61" width="13" style="548" bestFit="1" customWidth="1"/>
    <col min="62" max="64" width="9.5" style="548" bestFit="1" customWidth="1"/>
    <col min="65" max="71" width="9.33203125" style="548"/>
    <col min="72" max="72" width="15.1640625" style="548" bestFit="1" customWidth="1"/>
    <col min="73" max="16384" width="9.33203125" style="548"/>
  </cols>
  <sheetData>
    <row r="1" spans="1:81" s="65" customFormat="1" ht="12" thickBot="1">
      <c r="A1" s="63"/>
      <c r="B1" s="64"/>
      <c r="C1" s="64"/>
      <c r="D1" s="530"/>
      <c r="E1" s="531" t="s">
        <v>6</v>
      </c>
      <c r="F1" s="531" t="s">
        <v>709</v>
      </c>
      <c r="G1" s="531" t="s">
        <v>1043</v>
      </c>
      <c r="H1" s="531" t="s">
        <v>1046</v>
      </c>
      <c r="I1" s="531" t="s">
        <v>1044</v>
      </c>
      <c r="J1" s="531" t="s">
        <v>1045</v>
      </c>
      <c r="K1" s="531" t="s">
        <v>1042</v>
      </c>
      <c r="L1" s="531" t="s">
        <v>60</v>
      </c>
      <c r="M1" s="531" t="s">
        <v>61</v>
      </c>
      <c r="N1" s="531" t="s">
        <v>62</v>
      </c>
      <c r="O1" s="531" t="s">
        <v>1041</v>
      </c>
      <c r="P1" s="531" t="s">
        <v>438</v>
      </c>
      <c r="Q1" s="531" t="s">
        <v>437</v>
      </c>
      <c r="R1" s="531" t="s">
        <v>1047</v>
      </c>
      <c r="S1" s="530" t="s">
        <v>1141</v>
      </c>
      <c r="T1" s="532" t="s">
        <v>436</v>
      </c>
      <c r="U1" s="530" t="s">
        <v>857</v>
      </c>
      <c r="Z1" s="63"/>
      <c r="AA1" s="64"/>
      <c r="AB1" s="64"/>
      <c r="AC1" s="530"/>
      <c r="AD1" s="530" t="s">
        <v>59</v>
      </c>
      <c r="AE1" s="530" t="s">
        <v>435</v>
      </c>
      <c r="AF1" s="530" t="s">
        <v>1137</v>
      </c>
      <c r="AG1" s="530" t="s">
        <v>1046</v>
      </c>
      <c r="AH1" s="530" t="s">
        <v>1138</v>
      </c>
      <c r="AI1" s="530" t="s">
        <v>1045</v>
      </c>
      <c r="AJ1" s="530" t="s">
        <v>135</v>
      </c>
      <c r="AK1" s="530" t="s">
        <v>60</v>
      </c>
      <c r="AL1" s="530" t="s">
        <v>61</v>
      </c>
      <c r="AM1" s="530" t="s">
        <v>62</v>
      </c>
      <c r="AN1" s="530" t="s">
        <v>1041</v>
      </c>
      <c r="AO1" s="530" t="s">
        <v>438</v>
      </c>
      <c r="AP1" s="530" t="s">
        <v>437</v>
      </c>
      <c r="AQ1" s="533" t="s">
        <v>1047</v>
      </c>
      <c r="AR1" s="530" t="s">
        <v>1141</v>
      </c>
      <c r="AS1" s="530" t="s">
        <v>436</v>
      </c>
      <c r="AT1" s="530" t="s">
        <v>857</v>
      </c>
    </row>
    <row r="2" spans="1:81" s="65" customFormat="1" ht="12" thickBot="1">
      <c r="A2" s="534" t="s">
        <v>1136</v>
      </c>
      <c r="B2" s="535" t="s">
        <v>5</v>
      </c>
      <c r="C2" s="535" t="s">
        <v>439</v>
      </c>
      <c r="D2" s="536" t="s">
        <v>440</v>
      </c>
      <c r="E2" s="537" t="s">
        <v>6</v>
      </c>
      <c r="F2" s="537" t="s">
        <v>7</v>
      </c>
      <c r="G2" s="537" t="s">
        <v>7</v>
      </c>
      <c r="H2" s="537" t="s">
        <v>7</v>
      </c>
      <c r="I2" s="537" t="s">
        <v>7</v>
      </c>
      <c r="J2" s="537" t="s">
        <v>7</v>
      </c>
      <c r="K2" s="537" t="s">
        <v>7</v>
      </c>
      <c r="L2" s="537" t="s">
        <v>7</v>
      </c>
      <c r="M2" s="537" t="s">
        <v>7</v>
      </c>
      <c r="N2" s="537" t="s">
        <v>7</v>
      </c>
      <c r="O2" s="537" t="s">
        <v>7</v>
      </c>
      <c r="P2" s="537" t="s">
        <v>7</v>
      </c>
      <c r="Q2" s="537" t="s">
        <v>7</v>
      </c>
      <c r="R2" s="537" t="s">
        <v>7</v>
      </c>
      <c r="S2" s="538" t="s">
        <v>7</v>
      </c>
      <c r="T2" s="539" t="s">
        <v>7</v>
      </c>
      <c r="U2" s="538" t="s">
        <v>7</v>
      </c>
      <c r="Z2" s="534" t="s">
        <v>1136</v>
      </c>
      <c r="AA2" s="535" t="s">
        <v>5</v>
      </c>
      <c r="AB2" s="535" t="s">
        <v>439</v>
      </c>
      <c r="AC2" s="536" t="s">
        <v>440</v>
      </c>
      <c r="AD2" s="538" t="s">
        <v>6</v>
      </c>
      <c r="AE2" s="538" t="s">
        <v>7</v>
      </c>
      <c r="AF2" s="538" t="s">
        <v>7</v>
      </c>
      <c r="AG2" s="538"/>
      <c r="AH2" s="538"/>
      <c r="AI2" s="538"/>
      <c r="AJ2" s="538"/>
      <c r="AK2" s="538" t="s">
        <v>7</v>
      </c>
      <c r="AL2" s="538" t="s">
        <v>7</v>
      </c>
      <c r="AM2" s="538" t="s">
        <v>7</v>
      </c>
      <c r="AN2" s="538"/>
      <c r="AO2" s="538" t="s">
        <v>7</v>
      </c>
      <c r="AP2" s="538" t="s">
        <v>7</v>
      </c>
      <c r="AQ2" s="540" t="s">
        <v>7</v>
      </c>
      <c r="AR2" s="538" t="s">
        <v>7</v>
      </c>
      <c r="AS2" s="538" t="s">
        <v>7</v>
      </c>
      <c r="AT2" s="538" t="s">
        <v>7</v>
      </c>
    </row>
    <row r="3" spans="1:81" ht="12" thickBot="1">
      <c r="A3" s="596" t="s">
        <v>1505</v>
      </c>
      <c r="B3" s="541" t="s">
        <v>424</v>
      </c>
      <c r="C3" s="541" t="s">
        <v>444</v>
      </c>
      <c r="D3" s="542" t="s">
        <v>724</v>
      </c>
      <c r="E3" s="543"/>
      <c r="F3" s="544"/>
      <c r="G3" s="544"/>
      <c r="H3" s="545"/>
      <c r="I3" s="545"/>
      <c r="J3" s="545"/>
      <c r="K3" s="545"/>
      <c r="L3" s="545"/>
      <c r="M3" s="545"/>
      <c r="N3" s="545"/>
      <c r="O3" s="545"/>
      <c r="P3" s="545"/>
      <c r="Q3" s="545"/>
      <c r="R3" s="544"/>
      <c r="S3" s="546">
        <f t="shared" ref="S3:S68" si="0">G3+H3+I3</f>
        <v>0</v>
      </c>
      <c r="T3" s="547">
        <f t="shared" ref="T3:T68" si="1">J3+K3</f>
        <v>0</v>
      </c>
      <c r="U3" s="546">
        <f>N3+O3</f>
        <v>0</v>
      </c>
      <c r="W3" s="350">
        <f t="shared" ref="W3:W68" si="2">SUM(F3:Q3)</f>
        <v>0</v>
      </c>
      <c r="X3" s="285">
        <f t="shared" ref="X3:X68" si="3">W3-R3</f>
        <v>0</v>
      </c>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row>
    <row r="4" spans="1:81" ht="12" thickBot="1">
      <c r="A4" s="596" t="s">
        <v>1505</v>
      </c>
      <c r="B4" s="541" t="s">
        <v>425</v>
      </c>
      <c r="C4" s="541" t="s">
        <v>445</v>
      </c>
      <c r="D4" s="542" t="s">
        <v>724</v>
      </c>
      <c r="E4" s="549"/>
      <c r="F4" s="550"/>
      <c r="G4" s="550"/>
      <c r="H4" s="551"/>
      <c r="I4" s="551"/>
      <c r="J4" s="551"/>
      <c r="K4" s="551"/>
      <c r="L4" s="551"/>
      <c r="M4" s="551"/>
      <c r="N4" s="551"/>
      <c r="O4" s="551"/>
      <c r="P4" s="551"/>
      <c r="Q4" s="551"/>
      <c r="R4" s="550"/>
      <c r="S4" s="546">
        <f t="shared" si="0"/>
        <v>0</v>
      </c>
      <c r="T4" s="547">
        <f t="shared" si="1"/>
        <v>0</v>
      </c>
      <c r="U4" s="546">
        <f t="shared" ref="U4:U69" si="4">N4+O4</f>
        <v>0</v>
      </c>
      <c r="W4" s="350">
        <f t="shared" si="2"/>
        <v>0</v>
      </c>
      <c r="X4" s="285">
        <f t="shared" si="3"/>
        <v>0</v>
      </c>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row>
    <row r="5" spans="1:81" ht="12" thickBot="1">
      <c r="A5" s="596" t="s">
        <v>1505</v>
      </c>
      <c r="B5" s="541" t="s">
        <v>433</v>
      </c>
      <c r="C5" s="541" t="s">
        <v>432</v>
      </c>
      <c r="D5" s="552" t="s">
        <v>1155</v>
      </c>
      <c r="E5" s="543"/>
      <c r="F5" s="545"/>
      <c r="G5" s="544"/>
      <c r="H5" s="545"/>
      <c r="I5" s="545"/>
      <c r="J5" s="545"/>
      <c r="K5" s="545"/>
      <c r="L5" s="545"/>
      <c r="M5" s="545"/>
      <c r="N5" s="545"/>
      <c r="O5" s="545"/>
      <c r="P5" s="545"/>
      <c r="Q5" s="545"/>
      <c r="R5" s="544"/>
      <c r="S5" s="546">
        <f t="shared" si="0"/>
        <v>0</v>
      </c>
      <c r="T5" s="547">
        <f t="shared" si="1"/>
        <v>0</v>
      </c>
      <c r="U5" s="546">
        <f t="shared" si="4"/>
        <v>0</v>
      </c>
      <c r="W5" s="350">
        <f t="shared" si="2"/>
        <v>0</v>
      </c>
      <c r="X5" s="285">
        <f t="shared" si="3"/>
        <v>0</v>
      </c>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row>
    <row r="6" spans="1:81" ht="12" thickBot="1">
      <c r="A6" s="596" t="s">
        <v>1505</v>
      </c>
      <c r="B6" s="541" t="s">
        <v>431</v>
      </c>
      <c r="C6" s="541" t="s">
        <v>430</v>
      </c>
      <c r="D6" s="553" t="s">
        <v>1155</v>
      </c>
      <c r="E6" s="549"/>
      <c r="F6" s="551"/>
      <c r="G6" s="550"/>
      <c r="H6" s="551"/>
      <c r="I6" s="551"/>
      <c r="J6" s="551"/>
      <c r="K6" s="551"/>
      <c r="L6" s="551"/>
      <c r="M6" s="551"/>
      <c r="N6" s="551"/>
      <c r="O6" s="551"/>
      <c r="P6" s="551"/>
      <c r="Q6" s="551"/>
      <c r="R6" s="550"/>
      <c r="S6" s="546">
        <f t="shared" si="0"/>
        <v>0</v>
      </c>
      <c r="T6" s="547">
        <f t="shared" si="1"/>
        <v>0</v>
      </c>
      <c r="U6" s="546">
        <f t="shared" si="4"/>
        <v>0</v>
      </c>
      <c r="W6" s="350">
        <f t="shared" si="2"/>
        <v>0</v>
      </c>
      <c r="X6" s="285">
        <f t="shared" si="3"/>
        <v>0</v>
      </c>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row>
    <row r="7" spans="1:81" ht="12" thickBot="1">
      <c r="A7" s="596" t="s">
        <v>1505</v>
      </c>
      <c r="B7" s="541" t="s">
        <v>1048</v>
      </c>
      <c r="C7" s="541" t="s">
        <v>1049</v>
      </c>
      <c r="D7" s="553" t="s">
        <v>1146</v>
      </c>
      <c r="E7" s="545"/>
      <c r="F7" s="545"/>
      <c r="G7" s="545"/>
      <c r="H7" s="545"/>
      <c r="I7" s="545"/>
      <c r="J7" s="545"/>
      <c r="K7" s="545"/>
      <c r="L7" s="545"/>
      <c r="M7" s="545"/>
      <c r="N7" s="545"/>
      <c r="O7" s="545"/>
      <c r="P7" s="545"/>
      <c r="Q7" s="545"/>
      <c r="R7" s="545"/>
      <c r="S7" s="546">
        <f t="shared" si="0"/>
        <v>0</v>
      </c>
      <c r="T7" s="547">
        <f t="shared" si="1"/>
        <v>0</v>
      </c>
      <c r="U7" s="546">
        <f t="shared" si="4"/>
        <v>0</v>
      </c>
      <c r="W7" s="350">
        <f t="shared" si="2"/>
        <v>0</v>
      </c>
      <c r="X7" s="285">
        <f t="shared" si="3"/>
        <v>0</v>
      </c>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row>
    <row r="8" spans="1:81" ht="12" thickBot="1">
      <c r="A8" s="596" t="s">
        <v>1505</v>
      </c>
      <c r="B8" s="541" t="s">
        <v>152</v>
      </c>
      <c r="C8" s="541" t="s">
        <v>57</v>
      </c>
      <c r="D8" s="553" t="s">
        <v>18</v>
      </c>
      <c r="E8" s="549">
        <f t="shared" ref="E8:E53" si="5">ROUND(SUMIFS(E$1721:E$1888,$A$1721:$A$1888,$A8,$B$1721:$B$1888,$B8),0)</f>
        <v>138414539</v>
      </c>
      <c r="F8" s="988">
        <f t="shared" ref="F8:P17" si="6">ROUND(SUMIFS(F$1721:F$1901,$A$1721:$A$1901,$A8,$B$1721:$B$1901,$B8),0)</f>
        <v>24000</v>
      </c>
      <c r="G8" s="988">
        <f t="shared" si="6"/>
        <v>1027036</v>
      </c>
      <c r="H8" s="988">
        <f t="shared" si="6"/>
        <v>4002948</v>
      </c>
      <c r="I8" s="988">
        <f t="shared" si="6"/>
        <v>0</v>
      </c>
      <c r="J8" s="988">
        <f t="shared" si="6"/>
        <v>213108</v>
      </c>
      <c r="K8" s="988">
        <f t="shared" si="6"/>
        <v>2178001</v>
      </c>
      <c r="L8" s="988">
        <f t="shared" si="6"/>
        <v>0</v>
      </c>
      <c r="M8" s="988">
        <f t="shared" si="6"/>
        <v>438340</v>
      </c>
      <c r="N8" s="988">
        <f t="shared" si="6"/>
        <v>0</v>
      </c>
      <c r="O8" s="988">
        <f t="shared" si="6"/>
        <v>635559</v>
      </c>
      <c r="P8" s="988">
        <f t="shared" si="6"/>
        <v>0</v>
      </c>
      <c r="Q8" s="988"/>
      <c r="R8" s="988">
        <f t="shared" ref="R8:R53" si="7">ROUND(SUMIFS(R$1721:R$1901,$A$1721:$A$1901,$A8,$B$1721:$B$1901,$B8),0)</f>
        <v>8518992</v>
      </c>
      <c r="S8" s="546">
        <f t="shared" si="0"/>
        <v>5029984</v>
      </c>
      <c r="T8" s="547">
        <f t="shared" si="1"/>
        <v>2391109</v>
      </c>
      <c r="U8" s="546">
        <f t="shared" si="4"/>
        <v>635559</v>
      </c>
      <c r="W8" s="350">
        <f t="shared" si="2"/>
        <v>8518992</v>
      </c>
      <c r="X8" s="285">
        <f t="shared" si="3"/>
        <v>0</v>
      </c>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row>
    <row r="9" spans="1:81" ht="12" thickBot="1">
      <c r="A9" s="596" t="s">
        <v>1505</v>
      </c>
      <c r="B9" s="541" t="s">
        <v>153</v>
      </c>
      <c r="C9" s="541" t="s">
        <v>180</v>
      </c>
      <c r="D9" s="542" t="s">
        <v>25</v>
      </c>
      <c r="E9" s="549">
        <f t="shared" si="5"/>
        <v>18906207</v>
      </c>
      <c r="F9" s="988">
        <f t="shared" si="6"/>
        <v>33150</v>
      </c>
      <c r="G9" s="988">
        <f t="shared" si="6"/>
        <v>126672</v>
      </c>
      <c r="H9" s="988">
        <f t="shared" si="6"/>
        <v>546768</v>
      </c>
      <c r="I9" s="988">
        <f t="shared" si="6"/>
        <v>0</v>
      </c>
      <c r="J9" s="988">
        <f t="shared" si="6"/>
        <v>58900</v>
      </c>
      <c r="K9" s="988">
        <f t="shared" si="6"/>
        <v>659898</v>
      </c>
      <c r="L9" s="988">
        <f t="shared" si="6"/>
        <v>15638</v>
      </c>
      <c r="M9" s="988">
        <f t="shared" si="6"/>
        <v>59873</v>
      </c>
      <c r="N9" s="988">
        <f t="shared" si="6"/>
        <v>0</v>
      </c>
      <c r="O9" s="988">
        <f t="shared" si="6"/>
        <v>86812</v>
      </c>
      <c r="P9" s="988">
        <f t="shared" si="6"/>
        <v>0</v>
      </c>
      <c r="Q9" s="988"/>
      <c r="R9" s="988">
        <f t="shared" si="7"/>
        <v>1587710</v>
      </c>
      <c r="S9" s="546">
        <f t="shared" si="0"/>
        <v>673440</v>
      </c>
      <c r="T9" s="547">
        <f t="shared" si="1"/>
        <v>718798</v>
      </c>
      <c r="U9" s="546">
        <f t="shared" si="4"/>
        <v>86812</v>
      </c>
      <c r="W9" s="350">
        <f t="shared" si="2"/>
        <v>1587711</v>
      </c>
      <c r="X9" s="285">
        <f t="shared" si="3"/>
        <v>1</v>
      </c>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row>
    <row r="10" spans="1:81" ht="12" thickBot="1">
      <c r="A10" s="596" t="s">
        <v>1505</v>
      </c>
      <c r="B10" s="541" t="s">
        <v>154</v>
      </c>
      <c r="C10" s="541" t="s">
        <v>181</v>
      </c>
      <c r="D10" s="542" t="s">
        <v>24</v>
      </c>
      <c r="E10" s="549">
        <f t="shared" si="5"/>
        <v>174767460</v>
      </c>
      <c r="F10" s="988">
        <f t="shared" si="6"/>
        <v>418500</v>
      </c>
      <c r="G10" s="988">
        <f t="shared" si="6"/>
        <v>1174437</v>
      </c>
      <c r="H10" s="988">
        <f t="shared" si="6"/>
        <v>5054275</v>
      </c>
      <c r="I10" s="988">
        <f t="shared" si="6"/>
        <v>0</v>
      </c>
      <c r="J10" s="988">
        <f t="shared" si="6"/>
        <v>613798</v>
      </c>
      <c r="K10" s="988">
        <f t="shared" si="6"/>
        <v>6888177</v>
      </c>
      <c r="L10" s="988">
        <f t="shared" si="6"/>
        <v>144553</v>
      </c>
      <c r="M10" s="988">
        <f t="shared" si="6"/>
        <v>553465</v>
      </c>
      <c r="N10" s="988">
        <f t="shared" si="6"/>
        <v>0</v>
      </c>
      <c r="O10" s="988">
        <f t="shared" si="6"/>
        <v>802481</v>
      </c>
      <c r="P10" s="988">
        <f t="shared" si="6"/>
        <v>0</v>
      </c>
      <c r="Q10" s="988"/>
      <c r="R10" s="988">
        <f t="shared" si="7"/>
        <v>15649686</v>
      </c>
      <c r="S10" s="546">
        <f t="shared" si="0"/>
        <v>6228712</v>
      </c>
      <c r="T10" s="547">
        <f t="shared" si="1"/>
        <v>7501975</v>
      </c>
      <c r="U10" s="546">
        <f t="shared" si="4"/>
        <v>802481</v>
      </c>
      <c r="W10" s="350">
        <f t="shared" si="2"/>
        <v>15649686</v>
      </c>
      <c r="X10" s="285">
        <f t="shared" si="3"/>
        <v>0</v>
      </c>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row>
    <row r="11" spans="1:81" ht="12" thickBot="1">
      <c r="A11" s="596" t="s">
        <v>1505</v>
      </c>
      <c r="B11" s="541" t="s">
        <v>155</v>
      </c>
      <c r="C11" s="541" t="s">
        <v>182</v>
      </c>
      <c r="D11" s="554" t="s">
        <v>205</v>
      </c>
      <c r="E11" s="549">
        <f t="shared" si="5"/>
        <v>243518261</v>
      </c>
      <c r="F11" s="988">
        <f t="shared" si="6"/>
        <v>15600</v>
      </c>
      <c r="G11" s="988">
        <f t="shared" si="6"/>
        <v>2125914</v>
      </c>
      <c r="H11" s="988">
        <f t="shared" si="6"/>
        <v>7042548</v>
      </c>
      <c r="I11" s="988">
        <f t="shared" si="6"/>
        <v>0</v>
      </c>
      <c r="J11" s="988">
        <f t="shared" si="6"/>
        <v>369182</v>
      </c>
      <c r="K11" s="988">
        <f t="shared" si="6"/>
        <v>3711868</v>
      </c>
      <c r="L11" s="988">
        <f t="shared" si="6"/>
        <v>201417</v>
      </c>
      <c r="M11" s="988">
        <f t="shared" si="6"/>
        <v>771189</v>
      </c>
      <c r="N11" s="988">
        <f t="shared" si="6"/>
        <v>0</v>
      </c>
      <c r="O11" s="988">
        <f t="shared" si="6"/>
        <v>1118165</v>
      </c>
      <c r="P11" s="988">
        <f t="shared" si="6"/>
        <v>0</v>
      </c>
      <c r="Q11" s="988"/>
      <c r="R11" s="988">
        <f t="shared" si="7"/>
        <v>15355884</v>
      </c>
      <c r="S11" s="546">
        <f t="shared" si="0"/>
        <v>9168462</v>
      </c>
      <c r="T11" s="547">
        <f t="shared" si="1"/>
        <v>4081050</v>
      </c>
      <c r="U11" s="546">
        <f t="shared" si="4"/>
        <v>1118165</v>
      </c>
      <c r="W11" s="350">
        <f t="shared" si="2"/>
        <v>15355883</v>
      </c>
      <c r="X11" s="285">
        <f t="shared" si="3"/>
        <v>-1</v>
      </c>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row>
    <row r="12" spans="1:81" ht="12" thickBot="1">
      <c r="A12" s="596" t="s">
        <v>1505</v>
      </c>
      <c r="B12" s="541" t="s">
        <v>156</v>
      </c>
      <c r="C12" s="541" t="s">
        <v>183</v>
      </c>
      <c r="D12" s="554" t="s">
        <v>25</v>
      </c>
      <c r="E12" s="549">
        <f t="shared" si="5"/>
        <v>0</v>
      </c>
      <c r="F12" s="988">
        <f t="shared" si="6"/>
        <v>0</v>
      </c>
      <c r="G12" s="988">
        <f t="shared" si="6"/>
        <v>0</v>
      </c>
      <c r="H12" s="988">
        <f t="shared" si="6"/>
        <v>0</v>
      </c>
      <c r="I12" s="988">
        <f t="shared" si="6"/>
        <v>0</v>
      </c>
      <c r="J12" s="988">
        <f t="shared" si="6"/>
        <v>0</v>
      </c>
      <c r="K12" s="988">
        <f t="shared" si="6"/>
        <v>0</v>
      </c>
      <c r="L12" s="988">
        <f t="shared" si="6"/>
        <v>0</v>
      </c>
      <c r="M12" s="988">
        <f t="shared" si="6"/>
        <v>0</v>
      </c>
      <c r="N12" s="988">
        <f t="shared" si="6"/>
        <v>0</v>
      </c>
      <c r="O12" s="988">
        <f t="shared" si="6"/>
        <v>0</v>
      </c>
      <c r="P12" s="988">
        <f t="shared" si="6"/>
        <v>0</v>
      </c>
      <c r="Q12" s="988"/>
      <c r="R12" s="988">
        <f t="shared" si="7"/>
        <v>0</v>
      </c>
      <c r="S12" s="546">
        <f t="shared" si="0"/>
        <v>0</v>
      </c>
      <c r="T12" s="547">
        <f t="shared" si="1"/>
        <v>0</v>
      </c>
      <c r="U12" s="546">
        <f t="shared" si="4"/>
        <v>0</v>
      </c>
      <c r="W12" s="350">
        <f t="shared" si="2"/>
        <v>0</v>
      </c>
      <c r="X12" s="285">
        <f t="shared" si="3"/>
        <v>0</v>
      </c>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row>
    <row r="13" spans="1:81" ht="12" thickBot="1">
      <c r="A13" s="596" t="s">
        <v>1505</v>
      </c>
      <c r="B13" s="541" t="s">
        <v>157</v>
      </c>
      <c r="C13" s="541" t="s">
        <v>184</v>
      </c>
      <c r="D13" s="554" t="s">
        <v>24</v>
      </c>
      <c r="E13" s="549">
        <f t="shared" si="5"/>
        <v>0</v>
      </c>
      <c r="F13" s="988">
        <f t="shared" si="6"/>
        <v>0</v>
      </c>
      <c r="G13" s="988">
        <f t="shared" si="6"/>
        <v>0</v>
      </c>
      <c r="H13" s="988">
        <f t="shared" si="6"/>
        <v>0</v>
      </c>
      <c r="I13" s="988">
        <f t="shared" si="6"/>
        <v>0</v>
      </c>
      <c r="J13" s="988">
        <f t="shared" si="6"/>
        <v>0</v>
      </c>
      <c r="K13" s="988">
        <f t="shared" si="6"/>
        <v>0</v>
      </c>
      <c r="L13" s="988">
        <f t="shared" si="6"/>
        <v>0</v>
      </c>
      <c r="M13" s="988">
        <f t="shared" si="6"/>
        <v>0</v>
      </c>
      <c r="N13" s="988">
        <f t="shared" si="6"/>
        <v>0</v>
      </c>
      <c r="O13" s="988">
        <f t="shared" si="6"/>
        <v>0</v>
      </c>
      <c r="P13" s="988">
        <f t="shared" si="6"/>
        <v>0</v>
      </c>
      <c r="Q13" s="988"/>
      <c r="R13" s="988">
        <f t="shared" si="7"/>
        <v>0</v>
      </c>
      <c r="S13" s="546">
        <f t="shared" si="0"/>
        <v>0</v>
      </c>
      <c r="T13" s="547">
        <f t="shared" si="1"/>
        <v>0</v>
      </c>
      <c r="U13" s="546">
        <f t="shared" si="4"/>
        <v>0</v>
      </c>
      <c r="W13" s="350">
        <f t="shared" si="2"/>
        <v>0</v>
      </c>
      <c r="X13" s="285">
        <f t="shared" si="3"/>
        <v>0</v>
      </c>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row>
    <row r="14" spans="1:81" ht="12" thickBot="1">
      <c r="A14" s="596" t="s">
        <v>1505</v>
      </c>
      <c r="B14" s="541" t="s">
        <v>158</v>
      </c>
      <c r="C14" s="541" t="s">
        <v>185</v>
      </c>
      <c r="D14" s="542" t="s">
        <v>205</v>
      </c>
      <c r="E14" s="549">
        <f t="shared" si="5"/>
        <v>102170247</v>
      </c>
      <c r="F14" s="988">
        <f t="shared" si="6"/>
        <v>60900</v>
      </c>
      <c r="G14" s="988">
        <f t="shared" si="6"/>
        <v>891946</v>
      </c>
      <c r="H14" s="988">
        <f t="shared" si="6"/>
        <v>2954764</v>
      </c>
      <c r="I14" s="988">
        <f t="shared" si="6"/>
        <v>0</v>
      </c>
      <c r="J14" s="988">
        <f t="shared" si="6"/>
        <v>193738</v>
      </c>
      <c r="K14" s="988">
        <f t="shared" si="6"/>
        <v>1953825</v>
      </c>
      <c r="L14" s="988">
        <f t="shared" si="6"/>
        <v>84506</v>
      </c>
      <c r="M14" s="988">
        <f t="shared" si="6"/>
        <v>323559</v>
      </c>
      <c r="N14" s="988">
        <f t="shared" si="6"/>
        <v>0</v>
      </c>
      <c r="O14" s="988">
        <f t="shared" si="6"/>
        <v>469136</v>
      </c>
      <c r="P14" s="988">
        <f t="shared" si="6"/>
        <v>0</v>
      </c>
      <c r="Q14" s="988"/>
      <c r="R14" s="988">
        <f t="shared" si="7"/>
        <v>6932375</v>
      </c>
      <c r="S14" s="546">
        <f t="shared" si="0"/>
        <v>3846710</v>
      </c>
      <c r="T14" s="547">
        <f t="shared" si="1"/>
        <v>2147563</v>
      </c>
      <c r="U14" s="546">
        <f t="shared" si="4"/>
        <v>469136</v>
      </c>
      <c r="W14" s="350">
        <f t="shared" si="2"/>
        <v>6932374</v>
      </c>
      <c r="X14" s="285">
        <f t="shared" si="3"/>
        <v>-1</v>
      </c>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row>
    <row r="15" spans="1:81" ht="12" thickBot="1">
      <c r="A15" s="596" t="s">
        <v>1505</v>
      </c>
      <c r="B15" s="541" t="s">
        <v>159</v>
      </c>
      <c r="C15" s="541" t="s">
        <v>186</v>
      </c>
      <c r="D15" s="542" t="s">
        <v>204</v>
      </c>
      <c r="E15" s="549">
        <f t="shared" si="5"/>
        <v>133726084</v>
      </c>
      <c r="F15" s="988">
        <f t="shared" si="6"/>
        <v>93400</v>
      </c>
      <c r="G15" s="988">
        <f t="shared" si="6"/>
        <v>1178127</v>
      </c>
      <c r="H15" s="988">
        <f t="shared" si="6"/>
        <v>3867358</v>
      </c>
      <c r="I15" s="988">
        <f t="shared" si="6"/>
        <v>0</v>
      </c>
      <c r="J15" s="988">
        <f t="shared" si="6"/>
        <v>302168</v>
      </c>
      <c r="K15" s="988">
        <f t="shared" si="6"/>
        <v>3083727</v>
      </c>
      <c r="L15" s="988">
        <f t="shared" si="6"/>
        <v>110607</v>
      </c>
      <c r="M15" s="988">
        <f t="shared" si="6"/>
        <v>423492</v>
      </c>
      <c r="N15" s="988">
        <f t="shared" si="6"/>
        <v>0</v>
      </c>
      <c r="O15" s="988">
        <f t="shared" si="6"/>
        <v>614031</v>
      </c>
      <c r="P15" s="988">
        <f t="shared" si="6"/>
        <v>0</v>
      </c>
      <c r="Q15" s="988"/>
      <c r="R15" s="988">
        <f t="shared" si="7"/>
        <v>9672910</v>
      </c>
      <c r="S15" s="546">
        <f t="shared" si="0"/>
        <v>5045485</v>
      </c>
      <c r="T15" s="547">
        <f t="shared" si="1"/>
        <v>3385895</v>
      </c>
      <c r="U15" s="546">
        <f t="shared" si="4"/>
        <v>614031</v>
      </c>
      <c r="W15" s="350">
        <f t="shared" si="2"/>
        <v>9672910</v>
      </c>
      <c r="X15" s="285">
        <f t="shared" si="3"/>
        <v>0</v>
      </c>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row>
    <row r="16" spans="1:81" ht="12" thickBot="1">
      <c r="A16" s="596" t="s">
        <v>1505</v>
      </c>
      <c r="B16" s="541" t="s">
        <v>160</v>
      </c>
      <c r="C16" s="541" t="s">
        <v>187</v>
      </c>
      <c r="D16" s="542" t="s">
        <v>24</v>
      </c>
      <c r="E16" s="549">
        <f t="shared" si="5"/>
        <v>0</v>
      </c>
      <c r="F16" s="988">
        <f t="shared" si="6"/>
        <v>0</v>
      </c>
      <c r="G16" s="988">
        <f t="shared" si="6"/>
        <v>0</v>
      </c>
      <c r="H16" s="988">
        <f t="shared" si="6"/>
        <v>0</v>
      </c>
      <c r="I16" s="988">
        <f t="shared" si="6"/>
        <v>0</v>
      </c>
      <c r="J16" s="988">
        <f t="shared" si="6"/>
        <v>0</v>
      </c>
      <c r="K16" s="988">
        <f t="shared" si="6"/>
        <v>0</v>
      </c>
      <c r="L16" s="988">
        <f t="shared" si="6"/>
        <v>0</v>
      </c>
      <c r="M16" s="988">
        <f t="shared" si="6"/>
        <v>0</v>
      </c>
      <c r="N16" s="988">
        <f t="shared" si="6"/>
        <v>0</v>
      </c>
      <c r="O16" s="988">
        <f t="shared" si="6"/>
        <v>0</v>
      </c>
      <c r="P16" s="988">
        <f t="shared" si="6"/>
        <v>0</v>
      </c>
      <c r="Q16" s="988"/>
      <c r="R16" s="988">
        <f t="shared" si="7"/>
        <v>0</v>
      </c>
      <c r="S16" s="546">
        <f t="shared" si="0"/>
        <v>0</v>
      </c>
      <c r="T16" s="547">
        <f t="shared" si="1"/>
        <v>0</v>
      </c>
      <c r="U16" s="546">
        <f t="shared" si="4"/>
        <v>0</v>
      </c>
      <c r="W16" s="350">
        <f t="shared" si="2"/>
        <v>0</v>
      </c>
      <c r="X16" s="285">
        <f t="shared" si="3"/>
        <v>0</v>
      </c>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row>
    <row r="17" spans="1:81" ht="12" thickBot="1">
      <c r="A17" s="596" t="s">
        <v>1505</v>
      </c>
      <c r="B17" s="541" t="s">
        <v>1050</v>
      </c>
      <c r="C17" s="541" t="s">
        <v>1049</v>
      </c>
      <c r="D17" s="542" t="s">
        <v>1146</v>
      </c>
      <c r="E17" s="549">
        <f t="shared" si="5"/>
        <v>0</v>
      </c>
      <c r="F17" s="988">
        <f t="shared" si="6"/>
        <v>0</v>
      </c>
      <c r="G17" s="988">
        <f t="shared" si="6"/>
        <v>0</v>
      </c>
      <c r="H17" s="988">
        <f t="shared" si="6"/>
        <v>0</v>
      </c>
      <c r="I17" s="988">
        <f t="shared" si="6"/>
        <v>0</v>
      </c>
      <c r="J17" s="988">
        <f t="shared" si="6"/>
        <v>0</v>
      </c>
      <c r="K17" s="988">
        <f t="shared" si="6"/>
        <v>0</v>
      </c>
      <c r="L17" s="988">
        <f t="shared" si="6"/>
        <v>0</v>
      </c>
      <c r="M17" s="988">
        <f t="shared" si="6"/>
        <v>0</v>
      </c>
      <c r="N17" s="988">
        <f t="shared" si="6"/>
        <v>0</v>
      </c>
      <c r="O17" s="988">
        <f t="shared" si="6"/>
        <v>0</v>
      </c>
      <c r="P17" s="988">
        <f t="shared" si="6"/>
        <v>0</v>
      </c>
      <c r="Q17" s="988"/>
      <c r="R17" s="988">
        <f t="shared" si="7"/>
        <v>0</v>
      </c>
      <c r="S17" s="546">
        <f t="shared" si="0"/>
        <v>0</v>
      </c>
      <c r="T17" s="547">
        <f t="shared" si="1"/>
        <v>0</v>
      </c>
      <c r="U17" s="546">
        <f t="shared" si="4"/>
        <v>0</v>
      </c>
      <c r="W17" s="350">
        <f t="shared" si="2"/>
        <v>0</v>
      </c>
      <c r="X17" s="285">
        <f t="shared" si="3"/>
        <v>0</v>
      </c>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row>
    <row r="18" spans="1:81" ht="12" thickBot="1">
      <c r="A18" s="596" t="s">
        <v>1505</v>
      </c>
      <c r="B18" s="541" t="s">
        <v>161</v>
      </c>
      <c r="C18" s="541" t="s">
        <v>476</v>
      </c>
      <c r="D18" s="541" t="s">
        <v>208</v>
      </c>
      <c r="E18" s="549">
        <f t="shared" si="5"/>
        <v>75764744</v>
      </c>
      <c r="F18" s="988">
        <f t="shared" ref="F18:P27" si="8">ROUND(SUMIFS(F$1721:F$1901,$A$1721:$A$1901,$A18,$B$1721:$B$1901,$B18),0)</f>
        <v>1270742</v>
      </c>
      <c r="G18" s="988">
        <f t="shared" si="8"/>
        <v>4441329</v>
      </c>
      <c r="H18" s="988">
        <f t="shared" si="8"/>
        <v>2191116</v>
      </c>
      <c r="I18" s="988">
        <f t="shared" si="8"/>
        <v>356852</v>
      </c>
      <c r="J18" s="988">
        <f t="shared" si="8"/>
        <v>0</v>
      </c>
      <c r="K18" s="988">
        <f t="shared" si="8"/>
        <v>0</v>
      </c>
      <c r="L18" s="988">
        <f t="shared" si="8"/>
        <v>62666</v>
      </c>
      <c r="M18" s="988">
        <f t="shared" si="8"/>
        <v>239937</v>
      </c>
      <c r="N18" s="988">
        <f t="shared" si="8"/>
        <v>0</v>
      </c>
      <c r="O18" s="988">
        <f t="shared" si="8"/>
        <v>347890</v>
      </c>
      <c r="P18" s="988">
        <f t="shared" si="8"/>
        <v>0</v>
      </c>
      <c r="Q18" s="988"/>
      <c r="R18" s="988">
        <f t="shared" si="7"/>
        <v>8910532</v>
      </c>
      <c r="S18" s="546">
        <f t="shared" si="0"/>
        <v>6989297</v>
      </c>
      <c r="T18" s="547">
        <f t="shared" si="1"/>
        <v>0</v>
      </c>
      <c r="U18" s="546">
        <f t="shared" si="4"/>
        <v>347890</v>
      </c>
      <c r="W18" s="350">
        <f t="shared" si="2"/>
        <v>8910532</v>
      </c>
      <c r="X18" s="285">
        <f t="shared" si="3"/>
        <v>0</v>
      </c>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row>
    <row r="19" spans="1:81" ht="12" thickBot="1">
      <c r="A19" s="596" t="s">
        <v>1505</v>
      </c>
      <c r="B19" s="541" t="s">
        <v>162</v>
      </c>
      <c r="C19" s="541" t="s">
        <v>1391</v>
      </c>
      <c r="D19" s="561" t="s">
        <v>208</v>
      </c>
      <c r="E19" s="549">
        <f t="shared" si="5"/>
        <v>0</v>
      </c>
      <c r="F19" s="988">
        <f t="shared" si="8"/>
        <v>0</v>
      </c>
      <c r="G19" s="988">
        <f t="shared" si="8"/>
        <v>0</v>
      </c>
      <c r="H19" s="988">
        <f t="shared" si="8"/>
        <v>0</v>
      </c>
      <c r="I19" s="988">
        <f t="shared" si="8"/>
        <v>0</v>
      </c>
      <c r="J19" s="988">
        <f t="shared" si="8"/>
        <v>0</v>
      </c>
      <c r="K19" s="988">
        <f t="shared" si="8"/>
        <v>0</v>
      </c>
      <c r="L19" s="988">
        <f t="shared" si="8"/>
        <v>0</v>
      </c>
      <c r="M19" s="988">
        <f t="shared" si="8"/>
        <v>0</v>
      </c>
      <c r="N19" s="988">
        <f t="shared" si="8"/>
        <v>0</v>
      </c>
      <c r="O19" s="988">
        <f t="shared" si="8"/>
        <v>0</v>
      </c>
      <c r="P19" s="988">
        <f t="shared" si="8"/>
        <v>0</v>
      </c>
      <c r="Q19" s="988"/>
      <c r="R19" s="988">
        <f t="shared" si="7"/>
        <v>0</v>
      </c>
      <c r="S19" s="546">
        <f t="shared" si="0"/>
        <v>0</v>
      </c>
      <c r="T19" s="547">
        <f t="shared" si="1"/>
        <v>0</v>
      </c>
      <c r="U19" s="546">
        <f t="shared" si="4"/>
        <v>0</v>
      </c>
      <c r="W19" s="350">
        <f t="shared" si="2"/>
        <v>0</v>
      </c>
      <c r="X19" s="285">
        <f t="shared" si="3"/>
        <v>0</v>
      </c>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row>
    <row r="20" spans="1:81" ht="12" thickBot="1">
      <c r="A20" s="596" t="s">
        <v>1505</v>
      </c>
      <c r="B20" s="541" t="s">
        <v>163</v>
      </c>
      <c r="C20" s="541" t="s">
        <v>63</v>
      </c>
      <c r="D20" s="542" t="s">
        <v>17</v>
      </c>
      <c r="E20" s="549">
        <f t="shared" si="5"/>
        <v>111271196</v>
      </c>
      <c r="F20" s="988">
        <f t="shared" si="8"/>
        <v>650052</v>
      </c>
      <c r="G20" s="988">
        <f t="shared" si="8"/>
        <v>6522717</v>
      </c>
      <c r="H20" s="988">
        <f t="shared" si="8"/>
        <v>3217963</v>
      </c>
      <c r="I20" s="988">
        <f t="shared" si="8"/>
        <v>524087</v>
      </c>
      <c r="J20" s="988">
        <f t="shared" si="8"/>
        <v>0</v>
      </c>
      <c r="K20" s="988">
        <f t="shared" si="8"/>
        <v>0</v>
      </c>
      <c r="L20" s="988">
        <f t="shared" si="8"/>
        <v>92034</v>
      </c>
      <c r="M20" s="988">
        <f t="shared" si="8"/>
        <v>352381</v>
      </c>
      <c r="N20" s="988">
        <f t="shared" si="8"/>
        <v>510925</v>
      </c>
      <c r="O20" s="988">
        <f t="shared" si="8"/>
        <v>0</v>
      </c>
      <c r="P20" s="988">
        <f t="shared" si="8"/>
        <v>0</v>
      </c>
      <c r="Q20" s="988"/>
      <c r="R20" s="988">
        <f t="shared" si="7"/>
        <v>11870159</v>
      </c>
      <c r="S20" s="546">
        <f t="shared" si="0"/>
        <v>10264767</v>
      </c>
      <c r="T20" s="547">
        <f t="shared" si="1"/>
        <v>0</v>
      </c>
      <c r="U20" s="546">
        <f t="shared" si="4"/>
        <v>510925</v>
      </c>
      <c r="W20" s="350">
        <f t="shared" si="2"/>
        <v>11870159</v>
      </c>
      <c r="X20" s="285">
        <f t="shared" si="3"/>
        <v>0</v>
      </c>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row>
    <row r="21" spans="1:81" ht="12" thickBot="1">
      <c r="A21" s="596" t="s">
        <v>1505</v>
      </c>
      <c r="B21" s="541" t="s">
        <v>164</v>
      </c>
      <c r="C21" s="541" t="s">
        <v>188</v>
      </c>
      <c r="D21" s="555" t="s">
        <v>203</v>
      </c>
      <c r="E21" s="549">
        <f t="shared" si="5"/>
        <v>784373</v>
      </c>
      <c r="F21" s="988">
        <f t="shared" si="8"/>
        <v>7480</v>
      </c>
      <c r="G21" s="988">
        <f t="shared" si="8"/>
        <v>33202</v>
      </c>
      <c r="H21" s="988">
        <f t="shared" si="8"/>
        <v>22684</v>
      </c>
      <c r="I21" s="988">
        <f t="shared" si="8"/>
        <v>2471</v>
      </c>
      <c r="J21" s="988">
        <f t="shared" si="8"/>
        <v>0</v>
      </c>
      <c r="K21" s="988">
        <f t="shared" si="8"/>
        <v>0</v>
      </c>
      <c r="L21" s="988">
        <f t="shared" si="8"/>
        <v>649</v>
      </c>
      <c r="M21" s="988">
        <f t="shared" si="8"/>
        <v>2484</v>
      </c>
      <c r="N21" s="988">
        <f t="shared" si="8"/>
        <v>3602</v>
      </c>
      <c r="O21" s="988">
        <f t="shared" si="8"/>
        <v>0</v>
      </c>
      <c r="P21" s="988">
        <f t="shared" si="8"/>
        <v>0</v>
      </c>
      <c r="Q21" s="988"/>
      <c r="R21" s="988">
        <f t="shared" si="7"/>
        <v>72572</v>
      </c>
      <c r="S21" s="546">
        <f t="shared" si="0"/>
        <v>58357</v>
      </c>
      <c r="T21" s="547">
        <f t="shared" si="1"/>
        <v>0</v>
      </c>
      <c r="U21" s="546">
        <f t="shared" si="4"/>
        <v>3602</v>
      </c>
      <c r="W21" s="350">
        <f t="shared" si="2"/>
        <v>72572</v>
      </c>
      <c r="X21" s="285">
        <f t="shared" si="3"/>
        <v>0</v>
      </c>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row>
    <row r="22" spans="1:81" ht="12" thickBot="1">
      <c r="A22" s="596" t="s">
        <v>1505</v>
      </c>
      <c r="B22" s="541" t="s">
        <v>165</v>
      </c>
      <c r="C22" s="541" t="s">
        <v>189</v>
      </c>
      <c r="D22" s="554" t="s">
        <v>211</v>
      </c>
      <c r="E22" s="549">
        <f t="shared" si="5"/>
        <v>0</v>
      </c>
      <c r="F22" s="988">
        <f t="shared" si="8"/>
        <v>0</v>
      </c>
      <c r="G22" s="988">
        <f t="shared" si="8"/>
        <v>0</v>
      </c>
      <c r="H22" s="988">
        <f t="shared" si="8"/>
        <v>0</v>
      </c>
      <c r="I22" s="988">
        <f t="shared" si="8"/>
        <v>0</v>
      </c>
      <c r="J22" s="988">
        <f t="shared" si="8"/>
        <v>0</v>
      </c>
      <c r="K22" s="988">
        <f t="shared" si="8"/>
        <v>0</v>
      </c>
      <c r="L22" s="988">
        <f t="shared" si="8"/>
        <v>0</v>
      </c>
      <c r="M22" s="988">
        <f t="shared" si="8"/>
        <v>0</v>
      </c>
      <c r="N22" s="988">
        <f t="shared" si="8"/>
        <v>0</v>
      </c>
      <c r="O22" s="988">
        <f t="shared" si="8"/>
        <v>0</v>
      </c>
      <c r="P22" s="988">
        <f t="shared" si="8"/>
        <v>0</v>
      </c>
      <c r="Q22" s="988"/>
      <c r="R22" s="988">
        <f t="shared" si="7"/>
        <v>0</v>
      </c>
      <c r="S22" s="546">
        <f t="shared" si="0"/>
        <v>0</v>
      </c>
      <c r="T22" s="547">
        <f t="shared" si="1"/>
        <v>0</v>
      </c>
      <c r="U22" s="546">
        <f t="shared" si="4"/>
        <v>0</v>
      </c>
      <c r="W22" s="350">
        <f t="shared" si="2"/>
        <v>0</v>
      </c>
      <c r="X22" s="285">
        <f t="shared" si="3"/>
        <v>0</v>
      </c>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row>
    <row r="23" spans="1:81" ht="12" thickBot="1">
      <c r="A23" s="596" t="s">
        <v>1505</v>
      </c>
      <c r="B23" s="541" t="s">
        <v>166</v>
      </c>
      <c r="C23" s="541" t="s">
        <v>190</v>
      </c>
      <c r="D23" s="554" t="s">
        <v>212</v>
      </c>
      <c r="E23" s="549">
        <f t="shared" si="5"/>
        <v>0</v>
      </c>
      <c r="F23" s="988">
        <f t="shared" si="8"/>
        <v>0</v>
      </c>
      <c r="G23" s="988">
        <f t="shared" si="8"/>
        <v>0</v>
      </c>
      <c r="H23" s="988">
        <f t="shared" si="8"/>
        <v>0</v>
      </c>
      <c r="I23" s="988">
        <f t="shared" si="8"/>
        <v>0</v>
      </c>
      <c r="J23" s="988">
        <f t="shared" si="8"/>
        <v>0</v>
      </c>
      <c r="K23" s="988">
        <f t="shared" si="8"/>
        <v>0</v>
      </c>
      <c r="L23" s="988">
        <f t="shared" si="8"/>
        <v>0</v>
      </c>
      <c r="M23" s="988">
        <f t="shared" si="8"/>
        <v>0</v>
      </c>
      <c r="N23" s="988">
        <f t="shared" si="8"/>
        <v>0</v>
      </c>
      <c r="O23" s="988">
        <f t="shared" si="8"/>
        <v>0</v>
      </c>
      <c r="P23" s="988">
        <f t="shared" si="8"/>
        <v>0</v>
      </c>
      <c r="Q23" s="988"/>
      <c r="R23" s="988">
        <f t="shared" si="7"/>
        <v>0</v>
      </c>
      <c r="S23" s="546">
        <f t="shared" si="0"/>
        <v>0</v>
      </c>
      <c r="T23" s="547">
        <f t="shared" si="1"/>
        <v>0</v>
      </c>
      <c r="U23" s="546">
        <f t="shared" si="4"/>
        <v>0</v>
      </c>
      <c r="W23" s="350">
        <f t="shared" si="2"/>
        <v>0</v>
      </c>
      <c r="X23" s="285">
        <f t="shared" si="3"/>
        <v>0</v>
      </c>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row>
    <row r="24" spans="1:81" ht="12" thickBot="1">
      <c r="A24" s="596" t="s">
        <v>1505</v>
      </c>
      <c r="B24" s="541" t="s">
        <v>167</v>
      </c>
      <c r="C24" s="541" t="s">
        <v>191</v>
      </c>
      <c r="D24" s="554" t="s">
        <v>213</v>
      </c>
      <c r="E24" s="549">
        <f t="shared" si="5"/>
        <v>14537966</v>
      </c>
      <c r="F24" s="988">
        <f t="shared" si="8"/>
        <v>9100</v>
      </c>
      <c r="G24" s="988">
        <f t="shared" si="8"/>
        <v>615392</v>
      </c>
      <c r="H24" s="988">
        <f t="shared" si="8"/>
        <v>420438</v>
      </c>
      <c r="I24" s="988">
        <f t="shared" si="8"/>
        <v>45795</v>
      </c>
      <c r="J24" s="988">
        <f t="shared" si="8"/>
        <v>0</v>
      </c>
      <c r="K24" s="988">
        <f t="shared" si="8"/>
        <v>0</v>
      </c>
      <c r="L24" s="988">
        <f t="shared" si="8"/>
        <v>12025</v>
      </c>
      <c r="M24" s="988">
        <f t="shared" si="8"/>
        <v>46040</v>
      </c>
      <c r="N24" s="988">
        <f t="shared" si="8"/>
        <v>66754</v>
      </c>
      <c r="O24" s="988">
        <f t="shared" si="8"/>
        <v>0</v>
      </c>
      <c r="P24" s="988">
        <f t="shared" si="8"/>
        <v>0</v>
      </c>
      <c r="Q24" s="988"/>
      <c r="R24" s="988">
        <f t="shared" si="7"/>
        <v>1215543</v>
      </c>
      <c r="S24" s="546">
        <f t="shared" si="0"/>
        <v>1081625</v>
      </c>
      <c r="T24" s="547">
        <f t="shared" si="1"/>
        <v>0</v>
      </c>
      <c r="U24" s="546">
        <f t="shared" si="4"/>
        <v>66754</v>
      </c>
      <c r="W24" s="350">
        <f t="shared" si="2"/>
        <v>1215544</v>
      </c>
      <c r="X24" s="285">
        <f t="shared" si="3"/>
        <v>1</v>
      </c>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row>
    <row r="25" spans="1:81" ht="12" thickBot="1">
      <c r="A25" s="596" t="s">
        <v>1505</v>
      </c>
      <c r="B25" s="541" t="s">
        <v>683</v>
      </c>
      <c r="C25" s="541" t="s">
        <v>686</v>
      </c>
      <c r="D25" s="554" t="s">
        <v>723</v>
      </c>
      <c r="E25" s="549">
        <f t="shared" si="5"/>
        <v>0</v>
      </c>
      <c r="F25" s="988">
        <f t="shared" si="8"/>
        <v>0</v>
      </c>
      <c r="G25" s="988">
        <f t="shared" si="8"/>
        <v>0</v>
      </c>
      <c r="H25" s="988">
        <f t="shared" si="8"/>
        <v>0</v>
      </c>
      <c r="I25" s="988">
        <f t="shared" si="8"/>
        <v>0</v>
      </c>
      <c r="J25" s="988">
        <f t="shared" si="8"/>
        <v>0</v>
      </c>
      <c r="K25" s="988">
        <f t="shared" si="8"/>
        <v>0</v>
      </c>
      <c r="L25" s="988">
        <f t="shared" si="8"/>
        <v>0</v>
      </c>
      <c r="M25" s="988">
        <f t="shared" si="8"/>
        <v>0</v>
      </c>
      <c r="N25" s="988">
        <f t="shared" si="8"/>
        <v>0</v>
      </c>
      <c r="O25" s="988">
        <f t="shared" si="8"/>
        <v>0</v>
      </c>
      <c r="P25" s="988">
        <f t="shared" si="8"/>
        <v>0</v>
      </c>
      <c r="Q25" s="988"/>
      <c r="R25" s="988">
        <f t="shared" si="7"/>
        <v>0</v>
      </c>
      <c r="S25" s="546">
        <f t="shared" si="0"/>
        <v>0</v>
      </c>
      <c r="T25" s="547">
        <f t="shared" si="1"/>
        <v>0</v>
      </c>
      <c r="U25" s="546">
        <f t="shared" si="4"/>
        <v>0</v>
      </c>
      <c r="W25" s="350">
        <f t="shared" si="2"/>
        <v>0</v>
      </c>
      <c r="X25" s="285">
        <f t="shared" si="3"/>
        <v>0</v>
      </c>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row>
    <row r="26" spans="1:81" ht="12" thickBot="1">
      <c r="A26" s="596" t="s">
        <v>1505</v>
      </c>
      <c r="B26" s="541" t="s">
        <v>684</v>
      </c>
      <c r="C26" s="541" t="s">
        <v>687</v>
      </c>
      <c r="D26" s="554" t="s">
        <v>707</v>
      </c>
      <c r="E26" s="549">
        <f t="shared" si="5"/>
        <v>0</v>
      </c>
      <c r="F26" s="988">
        <f t="shared" si="8"/>
        <v>0</v>
      </c>
      <c r="G26" s="988">
        <f t="shared" si="8"/>
        <v>0</v>
      </c>
      <c r="H26" s="988">
        <f t="shared" si="8"/>
        <v>0</v>
      </c>
      <c r="I26" s="988">
        <f t="shared" si="8"/>
        <v>0</v>
      </c>
      <c r="J26" s="988">
        <f t="shared" si="8"/>
        <v>0</v>
      </c>
      <c r="K26" s="988">
        <f t="shared" si="8"/>
        <v>0</v>
      </c>
      <c r="L26" s="988">
        <f t="shared" si="8"/>
        <v>0</v>
      </c>
      <c r="M26" s="988">
        <f t="shared" si="8"/>
        <v>0</v>
      </c>
      <c r="N26" s="988">
        <f t="shared" si="8"/>
        <v>0</v>
      </c>
      <c r="O26" s="988">
        <f t="shared" si="8"/>
        <v>0</v>
      </c>
      <c r="P26" s="988">
        <f t="shared" si="8"/>
        <v>0</v>
      </c>
      <c r="Q26" s="988"/>
      <c r="R26" s="988">
        <f t="shared" si="7"/>
        <v>0</v>
      </c>
      <c r="S26" s="546">
        <f t="shared" si="0"/>
        <v>0</v>
      </c>
      <c r="T26" s="547">
        <f t="shared" si="1"/>
        <v>0</v>
      </c>
      <c r="U26" s="546">
        <f t="shared" si="4"/>
        <v>0</v>
      </c>
      <c r="W26" s="350">
        <f t="shared" si="2"/>
        <v>0</v>
      </c>
      <c r="X26" s="285">
        <f t="shared" si="3"/>
        <v>0</v>
      </c>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row>
    <row r="27" spans="1:81" ht="12" thickBot="1">
      <c r="A27" s="596" t="s">
        <v>1505</v>
      </c>
      <c r="B27" s="541" t="s">
        <v>685</v>
      </c>
      <c r="C27" s="541" t="s">
        <v>688</v>
      </c>
      <c r="D27" s="542" t="s">
        <v>1145</v>
      </c>
      <c r="E27" s="549">
        <f t="shared" si="5"/>
        <v>0</v>
      </c>
      <c r="F27" s="988">
        <f t="shared" si="8"/>
        <v>0</v>
      </c>
      <c r="G27" s="988">
        <f t="shared" si="8"/>
        <v>0</v>
      </c>
      <c r="H27" s="988">
        <f t="shared" si="8"/>
        <v>0</v>
      </c>
      <c r="I27" s="988">
        <f t="shared" si="8"/>
        <v>0</v>
      </c>
      <c r="J27" s="988">
        <f t="shared" si="8"/>
        <v>0</v>
      </c>
      <c r="K27" s="988">
        <f t="shared" si="8"/>
        <v>0</v>
      </c>
      <c r="L27" s="988">
        <f t="shared" si="8"/>
        <v>0</v>
      </c>
      <c r="M27" s="988">
        <f t="shared" si="8"/>
        <v>0</v>
      </c>
      <c r="N27" s="988">
        <f t="shared" si="8"/>
        <v>0</v>
      </c>
      <c r="O27" s="988">
        <f t="shared" si="8"/>
        <v>0</v>
      </c>
      <c r="P27" s="988">
        <f t="shared" si="8"/>
        <v>0</v>
      </c>
      <c r="Q27" s="988"/>
      <c r="R27" s="988">
        <f t="shared" si="7"/>
        <v>0</v>
      </c>
      <c r="S27" s="546">
        <f t="shared" si="0"/>
        <v>0</v>
      </c>
      <c r="T27" s="547">
        <f t="shared" si="1"/>
        <v>0</v>
      </c>
      <c r="U27" s="546">
        <f t="shared" si="4"/>
        <v>0</v>
      </c>
      <c r="W27" s="350">
        <f t="shared" si="2"/>
        <v>0</v>
      </c>
      <c r="X27" s="285">
        <f t="shared" si="3"/>
        <v>0</v>
      </c>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row>
    <row r="28" spans="1:81" ht="12" thickBot="1">
      <c r="A28" s="596" t="s">
        <v>1505</v>
      </c>
      <c r="B28" s="541" t="s">
        <v>217</v>
      </c>
      <c r="C28" s="541" t="s">
        <v>622</v>
      </c>
      <c r="D28" s="542" t="s">
        <v>19</v>
      </c>
      <c r="E28" s="549">
        <f t="shared" si="5"/>
        <v>0</v>
      </c>
      <c r="F28" s="988">
        <f t="shared" ref="F28:P37" si="9">ROUND(SUMIFS(F$1721:F$1901,$A$1721:$A$1901,$A28,$B$1721:$B$1901,$B28),0)</f>
        <v>0</v>
      </c>
      <c r="G28" s="988">
        <f t="shared" si="9"/>
        <v>0</v>
      </c>
      <c r="H28" s="988">
        <f t="shared" si="9"/>
        <v>0</v>
      </c>
      <c r="I28" s="988">
        <f t="shared" si="9"/>
        <v>0</v>
      </c>
      <c r="J28" s="988">
        <f t="shared" si="9"/>
        <v>0</v>
      </c>
      <c r="K28" s="988">
        <f t="shared" si="9"/>
        <v>0</v>
      </c>
      <c r="L28" s="988">
        <f t="shared" si="9"/>
        <v>0</v>
      </c>
      <c r="M28" s="988">
        <f t="shared" si="9"/>
        <v>0</v>
      </c>
      <c r="N28" s="988">
        <f t="shared" si="9"/>
        <v>0</v>
      </c>
      <c r="O28" s="988">
        <f t="shared" si="9"/>
        <v>0</v>
      </c>
      <c r="P28" s="988">
        <f t="shared" si="9"/>
        <v>0</v>
      </c>
      <c r="Q28" s="988"/>
      <c r="R28" s="988">
        <f t="shared" si="7"/>
        <v>0</v>
      </c>
      <c r="S28" s="546">
        <f t="shared" si="0"/>
        <v>0</v>
      </c>
      <c r="T28" s="547">
        <f t="shared" si="1"/>
        <v>0</v>
      </c>
      <c r="U28" s="546">
        <f t="shared" si="4"/>
        <v>0</v>
      </c>
      <c r="W28" s="350">
        <f t="shared" si="2"/>
        <v>0</v>
      </c>
      <c r="X28" s="285">
        <f t="shared" si="3"/>
        <v>0</v>
      </c>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row>
    <row r="29" spans="1:81" ht="12" thickBot="1">
      <c r="A29" s="596" t="s">
        <v>1505</v>
      </c>
      <c r="B29" s="541" t="s">
        <v>216</v>
      </c>
      <c r="C29" s="541" t="s">
        <v>622</v>
      </c>
      <c r="D29" s="542" t="s">
        <v>19</v>
      </c>
      <c r="E29" s="549">
        <f t="shared" si="5"/>
        <v>0</v>
      </c>
      <c r="F29" s="988">
        <f t="shared" si="9"/>
        <v>0</v>
      </c>
      <c r="G29" s="988">
        <f t="shared" si="9"/>
        <v>0</v>
      </c>
      <c r="H29" s="988">
        <f t="shared" si="9"/>
        <v>0</v>
      </c>
      <c r="I29" s="988">
        <f t="shared" si="9"/>
        <v>0</v>
      </c>
      <c r="J29" s="988">
        <f t="shared" si="9"/>
        <v>0</v>
      </c>
      <c r="K29" s="988">
        <f t="shared" si="9"/>
        <v>0</v>
      </c>
      <c r="L29" s="988">
        <f t="shared" si="9"/>
        <v>0</v>
      </c>
      <c r="M29" s="988">
        <f t="shared" si="9"/>
        <v>0</v>
      </c>
      <c r="N29" s="988">
        <f t="shared" si="9"/>
        <v>0</v>
      </c>
      <c r="O29" s="988">
        <f t="shared" si="9"/>
        <v>0</v>
      </c>
      <c r="P29" s="988">
        <f t="shared" si="9"/>
        <v>0</v>
      </c>
      <c r="Q29" s="988"/>
      <c r="R29" s="988">
        <f t="shared" si="7"/>
        <v>0</v>
      </c>
      <c r="S29" s="546">
        <f t="shared" si="0"/>
        <v>0</v>
      </c>
      <c r="T29" s="547">
        <f t="shared" si="1"/>
        <v>0</v>
      </c>
      <c r="U29" s="546">
        <f t="shared" si="4"/>
        <v>0</v>
      </c>
      <c r="W29" s="350">
        <f t="shared" si="2"/>
        <v>0</v>
      </c>
      <c r="X29" s="285">
        <f t="shared" si="3"/>
        <v>0</v>
      </c>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row>
    <row r="30" spans="1:81" ht="12" thickBot="1">
      <c r="A30" s="596" t="s">
        <v>1505</v>
      </c>
      <c r="B30" s="541" t="s">
        <v>168</v>
      </c>
      <c r="C30" s="541" t="s">
        <v>58</v>
      </c>
      <c r="D30" s="542" t="s">
        <v>20</v>
      </c>
      <c r="E30" s="549">
        <f t="shared" si="5"/>
        <v>0</v>
      </c>
      <c r="F30" s="988">
        <f t="shared" si="9"/>
        <v>0</v>
      </c>
      <c r="G30" s="988">
        <f t="shared" si="9"/>
        <v>0</v>
      </c>
      <c r="H30" s="988">
        <f t="shared" si="9"/>
        <v>0</v>
      </c>
      <c r="I30" s="988">
        <f t="shared" si="9"/>
        <v>0</v>
      </c>
      <c r="J30" s="988">
        <f t="shared" si="9"/>
        <v>0</v>
      </c>
      <c r="K30" s="988">
        <f t="shared" si="9"/>
        <v>0</v>
      </c>
      <c r="L30" s="988">
        <f t="shared" si="9"/>
        <v>0</v>
      </c>
      <c r="M30" s="988">
        <f t="shared" si="9"/>
        <v>0</v>
      </c>
      <c r="N30" s="988">
        <f t="shared" si="9"/>
        <v>0</v>
      </c>
      <c r="O30" s="988">
        <f t="shared" si="9"/>
        <v>0</v>
      </c>
      <c r="P30" s="988">
        <f t="shared" si="9"/>
        <v>0</v>
      </c>
      <c r="Q30" s="988"/>
      <c r="R30" s="988">
        <f t="shared" si="7"/>
        <v>0</v>
      </c>
      <c r="S30" s="546">
        <f t="shared" si="0"/>
        <v>0</v>
      </c>
      <c r="T30" s="547">
        <f t="shared" si="1"/>
        <v>0</v>
      </c>
      <c r="U30" s="546">
        <f t="shared" si="4"/>
        <v>0</v>
      </c>
      <c r="W30" s="350">
        <f t="shared" si="2"/>
        <v>0</v>
      </c>
      <c r="X30" s="285">
        <f t="shared" si="3"/>
        <v>0</v>
      </c>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row>
    <row r="31" spans="1:81" ht="12" thickBot="1">
      <c r="A31" s="596" t="s">
        <v>1505</v>
      </c>
      <c r="B31" s="541" t="s">
        <v>623</v>
      </c>
      <c r="C31" s="541" t="s">
        <v>643</v>
      </c>
      <c r="D31" s="542" t="s">
        <v>20</v>
      </c>
      <c r="E31" s="549">
        <f t="shared" si="5"/>
        <v>0</v>
      </c>
      <c r="F31" s="988">
        <f t="shared" si="9"/>
        <v>0</v>
      </c>
      <c r="G31" s="988">
        <f t="shared" si="9"/>
        <v>0</v>
      </c>
      <c r="H31" s="988">
        <f t="shared" si="9"/>
        <v>0</v>
      </c>
      <c r="I31" s="988">
        <f t="shared" si="9"/>
        <v>0</v>
      </c>
      <c r="J31" s="988">
        <f t="shared" si="9"/>
        <v>0</v>
      </c>
      <c r="K31" s="988">
        <f t="shared" si="9"/>
        <v>0</v>
      </c>
      <c r="L31" s="988">
        <f t="shared" si="9"/>
        <v>0</v>
      </c>
      <c r="M31" s="988">
        <f t="shared" si="9"/>
        <v>0</v>
      </c>
      <c r="N31" s="988">
        <f t="shared" si="9"/>
        <v>0</v>
      </c>
      <c r="O31" s="988">
        <f t="shared" si="9"/>
        <v>0</v>
      </c>
      <c r="P31" s="988">
        <f t="shared" si="9"/>
        <v>0</v>
      </c>
      <c r="Q31" s="988"/>
      <c r="R31" s="988">
        <f t="shared" si="7"/>
        <v>0</v>
      </c>
      <c r="S31" s="546">
        <f t="shared" si="0"/>
        <v>0</v>
      </c>
      <c r="T31" s="547">
        <f t="shared" si="1"/>
        <v>0</v>
      </c>
      <c r="U31" s="546">
        <f t="shared" si="4"/>
        <v>0</v>
      </c>
      <c r="W31" s="350">
        <f t="shared" si="2"/>
        <v>0</v>
      </c>
      <c r="X31" s="285">
        <f t="shared" si="3"/>
        <v>0</v>
      </c>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row>
    <row r="32" spans="1:81" ht="12" thickBot="1">
      <c r="A32" s="596" t="s">
        <v>1505</v>
      </c>
      <c r="B32" s="541" t="s">
        <v>691</v>
      </c>
      <c r="C32" s="541" t="s">
        <v>689</v>
      </c>
      <c r="D32" s="542" t="s">
        <v>690</v>
      </c>
      <c r="E32" s="549">
        <f t="shared" si="5"/>
        <v>0</v>
      </c>
      <c r="F32" s="988">
        <f t="shared" si="9"/>
        <v>0</v>
      </c>
      <c r="G32" s="988">
        <f t="shared" si="9"/>
        <v>0</v>
      </c>
      <c r="H32" s="988">
        <f t="shared" si="9"/>
        <v>0</v>
      </c>
      <c r="I32" s="988">
        <f t="shared" si="9"/>
        <v>0</v>
      </c>
      <c r="J32" s="988">
        <f t="shared" si="9"/>
        <v>0</v>
      </c>
      <c r="K32" s="988">
        <f t="shared" si="9"/>
        <v>0</v>
      </c>
      <c r="L32" s="988">
        <f t="shared" si="9"/>
        <v>0</v>
      </c>
      <c r="M32" s="988">
        <f t="shared" si="9"/>
        <v>0</v>
      </c>
      <c r="N32" s="988">
        <f t="shared" si="9"/>
        <v>0</v>
      </c>
      <c r="O32" s="988">
        <f t="shared" si="9"/>
        <v>0</v>
      </c>
      <c r="P32" s="988">
        <f t="shared" si="9"/>
        <v>0</v>
      </c>
      <c r="Q32" s="988"/>
      <c r="R32" s="988">
        <f t="shared" si="7"/>
        <v>0</v>
      </c>
      <c r="S32" s="546">
        <f t="shared" si="0"/>
        <v>0</v>
      </c>
      <c r="T32" s="547">
        <f t="shared" si="1"/>
        <v>0</v>
      </c>
      <c r="U32" s="546">
        <f t="shared" si="4"/>
        <v>0</v>
      </c>
      <c r="W32" s="350">
        <f t="shared" si="2"/>
        <v>0</v>
      </c>
      <c r="X32" s="285">
        <f t="shared" si="3"/>
        <v>0</v>
      </c>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row>
    <row r="33" spans="1:81" ht="12" thickBot="1">
      <c r="A33" s="596" t="s">
        <v>1505</v>
      </c>
      <c r="B33" s="541" t="s">
        <v>1147</v>
      </c>
      <c r="C33" s="541" t="s">
        <v>1148</v>
      </c>
      <c r="D33" s="542" t="s">
        <v>1156</v>
      </c>
      <c r="E33" s="549">
        <f t="shared" si="5"/>
        <v>0</v>
      </c>
      <c r="F33" s="988">
        <f t="shared" si="9"/>
        <v>0</v>
      </c>
      <c r="G33" s="988">
        <f t="shared" si="9"/>
        <v>0</v>
      </c>
      <c r="H33" s="988">
        <f t="shared" si="9"/>
        <v>0</v>
      </c>
      <c r="I33" s="988">
        <f t="shared" si="9"/>
        <v>0</v>
      </c>
      <c r="J33" s="988">
        <f t="shared" si="9"/>
        <v>0</v>
      </c>
      <c r="K33" s="988">
        <f t="shared" si="9"/>
        <v>0</v>
      </c>
      <c r="L33" s="988">
        <f t="shared" si="9"/>
        <v>0</v>
      </c>
      <c r="M33" s="988">
        <f t="shared" si="9"/>
        <v>0</v>
      </c>
      <c r="N33" s="988">
        <f t="shared" si="9"/>
        <v>0</v>
      </c>
      <c r="O33" s="988">
        <f t="shared" si="9"/>
        <v>0</v>
      </c>
      <c r="P33" s="988">
        <f t="shared" si="9"/>
        <v>0</v>
      </c>
      <c r="Q33" s="988"/>
      <c r="R33" s="988">
        <f t="shared" si="7"/>
        <v>0</v>
      </c>
      <c r="S33" s="546">
        <f t="shared" si="0"/>
        <v>0</v>
      </c>
      <c r="T33" s="547">
        <f t="shared" si="1"/>
        <v>0</v>
      </c>
      <c r="U33" s="546">
        <f t="shared" si="4"/>
        <v>0</v>
      </c>
      <c r="W33" s="350">
        <f t="shared" si="2"/>
        <v>0</v>
      </c>
      <c r="X33" s="285">
        <f t="shared" si="3"/>
        <v>0</v>
      </c>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row>
    <row r="34" spans="1:81" ht="12" thickBot="1">
      <c r="A34" s="596" t="s">
        <v>1505</v>
      </c>
      <c r="B34" s="541" t="s">
        <v>169</v>
      </c>
      <c r="C34" s="541" t="s">
        <v>1392</v>
      </c>
      <c r="D34" s="542" t="s">
        <v>208</v>
      </c>
      <c r="E34" s="549">
        <f t="shared" si="5"/>
        <v>0</v>
      </c>
      <c r="F34" s="988">
        <f t="shared" si="9"/>
        <v>0</v>
      </c>
      <c r="G34" s="988">
        <f t="shared" si="9"/>
        <v>0</v>
      </c>
      <c r="H34" s="988">
        <f t="shared" si="9"/>
        <v>0</v>
      </c>
      <c r="I34" s="988">
        <f t="shared" si="9"/>
        <v>0</v>
      </c>
      <c r="J34" s="988">
        <f t="shared" si="9"/>
        <v>0</v>
      </c>
      <c r="K34" s="988">
        <f t="shared" si="9"/>
        <v>0</v>
      </c>
      <c r="L34" s="988">
        <f t="shared" si="9"/>
        <v>0</v>
      </c>
      <c r="M34" s="988">
        <f t="shared" si="9"/>
        <v>0</v>
      </c>
      <c r="N34" s="988">
        <f t="shared" si="9"/>
        <v>0</v>
      </c>
      <c r="O34" s="988">
        <f t="shared" si="9"/>
        <v>0</v>
      </c>
      <c r="P34" s="988">
        <f t="shared" si="9"/>
        <v>0</v>
      </c>
      <c r="Q34" s="988"/>
      <c r="R34" s="988">
        <f t="shared" si="7"/>
        <v>0</v>
      </c>
      <c r="S34" s="546">
        <f t="shared" si="0"/>
        <v>0</v>
      </c>
      <c r="T34" s="547">
        <f t="shared" si="1"/>
        <v>0</v>
      </c>
      <c r="U34" s="546">
        <f t="shared" si="4"/>
        <v>0</v>
      </c>
      <c r="W34" s="350">
        <f t="shared" si="2"/>
        <v>0</v>
      </c>
      <c r="X34" s="285">
        <f t="shared" si="3"/>
        <v>0</v>
      </c>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row>
    <row r="35" spans="1:81" ht="12" thickBot="1">
      <c r="A35" s="596" t="s">
        <v>1505</v>
      </c>
      <c r="B35" s="541" t="s">
        <v>170</v>
      </c>
      <c r="C35" s="541" t="s">
        <v>1393</v>
      </c>
      <c r="D35" s="542" t="s">
        <v>17</v>
      </c>
      <c r="E35" s="549">
        <f t="shared" si="5"/>
        <v>0</v>
      </c>
      <c r="F35" s="988">
        <f t="shared" si="9"/>
        <v>0</v>
      </c>
      <c r="G35" s="988">
        <f t="shared" si="9"/>
        <v>0</v>
      </c>
      <c r="H35" s="988">
        <f t="shared" si="9"/>
        <v>0</v>
      </c>
      <c r="I35" s="988">
        <f t="shared" si="9"/>
        <v>0</v>
      </c>
      <c r="J35" s="988">
        <f t="shared" si="9"/>
        <v>0</v>
      </c>
      <c r="K35" s="988">
        <f t="shared" si="9"/>
        <v>0</v>
      </c>
      <c r="L35" s="988">
        <f t="shared" si="9"/>
        <v>0</v>
      </c>
      <c r="M35" s="988">
        <f t="shared" si="9"/>
        <v>0</v>
      </c>
      <c r="N35" s="988">
        <f t="shared" si="9"/>
        <v>0</v>
      </c>
      <c r="O35" s="988">
        <f t="shared" si="9"/>
        <v>0</v>
      </c>
      <c r="P35" s="988">
        <f t="shared" si="9"/>
        <v>0</v>
      </c>
      <c r="Q35" s="988"/>
      <c r="R35" s="988">
        <f t="shared" si="7"/>
        <v>0</v>
      </c>
      <c r="S35" s="546">
        <f t="shared" si="0"/>
        <v>0</v>
      </c>
      <c r="T35" s="547">
        <f t="shared" si="1"/>
        <v>0</v>
      </c>
      <c r="U35" s="546">
        <f t="shared" si="4"/>
        <v>0</v>
      </c>
      <c r="W35" s="350">
        <f t="shared" si="2"/>
        <v>0</v>
      </c>
      <c r="X35" s="285">
        <f t="shared" si="3"/>
        <v>0</v>
      </c>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row>
    <row r="36" spans="1:81" ht="12" thickBot="1">
      <c r="A36" s="596" t="s">
        <v>1505</v>
      </c>
      <c r="B36" s="541" t="s">
        <v>713</v>
      </c>
      <c r="C36" s="541" t="s">
        <v>711</v>
      </c>
      <c r="D36" s="542" t="s">
        <v>712</v>
      </c>
      <c r="E36" s="549">
        <f t="shared" si="5"/>
        <v>0</v>
      </c>
      <c r="F36" s="988">
        <f t="shared" si="9"/>
        <v>0</v>
      </c>
      <c r="G36" s="988">
        <f t="shared" si="9"/>
        <v>0</v>
      </c>
      <c r="H36" s="988">
        <f t="shared" si="9"/>
        <v>0</v>
      </c>
      <c r="I36" s="988">
        <f t="shared" si="9"/>
        <v>0</v>
      </c>
      <c r="J36" s="988">
        <f t="shared" si="9"/>
        <v>0</v>
      </c>
      <c r="K36" s="988">
        <f t="shared" si="9"/>
        <v>0</v>
      </c>
      <c r="L36" s="988">
        <f t="shared" si="9"/>
        <v>0</v>
      </c>
      <c r="M36" s="988">
        <f t="shared" si="9"/>
        <v>0</v>
      </c>
      <c r="N36" s="988">
        <f t="shared" si="9"/>
        <v>0</v>
      </c>
      <c r="O36" s="988">
        <f t="shared" si="9"/>
        <v>0</v>
      </c>
      <c r="P36" s="988">
        <f t="shared" si="9"/>
        <v>0</v>
      </c>
      <c r="Q36" s="988"/>
      <c r="R36" s="988">
        <f t="shared" si="7"/>
        <v>0</v>
      </c>
      <c r="S36" s="546">
        <f t="shared" si="0"/>
        <v>0</v>
      </c>
      <c r="T36" s="547">
        <f t="shared" si="1"/>
        <v>0</v>
      </c>
      <c r="U36" s="546">
        <f t="shared" si="4"/>
        <v>0</v>
      </c>
      <c r="W36" s="350">
        <f t="shared" si="2"/>
        <v>0</v>
      </c>
      <c r="X36" s="285">
        <f t="shared" si="3"/>
        <v>0</v>
      </c>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row>
    <row r="37" spans="1:81" ht="12" thickBot="1">
      <c r="A37" s="596" t="s">
        <v>1505</v>
      </c>
      <c r="B37" s="596" t="s">
        <v>171</v>
      </c>
      <c r="C37" s="541" t="s">
        <v>442</v>
      </c>
      <c r="D37" s="542" t="s">
        <v>72</v>
      </c>
      <c r="E37" s="549">
        <f t="shared" si="5"/>
        <v>0</v>
      </c>
      <c r="F37" s="988">
        <f t="shared" si="9"/>
        <v>0</v>
      </c>
      <c r="G37" s="988">
        <f t="shared" si="9"/>
        <v>0</v>
      </c>
      <c r="H37" s="988">
        <f t="shared" si="9"/>
        <v>0</v>
      </c>
      <c r="I37" s="988">
        <f t="shared" si="9"/>
        <v>0</v>
      </c>
      <c r="J37" s="988">
        <f t="shared" si="9"/>
        <v>0</v>
      </c>
      <c r="K37" s="988">
        <f t="shared" si="9"/>
        <v>0</v>
      </c>
      <c r="L37" s="988">
        <f t="shared" si="9"/>
        <v>0</v>
      </c>
      <c r="M37" s="988">
        <f t="shared" si="9"/>
        <v>0</v>
      </c>
      <c r="N37" s="988">
        <f t="shared" si="9"/>
        <v>0</v>
      </c>
      <c r="O37" s="988">
        <f t="shared" si="9"/>
        <v>0</v>
      </c>
      <c r="P37" s="988">
        <f t="shared" si="9"/>
        <v>-989829</v>
      </c>
      <c r="Q37" s="988"/>
      <c r="R37" s="988">
        <f t="shared" si="7"/>
        <v>-989829</v>
      </c>
      <c r="S37" s="546">
        <f t="shared" ref="S37" si="10">G37+H37+I37</f>
        <v>0</v>
      </c>
      <c r="T37" s="547">
        <f t="shared" ref="T37" si="11">J37+K37</f>
        <v>0</v>
      </c>
      <c r="U37" s="546">
        <f t="shared" ref="U37" si="12">N37+O37</f>
        <v>0</v>
      </c>
      <c r="W37" s="350">
        <f t="shared" ref="W37" si="13">SUM(F37:Q37)</f>
        <v>-989829</v>
      </c>
      <c r="X37" s="285">
        <f t="shared" ref="X37" si="14">W37-R37</f>
        <v>0</v>
      </c>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row>
    <row r="38" spans="1:81" ht="12" thickBot="1">
      <c r="A38" s="596" t="s">
        <v>1505</v>
      </c>
      <c r="B38" s="541" t="s">
        <v>172</v>
      </c>
      <c r="C38" s="541" t="s">
        <v>442</v>
      </c>
      <c r="D38" s="542" t="s">
        <v>72</v>
      </c>
      <c r="E38" s="549">
        <f t="shared" si="5"/>
        <v>0</v>
      </c>
      <c r="F38" s="988">
        <f t="shared" ref="F38:P47" si="15">ROUND(SUMIFS(F$1721:F$1901,$A$1721:$A$1901,$A38,$B$1721:$B$1901,$B38),0)</f>
        <v>0</v>
      </c>
      <c r="G38" s="988">
        <f t="shared" si="15"/>
        <v>0</v>
      </c>
      <c r="H38" s="988">
        <f t="shared" si="15"/>
        <v>0</v>
      </c>
      <c r="I38" s="988">
        <f t="shared" si="15"/>
        <v>0</v>
      </c>
      <c r="J38" s="988">
        <f t="shared" si="15"/>
        <v>0</v>
      </c>
      <c r="K38" s="988">
        <f t="shared" si="15"/>
        <v>0</v>
      </c>
      <c r="L38" s="988">
        <f t="shared" si="15"/>
        <v>0</v>
      </c>
      <c r="M38" s="988">
        <f t="shared" si="15"/>
        <v>0</v>
      </c>
      <c r="N38" s="988">
        <f t="shared" si="15"/>
        <v>0</v>
      </c>
      <c r="O38" s="988">
        <f t="shared" si="15"/>
        <v>0</v>
      </c>
      <c r="P38" s="988">
        <f t="shared" si="15"/>
        <v>0</v>
      </c>
      <c r="Q38" s="988"/>
      <c r="R38" s="988">
        <f t="shared" si="7"/>
        <v>0</v>
      </c>
      <c r="S38" s="546">
        <f t="shared" si="0"/>
        <v>0</v>
      </c>
      <c r="T38" s="547">
        <f t="shared" si="1"/>
        <v>0</v>
      </c>
      <c r="U38" s="546">
        <f t="shared" si="4"/>
        <v>0</v>
      </c>
      <c r="W38" s="350">
        <f t="shared" si="2"/>
        <v>0</v>
      </c>
      <c r="X38" s="285">
        <f t="shared" si="3"/>
        <v>0</v>
      </c>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row>
    <row r="39" spans="1:81" ht="12" thickBot="1">
      <c r="A39" s="596" t="s">
        <v>1505</v>
      </c>
      <c r="B39" s="541" t="s">
        <v>1149</v>
      </c>
      <c r="C39" s="541" t="s">
        <v>1150</v>
      </c>
      <c r="D39" s="542" t="s">
        <v>72</v>
      </c>
      <c r="E39" s="549">
        <f t="shared" si="5"/>
        <v>0</v>
      </c>
      <c r="F39" s="988">
        <f t="shared" si="15"/>
        <v>0</v>
      </c>
      <c r="G39" s="988">
        <f t="shared" si="15"/>
        <v>0</v>
      </c>
      <c r="H39" s="988">
        <f t="shared" si="15"/>
        <v>0</v>
      </c>
      <c r="I39" s="988">
        <f t="shared" si="15"/>
        <v>0</v>
      </c>
      <c r="J39" s="988">
        <f t="shared" si="15"/>
        <v>0</v>
      </c>
      <c r="K39" s="988">
        <f t="shared" si="15"/>
        <v>0</v>
      </c>
      <c r="L39" s="988">
        <f t="shared" si="15"/>
        <v>0</v>
      </c>
      <c r="M39" s="988">
        <f t="shared" si="15"/>
        <v>0</v>
      </c>
      <c r="N39" s="988">
        <f t="shared" si="15"/>
        <v>0</v>
      </c>
      <c r="O39" s="988">
        <f t="shared" si="15"/>
        <v>0</v>
      </c>
      <c r="P39" s="988">
        <f t="shared" si="15"/>
        <v>0</v>
      </c>
      <c r="Q39" s="988"/>
      <c r="R39" s="988">
        <f t="shared" si="7"/>
        <v>0</v>
      </c>
      <c r="S39" s="546">
        <f t="shared" si="0"/>
        <v>0</v>
      </c>
      <c r="T39" s="547">
        <f t="shared" si="1"/>
        <v>0</v>
      </c>
      <c r="U39" s="546">
        <f t="shared" si="4"/>
        <v>0</v>
      </c>
      <c r="W39" s="350">
        <f t="shared" si="2"/>
        <v>0</v>
      </c>
      <c r="X39" s="285">
        <f t="shared" si="3"/>
        <v>0</v>
      </c>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row>
    <row r="40" spans="1:81" ht="12" thickBot="1">
      <c r="A40" s="596" t="s">
        <v>1505</v>
      </c>
      <c r="B40" s="541" t="s">
        <v>1051</v>
      </c>
      <c r="C40" s="541" t="s">
        <v>1052</v>
      </c>
      <c r="D40" s="542" t="s">
        <v>719</v>
      </c>
      <c r="E40" s="549">
        <f t="shared" si="5"/>
        <v>0</v>
      </c>
      <c r="F40" s="988">
        <f t="shared" si="15"/>
        <v>0</v>
      </c>
      <c r="G40" s="988">
        <f t="shared" si="15"/>
        <v>0</v>
      </c>
      <c r="H40" s="988">
        <f t="shared" si="15"/>
        <v>0</v>
      </c>
      <c r="I40" s="988">
        <f t="shared" si="15"/>
        <v>0</v>
      </c>
      <c r="J40" s="988">
        <f t="shared" si="15"/>
        <v>0</v>
      </c>
      <c r="K40" s="988">
        <f t="shared" si="15"/>
        <v>0</v>
      </c>
      <c r="L40" s="988">
        <f t="shared" si="15"/>
        <v>0</v>
      </c>
      <c r="M40" s="988">
        <f t="shared" si="15"/>
        <v>0</v>
      </c>
      <c r="N40" s="988">
        <f t="shared" si="15"/>
        <v>0</v>
      </c>
      <c r="O40" s="988">
        <f t="shared" si="15"/>
        <v>0</v>
      </c>
      <c r="P40" s="988">
        <f t="shared" si="15"/>
        <v>0</v>
      </c>
      <c r="Q40" s="988"/>
      <c r="R40" s="988">
        <f t="shared" si="7"/>
        <v>0</v>
      </c>
      <c r="S40" s="546">
        <f t="shared" si="0"/>
        <v>0</v>
      </c>
      <c r="T40" s="547">
        <f t="shared" si="1"/>
        <v>0</v>
      </c>
      <c r="U40" s="546">
        <f t="shared" si="4"/>
        <v>0</v>
      </c>
      <c r="W40" s="350">
        <f t="shared" si="2"/>
        <v>0</v>
      </c>
      <c r="X40" s="285">
        <f t="shared" si="3"/>
        <v>0</v>
      </c>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row>
    <row r="41" spans="1:81" ht="12" thickBot="1">
      <c r="A41" s="596" t="s">
        <v>1505</v>
      </c>
      <c r="B41" s="541" t="s">
        <v>1053</v>
      </c>
      <c r="C41" s="541" t="s">
        <v>1054</v>
      </c>
      <c r="D41" s="542" t="s">
        <v>719</v>
      </c>
      <c r="E41" s="549">
        <f t="shared" si="5"/>
        <v>0</v>
      </c>
      <c r="F41" s="988">
        <f t="shared" si="15"/>
        <v>0</v>
      </c>
      <c r="G41" s="988">
        <f t="shared" si="15"/>
        <v>0</v>
      </c>
      <c r="H41" s="988">
        <f t="shared" si="15"/>
        <v>0</v>
      </c>
      <c r="I41" s="988">
        <f t="shared" si="15"/>
        <v>0</v>
      </c>
      <c r="J41" s="988">
        <f t="shared" si="15"/>
        <v>0</v>
      </c>
      <c r="K41" s="988">
        <f t="shared" si="15"/>
        <v>0</v>
      </c>
      <c r="L41" s="988">
        <f t="shared" si="15"/>
        <v>0</v>
      </c>
      <c r="M41" s="988">
        <f t="shared" si="15"/>
        <v>0</v>
      </c>
      <c r="N41" s="988">
        <f t="shared" si="15"/>
        <v>0</v>
      </c>
      <c r="O41" s="988">
        <f t="shared" si="15"/>
        <v>0</v>
      </c>
      <c r="P41" s="988">
        <f t="shared" si="15"/>
        <v>0</v>
      </c>
      <c r="Q41" s="988"/>
      <c r="R41" s="988">
        <f t="shared" si="7"/>
        <v>0</v>
      </c>
      <c r="S41" s="546">
        <f t="shared" si="0"/>
        <v>0</v>
      </c>
      <c r="T41" s="547">
        <f t="shared" si="1"/>
        <v>0</v>
      </c>
      <c r="U41" s="546">
        <f t="shared" si="4"/>
        <v>0</v>
      </c>
      <c r="W41" s="350">
        <f t="shared" si="2"/>
        <v>0</v>
      </c>
      <c r="X41" s="285">
        <f t="shared" si="3"/>
        <v>0</v>
      </c>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row>
    <row r="42" spans="1:81" ht="12" thickBot="1">
      <c r="A42" s="596" t="s">
        <v>1505</v>
      </c>
      <c r="B42" s="541" t="s">
        <v>193</v>
      </c>
      <c r="C42" s="541" t="s">
        <v>194</v>
      </c>
      <c r="D42" s="542" t="s">
        <v>443</v>
      </c>
      <c r="E42" s="549">
        <f t="shared" si="5"/>
        <v>0</v>
      </c>
      <c r="F42" s="988">
        <f t="shared" si="15"/>
        <v>0</v>
      </c>
      <c r="G42" s="988">
        <f t="shared" si="15"/>
        <v>0</v>
      </c>
      <c r="H42" s="988">
        <f t="shared" si="15"/>
        <v>0</v>
      </c>
      <c r="I42" s="988">
        <f t="shared" si="15"/>
        <v>0</v>
      </c>
      <c r="J42" s="988">
        <f t="shared" si="15"/>
        <v>0</v>
      </c>
      <c r="K42" s="988">
        <f t="shared" si="15"/>
        <v>0</v>
      </c>
      <c r="L42" s="988">
        <f t="shared" si="15"/>
        <v>0</v>
      </c>
      <c r="M42" s="988">
        <f t="shared" si="15"/>
        <v>0</v>
      </c>
      <c r="N42" s="988">
        <f t="shared" si="15"/>
        <v>0</v>
      </c>
      <c r="O42" s="988">
        <f t="shared" si="15"/>
        <v>0</v>
      </c>
      <c r="P42" s="988">
        <f t="shared" si="15"/>
        <v>0</v>
      </c>
      <c r="Q42" s="988"/>
      <c r="R42" s="988">
        <f t="shared" si="7"/>
        <v>0</v>
      </c>
      <c r="S42" s="546">
        <f t="shared" si="0"/>
        <v>0</v>
      </c>
      <c r="T42" s="547">
        <f t="shared" si="1"/>
        <v>0</v>
      </c>
      <c r="U42" s="546">
        <f t="shared" si="4"/>
        <v>0</v>
      </c>
      <c r="W42" s="350">
        <f t="shared" si="2"/>
        <v>0</v>
      </c>
      <c r="X42" s="285">
        <f t="shared" si="3"/>
        <v>0</v>
      </c>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row>
    <row r="43" spans="1:81" ht="12" thickBot="1">
      <c r="A43" s="596" t="s">
        <v>1505</v>
      </c>
      <c r="B43" s="541" t="s">
        <v>195</v>
      </c>
      <c r="C43" s="541" t="s">
        <v>196</v>
      </c>
      <c r="D43" s="542" t="s">
        <v>443</v>
      </c>
      <c r="E43" s="549">
        <f t="shared" si="5"/>
        <v>0</v>
      </c>
      <c r="F43" s="988">
        <f t="shared" si="15"/>
        <v>0</v>
      </c>
      <c r="G43" s="988">
        <f t="shared" si="15"/>
        <v>0</v>
      </c>
      <c r="H43" s="988">
        <f t="shared" si="15"/>
        <v>0</v>
      </c>
      <c r="I43" s="988">
        <f t="shared" si="15"/>
        <v>0</v>
      </c>
      <c r="J43" s="988">
        <f t="shared" si="15"/>
        <v>0</v>
      </c>
      <c r="K43" s="988">
        <f t="shared" si="15"/>
        <v>0</v>
      </c>
      <c r="L43" s="988">
        <f t="shared" si="15"/>
        <v>0</v>
      </c>
      <c r="M43" s="988">
        <f t="shared" si="15"/>
        <v>0</v>
      </c>
      <c r="N43" s="988">
        <f t="shared" si="15"/>
        <v>0</v>
      </c>
      <c r="O43" s="988">
        <f t="shared" si="15"/>
        <v>0</v>
      </c>
      <c r="P43" s="988">
        <f t="shared" si="15"/>
        <v>0</v>
      </c>
      <c r="Q43" s="988"/>
      <c r="R43" s="988">
        <f t="shared" si="7"/>
        <v>0</v>
      </c>
      <c r="S43" s="546">
        <f t="shared" si="0"/>
        <v>0</v>
      </c>
      <c r="T43" s="547">
        <f t="shared" si="1"/>
        <v>0</v>
      </c>
      <c r="U43" s="546">
        <f t="shared" si="4"/>
        <v>0</v>
      </c>
      <c r="W43" s="350">
        <f t="shared" si="2"/>
        <v>0</v>
      </c>
      <c r="X43" s="285">
        <f t="shared" si="3"/>
        <v>0</v>
      </c>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row>
    <row r="44" spans="1:81" ht="12" thickBot="1">
      <c r="A44" s="596" t="s">
        <v>1505</v>
      </c>
      <c r="B44" s="541" t="s">
        <v>197</v>
      </c>
      <c r="C44" s="541" t="s">
        <v>198</v>
      </c>
      <c r="D44" s="542" t="s">
        <v>443</v>
      </c>
      <c r="E44" s="549">
        <f t="shared" si="5"/>
        <v>0</v>
      </c>
      <c r="F44" s="988">
        <f t="shared" si="15"/>
        <v>0</v>
      </c>
      <c r="G44" s="988">
        <f t="shared" si="15"/>
        <v>0</v>
      </c>
      <c r="H44" s="988">
        <f t="shared" si="15"/>
        <v>0</v>
      </c>
      <c r="I44" s="988">
        <f t="shared" si="15"/>
        <v>0</v>
      </c>
      <c r="J44" s="988">
        <f t="shared" si="15"/>
        <v>0</v>
      </c>
      <c r="K44" s="988">
        <f t="shared" si="15"/>
        <v>0</v>
      </c>
      <c r="L44" s="988">
        <f t="shared" si="15"/>
        <v>0</v>
      </c>
      <c r="M44" s="988">
        <f t="shared" si="15"/>
        <v>0</v>
      </c>
      <c r="N44" s="988">
        <f t="shared" si="15"/>
        <v>0</v>
      </c>
      <c r="O44" s="988">
        <f t="shared" si="15"/>
        <v>0</v>
      </c>
      <c r="P44" s="988">
        <f t="shared" si="15"/>
        <v>0</v>
      </c>
      <c r="Q44" s="988"/>
      <c r="R44" s="988">
        <f t="shared" si="7"/>
        <v>0</v>
      </c>
      <c r="S44" s="546">
        <f t="shared" si="0"/>
        <v>0</v>
      </c>
      <c r="T44" s="547">
        <f t="shared" si="1"/>
        <v>0</v>
      </c>
      <c r="U44" s="546">
        <f t="shared" si="4"/>
        <v>0</v>
      </c>
      <c r="W44" s="350">
        <f t="shared" si="2"/>
        <v>0</v>
      </c>
      <c r="X44" s="285">
        <f t="shared" si="3"/>
        <v>0</v>
      </c>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row>
    <row r="45" spans="1:81" ht="12" thickBot="1">
      <c r="A45" s="596" t="s">
        <v>1505</v>
      </c>
      <c r="B45" s="541" t="s">
        <v>173</v>
      </c>
      <c r="C45" s="541" t="s">
        <v>192</v>
      </c>
      <c r="D45" s="542" t="s">
        <v>642</v>
      </c>
      <c r="E45" s="549">
        <f t="shared" si="5"/>
        <v>48922696</v>
      </c>
      <c r="F45" s="988">
        <f t="shared" si="15"/>
        <v>750</v>
      </c>
      <c r="G45" s="988">
        <f t="shared" si="15"/>
        <v>180525</v>
      </c>
      <c r="H45" s="988">
        <f t="shared" si="15"/>
        <v>1414844</v>
      </c>
      <c r="I45" s="988">
        <f t="shared" si="15"/>
        <v>0</v>
      </c>
      <c r="J45" s="988">
        <f t="shared" si="15"/>
        <v>51887</v>
      </c>
      <c r="K45" s="988">
        <f t="shared" si="15"/>
        <v>668312</v>
      </c>
      <c r="L45" s="988">
        <f t="shared" si="15"/>
        <v>0</v>
      </c>
      <c r="M45" s="988">
        <f t="shared" si="15"/>
        <v>154932</v>
      </c>
      <c r="N45" s="988">
        <f t="shared" si="15"/>
        <v>0</v>
      </c>
      <c r="O45" s="988">
        <f t="shared" si="15"/>
        <v>224639</v>
      </c>
      <c r="P45" s="988">
        <f t="shared" si="15"/>
        <v>0</v>
      </c>
      <c r="Q45" s="988"/>
      <c r="R45" s="988">
        <f t="shared" si="7"/>
        <v>2695889</v>
      </c>
      <c r="S45" s="546">
        <f t="shared" ref="S45" si="16">G45+H45+I45</f>
        <v>1595369</v>
      </c>
      <c r="T45" s="547">
        <f t="shared" ref="T45" si="17">J45+K45</f>
        <v>720199</v>
      </c>
      <c r="U45" s="546">
        <f t="shared" ref="U45" si="18">N45+O45</f>
        <v>224639</v>
      </c>
      <c r="W45" s="350">
        <f t="shared" ref="W45" si="19">SUM(F45:Q45)</f>
        <v>2695889</v>
      </c>
      <c r="X45" s="285">
        <f t="shared" ref="X45" si="20">W45-R45</f>
        <v>0</v>
      </c>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row>
    <row r="46" spans="1:81" ht="12" thickBot="1">
      <c r="A46" s="596" t="s">
        <v>1505</v>
      </c>
      <c r="B46" s="541" t="s">
        <v>1055</v>
      </c>
      <c r="C46" s="541" t="s">
        <v>1049</v>
      </c>
      <c r="D46" s="542" t="s">
        <v>1146</v>
      </c>
      <c r="E46" s="549">
        <f t="shared" si="5"/>
        <v>0</v>
      </c>
      <c r="F46" s="988">
        <f t="shared" si="15"/>
        <v>0</v>
      </c>
      <c r="G46" s="988">
        <f t="shared" si="15"/>
        <v>0</v>
      </c>
      <c r="H46" s="988">
        <f t="shared" si="15"/>
        <v>0</v>
      </c>
      <c r="I46" s="988">
        <f t="shared" si="15"/>
        <v>0</v>
      </c>
      <c r="J46" s="988">
        <f t="shared" si="15"/>
        <v>0</v>
      </c>
      <c r="K46" s="988">
        <f t="shared" si="15"/>
        <v>0</v>
      </c>
      <c r="L46" s="988">
        <f t="shared" si="15"/>
        <v>0</v>
      </c>
      <c r="M46" s="988">
        <f t="shared" si="15"/>
        <v>0</v>
      </c>
      <c r="N46" s="988">
        <f t="shared" si="15"/>
        <v>0</v>
      </c>
      <c r="O46" s="988">
        <f t="shared" si="15"/>
        <v>0</v>
      </c>
      <c r="P46" s="988">
        <f t="shared" si="15"/>
        <v>0</v>
      </c>
      <c r="Q46" s="988"/>
      <c r="R46" s="988">
        <f t="shared" si="7"/>
        <v>0</v>
      </c>
      <c r="S46" s="546">
        <f t="shared" si="0"/>
        <v>0</v>
      </c>
      <c r="T46" s="547">
        <f t="shared" si="1"/>
        <v>0</v>
      </c>
      <c r="U46" s="546">
        <f t="shared" si="4"/>
        <v>0</v>
      </c>
      <c r="W46" s="350">
        <f t="shared" si="2"/>
        <v>0</v>
      </c>
      <c r="X46" s="285">
        <f t="shared" si="3"/>
        <v>0</v>
      </c>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row>
    <row r="47" spans="1:81" ht="12" thickBot="1">
      <c r="A47" s="596" t="s">
        <v>1505</v>
      </c>
      <c r="B47" s="541" t="s">
        <v>174</v>
      </c>
      <c r="C47" s="541" t="s">
        <v>106</v>
      </c>
      <c r="D47" s="542" t="s">
        <v>14</v>
      </c>
      <c r="E47" s="549">
        <f t="shared" si="5"/>
        <v>742967901</v>
      </c>
      <c r="F47" s="988">
        <f t="shared" si="15"/>
        <v>4625458</v>
      </c>
      <c r="G47" s="988">
        <f t="shared" si="15"/>
        <v>33708454</v>
      </c>
      <c r="H47" s="988">
        <f t="shared" si="15"/>
        <v>21486632</v>
      </c>
      <c r="I47" s="988">
        <f t="shared" si="15"/>
        <v>2340349</v>
      </c>
      <c r="J47" s="988">
        <f t="shared" si="15"/>
        <v>0</v>
      </c>
      <c r="K47" s="988">
        <f t="shared" si="15"/>
        <v>0</v>
      </c>
      <c r="L47" s="988">
        <f t="shared" si="15"/>
        <v>614519</v>
      </c>
      <c r="M47" s="988">
        <f t="shared" si="15"/>
        <v>2352878</v>
      </c>
      <c r="N47" s="988">
        <f t="shared" si="15"/>
        <v>3411491</v>
      </c>
      <c r="O47" s="988">
        <f t="shared" si="15"/>
        <v>0</v>
      </c>
      <c r="P47" s="988">
        <f t="shared" si="15"/>
        <v>0</v>
      </c>
      <c r="Q47" s="988"/>
      <c r="R47" s="988">
        <f t="shared" si="7"/>
        <v>68539781</v>
      </c>
      <c r="S47" s="546">
        <f t="shared" si="0"/>
        <v>57535435</v>
      </c>
      <c r="T47" s="547">
        <f t="shared" si="1"/>
        <v>0</v>
      </c>
      <c r="U47" s="546">
        <f t="shared" si="4"/>
        <v>3411491</v>
      </c>
      <c r="W47" s="350">
        <f t="shared" si="2"/>
        <v>68539781</v>
      </c>
      <c r="X47" s="285">
        <f t="shared" si="3"/>
        <v>0</v>
      </c>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row>
    <row r="48" spans="1:81" ht="12" thickBot="1">
      <c r="A48" s="596" t="s">
        <v>1505</v>
      </c>
      <c r="B48" s="541" t="s">
        <v>175</v>
      </c>
      <c r="C48" s="541" t="s">
        <v>199</v>
      </c>
      <c r="D48" s="542" t="s">
        <v>14</v>
      </c>
      <c r="E48" s="549">
        <f t="shared" si="5"/>
        <v>0</v>
      </c>
      <c r="F48" s="988">
        <f t="shared" ref="F48:P53" si="21">ROUND(SUMIFS(F$1721:F$1901,$A$1721:$A$1901,$A48,$B$1721:$B$1901,$B48),0)</f>
        <v>0</v>
      </c>
      <c r="G48" s="988">
        <f t="shared" si="21"/>
        <v>0</v>
      </c>
      <c r="H48" s="988">
        <f t="shared" si="21"/>
        <v>0</v>
      </c>
      <c r="I48" s="988">
        <f t="shared" si="21"/>
        <v>0</v>
      </c>
      <c r="J48" s="988">
        <f t="shared" si="21"/>
        <v>0</v>
      </c>
      <c r="K48" s="988">
        <f t="shared" si="21"/>
        <v>0</v>
      </c>
      <c r="L48" s="988">
        <f t="shared" si="21"/>
        <v>0</v>
      </c>
      <c r="M48" s="988">
        <f t="shared" si="21"/>
        <v>0</v>
      </c>
      <c r="N48" s="988">
        <f t="shared" si="21"/>
        <v>0</v>
      </c>
      <c r="O48" s="988">
        <f t="shared" si="21"/>
        <v>0</v>
      </c>
      <c r="P48" s="988">
        <f t="shared" si="21"/>
        <v>0</v>
      </c>
      <c r="Q48" s="988"/>
      <c r="R48" s="988">
        <f t="shared" si="7"/>
        <v>0</v>
      </c>
      <c r="S48" s="546">
        <f t="shared" si="0"/>
        <v>0</v>
      </c>
      <c r="T48" s="547">
        <f t="shared" si="1"/>
        <v>0</v>
      </c>
      <c r="U48" s="546">
        <f t="shared" si="4"/>
        <v>0</v>
      </c>
      <c r="W48" s="350">
        <f t="shared" si="2"/>
        <v>0</v>
      </c>
      <c r="X48" s="285">
        <f t="shared" si="3"/>
        <v>0</v>
      </c>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row>
    <row r="49" spans="1:81" ht="12" thickBot="1">
      <c r="A49" s="596" t="s">
        <v>1505</v>
      </c>
      <c r="B49" s="541" t="s">
        <v>176</v>
      </c>
      <c r="C49" s="541" t="s">
        <v>200</v>
      </c>
      <c r="D49" s="542" t="s">
        <v>207</v>
      </c>
      <c r="E49" s="549">
        <f t="shared" si="5"/>
        <v>0</v>
      </c>
      <c r="F49" s="988">
        <f t="shared" si="21"/>
        <v>0</v>
      </c>
      <c r="G49" s="988">
        <f t="shared" si="21"/>
        <v>0</v>
      </c>
      <c r="H49" s="988">
        <f t="shared" si="21"/>
        <v>0</v>
      </c>
      <c r="I49" s="988">
        <f t="shared" si="21"/>
        <v>0</v>
      </c>
      <c r="J49" s="988">
        <f t="shared" si="21"/>
        <v>0</v>
      </c>
      <c r="K49" s="988">
        <f t="shared" si="21"/>
        <v>0</v>
      </c>
      <c r="L49" s="988">
        <f t="shared" si="21"/>
        <v>0</v>
      </c>
      <c r="M49" s="988">
        <f t="shared" si="21"/>
        <v>0</v>
      </c>
      <c r="N49" s="988">
        <f t="shared" si="21"/>
        <v>0</v>
      </c>
      <c r="O49" s="988">
        <f t="shared" si="21"/>
        <v>0</v>
      </c>
      <c r="P49" s="988">
        <f t="shared" si="21"/>
        <v>0</v>
      </c>
      <c r="Q49" s="988"/>
      <c r="R49" s="988">
        <f t="shared" si="7"/>
        <v>0</v>
      </c>
      <c r="S49" s="546">
        <f t="shared" si="0"/>
        <v>0</v>
      </c>
      <c r="T49" s="547">
        <f t="shared" si="1"/>
        <v>0</v>
      </c>
      <c r="U49" s="546">
        <f t="shared" si="4"/>
        <v>0</v>
      </c>
      <c r="W49" s="350">
        <f t="shared" si="2"/>
        <v>0</v>
      </c>
      <c r="X49" s="285">
        <f t="shared" si="3"/>
        <v>0</v>
      </c>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row>
    <row r="50" spans="1:81" ht="12" thickBot="1">
      <c r="A50" s="596" t="s">
        <v>1505</v>
      </c>
      <c r="B50" s="541" t="s">
        <v>458</v>
      </c>
      <c r="C50" s="541" t="s">
        <v>1367</v>
      </c>
      <c r="D50" s="542" t="s">
        <v>206</v>
      </c>
      <c r="E50" s="549">
        <f t="shared" si="5"/>
        <v>0</v>
      </c>
      <c r="F50" s="988">
        <f t="shared" si="21"/>
        <v>0</v>
      </c>
      <c r="G50" s="988">
        <f t="shared" si="21"/>
        <v>0</v>
      </c>
      <c r="H50" s="988">
        <f t="shared" si="21"/>
        <v>0</v>
      </c>
      <c r="I50" s="988">
        <f t="shared" si="21"/>
        <v>0</v>
      </c>
      <c r="J50" s="988">
        <f t="shared" si="21"/>
        <v>0</v>
      </c>
      <c r="K50" s="988">
        <f t="shared" si="21"/>
        <v>0</v>
      </c>
      <c r="L50" s="988">
        <f t="shared" si="21"/>
        <v>0</v>
      </c>
      <c r="M50" s="988">
        <f t="shared" si="21"/>
        <v>0</v>
      </c>
      <c r="N50" s="988">
        <f t="shared" si="21"/>
        <v>0</v>
      </c>
      <c r="O50" s="988">
        <f t="shared" si="21"/>
        <v>0</v>
      </c>
      <c r="P50" s="988">
        <f t="shared" si="21"/>
        <v>0</v>
      </c>
      <c r="Q50" s="988"/>
      <c r="R50" s="988">
        <f t="shared" si="7"/>
        <v>0</v>
      </c>
      <c r="S50" s="546">
        <f t="shared" si="0"/>
        <v>0</v>
      </c>
      <c r="T50" s="547">
        <f t="shared" si="1"/>
        <v>0</v>
      </c>
      <c r="U50" s="546">
        <f t="shared" si="4"/>
        <v>0</v>
      </c>
      <c r="W50" s="350">
        <f t="shared" si="2"/>
        <v>0</v>
      </c>
      <c r="X50" s="285">
        <f t="shared" si="3"/>
        <v>0</v>
      </c>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row>
    <row r="51" spans="1:81" ht="12" thickBot="1">
      <c r="A51" s="596" t="s">
        <v>1505</v>
      </c>
      <c r="B51" s="541" t="s">
        <v>177</v>
      </c>
      <c r="C51" s="541" t="s">
        <v>201</v>
      </c>
      <c r="D51" s="542" t="s">
        <v>16</v>
      </c>
      <c r="E51" s="549">
        <f t="shared" si="5"/>
        <v>0</v>
      </c>
      <c r="F51" s="988">
        <f t="shared" si="21"/>
        <v>0</v>
      </c>
      <c r="G51" s="988">
        <f t="shared" si="21"/>
        <v>0</v>
      </c>
      <c r="H51" s="988">
        <f t="shared" si="21"/>
        <v>0</v>
      </c>
      <c r="I51" s="988">
        <f t="shared" si="21"/>
        <v>0</v>
      </c>
      <c r="J51" s="988">
        <f t="shared" si="21"/>
        <v>0</v>
      </c>
      <c r="K51" s="988">
        <f t="shared" si="21"/>
        <v>0</v>
      </c>
      <c r="L51" s="988">
        <f t="shared" si="21"/>
        <v>0</v>
      </c>
      <c r="M51" s="988">
        <f t="shared" si="21"/>
        <v>0</v>
      </c>
      <c r="N51" s="988">
        <f t="shared" si="21"/>
        <v>0</v>
      </c>
      <c r="O51" s="988">
        <f t="shared" si="21"/>
        <v>0</v>
      </c>
      <c r="P51" s="988">
        <f t="shared" si="21"/>
        <v>0</v>
      </c>
      <c r="Q51" s="988"/>
      <c r="R51" s="988">
        <f t="shared" si="7"/>
        <v>0</v>
      </c>
      <c r="S51" s="546">
        <f t="shared" si="0"/>
        <v>0</v>
      </c>
      <c r="T51" s="547">
        <f t="shared" si="1"/>
        <v>0</v>
      </c>
      <c r="U51" s="546">
        <f t="shared" si="4"/>
        <v>0</v>
      </c>
      <c r="W51" s="350">
        <f t="shared" si="2"/>
        <v>0</v>
      </c>
      <c r="X51" s="285">
        <f t="shared" si="3"/>
        <v>0</v>
      </c>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row>
    <row r="52" spans="1:81" ht="12" thickBot="1">
      <c r="A52" s="596" t="s">
        <v>1505</v>
      </c>
      <c r="B52" s="541" t="s">
        <v>178</v>
      </c>
      <c r="C52" s="541" t="s">
        <v>202</v>
      </c>
      <c r="D52" s="542" t="s">
        <v>14</v>
      </c>
      <c r="E52" s="549">
        <f t="shared" si="5"/>
        <v>0</v>
      </c>
      <c r="F52" s="988">
        <f t="shared" si="21"/>
        <v>0</v>
      </c>
      <c r="G52" s="988">
        <f t="shared" si="21"/>
        <v>0</v>
      </c>
      <c r="H52" s="988">
        <f t="shared" si="21"/>
        <v>0</v>
      </c>
      <c r="I52" s="988">
        <f t="shared" si="21"/>
        <v>0</v>
      </c>
      <c r="J52" s="988">
        <f t="shared" si="21"/>
        <v>0</v>
      </c>
      <c r="K52" s="988">
        <f t="shared" si="21"/>
        <v>0</v>
      </c>
      <c r="L52" s="988">
        <f t="shared" si="21"/>
        <v>0</v>
      </c>
      <c r="M52" s="988">
        <f t="shared" si="21"/>
        <v>0</v>
      </c>
      <c r="N52" s="988">
        <f t="shared" si="21"/>
        <v>0</v>
      </c>
      <c r="O52" s="988">
        <f t="shared" si="21"/>
        <v>0</v>
      </c>
      <c r="P52" s="988">
        <f t="shared" si="21"/>
        <v>0</v>
      </c>
      <c r="Q52" s="988"/>
      <c r="R52" s="988">
        <f t="shared" si="7"/>
        <v>0</v>
      </c>
      <c r="S52" s="546">
        <f t="shared" si="0"/>
        <v>0</v>
      </c>
      <c r="T52" s="547">
        <f t="shared" si="1"/>
        <v>0</v>
      </c>
      <c r="U52" s="546">
        <f t="shared" si="4"/>
        <v>0</v>
      </c>
      <c r="W52" s="350">
        <f t="shared" si="2"/>
        <v>0</v>
      </c>
      <c r="X52" s="285">
        <f t="shared" si="3"/>
        <v>0</v>
      </c>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row>
    <row r="53" spans="1:81" ht="12" thickBot="1">
      <c r="A53" s="596" t="s">
        <v>1505</v>
      </c>
      <c r="B53" s="541" t="s">
        <v>73</v>
      </c>
      <c r="C53" s="541" t="s">
        <v>1511</v>
      </c>
      <c r="D53" s="542"/>
      <c r="E53" s="549">
        <f t="shared" si="5"/>
        <v>12912242</v>
      </c>
      <c r="F53" s="988">
        <f t="shared" si="21"/>
        <v>0</v>
      </c>
      <c r="G53" s="988">
        <f t="shared" si="21"/>
        <v>1760340</v>
      </c>
      <c r="H53" s="988">
        <f t="shared" si="21"/>
        <v>373422</v>
      </c>
      <c r="I53" s="988">
        <f t="shared" si="21"/>
        <v>0</v>
      </c>
      <c r="J53" s="988">
        <f t="shared" si="21"/>
        <v>0</v>
      </c>
      <c r="K53" s="988">
        <f t="shared" si="21"/>
        <v>0</v>
      </c>
      <c r="L53" s="988">
        <f t="shared" si="21"/>
        <v>0</v>
      </c>
      <c r="M53" s="988">
        <f t="shared" si="21"/>
        <v>40891</v>
      </c>
      <c r="N53" s="988">
        <f t="shared" si="21"/>
        <v>59289</v>
      </c>
      <c r="O53" s="988">
        <f t="shared" si="21"/>
        <v>0</v>
      </c>
      <c r="P53" s="988">
        <f t="shared" si="21"/>
        <v>0</v>
      </c>
      <c r="Q53" s="988"/>
      <c r="R53" s="988">
        <f t="shared" si="7"/>
        <v>2233943</v>
      </c>
      <c r="S53" s="546">
        <f t="shared" si="0"/>
        <v>2133762</v>
      </c>
      <c r="T53" s="547">
        <f t="shared" si="1"/>
        <v>0</v>
      </c>
      <c r="U53" s="546">
        <f t="shared" si="4"/>
        <v>59289</v>
      </c>
      <c r="W53" s="350">
        <f t="shared" si="2"/>
        <v>2233942</v>
      </c>
      <c r="X53" s="285">
        <f t="shared" si="3"/>
        <v>-1</v>
      </c>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row>
    <row r="54" spans="1:81" ht="12" thickBot="1">
      <c r="A54" s="596" t="s">
        <v>1505</v>
      </c>
      <c r="B54" s="541" t="s">
        <v>323</v>
      </c>
      <c r="C54" s="541" t="s">
        <v>1056</v>
      </c>
      <c r="D54" s="552" t="s">
        <v>1139</v>
      </c>
      <c r="E54" s="549"/>
      <c r="F54" s="551"/>
      <c r="G54" s="550"/>
      <c r="H54" s="551"/>
      <c r="I54" s="551"/>
      <c r="J54" s="551"/>
      <c r="K54" s="551"/>
      <c r="L54" s="551"/>
      <c r="M54" s="550"/>
      <c r="N54" s="550"/>
      <c r="O54" s="551"/>
      <c r="P54" s="551"/>
      <c r="Q54" s="550"/>
      <c r="R54" s="550"/>
      <c r="S54" s="546">
        <f t="shared" si="0"/>
        <v>0</v>
      </c>
      <c r="T54" s="547">
        <f t="shared" si="1"/>
        <v>0</v>
      </c>
      <c r="U54" s="546">
        <f t="shared" si="4"/>
        <v>0</v>
      </c>
      <c r="W54" s="350">
        <f t="shared" si="2"/>
        <v>0</v>
      </c>
      <c r="X54" s="285">
        <f t="shared" si="3"/>
        <v>0</v>
      </c>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row>
    <row r="55" spans="1:81" ht="12" thickBot="1">
      <c r="A55" s="596" t="s">
        <v>1505</v>
      </c>
      <c r="B55" s="541" t="s">
        <v>328</v>
      </c>
      <c r="C55" s="541" t="s">
        <v>1057</v>
      </c>
      <c r="D55" s="552" t="s">
        <v>1139</v>
      </c>
      <c r="E55" s="543"/>
      <c r="F55" s="545"/>
      <c r="G55" s="544"/>
      <c r="H55" s="545"/>
      <c r="I55" s="545"/>
      <c r="J55" s="545"/>
      <c r="K55" s="545"/>
      <c r="L55" s="545"/>
      <c r="M55" s="544"/>
      <c r="N55" s="544"/>
      <c r="O55" s="545"/>
      <c r="P55" s="545"/>
      <c r="Q55" s="544"/>
      <c r="R55" s="544"/>
      <c r="S55" s="546">
        <f t="shared" si="0"/>
        <v>0</v>
      </c>
      <c r="T55" s="547">
        <f t="shared" si="1"/>
        <v>0</v>
      </c>
      <c r="U55" s="546">
        <f t="shared" si="4"/>
        <v>0</v>
      </c>
      <c r="W55" s="350">
        <f t="shared" si="2"/>
        <v>0</v>
      </c>
      <c r="X55" s="285">
        <f t="shared" si="3"/>
        <v>0</v>
      </c>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row>
    <row r="56" spans="1:81" ht="12" thickBot="1">
      <c r="A56" s="596" t="s">
        <v>1505</v>
      </c>
      <c r="B56" s="541" t="s">
        <v>331</v>
      </c>
      <c r="C56" s="541" t="s">
        <v>1058</v>
      </c>
      <c r="D56" s="552" t="s">
        <v>1139</v>
      </c>
      <c r="E56" s="549"/>
      <c r="F56" s="551"/>
      <c r="G56" s="550"/>
      <c r="H56" s="551"/>
      <c r="I56" s="551"/>
      <c r="J56" s="551"/>
      <c r="K56" s="551"/>
      <c r="L56" s="551"/>
      <c r="M56" s="550"/>
      <c r="N56" s="550"/>
      <c r="O56" s="551"/>
      <c r="P56" s="551"/>
      <c r="Q56" s="550"/>
      <c r="R56" s="550"/>
      <c r="S56" s="546">
        <f t="shared" si="0"/>
        <v>0</v>
      </c>
      <c r="T56" s="547">
        <f t="shared" si="1"/>
        <v>0</v>
      </c>
      <c r="U56" s="546">
        <f t="shared" si="4"/>
        <v>0</v>
      </c>
      <c r="W56" s="350">
        <f t="shared" si="2"/>
        <v>0</v>
      </c>
      <c r="X56" s="285">
        <f t="shared" si="3"/>
        <v>0</v>
      </c>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row>
    <row r="57" spans="1:81" ht="12" thickBot="1">
      <c r="A57" s="596" t="s">
        <v>1505</v>
      </c>
      <c r="B57" s="541" t="s">
        <v>332</v>
      </c>
      <c r="C57" s="541" t="s">
        <v>1059</v>
      </c>
      <c r="D57" s="552" t="s">
        <v>1139</v>
      </c>
      <c r="E57" s="543"/>
      <c r="F57" s="545"/>
      <c r="G57" s="544"/>
      <c r="H57" s="545"/>
      <c r="I57" s="545"/>
      <c r="J57" s="545"/>
      <c r="K57" s="545"/>
      <c r="L57" s="545"/>
      <c r="M57" s="544"/>
      <c r="N57" s="544"/>
      <c r="O57" s="545"/>
      <c r="P57" s="545"/>
      <c r="Q57" s="544"/>
      <c r="R57" s="544"/>
      <c r="S57" s="546">
        <f t="shared" si="0"/>
        <v>0</v>
      </c>
      <c r="T57" s="547">
        <f t="shared" si="1"/>
        <v>0</v>
      </c>
      <c r="U57" s="546">
        <f t="shared" si="4"/>
        <v>0</v>
      </c>
      <c r="W57" s="350">
        <f t="shared" si="2"/>
        <v>0</v>
      </c>
      <c r="X57" s="285">
        <f t="shared" si="3"/>
        <v>0</v>
      </c>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row>
    <row r="58" spans="1:81" ht="12" thickBot="1">
      <c r="A58" s="596" t="s">
        <v>1505</v>
      </c>
      <c r="B58" s="541" t="s">
        <v>333</v>
      </c>
      <c r="C58" s="541" t="s">
        <v>1060</v>
      </c>
      <c r="D58" s="552" t="s">
        <v>1139</v>
      </c>
      <c r="E58" s="549"/>
      <c r="F58" s="551"/>
      <c r="G58" s="550"/>
      <c r="H58" s="551"/>
      <c r="I58" s="551"/>
      <c r="J58" s="551"/>
      <c r="K58" s="551"/>
      <c r="L58" s="551"/>
      <c r="M58" s="550"/>
      <c r="N58" s="550"/>
      <c r="O58" s="551"/>
      <c r="P58" s="551"/>
      <c r="Q58" s="550"/>
      <c r="R58" s="550"/>
      <c r="S58" s="546">
        <f t="shared" si="0"/>
        <v>0</v>
      </c>
      <c r="T58" s="547">
        <f t="shared" si="1"/>
        <v>0</v>
      </c>
      <c r="U58" s="546">
        <f t="shared" si="4"/>
        <v>0</v>
      </c>
      <c r="W58" s="350">
        <f t="shared" si="2"/>
        <v>0</v>
      </c>
      <c r="X58" s="285">
        <f t="shared" si="3"/>
        <v>0</v>
      </c>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row>
    <row r="59" spans="1:81" ht="12" thickBot="1">
      <c r="A59" s="596" t="s">
        <v>1505</v>
      </c>
      <c r="B59" s="541" t="s">
        <v>335</v>
      </c>
      <c r="C59" s="541" t="s">
        <v>1061</v>
      </c>
      <c r="D59" s="552" t="s">
        <v>1139</v>
      </c>
      <c r="E59" s="543"/>
      <c r="F59" s="545"/>
      <c r="G59" s="544"/>
      <c r="H59" s="545"/>
      <c r="I59" s="545"/>
      <c r="J59" s="545"/>
      <c r="K59" s="545"/>
      <c r="L59" s="545"/>
      <c r="M59" s="544"/>
      <c r="N59" s="544"/>
      <c r="O59" s="545"/>
      <c r="P59" s="545"/>
      <c r="Q59" s="544"/>
      <c r="R59" s="544"/>
      <c r="S59" s="546">
        <f t="shared" si="0"/>
        <v>0</v>
      </c>
      <c r="T59" s="547">
        <f t="shared" si="1"/>
        <v>0</v>
      </c>
      <c r="U59" s="546">
        <f t="shared" si="4"/>
        <v>0</v>
      </c>
      <c r="W59" s="350">
        <f t="shared" si="2"/>
        <v>0</v>
      </c>
      <c r="X59" s="285">
        <f t="shared" si="3"/>
        <v>0</v>
      </c>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row>
    <row r="60" spans="1:81" ht="12" thickBot="1">
      <c r="A60" s="596" t="s">
        <v>1505</v>
      </c>
      <c r="B60" s="541" t="s">
        <v>336</v>
      </c>
      <c r="C60" s="541" t="s">
        <v>1062</v>
      </c>
      <c r="D60" s="552" t="s">
        <v>1139</v>
      </c>
      <c r="E60" s="549"/>
      <c r="F60" s="551"/>
      <c r="G60" s="550"/>
      <c r="H60" s="551"/>
      <c r="I60" s="551"/>
      <c r="J60" s="551"/>
      <c r="K60" s="551"/>
      <c r="L60" s="551"/>
      <c r="M60" s="550"/>
      <c r="N60" s="550"/>
      <c r="O60" s="551"/>
      <c r="P60" s="551"/>
      <c r="Q60" s="550"/>
      <c r="R60" s="550"/>
      <c r="S60" s="546">
        <f t="shared" si="0"/>
        <v>0</v>
      </c>
      <c r="T60" s="547">
        <f t="shared" si="1"/>
        <v>0</v>
      </c>
      <c r="U60" s="546">
        <f t="shared" si="4"/>
        <v>0</v>
      </c>
      <c r="W60" s="350">
        <f t="shared" si="2"/>
        <v>0</v>
      </c>
      <c r="X60" s="285">
        <f t="shared" si="3"/>
        <v>0</v>
      </c>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row>
    <row r="61" spans="1:81" ht="12" thickBot="1">
      <c r="A61" s="596" t="s">
        <v>1505</v>
      </c>
      <c r="B61" s="541" t="s">
        <v>338</v>
      </c>
      <c r="C61" s="541" t="s">
        <v>1063</v>
      </c>
      <c r="D61" s="552" t="s">
        <v>1139</v>
      </c>
      <c r="E61" s="543"/>
      <c r="F61" s="545"/>
      <c r="G61" s="544"/>
      <c r="H61" s="545"/>
      <c r="I61" s="545"/>
      <c r="J61" s="545"/>
      <c r="K61" s="545"/>
      <c r="L61" s="545"/>
      <c r="M61" s="544"/>
      <c r="N61" s="544"/>
      <c r="O61" s="545"/>
      <c r="P61" s="545"/>
      <c r="Q61" s="544"/>
      <c r="R61" s="544"/>
      <c r="S61" s="546">
        <f t="shared" si="0"/>
        <v>0</v>
      </c>
      <c r="T61" s="547">
        <f t="shared" si="1"/>
        <v>0</v>
      </c>
      <c r="U61" s="546">
        <f t="shared" si="4"/>
        <v>0</v>
      </c>
      <c r="W61" s="350">
        <f t="shared" si="2"/>
        <v>0</v>
      </c>
      <c r="X61" s="285">
        <f t="shared" si="3"/>
        <v>0</v>
      </c>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row>
    <row r="62" spans="1:81" ht="12" thickBot="1">
      <c r="A62" s="596" t="s">
        <v>1505</v>
      </c>
      <c r="B62" s="541" t="s">
        <v>339</v>
      </c>
      <c r="C62" s="541" t="s">
        <v>1064</v>
      </c>
      <c r="D62" s="552" t="s">
        <v>1139</v>
      </c>
      <c r="E62" s="549"/>
      <c r="F62" s="551"/>
      <c r="G62" s="550"/>
      <c r="H62" s="551"/>
      <c r="I62" s="551"/>
      <c r="J62" s="551"/>
      <c r="K62" s="551"/>
      <c r="L62" s="551"/>
      <c r="M62" s="550"/>
      <c r="N62" s="550"/>
      <c r="O62" s="551"/>
      <c r="P62" s="551"/>
      <c r="Q62" s="550"/>
      <c r="R62" s="550"/>
      <c r="S62" s="546">
        <f t="shared" si="0"/>
        <v>0</v>
      </c>
      <c r="T62" s="547">
        <f t="shared" si="1"/>
        <v>0</v>
      </c>
      <c r="U62" s="546">
        <f t="shared" si="4"/>
        <v>0</v>
      </c>
      <c r="W62" s="350">
        <f t="shared" si="2"/>
        <v>0</v>
      </c>
      <c r="X62" s="285">
        <f t="shared" si="3"/>
        <v>0</v>
      </c>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row>
    <row r="63" spans="1:81" ht="12" thickBot="1">
      <c r="A63" s="596" t="s">
        <v>1505</v>
      </c>
      <c r="B63" s="541" t="s">
        <v>325</v>
      </c>
      <c r="C63" s="541" t="s">
        <v>1065</v>
      </c>
      <c r="D63" s="552" t="s">
        <v>1139</v>
      </c>
      <c r="E63" s="543"/>
      <c r="F63" s="545"/>
      <c r="G63" s="544"/>
      <c r="H63" s="545"/>
      <c r="I63" s="545"/>
      <c r="J63" s="545"/>
      <c r="K63" s="545"/>
      <c r="L63" s="545"/>
      <c r="M63" s="544"/>
      <c r="N63" s="544"/>
      <c r="O63" s="545"/>
      <c r="P63" s="545"/>
      <c r="Q63" s="544"/>
      <c r="R63" s="544"/>
      <c r="S63" s="546">
        <f t="shared" si="0"/>
        <v>0</v>
      </c>
      <c r="T63" s="547">
        <f t="shared" si="1"/>
        <v>0</v>
      </c>
      <c r="U63" s="546">
        <f t="shared" si="4"/>
        <v>0</v>
      </c>
      <c r="W63" s="350">
        <f t="shared" si="2"/>
        <v>0</v>
      </c>
      <c r="X63" s="285">
        <f t="shared" si="3"/>
        <v>0</v>
      </c>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row>
    <row r="64" spans="1:81" ht="12" thickBot="1">
      <c r="A64" s="596" t="s">
        <v>1505</v>
      </c>
      <c r="B64" s="541" t="s">
        <v>334</v>
      </c>
      <c r="C64" s="541" t="s">
        <v>1066</v>
      </c>
      <c r="D64" s="552" t="s">
        <v>1139</v>
      </c>
      <c r="E64" s="549"/>
      <c r="F64" s="551"/>
      <c r="G64" s="550"/>
      <c r="H64" s="551"/>
      <c r="I64" s="551"/>
      <c r="J64" s="551"/>
      <c r="K64" s="551"/>
      <c r="L64" s="551"/>
      <c r="M64" s="550"/>
      <c r="N64" s="550"/>
      <c r="O64" s="551"/>
      <c r="P64" s="551"/>
      <c r="Q64" s="550"/>
      <c r="R64" s="550"/>
      <c r="S64" s="546">
        <f t="shared" si="0"/>
        <v>0</v>
      </c>
      <c r="T64" s="547">
        <f t="shared" si="1"/>
        <v>0</v>
      </c>
      <c r="U64" s="546">
        <f t="shared" si="4"/>
        <v>0</v>
      </c>
      <c r="W64" s="350">
        <f t="shared" si="2"/>
        <v>0</v>
      </c>
      <c r="X64" s="285">
        <f t="shared" si="3"/>
        <v>0</v>
      </c>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row>
    <row r="65" spans="1:81" ht="12" thickBot="1">
      <c r="A65" s="596" t="s">
        <v>1505</v>
      </c>
      <c r="B65" s="541" t="s">
        <v>326</v>
      </c>
      <c r="C65" s="541" t="s">
        <v>1067</v>
      </c>
      <c r="D65" s="552" t="s">
        <v>1139</v>
      </c>
      <c r="E65" s="543"/>
      <c r="F65" s="545"/>
      <c r="G65" s="544"/>
      <c r="H65" s="545"/>
      <c r="I65" s="545"/>
      <c r="J65" s="545"/>
      <c r="K65" s="545"/>
      <c r="L65" s="545"/>
      <c r="M65" s="544"/>
      <c r="N65" s="544"/>
      <c r="O65" s="545"/>
      <c r="P65" s="545"/>
      <c r="Q65" s="544"/>
      <c r="R65" s="544"/>
      <c r="S65" s="546">
        <f t="shared" si="0"/>
        <v>0</v>
      </c>
      <c r="T65" s="547">
        <f t="shared" si="1"/>
        <v>0</v>
      </c>
      <c r="U65" s="546">
        <f t="shared" si="4"/>
        <v>0</v>
      </c>
      <c r="W65" s="350">
        <f t="shared" si="2"/>
        <v>0</v>
      </c>
      <c r="X65" s="285">
        <f t="shared" si="3"/>
        <v>0</v>
      </c>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row>
    <row r="66" spans="1:81" ht="12" thickBot="1">
      <c r="A66" s="596" t="s">
        <v>1505</v>
      </c>
      <c r="B66" s="541" t="s">
        <v>330</v>
      </c>
      <c r="C66" s="541" t="s">
        <v>1068</v>
      </c>
      <c r="D66" s="552" t="s">
        <v>1139</v>
      </c>
      <c r="E66" s="549"/>
      <c r="F66" s="551"/>
      <c r="G66" s="550"/>
      <c r="H66" s="551"/>
      <c r="I66" s="551"/>
      <c r="J66" s="551"/>
      <c r="K66" s="551"/>
      <c r="L66" s="551"/>
      <c r="M66" s="550"/>
      <c r="N66" s="550"/>
      <c r="O66" s="551"/>
      <c r="P66" s="551"/>
      <c r="Q66" s="550"/>
      <c r="R66" s="550"/>
      <c r="S66" s="546">
        <f t="shared" si="0"/>
        <v>0</v>
      </c>
      <c r="T66" s="547">
        <f t="shared" si="1"/>
        <v>0</v>
      </c>
      <c r="U66" s="546">
        <f t="shared" si="4"/>
        <v>0</v>
      </c>
      <c r="W66" s="350">
        <f t="shared" si="2"/>
        <v>0</v>
      </c>
      <c r="X66" s="285">
        <f t="shared" si="3"/>
        <v>0</v>
      </c>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row>
    <row r="67" spans="1:81" ht="12" thickBot="1">
      <c r="A67" s="596" t="s">
        <v>1505</v>
      </c>
      <c r="B67" s="541" t="s">
        <v>337</v>
      </c>
      <c r="C67" s="541" t="s">
        <v>1069</v>
      </c>
      <c r="D67" s="552" t="s">
        <v>1139</v>
      </c>
      <c r="E67" s="543"/>
      <c r="F67" s="545"/>
      <c r="G67" s="544"/>
      <c r="H67" s="545"/>
      <c r="I67" s="545"/>
      <c r="J67" s="545"/>
      <c r="K67" s="545"/>
      <c r="L67" s="545"/>
      <c r="M67" s="544"/>
      <c r="N67" s="544"/>
      <c r="O67" s="545"/>
      <c r="P67" s="545"/>
      <c r="Q67" s="544"/>
      <c r="R67" s="544"/>
      <c r="S67" s="546">
        <f t="shared" si="0"/>
        <v>0</v>
      </c>
      <c r="T67" s="547">
        <f t="shared" si="1"/>
        <v>0</v>
      </c>
      <c r="U67" s="546">
        <f t="shared" si="4"/>
        <v>0</v>
      </c>
      <c r="W67" s="350">
        <f t="shared" si="2"/>
        <v>0</v>
      </c>
      <c r="X67" s="285">
        <f t="shared" si="3"/>
        <v>0</v>
      </c>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row>
    <row r="68" spans="1:81" ht="12" thickBot="1">
      <c r="A68" s="596" t="s">
        <v>1505</v>
      </c>
      <c r="B68" s="541" t="s">
        <v>329</v>
      </c>
      <c r="C68" s="541" t="s">
        <v>1070</v>
      </c>
      <c r="D68" s="552" t="s">
        <v>1139</v>
      </c>
      <c r="E68" s="549"/>
      <c r="F68" s="551"/>
      <c r="G68" s="550"/>
      <c r="H68" s="551"/>
      <c r="I68" s="551"/>
      <c r="J68" s="551"/>
      <c r="K68" s="551"/>
      <c r="L68" s="551"/>
      <c r="M68" s="550"/>
      <c r="N68" s="550"/>
      <c r="O68" s="551"/>
      <c r="P68" s="551"/>
      <c r="Q68" s="550"/>
      <c r="R68" s="550"/>
      <c r="S68" s="546">
        <f t="shared" si="0"/>
        <v>0</v>
      </c>
      <c r="T68" s="547">
        <f t="shared" si="1"/>
        <v>0</v>
      </c>
      <c r="U68" s="546">
        <f t="shared" si="4"/>
        <v>0</v>
      </c>
      <c r="W68" s="350">
        <f t="shared" si="2"/>
        <v>0</v>
      </c>
      <c r="X68" s="285">
        <f t="shared" si="3"/>
        <v>0</v>
      </c>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row>
    <row r="69" spans="1:81" ht="12" thickBot="1">
      <c r="A69" s="596" t="s">
        <v>1505</v>
      </c>
      <c r="B69" s="541" t="s">
        <v>327</v>
      </c>
      <c r="C69" s="541" t="s">
        <v>1071</v>
      </c>
      <c r="D69" s="552" t="s">
        <v>1139</v>
      </c>
      <c r="E69" s="543"/>
      <c r="F69" s="545"/>
      <c r="G69" s="544"/>
      <c r="H69" s="545"/>
      <c r="I69" s="545"/>
      <c r="J69" s="545"/>
      <c r="K69" s="545"/>
      <c r="L69" s="545"/>
      <c r="M69" s="544"/>
      <c r="N69" s="544"/>
      <c r="O69" s="545"/>
      <c r="P69" s="545"/>
      <c r="Q69" s="544"/>
      <c r="R69" s="544"/>
      <c r="S69" s="546">
        <f t="shared" ref="S69:S132" si="22">G69+H69+I69</f>
        <v>0</v>
      </c>
      <c r="T69" s="547">
        <f t="shared" ref="T69:T132" si="23">J69+K69</f>
        <v>0</v>
      </c>
      <c r="U69" s="546">
        <f t="shared" si="4"/>
        <v>0</v>
      </c>
      <c r="W69" s="350">
        <f t="shared" ref="W69:W132" si="24">SUM(F69:Q69)</f>
        <v>0</v>
      </c>
      <c r="X69" s="285">
        <f t="shared" ref="X69:X132" si="25">W69-R69</f>
        <v>0</v>
      </c>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row>
    <row r="70" spans="1:81" ht="12" thickBot="1">
      <c r="A70" s="596" t="s">
        <v>1505</v>
      </c>
      <c r="B70" s="541" t="s">
        <v>453</v>
      </c>
      <c r="C70" s="541" t="s">
        <v>1072</v>
      </c>
      <c r="D70" s="552" t="s">
        <v>1139</v>
      </c>
      <c r="E70" s="549"/>
      <c r="F70" s="551"/>
      <c r="G70" s="550"/>
      <c r="H70" s="551"/>
      <c r="I70" s="551"/>
      <c r="J70" s="551"/>
      <c r="K70" s="551"/>
      <c r="L70" s="551"/>
      <c r="M70" s="550"/>
      <c r="N70" s="550"/>
      <c r="O70" s="551"/>
      <c r="P70" s="551"/>
      <c r="Q70" s="551"/>
      <c r="R70" s="550"/>
      <c r="S70" s="546">
        <f t="shared" si="22"/>
        <v>0</v>
      </c>
      <c r="T70" s="547">
        <f t="shared" si="23"/>
        <v>0</v>
      </c>
      <c r="U70" s="546">
        <f t="shared" ref="U70:U133" si="26">N70+O70</f>
        <v>0</v>
      </c>
      <c r="W70" s="350">
        <f t="shared" si="24"/>
        <v>0</v>
      </c>
      <c r="X70" s="285">
        <f t="shared" si="25"/>
        <v>0</v>
      </c>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row>
    <row r="71" spans="1:81" ht="12" thickBot="1">
      <c r="A71" s="596" t="s">
        <v>1505</v>
      </c>
      <c r="B71" s="541" t="s">
        <v>366</v>
      </c>
      <c r="C71" s="541" t="s">
        <v>1073</v>
      </c>
      <c r="D71" s="552" t="s">
        <v>1139</v>
      </c>
      <c r="E71" s="543"/>
      <c r="F71" s="545"/>
      <c r="G71" s="544"/>
      <c r="H71" s="545"/>
      <c r="I71" s="545"/>
      <c r="J71" s="545"/>
      <c r="K71" s="545"/>
      <c r="L71" s="545"/>
      <c r="M71" s="544"/>
      <c r="N71" s="544"/>
      <c r="O71" s="545"/>
      <c r="P71" s="545"/>
      <c r="Q71" s="544"/>
      <c r="R71" s="544"/>
      <c r="S71" s="546">
        <f t="shared" si="22"/>
        <v>0</v>
      </c>
      <c r="T71" s="547">
        <f t="shared" si="23"/>
        <v>0</v>
      </c>
      <c r="U71" s="546">
        <f t="shared" si="26"/>
        <v>0</v>
      </c>
      <c r="W71" s="350">
        <f t="shared" si="24"/>
        <v>0</v>
      </c>
      <c r="X71" s="285">
        <f t="shared" si="25"/>
        <v>0</v>
      </c>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row>
    <row r="72" spans="1:81" ht="12" thickBot="1">
      <c r="A72" s="596" t="s">
        <v>1505</v>
      </c>
      <c r="B72" s="541" t="s">
        <v>386</v>
      </c>
      <c r="C72" s="541" t="s">
        <v>1074</v>
      </c>
      <c r="D72" s="552" t="s">
        <v>1140</v>
      </c>
      <c r="E72" s="549"/>
      <c r="F72" s="551"/>
      <c r="G72" s="550"/>
      <c r="H72" s="551"/>
      <c r="I72" s="551"/>
      <c r="J72" s="551"/>
      <c r="K72" s="551"/>
      <c r="L72" s="551"/>
      <c r="M72" s="550"/>
      <c r="N72" s="550"/>
      <c r="O72" s="551"/>
      <c r="P72" s="551"/>
      <c r="Q72" s="550"/>
      <c r="R72" s="550"/>
      <c r="S72" s="546">
        <f t="shared" si="22"/>
        <v>0</v>
      </c>
      <c r="T72" s="547">
        <f t="shared" si="23"/>
        <v>0</v>
      </c>
      <c r="U72" s="546">
        <f t="shared" si="26"/>
        <v>0</v>
      </c>
      <c r="W72" s="350">
        <f t="shared" si="24"/>
        <v>0</v>
      </c>
      <c r="X72" s="285">
        <f t="shared" si="25"/>
        <v>0</v>
      </c>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row>
    <row r="73" spans="1:81" ht="12" thickBot="1">
      <c r="A73" s="596" t="s">
        <v>1505</v>
      </c>
      <c r="B73" s="541" t="s">
        <v>382</v>
      </c>
      <c r="C73" s="541" t="s">
        <v>1075</v>
      </c>
      <c r="D73" s="552" t="s">
        <v>1140</v>
      </c>
      <c r="E73" s="543"/>
      <c r="F73" s="545"/>
      <c r="G73" s="544"/>
      <c r="H73" s="545"/>
      <c r="I73" s="545"/>
      <c r="J73" s="545"/>
      <c r="K73" s="545"/>
      <c r="L73" s="545"/>
      <c r="M73" s="544"/>
      <c r="N73" s="544"/>
      <c r="O73" s="545"/>
      <c r="P73" s="545"/>
      <c r="Q73" s="544"/>
      <c r="R73" s="544"/>
      <c r="S73" s="546">
        <f t="shared" si="22"/>
        <v>0</v>
      </c>
      <c r="T73" s="547">
        <f t="shared" si="23"/>
        <v>0</v>
      </c>
      <c r="U73" s="546">
        <f t="shared" si="26"/>
        <v>0</v>
      </c>
      <c r="W73" s="350">
        <f t="shared" si="24"/>
        <v>0</v>
      </c>
      <c r="X73" s="285">
        <f t="shared" si="25"/>
        <v>0</v>
      </c>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row>
    <row r="74" spans="1:81" ht="12" thickBot="1">
      <c r="A74" s="596" t="s">
        <v>1505</v>
      </c>
      <c r="B74" s="541" t="s">
        <v>360</v>
      </c>
      <c r="C74" s="541" t="s">
        <v>1076</v>
      </c>
      <c r="D74" s="552" t="s">
        <v>1140</v>
      </c>
      <c r="E74" s="549"/>
      <c r="F74" s="551"/>
      <c r="G74" s="550"/>
      <c r="H74" s="551"/>
      <c r="I74" s="551"/>
      <c r="J74" s="551"/>
      <c r="K74" s="551"/>
      <c r="L74" s="551"/>
      <c r="M74" s="550"/>
      <c r="N74" s="550"/>
      <c r="O74" s="551"/>
      <c r="P74" s="551"/>
      <c r="Q74" s="550"/>
      <c r="R74" s="550"/>
      <c r="S74" s="546">
        <f t="shared" si="22"/>
        <v>0</v>
      </c>
      <c r="T74" s="547">
        <f t="shared" si="23"/>
        <v>0</v>
      </c>
      <c r="U74" s="546">
        <f t="shared" si="26"/>
        <v>0</v>
      </c>
      <c r="W74" s="350">
        <f t="shared" si="24"/>
        <v>0</v>
      </c>
      <c r="X74" s="285">
        <f t="shared" si="25"/>
        <v>0</v>
      </c>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row>
    <row r="75" spans="1:81" ht="12" thickBot="1">
      <c r="A75" s="596" t="s">
        <v>1505</v>
      </c>
      <c r="B75" s="541" t="s">
        <v>368</v>
      </c>
      <c r="C75" s="541" t="s">
        <v>1077</v>
      </c>
      <c r="D75" s="552" t="s">
        <v>1140</v>
      </c>
      <c r="E75" s="543"/>
      <c r="F75" s="545"/>
      <c r="G75" s="544"/>
      <c r="H75" s="545"/>
      <c r="I75" s="545"/>
      <c r="J75" s="545"/>
      <c r="K75" s="545"/>
      <c r="L75" s="545"/>
      <c r="M75" s="544"/>
      <c r="N75" s="544"/>
      <c r="O75" s="545"/>
      <c r="P75" s="545"/>
      <c r="Q75" s="544"/>
      <c r="R75" s="544"/>
      <c r="S75" s="546">
        <f t="shared" si="22"/>
        <v>0</v>
      </c>
      <c r="T75" s="547">
        <f t="shared" si="23"/>
        <v>0</v>
      </c>
      <c r="U75" s="546">
        <f t="shared" si="26"/>
        <v>0</v>
      </c>
      <c r="W75" s="350">
        <f t="shared" si="24"/>
        <v>0</v>
      </c>
      <c r="X75" s="285">
        <f t="shared" si="25"/>
        <v>0</v>
      </c>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row>
    <row r="76" spans="1:81" ht="12" thickBot="1">
      <c r="A76" s="596" t="s">
        <v>1505</v>
      </c>
      <c r="B76" s="541" t="s">
        <v>370</v>
      </c>
      <c r="C76" s="541" t="s">
        <v>1078</v>
      </c>
      <c r="D76" s="552" t="s">
        <v>1139</v>
      </c>
      <c r="E76" s="549"/>
      <c r="F76" s="551"/>
      <c r="G76" s="550"/>
      <c r="H76" s="551"/>
      <c r="I76" s="551"/>
      <c r="J76" s="551"/>
      <c r="K76" s="551"/>
      <c r="L76" s="551"/>
      <c r="M76" s="550"/>
      <c r="N76" s="550"/>
      <c r="O76" s="551"/>
      <c r="P76" s="551"/>
      <c r="Q76" s="550"/>
      <c r="R76" s="550"/>
      <c r="S76" s="546">
        <f t="shared" si="22"/>
        <v>0</v>
      </c>
      <c r="T76" s="547">
        <f t="shared" si="23"/>
        <v>0</v>
      </c>
      <c r="U76" s="546">
        <f t="shared" si="26"/>
        <v>0</v>
      </c>
      <c r="W76" s="350">
        <f t="shared" si="24"/>
        <v>0</v>
      </c>
      <c r="X76" s="285">
        <f t="shared" si="25"/>
        <v>0</v>
      </c>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row>
    <row r="77" spans="1:81" ht="12" thickBot="1">
      <c r="A77" s="596" t="s">
        <v>1505</v>
      </c>
      <c r="B77" s="541" t="s">
        <v>393</v>
      </c>
      <c r="C77" s="541" t="s">
        <v>1079</v>
      </c>
      <c r="D77" s="552" t="s">
        <v>1140</v>
      </c>
      <c r="E77" s="543"/>
      <c r="F77" s="545"/>
      <c r="G77" s="544"/>
      <c r="H77" s="545"/>
      <c r="I77" s="545"/>
      <c r="J77" s="545"/>
      <c r="K77" s="545"/>
      <c r="L77" s="545"/>
      <c r="M77" s="544"/>
      <c r="N77" s="544"/>
      <c r="O77" s="545"/>
      <c r="P77" s="545"/>
      <c r="Q77" s="544"/>
      <c r="R77" s="544"/>
      <c r="S77" s="546">
        <f t="shared" si="22"/>
        <v>0</v>
      </c>
      <c r="T77" s="547">
        <f t="shared" si="23"/>
        <v>0</v>
      </c>
      <c r="U77" s="546">
        <f t="shared" si="26"/>
        <v>0</v>
      </c>
      <c r="W77" s="350">
        <f t="shared" si="24"/>
        <v>0</v>
      </c>
      <c r="X77" s="285">
        <f t="shared" si="25"/>
        <v>0</v>
      </c>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row>
    <row r="78" spans="1:81" ht="12" thickBot="1">
      <c r="A78" s="596" t="s">
        <v>1505</v>
      </c>
      <c r="B78" s="541" t="s">
        <v>371</v>
      </c>
      <c r="C78" s="541" t="s">
        <v>1080</v>
      </c>
      <c r="D78" s="552" t="s">
        <v>1139</v>
      </c>
      <c r="E78" s="549"/>
      <c r="F78" s="551"/>
      <c r="G78" s="550"/>
      <c r="H78" s="551"/>
      <c r="I78" s="551"/>
      <c r="J78" s="551"/>
      <c r="K78" s="551"/>
      <c r="L78" s="551"/>
      <c r="M78" s="550"/>
      <c r="N78" s="550"/>
      <c r="O78" s="551"/>
      <c r="P78" s="551"/>
      <c r="Q78" s="550"/>
      <c r="R78" s="550"/>
      <c r="S78" s="546">
        <f t="shared" si="22"/>
        <v>0</v>
      </c>
      <c r="T78" s="547">
        <f t="shared" si="23"/>
        <v>0</v>
      </c>
      <c r="U78" s="546">
        <f t="shared" si="26"/>
        <v>0</v>
      </c>
      <c r="W78" s="350">
        <f t="shared" si="24"/>
        <v>0</v>
      </c>
      <c r="X78" s="285">
        <f t="shared" si="25"/>
        <v>0</v>
      </c>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row>
    <row r="79" spans="1:81" ht="12" thickBot="1">
      <c r="A79" s="596" t="s">
        <v>1505</v>
      </c>
      <c r="B79" s="541" t="s">
        <v>394</v>
      </c>
      <c r="C79" s="541" t="s">
        <v>1081</v>
      </c>
      <c r="D79" s="552" t="s">
        <v>1139</v>
      </c>
      <c r="E79" s="543"/>
      <c r="F79" s="545"/>
      <c r="G79" s="544"/>
      <c r="H79" s="545"/>
      <c r="I79" s="545"/>
      <c r="J79" s="545"/>
      <c r="K79" s="545"/>
      <c r="L79" s="545"/>
      <c r="M79" s="544"/>
      <c r="N79" s="544"/>
      <c r="O79" s="545"/>
      <c r="P79" s="545"/>
      <c r="Q79" s="544"/>
      <c r="R79" s="544"/>
      <c r="S79" s="546">
        <f t="shared" si="22"/>
        <v>0</v>
      </c>
      <c r="T79" s="547">
        <f t="shared" si="23"/>
        <v>0</v>
      </c>
      <c r="U79" s="546">
        <f t="shared" si="26"/>
        <v>0</v>
      </c>
      <c r="W79" s="350">
        <f t="shared" si="24"/>
        <v>0</v>
      </c>
      <c r="X79" s="285">
        <f t="shared" si="25"/>
        <v>0</v>
      </c>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row>
    <row r="80" spans="1:81" ht="12" thickBot="1">
      <c r="A80" s="596" t="s">
        <v>1505</v>
      </c>
      <c r="B80" s="541" t="s">
        <v>389</v>
      </c>
      <c r="C80" s="541" t="s">
        <v>1082</v>
      </c>
      <c r="D80" s="552" t="s">
        <v>1139</v>
      </c>
      <c r="E80" s="549"/>
      <c r="F80" s="551"/>
      <c r="G80" s="550"/>
      <c r="H80" s="551"/>
      <c r="I80" s="551"/>
      <c r="J80" s="551"/>
      <c r="K80" s="551"/>
      <c r="L80" s="551"/>
      <c r="M80" s="550"/>
      <c r="N80" s="550"/>
      <c r="O80" s="551"/>
      <c r="P80" s="551"/>
      <c r="Q80" s="550"/>
      <c r="R80" s="550"/>
      <c r="S80" s="546">
        <f t="shared" si="22"/>
        <v>0</v>
      </c>
      <c r="T80" s="547">
        <f t="shared" si="23"/>
        <v>0</v>
      </c>
      <c r="U80" s="546">
        <f t="shared" si="26"/>
        <v>0</v>
      </c>
      <c r="W80" s="350">
        <f t="shared" si="24"/>
        <v>0</v>
      </c>
      <c r="X80" s="285">
        <f t="shared" si="25"/>
        <v>0</v>
      </c>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row>
    <row r="81" spans="1:81" ht="12" thickBot="1">
      <c r="A81" s="596" t="s">
        <v>1505</v>
      </c>
      <c r="B81" s="541" t="s">
        <v>310</v>
      </c>
      <c r="C81" s="541" t="s">
        <v>1083</v>
      </c>
      <c r="D81" s="552" t="s">
        <v>1140</v>
      </c>
      <c r="E81" s="543"/>
      <c r="F81" s="545"/>
      <c r="G81" s="544"/>
      <c r="H81" s="545"/>
      <c r="I81" s="545"/>
      <c r="J81" s="545"/>
      <c r="K81" s="545"/>
      <c r="L81" s="545"/>
      <c r="M81" s="544"/>
      <c r="N81" s="544"/>
      <c r="O81" s="545"/>
      <c r="P81" s="545"/>
      <c r="Q81" s="544"/>
      <c r="R81" s="544"/>
      <c r="S81" s="546">
        <f t="shared" si="22"/>
        <v>0</v>
      </c>
      <c r="T81" s="547">
        <f t="shared" si="23"/>
        <v>0</v>
      </c>
      <c r="U81" s="546">
        <f t="shared" si="26"/>
        <v>0</v>
      </c>
      <c r="W81" s="350">
        <f t="shared" si="24"/>
        <v>0</v>
      </c>
      <c r="X81" s="285">
        <f t="shared" si="25"/>
        <v>0</v>
      </c>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row>
    <row r="82" spans="1:81" ht="12" thickBot="1">
      <c r="A82" s="596" t="s">
        <v>1505</v>
      </c>
      <c r="B82" s="541" t="s">
        <v>340</v>
      </c>
      <c r="C82" s="541" t="s">
        <v>1084</v>
      </c>
      <c r="D82" s="552" t="s">
        <v>1140</v>
      </c>
      <c r="E82" s="549"/>
      <c r="F82" s="551"/>
      <c r="G82" s="550"/>
      <c r="H82" s="551"/>
      <c r="I82" s="551"/>
      <c r="J82" s="551"/>
      <c r="K82" s="551"/>
      <c r="L82" s="551"/>
      <c r="M82" s="550"/>
      <c r="N82" s="550"/>
      <c r="O82" s="551"/>
      <c r="P82" s="551"/>
      <c r="Q82" s="550"/>
      <c r="R82" s="550"/>
      <c r="S82" s="546">
        <f t="shared" si="22"/>
        <v>0</v>
      </c>
      <c r="T82" s="547">
        <f t="shared" si="23"/>
        <v>0</v>
      </c>
      <c r="U82" s="546">
        <f t="shared" si="26"/>
        <v>0</v>
      </c>
      <c r="W82" s="350">
        <f t="shared" si="24"/>
        <v>0</v>
      </c>
      <c r="X82" s="285">
        <f t="shared" si="25"/>
        <v>0</v>
      </c>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row>
    <row r="83" spans="1:81" ht="12" thickBot="1">
      <c r="A83" s="596" t="s">
        <v>1505</v>
      </c>
      <c r="B83" s="541" t="s">
        <v>358</v>
      </c>
      <c r="C83" s="541" t="s">
        <v>1085</v>
      </c>
      <c r="D83" s="552" t="s">
        <v>1140</v>
      </c>
      <c r="E83" s="543"/>
      <c r="F83" s="545"/>
      <c r="G83" s="544"/>
      <c r="H83" s="545"/>
      <c r="I83" s="545"/>
      <c r="J83" s="545"/>
      <c r="K83" s="545"/>
      <c r="L83" s="545"/>
      <c r="M83" s="544"/>
      <c r="N83" s="544"/>
      <c r="O83" s="545"/>
      <c r="P83" s="545"/>
      <c r="Q83" s="544"/>
      <c r="R83" s="544"/>
      <c r="S83" s="546">
        <f t="shared" si="22"/>
        <v>0</v>
      </c>
      <c r="T83" s="547">
        <f t="shared" si="23"/>
        <v>0</v>
      </c>
      <c r="U83" s="546">
        <f t="shared" si="26"/>
        <v>0</v>
      </c>
      <c r="W83" s="350">
        <f t="shared" si="24"/>
        <v>0</v>
      </c>
      <c r="X83" s="285">
        <f t="shared" si="25"/>
        <v>0</v>
      </c>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row>
    <row r="84" spans="1:81" ht="12" thickBot="1">
      <c r="A84" s="596" t="s">
        <v>1505</v>
      </c>
      <c r="B84" s="541" t="s">
        <v>383</v>
      </c>
      <c r="C84" s="541" t="s">
        <v>1086</v>
      </c>
      <c r="D84" s="552" t="s">
        <v>1140</v>
      </c>
      <c r="E84" s="549"/>
      <c r="F84" s="551"/>
      <c r="G84" s="550"/>
      <c r="H84" s="551"/>
      <c r="I84" s="551"/>
      <c r="J84" s="551"/>
      <c r="K84" s="551"/>
      <c r="L84" s="551"/>
      <c r="M84" s="550"/>
      <c r="N84" s="550"/>
      <c r="O84" s="551"/>
      <c r="P84" s="551"/>
      <c r="Q84" s="550"/>
      <c r="R84" s="550"/>
      <c r="S84" s="546">
        <f t="shared" si="22"/>
        <v>0</v>
      </c>
      <c r="T84" s="547">
        <f t="shared" si="23"/>
        <v>0</v>
      </c>
      <c r="U84" s="546">
        <f t="shared" si="26"/>
        <v>0</v>
      </c>
      <c r="W84" s="350">
        <f t="shared" si="24"/>
        <v>0</v>
      </c>
      <c r="X84" s="285">
        <f t="shared" si="25"/>
        <v>0</v>
      </c>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row>
    <row r="85" spans="1:81" ht="12" thickBot="1">
      <c r="A85" s="596" t="s">
        <v>1505</v>
      </c>
      <c r="B85" s="541" t="s">
        <v>375</v>
      </c>
      <c r="C85" s="541" t="s">
        <v>1087</v>
      </c>
      <c r="D85" s="552" t="s">
        <v>1140</v>
      </c>
      <c r="E85" s="543"/>
      <c r="F85" s="545"/>
      <c r="G85" s="544"/>
      <c r="H85" s="545"/>
      <c r="I85" s="545"/>
      <c r="J85" s="545"/>
      <c r="K85" s="545"/>
      <c r="L85" s="545"/>
      <c r="M85" s="544"/>
      <c r="N85" s="544"/>
      <c r="O85" s="545"/>
      <c r="P85" s="545"/>
      <c r="Q85" s="544"/>
      <c r="R85" s="544"/>
      <c r="S85" s="546">
        <f t="shared" si="22"/>
        <v>0</v>
      </c>
      <c r="T85" s="547">
        <f t="shared" si="23"/>
        <v>0</v>
      </c>
      <c r="U85" s="546">
        <f t="shared" si="26"/>
        <v>0</v>
      </c>
      <c r="W85" s="350">
        <f t="shared" si="24"/>
        <v>0</v>
      </c>
      <c r="X85" s="285">
        <f t="shared" si="25"/>
        <v>0</v>
      </c>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row>
    <row r="86" spans="1:81" ht="12" thickBot="1">
      <c r="A86" s="596" t="s">
        <v>1505</v>
      </c>
      <c r="B86" s="541" t="s">
        <v>400</v>
      </c>
      <c r="C86" s="541" t="s">
        <v>1088</v>
      </c>
      <c r="D86" s="552" t="s">
        <v>1139</v>
      </c>
      <c r="E86" s="549"/>
      <c r="F86" s="551"/>
      <c r="G86" s="550"/>
      <c r="H86" s="551"/>
      <c r="I86" s="551"/>
      <c r="J86" s="551"/>
      <c r="K86" s="551"/>
      <c r="L86" s="551"/>
      <c r="M86" s="550"/>
      <c r="N86" s="550"/>
      <c r="O86" s="551"/>
      <c r="P86" s="551"/>
      <c r="Q86" s="550"/>
      <c r="R86" s="550"/>
      <c r="S86" s="546">
        <f t="shared" si="22"/>
        <v>0</v>
      </c>
      <c r="T86" s="547">
        <f t="shared" si="23"/>
        <v>0</v>
      </c>
      <c r="U86" s="546">
        <f t="shared" si="26"/>
        <v>0</v>
      </c>
      <c r="W86" s="350">
        <f t="shared" si="24"/>
        <v>0</v>
      </c>
      <c r="X86" s="285">
        <f t="shared" si="25"/>
        <v>0</v>
      </c>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row>
    <row r="87" spans="1:81" ht="12" thickBot="1">
      <c r="A87" s="596" t="s">
        <v>1505</v>
      </c>
      <c r="B87" s="541" t="s">
        <v>391</v>
      </c>
      <c r="C87" s="541" t="s">
        <v>1089</v>
      </c>
      <c r="D87" s="552" t="s">
        <v>1139</v>
      </c>
      <c r="E87" s="543"/>
      <c r="F87" s="545"/>
      <c r="G87" s="544"/>
      <c r="H87" s="545"/>
      <c r="I87" s="545"/>
      <c r="J87" s="545"/>
      <c r="K87" s="545"/>
      <c r="L87" s="545"/>
      <c r="M87" s="544"/>
      <c r="N87" s="544"/>
      <c r="O87" s="545"/>
      <c r="P87" s="545"/>
      <c r="Q87" s="544"/>
      <c r="R87" s="544"/>
      <c r="S87" s="546">
        <f t="shared" si="22"/>
        <v>0</v>
      </c>
      <c r="T87" s="547">
        <f t="shared" si="23"/>
        <v>0</v>
      </c>
      <c r="U87" s="546">
        <f t="shared" si="26"/>
        <v>0</v>
      </c>
      <c r="W87" s="350">
        <f t="shared" si="24"/>
        <v>0</v>
      </c>
      <c r="X87" s="285">
        <f t="shared" si="25"/>
        <v>0</v>
      </c>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row>
    <row r="88" spans="1:81" ht="12" thickBot="1">
      <c r="A88" s="596" t="s">
        <v>1505</v>
      </c>
      <c r="B88" s="541" t="s">
        <v>357</v>
      </c>
      <c r="C88" s="541" t="s">
        <v>1090</v>
      </c>
      <c r="D88" s="552" t="s">
        <v>1140</v>
      </c>
      <c r="E88" s="549"/>
      <c r="F88" s="551"/>
      <c r="G88" s="550"/>
      <c r="H88" s="551"/>
      <c r="I88" s="551"/>
      <c r="J88" s="551"/>
      <c r="K88" s="551"/>
      <c r="L88" s="551"/>
      <c r="M88" s="550"/>
      <c r="N88" s="550"/>
      <c r="O88" s="551"/>
      <c r="P88" s="551"/>
      <c r="Q88" s="550"/>
      <c r="R88" s="550"/>
      <c r="S88" s="546">
        <f t="shared" si="22"/>
        <v>0</v>
      </c>
      <c r="T88" s="547">
        <f t="shared" si="23"/>
        <v>0</v>
      </c>
      <c r="U88" s="546">
        <f t="shared" si="26"/>
        <v>0</v>
      </c>
      <c r="W88" s="350">
        <f t="shared" si="24"/>
        <v>0</v>
      </c>
      <c r="X88" s="285">
        <f t="shared" si="25"/>
        <v>0</v>
      </c>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row>
    <row r="89" spans="1:81" ht="12" thickBot="1">
      <c r="A89" s="596" t="s">
        <v>1505</v>
      </c>
      <c r="B89" s="541" t="s">
        <v>359</v>
      </c>
      <c r="C89" s="541" t="s">
        <v>1091</v>
      </c>
      <c r="D89" s="552" t="s">
        <v>1140</v>
      </c>
      <c r="E89" s="543"/>
      <c r="F89" s="545"/>
      <c r="G89" s="544"/>
      <c r="H89" s="545"/>
      <c r="I89" s="545"/>
      <c r="J89" s="545"/>
      <c r="K89" s="545"/>
      <c r="L89" s="545"/>
      <c r="M89" s="544"/>
      <c r="N89" s="544"/>
      <c r="O89" s="545"/>
      <c r="P89" s="545"/>
      <c r="Q89" s="544"/>
      <c r="R89" s="544"/>
      <c r="S89" s="546">
        <f t="shared" si="22"/>
        <v>0</v>
      </c>
      <c r="T89" s="547">
        <f t="shared" si="23"/>
        <v>0</v>
      </c>
      <c r="U89" s="546">
        <f t="shared" si="26"/>
        <v>0</v>
      </c>
      <c r="W89" s="350">
        <f t="shared" si="24"/>
        <v>0</v>
      </c>
      <c r="X89" s="285">
        <f t="shared" si="25"/>
        <v>0</v>
      </c>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row>
    <row r="90" spans="1:81" ht="12" thickBot="1">
      <c r="A90" s="596" t="s">
        <v>1505</v>
      </c>
      <c r="B90" s="541" t="s">
        <v>385</v>
      </c>
      <c r="C90" s="541" t="s">
        <v>1092</v>
      </c>
      <c r="D90" s="552" t="s">
        <v>1140</v>
      </c>
      <c r="E90" s="549"/>
      <c r="F90" s="551"/>
      <c r="G90" s="550"/>
      <c r="H90" s="551"/>
      <c r="I90" s="551"/>
      <c r="J90" s="551"/>
      <c r="K90" s="551"/>
      <c r="L90" s="551"/>
      <c r="M90" s="550"/>
      <c r="N90" s="550"/>
      <c r="O90" s="551"/>
      <c r="P90" s="551"/>
      <c r="Q90" s="550"/>
      <c r="R90" s="550"/>
      <c r="S90" s="546">
        <f t="shared" si="22"/>
        <v>0</v>
      </c>
      <c r="T90" s="547">
        <f t="shared" si="23"/>
        <v>0</v>
      </c>
      <c r="U90" s="546">
        <f t="shared" si="26"/>
        <v>0</v>
      </c>
      <c r="W90" s="350">
        <f t="shared" si="24"/>
        <v>0</v>
      </c>
      <c r="X90" s="285">
        <f t="shared" si="25"/>
        <v>0</v>
      </c>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row>
    <row r="91" spans="1:81" ht="12" thickBot="1">
      <c r="A91" s="596" t="s">
        <v>1505</v>
      </c>
      <c r="B91" s="541" t="s">
        <v>312</v>
      </c>
      <c r="C91" s="541" t="s">
        <v>1093</v>
      </c>
      <c r="D91" s="552" t="s">
        <v>1140</v>
      </c>
      <c r="E91" s="543"/>
      <c r="F91" s="545"/>
      <c r="G91" s="544"/>
      <c r="H91" s="545"/>
      <c r="I91" s="545"/>
      <c r="J91" s="545"/>
      <c r="K91" s="545"/>
      <c r="L91" s="545"/>
      <c r="M91" s="544"/>
      <c r="N91" s="544"/>
      <c r="O91" s="545"/>
      <c r="P91" s="545"/>
      <c r="Q91" s="544"/>
      <c r="R91" s="544"/>
      <c r="S91" s="546">
        <f t="shared" si="22"/>
        <v>0</v>
      </c>
      <c r="T91" s="547">
        <f t="shared" si="23"/>
        <v>0</v>
      </c>
      <c r="U91" s="546">
        <f t="shared" si="26"/>
        <v>0</v>
      </c>
      <c r="W91" s="350">
        <f t="shared" si="24"/>
        <v>0</v>
      </c>
      <c r="X91" s="285">
        <f t="shared" si="25"/>
        <v>0</v>
      </c>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row>
    <row r="92" spans="1:81" ht="12" thickBot="1">
      <c r="A92" s="596" t="s">
        <v>1505</v>
      </c>
      <c r="B92" s="541" t="s">
        <v>421</v>
      </c>
      <c r="C92" s="541" t="s">
        <v>1094</v>
      </c>
      <c r="D92" s="552" t="s">
        <v>1140</v>
      </c>
      <c r="E92" s="549"/>
      <c r="F92" s="551"/>
      <c r="G92" s="550"/>
      <c r="H92" s="551"/>
      <c r="I92" s="551"/>
      <c r="J92" s="551"/>
      <c r="K92" s="551"/>
      <c r="L92" s="551"/>
      <c r="M92" s="550"/>
      <c r="N92" s="550"/>
      <c r="O92" s="551"/>
      <c r="P92" s="551"/>
      <c r="Q92" s="550"/>
      <c r="R92" s="550"/>
      <c r="S92" s="546">
        <f t="shared" si="22"/>
        <v>0</v>
      </c>
      <c r="T92" s="547">
        <f t="shared" si="23"/>
        <v>0</v>
      </c>
      <c r="U92" s="546">
        <f t="shared" si="26"/>
        <v>0</v>
      </c>
      <c r="W92" s="350">
        <f t="shared" si="24"/>
        <v>0</v>
      </c>
      <c r="X92" s="285">
        <f t="shared" si="25"/>
        <v>0</v>
      </c>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row>
    <row r="93" spans="1:81" ht="12" thickBot="1">
      <c r="A93" s="596" t="s">
        <v>1505</v>
      </c>
      <c r="B93" s="541" t="s">
        <v>322</v>
      </c>
      <c r="C93" s="541" t="s">
        <v>1095</v>
      </c>
      <c r="D93" s="552" t="s">
        <v>1139</v>
      </c>
      <c r="E93" s="543"/>
      <c r="F93" s="545"/>
      <c r="G93" s="544"/>
      <c r="H93" s="545"/>
      <c r="I93" s="545"/>
      <c r="J93" s="545"/>
      <c r="K93" s="545"/>
      <c r="L93" s="545"/>
      <c r="M93" s="544"/>
      <c r="N93" s="544"/>
      <c r="O93" s="545"/>
      <c r="P93" s="545"/>
      <c r="Q93" s="544"/>
      <c r="R93" s="544"/>
      <c r="S93" s="546">
        <f t="shared" si="22"/>
        <v>0</v>
      </c>
      <c r="T93" s="547">
        <f t="shared" si="23"/>
        <v>0</v>
      </c>
      <c r="U93" s="546">
        <f t="shared" si="26"/>
        <v>0</v>
      </c>
      <c r="W93" s="350">
        <f t="shared" si="24"/>
        <v>0</v>
      </c>
      <c r="X93" s="285">
        <f t="shared" si="25"/>
        <v>0</v>
      </c>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row>
    <row r="94" spans="1:81" ht="12" thickBot="1">
      <c r="A94" s="596" t="s">
        <v>1505</v>
      </c>
      <c r="B94" s="541" t="s">
        <v>354</v>
      </c>
      <c r="C94" s="541" t="s">
        <v>1096</v>
      </c>
      <c r="D94" s="552" t="s">
        <v>1139</v>
      </c>
      <c r="E94" s="549"/>
      <c r="F94" s="551"/>
      <c r="G94" s="550"/>
      <c r="H94" s="551"/>
      <c r="I94" s="551"/>
      <c r="J94" s="551"/>
      <c r="K94" s="551"/>
      <c r="L94" s="551"/>
      <c r="M94" s="550"/>
      <c r="N94" s="550"/>
      <c r="O94" s="551"/>
      <c r="P94" s="551"/>
      <c r="Q94" s="550"/>
      <c r="R94" s="550"/>
      <c r="S94" s="546">
        <f t="shared" si="22"/>
        <v>0</v>
      </c>
      <c r="T94" s="547">
        <f t="shared" si="23"/>
        <v>0</v>
      </c>
      <c r="U94" s="546">
        <f t="shared" si="26"/>
        <v>0</v>
      </c>
      <c r="W94" s="350">
        <f t="shared" si="24"/>
        <v>0</v>
      </c>
      <c r="X94" s="285">
        <f t="shared" si="25"/>
        <v>0</v>
      </c>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row>
    <row r="95" spans="1:81" ht="12" thickBot="1">
      <c r="A95" s="596" t="s">
        <v>1505</v>
      </c>
      <c r="B95" s="541" t="s">
        <v>317</v>
      </c>
      <c r="C95" s="541" t="s">
        <v>1097</v>
      </c>
      <c r="D95" s="552" t="s">
        <v>1139</v>
      </c>
      <c r="E95" s="543"/>
      <c r="F95" s="545"/>
      <c r="G95" s="544"/>
      <c r="H95" s="545"/>
      <c r="I95" s="545"/>
      <c r="J95" s="545"/>
      <c r="K95" s="545"/>
      <c r="L95" s="545"/>
      <c r="M95" s="544"/>
      <c r="N95" s="544"/>
      <c r="O95" s="545"/>
      <c r="P95" s="545"/>
      <c r="Q95" s="544"/>
      <c r="R95" s="544"/>
      <c r="S95" s="546">
        <f t="shared" si="22"/>
        <v>0</v>
      </c>
      <c r="T95" s="547">
        <f t="shared" si="23"/>
        <v>0</v>
      </c>
      <c r="U95" s="546">
        <f t="shared" si="26"/>
        <v>0</v>
      </c>
      <c r="W95" s="350">
        <f t="shared" si="24"/>
        <v>0</v>
      </c>
      <c r="X95" s="285">
        <f t="shared" si="25"/>
        <v>0</v>
      </c>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row>
    <row r="96" spans="1:81" ht="12" thickBot="1">
      <c r="A96" s="596" t="s">
        <v>1505</v>
      </c>
      <c r="B96" s="541" t="s">
        <v>320</v>
      </c>
      <c r="C96" s="541" t="s">
        <v>1098</v>
      </c>
      <c r="D96" s="552" t="s">
        <v>1140</v>
      </c>
      <c r="E96" s="549"/>
      <c r="F96" s="551"/>
      <c r="G96" s="550"/>
      <c r="H96" s="551"/>
      <c r="I96" s="551"/>
      <c r="J96" s="551"/>
      <c r="K96" s="551"/>
      <c r="L96" s="551"/>
      <c r="M96" s="550"/>
      <c r="N96" s="550"/>
      <c r="O96" s="551"/>
      <c r="P96" s="551"/>
      <c r="Q96" s="550"/>
      <c r="R96" s="550"/>
      <c r="S96" s="546">
        <f t="shared" si="22"/>
        <v>0</v>
      </c>
      <c r="T96" s="547">
        <f t="shared" si="23"/>
        <v>0</v>
      </c>
      <c r="U96" s="546">
        <f t="shared" si="26"/>
        <v>0</v>
      </c>
      <c r="W96" s="350">
        <f t="shared" si="24"/>
        <v>0</v>
      </c>
      <c r="X96" s="285">
        <f t="shared" si="25"/>
        <v>0</v>
      </c>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row>
    <row r="97" spans="1:81" ht="12" thickBot="1">
      <c r="A97" s="596" t="s">
        <v>1505</v>
      </c>
      <c r="B97" s="541" t="s">
        <v>352</v>
      </c>
      <c r="C97" s="541" t="s">
        <v>1099</v>
      </c>
      <c r="D97" s="552" t="s">
        <v>1140</v>
      </c>
      <c r="E97" s="543"/>
      <c r="F97" s="545"/>
      <c r="G97" s="544"/>
      <c r="H97" s="545"/>
      <c r="I97" s="545"/>
      <c r="J97" s="545"/>
      <c r="K97" s="545"/>
      <c r="L97" s="545"/>
      <c r="M97" s="544"/>
      <c r="N97" s="544"/>
      <c r="O97" s="545"/>
      <c r="P97" s="545"/>
      <c r="Q97" s="544"/>
      <c r="R97" s="544"/>
      <c r="S97" s="546">
        <f t="shared" si="22"/>
        <v>0</v>
      </c>
      <c r="T97" s="547">
        <f t="shared" si="23"/>
        <v>0</v>
      </c>
      <c r="U97" s="546">
        <f t="shared" si="26"/>
        <v>0</v>
      </c>
      <c r="W97" s="350">
        <f t="shared" si="24"/>
        <v>0</v>
      </c>
      <c r="X97" s="285">
        <f t="shared" si="25"/>
        <v>0</v>
      </c>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row>
    <row r="98" spans="1:81" ht="12" thickBot="1">
      <c r="A98" s="596" t="s">
        <v>1505</v>
      </c>
      <c r="B98" s="541" t="s">
        <v>384</v>
      </c>
      <c r="C98" s="541" t="s">
        <v>1100</v>
      </c>
      <c r="D98" s="552" t="s">
        <v>1140</v>
      </c>
      <c r="E98" s="549"/>
      <c r="F98" s="551"/>
      <c r="G98" s="550"/>
      <c r="H98" s="551"/>
      <c r="I98" s="551"/>
      <c r="J98" s="551"/>
      <c r="K98" s="551"/>
      <c r="L98" s="551"/>
      <c r="M98" s="550"/>
      <c r="N98" s="550"/>
      <c r="O98" s="551"/>
      <c r="P98" s="551"/>
      <c r="Q98" s="550"/>
      <c r="R98" s="550"/>
      <c r="S98" s="546">
        <f t="shared" si="22"/>
        <v>0</v>
      </c>
      <c r="T98" s="547">
        <f t="shared" si="23"/>
        <v>0</v>
      </c>
      <c r="U98" s="546">
        <f t="shared" si="26"/>
        <v>0</v>
      </c>
      <c r="W98" s="350">
        <f t="shared" si="24"/>
        <v>0</v>
      </c>
      <c r="X98" s="285">
        <f t="shared" si="25"/>
        <v>0</v>
      </c>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row>
    <row r="99" spans="1:81" ht="12" thickBot="1">
      <c r="A99" s="596" t="s">
        <v>1505</v>
      </c>
      <c r="B99" s="541" t="s">
        <v>311</v>
      </c>
      <c r="C99" s="541" t="s">
        <v>1101</v>
      </c>
      <c r="D99" s="552" t="s">
        <v>1140</v>
      </c>
      <c r="E99" s="543"/>
      <c r="F99" s="545"/>
      <c r="G99" s="544"/>
      <c r="H99" s="545"/>
      <c r="I99" s="545"/>
      <c r="J99" s="545"/>
      <c r="K99" s="545"/>
      <c r="L99" s="545"/>
      <c r="M99" s="544"/>
      <c r="N99" s="544"/>
      <c r="O99" s="545"/>
      <c r="P99" s="545"/>
      <c r="Q99" s="544"/>
      <c r="R99" s="544"/>
      <c r="S99" s="546">
        <f t="shared" si="22"/>
        <v>0</v>
      </c>
      <c r="T99" s="547">
        <f t="shared" si="23"/>
        <v>0</v>
      </c>
      <c r="U99" s="546">
        <f t="shared" si="26"/>
        <v>0</v>
      </c>
      <c r="W99" s="350">
        <f t="shared" si="24"/>
        <v>0</v>
      </c>
      <c r="X99" s="285">
        <f t="shared" si="25"/>
        <v>0</v>
      </c>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row>
    <row r="100" spans="1:81" ht="12" thickBot="1">
      <c r="A100" s="596" t="s">
        <v>1505</v>
      </c>
      <c r="B100" s="541" t="s">
        <v>341</v>
      </c>
      <c r="C100" s="541" t="s">
        <v>1102</v>
      </c>
      <c r="D100" s="552" t="s">
        <v>1140</v>
      </c>
      <c r="E100" s="549"/>
      <c r="F100" s="551"/>
      <c r="G100" s="550"/>
      <c r="H100" s="551"/>
      <c r="I100" s="551"/>
      <c r="J100" s="551"/>
      <c r="K100" s="551"/>
      <c r="L100" s="551"/>
      <c r="M100" s="550"/>
      <c r="N100" s="550"/>
      <c r="O100" s="551"/>
      <c r="P100" s="551"/>
      <c r="Q100" s="550"/>
      <c r="R100" s="550"/>
      <c r="S100" s="546">
        <f t="shared" si="22"/>
        <v>0</v>
      </c>
      <c r="T100" s="547">
        <f t="shared" si="23"/>
        <v>0</v>
      </c>
      <c r="U100" s="546">
        <f t="shared" si="26"/>
        <v>0</v>
      </c>
      <c r="W100" s="350">
        <f t="shared" si="24"/>
        <v>0</v>
      </c>
      <c r="X100" s="285">
        <f t="shared" si="25"/>
        <v>0</v>
      </c>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row>
    <row r="101" spans="1:81" ht="12" thickBot="1">
      <c r="A101" s="596" t="s">
        <v>1505</v>
      </c>
      <c r="B101" s="541" t="s">
        <v>315</v>
      </c>
      <c r="C101" s="541" t="s">
        <v>1103</v>
      </c>
      <c r="D101" s="552" t="s">
        <v>1140</v>
      </c>
      <c r="E101" s="543"/>
      <c r="F101" s="545"/>
      <c r="G101" s="544"/>
      <c r="H101" s="545"/>
      <c r="I101" s="545"/>
      <c r="J101" s="545"/>
      <c r="K101" s="545"/>
      <c r="L101" s="545"/>
      <c r="M101" s="544"/>
      <c r="N101" s="544"/>
      <c r="O101" s="545"/>
      <c r="P101" s="545"/>
      <c r="Q101" s="544"/>
      <c r="R101" s="544"/>
      <c r="S101" s="546">
        <f t="shared" si="22"/>
        <v>0</v>
      </c>
      <c r="T101" s="547">
        <f t="shared" si="23"/>
        <v>0</v>
      </c>
      <c r="U101" s="546">
        <f t="shared" si="26"/>
        <v>0</v>
      </c>
      <c r="W101" s="350">
        <f t="shared" si="24"/>
        <v>0</v>
      </c>
      <c r="X101" s="285">
        <f t="shared" si="25"/>
        <v>0</v>
      </c>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row>
    <row r="102" spans="1:81" ht="12" thickBot="1">
      <c r="A102" s="596" t="s">
        <v>1505</v>
      </c>
      <c r="B102" s="541" t="s">
        <v>319</v>
      </c>
      <c r="C102" s="541" t="s">
        <v>1104</v>
      </c>
      <c r="D102" s="552" t="s">
        <v>1140</v>
      </c>
      <c r="E102" s="549"/>
      <c r="F102" s="551"/>
      <c r="G102" s="550"/>
      <c r="H102" s="551"/>
      <c r="I102" s="551"/>
      <c r="J102" s="551"/>
      <c r="K102" s="551"/>
      <c r="L102" s="551"/>
      <c r="M102" s="550"/>
      <c r="N102" s="550"/>
      <c r="O102" s="551"/>
      <c r="P102" s="551"/>
      <c r="Q102" s="550"/>
      <c r="R102" s="550"/>
      <c r="S102" s="546">
        <f t="shared" si="22"/>
        <v>0</v>
      </c>
      <c r="T102" s="547">
        <f t="shared" si="23"/>
        <v>0</v>
      </c>
      <c r="U102" s="546">
        <f t="shared" si="26"/>
        <v>0</v>
      </c>
      <c r="W102" s="350">
        <f t="shared" si="24"/>
        <v>0</v>
      </c>
      <c r="X102" s="285">
        <f t="shared" si="25"/>
        <v>0</v>
      </c>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row>
    <row r="103" spans="1:81" ht="12" thickBot="1">
      <c r="A103" s="596" t="s">
        <v>1505</v>
      </c>
      <c r="B103" s="541" t="s">
        <v>356</v>
      </c>
      <c r="C103" s="541" t="s">
        <v>1105</v>
      </c>
      <c r="D103" s="552" t="s">
        <v>1140</v>
      </c>
      <c r="E103" s="543"/>
      <c r="F103" s="545"/>
      <c r="G103" s="544"/>
      <c r="H103" s="545"/>
      <c r="I103" s="545"/>
      <c r="J103" s="545"/>
      <c r="K103" s="545"/>
      <c r="L103" s="545"/>
      <c r="M103" s="544"/>
      <c r="N103" s="544"/>
      <c r="O103" s="545"/>
      <c r="P103" s="545"/>
      <c r="Q103" s="544"/>
      <c r="R103" s="544"/>
      <c r="S103" s="546">
        <f t="shared" si="22"/>
        <v>0</v>
      </c>
      <c r="T103" s="547">
        <f t="shared" si="23"/>
        <v>0</v>
      </c>
      <c r="U103" s="546">
        <f t="shared" si="26"/>
        <v>0</v>
      </c>
      <c r="W103" s="350">
        <f t="shared" si="24"/>
        <v>0</v>
      </c>
      <c r="X103" s="285">
        <f t="shared" si="25"/>
        <v>0</v>
      </c>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row>
    <row r="104" spans="1:81" ht="12" thickBot="1">
      <c r="A104" s="596" t="s">
        <v>1505</v>
      </c>
      <c r="B104" s="541" t="s">
        <v>365</v>
      </c>
      <c r="C104" s="541" t="s">
        <v>1106</v>
      </c>
      <c r="D104" s="552" t="s">
        <v>1139</v>
      </c>
      <c r="E104" s="549"/>
      <c r="F104" s="551"/>
      <c r="G104" s="550"/>
      <c r="H104" s="551"/>
      <c r="I104" s="551"/>
      <c r="J104" s="551"/>
      <c r="K104" s="551"/>
      <c r="L104" s="551"/>
      <c r="M104" s="550"/>
      <c r="N104" s="550"/>
      <c r="O104" s="551"/>
      <c r="P104" s="551"/>
      <c r="Q104" s="550"/>
      <c r="R104" s="550"/>
      <c r="S104" s="546">
        <f t="shared" si="22"/>
        <v>0</v>
      </c>
      <c r="T104" s="547">
        <f t="shared" si="23"/>
        <v>0</v>
      </c>
      <c r="U104" s="546">
        <f t="shared" si="26"/>
        <v>0</v>
      </c>
      <c r="W104" s="350">
        <f t="shared" si="24"/>
        <v>0</v>
      </c>
      <c r="X104" s="285">
        <f t="shared" si="25"/>
        <v>0</v>
      </c>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row>
    <row r="105" spans="1:81" ht="12" thickBot="1">
      <c r="A105" s="596" t="s">
        <v>1505</v>
      </c>
      <c r="B105" s="541" t="s">
        <v>388</v>
      </c>
      <c r="C105" s="541" t="s">
        <v>1107</v>
      </c>
      <c r="D105" s="552" t="s">
        <v>1139</v>
      </c>
      <c r="E105" s="543"/>
      <c r="F105" s="545"/>
      <c r="G105" s="544"/>
      <c r="H105" s="545"/>
      <c r="I105" s="545"/>
      <c r="J105" s="545"/>
      <c r="K105" s="545"/>
      <c r="L105" s="545"/>
      <c r="M105" s="544"/>
      <c r="N105" s="544"/>
      <c r="O105" s="545"/>
      <c r="P105" s="545"/>
      <c r="Q105" s="544"/>
      <c r="R105" s="544"/>
      <c r="S105" s="546">
        <f t="shared" si="22"/>
        <v>0</v>
      </c>
      <c r="T105" s="547">
        <f t="shared" si="23"/>
        <v>0</v>
      </c>
      <c r="U105" s="546">
        <f t="shared" si="26"/>
        <v>0</v>
      </c>
      <c r="W105" s="350">
        <f t="shared" si="24"/>
        <v>0</v>
      </c>
      <c r="X105" s="285">
        <f t="shared" si="25"/>
        <v>0</v>
      </c>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row>
    <row r="106" spans="1:81" ht="12" thickBot="1">
      <c r="A106" s="596" t="s">
        <v>1505</v>
      </c>
      <c r="B106" s="541" t="s">
        <v>345</v>
      </c>
      <c r="C106" s="541" t="s">
        <v>1108</v>
      </c>
      <c r="D106" s="552" t="s">
        <v>1139</v>
      </c>
      <c r="E106" s="549"/>
      <c r="F106" s="551"/>
      <c r="G106" s="550"/>
      <c r="H106" s="551"/>
      <c r="I106" s="551"/>
      <c r="J106" s="551"/>
      <c r="K106" s="551"/>
      <c r="L106" s="551"/>
      <c r="M106" s="550"/>
      <c r="N106" s="550"/>
      <c r="O106" s="551"/>
      <c r="P106" s="551"/>
      <c r="Q106" s="550"/>
      <c r="R106" s="550"/>
      <c r="S106" s="546">
        <f t="shared" si="22"/>
        <v>0</v>
      </c>
      <c r="T106" s="547">
        <f t="shared" si="23"/>
        <v>0</v>
      </c>
      <c r="U106" s="546">
        <f t="shared" si="26"/>
        <v>0</v>
      </c>
      <c r="W106" s="350">
        <f t="shared" si="24"/>
        <v>0</v>
      </c>
      <c r="X106" s="285">
        <f t="shared" si="25"/>
        <v>0</v>
      </c>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row>
    <row r="107" spans="1:81" ht="12" thickBot="1">
      <c r="A107" s="596" t="s">
        <v>1505</v>
      </c>
      <c r="B107" s="541" t="s">
        <v>377</v>
      </c>
      <c r="C107" s="541" t="s">
        <v>1109</v>
      </c>
      <c r="D107" s="552" t="s">
        <v>1139</v>
      </c>
      <c r="E107" s="543"/>
      <c r="F107" s="545"/>
      <c r="G107" s="544"/>
      <c r="H107" s="545"/>
      <c r="I107" s="545"/>
      <c r="J107" s="545"/>
      <c r="K107" s="545"/>
      <c r="L107" s="545"/>
      <c r="M107" s="544"/>
      <c r="N107" s="544"/>
      <c r="O107" s="545"/>
      <c r="P107" s="545"/>
      <c r="Q107" s="544"/>
      <c r="R107" s="544"/>
      <c r="S107" s="546">
        <f t="shared" si="22"/>
        <v>0</v>
      </c>
      <c r="T107" s="547">
        <f t="shared" si="23"/>
        <v>0</v>
      </c>
      <c r="U107" s="546">
        <f t="shared" si="26"/>
        <v>0</v>
      </c>
      <c r="W107" s="350">
        <f t="shared" si="24"/>
        <v>0</v>
      </c>
      <c r="X107" s="285">
        <f t="shared" si="25"/>
        <v>0</v>
      </c>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row>
    <row r="108" spans="1:81" ht="12" thickBot="1">
      <c r="A108" s="596" t="s">
        <v>1505</v>
      </c>
      <c r="B108" s="541" t="s">
        <v>1395</v>
      </c>
      <c r="C108" s="541" t="s">
        <v>1396</v>
      </c>
      <c r="D108" s="552" t="s">
        <v>1139</v>
      </c>
      <c r="E108" s="549"/>
      <c r="F108" s="551"/>
      <c r="G108" s="551"/>
      <c r="H108" s="551"/>
      <c r="I108" s="551"/>
      <c r="J108" s="551"/>
      <c r="K108" s="551"/>
      <c r="L108" s="551"/>
      <c r="M108" s="551"/>
      <c r="N108" s="551"/>
      <c r="O108" s="551"/>
      <c r="P108" s="551"/>
      <c r="Q108" s="551"/>
      <c r="R108" s="551"/>
      <c r="S108" s="546">
        <f t="shared" si="22"/>
        <v>0</v>
      </c>
      <c r="T108" s="547">
        <f t="shared" si="23"/>
        <v>0</v>
      </c>
      <c r="U108" s="546">
        <f t="shared" si="26"/>
        <v>0</v>
      </c>
      <c r="W108" s="350">
        <f t="shared" si="24"/>
        <v>0</v>
      </c>
      <c r="X108" s="285">
        <f t="shared" si="25"/>
        <v>0</v>
      </c>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row>
    <row r="109" spans="1:81" ht="12" thickBot="1">
      <c r="A109" s="596" t="s">
        <v>1505</v>
      </c>
      <c r="B109" s="541" t="s">
        <v>363</v>
      </c>
      <c r="C109" s="541" t="s">
        <v>1110</v>
      </c>
      <c r="D109" s="552" t="s">
        <v>1140</v>
      </c>
      <c r="E109" s="543"/>
      <c r="F109" s="545"/>
      <c r="G109" s="544"/>
      <c r="H109" s="545"/>
      <c r="I109" s="545"/>
      <c r="J109" s="545"/>
      <c r="K109" s="545"/>
      <c r="L109" s="545"/>
      <c r="M109" s="544"/>
      <c r="N109" s="544"/>
      <c r="O109" s="545"/>
      <c r="P109" s="545"/>
      <c r="Q109" s="544"/>
      <c r="R109" s="544"/>
      <c r="S109" s="546">
        <f t="shared" si="22"/>
        <v>0</v>
      </c>
      <c r="T109" s="547">
        <f t="shared" si="23"/>
        <v>0</v>
      </c>
      <c r="U109" s="546">
        <f t="shared" si="26"/>
        <v>0</v>
      </c>
      <c r="W109" s="350">
        <f t="shared" si="24"/>
        <v>0</v>
      </c>
      <c r="X109" s="285">
        <f t="shared" si="25"/>
        <v>0</v>
      </c>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row>
    <row r="110" spans="1:81" ht="12" thickBot="1">
      <c r="A110" s="596" t="s">
        <v>1505</v>
      </c>
      <c r="B110" s="541" t="s">
        <v>373</v>
      </c>
      <c r="C110" s="541" t="s">
        <v>1111</v>
      </c>
      <c r="D110" s="552" t="s">
        <v>1139</v>
      </c>
      <c r="E110" s="549"/>
      <c r="F110" s="551"/>
      <c r="G110" s="550"/>
      <c r="H110" s="551"/>
      <c r="I110" s="551"/>
      <c r="J110" s="551"/>
      <c r="K110" s="551"/>
      <c r="L110" s="551"/>
      <c r="M110" s="550"/>
      <c r="N110" s="550"/>
      <c r="O110" s="551"/>
      <c r="P110" s="551"/>
      <c r="Q110" s="550"/>
      <c r="R110" s="550"/>
      <c r="S110" s="546">
        <f t="shared" si="22"/>
        <v>0</v>
      </c>
      <c r="T110" s="547">
        <f t="shared" si="23"/>
        <v>0</v>
      </c>
      <c r="U110" s="546">
        <f t="shared" si="26"/>
        <v>0</v>
      </c>
      <c r="W110" s="350">
        <f t="shared" si="24"/>
        <v>0</v>
      </c>
      <c r="X110" s="285">
        <f t="shared" si="25"/>
        <v>0</v>
      </c>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row>
    <row r="111" spans="1:81" ht="12" thickBot="1">
      <c r="A111" s="596" t="s">
        <v>1505</v>
      </c>
      <c r="B111" s="541" t="s">
        <v>396</v>
      </c>
      <c r="C111" s="541" t="s">
        <v>1112</v>
      </c>
      <c r="D111" s="552" t="s">
        <v>1139</v>
      </c>
      <c r="E111" s="543"/>
      <c r="F111" s="545"/>
      <c r="G111" s="544"/>
      <c r="H111" s="545"/>
      <c r="I111" s="545"/>
      <c r="J111" s="545"/>
      <c r="K111" s="545"/>
      <c r="L111" s="545"/>
      <c r="M111" s="544"/>
      <c r="N111" s="544"/>
      <c r="O111" s="545"/>
      <c r="P111" s="545"/>
      <c r="Q111" s="544"/>
      <c r="R111" s="544"/>
      <c r="S111" s="546">
        <f t="shared" si="22"/>
        <v>0</v>
      </c>
      <c r="T111" s="547">
        <f t="shared" si="23"/>
        <v>0</v>
      </c>
      <c r="U111" s="546">
        <f t="shared" si="26"/>
        <v>0</v>
      </c>
      <c r="W111" s="350">
        <f t="shared" si="24"/>
        <v>0</v>
      </c>
      <c r="X111" s="285">
        <f t="shared" si="25"/>
        <v>0</v>
      </c>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row>
    <row r="112" spans="1:81" ht="12" thickBot="1">
      <c r="A112" s="596" t="s">
        <v>1505</v>
      </c>
      <c r="B112" s="541" t="s">
        <v>351</v>
      </c>
      <c r="C112" s="541" t="s">
        <v>1113</v>
      </c>
      <c r="D112" s="552" t="s">
        <v>1140</v>
      </c>
      <c r="E112" s="549"/>
      <c r="F112" s="551"/>
      <c r="G112" s="550"/>
      <c r="H112" s="551"/>
      <c r="I112" s="551"/>
      <c r="J112" s="551"/>
      <c r="K112" s="551"/>
      <c r="L112" s="551"/>
      <c r="M112" s="550"/>
      <c r="N112" s="550"/>
      <c r="O112" s="551"/>
      <c r="P112" s="551"/>
      <c r="Q112" s="550"/>
      <c r="R112" s="550"/>
      <c r="S112" s="546">
        <f t="shared" si="22"/>
        <v>0</v>
      </c>
      <c r="T112" s="547">
        <f t="shared" si="23"/>
        <v>0</v>
      </c>
      <c r="U112" s="546">
        <f t="shared" si="26"/>
        <v>0</v>
      </c>
      <c r="W112" s="350">
        <f t="shared" si="24"/>
        <v>0</v>
      </c>
      <c r="X112" s="285">
        <f t="shared" si="25"/>
        <v>0</v>
      </c>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row>
    <row r="113" spans="1:81" ht="12" thickBot="1">
      <c r="A113" s="596" t="s">
        <v>1505</v>
      </c>
      <c r="B113" s="541" t="s">
        <v>314</v>
      </c>
      <c r="C113" s="541" t="s">
        <v>1114</v>
      </c>
      <c r="D113" s="552" t="s">
        <v>1140</v>
      </c>
      <c r="E113" s="543"/>
      <c r="F113" s="545"/>
      <c r="G113" s="544"/>
      <c r="H113" s="545"/>
      <c r="I113" s="545"/>
      <c r="J113" s="545"/>
      <c r="K113" s="545"/>
      <c r="L113" s="545"/>
      <c r="M113" s="544"/>
      <c r="N113" s="544"/>
      <c r="O113" s="545"/>
      <c r="P113" s="545"/>
      <c r="Q113" s="544"/>
      <c r="R113" s="544"/>
      <c r="S113" s="546">
        <f t="shared" si="22"/>
        <v>0</v>
      </c>
      <c r="T113" s="547">
        <f t="shared" si="23"/>
        <v>0</v>
      </c>
      <c r="U113" s="546">
        <f t="shared" si="26"/>
        <v>0</v>
      </c>
      <c r="W113" s="350">
        <f t="shared" si="24"/>
        <v>0</v>
      </c>
      <c r="X113" s="285">
        <f t="shared" si="25"/>
        <v>0</v>
      </c>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row>
    <row r="114" spans="1:81" ht="12" thickBot="1">
      <c r="A114" s="596" t="s">
        <v>1505</v>
      </c>
      <c r="B114" s="541" t="s">
        <v>355</v>
      </c>
      <c r="C114" s="541" t="s">
        <v>1115</v>
      </c>
      <c r="D114" s="552" t="s">
        <v>1140</v>
      </c>
      <c r="E114" s="549"/>
      <c r="F114" s="551"/>
      <c r="G114" s="550"/>
      <c r="H114" s="551"/>
      <c r="I114" s="551"/>
      <c r="J114" s="551"/>
      <c r="K114" s="551"/>
      <c r="L114" s="551"/>
      <c r="M114" s="550"/>
      <c r="N114" s="550"/>
      <c r="O114" s="551"/>
      <c r="P114" s="551"/>
      <c r="Q114" s="550"/>
      <c r="R114" s="550"/>
      <c r="S114" s="546">
        <f t="shared" si="22"/>
        <v>0</v>
      </c>
      <c r="T114" s="547">
        <f t="shared" si="23"/>
        <v>0</v>
      </c>
      <c r="U114" s="546">
        <f t="shared" si="26"/>
        <v>0</v>
      </c>
      <c r="W114" s="350">
        <f t="shared" si="24"/>
        <v>0</v>
      </c>
      <c r="X114" s="285">
        <f t="shared" si="25"/>
        <v>0</v>
      </c>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row>
    <row r="115" spans="1:81" ht="12" thickBot="1">
      <c r="A115" s="596" t="s">
        <v>1505</v>
      </c>
      <c r="B115" s="541" t="s">
        <v>364</v>
      </c>
      <c r="C115" s="541" t="s">
        <v>1116</v>
      </c>
      <c r="D115" s="552" t="s">
        <v>1139</v>
      </c>
      <c r="E115" s="543"/>
      <c r="F115" s="545"/>
      <c r="G115" s="544"/>
      <c r="H115" s="545"/>
      <c r="I115" s="545"/>
      <c r="J115" s="545"/>
      <c r="K115" s="545"/>
      <c r="L115" s="545"/>
      <c r="M115" s="544"/>
      <c r="N115" s="544"/>
      <c r="O115" s="545"/>
      <c r="P115" s="545"/>
      <c r="Q115" s="544"/>
      <c r="R115" s="544"/>
      <c r="S115" s="546">
        <f t="shared" si="22"/>
        <v>0</v>
      </c>
      <c r="T115" s="547">
        <f t="shared" si="23"/>
        <v>0</v>
      </c>
      <c r="U115" s="546">
        <f t="shared" si="26"/>
        <v>0</v>
      </c>
      <c r="W115" s="350">
        <f t="shared" si="24"/>
        <v>0</v>
      </c>
      <c r="X115" s="285">
        <f t="shared" si="25"/>
        <v>0</v>
      </c>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row>
    <row r="116" spans="1:81" ht="12" thickBot="1">
      <c r="A116" s="596" t="s">
        <v>1505</v>
      </c>
      <c r="B116" s="541" t="s">
        <v>387</v>
      </c>
      <c r="C116" s="541" t="s">
        <v>1117</v>
      </c>
      <c r="D116" s="552" t="s">
        <v>1139</v>
      </c>
      <c r="E116" s="549"/>
      <c r="F116" s="551"/>
      <c r="G116" s="550"/>
      <c r="H116" s="551"/>
      <c r="I116" s="551"/>
      <c r="J116" s="551"/>
      <c r="K116" s="551"/>
      <c r="L116" s="551"/>
      <c r="M116" s="550"/>
      <c r="N116" s="550"/>
      <c r="O116" s="551"/>
      <c r="P116" s="551"/>
      <c r="Q116" s="550"/>
      <c r="R116" s="550"/>
      <c r="S116" s="546">
        <f t="shared" si="22"/>
        <v>0</v>
      </c>
      <c r="T116" s="547">
        <f t="shared" si="23"/>
        <v>0</v>
      </c>
      <c r="U116" s="546">
        <f t="shared" si="26"/>
        <v>0</v>
      </c>
      <c r="W116" s="350">
        <f t="shared" si="24"/>
        <v>0</v>
      </c>
      <c r="X116" s="285">
        <f t="shared" si="25"/>
        <v>0</v>
      </c>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row>
    <row r="117" spans="1:81" ht="12" thickBot="1">
      <c r="A117" s="596" t="s">
        <v>1505</v>
      </c>
      <c r="B117" s="541" t="s">
        <v>344</v>
      </c>
      <c r="C117" s="541" t="s">
        <v>1118</v>
      </c>
      <c r="D117" s="552" t="s">
        <v>1139</v>
      </c>
      <c r="E117" s="543"/>
      <c r="F117" s="545"/>
      <c r="G117" s="544"/>
      <c r="H117" s="545"/>
      <c r="I117" s="545"/>
      <c r="J117" s="545"/>
      <c r="K117" s="545"/>
      <c r="L117" s="545"/>
      <c r="M117" s="544"/>
      <c r="N117" s="544"/>
      <c r="O117" s="545"/>
      <c r="P117" s="545"/>
      <c r="Q117" s="544"/>
      <c r="R117" s="544"/>
      <c r="S117" s="546">
        <f t="shared" si="22"/>
        <v>0</v>
      </c>
      <c r="T117" s="547">
        <f t="shared" si="23"/>
        <v>0</v>
      </c>
      <c r="U117" s="546">
        <f t="shared" si="26"/>
        <v>0</v>
      </c>
      <c r="W117" s="350">
        <f t="shared" si="24"/>
        <v>0</v>
      </c>
      <c r="X117" s="285">
        <f t="shared" si="25"/>
        <v>0</v>
      </c>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row>
    <row r="118" spans="1:81" ht="12" thickBot="1">
      <c r="A118" s="596" t="s">
        <v>1505</v>
      </c>
      <c r="B118" s="541" t="s">
        <v>376</v>
      </c>
      <c r="C118" s="541" t="s">
        <v>1119</v>
      </c>
      <c r="D118" s="552" t="s">
        <v>1139</v>
      </c>
      <c r="E118" s="549"/>
      <c r="F118" s="551"/>
      <c r="G118" s="550"/>
      <c r="H118" s="551"/>
      <c r="I118" s="551"/>
      <c r="J118" s="551"/>
      <c r="K118" s="551"/>
      <c r="L118" s="551"/>
      <c r="M118" s="550"/>
      <c r="N118" s="550"/>
      <c r="O118" s="551"/>
      <c r="P118" s="551"/>
      <c r="Q118" s="550"/>
      <c r="R118" s="550"/>
      <c r="S118" s="546">
        <f t="shared" si="22"/>
        <v>0</v>
      </c>
      <c r="T118" s="547">
        <f t="shared" si="23"/>
        <v>0</v>
      </c>
      <c r="U118" s="546">
        <f t="shared" si="26"/>
        <v>0</v>
      </c>
      <c r="W118" s="350">
        <f t="shared" si="24"/>
        <v>0</v>
      </c>
      <c r="X118" s="285">
        <f t="shared" si="25"/>
        <v>0</v>
      </c>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row>
    <row r="119" spans="1:81" ht="12" thickBot="1">
      <c r="A119" s="596" t="s">
        <v>1505</v>
      </c>
      <c r="B119" s="541" t="s">
        <v>374</v>
      </c>
      <c r="C119" s="541" t="s">
        <v>1120</v>
      </c>
      <c r="D119" s="552" t="s">
        <v>1139</v>
      </c>
      <c r="E119" s="543"/>
      <c r="F119" s="545"/>
      <c r="G119" s="544"/>
      <c r="H119" s="545"/>
      <c r="I119" s="545"/>
      <c r="J119" s="545"/>
      <c r="K119" s="545"/>
      <c r="L119" s="545"/>
      <c r="M119" s="544"/>
      <c r="N119" s="544"/>
      <c r="O119" s="545"/>
      <c r="P119" s="545"/>
      <c r="Q119" s="544"/>
      <c r="R119" s="544"/>
      <c r="S119" s="546">
        <f t="shared" si="22"/>
        <v>0</v>
      </c>
      <c r="T119" s="547">
        <f t="shared" si="23"/>
        <v>0</v>
      </c>
      <c r="U119" s="546">
        <f t="shared" si="26"/>
        <v>0</v>
      </c>
      <c r="W119" s="350">
        <f t="shared" si="24"/>
        <v>0</v>
      </c>
      <c r="X119" s="285">
        <f t="shared" si="25"/>
        <v>0</v>
      </c>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row>
    <row r="120" spans="1:81" ht="12" thickBot="1">
      <c r="A120" s="596" t="s">
        <v>1505</v>
      </c>
      <c r="B120" s="541" t="s">
        <v>398</v>
      </c>
      <c r="C120" s="541" t="s">
        <v>1121</v>
      </c>
      <c r="D120" s="552" t="s">
        <v>1139</v>
      </c>
      <c r="E120" s="549"/>
      <c r="F120" s="551"/>
      <c r="G120" s="550"/>
      <c r="H120" s="551"/>
      <c r="I120" s="551"/>
      <c r="J120" s="551"/>
      <c r="K120" s="551"/>
      <c r="L120" s="551"/>
      <c r="M120" s="550"/>
      <c r="N120" s="550"/>
      <c r="O120" s="551"/>
      <c r="P120" s="551"/>
      <c r="Q120" s="550"/>
      <c r="R120" s="550"/>
      <c r="S120" s="546">
        <f t="shared" si="22"/>
        <v>0</v>
      </c>
      <c r="T120" s="547">
        <f t="shared" si="23"/>
        <v>0</v>
      </c>
      <c r="U120" s="546">
        <f t="shared" si="26"/>
        <v>0</v>
      </c>
      <c r="W120" s="350">
        <f t="shared" si="24"/>
        <v>0</v>
      </c>
      <c r="X120" s="285">
        <f t="shared" si="25"/>
        <v>0</v>
      </c>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row>
    <row r="121" spans="1:81" ht="12" thickBot="1">
      <c r="A121" s="596" t="s">
        <v>1505</v>
      </c>
      <c r="B121" s="541" t="s">
        <v>348</v>
      </c>
      <c r="C121" s="541" t="s">
        <v>1122</v>
      </c>
      <c r="D121" s="552" t="s">
        <v>1139</v>
      </c>
      <c r="E121" s="543"/>
      <c r="F121" s="545"/>
      <c r="G121" s="544"/>
      <c r="H121" s="545"/>
      <c r="I121" s="545"/>
      <c r="J121" s="545"/>
      <c r="K121" s="545"/>
      <c r="L121" s="545"/>
      <c r="M121" s="544"/>
      <c r="N121" s="544"/>
      <c r="O121" s="545"/>
      <c r="P121" s="545"/>
      <c r="Q121" s="544"/>
      <c r="R121" s="544"/>
      <c r="S121" s="546">
        <f t="shared" si="22"/>
        <v>0</v>
      </c>
      <c r="T121" s="547">
        <f t="shared" si="23"/>
        <v>0</v>
      </c>
      <c r="U121" s="546">
        <f t="shared" si="26"/>
        <v>0</v>
      </c>
      <c r="W121" s="350">
        <f t="shared" si="24"/>
        <v>0</v>
      </c>
      <c r="X121" s="285">
        <f t="shared" si="25"/>
        <v>0</v>
      </c>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row>
    <row r="122" spans="1:81" ht="12" thickBot="1">
      <c r="A122" s="596" t="s">
        <v>1505</v>
      </c>
      <c r="B122" s="541" t="s">
        <v>380</v>
      </c>
      <c r="C122" s="541" t="s">
        <v>1123</v>
      </c>
      <c r="D122" s="552" t="s">
        <v>1139</v>
      </c>
      <c r="E122" s="549"/>
      <c r="F122" s="551"/>
      <c r="G122" s="550"/>
      <c r="H122" s="551"/>
      <c r="I122" s="551"/>
      <c r="J122" s="551"/>
      <c r="K122" s="551"/>
      <c r="L122" s="551"/>
      <c r="M122" s="550"/>
      <c r="N122" s="550"/>
      <c r="O122" s="551"/>
      <c r="P122" s="551"/>
      <c r="Q122" s="550"/>
      <c r="R122" s="550"/>
      <c r="S122" s="546">
        <f t="shared" si="22"/>
        <v>0</v>
      </c>
      <c r="T122" s="547">
        <f t="shared" si="23"/>
        <v>0</v>
      </c>
      <c r="U122" s="546">
        <f t="shared" si="26"/>
        <v>0</v>
      </c>
      <c r="W122" s="350">
        <f t="shared" si="24"/>
        <v>0</v>
      </c>
      <c r="X122" s="285">
        <f t="shared" si="25"/>
        <v>0</v>
      </c>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row>
    <row r="123" spans="1:81" ht="12" thickBot="1">
      <c r="A123" s="596" t="s">
        <v>1505</v>
      </c>
      <c r="B123" s="541" t="s">
        <v>399</v>
      </c>
      <c r="C123" s="541" t="s">
        <v>1124</v>
      </c>
      <c r="D123" s="552" t="s">
        <v>1139</v>
      </c>
      <c r="E123" s="543"/>
      <c r="F123" s="545"/>
      <c r="G123" s="544"/>
      <c r="H123" s="545"/>
      <c r="I123" s="545"/>
      <c r="J123" s="545"/>
      <c r="K123" s="545"/>
      <c r="L123" s="545"/>
      <c r="M123" s="544"/>
      <c r="N123" s="544"/>
      <c r="O123" s="545"/>
      <c r="P123" s="545"/>
      <c r="Q123" s="544"/>
      <c r="R123" s="544"/>
      <c r="S123" s="546">
        <f t="shared" si="22"/>
        <v>0</v>
      </c>
      <c r="T123" s="547">
        <f t="shared" si="23"/>
        <v>0</v>
      </c>
      <c r="U123" s="546">
        <f t="shared" si="26"/>
        <v>0</v>
      </c>
      <c r="W123" s="350">
        <f t="shared" si="24"/>
        <v>0</v>
      </c>
      <c r="X123" s="285">
        <f t="shared" si="25"/>
        <v>0</v>
      </c>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row>
    <row r="124" spans="1:81" ht="12" thickBot="1">
      <c r="A124" s="596" t="s">
        <v>1505</v>
      </c>
      <c r="B124" s="541" t="s">
        <v>349</v>
      </c>
      <c r="C124" s="541" t="s">
        <v>1125</v>
      </c>
      <c r="D124" s="552" t="s">
        <v>1139</v>
      </c>
      <c r="E124" s="549"/>
      <c r="F124" s="551"/>
      <c r="G124" s="550"/>
      <c r="H124" s="551"/>
      <c r="I124" s="551"/>
      <c r="J124" s="551"/>
      <c r="K124" s="551"/>
      <c r="L124" s="551"/>
      <c r="M124" s="550"/>
      <c r="N124" s="550"/>
      <c r="O124" s="551"/>
      <c r="P124" s="551"/>
      <c r="Q124" s="550"/>
      <c r="R124" s="550"/>
      <c r="S124" s="546">
        <f t="shared" si="22"/>
        <v>0</v>
      </c>
      <c r="T124" s="547">
        <f t="shared" si="23"/>
        <v>0</v>
      </c>
      <c r="U124" s="546">
        <f t="shared" si="26"/>
        <v>0</v>
      </c>
      <c r="W124" s="350">
        <f t="shared" si="24"/>
        <v>0</v>
      </c>
      <c r="X124" s="285">
        <f t="shared" si="25"/>
        <v>0</v>
      </c>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row>
    <row r="125" spans="1:81" ht="12" thickBot="1">
      <c r="A125" s="596" t="s">
        <v>1505</v>
      </c>
      <c r="B125" s="541" t="s">
        <v>381</v>
      </c>
      <c r="C125" s="541" t="s">
        <v>1126</v>
      </c>
      <c r="D125" s="552" t="s">
        <v>1139</v>
      </c>
      <c r="E125" s="543"/>
      <c r="F125" s="545"/>
      <c r="G125" s="544"/>
      <c r="H125" s="545"/>
      <c r="I125" s="545"/>
      <c r="J125" s="545"/>
      <c r="K125" s="545"/>
      <c r="L125" s="545"/>
      <c r="M125" s="544"/>
      <c r="N125" s="544"/>
      <c r="O125" s="545"/>
      <c r="P125" s="545"/>
      <c r="Q125" s="544"/>
      <c r="R125" s="544"/>
      <c r="S125" s="546">
        <f t="shared" si="22"/>
        <v>0</v>
      </c>
      <c r="T125" s="547">
        <f t="shared" si="23"/>
        <v>0</v>
      </c>
      <c r="U125" s="546">
        <f t="shared" si="26"/>
        <v>0</v>
      </c>
      <c r="W125" s="350">
        <f t="shared" si="24"/>
        <v>0</v>
      </c>
      <c r="X125" s="285">
        <f t="shared" si="25"/>
        <v>0</v>
      </c>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row>
    <row r="126" spans="1:81" ht="12" thickBot="1">
      <c r="A126" s="596" t="s">
        <v>1505</v>
      </c>
      <c r="B126" s="541" t="s">
        <v>321</v>
      </c>
      <c r="C126" s="541" t="s">
        <v>1127</v>
      </c>
      <c r="D126" s="552" t="s">
        <v>1139</v>
      </c>
      <c r="E126" s="549"/>
      <c r="F126" s="551"/>
      <c r="G126" s="550"/>
      <c r="H126" s="551"/>
      <c r="I126" s="551"/>
      <c r="J126" s="551"/>
      <c r="K126" s="551"/>
      <c r="L126" s="551"/>
      <c r="M126" s="550"/>
      <c r="N126" s="550"/>
      <c r="O126" s="551"/>
      <c r="P126" s="551"/>
      <c r="Q126" s="550"/>
      <c r="R126" s="550"/>
      <c r="S126" s="546">
        <f t="shared" si="22"/>
        <v>0</v>
      </c>
      <c r="T126" s="547">
        <f t="shared" si="23"/>
        <v>0</v>
      </c>
      <c r="U126" s="546">
        <f t="shared" si="26"/>
        <v>0</v>
      </c>
      <c r="W126" s="350">
        <f t="shared" si="24"/>
        <v>0</v>
      </c>
      <c r="X126" s="285">
        <f t="shared" si="25"/>
        <v>0</v>
      </c>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row>
    <row r="127" spans="1:81" ht="12" thickBot="1">
      <c r="A127" s="596" t="s">
        <v>1505</v>
      </c>
      <c r="B127" s="541" t="s">
        <v>353</v>
      </c>
      <c r="C127" s="541" t="s">
        <v>1128</v>
      </c>
      <c r="D127" s="552" t="s">
        <v>1139</v>
      </c>
      <c r="E127" s="543"/>
      <c r="F127" s="545"/>
      <c r="G127" s="544"/>
      <c r="H127" s="545"/>
      <c r="I127" s="545"/>
      <c r="J127" s="545"/>
      <c r="K127" s="545"/>
      <c r="L127" s="545"/>
      <c r="M127" s="544"/>
      <c r="N127" s="544"/>
      <c r="O127" s="545"/>
      <c r="P127" s="545"/>
      <c r="Q127" s="544"/>
      <c r="R127" s="544"/>
      <c r="S127" s="546">
        <f t="shared" si="22"/>
        <v>0</v>
      </c>
      <c r="T127" s="547">
        <f t="shared" si="23"/>
        <v>0</v>
      </c>
      <c r="U127" s="546">
        <f t="shared" si="26"/>
        <v>0</v>
      </c>
      <c r="W127" s="350">
        <f t="shared" si="24"/>
        <v>0</v>
      </c>
      <c r="X127" s="285">
        <f t="shared" si="25"/>
        <v>0</v>
      </c>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row>
    <row r="128" spans="1:81" ht="12" thickBot="1">
      <c r="A128" s="596" t="s">
        <v>1505</v>
      </c>
      <c r="B128" s="541" t="s">
        <v>678</v>
      </c>
      <c r="C128" s="541" t="s">
        <v>1129</v>
      </c>
      <c r="D128" s="552" t="s">
        <v>1139</v>
      </c>
      <c r="E128" s="549"/>
      <c r="F128" s="551"/>
      <c r="G128" s="550"/>
      <c r="H128" s="551"/>
      <c r="I128" s="551"/>
      <c r="J128" s="551"/>
      <c r="K128" s="551"/>
      <c r="L128" s="551"/>
      <c r="M128" s="550"/>
      <c r="N128" s="550"/>
      <c r="O128" s="551"/>
      <c r="P128" s="551"/>
      <c r="Q128" s="551"/>
      <c r="R128" s="550"/>
      <c r="S128" s="546">
        <f t="shared" si="22"/>
        <v>0</v>
      </c>
      <c r="T128" s="547">
        <f t="shared" si="23"/>
        <v>0</v>
      </c>
      <c r="U128" s="546">
        <f t="shared" si="26"/>
        <v>0</v>
      </c>
      <c r="W128" s="350">
        <f t="shared" si="24"/>
        <v>0</v>
      </c>
      <c r="X128" s="285">
        <f t="shared" si="25"/>
        <v>0</v>
      </c>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row>
    <row r="129" spans="1:81" ht="12" thickBot="1">
      <c r="A129" s="596" t="s">
        <v>1505</v>
      </c>
      <c r="B129" s="541" t="s">
        <v>316</v>
      </c>
      <c r="C129" s="541" t="s">
        <v>1130</v>
      </c>
      <c r="D129" s="552" t="s">
        <v>1139</v>
      </c>
      <c r="E129" s="543"/>
      <c r="F129" s="545"/>
      <c r="G129" s="544"/>
      <c r="H129" s="545"/>
      <c r="I129" s="545"/>
      <c r="J129" s="545"/>
      <c r="K129" s="545"/>
      <c r="L129" s="545"/>
      <c r="M129" s="544"/>
      <c r="N129" s="544"/>
      <c r="O129" s="545"/>
      <c r="P129" s="545"/>
      <c r="Q129" s="544"/>
      <c r="R129" s="544"/>
      <c r="S129" s="546">
        <f t="shared" si="22"/>
        <v>0</v>
      </c>
      <c r="T129" s="547">
        <f t="shared" si="23"/>
        <v>0</v>
      </c>
      <c r="U129" s="546">
        <f t="shared" si="26"/>
        <v>0</v>
      </c>
      <c r="W129" s="350">
        <f t="shared" si="24"/>
        <v>0</v>
      </c>
      <c r="X129" s="285">
        <f t="shared" si="25"/>
        <v>0</v>
      </c>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row>
    <row r="130" spans="1:81" ht="12" thickBot="1">
      <c r="A130" s="596" t="s">
        <v>1505</v>
      </c>
      <c r="B130" s="541" t="s">
        <v>318</v>
      </c>
      <c r="C130" s="541" t="s">
        <v>1131</v>
      </c>
      <c r="D130" s="552" t="s">
        <v>1139</v>
      </c>
      <c r="E130" s="549"/>
      <c r="F130" s="551"/>
      <c r="G130" s="550"/>
      <c r="H130" s="551"/>
      <c r="I130" s="551"/>
      <c r="J130" s="551"/>
      <c r="K130" s="551"/>
      <c r="L130" s="551"/>
      <c r="M130" s="550"/>
      <c r="N130" s="550"/>
      <c r="O130" s="551"/>
      <c r="P130" s="551"/>
      <c r="Q130" s="550"/>
      <c r="R130" s="550"/>
      <c r="S130" s="546">
        <f t="shared" si="22"/>
        <v>0</v>
      </c>
      <c r="T130" s="547">
        <f t="shared" si="23"/>
        <v>0</v>
      </c>
      <c r="U130" s="546">
        <f t="shared" si="26"/>
        <v>0</v>
      </c>
      <c r="W130" s="350">
        <f t="shared" si="24"/>
        <v>0</v>
      </c>
      <c r="X130" s="285">
        <f t="shared" si="25"/>
        <v>0</v>
      </c>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row>
    <row r="131" spans="1:81" ht="12" thickBot="1">
      <c r="A131" s="596" t="s">
        <v>1505</v>
      </c>
      <c r="B131" s="541" t="s">
        <v>350</v>
      </c>
      <c r="C131" s="541" t="s">
        <v>1132</v>
      </c>
      <c r="D131" s="552" t="s">
        <v>1139</v>
      </c>
      <c r="E131" s="543"/>
      <c r="F131" s="545"/>
      <c r="G131" s="544"/>
      <c r="H131" s="545"/>
      <c r="I131" s="545"/>
      <c r="J131" s="545"/>
      <c r="K131" s="545"/>
      <c r="L131" s="545"/>
      <c r="M131" s="544"/>
      <c r="N131" s="544"/>
      <c r="O131" s="545"/>
      <c r="P131" s="545"/>
      <c r="Q131" s="544"/>
      <c r="R131" s="544"/>
      <c r="S131" s="546">
        <f t="shared" si="22"/>
        <v>0</v>
      </c>
      <c r="T131" s="547">
        <f t="shared" si="23"/>
        <v>0</v>
      </c>
      <c r="U131" s="546">
        <f t="shared" si="26"/>
        <v>0</v>
      </c>
      <c r="W131" s="350">
        <f t="shared" si="24"/>
        <v>0</v>
      </c>
      <c r="X131" s="285">
        <f t="shared" si="25"/>
        <v>0</v>
      </c>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row>
    <row r="132" spans="1:81" ht="12" thickBot="1">
      <c r="A132" s="596" t="s">
        <v>1505</v>
      </c>
      <c r="B132" s="541" t="s">
        <v>313</v>
      </c>
      <c r="C132" s="541" t="s">
        <v>1133</v>
      </c>
      <c r="D132" s="552" t="s">
        <v>1139</v>
      </c>
      <c r="E132" s="549"/>
      <c r="F132" s="551"/>
      <c r="G132" s="550"/>
      <c r="H132" s="551"/>
      <c r="I132" s="551"/>
      <c r="J132" s="551"/>
      <c r="K132" s="551"/>
      <c r="L132" s="551"/>
      <c r="M132" s="550"/>
      <c r="N132" s="550"/>
      <c r="O132" s="551"/>
      <c r="P132" s="551"/>
      <c r="Q132" s="550"/>
      <c r="R132" s="550"/>
      <c r="S132" s="546">
        <f t="shared" si="22"/>
        <v>0</v>
      </c>
      <c r="T132" s="547">
        <f t="shared" si="23"/>
        <v>0</v>
      </c>
      <c r="U132" s="546">
        <f t="shared" si="26"/>
        <v>0</v>
      </c>
      <c r="W132" s="350">
        <f t="shared" si="24"/>
        <v>0</v>
      </c>
      <c r="X132" s="285">
        <f t="shared" si="25"/>
        <v>0</v>
      </c>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row>
    <row r="133" spans="1:81" ht="12" thickBot="1">
      <c r="A133" s="596" t="s">
        <v>1505</v>
      </c>
      <c r="B133" s="541" t="s">
        <v>650</v>
      </c>
      <c r="C133" s="541" t="s">
        <v>1151</v>
      </c>
      <c r="D133" s="552" t="s">
        <v>1139</v>
      </c>
      <c r="E133" s="543"/>
      <c r="F133" s="545"/>
      <c r="G133" s="544"/>
      <c r="H133" s="545"/>
      <c r="I133" s="545"/>
      <c r="J133" s="545"/>
      <c r="K133" s="545"/>
      <c r="L133" s="545"/>
      <c r="M133" s="544"/>
      <c r="N133" s="544"/>
      <c r="O133" s="545"/>
      <c r="P133" s="545"/>
      <c r="Q133" s="545"/>
      <c r="R133" s="544"/>
      <c r="S133" s="546">
        <f t="shared" ref="S133:S144" si="27">G133+H133+I133</f>
        <v>0</v>
      </c>
      <c r="T133" s="547">
        <f t="shared" ref="T133:T144" si="28">J133+K133</f>
        <v>0</v>
      </c>
      <c r="U133" s="546">
        <f t="shared" si="26"/>
        <v>0</v>
      </c>
      <c r="W133" s="350">
        <f t="shared" ref="W133:W144" si="29">SUM(F133:Q133)</f>
        <v>0</v>
      </c>
      <c r="X133" s="285">
        <f t="shared" ref="X133:X144" si="30">W133-R133</f>
        <v>0</v>
      </c>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row>
    <row r="134" spans="1:81" ht="12" thickBot="1">
      <c r="A134" s="596" t="s">
        <v>1505</v>
      </c>
      <c r="B134" s="541" t="s">
        <v>447</v>
      </c>
      <c r="C134" s="541" t="s">
        <v>1134</v>
      </c>
      <c r="D134" s="552" t="s">
        <v>1139</v>
      </c>
      <c r="E134" s="549"/>
      <c r="F134" s="551"/>
      <c r="G134" s="550"/>
      <c r="H134" s="551"/>
      <c r="I134" s="551"/>
      <c r="J134" s="551"/>
      <c r="K134" s="551"/>
      <c r="L134" s="551"/>
      <c r="M134" s="550"/>
      <c r="N134" s="550"/>
      <c r="O134" s="551"/>
      <c r="P134" s="551"/>
      <c r="Q134" s="551"/>
      <c r="R134" s="550"/>
      <c r="S134" s="546">
        <f t="shared" si="27"/>
        <v>0</v>
      </c>
      <c r="T134" s="547">
        <f t="shared" si="28"/>
        <v>0</v>
      </c>
      <c r="U134" s="546">
        <f t="shared" ref="U134:U144" si="31">N134+O134</f>
        <v>0</v>
      </c>
      <c r="W134" s="350">
        <f t="shared" si="29"/>
        <v>0</v>
      </c>
      <c r="X134" s="285">
        <f t="shared" si="30"/>
        <v>0</v>
      </c>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row>
    <row r="135" spans="1:81" ht="12" thickBot="1">
      <c r="A135" s="596" t="s">
        <v>1505</v>
      </c>
      <c r="B135" s="541" t="s">
        <v>624</v>
      </c>
      <c r="C135" s="541" t="s">
        <v>1135</v>
      </c>
      <c r="D135" s="552" t="s">
        <v>1139</v>
      </c>
      <c r="E135" s="543"/>
      <c r="F135" s="545"/>
      <c r="G135" s="544"/>
      <c r="H135" s="545"/>
      <c r="I135" s="545"/>
      <c r="J135" s="545"/>
      <c r="K135" s="545"/>
      <c r="L135" s="545"/>
      <c r="M135" s="544"/>
      <c r="N135" s="544"/>
      <c r="O135" s="545"/>
      <c r="P135" s="545"/>
      <c r="Q135" s="545"/>
      <c r="R135" s="544"/>
      <c r="S135" s="546">
        <f t="shared" si="27"/>
        <v>0</v>
      </c>
      <c r="T135" s="547">
        <f t="shared" si="28"/>
        <v>0</v>
      </c>
      <c r="U135" s="546">
        <f t="shared" si="31"/>
        <v>0</v>
      </c>
      <c r="W135" s="350">
        <f t="shared" si="29"/>
        <v>0</v>
      </c>
      <c r="X135" s="285">
        <f t="shared" si="30"/>
        <v>0</v>
      </c>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row>
    <row r="136" spans="1:81" ht="12" thickBot="1">
      <c r="A136" s="596" t="s">
        <v>1505</v>
      </c>
      <c r="B136" s="541" t="s">
        <v>73</v>
      </c>
      <c r="C136" s="541" t="s">
        <v>428</v>
      </c>
      <c r="D136" s="552" t="s">
        <v>73</v>
      </c>
      <c r="E136" s="551"/>
      <c r="F136" s="551"/>
      <c r="G136" s="551"/>
      <c r="H136" s="551"/>
      <c r="I136" s="551"/>
      <c r="J136" s="551"/>
      <c r="K136" s="551"/>
      <c r="L136" s="551"/>
      <c r="M136" s="551"/>
      <c r="N136" s="551"/>
      <c r="O136" s="551"/>
      <c r="P136" s="551"/>
      <c r="Q136" s="551"/>
      <c r="R136" s="550"/>
      <c r="S136" s="546">
        <f t="shared" si="27"/>
        <v>0</v>
      </c>
      <c r="T136" s="547">
        <f t="shared" si="28"/>
        <v>0</v>
      </c>
      <c r="U136" s="546">
        <f t="shared" si="31"/>
        <v>0</v>
      </c>
      <c r="W136" s="350">
        <f t="shared" si="29"/>
        <v>0</v>
      </c>
      <c r="X136" s="285">
        <f t="shared" si="30"/>
        <v>0</v>
      </c>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row>
    <row r="137" spans="1:81" ht="12" thickBot="1">
      <c r="A137" s="596" t="s">
        <v>1505</v>
      </c>
      <c r="B137" s="541" t="s">
        <v>455</v>
      </c>
      <c r="C137" s="541" t="s">
        <v>454</v>
      </c>
      <c r="D137" s="552" t="s">
        <v>710</v>
      </c>
      <c r="E137" s="545"/>
      <c r="F137" s="545"/>
      <c r="G137" s="545"/>
      <c r="H137" s="545"/>
      <c r="I137" s="545"/>
      <c r="J137" s="545"/>
      <c r="K137" s="545"/>
      <c r="L137" s="545"/>
      <c r="M137" s="545"/>
      <c r="N137" s="545"/>
      <c r="O137" s="545"/>
      <c r="P137" s="545"/>
      <c r="Q137" s="545"/>
      <c r="R137" s="544"/>
      <c r="S137" s="546">
        <f t="shared" si="27"/>
        <v>0</v>
      </c>
      <c r="T137" s="547">
        <f t="shared" si="28"/>
        <v>0</v>
      </c>
      <c r="U137" s="546">
        <f t="shared" si="31"/>
        <v>0</v>
      </c>
      <c r="W137" s="350">
        <f t="shared" si="29"/>
        <v>0</v>
      </c>
      <c r="X137" s="285">
        <f t="shared" si="30"/>
        <v>0</v>
      </c>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row>
    <row r="138" spans="1:81" ht="12" thickBot="1">
      <c r="A138" s="596" t="s">
        <v>1505</v>
      </c>
      <c r="B138" s="541" t="s">
        <v>457</v>
      </c>
      <c r="C138" s="541" t="s">
        <v>456</v>
      </c>
      <c r="D138" s="552" t="s">
        <v>710</v>
      </c>
      <c r="E138" s="551"/>
      <c r="F138" s="551"/>
      <c r="G138" s="551"/>
      <c r="H138" s="551"/>
      <c r="I138" s="551"/>
      <c r="J138" s="551"/>
      <c r="K138" s="551"/>
      <c r="L138" s="551"/>
      <c r="M138" s="551"/>
      <c r="N138" s="551"/>
      <c r="O138" s="551"/>
      <c r="P138" s="551"/>
      <c r="Q138" s="551"/>
      <c r="R138" s="550"/>
      <c r="S138" s="546">
        <f t="shared" si="27"/>
        <v>0</v>
      </c>
      <c r="T138" s="547">
        <f t="shared" si="28"/>
        <v>0</v>
      </c>
      <c r="U138" s="546">
        <f t="shared" si="31"/>
        <v>0</v>
      </c>
      <c r="W138" s="350">
        <f t="shared" si="29"/>
        <v>0</v>
      </c>
      <c r="X138" s="285">
        <f t="shared" si="30"/>
        <v>0</v>
      </c>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row>
    <row r="139" spans="1:81" ht="12" thickBot="1">
      <c r="A139" s="596" t="s">
        <v>1505</v>
      </c>
      <c r="B139" s="541" t="s">
        <v>427</v>
      </c>
      <c r="C139" s="541" t="s">
        <v>426</v>
      </c>
      <c r="D139" s="552" t="s">
        <v>1157</v>
      </c>
      <c r="E139" s="545"/>
      <c r="F139" s="544"/>
      <c r="G139" s="545"/>
      <c r="H139" s="545"/>
      <c r="I139" s="545"/>
      <c r="J139" s="545"/>
      <c r="K139" s="545"/>
      <c r="L139" s="545"/>
      <c r="M139" s="545"/>
      <c r="N139" s="545"/>
      <c r="O139" s="545"/>
      <c r="P139" s="545"/>
      <c r="Q139" s="545"/>
      <c r="R139" s="544"/>
      <c r="S139" s="546">
        <f t="shared" si="27"/>
        <v>0</v>
      </c>
      <c r="T139" s="547">
        <f t="shared" si="28"/>
        <v>0</v>
      </c>
      <c r="U139" s="546">
        <f t="shared" si="31"/>
        <v>0</v>
      </c>
      <c r="W139" s="350">
        <f t="shared" si="29"/>
        <v>0</v>
      </c>
      <c r="X139" s="285">
        <f t="shared" si="30"/>
        <v>0</v>
      </c>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row>
    <row r="140" spans="1:81" ht="12" thickBot="1">
      <c r="A140" s="596" t="s">
        <v>1505</v>
      </c>
      <c r="B140" s="541" t="s">
        <v>673</v>
      </c>
      <c r="C140" s="541" t="s">
        <v>674</v>
      </c>
      <c r="D140" s="552" t="s">
        <v>710</v>
      </c>
      <c r="E140" s="551"/>
      <c r="F140" s="551"/>
      <c r="G140" s="551"/>
      <c r="H140" s="551"/>
      <c r="I140" s="551"/>
      <c r="J140" s="551"/>
      <c r="K140" s="551"/>
      <c r="L140" s="551"/>
      <c r="M140" s="551"/>
      <c r="N140" s="551"/>
      <c r="O140" s="551"/>
      <c r="P140" s="551"/>
      <c r="Q140" s="551"/>
      <c r="R140" s="550"/>
      <c r="S140" s="546">
        <f t="shared" si="27"/>
        <v>0</v>
      </c>
      <c r="T140" s="547">
        <f t="shared" si="28"/>
        <v>0</v>
      </c>
      <c r="U140" s="546">
        <f t="shared" si="31"/>
        <v>0</v>
      </c>
      <c r="W140" s="350">
        <f t="shared" si="29"/>
        <v>0</v>
      </c>
      <c r="X140" s="285">
        <f t="shared" si="30"/>
        <v>0</v>
      </c>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row>
    <row r="141" spans="1:81" ht="12" thickBot="1">
      <c r="A141" s="596" t="s">
        <v>1505</v>
      </c>
      <c r="B141" s="541" t="s">
        <v>1152</v>
      </c>
      <c r="C141" s="541" t="s">
        <v>1153</v>
      </c>
      <c r="D141" s="552" t="s">
        <v>710</v>
      </c>
      <c r="E141" s="545"/>
      <c r="F141" s="545"/>
      <c r="G141" s="545"/>
      <c r="H141" s="545"/>
      <c r="I141" s="545"/>
      <c r="J141" s="545"/>
      <c r="K141" s="545"/>
      <c r="L141" s="545"/>
      <c r="M141" s="545"/>
      <c r="N141" s="545"/>
      <c r="O141" s="545"/>
      <c r="P141" s="545"/>
      <c r="Q141" s="545"/>
      <c r="R141" s="544"/>
      <c r="S141" s="546">
        <f t="shared" si="27"/>
        <v>0</v>
      </c>
      <c r="T141" s="547">
        <f t="shared" si="28"/>
        <v>0</v>
      </c>
      <c r="U141" s="546">
        <f t="shared" si="31"/>
        <v>0</v>
      </c>
      <c r="W141" s="350">
        <f t="shared" si="29"/>
        <v>0</v>
      </c>
      <c r="X141" s="285">
        <f t="shared" si="30"/>
        <v>0</v>
      </c>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row>
    <row r="142" spans="1:81" ht="12" thickBot="1">
      <c r="A142" s="596" t="s">
        <v>1505</v>
      </c>
      <c r="B142" s="541" t="s">
        <v>1394</v>
      </c>
      <c r="C142" s="541" t="s">
        <v>106</v>
      </c>
      <c r="D142" s="552" t="s">
        <v>1158</v>
      </c>
      <c r="E142" s="549"/>
      <c r="F142" s="550"/>
      <c r="G142" s="550"/>
      <c r="H142" s="550"/>
      <c r="I142" s="551"/>
      <c r="J142" s="551"/>
      <c r="K142" s="551"/>
      <c r="L142" s="551"/>
      <c r="M142" s="551"/>
      <c r="N142" s="551"/>
      <c r="O142" s="551"/>
      <c r="P142" s="551"/>
      <c r="Q142" s="551"/>
      <c r="R142" s="550"/>
      <c r="S142" s="546">
        <f t="shared" si="27"/>
        <v>0</v>
      </c>
      <c r="T142" s="547">
        <f t="shared" si="28"/>
        <v>0</v>
      </c>
      <c r="U142" s="546">
        <f t="shared" si="31"/>
        <v>0</v>
      </c>
      <c r="W142" s="350">
        <f t="shared" si="29"/>
        <v>0</v>
      </c>
      <c r="X142" s="285">
        <f t="shared" si="30"/>
        <v>0</v>
      </c>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row>
    <row r="143" spans="1:81" ht="12" thickBot="1">
      <c r="A143" s="596" t="s">
        <v>1505</v>
      </c>
      <c r="B143" s="541" t="s">
        <v>434</v>
      </c>
      <c r="C143" s="541" t="s">
        <v>1154</v>
      </c>
      <c r="D143" s="552" t="s">
        <v>1158</v>
      </c>
      <c r="E143" s="543"/>
      <c r="F143" s="544"/>
      <c r="G143" s="544"/>
      <c r="H143" s="544"/>
      <c r="I143" s="545"/>
      <c r="J143" s="545"/>
      <c r="K143" s="545"/>
      <c r="L143" s="545"/>
      <c r="M143" s="545"/>
      <c r="N143" s="545"/>
      <c r="O143" s="545"/>
      <c r="P143" s="545"/>
      <c r="Q143" s="545"/>
      <c r="R143" s="544"/>
      <c r="S143" s="546">
        <f t="shared" si="27"/>
        <v>0</v>
      </c>
      <c r="T143" s="547">
        <f t="shared" si="28"/>
        <v>0</v>
      </c>
      <c r="U143" s="546">
        <f t="shared" si="31"/>
        <v>0</v>
      </c>
      <c r="W143" s="350">
        <f t="shared" si="29"/>
        <v>0</v>
      </c>
      <c r="X143" s="285">
        <f t="shared" si="30"/>
        <v>0</v>
      </c>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row>
    <row r="144" spans="1:81" ht="12" thickBot="1">
      <c r="A144" s="596" t="s">
        <v>1505</v>
      </c>
      <c r="B144" s="556" t="s">
        <v>8</v>
      </c>
      <c r="C144" s="557"/>
      <c r="D144" s="557"/>
      <c r="E144" s="558"/>
      <c r="F144" s="559"/>
      <c r="G144" s="559"/>
      <c r="H144" s="559"/>
      <c r="I144" s="559"/>
      <c r="J144" s="559"/>
      <c r="K144" s="559"/>
      <c r="L144" s="559"/>
      <c r="M144" s="559"/>
      <c r="N144" s="559"/>
      <c r="O144" s="559"/>
      <c r="P144" s="559"/>
      <c r="Q144" s="559"/>
      <c r="R144" s="559"/>
      <c r="S144" s="546">
        <f t="shared" si="27"/>
        <v>0</v>
      </c>
      <c r="T144" s="547">
        <f t="shared" si="28"/>
        <v>0</v>
      </c>
      <c r="U144" s="546">
        <f t="shared" si="31"/>
        <v>0</v>
      </c>
      <c r="W144" s="350">
        <f t="shared" si="29"/>
        <v>0</v>
      </c>
      <c r="X144" s="285">
        <f t="shared" si="30"/>
        <v>0</v>
      </c>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row>
    <row r="145" spans="1:72" ht="12" thickBot="1">
      <c r="A145" s="565"/>
      <c r="B145" s="566"/>
      <c r="C145" s="560"/>
      <c r="D145" s="560"/>
      <c r="E145" s="541" t="s">
        <v>6</v>
      </c>
      <c r="F145" s="541" t="s">
        <v>709</v>
      </c>
      <c r="G145" s="541" t="s">
        <v>1043</v>
      </c>
      <c r="H145" s="541" t="s">
        <v>1046</v>
      </c>
      <c r="I145" s="541" t="s">
        <v>1044</v>
      </c>
      <c r="J145" s="541" t="s">
        <v>1045</v>
      </c>
      <c r="K145" s="541" t="s">
        <v>1042</v>
      </c>
      <c r="L145" s="541" t="s">
        <v>60</v>
      </c>
      <c r="M145" s="541" t="s">
        <v>61</v>
      </c>
      <c r="N145" s="541" t="s">
        <v>62</v>
      </c>
      <c r="O145" s="541" t="s">
        <v>1041</v>
      </c>
      <c r="P145" s="541" t="s">
        <v>438</v>
      </c>
      <c r="Q145" s="541" t="s">
        <v>437</v>
      </c>
      <c r="R145" s="541" t="s">
        <v>1047</v>
      </c>
      <c r="S145" s="546" t="e">
        <f t="shared" ref="S145:S208" si="32">G145+H145+I145</f>
        <v>#VALUE!</v>
      </c>
      <c r="T145" s="547" t="e">
        <f t="shared" ref="T145:T208" si="33">J145+K145</f>
        <v>#VALUE!</v>
      </c>
      <c r="U145" s="546" t="e">
        <f t="shared" ref="U145:U208" si="34">N145+O145</f>
        <v>#VALUE!</v>
      </c>
      <c r="W145" s="350">
        <f t="shared" ref="W145:W208" si="35">SUM(F145:Q145)</f>
        <v>0</v>
      </c>
      <c r="X145" s="285" t="e">
        <f t="shared" ref="X145:X208" si="36">W145-R145</f>
        <v>#VALUE!</v>
      </c>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567"/>
      <c r="AV145" s="567"/>
      <c r="AW145" s="567"/>
      <c r="AX145" s="567"/>
      <c r="AY145" s="567"/>
      <c r="AZ145" s="567"/>
      <c r="BA145" s="568"/>
      <c r="BB145" s="569">
        <v>428.17</v>
      </c>
      <c r="BC145" s="570"/>
      <c r="BD145" s="571"/>
      <c r="BE145" s="568">
        <v>428.17</v>
      </c>
      <c r="BF145" s="567"/>
      <c r="BG145" s="567"/>
      <c r="BH145" s="572"/>
      <c r="BI145" s="567"/>
      <c r="BJ145" s="567"/>
      <c r="BK145" s="567"/>
      <c r="BL145" s="567"/>
      <c r="BM145" s="567"/>
      <c r="BN145" s="567"/>
      <c r="BO145" s="571"/>
      <c r="BP145" s="567"/>
      <c r="BQ145" s="567"/>
      <c r="BR145" s="567"/>
      <c r="BS145" s="567"/>
      <c r="BT145" s="570"/>
    </row>
    <row r="146" spans="1:72" ht="12" thickBot="1">
      <c r="A146" s="541" t="s">
        <v>0</v>
      </c>
      <c r="B146" s="541" t="s">
        <v>5</v>
      </c>
      <c r="C146" s="573"/>
      <c r="D146" s="560"/>
      <c r="E146" s="560" t="s">
        <v>6</v>
      </c>
      <c r="F146" s="560" t="s">
        <v>7</v>
      </c>
      <c r="G146" s="560" t="s">
        <v>7</v>
      </c>
      <c r="H146" s="560" t="s">
        <v>7</v>
      </c>
      <c r="I146" s="560" t="s">
        <v>7</v>
      </c>
      <c r="J146" s="560" t="s">
        <v>7</v>
      </c>
      <c r="K146" s="560" t="s">
        <v>7</v>
      </c>
      <c r="L146" s="560" t="s">
        <v>7</v>
      </c>
      <c r="M146" s="560" t="s">
        <v>7</v>
      </c>
      <c r="N146" s="560" t="s">
        <v>7</v>
      </c>
      <c r="O146" s="560" t="s">
        <v>7</v>
      </c>
      <c r="P146" s="560" t="s">
        <v>7</v>
      </c>
      <c r="Q146" s="560" t="s">
        <v>7</v>
      </c>
      <c r="R146" s="560" t="s">
        <v>7</v>
      </c>
      <c r="S146" s="546" t="e">
        <f t="shared" si="32"/>
        <v>#VALUE!</v>
      </c>
      <c r="T146" s="547" t="e">
        <f t="shared" si="33"/>
        <v>#VALUE!</v>
      </c>
      <c r="U146" s="546" t="e">
        <f t="shared" si="34"/>
        <v>#VALUE!</v>
      </c>
      <c r="W146" s="350">
        <f t="shared" si="35"/>
        <v>0</v>
      </c>
      <c r="X146" s="285" t="e">
        <f t="shared" si="36"/>
        <v>#VALUE!</v>
      </c>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567"/>
      <c r="AV146" s="567"/>
      <c r="AW146" s="567"/>
      <c r="AX146" s="567"/>
      <c r="AY146" s="567"/>
      <c r="AZ146" s="567"/>
      <c r="BA146" s="568"/>
      <c r="BB146" s="569">
        <v>54.35</v>
      </c>
      <c r="BC146" s="570"/>
      <c r="BD146" s="571"/>
      <c r="BE146" s="568">
        <v>54.35</v>
      </c>
      <c r="BF146" s="567"/>
      <c r="BG146" s="567"/>
      <c r="BH146" s="572"/>
      <c r="BI146" s="567"/>
      <c r="BJ146" s="567"/>
      <c r="BK146" s="567"/>
      <c r="BL146" s="567"/>
      <c r="BM146" s="567"/>
      <c r="BN146" s="567"/>
      <c r="BO146" s="571"/>
      <c r="BP146" s="567"/>
      <c r="BQ146" s="567"/>
      <c r="BR146" s="567"/>
      <c r="BS146" s="567"/>
      <c r="BT146" s="570"/>
    </row>
    <row r="147" spans="1:72" ht="12" thickBot="1">
      <c r="A147" s="596" t="s">
        <v>1506</v>
      </c>
      <c r="B147" s="541" t="s">
        <v>424</v>
      </c>
      <c r="C147" s="541" t="s">
        <v>444</v>
      </c>
      <c r="D147" s="542" t="s">
        <v>724</v>
      </c>
      <c r="E147" s="543"/>
      <c r="F147" s="544"/>
      <c r="G147" s="544"/>
      <c r="H147" s="545"/>
      <c r="I147" s="545"/>
      <c r="J147" s="545"/>
      <c r="K147" s="545"/>
      <c r="L147" s="545"/>
      <c r="M147" s="545"/>
      <c r="N147" s="545"/>
      <c r="O147" s="545"/>
      <c r="P147" s="545"/>
      <c r="Q147" s="545"/>
      <c r="R147" s="544"/>
      <c r="S147" s="546">
        <f t="shared" si="32"/>
        <v>0</v>
      </c>
      <c r="T147" s="547">
        <f t="shared" si="33"/>
        <v>0</v>
      </c>
      <c r="U147" s="546">
        <f t="shared" si="34"/>
        <v>0</v>
      </c>
      <c r="W147" s="350">
        <f t="shared" si="35"/>
        <v>0</v>
      </c>
      <c r="X147" s="285">
        <f t="shared" si="36"/>
        <v>0</v>
      </c>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567"/>
      <c r="AV147" s="567"/>
      <c r="AW147" s="567"/>
      <c r="AX147" s="567"/>
      <c r="AY147" s="567"/>
      <c r="AZ147" s="567"/>
      <c r="BA147" s="568"/>
      <c r="BB147" s="569">
        <v>0.47</v>
      </c>
      <c r="BC147" s="570"/>
      <c r="BD147" s="571"/>
      <c r="BE147" s="568">
        <v>0.47</v>
      </c>
      <c r="BF147" s="567"/>
      <c r="BG147" s="567"/>
      <c r="BH147" s="572"/>
      <c r="BI147" s="567"/>
      <c r="BJ147" s="567"/>
      <c r="BK147" s="567"/>
      <c r="BL147" s="567"/>
      <c r="BM147" s="567"/>
      <c r="BN147" s="567"/>
      <c r="BO147" s="571"/>
      <c r="BP147" s="567"/>
      <c r="BQ147" s="567"/>
      <c r="BR147" s="567"/>
      <c r="BS147" s="567"/>
      <c r="BT147" s="570"/>
    </row>
    <row r="148" spans="1:72" ht="12" thickBot="1">
      <c r="A148" s="596" t="s">
        <v>1506</v>
      </c>
      <c r="B148" s="541" t="s">
        <v>425</v>
      </c>
      <c r="C148" s="541" t="s">
        <v>445</v>
      </c>
      <c r="D148" s="542" t="s">
        <v>724</v>
      </c>
      <c r="E148" s="549"/>
      <c r="F148" s="550"/>
      <c r="G148" s="550"/>
      <c r="H148" s="551"/>
      <c r="I148" s="551"/>
      <c r="J148" s="551"/>
      <c r="K148" s="551"/>
      <c r="L148" s="551"/>
      <c r="M148" s="551"/>
      <c r="N148" s="551"/>
      <c r="O148" s="551"/>
      <c r="P148" s="551"/>
      <c r="Q148" s="551"/>
      <c r="R148" s="550"/>
      <c r="S148" s="546">
        <f t="shared" si="32"/>
        <v>0</v>
      </c>
      <c r="T148" s="547">
        <f t="shared" si="33"/>
        <v>0</v>
      </c>
      <c r="U148" s="546">
        <f t="shared" si="34"/>
        <v>0</v>
      </c>
      <c r="W148" s="350">
        <f t="shared" si="35"/>
        <v>0</v>
      </c>
      <c r="X148" s="285">
        <f t="shared" si="36"/>
        <v>0</v>
      </c>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567"/>
      <c r="AV148" s="567"/>
      <c r="AW148" s="567"/>
      <c r="AX148" s="567"/>
      <c r="AY148" s="567"/>
      <c r="AZ148" s="567"/>
      <c r="BA148" s="568"/>
      <c r="BB148" s="569">
        <v>-9.5</v>
      </c>
      <c r="BC148" s="570"/>
      <c r="BD148" s="571"/>
      <c r="BE148" s="568">
        <v>-9.5</v>
      </c>
      <c r="BF148" s="567"/>
      <c r="BG148" s="567"/>
      <c r="BH148" s="572"/>
      <c r="BI148" s="567"/>
      <c r="BJ148" s="567"/>
      <c r="BK148" s="567"/>
      <c r="BL148" s="567"/>
      <c r="BM148" s="567"/>
      <c r="BN148" s="567"/>
      <c r="BO148" s="571"/>
      <c r="BP148" s="567"/>
      <c r="BQ148" s="567"/>
      <c r="BR148" s="567"/>
      <c r="BS148" s="567"/>
      <c r="BT148" s="570"/>
    </row>
    <row r="149" spans="1:72" ht="12" thickBot="1">
      <c r="A149" s="596" t="s">
        <v>1506</v>
      </c>
      <c r="B149" s="541" t="s">
        <v>433</v>
      </c>
      <c r="C149" s="541" t="s">
        <v>432</v>
      </c>
      <c r="D149" s="552" t="s">
        <v>1155</v>
      </c>
      <c r="E149" s="543"/>
      <c r="F149" s="545"/>
      <c r="G149" s="544"/>
      <c r="H149" s="545"/>
      <c r="I149" s="545"/>
      <c r="J149" s="545"/>
      <c r="K149" s="545"/>
      <c r="L149" s="545"/>
      <c r="M149" s="545"/>
      <c r="N149" s="545"/>
      <c r="O149" s="545"/>
      <c r="P149" s="545"/>
      <c r="Q149" s="545"/>
      <c r="R149" s="544"/>
      <c r="S149" s="546">
        <f t="shared" si="32"/>
        <v>0</v>
      </c>
      <c r="T149" s="547">
        <f t="shared" si="33"/>
        <v>0</v>
      </c>
      <c r="U149" s="546">
        <f t="shared" si="34"/>
        <v>0</v>
      </c>
      <c r="W149" s="350">
        <f t="shared" si="35"/>
        <v>0</v>
      </c>
      <c r="X149" s="285">
        <f t="shared" si="36"/>
        <v>0</v>
      </c>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567"/>
      <c r="AV149" s="567"/>
      <c r="AW149" s="567"/>
      <c r="AX149" s="567"/>
      <c r="AY149" s="567"/>
      <c r="AZ149" s="567"/>
      <c r="BA149" s="568"/>
      <c r="BB149" s="569">
        <v>775.05</v>
      </c>
      <c r="BC149" s="570"/>
      <c r="BD149" s="571"/>
      <c r="BE149" s="568">
        <v>775.05</v>
      </c>
      <c r="BF149" s="567"/>
      <c r="BG149" s="567"/>
      <c r="BH149" s="572"/>
      <c r="BI149" s="567"/>
      <c r="BJ149" s="567"/>
      <c r="BK149" s="567"/>
      <c r="BL149" s="567"/>
      <c r="BM149" s="567"/>
      <c r="BN149" s="567"/>
      <c r="BO149" s="571"/>
      <c r="BP149" s="567"/>
      <c r="BQ149" s="567"/>
      <c r="BR149" s="567"/>
      <c r="BS149" s="567"/>
      <c r="BT149" s="570"/>
    </row>
    <row r="150" spans="1:72" ht="12" thickBot="1">
      <c r="A150" s="596" t="s">
        <v>1506</v>
      </c>
      <c r="B150" s="541" t="s">
        <v>431</v>
      </c>
      <c r="C150" s="541" t="s">
        <v>430</v>
      </c>
      <c r="D150" s="553" t="s">
        <v>1155</v>
      </c>
      <c r="E150" s="549"/>
      <c r="F150" s="551"/>
      <c r="G150" s="550"/>
      <c r="H150" s="551"/>
      <c r="I150" s="551"/>
      <c r="J150" s="551"/>
      <c r="K150" s="551"/>
      <c r="L150" s="551"/>
      <c r="M150" s="551"/>
      <c r="N150" s="551"/>
      <c r="O150" s="551"/>
      <c r="P150" s="551"/>
      <c r="Q150" s="551"/>
      <c r="R150" s="550"/>
      <c r="S150" s="546">
        <f t="shared" si="32"/>
        <v>0</v>
      </c>
      <c r="T150" s="547">
        <f t="shared" si="33"/>
        <v>0</v>
      </c>
      <c r="U150" s="546">
        <f t="shared" si="34"/>
        <v>0</v>
      </c>
      <c r="W150" s="350">
        <f t="shared" si="35"/>
        <v>0</v>
      </c>
      <c r="X150" s="285">
        <f t="shared" si="36"/>
        <v>0</v>
      </c>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567"/>
      <c r="AV150" s="567"/>
      <c r="AW150" s="567"/>
      <c r="AX150" s="567"/>
      <c r="AY150" s="567"/>
      <c r="AZ150" s="567"/>
      <c r="BA150" s="568"/>
      <c r="BB150" s="569">
        <v>34.340000000000003</v>
      </c>
      <c r="BC150" s="570"/>
      <c r="BD150" s="571"/>
      <c r="BE150" s="568">
        <v>34.340000000000003</v>
      </c>
      <c r="BF150" s="567"/>
      <c r="BG150" s="567"/>
      <c r="BH150" s="572"/>
      <c r="BI150" s="567"/>
      <c r="BJ150" s="567"/>
      <c r="BK150" s="567"/>
      <c r="BL150" s="567"/>
      <c r="BM150" s="567"/>
      <c r="BN150" s="567"/>
      <c r="BO150" s="571"/>
      <c r="BP150" s="567"/>
      <c r="BQ150" s="567"/>
      <c r="BR150" s="567"/>
      <c r="BS150" s="567"/>
      <c r="BT150" s="570"/>
    </row>
    <row r="151" spans="1:72" ht="12" thickBot="1">
      <c r="A151" s="596" t="s">
        <v>1506</v>
      </c>
      <c r="B151" s="541" t="s">
        <v>1048</v>
      </c>
      <c r="C151" s="541" t="s">
        <v>1049</v>
      </c>
      <c r="D151" s="553" t="s">
        <v>1146</v>
      </c>
      <c r="E151" s="545"/>
      <c r="F151" s="545"/>
      <c r="G151" s="545"/>
      <c r="H151" s="545"/>
      <c r="I151" s="545"/>
      <c r="J151" s="545"/>
      <c r="K151" s="545"/>
      <c r="L151" s="545"/>
      <c r="M151" s="545"/>
      <c r="N151" s="545"/>
      <c r="O151" s="545"/>
      <c r="P151" s="545"/>
      <c r="Q151" s="545"/>
      <c r="R151" s="545"/>
      <c r="S151" s="546">
        <f t="shared" si="32"/>
        <v>0</v>
      </c>
      <c r="T151" s="547">
        <f t="shared" si="33"/>
        <v>0</v>
      </c>
      <c r="U151" s="546">
        <f t="shared" si="34"/>
        <v>0</v>
      </c>
      <c r="W151" s="350">
        <f t="shared" si="35"/>
        <v>0</v>
      </c>
      <c r="X151" s="285">
        <f t="shared" si="36"/>
        <v>0</v>
      </c>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567"/>
      <c r="AV151" s="567"/>
      <c r="AW151" s="567"/>
      <c r="AX151" s="567"/>
      <c r="AY151" s="567"/>
      <c r="AZ151" s="567"/>
      <c r="BA151" s="568"/>
      <c r="BB151" s="569">
        <v>17.59</v>
      </c>
      <c r="BC151" s="570"/>
      <c r="BD151" s="571"/>
      <c r="BE151" s="568">
        <v>17.59</v>
      </c>
      <c r="BF151" s="567"/>
      <c r="BG151" s="567"/>
      <c r="BH151" s="572"/>
      <c r="BI151" s="567"/>
      <c r="BJ151" s="567"/>
      <c r="BK151" s="567"/>
      <c r="BL151" s="567"/>
      <c r="BM151" s="567"/>
      <c r="BN151" s="567"/>
      <c r="BO151" s="571"/>
      <c r="BP151" s="567"/>
      <c r="BQ151" s="567"/>
      <c r="BR151" s="567"/>
      <c r="BS151" s="567"/>
      <c r="BT151" s="570"/>
    </row>
    <row r="152" spans="1:72" ht="12" thickBot="1">
      <c r="A152" s="596" t="s">
        <v>1506</v>
      </c>
      <c r="B152" s="541" t="s">
        <v>152</v>
      </c>
      <c r="C152" s="541" t="s">
        <v>57</v>
      </c>
      <c r="D152" s="553" t="s">
        <v>18</v>
      </c>
      <c r="E152" s="549">
        <f t="shared" ref="E152:E198" si="37">ROUND(SUMIFS(E$1721:E$1888,$A$1721:$A$1888,$A152,$B$1721:$B$1888,$B152),0)</f>
        <v>130048832</v>
      </c>
      <c r="F152" s="988">
        <f t="shared" ref="F152:P161" si="38">ROUND(SUMIFS(F$1721:F$1901,$A$1721:$A$1901,$A152,$B$1721:$B$1901,$B152),0)</f>
        <v>24000</v>
      </c>
      <c r="G152" s="988">
        <f t="shared" si="38"/>
        <v>964962</v>
      </c>
      <c r="H152" s="988">
        <f t="shared" si="38"/>
        <v>3761012</v>
      </c>
      <c r="I152" s="988">
        <f t="shared" si="38"/>
        <v>0</v>
      </c>
      <c r="J152" s="988">
        <f t="shared" si="38"/>
        <v>216676</v>
      </c>
      <c r="K152" s="988">
        <f t="shared" si="38"/>
        <v>2213824</v>
      </c>
      <c r="L152" s="988">
        <f t="shared" si="38"/>
        <v>0</v>
      </c>
      <c r="M152" s="988">
        <f t="shared" si="38"/>
        <v>559286</v>
      </c>
      <c r="N152" s="988">
        <f t="shared" si="38"/>
        <v>0</v>
      </c>
      <c r="O152" s="988">
        <f t="shared" si="38"/>
        <v>705527</v>
      </c>
      <c r="P152" s="988">
        <f t="shared" si="38"/>
        <v>0</v>
      </c>
      <c r="Q152" s="988"/>
      <c r="R152" s="988">
        <f t="shared" ref="R152:R198" si="39">ROUND(SUMIFS(R$1721:R$1901,$A$1721:$A$1901,$A152,$B$1721:$B$1901,$B152),0)</f>
        <v>8445287</v>
      </c>
      <c r="S152" s="546">
        <f t="shared" si="32"/>
        <v>4725974</v>
      </c>
      <c r="T152" s="547">
        <f t="shared" si="33"/>
        <v>2430500</v>
      </c>
      <c r="U152" s="546">
        <f t="shared" si="34"/>
        <v>705527</v>
      </c>
      <c r="W152" s="350">
        <f t="shared" si="35"/>
        <v>8445287</v>
      </c>
      <c r="X152" s="285">
        <f t="shared" si="36"/>
        <v>0</v>
      </c>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567"/>
      <c r="AV152" s="567"/>
      <c r="AW152" s="567"/>
      <c r="AX152" s="567"/>
      <c r="AY152" s="567"/>
      <c r="AZ152" s="567"/>
      <c r="BA152" s="568"/>
      <c r="BB152" s="569">
        <v>486.18</v>
      </c>
      <c r="BC152" s="570"/>
      <c r="BD152" s="571"/>
      <c r="BE152" s="568">
        <v>486.18</v>
      </c>
      <c r="BF152" s="567"/>
      <c r="BG152" s="567"/>
      <c r="BH152" s="572"/>
      <c r="BI152" s="567"/>
      <c r="BJ152" s="567"/>
      <c r="BK152" s="567"/>
      <c r="BL152" s="567"/>
      <c r="BM152" s="567"/>
      <c r="BN152" s="567"/>
      <c r="BO152" s="571"/>
      <c r="BP152" s="567"/>
      <c r="BQ152" s="567"/>
      <c r="BR152" s="567"/>
      <c r="BS152" s="567"/>
      <c r="BT152" s="570"/>
    </row>
    <row r="153" spans="1:72" ht="12" thickBot="1">
      <c r="A153" s="596" t="s">
        <v>1506</v>
      </c>
      <c r="B153" s="541" t="s">
        <v>153</v>
      </c>
      <c r="C153" s="541" t="s">
        <v>180</v>
      </c>
      <c r="D153" s="542" t="s">
        <v>25</v>
      </c>
      <c r="E153" s="549">
        <f t="shared" si="37"/>
        <v>17683176</v>
      </c>
      <c r="F153" s="988">
        <f t="shared" si="38"/>
        <v>33150</v>
      </c>
      <c r="G153" s="988">
        <f t="shared" si="38"/>
        <v>118477</v>
      </c>
      <c r="H153" s="988">
        <f t="shared" si="38"/>
        <v>511397</v>
      </c>
      <c r="I153" s="988">
        <f t="shared" si="38"/>
        <v>0</v>
      </c>
      <c r="J153" s="988">
        <f t="shared" si="38"/>
        <v>58982</v>
      </c>
      <c r="K153" s="988">
        <f t="shared" si="38"/>
        <v>660820</v>
      </c>
      <c r="L153" s="988">
        <f t="shared" si="38"/>
        <v>16967</v>
      </c>
      <c r="M153" s="988">
        <f t="shared" si="38"/>
        <v>76048</v>
      </c>
      <c r="N153" s="988">
        <f t="shared" si="38"/>
        <v>0</v>
      </c>
      <c r="O153" s="988">
        <f t="shared" si="38"/>
        <v>95933</v>
      </c>
      <c r="P153" s="988">
        <f t="shared" si="38"/>
        <v>0</v>
      </c>
      <c r="Q153" s="988"/>
      <c r="R153" s="988">
        <f t="shared" si="39"/>
        <v>1571774</v>
      </c>
      <c r="S153" s="546">
        <f t="shared" si="32"/>
        <v>629874</v>
      </c>
      <c r="T153" s="547">
        <f t="shared" si="33"/>
        <v>719802</v>
      </c>
      <c r="U153" s="546">
        <f t="shared" si="34"/>
        <v>95933</v>
      </c>
      <c r="W153" s="350">
        <f t="shared" si="35"/>
        <v>1571774</v>
      </c>
      <c r="X153" s="285">
        <f t="shared" si="36"/>
        <v>0</v>
      </c>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567"/>
      <c r="AV153" s="567"/>
      <c r="AW153" s="567"/>
      <c r="AX153" s="567"/>
      <c r="AY153" s="567"/>
      <c r="AZ153" s="567"/>
      <c r="BA153" s="568"/>
      <c r="BB153" s="569">
        <v>-8683.24</v>
      </c>
      <c r="BC153" s="570"/>
      <c r="BD153" s="571"/>
      <c r="BE153" s="568">
        <v>-8683.24</v>
      </c>
      <c r="BF153" s="567"/>
      <c r="BG153" s="567"/>
      <c r="BH153" s="572"/>
      <c r="BI153" s="567"/>
      <c r="BJ153" s="567"/>
      <c r="BK153" s="567"/>
      <c r="BL153" s="567"/>
      <c r="BM153" s="567"/>
      <c r="BN153" s="567"/>
      <c r="BO153" s="571"/>
      <c r="BP153" s="567"/>
      <c r="BQ153" s="567"/>
      <c r="BR153" s="567"/>
      <c r="BS153" s="567"/>
      <c r="BT153" s="570"/>
    </row>
    <row r="154" spans="1:72" ht="12" thickBot="1">
      <c r="A154" s="596" t="s">
        <v>1506</v>
      </c>
      <c r="B154" s="541" t="s">
        <v>154</v>
      </c>
      <c r="C154" s="541" t="s">
        <v>181</v>
      </c>
      <c r="D154" s="542" t="s">
        <v>24</v>
      </c>
      <c r="E154" s="549">
        <f t="shared" si="37"/>
        <v>153360986</v>
      </c>
      <c r="F154" s="988">
        <f t="shared" si="38"/>
        <v>417600</v>
      </c>
      <c r="G154" s="988">
        <f t="shared" si="38"/>
        <v>1030586</v>
      </c>
      <c r="H154" s="988">
        <f t="shared" si="38"/>
        <v>4435200</v>
      </c>
      <c r="I154" s="988">
        <f t="shared" si="38"/>
        <v>0</v>
      </c>
      <c r="J154" s="988">
        <f t="shared" si="38"/>
        <v>569125</v>
      </c>
      <c r="K154" s="988">
        <f t="shared" si="38"/>
        <v>6386842</v>
      </c>
      <c r="L154" s="988">
        <f t="shared" si="38"/>
        <v>147146</v>
      </c>
      <c r="M154" s="988">
        <f t="shared" si="38"/>
        <v>659542</v>
      </c>
      <c r="N154" s="988">
        <f t="shared" si="38"/>
        <v>0</v>
      </c>
      <c r="O154" s="988">
        <f t="shared" si="38"/>
        <v>831998</v>
      </c>
      <c r="P154" s="988">
        <f t="shared" si="38"/>
        <v>0</v>
      </c>
      <c r="Q154" s="988"/>
      <c r="R154" s="988">
        <f t="shared" si="39"/>
        <v>14478038</v>
      </c>
      <c r="S154" s="546">
        <f t="shared" si="32"/>
        <v>5465786</v>
      </c>
      <c r="T154" s="547">
        <f t="shared" si="33"/>
        <v>6955967</v>
      </c>
      <c r="U154" s="546">
        <f t="shared" si="34"/>
        <v>831998</v>
      </c>
      <c r="W154" s="350">
        <f t="shared" si="35"/>
        <v>14478039</v>
      </c>
      <c r="X154" s="285">
        <f t="shared" si="36"/>
        <v>1</v>
      </c>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567"/>
      <c r="AV154" s="567"/>
      <c r="AW154" s="567"/>
      <c r="AX154" s="567"/>
      <c r="AY154" s="567"/>
      <c r="AZ154" s="567"/>
      <c r="BA154" s="568"/>
      <c r="BB154" s="569">
        <v>12349.46</v>
      </c>
      <c r="BC154" s="570"/>
      <c r="BD154" s="571"/>
      <c r="BE154" s="568">
        <v>12349.46</v>
      </c>
      <c r="BF154" s="567"/>
      <c r="BG154" s="567"/>
      <c r="BH154" s="572"/>
      <c r="BI154" s="567"/>
      <c r="BJ154" s="567"/>
      <c r="BK154" s="567"/>
      <c r="BL154" s="567"/>
      <c r="BM154" s="567"/>
      <c r="BN154" s="567"/>
      <c r="BO154" s="571"/>
      <c r="BP154" s="567"/>
      <c r="BQ154" s="567"/>
      <c r="BR154" s="567"/>
      <c r="BS154" s="567"/>
      <c r="BT154" s="570"/>
    </row>
    <row r="155" spans="1:72" ht="12" thickBot="1">
      <c r="A155" s="596" t="s">
        <v>1506</v>
      </c>
      <c r="B155" s="541" t="s">
        <v>155</v>
      </c>
      <c r="C155" s="541" t="s">
        <v>182</v>
      </c>
      <c r="D155" s="554" t="s">
        <v>205</v>
      </c>
      <c r="E155" s="549">
        <f t="shared" si="37"/>
        <v>231780500</v>
      </c>
      <c r="F155" s="988">
        <f t="shared" si="38"/>
        <v>15600</v>
      </c>
      <c r="G155" s="988">
        <f t="shared" si="38"/>
        <v>2023444</v>
      </c>
      <c r="H155" s="988">
        <f t="shared" si="38"/>
        <v>6703092</v>
      </c>
      <c r="I155" s="988">
        <f t="shared" si="38"/>
        <v>0</v>
      </c>
      <c r="J155" s="988">
        <f t="shared" si="38"/>
        <v>386566</v>
      </c>
      <c r="K155" s="988">
        <f t="shared" si="38"/>
        <v>3891662</v>
      </c>
      <c r="L155" s="988">
        <f t="shared" si="38"/>
        <v>222388</v>
      </c>
      <c r="M155" s="988">
        <f t="shared" si="38"/>
        <v>996792</v>
      </c>
      <c r="N155" s="988">
        <f t="shared" si="38"/>
        <v>0</v>
      </c>
      <c r="O155" s="988">
        <f t="shared" si="38"/>
        <v>1257431</v>
      </c>
      <c r="P155" s="988">
        <f t="shared" si="38"/>
        <v>0</v>
      </c>
      <c r="Q155" s="988"/>
      <c r="R155" s="988">
        <f t="shared" si="39"/>
        <v>15496976</v>
      </c>
      <c r="S155" s="546">
        <f t="shared" si="32"/>
        <v>8726536</v>
      </c>
      <c r="T155" s="547">
        <f t="shared" si="33"/>
        <v>4278228</v>
      </c>
      <c r="U155" s="546">
        <f t="shared" si="34"/>
        <v>1257431</v>
      </c>
      <c r="W155" s="350">
        <f t="shared" si="35"/>
        <v>15496975</v>
      </c>
      <c r="X155" s="285">
        <f t="shared" si="36"/>
        <v>-1</v>
      </c>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567"/>
      <c r="AV155" s="567"/>
      <c r="AW155" s="567"/>
      <c r="AX155" s="567"/>
      <c r="AY155" s="567"/>
      <c r="AZ155" s="567"/>
      <c r="BA155" s="568"/>
      <c r="BB155" s="569">
        <v>-12771.01</v>
      </c>
      <c r="BC155" s="570"/>
      <c r="BD155" s="571"/>
      <c r="BE155" s="568">
        <v>-12771.01</v>
      </c>
      <c r="BF155" s="567"/>
      <c r="BG155" s="567"/>
      <c r="BH155" s="572"/>
      <c r="BI155" s="567"/>
      <c r="BJ155" s="567"/>
      <c r="BK155" s="567"/>
      <c r="BL155" s="567"/>
      <c r="BM155" s="567"/>
      <c r="BN155" s="567"/>
      <c r="BO155" s="571"/>
      <c r="BP155" s="567"/>
      <c r="BQ155" s="567"/>
      <c r="BR155" s="567"/>
      <c r="BS155" s="567"/>
      <c r="BT155" s="570"/>
    </row>
    <row r="156" spans="1:72" ht="12" thickBot="1">
      <c r="A156" s="596" t="s">
        <v>1506</v>
      </c>
      <c r="B156" s="541" t="s">
        <v>156</v>
      </c>
      <c r="C156" s="541" t="s">
        <v>183</v>
      </c>
      <c r="D156" s="554" t="s">
        <v>25</v>
      </c>
      <c r="E156" s="549">
        <f t="shared" si="37"/>
        <v>0</v>
      </c>
      <c r="F156" s="988">
        <f t="shared" si="38"/>
        <v>0</v>
      </c>
      <c r="G156" s="988">
        <f t="shared" si="38"/>
        <v>0</v>
      </c>
      <c r="H156" s="988">
        <f t="shared" si="38"/>
        <v>0</v>
      </c>
      <c r="I156" s="988">
        <f t="shared" si="38"/>
        <v>0</v>
      </c>
      <c r="J156" s="988">
        <f t="shared" si="38"/>
        <v>0</v>
      </c>
      <c r="K156" s="988">
        <f t="shared" si="38"/>
        <v>0</v>
      </c>
      <c r="L156" s="988">
        <f t="shared" si="38"/>
        <v>0</v>
      </c>
      <c r="M156" s="988">
        <f t="shared" si="38"/>
        <v>0</v>
      </c>
      <c r="N156" s="988">
        <f t="shared" si="38"/>
        <v>0</v>
      </c>
      <c r="O156" s="988">
        <f t="shared" si="38"/>
        <v>0</v>
      </c>
      <c r="P156" s="988">
        <f t="shared" si="38"/>
        <v>0</v>
      </c>
      <c r="Q156" s="988"/>
      <c r="R156" s="988">
        <f t="shared" si="39"/>
        <v>0</v>
      </c>
      <c r="S156" s="546">
        <f t="shared" si="32"/>
        <v>0</v>
      </c>
      <c r="T156" s="547">
        <f t="shared" si="33"/>
        <v>0</v>
      </c>
      <c r="U156" s="546">
        <f t="shared" si="34"/>
        <v>0</v>
      </c>
      <c r="W156" s="350">
        <f t="shared" si="35"/>
        <v>0</v>
      </c>
      <c r="X156" s="285">
        <f t="shared" si="36"/>
        <v>0</v>
      </c>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567"/>
      <c r="AV156" s="567"/>
      <c r="AW156" s="567"/>
      <c r="AX156" s="567"/>
      <c r="AY156" s="567"/>
      <c r="AZ156" s="567"/>
      <c r="BA156" s="568"/>
      <c r="BB156" s="570"/>
      <c r="BC156" s="570"/>
      <c r="BD156" s="570"/>
      <c r="BE156" s="568"/>
      <c r="BF156" s="567"/>
      <c r="BG156" s="567"/>
      <c r="BH156" s="567"/>
      <c r="BI156" s="567"/>
      <c r="BJ156" s="567"/>
      <c r="BK156" s="567"/>
      <c r="BL156" s="567"/>
      <c r="BM156" s="567"/>
      <c r="BN156" s="567"/>
      <c r="BO156" s="571"/>
      <c r="BP156" s="567"/>
      <c r="BQ156" s="567"/>
      <c r="BR156" s="567"/>
      <c r="BS156" s="567"/>
      <c r="BT156" s="570"/>
    </row>
    <row r="157" spans="1:72" ht="12" thickBot="1">
      <c r="A157" s="596" t="s">
        <v>1506</v>
      </c>
      <c r="B157" s="541" t="s">
        <v>157</v>
      </c>
      <c r="C157" s="541" t="s">
        <v>184</v>
      </c>
      <c r="D157" s="554" t="s">
        <v>24</v>
      </c>
      <c r="E157" s="549">
        <f t="shared" si="37"/>
        <v>0</v>
      </c>
      <c r="F157" s="988">
        <f t="shared" si="38"/>
        <v>0</v>
      </c>
      <c r="G157" s="988">
        <f t="shared" si="38"/>
        <v>0</v>
      </c>
      <c r="H157" s="988">
        <f t="shared" si="38"/>
        <v>0</v>
      </c>
      <c r="I157" s="988">
        <f t="shared" si="38"/>
        <v>0</v>
      </c>
      <c r="J157" s="988">
        <f t="shared" si="38"/>
        <v>0</v>
      </c>
      <c r="K157" s="988">
        <f t="shared" si="38"/>
        <v>0</v>
      </c>
      <c r="L157" s="988">
        <f t="shared" si="38"/>
        <v>0</v>
      </c>
      <c r="M157" s="988">
        <f t="shared" si="38"/>
        <v>0</v>
      </c>
      <c r="N157" s="988">
        <f t="shared" si="38"/>
        <v>0</v>
      </c>
      <c r="O157" s="988">
        <f t="shared" si="38"/>
        <v>0</v>
      </c>
      <c r="P157" s="988">
        <f t="shared" si="38"/>
        <v>0</v>
      </c>
      <c r="Q157" s="988"/>
      <c r="R157" s="988">
        <f t="shared" si="39"/>
        <v>0</v>
      </c>
      <c r="S157" s="546">
        <f t="shared" si="32"/>
        <v>0</v>
      </c>
      <c r="T157" s="547">
        <f t="shared" si="33"/>
        <v>0</v>
      </c>
      <c r="U157" s="546">
        <f t="shared" si="34"/>
        <v>0</v>
      </c>
      <c r="W157" s="350">
        <f t="shared" si="35"/>
        <v>0</v>
      </c>
      <c r="X157" s="285">
        <f t="shared" si="36"/>
        <v>0</v>
      </c>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567"/>
      <c r="AV157" s="567"/>
      <c r="AW157" s="567"/>
      <c r="AX157" s="569">
        <v>-1773.73</v>
      </c>
      <c r="AY157" s="569">
        <v>-12304.25</v>
      </c>
      <c r="AZ157" s="569">
        <v>-1858.2</v>
      </c>
      <c r="BA157" s="568">
        <v>-14162.45</v>
      </c>
      <c r="BB157" s="569">
        <v>5774.54</v>
      </c>
      <c r="BC157" s="569">
        <v>1489.1</v>
      </c>
      <c r="BD157" s="569">
        <v>7020.7900000000009</v>
      </c>
      <c r="BE157" s="568">
        <v>14284.43</v>
      </c>
      <c r="BF157" s="567"/>
      <c r="BG157" s="569">
        <v>442.36</v>
      </c>
      <c r="BH157" s="569">
        <v>12.419999999999987</v>
      </c>
      <c r="BI157" s="569">
        <v>21.800000000000068</v>
      </c>
      <c r="BJ157" s="569">
        <v>-1.54</v>
      </c>
      <c r="BK157" s="567"/>
      <c r="BL157" s="567"/>
      <c r="BM157" s="567"/>
      <c r="BN157" s="567"/>
      <c r="BO157" s="571"/>
      <c r="BP157" s="567"/>
      <c r="BQ157" s="567"/>
      <c r="BR157" s="567"/>
      <c r="BS157" s="567"/>
      <c r="BT157" s="570">
        <v>-1176.71</v>
      </c>
    </row>
    <row r="158" spans="1:72" ht="12" thickBot="1">
      <c r="A158" s="596" t="s">
        <v>1506</v>
      </c>
      <c r="B158" s="541" t="s">
        <v>158</v>
      </c>
      <c r="C158" s="541" t="s">
        <v>185</v>
      </c>
      <c r="D158" s="542" t="s">
        <v>205</v>
      </c>
      <c r="E158" s="549">
        <f t="shared" si="37"/>
        <v>97557303</v>
      </c>
      <c r="F158" s="988">
        <f t="shared" si="38"/>
        <v>61500</v>
      </c>
      <c r="G158" s="988">
        <f t="shared" si="38"/>
        <v>851675</v>
      </c>
      <c r="H158" s="988">
        <f t="shared" si="38"/>
        <v>2821357</v>
      </c>
      <c r="I158" s="988">
        <f t="shared" si="38"/>
        <v>0</v>
      </c>
      <c r="J158" s="988">
        <f t="shared" si="38"/>
        <v>197502</v>
      </c>
      <c r="K158" s="988">
        <f t="shared" si="38"/>
        <v>1991711</v>
      </c>
      <c r="L158" s="988">
        <f t="shared" si="38"/>
        <v>93604</v>
      </c>
      <c r="M158" s="988">
        <f t="shared" si="38"/>
        <v>419554</v>
      </c>
      <c r="N158" s="988">
        <f t="shared" si="38"/>
        <v>0</v>
      </c>
      <c r="O158" s="988">
        <f t="shared" si="38"/>
        <v>529257</v>
      </c>
      <c r="P158" s="988">
        <f t="shared" si="38"/>
        <v>0</v>
      </c>
      <c r="Q158" s="988"/>
      <c r="R158" s="988">
        <f t="shared" si="39"/>
        <v>6966161</v>
      </c>
      <c r="S158" s="546">
        <f t="shared" si="32"/>
        <v>3673032</v>
      </c>
      <c r="T158" s="547">
        <f t="shared" si="33"/>
        <v>2189213</v>
      </c>
      <c r="U158" s="546">
        <f t="shared" si="34"/>
        <v>529257</v>
      </c>
      <c r="W158" s="350">
        <f t="shared" si="35"/>
        <v>6966160</v>
      </c>
      <c r="X158" s="285">
        <f t="shared" si="36"/>
        <v>-1</v>
      </c>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567"/>
      <c r="AV158" s="567"/>
      <c r="AW158" s="567"/>
      <c r="AX158" s="567"/>
      <c r="AY158" s="567"/>
      <c r="AZ158" s="567"/>
      <c r="BA158" s="568">
        <v>0</v>
      </c>
      <c r="BB158" s="569">
        <v>-4192196.39</v>
      </c>
      <c r="BC158" s="570"/>
      <c r="BD158" s="571">
        <v>4192196.39</v>
      </c>
      <c r="BE158" s="568">
        <v>0</v>
      </c>
      <c r="BF158" s="567"/>
      <c r="BG158" s="567"/>
      <c r="BH158" s="567"/>
      <c r="BI158" s="567"/>
      <c r="BJ158" s="567"/>
      <c r="BK158" s="567"/>
      <c r="BL158" s="567"/>
      <c r="BM158" s="567"/>
      <c r="BN158" s="567"/>
      <c r="BO158" s="571"/>
      <c r="BP158" s="567"/>
      <c r="BQ158" s="567"/>
      <c r="BR158" s="567"/>
      <c r="BS158" s="567"/>
      <c r="BT158" s="570">
        <v>0</v>
      </c>
    </row>
    <row r="159" spans="1:72" ht="12" thickBot="1">
      <c r="A159" s="596" t="s">
        <v>1506</v>
      </c>
      <c r="B159" s="541" t="s">
        <v>159</v>
      </c>
      <c r="C159" s="541" t="s">
        <v>186</v>
      </c>
      <c r="D159" s="542" t="s">
        <v>204</v>
      </c>
      <c r="E159" s="549">
        <f t="shared" si="37"/>
        <v>120135692</v>
      </c>
      <c r="F159" s="988">
        <f t="shared" si="38"/>
        <v>93600</v>
      </c>
      <c r="G159" s="988">
        <f t="shared" si="38"/>
        <v>1058395</v>
      </c>
      <c r="H159" s="988">
        <f t="shared" si="38"/>
        <v>3474324</v>
      </c>
      <c r="I159" s="988">
        <f t="shared" si="38"/>
        <v>0</v>
      </c>
      <c r="J159" s="988">
        <f t="shared" si="38"/>
        <v>283916</v>
      </c>
      <c r="K159" s="988">
        <f t="shared" si="38"/>
        <v>2897459</v>
      </c>
      <c r="L159" s="988">
        <f t="shared" si="38"/>
        <v>115267</v>
      </c>
      <c r="M159" s="988">
        <f t="shared" si="38"/>
        <v>516654</v>
      </c>
      <c r="N159" s="988">
        <f t="shared" si="38"/>
        <v>0</v>
      </c>
      <c r="O159" s="988">
        <f t="shared" si="38"/>
        <v>651747</v>
      </c>
      <c r="P159" s="988">
        <f t="shared" si="38"/>
        <v>0</v>
      </c>
      <c r="Q159" s="988"/>
      <c r="R159" s="988">
        <f t="shared" si="39"/>
        <v>9091363</v>
      </c>
      <c r="S159" s="546">
        <f t="shared" si="32"/>
        <v>4532719</v>
      </c>
      <c r="T159" s="547">
        <f t="shared" si="33"/>
        <v>3181375</v>
      </c>
      <c r="U159" s="546">
        <f t="shared" si="34"/>
        <v>651747</v>
      </c>
      <c r="W159" s="350">
        <f t="shared" si="35"/>
        <v>9091362</v>
      </c>
      <c r="X159" s="285">
        <f t="shared" si="36"/>
        <v>-1</v>
      </c>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567"/>
      <c r="AV159" s="567"/>
      <c r="AW159" s="567"/>
      <c r="AX159" s="567"/>
      <c r="AY159" s="567"/>
      <c r="AZ159" s="567"/>
      <c r="BA159" s="568">
        <v>0</v>
      </c>
      <c r="BB159" s="569">
        <v>-173587.35</v>
      </c>
      <c r="BC159" s="570">
        <v>173587.35</v>
      </c>
      <c r="BD159" s="570"/>
      <c r="BE159" s="568">
        <v>0</v>
      </c>
      <c r="BF159" s="567"/>
      <c r="BG159" s="567"/>
      <c r="BH159" s="567"/>
      <c r="BI159" s="567"/>
      <c r="BJ159" s="567"/>
      <c r="BK159" s="567"/>
      <c r="BL159" s="567"/>
      <c r="BM159" s="567"/>
      <c r="BN159" s="567"/>
      <c r="BO159" s="571"/>
      <c r="BP159" s="567"/>
      <c r="BQ159" s="567"/>
      <c r="BR159" s="567"/>
      <c r="BS159" s="567"/>
      <c r="BT159" s="570">
        <v>0</v>
      </c>
    </row>
    <row r="160" spans="1:72" ht="12" thickBot="1">
      <c r="A160" s="596" t="s">
        <v>1506</v>
      </c>
      <c r="B160" s="541" t="s">
        <v>160</v>
      </c>
      <c r="C160" s="541" t="s">
        <v>187</v>
      </c>
      <c r="D160" s="542" t="s">
        <v>24</v>
      </c>
      <c r="E160" s="549">
        <f t="shared" si="37"/>
        <v>0</v>
      </c>
      <c r="F160" s="988">
        <f t="shared" si="38"/>
        <v>0</v>
      </c>
      <c r="G160" s="988">
        <f t="shared" si="38"/>
        <v>0</v>
      </c>
      <c r="H160" s="988">
        <f t="shared" si="38"/>
        <v>0</v>
      </c>
      <c r="I160" s="988">
        <f t="shared" si="38"/>
        <v>0</v>
      </c>
      <c r="J160" s="988">
        <f t="shared" si="38"/>
        <v>0</v>
      </c>
      <c r="K160" s="988">
        <f t="shared" si="38"/>
        <v>0</v>
      </c>
      <c r="L160" s="988">
        <f t="shared" si="38"/>
        <v>0</v>
      </c>
      <c r="M160" s="988">
        <f t="shared" si="38"/>
        <v>0</v>
      </c>
      <c r="N160" s="988">
        <f t="shared" si="38"/>
        <v>0</v>
      </c>
      <c r="O160" s="988">
        <f t="shared" si="38"/>
        <v>0</v>
      </c>
      <c r="P160" s="988">
        <f t="shared" si="38"/>
        <v>0</v>
      </c>
      <c r="Q160" s="988"/>
      <c r="R160" s="988">
        <f t="shared" si="39"/>
        <v>0</v>
      </c>
      <c r="S160" s="546">
        <f t="shared" si="32"/>
        <v>0</v>
      </c>
      <c r="T160" s="547">
        <f t="shared" si="33"/>
        <v>0</v>
      </c>
      <c r="U160" s="546">
        <f t="shared" si="34"/>
        <v>0</v>
      </c>
      <c r="W160" s="350">
        <f t="shared" si="35"/>
        <v>0</v>
      </c>
      <c r="X160" s="285">
        <f t="shared" si="36"/>
        <v>0</v>
      </c>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567"/>
      <c r="AV160" s="567"/>
      <c r="AW160" s="567"/>
      <c r="AX160" s="567"/>
      <c r="AY160" s="569">
        <v>384.04</v>
      </c>
      <c r="AZ160" s="567"/>
      <c r="BA160" s="568">
        <v>384.04</v>
      </c>
      <c r="BB160" s="574"/>
      <c r="BC160" s="570"/>
      <c r="BD160" s="570"/>
      <c r="BE160" s="568">
        <v>0</v>
      </c>
      <c r="BF160" s="567"/>
      <c r="BG160" s="567"/>
      <c r="BH160" s="567"/>
      <c r="BI160" s="567"/>
      <c r="BJ160" s="567"/>
      <c r="BK160" s="567"/>
      <c r="BL160" s="567"/>
      <c r="BM160" s="567"/>
      <c r="BN160" s="567"/>
      <c r="BO160" s="571"/>
      <c r="BP160" s="567"/>
      <c r="BQ160" s="567"/>
      <c r="BR160" s="567"/>
      <c r="BS160" s="567"/>
      <c r="BT160" s="570">
        <v>384.04</v>
      </c>
    </row>
    <row r="161" spans="1:72" ht="12" thickBot="1">
      <c r="A161" s="596" t="s">
        <v>1506</v>
      </c>
      <c r="B161" s="541" t="s">
        <v>1050</v>
      </c>
      <c r="C161" s="541" t="s">
        <v>1049</v>
      </c>
      <c r="D161" s="542" t="s">
        <v>1146</v>
      </c>
      <c r="E161" s="549">
        <f t="shared" si="37"/>
        <v>0</v>
      </c>
      <c r="F161" s="988">
        <f t="shared" si="38"/>
        <v>0</v>
      </c>
      <c r="G161" s="988">
        <f t="shared" si="38"/>
        <v>0</v>
      </c>
      <c r="H161" s="988">
        <f t="shared" si="38"/>
        <v>0</v>
      </c>
      <c r="I161" s="988">
        <f t="shared" si="38"/>
        <v>0</v>
      </c>
      <c r="J161" s="988">
        <f t="shared" si="38"/>
        <v>0</v>
      </c>
      <c r="K161" s="988">
        <f t="shared" si="38"/>
        <v>0</v>
      </c>
      <c r="L161" s="988">
        <f t="shared" si="38"/>
        <v>0</v>
      </c>
      <c r="M161" s="988">
        <f t="shared" si="38"/>
        <v>0</v>
      </c>
      <c r="N161" s="988">
        <f t="shared" si="38"/>
        <v>0</v>
      </c>
      <c r="O161" s="988">
        <f t="shared" si="38"/>
        <v>0</v>
      </c>
      <c r="P161" s="988">
        <f t="shared" si="38"/>
        <v>0</v>
      </c>
      <c r="Q161" s="988"/>
      <c r="R161" s="988">
        <f t="shared" si="39"/>
        <v>0</v>
      </c>
      <c r="S161" s="546">
        <f t="shared" si="32"/>
        <v>0</v>
      </c>
      <c r="T161" s="547">
        <f t="shared" si="33"/>
        <v>0</v>
      </c>
      <c r="U161" s="546">
        <f t="shared" si="34"/>
        <v>0</v>
      </c>
      <c r="W161" s="350">
        <f t="shared" si="35"/>
        <v>0</v>
      </c>
      <c r="X161" s="285">
        <f t="shared" si="36"/>
        <v>0</v>
      </c>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567"/>
      <c r="AV161" s="567"/>
      <c r="AW161" s="567"/>
      <c r="AX161" s="567"/>
      <c r="AY161" s="574"/>
      <c r="AZ161" s="567"/>
      <c r="BA161" s="568">
        <v>0</v>
      </c>
      <c r="BB161" s="571"/>
      <c r="BC161" s="570"/>
      <c r="BD161" s="570"/>
      <c r="BE161" s="568">
        <v>0</v>
      </c>
      <c r="BF161" s="567"/>
      <c r="BG161" s="567"/>
      <c r="BH161" s="567"/>
      <c r="BI161" s="567"/>
      <c r="BJ161" s="567"/>
      <c r="BK161" s="567"/>
      <c r="BL161" s="567"/>
      <c r="BM161" s="567"/>
      <c r="BN161" s="567"/>
      <c r="BO161" s="571"/>
      <c r="BP161" s="567"/>
      <c r="BQ161" s="567"/>
      <c r="BR161" s="567"/>
      <c r="BS161" s="567"/>
      <c r="BT161" s="570">
        <v>0</v>
      </c>
    </row>
    <row r="162" spans="1:72" ht="12" thickBot="1">
      <c r="A162" s="596" t="s">
        <v>1506</v>
      </c>
      <c r="B162" s="541" t="s">
        <v>161</v>
      </c>
      <c r="C162" s="541" t="s">
        <v>476</v>
      </c>
      <c r="D162" s="541" t="s">
        <v>208</v>
      </c>
      <c r="E162" s="549">
        <f t="shared" si="37"/>
        <v>68222049</v>
      </c>
      <c r="F162" s="988">
        <f t="shared" ref="F162:P171" si="40">ROUND(SUMIFS(F$1721:F$1901,$A$1721:$A$1901,$A162,$B$1721:$B$1901,$B162),0)</f>
        <v>1270897</v>
      </c>
      <c r="G162" s="988">
        <f t="shared" si="40"/>
        <v>3999176</v>
      </c>
      <c r="H162" s="988">
        <f t="shared" si="40"/>
        <v>1972982</v>
      </c>
      <c r="I162" s="988">
        <f t="shared" si="40"/>
        <v>321326</v>
      </c>
      <c r="J162" s="988">
        <f t="shared" si="40"/>
        <v>0</v>
      </c>
      <c r="K162" s="988">
        <f t="shared" si="40"/>
        <v>0</v>
      </c>
      <c r="L162" s="988">
        <f t="shared" si="40"/>
        <v>65457</v>
      </c>
      <c r="M162" s="988">
        <f t="shared" si="40"/>
        <v>293395</v>
      </c>
      <c r="N162" s="988">
        <f t="shared" si="40"/>
        <v>0</v>
      </c>
      <c r="O162" s="988">
        <f t="shared" si="40"/>
        <v>370111</v>
      </c>
      <c r="P162" s="988">
        <f t="shared" si="40"/>
        <v>0</v>
      </c>
      <c r="Q162" s="988"/>
      <c r="R162" s="988">
        <f t="shared" si="39"/>
        <v>8293344</v>
      </c>
      <c r="S162" s="546">
        <f t="shared" si="32"/>
        <v>6293484</v>
      </c>
      <c r="T162" s="547">
        <f t="shared" si="33"/>
        <v>0</v>
      </c>
      <c r="U162" s="546">
        <f t="shared" si="34"/>
        <v>370111</v>
      </c>
      <c r="W162" s="350">
        <f t="shared" si="35"/>
        <v>8293344</v>
      </c>
      <c r="X162" s="285">
        <f t="shared" si="36"/>
        <v>0</v>
      </c>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567"/>
      <c r="AV162" s="567"/>
      <c r="AW162" s="567"/>
      <c r="AX162" s="567"/>
      <c r="AY162" s="567"/>
      <c r="AZ162" s="567"/>
      <c r="BA162" s="567"/>
      <c r="BB162" s="570"/>
      <c r="BC162" s="570"/>
      <c r="BD162" s="570"/>
      <c r="BE162" s="568"/>
      <c r="BF162" s="567"/>
      <c r="BG162" s="567"/>
      <c r="BH162" s="567"/>
      <c r="BI162" s="567"/>
      <c r="BJ162" s="567"/>
      <c r="BK162" s="567"/>
      <c r="BL162" s="567"/>
      <c r="BM162" s="567"/>
      <c r="BN162" s="567"/>
      <c r="BO162" s="571"/>
      <c r="BP162" s="567"/>
      <c r="BQ162" s="567"/>
      <c r="BR162" s="567"/>
      <c r="BS162" s="567"/>
      <c r="BT162" s="570"/>
    </row>
    <row r="163" spans="1:72" ht="12" thickBot="1">
      <c r="A163" s="596" t="s">
        <v>1506</v>
      </c>
      <c r="B163" s="541" t="s">
        <v>162</v>
      </c>
      <c r="C163" s="541" t="s">
        <v>1391</v>
      </c>
      <c r="D163" s="561" t="s">
        <v>208</v>
      </c>
      <c r="E163" s="549">
        <f t="shared" si="37"/>
        <v>0</v>
      </c>
      <c r="F163" s="988">
        <f t="shared" si="40"/>
        <v>0</v>
      </c>
      <c r="G163" s="988">
        <f t="shared" si="40"/>
        <v>0</v>
      </c>
      <c r="H163" s="988">
        <f t="shared" si="40"/>
        <v>0</v>
      </c>
      <c r="I163" s="988">
        <f t="shared" si="40"/>
        <v>0</v>
      </c>
      <c r="J163" s="988">
        <f t="shared" si="40"/>
        <v>0</v>
      </c>
      <c r="K163" s="988">
        <f t="shared" si="40"/>
        <v>0</v>
      </c>
      <c r="L163" s="988">
        <f t="shared" si="40"/>
        <v>0</v>
      </c>
      <c r="M163" s="988">
        <f t="shared" si="40"/>
        <v>0</v>
      </c>
      <c r="N163" s="988">
        <f t="shared" si="40"/>
        <v>0</v>
      </c>
      <c r="O163" s="988">
        <f t="shared" si="40"/>
        <v>0</v>
      </c>
      <c r="P163" s="988">
        <f t="shared" si="40"/>
        <v>0</v>
      </c>
      <c r="Q163" s="988"/>
      <c r="R163" s="988">
        <f t="shared" si="39"/>
        <v>0</v>
      </c>
      <c r="S163" s="546">
        <f t="shared" si="32"/>
        <v>0</v>
      </c>
      <c r="T163" s="547">
        <f t="shared" si="33"/>
        <v>0</v>
      </c>
      <c r="U163" s="546">
        <f t="shared" si="34"/>
        <v>0</v>
      </c>
      <c r="W163" s="350">
        <f t="shared" si="35"/>
        <v>0</v>
      </c>
      <c r="X163" s="285">
        <f t="shared" si="36"/>
        <v>0</v>
      </c>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567"/>
      <c r="AV163" s="567"/>
      <c r="AW163" s="567"/>
      <c r="AX163" s="567"/>
      <c r="AY163" s="567"/>
      <c r="AZ163" s="567"/>
      <c r="BA163" s="567"/>
      <c r="BB163" s="570"/>
      <c r="BC163" s="570"/>
      <c r="BD163" s="570"/>
      <c r="BE163" s="567"/>
      <c r="BF163" s="567"/>
      <c r="BG163" s="567"/>
      <c r="BH163" s="567"/>
      <c r="BI163" s="567"/>
      <c r="BJ163" s="567"/>
      <c r="BK163" s="567"/>
      <c r="BL163" s="567"/>
      <c r="BM163" s="567"/>
      <c r="BN163" s="567"/>
      <c r="BO163" s="571"/>
      <c r="BP163" s="567"/>
      <c r="BQ163" s="567"/>
      <c r="BR163" s="567"/>
      <c r="BS163" s="567"/>
      <c r="BT163" s="570"/>
    </row>
    <row r="164" spans="1:72" ht="12" thickBot="1">
      <c r="A164" s="596" t="s">
        <v>1506</v>
      </c>
      <c r="B164" s="541" t="s">
        <v>163</v>
      </c>
      <c r="C164" s="541" t="s">
        <v>63</v>
      </c>
      <c r="D164" s="542" t="s">
        <v>17</v>
      </c>
      <c r="E164" s="549">
        <f t="shared" si="37"/>
        <v>99957153</v>
      </c>
      <c r="F164" s="988">
        <f t="shared" si="40"/>
        <v>650130</v>
      </c>
      <c r="G164" s="988">
        <f t="shared" si="40"/>
        <v>5859488</v>
      </c>
      <c r="H164" s="988">
        <f t="shared" si="40"/>
        <v>2890761</v>
      </c>
      <c r="I164" s="988">
        <f t="shared" si="40"/>
        <v>470798</v>
      </c>
      <c r="J164" s="988">
        <f t="shared" si="40"/>
        <v>0</v>
      </c>
      <c r="K164" s="988">
        <f t="shared" si="40"/>
        <v>0</v>
      </c>
      <c r="L164" s="988">
        <f t="shared" si="40"/>
        <v>95907</v>
      </c>
      <c r="M164" s="988">
        <f t="shared" si="40"/>
        <v>429875</v>
      </c>
      <c r="N164" s="988">
        <f t="shared" si="40"/>
        <v>542277</v>
      </c>
      <c r="O164" s="988">
        <f t="shared" si="40"/>
        <v>0</v>
      </c>
      <c r="P164" s="988">
        <f t="shared" si="40"/>
        <v>0</v>
      </c>
      <c r="Q164" s="988"/>
      <c r="R164" s="988">
        <f t="shared" si="39"/>
        <v>10939236</v>
      </c>
      <c r="S164" s="546">
        <f t="shared" si="32"/>
        <v>9221047</v>
      </c>
      <c r="T164" s="547">
        <f t="shared" si="33"/>
        <v>0</v>
      </c>
      <c r="U164" s="546">
        <f t="shared" si="34"/>
        <v>542277</v>
      </c>
      <c r="W164" s="350">
        <f t="shared" si="35"/>
        <v>10939236</v>
      </c>
      <c r="X164" s="285">
        <f t="shared" si="36"/>
        <v>0</v>
      </c>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567"/>
      <c r="AV164" s="567"/>
      <c r="AW164" s="567"/>
      <c r="AX164" s="575">
        <v>5921346.4999999991</v>
      </c>
      <c r="AY164" s="575">
        <v>14761469.859999998</v>
      </c>
      <c r="AZ164" s="575">
        <v>5318987.33</v>
      </c>
      <c r="BA164" s="575">
        <v>20080457.189999998</v>
      </c>
      <c r="BB164" s="575">
        <v>38053121.740000002</v>
      </c>
      <c r="BC164" s="575">
        <v>6288163.1500000013</v>
      </c>
      <c r="BD164" s="575">
        <v>46871288.159999996</v>
      </c>
      <c r="BE164" s="575">
        <v>91212573.050000012</v>
      </c>
      <c r="BF164" s="567"/>
      <c r="BG164" s="575">
        <v>1599664.8000000005</v>
      </c>
      <c r="BH164" s="575">
        <v>-798314.65</v>
      </c>
      <c r="BI164" s="575">
        <v>5588609.0099999988</v>
      </c>
      <c r="BJ164" s="575">
        <v>-1.61</v>
      </c>
      <c r="BK164" s="575">
        <v>0</v>
      </c>
      <c r="BL164" s="575">
        <v>0</v>
      </c>
      <c r="BM164" s="567"/>
      <c r="BN164" s="567"/>
      <c r="BO164" s="571"/>
      <c r="BP164" s="567"/>
      <c r="BQ164" s="567"/>
      <c r="BR164" s="567"/>
      <c r="BS164" s="567"/>
      <c r="BT164" s="575">
        <v>123604334.29000001</v>
      </c>
    </row>
    <row r="165" spans="1:72" ht="12" thickBot="1">
      <c r="A165" s="596" t="s">
        <v>1506</v>
      </c>
      <c r="B165" s="541" t="s">
        <v>164</v>
      </c>
      <c r="C165" s="541" t="s">
        <v>188</v>
      </c>
      <c r="D165" s="555" t="s">
        <v>203</v>
      </c>
      <c r="E165" s="549">
        <f t="shared" si="37"/>
        <v>719702</v>
      </c>
      <c r="F165" s="988">
        <f t="shared" si="40"/>
        <v>7460</v>
      </c>
      <c r="G165" s="988">
        <f t="shared" si="40"/>
        <v>30465</v>
      </c>
      <c r="H165" s="988">
        <f t="shared" si="40"/>
        <v>20814</v>
      </c>
      <c r="I165" s="988">
        <f t="shared" si="40"/>
        <v>2267</v>
      </c>
      <c r="J165" s="988">
        <f t="shared" si="40"/>
        <v>0</v>
      </c>
      <c r="K165" s="988">
        <f t="shared" si="40"/>
        <v>0</v>
      </c>
      <c r="L165" s="988">
        <f t="shared" si="40"/>
        <v>691</v>
      </c>
      <c r="M165" s="988">
        <f t="shared" si="40"/>
        <v>3095</v>
      </c>
      <c r="N165" s="988">
        <f t="shared" si="40"/>
        <v>3904</v>
      </c>
      <c r="O165" s="988">
        <f t="shared" si="40"/>
        <v>0</v>
      </c>
      <c r="P165" s="988">
        <f t="shared" si="40"/>
        <v>0</v>
      </c>
      <c r="Q165" s="988"/>
      <c r="R165" s="988">
        <f t="shared" si="39"/>
        <v>68696</v>
      </c>
      <c r="S165" s="546">
        <f t="shared" si="32"/>
        <v>53546</v>
      </c>
      <c r="T165" s="547">
        <f t="shared" si="33"/>
        <v>0</v>
      </c>
      <c r="U165" s="546">
        <f t="shared" si="34"/>
        <v>3904</v>
      </c>
      <c r="W165" s="350">
        <f t="shared" si="35"/>
        <v>68696</v>
      </c>
      <c r="X165" s="285">
        <f t="shared" si="36"/>
        <v>0</v>
      </c>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567"/>
      <c r="AV165" s="567"/>
      <c r="AW165" s="567"/>
      <c r="AX165" s="572">
        <v>5921347</v>
      </c>
      <c r="AY165" s="572">
        <v>14761470</v>
      </c>
      <c r="AZ165" s="572">
        <v>5318987</v>
      </c>
      <c r="BA165" s="568">
        <v>20080457</v>
      </c>
      <c r="BB165" s="572">
        <v>38053122</v>
      </c>
      <c r="BC165" s="572">
        <v>6288163</v>
      </c>
      <c r="BD165" s="572">
        <v>46871288</v>
      </c>
      <c r="BE165" s="568">
        <v>91212573</v>
      </c>
      <c r="BF165" s="567"/>
      <c r="BG165" s="572">
        <v>1599665</v>
      </c>
      <c r="BH165" s="572">
        <v>-798315</v>
      </c>
      <c r="BI165" s="572">
        <v>5588609</v>
      </c>
      <c r="BJ165" s="572">
        <v>-2</v>
      </c>
      <c r="BK165" s="572">
        <v>0</v>
      </c>
      <c r="BL165" s="572">
        <v>0</v>
      </c>
      <c r="BM165" s="567"/>
      <c r="BN165" s="567"/>
      <c r="BO165" s="571"/>
      <c r="BP165" s="567"/>
      <c r="BQ165" s="567"/>
      <c r="BR165" s="567"/>
      <c r="BS165" s="567"/>
      <c r="BT165" s="572">
        <v>123604335</v>
      </c>
    </row>
    <row r="166" spans="1:72" ht="12" thickBot="1">
      <c r="A166" s="596" t="s">
        <v>1506</v>
      </c>
      <c r="B166" s="541" t="s">
        <v>165</v>
      </c>
      <c r="C166" s="541" t="s">
        <v>189</v>
      </c>
      <c r="D166" s="554" t="s">
        <v>211</v>
      </c>
      <c r="E166" s="549">
        <f t="shared" si="37"/>
        <v>0</v>
      </c>
      <c r="F166" s="988">
        <f t="shared" si="40"/>
        <v>0</v>
      </c>
      <c r="G166" s="988">
        <f t="shared" si="40"/>
        <v>0</v>
      </c>
      <c r="H166" s="988">
        <f t="shared" si="40"/>
        <v>0</v>
      </c>
      <c r="I166" s="988">
        <f t="shared" si="40"/>
        <v>0</v>
      </c>
      <c r="J166" s="988">
        <f t="shared" si="40"/>
        <v>0</v>
      </c>
      <c r="K166" s="988">
        <f t="shared" si="40"/>
        <v>0</v>
      </c>
      <c r="L166" s="988">
        <f t="shared" si="40"/>
        <v>0</v>
      </c>
      <c r="M166" s="988">
        <f t="shared" si="40"/>
        <v>0</v>
      </c>
      <c r="N166" s="988">
        <f t="shared" si="40"/>
        <v>0</v>
      </c>
      <c r="O166" s="988">
        <f t="shared" si="40"/>
        <v>0</v>
      </c>
      <c r="P166" s="988">
        <f t="shared" si="40"/>
        <v>0</v>
      </c>
      <c r="Q166" s="988"/>
      <c r="R166" s="988">
        <f t="shared" si="39"/>
        <v>0</v>
      </c>
      <c r="S166" s="546">
        <f t="shared" si="32"/>
        <v>0</v>
      </c>
      <c r="T166" s="547">
        <f t="shared" si="33"/>
        <v>0</v>
      </c>
      <c r="U166" s="546">
        <f t="shared" si="34"/>
        <v>0</v>
      </c>
      <c r="W166" s="350">
        <f t="shared" si="35"/>
        <v>0</v>
      </c>
      <c r="X166" s="285">
        <f t="shared" si="36"/>
        <v>0</v>
      </c>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567"/>
      <c r="AV166" s="567"/>
      <c r="AW166" s="567"/>
      <c r="AX166" s="576">
        <v>-0.50000000093132257</v>
      </c>
      <c r="AY166" s="576">
        <v>-0.1400000024586916</v>
      </c>
      <c r="AZ166" s="576">
        <v>0.33000000007450581</v>
      </c>
      <c r="BA166" s="576">
        <v>0.18999999761581421</v>
      </c>
      <c r="BB166" s="577">
        <v>-0.25999999791383743</v>
      </c>
      <c r="BC166" s="576">
        <v>0.1500000013038516</v>
      </c>
      <c r="BD166" s="576">
        <v>0.15999999642372131</v>
      </c>
      <c r="BE166" s="576">
        <v>5.0000011920928955E-2</v>
      </c>
      <c r="BF166" s="567"/>
      <c r="BG166" s="576">
        <v>-0.19999999948777258</v>
      </c>
      <c r="BH166" s="576">
        <v>0.34999999997671694</v>
      </c>
      <c r="BI166" s="576">
        <v>9.9999988451600075E-3</v>
      </c>
      <c r="BJ166" s="576">
        <v>0.3899999999999999</v>
      </c>
      <c r="BK166" s="576">
        <v>0</v>
      </c>
      <c r="BL166" s="576">
        <v>0</v>
      </c>
      <c r="BM166" s="567"/>
      <c r="BN166" s="567"/>
      <c r="BO166" s="571"/>
      <c r="BP166" s="567"/>
      <c r="BQ166" s="567"/>
      <c r="BR166" s="567"/>
      <c r="BS166" s="567"/>
      <c r="BT166" s="576">
        <v>-0.70999999344348907</v>
      </c>
    </row>
    <row r="167" spans="1:72" ht="12" thickBot="1">
      <c r="A167" s="596" t="s">
        <v>1506</v>
      </c>
      <c r="B167" s="541" t="s">
        <v>166</v>
      </c>
      <c r="C167" s="541" t="s">
        <v>190</v>
      </c>
      <c r="D167" s="554" t="s">
        <v>212</v>
      </c>
      <c r="E167" s="549">
        <f t="shared" si="37"/>
        <v>0</v>
      </c>
      <c r="F167" s="988">
        <f t="shared" si="40"/>
        <v>0</v>
      </c>
      <c r="G167" s="988">
        <f t="shared" si="40"/>
        <v>0</v>
      </c>
      <c r="H167" s="988">
        <f t="shared" si="40"/>
        <v>0</v>
      </c>
      <c r="I167" s="988">
        <f t="shared" si="40"/>
        <v>0</v>
      </c>
      <c r="J167" s="988">
        <f t="shared" si="40"/>
        <v>0</v>
      </c>
      <c r="K167" s="988">
        <f t="shared" si="40"/>
        <v>0</v>
      </c>
      <c r="L167" s="988">
        <f t="shared" si="40"/>
        <v>0</v>
      </c>
      <c r="M167" s="988">
        <f t="shared" si="40"/>
        <v>0</v>
      </c>
      <c r="N167" s="988">
        <f t="shared" si="40"/>
        <v>0</v>
      </c>
      <c r="O167" s="988">
        <f t="shared" si="40"/>
        <v>0</v>
      </c>
      <c r="P167" s="988">
        <f t="shared" si="40"/>
        <v>0</v>
      </c>
      <c r="Q167" s="988"/>
      <c r="R167" s="988">
        <f t="shared" si="39"/>
        <v>0</v>
      </c>
      <c r="S167" s="546">
        <f t="shared" si="32"/>
        <v>0</v>
      </c>
      <c r="T167" s="547">
        <f t="shared" si="33"/>
        <v>0</v>
      </c>
      <c r="U167" s="546">
        <f t="shared" si="34"/>
        <v>0</v>
      </c>
      <c r="W167" s="350">
        <f t="shared" si="35"/>
        <v>0</v>
      </c>
      <c r="X167" s="285">
        <f t="shared" si="36"/>
        <v>0</v>
      </c>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578"/>
      <c r="AV167" s="578"/>
      <c r="AW167" s="578"/>
      <c r="AX167" s="579"/>
      <c r="AY167" s="579"/>
      <c r="AZ167" s="579"/>
      <c r="BA167" s="578"/>
      <c r="BB167" s="578"/>
      <c r="BC167" s="578"/>
      <c r="BD167" s="578"/>
      <c r="BE167" s="578"/>
      <c r="BF167" s="578"/>
      <c r="BG167" s="578"/>
      <c r="BH167" s="578"/>
      <c r="BI167" s="578"/>
      <c r="BJ167" s="578"/>
      <c r="BK167" s="578"/>
      <c r="BL167" s="578"/>
      <c r="BM167" s="578"/>
      <c r="BN167" s="578"/>
      <c r="BO167" s="579"/>
      <c r="BP167" s="578"/>
      <c r="BQ167" s="578"/>
      <c r="BR167" s="578"/>
      <c r="BS167" s="578"/>
      <c r="BT167" s="578"/>
    </row>
    <row r="168" spans="1:72" ht="12" thickBot="1">
      <c r="A168" s="596" t="s">
        <v>1506</v>
      </c>
      <c r="B168" s="541" t="s">
        <v>167</v>
      </c>
      <c r="C168" s="541" t="s">
        <v>191</v>
      </c>
      <c r="D168" s="554" t="s">
        <v>213</v>
      </c>
      <c r="E168" s="549">
        <f t="shared" si="37"/>
        <v>13339327</v>
      </c>
      <c r="F168" s="988">
        <f t="shared" si="40"/>
        <v>9100</v>
      </c>
      <c r="G168" s="988">
        <f t="shared" si="40"/>
        <v>564654</v>
      </c>
      <c r="H168" s="988">
        <f t="shared" si="40"/>
        <v>385773</v>
      </c>
      <c r="I168" s="988">
        <f t="shared" si="40"/>
        <v>42019</v>
      </c>
      <c r="J168" s="988">
        <f t="shared" si="40"/>
        <v>0</v>
      </c>
      <c r="K168" s="988">
        <f t="shared" si="40"/>
        <v>0</v>
      </c>
      <c r="L168" s="988">
        <f t="shared" si="40"/>
        <v>12799</v>
      </c>
      <c r="M168" s="988">
        <f t="shared" si="40"/>
        <v>57367</v>
      </c>
      <c r="N168" s="988">
        <f t="shared" si="40"/>
        <v>72367</v>
      </c>
      <c r="O168" s="988">
        <f t="shared" si="40"/>
        <v>0</v>
      </c>
      <c r="P168" s="988">
        <f t="shared" si="40"/>
        <v>0</v>
      </c>
      <c r="Q168" s="988"/>
      <c r="R168" s="988">
        <f t="shared" si="39"/>
        <v>1144079</v>
      </c>
      <c r="S168" s="546">
        <f t="shared" si="32"/>
        <v>992446</v>
      </c>
      <c r="T168" s="547">
        <f t="shared" si="33"/>
        <v>0</v>
      </c>
      <c r="U168" s="546">
        <f t="shared" si="34"/>
        <v>72367</v>
      </c>
      <c r="W168" s="350">
        <f t="shared" si="35"/>
        <v>1144079</v>
      </c>
      <c r="X168" s="285">
        <f t="shared" si="36"/>
        <v>0</v>
      </c>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580"/>
      <c r="AV168" s="580"/>
      <c r="AW168" s="580"/>
      <c r="AX168" s="580"/>
      <c r="AY168" s="580"/>
      <c r="AZ168" s="580"/>
      <c r="BA168" s="580"/>
      <c r="BB168" s="580"/>
      <c r="BC168" s="580"/>
      <c r="BD168" s="580"/>
      <c r="BE168" s="580"/>
      <c r="BF168" s="580"/>
      <c r="BG168" s="580"/>
      <c r="BH168" s="580"/>
      <c r="BI168" s="580"/>
      <c r="BJ168" s="580"/>
      <c r="BK168" s="580"/>
      <c r="BL168" s="580"/>
      <c r="BM168" s="580"/>
      <c r="BN168" s="580"/>
      <c r="BO168" s="580"/>
      <c r="BP168" s="580"/>
      <c r="BQ168" s="580"/>
      <c r="BR168" s="580"/>
      <c r="BS168" s="580"/>
      <c r="BT168" s="580"/>
    </row>
    <row r="169" spans="1:72" ht="12" thickBot="1">
      <c r="A169" s="596" t="s">
        <v>1506</v>
      </c>
      <c r="B169" s="541" t="s">
        <v>683</v>
      </c>
      <c r="C169" s="541" t="s">
        <v>686</v>
      </c>
      <c r="D169" s="554" t="s">
        <v>723</v>
      </c>
      <c r="E169" s="549">
        <f t="shared" si="37"/>
        <v>0</v>
      </c>
      <c r="F169" s="988">
        <f t="shared" si="40"/>
        <v>0</v>
      </c>
      <c r="G169" s="988">
        <f t="shared" si="40"/>
        <v>0</v>
      </c>
      <c r="H169" s="988">
        <f t="shared" si="40"/>
        <v>0</v>
      </c>
      <c r="I169" s="988">
        <f t="shared" si="40"/>
        <v>0</v>
      </c>
      <c r="J169" s="988">
        <f t="shared" si="40"/>
        <v>0</v>
      </c>
      <c r="K169" s="988">
        <f t="shared" si="40"/>
        <v>0</v>
      </c>
      <c r="L169" s="988">
        <f t="shared" si="40"/>
        <v>0</v>
      </c>
      <c r="M169" s="988">
        <f t="shared" si="40"/>
        <v>0</v>
      </c>
      <c r="N169" s="988">
        <f t="shared" si="40"/>
        <v>0</v>
      </c>
      <c r="O169" s="988">
        <f t="shared" si="40"/>
        <v>0</v>
      </c>
      <c r="P169" s="988">
        <f t="shared" si="40"/>
        <v>0</v>
      </c>
      <c r="Q169" s="988"/>
      <c r="R169" s="988">
        <f t="shared" si="39"/>
        <v>0</v>
      </c>
      <c r="S169" s="546">
        <f t="shared" si="32"/>
        <v>0</v>
      </c>
      <c r="T169" s="547">
        <f t="shared" si="33"/>
        <v>0</v>
      </c>
      <c r="U169" s="546">
        <f t="shared" si="34"/>
        <v>0</v>
      </c>
      <c r="W169" s="350">
        <f t="shared" si="35"/>
        <v>0</v>
      </c>
      <c r="X169" s="285">
        <f t="shared" si="36"/>
        <v>0</v>
      </c>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row>
    <row r="170" spans="1:72" ht="12" thickBot="1">
      <c r="A170" s="596" t="s">
        <v>1506</v>
      </c>
      <c r="B170" s="541" t="s">
        <v>684</v>
      </c>
      <c r="C170" s="541" t="s">
        <v>687</v>
      </c>
      <c r="D170" s="554" t="s">
        <v>707</v>
      </c>
      <c r="E170" s="549">
        <f t="shared" si="37"/>
        <v>0</v>
      </c>
      <c r="F170" s="988">
        <f t="shared" si="40"/>
        <v>0</v>
      </c>
      <c r="G170" s="988">
        <f t="shared" si="40"/>
        <v>0</v>
      </c>
      <c r="H170" s="988">
        <f t="shared" si="40"/>
        <v>0</v>
      </c>
      <c r="I170" s="988">
        <f t="shared" si="40"/>
        <v>0</v>
      </c>
      <c r="J170" s="988">
        <f t="shared" si="40"/>
        <v>0</v>
      </c>
      <c r="K170" s="988">
        <f t="shared" si="40"/>
        <v>0</v>
      </c>
      <c r="L170" s="988">
        <f t="shared" si="40"/>
        <v>0</v>
      </c>
      <c r="M170" s="988">
        <f t="shared" si="40"/>
        <v>0</v>
      </c>
      <c r="N170" s="988">
        <f t="shared" si="40"/>
        <v>0</v>
      </c>
      <c r="O170" s="988">
        <f t="shared" si="40"/>
        <v>0</v>
      </c>
      <c r="P170" s="988">
        <f t="shared" si="40"/>
        <v>0</v>
      </c>
      <c r="Q170" s="988"/>
      <c r="R170" s="988">
        <f t="shared" si="39"/>
        <v>0</v>
      </c>
      <c r="S170" s="546">
        <f t="shared" si="32"/>
        <v>0</v>
      </c>
      <c r="T170" s="547">
        <f t="shared" si="33"/>
        <v>0</v>
      </c>
      <c r="U170" s="546">
        <f t="shared" si="34"/>
        <v>0</v>
      </c>
      <c r="W170" s="350">
        <f t="shared" si="35"/>
        <v>0</v>
      </c>
      <c r="X170" s="285">
        <f t="shared" si="36"/>
        <v>0</v>
      </c>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row>
    <row r="171" spans="1:72" ht="12" thickBot="1">
      <c r="A171" s="596" t="s">
        <v>1506</v>
      </c>
      <c r="B171" s="541" t="s">
        <v>685</v>
      </c>
      <c r="C171" s="541" t="s">
        <v>688</v>
      </c>
      <c r="D171" s="542" t="s">
        <v>1145</v>
      </c>
      <c r="E171" s="549">
        <f t="shared" si="37"/>
        <v>0</v>
      </c>
      <c r="F171" s="988">
        <f t="shared" si="40"/>
        <v>0</v>
      </c>
      <c r="G171" s="988">
        <f t="shared" si="40"/>
        <v>0</v>
      </c>
      <c r="H171" s="988">
        <f t="shared" si="40"/>
        <v>0</v>
      </c>
      <c r="I171" s="988">
        <f t="shared" si="40"/>
        <v>0</v>
      </c>
      <c r="J171" s="988">
        <f t="shared" si="40"/>
        <v>0</v>
      </c>
      <c r="K171" s="988">
        <f t="shared" si="40"/>
        <v>0</v>
      </c>
      <c r="L171" s="988">
        <f t="shared" si="40"/>
        <v>0</v>
      </c>
      <c r="M171" s="988">
        <f t="shared" si="40"/>
        <v>0</v>
      </c>
      <c r="N171" s="988">
        <f t="shared" si="40"/>
        <v>0</v>
      </c>
      <c r="O171" s="988">
        <f t="shared" si="40"/>
        <v>0</v>
      </c>
      <c r="P171" s="988">
        <f t="shared" si="40"/>
        <v>0</v>
      </c>
      <c r="Q171" s="988"/>
      <c r="R171" s="988">
        <f t="shared" si="39"/>
        <v>0</v>
      </c>
      <c r="S171" s="546">
        <f t="shared" si="32"/>
        <v>0</v>
      </c>
      <c r="T171" s="547">
        <f t="shared" si="33"/>
        <v>0</v>
      </c>
      <c r="U171" s="546">
        <f t="shared" si="34"/>
        <v>0</v>
      </c>
      <c r="W171" s="350">
        <f t="shared" si="35"/>
        <v>0</v>
      </c>
      <c r="X171" s="285">
        <f t="shared" si="36"/>
        <v>0</v>
      </c>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row>
    <row r="172" spans="1:72" ht="12" thickBot="1">
      <c r="A172" s="596" t="s">
        <v>1506</v>
      </c>
      <c r="B172" s="541" t="s">
        <v>217</v>
      </c>
      <c r="C172" s="541" t="s">
        <v>622</v>
      </c>
      <c r="D172" s="542" t="s">
        <v>19</v>
      </c>
      <c r="E172" s="549">
        <f t="shared" si="37"/>
        <v>0</v>
      </c>
      <c r="F172" s="988">
        <f t="shared" ref="F172:P181" si="41">ROUND(SUMIFS(F$1721:F$1901,$A$1721:$A$1901,$A172,$B$1721:$B$1901,$B172),0)</f>
        <v>0</v>
      </c>
      <c r="G172" s="988">
        <f t="shared" si="41"/>
        <v>0</v>
      </c>
      <c r="H172" s="988">
        <f t="shared" si="41"/>
        <v>0</v>
      </c>
      <c r="I172" s="988">
        <f t="shared" si="41"/>
        <v>0</v>
      </c>
      <c r="J172" s="988">
        <f t="shared" si="41"/>
        <v>0</v>
      </c>
      <c r="K172" s="988">
        <f t="shared" si="41"/>
        <v>0</v>
      </c>
      <c r="L172" s="988">
        <f t="shared" si="41"/>
        <v>0</v>
      </c>
      <c r="M172" s="988">
        <f t="shared" si="41"/>
        <v>0</v>
      </c>
      <c r="N172" s="988">
        <f t="shared" si="41"/>
        <v>0</v>
      </c>
      <c r="O172" s="988">
        <f t="shared" si="41"/>
        <v>0</v>
      </c>
      <c r="P172" s="988">
        <f t="shared" si="41"/>
        <v>0</v>
      </c>
      <c r="Q172" s="988"/>
      <c r="R172" s="988">
        <f t="shared" si="39"/>
        <v>0</v>
      </c>
      <c r="S172" s="546">
        <f t="shared" si="32"/>
        <v>0</v>
      </c>
      <c r="T172" s="547">
        <f t="shared" si="33"/>
        <v>0</v>
      </c>
      <c r="U172" s="546">
        <f t="shared" si="34"/>
        <v>0</v>
      </c>
      <c r="W172" s="350">
        <f t="shared" si="35"/>
        <v>0</v>
      </c>
      <c r="X172" s="285">
        <f t="shared" si="36"/>
        <v>0</v>
      </c>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row>
    <row r="173" spans="1:72" ht="12" thickBot="1">
      <c r="A173" s="596" t="s">
        <v>1506</v>
      </c>
      <c r="B173" s="541" t="s">
        <v>216</v>
      </c>
      <c r="C173" s="541" t="s">
        <v>622</v>
      </c>
      <c r="D173" s="542" t="s">
        <v>19</v>
      </c>
      <c r="E173" s="549">
        <f t="shared" si="37"/>
        <v>0</v>
      </c>
      <c r="F173" s="988">
        <f t="shared" si="41"/>
        <v>0</v>
      </c>
      <c r="G173" s="988">
        <f t="shared" si="41"/>
        <v>0</v>
      </c>
      <c r="H173" s="988">
        <f t="shared" si="41"/>
        <v>0</v>
      </c>
      <c r="I173" s="988">
        <f t="shared" si="41"/>
        <v>0</v>
      </c>
      <c r="J173" s="988">
        <f t="shared" si="41"/>
        <v>0</v>
      </c>
      <c r="K173" s="988">
        <f t="shared" si="41"/>
        <v>0</v>
      </c>
      <c r="L173" s="988">
        <f t="shared" si="41"/>
        <v>0</v>
      </c>
      <c r="M173" s="988">
        <f t="shared" si="41"/>
        <v>0</v>
      </c>
      <c r="N173" s="988">
        <f t="shared" si="41"/>
        <v>0</v>
      </c>
      <c r="O173" s="988">
        <f t="shared" si="41"/>
        <v>0</v>
      </c>
      <c r="P173" s="988">
        <f t="shared" si="41"/>
        <v>0</v>
      </c>
      <c r="Q173" s="988"/>
      <c r="R173" s="988">
        <f t="shared" si="39"/>
        <v>0</v>
      </c>
      <c r="S173" s="546">
        <f t="shared" si="32"/>
        <v>0</v>
      </c>
      <c r="T173" s="547">
        <f t="shared" si="33"/>
        <v>0</v>
      </c>
      <c r="U173" s="546">
        <f t="shared" si="34"/>
        <v>0</v>
      </c>
      <c r="W173" s="350">
        <f t="shared" si="35"/>
        <v>0</v>
      </c>
      <c r="X173" s="285">
        <f t="shared" si="36"/>
        <v>0</v>
      </c>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row>
    <row r="174" spans="1:72" ht="12" thickBot="1">
      <c r="A174" s="596" t="s">
        <v>1506</v>
      </c>
      <c r="B174" s="541" t="s">
        <v>168</v>
      </c>
      <c r="C174" s="541" t="s">
        <v>58</v>
      </c>
      <c r="D174" s="542" t="s">
        <v>20</v>
      </c>
      <c r="E174" s="549">
        <f t="shared" si="37"/>
        <v>0</v>
      </c>
      <c r="F174" s="988">
        <f t="shared" si="41"/>
        <v>0</v>
      </c>
      <c r="G174" s="988">
        <f t="shared" si="41"/>
        <v>0</v>
      </c>
      <c r="H174" s="988">
        <f t="shared" si="41"/>
        <v>0</v>
      </c>
      <c r="I174" s="988">
        <f t="shared" si="41"/>
        <v>0</v>
      </c>
      <c r="J174" s="988">
        <f t="shared" si="41"/>
        <v>0</v>
      </c>
      <c r="K174" s="988">
        <f t="shared" si="41"/>
        <v>0</v>
      </c>
      <c r="L174" s="988">
        <f t="shared" si="41"/>
        <v>0</v>
      </c>
      <c r="M174" s="988">
        <f t="shared" si="41"/>
        <v>0</v>
      </c>
      <c r="N174" s="988">
        <f t="shared" si="41"/>
        <v>0</v>
      </c>
      <c r="O174" s="988">
        <f t="shared" si="41"/>
        <v>0</v>
      </c>
      <c r="P174" s="988">
        <f t="shared" si="41"/>
        <v>0</v>
      </c>
      <c r="Q174" s="988"/>
      <c r="R174" s="988">
        <f t="shared" si="39"/>
        <v>0</v>
      </c>
      <c r="S174" s="546">
        <f t="shared" si="32"/>
        <v>0</v>
      </c>
      <c r="T174" s="547">
        <f t="shared" si="33"/>
        <v>0</v>
      </c>
      <c r="U174" s="546">
        <f t="shared" si="34"/>
        <v>0</v>
      </c>
      <c r="W174" s="350">
        <f t="shared" si="35"/>
        <v>0</v>
      </c>
      <c r="X174" s="285">
        <f t="shared" si="36"/>
        <v>0</v>
      </c>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row>
    <row r="175" spans="1:72" ht="12" thickBot="1">
      <c r="A175" s="596" t="s">
        <v>1506</v>
      </c>
      <c r="B175" s="541" t="s">
        <v>623</v>
      </c>
      <c r="C175" s="541" t="s">
        <v>643</v>
      </c>
      <c r="D175" s="542" t="s">
        <v>20</v>
      </c>
      <c r="E175" s="549">
        <f t="shared" si="37"/>
        <v>0</v>
      </c>
      <c r="F175" s="988">
        <f t="shared" si="41"/>
        <v>0</v>
      </c>
      <c r="G175" s="988">
        <f t="shared" si="41"/>
        <v>0</v>
      </c>
      <c r="H175" s="988">
        <f t="shared" si="41"/>
        <v>0</v>
      </c>
      <c r="I175" s="988">
        <f t="shared" si="41"/>
        <v>0</v>
      </c>
      <c r="J175" s="988">
        <f t="shared" si="41"/>
        <v>0</v>
      </c>
      <c r="K175" s="988">
        <f t="shared" si="41"/>
        <v>0</v>
      </c>
      <c r="L175" s="988">
        <f t="shared" si="41"/>
        <v>0</v>
      </c>
      <c r="M175" s="988">
        <f t="shared" si="41"/>
        <v>0</v>
      </c>
      <c r="N175" s="988">
        <f t="shared" si="41"/>
        <v>0</v>
      </c>
      <c r="O175" s="988">
        <f t="shared" si="41"/>
        <v>0</v>
      </c>
      <c r="P175" s="988">
        <f t="shared" si="41"/>
        <v>0</v>
      </c>
      <c r="Q175" s="988"/>
      <c r="R175" s="988">
        <f t="shared" si="39"/>
        <v>0</v>
      </c>
      <c r="S175" s="546">
        <f t="shared" si="32"/>
        <v>0</v>
      </c>
      <c r="T175" s="547">
        <f t="shared" si="33"/>
        <v>0</v>
      </c>
      <c r="U175" s="546">
        <f t="shared" si="34"/>
        <v>0</v>
      </c>
      <c r="W175" s="350">
        <f t="shared" si="35"/>
        <v>0</v>
      </c>
      <c r="X175" s="285">
        <f t="shared" si="36"/>
        <v>0</v>
      </c>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row>
    <row r="176" spans="1:72" ht="12" thickBot="1">
      <c r="A176" s="596" t="s">
        <v>1506</v>
      </c>
      <c r="B176" s="541" t="s">
        <v>691</v>
      </c>
      <c r="C176" s="541" t="s">
        <v>689</v>
      </c>
      <c r="D176" s="542" t="s">
        <v>690</v>
      </c>
      <c r="E176" s="549">
        <f t="shared" si="37"/>
        <v>0</v>
      </c>
      <c r="F176" s="988">
        <f t="shared" si="41"/>
        <v>0</v>
      </c>
      <c r="G176" s="988">
        <f t="shared" si="41"/>
        <v>0</v>
      </c>
      <c r="H176" s="988">
        <f t="shared" si="41"/>
        <v>0</v>
      </c>
      <c r="I176" s="988">
        <f t="shared" si="41"/>
        <v>0</v>
      </c>
      <c r="J176" s="988">
        <f t="shared" si="41"/>
        <v>0</v>
      </c>
      <c r="K176" s="988">
        <f t="shared" si="41"/>
        <v>0</v>
      </c>
      <c r="L176" s="988">
        <f t="shared" si="41"/>
        <v>0</v>
      </c>
      <c r="M176" s="988">
        <f t="shared" si="41"/>
        <v>0</v>
      </c>
      <c r="N176" s="988">
        <f t="shared" si="41"/>
        <v>0</v>
      </c>
      <c r="O176" s="988">
        <f t="shared" si="41"/>
        <v>0</v>
      </c>
      <c r="P176" s="988">
        <f t="shared" si="41"/>
        <v>0</v>
      </c>
      <c r="Q176" s="988"/>
      <c r="R176" s="988">
        <f t="shared" si="39"/>
        <v>0</v>
      </c>
      <c r="S176" s="546">
        <f t="shared" si="32"/>
        <v>0</v>
      </c>
      <c r="T176" s="547">
        <f t="shared" si="33"/>
        <v>0</v>
      </c>
      <c r="U176" s="546">
        <f t="shared" si="34"/>
        <v>0</v>
      </c>
      <c r="W176" s="350">
        <f t="shared" si="35"/>
        <v>0</v>
      </c>
      <c r="X176" s="285">
        <f t="shared" si="36"/>
        <v>0</v>
      </c>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row>
    <row r="177" spans="1:46" ht="12" thickBot="1">
      <c r="A177" s="596" t="s">
        <v>1506</v>
      </c>
      <c r="B177" s="541" t="s">
        <v>1147</v>
      </c>
      <c r="C177" s="541" t="s">
        <v>1148</v>
      </c>
      <c r="D177" s="542" t="s">
        <v>1156</v>
      </c>
      <c r="E177" s="549">
        <f t="shared" si="37"/>
        <v>0</v>
      </c>
      <c r="F177" s="988">
        <f t="shared" si="41"/>
        <v>0</v>
      </c>
      <c r="G177" s="988">
        <f t="shared" si="41"/>
        <v>0</v>
      </c>
      <c r="H177" s="988">
        <f t="shared" si="41"/>
        <v>0</v>
      </c>
      <c r="I177" s="988">
        <f t="shared" si="41"/>
        <v>0</v>
      </c>
      <c r="J177" s="988">
        <f t="shared" si="41"/>
        <v>0</v>
      </c>
      <c r="K177" s="988">
        <f t="shared" si="41"/>
        <v>0</v>
      </c>
      <c r="L177" s="988">
        <f t="shared" si="41"/>
        <v>0</v>
      </c>
      <c r="M177" s="988">
        <f t="shared" si="41"/>
        <v>0</v>
      </c>
      <c r="N177" s="988">
        <f t="shared" si="41"/>
        <v>0</v>
      </c>
      <c r="O177" s="988">
        <f t="shared" si="41"/>
        <v>0</v>
      </c>
      <c r="P177" s="988">
        <f t="shared" si="41"/>
        <v>0</v>
      </c>
      <c r="Q177" s="988"/>
      <c r="R177" s="988">
        <f t="shared" si="39"/>
        <v>0</v>
      </c>
      <c r="S177" s="546">
        <f t="shared" si="32"/>
        <v>0</v>
      </c>
      <c r="T177" s="547">
        <f t="shared" si="33"/>
        <v>0</v>
      </c>
      <c r="U177" s="546">
        <f t="shared" si="34"/>
        <v>0</v>
      </c>
      <c r="W177" s="350">
        <f t="shared" si="35"/>
        <v>0</v>
      </c>
      <c r="X177" s="285">
        <f t="shared" si="36"/>
        <v>0</v>
      </c>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row>
    <row r="178" spans="1:46" ht="12" thickBot="1">
      <c r="A178" s="596" t="s">
        <v>1506</v>
      </c>
      <c r="B178" s="541" t="s">
        <v>169</v>
      </c>
      <c r="C178" s="541" t="s">
        <v>1392</v>
      </c>
      <c r="D178" s="542" t="s">
        <v>208</v>
      </c>
      <c r="E178" s="549">
        <f t="shared" si="37"/>
        <v>0</v>
      </c>
      <c r="F178" s="988">
        <f t="shared" si="41"/>
        <v>0</v>
      </c>
      <c r="G178" s="988">
        <f t="shared" si="41"/>
        <v>0</v>
      </c>
      <c r="H178" s="988">
        <f t="shared" si="41"/>
        <v>0</v>
      </c>
      <c r="I178" s="988">
        <f t="shared" si="41"/>
        <v>0</v>
      </c>
      <c r="J178" s="988">
        <f t="shared" si="41"/>
        <v>0</v>
      </c>
      <c r="K178" s="988">
        <f t="shared" si="41"/>
        <v>0</v>
      </c>
      <c r="L178" s="988">
        <f t="shared" si="41"/>
        <v>0</v>
      </c>
      <c r="M178" s="988">
        <f t="shared" si="41"/>
        <v>0</v>
      </c>
      <c r="N178" s="988">
        <f t="shared" si="41"/>
        <v>0</v>
      </c>
      <c r="O178" s="988">
        <f t="shared" si="41"/>
        <v>0</v>
      </c>
      <c r="P178" s="988">
        <f t="shared" si="41"/>
        <v>0</v>
      </c>
      <c r="Q178" s="988"/>
      <c r="R178" s="988">
        <f t="shared" si="39"/>
        <v>0</v>
      </c>
      <c r="S178" s="546">
        <f t="shared" si="32"/>
        <v>0</v>
      </c>
      <c r="T178" s="547">
        <f t="shared" si="33"/>
        <v>0</v>
      </c>
      <c r="U178" s="546">
        <f t="shared" si="34"/>
        <v>0</v>
      </c>
      <c r="W178" s="350">
        <f t="shared" si="35"/>
        <v>0</v>
      </c>
      <c r="X178" s="285">
        <f t="shared" si="36"/>
        <v>0</v>
      </c>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row>
    <row r="179" spans="1:46" ht="12" thickBot="1">
      <c r="A179" s="596" t="s">
        <v>1506</v>
      </c>
      <c r="B179" s="541" t="s">
        <v>170</v>
      </c>
      <c r="C179" s="541" t="s">
        <v>1393</v>
      </c>
      <c r="D179" s="542" t="s">
        <v>17</v>
      </c>
      <c r="E179" s="549">
        <f t="shared" si="37"/>
        <v>0</v>
      </c>
      <c r="F179" s="988">
        <f t="shared" si="41"/>
        <v>0</v>
      </c>
      <c r="G179" s="988">
        <f t="shared" si="41"/>
        <v>0</v>
      </c>
      <c r="H179" s="988">
        <f t="shared" si="41"/>
        <v>0</v>
      </c>
      <c r="I179" s="988">
        <f t="shared" si="41"/>
        <v>0</v>
      </c>
      <c r="J179" s="988">
        <f t="shared" si="41"/>
        <v>0</v>
      </c>
      <c r="K179" s="988">
        <f t="shared" si="41"/>
        <v>0</v>
      </c>
      <c r="L179" s="988">
        <f t="shared" si="41"/>
        <v>0</v>
      </c>
      <c r="M179" s="988">
        <f t="shared" si="41"/>
        <v>0</v>
      </c>
      <c r="N179" s="988">
        <f t="shared" si="41"/>
        <v>0</v>
      </c>
      <c r="O179" s="988">
        <f t="shared" si="41"/>
        <v>0</v>
      </c>
      <c r="P179" s="988">
        <f t="shared" si="41"/>
        <v>0</v>
      </c>
      <c r="Q179" s="988"/>
      <c r="R179" s="988">
        <f t="shared" si="39"/>
        <v>0</v>
      </c>
      <c r="S179" s="546">
        <f t="shared" si="32"/>
        <v>0</v>
      </c>
      <c r="T179" s="547">
        <f t="shared" si="33"/>
        <v>0</v>
      </c>
      <c r="U179" s="546">
        <f t="shared" si="34"/>
        <v>0</v>
      </c>
      <c r="W179" s="350">
        <f t="shared" si="35"/>
        <v>0</v>
      </c>
      <c r="X179" s="285">
        <f t="shared" si="36"/>
        <v>0</v>
      </c>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row>
    <row r="180" spans="1:46" ht="12" thickBot="1">
      <c r="A180" s="596" t="s">
        <v>1506</v>
      </c>
      <c r="B180" s="541" t="s">
        <v>713</v>
      </c>
      <c r="C180" s="541" t="s">
        <v>711</v>
      </c>
      <c r="D180" s="542" t="s">
        <v>712</v>
      </c>
      <c r="E180" s="549">
        <f t="shared" si="37"/>
        <v>0</v>
      </c>
      <c r="F180" s="988">
        <f t="shared" si="41"/>
        <v>0</v>
      </c>
      <c r="G180" s="988">
        <f t="shared" si="41"/>
        <v>0</v>
      </c>
      <c r="H180" s="988">
        <f t="shared" si="41"/>
        <v>0</v>
      </c>
      <c r="I180" s="988">
        <f t="shared" si="41"/>
        <v>0</v>
      </c>
      <c r="J180" s="988">
        <f t="shared" si="41"/>
        <v>0</v>
      </c>
      <c r="K180" s="988">
        <f t="shared" si="41"/>
        <v>0</v>
      </c>
      <c r="L180" s="988">
        <f t="shared" si="41"/>
        <v>0</v>
      </c>
      <c r="M180" s="988">
        <f t="shared" si="41"/>
        <v>0</v>
      </c>
      <c r="N180" s="988">
        <f t="shared" si="41"/>
        <v>0</v>
      </c>
      <c r="O180" s="988">
        <f t="shared" si="41"/>
        <v>0</v>
      </c>
      <c r="P180" s="988">
        <f t="shared" si="41"/>
        <v>0</v>
      </c>
      <c r="Q180" s="988"/>
      <c r="R180" s="988">
        <f t="shared" si="39"/>
        <v>0</v>
      </c>
      <c r="S180" s="546">
        <f t="shared" si="32"/>
        <v>0</v>
      </c>
      <c r="T180" s="547">
        <f t="shared" si="33"/>
        <v>0</v>
      </c>
      <c r="U180" s="546">
        <f t="shared" si="34"/>
        <v>0</v>
      </c>
      <c r="W180" s="350">
        <f t="shared" si="35"/>
        <v>0</v>
      </c>
      <c r="X180" s="285">
        <f t="shared" si="36"/>
        <v>0</v>
      </c>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row>
    <row r="181" spans="1:46" ht="12" thickBot="1">
      <c r="A181" s="596" t="s">
        <v>1506</v>
      </c>
      <c r="B181" s="541" t="s">
        <v>171</v>
      </c>
      <c r="C181" s="541" t="s">
        <v>441</v>
      </c>
      <c r="D181" s="542" t="s">
        <v>72</v>
      </c>
      <c r="E181" s="549">
        <f t="shared" si="37"/>
        <v>0</v>
      </c>
      <c r="F181" s="988">
        <f t="shared" si="41"/>
        <v>0</v>
      </c>
      <c r="G181" s="988">
        <f t="shared" si="41"/>
        <v>0</v>
      </c>
      <c r="H181" s="988">
        <f t="shared" si="41"/>
        <v>0</v>
      </c>
      <c r="I181" s="988">
        <f t="shared" si="41"/>
        <v>0</v>
      </c>
      <c r="J181" s="988">
        <f t="shared" si="41"/>
        <v>0</v>
      </c>
      <c r="K181" s="988">
        <f t="shared" si="41"/>
        <v>0</v>
      </c>
      <c r="L181" s="988">
        <f t="shared" si="41"/>
        <v>0</v>
      </c>
      <c r="M181" s="988">
        <f t="shared" si="41"/>
        <v>0</v>
      </c>
      <c r="N181" s="988">
        <f t="shared" si="41"/>
        <v>0</v>
      </c>
      <c r="O181" s="988">
        <f t="shared" si="41"/>
        <v>0</v>
      </c>
      <c r="P181" s="988">
        <f t="shared" si="41"/>
        <v>-989829</v>
      </c>
      <c r="Q181" s="988"/>
      <c r="R181" s="988">
        <f t="shared" si="39"/>
        <v>-989829</v>
      </c>
      <c r="S181" s="546">
        <f t="shared" si="32"/>
        <v>0</v>
      </c>
      <c r="T181" s="547">
        <f t="shared" si="33"/>
        <v>0</v>
      </c>
      <c r="U181" s="546">
        <f t="shared" si="34"/>
        <v>0</v>
      </c>
      <c r="W181" s="350">
        <f t="shared" si="35"/>
        <v>-989829</v>
      </c>
      <c r="X181" s="285">
        <f t="shared" si="36"/>
        <v>0</v>
      </c>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row>
    <row r="182" spans="1:46" ht="12" thickBot="1">
      <c r="A182" s="596" t="s">
        <v>1506</v>
      </c>
      <c r="B182" s="541" t="s">
        <v>172</v>
      </c>
      <c r="C182" s="541" t="s">
        <v>442</v>
      </c>
      <c r="D182" s="542" t="s">
        <v>72</v>
      </c>
      <c r="E182" s="549">
        <f t="shared" si="37"/>
        <v>0</v>
      </c>
      <c r="F182" s="988">
        <f t="shared" ref="F182:P191" si="42">ROUND(SUMIFS(F$1721:F$1901,$A$1721:$A$1901,$A182,$B$1721:$B$1901,$B182),0)</f>
        <v>0</v>
      </c>
      <c r="G182" s="988">
        <f t="shared" si="42"/>
        <v>0</v>
      </c>
      <c r="H182" s="988">
        <f t="shared" si="42"/>
        <v>0</v>
      </c>
      <c r="I182" s="988">
        <f t="shared" si="42"/>
        <v>0</v>
      </c>
      <c r="J182" s="988">
        <f t="shared" si="42"/>
        <v>0</v>
      </c>
      <c r="K182" s="988">
        <f t="shared" si="42"/>
        <v>0</v>
      </c>
      <c r="L182" s="988">
        <f t="shared" si="42"/>
        <v>0</v>
      </c>
      <c r="M182" s="988">
        <f t="shared" si="42"/>
        <v>0</v>
      </c>
      <c r="N182" s="988">
        <f t="shared" si="42"/>
        <v>0</v>
      </c>
      <c r="O182" s="988">
        <f t="shared" si="42"/>
        <v>0</v>
      </c>
      <c r="P182" s="988">
        <f t="shared" si="42"/>
        <v>0</v>
      </c>
      <c r="Q182" s="988"/>
      <c r="R182" s="988">
        <f t="shared" si="39"/>
        <v>0</v>
      </c>
      <c r="S182" s="546">
        <f t="shared" si="32"/>
        <v>0</v>
      </c>
      <c r="T182" s="547">
        <f t="shared" si="33"/>
        <v>0</v>
      </c>
      <c r="U182" s="546">
        <f t="shared" si="34"/>
        <v>0</v>
      </c>
      <c r="W182" s="350">
        <f t="shared" si="35"/>
        <v>0</v>
      </c>
      <c r="X182" s="285">
        <f t="shared" si="36"/>
        <v>0</v>
      </c>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row>
    <row r="183" spans="1:46" ht="12" thickBot="1">
      <c r="A183" s="596" t="s">
        <v>1506</v>
      </c>
      <c r="B183" s="541" t="s">
        <v>1397</v>
      </c>
      <c r="C183" s="541" t="s">
        <v>1398</v>
      </c>
      <c r="D183" s="542" t="s">
        <v>72</v>
      </c>
      <c r="E183" s="549">
        <f t="shared" si="37"/>
        <v>0</v>
      </c>
      <c r="F183" s="988">
        <f t="shared" si="42"/>
        <v>0</v>
      </c>
      <c r="G183" s="988">
        <f t="shared" si="42"/>
        <v>0</v>
      </c>
      <c r="H183" s="988">
        <f t="shared" si="42"/>
        <v>0</v>
      </c>
      <c r="I183" s="988">
        <f t="shared" si="42"/>
        <v>0</v>
      </c>
      <c r="J183" s="988">
        <f t="shared" si="42"/>
        <v>0</v>
      </c>
      <c r="K183" s="988">
        <f t="shared" si="42"/>
        <v>0</v>
      </c>
      <c r="L183" s="988">
        <f t="shared" si="42"/>
        <v>0</v>
      </c>
      <c r="M183" s="988">
        <f t="shared" si="42"/>
        <v>0</v>
      </c>
      <c r="N183" s="988">
        <f t="shared" si="42"/>
        <v>0</v>
      </c>
      <c r="O183" s="988">
        <f t="shared" si="42"/>
        <v>0</v>
      </c>
      <c r="P183" s="988">
        <f t="shared" si="42"/>
        <v>0</v>
      </c>
      <c r="Q183" s="988"/>
      <c r="R183" s="988">
        <f t="shared" si="39"/>
        <v>0</v>
      </c>
      <c r="S183" s="546">
        <f t="shared" si="32"/>
        <v>0</v>
      </c>
      <c r="T183" s="547">
        <f t="shared" si="33"/>
        <v>0</v>
      </c>
      <c r="U183" s="546">
        <f t="shared" si="34"/>
        <v>0</v>
      </c>
      <c r="W183" s="350">
        <f t="shared" si="35"/>
        <v>0</v>
      </c>
      <c r="X183" s="285">
        <f t="shared" si="36"/>
        <v>0</v>
      </c>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row>
    <row r="184" spans="1:46" ht="12" thickBot="1">
      <c r="A184" s="596" t="s">
        <v>1506</v>
      </c>
      <c r="B184" s="541" t="s">
        <v>1149</v>
      </c>
      <c r="C184" s="541" t="s">
        <v>1150</v>
      </c>
      <c r="D184" s="542" t="s">
        <v>72</v>
      </c>
      <c r="E184" s="549">
        <f t="shared" si="37"/>
        <v>0</v>
      </c>
      <c r="F184" s="988">
        <f t="shared" si="42"/>
        <v>0</v>
      </c>
      <c r="G184" s="988">
        <f t="shared" si="42"/>
        <v>0</v>
      </c>
      <c r="H184" s="988">
        <f t="shared" si="42"/>
        <v>0</v>
      </c>
      <c r="I184" s="988">
        <f t="shared" si="42"/>
        <v>0</v>
      </c>
      <c r="J184" s="988">
        <f t="shared" si="42"/>
        <v>0</v>
      </c>
      <c r="K184" s="988">
        <f t="shared" si="42"/>
        <v>0</v>
      </c>
      <c r="L184" s="988">
        <f t="shared" si="42"/>
        <v>0</v>
      </c>
      <c r="M184" s="988">
        <f t="shared" si="42"/>
        <v>0</v>
      </c>
      <c r="N184" s="988">
        <f t="shared" si="42"/>
        <v>0</v>
      </c>
      <c r="O184" s="988">
        <f t="shared" si="42"/>
        <v>0</v>
      </c>
      <c r="P184" s="988">
        <f t="shared" si="42"/>
        <v>0</v>
      </c>
      <c r="Q184" s="988"/>
      <c r="R184" s="988">
        <f t="shared" si="39"/>
        <v>0</v>
      </c>
      <c r="S184" s="546">
        <f t="shared" si="32"/>
        <v>0</v>
      </c>
      <c r="T184" s="547">
        <f t="shared" si="33"/>
        <v>0</v>
      </c>
      <c r="U184" s="546">
        <f t="shared" si="34"/>
        <v>0</v>
      </c>
      <c r="W184" s="350">
        <f t="shared" si="35"/>
        <v>0</v>
      </c>
      <c r="X184" s="285">
        <f t="shared" si="36"/>
        <v>0</v>
      </c>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row>
    <row r="185" spans="1:46" ht="12" thickBot="1">
      <c r="A185" s="596" t="s">
        <v>1506</v>
      </c>
      <c r="B185" s="541" t="s">
        <v>1051</v>
      </c>
      <c r="C185" s="541" t="s">
        <v>1052</v>
      </c>
      <c r="D185" s="542" t="s">
        <v>719</v>
      </c>
      <c r="E185" s="549">
        <f t="shared" si="37"/>
        <v>0</v>
      </c>
      <c r="F185" s="988">
        <f t="shared" si="42"/>
        <v>0</v>
      </c>
      <c r="G185" s="988">
        <f t="shared" si="42"/>
        <v>0</v>
      </c>
      <c r="H185" s="988">
        <f t="shared" si="42"/>
        <v>0</v>
      </c>
      <c r="I185" s="988">
        <f t="shared" si="42"/>
        <v>0</v>
      </c>
      <c r="J185" s="988">
        <f t="shared" si="42"/>
        <v>0</v>
      </c>
      <c r="K185" s="988">
        <f t="shared" si="42"/>
        <v>0</v>
      </c>
      <c r="L185" s="988">
        <f t="shared" si="42"/>
        <v>0</v>
      </c>
      <c r="M185" s="988">
        <f t="shared" si="42"/>
        <v>0</v>
      </c>
      <c r="N185" s="988">
        <f t="shared" si="42"/>
        <v>0</v>
      </c>
      <c r="O185" s="988">
        <f t="shared" si="42"/>
        <v>0</v>
      </c>
      <c r="P185" s="988">
        <f t="shared" si="42"/>
        <v>0</v>
      </c>
      <c r="Q185" s="988"/>
      <c r="R185" s="988">
        <f t="shared" si="39"/>
        <v>0</v>
      </c>
      <c r="S185" s="546">
        <f t="shared" si="32"/>
        <v>0</v>
      </c>
      <c r="T185" s="547">
        <f t="shared" si="33"/>
        <v>0</v>
      </c>
      <c r="U185" s="546">
        <f t="shared" si="34"/>
        <v>0</v>
      </c>
      <c r="W185" s="350">
        <f t="shared" si="35"/>
        <v>0</v>
      </c>
      <c r="X185" s="285">
        <f t="shared" si="36"/>
        <v>0</v>
      </c>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row>
    <row r="186" spans="1:46" ht="12" thickBot="1">
      <c r="A186" s="596" t="s">
        <v>1506</v>
      </c>
      <c r="B186" s="541" t="s">
        <v>1053</v>
      </c>
      <c r="C186" s="541" t="s">
        <v>1054</v>
      </c>
      <c r="D186" s="542" t="s">
        <v>719</v>
      </c>
      <c r="E186" s="549">
        <f t="shared" si="37"/>
        <v>0</v>
      </c>
      <c r="F186" s="988">
        <f t="shared" si="42"/>
        <v>0</v>
      </c>
      <c r="G186" s="988">
        <f t="shared" si="42"/>
        <v>0</v>
      </c>
      <c r="H186" s="988">
        <f t="shared" si="42"/>
        <v>0</v>
      </c>
      <c r="I186" s="988">
        <f t="shared" si="42"/>
        <v>0</v>
      </c>
      <c r="J186" s="988">
        <f t="shared" si="42"/>
        <v>0</v>
      </c>
      <c r="K186" s="988">
        <f t="shared" si="42"/>
        <v>0</v>
      </c>
      <c r="L186" s="988">
        <f t="shared" si="42"/>
        <v>0</v>
      </c>
      <c r="M186" s="988">
        <f t="shared" si="42"/>
        <v>0</v>
      </c>
      <c r="N186" s="988">
        <f t="shared" si="42"/>
        <v>0</v>
      </c>
      <c r="O186" s="988">
        <f t="shared" si="42"/>
        <v>0</v>
      </c>
      <c r="P186" s="988">
        <f t="shared" si="42"/>
        <v>0</v>
      </c>
      <c r="Q186" s="988"/>
      <c r="R186" s="988">
        <f t="shared" si="39"/>
        <v>0</v>
      </c>
      <c r="S186" s="546">
        <f t="shared" si="32"/>
        <v>0</v>
      </c>
      <c r="T186" s="547">
        <f t="shared" si="33"/>
        <v>0</v>
      </c>
      <c r="U186" s="546">
        <f t="shared" si="34"/>
        <v>0</v>
      </c>
      <c r="W186" s="350">
        <f t="shared" si="35"/>
        <v>0</v>
      </c>
      <c r="X186" s="285">
        <f t="shared" si="36"/>
        <v>0</v>
      </c>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row>
    <row r="187" spans="1:46" ht="12" thickBot="1">
      <c r="A187" s="596" t="s">
        <v>1506</v>
      </c>
      <c r="B187" s="541" t="s">
        <v>173</v>
      </c>
      <c r="C187" s="541" t="s">
        <v>192</v>
      </c>
      <c r="D187" s="542" t="s">
        <v>642</v>
      </c>
      <c r="E187" s="549">
        <f t="shared" si="37"/>
        <v>46508169</v>
      </c>
      <c r="F187" s="988">
        <f t="shared" si="42"/>
        <v>750</v>
      </c>
      <c r="G187" s="988">
        <f t="shared" si="42"/>
        <v>171615</v>
      </c>
      <c r="H187" s="988">
        <f t="shared" si="42"/>
        <v>1345016</v>
      </c>
      <c r="I187" s="988">
        <f t="shared" si="42"/>
        <v>0</v>
      </c>
      <c r="J187" s="988">
        <f t="shared" si="42"/>
        <v>51887</v>
      </c>
      <c r="K187" s="988">
        <f t="shared" si="42"/>
        <v>668312</v>
      </c>
      <c r="L187" s="988">
        <f t="shared" si="42"/>
        <v>0</v>
      </c>
      <c r="M187" s="988">
        <f t="shared" si="42"/>
        <v>200012</v>
      </c>
      <c r="N187" s="988">
        <f t="shared" si="42"/>
        <v>0</v>
      </c>
      <c r="O187" s="988">
        <f t="shared" si="42"/>
        <v>252311</v>
      </c>
      <c r="P187" s="988">
        <f t="shared" si="42"/>
        <v>0</v>
      </c>
      <c r="Q187" s="988"/>
      <c r="R187" s="988">
        <f t="shared" si="39"/>
        <v>2689904</v>
      </c>
      <c r="S187" s="546">
        <f t="shared" si="32"/>
        <v>1516631</v>
      </c>
      <c r="T187" s="547">
        <f t="shared" si="33"/>
        <v>720199</v>
      </c>
      <c r="U187" s="546">
        <f t="shared" si="34"/>
        <v>252311</v>
      </c>
      <c r="W187" s="350">
        <f t="shared" si="35"/>
        <v>2689903</v>
      </c>
      <c r="X187" s="285">
        <f t="shared" si="36"/>
        <v>-1</v>
      </c>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row>
    <row r="188" spans="1:46" ht="12" thickBot="1">
      <c r="A188" s="596" t="s">
        <v>1506</v>
      </c>
      <c r="B188" s="541" t="s">
        <v>193</v>
      </c>
      <c r="C188" s="541" t="s">
        <v>194</v>
      </c>
      <c r="D188" s="542" t="s">
        <v>443</v>
      </c>
      <c r="E188" s="549">
        <f t="shared" si="37"/>
        <v>0</v>
      </c>
      <c r="F188" s="988">
        <f t="shared" si="42"/>
        <v>0</v>
      </c>
      <c r="G188" s="988">
        <f t="shared" si="42"/>
        <v>0</v>
      </c>
      <c r="H188" s="988">
        <f t="shared" si="42"/>
        <v>0</v>
      </c>
      <c r="I188" s="988">
        <f t="shared" si="42"/>
        <v>0</v>
      </c>
      <c r="J188" s="988">
        <f t="shared" si="42"/>
        <v>0</v>
      </c>
      <c r="K188" s="988">
        <f t="shared" si="42"/>
        <v>0</v>
      </c>
      <c r="L188" s="988">
        <f t="shared" si="42"/>
        <v>0</v>
      </c>
      <c r="M188" s="988">
        <f t="shared" si="42"/>
        <v>0</v>
      </c>
      <c r="N188" s="988">
        <f t="shared" si="42"/>
        <v>0</v>
      </c>
      <c r="O188" s="988">
        <f t="shared" si="42"/>
        <v>0</v>
      </c>
      <c r="P188" s="988">
        <f t="shared" si="42"/>
        <v>0</v>
      </c>
      <c r="Q188" s="988"/>
      <c r="R188" s="988">
        <f t="shared" si="39"/>
        <v>0</v>
      </c>
      <c r="S188" s="546">
        <f t="shared" si="32"/>
        <v>0</v>
      </c>
      <c r="T188" s="547">
        <f t="shared" si="33"/>
        <v>0</v>
      </c>
      <c r="U188" s="546">
        <f t="shared" si="34"/>
        <v>0</v>
      </c>
      <c r="W188" s="350">
        <f t="shared" si="35"/>
        <v>0</v>
      </c>
      <c r="X188" s="285">
        <f t="shared" si="36"/>
        <v>0</v>
      </c>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row>
    <row r="189" spans="1:46" ht="12" thickBot="1">
      <c r="A189" s="596" t="s">
        <v>1506</v>
      </c>
      <c r="B189" s="541" t="s">
        <v>195</v>
      </c>
      <c r="C189" s="541" t="s">
        <v>196</v>
      </c>
      <c r="D189" s="542" t="s">
        <v>443</v>
      </c>
      <c r="E189" s="549">
        <f t="shared" si="37"/>
        <v>0</v>
      </c>
      <c r="F189" s="988">
        <f t="shared" si="42"/>
        <v>0</v>
      </c>
      <c r="G189" s="988">
        <f t="shared" si="42"/>
        <v>0</v>
      </c>
      <c r="H189" s="988">
        <f t="shared" si="42"/>
        <v>0</v>
      </c>
      <c r="I189" s="988">
        <f t="shared" si="42"/>
        <v>0</v>
      </c>
      <c r="J189" s="988">
        <f t="shared" si="42"/>
        <v>0</v>
      </c>
      <c r="K189" s="988">
        <f t="shared" si="42"/>
        <v>0</v>
      </c>
      <c r="L189" s="988">
        <f t="shared" si="42"/>
        <v>0</v>
      </c>
      <c r="M189" s="988">
        <f t="shared" si="42"/>
        <v>0</v>
      </c>
      <c r="N189" s="988">
        <f t="shared" si="42"/>
        <v>0</v>
      </c>
      <c r="O189" s="988">
        <f t="shared" si="42"/>
        <v>0</v>
      </c>
      <c r="P189" s="988">
        <f t="shared" si="42"/>
        <v>0</v>
      </c>
      <c r="Q189" s="988"/>
      <c r="R189" s="988">
        <f t="shared" si="39"/>
        <v>0</v>
      </c>
      <c r="S189" s="546">
        <f t="shared" si="32"/>
        <v>0</v>
      </c>
      <c r="T189" s="547">
        <f t="shared" si="33"/>
        <v>0</v>
      </c>
      <c r="U189" s="546">
        <f t="shared" si="34"/>
        <v>0</v>
      </c>
      <c r="W189" s="350">
        <f t="shared" si="35"/>
        <v>0</v>
      </c>
      <c r="X189" s="285">
        <f t="shared" si="36"/>
        <v>0</v>
      </c>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row>
    <row r="190" spans="1:46" ht="12" thickBot="1">
      <c r="A190" s="596" t="s">
        <v>1506</v>
      </c>
      <c r="B190" s="541" t="s">
        <v>197</v>
      </c>
      <c r="C190" s="541" t="s">
        <v>198</v>
      </c>
      <c r="D190" s="542" t="s">
        <v>443</v>
      </c>
      <c r="E190" s="549">
        <f t="shared" si="37"/>
        <v>0</v>
      </c>
      <c r="F190" s="988">
        <f t="shared" si="42"/>
        <v>0</v>
      </c>
      <c r="G190" s="988">
        <f t="shared" si="42"/>
        <v>0</v>
      </c>
      <c r="H190" s="988">
        <f t="shared" si="42"/>
        <v>0</v>
      </c>
      <c r="I190" s="988">
        <f t="shared" si="42"/>
        <v>0</v>
      </c>
      <c r="J190" s="988">
        <f t="shared" si="42"/>
        <v>0</v>
      </c>
      <c r="K190" s="988">
        <f t="shared" si="42"/>
        <v>0</v>
      </c>
      <c r="L190" s="988">
        <f t="shared" si="42"/>
        <v>0</v>
      </c>
      <c r="M190" s="988">
        <f t="shared" si="42"/>
        <v>0</v>
      </c>
      <c r="N190" s="988">
        <f t="shared" si="42"/>
        <v>0</v>
      </c>
      <c r="O190" s="988">
        <f t="shared" si="42"/>
        <v>0</v>
      </c>
      <c r="P190" s="988">
        <f t="shared" si="42"/>
        <v>0</v>
      </c>
      <c r="Q190" s="988"/>
      <c r="R190" s="988">
        <f t="shared" si="39"/>
        <v>0</v>
      </c>
      <c r="S190" s="546">
        <f t="shared" si="32"/>
        <v>0</v>
      </c>
      <c r="T190" s="547">
        <f t="shared" si="33"/>
        <v>0</v>
      </c>
      <c r="U190" s="546">
        <f t="shared" si="34"/>
        <v>0</v>
      </c>
      <c r="W190" s="350">
        <f t="shared" si="35"/>
        <v>0</v>
      </c>
      <c r="X190" s="285">
        <f t="shared" si="36"/>
        <v>0</v>
      </c>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row>
    <row r="191" spans="1:46" ht="12" thickBot="1">
      <c r="A191" s="596" t="s">
        <v>1506</v>
      </c>
      <c r="B191" s="541" t="s">
        <v>1055</v>
      </c>
      <c r="C191" s="541" t="s">
        <v>1049</v>
      </c>
      <c r="D191" s="542" t="s">
        <v>1146</v>
      </c>
      <c r="E191" s="549">
        <f t="shared" si="37"/>
        <v>0</v>
      </c>
      <c r="F191" s="988">
        <f t="shared" si="42"/>
        <v>0</v>
      </c>
      <c r="G191" s="988">
        <f t="shared" si="42"/>
        <v>0</v>
      </c>
      <c r="H191" s="988">
        <f t="shared" si="42"/>
        <v>0</v>
      </c>
      <c r="I191" s="988">
        <f t="shared" si="42"/>
        <v>0</v>
      </c>
      <c r="J191" s="988">
        <f t="shared" si="42"/>
        <v>0</v>
      </c>
      <c r="K191" s="988">
        <f t="shared" si="42"/>
        <v>0</v>
      </c>
      <c r="L191" s="988">
        <f t="shared" si="42"/>
        <v>0</v>
      </c>
      <c r="M191" s="988">
        <f t="shared" si="42"/>
        <v>0</v>
      </c>
      <c r="N191" s="988">
        <f t="shared" si="42"/>
        <v>0</v>
      </c>
      <c r="O191" s="988">
        <f t="shared" si="42"/>
        <v>0</v>
      </c>
      <c r="P191" s="988">
        <f t="shared" si="42"/>
        <v>0</v>
      </c>
      <c r="Q191" s="988"/>
      <c r="R191" s="988">
        <f t="shared" si="39"/>
        <v>0</v>
      </c>
      <c r="S191" s="546">
        <f t="shared" si="32"/>
        <v>0</v>
      </c>
      <c r="T191" s="547">
        <f t="shared" si="33"/>
        <v>0</v>
      </c>
      <c r="U191" s="546">
        <f t="shared" si="34"/>
        <v>0</v>
      </c>
      <c r="W191" s="350">
        <f t="shared" si="35"/>
        <v>0</v>
      </c>
      <c r="X191" s="285">
        <f t="shared" si="36"/>
        <v>0</v>
      </c>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row>
    <row r="192" spans="1:46" ht="12" thickBot="1">
      <c r="A192" s="596" t="s">
        <v>1506</v>
      </c>
      <c r="B192" s="541" t="s">
        <v>174</v>
      </c>
      <c r="C192" s="541" t="s">
        <v>106</v>
      </c>
      <c r="D192" s="542" t="s">
        <v>14</v>
      </c>
      <c r="E192" s="549">
        <f t="shared" si="37"/>
        <v>640541923</v>
      </c>
      <c r="F192" s="988">
        <f t="shared" ref="F192:P198" si="43">ROUND(SUMIFS(F$1721:F$1901,$A$1721:$A$1901,$A192,$B$1721:$B$1901,$B192),0)</f>
        <v>4627417</v>
      </c>
      <c r="G192" s="988">
        <f t="shared" si="43"/>
        <v>29061387</v>
      </c>
      <c r="H192" s="988">
        <f t="shared" si="43"/>
        <v>18524472</v>
      </c>
      <c r="I192" s="988">
        <f t="shared" si="43"/>
        <v>2017707</v>
      </c>
      <c r="J192" s="988">
        <f t="shared" si="43"/>
        <v>0</v>
      </c>
      <c r="K192" s="988">
        <f t="shared" si="43"/>
        <v>0</v>
      </c>
      <c r="L192" s="988">
        <f t="shared" si="43"/>
        <v>614585</v>
      </c>
      <c r="M192" s="988">
        <f t="shared" si="43"/>
        <v>2754707</v>
      </c>
      <c r="N192" s="988">
        <f t="shared" si="43"/>
        <v>3475000</v>
      </c>
      <c r="O192" s="988">
        <f t="shared" si="43"/>
        <v>0</v>
      </c>
      <c r="P192" s="988">
        <f t="shared" si="43"/>
        <v>0</v>
      </c>
      <c r="Q192" s="988"/>
      <c r="R192" s="988">
        <f t="shared" si="39"/>
        <v>61075275</v>
      </c>
      <c r="S192" s="546">
        <f t="shared" si="32"/>
        <v>49603566</v>
      </c>
      <c r="T192" s="547">
        <f t="shared" si="33"/>
        <v>0</v>
      </c>
      <c r="U192" s="546">
        <f t="shared" si="34"/>
        <v>3475000</v>
      </c>
      <c r="W192" s="350">
        <f t="shared" si="35"/>
        <v>61075275</v>
      </c>
      <c r="X192" s="285">
        <f t="shared" si="36"/>
        <v>0</v>
      </c>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row>
    <row r="193" spans="1:46" ht="12" thickBot="1">
      <c r="A193" s="596" t="s">
        <v>1506</v>
      </c>
      <c r="B193" s="541" t="s">
        <v>175</v>
      </c>
      <c r="C193" s="541" t="s">
        <v>199</v>
      </c>
      <c r="D193" s="542" t="s">
        <v>14</v>
      </c>
      <c r="E193" s="549">
        <f t="shared" si="37"/>
        <v>0</v>
      </c>
      <c r="F193" s="988">
        <f t="shared" si="43"/>
        <v>0</v>
      </c>
      <c r="G193" s="988">
        <f t="shared" si="43"/>
        <v>0</v>
      </c>
      <c r="H193" s="988">
        <f t="shared" si="43"/>
        <v>0</v>
      </c>
      <c r="I193" s="988">
        <f t="shared" si="43"/>
        <v>0</v>
      </c>
      <c r="J193" s="988">
        <f t="shared" si="43"/>
        <v>0</v>
      </c>
      <c r="K193" s="988">
        <f t="shared" si="43"/>
        <v>0</v>
      </c>
      <c r="L193" s="988">
        <f t="shared" si="43"/>
        <v>0</v>
      </c>
      <c r="M193" s="988">
        <f t="shared" si="43"/>
        <v>0</v>
      </c>
      <c r="N193" s="988">
        <f t="shared" si="43"/>
        <v>0</v>
      </c>
      <c r="O193" s="988">
        <f t="shared" si="43"/>
        <v>0</v>
      </c>
      <c r="P193" s="988">
        <f t="shared" si="43"/>
        <v>0</v>
      </c>
      <c r="Q193" s="988"/>
      <c r="R193" s="988">
        <f t="shared" si="39"/>
        <v>0</v>
      </c>
      <c r="S193" s="546">
        <f t="shared" si="32"/>
        <v>0</v>
      </c>
      <c r="T193" s="547">
        <f t="shared" si="33"/>
        <v>0</v>
      </c>
      <c r="U193" s="546">
        <f t="shared" si="34"/>
        <v>0</v>
      </c>
      <c r="W193" s="350">
        <f t="shared" si="35"/>
        <v>0</v>
      </c>
      <c r="X193" s="285">
        <f t="shared" si="36"/>
        <v>0</v>
      </c>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row>
    <row r="194" spans="1:46" ht="12" thickBot="1">
      <c r="A194" s="596" t="s">
        <v>1506</v>
      </c>
      <c r="B194" s="541" t="s">
        <v>176</v>
      </c>
      <c r="C194" s="541" t="s">
        <v>200</v>
      </c>
      <c r="D194" s="542" t="s">
        <v>207</v>
      </c>
      <c r="E194" s="549">
        <f t="shared" si="37"/>
        <v>0</v>
      </c>
      <c r="F194" s="988">
        <f t="shared" si="43"/>
        <v>0</v>
      </c>
      <c r="G194" s="988">
        <f t="shared" si="43"/>
        <v>0</v>
      </c>
      <c r="H194" s="988">
        <f t="shared" si="43"/>
        <v>0</v>
      </c>
      <c r="I194" s="988">
        <f t="shared" si="43"/>
        <v>0</v>
      </c>
      <c r="J194" s="988">
        <f t="shared" si="43"/>
        <v>0</v>
      </c>
      <c r="K194" s="988">
        <f t="shared" si="43"/>
        <v>0</v>
      </c>
      <c r="L194" s="988">
        <f t="shared" si="43"/>
        <v>0</v>
      </c>
      <c r="M194" s="988">
        <f t="shared" si="43"/>
        <v>0</v>
      </c>
      <c r="N194" s="988">
        <f t="shared" si="43"/>
        <v>0</v>
      </c>
      <c r="O194" s="988">
        <f t="shared" si="43"/>
        <v>0</v>
      </c>
      <c r="P194" s="988">
        <f t="shared" si="43"/>
        <v>0</v>
      </c>
      <c r="Q194" s="988"/>
      <c r="R194" s="988">
        <f t="shared" si="39"/>
        <v>0</v>
      </c>
      <c r="S194" s="546">
        <f t="shared" si="32"/>
        <v>0</v>
      </c>
      <c r="T194" s="547">
        <f t="shared" si="33"/>
        <v>0</v>
      </c>
      <c r="U194" s="546">
        <f t="shared" si="34"/>
        <v>0</v>
      </c>
      <c r="W194" s="350">
        <f t="shared" si="35"/>
        <v>0</v>
      </c>
      <c r="X194" s="285">
        <f t="shared" si="36"/>
        <v>0</v>
      </c>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row>
    <row r="195" spans="1:46" ht="12" thickBot="1">
      <c r="A195" s="596" t="s">
        <v>1506</v>
      </c>
      <c r="B195" s="541" t="s">
        <v>458</v>
      </c>
      <c r="C195" s="541" t="s">
        <v>1367</v>
      </c>
      <c r="D195" s="542" t="s">
        <v>206</v>
      </c>
      <c r="E195" s="549">
        <f t="shared" si="37"/>
        <v>0</v>
      </c>
      <c r="F195" s="988">
        <f t="shared" si="43"/>
        <v>0</v>
      </c>
      <c r="G195" s="988">
        <f t="shared" si="43"/>
        <v>0</v>
      </c>
      <c r="H195" s="988">
        <f t="shared" si="43"/>
        <v>0</v>
      </c>
      <c r="I195" s="988">
        <f t="shared" si="43"/>
        <v>0</v>
      </c>
      <c r="J195" s="988">
        <f t="shared" si="43"/>
        <v>0</v>
      </c>
      <c r="K195" s="988">
        <f t="shared" si="43"/>
        <v>0</v>
      </c>
      <c r="L195" s="988">
        <f t="shared" si="43"/>
        <v>0</v>
      </c>
      <c r="M195" s="988">
        <f t="shared" si="43"/>
        <v>0</v>
      </c>
      <c r="N195" s="988">
        <f t="shared" si="43"/>
        <v>0</v>
      </c>
      <c r="O195" s="988">
        <f t="shared" si="43"/>
        <v>0</v>
      </c>
      <c r="P195" s="988">
        <f t="shared" si="43"/>
        <v>0</v>
      </c>
      <c r="Q195" s="988"/>
      <c r="R195" s="988">
        <f t="shared" si="39"/>
        <v>0</v>
      </c>
      <c r="S195" s="546">
        <f t="shared" si="32"/>
        <v>0</v>
      </c>
      <c r="T195" s="547">
        <f t="shared" si="33"/>
        <v>0</v>
      </c>
      <c r="U195" s="546">
        <f t="shared" si="34"/>
        <v>0</v>
      </c>
      <c r="W195" s="350">
        <f t="shared" si="35"/>
        <v>0</v>
      </c>
      <c r="X195" s="285">
        <f t="shared" si="36"/>
        <v>0</v>
      </c>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row>
    <row r="196" spans="1:46" ht="12" thickBot="1">
      <c r="A196" s="596" t="s">
        <v>1506</v>
      </c>
      <c r="B196" s="541" t="s">
        <v>177</v>
      </c>
      <c r="C196" s="541" t="s">
        <v>201</v>
      </c>
      <c r="D196" s="542" t="s">
        <v>16</v>
      </c>
      <c r="E196" s="549">
        <f t="shared" si="37"/>
        <v>0</v>
      </c>
      <c r="F196" s="988">
        <f t="shared" si="43"/>
        <v>0</v>
      </c>
      <c r="G196" s="988">
        <f t="shared" si="43"/>
        <v>0</v>
      </c>
      <c r="H196" s="988">
        <f t="shared" si="43"/>
        <v>0</v>
      </c>
      <c r="I196" s="988">
        <f t="shared" si="43"/>
        <v>0</v>
      </c>
      <c r="J196" s="988">
        <f t="shared" si="43"/>
        <v>0</v>
      </c>
      <c r="K196" s="988">
        <f t="shared" si="43"/>
        <v>0</v>
      </c>
      <c r="L196" s="988">
        <f t="shared" si="43"/>
        <v>0</v>
      </c>
      <c r="M196" s="988">
        <f t="shared" si="43"/>
        <v>0</v>
      </c>
      <c r="N196" s="988">
        <f t="shared" si="43"/>
        <v>0</v>
      </c>
      <c r="O196" s="988">
        <f t="shared" si="43"/>
        <v>0</v>
      </c>
      <c r="P196" s="988">
        <f t="shared" si="43"/>
        <v>0</v>
      </c>
      <c r="Q196" s="988"/>
      <c r="R196" s="988">
        <f t="shared" si="39"/>
        <v>0</v>
      </c>
      <c r="S196" s="546">
        <f t="shared" si="32"/>
        <v>0</v>
      </c>
      <c r="T196" s="547">
        <f t="shared" si="33"/>
        <v>0</v>
      </c>
      <c r="U196" s="546">
        <f t="shared" si="34"/>
        <v>0</v>
      </c>
      <c r="W196" s="350">
        <f t="shared" si="35"/>
        <v>0</v>
      </c>
      <c r="X196" s="285">
        <f t="shared" si="36"/>
        <v>0</v>
      </c>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row>
    <row r="197" spans="1:46" ht="12" thickBot="1">
      <c r="A197" s="596" t="s">
        <v>1506</v>
      </c>
      <c r="B197" s="541" t="s">
        <v>178</v>
      </c>
      <c r="C197" s="541" t="s">
        <v>202</v>
      </c>
      <c r="D197" s="542" t="s">
        <v>14</v>
      </c>
      <c r="E197" s="549">
        <f t="shared" si="37"/>
        <v>0</v>
      </c>
      <c r="F197" s="988">
        <f t="shared" si="43"/>
        <v>0</v>
      </c>
      <c r="G197" s="988">
        <f t="shared" si="43"/>
        <v>0</v>
      </c>
      <c r="H197" s="988">
        <f t="shared" si="43"/>
        <v>0</v>
      </c>
      <c r="I197" s="988">
        <f t="shared" si="43"/>
        <v>0</v>
      </c>
      <c r="J197" s="988">
        <f t="shared" si="43"/>
        <v>0</v>
      </c>
      <c r="K197" s="988">
        <f t="shared" si="43"/>
        <v>0</v>
      </c>
      <c r="L197" s="988">
        <f t="shared" si="43"/>
        <v>0</v>
      </c>
      <c r="M197" s="988">
        <f t="shared" si="43"/>
        <v>0</v>
      </c>
      <c r="N197" s="988">
        <f t="shared" si="43"/>
        <v>0</v>
      </c>
      <c r="O197" s="988">
        <f t="shared" si="43"/>
        <v>0</v>
      </c>
      <c r="P197" s="988">
        <f t="shared" si="43"/>
        <v>0</v>
      </c>
      <c r="Q197" s="988"/>
      <c r="R197" s="988">
        <f t="shared" si="39"/>
        <v>0</v>
      </c>
      <c r="S197" s="546">
        <f t="shared" si="32"/>
        <v>0</v>
      </c>
      <c r="T197" s="547">
        <f t="shared" si="33"/>
        <v>0</v>
      </c>
      <c r="U197" s="546">
        <f t="shared" si="34"/>
        <v>0</v>
      </c>
      <c r="W197" s="350">
        <f t="shared" si="35"/>
        <v>0</v>
      </c>
      <c r="X197" s="285">
        <f t="shared" si="36"/>
        <v>0</v>
      </c>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row>
    <row r="198" spans="1:46" ht="12" thickBot="1">
      <c r="A198" s="596" t="s">
        <v>1506</v>
      </c>
      <c r="B198" s="541" t="s">
        <v>73</v>
      </c>
      <c r="C198" s="541" t="s">
        <v>1511</v>
      </c>
      <c r="D198" s="542"/>
      <c r="E198" s="549">
        <f t="shared" si="37"/>
        <v>9323849</v>
      </c>
      <c r="F198" s="988">
        <f t="shared" si="43"/>
        <v>0</v>
      </c>
      <c r="G198" s="988">
        <f t="shared" si="43"/>
        <v>1837022</v>
      </c>
      <c r="H198" s="988">
        <f t="shared" si="43"/>
        <v>269646</v>
      </c>
      <c r="I198" s="988">
        <f t="shared" si="43"/>
        <v>0</v>
      </c>
      <c r="J198" s="988">
        <f t="shared" si="43"/>
        <v>0</v>
      </c>
      <c r="K198" s="988">
        <f t="shared" si="43"/>
        <v>0</v>
      </c>
      <c r="L198" s="988">
        <f t="shared" si="43"/>
        <v>0</v>
      </c>
      <c r="M198" s="988">
        <f t="shared" si="43"/>
        <v>40098</v>
      </c>
      <c r="N198" s="988">
        <f t="shared" si="43"/>
        <v>50583</v>
      </c>
      <c r="O198" s="988">
        <f t="shared" si="43"/>
        <v>0</v>
      </c>
      <c r="P198" s="988">
        <f t="shared" si="43"/>
        <v>0</v>
      </c>
      <c r="Q198" s="988"/>
      <c r="R198" s="988">
        <f t="shared" si="39"/>
        <v>2197349</v>
      </c>
      <c r="S198" s="546">
        <f t="shared" si="32"/>
        <v>2106668</v>
      </c>
      <c r="T198" s="547">
        <f t="shared" si="33"/>
        <v>0</v>
      </c>
      <c r="U198" s="546">
        <f t="shared" si="34"/>
        <v>50583</v>
      </c>
      <c r="W198" s="350">
        <f t="shared" si="35"/>
        <v>2197349</v>
      </c>
      <c r="X198" s="285">
        <f t="shared" si="36"/>
        <v>0</v>
      </c>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row>
    <row r="199" spans="1:46" ht="12" thickBot="1">
      <c r="A199" s="596" t="s">
        <v>1506</v>
      </c>
      <c r="B199" s="541" t="s">
        <v>323</v>
      </c>
      <c r="C199" s="541" t="s">
        <v>1056</v>
      </c>
      <c r="D199" s="552" t="s">
        <v>1139</v>
      </c>
      <c r="E199" s="543"/>
      <c r="F199" s="545"/>
      <c r="G199" s="544"/>
      <c r="H199" s="545"/>
      <c r="I199" s="545"/>
      <c r="J199" s="545"/>
      <c r="K199" s="545"/>
      <c r="L199" s="545"/>
      <c r="M199" s="544"/>
      <c r="N199" s="544"/>
      <c r="O199" s="545"/>
      <c r="P199" s="545"/>
      <c r="Q199" s="544"/>
      <c r="R199" s="544"/>
      <c r="S199" s="546">
        <f t="shared" si="32"/>
        <v>0</v>
      </c>
      <c r="T199" s="547">
        <f t="shared" si="33"/>
        <v>0</v>
      </c>
      <c r="U199" s="546">
        <f t="shared" si="34"/>
        <v>0</v>
      </c>
      <c r="W199" s="350">
        <f t="shared" si="35"/>
        <v>0</v>
      </c>
      <c r="X199" s="285">
        <f t="shared" si="36"/>
        <v>0</v>
      </c>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row>
    <row r="200" spans="1:46" ht="12" thickBot="1">
      <c r="A200" s="596" t="s">
        <v>1506</v>
      </c>
      <c r="B200" s="541" t="s">
        <v>328</v>
      </c>
      <c r="C200" s="541" t="s">
        <v>1057</v>
      </c>
      <c r="D200" s="552" t="s">
        <v>1139</v>
      </c>
      <c r="E200" s="549"/>
      <c r="F200" s="551"/>
      <c r="G200" s="550"/>
      <c r="H200" s="551"/>
      <c r="I200" s="551"/>
      <c r="J200" s="551"/>
      <c r="K200" s="551"/>
      <c r="L200" s="551"/>
      <c r="M200" s="550"/>
      <c r="N200" s="550"/>
      <c r="O200" s="551"/>
      <c r="P200" s="551"/>
      <c r="Q200" s="550"/>
      <c r="R200" s="550"/>
      <c r="S200" s="546">
        <f t="shared" si="32"/>
        <v>0</v>
      </c>
      <c r="T200" s="547">
        <f t="shared" si="33"/>
        <v>0</v>
      </c>
      <c r="U200" s="546">
        <f t="shared" si="34"/>
        <v>0</v>
      </c>
      <c r="W200" s="350">
        <f t="shared" si="35"/>
        <v>0</v>
      </c>
      <c r="X200" s="285">
        <f t="shared" si="36"/>
        <v>0</v>
      </c>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row>
    <row r="201" spans="1:46" ht="12" thickBot="1">
      <c r="A201" s="596" t="s">
        <v>1506</v>
      </c>
      <c r="B201" s="541" t="s">
        <v>331</v>
      </c>
      <c r="C201" s="541" t="s">
        <v>1058</v>
      </c>
      <c r="D201" s="552" t="s">
        <v>1139</v>
      </c>
      <c r="E201" s="543"/>
      <c r="F201" s="545"/>
      <c r="G201" s="544"/>
      <c r="H201" s="545"/>
      <c r="I201" s="545"/>
      <c r="J201" s="545"/>
      <c r="K201" s="545"/>
      <c r="L201" s="545"/>
      <c r="M201" s="544"/>
      <c r="N201" s="544"/>
      <c r="O201" s="545"/>
      <c r="P201" s="545"/>
      <c r="Q201" s="544"/>
      <c r="R201" s="544"/>
      <c r="S201" s="546">
        <f t="shared" si="32"/>
        <v>0</v>
      </c>
      <c r="T201" s="547">
        <f t="shared" si="33"/>
        <v>0</v>
      </c>
      <c r="U201" s="546">
        <f t="shared" si="34"/>
        <v>0</v>
      </c>
      <c r="W201" s="350">
        <f t="shared" si="35"/>
        <v>0</v>
      </c>
      <c r="X201" s="285">
        <f t="shared" si="36"/>
        <v>0</v>
      </c>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row>
    <row r="202" spans="1:46" ht="12" thickBot="1">
      <c r="A202" s="596" t="s">
        <v>1506</v>
      </c>
      <c r="B202" s="541" t="s">
        <v>332</v>
      </c>
      <c r="C202" s="541" t="s">
        <v>1059</v>
      </c>
      <c r="D202" s="552" t="s">
        <v>1139</v>
      </c>
      <c r="E202" s="549"/>
      <c r="F202" s="551"/>
      <c r="G202" s="550"/>
      <c r="H202" s="551"/>
      <c r="I202" s="551"/>
      <c r="J202" s="551"/>
      <c r="K202" s="551"/>
      <c r="L202" s="551"/>
      <c r="M202" s="550"/>
      <c r="N202" s="550"/>
      <c r="O202" s="551"/>
      <c r="P202" s="551"/>
      <c r="Q202" s="550"/>
      <c r="R202" s="550"/>
      <c r="S202" s="546">
        <f t="shared" si="32"/>
        <v>0</v>
      </c>
      <c r="T202" s="547">
        <f t="shared" si="33"/>
        <v>0</v>
      </c>
      <c r="U202" s="546">
        <f t="shared" si="34"/>
        <v>0</v>
      </c>
      <c r="W202" s="350">
        <f t="shared" si="35"/>
        <v>0</v>
      </c>
      <c r="X202" s="285">
        <f t="shared" si="36"/>
        <v>0</v>
      </c>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row>
    <row r="203" spans="1:46" ht="12" thickBot="1">
      <c r="A203" s="596" t="s">
        <v>1506</v>
      </c>
      <c r="B203" s="541" t="s">
        <v>333</v>
      </c>
      <c r="C203" s="541" t="s">
        <v>1060</v>
      </c>
      <c r="D203" s="552" t="s">
        <v>1139</v>
      </c>
      <c r="E203" s="543"/>
      <c r="F203" s="545"/>
      <c r="G203" s="544"/>
      <c r="H203" s="545"/>
      <c r="I203" s="545"/>
      <c r="J203" s="545"/>
      <c r="K203" s="545"/>
      <c r="L203" s="545"/>
      <c r="M203" s="544"/>
      <c r="N203" s="544"/>
      <c r="O203" s="545"/>
      <c r="P203" s="545"/>
      <c r="Q203" s="544"/>
      <c r="R203" s="544"/>
      <c r="S203" s="546">
        <f t="shared" si="32"/>
        <v>0</v>
      </c>
      <c r="T203" s="547">
        <f t="shared" si="33"/>
        <v>0</v>
      </c>
      <c r="U203" s="546">
        <f t="shared" si="34"/>
        <v>0</v>
      </c>
      <c r="W203" s="350">
        <f t="shared" si="35"/>
        <v>0</v>
      </c>
      <c r="X203" s="285">
        <f t="shared" si="36"/>
        <v>0</v>
      </c>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row>
    <row r="204" spans="1:46" ht="12" thickBot="1">
      <c r="A204" s="596" t="s">
        <v>1506</v>
      </c>
      <c r="B204" s="541" t="s">
        <v>335</v>
      </c>
      <c r="C204" s="541" t="s">
        <v>1061</v>
      </c>
      <c r="D204" s="552" t="s">
        <v>1139</v>
      </c>
      <c r="E204" s="549"/>
      <c r="F204" s="551"/>
      <c r="G204" s="550"/>
      <c r="H204" s="551"/>
      <c r="I204" s="551"/>
      <c r="J204" s="551"/>
      <c r="K204" s="551"/>
      <c r="L204" s="551"/>
      <c r="M204" s="550"/>
      <c r="N204" s="550"/>
      <c r="O204" s="551"/>
      <c r="P204" s="551"/>
      <c r="Q204" s="550"/>
      <c r="R204" s="550"/>
      <c r="S204" s="546">
        <f t="shared" si="32"/>
        <v>0</v>
      </c>
      <c r="T204" s="547">
        <f t="shared" si="33"/>
        <v>0</v>
      </c>
      <c r="U204" s="546">
        <f t="shared" si="34"/>
        <v>0</v>
      </c>
      <c r="W204" s="350">
        <f t="shared" si="35"/>
        <v>0</v>
      </c>
      <c r="X204" s="285">
        <f t="shared" si="36"/>
        <v>0</v>
      </c>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row>
    <row r="205" spans="1:46" ht="12" thickBot="1">
      <c r="A205" s="596" t="s">
        <v>1506</v>
      </c>
      <c r="B205" s="541" t="s">
        <v>336</v>
      </c>
      <c r="C205" s="541" t="s">
        <v>1062</v>
      </c>
      <c r="D205" s="552" t="s">
        <v>1139</v>
      </c>
      <c r="E205" s="543"/>
      <c r="F205" s="545"/>
      <c r="G205" s="544"/>
      <c r="H205" s="545"/>
      <c r="I205" s="545"/>
      <c r="J205" s="545"/>
      <c r="K205" s="545"/>
      <c r="L205" s="545"/>
      <c r="M205" s="544"/>
      <c r="N205" s="544"/>
      <c r="O205" s="545"/>
      <c r="P205" s="545"/>
      <c r="Q205" s="544"/>
      <c r="R205" s="544"/>
      <c r="S205" s="546">
        <f t="shared" si="32"/>
        <v>0</v>
      </c>
      <c r="T205" s="547">
        <f t="shared" si="33"/>
        <v>0</v>
      </c>
      <c r="U205" s="546">
        <f t="shared" si="34"/>
        <v>0</v>
      </c>
      <c r="W205" s="350">
        <f t="shared" si="35"/>
        <v>0</v>
      </c>
      <c r="X205" s="285">
        <f t="shared" si="36"/>
        <v>0</v>
      </c>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row>
    <row r="206" spans="1:46" ht="12" thickBot="1">
      <c r="A206" s="596" t="s">
        <v>1506</v>
      </c>
      <c r="B206" s="541" t="s">
        <v>338</v>
      </c>
      <c r="C206" s="541" t="s">
        <v>1063</v>
      </c>
      <c r="D206" s="552" t="s">
        <v>1139</v>
      </c>
      <c r="E206" s="549"/>
      <c r="F206" s="551"/>
      <c r="G206" s="550"/>
      <c r="H206" s="551"/>
      <c r="I206" s="551"/>
      <c r="J206" s="551"/>
      <c r="K206" s="551"/>
      <c r="L206" s="551"/>
      <c r="M206" s="550"/>
      <c r="N206" s="550"/>
      <c r="O206" s="551"/>
      <c r="P206" s="551"/>
      <c r="Q206" s="550"/>
      <c r="R206" s="550"/>
      <c r="S206" s="546">
        <f t="shared" si="32"/>
        <v>0</v>
      </c>
      <c r="T206" s="547">
        <f t="shared" si="33"/>
        <v>0</v>
      </c>
      <c r="U206" s="546">
        <f t="shared" si="34"/>
        <v>0</v>
      </c>
      <c r="W206" s="350">
        <f t="shared" si="35"/>
        <v>0</v>
      </c>
      <c r="X206" s="285">
        <f t="shared" si="36"/>
        <v>0</v>
      </c>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row>
    <row r="207" spans="1:46" ht="12" thickBot="1">
      <c r="A207" s="596" t="s">
        <v>1506</v>
      </c>
      <c r="B207" s="541" t="s">
        <v>339</v>
      </c>
      <c r="C207" s="541" t="s">
        <v>1064</v>
      </c>
      <c r="D207" s="552" t="s">
        <v>1139</v>
      </c>
      <c r="E207" s="543"/>
      <c r="F207" s="545"/>
      <c r="G207" s="544"/>
      <c r="H207" s="545"/>
      <c r="I207" s="545"/>
      <c r="J207" s="545"/>
      <c r="K207" s="545"/>
      <c r="L207" s="545"/>
      <c r="M207" s="544"/>
      <c r="N207" s="544"/>
      <c r="O207" s="545"/>
      <c r="P207" s="545"/>
      <c r="Q207" s="544"/>
      <c r="R207" s="544"/>
      <c r="S207" s="546">
        <f t="shared" si="32"/>
        <v>0</v>
      </c>
      <c r="T207" s="547">
        <f t="shared" si="33"/>
        <v>0</v>
      </c>
      <c r="U207" s="546">
        <f t="shared" si="34"/>
        <v>0</v>
      </c>
      <c r="W207" s="350">
        <f t="shared" si="35"/>
        <v>0</v>
      </c>
      <c r="X207" s="285">
        <f t="shared" si="36"/>
        <v>0</v>
      </c>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row>
    <row r="208" spans="1:46" ht="12" thickBot="1">
      <c r="A208" s="596" t="s">
        <v>1506</v>
      </c>
      <c r="B208" s="541" t="s">
        <v>325</v>
      </c>
      <c r="C208" s="541" t="s">
        <v>1065</v>
      </c>
      <c r="D208" s="552" t="s">
        <v>1139</v>
      </c>
      <c r="E208" s="549"/>
      <c r="F208" s="551"/>
      <c r="G208" s="550"/>
      <c r="H208" s="551"/>
      <c r="I208" s="551"/>
      <c r="J208" s="551"/>
      <c r="K208" s="551"/>
      <c r="L208" s="551"/>
      <c r="M208" s="550"/>
      <c r="N208" s="550"/>
      <c r="O208" s="551"/>
      <c r="P208" s="551"/>
      <c r="Q208" s="550"/>
      <c r="R208" s="550"/>
      <c r="S208" s="546">
        <f t="shared" si="32"/>
        <v>0</v>
      </c>
      <c r="T208" s="547">
        <f t="shared" si="33"/>
        <v>0</v>
      </c>
      <c r="U208" s="546">
        <f t="shared" si="34"/>
        <v>0</v>
      </c>
      <c r="W208" s="350">
        <f t="shared" si="35"/>
        <v>0</v>
      </c>
      <c r="X208" s="285">
        <f t="shared" si="36"/>
        <v>0</v>
      </c>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row>
    <row r="209" spans="1:46" ht="12" thickBot="1">
      <c r="A209" s="596" t="s">
        <v>1506</v>
      </c>
      <c r="B209" s="541" t="s">
        <v>334</v>
      </c>
      <c r="C209" s="541" t="s">
        <v>1066</v>
      </c>
      <c r="D209" s="552" t="s">
        <v>1139</v>
      </c>
      <c r="E209" s="543"/>
      <c r="F209" s="545"/>
      <c r="G209" s="544"/>
      <c r="H209" s="545"/>
      <c r="I209" s="545"/>
      <c r="J209" s="545"/>
      <c r="K209" s="545"/>
      <c r="L209" s="545"/>
      <c r="M209" s="544"/>
      <c r="N209" s="544"/>
      <c r="O209" s="545"/>
      <c r="P209" s="545"/>
      <c r="Q209" s="544"/>
      <c r="R209" s="544"/>
      <c r="S209" s="546">
        <f t="shared" ref="S209:S272" si="44">G209+H209+I209</f>
        <v>0</v>
      </c>
      <c r="T209" s="547">
        <f t="shared" ref="T209:T272" si="45">J209+K209</f>
        <v>0</v>
      </c>
      <c r="U209" s="546">
        <f t="shared" ref="U209:U272" si="46">N209+O209</f>
        <v>0</v>
      </c>
      <c r="W209" s="350">
        <f t="shared" ref="W209:W272" si="47">SUM(F209:Q209)</f>
        <v>0</v>
      </c>
      <c r="X209" s="285">
        <f t="shared" ref="X209:X272" si="48">W209-R209</f>
        <v>0</v>
      </c>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row>
    <row r="210" spans="1:46" ht="12" thickBot="1">
      <c r="A210" s="596" t="s">
        <v>1506</v>
      </c>
      <c r="B210" s="541" t="s">
        <v>326</v>
      </c>
      <c r="C210" s="541" t="s">
        <v>1067</v>
      </c>
      <c r="D210" s="552" t="s">
        <v>1139</v>
      </c>
      <c r="E210" s="549"/>
      <c r="F210" s="551"/>
      <c r="G210" s="550"/>
      <c r="H210" s="551"/>
      <c r="I210" s="551"/>
      <c r="J210" s="551"/>
      <c r="K210" s="551"/>
      <c r="L210" s="551"/>
      <c r="M210" s="550"/>
      <c r="N210" s="550"/>
      <c r="O210" s="551"/>
      <c r="P210" s="551"/>
      <c r="Q210" s="550"/>
      <c r="R210" s="550"/>
      <c r="S210" s="546">
        <f t="shared" si="44"/>
        <v>0</v>
      </c>
      <c r="T210" s="547">
        <f t="shared" si="45"/>
        <v>0</v>
      </c>
      <c r="U210" s="546">
        <f t="shared" si="46"/>
        <v>0</v>
      </c>
      <c r="W210" s="350">
        <f t="shared" si="47"/>
        <v>0</v>
      </c>
      <c r="X210" s="285">
        <f t="shared" si="48"/>
        <v>0</v>
      </c>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row>
    <row r="211" spans="1:46" ht="12" thickBot="1">
      <c r="A211" s="596" t="s">
        <v>1506</v>
      </c>
      <c r="B211" s="541" t="s">
        <v>330</v>
      </c>
      <c r="C211" s="541" t="s">
        <v>1068</v>
      </c>
      <c r="D211" s="552" t="s">
        <v>1139</v>
      </c>
      <c r="E211" s="543"/>
      <c r="F211" s="545"/>
      <c r="G211" s="544"/>
      <c r="H211" s="545"/>
      <c r="I211" s="545"/>
      <c r="J211" s="545"/>
      <c r="K211" s="545"/>
      <c r="L211" s="545"/>
      <c r="M211" s="544"/>
      <c r="N211" s="544"/>
      <c r="O211" s="545"/>
      <c r="P211" s="545"/>
      <c r="Q211" s="544"/>
      <c r="R211" s="544"/>
      <c r="S211" s="546">
        <f t="shared" si="44"/>
        <v>0</v>
      </c>
      <c r="T211" s="547">
        <f t="shared" si="45"/>
        <v>0</v>
      </c>
      <c r="U211" s="546">
        <f t="shared" si="46"/>
        <v>0</v>
      </c>
      <c r="W211" s="350">
        <f t="shared" si="47"/>
        <v>0</v>
      </c>
      <c r="X211" s="285">
        <f t="shared" si="48"/>
        <v>0</v>
      </c>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row>
    <row r="212" spans="1:46" ht="12" thickBot="1">
      <c r="A212" s="596" t="s">
        <v>1506</v>
      </c>
      <c r="B212" s="541" t="s">
        <v>337</v>
      </c>
      <c r="C212" s="541" t="s">
        <v>1069</v>
      </c>
      <c r="D212" s="552" t="s">
        <v>1139</v>
      </c>
      <c r="E212" s="549"/>
      <c r="F212" s="551"/>
      <c r="G212" s="550"/>
      <c r="H212" s="551"/>
      <c r="I212" s="551"/>
      <c r="J212" s="551"/>
      <c r="K212" s="551"/>
      <c r="L212" s="551"/>
      <c r="M212" s="550"/>
      <c r="N212" s="550"/>
      <c r="O212" s="551"/>
      <c r="P212" s="551"/>
      <c r="Q212" s="550"/>
      <c r="R212" s="550"/>
      <c r="S212" s="546">
        <f t="shared" si="44"/>
        <v>0</v>
      </c>
      <c r="T212" s="547">
        <f t="shared" si="45"/>
        <v>0</v>
      </c>
      <c r="U212" s="546">
        <f t="shared" si="46"/>
        <v>0</v>
      </c>
      <c r="W212" s="350">
        <f t="shared" si="47"/>
        <v>0</v>
      </c>
      <c r="X212" s="285">
        <f t="shared" si="48"/>
        <v>0</v>
      </c>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row>
    <row r="213" spans="1:46" ht="12" thickBot="1">
      <c r="A213" s="596" t="s">
        <v>1506</v>
      </c>
      <c r="B213" s="541" t="s">
        <v>329</v>
      </c>
      <c r="C213" s="541" t="s">
        <v>1070</v>
      </c>
      <c r="D213" s="552" t="s">
        <v>1139</v>
      </c>
      <c r="E213" s="543"/>
      <c r="F213" s="545"/>
      <c r="G213" s="544"/>
      <c r="H213" s="545"/>
      <c r="I213" s="545"/>
      <c r="J213" s="545"/>
      <c r="K213" s="545"/>
      <c r="L213" s="545"/>
      <c r="M213" s="544"/>
      <c r="N213" s="544"/>
      <c r="O213" s="545"/>
      <c r="P213" s="545"/>
      <c r="Q213" s="544"/>
      <c r="R213" s="544"/>
      <c r="S213" s="546">
        <f t="shared" si="44"/>
        <v>0</v>
      </c>
      <c r="T213" s="547">
        <f t="shared" si="45"/>
        <v>0</v>
      </c>
      <c r="U213" s="546">
        <f t="shared" si="46"/>
        <v>0</v>
      </c>
      <c r="W213" s="350">
        <f t="shared" si="47"/>
        <v>0</v>
      </c>
      <c r="X213" s="285">
        <f t="shared" si="48"/>
        <v>0</v>
      </c>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row>
    <row r="214" spans="1:46" ht="12" thickBot="1">
      <c r="A214" s="596" t="s">
        <v>1506</v>
      </c>
      <c r="B214" s="541" t="s">
        <v>327</v>
      </c>
      <c r="C214" s="541" t="s">
        <v>1071</v>
      </c>
      <c r="D214" s="552" t="s">
        <v>1139</v>
      </c>
      <c r="E214" s="549"/>
      <c r="F214" s="551"/>
      <c r="G214" s="550"/>
      <c r="H214" s="551"/>
      <c r="I214" s="551"/>
      <c r="J214" s="551"/>
      <c r="K214" s="551"/>
      <c r="L214" s="551"/>
      <c r="M214" s="550"/>
      <c r="N214" s="550"/>
      <c r="O214" s="551"/>
      <c r="P214" s="551"/>
      <c r="Q214" s="550"/>
      <c r="R214" s="550"/>
      <c r="S214" s="546">
        <f t="shared" si="44"/>
        <v>0</v>
      </c>
      <c r="T214" s="547">
        <f t="shared" si="45"/>
        <v>0</v>
      </c>
      <c r="U214" s="546">
        <f t="shared" si="46"/>
        <v>0</v>
      </c>
      <c r="W214" s="350">
        <f t="shared" si="47"/>
        <v>0</v>
      </c>
      <c r="X214" s="285">
        <f t="shared" si="48"/>
        <v>0</v>
      </c>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row>
    <row r="215" spans="1:46" ht="12" thickBot="1">
      <c r="A215" s="596" t="s">
        <v>1506</v>
      </c>
      <c r="B215" s="541" t="s">
        <v>453</v>
      </c>
      <c r="C215" s="541" t="s">
        <v>1072</v>
      </c>
      <c r="D215" s="552" t="s">
        <v>1139</v>
      </c>
      <c r="E215" s="543"/>
      <c r="F215" s="545"/>
      <c r="G215" s="544"/>
      <c r="H215" s="545"/>
      <c r="I215" s="545"/>
      <c r="J215" s="545"/>
      <c r="K215" s="545"/>
      <c r="L215" s="545"/>
      <c r="M215" s="544"/>
      <c r="N215" s="544"/>
      <c r="O215" s="545"/>
      <c r="P215" s="545"/>
      <c r="Q215" s="545"/>
      <c r="R215" s="544"/>
      <c r="S215" s="546">
        <f t="shared" si="44"/>
        <v>0</v>
      </c>
      <c r="T215" s="547">
        <f t="shared" si="45"/>
        <v>0</v>
      </c>
      <c r="U215" s="546">
        <f t="shared" si="46"/>
        <v>0</v>
      </c>
      <c r="W215" s="350">
        <f t="shared" si="47"/>
        <v>0</v>
      </c>
      <c r="X215" s="285">
        <f t="shared" si="48"/>
        <v>0</v>
      </c>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row>
    <row r="216" spans="1:46" ht="12" thickBot="1">
      <c r="A216" s="596" t="s">
        <v>1506</v>
      </c>
      <c r="B216" s="541" t="s">
        <v>366</v>
      </c>
      <c r="C216" s="541" t="s">
        <v>1073</v>
      </c>
      <c r="D216" s="552" t="s">
        <v>1139</v>
      </c>
      <c r="E216" s="549"/>
      <c r="F216" s="551"/>
      <c r="G216" s="550"/>
      <c r="H216" s="551"/>
      <c r="I216" s="551"/>
      <c r="J216" s="551"/>
      <c r="K216" s="551"/>
      <c r="L216" s="551"/>
      <c r="M216" s="550"/>
      <c r="N216" s="550"/>
      <c r="O216" s="551"/>
      <c r="P216" s="551"/>
      <c r="Q216" s="550"/>
      <c r="R216" s="550"/>
      <c r="S216" s="546">
        <f t="shared" si="44"/>
        <v>0</v>
      </c>
      <c r="T216" s="547">
        <f t="shared" si="45"/>
        <v>0</v>
      </c>
      <c r="U216" s="546">
        <f t="shared" si="46"/>
        <v>0</v>
      </c>
      <c r="W216" s="350">
        <f t="shared" si="47"/>
        <v>0</v>
      </c>
      <c r="X216" s="285">
        <f t="shared" si="48"/>
        <v>0</v>
      </c>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row>
    <row r="217" spans="1:46" ht="12" thickBot="1">
      <c r="A217" s="596" t="s">
        <v>1506</v>
      </c>
      <c r="B217" s="541" t="s">
        <v>386</v>
      </c>
      <c r="C217" s="541" t="s">
        <v>1074</v>
      </c>
      <c r="D217" s="552" t="s">
        <v>1140</v>
      </c>
      <c r="E217" s="543"/>
      <c r="F217" s="545"/>
      <c r="G217" s="544"/>
      <c r="H217" s="545"/>
      <c r="I217" s="545"/>
      <c r="J217" s="545"/>
      <c r="K217" s="545"/>
      <c r="L217" s="545"/>
      <c r="M217" s="544"/>
      <c r="N217" s="544"/>
      <c r="O217" s="545"/>
      <c r="P217" s="545"/>
      <c r="Q217" s="544"/>
      <c r="R217" s="544"/>
      <c r="S217" s="546">
        <f t="shared" si="44"/>
        <v>0</v>
      </c>
      <c r="T217" s="547">
        <f t="shared" si="45"/>
        <v>0</v>
      </c>
      <c r="U217" s="546">
        <f t="shared" si="46"/>
        <v>0</v>
      </c>
      <c r="W217" s="350">
        <f t="shared" si="47"/>
        <v>0</v>
      </c>
      <c r="X217" s="285">
        <f t="shared" si="48"/>
        <v>0</v>
      </c>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row>
    <row r="218" spans="1:46" ht="12" thickBot="1">
      <c r="A218" s="596" t="s">
        <v>1506</v>
      </c>
      <c r="B218" s="541" t="s">
        <v>342</v>
      </c>
      <c r="C218" s="541" t="s">
        <v>251</v>
      </c>
      <c r="D218" s="552" t="s">
        <v>1139</v>
      </c>
      <c r="E218" s="549"/>
      <c r="F218" s="551"/>
      <c r="G218" s="550"/>
      <c r="H218" s="551"/>
      <c r="I218" s="551"/>
      <c r="J218" s="551"/>
      <c r="K218" s="551"/>
      <c r="L218" s="551"/>
      <c r="M218" s="550"/>
      <c r="N218" s="550"/>
      <c r="O218" s="551"/>
      <c r="P218" s="551"/>
      <c r="Q218" s="550"/>
      <c r="R218" s="550"/>
      <c r="S218" s="546">
        <f t="shared" si="44"/>
        <v>0</v>
      </c>
      <c r="T218" s="547">
        <f t="shared" si="45"/>
        <v>0</v>
      </c>
      <c r="U218" s="546">
        <f t="shared" si="46"/>
        <v>0</v>
      </c>
      <c r="W218" s="350">
        <f t="shared" si="47"/>
        <v>0</v>
      </c>
      <c r="X218" s="285">
        <f t="shared" si="48"/>
        <v>0</v>
      </c>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row>
    <row r="219" spans="1:46" ht="12" thickBot="1">
      <c r="A219" s="596" t="s">
        <v>1506</v>
      </c>
      <c r="B219" s="541" t="s">
        <v>382</v>
      </c>
      <c r="C219" s="541" t="s">
        <v>1075</v>
      </c>
      <c r="D219" s="552" t="s">
        <v>1140</v>
      </c>
      <c r="E219" s="543"/>
      <c r="F219" s="545"/>
      <c r="G219" s="544"/>
      <c r="H219" s="545"/>
      <c r="I219" s="545"/>
      <c r="J219" s="545"/>
      <c r="K219" s="545"/>
      <c r="L219" s="545"/>
      <c r="M219" s="544"/>
      <c r="N219" s="544"/>
      <c r="O219" s="545"/>
      <c r="P219" s="545"/>
      <c r="Q219" s="544"/>
      <c r="R219" s="544"/>
      <c r="S219" s="546">
        <f t="shared" si="44"/>
        <v>0</v>
      </c>
      <c r="T219" s="547">
        <f t="shared" si="45"/>
        <v>0</v>
      </c>
      <c r="U219" s="546">
        <f t="shared" si="46"/>
        <v>0</v>
      </c>
      <c r="W219" s="350">
        <f t="shared" si="47"/>
        <v>0</v>
      </c>
      <c r="X219" s="285">
        <f t="shared" si="48"/>
        <v>0</v>
      </c>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row>
    <row r="220" spans="1:46" ht="12" thickBot="1">
      <c r="A220" s="596" t="s">
        <v>1506</v>
      </c>
      <c r="B220" s="541" t="s">
        <v>360</v>
      </c>
      <c r="C220" s="541" t="s">
        <v>1076</v>
      </c>
      <c r="D220" s="552" t="s">
        <v>1140</v>
      </c>
      <c r="E220" s="549"/>
      <c r="F220" s="551"/>
      <c r="G220" s="550"/>
      <c r="H220" s="551"/>
      <c r="I220" s="551"/>
      <c r="J220" s="551"/>
      <c r="K220" s="551"/>
      <c r="L220" s="551"/>
      <c r="M220" s="550"/>
      <c r="N220" s="550"/>
      <c r="O220" s="551"/>
      <c r="P220" s="551"/>
      <c r="Q220" s="550"/>
      <c r="R220" s="550"/>
      <c r="S220" s="546">
        <f t="shared" si="44"/>
        <v>0</v>
      </c>
      <c r="T220" s="547">
        <f t="shared" si="45"/>
        <v>0</v>
      </c>
      <c r="U220" s="546">
        <f t="shared" si="46"/>
        <v>0</v>
      </c>
      <c r="W220" s="350">
        <f t="shared" si="47"/>
        <v>0</v>
      </c>
      <c r="X220" s="285">
        <f t="shared" si="48"/>
        <v>0</v>
      </c>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row>
    <row r="221" spans="1:46" ht="12" thickBot="1">
      <c r="A221" s="596" t="s">
        <v>1506</v>
      </c>
      <c r="B221" s="541" t="s">
        <v>368</v>
      </c>
      <c r="C221" s="541" t="s">
        <v>1077</v>
      </c>
      <c r="D221" s="552" t="s">
        <v>1139</v>
      </c>
      <c r="E221" s="543"/>
      <c r="F221" s="545"/>
      <c r="G221" s="544"/>
      <c r="H221" s="545"/>
      <c r="I221" s="545"/>
      <c r="J221" s="545"/>
      <c r="K221" s="545"/>
      <c r="L221" s="545"/>
      <c r="M221" s="544"/>
      <c r="N221" s="544"/>
      <c r="O221" s="545"/>
      <c r="P221" s="545"/>
      <c r="Q221" s="544"/>
      <c r="R221" s="544"/>
      <c r="S221" s="546">
        <f t="shared" si="44"/>
        <v>0</v>
      </c>
      <c r="T221" s="547">
        <f t="shared" si="45"/>
        <v>0</v>
      </c>
      <c r="U221" s="546">
        <f t="shared" si="46"/>
        <v>0</v>
      </c>
      <c r="W221" s="350">
        <f t="shared" si="47"/>
        <v>0</v>
      </c>
      <c r="X221" s="285">
        <f t="shared" si="48"/>
        <v>0</v>
      </c>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row>
    <row r="222" spans="1:46" ht="12" thickBot="1">
      <c r="A222" s="596" t="s">
        <v>1506</v>
      </c>
      <c r="B222" s="541" t="s">
        <v>370</v>
      </c>
      <c r="C222" s="541" t="s">
        <v>1078</v>
      </c>
      <c r="D222" s="552" t="s">
        <v>1140</v>
      </c>
      <c r="E222" s="549"/>
      <c r="F222" s="551"/>
      <c r="G222" s="550"/>
      <c r="H222" s="551"/>
      <c r="I222" s="551"/>
      <c r="J222" s="551"/>
      <c r="K222" s="551"/>
      <c r="L222" s="551"/>
      <c r="M222" s="550"/>
      <c r="N222" s="550"/>
      <c r="O222" s="551"/>
      <c r="P222" s="551"/>
      <c r="Q222" s="550"/>
      <c r="R222" s="550"/>
      <c r="S222" s="546">
        <f t="shared" si="44"/>
        <v>0</v>
      </c>
      <c r="T222" s="547">
        <f t="shared" si="45"/>
        <v>0</v>
      </c>
      <c r="U222" s="546">
        <f t="shared" si="46"/>
        <v>0</v>
      </c>
      <c r="W222" s="350">
        <f t="shared" si="47"/>
        <v>0</v>
      </c>
      <c r="X222" s="285">
        <f t="shared" si="48"/>
        <v>0</v>
      </c>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row>
    <row r="223" spans="1:46" ht="12" thickBot="1">
      <c r="A223" s="596" t="s">
        <v>1506</v>
      </c>
      <c r="B223" s="541" t="s">
        <v>393</v>
      </c>
      <c r="C223" s="541" t="s">
        <v>1079</v>
      </c>
      <c r="D223" s="552" t="s">
        <v>1140</v>
      </c>
      <c r="E223" s="543"/>
      <c r="F223" s="545"/>
      <c r="G223" s="544"/>
      <c r="H223" s="545"/>
      <c r="I223" s="545"/>
      <c r="J223" s="545"/>
      <c r="K223" s="545"/>
      <c r="L223" s="545"/>
      <c r="M223" s="544"/>
      <c r="N223" s="544"/>
      <c r="O223" s="545"/>
      <c r="P223" s="545"/>
      <c r="Q223" s="544"/>
      <c r="R223" s="544"/>
      <c r="S223" s="546">
        <f t="shared" si="44"/>
        <v>0</v>
      </c>
      <c r="T223" s="547">
        <f t="shared" si="45"/>
        <v>0</v>
      </c>
      <c r="U223" s="546">
        <f t="shared" si="46"/>
        <v>0</v>
      </c>
      <c r="W223" s="350">
        <f t="shared" si="47"/>
        <v>0</v>
      </c>
      <c r="X223" s="285">
        <f t="shared" si="48"/>
        <v>0</v>
      </c>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row>
    <row r="224" spans="1:46" ht="12" thickBot="1">
      <c r="A224" s="596" t="s">
        <v>1506</v>
      </c>
      <c r="B224" s="541" t="s">
        <v>371</v>
      </c>
      <c r="C224" s="541" t="s">
        <v>1080</v>
      </c>
      <c r="D224" s="552" t="s">
        <v>1139</v>
      </c>
      <c r="E224" s="549"/>
      <c r="F224" s="551"/>
      <c r="G224" s="550"/>
      <c r="H224" s="551"/>
      <c r="I224" s="551"/>
      <c r="J224" s="551"/>
      <c r="K224" s="551"/>
      <c r="L224" s="551"/>
      <c r="M224" s="550"/>
      <c r="N224" s="550"/>
      <c r="O224" s="551"/>
      <c r="P224" s="551"/>
      <c r="Q224" s="550"/>
      <c r="R224" s="550"/>
      <c r="S224" s="546">
        <f t="shared" si="44"/>
        <v>0</v>
      </c>
      <c r="T224" s="547">
        <f t="shared" si="45"/>
        <v>0</v>
      </c>
      <c r="U224" s="546">
        <f t="shared" si="46"/>
        <v>0</v>
      </c>
      <c r="W224" s="350">
        <f t="shared" si="47"/>
        <v>0</v>
      </c>
      <c r="X224" s="285">
        <f t="shared" si="48"/>
        <v>0</v>
      </c>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row>
    <row r="225" spans="1:46" ht="12" thickBot="1">
      <c r="A225" s="596" t="s">
        <v>1506</v>
      </c>
      <c r="B225" s="541" t="s">
        <v>394</v>
      </c>
      <c r="C225" s="541" t="s">
        <v>1081</v>
      </c>
      <c r="D225" s="552" t="s">
        <v>1139</v>
      </c>
      <c r="E225" s="543"/>
      <c r="F225" s="545"/>
      <c r="G225" s="544"/>
      <c r="H225" s="545"/>
      <c r="I225" s="545"/>
      <c r="J225" s="545"/>
      <c r="K225" s="545"/>
      <c r="L225" s="545"/>
      <c r="M225" s="544"/>
      <c r="N225" s="544"/>
      <c r="O225" s="545"/>
      <c r="P225" s="545"/>
      <c r="Q225" s="544"/>
      <c r="R225" s="544"/>
      <c r="S225" s="546">
        <f t="shared" si="44"/>
        <v>0</v>
      </c>
      <c r="T225" s="547">
        <f t="shared" si="45"/>
        <v>0</v>
      </c>
      <c r="U225" s="546">
        <f t="shared" si="46"/>
        <v>0</v>
      </c>
      <c r="W225" s="350">
        <f t="shared" si="47"/>
        <v>0</v>
      </c>
      <c r="X225" s="285">
        <f t="shared" si="48"/>
        <v>0</v>
      </c>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row>
    <row r="226" spans="1:46" ht="12" thickBot="1">
      <c r="A226" s="596" t="s">
        <v>1506</v>
      </c>
      <c r="B226" s="541" t="s">
        <v>389</v>
      </c>
      <c r="C226" s="541" t="s">
        <v>1082</v>
      </c>
      <c r="D226" s="552" t="s">
        <v>1139</v>
      </c>
      <c r="E226" s="549"/>
      <c r="F226" s="551"/>
      <c r="G226" s="550"/>
      <c r="H226" s="551"/>
      <c r="I226" s="551"/>
      <c r="J226" s="551"/>
      <c r="K226" s="551"/>
      <c r="L226" s="551"/>
      <c r="M226" s="550"/>
      <c r="N226" s="550"/>
      <c r="O226" s="551"/>
      <c r="P226" s="551"/>
      <c r="Q226" s="550"/>
      <c r="R226" s="550"/>
      <c r="S226" s="546">
        <f t="shared" si="44"/>
        <v>0</v>
      </c>
      <c r="T226" s="547">
        <f t="shared" si="45"/>
        <v>0</v>
      </c>
      <c r="U226" s="546">
        <f t="shared" si="46"/>
        <v>0</v>
      </c>
      <c r="W226" s="350">
        <f t="shared" si="47"/>
        <v>0</v>
      </c>
      <c r="X226" s="285">
        <f t="shared" si="48"/>
        <v>0</v>
      </c>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row>
    <row r="227" spans="1:46" ht="12" thickBot="1">
      <c r="A227" s="596" t="s">
        <v>1506</v>
      </c>
      <c r="B227" s="541" t="s">
        <v>310</v>
      </c>
      <c r="C227" s="541" t="s">
        <v>1083</v>
      </c>
      <c r="D227" s="552" t="s">
        <v>1140</v>
      </c>
      <c r="E227" s="543"/>
      <c r="F227" s="545"/>
      <c r="G227" s="544"/>
      <c r="H227" s="545"/>
      <c r="I227" s="545"/>
      <c r="J227" s="545"/>
      <c r="K227" s="545"/>
      <c r="L227" s="545"/>
      <c r="M227" s="544"/>
      <c r="N227" s="544"/>
      <c r="O227" s="545"/>
      <c r="P227" s="545"/>
      <c r="Q227" s="544"/>
      <c r="R227" s="544"/>
      <c r="S227" s="546">
        <f t="shared" si="44"/>
        <v>0</v>
      </c>
      <c r="T227" s="547">
        <f t="shared" si="45"/>
        <v>0</v>
      </c>
      <c r="U227" s="546">
        <f t="shared" si="46"/>
        <v>0</v>
      </c>
      <c r="W227" s="350">
        <f t="shared" si="47"/>
        <v>0</v>
      </c>
      <c r="X227" s="285">
        <f t="shared" si="48"/>
        <v>0</v>
      </c>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row>
    <row r="228" spans="1:46" ht="12" thickBot="1">
      <c r="A228" s="596" t="s">
        <v>1506</v>
      </c>
      <c r="B228" s="541" t="s">
        <v>340</v>
      </c>
      <c r="C228" s="541" t="s">
        <v>1084</v>
      </c>
      <c r="D228" s="552" t="s">
        <v>1140</v>
      </c>
      <c r="E228" s="549"/>
      <c r="F228" s="551"/>
      <c r="G228" s="550"/>
      <c r="H228" s="551"/>
      <c r="I228" s="551"/>
      <c r="J228" s="551"/>
      <c r="K228" s="551"/>
      <c r="L228" s="551"/>
      <c r="M228" s="550"/>
      <c r="N228" s="550"/>
      <c r="O228" s="551"/>
      <c r="P228" s="551"/>
      <c r="Q228" s="550"/>
      <c r="R228" s="550"/>
      <c r="S228" s="546">
        <f t="shared" si="44"/>
        <v>0</v>
      </c>
      <c r="T228" s="547">
        <f t="shared" si="45"/>
        <v>0</v>
      </c>
      <c r="U228" s="546">
        <f t="shared" si="46"/>
        <v>0</v>
      </c>
      <c r="W228" s="350">
        <f t="shared" si="47"/>
        <v>0</v>
      </c>
      <c r="X228" s="285">
        <f t="shared" si="48"/>
        <v>0</v>
      </c>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row>
    <row r="229" spans="1:46" ht="12" thickBot="1">
      <c r="A229" s="596" t="s">
        <v>1506</v>
      </c>
      <c r="B229" s="541" t="s">
        <v>358</v>
      </c>
      <c r="C229" s="541" t="s">
        <v>1085</v>
      </c>
      <c r="D229" s="552" t="s">
        <v>1140</v>
      </c>
      <c r="E229" s="543"/>
      <c r="F229" s="545"/>
      <c r="G229" s="544"/>
      <c r="H229" s="545"/>
      <c r="I229" s="545"/>
      <c r="J229" s="545"/>
      <c r="K229" s="545"/>
      <c r="L229" s="545"/>
      <c r="M229" s="544"/>
      <c r="N229" s="544"/>
      <c r="O229" s="545"/>
      <c r="P229" s="545"/>
      <c r="Q229" s="544"/>
      <c r="R229" s="544"/>
      <c r="S229" s="546">
        <f t="shared" si="44"/>
        <v>0</v>
      </c>
      <c r="T229" s="547">
        <f t="shared" si="45"/>
        <v>0</v>
      </c>
      <c r="U229" s="546">
        <f t="shared" si="46"/>
        <v>0</v>
      </c>
      <c r="W229" s="350">
        <f t="shared" si="47"/>
        <v>0</v>
      </c>
      <c r="X229" s="285">
        <f t="shared" si="48"/>
        <v>0</v>
      </c>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row>
    <row r="230" spans="1:46" ht="12" thickBot="1">
      <c r="A230" s="596" t="s">
        <v>1506</v>
      </c>
      <c r="B230" s="541" t="s">
        <v>383</v>
      </c>
      <c r="C230" s="541" t="s">
        <v>1086</v>
      </c>
      <c r="D230" s="552" t="s">
        <v>1140</v>
      </c>
      <c r="E230" s="549"/>
      <c r="F230" s="551"/>
      <c r="G230" s="550"/>
      <c r="H230" s="551"/>
      <c r="I230" s="551"/>
      <c r="J230" s="551"/>
      <c r="K230" s="551"/>
      <c r="L230" s="551"/>
      <c r="M230" s="550"/>
      <c r="N230" s="550"/>
      <c r="O230" s="551"/>
      <c r="P230" s="551"/>
      <c r="Q230" s="550"/>
      <c r="R230" s="550"/>
      <c r="S230" s="546">
        <f t="shared" si="44"/>
        <v>0</v>
      </c>
      <c r="T230" s="547">
        <f t="shared" si="45"/>
        <v>0</v>
      </c>
      <c r="U230" s="546">
        <f t="shared" si="46"/>
        <v>0</v>
      </c>
      <c r="W230" s="350">
        <f t="shared" si="47"/>
        <v>0</v>
      </c>
      <c r="X230" s="285">
        <f t="shared" si="48"/>
        <v>0</v>
      </c>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row>
    <row r="231" spans="1:46" ht="12" thickBot="1">
      <c r="A231" s="596" t="s">
        <v>1506</v>
      </c>
      <c r="B231" s="541" t="s">
        <v>375</v>
      </c>
      <c r="C231" s="541" t="s">
        <v>1087</v>
      </c>
      <c r="D231" s="552" t="s">
        <v>1140</v>
      </c>
      <c r="E231" s="543"/>
      <c r="F231" s="545"/>
      <c r="G231" s="544"/>
      <c r="H231" s="545"/>
      <c r="I231" s="545"/>
      <c r="J231" s="545"/>
      <c r="K231" s="545"/>
      <c r="L231" s="545"/>
      <c r="M231" s="544"/>
      <c r="N231" s="544"/>
      <c r="O231" s="545"/>
      <c r="P231" s="545"/>
      <c r="Q231" s="544"/>
      <c r="R231" s="544"/>
      <c r="S231" s="546">
        <f t="shared" si="44"/>
        <v>0</v>
      </c>
      <c r="T231" s="547">
        <f t="shared" si="45"/>
        <v>0</v>
      </c>
      <c r="U231" s="546">
        <f t="shared" si="46"/>
        <v>0</v>
      </c>
      <c r="W231" s="350">
        <f t="shared" si="47"/>
        <v>0</v>
      </c>
      <c r="X231" s="285">
        <f t="shared" si="48"/>
        <v>0</v>
      </c>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row>
    <row r="232" spans="1:46" ht="12" thickBot="1">
      <c r="A232" s="596" t="s">
        <v>1506</v>
      </c>
      <c r="B232" s="541" t="s">
        <v>400</v>
      </c>
      <c r="C232" s="541" t="s">
        <v>1088</v>
      </c>
      <c r="D232" s="552" t="s">
        <v>1139</v>
      </c>
      <c r="E232" s="549"/>
      <c r="F232" s="551"/>
      <c r="G232" s="550"/>
      <c r="H232" s="551"/>
      <c r="I232" s="551"/>
      <c r="J232" s="551"/>
      <c r="K232" s="551"/>
      <c r="L232" s="551"/>
      <c r="M232" s="550"/>
      <c r="N232" s="550"/>
      <c r="O232" s="551"/>
      <c r="P232" s="551"/>
      <c r="Q232" s="550"/>
      <c r="R232" s="550"/>
      <c r="S232" s="546">
        <f t="shared" si="44"/>
        <v>0</v>
      </c>
      <c r="T232" s="547">
        <f t="shared" si="45"/>
        <v>0</v>
      </c>
      <c r="U232" s="546">
        <f t="shared" si="46"/>
        <v>0</v>
      </c>
      <c r="W232" s="350">
        <f t="shared" si="47"/>
        <v>0</v>
      </c>
      <c r="X232" s="285">
        <f t="shared" si="48"/>
        <v>0</v>
      </c>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row>
    <row r="233" spans="1:46" ht="12" thickBot="1">
      <c r="A233" s="596" t="s">
        <v>1506</v>
      </c>
      <c r="B233" s="541" t="s">
        <v>391</v>
      </c>
      <c r="C233" s="541" t="s">
        <v>1089</v>
      </c>
      <c r="D233" s="552" t="s">
        <v>1139</v>
      </c>
      <c r="E233" s="543"/>
      <c r="F233" s="545"/>
      <c r="G233" s="544"/>
      <c r="H233" s="545"/>
      <c r="I233" s="545"/>
      <c r="J233" s="545"/>
      <c r="K233" s="545"/>
      <c r="L233" s="545"/>
      <c r="M233" s="544"/>
      <c r="N233" s="544"/>
      <c r="O233" s="545"/>
      <c r="P233" s="545"/>
      <c r="Q233" s="544"/>
      <c r="R233" s="544"/>
      <c r="S233" s="546">
        <f t="shared" si="44"/>
        <v>0</v>
      </c>
      <c r="T233" s="547">
        <f t="shared" si="45"/>
        <v>0</v>
      </c>
      <c r="U233" s="546">
        <f t="shared" si="46"/>
        <v>0</v>
      </c>
      <c r="W233" s="350">
        <f t="shared" si="47"/>
        <v>0</v>
      </c>
      <c r="X233" s="285">
        <f t="shared" si="48"/>
        <v>0</v>
      </c>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row>
    <row r="234" spans="1:46" ht="12" thickBot="1">
      <c r="A234" s="596" t="s">
        <v>1506</v>
      </c>
      <c r="B234" s="541" t="s">
        <v>357</v>
      </c>
      <c r="C234" s="541" t="s">
        <v>1090</v>
      </c>
      <c r="D234" s="552" t="s">
        <v>1140</v>
      </c>
      <c r="E234" s="549"/>
      <c r="F234" s="551"/>
      <c r="G234" s="550"/>
      <c r="H234" s="551"/>
      <c r="I234" s="551"/>
      <c r="J234" s="551"/>
      <c r="K234" s="551"/>
      <c r="L234" s="551"/>
      <c r="M234" s="550"/>
      <c r="N234" s="550"/>
      <c r="O234" s="551"/>
      <c r="P234" s="551"/>
      <c r="Q234" s="550"/>
      <c r="R234" s="550"/>
      <c r="S234" s="546">
        <f t="shared" si="44"/>
        <v>0</v>
      </c>
      <c r="T234" s="547">
        <f t="shared" si="45"/>
        <v>0</v>
      </c>
      <c r="U234" s="546">
        <f t="shared" si="46"/>
        <v>0</v>
      </c>
      <c r="W234" s="350">
        <f t="shared" si="47"/>
        <v>0</v>
      </c>
      <c r="X234" s="285">
        <f t="shared" si="48"/>
        <v>0</v>
      </c>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row>
    <row r="235" spans="1:46" ht="12" thickBot="1">
      <c r="A235" s="596" t="s">
        <v>1506</v>
      </c>
      <c r="B235" s="541" t="s">
        <v>359</v>
      </c>
      <c r="C235" s="541" t="s">
        <v>1091</v>
      </c>
      <c r="D235" s="552" t="s">
        <v>1140</v>
      </c>
      <c r="E235" s="543"/>
      <c r="F235" s="545"/>
      <c r="G235" s="544"/>
      <c r="H235" s="545"/>
      <c r="I235" s="545"/>
      <c r="J235" s="545"/>
      <c r="K235" s="545"/>
      <c r="L235" s="545"/>
      <c r="M235" s="544"/>
      <c r="N235" s="544"/>
      <c r="O235" s="545"/>
      <c r="P235" s="545"/>
      <c r="Q235" s="544"/>
      <c r="R235" s="544"/>
      <c r="S235" s="546">
        <f t="shared" si="44"/>
        <v>0</v>
      </c>
      <c r="T235" s="547">
        <f t="shared" si="45"/>
        <v>0</v>
      </c>
      <c r="U235" s="546">
        <f t="shared" si="46"/>
        <v>0</v>
      </c>
      <c r="W235" s="350">
        <f t="shared" si="47"/>
        <v>0</v>
      </c>
      <c r="X235" s="285">
        <f t="shared" si="48"/>
        <v>0</v>
      </c>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row>
    <row r="236" spans="1:46" ht="12" thickBot="1">
      <c r="A236" s="596" t="s">
        <v>1506</v>
      </c>
      <c r="B236" s="541" t="s">
        <v>385</v>
      </c>
      <c r="C236" s="541" t="s">
        <v>1092</v>
      </c>
      <c r="D236" s="552" t="s">
        <v>1140</v>
      </c>
      <c r="E236" s="549"/>
      <c r="F236" s="551"/>
      <c r="G236" s="550"/>
      <c r="H236" s="551"/>
      <c r="I236" s="551"/>
      <c r="J236" s="551"/>
      <c r="K236" s="551"/>
      <c r="L236" s="551"/>
      <c r="M236" s="550"/>
      <c r="N236" s="550"/>
      <c r="O236" s="551"/>
      <c r="P236" s="551"/>
      <c r="Q236" s="550"/>
      <c r="R236" s="550"/>
      <c r="S236" s="546">
        <f t="shared" si="44"/>
        <v>0</v>
      </c>
      <c r="T236" s="547">
        <f t="shared" si="45"/>
        <v>0</v>
      </c>
      <c r="U236" s="546">
        <f t="shared" si="46"/>
        <v>0</v>
      </c>
      <c r="W236" s="350">
        <f t="shared" si="47"/>
        <v>0</v>
      </c>
      <c r="X236" s="285">
        <f t="shared" si="48"/>
        <v>0</v>
      </c>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row>
    <row r="237" spans="1:46" ht="12" thickBot="1">
      <c r="A237" s="596" t="s">
        <v>1506</v>
      </c>
      <c r="B237" s="541" t="s">
        <v>312</v>
      </c>
      <c r="C237" s="541" t="s">
        <v>1093</v>
      </c>
      <c r="D237" s="552" t="s">
        <v>1140</v>
      </c>
      <c r="E237" s="543"/>
      <c r="F237" s="545"/>
      <c r="G237" s="544"/>
      <c r="H237" s="545"/>
      <c r="I237" s="545"/>
      <c r="J237" s="545"/>
      <c r="K237" s="545"/>
      <c r="L237" s="545"/>
      <c r="M237" s="544"/>
      <c r="N237" s="544"/>
      <c r="O237" s="545"/>
      <c r="P237" s="545"/>
      <c r="Q237" s="544"/>
      <c r="R237" s="544"/>
      <c r="S237" s="546">
        <f t="shared" si="44"/>
        <v>0</v>
      </c>
      <c r="T237" s="547">
        <f t="shared" si="45"/>
        <v>0</v>
      </c>
      <c r="U237" s="546">
        <f t="shared" si="46"/>
        <v>0</v>
      </c>
      <c r="W237" s="350">
        <f t="shared" si="47"/>
        <v>0</v>
      </c>
      <c r="X237" s="285">
        <f t="shared" si="48"/>
        <v>0</v>
      </c>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row>
    <row r="238" spans="1:46" ht="12" thickBot="1">
      <c r="A238" s="596" t="s">
        <v>1506</v>
      </c>
      <c r="B238" s="541" t="s">
        <v>421</v>
      </c>
      <c r="C238" s="541" t="s">
        <v>1094</v>
      </c>
      <c r="D238" s="552" t="s">
        <v>1140</v>
      </c>
      <c r="E238" s="549"/>
      <c r="F238" s="551"/>
      <c r="G238" s="550"/>
      <c r="H238" s="551"/>
      <c r="I238" s="551"/>
      <c r="J238" s="551"/>
      <c r="K238" s="551"/>
      <c r="L238" s="551"/>
      <c r="M238" s="550"/>
      <c r="N238" s="550"/>
      <c r="O238" s="551"/>
      <c r="P238" s="551"/>
      <c r="Q238" s="550"/>
      <c r="R238" s="550"/>
      <c r="S238" s="546">
        <f t="shared" si="44"/>
        <v>0</v>
      </c>
      <c r="T238" s="547">
        <f t="shared" si="45"/>
        <v>0</v>
      </c>
      <c r="U238" s="546">
        <f t="shared" si="46"/>
        <v>0</v>
      </c>
      <c r="W238" s="350">
        <f t="shared" si="47"/>
        <v>0</v>
      </c>
      <c r="X238" s="285">
        <f t="shared" si="48"/>
        <v>0</v>
      </c>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row>
    <row r="239" spans="1:46" ht="12" thickBot="1">
      <c r="A239" s="596" t="s">
        <v>1506</v>
      </c>
      <c r="B239" s="541" t="s">
        <v>322</v>
      </c>
      <c r="C239" s="541" t="s">
        <v>1095</v>
      </c>
      <c r="D239" s="552" t="s">
        <v>1139</v>
      </c>
      <c r="E239" s="543"/>
      <c r="F239" s="545"/>
      <c r="G239" s="544"/>
      <c r="H239" s="545"/>
      <c r="I239" s="545"/>
      <c r="J239" s="545"/>
      <c r="K239" s="545"/>
      <c r="L239" s="545"/>
      <c r="M239" s="544"/>
      <c r="N239" s="544"/>
      <c r="O239" s="545"/>
      <c r="P239" s="545"/>
      <c r="Q239" s="544"/>
      <c r="R239" s="544"/>
      <c r="S239" s="546">
        <f t="shared" si="44"/>
        <v>0</v>
      </c>
      <c r="T239" s="547">
        <f t="shared" si="45"/>
        <v>0</v>
      </c>
      <c r="U239" s="546">
        <f t="shared" si="46"/>
        <v>0</v>
      </c>
      <c r="W239" s="350">
        <f t="shared" si="47"/>
        <v>0</v>
      </c>
      <c r="X239" s="285">
        <f t="shared" si="48"/>
        <v>0</v>
      </c>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row>
    <row r="240" spans="1:46" ht="12" thickBot="1">
      <c r="A240" s="596" t="s">
        <v>1506</v>
      </c>
      <c r="B240" s="541" t="s">
        <v>354</v>
      </c>
      <c r="C240" s="541" t="s">
        <v>1096</v>
      </c>
      <c r="D240" s="552" t="s">
        <v>1139</v>
      </c>
      <c r="E240" s="549"/>
      <c r="F240" s="551"/>
      <c r="G240" s="550"/>
      <c r="H240" s="551"/>
      <c r="I240" s="551"/>
      <c r="J240" s="551"/>
      <c r="K240" s="551"/>
      <c r="L240" s="551"/>
      <c r="M240" s="550"/>
      <c r="N240" s="550"/>
      <c r="O240" s="551"/>
      <c r="P240" s="551"/>
      <c r="Q240" s="550"/>
      <c r="R240" s="550"/>
      <c r="S240" s="546">
        <f t="shared" si="44"/>
        <v>0</v>
      </c>
      <c r="T240" s="547">
        <f t="shared" si="45"/>
        <v>0</v>
      </c>
      <c r="U240" s="546">
        <f t="shared" si="46"/>
        <v>0</v>
      </c>
      <c r="W240" s="350">
        <f t="shared" si="47"/>
        <v>0</v>
      </c>
      <c r="X240" s="285">
        <f t="shared" si="48"/>
        <v>0</v>
      </c>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row>
    <row r="241" spans="1:46" ht="12" thickBot="1">
      <c r="A241" s="596" t="s">
        <v>1506</v>
      </c>
      <c r="B241" s="541" t="s">
        <v>317</v>
      </c>
      <c r="C241" s="541" t="s">
        <v>1097</v>
      </c>
      <c r="D241" s="552" t="s">
        <v>1139</v>
      </c>
      <c r="E241" s="543"/>
      <c r="F241" s="545"/>
      <c r="G241" s="544"/>
      <c r="H241" s="545"/>
      <c r="I241" s="545"/>
      <c r="J241" s="545"/>
      <c r="K241" s="545"/>
      <c r="L241" s="545"/>
      <c r="M241" s="544"/>
      <c r="N241" s="544"/>
      <c r="O241" s="545"/>
      <c r="P241" s="545"/>
      <c r="Q241" s="544"/>
      <c r="R241" s="544"/>
      <c r="S241" s="546">
        <f t="shared" si="44"/>
        <v>0</v>
      </c>
      <c r="T241" s="547">
        <f t="shared" si="45"/>
        <v>0</v>
      </c>
      <c r="U241" s="546">
        <f t="shared" si="46"/>
        <v>0</v>
      </c>
      <c r="W241" s="350">
        <f t="shared" si="47"/>
        <v>0</v>
      </c>
      <c r="X241" s="285">
        <f t="shared" si="48"/>
        <v>0</v>
      </c>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row>
    <row r="242" spans="1:46" ht="12" thickBot="1">
      <c r="A242" s="596" t="s">
        <v>1506</v>
      </c>
      <c r="B242" s="541" t="s">
        <v>320</v>
      </c>
      <c r="C242" s="541" t="s">
        <v>1098</v>
      </c>
      <c r="D242" s="552" t="s">
        <v>1140</v>
      </c>
      <c r="E242" s="549"/>
      <c r="F242" s="551"/>
      <c r="G242" s="550"/>
      <c r="H242" s="551"/>
      <c r="I242" s="551"/>
      <c r="J242" s="551"/>
      <c r="K242" s="551"/>
      <c r="L242" s="551"/>
      <c r="M242" s="550"/>
      <c r="N242" s="550"/>
      <c r="O242" s="551"/>
      <c r="P242" s="551"/>
      <c r="Q242" s="550"/>
      <c r="R242" s="550"/>
      <c r="S242" s="546">
        <f t="shared" si="44"/>
        <v>0</v>
      </c>
      <c r="T242" s="547">
        <f t="shared" si="45"/>
        <v>0</v>
      </c>
      <c r="U242" s="546">
        <f t="shared" si="46"/>
        <v>0</v>
      </c>
      <c r="W242" s="350">
        <f t="shared" si="47"/>
        <v>0</v>
      </c>
      <c r="X242" s="285">
        <f t="shared" si="48"/>
        <v>0</v>
      </c>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row>
    <row r="243" spans="1:46" ht="12" thickBot="1">
      <c r="A243" s="596" t="s">
        <v>1506</v>
      </c>
      <c r="B243" s="541" t="s">
        <v>352</v>
      </c>
      <c r="C243" s="541" t="s">
        <v>1099</v>
      </c>
      <c r="D243" s="552" t="s">
        <v>1140</v>
      </c>
      <c r="E243" s="543"/>
      <c r="F243" s="545"/>
      <c r="G243" s="544"/>
      <c r="H243" s="545"/>
      <c r="I243" s="545"/>
      <c r="J243" s="545"/>
      <c r="K243" s="545"/>
      <c r="L243" s="545"/>
      <c r="M243" s="544"/>
      <c r="N243" s="544"/>
      <c r="O243" s="545"/>
      <c r="P243" s="545"/>
      <c r="Q243" s="544"/>
      <c r="R243" s="544"/>
      <c r="S243" s="546">
        <f t="shared" si="44"/>
        <v>0</v>
      </c>
      <c r="T243" s="547">
        <f t="shared" si="45"/>
        <v>0</v>
      </c>
      <c r="U243" s="546">
        <f t="shared" si="46"/>
        <v>0</v>
      </c>
      <c r="W243" s="350">
        <f t="shared" si="47"/>
        <v>0</v>
      </c>
      <c r="X243" s="285">
        <f t="shared" si="48"/>
        <v>0</v>
      </c>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row>
    <row r="244" spans="1:46" ht="12" thickBot="1">
      <c r="A244" s="596" t="s">
        <v>1506</v>
      </c>
      <c r="B244" s="541" t="s">
        <v>384</v>
      </c>
      <c r="C244" s="541" t="s">
        <v>1100</v>
      </c>
      <c r="D244" s="552" t="s">
        <v>1140</v>
      </c>
      <c r="E244" s="549"/>
      <c r="F244" s="551"/>
      <c r="G244" s="550"/>
      <c r="H244" s="551"/>
      <c r="I244" s="551"/>
      <c r="J244" s="551"/>
      <c r="K244" s="551"/>
      <c r="L244" s="551"/>
      <c r="M244" s="550"/>
      <c r="N244" s="550"/>
      <c r="O244" s="551"/>
      <c r="P244" s="551"/>
      <c r="Q244" s="550"/>
      <c r="R244" s="550"/>
      <c r="S244" s="546">
        <f t="shared" si="44"/>
        <v>0</v>
      </c>
      <c r="T244" s="547">
        <f t="shared" si="45"/>
        <v>0</v>
      </c>
      <c r="U244" s="546">
        <f t="shared" si="46"/>
        <v>0</v>
      </c>
      <c r="W244" s="350">
        <f t="shared" si="47"/>
        <v>0</v>
      </c>
      <c r="X244" s="285">
        <f t="shared" si="48"/>
        <v>0</v>
      </c>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row>
    <row r="245" spans="1:46" ht="12" thickBot="1">
      <c r="A245" s="596" t="s">
        <v>1506</v>
      </c>
      <c r="B245" s="541" t="s">
        <v>311</v>
      </c>
      <c r="C245" s="541" t="s">
        <v>1101</v>
      </c>
      <c r="D245" s="552" t="s">
        <v>1140</v>
      </c>
      <c r="E245" s="543"/>
      <c r="F245" s="545"/>
      <c r="G245" s="544"/>
      <c r="H245" s="545"/>
      <c r="I245" s="545"/>
      <c r="J245" s="545"/>
      <c r="K245" s="545"/>
      <c r="L245" s="545"/>
      <c r="M245" s="544"/>
      <c r="N245" s="544"/>
      <c r="O245" s="545"/>
      <c r="P245" s="545"/>
      <c r="Q245" s="544"/>
      <c r="R245" s="544"/>
      <c r="S245" s="546">
        <f t="shared" si="44"/>
        <v>0</v>
      </c>
      <c r="T245" s="547">
        <f t="shared" si="45"/>
        <v>0</v>
      </c>
      <c r="U245" s="546">
        <f t="shared" si="46"/>
        <v>0</v>
      </c>
      <c r="W245" s="350">
        <f t="shared" si="47"/>
        <v>0</v>
      </c>
      <c r="X245" s="285">
        <f t="shared" si="48"/>
        <v>0</v>
      </c>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row>
    <row r="246" spans="1:46" ht="12" thickBot="1">
      <c r="A246" s="596" t="s">
        <v>1506</v>
      </c>
      <c r="B246" s="541" t="s">
        <v>341</v>
      </c>
      <c r="C246" s="541" t="s">
        <v>1102</v>
      </c>
      <c r="D246" s="552" t="s">
        <v>1140</v>
      </c>
      <c r="E246" s="549"/>
      <c r="F246" s="551"/>
      <c r="G246" s="550"/>
      <c r="H246" s="551"/>
      <c r="I246" s="551"/>
      <c r="J246" s="551"/>
      <c r="K246" s="551"/>
      <c r="L246" s="551"/>
      <c r="M246" s="550"/>
      <c r="N246" s="550"/>
      <c r="O246" s="551"/>
      <c r="P246" s="551"/>
      <c r="Q246" s="550"/>
      <c r="R246" s="550"/>
      <c r="S246" s="546">
        <f t="shared" si="44"/>
        <v>0</v>
      </c>
      <c r="T246" s="547">
        <f t="shared" si="45"/>
        <v>0</v>
      </c>
      <c r="U246" s="546">
        <f t="shared" si="46"/>
        <v>0</v>
      </c>
      <c r="W246" s="350">
        <f t="shared" si="47"/>
        <v>0</v>
      </c>
      <c r="X246" s="285">
        <f t="shared" si="48"/>
        <v>0</v>
      </c>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row>
    <row r="247" spans="1:46" ht="12" thickBot="1">
      <c r="A247" s="596" t="s">
        <v>1506</v>
      </c>
      <c r="B247" s="541" t="s">
        <v>315</v>
      </c>
      <c r="C247" s="541" t="s">
        <v>1103</v>
      </c>
      <c r="D247" s="552" t="s">
        <v>1140</v>
      </c>
      <c r="E247" s="543"/>
      <c r="F247" s="545"/>
      <c r="G247" s="544"/>
      <c r="H247" s="545"/>
      <c r="I247" s="545"/>
      <c r="J247" s="545"/>
      <c r="K247" s="545"/>
      <c r="L247" s="545"/>
      <c r="M247" s="544"/>
      <c r="N247" s="544"/>
      <c r="O247" s="545"/>
      <c r="P247" s="545"/>
      <c r="Q247" s="544"/>
      <c r="R247" s="544"/>
      <c r="S247" s="546">
        <f t="shared" si="44"/>
        <v>0</v>
      </c>
      <c r="T247" s="547">
        <f t="shared" si="45"/>
        <v>0</v>
      </c>
      <c r="U247" s="546">
        <f t="shared" si="46"/>
        <v>0</v>
      </c>
      <c r="W247" s="350">
        <f t="shared" si="47"/>
        <v>0</v>
      </c>
      <c r="X247" s="285">
        <f t="shared" si="48"/>
        <v>0</v>
      </c>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row>
    <row r="248" spans="1:46" ht="12" thickBot="1">
      <c r="A248" s="596" t="s">
        <v>1506</v>
      </c>
      <c r="B248" s="541" t="s">
        <v>319</v>
      </c>
      <c r="C248" s="541" t="s">
        <v>1104</v>
      </c>
      <c r="D248" s="552" t="s">
        <v>1140</v>
      </c>
      <c r="E248" s="549"/>
      <c r="F248" s="551"/>
      <c r="G248" s="550"/>
      <c r="H248" s="551"/>
      <c r="I248" s="551"/>
      <c r="J248" s="551"/>
      <c r="K248" s="551"/>
      <c r="L248" s="551"/>
      <c r="M248" s="550"/>
      <c r="N248" s="550"/>
      <c r="O248" s="551"/>
      <c r="P248" s="551"/>
      <c r="Q248" s="550"/>
      <c r="R248" s="550"/>
      <c r="S248" s="546">
        <f t="shared" si="44"/>
        <v>0</v>
      </c>
      <c r="T248" s="547">
        <f t="shared" si="45"/>
        <v>0</v>
      </c>
      <c r="U248" s="546">
        <f t="shared" si="46"/>
        <v>0</v>
      </c>
      <c r="W248" s="350">
        <f t="shared" si="47"/>
        <v>0</v>
      </c>
      <c r="X248" s="285">
        <f t="shared" si="48"/>
        <v>0</v>
      </c>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row>
    <row r="249" spans="1:46" ht="12" thickBot="1">
      <c r="A249" s="596" t="s">
        <v>1506</v>
      </c>
      <c r="B249" s="541" t="s">
        <v>356</v>
      </c>
      <c r="C249" s="541" t="s">
        <v>1105</v>
      </c>
      <c r="D249" s="552" t="s">
        <v>1140</v>
      </c>
      <c r="E249" s="543"/>
      <c r="F249" s="545"/>
      <c r="G249" s="544"/>
      <c r="H249" s="545"/>
      <c r="I249" s="545"/>
      <c r="J249" s="545"/>
      <c r="K249" s="545"/>
      <c r="L249" s="545"/>
      <c r="M249" s="544"/>
      <c r="N249" s="544"/>
      <c r="O249" s="545"/>
      <c r="P249" s="545"/>
      <c r="Q249" s="544"/>
      <c r="R249" s="544"/>
      <c r="S249" s="546">
        <f t="shared" si="44"/>
        <v>0</v>
      </c>
      <c r="T249" s="547">
        <f t="shared" si="45"/>
        <v>0</v>
      </c>
      <c r="U249" s="546">
        <f t="shared" si="46"/>
        <v>0</v>
      </c>
      <c r="W249" s="350">
        <f t="shared" si="47"/>
        <v>0</v>
      </c>
      <c r="X249" s="285">
        <f t="shared" si="48"/>
        <v>0</v>
      </c>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row>
    <row r="250" spans="1:46" ht="12" thickBot="1">
      <c r="A250" s="596" t="s">
        <v>1506</v>
      </c>
      <c r="B250" s="541" t="s">
        <v>365</v>
      </c>
      <c r="C250" s="541" t="s">
        <v>1106</v>
      </c>
      <c r="D250" s="552" t="s">
        <v>1139</v>
      </c>
      <c r="E250" s="549"/>
      <c r="F250" s="551"/>
      <c r="G250" s="550"/>
      <c r="H250" s="551"/>
      <c r="I250" s="551"/>
      <c r="J250" s="551"/>
      <c r="K250" s="551"/>
      <c r="L250" s="551"/>
      <c r="M250" s="550"/>
      <c r="N250" s="550"/>
      <c r="O250" s="551"/>
      <c r="P250" s="551"/>
      <c r="Q250" s="550"/>
      <c r="R250" s="550"/>
      <c r="S250" s="546">
        <f t="shared" si="44"/>
        <v>0</v>
      </c>
      <c r="T250" s="547">
        <f t="shared" si="45"/>
        <v>0</v>
      </c>
      <c r="U250" s="546">
        <f t="shared" si="46"/>
        <v>0</v>
      </c>
      <c r="W250" s="350">
        <f t="shared" si="47"/>
        <v>0</v>
      </c>
      <c r="X250" s="285">
        <f t="shared" si="48"/>
        <v>0</v>
      </c>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row>
    <row r="251" spans="1:46" ht="12" thickBot="1">
      <c r="A251" s="596" t="s">
        <v>1506</v>
      </c>
      <c r="B251" s="541" t="s">
        <v>388</v>
      </c>
      <c r="C251" s="541" t="s">
        <v>1107</v>
      </c>
      <c r="D251" s="552" t="s">
        <v>1139</v>
      </c>
      <c r="E251" s="543"/>
      <c r="F251" s="545"/>
      <c r="G251" s="544"/>
      <c r="H251" s="545"/>
      <c r="I251" s="545"/>
      <c r="J251" s="545"/>
      <c r="K251" s="545"/>
      <c r="L251" s="545"/>
      <c r="M251" s="544"/>
      <c r="N251" s="544"/>
      <c r="O251" s="545"/>
      <c r="P251" s="545"/>
      <c r="Q251" s="544"/>
      <c r="R251" s="544"/>
      <c r="S251" s="546">
        <f t="shared" si="44"/>
        <v>0</v>
      </c>
      <c r="T251" s="547">
        <f t="shared" si="45"/>
        <v>0</v>
      </c>
      <c r="U251" s="546">
        <f t="shared" si="46"/>
        <v>0</v>
      </c>
      <c r="W251" s="350">
        <f t="shared" si="47"/>
        <v>0</v>
      </c>
      <c r="X251" s="285">
        <f t="shared" si="48"/>
        <v>0</v>
      </c>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row>
    <row r="252" spans="1:46" ht="12" thickBot="1">
      <c r="A252" s="596" t="s">
        <v>1506</v>
      </c>
      <c r="B252" s="541" t="s">
        <v>345</v>
      </c>
      <c r="C252" s="541" t="s">
        <v>1108</v>
      </c>
      <c r="D252" s="552" t="s">
        <v>1139</v>
      </c>
      <c r="E252" s="549"/>
      <c r="F252" s="551"/>
      <c r="G252" s="550"/>
      <c r="H252" s="551"/>
      <c r="I252" s="551"/>
      <c r="J252" s="551"/>
      <c r="K252" s="551"/>
      <c r="L252" s="551"/>
      <c r="M252" s="550"/>
      <c r="N252" s="550"/>
      <c r="O252" s="551"/>
      <c r="P252" s="551"/>
      <c r="Q252" s="550"/>
      <c r="R252" s="550"/>
      <c r="S252" s="546">
        <f t="shared" si="44"/>
        <v>0</v>
      </c>
      <c r="T252" s="547">
        <f t="shared" si="45"/>
        <v>0</v>
      </c>
      <c r="U252" s="546">
        <f t="shared" si="46"/>
        <v>0</v>
      </c>
      <c r="W252" s="350">
        <f t="shared" si="47"/>
        <v>0</v>
      </c>
      <c r="X252" s="285">
        <f t="shared" si="48"/>
        <v>0</v>
      </c>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row>
    <row r="253" spans="1:46" ht="12" thickBot="1">
      <c r="A253" s="596" t="s">
        <v>1506</v>
      </c>
      <c r="B253" s="541" t="s">
        <v>377</v>
      </c>
      <c r="C253" s="541" t="s">
        <v>1109</v>
      </c>
      <c r="D253" s="552" t="s">
        <v>1139</v>
      </c>
      <c r="E253" s="543"/>
      <c r="F253" s="545"/>
      <c r="G253" s="544"/>
      <c r="H253" s="545"/>
      <c r="I253" s="545"/>
      <c r="J253" s="545"/>
      <c r="K253" s="545"/>
      <c r="L253" s="545"/>
      <c r="M253" s="544"/>
      <c r="N253" s="544"/>
      <c r="O253" s="545"/>
      <c r="P253" s="545"/>
      <c r="Q253" s="544"/>
      <c r="R253" s="544"/>
      <c r="S253" s="546">
        <f t="shared" si="44"/>
        <v>0</v>
      </c>
      <c r="T253" s="547">
        <f t="shared" si="45"/>
        <v>0</v>
      </c>
      <c r="U253" s="546">
        <f t="shared" si="46"/>
        <v>0</v>
      </c>
      <c r="W253" s="350">
        <f t="shared" si="47"/>
        <v>0</v>
      </c>
      <c r="X253" s="285">
        <f t="shared" si="48"/>
        <v>0</v>
      </c>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row>
    <row r="254" spans="1:46" ht="12" thickBot="1">
      <c r="A254" s="596" t="s">
        <v>1506</v>
      </c>
      <c r="B254" s="541" t="s">
        <v>1395</v>
      </c>
      <c r="C254" s="541" t="s">
        <v>1396</v>
      </c>
      <c r="D254" s="552" t="s">
        <v>1139</v>
      </c>
      <c r="E254" s="549"/>
      <c r="F254" s="551"/>
      <c r="G254" s="551"/>
      <c r="H254" s="551"/>
      <c r="I254" s="551"/>
      <c r="J254" s="551"/>
      <c r="K254" s="551"/>
      <c r="L254" s="551"/>
      <c r="M254" s="551"/>
      <c r="N254" s="551"/>
      <c r="O254" s="551"/>
      <c r="P254" s="551"/>
      <c r="Q254" s="551"/>
      <c r="R254" s="551"/>
      <c r="S254" s="546">
        <f t="shared" si="44"/>
        <v>0</v>
      </c>
      <c r="T254" s="547">
        <f t="shared" si="45"/>
        <v>0</v>
      </c>
      <c r="U254" s="546">
        <f t="shared" si="46"/>
        <v>0</v>
      </c>
      <c r="W254" s="350">
        <f t="shared" si="47"/>
        <v>0</v>
      </c>
      <c r="X254" s="285">
        <f t="shared" si="48"/>
        <v>0</v>
      </c>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row>
    <row r="255" spans="1:46" ht="12" thickBot="1">
      <c r="A255" s="596" t="s">
        <v>1506</v>
      </c>
      <c r="B255" s="541" t="s">
        <v>363</v>
      </c>
      <c r="C255" s="541" t="s">
        <v>1110</v>
      </c>
      <c r="D255" s="552" t="s">
        <v>1140</v>
      </c>
      <c r="E255" s="543"/>
      <c r="F255" s="545"/>
      <c r="G255" s="544"/>
      <c r="H255" s="545"/>
      <c r="I255" s="545"/>
      <c r="J255" s="545"/>
      <c r="K255" s="545"/>
      <c r="L255" s="545"/>
      <c r="M255" s="544"/>
      <c r="N255" s="544"/>
      <c r="O255" s="545"/>
      <c r="P255" s="545"/>
      <c r="Q255" s="544"/>
      <c r="R255" s="544"/>
      <c r="S255" s="546">
        <f t="shared" si="44"/>
        <v>0</v>
      </c>
      <c r="T255" s="547">
        <f t="shared" si="45"/>
        <v>0</v>
      </c>
      <c r="U255" s="546">
        <f t="shared" si="46"/>
        <v>0</v>
      </c>
      <c r="W255" s="350">
        <f t="shared" si="47"/>
        <v>0</v>
      </c>
      <c r="X255" s="285">
        <f t="shared" si="48"/>
        <v>0</v>
      </c>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row>
    <row r="256" spans="1:46" ht="12" thickBot="1">
      <c r="A256" s="596" t="s">
        <v>1506</v>
      </c>
      <c r="B256" s="541" t="s">
        <v>373</v>
      </c>
      <c r="C256" s="541" t="s">
        <v>1111</v>
      </c>
      <c r="D256" s="552" t="s">
        <v>1139</v>
      </c>
      <c r="E256" s="549"/>
      <c r="F256" s="551"/>
      <c r="G256" s="550"/>
      <c r="H256" s="551"/>
      <c r="I256" s="551"/>
      <c r="J256" s="551"/>
      <c r="K256" s="551"/>
      <c r="L256" s="551"/>
      <c r="M256" s="550"/>
      <c r="N256" s="550"/>
      <c r="O256" s="551"/>
      <c r="P256" s="551"/>
      <c r="Q256" s="550"/>
      <c r="R256" s="550"/>
      <c r="S256" s="546">
        <f t="shared" si="44"/>
        <v>0</v>
      </c>
      <c r="T256" s="547">
        <f t="shared" si="45"/>
        <v>0</v>
      </c>
      <c r="U256" s="546">
        <f t="shared" si="46"/>
        <v>0</v>
      </c>
      <c r="W256" s="350">
        <f t="shared" si="47"/>
        <v>0</v>
      </c>
      <c r="X256" s="285">
        <f t="shared" si="48"/>
        <v>0</v>
      </c>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row>
    <row r="257" spans="1:46" ht="12" thickBot="1">
      <c r="A257" s="596" t="s">
        <v>1506</v>
      </c>
      <c r="B257" s="541" t="s">
        <v>396</v>
      </c>
      <c r="C257" s="541" t="s">
        <v>1112</v>
      </c>
      <c r="D257" s="552" t="s">
        <v>1139</v>
      </c>
      <c r="E257" s="543"/>
      <c r="F257" s="545"/>
      <c r="G257" s="544"/>
      <c r="H257" s="545"/>
      <c r="I257" s="545"/>
      <c r="J257" s="545"/>
      <c r="K257" s="545"/>
      <c r="L257" s="545"/>
      <c r="M257" s="544"/>
      <c r="N257" s="544"/>
      <c r="O257" s="545"/>
      <c r="P257" s="545"/>
      <c r="Q257" s="544"/>
      <c r="R257" s="544"/>
      <c r="S257" s="546">
        <f t="shared" si="44"/>
        <v>0</v>
      </c>
      <c r="T257" s="547">
        <f t="shared" si="45"/>
        <v>0</v>
      </c>
      <c r="U257" s="546">
        <f t="shared" si="46"/>
        <v>0</v>
      </c>
      <c r="W257" s="350">
        <f t="shared" si="47"/>
        <v>0</v>
      </c>
      <c r="X257" s="285">
        <f t="shared" si="48"/>
        <v>0</v>
      </c>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row>
    <row r="258" spans="1:46" ht="12" thickBot="1">
      <c r="A258" s="596" t="s">
        <v>1506</v>
      </c>
      <c r="B258" s="541" t="s">
        <v>351</v>
      </c>
      <c r="C258" s="541" t="s">
        <v>1113</v>
      </c>
      <c r="D258" s="552" t="s">
        <v>1140</v>
      </c>
      <c r="E258" s="549"/>
      <c r="F258" s="551"/>
      <c r="G258" s="550"/>
      <c r="H258" s="551"/>
      <c r="I258" s="551"/>
      <c r="J258" s="551"/>
      <c r="K258" s="551"/>
      <c r="L258" s="551"/>
      <c r="M258" s="550"/>
      <c r="N258" s="550"/>
      <c r="O258" s="551"/>
      <c r="P258" s="551"/>
      <c r="Q258" s="550"/>
      <c r="R258" s="550"/>
      <c r="S258" s="546">
        <f t="shared" si="44"/>
        <v>0</v>
      </c>
      <c r="T258" s="547">
        <f t="shared" si="45"/>
        <v>0</v>
      </c>
      <c r="U258" s="546">
        <f t="shared" si="46"/>
        <v>0</v>
      </c>
      <c r="W258" s="350">
        <f t="shared" si="47"/>
        <v>0</v>
      </c>
      <c r="X258" s="285">
        <f t="shared" si="48"/>
        <v>0</v>
      </c>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row>
    <row r="259" spans="1:46" ht="12" thickBot="1">
      <c r="A259" s="596" t="s">
        <v>1506</v>
      </c>
      <c r="B259" s="541" t="s">
        <v>314</v>
      </c>
      <c r="C259" s="541" t="s">
        <v>1114</v>
      </c>
      <c r="D259" s="552" t="s">
        <v>1140</v>
      </c>
      <c r="E259" s="543"/>
      <c r="F259" s="545"/>
      <c r="G259" s="544"/>
      <c r="H259" s="545"/>
      <c r="I259" s="545"/>
      <c r="J259" s="545"/>
      <c r="K259" s="545"/>
      <c r="L259" s="545"/>
      <c r="M259" s="544"/>
      <c r="N259" s="544"/>
      <c r="O259" s="545"/>
      <c r="P259" s="545"/>
      <c r="Q259" s="544"/>
      <c r="R259" s="544"/>
      <c r="S259" s="546">
        <f t="shared" si="44"/>
        <v>0</v>
      </c>
      <c r="T259" s="547">
        <f t="shared" si="45"/>
        <v>0</v>
      </c>
      <c r="U259" s="546">
        <f t="shared" si="46"/>
        <v>0</v>
      </c>
      <c r="W259" s="350">
        <f t="shared" si="47"/>
        <v>0</v>
      </c>
      <c r="X259" s="285">
        <f t="shared" si="48"/>
        <v>0</v>
      </c>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row>
    <row r="260" spans="1:46" ht="12" thickBot="1">
      <c r="A260" s="596" t="s">
        <v>1506</v>
      </c>
      <c r="B260" s="541" t="s">
        <v>355</v>
      </c>
      <c r="C260" s="541" t="s">
        <v>1115</v>
      </c>
      <c r="D260" s="552" t="s">
        <v>1140</v>
      </c>
      <c r="E260" s="549"/>
      <c r="F260" s="551"/>
      <c r="G260" s="550"/>
      <c r="H260" s="551"/>
      <c r="I260" s="551"/>
      <c r="J260" s="551"/>
      <c r="K260" s="551"/>
      <c r="L260" s="551"/>
      <c r="M260" s="550"/>
      <c r="N260" s="550"/>
      <c r="O260" s="551"/>
      <c r="P260" s="551"/>
      <c r="Q260" s="550"/>
      <c r="R260" s="550"/>
      <c r="S260" s="546">
        <f t="shared" si="44"/>
        <v>0</v>
      </c>
      <c r="T260" s="547">
        <f t="shared" si="45"/>
        <v>0</v>
      </c>
      <c r="U260" s="546">
        <f t="shared" si="46"/>
        <v>0</v>
      </c>
      <c r="W260" s="350">
        <f t="shared" si="47"/>
        <v>0</v>
      </c>
      <c r="X260" s="285">
        <f t="shared" si="48"/>
        <v>0</v>
      </c>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row>
    <row r="261" spans="1:46" ht="12" thickBot="1">
      <c r="A261" s="596" t="s">
        <v>1506</v>
      </c>
      <c r="B261" s="541" t="s">
        <v>364</v>
      </c>
      <c r="C261" s="541" t="s">
        <v>1116</v>
      </c>
      <c r="D261" s="552" t="s">
        <v>1139</v>
      </c>
      <c r="E261" s="543"/>
      <c r="F261" s="545"/>
      <c r="G261" s="544"/>
      <c r="H261" s="545"/>
      <c r="I261" s="545"/>
      <c r="J261" s="545"/>
      <c r="K261" s="545"/>
      <c r="L261" s="545"/>
      <c r="M261" s="544"/>
      <c r="N261" s="544"/>
      <c r="O261" s="545"/>
      <c r="P261" s="545"/>
      <c r="Q261" s="544"/>
      <c r="R261" s="544"/>
      <c r="S261" s="546">
        <f t="shared" si="44"/>
        <v>0</v>
      </c>
      <c r="T261" s="547">
        <f t="shared" si="45"/>
        <v>0</v>
      </c>
      <c r="U261" s="546">
        <f t="shared" si="46"/>
        <v>0</v>
      </c>
      <c r="W261" s="350">
        <f t="shared" si="47"/>
        <v>0</v>
      </c>
      <c r="X261" s="285">
        <f t="shared" si="48"/>
        <v>0</v>
      </c>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row>
    <row r="262" spans="1:46" ht="12" thickBot="1">
      <c r="A262" s="596" t="s">
        <v>1506</v>
      </c>
      <c r="B262" s="541" t="s">
        <v>387</v>
      </c>
      <c r="C262" s="541" t="s">
        <v>1117</v>
      </c>
      <c r="D262" s="552" t="s">
        <v>1139</v>
      </c>
      <c r="E262" s="549"/>
      <c r="F262" s="551"/>
      <c r="G262" s="550"/>
      <c r="H262" s="551"/>
      <c r="I262" s="551"/>
      <c r="J262" s="551"/>
      <c r="K262" s="551"/>
      <c r="L262" s="551"/>
      <c r="M262" s="550"/>
      <c r="N262" s="550"/>
      <c r="O262" s="551"/>
      <c r="P262" s="551"/>
      <c r="Q262" s="550"/>
      <c r="R262" s="550"/>
      <c r="S262" s="546">
        <f t="shared" si="44"/>
        <v>0</v>
      </c>
      <c r="T262" s="547">
        <f t="shared" si="45"/>
        <v>0</v>
      </c>
      <c r="U262" s="546">
        <f t="shared" si="46"/>
        <v>0</v>
      </c>
      <c r="W262" s="350">
        <f t="shared" si="47"/>
        <v>0</v>
      </c>
      <c r="X262" s="285">
        <f t="shared" si="48"/>
        <v>0</v>
      </c>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row>
    <row r="263" spans="1:46" ht="12" thickBot="1">
      <c r="A263" s="596" t="s">
        <v>1506</v>
      </c>
      <c r="B263" s="541" t="s">
        <v>344</v>
      </c>
      <c r="C263" s="541" t="s">
        <v>1118</v>
      </c>
      <c r="D263" s="552" t="s">
        <v>1139</v>
      </c>
      <c r="E263" s="543"/>
      <c r="F263" s="545"/>
      <c r="G263" s="544"/>
      <c r="H263" s="545"/>
      <c r="I263" s="545"/>
      <c r="J263" s="545"/>
      <c r="K263" s="545"/>
      <c r="L263" s="545"/>
      <c r="M263" s="544"/>
      <c r="N263" s="544"/>
      <c r="O263" s="545"/>
      <c r="P263" s="545"/>
      <c r="Q263" s="544"/>
      <c r="R263" s="544"/>
      <c r="S263" s="546">
        <f t="shared" si="44"/>
        <v>0</v>
      </c>
      <c r="T263" s="547">
        <f t="shared" si="45"/>
        <v>0</v>
      </c>
      <c r="U263" s="546">
        <f t="shared" si="46"/>
        <v>0</v>
      </c>
      <c r="W263" s="350">
        <f t="shared" si="47"/>
        <v>0</v>
      </c>
      <c r="X263" s="285">
        <f t="shared" si="48"/>
        <v>0</v>
      </c>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row>
    <row r="264" spans="1:46" ht="12" thickBot="1">
      <c r="A264" s="596" t="s">
        <v>1506</v>
      </c>
      <c r="B264" s="541" t="s">
        <v>376</v>
      </c>
      <c r="C264" s="541" t="s">
        <v>1119</v>
      </c>
      <c r="D264" s="552" t="s">
        <v>1139</v>
      </c>
      <c r="E264" s="549"/>
      <c r="F264" s="551"/>
      <c r="G264" s="550"/>
      <c r="H264" s="551"/>
      <c r="I264" s="551"/>
      <c r="J264" s="551"/>
      <c r="K264" s="551"/>
      <c r="L264" s="551"/>
      <c r="M264" s="550"/>
      <c r="N264" s="550"/>
      <c r="O264" s="551"/>
      <c r="P264" s="551"/>
      <c r="Q264" s="550"/>
      <c r="R264" s="550"/>
      <c r="S264" s="546">
        <f t="shared" si="44"/>
        <v>0</v>
      </c>
      <c r="T264" s="547">
        <f t="shared" si="45"/>
        <v>0</v>
      </c>
      <c r="U264" s="546">
        <f t="shared" si="46"/>
        <v>0</v>
      </c>
      <c r="W264" s="350">
        <f t="shared" si="47"/>
        <v>0</v>
      </c>
      <c r="X264" s="285">
        <f t="shared" si="48"/>
        <v>0</v>
      </c>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row>
    <row r="265" spans="1:46" ht="12" thickBot="1">
      <c r="A265" s="596" t="s">
        <v>1506</v>
      </c>
      <c r="B265" s="541" t="s">
        <v>374</v>
      </c>
      <c r="C265" s="541" t="s">
        <v>1120</v>
      </c>
      <c r="D265" s="552" t="s">
        <v>1139</v>
      </c>
      <c r="E265" s="543"/>
      <c r="F265" s="545"/>
      <c r="G265" s="544"/>
      <c r="H265" s="545"/>
      <c r="I265" s="545"/>
      <c r="J265" s="545"/>
      <c r="K265" s="545"/>
      <c r="L265" s="545"/>
      <c r="M265" s="544"/>
      <c r="N265" s="544"/>
      <c r="O265" s="545"/>
      <c r="P265" s="545"/>
      <c r="Q265" s="544"/>
      <c r="R265" s="544"/>
      <c r="S265" s="546">
        <f t="shared" si="44"/>
        <v>0</v>
      </c>
      <c r="T265" s="547">
        <f t="shared" si="45"/>
        <v>0</v>
      </c>
      <c r="U265" s="546">
        <f t="shared" si="46"/>
        <v>0</v>
      </c>
      <c r="W265" s="350">
        <f t="shared" si="47"/>
        <v>0</v>
      </c>
      <c r="X265" s="285">
        <f t="shared" si="48"/>
        <v>0</v>
      </c>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row>
    <row r="266" spans="1:46" ht="12" thickBot="1">
      <c r="A266" s="596" t="s">
        <v>1506</v>
      </c>
      <c r="B266" s="541" t="s">
        <v>398</v>
      </c>
      <c r="C266" s="541" t="s">
        <v>1121</v>
      </c>
      <c r="D266" s="552" t="s">
        <v>1139</v>
      </c>
      <c r="E266" s="549"/>
      <c r="F266" s="551"/>
      <c r="G266" s="550"/>
      <c r="H266" s="551"/>
      <c r="I266" s="551"/>
      <c r="J266" s="551"/>
      <c r="K266" s="551"/>
      <c r="L266" s="551"/>
      <c r="M266" s="550"/>
      <c r="N266" s="550"/>
      <c r="O266" s="551"/>
      <c r="P266" s="551"/>
      <c r="Q266" s="550"/>
      <c r="R266" s="550"/>
      <c r="S266" s="546">
        <f t="shared" si="44"/>
        <v>0</v>
      </c>
      <c r="T266" s="547">
        <f t="shared" si="45"/>
        <v>0</v>
      </c>
      <c r="U266" s="546">
        <f t="shared" si="46"/>
        <v>0</v>
      </c>
      <c r="W266" s="350">
        <f t="shared" si="47"/>
        <v>0</v>
      </c>
      <c r="X266" s="285">
        <f t="shared" si="48"/>
        <v>0</v>
      </c>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row>
    <row r="267" spans="1:46" ht="12" thickBot="1">
      <c r="A267" s="596" t="s">
        <v>1506</v>
      </c>
      <c r="B267" s="541" t="s">
        <v>348</v>
      </c>
      <c r="C267" s="541" t="s">
        <v>1122</v>
      </c>
      <c r="D267" s="552" t="s">
        <v>1139</v>
      </c>
      <c r="E267" s="543"/>
      <c r="F267" s="545"/>
      <c r="G267" s="544"/>
      <c r="H267" s="545"/>
      <c r="I267" s="545"/>
      <c r="J267" s="545"/>
      <c r="K267" s="545"/>
      <c r="L267" s="545"/>
      <c r="M267" s="544"/>
      <c r="N267" s="544"/>
      <c r="O267" s="545"/>
      <c r="P267" s="545"/>
      <c r="Q267" s="544"/>
      <c r="R267" s="544"/>
      <c r="S267" s="546">
        <f t="shared" si="44"/>
        <v>0</v>
      </c>
      <c r="T267" s="547">
        <f t="shared" si="45"/>
        <v>0</v>
      </c>
      <c r="U267" s="546">
        <f t="shared" si="46"/>
        <v>0</v>
      </c>
      <c r="W267" s="350">
        <f t="shared" si="47"/>
        <v>0</v>
      </c>
      <c r="X267" s="285">
        <f t="shared" si="48"/>
        <v>0</v>
      </c>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row>
    <row r="268" spans="1:46" ht="12" thickBot="1">
      <c r="A268" s="596" t="s">
        <v>1506</v>
      </c>
      <c r="B268" s="541" t="s">
        <v>380</v>
      </c>
      <c r="C268" s="541" t="s">
        <v>1123</v>
      </c>
      <c r="D268" s="552" t="s">
        <v>1139</v>
      </c>
      <c r="E268" s="549"/>
      <c r="F268" s="551"/>
      <c r="G268" s="550"/>
      <c r="H268" s="551"/>
      <c r="I268" s="551"/>
      <c r="J268" s="551"/>
      <c r="K268" s="551"/>
      <c r="L268" s="551"/>
      <c r="M268" s="550"/>
      <c r="N268" s="550"/>
      <c r="O268" s="551"/>
      <c r="P268" s="551"/>
      <c r="Q268" s="550"/>
      <c r="R268" s="550"/>
      <c r="S268" s="546">
        <f t="shared" si="44"/>
        <v>0</v>
      </c>
      <c r="T268" s="547">
        <f t="shared" si="45"/>
        <v>0</v>
      </c>
      <c r="U268" s="546">
        <f t="shared" si="46"/>
        <v>0</v>
      </c>
      <c r="W268" s="350">
        <f t="shared" si="47"/>
        <v>0</v>
      </c>
      <c r="X268" s="285">
        <f t="shared" si="48"/>
        <v>0</v>
      </c>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row>
    <row r="269" spans="1:46" ht="12" thickBot="1">
      <c r="A269" s="596" t="s">
        <v>1506</v>
      </c>
      <c r="B269" s="541" t="s">
        <v>399</v>
      </c>
      <c r="C269" s="541" t="s">
        <v>1124</v>
      </c>
      <c r="D269" s="552" t="s">
        <v>1139</v>
      </c>
      <c r="E269" s="543"/>
      <c r="F269" s="545"/>
      <c r="G269" s="544"/>
      <c r="H269" s="545"/>
      <c r="I269" s="545"/>
      <c r="J269" s="545"/>
      <c r="K269" s="545"/>
      <c r="L269" s="545"/>
      <c r="M269" s="544"/>
      <c r="N269" s="544"/>
      <c r="O269" s="545"/>
      <c r="P269" s="545"/>
      <c r="Q269" s="544"/>
      <c r="R269" s="544"/>
      <c r="S269" s="546">
        <f t="shared" si="44"/>
        <v>0</v>
      </c>
      <c r="T269" s="547">
        <f t="shared" si="45"/>
        <v>0</v>
      </c>
      <c r="U269" s="546">
        <f t="shared" si="46"/>
        <v>0</v>
      </c>
      <c r="W269" s="350">
        <f t="shared" si="47"/>
        <v>0</v>
      </c>
      <c r="X269" s="285">
        <f t="shared" si="48"/>
        <v>0</v>
      </c>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row>
    <row r="270" spans="1:46" ht="12" thickBot="1">
      <c r="A270" s="596" t="s">
        <v>1506</v>
      </c>
      <c r="B270" s="541" t="s">
        <v>349</v>
      </c>
      <c r="C270" s="541" t="s">
        <v>1125</v>
      </c>
      <c r="D270" s="552" t="s">
        <v>1139</v>
      </c>
      <c r="E270" s="549"/>
      <c r="F270" s="551"/>
      <c r="G270" s="550"/>
      <c r="H270" s="551"/>
      <c r="I270" s="551"/>
      <c r="J270" s="551"/>
      <c r="K270" s="551"/>
      <c r="L270" s="551"/>
      <c r="M270" s="550"/>
      <c r="N270" s="550"/>
      <c r="O270" s="551"/>
      <c r="P270" s="551"/>
      <c r="Q270" s="550"/>
      <c r="R270" s="550"/>
      <c r="S270" s="546">
        <f t="shared" si="44"/>
        <v>0</v>
      </c>
      <c r="T270" s="547">
        <f t="shared" si="45"/>
        <v>0</v>
      </c>
      <c r="U270" s="546">
        <f t="shared" si="46"/>
        <v>0</v>
      </c>
      <c r="W270" s="350">
        <f t="shared" si="47"/>
        <v>0</v>
      </c>
      <c r="X270" s="285">
        <f t="shared" si="48"/>
        <v>0</v>
      </c>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row>
    <row r="271" spans="1:46" ht="12" thickBot="1">
      <c r="A271" s="596" t="s">
        <v>1506</v>
      </c>
      <c r="B271" s="541" t="s">
        <v>381</v>
      </c>
      <c r="C271" s="541" t="s">
        <v>1126</v>
      </c>
      <c r="D271" s="552" t="s">
        <v>1139</v>
      </c>
      <c r="E271" s="543"/>
      <c r="F271" s="545"/>
      <c r="G271" s="544"/>
      <c r="H271" s="545"/>
      <c r="I271" s="545"/>
      <c r="J271" s="545"/>
      <c r="K271" s="545"/>
      <c r="L271" s="545"/>
      <c r="M271" s="544"/>
      <c r="N271" s="544"/>
      <c r="O271" s="545"/>
      <c r="P271" s="545"/>
      <c r="Q271" s="544"/>
      <c r="R271" s="544"/>
      <c r="S271" s="546">
        <f t="shared" si="44"/>
        <v>0</v>
      </c>
      <c r="T271" s="547">
        <f t="shared" si="45"/>
        <v>0</v>
      </c>
      <c r="U271" s="546">
        <f t="shared" si="46"/>
        <v>0</v>
      </c>
      <c r="W271" s="350">
        <f t="shared" si="47"/>
        <v>0</v>
      </c>
      <c r="X271" s="285">
        <f t="shared" si="48"/>
        <v>0</v>
      </c>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row>
    <row r="272" spans="1:46" ht="12" thickBot="1">
      <c r="A272" s="596" t="s">
        <v>1506</v>
      </c>
      <c r="B272" s="541" t="s">
        <v>321</v>
      </c>
      <c r="C272" s="541" t="s">
        <v>1127</v>
      </c>
      <c r="D272" s="552" t="s">
        <v>1139</v>
      </c>
      <c r="E272" s="549"/>
      <c r="F272" s="551"/>
      <c r="G272" s="550"/>
      <c r="H272" s="551"/>
      <c r="I272" s="551"/>
      <c r="J272" s="551"/>
      <c r="K272" s="551"/>
      <c r="L272" s="551"/>
      <c r="M272" s="550"/>
      <c r="N272" s="550"/>
      <c r="O272" s="551"/>
      <c r="P272" s="551"/>
      <c r="Q272" s="550"/>
      <c r="R272" s="550"/>
      <c r="S272" s="546">
        <f t="shared" si="44"/>
        <v>0</v>
      </c>
      <c r="T272" s="547">
        <f t="shared" si="45"/>
        <v>0</v>
      </c>
      <c r="U272" s="546">
        <f t="shared" si="46"/>
        <v>0</v>
      </c>
      <c r="W272" s="350">
        <f t="shared" si="47"/>
        <v>0</v>
      </c>
      <c r="X272" s="285">
        <f t="shared" si="48"/>
        <v>0</v>
      </c>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row>
    <row r="273" spans="1:46" ht="12" thickBot="1">
      <c r="A273" s="596" t="s">
        <v>1506</v>
      </c>
      <c r="B273" s="541" t="s">
        <v>353</v>
      </c>
      <c r="C273" s="541" t="s">
        <v>1128</v>
      </c>
      <c r="D273" s="552" t="s">
        <v>1139</v>
      </c>
      <c r="E273" s="543"/>
      <c r="F273" s="545"/>
      <c r="G273" s="544"/>
      <c r="H273" s="545"/>
      <c r="I273" s="545"/>
      <c r="J273" s="545"/>
      <c r="K273" s="545"/>
      <c r="L273" s="545"/>
      <c r="M273" s="544"/>
      <c r="N273" s="544"/>
      <c r="O273" s="545"/>
      <c r="P273" s="545"/>
      <c r="Q273" s="544"/>
      <c r="R273" s="544"/>
      <c r="S273" s="546">
        <f t="shared" ref="S273:S289" si="49">G273+H273+I273</f>
        <v>0</v>
      </c>
      <c r="T273" s="547">
        <f t="shared" ref="T273:T289" si="50">J273+K273</f>
        <v>0</v>
      </c>
      <c r="U273" s="546">
        <f t="shared" ref="U273:U289" si="51">N273+O273</f>
        <v>0</v>
      </c>
      <c r="W273" s="350">
        <f t="shared" ref="W273:W289" si="52">SUM(F273:Q273)</f>
        <v>0</v>
      </c>
      <c r="X273" s="285">
        <f t="shared" ref="X273:X289" si="53">W273-R273</f>
        <v>0</v>
      </c>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row>
    <row r="274" spans="1:46" ht="12" thickBot="1">
      <c r="A274" s="596" t="s">
        <v>1506</v>
      </c>
      <c r="B274" s="541" t="s">
        <v>678</v>
      </c>
      <c r="C274" s="541" t="s">
        <v>1129</v>
      </c>
      <c r="D274" s="552" t="s">
        <v>1139</v>
      </c>
      <c r="E274" s="549"/>
      <c r="F274" s="551"/>
      <c r="G274" s="550"/>
      <c r="H274" s="551"/>
      <c r="I274" s="551"/>
      <c r="J274" s="551"/>
      <c r="K274" s="551"/>
      <c r="L274" s="551"/>
      <c r="M274" s="550"/>
      <c r="N274" s="550"/>
      <c r="O274" s="551"/>
      <c r="P274" s="551"/>
      <c r="Q274" s="551"/>
      <c r="R274" s="550"/>
      <c r="S274" s="546">
        <f t="shared" si="49"/>
        <v>0</v>
      </c>
      <c r="T274" s="547">
        <f t="shared" si="50"/>
        <v>0</v>
      </c>
      <c r="U274" s="546">
        <f t="shared" si="51"/>
        <v>0</v>
      </c>
      <c r="W274" s="350">
        <f t="shared" si="52"/>
        <v>0</v>
      </c>
      <c r="X274" s="285">
        <f t="shared" si="53"/>
        <v>0</v>
      </c>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row>
    <row r="275" spans="1:46" ht="12" thickBot="1">
      <c r="A275" s="596" t="s">
        <v>1506</v>
      </c>
      <c r="B275" s="541" t="s">
        <v>316</v>
      </c>
      <c r="C275" s="541" t="s">
        <v>1130</v>
      </c>
      <c r="D275" s="552" t="s">
        <v>1139</v>
      </c>
      <c r="E275" s="543"/>
      <c r="F275" s="545"/>
      <c r="G275" s="544"/>
      <c r="H275" s="545"/>
      <c r="I275" s="545"/>
      <c r="J275" s="545"/>
      <c r="K275" s="545"/>
      <c r="L275" s="545"/>
      <c r="M275" s="544"/>
      <c r="N275" s="544"/>
      <c r="O275" s="545"/>
      <c r="P275" s="545"/>
      <c r="Q275" s="544"/>
      <c r="R275" s="544"/>
      <c r="S275" s="546">
        <f t="shared" si="49"/>
        <v>0</v>
      </c>
      <c r="T275" s="547">
        <f t="shared" si="50"/>
        <v>0</v>
      </c>
      <c r="U275" s="546">
        <f t="shared" si="51"/>
        <v>0</v>
      </c>
      <c r="W275" s="350">
        <f t="shared" si="52"/>
        <v>0</v>
      </c>
      <c r="X275" s="285">
        <f t="shared" si="53"/>
        <v>0</v>
      </c>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row>
    <row r="276" spans="1:46" ht="12" thickBot="1">
      <c r="A276" s="596" t="s">
        <v>1506</v>
      </c>
      <c r="B276" s="541" t="s">
        <v>318</v>
      </c>
      <c r="C276" s="541" t="s">
        <v>1131</v>
      </c>
      <c r="D276" s="552" t="s">
        <v>1139</v>
      </c>
      <c r="E276" s="549"/>
      <c r="F276" s="551"/>
      <c r="G276" s="550"/>
      <c r="H276" s="551"/>
      <c r="I276" s="551"/>
      <c r="J276" s="551"/>
      <c r="K276" s="551"/>
      <c r="L276" s="551"/>
      <c r="M276" s="550"/>
      <c r="N276" s="550"/>
      <c r="O276" s="551"/>
      <c r="P276" s="551"/>
      <c r="Q276" s="550"/>
      <c r="R276" s="550"/>
      <c r="S276" s="546">
        <f t="shared" si="49"/>
        <v>0</v>
      </c>
      <c r="T276" s="547">
        <f t="shared" si="50"/>
        <v>0</v>
      </c>
      <c r="U276" s="546">
        <f t="shared" si="51"/>
        <v>0</v>
      </c>
      <c r="W276" s="350">
        <f t="shared" si="52"/>
        <v>0</v>
      </c>
      <c r="X276" s="285">
        <f t="shared" si="53"/>
        <v>0</v>
      </c>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row>
    <row r="277" spans="1:46" ht="12" thickBot="1">
      <c r="A277" s="596" t="s">
        <v>1506</v>
      </c>
      <c r="B277" s="541" t="s">
        <v>350</v>
      </c>
      <c r="C277" s="541" t="s">
        <v>1132</v>
      </c>
      <c r="D277" s="552" t="s">
        <v>1139</v>
      </c>
      <c r="E277" s="543"/>
      <c r="F277" s="545"/>
      <c r="G277" s="544"/>
      <c r="H277" s="545"/>
      <c r="I277" s="545"/>
      <c r="J277" s="545"/>
      <c r="K277" s="545"/>
      <c r="L277" s="545"/>
      <c r="M277" s="544"/>
      <c r="N277" s="544"/>
      <c r="O277" s="545"/>
      <c r="P277" s="545"/>
      <c r="Q277" s="544"/>
      <c r="R277" s="544"/>
      <c r="S277" s="546">
        <f t="shared" si="49"/>
        <v>0</v>
      </c>
      <c r="T277" s="547">
        <f t="shared" si="50"/>
        <v>0</v>
      </c>
      <c r="U277" s="546">
        <f t="shared" si="51"/>
        <v>0</v>
      </c>
      <c r="W277" s="350">
        <f t="shared" si="52"/>
        <v>0</v>
      </c>
      <c r="X277" s="285">
        <f t="shared" si="53"/>
        <v>0</v>
      </c>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row>
    <row r="278" spans="1:46" ht="12" thickBot="1">
      <c r="A278" s="596" t="s">
        <v>1506</v>
      </c>
      <c r="B278" s="541" t="s">
        <v>313</v>
      </c>
      <c r="C278" s="541" t="s">
        <v>1133</v>
      </c>
      <c r="D278" s="552" t="s">
        <v>1139</v>
      </c>
      <c r="E278" s="549"/>
      <c r="F278" s="551"/>
      <c r="G278" s="550"/>
      <c r="H278" s="551"/>
      <c r="I278" s="551"/>
      <c r="J278" s="551"/>
      <c r="K278" s="551"/>
      <c r="L278" s="551"/>
      <c r="M278" s="550"/>
      <c r="N278" s="550"/>
      <c r="O278" s="551"/>
      <c r="P278" s="551"/>
      <c r="Q278" s="550"/>
      <c r="R278" s="550"/>
      <c r="S278" s="546">
        <f t="shared" si="49"/>
        <v>0</v>
      </c>
      <c r="T278" s="547">
        <f t="shared" si="50"/>
        <v>0</v>
      </c>
      <c r="U278" s="546">
        <f t="shared" si="51"/>
        <v>0</v>
      </c>
      <c r="W278" s="350">
        <f t="shared" si="52"/>
        <v>0</v>
      </c>
      <c r="X278" s="285">
        <f t="shared" si="53"/>
        <v>0</v>
      </c>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row>
    <row r="279" spans="1:46" ht="12" thickBot="1">
      <c r="A279" s="596" t="s">
        <v>1506</v>
      </c>
      <c r="B279" s="541" t="s">
        <v>650</v>
      </c>
      <c r="C279" s="541" t="s">
        <v>1151</v>
      </c>
      <c r="D279" s="552" t="s">
        <v>1139</v>
      </c>
      <c r="E279" s="543"/>
      <c r="F279" s="545"/>
      <c r="G279" s="544"/>
      <c r="H279" s="545"/>
      <c r="I279" s="545"/>
      <c r="J279" s="545"/>
      <c r="K279" s="545"/>
      <c r="L279" s="545"/>
      <c r="M279" s="544"/>
      <c r="N279" s="544"/>
      <c r="O279" s="545"/>
      <c r="P279" s="545"/>
      <c r="Q279" s="545"/>
      <c r="R279" s="544"/>
      <c r="S279" s="546">
        <f t="shared" si="49"/>
        <v>0</v>
      </c>
      <c r="T279" s="547">
        <f t="shared" si="50"/>
        <v>0</v>
      </c>
      <c r="U279" s="546">
        <f t="shared" si="51"/>
        <v>0</v>
      </c>
      <c r="W279" s="350">
        <f t="shared" si="52"/>
        <v>0</v>
      </c>
      <c r="X279" s="285">
        <f t="shared" si="53"/>
        <v>0</v>
      </c>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row>
    <row r="280" spans="1:46" ht="12" thickBot="1">
      <c r="A280" s="596" t="s">
        <v>1506</v>
      </c>
      <c r="B280" s="541" t="s">
        <v>447</v>
      </c>
      <c r="C280" s="541" t="s">
        <v>1134</v>
      </c>
      <c r="D280" s="552" t="s">
        <v>1139</v>
      </c>
      <c r="E280" s="549"/>
      <c r="F280" s="551"/>
      <c r="G280" s="550"/>
      <c r="H280" s="551"/>
      <c r="I280" s="551"/>
      <c r="J280" s="551"/>
      <c r="K280" s="551"/>
      <c r="L280" s="551"/>
      <c r="M280" s="550"/>
      <c r="N280" s="550"/>
      <c r="O280" s="551"/>
      <c r="P280" s="551"/>
      <c r="Q280" s="551"/>
      <c r="R280" s="550"/>
      <c r="S280" s="546">
        <f t="shared" si="49"/>
        <v>0</v>
      </c>
      <c r="T280" s="547">
        <f t="shared" si="50"/>
        <v>0</v>
      </c>
      <c r="U280" s="546">
        <f t="shared" si="51"/>
        <v>0</v>
      </c>
      <c r="W280" s="350">
        <f t="shared" si="52"/>
        <v>0</v>
      </c>
      <c r="X280" s="285">
        <f t="shared" si="53"/>
        <v>0</v>
      </c>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row>
    <row r="281" spans="1:46" ht="12" thickBot="1">
      <c r="A281" s="596" t="s">
        <v>1506</v>
      </c>
      <c r="B281" s="541" t="s">
        <v>624</v>
      </c>
      <c r="C281" s="541" t="s">
        <v>1135</v>
      </c>
      <c r="D281" s="552" t="s">
        <v>1139</v>
      </c>
      <c r="E281" s="543"/>
      <c r="F281" s="545"/>
      <c r="G281" s="544"/>
      <c r="H281" s="545"/>
      <c r="I281" s="545"/>
      <c r="J281" s="545"/>
      <c r="K281" s="545"/>
      <c r="L281" s="545"/>
      <c r="M281" s="544"/>
      <c r="N281" s="544"/>
      <c r="O281" s="545"/>
      <c r="P281" s="545"/>
      <c r="Q281" s="545"/>
      <c r="R281" s="544"/>
      <c r="S281" s="546">
        <f t="shared" si="49"/>
        <v>0</v>
      </c>
      <c r="T281" s="547">
        <f t="shared" si="50"/>
        <v>0</v>
      </c>
      <c r="U281" s="546">
        <f t="shared" si="51"/>
        <v>0</v>
      </c>
      <c r="W281" s="350">
        <f t="shared" si="52"/>
        <v>0</v>
      </c>
      <c r="X281" s="285">
        <f t="shared" si="53"/>
        <v>0</v>
      </c>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row>
    <row r="282" spans="1:46" ht="12" thickBot="1">
      <c r="A282" s="596" t="s">
        <v>1506</v>
      </c>
      <c r="B282" s="541" t="s">
        <v>429</v>
      </c>
      <c r="C282" s="541" t="s">
        <v>428</v>
      </c>
      <c r="D282" s="552" t="s">
        <v>73</v>
      </c>
      <c r="E282" s="551"/>
      <c r="F282" s="551"/>
      <c r="G282" s="551"/>
      <c r="H282" s="551"/>
      <c r="I282" s="551"/>
      <c r="J282" s="551"/>
      <c r="K282" s="551"/>
      <c r="L282" s="551"/>
      <c r="M282" s="551"/>
      <c r="N282" s="551"/>
      <c r="O282" s="551"/>
      <c r="P282" s="551"/>
      <c r="Q282" s="551"/>
      <c r="R282" s="550"/>
      <c r="S282" s="546">
        <f t="shared" si="49"/>
        <v>0</v>
      </c>
      <c r="T282" s="547">
        <f t="shared" si="50"/>
        <v>0</v>
      </c>
      <c r="U282" s="546">
        <f t="shared" si="51"/>
        <v>0</v>
      </c>
      <c r="W282" s="350">
        <f t="shared" si="52"/>
        <v>0</v>
      </c>
      <c r="X282" s="285">
        <f t="shared" si="53"/>
        <v>0</v>
      </c>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row>
    <row r="283" spans="1:46" ht="12" thickBot="1">
      <c r="A283" s="596" t="s">
        <v>1506</v>
      </c>
      <c r="B283" s="541" t="s">
        <v>455</v>
      </c>
      <c r="C283" s="541" t="s">
        <v>454</v>
      </c>
      <c r="D283" s="552" t="s">
        <v>710</v>
      </c>
      <c r="E283" s="545"/>
      <c r="F283" s="545"/>
      <c r="G283" s="545"/>
      <c r="H283" s="545"/>
      <c r="I283" s="545"/>
      <c r="J283" s="545"/>
      <c r="K283" s="545"/>
      <c r="L283" s="545"/>
      <c r="M283" s="545"/>
      <c r="N283" s="545"/>
      <c r="O283" s="545"/>
      <c r="P283" s="545"/>
      <c r="Q283" s="545"/>
      <c r="R283" s="544"/>
      <c r="S283" s="546">
        <f t="shared" si="49"/>
        <v>0</v>
      </c>
      <c r="T283" s="547">
        <f t="shared" si="50"/>
        <v>0</v>
      </c>
      <c r="U283" s="546">
        <f t="shared" si="51"/>
        <v>0</v>
      </c>
      <c r="W283" s="350">
        <f t="shared" si="52"/>
        <v>0</v>
      </c>
      <c r="X283" s="285">
        <f t="shared" si="53"/>
        <v>0</v>
      </c>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row>
    <row r="284" spans="1:46" ht="12" thickBot="1">
      <c r="A284" s="596" t="s">
        <v>1506</v>
      </c>
      <c r="B284" s="541" t="s">
        <v>457</v>
      </c>
      <c r="C284" s="541" t="s">
        <v>456</v>
      </c>
      <c r="D284" s="552" t="s">
        <v>710</v>
      </c>
      <c r="E284" s="551"/>
      <c r="F284" s="551"/>
      <c r="G284" s="551"/>
      <c r="H284" s="551"/>
      <c r="I284" s="551"/>
      <c r="J284" s="551"/>
      <c r="K284" s="551"/>
      <c r="L284" s="551"/>
      <c r="M284" s="551"/>
      <c r="N284" s="551"/>
      <c r="O284" s="551"/>
      <c r="P284" s="551"/>
      <c r="Q284" s="551"/>
      <c r="R284" s="550"/>
      <c r="S284" s="546">
        <f t="shared" si="49"/>
        <v>0</v>
      </c>
      <c r="T284" s="547">
        <f t="shared" si="50"/>
        <v>0</v>
      </c>
      <c r="U284" s="546">
        <f t="shared" si="51"/>
        <v>0</v>
      </c>
      <c r="W284" s="350">
        <f t="shared" si="52"/>
        <v>0</v>
      </c>
      <c r="X284" s="285">
        <f t="shared" si="53"/>
        <v>0</v>
      </c>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row>
    <row r="285" spans="1:46" ht="12" thickBot="1">
      <c r="A285" s="596" t="s">
        <v>1506</v>
      </c>
      <c r="B285" s="541" t="s">
        <v>427</v>
      </c>
      <c r="C285" s="541" t="s">
        <v>426</v>
      </c>
      <c r="D285" s="552" t="s">
        <v>1157</v>
      </c>
      <c r="E285" s="545"/>
      <c r="F285" s="544"/>
      <c r="G285" s="545"/>
      <c r="H285" s="545"/>
      <c r="I285" s="545"/>
      <c r="J285" s="545"/>
      <c r="K285" s="545"/>
      <c r="L285" s="545"/>
      <c r="M285" s="545"/>
      <c r="N285" s="545"/>
      <c r="O285" s="545"/>
      <c r="P285" s="545"/>
      <c r="Q285" s="545"/>
      <c r="R285" s="544"/>
      <c r="S285" s="546">
        <f t="shared" si="49"/>
        <v>0</v>
      </c>
      <c r="T285" s="547">
        <f t="shared" si="50"/>
        <v>0</v>
      </c>
      <c r="U285" s="546">
        <f t="shared" si="51"/>
        <v>0</v>
      </c>
      <c r="W285" s="350">
        <f t="shared" si="52"/>
        <v>0</v>
      </c>
      <c r="X285" s="285">
        <f t="shared" si="53"/>
        <v>0</v>
      </c>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row>
    <row r="286" spans="1:46" ht="12" thickBot="1">
      <c r="A286" s="596" t="s">
        <v>1506</v>
      </c>
      <c r="B286" s="541" t="s">
        <v>673</v>
      </c>
      <c r="C286" s="541" t="s">
        <v>674</v>
      </c>
      <c r="D286" s="552" t="s">
        <v>710</v>
      </c>
      <c r="E286" s="551"/>
      <c r="F286" s="551"/>
      <c r="G286" s="551"/>
      <c r="H286" s="551"/>
      <c r="I286" s="551"/>
      <c r="J286" s="551"/>
      <c r="K286" s="551"/>
      <c r="L286" s="551"/>
      <c r="M286" s="551"/>
      <c r="N286" s="551"/>
      <c r="O286" s="551"/>
      <c r="P286" s="551"/>
      <c r="Q286" s="551"/>
      <c r="R286" s="550"/>
      <c r="S286" s="546">
        <f t="shared" si="49"/>
        <v>0</v>
      </c>
      <c r="T286" s="547">
        <f t="shared" si="50"/>
        <v>0</v>
      </c>
      <c r="U286" s="546">
        <f t="shared" si="51"/>
        <v>0</v>
      </c>
      <c r="W286" s="350">
        <f t="shared" si="52"/>
        <v>0</v>
      </c>
      <c r="X286" s="285">
        <f t="shared" si="53"/>
        <v>0</v>
      </c>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row>
    <row r="287" spans="1:46" ht="12" thickBot="1">
      <c r="A287" s="596" t="s">
        <v>1506</v>
      </c>
      <c r="B287" s="541" t="s">
        <v>1152</v>
      </c>
      <c r="C287" s="541" t="s">
        <v>1153</v>
      </c>
      <c r="D287" s="552" t="s">
        <v>710</v>
      </c>
      <c r="E287" s="545"/>
      <c r="F287" s="545"/>
      <c r="G287" s="545"/>
      <c r="H287" s="545"/>
      <c r="I287" s="545"/>
      <c r="J287" s="545"/>
      <c r="K287" s="545"/>
      <c r="L287" s="545"/>
      <c r="M287" s="545"/>
      <c r="N287" s="545"/>
      <c r="O287" s="545"/>
      <c r="P287" s="545"/>
      <c r="Q287" s="545"/>
      <c r="R287" s="544"/>
      <c r="S287" s="546">
        <f t="shared" si="49"/>
        <v>0</v>
      </c>
      <c r="T287" s="547">
        <f t="shared" si="50"/>
        <v>0</v>
      </c>
      <c r="U287" s="546">
        <f t="shared" si="51"/>
        <v>0</v>
      </c>
      <c r="W287" s="350">
        <f t="shared" si="52"/>
        <v>0</v>
      </c>
      <c r="X287" s="285">
        <f t="shared" si="53"/>
        <v>0</v>
      </c>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row>
    <row r="288" spans="1:46" ht="12" thickBot="1">
      <c r="A288" s="596" t="s">
        <v>1506</v>
      </c>
      <c r="B288" s="541" t="s">
        <v>434</v>
      </c>
      <c r="C288" s="541" t="s">
        <v>1154</v>
      </c>
      <c r="D288" s="552" t="s">
        <v>1158</v>
      </c>
      <c r="E288" s="549"/>
      <c r="F288" s="550"/>
      <c r="G288" s="550"/>
      <c r="H288" s="550"/>
      <c r="I288" s="551"/>
      <c r="J288" s="551"/>
      <c r="K288" s="551"/>
      <c r="L288" s="551"/>
      <c r="M288" s="551"/>
      <c r="N288" s="551"/>
      <c r="O288" s="551"/>
      <c r="P288" s="551"/>
      <c r="Q288" s="551"/>
      <c r="R288" s="550"/>
      <c r="S288" s="546">
        <f t="shared" si="49"/>
        <v>0</v>
      </c>
      <c r="T288" s="547">
        <f t="shared" si="50"/>
        <v>0</v>
      </c>
      <c r="U288" s="546">
        <f t="shared" si="51"/>
        <v>0</v>
      </c>
      <c r="W288" s="350">
        <f t="shared" si="52"/>
        <v>0</v>
      </c>
      <c r="X288" s="285">
        <f t="shared" si="53"/>
        <v>0</v>
      </c>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row>
    <row r="289" spans="1:77" ht="12" thickBot="1">
      <c r="A289" s="596" t="s">
        <v>1506</v>
      </c>
      <c r="B289" s="562" t="s">
        <v>8</v>
      </c>
      <c r="C289" s="563"/>
      <c r="D289" s="557"/>
      <c r="E289" s="558"/>
      <c r="F289" s="559"/>
      <c r="G289" s="559"/>
      <c r="H289" s="559"/>
      <c r="I289" s="559"/>
      <c r="J289" s="559"/>
      <c r="K289" s="559"/>
      <c r="L289" s="559"/>
      <c r="M289" s="559"/>
      <c r="N289" s="559"/>
      <c r="O289" s="559"/>
      <c r="P289" s="559"/>
      <c r="Q289" s="559"/>
      <c r="R289" s="559"/>
      <c r="S289" s="546">
        <f t="shared" si="49"/>
        <v>0</v>
      </c>
      <c r="T289" s="547">
        <f t="shared" si="50"/>
        <v>0</v>
      </c>
      <c r="U289" s="546">
        <f t="shared" si="51"/>
        <v>0</v>
      </c>
      <c r="W289" s="350">
        <f t="shared" si="52"/>
        <v>0</v>
      </c>
      <c r="X289" s="285">
        <f t="shared" si="53"/>
        <v>0</v>
      </c>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row>
    <row r="290" spans="1:77" ht="12" thickBot="1">
      <c r="A290" s="596" t="s">
        <v>1507</v>
      </c>
      <c r="B290" s="541" t="s">
        <v>424</v>
      </c>
      <c r="C290" s="541" t="s">
        <v>444</v>
      </c>
      <c r="D290" s="542" t="s">
        <v>724</v>
      </c>
      <c r="E290" s="543"/>
      <c r="F290" s="544"/>
      <c r="G290" s="544"/>
      <c r="H290" s="545"/>
      <c r="I290" s="545"/>
      <c r="J290" s="545"/>
      <c r="K290" s="545"/>
      <c r="L290" s="545"/>
      <c r="M290" s="545"/>
      <c r="N290" s="545"/>
      <c r="O290" s="545"/>
      <c r="P290" s="545"/>
      <c r="Q290" s="545"/>
      <c r="R290" s="544"/>
      <c r="S290" s="546">
        <f>G290+H290+I290</f>
        <v>0</v>
      </c>
      <c r="T290" s="547">
        <f>J290+K290</f>
        <v>0</v>
      </c>
      <c r="U290" s="546">
        <f t="shared" ref="U290:U353" si="54">N290+O290</f>
        <v>0</v>
      </c>
      <c r="W290" s="350">
        <f>SUM(F290:Q290)</f>
        <v>0</v>
      </c>
      <c r="X290" s="285">
        <f>W290-R290</f>
        <v>0</v>
      </c>
      <c r="Y290" s="564"/>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564"/>
      <c r="AX290" s="564"/>
      <c r="AY290" s="564"/>
      <c r="AZ290" s="564"/>
      <c r="BA290" s="564"/>
      <c r="BB290" s="564"/>
      <c r="BC290" s="564"/>
      <c r="BD290" s="564"/>
      <c r="BE290" s="564"/>
      <c r="BF290" s="564"/>
      <c r="BG290" s="564"/>
      <c r="BH290" s="564"/>
      <c r="BI290" s="564"/>
      <c r="BJ290" s="564"/>
      <c r="BK290" s="564"/>
      <c r="BL290" s="564"/>
      <c r="BM290" s="564"/>
      <c r="BN290" s="564"/>
      <c r="BO290" s="564"/>
      <c r="BP290" s="564"/>
      <c r="BQ290" s="564"/>
      <c r="BR290" s="564"/>
      <c r="BS290" s="564"/>
      <c r="BT290" s="564"/>
      <c r="BU290" s="564"/>
      <c r="BV290" s="564"/>
      <c r="BW290" s="564"/>
      <c r="BX290" s="564"/>
      <c r="BY290" s="564"/>
    </row>
    <row r="291" spans="1:77" ht="12" thickBot="1">
      <c r="A291" s="596" t="s">
        <v>1507</v>
      </c>
      <c r="B291" s="541" t="s">
        <v>425</v>
      </c>
      <c r="C291" s="541" t="s">
        <v>445</v>
      </c>
      <c r="D291" s="542" t="s">
        <v>724</v>
      </c>
      <c r="E291" s="549"/>
      <c r="F291" s="550"/>
      <c r="G291" s="550"/>
      <c r="H291" s="551"/>
      <c r="I291" s="551"/>
      <c r="J291" s="551"/>
      <c r="K291" s="551"/>
      <c r="L291" s="551"/>
      <c r="M291" s="551"/>
      <c r="N291" s="551"/>
      <c r="O291" s="551"/>
      <c r="P291" s="551"/>
      <c r="Q291" s="551"/>
      <c r="R291" s="550"/>
      <c r="S291" s="546">
        <f t="shared" ref="S291:S354" si="55">G291+H291+I291</f>
        <v>0</v>
      </c>
      <c r="T291" s="547">
        <f t="shared" ref="T291:T354" si="56">J291+K291</f>
        <v>0</v>
      </c>
      <c r="U291" s="546">
        <f t="shared" si="54"/>
        <v>0</v>
      </c>
      <c r="W291" s="350">
        <f t="shared" ref="W291:W354" si="57">SUM(F291:Q291)</f>
        <v>0</v>
      </c>
      <c r="X291" s="285">
        <f t="shared" ref="X291:X354" si="58">W291-R291</f>
        <v>0</v>
      </c>
      <c r="Y291" s="564"/>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564"/>
      <c r="AX291" s="564"/>
      <c r="AY291" s="564"/>
      <c r="AZ291" s="564"/>
      <c r="BA291" s="564"/>
      <c r="BB291" s="564"/>
      <c r="BC291" s="564"/>
      <c r="BD291" s="564"/>
      <c r="BE291" s="564"/>
      <c r="BF291" s="564"/>
      <c r="BG291" s="564"/>
      <c r="BH291" s="564"/>
      <c r="BI291" s="564"/>
      <c r="BJ291" s="564"/>
      <c r="BK291" s="564"/>
      <c r="BL291" s="564"/>
      <c r="BM291" s="564"/>
      <c r="BN291" s="564"/>
      <c r="BO291" s="564"/>
      <c r="BP291" s="564"/>
      <c r="BQ291" s="564"/>
      <c r="BR291" s="564"/>
      <c r="BS291" s="564"/>
      <c r="BT291" s="564"/>
      <c r="BU291" s="564"/>
      <c r="BV291" s="564"/>
      <c r="BW291" s="564"/>
      <c r="BX291" s="564"/>
      <c r="BY291" s="564"/>
    </row>
    <row r="292" spans="1:77" ht="12" thickBot="1">
      <c r="A292" s="596" t="s">
        <v>1507</v>
      </c>
      <c r="B292" s="541" t="s">
        <v>433</v>
      </c>
      <c r="C292" s="541" t="s">
        <v>432</v>
      </c>
      <c r="D292" s="552" t="s">
        <v>1155</v>
      </c>
      <c r="E292" s="543"/>
      <c r="F292" s="545"/>
      <c r="G292" s="544"/>
      <c r="H292" s="545"/>
      <c r="I292" s="545"/>
      <c r="J292" s="545"/>
      <c r="K292" s="545"/>
      <c r="L292" s="545"/>
      <c r="M292" s="545"/>
      <c r="N292" s="545"/>
      <c r="O292" s="545"/>
      <c r="P292" s="545"/>
      <c r="Q292" s="545"/>
      <c r="R292" s="544"/>
      <c r="S292" s="546">
        <f t="shared" si="55"/>
        <v>0</v>
      </c>
      <c r="T292" s="547">
        <f t="shared" si="56"/>
        <v>0</v>
      </c>
      <c r="U292" s="546">
        <f t="shared" si="54"/>
        <v>0</v>
      </c>
      <c r="W292" s="350">
        <f t="shared" si="57"/>
        <v>0</v>
      </c>
      <c r="X292" s="285">
        <f t="shared" si="58"/>
        <v>0</v>
      </c>
      <c r="Y292" s="564"/>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564"/>
      <c r="AX292" s="564"/>
      <c r="AY292" s="564"/>
      <c r="AZ292" s="564"/>
      <c r="BA292" s="564"/>
      <c r="BB292" s="564"/>
      <c r="BC292" s="564"/>
      <c r="BD292" s="564"/>
      <c r="BE292" s="564"/>
      <c r="BF292" s="564"/>
      <c r="BG292" s="564"/>
      <c r="BH292" s="564"/>
      <c r="BI292" s="564"/>
      <c r="BJ292" s="564"/>
      <c r="BK292" s="564"/>
      <c r="BL292" s="564"/>
      <c r="BM292" s="564"/>
      <c r="BN292" s="564"/>
      <c r="BO292" s="564"/>
      <c r="BP292" s="564"/>
      <c r="BQ292" s="564"/>
      <c r="BR292" s="564"/>
      <c r="BS292" s="564"/>
      <c r="BT292" s="564"/>
      <c r="BU292" s="564"/>
      <c r="BV292" s="564"/>
      <c r="BW292" s="564"/>
      <c r="BX292" s="564"/>
      <c r="BY292" s="564"/>
    </row>
    <row r="293" spans="1:77" ht="12" thickBot="1">
      <c r="A293" s="596" t="s">
        <v>1507</v>
      </c>
      <c r="B293" s="541" t="s">
        <v>431</v>
      </c>
      <c r="C293" s="541" t="s">
        <v>430</v>
      </c>
      <c r="D293" s="553" t="s">
        <v>1155</v>
      </c>
      <c r="E293" s="549"/>
      <c r="F293" s="551"/>
      <c r="G293" s="550"/>
      <c r="H293" s="551"/>
      <c r="I293" s="551"/>
      <c r="J293" s="551"/>
      <c r="K293" s="551"/>
      <c r="L293" s="551"/>
      <c r="M293" s="551"/>
      <c r="N293" s="551"/>
      <c r="O293" s="551"/>
      <c r="P293" s="551"/>
      <c r="Q293" s="551"/>
      <c r="R293" s="550"/>
      <c r="S293" s="546">
        <f t="shared" si="55"/>
        <v>0</v>
      </c>
      <c r="T293" s="547">
        <f t="shared" si="56"/>
        <v>0</v>
      </c>
      <c r="U293" s="546">
        <f t="shared" si="54"/>
        <v>0</v>
      </c>
      <c r="W293" s="350">
        <f t="shared" si="57"/>
        <v>0</v>
      </c>
      <c r="X293" s="285">
        <f t="shared" si="58"/>
        <v>0</v>
      </c>
      <c r="Y293" s="564"/>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564"/>
      <c r="AX293" s="564"/>
      <c r="AY293" s="564"/>
      <c r="AZ293" s="564"/>
      <c r="BA293" s="564"/>
      <c r="BB293" s="564"/>
      <c r="BC293" s="564"/>
      <c r="BD293" s="564"/>
      <c r="BE293" s="564"/>
      <c r="BF293" s="564"/>
      <c r="BG293" s="564"/>
      <c r="BH293" s="564"/>
      <c r="BI293" s="564"/>
      <c r="BJ293" s="564"/>
      <c r="BK293" s="564"/>
      <c r="BL293" s="564"/>
      <c r="BM293" s="564"/>
      <c r="BN293" s="564"/>
      <c r="BO293" s="564"/>
      <c r="BP293" s="564"/>
      <c r="BQ293" s="564"/>
      <c r="BR293" s="564"/>
      <c r="BS293" s="564"/>
      <c r="BT293" s="564"/>
      <c r="BU293" s="564"/>
      <c r="BV293" s="564"/>
      <c r="BW293" s="564"/>
      <c r="BX293" s="564"/>
      <c r="BY293" s="564"/>
    </row>
    <row r="294" spans="1:77" ht="12" thickBot="1">
      <c r="A294" s="596" t="s">
        <v>1507</v>
      </c>
      <c r="B294" s="541" t="s">
        <v>1048</v>
      </c>
      <c r="C294" s="541" t="s">
        <v>1049</v>
      </c>
      <c r="D294" s="553" t="s">
        <v>1146</v>
      </c>
      <c r="E294" s="545"/>
      <c r="F294" s="545"/>
      <c r="G294" s="545"/>
      <c r="H294" s="545"/>
      <c r="I294" s="545"/>
      <c r="J294" s="545"/>
      <c r="K294" s="545"/>
      <c r="L294" s="545"/>
      <c r="M294" s="545"/>
      <c r="N294" s="545"/>
      <c r="O294" s="545"/>
      <c r="P294" s="545"/>
      <c r="Q294" s="545"/>
      <c r="R294" s="545"/>
      <c r="S294" s="546">
        <f t="shared" si="55"/>
        <v>0</v>
      </c>
      <c r="T294" s="547">
        <f t="shared" si="56"/>
        <v>0</v>
      </c>
      <c r="U294" s="546">
        <f t="shared" si="54"/>
        <v>0</v>
      </c>
      <c r="W294" s="350">
        <f t="shared" si="57"/>
        <v>0</v>
      </c>
      <c r="X294" s="285">
        <f t="shared" si="58"/>
        <v>0</v>
      </c>
      <c r="Y294" s="564"/>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564"/>
      <c r="AX294" s="564"/>
      <c r="AY294" s="564"/>
      <c r="AZ294" s="564"/>
      <c r="BA294" s="564"/>
      <c r="BB294" s="564"/>
      <c r="BC294" s="564"/>
      <c r="BD294" s="564"/>
      <c r="BE294" s="564"/>
      <c r="BF294" s="564"/>
      <c r="BG294" s="564"/>
      <c r="BH294" s="564"/>
      <c r="BI294" s="564"/>
      <c r="BJ294" s="564"/>
      <c r="BK294" s="564"/>
      <c r="BL294" s="564"/>
      <c r="BM294" s="564"/>
      <c r="BN294" s="564"/>
      <c r="BO294" s="564"/>
      <c r="BP294" s="564"/>
      <c r="BQ294" s="564"/>
      <c r="BR294" s="564"/>
      <c r="BS294" s="564"/>
      <c r="BT294" s="564"/>
      <c r="BU294" s="564"/>
      <c r="BV294" s="564"/>
      <c r="BW294" s="564"/>
      <c r="BX294" s="564"/>
      <c r="BY294" s="564"/>
    </row>
    <row r="295" spans="1:77" ht="12" thickBot="1">
      <c r="A295" s="596" t="s">
        <v>1507</v>
      </c>
      <c r="B295" s="541" t="s">
        <v>152</v>
      </c>
      <c r="C295" s="541" t="s">
        <v>57</v>
      </c>
      <c r="D295" s="553" t="s">
        <v>18</v>
      </c>
      <c r="E295" s="549">
        <f t="shared" ref="E295:E341" si="59">ROUND(SUMIFS(E$1721:E$1888,$A$1721:$A$1888,$A295,$B$1721:$B$1888,$B295),0)</f>
        <v>134527236</v>
      </c>
      <c r="F295" s="988">
        <f t="shared" ref="F295:P304" si="60">ROUND(SUMIFS(F$1721:F$1901,$A$1721:$A$1901,$A295,$B$1721:$B$1901,$B295),0)</f>
        <v>24000</v>
      </c>
      <c r="G295" s="988">
        <f t="shared" si="60"/>
        <v>998192</v>
      </c>
      <c r="H295" s="988">
        <f t="shared" si="60"/>
        <v>3890528</v>
      </c>
      <c r="I295" s="988">
        <f t="shared" si="60"/>
        <v>0</v>
      </c>
      <c r="J295" s="988">
        <f t="shared" si="60"/>
        <v>209936</v>
      </c>
      <c r="K295" s="988">
        <f t="shared" si="60"/>
        <v>2152433</v>
      </c>
      <c r="L295" s="988">
        <f t="shared" si="60"/>
        <v>0</v>
      </c>
      <c r="M295" s="988">
        <f t="shared" si="60"/>
        <v>327305</v>
      </c>
      <c r="N295" s="988">
        <f t="shared" si="60"/>
        <v>0</v>
      </c>
      <c r="O295" s="988">
        <f t="shared" si="60"/>
        <v>775280</v>
      </c>
      <c r="P295" s="988">
        <f t="shared" si="60"/>
        <v>0</v>
      </c>
      <c r="Q295" s="988"/>
      <c r="R295" s="988">
        <f t="shared" ref="R295:R341" si="61">ROUND(SUMIFS(R$1721:R$1901,$A$1721:$A$1901,$A295,$B$1721:$B$1901,$B295),0)</f>
        <v>8377675</v>
      </c>
      <c r="S295" s="546">
        <f t="shared" si="55"/>
        <v>4888720</v>
      </c>
      <c r="T295" s="547">
        <f t="shared" si="56"/>
        <v>2362369</v>
      </c>
      <c r="U295" s="546">
        <f t="shared" si="54"/>
        <v>775280</v>
      </c>
      <c r="W295" s="350">
        <f t="shared" si="57"/>
        <v>8377674</v>
      </c>
      <c r="X295" s="285">
        <f t="shared" si="58"/>
        <v>-1</v>
      </c>
      <c r="Y295" s="564"/>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564"/>
      <c r="AX295" s="564"/>
      <c r="AY295" s="564"/>
      <c r="AZ295" s="564"/>
      <c r="BA295" s="564"/>
      <c r="BB295" s="564"/>
      <c r="BC295" s="564"/>
      <c r="BD295" s="564"/>
      <c r="BE295" s="564"/>
      <c r="BF295" s="564"/>
      <c r="BG295" s="564"/>
      <c r="BH295" s="564"/>
      <c r="BI295" s="564"/>
      <c r="BJ295" s="564"/>
      <c r="BK295" s="564"/>
      <c r="BL295" s="564"/>
      <c r="BM295" s="564"/>
      <c r="BN295" s="564"/>
      <c r="BO295" s="564"/>
      <c r="BP295" s="564"/>
      <c r="BQ295" s="564"/>
      <c r="BR295" s="564"/>
      <c r="BS295" s="564"/>
      <c r="BT295" s="564"/>
      <c r="BU295" s="564"/>
      <c r="BV295" s="564"/>
      <c r="BW295" s="564"/>
      <c r="BX295" s="564"/>
      <c r="BY295" s="564"/>
    </row>
    <row r="296" spans="1:77" ht="12" thickBot="1">
      <c r="A296" s="596" t="s">
        <v>1507</v>
      </c>
      <c r="B296" s="541" t="s">
        <v>153</v>
      </c>
      <c r="C296" s="541" t="s">
        <v>180</v>
      </c>
      <c r="D296" s="542" t="s">
        <v>25</v>
      </c>
      <c r="E296" s="549">
        <f t="shared" si="59"/>
        <v>18258219</v>
      </c>
      <c r="F296" s="988">
        <f t="shared" si="60"/>
        <v>33150</v>
      </c>
      <c r="G296" s="988">
        <f t="shared" si="60"/>
        <v>122330</v>
      </c>
      <c r="H296" s="988">
        <f t="shared" si="60"/>
        <v>528028</v>
      </c>
      <c r="I296" s="988">
        <f t="shared" si="60"/>
        <v>0</v>
      </c>
      <c r="J296" s="988">
        <f t="shared" si="60"/>
        <v>59087</v>
      </c>
      <c r="K296" s="988">
        <f t="shared" si="60"/>
        <v>661998</v>
      </c>
      <c r="L296" s="988">
        <f t="shared" si="60"/>
        <v>22436</v>
      </c>
      <c r="M296" s="988">
        <f t="shared" si="60"/>
        <v>44422</v>
      </c>
      <c r="N296" s="988">
        <f t="shared" si="60"/>
        <v>0</v>
      </c>
      <c r="O296" s="988">
        <f t="shared" si="60"/>
        <v>105222</v>
      </c>
      <c r="P296" s="988">
        <f t="shared" si="60"/>
        <v>0</v>
      </c>
      <c r="Q296" s="988"/>
      <c r="R296" s="988">
        <f t="shared" si="61"/>
        <v>1576674</v>
      </c>
      <c r="S296" s="546">
        <f t="shared" si="55"/>
        <v>650358</v>
      </c>
      <c r="T296" s="547">
        <f t="shared" si="56"/>
        <v>721085</v>
      </c>
      <c r="U296" s="546">
        <f t="shared" si="54"/>
        <v>105222</v>
      </c>
      <c r="W296" s="350">
        <f t="shared" si="57"/>
        <v>1576673</v>
      </c>
      <c r="X296" s="285">
        <f t="shared" si="58"/>
        <v>-1</v>
      </c>
      <c r="Y296" s="564"/>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564"/>
      <c r="AX296" s="564"/>
      <c r="AY296" s="564"/>
      <c r="AZ296" s="564"/>
      <c r="BA296" s="564"/>
      <c r="BB296" s="564"/>
      <c r="BC296" s="564"/>
      <c r="BD296" s="564"/>
      <c r="BE296" s="564"/>
      <c r="BF296" s="564"/>
      <c r="BG296" s="564"/>
      <c r="BH296" s="564"/>
      <c r="BI296" s="564"/>
      <c r="BJ296" s="564"/>
      <c r="BK296" s="564"/>
      <c r="BL296" s="564"/>
      <c r="BM296" s="564"/>
      <c r="BN296" s="564"/>
      <c r="BO296" s="564"/>
      <c r="BP296" s="564"/>
      <c r="BQ296" s="564"/>
      <c r="BR296" s="564"/>
      <c r="BS296" s="564"/>
      <c r="BT296" s="564"/>
      <c r="BU296" s="564"/>
      <c r="BV296" s="564"/>
      <c r="BW296" s="564"/>
      <c r="BX296" s="564"/>
      <c r="BY296" s="564"/>
    </row>
    <row r="297" spans="1:77" ht="12" thickBot="1">
      <c r="A297" s="596" t="s">
        <v>1507</v>
      </c>
      <c r="B297" s="541" t="s">
        <v>154</v>
      </c>
      <c r="C297" s="541" t="s">
        <v>181</v>
      </c>
      <c r="D297" s="542" t="s">
        <v>24</v>
      </c>
      <c r="E297" s="549">
        <f t="shared" si="59"/>
        <v>154898630</v>
      </c>
      <c r="F297" s="988">
        <f t="shared" si="60"/>
        <v>416700</v>
      </c>
      <c r="G297" s="988">
        <f t="shared" si="60"/>
        <v>1040919</v>
      </c>
      <c r="H297" s="988">
        <f t="shared" si="60"/>
        <v>4479668</v>
      </c>
      <c r="I297" s="988">
        <f t="shared" si="60"/>
        <v>0</v>
      </c>
      <c r="J297" s="988">
        <f t="shared" si="60"/>
        <v>561507</v>
      </c>
      <c r="K297" s="988">
        <f t="shared" si="60"/>
        <v>6301360</v>
      </c>
      <c r="L297" s="988">
        <f t="shared" si="60"/>
        <v>190344</v>
      </c>
      <c r="M297" s="988">
        <f t="shared" si="60"/>
        <v>376869</v>
      </c>
      <c r="N297" s="988">
        <f t="shared" si="60"/>
        <v>0</v>
      </c>
      <c r="O297" s="988">
        <f t="shared" si="60"/>
        <v>892681</v>
      </c>
      <c r="P297" s="988">
        <f t="shared" si="60"/>
        <v>0</v>
      </c>
      <c r="Q297" s="988"/>
      <c r="R297" s="988">
        <f t="shared" si="61"/>
        <v>14260048</v>
      </c>
      <c r="S297" s="546">
        <f t="shared" si="55"/>
        <v>5520587</v>
      </c>
      <c r="T297" s="547">
        <f t="shared" si="56"/>
        <v>6862867</v>
      </c>
      <c r="U297" s="546">
        <f t="shared" si="54"/>
        <v>892681</v>
      </c>
      <c r="W297" s="350">
        <f t="shared" si="57"/>
        <v>14260048</v>
      </c>
      <c r="X297" s="285">
        <f t="shared" si="58"/>
        <v>0</v>
      </c>
      <c r="Y297" s="564"/>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564"/>
      <c r="AX297" s="564"/>
      <c r="AY297" s="564"/>
      <c r="AZ297" s="564"/>
      <c r="BA297" s="564"/>
      <c r="BB297" s="564"/>
      <c r="BC297" s="564"/>
      <c r="BD297" s="564"/>
      <c r="BE297" s="564"/>
      <c r="BF297" s="564"/>
      <c r="BG297" s="564"/>
      <c r="BH297" s="564"/>
      <c r="BI297" s="564"/>
      <c r="BJ297" s="564"/>
      <c r="BK297" s="564"/>
      <c r="BL297" s="564"/>
      <c r="BM297" s="564"/>
      <c r="BN297" s="564"/>
      <c r="BO297" s="564"/>
      <c r="BP297" s="564"/>
      <c r="BQ297" s="564"/>
      <c r="BR297" s="564"/>
      <c r="BS297" s="564"/>
      <c r="BT297" s="564"/>
      <c r="BU297" s="564"/>
      <c r="BV297" s="564"/>
      <c r="BW297" s="564"/>
      <c r="BX297" s="564"/>
      <c r="BY297" s="564"/>
    </row>
    <row r="298" spans="1:77" ht="12" thickBot="1">
      <c r="A298" s="596" t="s">
        <v>1507</v>
      </c>
      <c r="B298" s="541" t="s">
        <v>155</v>
      </c>
      <c r="C298" s="541" t="s">
        <v>182</v>
      </c>
      <c r="D298" s="554" t="s">
        <v>205</v>
      </c>
      <c r="E298" s="549">
        <f t="shared" si="59"/>
        <v>237299344</v>
      </c>
      <c r="F298" s="988">
        <f t="shared" si="60"/>
        <v>15600</v>
      </c>
      <c r="G298" s="988">
        <f t="shared" si="60"/>
        <v>2071623</v>
      </c>
      <c r="H298" s="988">
        <f t="shared" si="60"/>
        <v>6862697</v>
      </c>
      <c r="I298" s="988">
        <f t="shared" si="60"/>
        <v>0</v>
      </c>
      <c r="J298" s="988">
        <f t="shared" si="60"/>
        <v>386940</v>
      </c>
      <c r="K298" s="988">
        <f t="shared" si="60"/>
        <v>3895673</v>
      </c>
      <c r="L298" s="988">
        <f t="shared" si="60"/>
        <v>291601</v>
      </c>
      <c r="M298" s="988">
        <f t="shared" si="60"/>
        <v>577350</v>
      </c>
      <c r="N298" s="988">
        <f t="shared" si="60"/>
        <v>0</v>
      </c>
      <c r="O298" s="988">
        <f t="shared" si="60"/>
        <v>1367556</v>
      </c>
      <c r="P298" s="988">
        <f t="shared" si="60"/>
        <v>0</v>
      </c>
      <c r="Q298" s="988"/>
      <c r="R298" s="988">
        <f t="shared" si="61"/>
        <v>15469040</v>
      </c>
      <c r="S298" s="546">
        <f t="shared" si="55"/>
        <v>8934320</v>
      </c>
      <c r="T298" s="547">
        <f t="shared" si="56"/>
        <v>4282613</v>
      </c>
      <c r="U298" s="546">
        <f t="shared" si="54"/>
        <v>1367556</v>
      </c>
      <c r="W298" s="350">
        <f t="shared" si="57"/>
        <v>15469040</v>
      </c>
      <c r="X298" s="285">
        <f t="shared" si="58"/>
        <v>0</v>
      </c>
      <c r="Y298" s="564"/>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564"/>
      <c r="AX298" s="564"/>
      <c r="AY298" s="564"/>
      <c r="AZ298" s="564"/>
      <c r="BA298" s="564"/>
      <c r="BB298" s="564"/>
      <c r="BC298" s="564"/>
      <c r="BD298" s="564"/>
      <c r="BE298" s="564"/>
      <c r="BF298" s="564"/>
      <c r="BG298" s="564"/>
      <c r="BH298" s="564"/>
      <c r="BI298" s="564"/>
      <c r="BJ298" s="564"/>
      <c r="BK298" s="564"/>
      <c r="BL298" s="564"/>
      <c r="BM298" s="564"/>
      <c r="BN298" s="564"/>
      <c r="BO298" s="564"/>
      <c r="BP298" s="564"/>
      <c r="BQ298" s="564"/>
      <c r="BR298" s="564"/>
      <c r="BS298" s="564"/>
      <c r="BT298" s="564"/>
      <c r="BU298" s="564"/>
      <c r="BV298" s="564"/>
      <c r="BW298" s="564"/>
      <c r="BX298" s="564"/>
      <c r="BY298" s="564"/>
    </row>
    <row r="299" spans="1:77" ht="12" thickBot="1">
      <c r="A299" s="596" t="s">
        <v>1507</v>
      </c>
      <c r="B299" s="541" t="s">
        <v>156</v>
      </c>
      <c r="C299" s="541" t="s">
        <v>183</v>
      </c>
      <c r="D299" s="554" t="s">
        <v>25</v>
      </c>
      <c r="E299" s="549">
        <f t="shared" si="59"/>
        <v>0</v>
      </c>
      <c r="F299" s="988">
        <f t="shared" si="60"/>
        <v>0</v>
      </c>
      <c r="G299" s="988">
        <f t="shared" si="60"/>
        <v>0</v>
      </c>
      <c r="H299" s="988">
        <f t="shared" si="60"/>
        <v>0</v>
      </c>
      <c r="I299" s="988">
        <f t="shared" si="60"/>
        <v>0</v>
      </c>
      <c r="J299" s="988">
        <f t="shared" si="60"/>
        <v>0</v>
      </c>
      <c r="K299" s="988">
        <f t="shared" si="60"/>
        <v>0</v>
      </c>
      <c r="L299" s="988">
        <f t="shared" si="60"/>
        <v>0</v>
      </c>
      <c r="M299" s="988">
        <f t="shared" si="60"/>
        <v>0</v>
      </c>
      <c r="N299" s="988">
        <f t="shared" si="60"/>
        <v>0</v>
      </c>
      <c r="O299" s="988">
        <f t="shared" si="60"/>
        <v>0</v>
      </c>
      <c r="P299" s="988">
        <f t="shared" si="60"/>
        <v>0</v>
      </c>
      <c r="Q299" s="988"/>
      <c r="R299" s="988">
        <f t="shared" si="61"/>
        <v>0</v>
      </c>
      <c r="S299" s="546">
        <f t="shared" si="55"/>
        <v>0</v>
      </c>
      <c r="T299" s="547">
        <f t="shared" si="56"/>
        <v>0</v>
      </c>
      <c r="U299" s="546">
        <f t="shared" si="54"/>
        <v>0</v>
      </c>
      <c r="W299" s="350">
        <f t="shared" si="57"/>
        <v>0</v>
      </c>
      <c r="X299" s="285">
        <f t="shared" si="58"/>
        <v>0</v>
      </c>
      <c r="Y299" s="564"/>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564"/>
      <c r="AX299" s="564"/>
      <c r="AY299" s="564"/>
      <c r="AZ299" s="564"/>
      <c r="BA299" s="564"/>
      <c r="BB299" s="564"/>
      <c r="BC299" s="564"/>
      <c r="BD299" s="564"/>
      <c r="BE299" s="564"/>
      <c r="BF299" s="564"/>
      <c r="BG299" s="564"/>
      <c r="BH299" s="564"/>
      <c r="BI299" s="564"/>
      <c r="BJ299" s="564"/>
      <c r="BK299" s="564"/>
      <c r="BL299" s="564"/>
      <c r="BM299" s="564"/>
      <c r="BN299" s="564"/>
      <c r="BO299" s="564"/>
      <c r="BP299" s="564"/>
      <c r="BQ299" s="564"/>
      <c r="BR299" s="564"/>
      <c r="BS299" s="564"/>
      <c r="BT299" s="564"/>
      <c r="BU299" s="564"/>
      <c r="BV299" s="564"/>
      <c r="BW299" s="564"/>
      <c r="BX299" s="564"/>
      <c r="BY299" s="564"/>
    </row>
    <row r="300" spans="1:77" ht="12" thickBot="1">
      <c r="A300" s="596" t="s">
        <v>1507</v>
      </c>
      <c r="B300" s="541" t="s">
        <v>157</v>
      </c>
      <c r="C300" s="541" t="s">
        <v>184</v>
      </c>
      <c r="D300" s="554" t="s">
        <v>24</v>
      </c>
      <c r="E300" s="549">
        <f t="shared" si="59"/>
        <v>0</v>
      </c>
      <c r="F300" s="988">
        <f t="shared" si="60"/>
        <v>0</v>
      </c>
      <c r="G300" s="988">
        <f t="shared" si="60"/>
        <v>0</v>
      </c>
      <c r="H300" s="988">
        <f t="shared" si="60"/>
        <v>0</v>
      </c>
      <c r="I300" s="988">
        <f t="shared" si="60"/>
        <v>0</v>
      </c>
      <c r="J300" s="988">
        <f t="shared" si="60"/>
        <v>0</v>
      </c>
      <c r="K300" s="988">
        <f t="shared" si="60"/>
        <v>0</v>
      </c>
      <c r="L300" s="988">
        <f t="shared" si="60"/>
        <v>0</v>
      </c>
      <c r="M300" s="988">
        <f t="shared" si="60"/>
        <v>0</v>
      </c>
      <c r="N300" s="988">
        <f t="shared" si="60"/>
        <v>0</v>
      </c>
      <c r="O300" s="988">
        <f t="shared" si="60"/>
        <v>0</v>
      </c>
      <c r="P300" s="988">
        <f t="shared" si="60"/>
        <v>0</v>
      </c>
      <c r="Q300" s="988"/>
      <c r="R300" s="988">
        <f t="shared" si="61"/>
        <v>0</v>
      </c>
      <c r="S300" s="546">
        <f t="shared" si="55"/>
        <v>0</v>
      </c>
      <c r="T300" s="547">
        <f t="shared" si="56"/>
        <v>0</v>
      </c>
      <c r="U300" s="546">
        <f t="shared" si="54"/>
        <v>0</v>
      </c>
      <c r="W300" s="350">
        <f t="shared" si="57"/>
        <v>0</v>
      </c>
      <c r="X300" s="285">
        <f t="shared" si="58"/>
        <v>0</v>
      </c>
      <c r="Y300" s="564"/>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564"/>
      <c r="AX300" s="564"/>
      <c r="AY300" s="564"/>
      <c r="AZ300" s="564"/>
      <c r="BA300" s="564"/>
      <c r="BB300" s="564"/>
      <c r="BC300" s="564"/>
      <c r="BD300" s="564"/>
      <c r="BE300" s="564"/>
      <c r="BF300" s="564"/>
      <c r="BG300" s="564"/>
      <c r="BH300" s="564"/>
      <c r="BI300" s="564"/>
      <c r="BJ300" s="564"/>
      <c r="BK300" s="564"/>
      <c r="BL300" s="564"/>
      <c r="BM300" s="564"/>
      <c r="BN300" s="564"/>
      <c r="BO300" s="564"/>
      <c r="BP300" s="564"/>
      <c r="BQ300" s="564"/>
      <c r="BR300" s="564"/>
      <c r="BS300" s="564"/>
      <c r="BT300" s="564"/>
      <c r="BU300" s="564"/>
      <c r="BV300" s="564"/>
      <c r="BW300" s="564"/>
      <c r="BX300" s="564"/>
      <c r="BY300" s="564"/>
    </row>
    <row r="301" spans="1:77" ht="12" thickBot="1">
      <c r="A301" s="596" t="s">
        <v>1507</v>
      </c>
      <c r="B301" s="541" t="s">
        <v>158</v>
      </c>
      <c r="C301" s="541" t="s">
        <v>185</v>
      </c>
      <c r="D301" s="542" t="s">
        <v>205</v>
      </c>
      <c r="E301" s="549">
        <f t="shared" si="59"/>
        <v>99726211</v>
      </c>
      <c r="F301" s="988">
        <f t="shared" si="60"/>
        <v>61800</v>
      </c>
      <c r="G301" s="988">
        <f t="shared" si="60"/>
        <v>870610</v>
      </c>
      <c r="H301" s="988">
        <f t="shared" si="60"/>
        <v>2884082</v>
      </c>
      <c r="I301" s="988">
        <f t="shared" si="60"/>
        <v>0</v>
      </c>
      <c r="J301" s="988">
        <f t="shared" si="60"/>
        <v>195533</v>
      </c>
      <c r="K301" s="988">
        <f t="shared" si="60"/>
        <v>1971509</v>
      </c>
      <c r="L301" s="988">
        <f t="shared" si="60"/>
        <v>122547</v>
      </c>
      <c r="M301" s="988">
        <f t="shared" si="60"/>
        <v>242634</v>
      </c>
      <c r="N301" s="988">
        <f t="shared" si="60"/>
        <v>0</v>
      </c>
      <c r="O301" s="988">
        <f t="shared" si="60"/>
        <v>574722</v>
      </c>
      <c r="P301" s="988">
        <f t="shared" si="60"/>
        <v>0</v>
      </c>
      <c r="Q301" s="988"/>
      <c r="R301" s="988">
        <f t="shared" si="61"/>
        <v>6923437</v>
      </c>
      <c r="S301" s="546">
        <f t="shared" si="55"/>
        <v>3754692</v>
      </c>
      <c r="T301" s="547">
        <f t="shared" si="56"/>
        <v>2167042</v>
      </c>
      <c r="U301" s="546">
        <f t="shared" si="54"/>
        <v>574722</v>
      </c>
      <c r="W301" s="350">
        <f t="shared" si="57"/>
        <v>6923437</v>
      </c>
      <c r="X301" s="285">
        <f t="shared" si="58"/>
        <v>0</v>
      </c>
      <c r="Y301" s="564"/>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564"/>
      <c r="AX301" s="564"/>
      <c r="AY301" s="564"/>
      <c r="AZ301" s="564"/>
      <c r="BA301" s="564"/>
      <c r="BB301" s="564"/>
      <c r="BC301" s="564"/>
      <c r="BD301" s="564"/>
      <c r="BE301" s="564"/>
      <c r="BF301" s="564"/>
      <c r="BG301" s="564"/>
      <c r="BH301" s="564"/>
      <c r="BI301" s="564"/>
      <c r="BJ301" s="564"/>
      <c r="BK301" s="564"/>
      <c r="BL301" s="564"/>
      <c r="BM301" s="564"/>
      <c r="BN301" s="564"/>
      <c r="BO301" s="564"/>
      <c r="BP301" s="564"/>
      <c r="BQ301" s="564"/>
      <c r="BR301" s="564"/>
      <c r="BS301" s="564"/>
      <c r="BT301" s="564"/>
      <c r="BU301" s="564"/>
      <c r="BV301" s="564"/>
      <c r="BW301" s="564"/>
      <c r="BX301" s="564"/>
      <c r="BY301" s="564"/>
    </row>
    <row r="302" spans="1:77" ht="12" thickBot="1">
      <c r="A302" s="596" t="s">
        <v>1507</v>
      </c>
      <c r="B302" s="541" t="s">
        <v>159</v>
      </c>
      <c r="C302" s="541" t="s">
        <v>186</v>
      </c>
      <c r="D302" s="542" t="s">
        <v>204</v>
      </c>
      <c r="E302" s="549">
        <f t="shared" si="59"/>
        <v>121409593</v>
      </c>
      <c r="F302" s="988">
        <f t="shared" si="60"/>
        <v>93800</v>
      </c>
      <c r="G302" s="988">
        <f t="shared" si="60"/>
        <v>1069619</v>
      </c>
      <c r="H302" s="988">
        <f t="shared" si="60"/>
        <v>3511165</v>
      </c>
      <c r="I302" s="988">
        <f t="shared" si="60"/>
        <v>0</v>
      </c>
      <c r="J302" s="988">
        <f t="shared" si="60"/>
        <v>281326</v>
      </c>
      <c r="K302" s="988">
        <f t="shared" si="60"/>
        <v>2871026</v>
      </c>
      <c r="L302" s="988">
        <f t="shared" si="60"/>
        <v>149192</v>
      </c>
      <c r="M302" s="988">
        <f t="shared" si="60"/>
        <v>295390</v>
      </c>
      <c r="N302" s="988">
        <f t="shared" si="60"/>
        <v>0</v>
      </c>
      <c r="O302" s="988">
        <f t="shared" si="60"/>
        <v>699683</v>
      </c>
      <c r="P302" s="988">
        <f t="shared" si="60"/>
        <v>0</v>
      </c>
      <c r="Q302" s="988"/>
      <c r="R302" s="988">
        <f t="shared" si="61"/>
        <v>8971201</v>
      </c>
      <c r="S302" s="546">
        <f t="shared" si="55"/>
        <v>4580784</v>
      </c>
      <c r="T302" s="547">
        <f t="shared" si="56"/>
        <v>3152352</v>
      </c>
      <c r="U302" s="546">
        <f t="shared" si="54"/>
        <v>699683</v>
      </c>
      <c r="W302" s="350">
        <f t="shared" si="57"/>
        <v>8971201</v>
      </c>
      <c r="X302" s="285">
        <f t="shared" si="58"/>
        <v>0</v>
      </c>
      <c r="Y302" s="564"/>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564"/>
      <c r="AX302" s="564"/>
      <c r="AY302" s="564"/>
      <c r="AZ302" s="564"/>
      <c r="BA302" s="564"/>
      <c r="BB302" s="564"/>
      <c r="BC302" s="564"/>
      <c r="BD302" s="564"/>
      <c r="BE302" s="564"/>
      <c r="BF302" s="564"/>
      <c r="BG302" s="564"/>
      <c r="BH302" s="564"/>
      <c r="BI302" s="564"/>
      <c r="BJ302" s="564"/>
      <c r="BK302" s="564"/>
      <c r="BL302" s="564"/>
      <c r="BM302" s="564"/>
      <c r="BN302" s="564"/>
      <c r="BO302" s="564"/>
      <c r="BP302" s="564"/>
      <c r="BQ302" s="564"/>
      <c r="BR302" s="564"/>
      <c r="BS302" s="564"/>
      <c r="BT302" s="564"/>
      <c r="BU302" s="564"/>
      <c r="BV302" s="564"/>
      <c r="BW302" s="564"/>
      <c r="BX302" s="564"/>
      <c r="BY302" s="564"/>
    </row>
    <row r="303" spans="1:77" ht="12" thickBot="1">
      <c r="A303" s="596" t="s">
        <v>1507</v>
      </c>
      <c r="B303" s="541" t="s">
        <v>160</v>
      </c>
      <c r="C303" s="541" t="s">
        <v>187</v>
      </c>
      <c r="D303" s="542" t="s">
        <v>24</v>
      </c>
      <c r="E303" s="549">
        <f t="shared" si="59"/>
        <v>0</v>
      </c>
      <c r="F303" s="988">
        <f t="shared" si="60"/>
        <v>0</v>
      </c>
      <c r="G303" s="988">
        <f t="shared" si="60"/>
        <v>0</v>
      </c>
      <c r="H303" s="988">
        <f t="shared" si="60"/>
        <v>0</v>
      </c>
      <c r="I303" s="988">
        <f t="shared" si="60"/>
        <v>0</v>
      </c>
      <c r="J303" s="988">
        <f t="shared" si="60"/>
        <v>0</v>
      </c>
      <c r="K303" s="988">
        <f t="shared" si="60"/>
        <v>0</v>
      </c>
      <c r="L303" s="988">
        <f t="shared" si="60"/>
        <v>0</v>
      </c>
      <c r="M303" s="988">
        <f t="shared" si="60"/>
        <v>0</v>
      </c>
      <c r="N303" s="988">
        <f t="shared" si="60"/>
        <v>0</v>
      </c>
      <c r="O303" s="988">
        <f t="shared" si="60"/>
        <v>0</v>
      </c>
      <c r="P303" s="988">
        <f t="shared" si="60"/>
        <v>0</v>
      </c>
      <c r="Q303" s="988"/>
      <c r="R303" s="988">
        <f t="shared" si="61"/>
        <v>0</v>
      </c>
      <c r="S303" s="546">
        <f t="shared" si="55"/>
        <v>0</v>
      </c>
      <c r="T303" s="547">
        <f t="shared" si="56"/>
        <v>0</v>
      </c>
      <c r="U303" s="546">
        <f t="shared" si="54"/>
        <v>0</v>
      </c>
      <c r="W303" s="350">
        <f t="shared" si="57"/>
        <v>0</v>
      </c>
      <c r="X303" s="285">
        <f t="shared" si="58"/>
        <v>0</v>
      </c>
      <c r="Y303" s="564"/>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564"/>
      <c r="AX303" s="564"/>
      <c r="AY303" s="564"/>
      <c r="AZ303" s="564"/>
      <c r="BA303" s="564"/>
      <c r="BB303" s="564"/>
      <c r="BC303" s="564"/>
      <c r="BD303" s="564"/>
      <c r="BE303" s="564"/>
      <c r="BF303" s="564"/>
      <c r="BG303" s="564"/>
      <c r="BH303" s="564"/>
      <c r="BI303" s="564"/>
      <c r="BJ303" s="564"/>
      <c r="BK303" s="564"/>
      <c r="BL303" s="564"/>
      <c r="BM303" s="564"/>
      <c r="BN303" s="564"/>
      <c r="BO303" s="564"/>
      <c r="BP303" s="564"/>
      <c r="BQ303" s="564"/>
      <c r="BR303" s="564"/>
      <c r="BS303" s="564"/>
      <c r="BT303" s="564"/>
      <c r="BU303" s="564"/>
      <c r="BV303" s="564"/>
      <c r="BW303" s="564"/>
      <c r="BX303" s="564"/>
      <c r="BY303" s="564"/>
    </row>
    <row r="304" spans="1:77" ht="12" thickBot="1">
      <c r="A304" s="596" t="s">
        <v>1507</v>
      </c>
      <c r="B304" s="541" t="s">
        <v>1050</v>
      </c>
      <c r="C304" s="541" t="s">
        <v>1049</v>
      </c>
      <c r="D304" s="542" t="s">
        <v>1146</v>
      </c>
      <c r="E304" s="549">
        <f t="shared" si="59"/>
        <v>0</v>
      </c>
      <c r="F304" s="988">
        <f t="shared" si="60"/>
        <v>0</v>
      </c>
      <c r="G304" s="988">
        <f t="shared" si="60"/>
        <v>0</v>
      </c>
      <c r="H304" s="988">
        <f t="shared" si="60"/>
        <v>0</v>
      </c>
      <c r="I304" s="988">
        <f t="shared" si="60"/>
        <v>0</v>
      </c>
      <c r="J304" s="988">
        <f t="shared" si="60"/>
        <v>0</v>
      </c>
      <c r="K304" s="988">
        <f t="shared" si="60"/>
        <v>0</v>
      </c>
      <c r="L304" s="988">
        <f t="shared" si="60"/>
        <v>0</v>
      </c>
      <c r="M304" s="988">
        <f t="shared" si="60"/>
        <v>0</v>
      </c>
      <c r="N304" s="988">
        <f t="shared" si="60"/>
        <v>0</v>
      </c>
      <c r="O304" s="988">
        <f t="shared" si="60"/>
        <v>0</v>
      </c>
      <c r="P304" s="988">
        <f t="shared" si="60"/>
        <v>0</v>
      </c>
      <c r="Q304" s="988"/>
      <c r="R304" s="988">
        <f t="shared" si="61"/>
        <v>0</v>
      </c>
      <c r="S304" s="546">
        <f t="shared" si="55"/>
        <v>0</v>
      </c>
      <c r="T304" s="547">
        <f t="shared" si="56"/>
        <v>0</v>
      </c>
      <c r="U304" s="546">
        <f t="shared" si="54"/>
        <v>0</v>
      </c>
      <c r="W304" s="350">
        <f t="shared" si="57"/>
        <v>0</v>
      </c>
      <c r="X304" s="285">
        <f t="shared" si="58"/>
        <v>0</v>
      </c>
      <c r="Y304" s="564"/>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564"/>
      <c r="AX304" s="564"/>
      <c r="AY304" s="564"/>
      <c r="AZ304" s="564"/>
      <c r="BA304" s="564"/>
      <c r="BB304" s="564"/>
      <c r="BC304" s="564"/>
      <c r="BD304" s="564"/>
      <c r="BE304" s="564"/>
      <c r="BF304" s="564"/>
      <c r="BG304" s="564"/>
      <c r="BH304" s="564"/>
      <c r="BI304" s="564"/>
      <c r="BJ304" s="564"/>
      <c r="BK304" s="564"/>
      <c r="BL304" s="564"/>
      <c r="BM304" s="564"/>
      <c r="BN304" s="564"/>
      <c r="BO304" s="564"/>
      <c r="BP304" s="564"/>
      <c r="BQ304" s="564"/>
      <c r="BR304" s="564"/>
      <c r="BS304" s="564"/>
      <c r="BT304" s="564"/>
      <c r="BU304" s="564"/>
      <c r="BV304" s="564"/>
      <c r="BW304" s="564"/>
      <c r="BX304" s="564"/>
      <c r="BY304" s="564"/>
    </row>
    <row r="305" spans="1:77" ht="12" thickBot="1">
      <c r="A305" s="596" t="s">
        <v>1507</v>
      </c>
      <c r="B305" s="541" t="s">
        <v>161</v>
      </c>
      <c r="C305" s="541" t="s">
        <v>476</v>
      </c>
      <c r="D305" s="541" t="s">
        <v>208</v>
      </c>
      <c r="E305" s="549">
        <f t="shared" si="59"/>
        <v>62577001</v>
      </c>
      <c r="F305" s="988">
        <f t="shared" ref="F305:P314" si="62">ROUND(SUMIFS(F$1721:F$1901,$A$1721:$A$1901,$A305,$B$1721:$B$1901,$B305),0)</f>
        <v>1271052</v>
      </c>
      <c r="G305" s="988">
        <f t="shared" si="62"/>
        <v>3668264</v>
      </c>
      <c r="H305" s="988">
        <f t="shared" si="62"/>
        <v>1809727</v>
      </c>
      <c r="I305" s="988">
        <f t="shared" si="62"/>
        <v>294738</v>
      </c>
      <c r="J305" s="988">
        <f t="shared" si="62"/>
        <v>0</v>
      </c>
      <c r="K305" s="988">
        <f t="shared" si="62"/>
        <v>0</v>
      </c>
      <c r="L305" s="988">
        <f t="shared" si="62"/>
        <v>76897</v>
      </c>
      <c r="M305" s="988">
        <f t="shared" si="62"/>
        <v>152250</v>
      </c>
      <c r="N305" s="988">
        <f t="shared" si="62"/>
        <v>0</v>
      </c>
      <c r="O305" s="988">
        <f t="shared" si="62"/>
        <v>360631</v>
      </c>
      <c r="P305" s="988">
        <f t="shared" si="62"/>
        <v>0</v>
      </c>
      <c r="Q305" s="988"/>
      <c r="R305" s="988">
        <f t="shared" si="61"/>
        <v>7633558</v>
      </c>
      <c r="S305" s="546">
        <f t="shared" si="55"/>
        <v>5772729</v>
      </c>
      <c r="T305" s="547">
        <f t="shared" si="56"/>
        <v>0</v>
      </c>
      <c r="U305" s="546">
        <f t="shared" si="54"/>
        <v>360631</v>
      </c>
      <c r="W305" s="350">
        <f t="shared" si="57"/>
        <v>7633559</v>
      </c>
      <c r="X305" s="285">
        <f t="shared" si="58"/>
        <v>1</v>
      </c>
      <c r="Y305" s="564"/>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564"/>
      <c r="AX305" s="564"/>
      <c r="AY305" s="564"/>
      <c r="AZ305" s="564"/>
      <c r="BA305" s="564"/>
      <c r="BB305" s="564"/>
      <c r="BC305" s="564"/>
      <c r="BD305" s="564"/>
      <c r="BE305" s="564"/>
      <c r="BF305" s="564"/>
      <c r="BG305" s="564"/>
      <c r="BH305" s="564"/>
      <c r="BI305" s="564"/>
      <c r="BJ305" s="564"/>
      <c r="BK305" s="564"/>
      <c r="BL305" s="564"/>
      <c r="BM305" s="564"/>
      <c r="BN305" s="564"/>
      <c r="BO305" s="564"/>
      <c r="BP305" s="564"/>
      <c r="BQ305" s="564"/>
      <c r="BR305" s="564"/>
      <c r="BS305" s="564"/>
      <c r="BT305" s="564"/>
      <c r="BU305" s="564"/>
      <c r="BV305" s="564"/>
      <c r="BW305" s="564"/>
      <c r="BX305" s="564"/>
      <c r="BY305" s="564"/>
    </row>
    <row r="306" spans="1:77" ht="12" thickBot="1">
      <c r="A306" s="596" t="s">
        <v>1507</v>
      </c>
      <c r="B306" s="541" t="s">
        <v>162</v>
      </c>
      <c r="C306" s="541" t="s">
        <v>1391</v>
      </c>
      <c r="D306" s="561" t="s">
        <v>208</v>
      </c>
      <c r="E306" s="549">
        <f t="shared" si="59"/>
        <v>0</v>
      </c>
      <c r="F306" s="988">
        <f t="shared" si="62"/>
        <v>0</v>
      </c>
      <c r="G306" s="988">
        <f t="shared" si="62"/>
        <v>0</v>
      </c>
      <c r="H306" s="988">
        <f t="shared" si="62"/>
        <v>0</v>
      </c>
      <c r="I306" s="988">
        <f t="shared" si="62"/>
        <v>0</v>
      </c>
      <c r="J306" s="988">
        <f t="shared" si="62"/>
        <v>0</v>
      </c>
      <c r="K306" s="988">
        <f t="shared" si="62"/>
        <v>0</v>
      </c>
      <c r="L306" s="988">
        <f t="shared" si="62"/>
        <v>0</v>
      </c>
      <c r="M306" s="988">
        <f t="shared" si="62"/>
        <v>0</v>
      </c>
      <c r="N306" s="988">
        <f t="shared" si="62"/>
        <v>0</v>
      </c>
      <c r="O306" s="988">
        <f t="shared" si="62"/>
        <v>0</v>
      </c>
      <c r="P306" s="988">
        <f t="shared" si="62"/>
        <v>0</v>
      </c>
      <c r="Q306" s="988"/>
      <c r="R306" s="988">
        <f t="shared" si="61"/>
        <v>0</v>
      </c>
      <c r="S306" s="546">
        <f t="shared" si="55"/>
        <v>0</v>
      </c>
      <c r="T306" s="547">
        <f t="shared" si="56"/>
        <v>0</v>
      </c>
      <c r="U306" s="546">
        <f t="shared" si="54"/>
        <v>0</v>
      </c>
      <c r="W306" s="350">
        <f t="shared" si="57"/>
        <v>0</v>
      </c>
      <c r="X306" s="285">
        <f t="shared" si="58"/>
        <v>0</v>
      </c>
      <c r="Y306" s="564"/>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564"/>
      <c r="AX306" s="564"/>
      <c r="AY306" s="564"/>
      <c r="AZ306" s="564"/>
      <c r="BA306" s="564"/>
      <c r="BB306" s="564"/>
      <c r="BC306" s="564"/>
      <c r="BD306" s="564"/>
      <c r="BE306" s="564"/>
      <c r="BF306" s="564"/>
      <c r="BG306" s="564"/>
      <c r="BH306" s="564"/>
      <c r="BI306" s="564"/>
      <c r="BJ306" s="564"/>
      <c r="BK306" s="564"/>
      <c r="BL306" s="564"/>
      <c r="BM306" s="564"/>
      <c r="BN306" s="564"/>
      <c r="BO306" s="564"/>
      <c r="BP306" s="564"/>
      <c r="BQ306" s="564"/>
      <c r="BR306" s="564"/>
      <c r="BS306" s="564"/>
      <c r="BT306" s="564"/>
      <c r="BU306" s="564"/>
      <c r="BV306" s="564"/>
      <c r="BW306" s="564"/>
      <c r="BX306" s="564"/>
      <c r="BY306" s="564"/>
    </row>
    <row r="307" spans="1:77" ht="12" thickBot="1">
      <c r="A307" s="596" t="s">
        <v>1507</v>
      </c>
      <c r="B307" s="541" t="s">
        <v>163</v>
      </c>
      <c r="C307" s="541" t="s">
        <v>63</v>
      </c>
      <c r="D307" s="542" t="s">
        <v>17</v>
      </c>
      <c r="E307" s="549">
        <f t="shared" si="59"/>
        <v>91489582</v>
      </c>
      <c r="F307" s="988">
        <f t="shared" si="62"/>
        <v>650209</v>
      </c>
      <c r="G307" s="988">
        <f t="shared" si="62"/>
        <v>5363119</v>
      </c>
      <c r="H307" s="988">
        <f t="shared" si="62"/>
        <v>2645879</v>
      </c>
      <c r="I307" s="988">
        <f t="shared" si="62"/>
        <v>430916</v>
      </c>
      <c r="J307" s="988">
        <f t="shared" si="62"/>
        <v>0</v>
      </c>
      <c r="K307" s="988">
        <f t="shared" si="62"/>
        <v>0</v>
      </c>
      <c r="L307" s="988">
        <f t="shared" si="62"/>
        <v>112425</v>
      </c>
      <c r="M307" s="988">
        <f t="shared" si="62"/>
        <v>222595</v>
      </c>
      <c r="N307" s="988">
        <f t="shared" si="62"/>
        <v>527254</v>
      </c>
      <c r="O307" s="988">
        <f t="shared" si="62"/>
        <v>0</v>
      </c>
      <c r="P307" s="988">
        <f t="shared" si="62"/>
        <v>0</v>
      </c>
      <c r="Q307" s="988"/>
      <c r="R307" s="988">
        <f t="shared" si="61"/>
        <v>9952397</v>
      </c>
      <c r="S307" s="546">
        <f t="shared" si="55"/>
        <v>8439914</v>
      </c>
      <c r="T307" s="547">
        <f t="shared" si="56"/>
        <v>0</v>
      </c>
      <c r="U307" s="546">
        <f t="shared" si="54"/>
        <v>527254</v>
      </c>
      <c r="W307" s="350">
        <f t="shared" si="57"/>
        <v>9952397</v>
      </c>
      <c r="X307" s="285">
        <f t="shared" si="58"/>
        <v>0</v>
      </c>
      <c r="Y307" s="564"/>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564"/>
      <c r="AX307" s="564"/>
      <c r="AY307" s="564"/>
      <c r="AZ307" s="564"/>
      <c r="BA307" s="564"/>
      <c r="BB307" s="564"/>
      <c r="BC307" s="564"/>
      <c r="BD307" s="564"/>
      <c r="BE307" s="564"/>
      <c r="BF307" s="564"/>
      <c r="BG307" s="564"/>
      <c r="BH307" s="564"/>
      <c r="BI307" s="564"/>
      <c r="BJ307" s="564"/>
      <c r="BK307" s="564"/>
      <c r="BL307" s="564"/>
      <c r="BM307" s="564"/>
      <c r="BN307" s="564"/>
      <c r="BO307" s="564"/>
      <c r="BP307" s="564"/>
      <c r="BQ307" s="564"/>
      <c r="BR307" s="564"/>
      <c r="BS307" s="564"/>
      <c r="BT307" s="564"/>
      <c r="BU307" s="564"/>
      <c r="BV307" s="564"/>
      <c r="BW307" s="564"/>
      <c r="BX307" s="564"/>
      <c r="BY307" s="564"/>
    </row>
    <row r="308" spans="1:77" ht="12" thickBot="1">
      <c r="A308" s="596" t="s">
        <v>1507</v>
      </c>
      <c r="B308" s="541" t="s">
        <v>164</v>
      </c>
      <c r="C308" s="541" t="s">
        <v>188</v>
      </c>
      <c r="D308" s="555" t="s">
        <v>203</v>
      </c>
      <c r="E308" s="549">
        <f t="shared" si="59"/>
        <v>688333</v>
      </c>
      <c r="F308" s="988">
        <f t="shared" si="62"/>
        <v>7420</v>
      </c>
      <c r="G308" s="988">
        <f t="shared" si="62"/>
        <v>29137</v>
      </c>
      <c r="H308" s="988">
        <f t="shared" si="62"/>
        <v>19907</v>
      </c>
      <c r="I308" s="988">
        <f t="shared" si="62"/>
        <v>2168</v>
      </c>
      <c r="J308" s="988">
        <f t="shared" si="62"/>
        <v>0</v>
      </c>
      <c r="K308" s="988">
        <f t="shared" si="62"/>
        <v>0</v>
      </c>
      <c r="L308" s="988">
        <f t="shared" si="62"/>
        <v>846</v>
      </c>
      <c r="M308" s="988">
        <f t="shared" si="62"/>
        <v>1675</v>
      </c>
      <c r="N308" s="988">
        <f t="shared" si="62"/>
        <v>3967</v>
      </c>
      <c r="O308" s="988">
        <f t="shared" si="62"/>
        <v>0</v>
      </c>
      <c r="P308" s="988">
        <f t="shared" si="62"/>
        <v>0</v>
      </c>
      <c r="Q308" s="988"/>
      <c r="R308" s="988">
        <f t="shared" si="61"/>
        <v>65119</v>
      </c>
      <c r="S308" s="546">
        <f t="shared" si="55"/>
        <v>51212</v>
      </c>
      <c r="T308" s="547">
        <f t="shared" si="56"/>
        <v>0</v>
      </c>
      <c r="U308" s="546">
        <f t="shared" si="54"/>
        <v>3967</v>
      </c>
      <c r="W308" s="350">
        <f t="shared" si="57"/>
        <v>65120</v>
      </c>
      <c r="X308" s="285">
        <f t="shared" si="58"/>
        <v>1</v>
      </c>
      <c r="Y308" s="564"/>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564"/>
      <c r="AX308" s="564"/>
      <c r="AY308" s="564"/>
      <c r="AZ308" s="564"/>
      <c r="BA308" s="564"/>
      <c r="BB308" s="564"/>
      <c r="BC308" s="564"/>
      <c r="BD308" s="564"/>
      <c r="BE308" s="564"/>
      <c r="BF308" s="564"/>
      <c r="BG308" s="564"/>
      <c r="BH308" s="564"/>
      <c r="BI308" s="564"/>
      <c r="BJ308" s="564"/>
      <c r="BK308" s="564"/>
      <c r="BL308" s="564"/>
      <c r="BM308" s="564"/>
      <c r="BN308" s="564"/>
      <c r="BO308" s="564"/>
      <c r="BP308" s="564"/>
      <c r="BQ308" s="564"/>
      <c r="BR308" s="564"/>
      <c r="BS308" s="564"/>
      <c r="BT308" s="564"/>
      <c r="BU308" s="564"/>
      <c r="BV308" s="564"/>
      <c r="BW308" s="564"/>
      <c r="BX308" s="564"/>
      <c r="BY308" s="564"/>
    </row>
    <row r="309" spans="1:77" ht="12" thickBot="1">
      <c r="A309" s="596" t="s">
        <v>1507</v>
      </c>
      <c r="B309" s="541" t="s">
        <v>165</v>
      </c>
      <c r="C309" s="541" t="s">
        <v>189</v>
      </c>
      <c r="D309" s="554" t="s">
        <v>211</v>
      </c>
      <c r="E309" s="549">
        <f t="shared" si="59"/>
        <v>0</v>
      </c>
      <c r="F309" s="988">
        <f t="shared" si="62"/>
        <v>0</v>
      </c>
      <c r="G309" s="988">
        <f t="shared" si="62"/>
        <v>0</v>
      </c>
      <c r="H309" s="988">
        <f t="shared" si="62"/>
        <v>0</v>
      </c>
      <c r="I309" s="988">
        <f t="shared" si="62"/>
        <v>0</v>
      </c>
      <c r="J309" s="988">
        <f t="shared" si="62"/>
        <v>0</v>
      </c>
      <c r="K309" s="988">
        <f t="shared" si="62"/>
        <v>0</v>
      </c>
      <c r="L309" s="988">
        <f t="shared" si="62"/>
        <v>0</v>
      </c>
      <c r="M309" s="988">
        <f t="shared" si="62"/>
        <v>0</v>
      </c>
      <c r="N309" s="988">
        <f t="shared" si="62"/>
        <v>0</v>
      </c>
      <c r="O309" s="988">
        <f t="shared" si="62"/>
        <v>0</v>
      </c>
      <c r="P309" s="988">
        <f t="shared" si="62"/>
        <v>0</v>
      </c>
      <c r="Q309" s="988"/>
      <c r="R309" s="988">
        <f t="shared" si="61"/>
        <v>0</v>
      </c>
      <c r="S309" s="546">
        <f t="shared" si="55"/>
        <v>0</v>
      </c>
      <c r="T309" s="547">
        <f t="shared" si="56"/>
        <v>0</v>
      </c>
      <c r="U309" s="546">
        <f t="shared" si="54"/>
        <v>0</v>
      </c>
      <c r="W309" s="350">
        <f t="shared" si="57"/>
        <v>0</v>
      </c>
      <c r="X309" s="285">
        <f t="shared" si="58"/>
        <v>0</v>
      </c>
      <c r="Y309" s="564"/>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564"/>
      <c r="AX309" s="564"/>
      <c r="AY309" s="564"/>
      <c r="AZ309" s="564"/>
      <c r="BA309" s="564"/>
      <c r="BB309" s="564"/>
      <c r="BC309" s="564"/>
      <c r="BD309" s="564"/>
      <c r="BE309" s="564"/>
      <c r="BF309" s="564"/>
      <c r="BG309" s="564"/>
      <c r="BH309" s="564"/>
      <c r="BI309" s="564"/>
      <c r="BJ309" s="564"/>
      <c r="BK309" s="564"/>
      <c r="BL309" s="564"/>
      <c r="BM309" s="564"/>
      <c r="BN309" s="564"/>
      <c r="BO309" s="564"/>
      <c r="BP309" s="564"/>
      <c r="BQ309" s="564"/>
      <c r="BR309" s="564"/>
      <c r="BS309" s="564"/>
      <c r="BT309" s="564"/>
      <c r="BU309" s="564"/>
      <c r="BV309" s="564"/>
      <c r="BW309" s="564"/>
      <c r="BX309" s="564"/>
      <c r="BY309" s="564"/>
    </row>
    <row r="310" spans="1:77" ht="12" thickBot="1">
      <c r="A310" s="596" t="s">
        <v>1507</v>
      </c>
      <c r="B310" s="541" t="s">
        <v>166</v>
      </c>
      <c r="C310" s="541" t="s">
        <v>190</v>
      </c>
      <c r="D310" s="554" t="s">
        <v>212</v>
      </c>
      <c r="E310" s="549">
        <f t="shared" si="59"/>
        <v>0</v>
      </c>
      <c r="F310" s="988">
        <f t="shared" si="62"/>
        <v>0</v>
      </c>
      <c r="G310" s="988">
        <f t="shared" si="62"/>
        <v>0</v>
      </c>
      <c r="H310" s="988">
        <f t="shared" si="62"/>
        <v>0</v>
      </c>
      <c r="I310" s="988">
        <f t="shared" si="62"/>
        <v>0</v>
      </c>
      <c r="J310" s="988">
        <f t="shared" si="62"/>
        <v>0</v>
      </c>
      <c r="K310" s="988">
        <f t="shared" si="62"/>
        <v>0</v>
      </c>
      <c r="L310" s="988">
        <f t="shared" si="62"/>
        <v>0</v>
      </c>
      <c r="M310" s="988">
        <f t="shared" si="62"/>
        <v>0</v>
      </c>
      <c r="N310" s="988">
        <f t="shared" si="62"/>
        <v>0</v>
      </c>
      <c r="O310" s="988">
        <f t="shared" si="62"/>
        <v>0</v>
      </c>
      <c r="P310" s="988">
        <f t="shared" si="62"/>
        <v>0</v>
      </c>
      <c r="Q310" s="988"/>
      <c r="R310" s="988">
        <f t="shared" si="61"/>
        <v>0</v>
      </c>
      <c r="S310" s="546">
        <f t="shared" si="55"/>
        <v>0</v>
      </c>
      <c r="T310" s="547">
        <f t="shared" si="56"/>
        <v>0</v>
      </c>
      <c r="U310" s="546">
        <f t="shared" si="54"/>
        <v>0</v>
      </c>
      <c r="W310" s="350">
        <f t="shared" si="57"/>
        <v>0</v>
      </c>
      <c r="X310" s="285">
        <f t="shared" si="58"/>
        <v>0</v>
      </c>
      <c r="Y310" s="564"/>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564"/>
      <c r="AX310" s="564"/>
      <c r="AY310" s="564"/>
      <c r="AZ310" s="564"/>
      <c r="BA310" s="564"/>
      <c r="BB310" s="564"/>
      <c r="BC310" s="564"/>
      <c r="BD310" s="564"/>
      <c r="BE310" s="564"/>
      <c r="BF310" s="564"/>
      <c r="BG310" s="564"/>
      <c r="BH310" s="564"/>
      <c r="BI310" s="564"/>
      <c r="BJ310" s="564"/>
      <c r="BK310" s="564"/>
      <c r="BL310" s="564"/>
      <c r="BM310" s="564"/>
      <c r="BN310" s="564"/>
      <c r="BO310" s="564"/>
      <c r="BP310" s="564"/>
      <c r="BQ310" s="564"/>
      <c r="BR310" s="564"/>
      <c r="BS310" s="564"/>
      <c r="BT310" s="564"/>
      <c r="BU310" s="564"/>
      <c r="BV310" s="564"/>
      <c r="BW310" s="564"/>
      <c r="BX310" s="564"/>
      <c r="BY310" s="564"/>
    </row>
    <row r="311" spans="1:77" ht="12" thickBot="1">
      <c r="A311" s="596" t="s">
        <v>1507</v>
      </c>
      <c r="B311" s="541" t="s">
        <v>167</v>
      </c>
      <c r="C311" s="541" t="s">
        <v>191</v>
      </c>
      <c r="D311" s="554" t="s">
        <v>213</v>
      </c>
      <c r="E311" s="549">
        <f t="shared" si="59"/>
        <v>12757916</v>
      </c>
      <c r="F311" s="988">
        <f t="shared" si="62"/>
        <v>8995</v>
      </c>
      <c r="G311" s="988">
        <f t="shared" si="62"/>
        <v>540043</v>
      </c>
      <c r="H311" s="988">
        <f t="shared" si="62"/>
        <v>368959</v>
      </c>
      <c r="I311" s="988">
        <f t="shared" si="62"/>
        <v>40187</v>
      </c>
      <c r="J311" s="988">
        <f t="shared" si="62"/>
        <v>0</v>
      </c>
      <c r="K311" s="988">
        <f t="shared" si="62"/>
        <v>0</v>
      </c>
      <c r="L311" s="988">
        <f t="shared" si="62"/>
        <v>15677</v>
      </c>
      <c r="M311" s="988">
        <f t="shared" si="62"/>
        <v>31040</v>
      </c>
      <c r="N311" s="988">
        <f t="shared" si="62"/>
        <v>73524</v>
      </c>
      <c r="O311" s="988">
        <f t="shared" si="62"/>
        <v>0</v>
      </c>
      <c r="P311" s="988">
        <f t="shared" si="62"/>
        <v>0</v>
      </c>
      <c r="Q311" s="988"/>
      <c r="R311" s="988">
        <f t="shared" si="61"/>
        <v>1078425</v>
      </c>
      <c r="S311" s="546">
        <f t="shared" si="55"/>
        <v>949189</v>
      </c>
      <c r="T311" s="547">
        <f t="shared" si="56"/>
        <v>0</v>
      </c>
      <c r="U311" s="546">
        <f t="shared" si="54"/>
        <v>73524</v>
      </c>
      <c r="W311" s="350">
        <f t="shared" si="57"/>
        <v>1078425</v>
      </c>
      <c r="X311" s="285">
        <f t="shared" si="58"/>
        <v>0</v>
      </c>
      <c r="Y311" s="564"/>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564"/>
      <c r="AX311" s="564"/>
      <c r="AY311" s="564"/>
      <c r="AZ311" s="564"/>
      <c r="BA311" s="564"/>
      <c r="BB311" s="564"/>
      <c r="BC311" s="564"/>
      <c r="BD311" s="564"/>
      <c r="BE311" s="564"/>
      <c r="BF311" s="564"/>
      <c r="BG311" s="564"/>
      <c r="BH311" s="564"/>
      <c r="BI311" s="564"/>
      <c r="BJ311" s="564"/>
      <c r="BK311" s="564"/>
      <c r="BL311" s="564"/>
      <c r="BM311" s="564"/>
      <c r="BN311" s="564"/>
      <c r="BO311" s="564"/>
      <c r="BP311" s="564"/>
      <c r="BQ311" s="564"/>
      <c r="BR311" s="564"/>
      <c r="BS311" s="564"/>
      <c r="BT311" s="564"/>
      <c r="BU311" s="564"/>
      <c r="BV311" s="564"/>
      <c r="BW311" s="564"/>
      <c r="BX311" s="564"/>
      <c r="BY311" s="564"/>
    </row>
    <row r="312" spans="1:77" ht="12" thickBot="1">
      <c r="A312" s="596" t="s">
        <v>1507</v>
      </c>
      <c r="B312" s="541" t="s">
        <v>683</v>
      </c>
      <c r="C312" s="541" t="s">
        <v>686</v>
      </c>
      <c r="D312" s="554" t="s">
        <v>723</v>
      </c>
      <c r="E312" s="549">
        <f t="shared" si="59"/>
        <v>0</v>
      </c>
      <c r="F312" s="988">
        <f t="shared" si="62"/>
        <v>0</v>
      </c>
      <c r="G312" s="988">
        <f t="shared" si="62"/>
        <v>0</v>
      </c>
      <c r="H312" s="988">
        <f t="shared" si="62"/>
        <v>0</v>
      </c>
      <c r="I312" s="988">
        <f t="shared" si="62"/>
        <v>0</v>
      </c>
      <c r="J312" s="988">
        <f t="shared" si="62"/>
        <v>0</v>
      </c>
      <c r="K312" s="988">
        <f t="shared" si="62"/>
        <v>0</v>
      </c>
      <c r="L312" s="988">
        <f t="shared" si="62"/>
        <v>0</v>
      </c>
      <c r="M312" s="988">
        <f t="shared" si="62"/>
        <v>0</v>
      </c>
      <c r="N312" s="988">
        <f t="shared" si="62"/>
        <v>0</v>
      </c>
      <c r="O312" s="988">
        <f t="shared" si="62"/>
        <v>0</v>
      </c>
      <c r="P312" s="988">
        <f t="shared" si="62"/>
        <v>0</v>
      </c>
      <c r="Q312" s="988"/>
      <c r="R312" s="988">
        <f t="shared" si="61"/>
        <v>0</v>
      </c>
      <c r="S312" s="546">
        <f t="shared" si="55"/>
        <v>0</v>
      </c>
      <c r="T312" s="547">
        <f t="shared" si="56"/>
        <v>0</v>
      </c>
      <c r="U312" s="546">
        <f t="shared" si="54"/>
        <v>0</v>
      </c>
      <c r="W312" s="350">
        <f t="shared" si="57"/>
        <v>0</v>
      </c>
      <c r="X312" s="285">
        <f t="shared" si="58"/>
        <v>0</v>
      </c>
      <c r="Y312" s="564"/>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564"/>
      <c r="AX312" s="564"/>
      <c r="AY312" s="564"/>
      <c r="AZ312" s="564"/>
      <c r="BA312" s="564"/>
      <c r="BB312" s="564"/>
      <c r="BC312" s="564"/>
      <c r="BD312" s="564"/>
      <c r="BE312" s="564"/>
      <c r="BF312" s="564"/>
      <c r="BG312" s="564"/>
      <c r="BH312" s="564"/>
      <c r="BI312" s="564"/>
      <c r="BJ312" s="564"/>
      <c r="BK312" s="564"/>
      <c r="BL312" s="564"/>
      <c r="BM312" s="564"/>
      <c r="BN312" s="564"/>
      <c r="BO312" s="564"/>
      <c r="BP312" s="564"/>
      <c r="BQ312" s="564"/>
      <c r="BR312" s="564"/>
      <c r="BS312" s="564"/>
      <c r="BT312" s="564"/>
      <c r="BU312" s="564"/>
      <c r="BV312" s="564"/>
      <c r="BW312" s="564"/>
      <c r="BX312" s="564"/>
      <c r="BY312" s="564"/>
    </row>
    <row r="313" spans="1:77" ht="12" thickBot="1">
      <c r="A313" s="596" t="s">
        <v>1507</v>
      </c>
      <c r="B313" s="541" t="s">
        <v>684</v>
      </c>
      <c r="C313" s="541" t="s">
        <v>687</v>
      </c>
      <c r="D313" s="554" t="s">
        <v>707</v>
      </c>
      <c r="E313" s="549">
        <f t="shared" si="59"/>
        <v>0</v>
      </c>
      <c r="F313" s="988">
        <f t="shared" si="62"/>
        <v>0</v>
      </c>
      <c r="G313" s="988">
        <f t="shared" si="62"/>
        <v>0</v>
      </c>
      <c r="H313" s="988">
        <f t="shared" si="62"/>
        <v>0</v>
      </c>
      <c r="I313" s="988">
        <f t="shared" si="62"/>
        <v>0</v>
      </c>
      <c r="J313" s="988">
        <f t="shared" si="62"/>
        <v>0</v>
      </c>
      <c r="K313" s="988">
        <f t="shared" si="62"/>
        <v>0</v>
      </c>
      <c r="L313" s="988">
        <f t="shared" si="62"/>
        <v>0</v>
      </c>
      <c r="M313" s="988">
        <f t="shared" si="62"/>
        <v>0</v>
      </c>
      <c r="N313" s="988">
        <f t="shared" si="62"/>
        <v>0</v>
      </c>
      <c r="O313" s="988">
        <f t="shared" si="62"/>
        <v>0</v>
      </c>
      <c r="P313" s="988">
        <f t="shared" si="62"/>
        <v>0</v>
      </c>
      <c r="Q313" s="988"/>
      <c r="R313" s="988">
        <f t="shared" si="61"/>
        <v>0</v>
      </c>
      <c r="S313" s="546">
        <f t="shared" si="55"/>
        <v>0</v>
      </c>
      <c r="T313" s="547">
        <f t="shared" si="56"/>
        <v>0</v>
      </c>
      <c r="U313" s="546">
        <f t="shared" si="54"/>
        <v>0</v>
      </c>
      <c r="W313" s="350">
        <f t="shared" si="57"/>
        <v>0</v>
      </c>
      <c r="X313" s="285">
        <f t="shared" si="58"/>
        <v>0</v>
      </c>
      <c r="Y313" s="564"/>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564"/>
      <c r="AX313" s="564"/>
      <c r="AY313" s="564"/>
      <c r="AZ313" s="564"/>
      <c r="BA313" s="564"/>
      <c r="BB313" s="564"/>
      <c r="BC313" s="564"/>
      <c r="BD313" s="564"/>
      <c r="BE313" s="564"/>
      <c r="BF313" s="564"/>
      <c r="BG313" s="564"/>
      <c r="BH313" s="564"/>
      <c r="BI313" s="564"/>
      <c r="BJ313" s="564"/>
      <c r="BK313" s="564"/>
      <c r="BL313" s="564"/>
      <c r="BM313" s="564"/>
      <c r="BN313" s="564"/>
      <c r="BO313" s="564"/>
      <c r="BP313" s="564"/>
      <c r="BQ313" s="564"/>
      <c r="BR313" s="564"/>
      <c r="BS313" s="564"/>
      <c r="BT313" s="564"/>
      <c r="BU313" s="564"/>
      <c r="BV313" s="564"/>
      <c r="BW313" s="564"/>
      <c r="BX313" s="564"/>
      <c r="BY313" s="564"/>
    </row>
    <row r="314" spans="1:77" ht="12" thickBot="1">
      <c r="A314" s="596" t="s">
        <v>1507</v>
      </c>
      <c r="B314" s="541" t="s">
        <v>685</v>
      </c>
      <c r="C314" s="541" t="s">
        <v>688</v>
      </c>
      <c r="D314" s="542" t="s">
        <v>1145</v>
      </c>
      <c r="E314" s="549">
        <f t="shared" si="59"/>
        <v>0</v>
      </c>
      <c r="F314" s="988">
        <f t="shared" si="62"/>
        <v>0</v>
      </c>
      <c r="G314" s="988">
        <f t="shared" si="62"/>
        <v>0</v>
      </c>
      <c r="H314" s="988">
        <f t="shared" si="62"/>
        <v>0</v>
      </c>
      <c r="I314" s="988">
        <f t="shared" si="62"/>
        <v>0</v>
      </c>
      <c r="J314" s="988">
        <f t="shared" si="62"/>
        <v>0</v>
      </c>
      <c r="K314" s="988">
        <f t="shared" si="62"/>
        <v>0</v>
      </c>
      <c r="L314" s="988">
        <f t="shared" si="62"/>
        <v>0</v>
      </c>
      <c r="M314" s="988">
        <f t="shared" si="62"/>
        <v>0</v>
      </c>
      <c r="N314" s="988">
        <f t="shared" si="62"/>
        <v>0</v>
      </c>
      <c r="O314" s="988">
        <f t="shared" si="62"/>
        <v>0</v>
      </c>
      <c r="P314" s="988">
        <f t="shared" si="62"/>
        <v>0</v>
      </c>
      <c r="Q314" s="988"/>
      <c r="R314" s="988">
        <f t="shared" si="61"/>
        <v>0</v>
      </c>
      <c r="S314" s="546">
        <f t="shared" si="55"/>
        <v>0</v>
      </c>
      <c r="T314" s="547">
        <f t="shared" si="56"/>
        <v>0</v>
      </c>
      <c r="U314" s="546">
        <f t="shared" si="54"/>
        <v>0</v>
      </c>
      <c r="W314" s="350">
        <f t="shared" si="57"/>
        <v>0</v>
      </c>
      <c r="X314" s="285">
        <f t="shared" si="58"/>
        <v>0</v>
      </c>
      <c r="Y314" s="564"/>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564"/>
      <c r="AX314" s="564"/>
      <c r="AY314" s="564"/>
      <c r="AZ314" s="564"/>
      <c r="BA314" s="564"/>
      <c r="BB314" s="564"/>
      <c r="BC314" s="564"/>
      <c r="BD314" s="564"/>
      <c r="BE314" s="564"/>
      <c r="BF314" s="564"/>
      <c r="BG314" s="564"/>
      <c r="BH314" s="564"/>
      <c r="BI314" s="564"/>
      <c r="BJ314" s="564"/>
      <c r="BK314" s="564"/>
      <c r="BL314" s="564"/>
      <c r="BM314" s="564"/>
      <c r="BN314" s="564"/>
      <c r="BO314" s="564"/>
      <c r="BP314" s="564"/>
      <c r="BQ314" s="564"/>
      <c r="BR314" s="564"/>
      <c r="BS314" s="564"/>
      <c r="BT314" s="564"/>
      <c r="BU314" s="564"/>
      <c r="BV314" s="564"/>
      <c r="BW314" s="564"/>
      <c r="BX314" s="564"/>
      <c r="BY314" s="564"/>
    </row>
    <row r="315" spans="1:77" ht="12" thickBot="1">
      <c r="A315" s="596" t="s">
        <v>1507</v>
      </c>
      <c r="B315" s="541" t="s">
        <v>217</v>
      </c>
      <c r="C315" s="541" t="s">
        <v>622</v>
      </c>
      <c r="D315" s="542" t="s">
        <v>19</v>
      </c>
      <c r="E315" s="549">
        <f t="shared" si="59"/>
        <v>0</v>
      </c>
      <c r="F315" s="988">
        <f t="shared" ref="F315:P324" si="63">ROUND(SUMIFS(F$1721:F$1901,$A$1721:$A$1901,$A315,$B$1721:$B$1901,$B315),0)</f>
        <v>0</v>
      </c>
      <c r="G315" s="988">
        <f t="shared" si="63"/>
        <v>0</v>
      </c>
      <c r="H315" s="988">
        <f t="shared" si="63"/>
        <v>0</v>
      </c>
      <c r="I315" s="988">
        <f t="shared" si="63"/>
        <v>0</v>
      </c>
      <c r="J315" s="988">
        <f t="shared" si="63"/>
        <v>0</v>
      </c>
      <c r="K315" s="988">
        <f t="shared" si="63"/>
        <v>0</v>
      </c>
      <c r="L315" s="988">
        <f t="shared" si="63"/>
        <v>0</v>
      </c>
      <c r="M315" s="988">
        <f t="shared" si="63"/>
        <v>0</v>
      </c>
      <c r="N315" s="988">
        <f t="shared" si="63"/>
        <v>0</v>
      </c>
      <c r="O315" s="988">
        <f t="shared" si="63"/>
        <v>0</v>
      </c>
      <c r="P315" s="988">
        <f t="shared" si="63"/>
        <v>0</v>
      </c>
      <c r="Q315" s="988"/>
      <c r="R315" s="988">
        <f t="shared" si="61"/>
        <v>0</v>
      </c>
      <c r="S315" s="546">
        <f t="shared" si="55"/>
        <v>0</v>
      </c>
      <c r="T315" s="547">
        <f t="shared" si="56"/>
        <v>0</v>
      </c>
      <c r="U315" s="546">
        <f t="shared" si="54"/>
        <v>0</v>
      </c>
      <c r="W315" s="350">
        <f t="shared" si="57"/>
        <v>0</v>
      </c>
      <c r="X315" s="285">
        <f t="shared" si="58"/>
        <v>0</v>
      </c>
      <c r="Y315" s="564"/>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564"/>
      <c r="AX315" s="564"/>
      <c r="AY315" s="564"/>
      <c r="AZ315" s="564"/>
      <c r="BA315" s="564"/>
      <c r="BB315" s="564"/>
      <c r="BC315" s="564"/>
      <c r="BD315" s="564"/>
      <c r="BE315" s="564"/>
      <c r="BF315" s="564"/>
      <c r="BG315" s="564"/>
      <c r="BH315" s="564"/>
      <c r="BI315" s="564"/>
      <c r="BJ315" s="564"/>
      <c r="BK315" s="564"/>
      <c r="BL315" s="564"/>
      <c r="BM315" s="564"/>
      <c r="BN315" s="564"/>
      <c r="BO315" s="564"/>
      <c r="BP315" s="564"/>
      <c r="BQ315" s="564"/>
      <c r="BR315" s="564"/>
      <c r="BS315" s="564"/>
      <c r="BT315" s="564"/>
      <c r="BU315" s="564"/>
      <c r="BV315" s="564"/>
      <c r="BW315" s="564"/>
      <c r="BX315" s="564"/>
      <c r="BY315" s="564"/>
    </row>
    <row r="316" spans="1:77" ht="12" thickBot="1">
      <c r="A316" s="596" t="s">
        <v>1507</v>
      </c>
      <c r="B316" s="541" t="s">
        <v>216</v>
      </c>
      <c r="C316" s="541" t="s">
        <v>622</v>
      </c>
      <c r="D316" s="542" t="s">
        <v>19</v>
      </c>
      <c r="E316" s="549">
        <f t="shared" si="59"/>
        <v>0</v>
      </c>
      <c r="F316" s="988">
        <f t="shared" si="63"/>
        <v>0</v>
      </c>
      <c r="G316" s="988">
        <f t="shared" si="63"/>
        <v>0</v>
      </c>
      <c r="H316" s="988">
        <f t="shared" si="63"/>
        <v>0</v>
      </c>
      <c r="I316" s="988">
        <f t="shared" si="63"/>
        <v>0</v>
      </c>
      <c r="J316" s="988">
        <f t="shared" si="63"/>
        <v>0</v>
      </c>
      <c r="K316" s="988">
        <f t="shared" si="63"/>
        <v>0</v>
      </c>
      <c r="L316" s="988">
        <f t="shared" si="63"/>
        <v>0</v>
      </c>
      <c r="M316" s="988">
        <f t="shared" si="63"/>
        <v>0</v>
      </c>
      <c r="N316" s="988">
        <f t="shared" si="63"/>
        <v>0</v>
      </c>
      <c r="O316" s="988">
        <f t="shared" si="63"/>
        <v>0</v>
      </c>
      <c r="P316" s="988">
        <f t="shared" si="63"/>
        <v>0</v>
      </c>
      <c r="Q316" s="988"/>
      <c r="R316" s="988">
        <f t="shared" si="61"/>
        <v>0</v>
      </c>
      <c r="S316" s="546">
        <f t="shared" si="55"/>
        <v>0</v>
      </c>
      <c r="T316" s="547">
        <f t="shared" si="56"/>
        <v>0</v>
      </c>
      <c r="U316" s="546">
        <f t="shared" si="54"/>
        <v>0</v>
      </c>
      <c r="W316" s="350">
        <f t="shared" si="57"/>
        <v>0</v>
      </c>
      <c r="X316" s="285">
        <f t="shared" si="58"/>
        <v>0</v>
      </c>
      <c r="Y316" s="564"/>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564"/>
      <c r="AX316" s="564"/>
      <c r="AY316" s="564"/>
      <c r="AZ316" s="564"/>
      <c r="BA316" s="564"/>
      <c r="BB316" s="564"/>
      <c r="BC316" s="564"/>
      <c r="BD316" s="564"/>
      <c r="BE316" s="564"/>
      <c r="BF316" s="564"/>
      <c r="BG316" s="564"/>
      <c r="BH316" s="564"/>
      <c r="BI316" s="564"/>
      <c r="BJ316" s="564"/>
      <c r="BK316" s="564"/>
      <c r="BL316" s="564"/>
      <c r="BM316" s="564"/>
      <c r="BN316" s="564"/>
      <c r="BO316" s="564"/>
      <c r="BP316" s="564"/>
      <c r="BQ316" s="564"/>
      <c r="BR316" s="564"/>
      <c r="BS316" s="564"/>
      <c r="BT316" s="564"/>
      <c r="BU316" s="564"/>
      <c r="BV316" s="564"/>
      <c r="BW316" s="564"/>
      <c r="BX316" s="564"/>
      <c r="BY316" s="564"/>
    </row>
    <row r="317" spans="1:77" ht="12" thickBot="1">
      <c r="A317" s="596" t="s">
        <v>1507</v>
      </c>
      <c r="B317" s="541" t="s">
        <v>168</v>
      </c>
      <c r="C317" s="541" t="s">
        <v>58</v>
      </c>
      <c r="D317" s="542" t="s">
        <v>20</v>
      </c>
      <c r="E317" s="549">
        <f t="shared" si="59"/>
        <v>0</v>
      </c>
      <c r="F317" s="988">
        <f t="shared" si="63"/>
        <v>0</v>
      </c>
      <c r="G317" s="988">
        <f t="shared" si="63"/>
        <v>0</v>
      </c>
      <c r="H317" s="988">
        <f t="shared" si="63"/>
        <v>0</v>
      </c>
      <c r="I317" s="988">
        <f t="shared" si="63"/>
        <v>0</v>
      </c>
      <c r="J317" s="988">
        <f t="shared" si="63"/>
        <v>0</v>
      </c>
      <c r="K317" s="988">
        <f t="shared" si="63"/>
        <v>0</v>
      </c>
      <c r="L317" s="988">
        <f t="shared" si="63"/>
        <v>0</v>
      </c>
      <c r="M317" s="988">
        <f t="shared" si="63"/>
        <v>0</v>
      </c>
      <c r="N317" s="988">
        <f t="shared" si="63"/>
        <v>0</v>
      </c>
      <c r="O317" s="988">
        <f t="shared" si="63"/>
        <v>0</v>
      </c>
      <c r="P317" s="988">
        <f t="shared" si="63"/>
        <v>0</v>
      </c>
      <c r="Q317" s="988"/>
      <c r="R317" s="988">
        <f t="shared" si="61"/>
        <v>0</v>
      </c>
      <c r="S317" s="546">
        <f t="shared" si="55"/>
        <v>0</v>
      </c>
      <c r="T317" s="547">
        <f t="shared" si="56"/>
        <v>0</v>
      </c>
      <c r="U317" s="546">
        <f t="shared" si="54"/>
        <v>0</v>
      </c>
      <c r="W317" s="350">
        <f t="shared" si="57"/>
        <v>0</v>
      </c>
      <c r="X317" s="285">
        <f t="shared" si="58"/>
        <v>0</v>
      </c>
      <c r="Y317" s="564"/>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564"/>
      <c r="AX317" s="564"/>
      <c r="AY317" s="564"/>
      <c r="AZ317" s="564"/>
      <c r="BA317" s="564"/>
      <c r="BB317" s="564"/>
      <c r="BC317" s="564"/>
      <c r="BD317" s="564"/>
      <c r="BE317" s="564"/>
      <c r="BF317" s="564"/>
      <c r="BG317" s="564"/>
      <c r="BH317" s="564"/>
      <c r="BI317" s="564"/>
      <c r="BJ317" s="564"/>
      <c r="BK317" s="564"/>
      <c r="BL317" s="564"/>
      <c r="BM317" s="564"/>
      <c r="BN317" s="564"/>
      <c r="BO317" s="564"/>
      <c r="BP317" s="564"/>
      <c r="BQ317" s="564"/>
      <c r="BR317" s="564"/>
      <c r="BS317" s="564"/>
      <c r="BT317" s="564"/>
      <c r="BU317" s="564"/>
      <c r="BV317" s="564"/>
      <c r="BW317" s="564"/>
      <c r="BX317" s="564"/>
      <c r="BY317" s="564"/>
    </row>
    <row r="318" spans="1:77" ht="12" thickBot="1">
      <c r="A318" s="596" t="s">
        <v>1507</v>
      </c>
      <c r="B318" s="541" t="s">
        <v>623</v>
      </c>
      <c r="C318" s="541" t="s">
        <v>643</v>
      </c>
      <c r="D318" s="542" t="s">
        <v>20</v>
      </c>
      <c r="E318" s="549">
        <f t="shared" si="59"/>
        <v>0</v>
      </c>
      <c r="F318" s="988">
        <f t="shared" si="63"/>
        <v>0</v>
      </c>
      <c r="G318" s="988">
        <f t="shared" si="63"/>
        <v>0</v>
      </c>
      <c r="H318" s="988">
        <f t="shared" si="63"/>
        <v>0</v>
      </c>
      <c r="I318" s="988">
        <f t="shared" si="63"/>
        <v>0</v>
      </c>
      <c r="J318" s="988">
        <f t="shared" si="63"/>
        <v>0</v>
      </c>
      <c r="K318" s="988">
        <f t="shared" si="63"/>
        <v>0</v>
      </c>
      <c r="L318" s="988">
        <f t="shared" si="63"/>
        <v>0</v>
      </c>
      <c r="M318" s="988">
        <f t="shared" si="63"/>
        <v>0</v>
      </c>
      <c r="N318" s="988">
        <f t="shared" si="63"/>
        <v>0</v>
      </c>
      <c r="O318" s="988">
        <f t="shared" si="63"/>
        <v>0</v>
      </c>
      <c r="P318" s="988">
        <f t="shared" si="63"/>
        <v>0</v>
      </c>
      <c r="Q318" s="988"/>
      <c r="R318" s="988">
        <f t="shared" si="61"/>
        <v>0</v>
      </c>
      <c r="S318" s="546">
        <f t="shared" si="55"/>
        <v>0</v>
      </c>
      <c r="T318" s="547">
        <f t="shared" si="56"/>
        <v>0</v>
      </c>
      <c r="U318" s="546">
        <f t="shared" si="54"/>
        <v>0</v>
      </c>
      <c r="W318" s="350">
        <f t="shared" si="57"/>
        <v>0</v>
      </c>
      <c r="X318" s="285">
        <f t="shared" si="58"/>
        <v>0</v>
      </c>
      <c r="Y318" s="564"/>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564"/>
      <c r="AX318" s="564"/>
      <c r="AY318" s="564"/>
      <c r="AZ318" s="564"/>
      <c r="BA318" s="564"/>
      <c r="BB318" s="564"/>
      <c r="BC318" s="564"/>
      <c r="BD318" s="564"/>
      <c r="BE318" s="564"/>
      <c r="BF318" s="564"/>
      <c r="BG318" s="564"/>
      <c r="BH318" s="564"/>
      <c r="BI318" s="564"/>
      <c r="BJ318" s="564"/>
      <c r="BK318" s="564"/>
      <c r="BL318" s="564"/>
      <c r="BM318" s="564"/>
      <c r="BN318" s="564"/>
      <c r="BO318" s="564"/>
      <c r="BP318" s="564"/>
      <c r="BQ318" s="564"/>
      <c r="BR318" s="564"/>
      <c r="BS318" s="564"/>
      <c r="BT318" s="564"/>
      <c r="BU318" s="564"/>
      <c r="BV318" s="564"/>
      <c r="BW318" s="564"/>
      <c r="BX318" s="564"/>
      <c r="BY318" s="564"/>
    </row>
    <row r="319" spans="1:77" ht="12" thickBot="1">
      <c r="A319" s="596" t="s">
        <v>1507</v>
      </c>
      <c r="B319" s="541" t="s">
        <v>691</v>
      </c>
      <c r="C319" s="541" t="s">
        <v>689</v>
      </c>
      <c r="D319" s="542" t="s">
        <v>690</v>
      </c>
      <c r="E319" s="549">
        <f t="shared" si="59"/>
        <v>0</v>
      </c>
      <c r="F319" s="988">
        <f t="shared" si="63"/>
        <v>0</v>
      </c>
      <c r="G319" s="988">
        <f t="shared" si="63"/>
        <v>0</v>
      </c>
      <c r="H319" s="988">
        <f t="shared" si="63"/>
        <v>0</v>
      </c>
      <c r="I319" s="988">
        <f t="shared" si="63"/>
        <v>0</v>
      </c>
      <c r="J319" s="988">
        <f t="shared" si="63"/>
        <v>0</v>
      </c>
      <c r="K319" s="988">
        <f t="shared" si="63"/>
        <v>0</v>
      </c>
      <c r="L319" s="988">
        <f t="shared" si="63"/>
        <v>0</v>
      </c>
      <c r="M319" s="988">
        <f t="shared" si="63"/>
        <v>0</v>
      </c>
      <c r="N319" s="988">
        <f t="shared" si="63"/>
        <v>0</v>
      </c>
      <c r="O319" s="988">
        <f t="shared" si="63"/>
        <v>0</v>
      </c>
      <c r="P319" s="988">
        <f t="shared" si="63"/>
        <v>0</v>
      </c>
      <c r="Q319" s="988"/>
      <c r="R319" s="988">
        <f t="shared" si="61"/>
        <v>0</v>
      </c>
      <c r="S319" s="546">
        <f t="shared" si="55"/>
        <v>0</v>
      </c>
      <c r="T319" s="547">
        <f t="shared" si="56"/>
        <v>0</v>
      </c>
      <c r="U319" s="546">
        <f t="shared" si="54"/>
        <v>0</v>
      </c>
      <c r="W319" s="350">
        <f t="shared" si="57"/>
        <v>0</v>
      </c>
      <c r="X319" s="285">
        <f t="shared" si="58"/>
        <v>0</v>
      </c>
      <c r="Y319" s="564"/>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564"/>
      <c r="AX319" s="564"/>
      <c r="AY319" s="564"/>
      <c r="AZ319" s="564"/>
      <c r="BA319" s="564"/>
      <c r="BB319" s="564"/>
      <c r="BC319" s="564"/>
      <c r="BD319" s="564"/>
      <c r="BE319" s="564"/>
      <c r="BF319" s="564"/>
      <c r="BG319" s="564"/>
      <c r="BH319" s="564"/>
      <c r="BI319" s="564"/>
      <c r="BJ319" s="564"/>
      <c r="BK319" s="564"/>
      <c r="BL319" s="564"/>
      <c r="BM319" s="564"/>
      <c r="BN319" s="564"/>
      <c r="BO319" s="564"/>
      <c r="BP319" s="564"/>
      <c r="BQ319" s="564"/>
      <c r="BR319" s="564"/>
      <c r="BS319" s="564"/>
      <c r="BT319" s="564"/>
      <c r="BU319" s="564"/>
      <c r="BV319" s="564"/>
      <c r="BW319" s="564"/>
      <c r="BX319" s="564"/>
      <c r="BY319" s="564"/>
    </row>
    <row r="320" spans="1:77" ht="12" thickBot="1">
      <c r="A320" s="596" t="s">
        <v>1507</v>
      </c>
      <c r="B320" s="541" t="s">
        <v>1147</v>
      </c>
      <c r="C320" s="541" t="s">
        <v>1148</v>
      </c>
      <c r="D320" s="542" t="s">
        <v>1156</v>
      </c>
      <c r="E320" s="549">
        <f t="shared" si="59"/>
        <v>0</v>
      </c>
      <c r="F320" s="988">
        <f t="shared" si="63"/>
        <v>0</v>
      </c>
      <c r="G320" s="988">
        <f t="shared" si="63"/>
        <v>0</v>
      </c>
      <c r="H320" s="988">
        <f t="shared" si="63"/>
        <v>0</v>
      </c>
      <c r="I320" s="988">
        <f t="shared" si="63"/>
        <v>0</v>
      </c>
      <c r="J320" s="988">
        <f t="shared" si="63"/>
        <v>0</v>
      </c>
      <c r="K320" s="988">
        <f t="shared" si="63"/>
        <v>0</v>
      </c>
      <c r="L320" s="988">
        <f t="shared" si="63"/>
        <v>0</v>
      </c>
      <c r="M320" s="988">
        <f t="shared" si="63"/>
        <v>0</v>
      </c>
      <c r="N320" s="988">
        <f t="shared" si="63"/>
        <v>0</v>
      </c>
      <c r="O320" s="988">
        <f t="shared" si="63"/>
        <v>0</v>
      </c>
      <c r="P320" s="988">
        <f t="shared" si="63"/>
        <v>0</v>
      </c>
      <c r="Q320" s="988"/>
      <c r="R320" s="988">
        <f t="shared" si="61"/>
        <v>0</v>
      </c>
      <c r="S320" s="546">
        <f t="shared" si="55"/>
        <v>0</v>
      </c>
      <c r="T320" s="547">
        <f t="shared" si="56"/>
        <v>0</v>
      </c>
      <c r="U320" s="546">
        <f t="shared" si="54"/>
        <v>0</v>
      </c>
      <c r="W320" s="350">
        <f t="shared" si="57"/>
        <v>0</v>
      </c>
      <c r="X320" s="285">
        <f t="shared" si="58"/>
        <v>0</v>
      </c>
      <c r="Y320" s="564"/>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564"/>
      <c r="AX320" s="564"/>
      <c r="AY320" s="564"/>
      <c r="AZ320" s="564"/>
      <c r="BA320" s="564"/>
      <c r="BB320" s="564"/>
      <c r="BC320" s="564"/>
      <c r="BD320" s="564"/>
      <c r="BE320" s="564"/>
      <c r="BF320" s="564"/>
      <c r="BG320" s="564"/>
      <c r="BH320" s="564"/>
      <c r="BI320" s="564"/>
      <c r="BJ320" s="564"/>
      <c r="BK320" s="564"/>
      <c r="BL320" s="564"/>
      <c r="BM320" s="564"/>
      <c r="BN320" s="564"/>
      <c r="BO320" s="564"/>
      <c r="BP320" s="564"/>
      <c r="BQ320" s="564"/>
      <c r="BR320" s="564"/>
      <c r="BS320" s="564"/>
      <c r="BT320" s="564"/>
      <c r="BU320" s="564"/>
      <c r="BV320" s="564"/>
      <c r="BW320" s="564"/>
      <c r="BX320" s="564"/>
      <c r="BY320" s="564"/>
    </row>
    <row r="321" spans="1:77" ht="12" thickBot="1">
      <c r="A321" s="596" t="s">
        <v>1507</v>
      </c>
      <c r="B321" s="541" t="s">
        <v>169</v>
      </c>
      <c r="C321" s="541" t="s">
        <v>1392</v>
      </c>
      <c r="D321" s="542" t="s">
        <v>208</v>
      </c>
      <c r="E321" s="549">
        <f t="shared" si="59"/>
        <v>0</v>
      </c>
      <c r="F321" s="988">
        <f t="shared" si="63"/>
        <v>0</v>
      </c>
      <c r="G321" s="988">
        <f t="shared" si="63"/>
        <v>0</v>
      </c>
      <c r="H321" s="988">
        <f t="shared" si="63"/>
        <v>0</v>
      </c>
      <c r="I321" s="988">
        <f t="shared" si="63"/>
        <v>0</v>
      </c>
      <c r="J321" s="988">
        <f t="shared" si="63"/>
        <v>0</v>
      </c>
      <c r="K321" s="988">
        <f t="shared" si="63"/>
        <v>0</v>
      </c>
      <c r="L321" s="988">
        <f t="shared" si="63"/>
        <v>0</v>
      </c>
      <c r="M321" s="988">
        <f t="shared" si="63"/>
        <v>0</v>
      </c>
      <c r="N321" s="988">
        <f t="shared" si="63"/>
        <v>0</v>
      </c>
      <c r="O321" s="988">
        <f t="shared" si="63"/>
        <v>0</v>
      </c>
      <c r="P321" s="988">
        <f t="shared" si="63"/>
        <v>0</v>
      </c>
      <c r="Q321" s="988"/>
      <c r="R321" s="988">
        <f t="shared" si="61"/>
        <v>0</v>
      </c>
      <c r="S321" s="546">
        <f t="shared" si="55"/>
        <v>0</v>
      </c>
      <c r="T321" s="547">
        <f t="shared" si="56"/>
        <v>0</v>
      </c>
      <c r="U321" s="546">
        <f t="shared" si="54"/>
        <v>0</v>
      </c>
      <c r="W321" s="350">
        <f t="shared" si="57"/>
        <v>0</v>
      </c>
      <c r="X321" s="285">
        <f t="shared" si="58"/>
        <v>0</v>
      </c>
      <c r="Y321" s="564"/>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564"/>
      <c r="AX321" s="564"/>
      <c r="AY321" s="564"/>
      <c r="AZ321" s="564"/>
      <c r="BA321" s="564"/>
      <c r="BB321" s="564"/>
      <c r="BC321" s="564"/>
      <c r="BD321" s="564"/>
      <c r="BE321" s="564"/>
      <c r="BF321" s="564"/>
      <c r="BG321" s="564"/>
      <c r="BH321" s="564"/>
      <c r="BI321" s="564"/>
      <c r="BJ321" s="564"/>
      <c r="BK321" s="564"/>
      <c r="BL321" s="564"/>
      <c r="BM321" s="564"/>
      <c r="BN321" s="564"/>
      <c r="BO321" s="564"/>
      <c r="BP321" s="564"/>
      <c r="BQ321" s="564"/>
      <c r="BR321" s="564"/>
      <c r="BS321" s="564"/>
      <c r="BT321" s="564"/>
      <c r="BU321" s="564"/>
      <c r="BV321" s="564"/>
      <c r="BW321" s="564"/>
      <c r="BX321" s="564"/>
      <c r="BY321" s="564"/>
    </row>
    <row r="322" spans="1:77" ht="12" thickBot="1">
      <c r="A322" s="596" t="s">
        <v>1507</v>
      </c>
      <c r="B322" s="541" t="s">
        <v>170</v>
      </c>
      <c r="C322" s="541" t="s">
        <v>1393</v>
      </c>
      <c r="D322" s="542" t="s">
        <v>17</v>
      </c>
      <c r="E322" s="549">
        <f t="shared" si="59"/>
        <v>0</v>
      </c>
      <c r="F322" s="988">
        <f t="shared" si="63"/>
        <v>0</v>
      </c>
      <c r="G322" s="988">
        <f t="shared" si="63"/>
        <v>0</v>
      </c>
      <c r="H322" s="988">
        <f t="shared" si="63"/>
        <v>0</v>
      </c>
      <c r="I322" s="988">
        <f t="shared" si="63"/>
        <v>0</v>
      </c>
      <c r="J322" s="988">
        <f t="shared" si="63"/>
        <v>0</v>
      </c>
      <c r="K322" s="988">
        <f t="shared" si="63"/>
        <v>0</v>
      </c>
      <c r="L322" s="988">
        <f t="shared" si="63"/>
        <v>0</v>
      </c>
      <c r="M322" s="988">
        <f t="shared" si="63"/>
        <v>0</v>
      </c>
      <c r="N322" s="988">
        <f t="shared" si="63"/>
        <v>0</v>
      </c>
      <c r="O322" s="988">
        <f t="shared" si="63"/>
        <v>0</v>
      </c>
      <c r="P322" s="988">
        <f t="shared" si="63"/>
        <v>0</v>
      </c>
      <c r="Q322" s="988"/>
      <c r="R322" s="988">
        <f t="shared" si="61"/>
        <v>0</v>
      </c>
      <c r="S322" s="546">
        <f t="shared" si="55"/>
        <v>0</v>
      </c>
      <c r="T322" s="547">
        <f t="shared" si="56"/>
        <v>0</v>
      </c>
      <c r="U322" s="546">
        <f t="shared" si="54"/>
        <v>0</v>
      </c>
      <c r="W322" s="350">
        <f t="shared" si="57"/>
        <v>0</v>
      </c>
      <c r="X322" s="285">
        <f t="shared" si="58"/>
        <v>0</v>
      </c>
      <c r="Y322" s="564"/>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564"/>
      <c r="AX322" s="564"/>
      <c r="AY322" s="564"/>
      <c r="AZ322" s="564"/>
      <c r="BA322" s="564"/>
      <c r="BB322" s="564"/>
      <c r="BC322" s="564"/>
      <c r="BD322" s="564"/>
      <c r="BE322" s="564"/>
      <c r="BF322" s="564"/>
      <c r="BG322" s="564"/>
      <c r="BH322" s="564"/>
      <c r="BI322" s="564"/>
      <c r="BJ322" s="564"/>
      <c r="BK322" s="564"/>
      <c r="BL322" s="564"/>
      <c r="BM322" s="564"/>
      <c r="BN322" s="564"/>
      <c r="BO322" s="564"/>
      <c r="BP322" s="564"/>
      <c r="BQ322" s="564"/>
      <c r="BR322" s="564"/>
      <c r="BS322" s="564"/>
      <c r="BT322" s="564"/>
      <c r="BU322" s="564"/>
      <c r="BV322" s="564"/>
      <c r="BW322" s="564"/>
      <c r="BX322" s="564"/>
      <c r="BY322" s="564"/>
    </row>
    <row r="323" spans="1:77" ht="12" thickBot="1">
      <c r="A323" s="596" t="s">
        <v>1507</v>
      </c>
      <c r="B323" s="541" t="s">
        <v>713</v>
      </c>
      <c r="C323" s="541" t="s">
        <v>711</v>
      </c>
      <c r="D323" s="542" t="s">
        <v>712</v>
      </c>
      <c r="E323" s="549">
        <f t="shared" si="59"/>
        <v>0</v>
      </c>
      <c r="F323" s="988">
        <f t="shared" si="63"/>
        <v>0</v>
      </c>
      <c r="G323" s="988">
        <f t="shared" si="63"/>
        <v>0</v>
      </c>
      <c r="H323" s="988">
        <f t="shared" si="63"/>
        <v>0</v>
      </c>
      <c r="I323" s="988">
        <f t="shared" si="63"/>
        <v>0</v>
      </c>
      <c r="J323" s="988">
        <f t="shared" si="63"/>
        <v>0</v>
      </c>
      <c r="K323" s="988">
        <f t="shared" si="63"/>
        <v>0</v>
      </c>
      <c r="L323" s="988">
        <f t="shared" si="63"/>
        <v>0</v>
      </c>
      <c r="M323" s="988">
        <f t="shared" si="63"/>
        <v>0</v>
      </c>
      <c r="N323" s="988">
        <f t="shared" si="63"/>
        <v>0</v>
      </c>
      <c r="O323" s="988">
        <f t="shared" si="63"/>
        <v>0</v>
      </c>
      <c r="P323" s="988">
        <f t="shared" si="63"/>
        <v>0</v>
      </c>
      <c r="Q323" s="988"/>
      <c r="R323" s="988">
        <f t="shared" si="61"/>
        <v>0</v>
      </c>
      <c r="S323" s="546">
        <f t="shared" si="55"/>
        <v>0</v>
      </c>
      <c r="T323" s="547">
        <f t="shared" si="56"/>
        <v>0</v>
      </c>
      <c r="U323" s="546">
        <f t="shared" si="54"/>
        <v>0</v>
      </c>
      <c r="W323" s="350">
        <f t="shared" si="57"/>
        <v>0</v>
      </c>
      <c r="X323" s="285">
        <f t="shared" si="58"/>
        <v>0</v>
      </c>
      <c r="Y323" s="564"/>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564"/>
      <c r="AX323" s="564"/>
      <c r="AY323" s="564"/>
      <c r="AZ323" s="564"/>
      <c r="BA323" s="564"/>
      <c r="BB323" s="564"/>
      <c r="BC323" s="564"/>
      <c r="BD323" s="564"/>
      <c r="BE323" s="564"/>
      <c r="BF323" s="564"/>
      <c r="BG323" s="564"/>
      <c r="BH323" s="564"/>
      <c r="BI323" s="564"/>
      <c r="BJ323" s="564"/>
      <c r="BK323" s="564"/>
      <c r="BL323" s="564"/>
      <c r="BM323" s="564"/>
      <c r="BN323" s="564"/>
      <c r="BO323" s="564"/>
      <c r="BP323" s="564"/>
      <c r="BQ323" s="564"/>
      <c r="BR323" s="564"/>
      <c r="BS323" s="564"/>
      <c r="BT323" s="564"/>
      <c r="BU323" s="564"/>
      <c r="BV323" s="564"/>
      <c r="BW323" s="564"/>
      <c r="BX323" s="564"/>
      <c r="BY323" s="564"/>
    </row>
    <row r="324" spans="1:77" ht="12" thickBot="1">
      <c r="A324" s="596" t="s">
        <v>1507</v>
      </c>
      <c r="B324" s="541" t="s">
        <v>171</v>
      </c>
      <c r="C324" s="541" t="s">
        <v>441</v>
      </c>
      <c r="D324" s="542" t="s">
        <v>72</v>
      </c>
      <c r="E324" s="549">
        <f t="shared" si="59"/>
        <v>0</v>
      </c>
      <c r="F324" s="988">
        <f t="shared" si="63"/>
        <v>0</v>
      </c>
      <c r="G324" s="988">
        <f t="shared" si="63"/>
        <v>0</v>
      </c>
      <c r="H324" s="988">
        <f t="shared" si="63"/>
        <v>0</v>
      </c>
      <c r="I324" s="988">
        <f t="shared" si="63"/>
        <v>0</v>
      </c>
      <c r="J324" s="988">
        <f t="shared" si="63"/>
        <v>0</v>
      </c>
      <c r="K324" s="988">
        <f t="shared" si="63"/>
        <v>0</v>
      </c>
      <c r="L324" s="988">
        <f t="shared" si="63"/>
        <v>0</v>
      </c>
      <c r="M324" s="988">
        <f t="shared" si="63"/>
        <v>0</v>
      </c>
      <c r="N324" s="988">
        <f t="shared" si="63"/>
        <v>0</v>
      </c>
      <c r="O324" s="988">
        <f t="shared" si="63"/>
        <v>0</v>
      </c>
      <c r="P324" s="988">
        <f t="shared" si="63"/>
        <v>-989829</v>
      </c>
      <c r="Q324" s="988"/>
      <c r="R324" s="988">
        <f t="shared" si="61"/>
        <v>-989829</v>
      </c>
      <c r="S324" s="546">
        <f t="shared" si="55"/>
        <v>0</v>
      </c>
      <c r="T324" s="547">
        <f t="shared" si="56"/>
        <v>0</v>
      </c>
      <c r="U324" s="546">
        <f t="shared" si="54"/>
        <v>0</v>
      </c>
      <c r="W324" s="350">
        <f t="shared" si="57"/>
        <v>-989829</v>
      </c>
      <c r="X324" s="285">
        <f t="shared" si="58"/>
        <v>0</v>
      </c>
      <c r="Y324" s="564"/>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564"/>
      <c r="AX324" s="564"/>
      <c r="AY324" s="564"/>
      <c r="AZ324" s="564"/>
      <c r="BA324" s="564"/>
      <c r="BB324" s="564"/>
      <c r="BC324" s="564"/>
      <c r="BD324" s="564"/>
      <c r="BE324" s="564"/>
      <c r="BF324" s="564"/>
      <c r="BG324" s="564"/>
      <c r="BH324" s="564"/>
      <c r="BI324" s="564"/>
      <c r="BJ324" s="564"/>
      <c r="BK324" s="564"/>
      <c r="BL324" s="564"/>
      <c r="BM324" s="564"/>
      <c r="BN324" s="564"/>
      <c r="BO324" s="564"/>
      <c r="BP324" s="564"/>
      <c r="BQ324" s="564"/>
      <c r="BR324" s="564"/>
      <c r="BS324" s="564"/>
      <c r="BT324" s="564"/>
      <c r="BU324" s="564"/>
      <c r="BV324" s="564"/>
      <c r="BW324" s="564"/>
      <c r="BX324" s="564"/>
      <c r="BY324" s="564"/>
    </row>
    <row r="325" spans="1:77" ht="12" thickBot="1">
      <c r="A325" s="596" t="s">
        <v>1507</v>
      </c>
      <c r="B325" s="541" t="s">
        <v>172</v>
      </c>
      <c r="C325" s="541" t="s">
        <v>442</v>
      </c>
      <c r="D325" s="542" t="s">
        <v>72</v>
      </c>
      <c r="E325" s="549">
        <f t="shared" si="59"/>
        <v>0</v>
      </c>
      <c r="F325" s="988">
        <f t="shared" ref="F325:P334" si="64">ROUND(SUMIFS(F$1721:F$1901,$A$1721:$A$1901,$A325,$B$1721:$B$1901,$B325),0)</f>
        <v>0</v>
      </c>
      <c r="G325" s="988">
        <f t="shared" si="64"/>
        <v>0</v>
      </c>
      <c r="H325" s="988">
        <f t="shared" si="64"/>
        <v>0</v>
      </c>
      <c r="I325" s="988">
        <f t="shared" si="64"/>
        <v>0</v>
      </c>
      <c r="J325" s="988">
        <f t="shared" si="64"/>
        <v>0</v>
      </c>
      <c r="K325" s="988">
        <f t="shared" si="64"/>
        <v>0</v>
      </c>
      <c r="L325" s="988">
        <f t="shared" si="64"/>
        <v>0</v>
      </c>
      <c r="M325" s="988">
        <f t="shared" si="64"/>
        <v>0</v>
      </c>
      <c r="N325" s="988">
        <f t="shared" si="64"/>
        <v>0</v>
      </c>
      <c r="O325" s="988">
        <f t="shared" si="64"/>
        <v>0</v>
      </c>
      <c r="P325" s="988">
        <f t="shared" si="64"/>
        <v>0</v>
      </c>
      <c r="Q325" s="988"/>
      <c r="R325" s="988">
        <f t="shared" si="61"/>
        <v>0</v>
      </c>
      <c r="S325" s="546">
        <f t="shared" si="55"/>
        <v>0</v>
      </c>
      <c r="T325" s="547">
        <f t="shared" si="56"/>
        <v>0</v>
      </c>
      <c r="U325" s="546">
        <f t="shared" si="54"/>
        <v>0</v>
      </c>
      <c r="W325" s="350">
        <f t="shared" si="57"/>
        <v>0</v>
      </c>
      <c r="X325" s="285">
        <f t="shared" si="58"/>
        <v>0</v>
      </c>
      <c r="Y325" s="564"/>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564"/>
      <c r="AX325" s="564"/>
      <c r="AY325" s="564"/>
      <c r="AZ325" s="564"/>
      <c r="BA325" s="564"/>
      <c r="BB325" s="564"/>
      <c r="BC325" s="564"/>
      <c r="BD325" s="564"/>
      <c r="BE325" s="564"/>
      <c r="BF325" s="564"/>
      <c r="BG325" s="564"/>
      <c r="BH325" s="564"/>
      <c r="BI325" s="564"/>
      <c r="BJ325" s="564"/>
      <c r="BK325" s="564"/>
      <c r="BL325" s="564"/>
      <c r="BM325" s="564"/>
      <c r="BN325" s="564"/>
      <c r="BO325" s="564"/>
      <c r="BP325" s="564"/>
      <c r="BQ325" s="564"/>
      <c r="BR325" s="564"/>
      <c r="BS325" s="564"/>
      <c r="BT325" s="564"/>
      <c r="BU325" s="564"/>
      <c r="BV325" s="564"/>
      <c r="BW325" s="564"/>
      <c r="BX325" s="564"/>
      <c r="BY325" s="564"/>
    </row>
    <row r="326" spans="1:77" ht="12" thickBot="1">
      <c r="A326" s="596" t="s">
        <v>1507</v>
      </c>
      <c r="B326" s="541" t="s">
        <v>1397</v>
      </c>
      <c r="C326" s="541" t="s">
        <v>1398</v>
      </c>
      <c r="D326" s="542" t="s">
        <v>72</v>
      </c>
      <c r="E326" s="549">
        <f t="shared" si="59"/>
        <v>0</v>
      </c>
      <c r="F326" s="988">
        <f t="shared" si="64"/>
        <v>0</v>
      </c>
      <c r="G326" s="988">
        <f t="shared" si="64"/>
        <v>0</v>
      </c>
      <c r="H326" s="988">
        <f t="shared" si="64"/>
        <v>0</v>
      </c>
      <c r="I326" s="988">
        <f t="shared" si="64"/>
        <v>0</v>
      </c>
      <c r="J326" s="988">
        <f t="shared" si="64"/>
        <v>0</v>
      </c>
      <c r="K326" s="988">
        <f t="shared" si="64"/>
        <v>0</v>
      </c>
      <c r="L326" s="988">
        <f t="shared" si="64"/>
        <v>0</v>
      </c>
      <c r="M326" s="988">
        <f t="shared" si="64"/>
        <v>0</v>
      </c>
      <c r="N326" s="988">
        <f t="shared" si="64"/>
        <v>0</v>
      </c>
      <c r="O326" s="988">
        <f t="shared" si="64"/>
        <v>0</v>
      </c>
      <c r="P326" s="988">
        <f t="shared" si="64"/>
        <v>0</v>
      </c>
      <c r="Q326" s="988"/>
      <c r="R326" s="988">
        <f t="shared" si="61"/>
        <v>0</v>
      </c>
      <c r="S326" s="546">
        <f t="shared" si="55"/>
        <v>0</v>
      </c>
      <c r="T326" s="547">
        <f t="shared" si="56"/>
        <v>0</v>
      </c>
      <c r="U326" s="546">
        <f t="shared" si="54"/>
        <v>0</v>
      </c>
      <c r="W326" s="350">
        <f t="shared" si="57"/>
        <v>0</v>
      </c>
      <c r="X326" s="285">
        <f t="shared" si="58"/>
        <v>0</v>
      </c>
      <c r="Y326" s="564"/>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564"/>
      <c r="AX326" s="564"/>
      <c r="AY326" s="564"/>
      <c r="AZ326" s="564"/>
      <c r="BA326" s="564"/>
      <c r="BB326" s="564"/>
      <c r="BC326" s="564"/>
      <c r="BD326" s="564"/>
      <c r="BE326" s="564"/>
      <c r="BF326" s="564"/>
      <c r="BG326" s="564"/>
      <c r="BH326" s="564"/>
      <c r="BI326" s="564"/>
      <c r="BJ326" s="564"/>
      <c r="BK326" s="564"/>
      <c r="BL326" s="564"/>
      <c r="BM326" s="564"/>
      <c r="BN326" s="564"/>
      <c r="BO326" s="564"/>
      <c r="BP326" s="564"/>
      <c r="BQ326" s="564"/>
      <c r="BR326" s="564"/>
      <c r="BS326" s="564"/>
      <c r="BT326" s="564"/>
      <c r="BU326" s="564"/>
      <c r="BV326" s="564"/>
      <c r="BW326" s="564"/>
      <c r="BX326" s="564"/>
      <c r="BY326" s="564"/>
    </row>
    <row r="327" spans="1:77" ht="12" thickBot="1">
      <c r="A327" s="596" t="s">
        <v>1507</v>
      </c>
      <c r="B327" s="541" t="s">
        <v>1149</v>
      </c>
      <c r="C327" s="541" t="s">
        <v>1150</v>
      </c>
      <c r="D327" s="542" t="s">
        <v>72</v>
      </c>
      <c r="E327" s="549">
        <f t="shared" si="59"/>
        <v>0</v>
      </c>
      <c r="F327" s="988">
        <f t="shared" si="64"/>
        <v>0</v>
      </c>
      <c r="G327" s="988">
        <f t="shared" si="64"/>
        <v>0</v>
      </c>
      <c r="H327" s="988">
        <f t="shared" si="64"/>
        <v>0</v>
      </c>
      <c r="I327" s="988">
        <f t="shared" si="64"/>
        <v>0</v>
      </c>
      <c r="J327" s="988">
        <f t="shared" si="64"/>
        <v>0</v>
      </c>
      <c r="K327" s="988">
        <f t="shared" si="64"/>
        <v>0</v>
      </c>
      <c r="L327" s="988">
        <f t="shared" si="64"/>
        <v>0</v>
      </c>
      <c r="M327" s="988">
        <f t="shared" si="64"/>
        <v>0</v>
      </c>
      <c r="N327" s="988">
        <f t="shared" si="64"/>
        <v>0</v>
      </c>
      <c r="O327" s="988">
        <f t="shared" si="64"/>
        <v>0</v>
      </c>
      <c r="P327" s="988">
        <f t="shared" si="64"/>
        <v>0</v>
      </c>
      <c r="Q327" s="988"/>
      <c r="R327" s="988">
        <f t="shared" si="61"/>
        <v>0</v>
      </c>
      <c r="S327" s="546">
        <f t="shared" si="55"/>
        <v>0</v>
      </c>
      <c r="T327" s="547">
        <f t="shared" si="56"/>
        <v>0</v>
      </c>
      <c r="U327" s="546">
        <f t="shared" si="54"/>
        <v>0</v>
      </c>
      <c r="W327" s="350">
        <f t="shared" si="57"/>
        <v>0</v>
      </c>
      <c r="X327" s="285">
        <f t="shared" si="58"/>
        <v>0</v>
      </c>
      <c r="Y327" s="564"/>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564"/>
      <c r="AX327" s="564"/>
      <c r="AY327" s="564"/>
      <c r="AZ327" s="564"/>
      <c r="BA327" s="564"/>
      <c r="BB327" s="564"/>
      <c r="BC327" s="564"/>
      <c r="BD327" s="564"/>
      <c r="BE327" s="564"/>
      <c r="BF327" s="564"/>
      <c r="BG327" s="564"/>
      <c r="BH327" s="564"/>
      <c r="BI327" s="564"/>
      <c r="BJ327" s="564"/>
      <c r="BK327" s="564"/>
      <c r="BL327" s="564"/>
      <c r="BM327" s="564"/>
      <c r="BN327" s="564"/>
      <c r="BO327" s="564"/>
      <c r="BP327" s="564"/>
      <c r="BQ327" s="564"/>
      <c r="BR327" s="564"/>
      <c r="BS327" s="564"/>
      <c r="BT327" s="564"/>
      <c r="BU327" s="564"/>
      <c r="BV327" s="564"/>
      <c r="BW327" s="564"/>
      <c r="BX327" s="564"/>
      <c r="BY327" s="564"/>
    </row>
    <row r="328" spans="1:77" ht="12" thickBot="1">
      <c r="A328" s="596" t="s">
        <v>1507</v>
      </c>
      <c r="B328" s="541" t="s">
        <v>1051</v>
      </c>
      <c r="C328" s="541" t="s">
        <v>1052</v>
      </c>
      <c r="D328" s="542" t="s">
        <v>719</v>
      </c>
      <c r="E328" s="549">
        <f t="shared" si="59"/>
        <v>0</v>
      </c>
      <c r="F328" s="988">
        <f t="shared" si="64"/>
        <v>0</v>
      </c>
      <c r="G328" s="988">
        <f t="shared" si="64"/>
        <v>0</v>
      </c>
      <c r="H328" s="988">
        <f t="shared" si="64"/>
        <v>0</v>
      </c>
      <c r="I328" s="988">
        <f t="shared" si="64"/>
        <v>0</v>
      </c>
      <c r="J328" s="988">
        <f t="shared" si="64"/>
        <v>0</v>
      </c>
      <c r="K328" s="988">
        <f t="shared" si="64"/>
        <v>0</v>
      </c>
      <c r="L328" s="988">
        <f t="shared" si="64"/>
        <v>0</v>
      </c>
      <c r="M328" s="988">
        <f t="shared" si="64"/>
        <v>0</v>
      </c>
      <c r="N328" s="988">
        <f t="shared" si="64"/>
        <v>0</v>
      </c>
      <c r="O328" s="988">
        <f t="shared" si="64"/>
        <v>0</v>
      </c>
      <c r="P328" s="988">
        <f t="shared" si="64"/>
        <v>0</v>
      </c>
      <c r="Q328" s="988"/>
      <c r="R328" s="988">
        <f t="shared" si="61"/>
        <v>0</v>
      </c>
      <c r="S328" s="546">
        <f t="shared" si="55"/>
        <v>0</v>
      </c>
      <c r="T328" s="547">
        <f t="shared" si="56"/>
        <v>0</v>
      </c>
      <c r="U328" s="546">
        <f t="shared" si="54"/>
        <v>0</v>
      </c>
      <c r="W328" s="350">
        <f t="shared" si="57"/>
        <v>0</v>
      </c>
      <c r="X328" s="285">
        <f t="shared" si="58"/>
        <v>0</v>
      </c>
      <c r="Y328" s="564"/>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564"/>
      <c r="AX328" s="564"/>
      <c r="AY328" s="564"/>
      <c r="AZ328" s="564"/>
      <c r="BA328" s="564"/>
      <c r="BB328" s="564"/>
      <c r="BC328" s="564"/>
      <c r="BD328" s="564"/>
      <c r="BE328" s="564"/>
      <c r="BF328" s="564"/>
      <c r="BG328" s="564"/>
      <c r="BH328" s="564"/>
      <c r="BI328" s="564"/>
      <c r="BJ328" s="564"/>
      <c r="BK328" s="564"/>
      <c r="BL328" s="564"/>
      <c r="BM328" s="564"/>
      <c r="BN328" s="564"/>
      <c r="BO328" s="564"/>
      <c r="BP328" s="564"/>
      <c r="BQ328" s="564"/>
      <c r="BR328" s="564"/>
      <c r="BS328" s="564"/>
      <c r="BT328" s="564"/>
      <c r="BU328" s="564"/>
      <c r="BV328" s="564"/>
      <c r="BW328" s="564"/>
      <c r="BX328" s="564"/>
      <c r="BY328" s="564"/>
    </row>
    <row r="329" spans="1:77" ht="12" thickBot="1">
      <c r="A329" s="596" t="s">
        <v>1507</v>
      </c>
      <c r="B329" s="541" t="s">
        <v>1053</v>
      </c>
      <c r="C329" s="541" t="s">
        <v>1054</v>
      </c>
      <c r="D329" s="542" t="s">
        <v>719</v>
      </c>
      <c r="E329" s="549">
        <f t="shared" si="59"/>
        <v>0</v>
      </c>
      <c r="F329" s="988">
        <f t="shared" si="64"/>
        <v>0</v>
      </c>
      <c r="G329" s="988">
        <f t="shared" si="64"/>
        <v>0</v>
      </c>
      <c r="H329" s="988">
        <f t="shared" si="64"/>
        <v>0</v>
      </c>
      <c r="I329" s="988">
        <f t="shared" si="64"/>
        <v>0</v>
      </c>
      <c r="J329" s="988">
        <f t="shared" si="64"/>
        <v>0</v>
      </c>
      <c r="K329" s="988">
        <f t="shared" si="64"/>
        <v>0</v>
      </c>
      <c r="L329" s="988">
        <f t="shared" si="64"/>
        <v>0</v>
      </c>
      <c r="M329" s="988">
        <f t="shared" si="64"/>
        <v>0</v>
      </c>
      <c r="N329" s="988">
        <f t="shared" si="64"/>
        <v>0</v>
      </c>
      <c r="O329" s="988">
        <f t="shared" si="64"/>
        <v>0</v>
      </c>
      <c r="P329" s="988">
        <f t="shared" si="64"/>
        <v>0</v>
      </c>
      <c r="Q329" s="988"/>
      <c r="R329" s="988">
        <f t="shared" si="61"/>
        <v>0</v>
      </c>
      <c r="S329" s="546">
        <f t="shared" si="55"/>
        <v>0</v>
      </c>
      <c r="T329" s="547">
        <f t="shared" si="56"/>
        <v>0</v>
      </c>
      <c r="U329" s="546">
        <f t="shared" si="54"/>
        <v>0</v>
      </c>
      <c r="W329" s="350">
        <f t="shared" si="57"/>
        <v>0</v>
      </c>
      <c r="X329" s="285">
        <f t="shared" si="58"/>
        <v>0</v>
      </c>
      <c r="Y329" s="564"/>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564"/>
      <c r="AX329" s="564"/>
      <c r="AY329" s="564"/>
      <c r="AZ329" s="564"/>
      <c r="BA329" s="564"/>
      <c r="BB329" s="564"/>
      <c r="BC329" s="564"/>
      <c r="BD329" s="564"/>
      <c r="BE329" s="564"/>
      <c r="BF329" s="564"/>
      <c r="BG329" s="564"/>
      <c r="BH329" s="564"/>
      <c r="BI329" s="564"/>
      <c r="BJ329" s="564"/>
      <c r="BK329" s="564"/>
      <c r="BL329" s="564"/>
      <c r="BM329" s="564"/>
      <c r="BN329" s="564"/>
      <c r="BO329" s="564"/>
      <c r="BP329" s="564"/>
      <c r="BQ329" s="564"/>
      <c r="BR329" s="564"/>
      <c r="BS329" s="564"/>
      <c r="BT329" s="564"/>
      <c r="BU329" s="564"/>
      <c r="BV329" s="564"/>
      <c r="BW329" s="564"/>
      <c r="BX329" s="564"/>
      <c r="BY329" s="564"/>
    </row>
    <row r="330" spans="1:77" ht="12" thickBot="1">
      <c r="A330" s="596" t="s">
        <v>1507</v>
      </c>
      <c r="B330" s="541" t="s">
        <v>173</v>
      </c>
      <c r="C330" s="541" t="s">
        <v>192</v>
      </c>
      <c r="D330" s="542" t="s">
        <v>642</v>
      </c>
      <c r="E330" s="549">
        <f t="shared" si="59"/>
        <v>48339184</v>
      </c>
      <c r="F330" s="988">
        <f t="shared" si="64"/>
        <v>750</v>
      </c>
      <c r="G330" s="988">
        <f t="shared" si="64"/>
        <v>178372</v>
      </c>
      <c r="H330" s="988">
        <f t="shared" si="64"/>
        <v>1397969</v>
      </c>
      <c r="I330" s="988">
        <f t="shared" si="64"/>
        <v>0</v>
      </c>
      <c r="J330" s="988">
        <f t="shared" si="64"/>
        <v>51887</v>
      </c>
      <c r="K330" s="988">
        <f t="shared" si="64"/>
        <v>668312</v>
      </c>
      <c r="L330" s="988">
        <f t="shared" si="64"/>
        <v>0</v>
      </c>
      <c r="M330" s="988">
        <f t="shared" si="64"/>
        <v>117609</v>
      </c>
      <c r="N330" s="988">
        <f t="shared" si="64"/>
        <v>0</v>
      </c>
      <c r="O330" s="988">
        <f t="shared" si="64"/>
        <v>278579</v>
      </c>
      <c r="P330" s="988">
        <f t="shared" si="64"/>
        <v>0</v>
      </c>
      <c r="Q330" s="988"/>
      <c r="R330" s="988">
        <f t="shared" si="61"/>
        <v>2693478</v>
      </c>
      <c r="S330" s="546">
        <f t="shared" si="55"/>
        <v>1576341</v>
      </c>
      <c r="T330" s="547">
        <f t="shared" si="56"/>
        <v>720199</v>
      </c>
      <c r="U330" s="546">
        <f t="shared" si="54"/>
        <v>278579</v>
      </c>
      <c r="W330" s="350">
        <f t="shared" si="57"/>
        <v>2693478</v>
      </c>
      <c r="X330" s="285">
        <f t="shared" si="58"/>
        <v>0</v>
      </c>
      <c r="Y330" s="564"/>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564"/>
      <c r="AX330" s="564"/>
      <c r="AY330" s="564"/>
      <c r="AZ330" s="564"/>
      <c r="BA330" s="564"/>
      <c r="BB330" s="564"/>
      <c r="BC330" s="564"/>
      <c r="BD330" s="564"/>
      <c r="BE330" s="564"/>
      <c r="BF330" s="564"/>
      <c r="BG330" s="564"/>
      <c r="BH330" s="564"/>
      <c r="BI330" s="564"/>
      <c r="BJ330" s="564"/>
      <c r="BK330" s="564"/>
      <c r="BL330" s="564"/>
      <c r="BM330" s="564"/>
      <c r="BN330" s="564"/>
      <c r="BO330" s="564"/>
      <c r="BP330" s="564"/>
      <c r="BQ330" s="564"/>
      <c r="BR330" s="564"/>
      <c r="BS330" s="564"/>
      <c r="BT330" s="564"/>
      <c r="BU330" s="564"/>
      <c r="BV330" s="564"/>
      <c r="BW330" s="564"/>
      <c r="BX330" s="564"/>
      <c r="BY330" s="564"/>
    </row>
    <row r="331" spans="1:77" ht="12" thickBot="1">
      <c r="A331" s="596" t="s">
        <v>1507</v>
      </c>
      <c r="B331" s="541" t="s">
        <v>193</v>
      </c>
      <c r="C331" s="541" t="s">
        <v>194</v>
      </c>
      <c r="D331" s="542" t="s">
        <v>443</v>
      </c>
      <c r="E331" s="549">
        <f t="shared" si="59"/>
        <v>0</v>
      </c>
      <c r="F331" s="988">
        <f t="shared" si="64"/>
        <v>0</v>
      </c>
      <c r="G331" s="988">
        <f t="shared" si="64"/>
        <v>0</v>
      </c>
      <c r="H331" s="988">
        <f t="shared" si="64"/>
        <v>0</v>
      </c>
      <c r="I331" s="988">
        <f t="shared" si="64"/>
        <v>0</v>
      </c>
      <c r="J331" s="988">
        <f t="shared" si="64"/>
        <v>0</v>
      </c>
      <c r="K331" s="988">
        <f t="shared" si="64"/>
        <v>0</v>
      </c>
      <c r="L331" s="988">
        <f t="shared" si="64"/>
        <v>0</v>
      </c>
      <c r="M331" s="988">
        <f t="shared" si="64"/>
        <v>0</v>
      </c>
      <c r="N331" s="988">
        <f t="shared" si="64"/>
        <v>0</v>
      </c>
      <c r="O331" s="988">
        <f t="shared" si="64"/>
        <v>0</v>
      </c>
      <c r="P331" s="988">
        <f t="shared" si="64"/>
        <v>0</v>
      </c>
      <c r="Q331" s="988"/>
      <c r="R331" s="988">
        <f t="shared" si="61"/>
        <v>0</v>
      </c>
      <c r="S331" s="546">
        <f t="shared" si="55"/>
        <v>0</v>
      </c>
      <c r="T331" s="547">
        <f t="shared" si="56"/>
        <v>0</v>
      </c>
      <c r="U331" s="546">
        <f t="shared" si="54"/>
        <v>0</v>
      </c>
      <c r="W331" s="350">
        <f t="shared" si="57"/>
        <v>0</v>
      </c>
      <c r="X331" s="285">
        <f t="shared" si="58"/>
        <v>0</v>
      </c>
      <c r="Y331" s="564"/>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564"/>
      <c r="AX331" s="564"/>
      <c r="AY331" s="564"/>
      <c r="AZ331" s="564"/>
      <c r="BA331" s="564"/>
      <c r="BB331" s="564"/>
      <c r="BC331" s="564"/>
      <c r="BD331" s="564"/>
      <c r="BE331" s="564"/>
      <c r="BF331" s="564"/>
      <c r="BG331" s="564"/>
      <c r="BH331" s="564"/>
      <c r="BI331" s="564"/>
      <c r="BJ331" s="564"/>
      <c r="BK331" s="564"/>
      <c r="BL331" s="564"/>
      <c r="BM331" s="564"/>
      <c r="BN331" s="564"/>
      <c r="BO331" s="564"/>
      <c r="BP331" s="564"/>
      <c r="BQ331" s="564"/>
      <c r="BR331" s="564"/>
      <c r="BS331" s="564"/>
      <c r="BT331" s="564"/>
      <c r="BU331" s="564"/>
      <c r="BV331" s="564"/>
      <c r="BW331" s="564"/>
      <c r="BX331" s="564"/>
      <c r="BY331" s="564"/>
    </row>
    <row r="332" spans="1:77" ht="12" thickBot="1">
      <c r="A332" s="596" t="s">
        <v>1507</v>
      </c>
      <c r="B332" s="541" t="s">
        <v>195</v>
      </c>
      <c r="C332" s="541" t="s">
        <v>196</v>
      </c>
      <c r="D332" s="542" t="s">
        <v>443</v>
      </c>
      <c r="E332" s="549">
        <f t="shared" si="59"/>
        <v>0</v>
      </c>
      <c r="F332" s="988">
        <f t="shared" si="64"/>
        <v>0</v>
      </c>
      <c r="G332" s="988">
        <f t="shared" si="64"/>
        <v>0</v>
      </c>
      <c r="H332" s="988">
        <f t="shared" si="64"/>
        <v>0</v>
      </c>
      <c r="I332" s="988">
        <f t="shared" si="64"/>
        <v>0</v>
      </c>
      <c r="J332" s="988">
        <f t="shared" si="64"/>
        <v>0</v>
      </c>
      <c r="K332" s="988">
        <f t="shared" si="64"/>
        <v>0</v>
      </c>
      <c r="L332" s="988">
        <f t="shared" si="64"/>
        <v>0</v>
      </c>
      <c r="M332" s="988">
        <f t="shared" si="64"/>
        <v>0</v>
      </c>
      <c r="N332" s="988">
        <f t="shared" si="64"/>
        <v>0</v>
      </c>
      <c r="O332" s="988">
        <f t="shared" si="64"/>
        <v>0</v>
      </c>
      <c r="P332" s="988">
        <f t="shared" si="64"/>
        <v>0</v>
      </c>
      <c r="Q332" s="988"/>
      <c r="R332" s="988">
        <f t="shared" si="61"/>
        <v>0</v>
      </c>
      <c r="S332" s="546">
        <f t="shared" si="55"/>
        <v>0</v>
      </c>
      <c r="T332" s="547">
        <f t="shared" si="56"/>
        <v>0</v>
      </c>
      <c r="U332" s="546">
        <f t="shared" si="54"/>
        <v>0</v>
      </c>
      <c r="W332" s="350">
        <f t="shared" si="57"/>
        <v>0</v>
      </c>
      <c r="X332" s="285">
        <f t="shared" si="58"/>
        <v>0</v>
      </c>
      <c r="Y332" s="564"/>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564"/>
      <c r="AX332" s="564"/>
      <c r="AY332" s="564"/>
      <c r="AZ332" s="564"/>
      <c r="BA332" s="564"/>
      <c r="BB332" s="564"/>
      <c r="BC332" s="564"/>
      <c r="BD332" s="564"/>
      <c r="BE332" s="564"/>
      <c r="BF332" s="564"/>
      <c r="BG332" s="564"/>
      <c r="BH332" s="564"/>
      <c r="BI332" s="564"/>
      <c r="BJ332" s="564"/>
      <c r="BK332" s="564"/>
      <c r="BL332" s="564"/>
      <c r="BM332" s="564"/>
      <c r="BN332" s="564"/>
      <c r="BO332" s="564"/>
      <c r="BP332" s="564"/>
      <c r="BQ332" s="564"/>
      <c r="BR332" s="564"/>
      <c r="BS332" s="564"/>
      <c r="BT332" s="564"/>
      <c r="BU332" s="564"/>
      <c r="BV332" s="564"/>
      <c r="BW332" s="564"/>
      <c r="BX332" s="564"/>
      <c r="BY332" s="564"/>
    </row>
    <row r="333" spans="1:77" ht="12" thickBot="1">
      <c r="A333" s="596" t="s">
        <v>1507</v>
      </c>
      <c r="B333" s="541" t="s">
        <v>197</v>
      </c>
      <c r="C333" s="541" t="s">
        <v>198</v>
      </c>
      <c r="D333" s="542" t="s">
        <v>443</v>
      </c>
      <c r="E333" s="549">
        <f t="shared" si="59"/>
        <v>0</v>
      </c>
      <c r="F333" s="988">
        <f t="shared" si="64"/>
        <v>0</v>
      </c>
      <c r="G333" s="988">
        <f t="shared" si="64"/>
        <v>0</v>
      </c>
      <c r="H333" s="988">
        <f t="shared" si="64"/>
        <v>0</v>
      </c>
      <c r="I333" s="988">
        <f t="shared" si="64"/>
        <v>0</v>
      </c>
      <c r="J333" s="988">
        <f t="shared" si="64"/>
        <v>0</v>
      </c>
      <c r="K333" s="988">
        <f t="shared" si="64"/>
        <v>0</v>
      </c>
      <c r="L333" s="988">
        <f t="shared" si="64"/>
        <v>0</v>
      </c>
      <c r="M333" s="988">
        <f t="shared" si="64"/>
        <v>0</v>
      </c>
      <c r="N333" s="988">
        <f t="shared" si="64"/>
        <v>0</v>
      </c>
      <c r="O333" s="988">
        <f t="shared" si="64"/>
        <v>0</v>
      </c>
      <c r="P333" s="988">
        <f t="shared" si="64"/>
        <v>0</v>
      </c>
      <c r="Q333" s="988"/>
      <c r="R333" s="988">
        <f t="shared" si="61"/>
        <v>0</v>
      </c>
      <c r="S333" s="546">
        <f t="shared" si="55"/>
        <v>0</v>
      </c>
      <c r="T333" s="547">
        <f t="shared" si="56"/>
        <v>0</v>
      </c>
      <c r="U333" s="546">
        <f t="shared" si="54"/>
        <v>0</v>
      </c>
      <c r="W333" s="350">
        <f t="shared" si="57"/>
        <v>0</v>
      </c>
      <c r="X333" s="285">
        <f t="shared" si="58"/>
        <v>0</v>
      </c>
      <c r="Y333" s="564"/>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row>
    <row r="334" spans="1:77" ht="12" thickBot="1">
      <c r="A334" s="596" t="s">
        <v>1507</v>
      </c>
      <c r="B334" s="541" t="s">
        <v>1055</v>
      </c>
      <c r="C334" s="541" t="s">
        <v>1049</v>
      </c>
      <c r="D334" s="542" t="s">
        <v>1146</v>
      </c>
      <c r="E334" s="549">
        <f t="shared" si="59"/>
        <v>0</v>
      </c>
      <c r="F334" s="988">
        <f t="shared" si="64"/>
        <v>0</v>
      </c>
      <c r="G334" s="988">
        <f t="shared" si="64"/>
        <v>0</v>
      </c>
      <c r="H334" s="988">
        <f t="shared" si="64"/>
        <v>0</v>
      </c>
      <c r="I334" s="988">
        <f t="shared" si="64"/>
        <v>0</v>
      </c>
      <c r="J334" s="988">
        <f t="shared" si="64"/>
        <v>0</v>
      </c>
      <c r="K334" s="988">
        <f t="shared" si="64"/>
        <v>0</v>
      </c>
      <c r="L334" s="988">
        <f t="shared" si="64"/>
        <v>0</v>
      </c>
      <c r="M334" s="988">
        <f t="shared" si="64"/>
        <v>0</v>
      </c>
      <c r="N334" s="988">
        <f t="shared" si="64"/>
        <v>0</v>
      </c>
      <c r="O334" s="988">
        <f t="shared" si="64"/>
        <v>0</v>
      </c>
      <c r="P334" s="988">
        <f t="shared" si="64"/>
        <v>0</v>
      </c>
      <c r="Q334" s="988"/>
      <c r="R334" s="988">
        <f t="shared" si="61"/>
        <v>0</v>
      </c>
      <c r="S334" s="546">
        <f t="shared" si="55"/>
        <v>0</v>
      </c>
      <c r="T334" s="547">
        <f t="shared" si="56"/>
        <v>0</v>
      </c>
      <c r="U334" s="546">
        <f t="shared" si="54"/>
        <v>0</v>
      </c>
      <c r="W334" s="350">
        <f t="shared" si="57"/>
        <v>0</v>
      </c>
      <c r="X334" s="285">
        <f t="shared" si="58"/>
        <v>0</v>
      </c>
      <c r="Y334" s="564"/>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row>
    <row r="335" spans="1:77" ht="12" thickBot="1">
      <c r="A335" s="596" t="s">
        <v>1507</v>
      </c>
      <c r="B335" s="541" t="s">
        <v>174</v>
      </c>
      <c r="C335" s="541" t="s">
        <v>106</v>
      </c>
      <c r="D335" s="542" t="s">
        <v>14</v>
      </c>
      <c r="E335" s="549">
        <f t="shared" si="59"/>
        <v>556780635</v>
      </c>
      <c r="F335" s="988">
        <f t="shared" ref="F335:P341" si="65">ROUND(SUMIFS(F$1721:F$1901,$A$1721:$A$1901,$A335,$B$1721:$B$1901,$B335),0)</f>
        <v>4633289</v>
      </c>
      <c r="G335" s="988">
        <f t="shared" si="65"/>
        <v>25261137</v>
      </c>
      <c r="H335" s="988">
        <f t="shared" si="65"/>
        <v>16102096</v>
      </c>
      <c r="I335" s="988">
        <f t="shared" si="65"/>
        <v>1753859</v>
      </c>
      <c r="J335" s="988">
        <f t="shared" si="65"/>
        <v>0</v>
      </c>
      <c r="K335" s="988">
        <f t="shared" si="65"/>
        <v>0</v>
      </c>
      <c r="L335" s="988">
        <f t="shared" si="65"/>
        <v>684189</v>
      </c>
      <c r="M335" s="988">
        <f t="shared" si="65"/>
        <v>1354650</v>
      </c>
      <c r="N335" s="988">
        <f t="shared" si="65"/>
        <v>3208726</v>
      </c>
      <c r="O335" s="988">
        <f t="shared" si="65"/>
        <v>0</v>
      </c>
      <c r="P335" s="988">
        <f t="shared" si="65"/>
        <v>0</v>
      </c>
      <c r="Q335" s="988"/>
      <c r="R335" s="988">
        <f t="shared" si="61"/>
        <v>52997946</v>
      </c>
      <c r="S335" s="546">
        <f t="shared" si="55"/>
        <v>43117092</v>
      </c>
      <c r="T335" s="547">
        <f t="shared" si="56"/>
        <v>0</v>
      </c>
      <c r="U335" s="546">
        <f t="shared" si="54"/>
        <v>3208726</v>
      </c>
      <c r="W335" s="350">
        <f t="shared" si="57"/>
        <v>52997946</v>
      </c>
      <c r="X335" s="285">
        <f t="shared" si="58"/>
        <v>0</v>
      </c>
      <c r="Y335" s="564"/>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row>
    <row r="336" spans="1:77" ht="12" thickBot="1">
      <c r="A336" s="596" t="s">
        <v>1507</v>
      </c>
      <c r="B336" s="541" t="s">
        <v>175</v>
      </c>
      <c r="C336" s="541" t="s">
        <v>199</v>
      </c>
      <c r="D336" s="542" t="s">
        <v>14</v>
      </c>
      <c r="E336" s="549">
        <f t="shared" si="59"/>
        <v>0</v>
      </c>
      <c r="F336" s="988">
        <f t="shared" si="65"/>
        <v>0</v>
      </c>
      <c r="G336" s="988">
        <f t="shared" si="65"/>
        <v>0</v>
      </c>
      <c r="H336" s="988">
        <f t="shared" si="65"/>
        <v>0</v>
      </c>
      <c r="I336" s="988">
        <f t="shared" si="65"/>
        <v>0</v>
      </c>
      <c r="J336" s="988">
        <f t="shared" si="65"/>
        <v>0</v>
      </c>
      <c r="K336" s="988">
        <f t="shared" si="65"/>
        <v>0</v>
      </c>
      <c r="L336" s="988">
        <f t="shared" si="65"/>
        <v>0</v>
      </c>
      <c r="M336" s="988">
        <f t="shared" si="65"/>
        <v>0</v>
      </c>
      <c r="N336" s="988">
        <f t="shared" si="65"/>
        <v>0</v>
      </c>
      <c r="O336" s="988">
        <f t="shared" si="65"/>
        <v>0</v>
      </c>
      <c r="P336" s="988">
        <f t="shared" si="65"/>
        <v>0</v>
      </c>
      <c r="Q336" s="988"/>
      <c r="R336" s="988">
        <f t="shared" si="61"/>
        <v>0</v>
      </c>
      <c r="S336" s="546">
        <f t="shared" si="55"/>
        <v>0</v>
      </c>
      <c r="T336" s="547">
        <f t="shared" si="56"/>
        <v>0</v>
      </c>
      <c r="U336" s="546">
        <f t="shared" si="54"/>
        <v>0</v>
      </c>
      <c r="W336" s="350">
        <f t="shared" si="57"/>
        <v>0</v>
      </c>
      <c r="X336" s="285">
        <f t="shared" si="58"/>
        <v>0</v>
      </c>
      <c r="Y336" s="564"/>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row>
    <row r="337" spans="1:77" ht="12" thickBot="1">
      <c r="A337" s="596" t="s">
        <v>1507</v>
      </c>
      <c r="B337" s="541" t="s">
        <v>176</v>
      </c>
      <c r="C337" s="541" t="s">
        <v>200</v>
      </c>
      <c r="D337" s="542" t="s">
        <v>207</v>
      </c>
      <c r="E337" s="549">
        <f t="shared" si="59"/>
        <v>0</v>
      </c>
      <c r="F337" s="988">
        <f t="shared" si="65"/>
        <v>0</v>
      </c>
      <c r="G337" s="988">
        <f t="shared" si="65"/>
        <v>0</v>
      </c>
      <c r="H337" s="988">
        <f t="shared" si="65"/>
        <v>0</v>
      </c>
      <c r="I337" s="988">
        <f t="shared" si="65"/>
        <v>0</v>
      </c>
      <c r="J337" s="988">
        <f t="shared" si="65"/>
        <v>0</v>
      </c>
      <c r="K337" s="988">
        <f t="shared" si="65"/>
        <v>0</v>
      </c>
      <c r="L337" s="988">
        <f t="shared" si="65"/>
        <v>0</v>
      </c>
      <c r="M337" s="988">
        <f t="shared" si="65"/>
        <v>0</v>
      </c>
      <c r="N337" s="988">
        <f t="shared" si="65"/>
        <v>0</v>
      </c>
      <c r="O337" s="988">
        <f t="shared" si="65"/>
        <v>0</v>
      </c>
      <c r="P337" s="988">
        <f t="shared" si="65"/>
        <v>0</v>
      </c>
      <c r="Q337" s="988"/>
      <c r="R337" s="988">
        <f t="shared" si="61"/>
        <v>0</v>
      </c>
      <c r="S337" s="546">
        <f t="shared" si="55"/>
        <v>0</v>
      </c>
      <c r="T337" s="547">
        <f t="shared" si="56"/>
        <v>0</v>
      </c>
      <c r="U337" s="546">
        <f t="shared" si="54"/>
        <v>0</v>
      </c>
      <c r="W337" s="350">
        <f t="shared" si="57"/>
        <v>0</v>
      </c>
      <c r="X337" s="285">
        <f t="shared" si="58"/>
        <v>0</v>
      </c>
      <c r="Y337" s="564"/>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row>
    <row r="338" spans="1:77" ht="12" thickBot="1">
      <c r="A338" s="596" t="s">
        <v>1507</v>
      </c>
      <c r="B338" s="541" t="s">
        <v>458</v>
      </c>
      <c r="C338" s="541" t="s">
        <v>1367</v>
      </c>
      <c r="D338" s="542" t="s">
        <v>206</v>
      </c>
      <c r="E338" s="549">
        <f t="shared" si="59"/>
        <v>0</v>
      </c>
      <c r="F338" s="988">
        <f t="shared" si="65"/>
        <v>0</v>
      </c>
      <c r="G338" s="988">
        <f t="shared" si="65"/>
        <v>0</v>
      </c>
      <c r="H338" s="988">
        <f t="shared" si="65"/>
        <v>0</v>
      </c>
      <c r="I338" s="988">
        <f t="shared" si="65"/>
        <v>0</v>
      </c>
      <c r="J338" s="988">
        <f t="shared" si="65"/>
        <v>0</v>
      </c>
      <c r="K338" s="988">
        <f t="shared" si="65"/>
        <v>0</v>
      </c>
      <c r="L338" s="988">
        <f t="shared" si="65"/>
        <v>0</v>
      </c>
      <c r="M338" s="988">
        <f t="shared" si="65"/>
        <v>0</v>
      </c>
      <c r="N338" s="988">
        <f t="shared" si="65"/>
        <v>0</v>
      </c>
      <c r="O338" s="988">
        <f t="shared" si="65"/>
        <v>0</v>
      </c>
      <c r="P338" s="988">
        <f t="shared" si="65"/>
        <v>0</v>
      </c>
      <c r="Q338" s="988"/>
      <c r="R338" s="988">
        <f t="shared" si="61"/>
        <v>0</v>
      </c>
      <c r="S338" s="546">
        <f t="shared" si="55"/>
        <v>0</v>
      </c>
      <c r="T338" s="547">
        <f t="shared" si="56"/>
        <v>0</v>
      </c>
      <c r="U338" s="546">
        <f t="shared" si="54"/>
        <v>0</v>
      </c>
      <c r="W338" s="350">
        <f t="shared" si="57"/>
        <v>0</v>
      </c>
      <c r="X338" s="285">
        <f t="shared" si="58"/>
        <v>0</v>
      </c>
      <c r="Y338" s="564"/>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row>
    <row r="339" spans="1:77" ht="12" thickBot="1">
      <c r="A339" s="596" t="s">
        <v>1507</v>
      </c>
      <c r="B339" s="541" t="s">
        <v>177</v>
      </c>
      <c r="C339" s="541" t="s">
        <v>201</v>
      </c>
      <c r="D339" s="542" t="s">
        <v>16</v>
      </c>
      <c r="E339" s="549">
        <f t="shared" si="59"/>
        <v>0</v>
      </c>
      <c r="F339" s="988">
        <f t="shared" si="65"/>
        <v>0</v>
      </c>
      <c r="G339" s="988">
        <f t="shared" si="65"/>
        <v>0</v>
      </c>
      <c r="H339" s="988">
        <f t="shared" si="65"/>
        <v>0</v>
      </c>
      <c r="I339" s="988">
        <f t="shared" si="65"/>
        <v>0</v>
      </c>
      <c r="J339" s="988">
        <f t="shared" si="65"/>
        <v>0</v>
      </c>
      <c r="K339" s="988">
        <f t="shared" si="65"/>
        <v>0</v>
      </c>
      <c r="L339" s="988">
        <f t="shared" si="65"/>
        <v>0</v>
      </c>
      <c r="M339" s="988">
        <f t="shared" si="65"/>
        <v>0</v>
      </c>
      <c r="N339" s="988">
        <f t="shared" si="65"/>
        <v>0</v>
      </c>
      <c r="O339" s="988">
        <f t="shared" si="65"/>
        <v>0</v>
      </c>
      <c r="P339" s="988">
        <f t="shared" si="65"/>
        <v>0</v>
      </c>
      <c r="Q339" s="988"/>
      <c r="R339" s="988">
        <f t="shared" si="61"/>
        <v>0</v>
      </c>
      <c r="S339" s="546">
        <f t="shared" si="55"/>
        <v>0</v>
      </c>
      <c r="T339" s="547">
        <f t="shared" si="56"/>
        <v>0</v>
      </c>
      <c r="U339" s="546">
        <f t="shared" si="54"/>
        <v>0</v>
      </c>
      <c r="W339" s="350">
        <f t="shared" si="57"/>
        <v>0</v>
      </c>
      <c r="X339" s="285">
        <f t="shared" si="58"/>
        <v>0</v>
      </c>
      <c r="Y339" s="564"/>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row>
    <row r="340" spans="1:77" ht="12" thickBot="1">
      <c r="A340" s="596" t="s">
        <v>1507</v>
      </c>
      <c r="B340" s="541" t="s">
        <v>178</v>
      </c>
      <c r="C340" s="541" t="s">
        <v>202</v>
      </c>
      <c r="D340" s="542" t="s">
        <v>14</v>
      </c>
      <c r="E340" s="549">
        <f t="shared" si="59"/>
        <v>0</v>
      </c>
      <c r="F340" s="988">
        <f t="shared" si="65"/>
        <v>0</v>
      </c>
      <c r="G340" s="988">
        <f t="shared" si="65"/>
        <v>0</v>
      </c>
      <c r="H340" s="988">
        <f t="shared" si="65"/>
        <v>0</v>
      </c>
      <c r="I340" s="988">
        <f t="shared" si="65"/>
        <v>0</v>
      </c>
      <c r="J340" s="988">
        <f t="shared" si="65"/>
        <v>0</v>
      </c>
      <c r="K340" s="988">
        <f t="shared" si="65"/>
        <v>0</v>
      </c>
      <c r="L340" s="988">
        <f t="shared" si="65"/>
        <v>0</v>
      </c>
      <c r="M340" s="988">
        <f t="shared" si="65"/>
        <v>0</v>
      </c>
      <c r="N340" s="988">
        <f t="shared" si="65"/>
        <v>0</v>
      </c>
      <c r="O340" s="988">
        <f t="shared" si="65"/>
        <v>0</v>
      </c>
      <c r="P340" s="988">
        <f t="shared" si="65"/>
        <v>0</v>
      </c>
      <c r="Q340" s="988"/>
      <c r="R340" s="988">
        <f t="shared" si="61"/>
        <v>0</v>
      </c>
      <c r="S340" s="546">
        <f t="shared" si="55"/>
        <v>0</v>
      </c>
      <c r="T340" s="547">
        <f t="shared" si="56"/>
        <v>0</v>
      </c>
      <c r="U340" s="546">
        <f t="shared" si="54"/>
        <v>0</v>
      </c>
      <c r="W340" s="350">
        <f t="shared" si="57"/>
        <v>0</v>
      </c>
      <c r="X340" s="285">
        <f t="shared" si="58"/>
        <v>0</v>
      </c>
      <c r="Y340" s="564"/>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564"/>
      <c r="AX340" s="564"/>
      <c r="AY340" s="564"/>
      <c r="AZ340" s="564"/>
      <c r="BA340" s="564"/>
      <c r="BB340" s="564"/>
      <c r="BC340" s="564"/>
      <c r="BD340" s="564"/>
      <c r="BE340" s="564"/>
      <c r="BF340" s="564"/>
      <c r="BG340" s="564"/>
      <c r="BH340" s="564"/>
      <c r="BI340" s="564"/>
      <c r="BJ340" s="564"/>
      <c r="BK340" s="564"/>
      <c r="BL340" s="564"/>
      <c r="BM340" s="564"/>
      <c r="BN340" s="564"/>
      <c r="BO340" s="564"/>
      <c r="BP340" s="564"/>
      <c r="BQ340" s="564"/>
      <c r="BR340" s="564"/>
      <c r="BS340" s="564"/>
      <c r="BT340" s="564"/>
      <c r="BU340" s="564"/>
      <c r="BV340" s="564"/>
      <c r="BW340" s="564"/>
      <c r="BX340" s="564"/>
      <c r="BY340" s="564"/>
    </row>
    <row r="341" spans="1:77" ht="12" thickBot="1">
      <c r="A341" s="596" t="s">
        <v>1507</v>
      </c>
      <c r="B341" s="541" t="s">
        <v>73</v>
      </c>
      <c r="C341" s="541" t="s">
        <v>1511</v>
      </c>
      <c r="D341" s="542"/>
      <c r="E341" s="549">
        <f t="shared" si="59"/>
        <v>9079099</v>
      </c>
      <c r="F341" s="988">
        <f t="shared" si="65"/>
        <v>0</v>
      </c>
      <c r="G341" s="988">
        <f t="shared" si="65"/>
        <v>1873617</v>
      </c>
      <c r="H341" s="988">
        <f t="shared" si="65"/>
        <v>262568</v>
      </c>
      <c r="I341" s="988">
        <f t="shared" si="65"/>
        <v>0</v>
      </c>
      <c r="J341" s="988">
        <f t="shared" si="65"/>
        <v>0</v>
      </c>
      <c r="K341" s="988">
        <f t="shared" si="65"/>
        <v>0</v>
      </c>
      <c r="L341" s="988">
        <f t="shared" si="65"/>
        <v>0</v>
      </c>
      <c r="M341" s="988">
        <f t="shared" si="65"/>
        <v>22089</v>
      </c>
      <c r="N341" s="988">
        <f t="shared" si="65"/>
        <v>52323</v>
      </c>
      <c r="O341" s="988">
        <f t="shared" si="65"/>
        <v>0</v>
      </c>
      <c r="P341" s="988">
        <f t="shared" si="65"/>
        <v>0</v>
      </c>
      <c r="Q341" s="988"/>
      <c r="R341" s="988">
        <f t="shared" si="61"/>
        <v>2210597</v>
      </c>
      <c r="S341" s="546">
        <f t="shared" si="55"/>
        <v>2136185</v>
      </c>
      <c r="T341" s="547">
        <f t="shared" si="56"/>
        <v>0</v>
      </c>
      <c r="U341" s="546">
        <f t="shared" si="54"/>
        <v>52323</v>
      </c>
      <c r="W341" s="350">
        <f t="shared" si="57"/>
        <v>2210597</v>
      </c>
      <c r="X341" s="285">
        <f t="shared" si="58"/>
        <v>0</v>
      </c>
      <c r="Y341" s="564"/>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564"/>
      <c r="AX341" s="564"/>
      <c r="AY341" s="564"/>
      <c r="AZ341" s="564"/>
      <c r="BA341" s="564"/>
      <c r="BB341" s="564"/>
      <c r="BC341" s="564"/>
      <c r="BD341" s="564"/>
      <c r="BE341" s="564"/>
      <c r="BF341" s="564"/>
      <c r="BG341" s="564"/>
      <c r="BH341" s="564"/>
      <c r="BI341" s="564"/>
      <c r="BJ341" s="564"/>
      <c r="BK341" s="564"/>
      <c r="BL341" s="564"/>
      <c r="BM341" s="564"/>
      <c r="BN341" s="564"/>
      <c r="BO341" s="564"/>
      <c r="BP341" s="564"/>
      <c r="BQ341" s="564"/>
      <c r="BR341" s="564"/>
      <c r="BS341" s="564"/>
      <c r="BT341" s="564"/>
      <c r="BU341" s="564"/>
      <c r="BV341" s="564"/>
      <c r="BW341" s="564"/>
      <c r="BX341" s="564"/>
      <c r="BY341" s="564"/>
    </row>
    <row r="342" spans="1:77" ht="12" thickBot="1">
      <c r="A342" s="596" t="s">
        <v>1507</v>
      </c>
      <c r="B342" s="541" t="s">
        <v>323</v>
      </c>
      <c r="C342" s="541" t="s">
        <v>1056</v>
      </c>
      <c r="D342" s="552" t="s">
        <v>1139</v>
      </c>
      <c r="E342" s="543"/>
      <c r="F342" s="545"/>
      <c r="G342" s="544"/>
      <c r="H342" s="545"/>
      <c r="I342" s="545"/>
      <c r="J342" s="545"/>
      <c r="K342" s="545"/>
      <c r="L342" s="545"/>
      <c r="M342" s="544"/>
      <c r="N342" s="544"/>
      <c r="O342" s="545"/>
      <c r="P342" s="545"/>
      <c r="Q342" s="544"/>
      <c r="R342" s="544"/>
      <c r="S342" s="546">
        <f t="shared" si="55"/>
        <v>0</v>
      </c>
      <c r="T342" s="547">
        <f t="shared" si="56"/>
        <v>0</v>
      </c>
      <c r="U342" s="546">
        <f t="shared" si="54"/>
        <v>0</v>
      </c>
      <c r="W342" s="350">
        <f t="shared" si="57"/>
        <v>0</v>
      </c>
      <c r="X342" s="285">
        <f t="shared" si="58"/>
        <v>0</v>
      </c>
      <c r="Y342" s="564"/>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564"/>
      <c r="AX342" s="564"/>
      <c r="AY342" s="564"/>
      <c r="AZ342" s="564"/>
      <c r="BA342" s="564"/>
      <c r="BB342" s="564"/>
      <c r="BC342" s="564"/>
      <c r="BD342" s="564"/>
      <c r="BE342" s="564"/>
      <c r="BF342" s="564"/>
      <c r="BG342" s="564"/>
      <c r="BH342" s="564"/>
      <c r="BI342" s="564"/>
      <c r="BJ342" s="564"/>
      <c r="BK342" s="564"/>
      <c r="BL342" s="564"/>
      <c r="BM342" s="564"/>
      <c r="BN342" s="564"/>
      <c r="BO342" s="564"/>
      <c r="BP342" s="564"/>
      <c r="BQ342" s="564"/>
      <c r="BR342" s="564"/>
      <c r="BS342" s="564"/>
      <c r="BT342" s="564"/>
      <c r="BU342" s="564"/>
      <c r="BV342" s="564"/>
      <c r="BW342" s="564"/>
      <c r="BX342" s="564"/>
      <c r="BY342" s="564"/>
    </row>
    <row r="343" spans="1:77" ht="12" thickBot="1">
      <c r="A343" s="596" t="s">
        <v>1507</v>
      </c>
      <c r="B343" s="541" t="s">
        <v>328</v>
      </c>
      <c r="C343" s="541" t="s">
        <v>1057</v>
      </c>
      <c r="D343" s="552" t="s">
        <v>1139</v>
      </c>
      <c r="E343" s="549"/>
      <c r="F343" s="551"/>
      <c r="G343" s="550"/>
      <c r="H343" s="551"/>
      <c r="I343" s="551"/>
      <c r="J343" s="551"/>
      <c r="K343" s="551"/>
      <c r="L343" s="551"/>
      <c r="M343" s="550"/>
      <c r="N343" s="550"/>
      <c r="O343" s="551"/>
      <c r="P343" s="551"/>
      <c r="Q343" s="550"/>
      <c r="R343" s="550"/>
      <c r="S343" s="546">
        <f t="shared" si="55"/>
        <v>0</v>
      </c>
      <c r="T343" s="547">
        <f t="shared" si="56"/>
        <v>0</v>
      </c>
      <c r="U343" s="546">
        <f t="shared" si="54"/>
        <v>0</v>
      </c>
      <c r="W343" s="350">
        <f t="shared" si="57"/>
        <v>0</v>
      </c>
      <c r="X343" s="285">
        <f t="shared" si="58"/>
        <v>0</v>
      </c>
      <c r="Y343" s="564"/>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564"/>
      <c r="AX343" s="564"/>
      <c r="AY343" s="564"/>
      <c r="AZ343" s="564"/>
      <c r="BA343" s="564"/>
      <c r="BB343" s="564"/>
      <c r="BC343" s="564"/>
      <c r="BD343" s="564"/>
      <c r="BE343" s="564"/>
      <c r="BF343" s="564"/>
      <c r="BG343" s="564"/>
      <c r="BH343" s="564"/>
      <c r="BI343" s="564"/>
      <c r="BJ343" s="564"/>
      <c r="BK343" s="564"/>
      <c r="BL343" s="564"/>
      <c r="BM343" s="564"/>
      <c r="BN343" s="564"/>
      <c r="BO343" s="564"/>
      <c r="BP343" s="564"/>
      <c r="BQ343" s="564"/>
      <c r="BR343" s="564"/>
      <c r="BS343" s="564"/>
      <c r="BT343" s="564"/>
      <c r="BU343" s="564"/>
      <c r="BV343" s="564"/>
      <c r="BW343" s="564"/>
      <c r="BX343" s="564"/>
      <c r="BY343" s="564"/>
    </row>
    <row r="344" spans="1:77" ht="12" thickBot="1">
      <c r="A344" s="596" t="s">
        <v>1507</v>
      </c>
      <c r="B344" s="541" t="s">
        <v>331</v>
      </c>
      <c r="C344" s="541" t="s">
        <v>1058</v>
      </c>
      <c r="D344" s="552" t="s">
        <v>1139</v>
      </c>
      <c r="E344" s="543"/>
      <c r="F344" s="545"/>
      <c r="G344" s="544"/>
      <c r="H344" s="545"/>
      <c r="I344" s="545"/>
      <c r="J344" s="545"/>
      <c r="K344" s="545"/>
      <c r="L344" s="545"/>
      <c r="M344" s="544"/>
      <c r="N344" s="544"/>
      <c r="O344" s="545"/>
      <c r="P344" s="545"/>
      <c r="Q344" s="544"/>
      <c r="R344" s="544"/>
      <c r="S344" s="546">
        <f t="shared" si="55"/>
        <v>0</v>
      </c>
      <c r="T344" s="547">
        <f t="shared" si="56"/>
        <v>0</v>
      </c>
      <c r="U344" s="546">
        <f t="shared" si="54"/>
        <v>0</v>
      </c>
      <c r="W344" s="350">
        <f t="shared" si="57"/>
        <v>0</v>
      </c>
      <c r="X344" s="285">
        <f t="shared" si="58"/>
        <v>0</v>
      </c>
      <c r="Y344" s="564"/>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564"/>
      <c r="AX344" s="564"/>
      <c r="AY344" s="564"/>
      <c r="AZ344" s="564"/>
      <c r="BA344" s="564"/>
      <c r="BB344" s="564"/>
      <c r="BC344" s="564"/>
      <c r="BD344" s="564"/>
      <c r="BE344" s="564"/>
      <c r="BF344" s="564"/>
      <c r="BG344" s="564"/>
      <c r="BH344" s="564"/>
      <c r="BI344" s="564"/>
      <c r="BJ344" s="564"/>
      <c r="BK344" s="564"/>
      <c r="BL344" s="564"/>
      <c r="BM344" s="564"/>
      <c r="BN344" s="564"/>
      <c r="BO344" s="564"/>
      <c r="BP344" s="564"/>
      <c r="BQ344" s="564"/>
      <c r="BR344" s="564"/>
      <c r="BS344" s="564"/>
      <c r="BT344" s="564"/>
      <c r="BU344" s="564"/>
      <c r="BV344" s="564"/>
      <c r="BW344" s="564"/>
      <c r="BX344" s="564"/>
      <c r="BY344" s="564"/>
    </row>
    <row r="345" spans="1:77" ht="12" thickBot="1">
      <c r="A345" s="596" t="s">
        <v>1507</v>
      </c>
      <c r="B345" s="541" t="s">
        <v>332</v>
      </c>
      <c r="C345" s="541" t="s">
        <v>1059</v>
      </c>
      <c r="D345" s="552" t="s">
        <v>1139</v>
      </c>
      <c r="E345" s="549"/>
      <c r="F345" s="551"/>
      <c r="G345" s="550"/>
      <c r="H345" s="551"/>
      <c r="I345" s="551"/>
      <c r="J345" s="551"/>
      <c r="K345" s="551"/>
      <c r="L345" s="551"/>
      <c r="M345" s="550"/>
      <c r="N345" s="550"/>
      <c r="O345" s="551"/>
      <c r="P345" s="551"/>
      <c r="Q345" s="550"/>
      <c r="R345" s="550"/>
      <c r="S345" s="546">
        <f t="shared" si="55"/>
        <v>0</v>
      </c>
      <c r="T345" s="547">
        <f t="shared" si="56"/>
        <v>0</v>
      </c>
      <c r="U345" s="546">
        <f t="shared" si="54"/>
        <v>0</v>
      </c>
      <c r="W345" s="350">
        <f t="shared" si="57"/>
        <v>0</v>
      </c>
      <c r="X345" s="285">
        <f t="shared" si="58"/>
        <v>0</v>
      </c>
      <c r="Y345" s="564"/>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564"/>
      <c r="AX345" s="564"/>
      <c r="AY345" s="564"/>
      <c r="AZ345" s="564"/>
      <c r="BA345" s="564"/>
      <c r="BB345" s="564"/>
      <c r="BC345" s="564"/>
      <c r="BD345" s="564"/>
      <c r="BE345" s="564"/>
      <c r="BF345" s="564"/>
      <c r="BG345" s="564"/>
      <c r="BH345" s="564"/>
      <c r="BI345" s="564"/>
      <c r="BJ345" s="564"/>
      <c r="BK345" s="564"/>
      <c r="BL345" s="564"/>
      <c r="BM345" s="564"/>
      <c r="BN345" s="564"/>
      <c r="BO345" s="564"/>
      <c r="BP345" s="564"/>
      <c r="BQ345" s="564"/>
      <c r="BR345" s="564"/>
      <c r="BS345" s="564"/>
      <c r="BT345" s="564"/>
      <c r="BU345" s="564"/>
      <c r="BV345" s="564"/>
      <c r="BW345" s="564"/>
      <c r="BX345" s="564"/>
      <c r="BY345" s="564"/>
    </row>
    <row r="346" spans="1:77" ht="12" thickBot="1">
      <c r="A346" s="596" t="s">
        <v>1507</v>
      </c>
      <c r="B346" s="541" t="s">
        <v>333</v>
      </c>
      <c r="C346" s="541" t="s">
        <v>1060</v>
      </c>
      <c r="D346" s="552" t="s">
        <v>1139</v>
      </c>
      <c r="E346" s="543"/>
      <c r="F346" s="545"/>
      <c r="G346" s="544"/>
      <c r="H346" s="545"/>
      <c r="I346" s="545"/>
      <c r="J346" s="545"/>
      <c r="K346" s="545"/>
      <c r="L346" s="545"/>
      <c r="M346" s="544"/>
      <c r="N346" s="544"/>
      <c r="O346" s="545"/>
      <c r="P346" s="545"/>
      <c r="Q346" s="544"/>
      <c r="R346" s="544"/>
      <c r="S346" s="546">
        <f t="shared" si="55"/>
        <v>0</v>
      </c>
      <c r="T346" s="547">
        <f t="shared" si="56"/>
        <v>0</v>
      </c>
      <c r="U346" s="546">
        <f t="shared" si="54"/>
        <v>0</v>
      </c>
      <c r="W346" s="350">
        <f t="shared" si="57"/>
        <v>0</v>
      </c>
      <c r="X346" s="285">
        <f t="shared" si="58"/>
        <v>0</v>
      </c>
      <c r="Y346" s="564"/>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564"/>
      <c r="AX346" s="564"/>
      <c r="AY346" s="564"/>
      <c r="AZ346" s="564"/>
      <c r="BA346" s="564"/>
      <c r="BB346" s="564"/>
      <c r="BC346" s="564"/>
      <c r="BD346" s="564"/>
      <c r="BE346" s="564"/>
      <c r="BF346" s="564"/>
      <c r="BG346" s="564"/>
      <c r="BH346" s="564"/>
      <c r="BI346" s="564"/>
      <c r="BJ346" s="564"/>
      <c r="BK346" s="564"/>
      <c r="BL346" s="564"/>
      <c r="BM346" s="564"/>
      <c r="BN346" s="564"/>
      <c r="BO346" s="564"/>
      <c r="BP346" s="564"/>
      <c r="BQ346" s="564"/>
      <c r="BR346" s="564"/>
      <c r="BS346" s="564"/>
      <c r="BT346" s="564"/>
      <c r="BU346" s="564"/>
      <c r="BV346" s="564"/>
      <c r="BW346" s="564"/>
      <c r="BX346" s="564"/>
      <c r="BY346" s="564"/>
    </row>
    <row r="347" spans="1:77" ht="12" thickBot="1">
      <c r="A347" s="596" t="s">
        <v>1507</v>
      </c>
      <c r="B347" s="541" t="s">
        <v>335</v>
      </c>
      <c r="C347" s="541" t="s">
        <v>1061</v>
      </c>
      <c r="D347" s="552" t="s">
        <v>1139</v>
      </c>
      <c r="E347" s="549"/>
      <c r="F347" s="551"/>
      <c r="G347" s="550"/>
      <c r="H347" s="551"/>
      <c r="I347" s="551"/>
      <c r="J347" s="551"/>
      <c r="K347" s="551"/>
      <c r="L347" s="551"/>
      <c r="M347" s="550"/>
      <c r="N347" s="550"/>
      <c r="O347" s="551"/>
      <c r="P347" s="551"/>
      <c r="Q347" s="550"/>
      <c r="R347" s="550"/>
      <c r="S347" s="546">
        <f t="shared" si="55"/>
        <v>0</v>
      </c>
      <c r="T347" s="547">
        <f t="shared" si="56"/>
        <v>0</v>
      </c>
      <c r="U347" s="546">
        <f t="shared" si="54"/>
        <v>0</v>
      </c>
      <c r="W347" s="350">
        <f t="shared" si="57"/>
        <v>0</v>
      </c>
      <c r="X347" s="285">
        <f t="shared" si="58"/>
        <v>0</v>
      </c>
      <c r="Y347" s="564"/>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564"/>
      <c r="AW347" s="564"/>
      <c r="AX347" s="564"/>
      <c r="AY347" s="564"/>
      <c r="AZ347" s="564"/>
      <c r="BA347" s="564"/>
      <c r="BB347" s="564"/>
      <c r="BC347" s="564"/>
      <c r="BD347" s="564"/>
      <c r="BE347" s="564"/>
      <c r="BF347" s="564"/>
      <c r="BG347" s="564"/>
      <c r="BH347" s="564"/>
      <c r="BI347" s="564"/>
      <c r="BJ347" s="564"/>
      <c r="BK347" s="564"/>
      <c r="BL347" s="564"/>
      <c r="BM347" s="564"/>
      <c r="BN347" s="564"/>
      <c r="BO347" s="564"/>
      <c r="BP347" s="564"/>
      <c r="BQ347" s="564"/>
      <c r="BR347" s="564"/>
      <c r="BS347" s="564"/>
      <c r="BT347" s="564"/>
      <c r="BU347" s="564"/>
      <c r="BV347" s="564"/>
      <c r="BW347" s="564"/>
      <c r="BX347" s="564"/>
      <c r="BY347" s="564"/>
    </row>
    <row r="348" spans="1:77" ht="12" thickBot="1">
      <c r="A348" s="596" t="s">
        <v>1507</v>
      </c>
      <c r="B348" s="541" t="s">
        <v>336</v>
      </c>
      <c r="C348" s="541" t="s">
        <v>1062</v>
      </c>
      <c r="D348" s="552" t="s">
        <v>1139</v>
      </c>
      <c r="E348" s="543"/>
      <c r="F348" s="545"/>
      <c r="G348" s="544"/>
      <c r="H348" s="545"/>
      <c r="I348" s="545"/>
      <c r="J348" s="545"/>
      <c r="K348" s="545"/>
      <c r="L348" s="545"/>
      <c r="M348" s="544"/>
      <c r="N348" s="544"/>
      <c r="O348" s="545"/>
      <c r="P348" s="545"/>
      <c r="Q348" s="544"/>
      <c r="R348" s="544"/>
      <c r="S348" s="546">
        <f t="shared" si="55"/>
        <v>0</v>
      </c>
      <c r="T348" s="547">
        <f t="shared" si="56"/>
        <v>0</v>
      </c>
      <c r="U348" s="546">
        <f t="shared" si="54"/>
        <v>0</v>
      </c>
      <c r="W348" s="350">
        <f t="shared" si="57"/>
        <v>0</v>
      </c>
      <c r="X348" s="285">
        <f t="shared" si="58"/>
        <v>0</v>
      </c>
      <c r="Y348" s="564"/>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564"/>
      <c r="AW348" s="564"/>
      <c r="AX348" s="564"/>
      <c r="AY348" s="564"/>
      <c r="AZ348" s="564"/>
      <c r="BA348" s="564"/>
      <c r="BB348" s="564"/>
      <c r="BC348" s="564"/>
      <c r="BD348" s="564"/>
      <c r="BE348" s="564"/>
      <c r="BF348" s="564"/>
      <c r="BG348" s="564"/>
      <c r="BH348" s="564"/>
      <c r="BI348" s="564"/>
      <c r="BJ348" s="564"/>
      <c r="BK348" s="564"/>
      <c r="BL348" s="564"/>
      <c r="BM348" s="564"/>
      <c r="BN348" s="564"/>
      <c r="BO348" s="564"/>
      <c r="BP348" s="564"/>
      <c r="BQ348" s="564"/>
      <c r="BR348" s="564"/>
      <c r="BS348" s="564"/>
      <c r="BT348" s="564"/>
      <c r="BU348" s="564"/>
      <c r="BV348" s="564"/>
      <c r="BW348" s="564"/>
      <c r="BX348" s="564"/>
      <c r="BY348" s="564"/>
    </row>
    <row r="349" spans="1:77" ht="12" thickBot="1">
      <c r="A349" s="596" t="s">
        <v>1507</v>
      </c>
      <c r="B349" s="541" t="s">
        <v>338</v>
      </c>
      <c r="C349" s="541" t="s">
        <v>1063</v>
      </c>
      <c r="D349" s="552" t="s">
        <v>1139</v>
      </c>
      <c r="E349" s="549"/>
      <c r="F349" s="551"/>
      <c r="G349" s="550"/>
      <c r="H349" s="551"/>
      <c r="I349" s="551"/>
      <c r="J349" s="551"/>
      <c r="K349" s="551"/>
      <c r="L349" s="551"/>
      <c r="M349" s="550"/>
      <c r="N349" s="550"/>
      <c r="O349" s="551"/>
      <c r="P349" s="551"/>
      <c r="Q349" s="550"/>
      <c r="R349" s="550"/>
      <c r="S349" s="546">
        <f t="shared" si="55"/>
        <v>0</v>
      </c>
      <c r="T349" s="547">
        <f t="shared" si="56"/>
        <v>0</v>
      </c>
      <c r="U349" s="546">
        <f t="shared" si="54"/>
        <v>0</v>
      </c>
      <c r="W349" s="350">
        <f t="shared" si="57"/>
        <v>0</v>
      </c>
      <c r="X349" s="285">
        <f t="shared" si="58"/>
        <v>0</v>
      </c>
      <c r="Y349" s="564"/>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564"/>
      <c r="AW349" s="564"/>
      <c r="AX349" s="564"/>
      <c r="AY349" s="564"/>
      <c r="AZ349" s="564"/>
      <c r="BA349" s="564"/>
      <c r="BB349" s="564"/>
      <c r="BC349" s="564"/>
      <c r="BD349" s="564"/>
      <c r="BE349" s="564"/>
      <c r="BF349" s="564"/>
      <c r="BG349" s="564"/>
      <c r="BH349" s="564"/>
      <c r="BI349" s="564"/>
      <c r="BJ349" s="564"/>
      <c r="BK349" s="564"/>
      <c r="BL349" s="564"/>
      <c r="BM349" s="564"/>
      <c r="BN349" s="564"/>
      <c r="BO349" s="564"/>
      <c r="BP349" s="564"/>
      <c r="BQ349" s="564"/>
      <c r="BR349" s="564"/>
      <c r="BS349" s="564"/>
      <c r="BT349" s="564"/>
      <c r="BU349" s="564"/>
      <c r="BV349" s="564"/>
      <c r="BW349" s="564"/>
      <c r="BX349" s="564"/>
      <c r="BY349" s="564"/>
    </row>
    <row r="350" spans="1:77" ht="12" thickBot="1">
      <c r="A350" s="596" t="s">
        <v>1507</v>
      </c>
      <c r="B350" s="541" t="s">
        <v>339</v>
      </c>
      <c r="C350" s="541" t="s">
        <v>1064</v>
      </c>
      <c r="D350" s="552" t="s">
        <v>1139</v>
      </c>
      <c r="E350" s="543"/>
      <c r="F350" s="545"/>
      <c r="G350" s="544"/>
      <c r="H350" s="545"/>
      <c r="I350" s="545"/>
      <c r="J350" s="545"/>
      <c r="K350" s="545"/>
      <c r="L350" s="545"/>
      <c r="M350" s="544"/>
      <c r="N350" s="544"/>
      <c r="O350" s="545"/>
      <c r="P350" s="545"/>
      <c r="Q350" s="544"/>
      <c r="R350" s="544"/>
      <c r="S350" s="546">
        <f t="shared" si="55"/>
        <v>0</v>
      </c>
      <c r="T350" s="547">
        <f t="shared" si="56"/>
        <v>0</v>
      </c>
      <c r="U350" s="546">
        <f t="shared" si="54"/>
        <v>0</v>
      </c>
      <c r="W350" s="350">
        <f t="shared" si="57"/>
        <v>0</v>
      </c>
      <c r="X350" s="285">
        <f t="shared" si="58"/>
        <v>0</v>
      </c>
      <c r="Y350" s="564"/>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564"/>
      <c r="AW350" s="564"/>
      <c r="AX350" s="564"/>
      <c r="AY350" s="564"/>
      <c r="AZ350" s="564"/>
      <c r="BA350" s="564"/>
      <c r="BB350" s="564"/>
      <c r="BC350" s="564"/>
      <c r="BD350" s="564"/>
      <c r="BE350" s="564"/>
      <c r="BF350" s="564"/>
      <c r="BG350" s="564"/>
      <c r="BH350" s="564"/>
      <c r="BI350" s="564"/>
      <c r="BJ350" s="564"/>
      <c r="BK350" s="564"/>
      <c r="BL350" s="564"/>
      <c r="BM350" s="564"/>
      <c r="BN350" s="564"/>
      <c r="BO350" s="564"/>
      <c r="BP350" s="564"/>
      <c r="BQ350" s="564"/>
      <c r="BR350" s="564"/>
      <c r="BS350" s="564"/>
      <c r="BT350" s="564"/>
      <c r="BU350" s="564"/>
      <c r="BV350" s="564"/>
      <c r="BW350" s="564"/>
      <c r="BX350" s="564"/>
      <c r="BY350" s="564"/>
    </row>
    <row r="351" spans="1:77" ht="12" thickBot="1">
      <c r="A351" s="596" t="s">
        <v>1507</v>
      </c>
      <c r="B351" s="541" t="s">
        <v>325</v>
      </c>
      <c r="C351" s="541" t="s">
        <v>1065</v>
      </c>
      <c r="D351" s="552" t="s">
        <v>1139</v>
      </c>
      <c r="E351" s="549"/>
      <c r="F351" s="551"/>
      <c r="G351" s="550"/>
      <c r="H351" s="551"/>
      <c r="I351" s="551"/>
      <c r="J351" s="551"/>
      <c r="K351" s="551"/>
      <c r="L351" s="551"/>
      <c r="M351" s="550"/>
      <c r="N351" s="550"/>
      <c r="O351" s="551"/>
      <c r="P351" s="551"/>
      <c r="Q351" s="550"/>
      <c r="R351" s="550"/>
      <c r="S351" s="546">
        <f t="shared" si="55"/>
        <v>0</v>
      </c>
      <c r="T351" s="547">
        <f t="shared" si="56"/>
        <v>0</v>
      </c>
      <c r="U351" s="546">
        <f t="shared" si="54"/>
        <v>0</v>
      </c>
      <c r="W351" s="350">
        <f t="shared" si="57"/>
        <v>0</v>
      </c>
      <c r="X351" s="285">
        <f t="shared" si="58"/>
        <v>0</v>
      </c>
      <c r="Y351" s="564"/>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564"/>
      <c r="AW351" s="564"/>
      <c r="AX351" s="564"/>
      <c r="AY351" s="564"/>
      <c r="AZ351" s="564"/>
      <c r="BA351" s="564"/>
      <c r="BB351" s="564"/>
      <c r="BC351" s="564"/>
      <c r="BD351" s="564"/>
      <c r="BE351" s="564"/>
      <c r="BF351" s="564"/>
      <c r="BG351" s="564"/>
      <c r="BH351" s="564"/>
      <c r="BI351" s="564"/>
      <c r="BJ351" s="564"/>
      <c r="BK351" s="564"/>
      <c r="BL351" s="564"/>
      <c r="BM351" s="564"/>
      <c r="BN351" s="564"/>
      <c r="BO351" s="564"/>
      <c r="BP351" s="564"/>
      <c r="BQ351" s="564"/>
      <c r="BR351" s="564"/>
      <c r="BS351" s="564"/>
      <c r="BT351" s="564"/>
      <c r="BU351" s="564"/>
      <c r="BV351" s="564"/>
      <c r="BW351" s="564"/>
      <c r="BX351" s="564"/>
      <c r="BY351" s="564"/>
    </row>
    <row r="352" spans="1:77" ht="12" thickBot="1">
      <c r="A352" s="596" t="s">
        <v>1507</v>
      </c>
      <c r="B352" s="541" t="s">
        <v>334</v>
      </c>
      <c r="C352" s="541" t="s">
        <v>1066</v>
      </c>
      <c r="D352" s="552" t="s">
        <v>1139</v>
      </c>
      <c r="E352" s="543"/>
      <c r="F352" s="545"/>
      <c r="G352" s="544"/>
      <c r="H352" s="545"/>
      <c r="I352" s="545"/>
      <c r="J352" s="545"/>
      <c r="K352" s="545"/>
      <c r="L352" s="545"/>
      <c r="M352" s="544"/>
      <c r="N352" s="544"/>
      <c r="O352" s="545"/>
      <c r="P352" s="545"/>
      <c r="Q352" s="544"/>
      <c r="R352" s="544"/>
      <c r="S352" s="546">
        <f t="shared" si="55"/>
        <v>0</v>
      </c>
      <c r="T352" s="547">
        <f t="shared" si="56"/>
        <v>0</v>
      </c>
      <c r="U352" s="546">
        <f t="shared" si="54"/>
        <v>0</v>
      </c>
      <c r="W352" s="350">
        <f t="shared" si="57"/>
        <v>0</v>
      </c>
      <c r="X352" s="285">
        <f t="shared" si="58"/>
        <v>0</v>
      </c>
      <c r="Y352" s="564"/>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564"/>
      <c r="AW352" s="564"/>
      <c r="AX352" s="564"/>
      <c r="AY352" s="564"/>
      <c r="AZ352" s="564"/>
      <c r="BA352" s="564"/>
      <c r="BB352" s="564"/>
      <c r="BC352" s="564"/>
      <c r="BD352" s="564"/>
      <c r="BE352" s="564"/>
      <c r="BF352" s="564"/>
      <c r="BG352" s="564"/>
      <c r="BH352" s="564"/>
      <c r="BI352" s="564"/>
      <c r="BJ352" s="564"/>
      <c r="BK352" s="564"/>
      <c r="BL352" s="564"/>
      <c r="BM352" s="564"/>
      <c r="BN352" s="564"/>
      <c r="BO352" s="564"/>
      <c r="BP352" s="564"/>
      <c r="BQ352" s="564"/>
      <c r="BR352" s="564"/>
      <c r="BS352" s="564"/>
      <c r="BT352" s="564"/>
      <c r="BU352" s="564"/>
      <c r="BV352" s="564"/>
      <c r="BW352" s="564"/>
      <c r="BX352" s="564"/>
      <c r="BY352" s="564"/>
    </row>
    <row r="353" spans="1:77" ht="12" thickBot="1">
      <c r="A353" s="596" t="s">
        <v>1507</v>
      </c>
      <c r="B353" s="541" t="s">
        <v>326</v>
      </c>
      <c r="C353" s="541" t="s">
        <v>1067</v>
      </c>
      <c r="D353" s="552" t="s">
        <v>1139</v>
      </c>
      <c r="E353" s="549"/>
      <c r="F353" s="551"/>
      <c r="G353" s="550"/>
      <c r="H353" s="551"/>
      <c r="I353" s="551"/>
      <c r="J353" s="551"/>
      <c r="K353" s="551"/>
      <c r="L353" s="551"/>
      <c r="M353" s="550"/>
      <c r="N353" s="550"/>
      <c r="O353" s="551"/>
      <c r="P353" s="551"/>
      <c r="Q353" s="550"/>
      <c r="R353" s="550"/>
      <c r="S353" s="546">
        <f t="shared" si="55"/>
        <v>0</v>
      </c>
      <c r="T353" s="547">
        <f t="shared" si="56"/>
        <v>0</v>
      </c>
      <c r="U353" s="546">
        <f t="shared" si="54"/>
        <v>0</v>
      </c>
      <c r="W353" s="350">
        <f t="shared" si="57"/>
        <v>0</v>
      </c>
      <c r="X353" s="285">
        <f t="shared" si="58"/>
        <v>0</v>
      </c>
      <c r="Y353" s="564"/>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564"/>
      <c r="AW353" s="564"/>
      <c r="AX353" s="564"/>
      <c r="AY353" s="564"/>
      <c r="AZ353" s="564"/>
      <c r="BA353" s="564"/>
      <c r="BB353" s="564"/>
      <c r="BC353" s="564"/>
      <c r="BD353" s="564"/>
      <c r="BE353" s="564"/>
      <c r="BF353" s="564"/>
      <c r="BG353" s="564"/>
      <c r="BH353" s="564"/>
      <c r="BI353" s="564"/>
      <c r="BJ353" s="564"/>
      <c r="BK353" s="564"/>
      <c r="BL353" s="564"/>
      <c r="BM353" s="564"/>
      <c r="BN353" s="564"/>
      <c r="BO353" s="564"/>
      <c r="BP353" s="564"/>
      <c r="BQ353" s="564"/>
      <c r="BR353" s="564"/>
      <c r="BS353" s="564"/>
      <c r="BT353" s="564"/>
      <c r="BU353" s="564"/>
      <c r="BV353" s="564"/>
      <c r="BW353" s="564"/>
      <c r="BX353" s="564"/>
      <c r="BY353" s="564"/>
    </row>
    <row r="354" spans="1:77" ht="12" thickBot="1">
      <c r="A354" s="596" t="s">
        <v>1507</v>
      </c>
      <c r="B354" s="541" t="s">
        <v>330</v>
      </c>
      <c r="C354" s="541" t="s">
        <v>1068</v>
      </c>
      <c r="D354" s="552" t="s">
        <v>1139</v>
      </c>
      <c r="E354" s="543"/>
      <c r="F354" s="545"/>
      <c r="G354" s="544"/>
      <c r="H354" s="545"/>
      <c r="I354" s="545"/>
      <c r="J354" s="545"/>
      <c r="K354" s="545"/>
      <c r="L354" s="545"/>
      <c r="M354" s="544"/>
      <c r="N354" s="544"/>
      <c r="O354" s="545"/>
      <c r="P354" s="545"/>
      <c r="Q354" s="544"/>
      <c r="R354" s="544"/>
      <c r="S354" s="546">
        <f t="shared" si="55"/>
        <v>0</v>
      </c>
      <c r="T354" s="547">
        <f t="shared" si="56"/>
        <v>0</v>
      </c>
      <c r="U354" s="546">
        <f t="shared" ref="U354:U417" si="66">N354+O354</f>
        <v>0</v>
      </c>
      <c r="W354" s="350">
        <f t="shared" si="57"/>
        <v>0</v>
      </c>
      <c r="X354" s="285">
        <f t="shared" si="58"/>
        <v>0</v>
      </c>
      <c r="Y354" s="564"/>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564"/>
      <c r="AW354" s="564"/>
      <c r="AX354" s="564"/>
      <c r="AY354" s="564"/>
      <c r="AZ354" s="564"/>
      <c r="BA354" s="564"/>
      <c r="BB354" s="564"/>
      <c r="BC354" s="564"/>
      <c r="BD354" s="564"/>
      <c r="BE354" s="564"/>
      <c r="BF354" s="564"/>
      <c r="BG354" s="564"/>
      <c r="BH354" s="564"/>
      <c r="BI354" s="564"/>
      <c r="BJ354" s="564"/>
      <c r="BK354" s="564"/>
      <c r="BL354" s="564"/>
      <c r="BM354" s="564"/>
      <c r="BN354" s="564"/>
      <c r="BO354" s="564"/>
      <c r="BP354" s="564"/>
      <c r="BQ354" s="564"/>
      <c r="BR354" s="564"/>
      <c r="BS354" s="564"/>
      <c r="BT354" s="564"/>
      <c r="BU354" s="564"/>
      <c r="BV354" s="564"/>
      <c r="BW354" s="564"/>
      <c r="BX354" s="564"/>
      <c r="BY354" s="564"/>
    </row>
    <row r="355" spans="1:77" ht="12" thickBot="1">
      <c r="A355" s="596" t="s">
        <v>1507</v>
      </c>
      <c r="B355" s="541" t="s">
        <v>337</v>
      </c>
      <c r="C355" s="541" t="s">
        <v>1069</v>
      </c>
      <c r="D355" s="552" t="s">
        <v>1139</v>
      </c>
      <c r="E355" s="549"/>
      <c r="F355" s="551"/>
      <c r="G355" s="550"/>
      <c r="H355" s="551"/>
      <c r="I355" s="551"/>
      <c r="J355" s="551"/>
      <c r="K355" s="551"/>
      <c r="L355" s="551"/>
      <c r="M355" s="550"/>
      <c r="N355" s="550"/>
      <c r="O355" s="551"/>
      <c r="P355" s="551"/>
      <c r="Q355" s="550"/>
      <c r="R355" s="550"/>
      <c r="S355" s="546">
        <f t="shared" ref="S355:S418" si="67">G355+H355+I355</f>
        <v>0</v>
      </c>
      <c r="T355" s="547">
        <f t="shared" ref="T355:T418" si="68">J355+K355</f>
        <v>0</v>
      </c>
      <c r="U355" s="546">
        <f t="shared" si="66"/>
        <v>0</v>
      </c>
      <c r="W355" s="350">
        <f t="shared" ref="W355:W418" si="69">SUM(F355:Q355)</f>
        <v>0</v>
      </c>
      <c r="X355" s="285">
        <f t="shared" ref="X355:X418" si="70">W355-R355</f>
        <v>0</v>
      </c>
      <c r="Y355" s="564"/>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564"/>
      <c r="AW355" s="564"/>
      <c r="AX355" s="564"/>
      <c r="AY355" s="564"/>
      <c r="AZ355" s="564"/>
      <c r="BA355" s="564"/>
      <c r="BB355" s="564"/>
      <c r="BC355" s="564"/>
      <c r="BD355" s="564"/>
      <c r="BE355" s="564"/>
      <c r="BF355" s="564"/>
      <c r="BG355" s="564"/>
      <c r="BH355" s="564"/>
      <c r="BI355" s="564"/>
      <c r="BJ355" s="564"/>
      <c r="BK355" s="564"/>
      <c r="BL355" s="564"/>
      <c r="BM355" s="564"/>
      <c r="BN355" s="564"/>
      <c r="BO355" s="564"/>
      <c r="BP355" s="564"/>
      <c r="BQ355" s="564"/>
      <c r="BR355" s="564"/>
      <c r="BS355" s="564"/>
      <c r="BT355" s="564"/>
      <c r="BU355" s="564"/>
      <c r="BV355" s="564"/>
      <c r="BW355" s="564"/>
      <c r="BX355" s="564"/>
      <c r="BY355" s="564"/>
    </row>
    <row r="356" spans="1:77" ht="12" thickBot="1">
      <c r="A356" s="596" t="s">
        <v>1507</v>
      </c>
      <c r="B356" s="541" t="s">
        <v>329</v>
      </c>
      <c r="C356" s="541" t="s">
        <v>1070</v>
      </c>
      <c r="D356" s="552" t="s">
        <v>1139</v>
      </c>
      <c r="E356" s="543"/>
      <c r="F356" s="545"/>
      <c r="G356" s="544"/>
      <c r="H356" s="545"/>
      <c r="I356" s="545"/>
      <c r="J356" s="545"/>
      <c r="K356" s="545"/>
      <c r="L356" s="545"/>
      <c r="M356" s="544"/>
      <c r="N356" s="544"/>
      <c r="O356" s="545"/>
      <c r="P356" s="545"/>
      <c r="Q356" s="544"/>
      <c r="R356" s="544"/>
      <c r="S356" s="546">
        <f t="shared" si="67"/>
        <v>0</v>
      </c>
      <c r="T356" s="547">
        <f t="shared" si="68"/>
        <v>0</v>
      </c>
      <c r="U356" s="546">
        <f t="shared" si="66"/>
        <v>0</v>
      </c>
      <c r="W356" s="350">
        <f t="shared" si="69"/>
        <v>0</v>
      </c>
      <c r="X356" s="285">
        <f t="shared" si="70"/>
        <v>0</v>
      </c>
      <c r="Y356" s="564"/>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564"/>
      <c r="AW356" s="564"/>
      <c r="AX356" s="564"/>
      <c r="AY356" s="564"/>
      <c r="AZ356" s="564"/>
      <c r="BA356" s="564"/>
      <c r="BB356" s="564"/>
      <c r="BC356" s="564"/>
      <c r="BD356" s="564"/>
      <c r="BE356" s="564"/>
      <c r="BF356" s="564"/>
      <c r="BG356" s="564"/>
      <c r="BH356" s="564"/>
      <c r="BI356" s="564"/>
      <c r="BJ356" s="564"/>
      <c r="BK356" s="564"/>
      <c r="BL356" s="564"/>
      <c r="BM356" s="564"/>
      <c r="BN356" s="564"/>
      <c r="BO356" s="564"/>
      <c r="BP356" s="564"/>
      <c r="BQ356" s="564"/>
      <c r="BR356" s="564"/>
      <c r="BS356" s="564"/>
      <c r="BT356" s="564"/>
      <c r="BU356" s="564"/>
      <c r="BV356" s="564"/>
      <c r="BW356" s="564"/>
      <c r="BX356" s="564"/>
      <c r="BY356" s="564"/>
    </row>
    <row r="357" spans="1:77" ht="12" thickBot="1">
      <c r="A357" s="596" t="s">
        <v>1507</v>
      </c>
      <c r="B357" s="541" t="s">
        <v>327</v>
      </c>
      <c r="C357" s="541" t="s">
        <v>1071</v>
      </c>
      <c r="D357" s="552" t="s">
        <v>1139</v>
      </c>
      <c r="E357" s="549"/>
      <c r="F357" s="551"/>
      <c r="G357" s="550"/>
      <c r="H357" s="551"/>
      <c r="I357" s="551"/>
      <c r="J357" s="551"/>
      <c r="K357" s="551"/>
      <c r="L357" s="551"/>
      <c r="M357" s="550"/>
      <c r="N357" s="550"/>
      <c r="O357" s="551"/>
      <c r="P357" s="551"/>
      <c r="Q357" s="550"/>
      <c r="R357" s="550"/>
      <c r="S357" s="546">
        <f t="shared" si="67"/>
        <v>0</v>
      </c>
      <c r="T357" s="547">
        <f t="shared" si="68"/>
        <v>0</v>
      </c>
      <c r="U357" s="546">
        <f t="shared" si="66"/>
        <v>0</v>
      </c>
      <c r="W357" s="350">
        <f t="shared" si="69"/>
        <v>0</v>
      </c>
      <c r="X357" s="285">
        <f t="shared" si="70"/>
        <v>0</v>
      </c>
      <c r="Y357" s="564"/>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564"/>
      <c r="AW357" s="564"/>
      <c r="AX357" s="564"/>
      <c r="AY357" s="564"/>
      <c r="AZ357" s="564"/>
      <c r="BA357" s="564"/>
      <c r="BB357" s="564"/>
      <c r="BC357" s="564"/>
      <c r="BD357" s="564"/>
      <c r="BE357" s="564"/>
      <c r="BF357" s="564"/>
      <c r="BG357" s="564"/>
      <c r="BH357" s="564"/>
      <c r="BI357" s="564"/>
      <c r="BJ357" s="564"/>
      <c r="BK357" s="564"/>
      <c r="BL357" s="564"/>
      <c r="BM357" s="564"/>
      <c r="BN357" s="564"/>
      <c r="BO357" s="564"/>
      <c r="BP357" s="564"/>
      <c r="BQ357" s="564"/>
      <c r="BR357" s="564"/>
      <c r="BS357" s="564"/>
      <c r="BT357" s="564"/>
      <c r="BU357" s="564"/>
      <c r="BV357" s="564"/>
      <c r="BW357" s="564"/>
      <c r="BX357" s="564"/>
      <c r="BY357" s="564"/>
    </row>
    <row r="358" spans="1:77" ht="12" thickBot="1">
      <c r="A358" s="596" t="s">
        <v>1507</v>
      </c>
      <c r="B358" s="541" t="s">
        <v>453</v>
      </c>
      <c r="C358" s="541" t="s">
        <v>1072</v>
      </c>
      <c r="D358" s="552" t="s">
        <v>1139</v>
      </c>
      <c r="E358" s="543"/>
      <c r="F358" s="545"/>
      <c r="G358" s="544"/>
      <c r="H358" s="545"/>
      <c r="I358" s="545"/>
      <c r="J358" s="545"/>
      <c r="K358" s="545"/>
      <c r="L358" s="545"/>
      <c r="M358" s="544"/>
      <c r="N358" s="544"/>
      <c r="O358" s="545"/>
      <c r="P358" s="545"/>
      <c r="Q358" s="545"/>
      <c r="R358" s="544"/>
      <c r="S358" s="546">
        <f t="shared" si="67"/>
        <v>0</v>
      </c>
      <c r="T358" s="547">
        <f t="shared" si="68"/>
        <v>0</v>
      </c>
      <c r="U358" s="546">
        <f t="shared" si="66"/>
        <v>0</v>
      </c>
      <c r="W358" s="350">
        <f t="shared" si="69"/>
        <v>0</v>
      </c>
      <c r="X358" s="285">
        <f t="shared" si="70"/>
        <v>0</v>
      </c>
      <c r="Y358" s="564"/>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564"/>
      <c r="AW358" s="564"/>
      <c r="AX358" s="564"/>
      <c r="AY358" s="564"/>
      <c r="AZ358" s="564"/>
      <c r="BA358" s="564"/>
      <c r="BB358" s="564"/>
      <c r="BC358" s="564"/>
      <c r="BD358" s="564"/>
      <c r="BE358" s="564"/>
      <c r="BF358" s="564"/>
      <c r="BG358" s="564"/>
      <c r="BH358" s="564"/>
      <c r="BI358" s="564"/>
      <c r="BJ358" s="564"/>
      <c r="BK358" s="564"/>
      <c r="BL358" s="564"/>
      <c r="BM358" s="564"/>
      <c r="BN358" s="564"/>
      <c r="BO358" s="564"/>
      <c r="BP358" s="564"/>
      <c r="BQ358" s="564"/>
      <c r="BR358" s="564"/>
      <c r="BS358" s="564"/>
      <c r="BT358" s="564"/>
      <c r="BU358" s="564"/>
      <c r="BV358" s="564"/>
      <c r="BW358" s="564"/>
      <c r="BX358" s="564"/>
      <c r="BY358" s="564"/>
    </row>
    <row r="359" spans="1:77" ht="12" thickBot="1">
      <c r="A359" s="596" t="s">
        <v>1507</v>
      </c>
      <c r="B359" s="541" t="s">
        <v>366</v>
      </c>
      <c r="C359" s="541" t="s">
        <v>1073</v>
      </c>
      <c r="D359" s="552" t="s">
        <v>1139</v>
      </c>
      <c r="E359" s="549"/>
      <c r="F359" s="551"/>
      <c r="G359" s="550"/>
      <c r="H359" s="551"/>
      <c r="I359" s="551"/>
      <c r="J359" s="551"/>
      <c r="K359" s="551"/>
      <c r="L359" s="551"/>
      <c r="M359" s="550"/>
      <c r="N359" s="550"/>
      <c r="O359" s="551"/>
      <c r="P359" s="551"/>
      <c r="Q359" s="550"/>
      <c r="R359" s="550"/>
      <c r="S359" s="546">
        <f t="shared" si="67"/>
        <v>0</v>
      </c>
      <c r="T359" s="547">
        <f t="shared" si="68"/>
        <v>0</v>
      </c>
      <c r="U359" s="546">
        <f t="shared" si="66"/>
        <v>0</v>
      </c>
      <c r="W359" s="350">
        <f t="shared" si="69"/>
        <v>0</v>
      </c>
      <c r="X359" s="285">
        <f t="shared" si="70"/>
        <v>0</v>
      </c>
      <c r="Y359" s="564"/>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564"/>
      <c r="AW359" s="564"/>
      <c r="AX359" s="564"/>
      <c r="AY359" s="564"/>
      <c r="AZ359" s="564"/>
      <c r="BA359" s="564"/>
      <c r="BB359" s="564"/>
      <c r="BC359" s="564"/>
      <c r="BD359" s="564"/>
      <c r="BE359" s="564"/>
      <c r="BF359" s="564"/>
      <c r="BG359" s="564"/>
      <c r="BH359" s="564"/>
      <c r="BI359" s="564"/>
      <c r="BJ359" s="564"/>
      <c r="BK359" s="564"/>
      <c r="BL359" s="564"/>
      <c r="BM359" s="564"/>
      <c r="BN359" s="564"/>
      <c r="BO359" s="564"/>
      <c r="BP359" s="564"/>
      <c r="BQ359" s="564"/>
      <c r="BR359" s="564"/>
      <c r="BS359" s="564"/>
      <c r="BT359" s="564"/>
      <c r="BU359" s="564"/>
      <c r="BV359" s="564"/>
      <c r="BW359" s="564"/>
      <c r="BX359" s="564"/>
      <c r="BY359" s="564"/>
    </row>
    <row r="360" spans="1:77" ht="12" thickBot="1">
      <c r="A360" s="596" t="s">
        <v>1507</v>
      </c>
      <c r="B360" s="541" t="s">
        <v>386</v>
      </c>
      <c r="C360" s="541" t="s">
        <v>1074</v>
      </c>
      <c r="D360" s="552" t="s">
        <v>1140</v>
      </c>
      <c r="E360" s="543"/>
      <c r="F360" s="545"/>
      <c r="G360" s="544"/>
      <c r="H360" s="545"/>
      <c r="I360" s="545"/>
      <c r="J360" s="545"/>
      <c r="K360" s="545"/>
      <c r="L360" s="545"/>
      <c r="M360" s="544"/>
      <c r="N360" s="544"/>
      <c r="O360" s="545"/>
      <c r="P360" s="545"/>
      <c r="Q360" s="544"/>
      <c r="R360" s="544"/>
      <c r="S360" s="546">
        <f t="shared" si="67"/>
        <v>0</v>
      </c>
      <c r="T360" s="547">
        <f t="shared" si="68"/>
        <v>0</v>
      </c>
      <c r="U360" s="546">
        <f t="shared" si="66"/>
        <v>0</v>
      </c>
      <c r="W360" s="350">
        <f t="shared" si="69"/>
        <v>0</v>
      </c>
      <c r="X360" s="285">
        <f t="shared" si="70"/>
        <v>0</v>
      </c>
      <c r="Y360" s="564"/>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564"/>
      <c r="AW360" s="564"/>
      <c r="AX360" s="564"/>
      <c r="AY360" s="564"/>
      <c r="AZ360" s="564"/>
      <c r="BA360" s="564"/>
      <c r="BB360" s="564"/>
      <c r="BC360" s="564"/>
      <c r="BD360" s="564"/>
      <c r="BE360" s="564"/>
      <c r="BF360" s="564"/>
      <c r="BG360" s="564"/>
      <c r="BH360" s="564"/>
      <c r="BI360" s="564"/>
      <c r="BJ360" s="564"/>
      <c r="BK360" s="564"/>
      <c r="BL360" s="564"/>
      <c r="BM360" s="564"/>
      <c r="BN360" s="564"/>
      <c r="BO360" s="564"/>
      <c r="BP360" s="564"/>
      <c r="BQ360" s="564"/>
      <c r="BR360" s="564"/>
      <c r="BS360" s="564"/>
      <c r="BT360" s="564"/>
      <c r="BU360" s="564"/>
      <c r="BV360" s="564"/>
      <c r="BW360" s="564"/>
      <c r="BX360" s="564"/>
      <c r="BY360" s="564"/>
    </row>
    <row r="361" spans="1:77" ht="12" thickBot="1">
      <c r="A361" s="596" t="s">
        <v>1507</v>
      </c>
      <c r="B361" s="541" t="s">
        <v>342</v>
      </c>
      <c r="C361" s="541" t="s">
        <v>251</v>
      </c>
      <c r="D361" s="552" t="s">
        <v>1139</v>
      </c>
      <c r="E361" s="549"/>
      <c r="F361" s="551"/>
      <c r="G361" s="550"/>
      <c r="H361" s="551"/>
      <c r="I361" s="551"/>
      <c r="J361" s="551"/>
      <c r="K361" s="551"/>
      <c r="L361" s="551"/>
      <c r="M361" s="550"/>
      <c r="N361" s="550"/>
      <c r="O361" s="551"/>
      <c r="P361" s="551"/>
      <c r="Q361" s="550"/>
      <c r="R361" s="550"/>
      <c r="S361" s="546">
        <f t="shared" si="67"/>
        <v>0</v>
      </c>
      <c r="T361" s="547">
        <f t="shared" si="68"/>
        <v>0</v>
      </c>
      <c r="U361" s="546">
        <f t="shared" si="66"/>
        <v>0</v>
      </c>
      <c r="W361" s="350">
        <f t="shared" si="69"/>
        <v>0</v>
      </c>
      <c r="X361" s="285">
        <f t="shared" si="70"/>
        <v>0</v>
      </c>
      <c r="Y361" s="564"/>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564"/>
      <c r="AW361" s="564"/>
      <c r="AX361" s="564"/>
      <c r="AY361" s="564"/>
      <c r="AZ361" s="564"/>
      <c r="BA361" s="564"/>
      <c r="BB361" s="564"/>
      <c r="BC361" s="564"/>
      <c r="BD361" s="564"/>
      <c r="BE361" s="564"/>
      <c r="BF361" s="564"/>
      <c r="BG361" s="564"/>
      <c r="BH361" s="564"/>
      <c r="BI361" s="564"/>
      <c r="BJ361" s="564"/>
      <c r="BK361" s="564"/>
      <c r="BL361" s="564"/>
      <c r="BM361" s="564"/>
      <c r="BN361" s="564"/>
      <c r="BO361" s="564"/>
      <c r="BP361" s="564"/>
      <c r="BQ361" s="564"/>
      <c r="BR361" s="564"/>
      <c r="BS361" s="564"/>
      <c r="BT361" s="564"/>
      <c r="BU361" s="564"/>
      <c r="BV361" s="564"/>
      <c r="BW361" s="564"/>
      <c r="BX361" s="564"/>
      <c r="BY361" s="564"/>
    </row>
    <row r="362" spans="1:77" ht="12" thickBot="1">
      <c r="A362" s="596" t="s">
        <v>1507</v>
      </c>
      <c r="B362" s="541" t="s">
        <v>382</v>
      </c>
      <c r="C362" s="541" t="s">
        <v>1075</v>
      </c>
      <c r="D362" s="552" t="s">
        <v>1140</v>
      </c>
      <c r="E362" s="543"/>
      <c r="F362" s="545"/>
      <c r="G362" s="544"/>
      <c r="H362" s="545"/>
      <c r="I362" s="545"/>
      <c r="J362" s="545"/>
      <c r="K362" s="545"/>
      <c r="L362" s="545"/>
      <c r="M362" s="544"/>
      <c r="N362" s="544"/>
      <c r="O362" s="545"/>
      <c r="P362" s="545"/>
      <c r="Q362" s="544"/>
      <c r="R362" s="544"/>
      <c r="S362" s="546">
        <f t="shared" si="67"/>
        <v>0</v>
      </c>
      <c r="T362" s="547">
        <f t="shared" si="68"/>
        <v>0</v>
      </c>
      <c r="U362" s="546">
        <f t="shared" si="66"/>
        <v>0</v>
      </c>
      <c r="W362" s="350">
        <f t="shared" si="69"/>
        <v>0</v>
      </c>
      <c r="X362" s="285">
        <f t="shared" si="70"/>
        <v>0</v>
      </c>
      <c r="Y362" s="564"/>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564"/>
      <c r="AW362" s="564"/>
      <c r="AX362" s="564"/>
      <c r="AY362" s="564"/>
      <c r="AZ362" s="564"/>
      <c r="BA362" s="564"/>
      <c r="BB362" s="564"/>
      <c r="BC362" s="564"/>
      <c r="BD362" s="564"/>
      <c r="BE362" s="564"/>
      <c r="BF362" s="564"/>
      <c r="BG362" s="564"/>
      <c r="BH362" s="564"/>
      <c r="BI362" s="564"/>
      <c r="BJ362" s="564"/>
      <c r="BK362" s="564"/>
      <c r="BL362" s="564"/>
      <c r="BM362" s="564"/>
      <c r="BN362" s="564"/>
      <c r="BO362" s="564"/>
      <c r="BP362" s="564"/>
      <c r="BQ362" s="564"/>
      <c r="BR362" s="564"/>
      <c r="BS362" s="564"/>
      <c r="BT362" s="564"/>
      <c r="BU362" s="564"/>
      <c r="BV362" s="564"/>
      <c r="BW362" s="564"/>
      <c r="BX362" s="564"/>
      <c r="BY362" s="564"/>
    </row>
    <row r="363" spans="1:77" ht="12" thickBot="1">
      <c r="A363" s="596" t="s">
        <v>1507</v>
      </c>
      <c r="B363" s="541" t="s">
        <v>360</v>
      </c>
      <c r="C363" s="541" t="s">
        <v>1076</v>
      </c>
      <c r="D363" s="552" t="s">
        <v>1140</v>
      </c>
      <c r="E363" s="549"/>
      <c r="F363" s="551"/>
      <c r="G363" s="550"/>
      <c r="H363" s="551"/>
      <c r="I363" s="551"/>
      <c r="J363" s="551"/>
      <c r="K363" s="551"/>
      <c r="L363" s="551"/>
      <c r="M363" s="550"/>
      <c r="N363" s="550"/>
      <c r="O363" s="551"/>
      <c r="P363" s="551"/>
      <c r="Q363" s="550"/>
      <c r="R363" s="550"/>
      <c r="S363" s="546">
        <f t="shared" si="67"/>
        <v>0</v>
      </c>
      <c r="T363" s="547">
        <f t="shared" si="68"/>
        <v>0</v>
      </c>
      <c r="U363" s="546">
        <f t="shared" si="66"/>
        <v>0</v>
      </c>
      <c r="W363" s="350">
        <f t="shared" si="69"/>
        <v>0</v>
      </c>
      <c r="X363" s="285">
        <f t="shared" si="70"/>
        <v>0</v>
      </c>
      <c r="Y363" s="564"/>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564"/>
      <c r="AW363" s="564"/>
      <c r="AX363" s="564"/>
      <c r="AY363" s="564"/>
      <c r="AZ363" s="564"/>
      <c r="BA363" s="564"/>
      <c r="BB363" s="564"/>
      <c r="BC363" s="564"/>
      <c r="BD363" s="564"/>
      <c r="BE363" s="564"/>
      <c r="BF363" s="564"/>
      <c r="BG363" s="564"/>
      <c r="BH363" s="564"/>
      <c r="BI363" s="564"/>
      <c r="BJ363" s="564"/>
      <c r="BK363" s="564"/>
      <c r="BL363" s="564"/>
      <c r="BM363" s="564"/>
      <c r="BN363" s="564"/>
      <c r="BO363" s="564"/>
      <c r="BP363" s="564"/>
      <c r="BQ363" s="564"/>
      <c r="BR363" s="564"/>
      <c r="BS363" s="564"/>
      <c r="BT363" s="564"/>
      <c r="BU363" s="564"/>
      <c r="BV363" s="564"/>
      <c r="BW363" s="564"/>
      <c r="BX363" s="564"/>
      <c r="BY363" s="564"/>
    </row>
    <row r="364" spans="1:77" ht="12" thickBot="1">
      <c r="A364" s="596" t="s">
        <v>1507</v>
      </c>
      <c r="B364" s="541" t="s">
        <v>368</v>
      </c>
      <c r="C364" s="541" t="s">
        <v>1077</v>
      </c>
      <c r="D364" s="552" t="s">
        <v>1139</v>
      </c>
      <c r="E364" s="543"/>
      <c r="F364" s="545"/>
      <c r="G364" s="544"/>
      <c r="H364" s="545"/>
      <c r="I364" s="545"/>
      <c r="J364" s="545"/>
      <c r="K364" s="545"/>
      <c r="L364" s="545"/>
      <c r="M364" s="544"/>
      <c r="N364" s="544"/>
      <c r="O364" s="545"/>
      <c r="P364" s="545"/>
      <c r="Q364" s="544"/>
      <c r="R364" s="544"/>
      <c r="S364" s="546">
        <f t="shared" si="67"/>
        <v>0</v>
      </c>
      <c r="T364" s="547">
        <f t="shared" si="68"/>
        <v>0</v>
      </c>
      <c r="U364" s="546">
        <f t="shared" si="66"/>
        <v>0</v>
      </c>
      <c r="W364" s="350">
        <f t="shared" si="69"/>
        <v>0</v>
      </c>
      <c r="X364" s="285">
        <f t="shared" si="70"/>
        <v>0</v>
      </c>
      <c r="Y364" s="564"/>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564"/>
      <c r="AW364" s="564"/>
      <c r="AX364" s="564"/>
      <c r="AY364" s="564"/>
      <c r="AZ364" s="564"/>
      <c r="BA364" s="564"/>
      <c r="BB364" s="564"/>
      <c r="BC364" s="564"/>
      <c r="BD364" s="564"/>
      <c r="BE364" s="564"/>
      <c r="BF364" s="564"/>
      <c r="BG364" s="564"/>
      <c r="BH364" s="564"/>
      <c r="BI364" s="564"/>
      <c r="BJ364" s="564"/>
      <c r="BK364" s="564"/>
      <c r="BL364" s="564"/>
      <c r="BM364" s="564"/>
      <c r="BN364" s="564"/>
      <c r="BO364" s="564"/>
      <c r="BP364" s="564"/>
      <c r="BQ364" s="564"/>
      <c r="BR364" s="564"/>
      <c r="BS364" s="564"/>
      <c r="BT364" s="564"/>
      <c r="BU364" s="564"/>
      <c r="BV364" s="564"/>
      <c r="BW364" s="564"/>
      <c r="BX364" s="564"/>
      <c r="BY364" s="564"/>
    </row>
    <row r="365" spans="1:77" ht="12" thickBot="1">
      <c r="A365" s="596" t="s">
        <v>1507</v>
      </c>
      <c r="B365" s="541" t="s">
        <v>370</v>
      </c>
      <c r="C365" s="541" t="s">
        <v>1078</v>
      </c>
      <c r="D365" s="552" t="s">
        <v>1140</v>
      </c>
      <c r="E365" s="549"/>
      <c r="F365" s="551"/>
      <c r="G365" s="550"/>
      <c r="H365" s="551"/>
      <c r="I365" s="551"/>
      <c r="J365" s="551"/>
      <c r="K365" s="551"/>
      <c r="L365" s="551"/>
      <c r="M365" s="550"/>
      <c r="N365" s="550"/>
      <c r="O365" s="551"/>
      <c r="P365" s="551"/>
      <c r="Q365" s="550"/>
      <c r="R365" s="550"/>
      <c r="S365" s="546">
        <f t="shared" si="67"/>
        <v>0</v>
      </c>
      <c r="T365" s="547">
        <f t="shared" si="68"/>
        <v>0</v>
      </c>
      <c r="U365" s="546">
        <f t="shared" si="66"/>
        <v>0</v>
      </c>
      <c r="W365" s="350">
        <f t="shared" si="69"/>
        <v>0</v>
      </c>
      <c r="X365" s="285">
        <f t="shared" si="70"/>
        <v>0</v>
      </c>
      <c r="Y365" s="564"/>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564"/>
      <c r="AW365" s="564"/>
      <c r="AX365" s="564"/>
      <c r="AY365" s="564"/>
      <c r="AZ365" s="564"/>
      <c r="BA365" s="564"/>
      <c r="BB365" s="564"/>
      <c r="BC365" s="564"/>
      <c r="BD365" s="564"/>
      <c r="BE365" s="564"/>
      <c r="BF365" s="564"/>
      <c r="BG365" s="564"/>
      <c r="BH365" s="564"/>
      <c r="BI365" s="564"/>
      <c r="BJ365" s="564"/>
      <c r="BK365" s="564"/>
      <c r="BL365" s="564"/>
      <c r="BM365" s="564"/>
      <c r="BN365" s="564"/>
      <c r="BO365" s="564"/>
      <c r="BP365" s="564"/>
      <c r="BQ365" s="564"/>
      <c r="BR365" s="564"/>
      <c r="BS365" s="564"/>
      <c r="BT365" s="564"/>
      <c r="BU365" s="564"/>
      <c r="BV365" s="564"/>
      <c r="BW365" s="564"/>
      <c r="BX365" s="564"/>
      <c r="BY365" s="564"/>
    </row>
    <row r="366" spans="1:77" ht="12" thickBot="1">
      <c r="A366" s="596" t="s">
        <v>1507</v>
      </c>
      <c r="B366" s="541" t="s">
        <v>393</v>
      </c>
      <c r="C366" s="541" t="s">
        <v>1079</v>
      </c>
      <c r="D366" s="552" t="s">
        <v>1140</v>
      </c>
      <c r="E366" s="543"/>
      <c r="F366" s="545"/>
      <c r="G366" s="544"/>
      <c r="H366" s="545"/>
      <c r="I366" s="545"/>
      <c r="J366" s="545"/>
      <c r="K366" s="545"/>
      <c r="L366" s="545"/>
      <c r="M366" s="544"/>
      <c r="N366" s="544"/>
      <c r="O366" s="545"/>
      <c r="P366" s="545"/>
      <c r="Q366" s="544"/>
      <c r="R366" s="544"/>
      <c r="S366" s="546">
        <f t="shared" si="67"/>
        <v>0</v>
      </c>
      <c r="T366" s="547">
        <f t="shared" si="68"/>
        <v>0</v>
      </c>
      <c r="U366" s="546">
        <f t="shared" si="66"/>
        <v>0</v>
      </c>
      <c r="W366" s="350">
        <f t="shared" si="69"/>
        <v>0</v>
      </c>
      <c r="X366" s="285">
        <f t="shared" si="70"/>
        <v>0</v>
      </c>
      <c r="Y366" s="564"/>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564"/>
      <c r="AW366" s="564"/>
      <c r="AX366" s="564"/>
      <c r="AY366" s="564"/>
      <c r="AZ366" s="564"/>
      <c r="BA366" s="564"/>
      <c r="BB366" s="564"/>
      <c r="BC366" s="564"/>
      <c r="BD366" s="564"/>
      <c r="BE366" s="564"/>
      <c r="BF366" s="564"/>
      <c r="BG366" s="564"/>
      <c r="BH366" s="564"/>
      <c r="BI366" s="564"/>
      <c r="BJ366" s="564"/>
      <c r="BK366" s="564"/>
      <c r="BL366" s="564"/>
      <c r="BM366" s="564"/>
      <c r="BN366" s="564"/>
      <c r="BO366" s="564"/>
      <c r="BP366" s="564"/>
      <c r="BQ366" s="564"/>
      <c r="BR366" s="564"/>
      <c r="BS366" s="564"/>
      <c r="BT366" s="564"/>
      <c r="BU366" s="564"/>
      <c r="BV366" s="564"/>
      <c r="BW366" s="564"/>
      <c r="BX366" s="564"/>
      <c r="BY366" s="564"/>
    </row>
    <row r="367" spans="1:77" ht="12" thickBot="1">
      <c r="A367" s="596" t="s">
        <v>1507</v>
      </c>
      <c r="B367" s="541" t="s">
        <v>371</v>
      </c>
      <c r="C367" s="541" t="s">
        <v>1080</v>
      </c>
      <c r="D367" s="552" t="s">
        <v>1139</v>
      </c>
      <c r="E367" s="549"/>
      <c r="F367" s="551"/>
      <c r="G367" s="550"/>
      <c r="H367" s="551"/>
      <c r="I367" s="551"/>
      <c r="J367" s="551"/>
      <c r="K367" s="551"/>
      <c r="L367" s="551"/>
      <c r="M367" s="550"/>
      <c r="N367" s="550"/>
      <c r="O367" s="551"/>
      <c r="P367" s="551"/>
      <c r="Q367" s="550"/>
      <c r="R367" s="550"/>
      <c r="S367" s="546">
        <f t="shared" si="67"/>
        <v>0</v>
      </c>
      <c r="T367" s="547">
        <f t="shared" si="68"/>
        <v>0</v>
      </c>
      <c r="U367" s="546">
        <f t="shared" si="66"/>
        <v>0</v>
      </c>
      <c r="W367" s="350">
        <f t="shared" si="69"/>
        <v>0</v>
      </c>
      <c r="X367" s="285">
        <f t="shared" si="70"/>
        <v>0</v>
      </c>
      <c r="Y367" s="564"/>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564"/>
      <c r="AW367" s="564"/>
      <c r="AX367" s="564"/>
      <c r="AY367" s="564"/>
      <c r="AZ367" s="564"/>
      <c r="BA367" s="564"/>
      <c r="BB367" s="564"/>
      <c r="BC367" s="564"/>
      <c r="BD367" s="564"/>
      <c r="BE367" s="564"/>
      <c r="BF367" s="564"/>
      <c r="BG367" s="564"/>
      <c r="BH367" s="564"/>
      <c r="BI367" s="564"/>
      <c r="BJ367" s="564"/>
      <c r="BK367" s="564"/>
      <c r="BL367" s="564"/>
      <c r="BM367" s="564"/>
      <c r="BN367" s="564"/>
      <c r="BO367" s="564"/>
      <c r="BP367" s="564"/>
      <c r="BQ367" s="564"/>
      <c r="BR367" s="564"/>
      <c r="BS367" s="564"/>
      <c r="BT367" s="564"/>
      <c r="BU367" s="564"/>
      <c r="BV367" s="564"/>
      <c r="BW367" s="564"/>
      <c r="BX367" s="564"/>
      <c r="BY367" s="564"/>
    </row>
    <row r="368" spans="1:77" ht="12" thickBot="1">
      <c r="A368" s="596" t="s">
        <v>1507</v>
      </c>
      <c r="B368" s="541" t="s">
        <v>394</v>
      </c>
      <c r="C368" s="541" t="s">
        <v>1081</v>
      </c>
      <c r="D368" s="552" t="s">
        <v>1139</v>
      </c>
      <c r="E368" s="543"/>
      <c r="F368" s="545"/>
      <c r="G368" s="544"/>
      <c r="H368" s="545"/>
      <c r="I368" s="545"/>
      <c r="J368" s="545"/>
      <c r="K368" s="545"/>
      <c r="L368" s="545"/>
      <c r="M368" s="544"/>
      <c r="N368" s="544"/>
      <c r="O368" s="545"/>
      <c r="P368" s="545"/>
      <c r="Q368" s="544"/>
      <c r="R368" s="544"/>
      <c r="S368" s="546">
        <f t="shared" si="67"/>
        <v>0</v>
      </c>
      <c r="T368" s="547">
        <f t="shared" si="68"/>
        <v>0</v>
      </c>
      <c r="U368" s="546">
        <f t="shared" si="66"/>
        <v>0</v>
      </c>
      <c r="W368" s="350">
        <f t="shared" si="69"/>
        <v>0</v>
      </c>
      <c r="X368" s="285">
        <f t="shared" si="70"/>
        <v>0</v>
      </c>
      <c r="Y368" s="564"/>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564"/>
      <c r="AW368" s="564"/>
      <c r="AX368" s="564"/>
      <c r="AY368" s="564"/>
      <c r="AZ368" s="564"/>
      <c r="BA368" s="564"/>
      <c r="BB368" s="564"/>
      <c r="BC368" s="564"/>
      <c r="BD368" s="564"/>
      <c r="BE368" s="564"/>
      <c r="BF368" s="564"/>
      <c r="BG368" s="564"/>
      <c r="BH368" s="564"/>
      <c r="BI368" s="564"/>
      <c r="BJ368" s="564"/>
      <c r="BK368" s="564"/>
      <c r="BL368" s="564"/>
      <c r="BM368" s="564"/>
      <c r="BN368" s="564"/>
      <c r="BO368" s="564"/>
      <c r="BP368" s="564"/>
      <c r="BQ368" s="564"/>
      <c r="BR368" s="564"/>
      <c r="BS368" s="564"/>
      <c r="BT368" s="564"/>
      <c r="BU368" s="564"/>
      <c r="BV368" s="564"/>
      <c r="BW368" s="564"/>
      <c r="BX368" s="564"/>
      <c r="BY368" s="564"/>
    </row>
    <row r="369" spans="1:77" ht="12" thickBot="1">
      <c r="A369" s="596" t="s">
        <v>1507</v>
      </c>
      <c r="B369" s="541" t="s">
        <v>389</v>
      </c>
      <c r="C369" s="541" t="s">
        <v>1082</v>
      </c>
      <c r="D369" s="552" t="s">
        <v>1139</v>
      </c>
      <c r="E369" s="549"/>
      <c r="F369" s="551"/>
      <c r="G369" s="550"/>
      <c r="H369" s="551"/>
      <c r="I369" s="551"/>
      <c r="J369" s="551"/>
      <c r="K369" s="551"/>
      <c r="L369" s="551"/>
      <c r="M369" s="550"/>
      <c r="N369" s="550"/>
      <c r="O369" s="551"/>
      <c r="P369" s="551"/>
      <c r="Q369" s="550"/>
      <c r="R369" s="550"/>
      <c r="S369" s="546">
        <f t="shared" si="67"/>
        <v>0</v>
      </c>
      <c r="T369" s="547">
        <f t="shared" si="68"/>
        <v>0</v>
      </c>
      <c r="U369" s="546">
        <f t="shared" si="66"/>
        <v>0</v>
      </c>
      <c r="W369" s="350">
        <f t="shared" si="69"/>
        <v>0</v>
      </c>
      <c r="X369" s="285">
        <f t="shared" si="70"/>
        <v>0</v>
      </c>
      <c r="Y369" s="564"/>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564"/>
      <c r="AW369" s="564"/>
      <c r="AX369" s="564"/>
      <c r="AY369" s="564"/>
      <c r="AZ369" s="564"/>
      <c r="BA369" s="564"/>
      <c r="BB369" s="564"/>
      <c r="BC369" s="564"/>
      <c r="BD369" s="564"/>
      <c r="BE369" s="564"/>
      <c r="BF369" s="564"/>
      <c r="BG369" s="564"/>
      <c r="BH369" s="564"/>
      <c r="BI369" s="564"/>
      <c r="BJ369" s="564"/>
      <c r="BK369" s="564"/>
      <c r="BL369" s="564"/>
      <c r="BM369" s="564"/>
      <c r="BN369" s="564"/>
      <c r="BO369" s="564"/>
      <c r="BP369" s="564"/>
      <c r="BQ369" s="564"/>
      <c r="BR369" s="564"/>
      <c r="BS369" s="564"/>
      <c r="BT369" s="564"/>
      <c r="BU369" s="564"/>
      <c r="BV369" s="564"/>
      <c r="BW369" s="564"/>
      <c r="BX369" s="564"/>
      <c r="BY369" s="564"/>
    </row>
    <row r="370" spans="1:77" ht="12" thickBot="1">
      <c r="A370" s="596" t="s">
        <v>1507</v>
      </c>
      <c r="B370" s="541" t="s">
        <v>310</v>
      </c>
      <c r="C370" s="541" t="s">
        <v>1083</v>
      </c>
      <c r="D370" s="552" t="s">
        <v>1140</v>
      </c>
      <c r="E370" s="543"/>
      <c r="F370" s="545"/>
      <c r="G370" s="544"/>
      <c r="H370" s="545"/>
      <c r="I370" s="545"/>
      <c r="J370" s="545"/>
      <c r="K370" s="545"/>
      <c r="L370" s="545"/>
      <c r="M370" s="544"/>
      <c r="N370" s="544"/>
      <c r="O370" s="545"/>
      <c r="P370" s="545"/>
      <c r="Q370" s="544"/>
      <c r="R370" s="544"/>
      <c r="S370" s="546">
        <f t="shared" si="67"/>
        <v>0</v>
      </c>
      <c r="T370" s="547">
        <f t="shared" si="68"/>
        <v>0</v>
      </c>
      <c r="U370" s="546">
        <f t="shared" si="66"/>
        <v>0</v>
      </c>
      <c r="W370" s="350">
        <f t="shared" si="69"/>
        <v>0</v>
      </c>
      <c r="X370" s="285">
        <f t="shared" si="70"/>
        <v>0</v>
      </c>
      <c r="Y370" s="564"/>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564"/>
      <c r="AW370" s="564"/>
      <c r="AX370" s="564"/>
      <c r="AY370" s="564"/>
      <c r="AZ370" s="564"/>
      <c r="BA370" s="564"/>
      <c r="BB370" s="564"/>
      <c r="BC370" s="564"/>
      <c r="BD370" s="564"/>
      <c r="BE370" s="564"/>
      <c r="BF370" s="564"/>
      <c r="BG370" s="564"/>
      <c r="BH370" s="564"/>
      <c r="BI370" s="564"/>
      <c r="BJ370" s="564"/>
      <c r="BK370" s="564"/>
      <c r="BL370" s="564"/>
      <c r="BM370" s="564"/>
      <c r="BN370" s="564"/>
      <c r="BO370" s="564"/>
      <c r="BP370" s="564"/>
      <c r="BQ370" s="564"/>
      <c r="BR370" s="564"/>
      <c r="BS370" s="564"/>
      <c r="BT370" s="564"/>
      <c r="BU370" s="564"/>
      <c r="BV370" s="564"/>
      <c r="BW370" s="564"/>
      <c r="BX370" s="564"/>
      <c r="BY370" s="564"/>
    </row>
    <row r="371" spans="1:77" ht="12" thickBot="1">
      <c r="A371" s="596" t="s">
        <v>1507</v>
      </c>
      <c r="B371" s="541" t="s">
        <v>340</v>
      </c>
      <c r="C371" s="541" t="s">
        <v>1084</v>
      </c>
      <c r="D371" s="552" t="s">
        <v>1140</v>
      </c>
      <c r="E371" s="549"/>
      <c r="F371" s="551"/>
      <c r="G371" s="550"/>
      <c r="H371" s="551"/>
      <c r="I371" s="551"/>
      <c r="J371" s="551"/>
      <c r="K371" s="551"/>
      <c r="L371" s="551"/>
      <c r="M371" s="550"/>
      <c r="N371" s="550"/>
      <c r="O371" s="551"/>
      <c r="P371" s="551"/>
      <c r="Q371" s="550"/>
      <c r="R371" s="550"/>
      <c r="S371" s="546">
        <f t="shared" si="67"/>
        <v>0</v>
      </c>
      <c r="T371" s="547">
        <f t="shared" si="68"/>
        <v>0</v>
      </c>
      <c r="U371" s="546">
        <f t="shared" si="66"/>
        <v>0</v>
      </c>
      <c r="W371" s="350">
        <f t="shared" si="69"/>
        <v>0</v>
      </c>
      <c r="X371" s="285">
        <f t="shared" si="70"/>
        <v>0</v>
      </c>
      <c r="Y371" s="564"/>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564"/>
      <c r="AW371" s="564"/>
      <c r="AX371" s="564"/>
      <c r="AY371" s="564"/>
      <c r="AZ371" s="564"/>
      <c r="BA371" s="564"/>
      <c r="BB371" s="564"/>
      <c r="BC371" s="564"/>
      <c r="BD371" s="564"/>
      <c r="BE371" s="564"/>
      <c r="BF371" s="564"/>
      <c r="BG371" s="564"/>
      <c r="BH371" s="564"/>
      <c r="BI371" s="564"/>
      <c r="BJ371" s="564"/>
      <c r="BK371" s="564"/>
      <c r="BL371" s="564"/>
      <c r="BM371" s="564"/>
      <c r="BN371" s="564"/>
      <c r="BO371" s="564"/>
      <c r="BP371" s="564"/>
      <c r="BQ371" s="564"/>
      <c r="BR371" s="564"/>
      <c r="BS371" s="564"/>
      <c r="BT371" s="564"/>
      <c r="BU371" s="564"/>
      <c r="BV371" s="564"/>
      <c r="BW371" s="564"/>
      <c r="BX371" s="564"/>
      <c r="BY371" s="564"/>
    </row>
    <row r="372" spans="1:77" ht="12" thickBot="1">
      <c r="A372" s="596" t="s">
        <v>1507</v>
      </c>
      <c r="B372" s="541" t="s">
        <v>358</v>
      </c>
      <c r="C372" s="541" t="s">
        <v>1085</v>
      </c>
      <c r="D372" s="552" t="s">
        <v>1140</v>
      </c>
      <c r="E372" s="543"/>
      <c r="F372" s="545"/>
      <c r="G372" s="544"/>
      <c r="H372" s="545"/>
      <c r="I372" s="545"/>
      <c r="J372" s="545"/>
      <c r="K372" s="545"/>
      <c r="L372" s="545"/>
      <c r="M372" s="544"/>
      <c r="N372" s="544"/>
      <c r="O372" s="545"/>
      <c r="P372" s="545"/>
      <c r="Q372" s="544"/>
      <c r="R372" s="544"/>
      <c r="S372" s="546">
        <f t="shared" si="67"/>
        <v>0</v>
      </c>
      <c r="T372" s="547">
        <f t="shared" si="68"/>
        <v>0</v>
      </c>
      <c r="U372" s="546">
        <f t="shared" si="66"/>
        <v>0</v>
      </c>
      <c r="W372" s="350">
        <f t="shared" si="69"/>
        <v>0</v>
      </c>
      <c r="X372" s="285">
        <f t="shared" si="70"/>
        <v>0</v>
      </c>
      <c r="Y372" s="564"/>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564"/>
      <c r="AW372" s="564"/>
      <c r="AX372" s="564"/>
      <c r="AY372" s="564"/>
      <c r="AZ372" s="564"/>
      <c r="BA372" s="564"/>
      <c r="BB372" s="564"/>
      <c r="BC372" s="564"/>
      <c r="BD372" s="564"/>
      <c r="BE372" s="564"/>
      <c r="BF372" s="564"/>
      <c r="BG372" s="564"/>
      <c r="BH372" s="564"/>
      <c r="BI372" s="564"/>
      <c r="BJ372" s="564"/>
      <c r="BK372" s="564"/>
      <c r="BL372" s="564"/>
      <c r="BM372" s="564"/>
      <c r="BN372" s="564"/>
      <c r="BO372" s="564"/>
      <c r="BP372" s="564"/>
      <c r="BQ372" s="564"/>
      <c r="BR372" s="564"/>
      <c r="BS372" s="564"/>
      <c r="BT372" s="564"/>
      <c r="BU372" s="564"/>
      <c r="BV372" s="564"/>
      <c r="BW372" s="564"/>
      <c r="BX372" s="564"/>
      <c r="BY372" s="564"/>
    </row>
    <row r="373" spans="1:77" ht="12" thickBot="1">
      <c r="A373" s="596" t="s">
        <v>1507</v>
      </c>
      <c r="B373" s="541" t="s">
        <v>383</v>
      </c>
      <c r="C373" s="541" t="s">
        <v>1086</v>
      </c>
      <c r="D373" s="552" t="s">
        <v>1140</v>
      </c>
      <c r="E373" s="549"/>
      <c r="F373" s="551"/>
      <c r="G373" s="550"/>
      <c r="H373" s="551"/>
      <c r="I373" s="551"/>
      <c r="J373" s="551"/>
      <c r="K373" s="551"/>
      <c r="L373" s="551"/>
      <c r="M373" s="550"/>
      <c r="N373" s="550"/>
      <c r="O373" s="551"/>
      <c r="P373" s="551"/>
      <c r="Q373" s="550"/>
      <c r="R373" s="550"/>
      <c r="S373" s="546">
        <f t="shared" si="67"/>
        <v>0</v>
      </c>
      <c r="T373" s="547">
        <f t="shared" si="68"/>
        <v>0</v>
      </c>
      <c r="U373" s="546">
        <f t="shared" si="66"/>
        <v>0</v>
      </c>
      <c r="W373" s="350">
        <f t="shared" si="69"/>
        <v>0</v>
      </c>
      <c r="X373" s="285">
        <f t="shared" si="70"/>
        <v>0</v>
      </c>
      <c r="Y373" s="564"/>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564"/>
      <c r="AW373" s="564"/>
      <c r="AX373" s="564"/>
      <c r="AY373" s="564"/>
      <c r="AZ373" s="564"/>
      <c r="BA373" s="564"/>
      <c r="BB373" s="564"/>
      <c r="BC373" s="564"/>
      <c r="BD373" s="564"/>
      <c r="BE373" s="564"/>
      <c r="BF373" s="564"/>
      <c r="BG373" s="564"/>
      <c r="BH373" s="564"/>
      <c r="BI373" s="564"/>
      <c r="BJ373" s="564"/>
      <c r="BK373" s="564"/>
      <c r="BL373" s="564"/>
      <c r="BM373" s="564"/>
      <c r="BN373" s="564"/>
      <c r="BO373" s="564"/>
      <c r="BP373" s="564"/>
      <c r="BQ373" s="564"/>
      <c r="BR373" s="564"/>
      <c r="BS373" s="564"/>
      <c r="BT373" s="564"/>
      <c r="BU373" s="564"/>
      <c r="BV373" s="564"/>
      <c r="BW373" s="564"/>
      <c r="BX373" s="564"/>
      <c r="BY373" s="564"/>
    </row>
    <row r="374" spans="1:77" ht="12" thickBot="1">
      <c r="A374" s="596" t="s">
        <v>1507</v>
      </c>
      <c r="B374" s="541" t="s">
        <v>375</v>
      </c>
      <c r="C374" s="541" t="s">
        <v>1087</v>
      </c>
      <c r="D374" s="552" t="s">
        <v>1140</v>
      </c>
      <c r="E374" s="543"/>
      <c r="F374" s="545"/>
      <c r="G374" s="544"/>
      <c r="H374" s="545"/>
      <c r="I374" s="545"/>
      <c r="J374" s="545"/>
      <c r="K374" s="545"/>
      <c r="L374" s="545"/>
      <c r="M374" s="544"/>
      <c r="N374" s="544"/>
      <c r="O374" s="545"/>
      <c r="P374" s="545"/>
      <c r="Q374" s="544"/>
      <c r="R374" s="544"/>
      <c r="S374" s="546">
        <f t="shared" si="67"/>
        <v>0</v>
      </c>
      <c r="T374" s="547">
        <f t="shared" si="68"/>
        <v>0</v>
      </c>
      <c r="U374" s="546">
        <f t="shared" si="66"/>
        <v>0</v>
      </c>
      <c r="W374" s="350">
        <f t="shared" si="69"/>
        <v>0</v>
      </c>
      <c r="X374" s="285">
        <f t="shared" si="70"/>
        <v>0</v>
      </c>
      <c r="Y374" s="564"/>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564"/>
      <c r="AW374" s="564"/>
      <c r="AX374" s="564"/>
      <c r="AY374" s="564"/>
      <c r="AZ374" s="564"/>
      <c r="BA374" s="564"/>
      <c r="BB374" s="564"/>
      <c r="BC374" s="564"/>
      <c r="BD374" s="564"/>
      <c r="BE374" s="564"/>
      <c r="BF374" s="564"/>
      <c r="BG374" s="564"/>
      <c r="BH374" s="564"/>
      <c r="BI374" s="564"/>
      <c r="BJ374" s="564"/>
      <c r="BK374" s="564"/>
      <c r="BL374" s="564"/>
      <c r="BM374" s="564"/>
      <c r="BN374" s="564"/>
      <c r="BO374" s="564"/>
      <c r="BP374" s="564"/>
      <c r="BQ374" s="564"/>
      <c r="BR374" s="564"/>
      <c r="BS374" s="564"/>
      <c r="BT374" s="564"/>
      <c r="BU374" s="564"/>
      <c r="BV374" s="564"/>
      <c r="BW374" s="564"/>
      <c r="BX374" s="564"/>
      <c r="BY374" s="564"/>
    </row>
    <row r="375" spans="1:77" ht="12" thickBot="1">
      <c r="A375" s="596" t="s">
        <v>1507</v>
      </c>
      <c r="B375" s="541" t="s">
        <v>400</v>
      </c>
      <c r="C375" s="541" t="s">
        <v>1088</v>
      </c>
      <c r="D375" s="552" t="s">
        <v>1139</v>
      </c>
      <c r="E375" s="549"/>
      <c r="F375" s="551"/>
      <c r="G375" s="550"/>
      <c r="H375" s="551"/>
      <c r="I375" s="551"/>
      <c r="J375" s="551"/>
      <c r="K375" s="551"/>
      <c r="L375" s="551"/>
      <c r="M375" s="550"/>
      <c r="N375" s="550"/>
      <c r="O375" s="551"/>
      <c r="P375" s="551"/>
      <c r="Q375" s="550"/>
      <c r="R375" s="550"/>
      <c r="S375" s="546">
        <f t="shared" si="67"/>
        <v>0</v>
      </c>
      <c r="T375" s="547">
        <f t="shared" si="68"/>
        <v>0</v>
      </c>
      <c r="U375" s="546">
        <f t="shared" si="66"/>
        <v>0</v>
      </c>
      <c r="W375" s="350">
        <f t="shared" si="69"/>
        <v>0</v>
      </c>
      <c r="X375" s="285">
        <f t="shared" si="70"/>
        <v>0</v>
      </c>
      <c r="Y375" s="564"/>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564"/>
      <c r="AW375" s="564"/>
      <c r="AX375" s="564"/>
      <c r="AY375" s="564"/>
      <c r="AZ375" s="564"/>
      <c r="BA375" s="564"/>
      <c r="BB375" s="564"/>
      <c r="BC375" s="564"/>
      <c r="BD375" s="564"/>
      <c r="BE375" s="564"/>
      <c r="BF375" s="564"/>
      <c r="BG375" s="564"/>
      <c r="BH375" s="564"/>
      <c r="BI375" s="564"/>
      <c r="BJ375" s="564"/>
      <c r="BK375" s="564"/>
      <c r="BL375" s="564"/>
      <c r="BM375" s="564"/>
      <c r="BN375" s="564"/>
      <c r="BO375" s="564"/>
      <c r="BP375" s="564"/>
      <c r="BQ375" s="564"/>
      <c r="BR375" s="564"/>
      <c r="BS375" s="564"/>
      <c r="BT375" s="564"/>
      <c r="BU375" s="564"/>
      <c r="BV375" s="564"/>
      <c r="BW375" s="564"/>
      <c r="BX375" s="564"/>
      <c r="BY375" s="564"/>
    </row>
    <row r="376" spans="1:77" ht="12" thickBot="1">
      <c r="A376" s="596" t="s">
        <v>1507</v>
      </c>
      <c r="B376" s="541" t="s">
        <v>391</v>
      </c>
      <c r="C376" s="541" t="s">
        <v>1089</v>
      </c>
      <c r="D376" s="552" t="s">
        <v>1139</v>
      </c>
      <c r="E376" s="543"/>
      <c r="F376" s="545"/>
      <c r="G376" s="544"/>
      <c r="H376" s="545"/>
      <c r="I376" s="545"/>
      <c r="J376" s="545"/>
      <c r="K376" s="545"/>
      <c r="L376" s="545"/>
      <c r="M376" s="544"/>
      <c r="N376" s="544"/>
      <c r="O376" s="545"/>
      <c r="P376" s="545"/>
      <c r="Q376" s="544"/>
      <c r="R376" s="544"/>
      <c r="S376" s="546">
        <f t="shared" si="67"/>
        <v>0</v>
      </c>
      <c r="T376" s="547">
        <f t="shared" si="68"/>
        <v>0</v>
      </c>
      <c r="U376" s="546">
        <f t="shared" si="66"/>
        <v>0</v>
      </c>
      <c r="W376" s="350">
        <f t="shared" si="69"/>
        <v>0</v>
      </c>
      <c r="X376" s="285">
        <f t="shared" si="70"/>
        <v>0</v>
      </c>
      <c r="Y376" s="564"/>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564"/>
      <c r="AW376" s="564"/>
      <c r="AX376" s="564"/>
      <c r="AY376" s="564"/>
      <c r="AZ376" s="564"/>
      <c r="BA376" s="564"/>
      <c r="BB376" s="564"/>
      <c r="BC376" s="564"/>
      <c r="BD376" s="564"/>
      <c r="BE376" s="564"/>
      <c r="BF376" s="564"/>
      <c r="BG376" s="564"/>
      <c r="BH376" s="564"/>
      <c r="BI376" s="564"/>
      <c r="BJ376" s="564"/>
      <c r="BK376" s="564"/>
      <c r="BL376" s="564"/>
      <c r="BM376" s="564"/>
      <c r="BN376" s="564"/>
      <c r="BO376" s="564"/>
      <c r="BP376" s="564"/>
      <c r="BQ376" s="564"/>
      <c r="BR376" s="564"/>
      <c r="BS376" s="564"/>
      <c r="BT376" s="564"/>
      <c r="BU376" s="564"/>
      <c r="BV376" s="564"/>
      <c r="BW376" s="564"/>
      <c r="BX376" s="564"/>
      <c r="BY376" s="564"/>
    </row>
    <row r="377" spans="1:77" ht="12" thickBot="1">
      <c r="A377" s="596" t="s">
        <v>1507</v>
      </c>
      <c r="B377" s="541" t="s">
        <v>357</v>
      </c>
      <c r="C377" s="541" t="s">
        <v>1090</v>
      </c>
      <c r="D377" s="552" t="s">
        <v>1140</v>
      </c>
      <c r="E377" s="549"/>
      <c r="F377" s="551"/>
      <c r="G377" s="550"/>
      <c r="H377" s="551"/>
      <c r="I377" s="551"/>
      <c r="J377" s="551"/>
      <c r="K377" s="551"/>
      <c r="L377" s="551"/>
      <c r="M377" s="550"/>
      <c r="N377" s="550"/>
      <c r="O377" s="551"/>
      <c r="P377" s="551"/>
      <c r="Q377" s="550"/>
      <c r="R377" s="550"/>
      <c r="S377" s="546">
        <f t="shared" si="67"/>
        <v>0</v>
      </c>
      <c r="T377" s="547">
        <f t="shared" si="68"/>
        <v>0</v>
      </c>
      <c r="U377" s="546">
        <f t="shared" si="66"/>
        <v>0</v>
      </c>
      <c r="W377" s="350">
        <f t="shared" si="69"/>
        <v>0</v>
      </c>
      <c r="X377" s="285">
        <f t="shared" si="70"/>
        <v>0</v>
      </c>
      <c r="Y377" s="564"/>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564"/>
      <c r="AW377" s="564"/>
      <c r="AX377" s="564"/>
      <c r="AY377" s="564"/>
      <c r="AZ377" s="564"/>
      <c r="BA377" s="564"/>
      <c r="BB377" s="564"/>
      <c r="BC377" s="564"/>
      <c r="BD377" s="564"/>
      <c r="BE377" s="564"/>
      <c r="BF377" s="564"/>
      <c r="BG377" s="564"/>
      <c r="BH377" s="564"/>
      <c r="BI377" s="564"/>
      <c r="BJ377" s="564"/>
      <c r="BK377" s="564"/>
      <c r="BL377" s="564"/>
      <c r="BM377" s="564"/>
      <c r="BN377" s="564"/>
      <c r="BO377" s="564"/>
      <c r="BP377" s="564"/>
      <c r="BQ377" s="564"/>
      <c r="BR377" s="564"/>
      <c r="BS377" s="564"/>
      <c r="BT377" s="564"/>
      <c r="BU377" s="564"/>
      <c r="BV377" s="564"/>
      <c r="BW377" s="564"/>
      <c r="BX377" s="564"/>
      <c r="BY377" s="564"/>
    </row>
    <row r="378" spans="1:77" ht="12" thickBot="1">
      <c r="A378" s="596" t="s">
        <v>1507</v>
      </c>
      <c r="B378" s="541" t="s">
        <v>359</v>
      </c>
      <c r="C378" s="541" t="s">
        <v>1091</v>
      </c>
      <c r="D378" s="552" t="s">
        <v>1140</v>
      </c>
      <c r="E378" s="543"/>
      <c r="F378" s="545"/>
      <c r="G378" s="544"/>
      <c r="H378" s="545"/>
      <c r="I378" s="545"/>
      <c r="J378" s="545"/>
      <c r="K378" s="545"/>
      <c r="L378" s="545"/>
      <c r="M378" s="544"/>
      <c r="N378" s="544"/>
      <c r="O378" s="545"/>
      <c r="P378" s="545"/>
      <c r="Q378" s="544"/>
      <c r="R378" s="544"/>
      <c r="S378" s="546">
        <f t="shared" si="67"/>
        <v>0</v>
      </c>
      <c r="T378" s="547">
        <f t="shared" si="68"/>
        <v>0</v>
      </c>
      <c r="U378" s="546">
        <f t="shared" si="66"/>
        <v>0</v>
      </c>
      <c r="W378" s="350">
        <f t="shared" si="69"/>
        <v>0</v>
      </c>
      <c r="X378" s="285">
        <f t="shared" si="70"/>
        <v>0</v>
      </c>
      <c r="Y378" s="564"/>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564"/>
      <c r="AW378" s="564"/>
      <c r="AX378" s="564"/>
      <c r="AY378" s="564"/>
      <c r="AZ378" s="564"/>
      <c r="BA378" s="564"/>
      <c r="BB378" s="564"/>
      <c r="BC378" s="564"/>
      <c r="BD378" s="564"/>
      <c r="BE378" s="564"/>
      <c r="BF378" s="564"/>
      <c r="BG378" s="564"/>
      <c r="BH378" s="564"/>
      <c r="BI378" s="564"/>
      <c r="BJ378" s="564"/>
      <c r="BK378" s="564"/>
      <c r="BL378" s="564"/>
      <c r="BM378" s="564"/>
      <c r="BN378" s="564"/>
      <c r="BO378" s="564"/>
      <c r="BP378" s="564"/>
      <c r="BQ378" s="564"/>
      <c r="BR378" s="564"/>
      <c r="BS378" s="564"/>
      <c r="BT378" s="564"/>
      <c r="BU378" s="564"/>
      <c r="BV378" s="564"/>
      <c r="BW378" s="564"/>
      <c r="BX378" s="564"/>
      <c r="BY378" s="564"/>
    </row>
    <row r="379" spans="1:77" ht="12" thickBot="1">
      <c r="A379" s="596" t="s">
        <v>1507</v>
      </c>
      <c r="B379" s="541" t="s">
        <v>385</v>
      </c>
      <c r="C379" s="541" t="s">
        <v>1092</v>
      </c>
      <c r="D379" s="552" t="s">
        <v>1140</v>
      </c>
      <c r="E379" s="549"/>
      <c r="F379" s="551"/>
      <c r="G379" s="550"/>
      <c r="H379" s="551"/>
      <c r="I379" s="551"/>
      <c r="J379" s="551"/>
      <c r="K379" s="551"/>
      <c r="L379" s="551"/>
      <c r="M379" s="550"/>
      <c r="N379" s="550"/>
      <c r="O379" s="551"/>
      <c r="P379" s="551"/>
      <c r="Q379" s="550"/>
      <c r="R379" s="550"/>
      <c r="S379" s="546">
        <f t="shared" si="67"/>
        <v>0</v>
      </c>
      <c r="T379" s="547">
        <f t="shared" si="68"/>
        <v>0</v>
      </c>
      <c r="U379" s="546">
        <f t="shared" si="66"/>
        <v>0</v>
      </c>
      <c r="W379" s="350">
        <f t="shared" si="69"/>
        <v>0</v>
      </c>
      <c r="X379" s="285">
        <f t="shared" si="70"/>
        <v>0</v>
      </c>
      <c r="Y379" s="564"/>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564"/>
      <c r="AW379" s="564"/>
      <c r="AX379" s="564"/>
      <c r="AY379" s="564"/>
      <c r="AZ379" s="564"/>
      <c r="BA379" s="564"/>
      <c r="BB379" s="564"/>
      <c r="BC379" s="564"/>
      <c r="BD379" s="564"/>
      <c r="BE379" s="564"/>
      <c r="BF379" s="564"/>
      <c r="BG379" s="564"/>
      <c r="BH379" s="564"/>
      <c r="BI379" s="564"/>
      <c r="BJ379" s="564"/>
      <c r="BK379" s="564"/>
      <c r="BL379" s="564"/>
      <c r="BM379" s="564"/>
      <c r="BN379" s="564"/>
      <c r="BO379" s="564"/>
      <c r="BP379" s="564"/>
      <c r="BQ379" s="564"/>
      <c r="BR379" s="564"/>
      <c r="BS379" s="564"/>
      <c r="BT379" s="564"/>
      <c r="BU379" s="564"/>
      <c r="BV379" s="564"/>
      <c r="BW379" s="564"/>
      <c r="BX379" s="564"/>
      <c r="BY379" s="564"/>
    </row>
    <row r="380" spans="1:77" ht="12" thickBot="1">
      <c r="A380" s="596" t="s">
        <v>1507</v>
      </c>
      <c r="B380" s="541" t="s">
        <v>312</v>
      </c>
      <c r="C380" s="541" t="s">
        <v>1093</v>
      </c>
      <c r="D380" s="552" t="s">
        <v>1140</v>
      </c>
      <c r="E380" s="543"/>
      <c r="F380" s="545"/>
      <c r="G380" s="544"/>
      <c r="H380" s="545"/>
      <c r="I380" s="545"/>
      <c r="J380" s="545"/>
      <c r="K380" s="545"/>
      <c r="L380" s="545"/>
      <c r="M380" s="544"/>
      <c r="N380" s="544"/>
      <c r="O380" s="545"/>
      <c r="P380" s="545"/>
      <c r="Q380" s="544"/>
      <c r="R380" s="544"/>
      <c r="S380" s="546">
        <f t="shared" si="67"/>
        <v>0</v>
      </c>
      <c r="T380" s="547">
        <f t="shared" si="68"/>
        <v>0</v>
      </c>
      <c r="U380" s="546">
        <f t="shared" si="66"/>
        <v>0</v>
      </c>
      <c r="W380" s="350">
        <f t="shared" si="69"/>
        <v>0</v>
      </c>
      <c r="X380" s="285">
        <f t="shared" si="70"/>
        <v>0</v>
      </c>
      <c r="Y380" s="564"/>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564"/>
      <c r="AW380" s="564"/>
      <c r="AX380" s="564"/>
      <c r="AY380" s="564"/>
      <c r="AZ380" s="564"/>
      <c r="BA380" s="564"/>
      <c r="BB380" s="564"/>
      <c r="BC380" s="564"/>
      <c r="BD380" s="564"/>
      <c r="BE380" s="564"/>
      <c r="BF380" s="564"/>
      <c r="BG380" s="564"/>
      <c r="BH380" s="564"/>
      <c r="BI380" s="564"/>
      <c r="BJ380" s="564"/>
      <c r="BK380" s="564"/>
      <c r="BL380" s="564"/>
      <c r="BM380" s="564"/>
      <c r="BN380" s="564"/>
      <c r="BO380" s="564"/>
      <c r="BP380" s="564"/>
      <c r="BQ380" s="564"/>
      <c r="BR380" s="564"/>
      <c r="BS380" s="564"/>
      <c r="BT380" s="564"/>
      <c r="BU380" s="564"/>
      <c r="BV380" s="564"/>
      <c r="BW380" s="564"/>
      <c r="BX380" s="564"/>
      <c r="BY380" s="564"/>
    </row>
    <row r="381" spans="1:77" ht="12" thickBot="1">
      <c r="A381" s="596" t="s">
        <v>1507</v>
      </c>
      <c r="B381" s="541" t="s">
        <v>421</v>
      </c>
      <c r="C381" s="541" t="s">
        <v>1094</v>
      </c>
      <c r="D381" s="552" t="s">
        <v>1140</v>
      </c>
      <c r="E381" s="549"/>
      <c r="F381" s="551"/>
      <c r="G381" s="550"/>
      <c r="H381" s="551"/>
      <c r="I381" s="551"/>
      <c r="J381" s="551"/>
      <c r="K381" s="551"/>
      <c r="L381" s="551"/>
      <c r="M381" s="550"/>
      <c r="N381" s="550"/>
      <c r="O381" s="551"/>
      <c r="P381" s="551"/>
      <c r="Q381" s="550"/>
      <c r="R381" s="550"/>
      <c r="S381" s="546">
        <f t="shared" si="67"/>
        <v>0</v>
      </c>
      <c r="T381" s="547">
        <f t="shared" si="68"/>
        <v>0</v>
      </c>
      <c r="U381" s="546">
        <f t="shared" si="66"/>
        <v>0</v>
      </c>
      <c r="W381" s="350">
        <f t="shared" si="69"/>
        <v>0</v>
      </c>
      <c r="X381" s="285">
        <f t="shared" si="70"/>
        <v>0</v>
      </c>
      <c r="Y381" s="564"/>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564"/>
      <c r="AW381" s="564"/>
      <c r="AX381" s="564"/>
      <c r="AY381" s="564"/>
      <c r="AZ381" s="564"/>
      <c r="BA381" s="564"/>
      <c r="BB381" s="564"/>
      <c r="BC381" s="564"/>
      <c r="BD381" s="564"/>
      <c r="BE381" s="564"/>
      <c r="BF381" s="564"/>
      <c r="BG381" s="564"/>
      <c r="BH381" s="564"/>
      <c r="BI381" s="564"/>
      <c r="BJ381" s="564"/>
      <c r="BK381" s="564"/>
      <c r="BL381" s="564"/>
      <c r="BM381" s="564"/>
      <c r="BN381" s="564"/>
      <c r="BO381" s="564"/>
      <c r="BP381" s="564"/>
      <c r="BQ381" s="564"/>
      <c r="BR381" s="564"/>
      <c r="BS381" s="564"/>
      <c r="BT381" s="564"/>
      <c r="BU381" s="564"/>
      <c r="BV381" s="564"/>
      <c r="BW381" s="564"/>
      <c r="BX381" s="564"/>
      <c r="BY381" s="564"/>
    </row>
    <row r="382" spans="1:77" ht="12" thickBot="1">
      <c r="A382" s="596" t="s">
        <v>1507</v>
      </c>
      <c r="B382" s="541" t="s">
        <v>322</v>
      </c>
      <c r="C382" s="541" t="s">
        <v>1095</v>
      </c>
      <c r="D382" s="552" t="s">
        <v>1139</v>
      </c>
      <c r="E382" s="543"/>
      <c r="F382" s="545"/>
      <c r="G382" s="544"/>
      <c r="H382" s="545"/>
      <c r="I382" s="545"/>
      <c r="J382" s="545"/>
      <c r="K382" s="545"/>
      <c r="L382" s="545"/>
      <c r="M382" s="544"/>
      <c r="N382" s="544"/>
      <c r="O382" s="545"/>
      <c r="P382" s="545"/>
      <c r="Q382" s="544"/>
      <c r="R382" s="544"/>
      <c r="S382" s="546">
        <f t="shared" si="67"/>
        <v>0</v>
      </c>
      <c r="T382" s="547">
        <f t="shared" si="68"/>
        <v>0</v>
      </c>
      <c r="U382" s="546">
        <f t="shared" si="66"/>
        <v>0</v>
      </c>
      <c r="W382" s="350">
        <f t="shared" si="69"/>
        <v>0</v>
      </c>
      <c r="X382" s="285">
        <f t="shared" si="70"/>
        <v>0</v>
      </c>
      <c r="Y382" s="564"/>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564"/>
      <c r="AW382" s="564"/>
      <c r="AX382" s="564"/>
      <c r="AY382" s="564"/>
      <c r="AZ382" s="564"/>
      <c r="BA382" s="564"/>
      <c r="BB382" s="564"/>
      <c r="BC382" s="564"/>
      <c r="BD382" s="564"/>
      <c r="BE382" s="564"/>
      <c r="BF382" s="564"/>
      <c r="BG382" s="564"/>
      <c r="BH382" s="564"/>
      <c r="BI382" s="564"/>
      <c r="BJ382" s="564"/>
      <c r="BK382" s="564"/>
      <c r="BL382" s="564"/>
      <c r="BM382" s="564"/>
      <c r="BN382" s="564"/>
      <c r="BO382" s="564"/>
      <c r="BP382" s="564"/>
      <c r="BQ382" s="564"/>
      <c r="BR382" s="564"/>
      <c r="BS382" s="564"/>
      <c r="BT382" s="564"/>
      <c r="BU382" s="564"/>
      <c r="BV382" s="564"/>
      <c r="BW382" s="564"/>
      <c r="BX382" s="564"/>
      <c r="BY382" s="564"/>
    </row>
    <row r="383" spans="1:77" ht="12" thickBot="1">
      <c r="A383" s="596" t="s">
        <v>1507</v>
      </c>
      <c r="B383" s="541" t="s">
        <v>354</v>
      </c>
      <c r="C383" s="541" t="s">
        <v>1096</v>
      </c>
      <c r="D383" s="552" t="s">
        <v>1139</v>
      </c>
      <c r="E383" s="549"/>
      <c r="F383" s="551"/>
      <c r="G383" s="550"/>
      <c r="H383" s="551"/>
      <c r="I383" s="551"/>
      <c r="J383" s="551"/>
      <c r="K383" s="551"/>
      <c r="L383" s="551"/>
      <c r="M383" s="550"/>
      <c r="N383" s="550"/>
      <c r="O383" s="551"/>
      <c r="P383" s="551"/>
      <c r="Q383" s="550"/>
      <c r="R383" s="550"/>
      <c r="S383" s="546">
        <f t="shared" si="67"/>
        <v>0</v>
      </c>
      <c r="T383" s="547">
        <f t="shared" si="68"/>
        <v>0</v>
      </c>
      <c r="U383" s="546">
        <f t="shared" si="66"/>
        <v>0</v>
      </c>
      <c r="W383" s="350">
        <f t="shared" si="69"/>
        <v>0</v>
      </c>
      <c r="X383" s="285">
        <f t="shared" si="70"/>
        <v>0</v>
      </c>
      <c r="Y383" s="564"/>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564"/>
      <c r="AW383" s="564"/>
      <c r="AX383" s="564"/>
      <c r="AY383" s="564"/>
      <c r="AZ383" s="564"/>
      <c r="BA383" s="564"/>
      <c r="BB383" s="564"/>
      <c r="BC383" s="564"/>
      <c r="BD383" s="564"/>
      <c r="BE383" s="564"/>
      <c r="BF383" s="564"/>
      <c r="BG383" s="564"/>
      <c r="BH383" s="564"/>
      <c r="BI383" s="564"/>
      <c r="BJ383" s="564"/>
      <c r="BK383" s="564"/>
      <c r="BL383" s="564"/>
      <c r="BM383" s="564"/>
      <c r="BN383" s="564"/>
      <c r="BO383" s="564"/>
      <c r="BP383" s="564"/>
      <c r="BQ383" s="564"/>
      <c r="BR383" s="564"/>
      <c r="BS383" s="564"/>
      <c r="BT383" s="564"/>
      <c r="BU383" s="564"/>
      <c r="BV383" s="564"/>
      <c r="BW383" s="564"/>
      <c r="BX383" s="564"/>
      <c r="BY383" s="564"/>
    </row>
    <row r="384" spans="1:77" ht="12" thickBot="1">
      <c r="A384" s="596" t="s">
        <v>1507</v>
      </c>
      <c r="B384" s="541" t="s">
        <v>317</v>
      </c>
      <c r="C384" s="541" t="s">
        <v>1097</v>
      </c>
      <c r="D384" s="552" t="s">
        <v>1139</v>
      </c>
      <c r="E384" s="543"/>
      <c r="F384" s="545"/>
      <c r="G384" s="544"/>
      <c r="H384" s="545"/>
      <c r="I384" s="545"/>
      <c r="J384" s="545"/>
      <c r="K384" s="545"/>
      <c r="L384" s="545"/>
      <c r="M384" s="544"/>
      <c r="N384" s="544"/>
      <c r="O384" s="545"/>
      <c r="P384" s="545"/>
      <c r="Q384" s="544"/>
      <c r="R384" s="544"/>
      <c r="S384" s="546">
        <f t="shared" si="67"/>
        <v>0</v>
      </c>
      <c r="T384" s="547">
        <f t="shared" si="68"/>
        <v>0</v>
      </c>
      <c r="U384" s="546">
        <f t="shared" si="66"/>
        <v>0</v>
      </c>
      <c r="W384" s="350">
        <f t="shared" si="69"/>
        <v>0</v>
      </c>
      <c r="X384" s="285">
        <f t="shared" si="70"/>
        <v>0</v>
      </c>
      <c r="Y384" s="564"/>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564"/>
      <c r="AW384" s="564"/>
      <c r="AX384" s="564"/>
      <c r="AY384" s="564"/>
      <c r="AZ384" s="564"/>
      <c r="BA384" s="564"/>
      <c r="BB384" s="564"/>
      <c r="BC384" s="564"/>
      <c r="BD384" s="564"/>
      <c r="BE384" s="564"/>
      <c r="BF384" s="564"/>
      <c r="BG384" s="564"/>
      <c r="BH384" s="564"/>
      <c r="BI384" s="564"/>
      <c r="BJ384" s="564"/>
      <c r="BK384" s="564"/>
      <c r="BL384" s="564"/>
      <c r="BM384" s="564"/>
      <c r="BN384" s="564"/>
      <c r="BO384" s="564"/>
      <c r="BP384" s="564"/>
      <c r="BQ384" s="564"/>
      <c r="BR384" s="564"/>
      <c r="BS384" s="564"/>
      <c r="BT384" s="564"/>
      <c r="BU384" s="564"/>
      <c r="BV384" s="564"/>
      <c r="BW384" s="564"/>
      <c r="BX384" s="564"/>
      <c r="BY384" s="564"/>
    </row>
    <row r="385" spans="1:77" ht="12" thickBot="1">
      <c r="A385" s="596" t="s">
        <v>1507</v>
      </c>
      <c r="B385" s="541" t="s">
        <v>320</v>
      </c>
      <c r="C385" s="541" t="s">
        <v>1098</v>
      </c>
      <c r="D385" s="552" t="s">
        <v>1140</v>
      </c>
      <c r="E385" s="549"/>
      <c r="F385" s="551"/>
      <c r="G385" s="550"/>
      <c r="H385" s="551"/>
      <c r="I385" s="551"/>
      <c r="J385" s="551"/>
      <c r="K385" s="551"/>
      <c r="L385" s="551"/>
      <c r="M385" s="550"/>
      <c r="N385" s="550"/>
      <c r="O385" s="551"/>
      <c r="P385" s="551"/>
      <c r="Q385" s="550"/>
      <c r="R385" s="550"/>
      <c r="S385" s="546">
        <f t="shared" si="67"/>
        <v>0</v>
      </c>
      <c r="T385" s="547">
        <f t="shared" si="68"/>
        <v>0</v>
      </c>
      <c r="U385" s="546">
        <f t="shared" si="66"/>
        <v>0</v>
      </c>
      <c r="W385" s="350">
        <f t="shared" si="69"/>
        <v>0</v>
      </c>
      <c r="X385" s="285">
        <f t="shared" si="70"/>
        <v>0</v>
      </c>
      <c r="Y385" s="564"/>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564"/>
      <c r="AW385" s="564"/>
      <c r="AX385" s="564"/>
      <c r="AY385" s="564"/>
      <c r="AZ385" s="564"/>
      <c r="BA385" s="564"/>
      <c r="BB385" s="564"/>
      <c r="BC385" s="564"/>
      <c r="BD385" s="564"/>
      <c r="BE385" s="564"/>
      <c r="BF385" s="564"/>
      <c r="BG385" s="564"/>
      <c r="BH385" s="564"/>
      <c r="BI385" s="564"/>
      <c r="BJ385" s="564"/>
      <c r="BK385" s="564"/>
      <c r="BL385" s="564"/>
      <c r="BM385" s="564"/>
      <c r="BN385" s="564"/>
      <c r="BO385" s="564"/>
      <c r="BP385" s="564"/>
      <c r="BQ385" s="564"/>
      <c r="BR385" s="564"/>
      <c r="BS385" s="564"/>
      <c r="BT385" s="564"/>
      <c r="BU385" s="564"/>
      <c r="BV385" s="564"/>
      <c r="BW385" s="564"/>
      <c r="BX385" s="564"/>
      <c r="BY385" s="564"/>
    </row>
    <row r="386" spans="1:77" ht="12" thickBot="1">
      <c r="A386" s="596" t="s">
        <v>1507</v>
      </c>
      <c r="B386" s="541" t="s">
        <v>352</v>
      </c>
      <c r="C386" s="541" t="s">
        <v>1099</v>
      </c>
      <c r="D386" s="552" t="s">
        <v>1140</v>
      </c>
      <c r="E386" s="543"/>
      <c r="F386" s="545"/>
      <c r="G386" s="544"/>
      <c r="H386" s="545"/>
      <c r="I386" s="545"/>
      <c r="J386" s="545"/>
      <c r="K386" s="545"/>
      <c r="L386" s="545"/>
      <c r="M386" s="544"/>
      <c r="N386" s="544"/>
      <c r="O386" s="545"/>
      <c r="P386" s="545"/>
      <c r="Q386" s="544"/>
      <c r="R386" s="544"/>
      <c r="S386" s="546">
        <f t="shared" si="67"/>
        <v>0</v>
      </c>
      <c r="T386" s="547">
        <f t="shared" si="68"/>
        <v>0</v>
      </c>
      <c r="U386" s="546">
        <f t="shared" si="66"/>
        <v>0</v>
      </c>
      <c r="W386" s="350">
        <f t="shared" si="69"/>
        <v>0</v>
      </c>
      <c r="X386" s="285">
        <f t="shared" si="70"/>
        <v>0</v>
      </c>
      <c r="Y386" s="564"/>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564"/>
      <c r="AW386" s="564"/>
      <c r="AX386" s="564"/>
      <c r="AY386" s="564"/>
      <c r="AZ386" s="564"/>
      <c r="BA386" s="564"/>
      <c r="BB386" s="564"/>
      <c r="BC386" s="564"/>
      <c r="BD386" s="564"/>
      <c r="BE386" s="564"/>
      <c r="BF386" s="564"/>
      <c r="BG386" s="564"/>
      <c r="BH386" s="564"/>
      <c r="BI386" s="564"/>
      <c r="BJ386" s="564"/>
      <c r="BK386" s="564"/>
      <c r="BL386" s="564"/>
      <c r="BM386" s="564"/>
      <c r="BN386" s="564"/>
      <c r="BO386" s="564"/>
      <c r="BP386" s="564"/>
      <c r="BQ386" s="564"/>
      <c r="BR386" s="564"/>
      <c r="BS386" s="564"/>
      <c r="BT386" s="564"/>
      <c r="BU386" s="564"/>
      <c r="BV386" s="564"/>
      <c r="BW386" s="564"/>
      <c r="BX386" s="564"/>
      <c r="BY386" s="564"/>
    </row>
    <row r="387" spans="1:77" ht="12" thickBot="1">
      <c r="A387" s="596" t="s">
        <v>1507</v>
      </c>
      <c r="B387" s="541" t="s">
        <v>384</v>
      </c>
      <c r="C387" s="541" t="s">
        <v>1100</v>
      </c>
      <c r="D387" s="552" t="s">
        <v>1140</v>
      </c>
      <c r="E387" s="549"/>
      <c r="F387" s="551"/>
      <c r="G387" s="550"/>
      <c r="H387" s="551"/>
      <c r="I387" s="551"/>
      <c r="J387" s="551"/>
      <c r="K387" s="551"/>
      <c r="L387" s="551"/>
      <c r="M387" s="550"/>
      <c r="N387" s="550"/>
      <c r="O387" s="551"/>
      <c r="P387" s="551"/>
      <c r="Q387" s="550"/>
      <c r="R387" s="550"/>
      <c r="S387" s="546">
        <f t="shared" si="67"/>
        <v>0</v>
      </c>
      <c r="T387" s="547">
        <f t="shared" si="68"/>
        <v>0</v>
      </c>
      <c r="U387" s="546">
        <f t="shared" si="66"/>
        <v>0</v>
      </c>
      <c r="W387" s="350">
        <f t="shared" si="69"/>
        <v>0</v>
      </c>
      <c r="X387" s="285">
        <f t="shared" si="70"/>
        <v>0</v>
      </c>
      <c r="Y387" s="564"/>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564"/>
      <c r="AW387" s="564"/>
      <c r="AX387" s="564"/>
      <c r="AY387" s="564"/>
      <c r="AZ387" s="564"/>
      <c r="BA387" s="564"/>
      <c r="BB387" s="564"/>
      <c r="BC387" s="564"/>
      <c r="BD387" s="564"/>
      <c r="BE387" s="564"/>
      <c r="BF387" s="564"/>
      <c r="BG387" s="564"/>
      <c r="BH387" s="564"/>
      <c r="BI387" s="564"/>
      <c r="BJ387" s="564"/>
      <c r="BK387" s="564"/>
      <c r="BL387" s="564"/>
      <c r="BM387" s="564"/>
      <c r="BN387" s="564"/>
      <c r="BO387" s="564"/>
      <c r="BP387" s="564"/>
      <c r="BQ387" s="564"/>
      <c r="BR387" s="564"/>
      <c r="BS387" s="564"/>
      <c r="BT387" s="564"/>
      <c r="BU387" s="564"/>
      <c r="BV387" s="564"/>
      <c r="BW387" s="564"/>
      <c r="BX387" s="564"/>
      <c r="BY387" s="564"/>
    </row>
    <row r="388" spans="1:77" ht="12" thickBot="1">
      <c r="A388" s="596" t="s">
        <v>1507</v>
      </c>
      <c r="B388" s="541" t="s">
        <v>311</v>
      </c>
      <c r="C388" s="541" t="s">
        <v>1101</v>
      </c>
      <c r="D388" s="552" t="s">
        <v>1140</v>
      </c>
      <c r="E388" s="543"/>
      <c r="F388" s="545"/>
      <c r="G388" s="544"/>
      <c r="H388" s="545"/>
      <c r="I388" s="545"/>
      <c r="J388" s="545"/>
      <c r="K388" s="545"/>
      <c r="L388" s="545"/>
      <c r="M388" s="544"/>
      <c r="N388" s="544"/>
      <c r="O388" s="545"/>
      <c r="P388" s="545"/>
      <c r="Q388" s="544"/>
      <c r="R388" s="544"/>
      <c r="S388" s="546">
        <f t="shared" si="67"/>
        <v>0</v>
      </c>
      <c r="T388" s="547">
        <f t="shared" si="68"/>
        <v>0</v>
      </c>
      <c r="U388" s="546">
        <f t="shared" si="66"/>
        <v>0</v>
      </c>
      <c r="W388" s="350">
        <f t="shared" si="69"/>
        <v>0</v>
      </c>
      <c r="X388" s="285">
        <f t="shared" si="70"/>
        <v>0</v>
      </c>
      <c r="Y388" s="564"/>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564"/>
      <c r="AW388" s="564"/>
      <c r="AX388" s="564"/>
      <c r="AY388" s="564"/>
      <c r="AZ388" s="564"/>
      <c r="BA388" s="564"/>
      <c r="BB388" s="564"/>
      <c r="BC388" s="564"/>
      <c r="BD388" s="564"/>
      <c r="BE388" s="564"/>
      <c r="BF388" s="564"/>
      <c r="BG388" s="564"/>
      <c r="BH388" s="564"/>
      <c r="BI388" s="564"/>
      <c r="BJ388" s="564"/>
      <c r="BK388" s="564"/>
      <c r="BL388" s="564"/>
      <c r="BM388" s="564"/>
      <c r="BN388" s="564"/>
      <c r="BO388" s="564"/>
      <c r="BP388" s="564"/>
      <c r="BQ388" s="564"/>
      <c r="BR388" s="564"/>
      <c r="BS388" s="564"/>
      <c r="BT388" s="564"/>
      <c r="BU388" s="564"/>
      <c r="BV388" s="564"/>
      <c r="BW388" s="564"/>
      <c r="BX388" s="564"/>
      <c r="BY388" s="564"/>
    </row>
    <row r="389" spans="1:77" ht="12" thickBot="1">
      <c r="A389" s="596" t="s">
        <v>1507</v>
      </c>
      <c r="B389" s="541" t="s">
        <v>341</v>
      </c>
      <c r="C389" s="541" t="s">
        <v>1102</v>
      </c>
      <c r="D389" s="552" t="s">
        <v>1140</v>
      </c>
      <c r="E389" s="549"/>
      <c r="F389" s="551"/>
      <c r="G389" s="550"/>
      <c r="H389" s="551"/>
      <c r="I389" s="551"/>
      <c r="J389" s="551"/>
      <c r="K389" s="551"/>
      <c r="L389" s="551"/>
      <c r="M389" s="550"/>
      <c r="N389" s="550"/>
      <c r="O389" s="551"/>
      <c r="P389" s="551"/>
      <c r="Q389" s="550"/>
      <c r="R389" s="550"/>
      <c r="S389" s="546">
        <f t="shared" si="67"/>
        <v>0</v>
      </c>
      <c r="T389" s="547">
        <f t="shared" si="68"/>
        <v>0</v>
      </c>
      <c r="U389" s="546">
        <f t="shared" si="66"/>
        <v>0</v>
      </c>
      <c r="W389" s="350">
        <f t="shared" si="69"/>
        <v>0</v>
      </c>
      <c r="X389" s="285">
        <f t="shared" si="70"/>
        <v>0</v>
      </c>
      <c r="Y389" s="564"/>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564"/>
      <c r="AW389" s="564"/>
      <c r="AX389" s="564"/>
      <c r="AY389" s="564"/>
      <c r="AZ389" s="564"/>
      <c r="BA389" s="564"/>
      <c r="BB389" s="564"/>
      <c r="BC389" s="564"/>
      <c r="BD389" s="564"/>
      <c r="BE389" s="564"/>
      <c r="BF389" s="564"/>
      <c r="BG389" s="564"/>
      <c r="BH389" s="564"/>
      <c r="BI389" s="564"/>
      <c r="BJ389" s="564"/>
      <c r="BK389" s="564"/>
      <c r="BL389" s="564"/>
      <c r="BM389" s="564"/>
      <c r="BN389" s="564"/>
      <c r="BO389" s="564"/>
      <c r="BP389" s="564"/>
      <c r="BQ389" s="564"/>
      <c r="BR389" s="564"/>
      <c r="BS389" s="564"/>
      <c r="BT389" s="564"/>
      <c r="BU389" s="564"/>
      <c r="BV389" s="564"/>
      <c r="BW389" s="564"/>
      <c r="BX389" s="564"/>
      <c r="BY389" s="564"/>
    </row>
    <row r="390" spans="1:77" ht="12" thickBot="1">
      <c r="A390" s="596" t="s">
        <v>1507</v>
      </c>
      <c r="B390" s="541" t="s">
        <v>315</v>
      </c>
      <c r="C390" s="541" t="s">
        <v>1103</v>
      </c>
      <c r="D390" s="552" t="s">
        <v>1140</v>
      </c>
      <c r="E390" s="543"/>
      <c r="F390" s="545"/>
      <c r="G390" s="544"/>
      <c r="H390" s="545"/>
      <c r="I390" s="545"/>
      <c r="J390" s="545"/>
      <c r="K390" s="545"/>
      <c r="L390" s="545"/>
      <c r="M390" s="544"/>
      <c r="N390" s="544"/>
      <c r="O390" s="545"/>
      <c r="P390" s="545"/>
      <c r="Q390" s="544"/>
      <c r="R390" s="544"/>
      <c r="S390" s="546">
        <f t="shared" si="67"/>
        <v>0</v>
      </c>
      <c r="T390" s="547">
        <f t="shared" si="68"/>
        <v>0</v>
      </c>
      <c r="U390" s="546">
        <f t="shared" si="66"/>
        <v>0</v>
      </c>
      <c r="W390" s="350">
        <f t="shared" si="69"/>
        <v>0</v>
      </c>
      <c r="X390" s="285">
        <f t="shared" si="70"/>
        <v>0</v>
      </c>
      <c r="Y390" s="564"/>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564"/>
      <c r="AW390" s="564"/>
      <c r="AX390" s="564"/>
      <c r="AY390" s="564"/>
      <c r="AZ390" s="564"/>
      <c r="BA390" s="564"/>
      <c r="BB390" s="564"/>
      <c r="BC390" s="564"/>
      <c r="BD390" s="564"/>
      <c r="BE390" s="564"/>
      <c r="BF390" s="564"/>
      <c r="BG390" s="564"/>
      <c r="BH390" s="564"/>
      <c r="BI390" s="564"/>
      <c r="BJ390" s="564"/>
      <c r="BK390" s="564"/>
      <c r="BL390" s="564"/>
      <c r="BM390" s="564"/>
      <c r="BN390" s="564"/>
      <c r="BO390" s="564"/>
      <c r="BP390" s="564"/>
      <c r="BQ390" s="564"/>
      <c r="BR390" s="564"/>
      <c r="BS390" s="564"/>
      <c r="BT390" s="564"/>
      <c r="BU390" s="564"/>
      <c r="BV390" s="564"/>
      <c r="BW390" s="564"/>
      <c r="BX390" s="564"/>
      <c r="BY390" s="564"/>
    </row>
    <row r="391" spans="1:77" ht="12" thickBot="1">
      <c r="A391" s="596" t="s">
        <v>1507</v>
      </c>
      <c r="B391" s="541" t="s">
        <v>319</v>
      </c>
      <c r="C391" s="541" t="s">
        <v>1104</v>
      </c>
      <c r="D391" s="552" t="s">
        <v>1140</v>
      </c>
      <c r="E391" s="549"/>
      <c r="F391" s="551"/>
      <c r="G391" s="550"/>
      <c r="H391" s="551"/>
      <c r="I391" s="551"/>
      <c r="J391" s="551"/>
      <c r="K391" s="551"/>
      <c r="L391" s="551"/>
      <c r="M391" s="550"/>
      <c r="N391" s="550"/>
      <c r="O391" s="551"/>
      <c r="P391" s="551"/>
      <c r="Q391" s="550"/>
      <c r="R391" s="550"/>
      <c r="S391" s="546">
        <f t="shared" si="67"/>
        <v>0</v>
      </c>
      <c r="T391" s="547">
        <f t="shared" si="68"/>
        <v>0</v>
      </c>
      <c r="U391" s="546">
        <f t="shared" si="66"/>
        <v>0</v>
      </c>
      <c r="W391" s="350">
        <f t="shared" si="69"/>
        <v>0</v>
      </c>
      <c r="X391" s="285">
        <f t="shared" si="70"/>
        <v>0</v>
      </c>
      <c r="Y391" s="564"/>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564"/>
      <c r="AW391" s="564"/>
      <c r="AX391" s="564"/>
      <c r="AY391" s="564"/>
      <c r="AZ391" s="564"/>
      <c r="BA391" s="564"/>
      <c r="BB391" s="564"/>
      <c r="BC391" s="564"/>
      <c r="BD391" s="564"/>
      <c r="BE391" s="564"/>
      <c r="BF391" s="564"/>
      <c r="BG391" s="564"/>
      <c r="BH391" s="564"/>
      <c r="BI391" s="564"/>
      <c r="BJ391" s="564"/>
      <c r="BK391" s="564"/>
      <c r="BL391" s="564"/>
      <c r="BM391" s="564"/>
      <c r="BN391" s="564"/>
      <c r="BO391" s="564"/>
      <c r="BP391" s="564"/>
      <c r="BQ391" s="564"/>
      <c r="BR391" s="564"/>
      <c r="BS391" s="564"/>
      <c r="BT391" s="564"/>
      <c r="BU391" s="564"/>
      <c r="BV391" s="564"/>
      <c r="BW391" s="564"/>
      <c r="BX391" s="564"/>
      <c r="BY391" s="564"/>
    </row>
    <row r="392" spans="1:77" ht="12" thickBot="1">
      <c r="A392" s="596" t="s">
        <v>1507</v>
      </c>
      <c r="B392" s="541" t="s">
        <v>356</v>
      </c>
      <c r="C392" s="541" t="s">
        <v>1105</v>
      </c>
      <c r="D392" s="552" t="s">
        <v>1140</v>
      </c>
      <c r="E392" s="543"/>
      <c r="F392" s="545"/>
      <c r="G392" s="544"/>
      <c r="H392" s="545"/>
      <c r="I392" s="545"/>
      <c r="J392" s="545"/>
      <c r="K392" s="545"/>
      <c r="L392" s="545"/>
      <c r="M392" s="544"/>
      <c r="N392" s="544"/>
      <c r="O392" s="545"/>
      <c r="P392" s="545"/>
      <c r="Q392" s="544"/>
      <c r="R392" s="544"/>
      <c r="S392" s="546">
        <f t="shared" si="67"/>
        <v>0</v>
      </c>
      <c r="T392" s="547">
        <f t="shared" si="68"/>
        <v>0</v>
      </c>
      <c r="U392" s="546">
        <f t="shared" si="66"/>
        <v>0</v>
      </c>
      <c r="W392" s="350">
        <f t="shared" si="69"/>
        <v>0</v>
      </c>
      <c r="X392" s="285">
        <f t="shared" si="70"/>
        <v>0</v>
      </c>
      <c r="Y392" s="564"/>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564"/>
      <c r="AW392" s="564"/>
      <c r="AX392" s="564"/>
      <c r="AY392" s="564"/>
      <c r="AZ392" s="564"/>
      <c r="BA392" s="564"/>
      <c r="BB392" s="564"/>
      <c r="BC392" s="564"/>
      <c r="BD392" s="564"/>
      <c r="BE392" s="564"/>
      <c r="BF392" s="564"/>
      <c r="BG392" s="564"/>
      <c r="BH392" s="564"/>
      <c r="BI392" s="564"/>
      <c r="BJ392" s="564"/>
      <c r="BK392" s="564"/>
      <c r="BL392" s="564"/>
      <c r="BM392" s="564"/>
      <c r="BN392" s="564"/>
      <c r="BO392" s="564"/>
      <c r="BP392" s="564"/>
      <c r="BQ392" s="564"/>
      <c r="BR392" s="564"/>
      <c r="BS392" s="564"/>
      <c r="BT392" s="564"/>
      <c r="BU392" s="564"/>
      <c r="BV392" s="564"/>
      <c r="BW392" s="564"/>
      <c r="BX392" s="564"/>
      <c r="BY392" s="564"/>
    </row>
    <row r="393" spans="1:77" ht="12" thickBot="1">
      <c r="A393" s="596" t="s">
        <v>1507</v>
      </c>
      <c r="B393" s="541" t="s">
        <v>365</v>
      </c>
      <c r="C393" s="541" t="s">
        <v>1106</v>
      </c>
      <c r="D393" s="552" t="s">
        <v>1139</v>
      </c>
      <c r="E393" s="549"/>
      <c r="F393" s="551"/>
      <c r="G393" s="550"/>
      <c r="H393" s="551"/>
      <c r="I393" s="551"/>
      <c r="J393" s="551"/>
      <c r="K393" s="551"/>
      <c r="L393" s="551"/>
      <c r="M393" s="550"/>
      <c r="N393" s="550"/>
      <c r="O393" s="551"/>
      <c r="P393" s="551"/>
      <c r="Q393" s="550"/>
      <c r="R393" s="550"/>
      <c r="S393" s="546">
        <f t="shared" si="67"/>
        <v>0</v>
      </c>
      <c r="T393" s="547">
        <f t="shared" si="68"/>
        <v>0</v>
      </c>
      <c r="U393" s="546">
        <f t="shared" si="66"/>
        <v>0</v>
      </c>
      <c r="W393" s="350">
        <f t="shared" si="69"/>
        <v>0</v>
      </c>
      <c r="X393" s="285">
        <f t="shared" si="70"/>
        <v>0</v>
      </c>
      <c r="Y393" s="564"/>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564"/>
      <c r="AW393" s="564"/>
      <c r="AX393" s="564"/>
      <c r="AY393" s="564"/>
      <c r="AZ393" s="564"/>
      <c r="BA393" s="564"/>
      <c r="BB393" s="564"/>
      <c r="BC393" s="564"/>
      <c r="BD393" s="564"/>
      <c r="BE393" s="564"/>
      <c r="BF393" s="564"/>
      <c r="BG393" s="564"/>
      <c r="BH393" s="564"/>
      <c r="BI393" s="564"/>
      <c r="BJ393" s="564"/>
      <c r="BK393" s="564"/>
      <c r="BL393" s="564"/>
      <c r="BM393" s="564"/>
      <c r="BN393" s="564"/>
      <c r="BO393" s="564"/>
      <c r="BP393" s="564"/>
      <c r="BQ393" s="564"/>
      <c r="BR393" s="564"/>
      <c r="BS393" s="564"/>
      <c r="BT393" s="564"/>
      <c r="BU393" s="564"/>
      <c r="BV393" s="564"/>
      <c r="BW393" s="564"/>
      <c r="BX393" s="564"/>
      <c r="BY393" s="564"/>
    </row>
    <row r="394" spans="1:77" ht="12" thickBot="1">
      <c r="A394" s="596" t="s">
        <v>1507</v>
      </c>
      <c r="B394" s="541" t="s">
        <v>388</v>
      </c>
      <c r="C394" s="541" t="s">
        <v>1107</v>
      </c>
      <c r="D394" s="552" t="s">
        <v>1139</v>
      </c>
      <c r="E394" s="543"/>
      <c r="F394" s="545"/>
      <c r="G394" s="544"/>
      <c r="H394" s="545"/>
      <c r="I394" s="545"/>
      <c r="J394" s="545"/>
      <c r="K394" s="545"/>
      <c r="L394" s="545"/>
      <c r="M394" s="544"/>
      <c r="N394" s="544"/>
      <c r="O394" s="545"/>
      <c r="P394" s="545"/>
      <c r="Q394" s="544"/>
      <c r="R394" s="544"/>
      <c r="S394" s="546">
        <f t="shared" si="67"/>
        <v>0</v>
      </c>
      <c r="T394" s="547">
        <f t="shared" si="68"/>
        <v>0</v>
      </c>
      <c r="U394" s="546">
        <f t="shared" si="66"/>
        <v>0</v>
      </c>
      <c r="W394" s="350">
        <f t="shared" si="69"/>
        <v>0</v>
      </c>
      <c r="X394" s="285">
        <f t="shared" si="70"/>
        <v>0</v>
      </c>
      <c r="Y394" s="564"/>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564"/>
      <c r="AW394" s="564"/>
      <c r="AX394" s="564"/>
      <c r="AY394" s="564"/>
      <c r="AZ394" s="564"/>
      <c r="BA394" s="564"/>
      <c r="BB394" s="564"/>
      <c r="BC394" s="564"/>
      <c r="BD394" s="564"/>
      <c r="BE394" s="564"/>
      <c r="BF394" s="564"/>
      <c r="BG394" s="564"/>
      <c r="BH394" s="564"/>
      <c r="BI394" s="564"/>
      <c r="BJ394" s="564"/>
      <c r="BK394" s="564"/>
      <c r="BL394" s="564"/>
      <c r="BM394" s="564"/>
      <c r="BN394" s="564"/>
      <c r="BO394" s="564"/>
      <c r="BP394" s="564"/>
      <c r="BQ394" s="564"/>
      <c r="BR394" s="564"/>
      <c r="BS394" s="564"/>
      <c r="BT394" s="564"/>
      <c r="BU394" s="564"/>
      <c r="BV394" s="564"/>
      <c r="BW394" s="564"/>
      <c r="BX394" s="564"/>
      <c r="BY394" s="564"/>
    </row>
    <row r="395" spans="1:77" ht="12" thickBot="1">
      <c r="A395" s="596" t="s">
        <v>1507</v>
      </c>
      <c r="B395" s="541" t="s">
        <v>345</v>
      </c>
      <c r="C395" s="541" t="s">
        <v>1108</v>
      </c>
      <c r="D395" s="552" t="s">
        <v>1139</v>
      </c>
      <c r="E395" s="549"/>
      <c r="F395" s="551"/>
      <c r="G395" s="550"/>
      <c r="H395" s="551"/>
      <c r="I395" s="551"/>
      <c r="J395" s="551"/>
      <c r="K395" s="551"/>
      <c r="L395" s="551"/>
      <c r="M395" s="550"/>
      <c r="N395" s="550"/>
      <c r="O395" s="551"/>
      <c r="P395" s="551"/>
      <c r="Q395" s="550"/>
      <c r="R395" s="550"/>
      <c r="S395" s="546">
        <f t="shared" si="67"/>
        <v>0</v>
      </c>
      <c r="T395" s="547">
        <f t="shared" si="68"/>
        <v>0</v>
      </c>
      <c r="U395" s="546">
        <f t="shared" si="66"/>
        <v>0</v>
      </c>
      <c r="W395" s="350">
        <f t="shared" si="69"/>
        <v>0</v>
      </c>
      <c r="X395" s="285">
        <f t="shared" si="70"/>
        <v>0</v>
      </c>
      <c r="Y395" s="564"/>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564"/>
      <c r="AW395" s="564"/>
      <c r="AX395" s="564"/>
      <c r="AY395" s="564"/>
      <c r="AZ395" s="564"/>
      <c r="BA395" s="564"/>
      <c r="BB395" s="564"/>
      <c r="BC395" s="564"/>
      <c r="BD395" s="564"/>
      <c r="BE395" s="564"/>
      <c r="BF395" s="564"/>
      <c r="BG395" s="564"/>
      <c r="BH395" s="564"/>
      <c r="BI395" s="564"/>
      <c r="BJ395" s="564"/>
      <c r="BK395" s="564"/>
      <c r="BL395" s="564"/>
      <c r="BM395" s="564"/>
      <c r="BN395" s="564"/>
      <c r="BO395" s="564"/>
      <c r="BP395" s="564"/>
      <c r="BQ395" s="564"/>
      <c r="BR395" s="564"/>
      <c r="BS395" s="564"/>
      <c r="BT395" s="564"/>
      <c r="BU395" s="564"/>
      <c r="BV395" s="564"/>
      <c r="BW395" s="564"/>
      <c r="BX395" s="564"/>
      <c r="BY395" s="564"/>
    </row>
    <row r="396" spans="1:77" ht="12" thickBot="1">
      <c r="A396" s="596" t="s">
        <v>1507</v>
      </c>
      <c r="B396" s="541" t="s">
        <v>377</v>
      </c>
      <c r="C396" s="541" t="s">
        <v>1109</v>
      </c>
      <c r="D396" s="552" t="s">
        <v>1139</v>
      </c>
      <c r="E396" s="543"/>
      <c r="F396" s="545"/>
      <c r="G396" s="544"/>
      <c r="H396" s="545"/>
      <c r="I396" s="545"/>
      <c r="J396" s="545"/>
      <c r="K396" s="545"/>
      <c r="L396" s="545"/>
      <c r="M396" s="544"/>
      <c r="N396" s="544"/>
      <c r="O396" s="545"/>
      <c r="P396" s="545"/>
      <c r="Q396" s="544"/>
      <c r="R396" s="544"/>
      <c r="S396" s="546">
        <f t="shared" si="67"/>
        <v>0</v>
      </c>
      <c r="T396" s="547">
        <f t="shared" si="68"/>
        <v>0</v>
      </c>
      <c r="U396" s="546">
        <f t="shared" si="66"/>
        <v>0</v>
      </c>
      <c r="W396" s="350">
        <f t="shared" si="69"/>
        <v>0</v>
      </c>
      <c r="X396" s="285">
        <f t="shared" si="70"/>
        <v>0</v>
      </c>
      <c r="Y396" s="564"/>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564"/>
      <c r="AW396" s="564"/>
      <c r="AX396" s="564"/>
      <c r="AY396" s="564"/>
      <c r="AZ396" s="564"/>
      <c r="BA396" s="564"/>
      <c r="BB396" s="564"/>
      <c r="BC396" s="564"/>
      <c r="BD396" s="564"/>
      <c r="BE396" s="564"/>
      <c r="BF396" s="564"/>
      <c r="BG396" s="564"/>
      <c r="BH396" s="564"/>
      <c r="BI396" s="564"/>
      <c r="BJ396" s="564"/>
      <c r="BK396" s="564"/>
      <c r="BL396" s="564"/>
      <c r="BM396" s="564"/>
      <c r="BN396" s="564"/>
      <c r="BO396" s="564"/>
      <c r="BP396" s="564"/>
      <c r="BQ396" s="564"/>
      <c r="BR396" s="564"/>
      <c r="BS396" s="564"/>
      <c r="BT396" s="564"/>
      <c r="BU396" s="564"/>
      <c r="BV396" s="564"/>
      <c r="BW396" s="564"/>
      <c r="BX396" s="564"/>
      <c r="BY396" s="564"/>
    </row>
    <row r="397" spans="1:77" ht="12" thickBot="1">
      <c r="A397" s="596" t="s">
        <v>1507</v>
      </c>
      <c r="B397" s="541" t="s">
        <v>1395</v>
      </c>
      <c r="C397" s="541" t="s">
        <v>1396</v>
      </c>
      <c r="D397" s="552" t="s">
        <v>1139</v>
      </c>
      <c r="E397" s="549"/>
      <c r="F397" s="551"/>
      <c r="G397" s="551"/>
      <c r="H397" s="551"/>
      <c r="I397" s="551"/>
      <c r="J397" s="551"/>
      <c r="K397" s="551"/>
      <c r="L397" s="551"/>
      <c r="M397" s="551"/>
      <c r="N397" s="551"/>
      <c r="O397" s="551"/>
      <c r="P397" s="551"/>
      <c r="Q397" s="551"/>
      <c r="R397" s="551"/>
      <c r="S397" s="546">
        <f t="shared" si="67"/>
        <v>0</v>
      </c>
      <c r="T397" s="547">
        <f t="shared" si="68"/>
        <v>0</v>
      </c>
      <c r="U397" s="546">
        <f t="shared" si="66"/>
        <v>0</v>
      </c>
      <c r="W397" s="350">
        <f t="shared" si="69"/>
        <v>0</v>
      </c>
      <c r="X397" s="285">
        <f t="shared" si="70"/>
        <v>0</v>
      </c>
      <c r="Y397" s="564"/>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564"/>
      <c r="AW397" s="564"/>
      <c r="AX397" s="564"/>
      <c r="AY397" s="564"/>
      <c r="AZ397" s="564"/>
      <c r="BA397" s="564"/>
      <c r="BB397" s="564"/>
      <c r="BC397" s="564"/>
      <c r="BD397" s="564"/>
      <c r="BE397" s="564"/>
      <c r="BF397" s="564"/>
      <c r="BG397" s="564"/>
      <c r="BH397" s="564"/>
      <c r="BI397" s="564"/>
      <c r="BJ397" s="564"/>
      <c r="BK397" s="564"/>
      <c r="BL397" s="564"/>
      <c r="BM397" s="564"/>
      <c r="BN397" s="564"/>
      <c r="BO397" s="564"/>
      <c r="BP397" s="564"/>
      <c r="BQ397" s="564"/>
      <c r="BR397" s="564"/>
      <c r="BS397" s="564"/>
      <c r="BT397" s="564"/>
      <c r="BU397" s="564"/>
      <c r="BV397" s="564"/>
      <c r="BW397" s="564"/>
      <c r="BX397" s="564"/>
      <c r="BY397" s="564"/>
    </row>
    <row r="398" spans="1:77" ht="12" thickBot="1">
      <c r="A398" s="596" t="s">
        <v>1507</v>
      </c>
      <c r="B398" s="541" t="s">
        <v>363</v>
      </c>
      <c r="C398" s="541" t="s">
        <v>1110</v>
      </c>
      <c r="D398" s="552" t="s">
        <v>1140</v>
      </c>
      <c r="E398" s="543"/>
      <c r="F398" s="545"/>
      <c r="G398" s="544"/>
      <c r="H398" s="545"/>
      <c r="I398" s="545"/>
      <c r="J398" s="545"/>
      <c r="K398" s="545"/>
      <c r="L398" s="545"/>
      <c r="M398" s="544"/>
      <c r="N398" s="544"/>
      <c r="O398" s="545"/>
      <c r="P398" s="545"/>
      <c r="Q398" s="544"/>
      <c r="R398" s="544"/>
      <c r="S398" s="546">
        <f t="shared" si="67"/>
        <v>0</v>
      </c>
      <c r="T398" s="547">
        <f t="shared" si="68"/>
        <v>0</v>
      </c>
      <c r="U398" s="546">
        <f t="shared" si="66"/>
        <v>0</v>
      </c>
      <c r="W398" s="350">
        <f t="shared" si="69"/>
        <v>0</v>
      </c>
      <c r="X398" s="285">
        <f t="shared" si="70"/>
        <v>0</v>
      </c>
      <c r="Y398" s="564"/>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564"/>
      <c r="AW398" s="564"/>
      <c r="AX398" s="564"/>
      <c r="AY398" s="564"/>
      <c r="AZ398" s="564"/>
      <c r="BA398" s="564"/>
      <c r="BB398" s="564"/>
      <c r="BC398" s="564"/>
      <c r="BD398" s="564"/>
      <c r="BE398" s="564"/>
      <c r="BF398" s="564"/>
      <c r="BG398" s="564"/>
      <c r="BH398" s="564"/>
      <c r="BI398" s="564"/>
      <c r="BJ398" s="564"/>
      <c r="BK398" s="564"/>
      <c r="BL398" s="564"/>
      <c r="BM398" s="564"/>
      <c r="BN398" s="564"/>
      <c r="BO398" s="564"/>
      <c r="BP398" s="564"/>
      <c r="BQ398" s="564"/>
      <c r="BR398" s="564"/>
      <c r="BS398" s="564"/>
      <c r="BT398" s="564"/>
      <c r="BU398" s="564"/>
      <c r="BV398" s="564"/>
      <c r="BW398" s="564"/>
      <c r="BX398" s="564"/>
      <c r="BY398" s="564"/>
    </row>
    <row r="399" spans="1:77" ht="12" thickBot="1">
      <c r="A399" s="596" t="s">
        <v>1507</v>
      </c>
      <c r="B399" s="541" t="s">
        <v>373</v>
      </c>
      <c r="C399" s="541" t="s">
        <v>1111</v>
      </c>
      <c r="D399" s="552" t="s">
        <v>1139</v>
      </c>
      <c r="E399" s="549"/>
      <c r="F399" s="551"/>
      <c r="G399" s="550"/>
      <c r="H399" s="551"/>
      <c r="I399" s="551"/>
      <c r="J399" s="551"/>
      <c r="K399" s="551"/>
      <c r="L399" s="551"/>
      <c r="M399" s="550"/>
      <c r="N399" s="550"/>
      <c r="O399" s="551"/>
      <c r="P399" s="551"/>
      <c r="Q399" s="550"/>
      <c r="R399" s="550"/>
      <c r="S399" s="546">
        <f t="shared" si="67"/>
        <v>0</v>
      </c>
      <c r="T399" s="547">
        <f t="shared" si="68"/>
        <v>0</v>
      </c>
      <c r="U399" s="546">
        <f t="shared" si="66"/>
        <v>0</v>
      </c>
      <c r="W399" s="350">
        <f t="shared" si="69"/>
        <v>0</v>
      </c>
      <c r="X399" s="285">
        <f t="shared" si="70"/>
        <v>0</v>
      </c>
      <c r="Y399" s="564"/>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564"/>
      <c r="AW399" s="564"/>
      <c r="AX399" s="564"/>
      <c r="AY399" s="564"/>
      <c r="AZ399" s="564"/>
      <c r="BA399" s="564"/>
      <c r="BB399" s="564"/>
      <c r="BC399" s="564"/>
      <c r="BD399" s="564"/>
      <c r="BE399" s="564"/>
      <c r="BF399" s="564"/>
      <c r="BG399" s="564"/>
      <c r="BH399" s="564"/>
      <c r="BI399" s="564"/>
      <c r="BJ399" s="564"/>
      <c r="BK399" s="564"/>
      <c r="BL399" s="564"/>
      <c r="BM399" s="564"/>
      <c r="BN399" s="564"/>
      <c r="BO399" s="564"/>
      <c r="BP399" s="564"/>
      <c r="BQ399" s="564"/>
      <c r="BR399" s="564"/>
      <c r="BS399" s="564"/>
      <c r="BT399" s="564"/>
      <c r="BU399" s="564"/>
      <c r="BV399" s="564"/>
      <c r="BW399" s="564"/>
      <c r="BX399" s="564"/>
      <c r="BY399" s="564"/>
    </row>
    <row r="400" spans="1:77" ht="12" thickBot="1">
      <c r="A400" s="596" t="s">
        <v>1507</v>
      </c>
      <c r="B400" s="541" t="s">
        <v>396</v>
      </c>
      <c r="C400" s="541" t="s">
        <v>1112</v>
      </c>
      <c r="D400" s="552" t="s">
        <v>1139</v>
      </c>
      <c r="E400" s="543"/>
      <c r="F400" s="545"/>
      <c r="G400" s="544"/>
      <c r="H400" s="545"/>
      <c r="I400" s="545"/>
      <c r="J400" s="545"/>
      <c r="K400" s="545"/>
      <c r="L400" s="545"/>
      <c r="M400" s="544"/>
      <c r="N400" s="544"/>
      <c r="O400" s="545"/>
      <c r="P400" s="545"/>
      <c r="Q400" s="544"/>
      <c r="R400" s="544"/>
      <c r="S400" s="546">
        <f t="shared" si="67"/>
        <v>0</v>
      </c>
      <c r="T400" s="547">
        <f t="shared" si="68"/>
        <v>0</v>
      </c>
      <c r="U400" s="546">
        <f t="shared" si="66"/>
        <v>0</v>
      </c>
      <c r="W400" s="350">
        <f t="shared" si="69"/>
        <v>0</v>
      </c>
      <c r="X400" s="285">
        <f t="shared" si="70"/>
        <v>0</v>
      </c>
      <c r="Y400" s="564"/>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564"/>
      <c r="AW400" s="564"/>
      <c r="AX400" s="564"/>
      <c r="AY400" s="564"/>
      <c r="AZ400" s="564"/>
      <c r="BA400" s="564"/>
      <c r="BB400" s="564"/>
      <c r="BC400" s="564"/>
      <c r="BD400" s="564"/>
      <c r="BE400" s="564"/>
      <c r="BF400" s="564"/>
      <c r="BG400" s="564"/>
      <c r="BH400" s="564"/>
      <c r="BI400" s="564"/>
      <c r="BJ400" s="564"/>
      <c r="BK400" s="564"/>
      <c r="BL400" s="564"/>
      <c r="BM400" s="564"/>
      <c r="BN400" s="564"/>
      <c r="BO400" s="564"/>
      <c r="BP400" s="564"/>
      <c r="BQ400" s="564"/>
      <c r="BR400" s="564"/>
      <c r="BS400" s="564"/>
      <c r="BT400" s="564"/>
      <c r="BU400" s="564"/>
      <c r="BV400" s="564"/>
      <c r="BW400" s="564"/>
      <c r="BX400" s="564"/>
      <c r="BY400" s="564"/>
    </row>
    <row r="401" spans="1:77" ht="12" thickBot="1">
      <c r="A401" s="596" t="s">
        <v>1507</v>
      </c>
      <c r="B401" s="541" t="s">
        <v>351</v>
      </c>
      <c r="C401" s="541" t="s">
        <v>1113</v>
      </c>
      <c r="D401" s="552" t="s">
        <v>1140</v>
      </c>
      <c r="E401" s="549"/>
      <c r="F401" s="551"/>
      <c r="G401" s="550"/>
      <c r="H401" s="551"/>
      <c r="I401" s="551"/>
      <c r="J401" s="551"/>
      <c r="K401" s="551"/>
      <c r="L401" s="551"/>
      <c r="M401" s="550"/>
      <c r="N401" s="550"/>
      <c r="O401" s="551"/>
      <c r="P401" s="551"/>
      <c r="Q401" s="550"/>
      <c r="R401" s="550"/>
      <c r="S401" s="546">
        <f t="shared" si="67"/>
        <v>0</v>
      </c>
      <c r="T401" s="547">
        <f t="shared" si="68"/>
        <v>0</v>
      </c>
      <c r="U401" s="546">
        <f t="shared" si="66"/>
        <v>0</v>
      </c>
      <c r="W401" s="350">
        <f t="shared" si="69"/>
        <v>0</v>
      </c>
      <c r="X401" s="285">
        <f t="shared" si="70"/>
        <v>0</v>
      </c>
      <c r="Y401" s="564"/>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564"/>
      <c r="AW401" s="564"/>
      <c r="AX401" s="564"/>
      <c r="AY401" s="564"/>
      <c r="AZ401" s="564"/>
      <c r="BA401" s="564"/>
      <c r="BB401" s="564"/>
      <c r="BC401" s="564"/>
      <c r="BD401" s="564"/>
      <c r="BE401" s="564"/>
      <c r="BF401" s="564"/>
      <c r="BG401" s="564"/>
      <c r="BH401" s="564"/>
      <c r="BI401" s="564"/>
      <c r="BJ401" s="564"/>
      <c r="BK401" s="564"/>
      <c r="BL401" s="564"/>
      <c r="BM401" s="564"/>
      <c r="BN401" s="564"/>
      <c r="BO401" s="564"/>
      <c r="BP401" s="564"/>
      <c r="BQ401" s="564"/>
      <c r="BR401" s="564"/>
      <c r="BS401" s="564"/>
      <c r="BT401" s="564"/>
      <c r="BU401" s="564"/>
      <c r="BV401" s="564"/>
      <c r="BW401" s="564"/>
      <c r="BX401" s="564"/>
      <c r="BY401" s="564"/>
    </row>
    <row r="402" spans="1:77" ht="12" thickBot="1">
      <c r="A402" s="596" t="s">
        <v>1507</v>
      </c>
      <c r="B402" s="541" t="s">
        <v>314</v>
      </c>
      <c r="C402" s="541" t="s">
        <v>1114</v>
      </c>
      <c r="D402" s="552" t="s">
        <v>1140</v>
      </c>
      <c r="E402" s="543"/>
      <c r="F402" s="545"/>
      <c r="G402" s="544"/>
      <c r="H402" s="545"/>
      <c r="I402" s="545"/>
      <c r="J402" s="545"/>
      <c r="K402" s="545"/>
      <c r="L402" s="545"/>
      <c r="M402" s="544"/>
      <c r="N402" s="544"/>
      <c r="O402" s="545"/>
      <c r="P402" s="545"/>
      <c r="Q402" s="544"/>
      <c r="R402" s="544"/>
      <c r="S402" s="546">
        <f t="shared" si="67"/>
        <v>0</v>
      </c>
      <c r="T402" s="547">
        <f t="shared" si="68"/>
        <v>0</v>
      </c>
      <c r="U402" s="546">
        <f t="shared" si="66"/>
        <v>0</v>
      </c>
      <c r="W402" s="350">
        <f t="shared" si="69"/>
        <v>0</v>
      </c>
      <c r="X402" s="285">
        <f t="shared" si="70"/>
        <v>0</v>
      </c>
      <c r="Y402" s="564"/>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564"/>
      <c r="AW402" s="564"/>
      <c r="AX402" s="564"/>
      <c r="AY402" s="564"/>
      <c r="AZ402" s="564"/>
      <c r="BA402" s="564"/>
      <c r="BB402" s="564"/>
      <c r="BC402" s="564"/>
      <c r="BD402" s="564"/>
      <c r="BE402" s="564"/>
      <c r="BF402" s="564"/>
      <c r="BG402" s="564"/>
      <c r="BH402" s="564"/>
      <c r="BI402" s="564"/>
      <c r="BJ402" s="564"/>
      <c r="BK402" s="564"/>
      <c r="BL402" s="564"/>
      <c r="BM402" s="564"/>
      <c r="BN402" s="564"/>
      <c r="BO402" s="564"/>
      <c r="BP402" s="564"/>
      <c r="BQ402" s="564"/>
      <c r="BR402" s="564"/>
      <c r="BS402" s="564"/>
      <c r="BT402" s="564"/>
      <c r="BU402" s="564"/>
      <c r="BV402" s="564"/>
      <c r="BW402" s="564"/>
      <c r="BX402" s="564"/>
      <c r="BY402" s="564"/>
    </row>
    <row r="403" spans="1:77" ht="12" thickBot="1">
      <c r="A403" s="596" t="s">
        <v>1507</v>
      </c>
      <c r="B403" s="541" t="s">
        <v>355</v>
      </c>
      <c r="C403" s="541" t="s">
        <v>1115</v>
      </c>
      <c r="D403" s="552" t="s">
        <v>1140</v>
      </c>
      <c r="E403" s="549"/>
      <c r="F403" s="551"/>
      <c r="G403" s="550"/>
      <c r="H403" s="551"/>
      <c r="I403" s="551"/>
      <c r="J403" s="551"/>
      <c r="K403" s="551"/>
      <c r="L403" s="551"/>
      <c r="M403" s="550"/>
      <c r="N403" s="550"/>
      <c r="O403" s="551"/>
      <c r="P403" s="551"/>
      <c r="Q403" s="550"/>
      <c r="R403" s="550"/>
      <c r="S403" s="546">
        <f t="shared" si="67"/>
        <v>0</v>
      </c>
      <c r="T403" s="547">
        <f t="shared" si="68"/>
        <v>0</v>
      </c>
      <c r="U403" s="546">
        <f t="shared" si="66"/>
        <v>0</v>
      </c>
      <c r="W403" s="350">
        <f t="shared" si="69"/>
        <v>0</v>
      </c>
      <c r="X403" s="285">
        <f t="shared" si="70"/>
        <v>0</v>
      </c>
      <c r="Y403" s="564"/>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564"/>
      <c r="AW403" s="564"/>
      <c r="AX403" s="564"/>
      <c r="AY403" s="564"/>
      <c r="AZ403" s="564"/>
      <c r="BA403" s="564"/>
      <c r="BB403" s="564"/>
      <c r="BC403" s="564"/>
      <c r="BD403" s="564"/>
      <c r="BE403" s="564"/>
      <c r="BF403" s="564"/>
      <c r="BG403" s="564"/>
      <c r="BH403" s="564"/>
      <c r="BI403" s="564"/>
      <c r="BJ403" s="564"/>
      <c r="BK403" s="564"/>
      <c r="BL403" s="564"/>
      <c r="BM403" s="564"/>
      <c r="BN403" s="564"/>
      <c r="BO403" s="564"/>
      <c r="BP403" s="564"/>
      <c r="BQ403" s="564"/>
      <c r="BR403" s="564"/>
      <c r="BS403" s="564"/>
      <c r="BT403" s="564"/>
      <c r="BU403" s="564"/>
      <c r="BV403" s="564"/>
      <c r="BW403" s="564"/>
      <c r="BX403" s="564"/>
      <c r="BY403" s="564"/>
    </row>
    <row r="404" spans="1:77" ht="12" thickBot="1">
      <c r="A404" s="596" t="s">
        <v>1507</v>
      </c>
      <c r="B404" s="541" t="s">
        <v>364</v>
      </c>
      <c r="C404" s="541" t="s">
        <v>1116</v>
      </c>
      <c r="D404" s="552" t="s">
        <v>1139</v>
      </c>
      <c r="E404" s="543"/>
      <c r="F404" s="545"/>
      <c r="G404" s="544"/>
      <c r="H404" s="545"/>
      <c r="I404" s="545"/>
      <c r="J404" s="545"/>
      <c r="K404" s="545"/>
      <c r="L404" s="545"/>
      <c r="M404" s="544"/>
      <c r="N404" s="544"/>
      <c r="O404" s="545"/>
      <c r="P404" s="545"/>
      <c r="Q404" s="544"/>
      <c r="R404" s="544"/>
      <c r="S404" s="546">
        <f t="shared" si="67"/>
        <v>0</v>
      </c>
      <c r="T404" s="547">
        <f t="shared" si="68"/>
        <v>0</v>
      </c>
      <c r="U404" s="546">
        <f t="shared" si="66"/>
        <v>0</v>
      </c>
      <c r="W404" s="350">
        <f t="shared" si="69"/>
        <v>0</v>
      </c>
      <c r="X404" s="285">
        <f t="shared" si="70"/>
        <v>0</v>
      </c>
      <c r="Y404" s="564"/>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564"/>
      <c r="AW404" s="564"/>
      <c r="AX404" s="564"/>
      <c r="AY404" s="564"/>
      <c r="AZ404" s="564"/>
      <c r="BA404" s="564"/>
      <c r="BB404" s="564"/>
      <c r="BC404" s="564"/>
      <c r="BD404" s="564"/>
      <c r="BE404" s="564"/>
      <c r="BF404" s="564"/>
      <c r="BG404" s="564"/>
      <c r="BH404" s="564"/>
      <c r="BI404" s="564"/>
      <c r="BJ404" s="564"/>
      <c r="BK404" s="564"/>
      <c r="BL404" s="564"/>
      <c r="BM404" s="564"/>
      <c r="BN404" s="564"/>
      <c r="BO404" s="564"/>
      <c r="BP404" s="564"/>
      <c r="BQ404" s="564"/>
      <c r="BR404" s="564"/>
      <c r="BS404" s="564"/>
      <c r="BT404" s="564"/>
      <c r="BU404" s="564"/>
      <c r="BV404" s="564"/>
      <c r="BW404" s="564"/>
      <c r="BX404" s="564"/>
      <c r="BY404" s="564"/>
    </row>
    <row r="405" spans="1:77" ht="12" thickBot="1">
      <c r="A405" s="596" t="s">
        <v>1507</v>
      </c>
      <c r="B405" s="541" t="s">
        <v>387</v>
      </c>
      <c r="C405" s="541" t="s">
        <v>1117</v>
      </c>
      <c r="D405" s="552" t="s">
        <v>1139</v>
      </c>
      <c r="E405" s="549"/>
      <c r="F405" s="551"/>
      <c r="G405" s="550"/>
      <c r="H405" s="551"/>
      <c r="I405" s="551"/>
      <c r="J405" s="551"/>
      <c r="K405" s="551"/>
      <c r="L405" s="551"/>
      <c r="M405" s="550"/>
      <c r="N405" s="550"/>
      <c r="O405" s="551"/>
      <c r="P405" s="551"/>
      <c r="Q405" s="550"/>
      <c r="R405" s="550"/>
      <c r="S405" s="546">
        <f t="shared" si="67"/>
        <v>0</v>
      </c>
      <c r="T405" s="547">
        <f t="shared" si="68"/>
        <v>0</v>
      </c>
      <c r="U405" s="546">
        <f t="shared" si="66"/>
        <v>0</v>
      </c>
      <c r="W405" s="350">
        <f t="shared" si="69"/>
        <v>0</v>
      </c>
      <c r="X405" s="285">
        <f t="shared" si="70"/>
        <v>0</v>
      </c>
      <c r="Y405" s="564"/>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564"/>
      <c r="AW405" s="564"/>
      <c r="AX405" s="564"/>
      <c r="AY405" s="564"/>
      <c r="AZ405" s="564"/>
      <c r="BA405" s="564"/>
      <c r="BB405" s="564"/>
      <c r="BC405" s="564"/>
      <c r="BD405" s="564"/>
      <c r="BE405" s="564"/>
      <c r="BF405" s="564"/>
      <c r="BG405" s="564"/>
      <c r="BH405" s="564"/>
      <c r="BI405" s="564"/>
      <c r="BJ405" s="564"/>
      <c r="BK405" s="564"/>
      <c r="BL405" s="564"/>
      <c r="BM405" s="564"/>
      <c r="BN405" s="564"/>
      <c r="BO405" s="564"/>
      <c r="BP405" s="564"/>
      <c r="BQ405" s="564"/>
      <c r="BR405" s="564"/>
      <c r="BS405" s="564"/>
      <c r="BT405" s="564"/>
      <c r="BU405" s="564"/>
      <c r="BV405" s="564"/>
      <c r="BW405" s="564"/>
      <c r="BX405" s="564"/>
      <c r="BY405" s="564"/>
    </row>
    <row r="406" spans="1:77" ht="12" thickBot="1">
      <c r="A406" s="596" t="s">
        <v>1507</v>
      </c>
      <c r="B406" s="541" t="s">
        <v>344</v>
      </c>
      <c r="C406" s="541" t="s">
        <v>1118</v>
      </c>
      <c r="D406" s="552" t="s">
        <v>1139</v>
      </c>
      <c r="E406" s="543"/>
      <c r="F406" s="545"/>
      <c r="G406" s="544"/>
      <c r="H406" s="545"/>
      <c r="I406" s="545"/>
      <c r="J406" s="545"/>
      <c r="K406" s="545"/>
      <c r="L406" s="545"/>
      <c r="M406" s="544"/>
      <c r="N406" s="544"/>
      <c r="O406" s="545"/>
      <c r="P406" s="545"/>
      <c r="Q406" s="544"/>
      <c r="R406" s="544"/>
      <c r="S406" s="546">
        <f t="shared" si="67"/>
        <v>0</v>
      </c>
      <c r="T406" s="547">
        <f t="shared" si="68"/>
        <v>0</v>
      </c>
      <c r="U406" s="546">
        <f t="shared" si="66"/>
        <v>0</v>
      </c>
      <c r="W406" s="350">
        <f t="shared" si="69"/>
        <v>0</v>
      </c>
      <c r="X406" s="285">
        <f t="shared" si="70"/>
        <v>0</v>
      </c>
      <c r="Y406" s="564"/>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564"/>
      <c r="AW406" s="564"/>
      <c r="AX406" s="564"/>
      <c r="AY406" s="564"/>
      <c r="AZ406" s="564"/>
      <c r="BA406" s="564"/>
      <c r="BB406" s="564"/>
      <c r="BC406" s="564"/>
      <c r="BD406" s="564"/>
      <c r="BE406" s="564"/>
      <c r="BF406" s="564"/>
      <c r="BG406" s="564"/>
      <c r="BH406" s="564"/>
      <c r="BI406" s="564"/>
      <c r="BJ406" s="564"/>
      <c r="BK406" s="564"/>
      <c r="BL406" s="564"/>
      <c r="BM406" s="564"/>
      <c r="BN406" s="564"/>
      <c r="BO406" s="564"/>
      <c r="BP406" s="564"/>
      <c r="BQ406" s="564"/>
      <c r="BR406" s="564"/>
      <c r="BS406" s="564"/>
      <c r="BT406" s="564"/>
      <c r="BU406" s="564"/>
      <c r="BV406" s="564"/>
      <c r="BW406" s="564"/>
      <c r="BX406" s="564"/>
      <c r="BY406" s="564"/>
    </row>
    <row r="407" spans="1:77" ht="12" thickBot="1">
      <c r="A407" s="596" t="s">
        <v>1507</v>
      </c>
      <c r="B407" s="541" t="s">
        <v>376</v>
      </c>
      <c r="C407" s="541" t="s">
        <v>1119</v>
      </c>
      <c r="D407" s="552" t="s">
        <v>1139</v>
      </c>
      <c r="E407" s="549"/>
      <c r="F407" s="551"/>
      <c r="G407" s="550"/>
      <c r="H407" s="551"/>
      <c r="I407" s="551"/>
      <c r="J407" s="551"/>
      <c r="K407" s="551"/>
      <c r="L407" s="551"/>
      <c r="M407" s="550"/>
      <c r="N407" s="550"/>
      <c r="O407" s="551"/>
      <c r="P407" s="551"/>
      <c r="Q407" s="550"/>
      <c r="R407" s="550"/>
      <c r="S407" s="546">
        <f t="shared" si="67"/>
        <v>0</v>
      </c>
      <c r="T407" s="547">
        <f t="shared" si="68"/>
        <v>0</v>
      </c>
      <c r="U407" s="546">
        <f t="shared" si="66"/>
        <v>0</v>
      </c>
      <c r="W407" s="350">
        <f t="shared" si="69"/>
        <v>0</v>
      </c>
      <c r="X407" s="285">
        <f t="shared" si="70"/>
        <v>0</v>
      </c>
      <c r="Y407" s="564"/>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564"/>
      <c r="AW407" s="564"/>
      <c r="AX407" s="564"/>
      <c r="AY407" s="564"/>
      <c r="AZ407" s="564"/>
      <c r="BA407" s="564"/>
      <c r="BB407" s="564"/>
      <c r="BC407" s="564"/>
      <c r="BD407" s="564"/>
      <c r="BE407" s="564"/>
      <c r="BF407" s="564"/>
      <c r="BG407" s="564"/>
      <c r="BH407" s="564"/>
      <c r="BI407" s="564"/>
      <c r="BJ407" s="564"/>
      <c r="BK407" s="564"/>
      <c r="BL407" s="564"/>
      <c r="BM407" s="564"/>
      <c r="BN407" s="564"/>
      <c r="BO407" s="564"/>
      <c r="BP407" s="564"/>
      <c r="BQ407" s="564"/>
      <c r="BR407" s="564"/>
      <c r="BS407" s="564"/>
      <c r="BT407" s="564"/>
      <c r="BU407" s="564"/>
      <c r="BV407" s="564"/>
      <c r="BW407" s="564"/>
      <c r="BX407" s="564"/>
      <c r="BY407" s="564"/>
    </row>
    <row r="408" spans="1:77" ht="12" thickBot="1">
      <c r="A408" s="596" t="s">
        <v>1507</v>
      </c>
      <c r="B408" s="541" t="s">
        <v>374</v>
      </c>
      <c r="C408" s="541" t="s">
        <v>1120</v>
      </c>
      <c r="D408" s="552" t="s">
        <v>1139</v>
      </c>
      <c r="E408" s="543"/>
      <c r="F408" s="545"/>
      <c r="G408" s="544"/>
      <c r="H408" s="545"/>
      <c r="I408" s="545"/>
      <c r="J408" s="545"/>
      <c r="K408" s="545"/>
      <c r="L408" s="545"/>
      <c r="M408" s="544"/>
      <c r="N408" s="544"/>
      <c r="O408" s="545"/>
      <c r="P408" s="545"/>
      <c r="Q408" s="544"/>
      <c r="R408" s="544"/>
      <c r="S408" s="546">
        <f t="shared" si="67"/>
        <v>0</v>
      </c>
      <c r="T408" s="547">
        <f t="shared" si="68"/>
        <v>0</v>
      </c>
      <c r="U408" s="546">
        <f t="shared" si="66"/>
        <v>0</v>
      </c>
      <c r="W408" s="350">
        <f t="shared" si="69"/>
        <v>0</v>
      </c>
      <c r="X408" s="285">
        <f t="shared" si="70"/>
        <v>0</v>
      </c>
      <c r="Y408" s="564"/>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564"/>
      <c r="AW408" s="564"/>
      <c r="AX408" s="564"/>
      <c r="AY408" s="564"/>
      <c r="AZ408" s="564"/>
      <c r="BA408" s="564"/>
      <c r="BB408" s="564"/>
      <c r="BC408" s="564"/>
      <c r="BD408" s="564"/>
      <c r="BE408" s="564"/>
      <c r="BF408" s="564"/>
      <c r="BG408" s="564"/>
      <c r="BH408" s="564"/>
      <c r="BI408" s="564"/>
      <c r="BJ408" s="564"/>
      <c r="BK408" s="564"/>
      <c r="BL408" s="564"/>
      <c r="BM408" s="564"/>
      <c r="BN408" s="564"/>
      <c r="BO408" s="564"/>
      <c r="BP408" s="564"/>
      <c r="BQ408" s="564"/>
      <c r="BR408" s="564"/>
      <c r="BS408" s="564"/>
      <c r="BT408" s="564"/>
      <c r="BU408" s="564"/>
      <c r="BV408" s="564"/>
      <c r="BW408" s="564"/>
      <c r="BX408" s="564"/>
      <c r="BY408" s="564"/>
    </row>
    <row r="409" spans="1:77" ht="12" thickBot="1">
      <c r="A409" s="596" t="s">
        <v>1507</v>
      </c>
      <c r="B409" s="541" t="s">
        <v>398</v>
      </c>
      <c r="C409" s="541" t="s">
        <v>1121</v>
      </c>
      <c r="D409" s="552" t="s">
        <v>1139</v>
      </c>
      <c r="E409" s="549"/>
      <c r="F409" s="551"/>
      <c r="G409" s="550"/>
      <c r="H409" s="551"/>
      <c r="I409" s="551"/>
      <c r="J409" s="551"/>
      <c r="K409" s="551"/>
      <c r="L409" s="551"/>
      <c r="M409" s="550"/>
      <c r="N409" s="550"/>
      <c r="O409" s="551"/>
      <c r="P409" s="551"/>
      <c r="Q409" s="550"/>
      <c r="R409" s="550"/>
      <c r="S409" s="546">
        <f t="shared" si="67"/>
        <v>0</v>
      </c>
      <c r="T409" s="547">
        <f t="shared" si="68"/>
        <v>0</v>
      </c>
      <c r="U409" s="546">
        <f t="shared" si="66"/>
        <v>0</v>
      </c>
      <c r="W409" s="350">
        <f t="shared" si="69"/>
        <v>0</v>
      </c>
      <c r="X409" s="285">
        <f t="shared" si="70"/>
        <v>0</v>
      </c>
      <c r="Y409" s="564"/>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row>
    <row r="410" spans="1:77" ht="12" thickBot="1">
      <c r="A410" s="596" t="s">
        <v>1507</v>
      </c>
      <c r="B410" s="541" t="s">
        <v>348</v>
      </c>
      <c r="C410" s="541" t="s">
        <v>1122</v>
      </c>
      <c r="D410" s="552" t="s">
        <v>1139</v>
      </c>
      <c r="E410" s="543"/>
      <c r="F410" s="545"/>
      <c r="G410" s="544"/>
      <c r="H410" s="545"/>
      <c r="I410" s="545"/>
      <c r="J410" s="545"/>
      <c r="K410" s="545"/>
      <c r="L410" s="545"/>
      <c r="M410" s="544"/>
      <c r="N410" s="544"/>
      <c r="O410" s="545"/>
      <c r="P410" s="545"/>
      <c r="Q410" s="544"/>
      <c r="R410" s="544"/>
      <c r="S410" s="546">
        <f t="shared" si="67"/>
        <v>0</v>
      </c>
      <c r="T410" s="547">
        <f t="shared" si="68"/>
        <v>0</v>
      </c>
      <c r="U410" s="546">
        <f t="shared" si="66"/>
        <v>0</v>
      </c>
      <c r="W410" s="350">
        <f t="shared" si="69"/>
        <v>0</v>
      </c>
      <c r="X410" s="285">
        <f t="shared" si="70"/>
        <v>0</v>
      </c>
      <c r="Y410" s="564"/>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row>
    <row r="411" spans="1:77" ht="12" thickBot="1">
      <c r="A411" s="596" t="s">
        <v>1507</v>
      </c>
      <c r="B411" s="541" t="s">
        <v>380</v>
      </c>
      <c r="C411" s="541" t="s">
        <v>1123</v>
      </c>
      <c r="D411" s="552" t="s">
        <v>1139</v>
      </c>
      <c r="E411" s="549"/>
      <c r="F411" s="551"/>
      <c r="G411" s="550"/>
      <c r="H411" s="551"/>
      <c r="I411" s="551"/>
      <c r="J411" s="551"/>
      <c r="K411" s="551"/>
      <c r="L411" s="551"/>
      <c r="M411" s="550"/>
      <c r="N411" s="550"/>
      <c r="O411" s="551"/>
      <c r="P411" s="551"/>
      <c r="Q411" s="550"/>
      <c r="R411" s="550"/>
      <c r="S411" s="546">
        <f t="shared" si="67"/>
        <v>0</v>
      </c>
      <c r="T411" s="547">
        <f t="shared" si="68"/>
        <v>0</v>
      </c>
      <c r="U411" s="546">
        <f t="shared" si="66"/>
        <v>0</v>
      </c>
      <c r="W411" s="350">
        <f t="shared" si="69"/>
        <v>0</v>
      </c>
      <c r="X411" s="285">
        <f t="shared" si="70"/>
        <v>0</v>
      </c>
      <c r="Y411" s="564"/>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row>
    <row r="412" spans="1:77" ht="12" thickBot="1">
      <c r="A412" s="596" t="s">
        <v>1507</v>
      </c>
      <c r="B412" s="541" t="s">
        <v>399</v>
      </c>
      <c r="C412" s="541" t="s">
        <v>1124</v>
      </c>
      <c r="D412" s="552" t="s">
        <v>1139</v>
      </c>
      <c r="E412" s="543"/>
      <c r="F412" s="545"/>
      <c r="G412" s="544"/>
      <c r="H412" s="545"/>
      <c r="I412" s="545"/>
      <c r="J412" s="545"/>
      <c r="K412" s="545"/>
      <c r="L412" s="545"/>
      <c r="M412" s="544"/>
      <c r="N412" s="544"/>
      <c r="O412" s="545"/>
      <c r="P412" s="545"/>
      <c r="Q412" s="544"/>
      <c r="R412" s="544"/>
      <c r="S412" s="546">
        <f t="shared" si="67"/>
        <v>0</v>
      </c>
      <c r="T412" s="547">
        <f t="shared" si="68"/>
        <v>0</v>
      </c>
      <c r="U412" s="546">
        <f t="shared" si="66"/>
        <v>0</v>
      </c>
      <c r="W412" s="350">
        <f t="shared" si="69"/>
        <v>0</v>
      </c>
      <c r="X412" s="285">
        <f t="shared" si="70"/>
        <v>0</v>
      </c>
      <c r="Y412" s="564"/>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row>
    <row r="413" spans="1:77" ht="12" thickBot="1">
      <c r="A413" s="596" t="s">
        <v>1507</v>
      </c>
      <c r="B413" s="541" t="s">
        <v>349</v>
      </c>
      <c r="C413" s="541" t="s">
        <v>1125</v>
      </c>
      <c r="D413" s="552" t="s">
        <v>1139</v>
      </c>
      <c r="E413" s="549"/>
      <c r="F413" s="551"/>
      <c r="G413" s="550"/>
      <c r="H413" s="551"/>
      <c r="I413" s="551"/>
      <c r="J413" s="551"/>
      <c r="K413" s="551"/>
      <c r="L413" s="551"/>
      <c r="M413" s="550"/>
      <c r="N413" s="550"/>
      <c r="O413" s="551"/>
      <c r="P413" s="551"/>
      <c r="Q413" s="550"/>
      <c r="R413" s="550"/>
      <c r="S413" s="546">
        <f t="shared" si="67"/>
        <v>0</v>
      </c>
      <c r="T413" s="547">
        <f t="shared" si="68"/>
        <v>0</v>
      </c>
      <c r="U413" s="546">
        <f t="shared" si="66"/>
        <v>0</v>
      </c>
      <c r="W413" s="350">
        <f t="shared" si="69"/>
        <v>0</v>
      </c>
      <c r="X413" s="285">
        <f t="shared" si="70"/>
        <v>0</v>
      </c>
      <c r="Y413" s="564"/>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row>
    <row r="414" spans="1:77" ht="12" thickBot="1">
      <c r="A414" s="596" t="s">
        <v>1507</v>
      </c>
      <c r="B414" s="541" t="s">
        <v>381</v>
      </c>
      <c r="C414" s="541" t="s">
        <v>1126</v>
      </c>
      <c r="D414" s="552" t="s">
        <v>1139</v>
      </c>
      <c r="E414" s="543"/>
      <c r="F414" s="545"/>
      <c r="G414" s="544"/>
      <c r="H414" s="545"/>
      <c r="I414" s="545"/>
      <c r="J414" s="545"/>
      <c r="K414" s="545"/>
      <c r="L414" s="545"/>
      <c r="M414" s="544"/>
      <c r="N414" s="544"/>
      <c r="O414" s="545"/>
      <c r="P414" s="545"/>
      <c r="Q414" s="544"/>
      <c r="R414" s="544"/>
      <c r="S414" s="546">
        <f t="shared" si="67"/>
        <v>0</v>
      </c>
      <c r="T414" s="547">
        <f t="shared" si="68"/>
        <v>0</v>
      </c>
      <c r="U414" s="546">
        <f t="shared" si="66"/>
        <v>0</v>
      </c>
      <c r="W414" s="350">
        <f t="shared" si="69"/>
        <v>0</v>
      </c>
      <c r="X414" s="285">
        <f t="shared" si="70"/>
        <v>0</v>
      </c>
      <c r="Y414" s="564"/>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row>
    <row r="415" spans="1:77" ht="12" thickBot="1">
      <c r="A415" s="596" t="s">
        <v>1507</v>
      </c>
      <c r="B415" s="541" t="s">
        <v>321</v>
      </c>
      <c r="C415" s="541" t="s">
        <v>1127</v>
      </c>
      <c r="D415" s="552" t="s">
        <v>1139</v>
      </c>
      <c r="E415" s="549"/>
      <c r="F415" s="551"/>
      <c r="G415" s="550"/>
      <c r="H415" s="551"/>
      <c r="I415" s="551"/>
      <c r="J415" s="551"/>
      <c r="K415" s="551"/>
      <c r="L415" s="551"/>
      <c r="M415" s="550"/>
      <c r="N415" s="550"/>
      <c r="O415" s="551"/>
      <c r="P415" s="551"/>
      <c r="Q415" s="550"/>
      <c r="R415" s="550"/>
      <c r="S415" s="546">
        <f t="shared" si="67"/>
        <v>0</v>
      </c>
      <c r="T415" s="547">
        <f t="shared" si="68"/>
        <v>0</v>
      </c>
      <c r="U415" s="546">
        <f t="shared" si="66"/>
        <v>0</v>
      </c>
      <c r="W415" s="350">
        <f t="shared" si="69"/>
        <v>0</v>
      </c>
      <c r="X415" s="285">
        <f t="shared" si="70"/>
        <v>0</v>
      </c>
      <c r="Y415" s="564"/>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row>
    <row r="416" spans="1:77" ht="12" thickBot="1">
      <c r="A416" s="596" t="s">
        <v>1507</v>
      </c>
      <c r="B416" s="541" t="s">
        <v>353</v>
      </c>
      <c r="C416" s="541" t="s">
        <v>1128</v>
      </c>
      <c r="D416" s="552" t="s">
        <v>1139</v>
      </c>
      <c r="E416" s="543"/>
      <c r="F416" s="545"/>
      <c r="G416" s="544"/>
      <c r="H416" s="545"/>
      <c r="I416" s="545"/>
      <c r="J416" s="545"/>
      <c r="K416" s="545"/>
      <c r="L416" s="545"/>
      <c r="M416" s="544"/>
      <c r="N416" s="544"/>
      <c r="O416" s="545"/>
      <c r="P416" s="545"/>
      <c r="Q416" s="544"/>
      <c r="R416" s="544"/>
      <c r="S416" s="546">
        <f t="shared" si="67"/>
        <v>0</v>
      </c>
      <c r="T416" s="547">
        <f t="shared" si="68"/>
        <v>0</v>
      </c>
      <c r="U416" s="546">
        <f t="shared" si="66"/>
        <v>0</v>
      </c>
      <c r="W416" s="350">
        <f t="shared" si="69"/>
        <v>0</v>
      </c>
      <c r="X416" s="285">
        <f t="shared" si="70"/>
        <v>0</v>
      </c>
      <c r="Y416" s="564"/>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row>
    <row r="417" spans="1:77" ht="12" thickBot="1">
      <c r="A417" s="596" t="s">
        <v>1507</v>
      </c>
      <c r="B417" s="541" t="s">
        <v>678</v>
      </c>
      <c r="C417" s="541" t="s">
        <v>1129</v>
      </c>
      <c r="D417" s="552" t="s">
        <v>1139</v>
      </c>
      <c r="E417" s="549"/>
      <c r="F417" s="551"/>
      <c r="G417" s="550"/>
      <c r="H417" s="551"/>
      <c r="I417" s="551"/>
      <c r="J417" s="551"/>
      <c r="K417" s="551"/>
      <c r="L417" s="551"/>
      <c r="M417" s="550"/>
      <c r="N417" s="550"/>
      <c r="O417" s="551"/>
      <c r="P417" s="551"/>
      <c r="Q417" s="551"/>
      <c r="R417" s="550"/>
      <c r="S417" s="546">
        <f t="shared" si="67"/>
        <v>0</v>
      </c>
      <c r="T417" s="547">
        <f t="shared" si="68"/>
        <v>0</v>
      </c>
      <c r="U417" s="546">
        <f t="shared" si="66"/>
        <v>0</v>
      </c>
      <c r="W417" s="350">
        <f t="shared" si="69"/>
        <v>0</v>
      </c>
      <c r="X417" s="285">
        <f t="shared" si="70"/>
        <v>0</v>
      </c>
      <c r="Y417" s="564"/>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564"/>
      <c r="AW417" s="564"/>
      <c r="AX417" s="564"/>
      <c r="AY417" s="564"/>
      <c r="AZ417" s="564"/>
      <c r="BA417" s="564"/>
      <c r="BB417" s="564"/>
      <c r="BC417" s="564"/>
      <c r="BD417" s="564"/>
      <c r="BE417" s="564"/>
      <c r="BF417" s="564"/>
      <c r="BG417" s="564"/>
      <c r="BH417" s="564"/>
      <c r="BI417" s="564"/>
      <c r="BJ417" s="564"/>
      <c r="BK417" s="564"/>
      <c r="BL417" s="564"/>
      <c r="BM417" s="564"/>
      <c r="BN417" s="564"/>
      <c r="BO417" s="564"/>
      <c r="BP417" s="564"/>
      <c r="BQ417" s="564"/>
      <c r="BR417" s="564"/>
      <c r="BS417" s="564"/>
      <c r="BT417" s="564"/>
      <c r="BU417" s="564"/>
      <c r="BV417" s="564"/>
      <c r="BW417" s="564"/>
      <c r="BX417" s="564"/>
      <c r="BY417" s="564"/>
    </row>
    <row r="418" spans="1:77" ht="12" thickBot="1">
      <c r="A418" s="596" t="s">
        <v>1507</v>
      </c>
      <c r="B418" s="541" t="s">
        <v>316</v>
      </c>
      <c r="C418" s="541" t="s">
        <v>1130</v>
      </c>
      <c r="D418" s="552" t="s">
        <v>1139</v>
      </c>
      <c r="E418" s="543"/>
      <c r="F418" s="545"/>
      <c r="G418" s="544"/>
      <c r="H418" s="545"/>
      <c r="I418" s="545"/>
      <c r="J418" s="545"/>
      <c r="K418" s="545"/>
      <c r="L418" s="545"/>
      <c r="M418" s="544"/>
      <c r="N418" s="544"/>
      <c r="O418" s="545"/>
      <c r="P418" s="545"/>
      <c r="Q418" s="544"/>
      <c r="R418" s="544"/>
      <c r="S418" s="546">
        <f t="shared" si="67"/>
        <v>0</v>
      </c>
      <c r="T418" s="547">
        <f t="shared" si="68"/>
        <v>0</v>
      </c>
      <c r="U418" s="546">
        <f t="shared" ref="U418:U431" si="71">N418+O418</f>
        <v>0</v>
      </c>
      <c r="W418" s="350">
        <f t="shared" si="69"/>
        <v>0</v>
      </c>
      <c r="X418" s="285">
        <f t="shared" si="70"/>
        <v>0</v>
      </c>
      <c r="Y418" s="564"/>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564"/>
      <c r="AW418" s="564"/>
      <c r="AX418" s="564"/>
      <c r="AY418" s="564"/>
      <c r="AZ418" s="564"/>
      <c r="BA418" s="564"/>
      <c r="BB418" s="564"/>
      <c r="BC418" s="564"/>
      <c r="BD418" s="564"/>
      <c r="BE418" s="564"/>
      <c r="BF418" s="564"/>
      <c r="BG418" s="564"/>
      <c r="BH418" s="564"/>
      <c r="BI418" s="564"/>
      <c r="BJ418" s="564"/>
      <c r="BK418" s="564"/>
      <c r="BL418" s="564"/>
      <c r="BM418" s="564"/>
      <c r="BN418" s="564"/>
      <c r="BO418" s="564"/>
      <c r="BP418" s="564"/>
      <c r="BQ418" s="564"/>
      <c r="BR418" s="564"/>
      <c r="BS418" s="564"/>
      <c r="BT418" s="564"/>
      <c r="BU418" s="564"/>
      <c r="BV418" s="564"/>
      <c r="BW418" s="564"/>
      <c r="BX418" s="564"/>
      <c r="BY418" s="564"/>
    </row>
    <row r="419" spans="1:77" ht="12" thickBot="1">
      <c r="A419" s="596" t="s">
        <v>1507</v>
      </c>
      <c r="B419" s="541" t="s">
        <v>318</v>
      </c>
      <c r="C419" s="541" t="s">
        <v>1131</v>
      </c>
      <c r="D419" s="552" t="s">
        <v>1139</v>
      </c>
      <c r="E419" s="549"/>
      <c r="F419" s="551"/>
      <c r="G419" s="550"/>
      <c r="H419" s="551"/>
      <c r="I419" s="551"/>
      <c r="J419" s="551"/>
      <c r="K419" s="551"/>
      <c r="L419" s="551"/>
      <c r="M419" s="550"/>
      <c r="N419" s="550"/>
      <c r="O419" s="551"/>
      <c r="P419" s="551"/>
      <c r="Q419" s="550"/>
      <c r="R419" s="550"/>
      <c r="S419" s="546">
        <f t="shared" ref="S419:S431" si="72">G419+H419+I419</f>
        <v>0</v>
      </c>
      <c r="T419" s="547">
        <f t="shared" ref="T419:T431" si="73">J419+K419</f>
        <v>0</v>
      </c>
      <c r="U419" s="546">
        <f t="shared" si="71"/>
        <v>0</v>
      </c>
      <c r="W419" s="350">
        <f t="shared" ref="W419:W431" si="74">SUM(F419:Q419)</f>
        <v>0</v>
      </c>
      <c r="X419" s="285">
        <f t="shared" ref="X419:X431" si="75">W419-R419</f>
        <v>0</v>
      </c>
      <c r="Y419" s="564"/>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564"/>
      <c r="AW419" s="564"/>
      <c r="AX419" s="564"/>
      <c r="AY419" s="564"/>
      <c r="AZ419" s="564"/>
      <c r="BA419" s="564"/>
      <c r="BB419" s="564"/>
      <c r="BC419" s="564"/>
      <c r="BD419" s="564"/>
      <c r="BE419" s="564"/>
      <c r="BF419" s="564"/>
      <c r="BG419" s="564"/>
      <c r="BH419" s="564"/>
      <c r="BI419" s="564"/>
      <c r="BJ419" s="564"/>
      <c r="BK419" s="564"/>
      <c r="BL419" s="564"/>
      <c r="BM419" s="564"/>
      <c r="BN419" s="564"/>
      <c r="BO419" s="564"/>
      <c r="BP419" s="564"/>
      <c r="BQ419" s="564"/>
      <c r="BR419" s="564"/>
      <c r="BS419" s="564"/>
      <c r="BT419" s="564"/>
      <c r="BU419" s="564"/>
      <c r="BV419" s="564"/>
      <c r="BW419" s="564"/>
      <c r="BX419" s="564"/>
      <c r="BY419" s="564"/>
    </row>
    <row r="420" spans="1:77" ht="12" thickBot="1">
      <c r="A420" s="596" t="s">
        <v>1507</v>
      </c>
      <c r="B420" s="541" t="s">
        <v>350</v>
      </c>
      <c r="C420" s="541" t="s">
        <v>1132</v>
      </c>
      <c r="D420" s="552" t="s">
        <v>1139</v>
      </c>
      <c r="E420" s="543"/>
      <c r="F420" s="545"/>
      <c r="G420" s="544"/>
      <c r="H420" s="545"/>
      <c r="I420" s="545"/>
      <c r="J420" s="545"/>
      <c r="K420" s="545"/>
      <c r="L420" s="545"/>
      <c r="M420" s="544"/>
      <c r="N420" s="544"/>
      <c r="O420" s="545"/>
      <c r="P420" s="545"/>
      <c r="Q420" s="544"/>
      <c r="R420" s="544"/>
      <c r="S420" s="546">
        <f t="shared" si="72"/>
        <v>0</v>
      </c>
      <c r="T420" s="547">
        <f t="shared" si="73"/>
        <v>0</v>
      </c>
      <c r="U420" s="546">
        <f t="shared" si="71"/>
        <v>0</v>
      </c>
      <c r="W420" s="350">
        <f t="shared" si="74"/>
        <v>0</v>
      </c>
      <c r="X420" s="285">
        <f t="shared" si="75"/>
        <v>0</v>
      </c>
      <c r="Y420" s="564"/>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564"/>
      <c r="AW420" s="564"/>
      <c r="AX420" s="564"/>
      <c r="AY420" s="564"/>
      <c r="AZ420" s="564"/>
      <c r="BA420" s="564"/>
      <c r="BB420" s="564"/>
      <c r="BC420" s="564"/>
      <c r="BD420" s="564"/>
      <c r="BE420" s="564"/>
      <c r="BF420" s="564"/>
      <c r="BG420" s="564"/>
      <c r="BH420" s="564"/>
      <c r="BI420" s="564"/>
      <c r="BJ420" s="564"/>
      <c r="BK420" s="564"/>
      <c r="BL420" s="564"/>
      <c r="BM420" s="564"/>
      <c r="BN420" s="564"/>
      <c r="BO420" s="564"/>
      <c r="BP420" s="564"/>
      <c r="BQ420" s="564"/>
      <c r="BR420" s="564"/>
      <c r="BS420" s="564"/>
      <c r="BT420" s="564"/>
      <c r="BU420" s="564"/>
      <c r="BV420" s="564"/>
      <c r="BW420" s="564"/>
      <c r="BX420" s="564"/>
      <c r="BY420" s="564"/>
    </row>
    <row r="421" spans="1:77" ht="12" thickBot="1">
      <c r="A421" s="596" t="s">
        <v>1507</v>
      </c>
      <c r="B421" s="541" t="s">
        <v>313</v>
      </c>
      <c r="C421" s="541" t="s">
        <v>1133</v>
      </c>
      <c r="D421" s="552" t="s">
        <v>1139</v>
      </c>
      <c r="E421" s="549"/>
      <c r="F421" s="551"/>
      <c r="G421" s="550"/>
      <c r="H421" s="551"/>
      <c r="I421" s="551"/>
      <c r="J421" s="551"/>
      <c r="K421" s="551"/>
      <c r="L421" s="551"/>
      <c r="M421" s="550"/>
      <c r="N421" s="550"/>
      <c r="O421" s="551"/>
      <c r="P421" s="551"/>
      <c r="Q421" s="550"/>
      <c r="R421" s="550"/>
      <c r="S421" s="546">
        <f t="shared" si="72"/>
        <v>0</v>
      </c>
      <c r="T421" s="547">
        <f t="shared" si="73"/>
        <v>0</v>
      </c>
      <c r="U421" s="546">
        <f t="shared" si="71"/>
        <v>0</v>
      </c>
      <c r="W421" s="350">
        <f t="shared" si="74"/>
        <v>0</v>
      </c>
      <c r="X421" s="285">
        <f t="shared" si="75"/>
        <v>0</v>
      </c>
      <c r="Y421" s="564"/>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564"/>
      <c r="AW421" s="564"/>
      <c r="AX421" s="564"/>
      <c r="AY421" s="564"/>
      <c r="AZ421" s="564"/>
      <c r="BA421" s="564"/>
      <c r="BB421" s="564"/>
      <c r="BC421" s="564"/>
      <c r="BD421" s="564"/>
      <c r="BE421" s="564"/>
      <c r="BF421" s="564"/>
      <c r="BG421" s="564"/>
      <c r="BH421" s="564"/>
      <c r="BI421" s="564"/>
      <c r="BJ421" s="564"/>
      <c r="BK421" s="564"/>
      <c r="BL421" s="564"/>
      <c r="BM421" s="564"/>
      <c r="BN421" s="564"/>
      <c r="BO421" s="564"/>
      <c r="BP421" s="564"/>
      <c r="BQ421" s="564"/>
      <c r="BR421" s="564"/>
      <c r="BS421" s="564"/>
      <c r="BT421" s="564"/>
      <c r="BU421" s="564"/>
      <c r="BV421" s="564"/>
      <c r="BW421" s="564"/>
      <c r="BX421" s="564"/>
      <c r="BY421" s="564"/>
    </row>
    <row r="422" spans="1:77" ht="12" thickBot="1">
      <c r="A422" s="596" t="s">
        <v>1507</v>
      </c>
      <c r="B422" s="541" t="s">
        <v>650</v>
      </c>
      <c r="C422" s="541" t="s">
        <v>1151</v>
      </c>
      <c r="D422" s="552" t="s">
        <v>1139</v>
      </c>
      <c r="E422" s="543"/>
      <c r="F422" s="545"/>
      <c r="G422" s="544"/>
      <c r="H422" s="545"/>
      <c r="I422" s="545"/>
      <c r="J422" s="545"/>
      <c r="K422" s="545"/>
      <c r="L422" s="545"/>
      <c r="M422" s="544"/>
      <c r="N422" s="544"/>
      <c r="O422" s="545"/>
      <c r="P422" s="545"/>
      <c r="Q422" s="545"/>
      <c r="R422" s="544"/>
      <c r="S422" s="546">
        <f t="shared" si="72"/>
        <v>0</v>
      </c>
      <c r="T422" s="547">
        <f t="shared" si="73"/>
        <v>0</v>
      </c>
      <c r="U422" s="546">
        <f t="shared" si="71"/>
        <v>0</v>
      </c>
      <c r="W422" s="350">
        <f t="shared" si="74"/>
        <v>0</v>
      </c>
      <c r="X422" s="285">
        <f t="shared" si="75"/>
        <v>0</v>
      </c>
      <c r="Y422" s="564"/>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564"/>
      <c r="AW422" s="564"/>
      <c r="AX422" s="564"/>
      <c r="AY422" s="564"/>
      <c r="AZ422" s="564"/>
      <c r="BA422" s="564"/>
      <c r="BB422" s="564"/>
      <c r="BC422" s="564"/>
      <c r="BD422" s="564"/>
      <c r="BE422" s="564"/>
      <c r="BF422" s="564"/>
      <c r="BG422" s="564"/>
      <c r="BH422" s="564"/>
      <c r="BI422" s="564"/>
      <c r="BJ422" s="564"/>
      <c r="BK422" s="564"/>
      <c r="BL422" s="564"/>
      <c r="BM422" s="564"/>
      <c r="BN422" s="564"/>
      <c r="BO422" s="564"/>
      <c r="BP422" s="564"/>
      <c r="BQ422" s="564"/>
      <c r="BR422" s="564"/>
      <c r="BS422" s="564"/>
      <c r="BT422" s="564"/>
      <c r="BU422" s="564"/>
      <c r="BV422" s="564"/>
      <c r="BW422" s="564"/>
      <c r="BX422" s="564"/>
      <c r="BY422" s="564"/>
    </row>
    <row r="423" spans="1:77" ht="12" thickBot="1">
      <c r="A423" s="596" t="s">
        <v>1507</v>
      </c>
      <c r="B423" s="541" t="s">
        <v>447</v>
      </c>
      <c r="C423" s="541" t="s">
        <v>1134</v>
      </c>
      <c r="D423" s="552" t="s">
        <v>1139</v>
      </c>
      <c r="E423" s="549"/>
      <c r="F423" s="551"/>
      <c r="G423" s="550"/>
      <c r="H423" s="551"/>
      <c r="I423" s="551"/>
      <c r="J423" s="551"/>
      <c r="K423" s="551"/>
      <c r="L423" s="551"/>
      <c r="M423" s="550"/>
      <c r="N423" s="550"/>
      <c r="O423" s="551"/>
      <c r="P423" s="551"/>
      <c r="Q423" s="551"/>
      <c r="R423" s="550"/>
      <c r="S423" s="546">
        <f t="shared" si="72"/>
        <v>0</v>
      </c>
      <c r="T423" s="547">
        <f t="shared" si="73"/>
        <v>0</v>
      </c>
      <c r="U423" s="546">
        <f t="shared" si="71"/>
        <v>0</v>
      </c>
      <c r="W423" s="350">
        <f t="shared" si="74"/>
        <v>0</v>
      </c>
      <c r="X423" s="285">
        <f t="shared" si="75"/>
        <v>0</v>
      </c>
      <c r="Y423" s="564"/>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564"/>
      <c r="AW423" s="564"/>
      <c r="AX423" s="564"/>
      <c r="AY423" s="564"/>
      <c r="AZ423" s="564"/>
      <c r="BA423" s="564"/>
      <c r="BB423" s="564"/>
      <c r="BC423" s="564"/>
      <c r="BD423" s="564"/>
      <c r="BE423" s="564"/>
      <c r="BF423" s="564"/>
      <c r="BG423" s="564"/>
      <c r="BH423" s="564"/>
      <c r="BI423" s="564"/>
      <c r="BJ423" s="564"/>
      <c r="BK423" s="564"/>
      <c r="BL423" s="564"/>
      <c r="BM423" s="564"/>
      <c r="BN423" s="564"/>
      <c r="BO423" s="564"/>
      <c r="BP423" s="564"/>
      <c r="BQ423" s="564"/>
      <c r="BR423" s="564"/>
      <c r="BS423" s="564"/>
      <c r="BT423" s="564"/>
      <c r="BU423" s="564"/>
      <c r="BV423" s="564"/>
      <c r="BW423" s="564"/>
      <c r="BX423" s="564"/>
      <c r="BY423" s="564"/>
    </row>
    <row r="424" spans="1:77" ht="12" thickBot="1">
      <c r="A424" s="596" t="s">
        <v>1507</v>
      </c>
      <c r="B424" s="541" t="s">
        <v>624</v>
      </c>
      <c r="C424" s="541" t="s">
        <v>1135</v>
      </c>
      <c r="D424" s="552" t="s">
        <v>1139</v>
      </c>
      <c r="E424" s="543"/>
      <c r="F424" s="545"/>
      <c r="G424" s="544"/>
      <c r="H424" s="545"/>
      <c r="I424" s="545"/>
      <c r="J424" s="545"/>
      <c r="K424" s="545"/>
      <c r="L424" s="545"/>
      <c r="M424" s="544"/>
      <c r="N424" s="544"/>
      <c r="O424" s="545"/>
      <c r="P424" s="545"/>
      <c r="Q424" s="545"/>
      <c r="R424" s="544"/>
      <c r="S424" s="546">
        <f t="shared" si="72"/>
        <v>0</v>
      </c>
      <c r="T424" s="547">
        <f t="shared" si="73"/>
        <v>0</v>
      </c>
      <c r="U424" s="546">
        <f t="shared" si="71"/>
        <v>0</v>
      </c>
      <c r="W424" s="350">
        <f t="shared" si="74"/>
        <v>0</v>
      </c>
      <c r="X424" s="285">
        <f t="shared" si="75"/>
        <v>0</v>
      </c>
      <c r="Y424" s="564"/>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564"/>
      <c r="AW424" s="564"/>
      <c r="AX424" s="564"/>
      <c r="AY424" s="564"/>
      <c r="AZ424" s="564"/>
      <c r="BA424" s="564"/>
      <c r="BB424" s="564"/>
      <c r="BC424" s="564"/>
      <c r="BD424" s="564"/>
      <c r="BE424" s="564"/>
      <c r="BF424" s="564"/>
      <c r="BG424" s="564"/>
      <c r="BH424" s="564"/>
      <c r="BI424" s="564"/>
      <c r="BJ424" s="564"/>
      <c r="BK424" s="564"/>
      <c r="BL424" s="564"/>
      <c r="BM424" s="564"/>
      <c r="BN424" s="564"/>
      <c r="BO424" s="564"/>
      <c r="BP424" s="564"/>
      <c r="BQ424" s="564"/>
      <c r="BR424" s="564"/>
      <c r="BS424" s="564"/>
      <c r="BT424" s="564"/>
      <c r="BU424" s="564"/>
      <c r="BV424" s="564"/>
      <c r="BW424" s="564"/>
      <c r="BX424" s="564"/>
      <c r="BY424" s="564"/>
    </row>
    <row r="425" spans="1:77" ht="12" thickBot="1">
      <c r="A425" s="596" t="s">
        <v>1507</v>
      </c>
      <c r="B425" s="541" t="s">
        <v>429</v>
      </c>
      <c r="C425" s="541" t="s">
        <v>428</v>
      </c>
      <c r="D425" s="552" t="s">
        <v>73</v>
      </c>
      <c r="E425" s="551"/>
      <c r="F425" s="551"/>
      <c r="G425" s="551"/>
      <c r="H425" s="551"/>
      <c r="I425" s="551"/>
      <c r="J425" s="551"/>
      <c r="K425" s="551"/>
      <c r="L425" s="551"/>
      <c r="M425" s="551"/>
      <c r="N425" s="551"/>
      <c r="O425" s="551"/>
      <c r="P425" s="551"/>
      <c r="Q425" s="551"/>
      <c r="R425" s="550"/>
      <c r="S425" s="546">
        <f t="shared" si="72"/>
        <v>0</v>
      </c>
      <c r="T425" s="547">
        <f t="shared" si="73"/>
        <v>0</v>
      </c>
      <c r="U425" s="546">
        <f t="shared" si="71"/>
        <v>0</v>
      </c>
      <c r="W425" s="350">
        <f t="shared" si="74"/>
        <v>0</v>
      </c>
      <c r="X425" s="285">
        <f t="shared" si="75"/>
        <v>0</v>
      </c>
      <c r="Y425" s="564"/>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564"/>
      <c r="AW425" s="564"/>
      <c r="AX425" s="564"/>
      <c r="AY425" s="564"/>
      <c r="AZ425" s="564"/>
      <c r="BA425" s="564"/>
      <c r="BB425" s="564"/>
      <c r="BC425" s="564"/>
      <c r="BD425" s="564"/>
      <c r="BE425" s="564"/>
      <c r="BF425" s="564"/>
      <c r="BG425" s="564"/>
      <c r="BH425" s="564"/>
      <c r="BI425" s="564"/>
      <c r="BJ425" s="564"/>
      <c r="BK425" s="564"/>
      <c r="BL425" s="564"/>
      <c r="BM425" s="564"/>
      <c r="BN425" s="564"/>
      <c r="BO425" s="564"/>
      <c r="BP425" s="564"/>
      <c r="BQ425" s="564"/>
      <c r="BR425" s="564"/>
      <c r="BS425" s="564"/>
      <c r="BT425" s="564"/>
      <c r="BU425" s="564"/>
      <c r="BV425" s="564"/>
      <c r="BW425" s="564"/>
      <c r="BX425" s="564"/>
      <c r="BY425" s="564"/>
    </row>
    <row r="426" spans="1:77" ht="12" thickBot="1">
      <c r="A426" s="596" t="s">
        <v>1507</v>
      </c>
      <c r="B426" s="541" t="s">
        <v>455</v>
      </c>
      <c r="C426" s="541" t="s">
        <v>454</v>
      </c>
      <c r="D426" s="552" t="s">
        <v>710</v>
      </c>
      <c r="E426" s="545"/>
      <c r="F426" s="545"/>
      <c r="G426" s="545"/>
      <c r="H426" s="545"/>
      <c r="I426" s="545"/>
      <c r="J426" s="545"/>
      <c r="K426" s="545"/>
      <c r="L426" s="545"/>
      <c r="M426" s="545"/>
      <c r="N426" s="545"/>
      <c r="O426" s="545"/>
      <c r="P426" s="545"/>
      <c r="Q426" s="545"/>
      <c r="R426" s="544"/>
      <c r="S426" s="546">
        <f t="shared" si="72"/>
        <v>0</v>
      </c>
      <c r="T426" s="547">
        <f t="shared" si="73"/>
        <v>0</v>
      </c>
      <c r="U426" s="546">
        <f t="shared" si="71"/>
        <v>0</v>
      </c>
      <c r="W426" s="350">
        <f t="shared" si="74"/>
        <v>0</v>
      </c>
      <c r="X426" s="285">
        <f t="shared" si="75"/>
        <v>0</v>
      </c>
      <c r="Y426" s="564"/>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564"/>
      <c r="AW426" s="564"/>
      <c r="AX426" s="564"/>
      <c r="AY426" s="564"/>
      <c r="AZ426" s="564"/>
      <c r="BA426" s="564"/>
      <c r="BB426" s="564"/>
      <c r="BC426" s="564"/>
      <c r="BD426" s="564"/>
      <c r="BE426" s="564"/>
      <c r="BF426" s="564"/>
      <c r="BG426" s="564"/>
      <c r="BH426" s="564"/>
      <c r="BI426" s="564"/>
      <c r="BJ426" s="564"/>
      <c r="BK426" s="564"/>
      <c r="BL426" s="564"/>
      <c r="BM426" s="564"/>
      <c r="BN426" s="564"/>
      <c r="BO426" s="564"/>
      <c r="BP426" s="564"/>
      <c r="BQ426" s="564"/>
      <c r="BR426" s="564"/>
      <c r="BS426" s="564"/>
      <c r="BT426" s="564"/>
      <c r="BU426" s="564"/>
      <c r="BV426" s="564"/>
      <c r="BW426" s="564"/>
      <c r="BX426" s="564"/>
      <c r="BY426" s="564"/>
    </row>
    <row r="427" spans="1:77" ht="12" thickBot="1">
      <c r="A427" s="596" t="s">
        <v>1507</v>
      </c>
      <c r="B427" s="541" t="s">
        <v>457</v>
      </c>
      <c r="C427" s="541" t="s">
        <v>456</v>
      </c>
      <c r="D427" s="552" t="s">
        <v>710</v>
      </c>
      <c r="E427" s="551"/>
      <c r="F427" s="551"/>
      <c r="G427" s="551"/>
      <c r="H427" s="551"/>
      <c r="I427" s="551"/>
      <c r="J427" s="551"/>
      <c r="K427" s="551"/>
      <c r="L427" s="551"/>
      <c r="M427" s="551"/>
      <c r="N427" s="551"/>
      <c r="O427" s="551"/>
      <c r="P427" s="551"/>
      <c r="Q427" s="551"/>
      <c r="R427" s="550"/>
      <c r="S427" s="546">
        <f t="shared" si="72"/>
        <v>0</v>
      </c>
      <c r="T427" s="547">
        <f t="shared" si="73"/>
        <v>0</v>
      </c>
      <c r="U427" s="546">
        <f t="shared" si="71"/>
        <v>0</v>
      </c>
      <c r="W427" s="350">
        <f t="shared" si="74"/>
        <v>0</v>
      </c>
      <c r="X427" s="285">
        <f t="shared" si="75"/>
        <v>0</v>
      </c>
      <c r="Y427" s="564"/>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564"/>
      <c r="AW427" s="564"/>
      <c r="AX427" s="564"/>
      <c r="AY427" s="564"/>
      <c r="AZ427" s="564"/>
      <c r="BA427" s="564"/>
      <c r="BB427" s="564"/>
      <c r="BC427" s="564"/>
      <c r="BD427" s="564"/>
      <c r="BE427" s="564"/>
      <c r="BF427" s="564"/>
      <c r="BG427" s="564"/>
      <c r="BH427" s="564"/>
      <c r="BI427" s="564"/>
      <c r="BJ427" s="564"/>
      <c r="BK427" s="564"/>
      <c r="BL427" s="564"/>
      <c r="BM427" s="564"/>
      <c r="BN427" s="564"/>
      <c r="BO427" s="564"/>
      <c r="BP427" s="564"/>
      <c r="BQ427" s="564"/>
      <c r="BR427" s="564"/>
      <c r="BS427" s="564"/>
      <c r="BT427" s="564"/>
      <c r="BU427" s="564"/>
      <c r="BV427" s="564"/>
      <c r="BW427" s="564"/>
      <c r="BX427" s="564"/>
      <c r="BY427" s="564"/>
    </row>
    <row r="428" spans="1:77" ht="12" thickBot="1">
      <c r="A428" s="596" t="s">
        <v>1507</v>
      </c>
      <c r="B428" s="541" t="s">
        <v>427</v>
      </c>
      <c r="C428" s="541" t="s">
        <v>426</v>
      </c>
      <c r="D428" s="552" t="s">
        <v>1157</v>
      </c>
      <c r="E428" s="545"/>
      <c r="F428" s="544"/>
      <c r="G428" s="545"/>
      <c r="H428" s="545"/>
      <c r="I428" s="545"/>
      <c r="J428" s="545"/>
      <c r="K428" s="545"/>
      <c r="L428" s="545"/>
      <c r="M428" s="545"/>
      <c r="N428" s="545"/>
      <c r="O428" s="545"/>
      <c r="P428" s="545"/>
      <c r="Q428" s="545"/>
      <c r="R428" s="544"/>
      <c r="S428" s="546">
        <f t="shared" si="72"/>
        <v>0</v>
      </c>
      <c r="T428" s="547">
        <f t="shared" si="73"/>
        <v>0</v>
      </c>
      <c r="U428" s="546">
        <f t="shared" si="71"/>
        <v>0</v>
      </c>
      <c r="W428" s="350">
        <f t="shared" si="74"/>
        <v>0</v>
      </c>
      <c r="X428" s="285">
        <f t="shared" si="75"/>
        <v>0</v>
      </c>
      <c r="Y428" s="564"/>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564"/>
      <c r="AW428" s="564"/>
      <c r="AX428" s="564"/>
      <c r="AY428" s="564"/>
      <c r="AZ428" s="564"/>
      <c r="BA428" s="564"/>
      <c r="BB428" s="564"/>
      <c r="BC428" s="564"/>
      <c r="BD428" s="564"/>
      <c r="BE428" s="564"/>
      <c r="BF428" s="564"/>
      <c r="BG428" s="564"/>
      <c r="BH428" s="564"/>
      <c r="BI428" s="564"/>
      <c r="BJ428" s="564"/>
      <c r="BK428" s="564"/>
      <c r="BL428" s="564"/>
      <c r="BM428" s="564"/>
      <c r="BN428" s="564"/>
      <c r="BO428" s="564"/>
      <c r="BP428" s="564"/>
      <c r="BQ428" s="564"/>
      <c r="BR428" s="564"/>
      <c r="BS428" s="564"/>
      <c r="BT428" s="564"/>
      <c r="BU428" s="564"/>
      <c r="BV428" s="564"/>
      <c r="BW428" s="564"/>
      <c r="BX428" s="564"/>
      <c r="BY428" s="564"/>
    </row>
    <row r="429" spans="1:77" ht="12" thickBot="1">
      <c r="A429" s="596" t="s">
        <v>1507</v>
      </c>
      <c r="B429" s="541" t="s">
        <v>673</v>
      </c>
      <c r="C429" s="541" t="s">
        <v>674</v>
      </c>
      <c r="D429" s="552" t="s">
        <v>710</v>
      </c>
      <c r="E429" s="551"/>
      <c r="F429" s="551"/>
      <c r="G429" s="551"/>
      <c r="H429" s="551"/>
      <c r="I429" s="551"/>
      <c r="J429" s="551"/>
      <c r="K429" s="551"/>
      <c r="L429" s="551"/>
      <c r="M429" s="551"/>
      <c r="N429" s="551"/>
      <c r="O429" s="551"/>
      <c r="P429" s="551"/>
      <c r="Q429" s="551"/>
      <c r="R429" s="550"/>
      <c r="S429" s="546">
        <f t="shared" si="72"/>
        <v>0</v>
      </c>
      <c r="T429" s="547">
        <f t="shared" si="73"/>
        <v>0</v>
      </c>
      <c r="U429" s="546">
        <f t="shared" si="71"/>
        <v>0</v>
      </c>
      <c r="W429" s="350">
        <f t="shared" si="74"/>
        <v>0</v>
      </c>
      <c r="X429" s="285">
        <f t="shared" si="75"/>
        <v>0</v>
      </c>
      <c r="Y429" s="564"/>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564"/>
      <c r="AW429" s="564"/>
      <c r="AX429" s="564"/>
      <c r="AY429" s="564"/>
      <c r="AZ429" s="564"/>
      <c r="BA429" s="564"/>
      <c r="BB429" s="564"/>
      <c r="BC429" s="564"/>
      <c r="BD429" s="564"/>
      <c r="BE429" s="564"/>
      <c r="BF429" s="564"/>
      <c r="BG429" s="564"/>
      <c r="BH429" s="564"/>
      <c r="BI429" s="564"/>
      <c r="BJ429" s="564"/>
      <c r="BK429" s="564"/>
      <c r="BL429" s="564"/>
      <c r="BM429" s="564"/>
      <c r="BN429" s="564"/>
      <c r="BO429" s="564"/>
      <c r="BP429" s="564"/>
      <c r="BQ429" s="564"/>
      <c r="BR429" s="564"/>
      <c r="BS429" s="564"/>
      <c r="BT429" s="564"/>
      <c r="BU429" s="564"/>
      <c r="BV429" s="564"/>
      <c r="BW429" s="564"/>
      <c r="BX429" s="564"/>
      <c r="BY429" s="564"/>
    </row>
    <row r="430" spans="1:77" ht="12" thickBot="1">
      <c r="A430" s="596" t="s">
        <v>1507</v>
      </c>
      <c r="B430" s="541" t="s">
        <v>1152</v>
      </c>
      <c r="C430" s="541" t="s">
        <v>1153</v>
      </c>
      <c r="D430" s="552" t="s">
        <v>710</v>
      </c>
      <c r="E430" s="545"/>
      <c r="F430" s="545"/>
      <c r="G430" s="545"/>
      <c r="H430" s="545"/>
      <c r="I430" s="545"/>
      <c r="J430" s="545"/>
      <c r="K430" s="545"/>
      <c r="L430" s="545"/>
      <c r="M430" s="545"/>
      <c r="N430" s="545"/>
      <c r="O430" s="545"/>
      <c r="P430" s="545"/>
      <c r="Q430" s="545"/>
      <c r="R430" s="544"/>
      <c r="S430" s="546">
        <f t="shared" si="72"/>
        <v>0</v>
      </c>
      <c r="T430" s="547">
        <f t="shared" si="73"/>
        <v>0</v>
      </c>
      <c r="U430" s="546">
        <f t="shared" si="71"/>
        <v>0</v>
      </c>
      <c r="W430" s="350">
        <f t="shared" si="74"/>
        <v>0</v>
      </c>
      <c r="X430" s="285">
        <f t="shared" si="75"/>
        <v>0</v>
      </c>
      <c r="Y430" s="564"/>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564"/>
      <c r="AW430" s="564"/>
      <c r="AX430" s="564"/>
      <c r="AY430" s="564"/>
      <c r="AZ430" s="564"/>
      <c r="BA430" s="564"/>
      <c r="BB430" s="564"/>
      <c r="BC430" s="564"/>
      <c r="BD430" s="564"/>
      <c r="BE430" s="564"/>
      <c r="BF430" s="564"/>
      <c r="BG430" s="564"/>
      <c r="BH430" s="564"/>
      <c r="BI430" s="564"/>
      <c r="BJ430" s="564"/>
      <c r="BK430" s="564"/>
      <c r="BL430" s="564"/>
      <c r="BM430" s="564"/>
      <c r="BN430" s="564"/>
      <c r="BO430" s="564"/>
      <c r="BP430" s="564"/>
      <c r="BQ430" s="564"/>
      <c r="BR430" s="564"/>
      <c r="BS430" s="564"/>
      <c r="BT430" s="564"/>
      <c r="BU430" s="564"/>
      <c r="BV430" s="564"/>
      <c r="BW430" s="564"/>
      <c r="BX430" s="564"/>
      <c r="BY430" s="564"/>
    </row>
    <row r="431" spans="1:77" ht="12" thickBot="1">
      <c r="A431" s="596" t="s">
        <v>1507</v>
      </c>
      <c r="B431" s="541" t="s">
        <v>434</v>
      </c>
      <c r="C431" s="541" t="s">
        <v>1154</v>
      </c>
      <c r="D431" s="552" t="s">
        <v>1158</v>
      </c>
      <c r="E431" s="549"/>
      <c r="F431" s="550"/>
      <c r="G431" s="550"/>
      <c r="H431" s="550"/>
      <c r="I431" s="551"/>
      <c r="J431" s="551"/>
      <c r="K431" s="551"/>
      <c r="L431" s="551"/>
      <c r="M431" s="551"/>
      <c r="N431" s="551"/>
      <c r="O431" s="551"/>
      <c r="P431" s="551"/>
      <c r="Q431" s="551"/>
      <c r="R431" s="550"/>
      <c r="S431" s="546">
        <f t="shared" si="72"/>
        <v>0</v>
      </c>
      <c r="T431" s="547">
        <f t="shared" si="73"/>
        <v>0</v>
      </c>
      <c r="U431" s="546">
        <f t="shared" si="71"/>
        <v>0</v>
      </c>
      <c r="W431" s="350">
        <f t="shared" si="74"/>
        <v>0</v>
      </c>
      <c r="X431" s="285">
        <f t="shared" si="75"/>
        <v>0</v>
      </c>
      <c r="Y431" s="564"/>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564"/>
      <c r="AW431" s="564"/>
      <c r="AX431" s="564"/>
      <c r="AY431" s="564"/>
      <c r="AZ431" s="564"/>
      <c r="BA431" s="564"/>
      <c r="BB431" s="564"/>
      <c r="BC431" s="564"/>
      <c r="BD431" s="564"/>
      <c r="BE431" s="564"/>
      <c r="BF431" s="564"/>
      <c r="BG431" s="564"/>
      <c r="BH431" s="564"/>
      <c r="BI431" s="564"/>
      <c r="BJ431" s="564"/>
      <c r="BK431" s="564"/>
      <c r="BL431" s="564"/>
      <c r="BM431" s="564"/>
      <c r="BN431" s="564"/>
      <c r="BO431" s="564"/>
      <c r="BP431" s="564"/>
      <c r="BQ431" s="564"/>
      <c r="BR431" s="564"/>
      <c r="BS431" s="564"/>
      <c r="BT431" s="564"/>
      <c r="BU431" s="564"/>
      <c r="BV431" s="564"/>
      <c r="BW431" s="564"/>
      <c r="BX431" s="564"/>
      <c r="BY431" s="564"/>
    </row>
    <row r="432" spans="1:77" ht="12" thickBot="1">
      <c r="A432" s="596" t="s">
        <v>1507</v>
      </c>
      <c r="B432" s="562" t="s">
        <v>8</v>
      </c>
      <c r="C432" s="563"/>
      <c r="D432" s="557"/>
      <c r="E432" s="558"/>
      <c r="F432" s="559"/>
      <c r="G432" s="559"/>
      <c r="H432" s="559"/>
      <c r="I432" s="559"/>
      <c r="J432" s="559"/>
      <c r="K432" s="559"/>
      <c r="L432" s="559"/>
      <c r="M432" s="559"/>
      <c r="N432" s="559"/>
      <c r="O432" s="559"/>
      <c r="P432" s="559"/>
      <c r="Q432" s="559"/>
      <c r="R432" s="559"/>
      <c r="S432" s="546">
        <f t="shared" ref="S432:S495" si="76">G432+H432+I432</f>
        <v>0</v>
      </c>
      <c r="T432" s="547">
        <f t="shared" ref="T432:T495" si="77">J432+K432</f>
        <v>0</v>
      </c>
      <c r="U432" s="546">
        <f t="shared" ref="U432:U495" si="78">N432+O432</f>
        <v>0</v>
      </c>
      <c r="W432" s="350">
        <f t="shared" ref="W432:W493" si="79">SUM(F432:Q432)</f>
        <v>0</v>
      </c>
      <c r="X432" s="285">
        <f t="shared" ref="X432:X493" si="80">W432-R432</f>
        <v>0</v>
      </c>
      <c r="Y432" s="564"/>
      <c r="Z432" s="65"/>
      <c r="AA432" s="65"/>
      <c r="AB432" s="65"/>
      <c r="AC432" s="65"/>
      <c r="AD432" s="65"/>
      <c r="AE432" s="65"/>
      <c r="AF432" s="65"/>
      <c r="AG432" s="65"/>
      <c r="AH432" s="65"/>
      <c r="AI432" s="65"/>
      <c r="AJ432" s="65"/>
      <c r="AK432" s="65"/>
      <c r="AL432" s="65"/>
      <c r="AM432" s="65"/>
      <c r="AN432" s="65"/>
      <c r="AO432" s="65"/>
      <c r="AP432" s="65"/>
      <c r="AQ432" s="564"/>
      <c r="AR432" s="564"/>
      <c r="AS432" s="564"/>
      <c r="AT432" s="564"/>
      <c r="AU432" s="564"/>
      <c r="AV432" s="564"/>
      <c r="AW432" s="564"/>
      <c r="AX432" s="564"/>
      <c r="AY432" s="564"/>
      <c r="AZ432" s="564"/>
      <c r="BA432" s="564"/>
      <c r="BB432" s="564"/>
      <c r="BC432" s="564"/>
    </row>
    <row r="433" spans="1:55" ht="12" thickBot="1">
      <c r="A433" s="596" t="s">
        <v>1508</v>
      </c>
      <c r="B433" s="541" t="s">
        <v>424</v>
      </c>
      <c r="C433" s="541" t="s">
        <v>444</v>
      </c>
      <c r="D433" s="542" t="s">
        <v>724</v>
      </c>
      <c r="E433" s="543"/>
      <c r="F433" s="544"/>
      <c r="G433" s="544"/>
      <c r="H433" s="545"/>
      <c r="I433" s="545"/>
      <c r="J433" s="545"/>
      <c r="K433" s="545"/>
      <c r="L433" s="545"/>
      <c r="M433" s="545"/>
      <c r="N433" s="545"/>
      <c r="O433" s="545"/>
      <c r="P433" s="545"/>
      <c r="Q433" s="545"/>
      <c r="R433" s="544"/>
      <c r="S433" s="546">
        <f t="shared" si="76"/>
        <v>0</v>
      </c>
      <c r="T433" s="547">
        <f t="shared" si="77"/>
        <v>0</v>
      </c>
      <c r="U433" s="546">
        <f t="shared" si="78"/>
        <v>0</v>
      </c>
      <c r="W433" s="350">
        <f t="shared" si="79"/>
        <v>0</v>
      </c>
      <c r="X433" s="285">
        <f t="shared" si="80"/>
        <v>0</v>
      </c>
      <c r="Y433" s="564"/>
      <c r="Z433" s="65"/>
      <c r="AA433" s="65"/>
      <c r="AB433" s="65"/>
      <c r="AC433" s="65"/>
      <c r="AD433" s="65"/>
      <c r="AE433" s="65"/>
      <c r="AF433" s="65"/>
      <c r="AG433" s="65"/>
      <c r="AH433" s="65"/>
      <c r="AI433" s="65"/>
      <c r="AJ433" s="65"/>
      <c r="AK433" s="65"/>
      <c r="AL433" s="65"/>
      <c r="AM433" s="65"/>
      <c r="AN433" s="65"/>
      <c r="AO433" s="65"/>
      <c r="AP433" s="65"/>
      <c r="AQ433" s="564"/>
      <c r="AR433" s="564"/>
      <c r="AS433" s="564"/>
      <c r="AT433" s="564"/>
      <c r="AU433" s="564"/>
      <c r="AV433" s="564"/>
      <c r="AW433" s="564"/>
      <c r="AX433" s="564"/>
      <c r="AY433" s="564"/>
      <c r="AZ433" s="564"/>
      <c r="BA433" s="564"/>
      <c r="BB433" s="564"/>
      <c r="BC433" s="564"/>
    </row>
    <row r="434" spans="1:55" ht="12" thickBot="1">
      <c r="A434" s="596" t="s">
        <v>1508</v>
      </c>
      <c r="B434" s="541" t="s">
        <v>425</v>
      </c>
      <c r="C434" s="541" t="s">
        <v>445</v>
      </c>
      <c r="D434" s="542" t="s">
        <v>724</v>
      </c>
      <c r="E434" s="549"/>
      <c r="F434" s="550"/>
      <c r="G434" s="550"/>
      <c r="H434" s="551"/>
      <c r="I434" s="551"/>
      <c r="J434" s="551"/>
      <c r="K434" s="551"/>
      <c r="L434" s="551"/>
      <c r="M434" s="551"/>
      <c r="N434" s="551"/>
      <c r="O434" s="551"/>
      <c r="P434" s="551"/>
      <c r="Q434" s="551"/>
      <c r="R434" s="550"/>
      <c r="S434" s="546">
        <f t="shared" si="76"/>
        <v>0</v>
      </c>
      <c r="T434" s="547">
        <f t="shared" si="77"/>
        <v>0</v>
      </c>
      <c r="U434" s="546">
        <f t="shared" si="78"/>
        <v>0</v>
      </c>
      <c r="W434" s="350">
        <f t="shared" si="79"/>
        <v>0</v>
      </c>
      <c r="X434" s="285">
        <f t="shared" si="80"/>
        <v>0</v>
      </c>
      <c r="Y434" s="564"/>
      <c r="Z434" s="65"/>
      <c r="AA434" s="65"/>
      <c r="AB434" s="65"/>
      <c r="AC434" s="65"/>
      <c r="AD434" s="65"/>
      <c r="AE434" s="65"/>
      <c r="AF434" s="65"/>
      <c r="AG434" s="65"/>
      <c r="AH434" s="65"/>
      <c r="AI434" s="65"/>
      <c r="AJ434" s="65"/>
      <c r="AK434" s="65"/>
      <c r="AL434" s="65"/>
      <c r="AM434" s="65"/>
      <c r="AN434" s="65"/>
      <c r="AO434" s="65"/>
      <c r="AP434" s="65"/>
      <c r="AQ434" s="564"/>
      <c r="AR434" s="564"/>
      <c r="AS434" s="564"/>
      <c r="AT434" s="564"/>
      <c r="AU434" s="564"/>
      <c r="AV434" s="564"/>
      <c r="AW434" s="564"/>
      <c r="AX434" s="564"/>
      <c r="AY434" s="564"/>
      <c r="AZ434" s="564"/>
      <c r="BA434" s="564"/>
      <c r="BB434" s="564"/>
      <c r="BC434" s="564"/>
    </row>
    <row r="435" spans="1:55" ht="12" thickBot="1">
      <c r="A435" s="596" t="s">
        <v>1508</v>
      </c>
      <c r="B435" s="541" t="s">
        <v>433</v>
      </c>
      <c r="C435" s="541" t="s">
        <v>432</v>
      </c>
      <c r="D435" s="552" t="s">
        <v>1155</v>
      </c>
      <c r="E435" s="543"/>
      <c r="F435" s="545"/>
      <c r="G435" s="544"/>
      <c r="H435" s="545"/>
      <c r="I435" s="545"/>
      <c r="J435" s="545"/>
      <c r="K435" s="545"/>
      <c r="L435" s="545"/>
      <c r="M435" s="545"/>
      <c r="N435" s="545"/>
      <c r="O435" s="545"/>
      <c r="P435" s="545"/>
      <c r="Q435" s="545"/>
      <c r="R435" s="544"/>
      <c r="S435" s="546">
        <f t="shared" si="76"/>
        <v>0</v>
      </c>
      <c r="T435" s="547">
        <f t="shared" si="77"/>
        <v>0</v>
      </c>
      <c r="U435" s="546">
        <f t="shared" si="78"/>
        <v>0</v>
      </c>
      <c r="W435" s="350">
        <f t="shared" si="79"/>
        <v>0</v>
      </c>
      <c r="X435" s="285">
        <f t="shared" si="80"/>
        <v>0</v>
      </c>
      <c r="Y435" s="564"/>
      <c r="Z435" s="65"/>
      <c r="AA435" s="65"/>
      <c r="AB435" s="65"/>
      <c r="AC435" s="65"/>
      <c r="AD435" s="65"/>
      <c r="AE435" s="65"/>
      <c r="AF435" s="65"/>
      <c r="AG435" s="65"/>
      <c r="AH435" s="65"/>
      <c r="AI435" s="65"/>
      <c r="AJ435" s="65"/>
      <c r="AK435" s="65"/>
      <c r="AL435" s="65"/>
      <c r="AM435" s="65"/>
      <c r="AN435" s="65"/>
      <c r="AO435" s="65"/>
      <c r="AP435" s="65"/>
      <c r="AQ435" s="564"/>
      <c r="AR435" s="564"/>
      <c r="AS435" s="564"/>
      <c r="AT435" s="564"/>
      <c r="AU435" s="564"/>
      <c r="AV435" s="564"/>
      <c r="AW435" s="564"/>
      <c r="AX435" s="564"/>
      <c r="AY435" s="564"/>
      <c r="AZ435" s="564"/>
      <c r="BA435" s="564"/>
      <c r="BB435" s="564"/>
      <c r="BC435" s="564"/>
    </row>
    <row r="436" spans="1:55" ht="12" thickBot="1">
      <c r="A436" s="596" t="s">
        <v>1508</v>
      </c>
      <c r="B436" s="541" t="s">
        <v>431</v>
      </c>
      <c r="C436" s="541" t="s">
        <v>430</v>
      </c>
      <c r="D436" s="553" t="s">
        <v>1155</v>
      </c>
      <c r="E436" s="549"/>
      <c r="F436" s="551"/>
      <c r="G436" s="550"/>
      <c r="H436" s="551"/>
      <c r="I436" s="551"/>
      <c r="J436" s="551"/>
      <c r="K436" s="551"/>
      <c r="L436" s="551"/>
      <c r="M436" s="551"/>
      <c r="N436" s="551"/>
      <c r="O436" s="551"/>
      <c r="P436" s="551"/>
      <c r="Q436" s="551"/>
      <c r="R436" s="550"/>
      <c r="S436" s="546">
        <f t="shared" si="76"/>
        <v>0</v>
      </c>
      <c r="T436" s="547">
        <f t="shared" si="77"/>
        <v>0</v>
      </c>
      <c r="U436" s="546">
        <f t="shared" si="78"/>
        <v>0</v>
      </c>
      <c r="W436" s="350">
        <f t="shared" si="79"/>
        <v>0</v>
      </c>
      <c r="X436" s="285">
        <f t="shared" si="80"/>
        <v>0</v>
      </c>
      <c r="Y436" s="564"/>
      <c r="Z436" s="65"/>
      <c r="AA436" s="65"/>
      <c r="AB436" s="65"/>
      <c r="AC436" s="65"/>
      <c r="AD436" s="65"/>
      <c r="AE436" s="65"/>
      <c r="AF436" s="65"/>
      <c r="AG436" s="65"/>
      <c r="AH436" s="65"/>
      <c r="AI436" s="65"/>
      <c r="AJ436" s="65"/>
      <c r="AK436" s="65"/>
      <c r="AL436" s="65"/>
      <c r="AM436" s="65"/>
      <c r="AN436" s="65"/>
      <c r="AO436" s="65"/>
      <c r="AP436" s="65"/>
      <c r="AQ436" s="564"/>
      <c r="AR436" s="564"/>
      <c r="AS436" s="564"/>
      <c r="AT436" s="564"/>
      <c r="AU436" s="564"/>
      <c r="AV436" s="564"/>
      <c r="AW436" s="564"/>
      <c r="AX436" s="564"/>
      <c r="AY436" s="564"/>
      <c r="AZ436" s="564"/>
      <c r="BA436" s="564"/>
      <c r="BB436" s="564"/>
      <c r="BC436" s="564"/>
    </row>
    <row r="437" spans="1:55" ht="12" thickBot="1">
      <c r="A437" s="596" t="s">
        <v>1508</v>
      </c>
      <c r="B437" s="541" t="s">
        <v>1048</v>
      </c>
      <c r="C437" s="541" t="s">
        <v>1049</v>
      </c>
      <c r="D437" s="553" t="s">
        <v>1146</v>
      </c>
      <c r="E437" s="545"/>
      <c r="F437" s="545"/>
      <c r="G437" s="545"/>
      <c r="H437" s="545"/>
      <c r="I437" s="545"/>
      <c r="J437" s="545"/>
      <c r="K437" s="545"/>
      <c r="L437" s="545"/>
      <c r="M437" s="545"/>
      <c r="N437" s="545"/>
      <c r="O437" s="545"/>
      <c r="P437" s="545"/>
      <c r="Q437" s="545"/>
      <c r="R437" s="545"/>
      <c r="S437" s="546">
        <f t="shared" si="76"/>
        <v>0</v>
      </c>
      <c r="T437" s="547">
        <f t="shared" si="77"/>
        <v>0</v>
      </c>
      <c r="U437" s="546">
        <f t="shared" si="78"/>
        <v>0</v>
      </c>
      <c r="W437" s="350">
        <f>SUM(F437:Q437)</f>
        <v>0</v>
      </c>
      <c r="X437" s="285">
        <f t="shared" si="80"/>
        <v>0</v>
      </c>
      <c r="Y437" s="564"/>
      <c r="Z437" s="65"/>
      <c r="AA437" s="65"/>
      <c r="AB437" s="65"/>
      <c r="AC437" s="65"/>
      <c r="AD437" s="65"/>
      <c r="AE437" s="65"/>
      <c r="AF437" s="65"/>
      <c r="AG437" s="65"/>
      <c r="AH437" s="65"/>
      <c r="AI437" s="65"/>
      <c r="AJ437" s="65"/>
      <c r="AK437" s="65"/>
      <c r="AL437" s="65"/>
      <c r="AM437" s="65"/>
      <c r="AN437" s="65"/>
      <c r="AO437" s="65"/>
      <c r="AP437" s="65"/>
      <c r="AQ437" s="564"/>
      <c r="AR437" s="564"/>
      <c r="AS437" s="564"/>
      <c r="AT437" s="564"/>
      <c r="AU437" s="564"/>
      <c r="AV437" s="564"/>
      <c r="AW437" s="564"/>
      <c r="AX437" s="564"/>
      <c r="AY437" s="564"/>
      <c r="AZ437" s="564"/>
      <c r="BA437" s="564"/>
      <c r="BB437" s="564"/>
      <c r="BC437" s="564"/>
    </row>
    <row r="438" spans="1:55" ht="12" thickBot="1">
      <c r="A438" s="596" t="s">
        <v>1508</v>
      </c>
      <c r="B438" s="541" t="s">
        <v>152</v>
      </c>
      <c r="C438" s="541" t="s">
        <v>57</v>
      </c>
      <c r="D438" s="553" t="s">
        <v>18</v>
      </c>
      <c r="E438" s="549">
        <f t="shared" ref="E438:E484" si="81">ROUND(SUMIFS(E$1721:E$1888,$A$1721:$A$1888,$A438,$B$1721:$B$1888,$B438),0)</f>
        <v>125338353</v>
      </c>
      <c r="F438" s="988">
        <f t="shared" ref="F438:P447" si="82">ROUND(SUMIFS(F$1721:F$1901,$A$1721:$A$1901,$A438,$B$1721:$B$1901,$B438),0)</f>
        <v>24000</v>
      </c>
      <c r="G438" s="988">
        <f t="shared" si="82"/>
        <v>930011</v>
      </c>
      <c r="H438" s="988">
        <f t="shared" si="82"/>
        <v>3624785</v>
      </c>
      <c r="I438" s="988">
        <f t="shared" si="82"/>
        <v>0</v>
      </c>
      <c r="J438" s="988">
        <f t="shared" si="82"/>
        <v>212856</v>
      </c>
      <c r="K438" s="988">
        <f t="shared" si="82"/>
        <v>2175170</v>
      </c>
      <c r="L438" s="988">
        <f t="shared" si="82"/>
        <v>0</v>
      </c>
      <c r="M438" s="988">
        <f t="shared" si="82"/>
        <v>485740</v>
      </c>
      <c r="N438" s="988">
        <f t="shared" si="82"/>
        <v>0</v>
      </c>
      <c r="O438" s="988">
        <f t="shared" si="82"/>
        <v>940480</v>
      </c>
      <c r="P438" s="988">
        <f t="shared" si="82"/>
        <v>0</v>
      </c>
      <c r="Q438" s="988"/>
      <c r="R438" s="988">
        <f t="shared" ref="R438:R484" si="83">ROUND(SUMIFS(R$1721:R$1901,$A$1721:$A$1901,$A438,$B$1721:$B$1901,$B438),0)</f>
        <v>8393043</v>
      </c>
      <c r="S438" s="546">
        <f t="shared" si="76"/>
        <v>4554796</v>
      </c>
      <c r="T438" s="547">
        <f t="shared" si="77"/>
        <v>2388026</v>
      </c>
      <c r="U438" s="546">
        <f t="shared" si="78"/>
        <v>940480</v>
      </c>
      <c r="W438" s="350">
        <f t="shared" si="79"/>
        <v>8393042</v>
      </c>
      <c r="X438" s="285">
        <f t="shared" si="80"/>
        <v>-1</v>
      </c>
      <c r="Y438" s="564"/>
      <c r="Z438" s="65"/>
      <c r="AA438" s="65"/>
      <c r="AB438" s="65"/>
      <c r="AC438" s="65"/>
      <c r="AD438" s="65"/>
      <c r="AE438" s="65"/>
      <c r="AF438" s="65"/>
      <c r="AG438" s="65"/>
      <c r="AH438" s="65"/>
      <c r="AI438" s="65"/>
      <c r="AJ438" s="65"/>
      <c r="AK438" s="65"/>
      <c r="AL438" s="65"/>
      <c r="AM438" s="65"/>
      <c r="AN438" s="65"/>
      <c r="AO438" s="65"/>
      <c r="AP438" s="65"/>
      <c r="AQ438" s="564"/>
      <c r="AR438" s="564"/>
      <c r="AS438" s="564"/>
      <c r="AT438" s="564"/>
      <c r="AU438" s="564"/>
      <c r="AV438" s="564"/>
      <c r="AW438" s="564"/>
      <c r="AX438" s="564"/>
      <c r="AY438" s="564"/>
      <c r="AZ438" s="564"/>
      <c r="BA438" s="564"/>
      <c r="BB438" s="564"/>
      <c r="BC438" s="564"/>
    </row>
    <row r="439" spans="1:55" ht="12" thickBot="1">
      <c r="A439" s="596" t="s">
        <v>1508</v>
      </c>
      <c r="B439" s="541" t="s">
        <v>153</v>
      </c>
      <c r="C439" s="541" t="s">
        <v>180</v>
      </c>
      <c r="D439" s="542" t="s">
        <v>25</v>
      </c>
      <c r="E439" s="549">
        <f t="shared" si="81"/>
        <v>17125531</v>
      </c>
      <c r="F439" s="988">
        <f t="shared" si="82"/>
        <v>33150</v>
      </c>
      <c r="G439" s="988">
        <f t="shared" si="82"/>
        <v>114741</v>
      </c>
      <c r="H439" s="988">
        <f t="shared" si="82"/>
        <v>495270</v>
      </c>
      <c r="I439" s="988">
        <f t="shared" si="82"/>
        <v>0</v>
      </c>
      <c r="J439" s="988">
        <f t="shared" si="82"/>
        <v>59481</v>
      </c>
      <c r="K439" s="988">
        <f t="shared" si="82"/>
        <v>666408</v>
      </c>
      <c r="L439" s="988">
        <f t="shared" si="82"/>
        <v>22447</v>
      </c>
      <c r="M439" s="988">
        <f t="shared" si="82"/>
        <v>66369</v>
      </c>
      <c r="N439" s="988">
        <f t="shared" si="82"/>
        <v>0</v>
      </c>
      <c r="O439" s="988">
        <f t="shared" si="82"/>
        <v>128502</v>
      </c>
      <c r="P439" s="988">
        <f t="shared" si="82"/>
        <v>0</v>
      </c>
      <c r="Q439" s="988"/>
      <c r="R439" s="988">
        <f t="shared" si="83"/>
        <v>1586367</v>
      </c>
      <c r="S439" s="546">
        <f t="shared" si="76"/>
        <v>610011</v>
      </c>
      <c r="T439" s="547">
        <f t="shared" si="77"/>
        <v>725889</v>
      </c>
      <c r="U439" s="546">
        <f t="shared" si="78"/>
        <v>128502</v>
      </c>
      <c r="W439" s="350">
        <f t="shared" si="79"/>
        <v>1586368</v>
      </c>
      <c r="X439" s="285">
        <f t="shared" si="80"/>
        <v>1</v>
      </c>
      <c r="Y439" s="564"/>
      <c r="Z439" s="65"/>
      <c r="AA439" s="65"/>
      <c r="AB439" s="65"/>
      <c r="AC439" s="65"/>
      <c r="AD439" s="65"/>
      <c r="AE439" s="65"/>
      <c r="AF439" s="65"/>
      <c r="AG439" s="65"/>
      <c r="AH439" s="65"/>
      <c r="AI439" s="65"/>
      <c r="AJ439" s="65"/>
      <c r="AK439" s="65"/>
      <c r="AL439" s="65"/>
      <c r="AM439" s="65"/>
      <c r="AN439" s="65"/>
      <c r="AO439" s="65"/>
      <c r="AP439" s="65"/>
      <c r="AQ439" s="564"/>
      <c r="AR439" s="564"/>
      <c r="AS439" s="564"/>
      <c r="AT439" s="564"/>
      <c r="AU439" s="564"/>
      <c r="AV439" s="564"/>
      <c r="AW439" s="564"/>
      <c r="AX439" s="564"/>
      <c r="AY439" s="564"/>
      <c r="AZ439" s="564"/>
      <c r="BA439" s="564"/>
      <c r="BB439" s="564"/>
      <c r="BC439" s="564"/>
    </row>
    <row r="440" spans="1:55" ht="12" thickBot="1">
      <c r="A440" s="596" t="s">
        <v>1508</v>
      </c>
      <c r="B440" s="541" t="s">
        <v>154</v>
      </c>
      <c r="C440" s="541" t="s">
        <v>181</v>
      </c>
      <c r="D440" s="542" t="s">
        <v>24</v>
      </c>
      <c r="E440" s="549">
        <f t="shared" si="81"/>
        <v>148653381</v>
      </c>
      <c r="F440" s="988">
        <f t="shared" si="82"/>
        <v>415800</v>
      </c>
      <c r="G440" s="988">
        <f t="shared" si="82"/>
        <v>998951</v>
      </c>
      <c r="H440" s="988">
        <f t="shared" si="82"/>
        <v>4299056</v>
      </c>
      <c r="I440" s="988">
        <f t="shared" si="82"/>
        <v>0</v>
      </c>
      <c r="J440" s="988">
        <f t="shared" si="82"/>
        <v>569764</v>
      </c>
      <c r="K440" s="988">
        <f t="shared" si="82"/>
        <v>6394021</v>
      </c>
      <c r="L440" s="988">
        <f t="shared" si="82"/>
        <v>194841</v>
      </c>
      <c r="M440" s="988">
        <f t="shared" si="82"/>
        <v>576096</v>
      </c>
      <c r="N440" s="988">
        <f t="shared" si="82"/>
        <v>0</v>
      </c>
      <c r="O440" s="988">
        <f t="shared" si="82"/>
        <v>1115425</v>
      </c>
      <c r="P440" s="988">
        <f t="shared" si="82"/>
        <v>0</v>
      </c>
      <c r="Q440" s="988"/>
      <c r="R440" s="988">
        <f t="shared" si="83"/>
        <v>14563953</v>
      </c>
      <c r="S440" s="546">
        <f t="shared" si="76"/>
        <v>5298007</v>
      </c>
      <c r="T440" s="547">
        <f t="shared" si="77"/>
        <v>6963785</v>
      </c>
      <c r="U440" s="546">
        <f t="shared" si="78"/>
        <v>1115425</v>
      </c>
      <c r="W440" s="350">
        <f t="shared" si="79"/>
        <v>14563954</v>
      </c>
      <c r="X440" s="285">
        <f t="shared" si="80"/>
        <v>1</v>
      </c>
      <c r="Y440" s="564"/>
      <c r="Z440" s="65"/>
      <c r="AA440" s="65"/>
      <c r="AB440" s="65"/>
      <c r="AC440" s="65"/>
      <c r="AD440" s="65"/>
      <c r="AE440" s="65"/>
      <c r="AF440" s="65"/>
      <c r="AG440" s="65"/>
      <c r="AH440" s="65"/>
      <c r="AI440" s="65"/>
      <c r="AJ440" s="65"/>
      <c r="AK440" s="65"/>
      <c r="AL440" s="65"/>
      <c r="AM440" s="65"/>
      <c r="AN440" s="65"/>
      <c r="AO440" s="65"/>
      <c r="AP440" s="65"/>
      <c r="AQ440" s="564"/>
      <c r="AR440" s="564"/>
      <c r="AS440" s="564"/>
      <c r="AT440" s="564"/>
      <c r="AU440" s="564"/>
      <c r="AV440" s="564"/>
      <c r="AW440" s="564"/>
      <c r="AX440" s="564"/>
      <c r="AY440" s="564"/>
      <c r="AZ440" s="564"/>
      <c r="BA440" s="564"/>
      <c r="BB440" s="564"/>
      <c r="BC440" s="564"/>
    </row>
    <row r="441" spans="1:55" ht="12" thickBot="1">
      <c r="A441" s="596" t="s">
        <v>1508</v>
      </c>
      <c r="B441" s="541" t="s">
        <v>155</v>
      </c>
      <c r="C441" s="541" t="s">
        <v>182</v>
      </c>
      <c r="D441" s="554" t="s">
        <v>205</v>
      </c>
      <c r="E441" s="549">
        <f t="shared" si="81"/>
        <v>226428621</v>
      </c>
      <c r="F441" s="988">
        <f t="shared" si="82"/>
        <v>15600</v>
      </c>
      <c r="G441" s="988">
        <f t="shared" si="82"/>
        <v>1976722</v>
      </c>
      <c r="H441" s="988">
        <f t="shared" si="82"/>
        <v>6548316</v>
      </c>
      <c r="I441" s="988">
        <f t="shared" si="82"/>
        <v>0</v>
      </c>
      <c r="J441" s="988">
        <f t="shared" si="82"/>
        <v>386148</v>
      </c>
      <c r="K441" s="988">
        <f t="shared" si="82"/>
        <v>3902222</v>
      </c>
      <c r="L441" s="988">
        <f t="shared" si="82"/>
        <v>296781</v>
      </c>
      <c r="M441" s="988">
        <f t="shared" si="82"/>
        <v>877509</v>
      </c>
      <c r="N441" s="988">
        <f t="shared" si="82"/>
        <v>0</v>
      </c>
      <c r="O441" s="988">
        <f t="shared" si="82"/>
        <v>1699013</v>
      </c>
      <c r="P441" s="988">
        <f t="shared" si="82"/>
        <v>0</v>
      </c>
      <c r="Q441" s="988"/>
      <c r="R441" s="988">
        <f t="shared" si="83"/>
        <v>15702311</v>
      </c>
      <c r="S441" s="546">
        <f t="shared" si="76"/>
        <v>8525038</v>
      </c>
      <c r="T441" s="547">
        <f t="shared" si="77"/>
        <v>4288370</v>
      </c>
      <c r="U441" s="546">
        <f t="shared" si="78"/>
        <v>1699013</v>
      </c>
      <c r="W441" s="350">
        <f t="shared" si="79"/>
        <v>15702311</v>
      </c>
      <c r="X441" s="285">
        <f t="shared" si="80"/>
        <v>0</v>
      </c>
      <c r="Y441" s="564"/>
      <c r="Z441" s="65"/>
      <c r="AA441" s="65"/>
      <c r="AB441" s="65"/>
      <c r="AC441" s="65"/>
      <c r="AD441" s="65"/>
      <c r="AE441" s="65"/>
      <c r="AF441" s="65"/>
      <c r="AG441" s="65"/>
      <c r="AH441" s="65"/>
      <c r="AI441" s="65"/>
      <c r="AJ441" s="65"/>
      <c r="AK441" s="65"/>
      <c r="AL441" s="65"/>
      <c r="AM441" s="65"/>
      <c r="AN441" s="65"/>
      <c r="AO441" s="65"/>
      <c r="AP441" s="65"/>
      <c r="AQ441" s="564"/>
      <c r="AR441" s="564"/>
      <c r="AS441" s="564"/>
      <c r="AT441" s="564"/>
      <c r="AU441" s="564"/>
      <c r="AV441" s="564"/>
      <c r="AW441" s="564"/>
      <c r="AX441" s="564"/>
      <c r="AY441" s="564"/>
      <c r="AZ441" s="564"/>
      <c r="BA441" s="564"/>
      <c r="BB441" s="564"/>
      <c r="BC441" s="564"/>
    </row>
    <row r="442" spans="1:55" ht="12" thickBot="1">
      <c r="A442" s="596" t="s">
        <v>1508</v>
      </c>
      <c r="B442" s="541" t="s">
        <v>156</v>
      </c>
      <c r="C442" s="541" t="s">
        <v>183</v>
      </c>
      <c r="D442" s="554" t="s">
        <v>25</v>
      </c>
      <c r="E442" s="549">
        <f t="shared" si="81"/>
        <v>0</v>
      </c>
      <c r="F442" s="988">
        <f t="shared" si="82"/>
        <v>0</v>
      </c>
      <c r="G442" s="988">
        <f t="shared" si="82"/>
        <v>0</v>
      </c>
      <c r="H442" s="988">
        <f t="shared" si="82"/>
        <v>0</v>
      </c>
      <c r="I442" s="988">
        <f t="shared" si="82"/>
        <v>0</v>
      </c>
      <c r="J442" s="988">
        <f t="shared" si="82"/>
        <v>0</v>
      </c>
      <c r="K442" s="988">
        <f t="shared" si="82"/>
        <v>0</v>
      </c>
      <c r="L442" s="988">
        <f t="shared" si="82"/>
        <v>0</v>
      </c>
      <c r="M442" s="988">
        <f t="shared" si="82"/>
        <v>0</v>
      </c>
      <c r="N442" s="988">
        <f t="shared" si="82"/>
        <v>0</v>
      </c>
      <c r="O442" s="988">
        <f t="shared" si="82"/>
        <v>0</v>
      </c>
      <c r="P442" s="988">
        <f t="shared" si="82"/>
        <v>0</v>
      </c>
      <c r="Q442" s="988"/>
      <c r="R442" s="988">
        <f t="shared" si="83"/>
        <v>0</v>
      </c>
      <c r="S442" s="546">
        <f t="shared" si="76"/>
        <v>0</v>
      </c>
      <c r="T442" s="547">
        <f t="shared" si="77"/>
        <v>0</v>
      </c>
      <c r="U442" s="546">
        <f t="shared" si="78"/>
        <v>0</v>
      </c>
      <c r="W442" s="350">
        <f t="shared" si="79"/>
        <v>0</v>
      </c>
      <c r="X442" s="285">
        <f t="shared" si="80"/>
        <v>0</v>
      </c>
      <c r="Y442" s="564"/>
      <c r="Z442" s="65"/>
      <c r="AA442" s="65"/>
      <c r="AB442" s="65"/>
      <c r="AC442" s="65"/>
      <c r="AD442" s="65"/>
      <c r="AE442" s="65"/>
      <c r="AF442" s="65"/>
      <c r="AG442" s="65"/>
      <c r="AH442" s="65"/>
      <c r="AI442" s="65"/>
      <c r="AJ442" s="65"/>
      <c r="AK442" s="65"/>
      <c r="AL442" s="65"/>
      <c r="AM442" s="65"/>
      <c r="AN442" s="65"/>
      <c r="AO442" s="65"/>
      <c r="AP442" s="65"/>
      <c r="AQ442" s="564"/>
      <c r="AR442" s="564"/>
      <c r="AS442" s="564"/>
      <c r="AT442" s="564"/>
      <c r="AU442" s="564"/>
      <c r="AV442" s="564"/>
      <c r="AW442" s="564"/>
      <c r="AX442" s="564"/>
      <c r="AY442" s="564"/>
      <c r="AZ442" s="564"/>
      <c r="BA442" s="564"/>
      <c r="BB442" s="564"/>
      <c r="BC442" s="564"/>
    </row>
    <row r="443" spans="1:55" ht="12" thickBot="1">
      <c r="A443" s="596" t="s">
        <v>1508</v>
      </c>
      <c r="B443" s="541" t="s">
        <v>157</v>
      </c>
      <c r="C443" s="541" t="s">
        <v>184</v>
      </c>
      <c r="D443" s="554" t="s">
        <v>24</v>
      </c>
      <c r="E443" s="549">
        <f t="shared" si="81"/>
        <v>0</v>
      </c>
      <c r="F443" s="988">
        <f t="shared" si="82"/>
        <v>0</v>
      </c>
      <c r="G443" s="988">
        <f t="shared" si="82"/>
        <v>0</v>
      </c>
      <c r="H443" s="988">
        <f t="shared" si="82"/>
        <v>0</v>
      </c>
      <c r="I443" s="988">
        <f t="shared" si="82"/>
        <v>0</v>
      </c>
      <c r="J443" s="988">
        <f t="shared" si="82"/>
        <v>0</v>
      </c>
      <c r="K443" s="988">
        <f t="shared" si="82"/>
        <v>0</v>
      </c>
      <c r="L443" s="988">
        <f t="shared" si="82"/>
        <v>0</v>
      </c>
      <c r="M443" s="988">
        <f t="shared" si="82"/>
        <v>0</v>
      </c>
      <c r="N443" s="988">
        <f t="shared" si="82"/>
        <v>0</v>
      </c>
      <c r="O443" s="988">
        <f t="shared" si="82"/>
        <v>0</v>
      </c>
      <c r="P443" s="988">
        <f t="shared" si="82"/>
        <v>0</v>
      </c>
      <c r="Q443" s="988"/>
      <c r="R443" s="988">
        <f t="shared" si="83"/>
        <v>0</v>
      </c>
      <c r="S443" s="546">
        <f t="shared" si="76"/>
        <v>0</v>
      </c>
      <c r="T443" s="547">
        <f t="shared" si="77"/>
        <v>0</v>
      </c>
      <c r="U443" s="546">
        <f t="shared" si="78"/>
        <v>0</v>
      </c>
      <c r="W443" s="350">
        <f t="shared" si="79"/>
        <v>0</v>
      </c>
      <c r="X443" s="285">
        <f t="shared" si="80"/>
        <v>0</v>
      </c>
      <c r="Y443" s="564"/>
      <c r="Z443" s="65"/>
      <c r="AA443" s="65"/>
      <c r="AB443" s="65"/>
      <c r="AC443" s="65"/>
      <c r="AD443" s="65"/>
      <c r="AE443" s="65"/>
      <c r="AF443" s="65"/>
      <c r="AG443" s="65"/>
      <c r="AH443" s="65"/>
      <c r="AI443" s="65"/>
      <c r="AJ443" s="65"/>
      <c r="AK443" s="65"/>
      <c r="AL443" s="65"/>
      <c r="AM443" s="65"/>
      <c r="AN443" s="65"/>
      <c r="AO443" s="65"/>
      <c r="AP443" s="65"/>
      <c r="AQ443" s="564"/>
      <c r="AR443" s="564"/>
      <c r="AS443" s="564"/>
      <c r="AT443" s="564"/>
      <c r="AU443" s="564"/>
      <c r="AV443" s="564"/>
      <c r="AW443" s="564"/>
      <c r="AX443" s="564"/>
      <c r="AY443" s="564"/>
      <c r="AZ443" s="564"/>
      <c r="BA443" s="564"/>
      <c r="BB443" s="564"/>
      <c r="BC443" s="564"/>
    </row>
    <row r="444" spans="1:55" ht="12" thickBot="1">
      <c r="A444" s="596" t="s">
        <v>1508</v>
      </c>
      <c r="B444" s="541" t="s">
        <v>158</v>
      </c>
      <c r="C444" s="541" t="s">
        <v>185</v>
      </c>
      <c r="D444" s="542" t="s">
        <v>205</v>
      </c>
      <c r="E444" s="549">
        <f t="shared" si="81"/>
        <v>95454012</v>
      </c>
      <c r="F444" s="988">
        <f t="shared" si="82"/>
        <v>62400</v>
      </c>
      <c r="G444" s="988">
        <f t="shared" si="82"/>
        <v>833314</v>
      </c>
      <c r="H444" s="988">
        <f t="shared" si="82"/>
        <v>2760530</v>
      </c>
      <c r="I444" s="988">
        <f t="shared" si="82"/>
        <v>0</v>
      </c>
      <c r="J444" s="988">
        <f t="shared" si="82"/>
        <v>209276</v>
      </c>
      <c r="K444" s="988">
        <f t="shared" si="82"/>
        <v>2111102</v>
      </c>
      <c r="L444" s="988">
        <f t="shared" si="82"/>
        <v>125112</v>
      </c>
      <c r="M444" s="988">
        <f t="shared" si="82"/>
        <v>369926</v>
      </c>
      <c r="N444" s="988">
        <f t="shared" si="82"/>
        <v>0</v>
      </c>
      <c r="O444" s="988">
        <f t="shared" si="82"/>
        <v>716242</v>
      </c>
      <c r="P444" s="988">
        <f t="shared" si="82"/>
        <v>0</v>
      </c>
      <c r="Q444" s="988"/>
      <c r="R444" s="988">
        <f t="shared" si="83"/>
        <v>7187901</v>
      </c>
      <c r="S444" s="546">
        <f t="shared" si="76"/>
        <v>3593844</v>
      </c>
      <c r="T444" s="547">
        <f t="shared" si="77"/>
        <v>2320378</v>
      </c>
      <c r="U444" s="546">
        <f t="shared" si="78"/>
        <v>716242</v>
      </c>
      <c r="W444" s="350">
        <f t="shared" si="79"/>
        <v>7187902</v>
      </c>
      <c r="X444" s="285">
        <f t="shared" si="80"/>
        <v>1</v>
      </c>
      <c r="Y444" s="564"/>
      <c r="Z444" s="65"/>
      <c r="AA444" s="65"/>
      <c r="AB444" s="65"/>
      <c r="AC444" s="65"/>
      <c r="AD444" s="65"/>
      <c r="AE444" s="65"/>
      <c r="AF444" s="65"/>
      <c r="AG444" s="65"/>
      <c r="AH444" s="65"/>
      <c r="AI444" s="65"/>
      <c r="AJ444" s="65"/>
      <c r="AK444" s="65"/>
      <c r="AL444" s="65"/>
      <c r="AM444" s="65"/>
      <c r="AN444" s="65"/>
      <c r="AO444" s="65"/>
      <c r="AP444" s="65"/>
      <c r="AQ444" s="564"/>
      <c r="AR444" s="564"/>
      <c r="AS444" s="564"/>
      <c r="AT444" s="564"/>
      <c r="AU444" s="564"/>
      <c r="AV444" s="564"/>
      <c r="AW444" s="564"/>
      <c r="AX444" s="564"/>
      <c r="AY444" s="564"/>
      <c r="AZ444" s="564"/>
      <c r="BA444" s="564"/>
      <c r="BB444" s="564"/>
      <c r="BC444" s="564"/>
    </row>
    <row r="445" spans="1:55" ht="12" thickBot="1">
      <c r="A445" s="596" t="s">
        <v>1508</v>
      </c>
      <c r="B445" s="541" t="s">
        <v>159</v>
      </c>
      <c r="C445" s="541" t="s">
        <v>186</v>
      </c>
      <c r="D445" s="542" t="s">
        <v>204</v>
      </c>
      <c r="E445" s="549">
        <f t="shared" si="81"/>
        <v>117607497</v>
      </c>
      <c r="F445" s="988">
        <f t="shared" si="82"/>
        <v>94000</v>
      </c>
      <c r="G445" s="988">
        <f t="shared" si="82"/>
        <v>1036122</v>
      </c>
      <c r="H445" s="988">
        <f t="shared" si="82"/>
        <v>3401209</v>
      </c>
      <c r="I445" s="988">
        <f t="shared" si="82"/>
        <v>0</v>
      </c>
      <c r="J445" s="988">
        <f t="shared" si="82"/>
        <v>285485</v>
      </c>
      <c r="K445" s="988">
        <f t="shared" si="82"/>
        <v>2913476</v>
      </c>
      <c r="L445" s="988">
        <f t="shared" si="82"/>
        <v>154149</v>
      </c>
      <c r="M445" s="988">
        <f t="shared" si="82"/>
        <v>455780</v>
      </c>
      <c r="N445" s="988">
        <f t="shared" si="82"/>
        <v>0</v>
      </c>
      <c r="O445" s="988">
        <f t="shared" si="82"/>
        <v>882471</v>
      </c>
      <c r="P445" s="988">
        <f t="shared" si="82"/>
        <v>0</v>
      </c>
      <c r="Q445" s="988"/>
      <c r="R445" s="988">
        <f t="shared" si="83"/>
        <v>9222692</v>
      </c>
      <c r="S445" s="546">
        <f t="shared" si="76"/>
        <v>4437331</v>
      </c>
      <c r="T445" s="547">
        <f t="shared" si="77"/>
        <v>3198961</v>
      </c>
      <c r="U445" s="546">
        <f t="shared" si="78"/>
        <v>882471</v>
      </c>
      <c r="W445" s="350">
        <f t="shared" si="79"/>
        <v>9222692</v>
      </c>
      <c r="X445" s="285">
        <f t="shared" si="80"/>
        <v>0</v>
      </c>
      <c r="Y445" s="564"/>
      <c r="Z445" s="65"/>
      <c r="AA445" s="65"/>
      <c r="AB445" s="65"/>
      <c r="AC445" s="65"/>
      <c r="AD445" s="65"/>
      <c r="AE445" s="65"/>
      <c r="AF445" s="65"/>
      <c r="AG445" s="65"/>
      <c r="AH445" s="65"/>
      <c r="AI445" s="65"/>
      <c r="AJ445" s="65"/>
      <c r="AK445" s="65"/>
      <c r="AL445" s="65"/>
      <c r="AM445" s="65"/>
      <c r="AN445" s="65"/>
      <c r="AO445" s="65"/>
      <c r="AP445" s="65"/>
      <c r="AQ445" s="564"/>
      <c r="AR445" s="564"/>
      <c r="AS445" s="564"/>
      <c r="AT445" s="564"/>
      <c r="AU445" s="564"/>
      <c r="AV445" s="564"/>
      <c r="AW445" s="564"/>
      <c r="AX445" s="564"/>
      <c r="AY445" s="564"/>
      <c r="AZ445" s="564"/>
      <c r="BA445" s="564"/>
      <c r="BB445" s="564"/>
      <c r="BC445" s="564"/>
    </row>
    <row r="446" spans="1:55" ht="12" thickBot="1">
      <c r="A446" s="596" t="s">
        <v>1508</v>
      </c>
      <c r="B446" s="541" t="s">
        <v>160</v>
      </c>
      <c r="C446" s="541" t="s">
        <v>187</v>
      </c>
      <c r="D446" s="542" t="s">
        <v>24</v>
      </c>
      <c r="E446" s="549">
        <f t="shared" si="81"/>
        <v>0</v>
      </c>
      <c r="F446" s="988">
        <f t="shared" si="82"/>
        <v>0</v>
      </c>
      <c r="G446" s="988">
        <f t="shared" si="82"/>
        <v>0</v>
      </c>
      <c r="H446" s="988">
        <f t="shared" si="82"/>
        <v>0</v>
      </c>
      <c r="I446" s="988">
        <f t="shared" si="82"/>
        <v>0</v>
      </c>
      <c r="J446" s="988">
        <f t="shared" si="82"/>
        <v>0</v>
      </c>
      <c r="K446" s="988">
        <f t="shared" si="82"/>
        <v>0</v>
      </c>
      <c r="L446" s="988">
        <f t="shared" si="82"/>
        <v>0</v>
      </c>
      <c r="M446" s="988">
        <f t="shared" si="82"/>
        <v>0</v>
      </c>
      <c r="N446" s="988">
        <f t="shared" si="82"/>
        <v>0</v>
      </c>
      <c r="O446" s="988">
        <f t="shared" si="82"/>
        <v>0</v>
      </c>
      <c r="P446" s="988">
        <f t="shared" si="82"/>
        <v>0</v>
      </c>
      <c r="Q446" s="988"/>
      <c r="R446" s="988">
        <f t="shared" si="83"/>
        <v>0</v>
      </c>
      <c r="S446" s="546">
        <f t="shared" si="76"/>
        <v>0</v>
      </c>
      <c r="T446" s="547">
        <f t="shared" si="77"/>
        <v>0</v>
      </c>
      <c r="U446" s="546">
        <f t="shared" si="78"/>
        <v>0</v>
      </c>
      <c r="W446" s="350">
        <f t="shared" si="79"/>
        <v>0</v>
      </c>
      <c r="X446" s="285">
        <f t="shared" si="80"/>
        <v>0</v>
      </c>
      <c r="Y446" s="564"/>
      <c r="Z446" s="65"/>
      <c r="AA446" s="65"/>
      <c r="AB446" s="65"/>
      <c r="AC446" s="65"/>
      <c r="AD446" s="65"/>
      <c r="AE446" s="65"/>
      <c r="AF446" s="65"/>
      <c r="AG446" s="65"/>
      <c r="AH446" s="65"/>
      <c r="AI446" s="65"/>
      <c r="AJ446" s="65"/>
      <c r="AK446" s="65"/>
      <c r="AL446" s="65"/>
      <c r="AM446" s="65"/>
      <c r="AN446" s="65"/>
      <c r="AO446" s="65"/>
      <c r="AP446" s="65"/>
      <c r="AQ446" s="564"/>
      <c r="AR446" s="564"/>
      <c r="AS446" s="564"/>
      <c r="AT446" s="564"/>
      <c r="AU446" s="564"/>
      <c r="AV446" s="564"/>
      <c r="AW446" s="564"/>
      <c r="AX446" s="564"/>
      <c r="AY446" s="564"/>
      <c r="AZ446" s="564"/>
      <c r="BA446" s="564"/>
      <c r="BB446" s="564"/>
      <c r="BC446" s="564"/>
    </row>
    <row r="447" spans="1:55" ht="12" thickBot="1">
      <c r="A447" s="596" t="s">
        <v>1508</v>
      </c>
      <c r="B447" s="541" t="s">
        <v>1050</v>
      </c>
      <c r="C447" s="541" t="s">
        <v>1049</v>
      </c>
      <c r="D447" s="542" t="s">
        <v>1146</v>
      </c>
      <c r="E447" s="549">
        <f t="shared" si="81"/>
        <v>0</v>
      </c>
      <c r="F447" s="988">
        <f t="shared" si="82"/>
        <v>0</v>
      </c>
      <c r="G447" s="988">
        <f t="shared" si="82"/>
        <v>0</v>
      </c>
      <c r="H447" s="988">
        <f t="shared" si="82"/>
        <v>0</v>
      </c>
      <c r="I447" s="988">
        <f t="shared" si="82"/>
        <v>0</v>
      </c>
      <c r="J447" s="988">
        <f t="shared" si="82"/>
        <v>0</v>
      </c>
      <c r="K447" s="988">
        <f t="shared" si="82"/>
        <v>0</v>
      </c>
      <c r="L447" s="988">
        <f t="shared" si="82"/>
        <v>0</v>
      </c>
      <c r="M447" s="988">
        <f t="shared" si="82"/>
        <v>0</v>
      </c>
      <c r="N447" s="988">
        <f t="shared" si="82"/>
        <v>0</v>
      </c>
      <c r="O447" s="988">
        <f t="shared" si="82"/>
        <v>0</v>
      </c>
      <c r="P447" s="988">
        <f t="shared" si="82"/>
        <v>0</v>
      </c>
      <c r="Q447" s="988"/>
      <c r="R447" s="988">
        <f t="shared" si="83"/>
        <v>0</v>
      </c>
      <c r="S447" s="546">
        <f t="shared" si="76"/>
        <v>0</v>
      </c>
      <c r="T447" s="547">
        <f t="shared" si="77"/>
        <v>0</v>
      </c>
      <c r="U447" s="546">
        <f t="shared" si="78"/>
        <v>0</v>
      </c>
      <c r="W447" s="350">
        <f t="shared" si="79"/>
        <v>0</v>
      </c>
      <c r="X447" s="285">
        <f t="shared" si="80"/>
        <v>0</v>
      </c>
      <c r="Y447" s="564"/>
      <c r="Z447" s="65"/>
      <c r="AA447" s="65"/>
      <c r="AB447" s="65"/>
      <c r="AC447" s="65"/>
      <c r="AD447" s="65"/>
      <c r="AE447" s="65"/>
      <c r="AF447" s="65"/>
      <c r="AG447" s="65"/>
      <c r="AH447" s="65"/>
      <c r="AI447" s="65"/>
      <c r="AJ447" s="65"/>
      <c r="AK447" s="65"/>
      <c r="AL447" s="65"/>
      <c r="AM447" s="65"/>
      <c r="AN447" s="65"/>
      <c r="AO447" s="65"/>
      <c r="AP447" s="65"/>
      <c r="AQ447" s="564"/>
      <c r="AR447" s="564"/>
      <c r="AS447" s="564"/>
      <c r="AT447" s="564"/>
      <c r="AU447" s="564"/>
      <c r="AV447" s="564"/>
      <c r="AW447" s="564"/>
      <c r="AX447" s="564"/>
      <c r="AY447" s="564"/>
      <c r="AZ447" s="564"/>
      <c r="BA447" s="564"/>
      <c r="BB447" s="564"/>
      <c r="BC447" s="564"/>
    </row>
    <row r="448" spans="1:55" ht="12" thickBot="1">
      <c r="A448" s="596" t="s">
        <v>1508</v>
      </c>
      <c r="B448" s="541" t="s">
        <v>161</v>
      </c>
      <c r="C448" s="541" t="s">
        <v>476</v>
      </c>
      <c r="D448" s="541" t="s">
        <v>208</v>
      </c>
      <c r="E448" s="549">
        <f t="shared" si="81"/>
        <v>53952631</v>
      </c>
      <c r="F448" s="988">
        <f t="shared" ref="F448:P457" si="84">ROUND(SUMIFS(F$1721:F$1901,$A$1721:$A$1901,$A448,$B$1721:$B$1901,$B448),0)</f>
        <v>1271207</v>
      </c>
      <c r="G448" s="988">
        <f t="shared" si="84"/>
        <v>3162703</v>
      </c>
      <c r="H448" s="988">
        <f t="shared" si="84"/>
        <v>1560310</v>
      </c>
      <c r="I448" s="988">
        <f t="shared" si="84"/>
        <v>254117</v>
      </c>
      <c r="J448" s="988">
        <f t="shared" si="84"/>
        <v>0</v>
      </c>
      <c r="K448" s="988">
        <f t="shared" si="84"/>
        <v>0</v>
      </c>
      <c r="L448" s="988">
        <f t="shared" si="84"/>
        <v>70716</v>
      </c>
      <c r="M448" s="988">
        <f t="shared" si="84"/>
        <v>209090</v>
      </c>
      <c r="N448" s="988">
        <f t="shared" si="84"/>
        <v>0</v>
      </c>
      <c r="O448" s="988">
        <f t="shared" si="84"/>
        <v>404835</v>
      </c>
      <c r="P448" s="988">
        <f t="shared" si="84"/>
        <v>0</v>
      </c>
      <c r="Q448" s="988"/>
      <c r="R448" s="988">
        <f t="shared" si="83"/>
        <v>6932978</v>
      </c>
      <c r="S448" s="546">
        <f t="shared" si="76"/>
        <v>4977130</v>
      </c>
      <c r="T448" s="547">
        <f t="shared" si="77"/>
        <v>0</v>
      </c>
      <c r="U448" s="546">
        <f t="shared" si="78"/>
        <v>404835</v>
      </c>
      <c r="W448" s="350">
        <f t="shared" si="79"/>
        <v>6932978</v>
      </c>
      <c r="X448" s="285">
        <f t="shared" si="80"/>
        <v>0</v>
      </c>
      <c r="Y448" s="564"/>
      <c r="Z448" s="65"/>
      <c r="AA448" s="65"/>
      <c r="AB448" s="65"/>
      <c r="AC448" s="65"/>
      <c r="AD448" s="65"/>
      <c r="AE448" s="65"/>
      <c r="AF448" s="65"/>
      <c r="AG448" s="65"/>
      <c r="AH448" s="65"/>
      <c r="AI448" s="65"/>
      <c r="AJ448" s="65"/>
      <c r="AK448" s="65"/>
      <c r="AL448" s="65"/>
      <c r="AM448" s="65"/>
      <c r="AN448" s="65"/>
      <c r="AO448" s="65"/>
      <c r="AP448" s="65"/>
      <c r="AQ448" s="564"/>
      <c r="AR448" s="564"/>
      <c r="AS448" s="564"/>
      <c r="AT448" s="564"/>
      <c r="AU448" s="564"/>
      <c r="AV448" s="564"/>
      <c r="AW448" s="564"/>
      <c r="AX448" s="564"/>
      <c r="AY448" s="564"/>
      <c r="AZ448" s="564"/>
      <c r="BA448" s="564"/>
      <c r="BB448" s="564"/>
      <c r="BC448" s="564"/>
    </row>
    <row r="449" spans="1:55" ht="12" thickBot="1">
      <c r="A449" s="596" t="s">
        <v>1508</v>
      </c>
      <c r="B449" s="541" t="s">
        <v>162</v>
      </c>
      <c r="C449" s="541" t="s">
        <v>1391</v>
      </c>
      <c r="D449" s="561" t="s">
        <v>208</v>
      </c>
      <c r="E449" s="549">
        <f t="shared" si="81"/>
        <v>0</v>
      </c>
      <c r="F449" s="988">
        <f t="shared" si="84"/>
        <v>0</v>
      </c>
      <c r="G449" s="988">
        <f t="shared" si="84"/>
        <v>0</v>
      </c>
      <c r="H449" s="988">
        <f t="shared" si="84"/>
        <v>0</v>
      </c>
      <c r="I449" s="988">
        <f t="shared" si="84"/>
        <v>0</v>
      </c>
      <c r="J449" s="988">
        <f t="shared" si="84"/>
        <v>0</v>
      </c>
      <c r="K449" s="988">
        <f t="shared" si="84"/>
        <v>0</v>
      </c>
      <c r="L449" s="988">
        <f t="shared" si="84"/>
        <v>0</v>
      </c>
      <c r="M449" s="988">
        <f t="shared" si="84"/>
        <v>0</v>
      </c>
      <c r="N449" s="988">
        <f t="shared" si="84"/>
        <v>0</v>
      </c>
      <c r="O449" s="988">
        <f t="shared" si="84"/>
        <v>0</v>
      </c>
      <c r="P449" s="988">
        <f t="shared" si="84"/>
        <v>0</v>
      </c>
      <c r="Q449" s="988"/>
      <c r="R449" s="988">
        <f t="shared" si="83"/>
        <v>0</v>
      </c>
      <c r="S449" s="546">
        <f t="shared" si="76"/>
        <v>0</v>
      </c>
      <c r="T449" s="547">
        <f t="shared" si="77"/>
        <v>0</v>
      </c>
      <c r="U449" s="546">
        <f t="shared" si="78"/>
        <v>0</v>
      </c>
      <c r="W449" s="350">
        <f t="shared" si="79"/>
        <v>0</v>
      </c>
      <c r="X449" s="285">
        <f t="shared" si="80"/>
        <v>0</v>
      </c>
      <c r="Y449" s="564"/>
      <c r="Z449" s="65"/>
      <c r="AA449" s="65"/>
      <c r="AB449" s="65"/>
      <c r="AC449" s="65"/>
      <c r="AD449" s="65"/>
      <c r="AE449" s="65"/>
      <c r="AF449" s="65"/>
      <c r="AG449" s="65"/>
      <c r="AH449" s="65"/>
      <c r="AI449" s="65"/>
      <c r="AJ449" s="65"/>
      <c r="AK449" s="65"/>
      <c r="AL449" s="65"/>
      <c r="AM449" s="65"/>
      <c r="AN449" s="65"/>
      <c r="AO449" s="65"/>
      <c r="AP449" s="65"/>
      <c r="AQ449" s="564"/>
      <c r="AR449" s="564"/>
      <c r="AS449" s="564"/>
      <c r="AT449" s="564"/>
      <c r="AU449" s="564"/>
      <c r="AV449" s="564"/>
      <c r="AW449" s="564"/>
      <c r="AX449" s="564"/>
      <c r="AY449" s="564"/>
      <c r="AZ449" s="564"/>
      <c r="BA449" s="564"/>
      <c r="BB449" s="564"/>
      <c r="BC449" s="564"/>
    </row>
    <row r="450" spans="1:55" ht="12" thickBot="1">
      <c r="A450" s="596" t="s">
        <v>1508</v>
      </c>
      <c r="B450" s="541" t="s">
        <v>163</v>
      </c>
      <c r="C450" s="541" t="s">
        <v>63</v>
      </c>
      <c r="D450" s="542" t="s">
        <v>17</v>
      </c>
      <c r="E450" s="549">
        <f t="shared" si="81"/>
        <v>78553027</v>
      </c>
      <c r="F450" s="988">
        <f t="shared" si="84"/>
        <v>650288</v>
      </c>
      <c r="G450" s="988">
        <f t="shared" si="84"/>
        <v>4604778</v>
      </c>
      <c r="H450" s="988">
        <f t="shared" si="84"/>
        <v>2271754</v>
      </c>
      <c r="I450" s="988">
        <f t="shared" si="84"/>
        <v>369985</v>
      </c>
      <c r="J450" s="988">
        <f t="shared" si="84"/>
        <v>0</v>
      </c>
      <c r="K450" s="988">
        <f t="shared" si="84"/>
        <v>0</v>
      </c>
      <c r="L450" s="988">
        <f t="shared" si="84"/>
        <v>102960</v>
      </c>
      <c r="M450" s="988">
        <f t="shared" si="84"/>
        <v>304427</v>
      </c>
      <c r="N450" s="988">
        <f t="shared" si="84"/>
        <v>589425</v>
      </c>
      <c r="O450" s="988">
        <f t="shared" si="84"/>
        <v>0</v>
      </c>
      <c r="P450" s="988">
        <f t="shared" si="84"/>
        <v>0</v>
      </c>
      <c r="Q450" s="988"/>
      <c r="R450" s="988">
        <f t="shared" si="83"/>
        <v>8893616</v>
      </c>
      <c r="S450" s="546">
        <f t="shared" si="76"/>
        <v>7246517</v>
      </c>
      <c r="T450" s="547">
        <f t="shared" si="77"/>
        <v>0</v>
      </c>
      <c r="U450" s="546">
        <f t="shared" si="78"/>
        <v>589425</v>
      </c>
      <c r="W450" s="350">
        <f t="shared" si="79"/>
        <v>8893617</v>
      </c>
      <c r="X450" s="285">
        <f t="shared" si="80"/>
        <v>1</v>
      </c>
      <c r="Y450" s="564"/>
      <c r="Z450" s="65"/>
      <c r="AA450" s="65"/>
      <c r="AB450" s="65"/>
      <c r="AC450" s="65"/>
      <c r="AD450" s="65"/>
      <c r="AE450" s="65"/>
      <c r="AF450" s="65"/>
      <c r="AG450" s="65"/>
      <c r="AH450" s="65"/>
      <c r="AI450" s="65"/>
      <c r="AJ450" s="65"/>
      <c r="AK450" s="65"/>
      <c r="AL450" s="65"/>
      <c r="AM450" s="65"/>
      <c r="AN450" s="65"/>
      <c r="AO450" s="65"/>
      <c r="AP450" s="65"/>
      <c r="AQ450" s="564"/>
      <c r="AR450" s="564"/>
      <c r="AS450" s="564"/>
      <c r="AT450" s="564"/>
      <c r="AU450" s="564"/>
      <c r="AV450" s="564"/>
      <c r="AW450" s="564"/>
      <c r="AX450" s="564"/>
      <c r="AY450" s="564"/>
      <c r="AZ450" s="564"/>
      <c r="BA450" s="564"/>
      <c r="BB450" s="564"/>
      <c r="BC450" s="564"/>
    </row>
    <row r="451" spans="1:55" ht="12" thickBot="1">
      <c r="A451" s="596" t="s">
        <v>1508</v>
      </c>
      <c r="B451" s="541" t="s">
        <v>164</v>
      </c>
      <c r="C451" s="541" t="s">
        <v>188</v>
      </c>
      <c r="D451" s="555" t="s">
        <v>203</v>
      </c>
      <c r="E451" s="549">
        <f t="shared" si="81"/>
        <v>567977</v>
      </c>
      <c r="F451" s="988">
        <f t="shared" si="84"/>
        <v>7180</v>
      </c>
      <c r="G451" s="988">
        <f t="shared" si="84"/>
        <v>24042</v>
      </c>
      <c r="H451" s="988">
        <f t="shared" si="84"/>
        <v>16426</v>
      </c>
      <c r="I451" s="988">
        <f t="shared" si="84"/>
        <v>1789</v>
      </c>
      <c r="J451" s="988">
        <f t="shared" si="84"/>
        <v>0</v>
      </c>
      <c r="K451" s="988">
        <f t="shared" si="84"/>
        <v>0</v>
      </c>
      <c r="L451" s="988">
        <f t="shared" si="84"/>
        <v>744</v>
      </c>
      <c r="M451" s="988">
        <f t="shared" si="84"/>
        <v>2201</v>
      </c>
      <c r="N451" s="988">
        <f t="shared" si="84"/>
        <v>4262</v>
      </c>
      <c r="O451" s="988">
        <f t="shared" si="84"/>
        <v>0</v>
      </c>
      <c r="P451" s="988">
        <f t="shared" si="84"/>
        <v>0</v>
      </c>
      <c r="Q451" s="988"/>
      <c r="R451" s="988">
        <f t="shared" si="83"/>
        <v>56645</v>
      </c>
      <c r="S451" s="546">
        <f t="shared" si="76"/>
        <v>42257</v>
      </c>
      <c r="T451" s="547">
        <f t="shared" si="77"/>
        <v>0</v>
      </c>
      <c r="U451" s="546">
        <f t="shared" si="78"/>
        <v>4262</v>
      </c>
      <c r="W451" s="350">
        <f t="shared" si="79"/>
        <v>56644</v>
      </c>
      <c r="X451" s="285">
        <f t="shared" si="80"/>
        <v>-1</v>
      </c>
      <c r="Y451" s="564"/>
      <c r="Z451" s="65"/>
      <c r="AA451" s="65"/>
      <c r="AB451" s="65"/>
      <c r="AC451" s="65"/>
      <c r="AD451" s="65"/>
      <c r="AE451" s="65"/>
      <c r="AF451" s="65"/>
      <c r="AG451" s="65"/>
      <c r="AH451" s="65"/>
      <c r="AI451" s="65"/>
      <c r="AJ451" s="65"/>
      <c r="AK451" s="65"/>
      <c r="AL451" s="65"/>
      <c r="AM451" s="65"/>
      <c r="AN451" s="65"/>
      <c r="AO451" s="65"/>
      <c r="AP451" s="65"/>
      <c r="AQ451" s="564"/>
      <c r="AR451" s="564"/>
      <c r="AS451" s="564"/>
      <c r="AT451" s="564"/>
      <c r="AU451" s="564"/>
      <c r="AV451" s="564"/>
      <c r="AW451" s="564"/>
      <c r="AX451" s="564"/>
      <c r="AY451" s="564"/>
      <c r="AZ451" s="564"/>
      <c r="BA451" s="564"/>
      <c r="BB451" s="564"/>
      <c r="BC451" s="564"/>
    </row>
    <row r="452" spans="1:55" ht="12" thickBot="1">
      <c r="A452" s="596" t="s">
        <v>1508</v>
      </c>
      <c r="B452" s="541" t="s">
        <v>165</v>
      </c>
      <c r="C452" s="541" t="s">
        <v>189</v>
      </c>
      <c r="D452" s="554" t="s">
        <v>211</v>
      </c>
      <c r="E452" s="549">
        <f t="shared" si="81"/>
        <v>0</v>
      </c>
      <c r="F452" s="988">
        <f t="shared" si="84"/>
        <v>0</v>
      </c>
      <c r="G452" s="988">
        <f t="shared" si="84"/>
        <v>0</v>
      </c>
      <c r="H452" s="988">
        <f t="shared" si="84"/>
        <v>0</v>
      </c>
      <c r="I452" s="988">
        <f t="shared" si="84"/>
        <v>0</v>
      </c>
      <c r="J452" s="988">
        <f t="shared" si="84"/>
        <v>0</v>
      </c>
      <c r="K452" s="988">
        <f t="shared" si="84"/>
        <v>0</v>
      </c>
      <c r="L452" s="988">
        <f t="shared" si="84"/>
        <v>0</v>
      </c>
      <c r="M452" s="988">
        <f t="shared" si="84"/>
        <v>0</v>
      </c>
      <c r="N452" s="988">
        <f t="shared" si="84"/>
        <v>0</v>
      </c>
      <c r="O452" s="988">
        <f t="shared" si="84"/>
        <v>0</v>
      </c>
      <c r="P452" s="988">
        <f t="shared" si="84"/>
        <v>0</v>
      </c>
      <c r="Q452" s="988"/>
      <c r="R452" s="988">
        <f t="shared" si="83"/>
        <v>0</v>
      </c>
      <c r="S452" s="546">
        <f t="shared" si="76"/>
        <v>0</v>
      </c>
      <c r="T452" s="547">
        <f t="shared" si="77"/>
        <v>0</v>
      </c>
      <c r="U452" s="546">
        <f t="shared" si="78"/>
        <v>0</v>
      </c>
      <c r="W452" s="350">
        <f t="shared" si="79"/>
        <v>0</v>
      </c>
      <c r="X452" s="285">
        <f t="shared" si="80"/>
        <v>0</v>
      </c>
      <c r="Y452" s="564"/>
      <c r="Z452" s="65"/>
      <c r="AA452" s="65"/>
      <c r="AB452" s="65"/>
      <c r="AC452" s="65"/>
      <c r="AD452" s="65"/>
      <c r="AE452" s="65"/>
      <c r="AF452" s="65"/>
      <c r="AG452" s="65"/>
      <c r="AH452" s="65"/>
      <c r="AI452" s="65"/>
      <c r="AJ452" s="65"/>
      <c r="AK452" s="65"/>
      <c r="AL452" s="65"/>
      <c r="AM452" s="65"/>
      <c r="AN452" s="65"/>
      <c r="AO452" s="65"/>
      <c r="AP452" s="65"/>
      <c r="AQ452" s="564"/>
      <c r="AR452" s="564"/>
      <c r="AS452" s="564"/>
      <c r="AT452" s="564"/>
      <c r="AU452" s="564"/>
      <c r="AV452" s="564"/>
      <c r="AW452" s="564"/>
      <c r="AX452" s="564"/>
      <c r="AY452" s="564"/>
      <c r="AZ452" s="564"/>
      <c r="BA452" s="564"/>
      <c r="BB452" s="564"/>
      <c r="BC452" s="564"/>
    </row>
    <row r="453" spans="1:55" ht="12" thickBot="1">
      <c r="A453" s="596" t="s">
        <v>1508</v>
      </c>
      <c r="B453" s="541" t="s">
        <v>166</v>
      </c>
      <c r="C453" s="541" t="s">
        <v>190</v>
      </c>
      <c r="D453" s="554" t="s">
        <v>212</v>
      </c>
      <c r="E453" s="549">
        <f t="shared" si="81"/>
        <v>0</v>
      </c>
      <c r="F453" s="988">
        <f t="shared" si="84"/>
        <v>0</v>
      </c>
      <c r="G453" s="988">
        <f t="shared" si="84"/>
        <v>0</v>
      </c>
      <c r="H453" s="988">
        <f t="shared" si="84"/>
        <v>0</v>
      </c>
      <c r="I453" s="988">
        <f t="shared" si="84"/>
        <v>0</v>
      </c>
      <c r="J453" s="988">
        <f t="shared" si="84"/>
        <v>0</v>
      </c>
      <c r="K453" s="988">
        <f t="shared" si="84"/>
        <v>0</v>
      </c>
      <c r="L453" s="988">
        <f t="shared" si="84"/>
        <v>0</v>
      </c>
      <c r="M453" s="988">
        <f t="shared" si="84"/>
        <v>0</v>
      </c>
      <c r="N453" s="988">
        <f t="shared" si="84"/>
        <v>0</v>
      </c>
      <c r="O453" s="988">
        <f t="shared" si="84"/>
        <v>0</v>
      </c>
      <c r="P453" s="988">
        <f t="shared" si="84"/>
        <v>0</v>
      </c>
      <c r="Q453" s="988"/>
      <c r="R453" s="988">
        <f t="shared" si="83"/>
        <v>0</v>
      </c>
      <c r="S453" s="546">
        <f t="shared" si="76"/>
        <v>0</v>
      </c>
      <c r="T453" s="547">
        <f t="shared" si="77"/>
        <v>0</v>
      </c>
      <c r="U453" s="546">
        <f t="shared" si="78"/>
        <v>0</v>
      </c>
      <c r="W453" s="350">
        <f t="shared" si="79"/>
        <v>0</v>
      </c>
      <c r="X453" s="285">
        <f t="shared" si="80"/>
        <v>0</v>
      </c>
      <c r="Y453" s="564"/>
      <c r="Z453" s="65"/>
      <c r="AA453" s="65"/>
      <c r="AB453" s="65"/>
      <c r="AC453" s="65"/>
      <c r="AD453" s="65"/>
      <c r="AE453" s="65"/>
      <c r="AF453" s="65"/>
      <c r="AG453" s="65"/>
      <c r="AH453" s="65"/>
      <c r="AI453" s="65"/>
      <c r="AJ453" s="65"/>
      <c r="AK453" s="65"/>
      <c r="AL453" s="65"/>
      <c r="AM453" s="65"/>
      <c r="AN453" s="65"/>
      <c r="AO453" s="65"/>
      <c r="AP453" s="65"/>
      <c r="AQ453" s="564"/>
      <c r="AR453" s="564"/>
      <c r="AS453" s="564"/>
      <c r="AT453" s="564"/>
      <c r="AU453" s="564"/>
      <c r="AV453" s="564"/>
      <c r="AW453" s="564"/>
      <c r="AX453" s="564"/>
      <c r="AY453" s="564"/>
      <c r="AZ453" s="564"/>
      <c r="BA453" s="564"/>
      <c r="BB453" s="564"/>
      <c r="BC453" s="564"/>
    </row>
    <row r="454" spans="1:55" ht="12" thickBot="1">
      <c r="A454" s="596" t="s">
        <v>1508</v>
      </c>
      <c r="B454" s="541" t="s">
        <v>167</v>
      </c>
      <c r="C454" s="541" t="s">
        <v>191</v>
      </c>
      <c r="D454" s="554" t="s">
        <v>213</v>
      </c>
      <c r="E454" s="549">
        <f t="shared" si="81"/>
        <v>10527179</v>
      </c>
      <c r="F454" s="988">
        <f t="shared" si="84"/>
        <v>8715</v>
      </c>
      <c r="G454" s="988">
        <f t="shared" si="84"/>
        <v>445616</v>
      </c>
      <c r="H454" s="988">
        <f t="shared" si="84"/>
        <v>304446</v>
      </c>
      <c r="I454" s="988">
        <f t="shared" si="84"/>
        <v>33161</v>
      </c>
      <c r="J454" s="988">
        <f t="shared" si="84"/>
        <v>0</v>
      </c>
      <c r="K454" s="988">
        <f t="shared" si="84"/>
        <v>0</v>
      </c>
      <c r="L454" s="988">
        <f t="shared" si="84"/>
        <v>13798</v>
      </c>
      <c r="M454" s="988">
        <f t="shared" si="84"/>
        <v>40797</v>
      </c>
      <c r="N454" s="988">
        <f t="shared" si="84"/>
        <v>78991</v>
      </c>
      <c r="O454" s="988">
        <f t="shared" si="84"/>
        <v>0</v>
      </c>
      <c r="P454" s="988">
        <f t="shared" si="84"/>
        <v>0</v>
      </c>
      <c r="Q454" s="988"/>
      <c r="R454" s="988">
        <f t="shared" si="83"/>
        <v>925524</v>
      </c>
      <c r="S454" s="546">
        <f t="shared" si="76"/>
        <v>783223</v>
      </c>
      <c r="T454" s="547">
        <f t="shared" si="77"/>
        <v>0</v>
      </c>
      <c r="U454" s="546">
        <f t="shared" si="78"/>
        <v>78991</v>
      </c>
      <c r="W454" s="350">
        <f t="shared" si="79"/>
        <v>925524</v>
      </c>
      <c r="X454" s="285">
        <f t="shared" si="80"/>
        <v>0</v>
      </c>
      <c r="Y454" s="564"/>
      <c r="Z454" s="65"/>
      <c r="AA454" s="65"/>
      <c r="AB454" s="65"/>
      <c r="AC454" s="65"/>
      <c r="AD454" s="65"/>
      <c r="AE454" s="65"/>
      <c r="AF454" s="65"/>
      <c r="AG454" s="65"/>
      <c r="AH454" s="65"/>
      <c r="AI454" s="65"/>
      <c r="AJ454" s="65"/>
      <c r="AK454" s="65"/>
      <c r="AL454" s="65"/>
      <c r="AM454" s="65"/>
      <c r="AN454" s="65"/>
      <c r="AO454" s="65"/>
      <c r="AP454" s="65"/>
      <c r="AQ454" s="564"/>
      <c r="AR454" s="564"/>
      <c r="AS454" s="564"/>
      <c r="AT454" s="564"/>
      <c r="AU454" s="564"/>
      <c r="AV454" s="564"/>
      <c r="AW454" s="564"/>
      <c r="AX454" s="564"/>
      <c r="AY454" s="564"/>
      <c r="AZ454" s="564"/>
      <c r="BA454" s="564"/>
      <c r="BB454" s="564"/>
      <c r="BC454" s="564"/>
    </row>
    <row r="455" spans="1:55" ht="12" thickBot="1">
      <c r="A455" s="596" t="s">
        <v>1508</v>
      </c>
      <c r="B455" s="541" t="s">
        <v>683</v>
      </c>
      <c r="C455" s="541" t="s">
        <v>686</v>
      </c>
      <c r="D455" s="554" t="s">
        <v>723</v>
      </c>
      <c r="E455" s="549">
        <f t="shared" si="81"/>
        <v>0</v>
      </c>
      <c r="F455" s="988">
        <f t="shared" si="84"/>
        <v>0</v>
      </c>
      <c r="G455" s="988">
        <f t="shared" si="84"/>
        <v>0</v>
      </c>
      <c r="H455" s="988">
        <f t="shared" si="84"/>
        <v>0</v>
      </c>
      <c r="I455" s="988">
        <f t="shared" si="84"/>
        <v>0</v>
      </c>
      <c r="J455" s="988">
        <f t="shared" si="84"/>
        <v>0</v>
      </c>
      <c r="K455" s="988">
        <f t="shared" si="84"/>
        <v>0</v>
      </c>
      <c r="L455" s="988">
        <f t="shared" si="84"/>
        <v>0</v>
      </c>
      <c r="M455" s="988">
        <f t="shared" si="84"/>
        <v>0</v>
      </c>
      <c r="N455" s="988">
        <f t="shared" si="84"/>
        <v>0</v>
      </c>
      <c r="O455" s="988">
        <f t="shared" si="84"/>
        <v>0</v>
      </c>
      <c r="P455" s="988">
        <f t="shared" si="84"/>
        <v>0</v>
      </c>
      <c r="Q455" s="988"/>
      <c r="R455" s="988">
        <f t="shared" si="83"/>
        <v>0</v>
      </c>
      <c r="S455" s="546">
        <f t="shared" si="76"/>
        <v>0</v>
      </c>
      <c r="T455" s="547">
        <f t="shared" si="77"/>
        <v>0</v>
      </c>
      <c r="U455" s="546">
        <f t="shared" si="78"/>
        <v>0</v>
      </c>
      <c r="W455" s="350">
        <f t="shared" si="79"/>
        <v>0</v>
      </c>
      <c r="X455" s="285">
        <f t="shared" si="80"/>
        <v>0</v>
      </c>
      <c r="Y455" s="564"/>
      <c r="Z455" s="65"/>
      <c r="AA455" s="65"/>
      <c r="AB455" s="65"/>
      <c r="AC455" s="65"/>
      <c r="AD455" s="65"/>
      <c r="AE455" s="65"/>
      <c r="AF455" s="65"/>
      <c r="AG455" s="65"/>
      <c r="AH455" s="65"/>
      <c r="AI455" s="65"/>
      <c r="AJ455" s="65"/>
      <c r="AK455" s="65"/>
      <c r="AL455" s="65"/>
      <c r="AM455" s="65"/>
      <c r="AN455" s="65"/>
      <c r="AO455" s="65"/>
      <c r="AP455" s="65"/>
      <c r="AQ455" s="564"/>
      <c r="AR455" s="564"/>
      <c r="AS455" s="564"/>
      <c r="AT455" s="564"/>
      <c r="AU455" s="564"/>
      <c r="AV455" s="564"/>
      <c r="AW455" s="564"/>
      <c r="AX455" s="564"/>
      <c r="AY455" s="564"/>
      <c r="AZ455" s="564"/>
      <c r="BA455" s="564"/>
      <c r="BB455" s="564"/>
      <c r="BC455" s="564"/>
    </row>
    <row r="456" spans="1:55" ht="12" thickBot="1">
      <c r="A456" s="596" t="s">
        <v>1508</v>
      </c>
      <c r="B456" s="541" t="s">
        <v>684</v>
      </c>
      <c r="C456" s="541" t="s">
        <v>687</v>
      </c>
      <c r="D456" s="554" t="s">
        <v>707</v>
      </c>
      <c r="E456" s="549">
        <f t="shared" si="81"/>
        <v>0</v>
      </c>
      <c r="F456" s="988">
        <f t="shared" si="84"/>
        <v>0</v>
      </c>
      <c r="G456" s="988">
        <f t="shared" si="84"/>
        <v>0</v>
      </c>
      <c r="H456" s="988">
        <f t="shared" si="84"/>
        <v>0</v>
      </c>
      <c r="I456" s="988">
        <f t="shared" si="84"/>
        <v>0</v>
      </c>
      <c r="J456" s="988">
        <f t="shared" si="84"/>
        <v>0</v>
      </c>
      <c r="K456" s="988">
        <f t="shared" si="84"/>
        <v>0</v>
      </c>
      <c r="L456" s="988">
        <f t="shared" si="84"/>
        <v>0</v>
      </c>
      <c r="M456" s="988">
        <f t="shared" si="84"/>
        <v>0</v>
      </c>
      <c r="N456" s="988">
        <f t="shared" si="84"/>
        <v>0</v>
      </c>
      <c r="O456" s="988">
        <f t="shared" si="84"/>
        <v>0</v>
      </c>
      <c r="P456" s="988">
        <f t="shared" si="84"/>
        <v>0</v>
      </c>
      <c r="Q456" s="988"/>
      <c r="R456" s="988">
        <f t="shared" si="83"/>
        <v>0</v>
      </c>
      <c r="S456" s="546">
        <f t="shared" si="76"/>
        <v>0</v>
      </c>
      <c r="T456" s="547">
        <f t="shared" si="77"/>
        <v>0</v>
      </c>
      <c r="U456" s="546">
        <f t="shared" si="78"/>
        <v>0</v>
      </c>
      <c r="W456" s="350">
        <f t="shared" si="79"/>
        <v>0</v>
      </c>
      <c r="X456" s="285">
        <f t="shared" si="80"/>
        <v>0</v>
      </c>
      <c r="Y456" s="564"/>
      <c r="Z456" s="65"/>
      <c r="AA456" s="65"/>
      <c r="AB456" s="65"/>
      <c r="AC456" s="65"/>
      <c r="AD456" s="65"/>
      <c r="AE456" s="65"/>
      <c r="AF456" s="65"/>
      <c r="AG456" s="65"/>
      <c r="AH456" s="65"/>
      <c r="AI456" s="65"/>
      <c r="AJ456" s="65"/>
      <c r="AK456" s="65"/>
      <c r="AL456" s="65"/>
      <c r="AM456" s="65"/>
      <c r="AN456" s="65"/>
      <c r="AO456" s="65"/>
      <c r="AP456" s="65"/>
      <c r="AQ456" s="564"/>
      <c r="AR456" s="564"/>
      <c r="AS456" s="564"/>
      <c r="AT456" s="564"/>
      <c r="AU456" s="564"/>
      <c r="AV456" s="564"/>
      <c r="AW456" s="564"/>
      <c r="AX456" s="564"/>
      <c r="AY456" s="564"/>
      <c r="AZ456" s="564"/>
      <c r="BA456" s="564"/>
      <c r="BB456" s="564"/>
      <c r="BC456" s="564"/>
    </row>
    <row r="457" spans="1:55" ht="12" thickBot="1">
      <c r="A457" s="596" t="s">
        <v>1508</v>
      </c>
      <c r="B457" s="541" t="s">
        <v>685</v>
      </c>
      <c r="C457" s="541" t="s">
        <v>688</v>
      </c>
      <c r="D457" s="542" t="s">
        <v>1145</v>
      </c>
      <c r="E457" s="549">
        <f t="shared" si="81"/>
        <v>0</v>
      </c>
      <c r="F457" s="988">
        <f t="shared" si="84"/>
        <v>0</v>
      </c>
      <c r="G457" s="988">
        <f t="shared" si="84"/>
        <v>0</v>
      </c>
      <c r="H457" s="988">
        <f t="shared" si="84"/>
        <v>0</v>
      </c>
      <c r="I457" s="988">
        <f t="shared" si="84"/>
        <v>0</v>
      </c>
      <c r="J457" s="988">
        <f t="shared" si="84"/>
        <v>0</v>
      </c>
      <c r="K457" s="988">
        <f t="shared" si="84"/>
        <v>0</v>
      </c>
      <c r="L457" s="988">
        <f t="shared" si="84"/>
        <v>0</v>
      </c>
      <c r="M457" s="988">
        <f t="shared" si="84"/>
        <v>0</v>
      </c>
      <c r="N457" s="988">
        <f t="shared" si="84"/>
        <v>0</v>
      </c>
      <c r="O457" s="988">
        <f t="shared" si="84"/>
        <v>0</v>
      </c>
      <c r="P457" s="988">
        <f t="shared" si="84"/>
        <v>0</v>
      </c>
      <c r="Q457" s="988"/>
      <c r="R457" s="988">
        <f t="shared" si="83"/>
        <v>0</v>
      </c>
      <c r="S457" s="546">
        <f t="shared" si="76"/>
        <v>0</v>
      </c>
      <c r="T457" s="547">
        <f t="shared" si="77"/>
        <v>0</v>
      </c>
      <c r="U457" s="546">
        <f t="shared" si="78"/>
        <v>0</v>
      </c>
      <c r="W457" s="350">
        <f t="shared" si="79"/>
        <v>0</v>
      </c>
      <c r="X457" s="285">
        <f t="shared" si="80"/>
        <v>0</v>
      </c>
      <c r="Y457" s="564"/>
      <c r="Z457" s="65"/>
      <c r="AA457" s="65"/>
      <c r="AB457" s="65"/>
      <c r="AC457" s="65"/>
      <c r="AD457" s="65"/>
      <c r="AE457" s="65"/>
      <c r="AF457" s="65"/>
      <c r="AG457" s="65"/>
      <c r="AH457" s="65"/>
      <c r="AI457" s="65"/>
      <c r="AJ457" s="65"/>
      <c r="AK457" s="65"/>
      <c r="AL457" s="65"/>
      <c r="AM457" s="65"/>
      <c r="AN457" s="65"/>
      <c r="AO457" s="65"/>
      <c r="AP457" s="65"/>
      <c r="AQ457" s="564"/>
      <c r="AR457" s="564"/>
      <c r="AS457" s="564"/>
      <c r="AT457" s="564"/>
      <c r="AU457" s="564"/>
      <c r="AV457" s="564"/>
      <c r="AW457" s="564"/>
      <c r="AX457" s="564"/>
      <c r="AY457" s="564"/>
      <c r="AZ457" s="564"/>
      <c r="BA457" s="564"/>
      <c r="BB457" s="564"/>
      <c r="BC457" s="564"/>
    </row>
    <row r="458" spans="1:55" ht="12" thickBot="1">
      <c r="A458" s="596" t="s">
        <v>1508</v>
      </c>
      <c r="B458" s="541" t="s">
        <v>217</v>
      </c>
      <c r="C458" s="541" t="s">
        <v>622</v>
      </c>
      <c r="D458" s="542" t="s">
        <v>19</v>
      </c>
      <c r="E458" s="549">
        <f t="shared" si="81"/>
        <v>0</v>
      </c>
      <c r="F458" s="988">
        <f t="shared" ref="F458:P467" si="85">ROUND(SUMIFS(F$1721:F$1901,$A$1721:$A$1901,$A458,$B$1721:$B$1901,$B458),0)</f>
        <v>0</v>
      </c>
      <c r="G458" s="988">
        <f t="shared" si="85"/>
        <v>0</v>
      </c>
      <c r="H458" s="988">
        <f t="shared" si="85"/>
        <v>0</v>
      </c>
      <c r="I458" s="988">
        <f t="shared" si="85"/>
        <v>0</v>
      </c>
      <c r="J458" s="988">
        <f t="shared" si="85"/>
        <v>0</v>
      </c>
      <c r="K458" s="988">
        <f t="shared" si="85"/>
        <v>0</v>
      </c>
      <c r="L458" s="988">
        <f t="shared" si="85"/>
        <v>0</v>
      </c>
      <c r="M458" s="988">
        <f t="shared" si="85"/>
        <v>0</v>
      </c>
      <c r="N458" s="988">
        <f t="shared" si="85"/>
        <v>0</v>
      </c>
      <c r="O458" s="988">
        <f t="shared" si="85"/>
        <v>0</v>
      </c>
      <c r="P458" s="988">
        <f t="shared" si="85"/>
        <v>0</v>
      </c>
      <c r="Q458" s="988"/>
      <c r="R458" s="988">
        <f t="shared" si="83"/>
        <v>0</v>
      </c>
      <c r="S458" s="546">
        <f t="shared" si="76"/>
        <v>0</v>
      </c>
      <c r="T458" s="547">
        <f t="shared" si="77"/>
        <v>0</v>
      </c>
      <c r="U458" s="546">
        <f t="shared" si="78"/>
        <v>0</v>
      </c>
      <c r="W458" s="350">
        <f t="shared" si="79"/>
        <v>0</v>
      </c>
      <c r="X458" s="285">
        <f t="shared" si="80"/>
        <v>0</v>
      </c>
      <c r="Y458" s="564"/>
      <c r="Z458" s="65"/>
      <c r="AA458" s="65"/>
      <c r="AB458" s="65"/>
      <c r="AC458" s="65"/>
      <c r="AD458" s="65"/>
      <c r="AE458" s="65"/>
      <c r="AF458" s="65"/>
      <c r="AG458" s="65"/>
      <c r="AH458" s="65"/>
      <c r="AI458" s="65"/>
      <c r="AJ458" s="65"/>
      <c r="AK458" s="65"/>
      <c r="AL458" s="65"/>
      <c r="AM458" s="65"/>
      <c r="AN458" s="65"/>
      <c r="AO458" s="65"/>
      <c r="AP458" s="65"/>
      <c r="AQ458" s="564"/>
      <c r="AR458" s="564"/>
      <c r="AS458" s="564"/>
      <c r="AT458" s="564"/>
      <c r="AU458" s="564"/>
      <c r="AV458" s="564"/>
      <c r="AW458" s="564"/>
      <c r="AX458" s="564"/>
      <c r="AY458" s="564"/>
      <c r="AZ458" s="564"/>
      <c r="BA458" s="564"/>
      <c r="BB458" s="564"/>
      <c r="BC458" s="564"/>
    </row>
    <row r="459" spans="1:55" ht="12" thickBot="1">
      <c r="A459" s="596" t="s">
        <v>1508</v>
      </c>
      <c r="B459" s="541" t="s">
        <v>216</v>
      </c>
      <c r="C459" s="541" t="s">
        <v>622</v>
      </c>
      <c r="D459" s="542" t="s">
        <v>19</v>
      </c>
      <c r="E459" s="549">
        <f t="shared" si="81"/>
        <v>0</v>
      </c>
      <c r="F459" s="988">
        <f t="shared" si="85"/>
        <v>0</v>
      </c>
      <c r="G459" s="988">
        <f t="shared" si="85"/>
        <v>0</v>
      </c>
      <c r="H459" s="988">
        <f t="shared" si="85"/>
        <v>0</v>
      </c>
      <c r="I459" s="988">
        <f t="shared" si="85"/>
        <v>0</v>
      </c>
      <c r="J459" s="988">
        <f t="shared" si="85"/>
        <v>0</v>
      </c>
      <c r="K459" s="988">
        <f t="shared" si="85"/>
        <v>0</v>
      </c>
      <c r="L459" s="988">
        <f t="shared" si="85"/>
        <v>0</v>
      </c>
      <c r="M459" s="988">
        <f t="shared" si="85"/>
        <v>0</v>
      </c>
      <c r="N459" s="988">
        <f t="shared" si="85"/>
        <v>0</v>
      </c>
      <c r="O459" s="988">
        <f t="shared" si="85"/>
        <v>0</v>
      </c>
      <c r="P459" s="988">
        <f t="shared" si="85"/>
        <v>0</v>
      </c>
      <c r="Q459" s="988"/>
      <c r="R459" s="988">
        <f t="shared" si="83"/>
        <v>0</v>
      </c>
      <c r="S459" s="546">
        <f t="shared" si="76"/>
        <v>0</v>
      </c>
      <c r="T459" s="547">
        <f t="shared" si="77"/>
        <v>0</v>
      </c>
      <c r="U459" s="546">
        <f t="shared" si="78"/>
        <v>0</v>
      </c>
      <c r="W459" s="350">
        <f t="shared" si="79"/>
        <v>0</v>
      </c>
      <c r="X459" s="285">
        <f t="shared" si="80"/>
        <v>0</v>
      </c>
      <c r="Y459" s="564"/>
      <c r="Z459" s="65"/>
      <c r="AA459" s="65"/>
      <c r="AB459" s="65"/>
      <c r="AC459" s="65"/>
      <c r="AD459" s="65"/>
      <c r="AE459" s="65"/>
      <c r="AF459" s="65"/>
      <c r="AG459" s="65"/>
      <c r="AH459" s="65"/>
      <c r="AI459" s="65"/>
      <c r="AJ459" s="65"/>
      <c r="AK459" s="65"/>
      <c r="AL459" s="65"/>
      <c r="AM459" s="65"/>
      <c r="AN459" s="65"/>
      <c r="AO459" s="65"/>
      <c r="AP459" s="65"/>
      <c r="AQ459" s="564"/>
      <c r="AR459" s="564"/>
      <c r="AS459" s="564"/>
      <c r="AT459" s="564"/>
      <c r="AU459" s="564"/>
      <c r="AV459" s="564"/>
      <c r="AW459" s="564"/>
      <c r="AX459" s="564"/>
      <c r="AY459" s="564"/>
      <c r="AZ459" s="564"/>
      <c r="BA459" s="564"/>
      <c r="BB459" s="564"/>
      <c r="BC459" s="564"/>
    </row>
    <row r="460" spans="1:55" ht="12" thickBot="1">
      <c r="A460" s="596" t="s">
        <v>1508</v>
      </c>
      <c r="B460" s="541" t="s">
        <v>168</v>
      </c>
      <c r="C460" s="541" t="s">
        <v>58</v>
      </c>
      <c r="D460" s="542" t="s">
        <v>20</v>
      </c>
      <c r="E460" s="549">
        <f t="shared" si="81"/>
        <v>0</v>
      </c>
      <c r="F460" s="988">
        <f t="shared" si="85"/>
        <v>0</v>
      </c>
      <c r="G460" s="988">
        <f t="shared" si="85"/>
        <v>0</v>
      </c>
      <c r="H460" s="988">
        <f t="shared" si="85"/>
        <v>0</v>
      </c>
      <c r="I460" s="988">
        <f t="shared" si="85"/>
        <v>0</v>
      </c>
      <c r="J460" s="988">
        <f t="shared" si="85"/>
        <v>0</v>
      </c>
      <c r="K460" s="988">
        <f t="shared" si="85"/>
        <v>0</v>
      </c>
      <c r="L460" s="988">
        <f t="shared" si="85"/>
        <v>0</v>
      </c>
      <c r="M460" s="988">
        <f t="shared" si="85"/>
        <v>0</v>
      </c>
      <c r="N460" s="988">
        <f t="shared" si="85"/>
        <v>0</v>
      </c>
      <c r="O460" s="988">
        <f t="shared" si="85"/>
        <v>0</v>
      </c>
      <c r="P460" s="988">
        <f t="shared" si="85"/>
        <v>0</v>
      </c>
      <c r="Q460" s="988"/>
      <c r="R460" s="988">
        <f t="shared" si="83"/>
        <v>0</v>
      </c>
      <c r="S460" s="546">
        <f t="shared" si="76"/>
        <v>0</v>
      </c>
      <c r="T460" s="547">
        <f t="shared" si="77"/>
        <v>0</v>
      </c>
      <c r="U460" s="546">
        <f t="shared" si="78"/>
        <v>0</v>
      </c>
      <c r="W460" s="350">
        <f t="shared" si="79"/>
        <v>0</v>
      </c>
      <c r="X460" s="285">
        <f t="shared" si="80"/>
        <v>0</v>
      </c>
      <c r="Y460" s="564"/>
      <c r="Z460" s="65"/>
      <c r="AA460" s="65"/>
      <c r="AB460" s="65"/>
      <c r="AC460" s="65"/>
      <c r="AD460" s="65"/>
      <c r="AE460" s="65"/>
      <c r="AF460" s="65"/>
      <c r="AG460" s="65"/>
      <c r="AH460" s="65"/>
      <c r="AI460" s="65"/>
      <c r="AJ460" s="65"/>
      <c r="AK460" s="65"/>
      <c r="AL460" s="65"/>
      <c r="AM460" s="65"/>
      <c r="AN460" s="65"/>
      <c r="AO460" s="65"/>
      <c r="AP460" s="65"/>
      <c r="AQ460" s="564"/>
      <c r="AR460" s="564"/>
      <c r="AS460" s="564"/>
      <c r="AT460" s="564"/>
      <c r="AU460" s="564"/>
      <c r="AV460" s="564"/>
      <c r="AW460" s="564"/>
      <c r="AX460" s="564"/>
      <c r="AY460" s="564"/>
      <c r="AZ460" s="564"/>
      <c r="BA460" s="564"/>
      <c r="BB460" s="564"/>
      <c r="BC460" s="564"/>
    </row>
    <row r="461" spans="1:55" ht="12" thickBot="1">
      <c r="A461" s="596" t="s">
        <v>1508</v>
      </c>
      <c r="B461" s="541" t="s">
        <v>623</v>
      </c>
      <c r="C461" s="541" t="s">
        <v>643</v>
      </c>
      <c r="D461" s="542" t="s">
        <v>20</v>
      </c>
      <c r="E461" s="549">
        <f t="shared" si="81"/>
        <v>0</v>
      </c>
      <c r="F461" s="988">
        <f t="shared" si="85"/>
        <v>0</v>
      </c>
      <c r="G461" s="988">
        <f t="shared" si="85"/>
        <v>0</v>
      </c>
      <c r="H461" s="988">
        <f t="shared" si="85"/>
        <v>0</v>
      </c>
      <c r="I461" s="988">
        <f t="shared" si="85"/>
        <v>0</v>
      </c>
      <c r="J461" s="988">
        <f t="shared" si="85"/>
        <v>0</v>
      </c>
      <c r="K461" s="988">
        <f t="shared" si="85"/>
        <v>0</v>
      </c>
      <c r="L461" s="988">
        <f t="shared" si="85"/>
        <v>0</v>
      </c>
      <c r="M461" s="988">
        <f t="shared" si="85"/>
        <v>0</v>
      </c>
      <c r="N461" s="988">
        <f t="shared" si="85"/>
        <v>0</v>
      </c>
      <c r="O461" s="988">
        <f t="shared" si="85"/>
        <v>0</v>
      </c>
      <c r="P461" s="988">
        <f t="shared" si="85"/>
        <v>0</v>
      </c>
      <c r="Q461" s="988"/>
      <c r="R461" s="988">
        <f t="shared" si="83"/>
        <v>0</v>
      </c>
      <c r="S461" s="546">
        <f t="shared" si="76"/>
        <v>0</v>
      </c>
      <c r="T461" s="547">
        <f t="shared" si="77"/>
        <v>0</v>
      </c>
      <c r="U461" s="546">
        <f t="shared" si="78"/>
        <v>0</v>
      </c>
      <c r="W461" s="350">
        <f t="shared" si="79"/>
        <v>0</v>
      </c>
      <c r="X461" s="285">
        <f t="shared" si="80"/>
        <v>0</v>
      </c>
      <c r="Y461" s="564"/>
      <c r="Z461" s="65"/>
      <c r="AA461" s="65"/>
      <c r="AB461" s="65"/>
      <c r="AC461" s="65"/>
      <c r="AD461" s="65"/>
      <c r="AE461" s="65"/>
      <c r="AF461" s="65"/>
      <c r="AG461" s="65"/>
      <c r="AH461" s="65"/>
      <c r="AI461" s="65"/>
      <c r="AJ461" s="65"/>
      <c r="AK461" s="65"/>
      <c r="AL461" s="65"/>
      <c r="AM461" s="65"/>
      <c r="AN461" s="65"/>
      <c r="AO461" s="65"/>
      <c r="AP461" s="65"/>
      <c r="AQ461" s="564"/>
      <c r="AR461" s="564"/>
      <c r="AS461" s="564"/>
      <c r="AT461" s="564"/>
      <c r="AU461" s="564"/>
      <c r="AV461" s="564"/>
      <c r="AW461" s="564"/>
      <c r="AX461" s="564"/>
      <c r="AY461" s="564"/>
      <c r="AZ461" s="564"/>
      <c r="BA461" s="564"/>
      <c r="BB461" s="564"/>
      <c r="BC461" s="564"/>
    </row>
    <row r="462" spans="1:55" ht="12" thickBot="1">
      <c r="A462" s="596" t="s">
        <v>1508</v>
      </c>
      <c r="B462" s="541" t="s">
        <v>691</v>
      </c>
      <c r="C462" s="541" t="s">
        <v>689</v>
      </c>
      <c r="D462" s="542" t="s">
        <v>690</v>
      </c>
      <c r="E462" s="549">
        <f t="shared" si="81"/>
        <v>0</v>
      </c>
      <c r="F462" s="988">
        <f t="shared" si="85"/>
        <v>0</v>
      </c>
      <c r="G462" s="988">
        <f t="shared" si="85"/>
        <v>0</v>
      </c>
      <c r="H462" s="988">
        <f t="shared" si="85"/>
        <v>0</v>
      </c>
      <c r="I462" s="988">
        <f t="shared" si="85"/>
        <v>0</v>
      </c>
      <c r="J462" s="988">
        <f t="shared" si="85"/>
        <v>0</v>
      </c>
      <c r="K462" s="988">
        <f t="shared" si="85"/>
        <v>0</v>
      </c>
      <c r="L462" s="988">
        <f t="shared" si="85"/>
        <v>0</v>
      </c>
      <c r="M462" s="988">
        <f t="shared" si="85"/>
        <v>0</v>
      </c>
      <c r="N462" s="988">
        <f t="shared" si="85"/>
        <v>0</v>
      </c>
      <c r="O462" s="988">
        <f t="shared" si="85"/>
        <v>0</v>
      </c>
      <c r="P462" s="988">
        <f t="shared" si="85"/>
        <v>0</v>
      </c>
      <c r="Q462" s="988"/>
      <c r="R462" s="988">
        <f t="shared" si="83"/>
        <v>0</v>
      </c>
      <c r="S462" s="546">
        <f t="shared" si="76"/>
        <v>0</v>
      </c>
      <c r="T462" s="547">
        <f t="shared" si="77"/>
        <v>0</v>
      </c>
      <c r="U462" s="546">
        <f t="shared" si="78"/>
        <v>0</v>
      </c>
      <c r="W462" s="350">
        <f t="shared" si="79"/>
        <v>0</v>
      </c>
      <c r="X462" s="285">
        <f t="shared" si="80"/>
        <v>0</v>
      </c>
      <c r="Y462" s="564"/>
      <c r="Z462" s="65"/>
      <c r="AA462" s="65"/>
      <c r="AB462" s="65"/>
      <c r="AC462" s="65"/>
      <c r="AD462" s="65"/>
      <c r="AE462" s="65"/>
      <c r="AF462" s="65"/>
      <c r="AG462" s="65"/>
      <c r="AH462" s="65"/>
      <c r="AI462" s="65"/>
      <c r="AJ462" s="65"/>
      <c r="AK462" s="65"/>
      <c r="AL462" s="65"/>
      <c r="AM462" s="65"/>
      <c r="AN462" s="65"/>
      <c r="AO462" s="65"/>
      <c r="AP462" s="65"/>
      <c r="AQ462" s="564"/>
      <c r="AR462" s="564"/>
      <c r="AS462" s="564"/>
      <c r="AT462" s="564"/>
      <c r="AU462" s="564"/>
      <c r="AV462" s="564"/>
      <c r="AW462" s="564"/>
      <c r="AX462" s="564"/>
      <c r="AY462" s="564"/>
      <c r="AZ462" s="564"/>
      <c r="BA462" s="564"/>
      <c r="BB462" s="564"/>
      <c r="BC462" s="564"/>
    </row>
    <row r="463" spans="1:55" ht="12" thickBot="1">
      <c r="A463" s="596" t="s">
        <v>1508</v>
      </c>
      <c r="B463" s="541" t="s">
        <v>1147</v>
      </c>
      <c r="C463" s="541" t="s">
        <v>1148</v>
      </c>
      <c r="D463" s="542" t="s">
        <v>1156</v>
      </c>
      <c r="E463" s="549">
        <f t="shared" si="81"/>
        <v>0</v>
      </c>
      <c r="F463" s="988">
        <f t="shared" si="85"/>
        <v>0</v>
      </c>
      <c r="G463" s="988">
        <f t="shared" si="85"/>
        <v>0</v>
      </c>
      <c r="H463" s="988">
        <f t="shared" si="85"/>
        <v>0</v>
      </c>
      <c r="I463" s="988">
        <f t="shared" si="85"/>
        <v>0</v>
      </c>
      <c r="J463" s="988">
        <f t="shared" si="85"/>
        <v>0</v>
      </c>
      <c r="K463" s="988">
        <f t="shared" si="85"/>
        <v>0</v>
      </c>
      <c r="L463" s="988">
        <f t="shared" si="85"/>
        <v>0</v>
      </c>
      <c r="M463" s="988">
        <f t="shared" si="85"/>
        <v>0</v>
      </c>
      <c r="N463" s="988">
        <f t="shared" si="85"/>
        <v>0</v>
      </c>
      <c r="O463" s="988">
        <f t="shared" si="85"/>
        <v>0</v>
      </c>
      <c r="P463" s="988">
        <f t="shared" si="85"/>
        <v>0</v>
      </c>
      <c r="Q463" s="988"/>
      <c r="R463" s="988">
        <f t="shared" si="83"/>
        <v>0</v>
      </c>
      <c r="S463" s="546">
        <f t="shared" si="76"/>
        <v>0</v>
      </c>
      <c r="T463" s="547">
        <f t="shared" si="77"/>
        <v>0</v>
      </c>
      <c r="U463" s="546">
        <f t="shared" si="78"/>
        <v>0</v>
      </c>
      <c r="W463" s="350">
        <f t="shared" si="79"/>
        <v>0</v>
      </c>
      <c r="X463" s="285">
        <f t="shared" si="80"/>
        <v>0</v>
      </c>
      <c r="Y463" s="564"/>
      <c r="Z463" s="65"/>
      <c r="AA463" s="65"/>
      <c r="AB463" s="65"/>
      <c r="AC463" s="65"/>
      <c r="AD463" s="65"/>
      <c r="AE463" s="65"/>
      <c r="AF463" s="65"/>
      <c r="AG463" s="65"/>
      <c r="AH463" s="65"/>
      <c r="AI463" s="65"/>
      <c r="AJ463" s="65"/>
      <c r="AK463" s="65"/>
      <c r="AL463" s="65"/>
      <c r="AM463" s="65"/>
      <c r="AN463" s="65"/>
      <c r="AO463" s="65"/>
      <c r="AP463" s="65"/>
      <c r="AQ463" s="564"/>
      <c r="AR463" s="564"/>
      <c r="AS463" s="564"/>
      <c r="AT463" s="564"/>
      <c r="AU463" s="564"/>
      <c r="AV463" s="564"/>
      <c r="AW463" s="564"/>
      <c r="AX463" s="564"/>
      <c r="AY463" s="564"/>
      <c r="AZ463" s="564"/>
      <c r="BA463" s="564"/>
      <c r="BB463" s="564"/>
      <c r="BC463" s="564"/>
    </row>
    <row r="464" spans="1:55" ht="12" thickBot="1">
      <c r="A464" s="596" t="s">
        <v>1508</v>
      </c>
      <c r="B464" s="541" t="s">
        <v>169</v>
      </c>
      <c r="C464" s="541" t="s">
        <v>1392</v>
      </c>
      <c r="D464" s="542" t="s">
        <v>208</v>
      </c>
      <c r="E464" s="549">
        <f t="shared" si="81"/>
        <v>0</v>
      </c>
      <c r="F464" s="988">
        <f t="shared" si="85"/>
        <v>0</v>
      </c>
      <c r="G464" s="988">
        <f t="shared" si="85"/>
        <v>0</v>
      </c>
      <c r="H464" s="988">
        <f t="shared" si="85"/>
        <v>0</v>
      </c>
      <c r="I464" s="988">
        <f t="shared" si="85"/>
        <v>0</v>
      </c>
      <c r="J464" s="988">
        <f t="shared" si="85"/>
        <v>0</v>
      </c>
      <c r="K464" s="988">
        <f t="shared" si="85"/>
        <v>0</v>
      </c>
      <c r="L464" s="988">
        <f t="shared" si="85"/>
        <v>0</v>
      </c>
      <c r="M464" s="988">
        <f t="shared" si="85"/>
        <v>0</v>
      </c>
      <c r="N464" s="988">
        <f t="shared" si="85"/>
        <v>0</v>
      </c>
      <c r="O464" s="988">
        <f t="shared" si="85"/>
        <v>0</v>
      </c>
      <c r="P464" s="988">
        <f t="shared" si="85"/>
        <v>0</v>
      </c>
      <c r="Q464" s="988"/>
      <c r="R464" s="988">
        <f t="shared" si="83"/>
        <v>0</v>
      </c>
      <c r="S464" s="546">
        <f t="shared" si="76"/>
        <v>0</v>
      </c>
      <c r="T464" s="547">
        <f t="shared" si="77"/>
        <v>0</v>
      </c>
      <c r="U464" s="546">
        <f t="shared" si="78"/>
        <v>0</v>
      </c>
      <c r="W464" s="350">
        <f t="shared" si="79"/>
        <v>0</v>
      </c>
      <c r="X464" s="285">
        <f t="shared" si="80"/>
        <v>0</v>
      </c>
      <c r="Y464" s="564"/>
      <c r="Z464" s="65"/>
      <c r="AA464" s="65"/>
      <c r="AB464" s="65"/>
      <c r="AC464" s="65"/>
      <c r="AD464" s="65"/>
      <c r="AE464" s="65"/>
      <c r="AF464" s="65"/>
      <c r="AG464" s="65"/>
      <c r="AH464" s="65"/>
      <c r="AI464" s="65"/>
      <c r="AJ464" s="65"/>
      <c r="AK464" s="65"/>
      <c r="AL464" s="65"/>
      <c r="AM464" s="65"/>
      <c r="AN464" s="65"/>
      <c r="AO464" s="65"/>
      <c r="AP464" s="65"/>
      <c r="AQ464" s="564"/>
      <c r="AR464" s="564"/>
      <c r="AS464" s="564"/>
      <c r="AT464" s="564"/>
      <c r="AU464" s="564"/>
      <c r="AV464" s="564"/>
      <c r="AW464" s="564"/>
      <c r="AX464" s="564"/>
      <c r="AY464" s="564"/>
      <c r="AZ464" s="564"/>
      <c r="BA464" s="564"/>
      <c r="BB464" s="564"/>
      <c r="BC464" s="564"/>
    </row>
    <row r="465" spans="1:55" ht="12" thickBot="1">
      <c r="A465" s="596" t="s">
        <v>1508</v>
      </c>
      <c r="B465" s="541" t="s">
        <v>170</v>
      </c>
      <c r="C465" s="541" t="s">
        <v>1393</v>
      </c>
      <c r="D465" s="542" t="s">
        <v>17</v>
      </c>
      <c r="E465" s="549">
        <f t="shared" si="81"/>
        <v>0</v>
      </c>
      <c r="F465" s="988">
        <f t="shared" si="85"/>
        <v>0</v>
      </c>
      <c r="G465" s="988">
        <f t="shared" si="85"/>
        <v>0</v>
      </c>
      <c r="H465" s="988">
        <f t="shared" si="85"/>
        <v>0</v>
      </c>
      <c r="I465" s="988">
        <f t="shared" si="85"/>
        <v>0</v>
      </c>
      <c r="J465" s="988">
        <f t="shared" si="85"/>
        <v>0</v>
      </c>
      <c r="K465" s="988">
        <f t="shared" si="85"/>
        <v>0</v>
      </c>
      <c r="L465" s="988">
        <f t="shared" si="85"/>
        <v>0</v>
      </c>
      <c r="M465" s="988">
        <f t="shared" si="85"/>
        <v>0</v>
      </c>
      <c r="N465" s="988">
        <f t="shared" si="85"/>
        <v>0</v>
      </c>
      <c r="O465" s="988">
        <f t="shared" si="85"/>
        <v>0</v>
      </c>
      <c r="P465" s="988">
        <f t="shared" si="85"/>
        <v>0</v>
      </c>
      <c r="Q465" s="988"/>
      <c r="R465" s="988">
        <f t="shared" si="83"/>
        <v>0</v>
      </c>
      <c r="S465" s="546">
        <f t="shared" si="76"/>
        <v>0</v>
      </c>
      <c r="T465" s="547">
        <f t="shared" si="77"/>
        <v>0</v>
      </c>
      <c r="U465" s="546">
        <f t="shared" si="78"/>
        <v>0</v>
      </c>
      <c r="W465" s="350">
        <f t="shared" si="79"/>
        <v>0</v>
      </c>
      <c r="X465" s="285">
        <f t="shared" si="80"/>
        <v>0</v>
      </c>
      <c r="Y465" s="564"/>
      <c r="Z465" s="65"/>
      <c r="AA465" s="65"/>
      <c r="AB465" s="65"/>
      <c r="AC465" s="65"/>
      <c r="AD465" s="65"/>
      <c r="AE465" s="65"/>
      <c r="AF465" s="65"/>
      <c r="AG465" s="65"/>
      <c r="AH465" s="65"/>
      <c r="AI465" s="65"/>
      <c r="AJ465" s="65"/>
      <c r="AK465" s="65"/>
      <c r="AL465" s="65"/>
      <c r="AM465" s="65"/>
      <c r="AN465" s="65"/>
      <c r="AO465" s="65"/>
      <c r="AP465" s="65"/>
      <c r="AQ465" s="564"/>
      <c r="AR465" s="564"/>
      <c r="AS465" s="564"/>
      <c r="AT465" s="564"/>
      <c r="AU465" s="564"/>
      <c r="AV465" s="564"/>
      <c r="AW465" s="564"/>
      <c r="AX465" s="564"/>
      <c r="AY465" s="564"/>
      <c r="AZ465" s="564"/>
      <c r="BA465" s="564"/>
      <c r="BB465" s="564"/>
      <c r="BC465" s="564"/>
    </row>
    <row r="466" spans="1:55" ht="12" thickBot="1">
      <c r="A466" s="596" t="s">
        <v>1508</v>
      </c>
      <c r="B466" s="541" t="s">
        <v>713</v>
      </c>
      <c r="C466" s="541" t="s">
        <v>711</v>
      </c>
      <c r="D466" s="542" t="s">
        <v>712</v>
      </c>
      <c r="E466" s="549">
        <f t="shared" si="81"/>
        <v>0</v>
      </c>
      <c r="F466" s="988">
        <f t="shared" si="85"/>
        <v>0</v>
      </c>
      <c r="G466" s="988">
        <f t="shared" si="85"/>
        <v>0</v>
      </c>
      <c r="H466" s="988">
        <f t="shared" si="85"/>
        <v>0</v>
      </c>
      <c r="I466" s="988">
        <f t="shared" si="85"/>
        <v>0</v>
      </c>
      <c r="J466" s="988">
        <f t="shared" si="85"/>
        <v>0</v>
      </c>
      <c r="K466" s="988">
        <f t="shared" si="85"/>
        <v>0</v>
      </c>
      <c r="L466" s="988">
        <f t="shared" si="85"/>
        <v>0</v>
      </c>
      <c r="M466" s="988">
        <f t="shared" si="85"/>
        <v>0</v>
      </c>
      <c r="N466" s="988">
        <f t="shared" si="85"/>
        <v>0</v>
      </c>
      <c r="O466" s="988">
        <f t="shared" si="85"/>
        <v>0</v>
      </c>
      <c r="P466" s="988">
        <f t="shared" si="85"/>
        <v>0</v>
      </c>
      <c r="Q466" s="988"/>
      <c r="R466" s="988">
        <f t="shared" si="83"/>
        <v>0</v>
      </c>
      <c r="S466" s="546">
        <f t="shared" si="76"/>
        <v>0</v>
      </c>
      <c r="T466" s="547">
        <f t="shared" si="77"/>
        <v>0</v>
      </c>
      <c r="U466" s="546">
        <f t="shared" si="78"/>
        <v>0</v>
      </c>
      <c r="W466" s="350">
        <f t="shared" si="79"/>
        <v>0</v>
      </c>
      <c r="X466" s="285">
        <f t="shared" si="80"/>
        <v>0</v>
      </c>
      <c r="Y466" s="564"/>
      <c r="Z466" s="65"/>
      <c r="AA466" s="65"/>
      <c r="AB466" s="65"/>
      <c r="AC466" s="65"/>
      <c r="AD466" s="65"/>
      <c r="AE466" s="65"/>
      <c r="AF466" s="65"/>
      <c r="AG466" s="65"/>
      <c r="AH466" s="65"/>
      <c r="AI466" s="65"/>
      <c r="AJ466" s="65"/>
      <c r="AK466" s="65"/>
      <c r="AL466" s="65"/>
      <c r="AM466" s="65"/>
      <c r="AN466" s="65"/>
      <c r="AO466" s="65"/>
      <c r="AP466" s="65"/>
      <c r="AQ466" s="564"/>
      <c r="AR466" s="564"/>
      <c r="AS466" s="564"/>
      <c r="AT466" s="564"/>
      <c r="AU466" s="564"/>
      <c r="AV466" s="564"/>
      <c r="AW466" s="564"/>
      <c r="AX466" s="564"/>
      <c r="AY466" s="564"/>
      <c r="AZ466" s="564"/>
      <c r="BA466" s="564"/>
      <c r="BB466" s="564"/>
      <c r="BC466" s="564"/>
    </row>
    <row r="467" spans="1:55" ht="12" thickBot="1">
      <c r="A467" s="596" t="s">
        <v>1508</v>
      </c>
      <c r="B467" s="541" t="s">
        <v>171</v>
      </c>
      <c r="C467" s="541" t="s">
        <v>441</v>
      </c>
      <c r="D467" s="542" t="s">
        <v>72</v>
      </c>
      <c r="E467" s="549">
        <f t="shared" si="81"/>
        <v>0</v>
      </c>
      <c r="F467" s="988">
        <f t="shared" si="85"/>
        <v>0</v>
      </c>
      <c r="G467" s="988">
        <f t="shared" si="85"/>
        <v>0</v>
      </c>
      <c r="H467" s="988">
        <f t="shared" si="85"/>
        <v>0</v>
      </c>
      <c r="I467" s="988">
        <f t="shared" si="85"/>
        <v>0</v>
      </c>
      <c r="J467" s="988">
        <f t="shared" si="85"/>
        <v>0</v>
      </c>
      <c r="K467" s="988">
        <f t="shared" si="85"/>
        <v>0</v>
      </c>
      <c r="L467" s="988">
        <f t="shared" si="85"/>
        <v>0</v>
      </c>
      <c r="M467" s="988">
        <f t="shared" si="85"/>
        <v>0</v>
      </c>
      <c r="N467" s="988">
        <f t="shared" si="85"/>
        <v>0</v>
      </c>
      <c r="O467" s="988">
        <f t="shared" si="85"/>
        <v>0</v>
      </c>
      <c r="P467" s="988">
        <f t="shared" si="85"/>
        <v>-989829</v>
      </c>
      <c r="Q467" s="988"/>
      <c r="R467" s="988">
        <f t="shared" si="83"/>
        <v>-989829</v>
      </c>
      <c r="S467" s="546">
        <f t="shared" si="76"/>
        <v>0</v>
      </c>
      <c r="T467" s="547">
        <f t="shared" si="77"/>
        <v>0</v>
      </c>
      <c r="U467" s="546">
        <f t="shared" si="78"/>
        <v>0</v>
      </c>
      <c r="W467" s="350">
        <f t="shared" si="79"/>
        <v>-989829</v>
      </c>
      <c r="X467" s="285">
        <f t="shared" si="80"/>
        <v>0</v>
      </c>
      <c r="Y467" s="564"/>
      <c r="Z467" s="65"/>
      <c r="AA467" s="65"/>
      <c r="AB467" s="65"/>
      <c r="AC467" s="65"/>
      <c r="AD467" s="65"/>
      <c r="AE467" s="65"/>
      <c r="AF467" s="65"/>
      <c r="AG467" s="65"/>
      <c r="AH467" s="65"/>
      <c r="AI467" s="65"/>
      <c r="AJ467" s="65"/>
      <c r="AK467" s="65"/>
      <c r="AL467" s="65"/>
      <c r="AM467" s="65"/>
      <c r="AN467" s="65"/>
      <c r="AO467" s="65"/>
      <c r="AP467" s="65"/>
      <c r="AQ467" s="564"/>
      <c r="AR467" s="564"/>
      <c r="AS467" s="564"/>
      <c r="AT467" s="564"/>
      <c r="AU467" s="564"/>
      <c r="AV467" s="564"/>
      <c r="AW467" s="564"/>
      <c r="AX467" s="564"/>
      <c r="AY467" s="564"/>
      <c r="AZ467" s="564"/>
      <c r="BA467" s="564"/>
      <c r="BB467" s="564"/>
      <c r="BC467" s="564"/>
    </row>
    <row r="468" spans="1:55" ht="12" thickBot="1">
      <c r="A468" s="596" t="s">
        <v>1508</v>
      </c>
      <c r="B468" s="541" t="s">
        <v>172</v>
      </c>
      <c r="C468" s="541" t="s">
        <v>442</v>
      </c>
      <c r="D468" s="542" t="s">
        <v>72</v>
      </c>
      <c r="E468" s="549">
        <f t="shared" si="81"/>
        <v>0</v>
      </c>
      <c r="F468" s="988">
        <f t="shared" ref="F468:P477" si="86">ROUND(SUMIFS(F$1721:F$1901,$A$1721:$A$1901,$A468,$B$1721:$B$1901,$B468),0)</f>
        <v>0</v>
      </c>
      <c r="G468" s="988">
        <f t="shared" si="86"/>
        <v>0</v>
      </c>
      <c r="H468" s="988">
        <f t="shared" si="86"/>
        <v>0</v>
      </c>
      <c r="I468" s="988">
        <f t="shared" si="86"/>
        <v>0</v>
      </c>
      <c r="J468" s="988">
        <f t="shared" si="86"/>
        <v>0</v>
      </c>
      <c r="K468" s="988">
        <f t="shared" si="86"/>
        <v>0</v>
      </c>
      <c r="L468" s="988">
        <f t="shared" si="86"/>
        <v>0</v>
      </c>
      <c r="M468" s="988">
        <f t="shared" si="86"/>
        <v>0</v>
      </c>
      <c r="N468" s="988">
        <f t="shared" si="86"/>
        <v>0</v>
      </c>
      <c r="O468" s="988">
        <f t="shared" si="86"/>
        <v>0</v>
      </c>
      <c r="P468" s="988">
        <f t="shared" si="86"/>
        <v>0</v>
      </c>
      <c r="Q468" s="988"/>
      <c r="R468" s="988">
        <f t="shared" si="83"/>
        <v>0</v>
      </c>
      <c r="S468" s="546">
        <f t="shared" si="76"/>
        <v>0</v>
      </c>
      <c r="T468" s="547">
        <f t="shared" si="77"/>
        <v>0</v>
      </c>
      <c r="U468" s="546">
        <f t="shared" si="78"/>
        <v>0</v>
      </c>
      <c r="W468" s="350">
        <f t="shared" si="79"/>
        <v>0</v>
      </c>
      <c r="X468" s="285">
        <f t="shared" si="80"/>
        <v>0</v>
      </c>
      <c r="Y468" s="564"/>
      <c r="Z468" s="65"/>
      <c r="AA468" s="65"/>
      <c r="AB468" s="65"/>
      <c r="AC468" s="65"/>
      <c r="AD468" s="65"/>
      <c r="AE468" s="65"/>
      <c r="AF468" s="65"/>
      <c r="AG468" s="65"/>
      <c r="AH468" s="65"/>
      <c r="AI468" s="65"/>
      <c r="AJ468" s="65"/>
      <c r="AK468" s="65"/>
      <c r="AL468" s="65"/>
      <c r="AM468" s="65"/>
      <c r="AN468" s="65"/>
      <c r="AO468" s="65"/>
      <c r="AP468" s="65"/>
      <c r="AQ468" s="564"/>
      <c r="AR468" s="564"/>
      <c r="AS468" s="564"/>
      <c r="AT468" s="564"/>
      <c r="AU468" s="564"/>
      <c r="AV468" s="564"/>
      <c r="AW468" s="564"/>
      <c r="AX468" s="564"/>
      <c r="AY468" s="564"/>
      <c r="AZ468" s="564"/>
      <c r="BA468" s="564"/>
      <c r="BB468" s="564"/>
      <c r="BC468" s="564"/>
    </row>
    <row r="469" spans="1:55" ht="12" thickBot="1">
      <c r="A469" s="596" t="s">
        <v>1508</v>
      </c>
      <c r="B469" s="541" t="s">
        <v>1397</v>
      </c>
      <c r="C469" s="541" t="s">
        <v>1398</v>
      </c>
      <c r="D469" s="542" t="s">
        <v>72</v>
      </c>
      <c r="E469" s="549">
        <f t="shared" si="81"/>
        <v>0</v>
      </c>
      <c r="F469" s="988">
        <f t="shared" si="86"/>
        <v>0</v>
      </c>
      <c r="G469" s="988">
        <f t="shared" si="86"/>
        <v>0</v>
      </c>
      <c r="H469" s="988">
        <f t="shared" si="86"/>
        <v>0</v>
      </c>
      <c r="I469" s="988">
        <f t="shared" si="86"/>
        <v>0</v>
      </c>
      <c r="J469" s="988">
        <f t="shared" si="86"/>
        <v>0</v>
      </c>
      <c r="K469" s="988">
        <f t="shared" si="86"/>
        <v>0</v>
      </c>
      <c r="L469" s="988">
        <f t="shared" si="86"/>
        <v>0</v>
      </c>
      <c r="M469" s="988">
        <f t="shared" si="86"/>
        <v>0</v>
      </c>
      <c r="N469" s="988">
        <f t="shared" si="86"/>
        <v>0</v>
      </c>
      <c r="O469" s="988">
        <f t="shared" si="86"/>
        <v>0</v>
      </c>
      <c r="P469" s="988">
        <f t="shared" si="86"/>
        <v>0</v>
      </c>
      <c r="Q469" s="988"/>
      <c r="R469" s="988">
        <f t="shared" si="83"/>
        <v>0</v>
      </c>
      <c r="S469" s="546">
        <f t="shared" si="76"/>
        <v>0</v>
      </c>
      <c r="T469" s="547">
        <f t="shared" si="77"/>
        <v>0</v>
      </c>
      <c r="U469" s="546">
        <f t="shared" si="78"/>
        <v>0</v>
      </c>
      <c r="W469" s="350">
        <f t="shared" si="79"/>
        <v>0</v>
      </c>
      <c r="X469" s="285">
        <f t="shared" si="80"/>
        <v>0</v>
      </c>
      <c r="Y469" s="564"/>
      <c r="Z469" s="65"/>
      <c r="AA469" s="65"/>
      <c r="AB469" s="65"/>
      <c r="AC469" s="65"/>
      <c r="AD469" s="65"/>
      <c r="AE469" s="65"/>
      <c r="AF469" s="65"/>
      <c r="AG469" s="65"/>
      <c r="AH469" s="65"/>
      <c r="AI469" s="65"/>
      <c r="AJ469" s="65"/>
      <c r="AK469" s="65"/>
      <c r="AL469" s="65"/>
      <c r="AM469" s="65"/>
      <c r="AN469" s="65"/>
      <c r="AO469" s="65"/>
      <c r="AP469" s="65"/>
      <c r="AQ469" s="564"/>
      <c r="AR469" s="564"/>
      <c r="AS469" s="564"/>
      <c r="AT469" s="564"/>
      <c r="AU469" s="564"/>
      <c r="AV469" s="564"/>
      <c r="AW469" s="564"/>
      <c r="AX469" s="564"/>
      <c r="AY469" s="564"/>
      <c r="AZ469" s="564"/>
      <c r="BA469" s="564"/>
      <c r="BB469" s="564"/>
      <c r="BC469" s="564"/>
    </row>
    <row r="470" spans="1:55" ht="12" thickBot="1">
      <c r="A470" s="596" t="s">
        <v>1508</v>
      </c>
      <c r="B470" s="541" t="s">
        <v>1149</v>
      </c>
      <c r="C470" s="541" t="s">
        <v>1150</v>
      </c>
      <c r="D470" s="542" t="s">
        <v>72</v>
      </c>
      <c r="E470" s="549">
        <f t="shared" si="81"/>
        <v>0</v>
      </c>
      <c r="F470" s="988">
        <f t="shared" si="86"/>
        <v>0</v>
      </c>
      <c r="G470" s="988">
        <f t="shared" si="86"/>
        <v>0</v>
      </c>
      <c r="H470" s="988">
        <f t="shared" si="86"/>
        <v>0</v>
      </c>
      <c r="I470" s="988">
        <f t="shared" si="86"/>
        <v>0</v>
      </c>
      <c r="J470" s="988">
        <f t="shared" si="86"/>
        <v>0</v>
      </c>
      <c r="K470" s="988">
        <f t="shared" si="86"/>
        <v>0</v>
      </c>
      <c r="L470" s="988">
        <f t="shared" si="86"/>
        <v>0</v>
      </c>
      <c r="M470" s="988">
        <f t="shared" si="86"/>
        <v>0</v>
      </c>
      <c r="N470" s="988">
        <f t="shared" si="86"/>
        <v>0</v>
      </c>
      <c r="O470" s="988">
        <f t="shared" si="86"/>
        <v>0</v>
      </c>
      <c r="P470" s="988">
        <f t="shared" si="86"/>
        <v>0</v>
      </c>
      <c r="Q470" s="988"/>
      <c r="R470" s="988">
        <f t="shared" si="83"/>
        <v>0</v>
      </c>
      <c r="S470" s="546">
        <f t="shared" si="76"/>
        <v>0</v>
      </c>
      <c r="T470" s="547">
        <f t="shared" si="77"/>
        <v>0</v>
      </c>
      <c r="U470" s="546">
        <f t="shared" si="78"/>
        <v>0</v>
      </c>
      <c r="W470" s="350">
        <f t="shared" si="79"/>
        <v>0</v>
      </c>
      <c r="X470" s="285">
        <f t="shared" si="80"/>
        <v>0</v>
      </c>
      <c r="Y470" s="564"/>
      <c r="Z470" s="65"/>
      <c r="AA470" s="65"/>
      <c r="AB470" s="65"/>
      <c r="AC470" s="65"/>
      <c r="AD470" s="65"/>
      <c r="AE470" s="65"/>
      <c r="AF470" s="65"/>
      <c r="AG470" s="65"/>
      <c r="AH470" s="65"/>
      <c r="AI470" s="65"/>
      <c r="AJ470" s="65"/>
      <c r="AK470" s="65"/>
      <c r="AL470" s="65"/>
      <c r="AM470" s="65"/>
      <c r="AN470" s="65"/>
      <c r="AO470" s="65"/>
      <c r="AP470" s="65"/>
      <c r="AQ470" s="564"/>
      <c r="AR470" s="564"/>
      <c r="AS470" s="564"/>
      <c r="AT470" s="564"/>
      <c r="AU470" s="564"/>
      <c r="AV470" s="564"/>
      <c r="AW470" s="564"/>
      <c r="AX470" s="564"/>
      <c r="AY470" s="564"/>
      <c r="AZ470" s="564"/>
      <c r="BA470" s="564"/>
      <c r="BB470" s="564"/>
      <c r="BC470" s="564"/>
    </row>
    <row r="471" spans="1:55" ht="12" thickBot="1">
      <c r="A471" s="596" t="s">
        <v>1508</v>
      </c>
      <c r="B471" s="541" t="s">
        <v>1051</v>
      </c>
      <c r="C471" s="541" t="s">
        <v>1052</v>
      </c>
      <c r="D471" s="542" t="s">
        <v>719</v>
      </c>
      <c r="E471" s="549">
        <f t="shared" si="81"/>
        <v>0</v>
      </c>
      <c r="F471" s="988">
        <f t="shared" si="86"/>
        <v>0</v>
      </c>
      <c r="G471" s="988">
        <f t="shared" si="86"/>
        <v>0</v>
      </c>
      <c r="H471" s="988">
        <f t="shared" si="86"/>
        <v>0</v>
      </c>
      <c r="I471" s="988">
        <f t="shared" si="86"/>
        <v>0</v>
      </c>
      <c r="J471" s="988">
        <f t="shared" si="86"/>
        <v>0</v>
      </c>
      <c r="K471" s="988">
        <f t="shared" si="86"/>
        <v>0</v>
      </c>
      <c r="L471" s="988">
        <f t="shared" si="86"/>
        <v>0</v>
      </c>
      <c r="M471" s="988">
        <f t="shared" si="86"/>
        <v>0</v>
      </c>
      <c r="N471" s="988">
        <f t="shared" si="86"/>
        <v>0</v>
      </c>
      <c r="O471" s="988">
        <f t="shared" si="86"/>
        <v>0</v>
      </c>
      <c r="P471" s="988">
        <f t="shared" si="86"/>
        <v>0</v>
      </c>
      <c r="Q471" s="988"/>
      <c r="R471" s="988">
        <f t="shared" si="83"/>
        <v>0</v>
      </c>
      <c r="S471" s="546">
        <f t="shared" si="76"/>
        <v>0</v>
      </c>
      <c r="T471" s="547">
        <f t="shared" si="77"/>
        <v>0</v>
      </c>
      <c r="U471" s="546">
        <f t="shared" si="78"/>
        <v>0</v>
      </c>
      <c r="W471" s="350">
        <f t="shared" si="79"/>
        <v>0</v>
      </c>
      <c r="X471" s="285">
        <f t="shared" si="80"/>
        <v>0</v>
      </c>
      <c r="Y471" s="564"/>
      <c r="Z471" s="65"/>
      <c r="AA471" s="65"/>
      <c r="AB471" s="65"/>
      <c r="AC471" s="65"/>
      <c r="AD471" s="65"/>
      <c r="AE471" s="65"/>
      <c r="AF471" s="65"/>
      <c r="AG471" s="65"/>
      <c r="AH471" s="65"/>
      <c r="AI471" s="65"/>
      <c r="AJ471" s="65"/>
      <c r="AK471" s="65"/>
      <c r="AL471" s="65"/>
      <c r="AM471" s="65"/>
      <c r="AN471" s="65"/>
      <c r="AO471" s="65"/>
      <c r="AP471" s="65"/>
      <c r="AQ471" s="564"/>
      <c r="AR471" s="564"/>
      <c r="AS471" s="564"/>
      <c r="AT471" s="564"/>
      <c r="AU471" s="564"/>
      <c r="AV471" s="564"/>
      <c r="AW471" s="564"/>
      <c r="AX471" s="564"/>
      <c r="AY471" s="564"/>
      <c r="AZ471" s="564"/>
      <c r="BA471" s="564"/>
      <c r="BB471" s="564"/>
      <c r="BC471" s="564"/>
    </row>
    <row r="472" spans="1:55" ht="12" thickBot="1">
      <c r="A472" s="596" t="s">
        <v>1508</v>
      </c>
      <c r="B472" s="541" t="s">
        <v>1053</v>
      </c>
      <c r="C472" s="541" t="s">
        <v>1054</v>
      </c>
      <c r="D472" s="542" t="s">
        <v>719</v>
      </c>
      <c r="E472" s="549">
        <f t="shared" si="81"/>
        <v>0</v>
      </c>
      <c r="F472" s="988">
        <f t="shared" si="86"/>
        <v>0</v>
      </c>
      <c r="G472" s="988">
        <f t="shared" si="86"/>
        <v>0</v>
      </c>
      <c r="H472" s="988">
        <f t="shared" si="86"/>
        <v>0</v>
      </c>
      <c r="I472" s="988">
        <f t="shared" si="86"/>
        <v>0</v>
      </c>
      <c r="J472" s="988">
        <f t="shared" si="86"/>
        <v>0</v>
      </c>
      <c r="K472" s="988">
        <f t="shared" si="86"/>
        <v>0</v>
      </c>
      <c r="L472" s="988">
        <f t="shared" si="86"/>
        <v>0</v>
      </c>
      <c r="M472" s="988">
        <f t="shared" si="86"/>
        <v>0</v>
      </c>
      <c r="N472" s="988">
        <f t="shared" si="86"/>
        <v>0</v>
      </c>
      <c r="O472" s="988">
        <f t="shared" si="86"/>
        <v>0</v>
      </c>
      <c r="P472" s="988">
        <f t="shared" si="86"/>
        <v>0</v>
      </c>
      <c r="Q472" s="988"/>
      <c r="R472" s="988">
        <f t="shared" si="83"/>
        <v>0</v>
      </c>
      <c r="S472" s="546">
        <f t="shared" si="76"/>
        <v>0</v>
      </c>
      <c r="T472" s="547">
        <f t="shared" si="77"/>
        <v>0</v>
      </c>
      <c r="U472" s="546">
        <f t="shared" si="78"/>
        <v>0</v>
      </c>
      <c r="W472" s="350">
        <f t="shared" si="79"/>
        <v>0</v>
      </c>
      <c r="X472" s="285">
        <f t="shared" si="80"/>
        <v>0</v>
      </c>
      <c r="Y472" s="564"/>
      <c r="Z472" s="65"/>
      <c r="AA472" s="65"/>
      <c r="AB472" s="65"/>
      <c r="AC472" s="65"/>
      <c r="AD472" s="65"/>
      <c r="AE472" s="65"/>
      <c r="AF472" s="65"/>
      <c r="AG472" s="65"/>
      <c r="AH472" s="65"/>
      <c r="AI472" s="65"/>
      <c r="AJ472" s="65"/>
      <c r="AK472" s="65"/>
      <c r="AL472" s="65"/>
      <c r="AM472" s="65"/>
      <c r="AN472" s="65"/>
      <c r="AO472" s="65"/>
      <c r="AP472" s="65"/>
      <c r="AQ472" s="564"/>
      <c r="AR472" s="564"/>
      <c r="AS472" s="564"/>
      <c r="AT472" s="564"/>
      <c r="AU472" s="564"/>
      <c r="AV472" s="564"/>
      <c r="AW472" s="564"/>
      <c r="AX472" s="564"/>
      <c r="AY472" s="564"/>
      <c r="AZ472" s="564"/>
      <c r="BA472" s="564"/>
      <c r="BB472" s="564"/>
      <c r="BC472" s="564"/>
    </row>
    <row r="473" spans="1:55" ht="12" thickBot="1">
      <c r="A473" s="596" t="s">
        <v>1508</v>
      </c>
      <c r="B473" s="541" t="s">
        <v>173</v>
      </c>
      <c r="C473" s="541" t="s">
        <v>192</v>
      </c>
      <c r="D473" s="542" t="s">
        <v>642</v>
      </c>
      <c r="E473" s="549">
        <f t="shared" si="81"/>
        <v>47968041</v>
      </c>
      <c r="F473" s="988">
        <f t="shared" si="86"/>
        <v>750</v>
      </c>
      <c r="G473" s="988">
        <f t="shared" si="86"/>
        <v>177002</v>
      </c>
      <c r="H473" s="988">
        <f t="shared" si="86"/>
        <v>1387236</v>
      </c>
      <c r="I473" s="988">
        <f t="shared" si="86"/>
        <v>0</v>
      </c>
      <c r="J473" s="988">
        <f t="shared" si="86"/>
        <v>51887</v>
      </c>
      <c r="K473" s="988">
        <f t="shared" si="86"/>
        <v>668312</v>
      </c>
      <c r="L473" s="988">
        <f t="shared" si="86"/>
        <v>0</v>
      </c>
      <c r="M473" s="988">
        <f t="shared" si="86"/>
        <v>185897</v>
      </c>
      <c r="N473" s="988">
        <f t="shared" si="86"/>
        <v>0</v>
      </c>
      <c r="O473" s="988">
        <f t="shared" si="86"/>
        <v>359930</v>
      </c>
      <c r="P473" s="988">
        <f t="shared" si="86"/>
        <v>0</v>
      </c>
      <c r="Q473" s="988"/>
      <c r="R473" s="988">
        <f t="shared" si="83"/>
        <v>2831013</v>
      </c>
      <c r="S473" s="546">
        <f t="shared" si="76"/>
        <v>1564238</v>
      </c>
      <c r="T473" s="547">
        <f t="shared" si="77"/>
        <v>720199</v>
      </c>
      <c r="U473" s="546">
        <f t="shared" si="78"/>
        <v>359930</v>
      </c>
      <c r="W473" s="350">
        <f t="shared" si="79"/>
        <v>2831014</v>
      </c>
      <c r="X473" s="285">
        <f t="shared" si="80"/>
        <v>1</v>
      </c>
      <c r="Y473" s="564"/>
      <c r="Z473" s="65"/>
      <c r="AA473" s="65"/>
      <c r="AB473" s="65"/>
      <c r="AC473" s="65"/>
      <c r="AD473" s="65"/>
      <c r="AE473" s="65"/>
      <c r="AF473" s="65"/>
      <c r="AG473" s="65"/>
      <c r="AH473" s="65"/>
      <c r="AI473" s="65"/>
      <c r="AJ473" s="65"/>
      <c r="AK473" s="65"/>
      <c r="AL473" s="65"/>
      <c r="AM473" s="65"/>
      <c r="AN473" s="65"/>
      <c r="AO473" s="65"/>
      <c r="AP473" s="65"/>
      <c r="AQ473" s="564"/>
      <c r="AR473" s="564"/>
      <c r="AS473" s="564"/>
      <c r="AT473" s="564"/>
      <c r="AU473" s="564"/>
      <c r="AV473" s="564"/>
      <c r="AW473" s="564"/>
      <c r="AX473" s="564"/>
      <c r="AY473" s="564"/>
      <c r="AZ473" s="564"/>
      <c r="BA473" s="564"/>
      <c r="BB473" s="564"/>
      <c r="BC473" s="564"/>
    </row>
    <row r="474" spans="1:55" ht="12" thickBot="1">
      <c r="A474" s="596" t="s">
        <v>1508</v>
      </c>
      <c r="B474" s="541" t="s">
        <v>193</v>
      </c>
      <c r="C474" s="541" t="s">
        <v>194</v>
      </c>
      <c r="D474" s="542" t="s">
        <v>443</v>
      </c>
      <c r="E474" s="549">
        <f t="shared" si="81"/>
        <v>0</v>
      </c>
      <c r="F474" s="988">
        <f t="shared" si="86"/>
        <v>0</v>
      </c>
      <c r="G474" s="988">
        <f t="shared" si="86"/>
        <v>0</v>
      </c>
      <c r="H474" s="988">
        <f t="shared" si="86"/>
        <v>0</v>
      </c>
      <c r="I474" s="988">
        <f t="shared" si="86"/>
        <v>0</v>
      </c>
      <c r="J474" s="988">
        <f t="shared" si="86"/>
        <v>0</v>
      </c>
      <c r="K474" s="988">
        <f t="shared" si="86"/>
        <v>0</v>
      </c>
      <c r="L474" s="988">
        <f t="shared" si="86"/>
        <v>0</v>
      </c>
      <c r="M474" s="988">
        <f t="shared" si="86"/>
        <v>0</v>
      </c>
      <c r="N474" s="988">
        <f t="shared" si="86"/>
        <v>0</v>
      </c>
      <c r="O474" s="988">
        <f t="shared" si="86"/>
        <v>0</v>
      </c>
      <c r="P474" s="988">
        <f t="shared" si="86"/>
        <v>0</v>
      </c>
      <c r="Q474" s="988"/>
      <c r="R474" s="988">
        <f t="shared" si="83"/>
        <v>0</v>
      </c>
      <c r="S474" s="546">
        <f t="shared" si="76"/>
        <v>0</v>
      </c>
      <c r="T474" s="547">
        <f t="shared" si="77"/>
        <v>0</v>
      </c>
      <c r="U474" s="546">
        <f t="shared" si="78"/>
        <v>0</v>
      </c>
      <c r="W474" s="350">
        <f t="shared" si="79"/>
        <v>0</v>
      </c>
      <c r="X474" s="285">
        <f t="shared" si="80"/>
        <v>0</v>
      </c>
      <c r="Y474" s="564"/>
      <c r="Z474" s="65"/>
      <c r="AA474" s="65"/>
      <c r="AB474" s="65"/>
      <c r="AC474" s="65"/>
      <c r="AD474" s="65"/>
      <c r="AE474" s="65"/>
      <c r="AF474" s="65"/>
      <c r="AG474" s="65"/>
      <c r="AH474" s="65"/>
      <c r="AI474" s="65"/>
      <c r="AJ474" s="65"/>
      <c r="AK474" s="65"/>
      <c r="AL474" s="65"/>
      <c r="AM474" s="65"/>
      <c r="AN474" s="65"/>
      <c r="AO474" s="65"/>
      <c r="AP474" s="65"/>
      <c r="AQ474" s="564"/>
      <c r="AR474" s="564"/>
      <c r="AS474" s="564"/>
      <c r="AT474" s="564"/>
      <c r="AU474" s="564"/>
      <c r="AV474" s="564"/>
      <c r="AW474" s="564"/>
      <c r="AX474" s="564"/>
      <c r="AY474" s="564"/>
      <c r="AZ474" s="564"/>
      <c r="BA474" s="564"/>
      <c r="BB474" s="564"/>
      <c r="BC474" s="564"/>
    </row>
    <row r="475" spans="1:55" ht="12" thickBot="1">
      <c r="A475" s="596" t="s">
        <v>1508</v>
      </c>
      <c r="B475" s="541" t="s">
        <v>195</v>
      </c>
      <c r="C475" s="541" t="s">
        <v>196</v>
      </c>
      <c r="D475" s="542" t="s">
        <v>443</v>
      </c>
      <c r="E475" s="549">
        <f t="shared" si="81"/>
        <v>0</v>
      </c>
      <c r="F475" s="988">
        <f t="shared" si="86"/>
        <v>0</v>
      </c>
      <c r="G475" s="988">
        <f t="shared" si="86"/>
        <v>0</v>
      </c>
      <c r="H475" s="988">
        <f t="shared" si="86"/>
        <v>0</v>
      </c>
      <c r="I475" s="988">
        <f t="shared" si="86"/>
        <v>0</v>
      </c>
      <c r="J475" s="988">
        <f t="shared" si="86"/>
        <v>0</v>
      </c>
      <c r="K475" s="988">
        <f t="shared" si="86"/>
        <v>0</v>
      </c>
      <c r="L475" s="988">
        <f t="shared" si="86"/>
        <v>0</v>
      </c>
      <c r="M475" s="988">
        <f t="shared" si="86"/>
        <v>0</v>
      </c>
      <c r="N475" s="988">
        <f t="shared" si="86"/>
        <v>0</v>
      </c>
      <c r="O475" s="988">
        <f t="shared" si="86"/>
        <v>0</v>
      </c>
      <c r="P475" s="988">
        <f t="shared" si="86"/>
        <v>0</v>
      </c>
      <c r="Q475" s="988"/>
      <c r="R475" s="988">
        <f t="shared" si="83"/>
        <v>0</v>
      </c>
      <c r="S475" s="546">
        <f t="shared" si="76"/>
        <v>0</v>
      </c>
      <c r="T475" s="547">
        <f t="shared" si="77"/>
        <v>0</v>
      </c>
      <c r="U475" s="546">
        <f t="shared" si="78"/>
        <v>0</v>
      </c>
      <c r="W475" s="350">
        <f t="shared" si="79"/>
        <v>0</v>
      </c>
      <c r="X475" s="285">
        <f t="shared" si="80"/>
        <v>0</v>
      </c>
      <c r="Y475" s="564"/>
      <c r="Z475" s="65"/>
      <c r="AA475" s="65"/>
      <c r="AB475" s="65"/>
      <c r="AC475" s="65"/>
      <c r="AD475" s="65"/>
      <c r="AE475" s="65"/>
      <c r="AF475" s="65"/>
      <c r="AG475" s="65"/>
      <c r="AH475" s="65"/>
      <c r="AI475" s="65"/>
      <c r="AJ475" s="65"/>
      <c r="AK475" s="65"/>
      <c r="AL475" s="65"/>
      <c r="AM475" s="65"/>
      <c r="AN475" s="65"/>
      <c r="AO475" s="65"/>
      <c r="AP475" s="65"/>
      <c r="AQ475" s="564"/>
      <c r="AR475" s="564"/>
      <c r="AS475" s="564"/>
      <c r="AT475" s="564"/>
      <c r="AU475" s="564"/>
      <c r="AV475" s="564"/>
      <c r="AW475" s="564"/>
      <c r="AX475" s="564"/>
      <c r="AY475" s="564"/>
      <c r="AZ475" s="564"/>
      <c r="BA475" s="564"/>
      <c r="BB475" s="564"/>
      <c r="BC475" s="564"/>
    </row>
    <row r="476" spans="1:55" ht="12" thickBot="1">
      <c r="A476" s="596" t="s">
        <v>1508</v>
      </c>
      <c r="B476" s="541" t="s">
        <v>197</v>
      </c>
      <c r="C476" s="541" t="s">
        <v>198</v>
      </c>
      <c r="D476" s="542" t="s">
        <v>443</v>
      </c>
      <c r="E476" s="549">
        <f t="shared" si="81"/>
        <v>0</v>
      </c>
      <c r="F476" s="988">
        <f t="shared" si="86"/>
        <v>0</v>
      </c>
      <c r="G476" s="988">
        <f t="shared" si="86"/>
        <v>0</v>
      </c>
      <c r="H476" s="988">
        <f t="shared" si="86"/>
        <v>0</v>
      </c>
      <c r="I476" s="988">
        <f t="shared" si="86"/>
        <v>0</v>
      </c>
      <c r="J476" s="988">
        <f t="shared" si="86"/>
        <v>0</v>
      </c>
      <c r="K476" s="988">
        <f t="shared" si="86"/>
        <v>0</v>
      </c>
      <c r="L476" s="988">
        <f t="shared" si="86"/>
        <v>0</v>
      </c>
      <c r="M476" s="988">
        <f t="shared" si="86"/>
        <v>0</v>
      </c>
      <c r="N476" s="988">
        <f t="shared" si="86"/>
        <v>0</v>
      </c>
      <c r="O476" s="988">
        <f t="shared" si="86"/>
        <v>0</v>
      </c>
      <c r="P476" s="988">
        <f t="shared" si="86"/>
        <v>0</v>
      </c>
      <c r="Q476" s="988"/>
      <c r="R476" s="988">
        <f t="shared" si="83"/>
        <v>0</v>
      </c>
      <c r="S476" s="546">
        <f t="shared" si="76"/>
        <v>0</v>
      </c>
      <c r="T476" s="547">
        <f t="shared" si="77"/>
        <v>0</v>
      </c>
      <c r="U476" s="546">
        <f t="shared" si="78"/>
        <v>0</v>
      </c>
      <c r="W476" s="350">
        <f t="shared" si="79"/>
        <v>0</v>
      </c>
      <c r="X476" s="285">
        <f t="shared" si="80"/>
        <v>0</v>
      </c>
      <c r="Y476" s="564"/>
      <c r="Z476" s="65"/>
      <c r="AA476" s="65"/>
      <c r="AB476" s="65"/>
      <c r="AC476" s="65"/>
      <c r="AD476" s="65"/>
      <c r="AE476" s="65"/>
      <c r="AF476" s="65"/>
      <c r="AG476" s="65"/>
      <c r="AH476" s="65"/>
      <c r="AI476" s="65"/>
      <c r="AJ476" s="65"/>
      <c r="AK476" s="65"/>
      <c r="AL476" s="65"/>
      <c r="AM476" s="65"/>
      <c r="AN476" s="65"/>
      <c r="AO476" s="65"/>
      <c r="AP476" s="65"/>
      <c r="AQ476" s="564"/>
      <c r="AR476" s="564"/>
      <c r="AS476" s="564"/>
      <c r="AT476" s="564"/>
      <c r="AU476" s="564"/>
      <c r="AV476" s="564"/>
      <c r="AW476" s="564"/>
      <c r="AX476" s="564"/>
      <c r="AY476" s="564"/>
      <c r="AZ476" s="564"/>
      <c r="BA476" s="564"/>
      <c r="BB476" s="564"/>
      <c r="BC476" s="564"/>
    </row>
    <row r="477" spans="1:55" ht="12" thickBot="1">
      <c r="A477" s="596" t="s">
        <v>1508</v>
      </c>
      <c r="B477" s="541" t="s">
        <v>1055</v>
      </c>
      <c r="C477" s="541" t="s">
        <v>1049</v>
      </c>
      <c r="D477" s="542" t="s">
        <v>1146</v>
      </c>
      <c r="E477" s="549">
        <f t="shared" si="81"/>
        <v>0</v>
      </c>
      <c r="F477" s="988">
        <f t="shared" si="86"/>
        <v>0</v>
      </c>
      <c r="G477" s="988">
        <f t="shared" si="86"/>
        <v>0</v>
      </c>
      <c r="H477" s="988">
        <f t="shared" si="86"/>
        <v>0</v>
      </c>
      <c r="I477" s="988">
        <f t="shared" si="86"/>
        <v>0</v>
      </c>
      <c r="J477" s="988">
        <f t="shared" si="86"/>
        <v>0</v>
      </c>
      <c r="K477" s="988">
        <f t="shared" si="86"/>
        <v>0</v>
      </c>
      <c r="L477" s="988">
        <f t="shared" si="86"/>
        <v>0</v>
      </c>
      <c r="M477" s="988">
        <f t="shared" si="86"/>
        <v>0</v>
      </c>
      <c r="N477" s="988">
        <f t="shared" si="86"/>
        <v>0</v>
      </c>
      <c r="O477" s="988">
        <f t="shared" si="86"/>
        <v>0</v>
      </c>
      <c r="P477" s="988">
        <f t="shared" si="86"/>
        <v>0</v>
      </c>
      <c r="Q477" s="988"/>
      <c r="R477" s="988">
        <f t="shared" si="83"/>
        <v>0</v>
      </c>
      <c r="S477" s="546">
        <f t="shared" si="76"/>
        <v>0</v>
      </c>
      <c r="T477" s="547">
        <f t="shared" si="77"/>
        <v>0</v>
      </c>
      <c r="U477" s="546">
        <f t="shared" si="78"/>
        <v>0</v>
      </c>
      <c r="W477" s="350">
        <f t="shared" si="79"/>
        <v>0</v>
      </c>
      <c r="X477" s="285">
        <f t="shared" si="80"/>
        <v>0</v>
      </c>
      <c r="Y477" s="564"/>
      <c r="Z477" s="65"/>
      <c r="AA477" s="65"/>
      <c r="AB477" s="65"/>
      <c r="AC477" s="65"/>
      <c r="AD477" s="65"/>
      <c r="AE477" s="65"/>
      <c r="AF477" s="65"/>
      <c r="AG477" s="65"/>
      <c r="AH477" s="65"/>
      <c r="AI477" s="65"/>
      <c r="AJ477" s="65"/>
      <c r="AK477" s="65"/>
      <c r="AL477" s="65"/>
      <c r="AM477" s="65"/>
      <c r="AN477" s="65"/>
      <c r="AO477" s="65"/>
      <c r="AP477" s="65"/>
      <c r="AQ477" s="564"/>
      <c r="AR477" s="564"/>
      <c r="AS477" s="564"/>
      <c r="AT477" s="564"/>
      <c r="AU477" s="564"/>
      <c r="AV477" s="564"/>
      <c r="AW477" s="564"/>
      <c r="AX477" s="564"/>
      <c r="AY477" s="564"/>
      <c r="AZ477" s="564"/>
      <c r="BA477" s="564"/>
      <c r="BB477" s="564"/>
      <c r="BC477" s="564"/>
    </row>
    <row r="478" spans="1:55" ht="12" thickBot="1">
      <c r="A478" s="596" t="s">
        <v>1508</v>
      </c>
      <c r="B478" s="541" t="s">
        <v>174</v>
      </c>
      <c r="C478" s="541" t="s">
        <v>106</v>
      </c>
      <c r="D478" s="542" t="s">
        <v>14</v>
      </c>
      <c r="E478" s="549">
        <f t="shared" si="81"/>
        <v>411416354</v>
      </c>
      <c r="F478" s="988">
        <f t="shared" ref="F478:P484" si="87">ROUND(SUMIFS(F$1721:F$1901,$A$1721:$A$1901,$A478,$B$1721:$B$1901,$B478),0)</f>
        <v>4635248</v>
      </c>
      <c r="G478" s="988">
        <f t="shared" si="87"/>
        <v>18665960</v>
      </c>
      <c r="H478" s="988">
        <f t="shared" si="87"/>
        <v>11898161</v>
      </c>
      <c r="I478" s="988">
        <f t="shared" si="87"/>
        <v>1295962</v>
      </c>
      <c r="J478" s="988">
        <f t="shared" si="87"/>
        <v>0</v>
      </c>
      <c r="K478" s="988">
        <f t="shared" si="87"/>
        <v>0</v>
      </c>
      <c r="L478" s="988">
        <f t="shared" si="87"/>
        <v>539245</v>
      </c>
      <c r="M478" s="988">
        <f t="shared" si="87"/>
        <v>1594417</v>
      </c>
      <c r="N478" s="988">
        <f t="shared" si="87"/>
        <v>3087074</v>
      </c>
      <c r="O478" s="988">
        <f t="shared" si="87"/>
        <v>0</v>
      </c>
      <c r="P478" s="988">
        <f t="shared" si="87"/>
        <v>0</v>
      </c>
      <c r="Q478" s="988"/>
      <c r="R478" s="988">
        <f t="shared" si="83"/>
        <v>41716067</v>
      </c>
      <c r="S478" s="546">
        <f t="shared" si="76"/>
        <v>31860083</v>
      </c>
      <c r="T478" s="547">
        <f t="shared" si="77"/>
        <v>0</v>
      </c>
      <c r="U478" s="546">
        <f t="shared" si="78"/>
        <v>3087074</v>
      </c>
      <c r="W478" s="350">
        <f t="shared" si="79"/>
        <v>41716067</v>
      </c>
      <c r="X478" s="285">
        <f t="shared" si="80"/>
        <v>0</v>
      </c>
      <c r="Y478" s="564"/>
      <c r="Z478" s="65"/>
      <c r="AA478" s="65"/>
      <c r="AB478" s="65"/>
      <c r="AC478" s="65"/>
      <c r="AD478" s="65"/>
      <c r="AE478" s="65"/>
      <c r="AF478" s="65"/>
      <c r="AG478" s="65"/>
      <c r="AH478" s="65"/>
      <c r="AI478" s="65"/>
      <c r="AJ478" s="65"/>
      <c r="AK478" s="65"/>
      <c r="AL478" s="65"/>
      <c r="AM478" s="65"/>
      <c r="AN478" s="65"/>
      <c r="AO478" s="65"/>
      <c r="AP478" s="65"/>
      <c r="AQ478" s="564"/>
      <c r="AR478" s="564"/>
      <c r="AS478" s="564"/>
      <c r="AT478" s="564"/>
      <c r="AU478" s="564"/>
      <c r="AV478" s="564"/>
      <c r="AW478" s="564"/>
      <c r="AX478" s="564"/>
      <c r="AY478" s="564"/>
      <c r="AZ478" s="564"/>
      <c r="BA478" s="564"/>
      <c r="BB478" s="564"/>
      <c r="BC478" s="564"/>
    </row>
    <row r="479" spans="1:55" ht="12" thickBot="1">
      <c r="A479" s="596" t="s">
        <v>1508</v>
      </c>
      <c r="B479" s="541" t="s">
        <v>175</v>
      </c>
      <c r="C479" s="541" t="s">
        <v>199</v>
      </c>
      <c r="D479" s="542" t="s">
        <v>14</v>
      </c>
      <c r="E479" s="549">
        <f t="shared" si="81"/>
        <v>0</v>
      </c>
      <c r="F479" s="988">
        <f t="shared" si="87"/>
        <v>0</v>
      </c>
      <c r="G479" s="988">
        <f t="shared" si="87"/>
        <v>0</v>
      </c>
      <c r="H479" s="988">
        <f t="shared" si="87"/>
        <v>0</v>
      </c>
      <c r="I479" s="988">
        <f t="shared" si="87"/>
        <v>0</v>
      </c>
      <c r="J479" s="988">
        <f t="shared" si="87"/>
        <v>0</v>
      </c>
      <c r="K479" s="988">
        <f t="shared" si="87"/>
        <v>0</v>
      </c>
      <c r="L479" s="988">
        <f t="shared" si="87"/>
        <v>0</v>
      </c>
      <c r="M479" s="988">
        <f t="shared" si="87"/>
        <v>0</v>
      </c>
      <c r="N479" s="988">
        <f t="shared" si="87"/>
        <v>0</v>
      </c>
      <c r="O479" s="988">
        <f t="shared" si="87"/>
        <v>0</v>
      </c>
      <c r="P479" s="988">
        <f t="shared" si="87"/>
        <v>0</v>
      </c>
      <c r="Q479" s="988"/>
      <c r="R479" s="988">
        <f t="shared" si="83"/>
        <v>0</v>
      </c>
      <c r="S479" s="546">
        <f t="shared" si="76"/>
        <v>0</v>
      </c>
      <c r="T479" s="547">
        <f t="shared" si="77"/>
        <v>0</v>
      </c>
      <c r="U479" s="546">
        <f t="shared" si="78"/>
        <v>0</v>
      </c>
      <c r="W479" s="350">
        <f t="shared" si="79"/>
        <v>0</v>
      </c>
      <c r="X479" s="285">
        <f t="shared" si="80"/>
        <v>0</v>
      </c>
      <c r="Y479" s="564"/>
      <c r="Z479" s="65"/>
      <c r="AA479" s="65"/>
      <c r="AB479" s="65"/>
      <c r="AC479" s="65"/>
      <c r="AD479" s="65"/>
      <c r="AE479" s="65"/>
      <c r="AF479" s="65"/>
      <c r="AG479" s="65"/>
      <c r="AH479" s="65"/>
      <c r="AI479" s="65"/>
      <c r="AJ479" s="65"/>
      <c r="AK479" s="65"/>
      <c r="AL479" s="65"/>
      <c r="AM479" s="65"/>
      <c r="AN479" s="65"/>
      <c r="AO479" s="65"/>
      <c r="AP479" s="65"/>
      <c r="AQ479" s="564"/>
      <c r="AR479" s="564"/>
      <c r="AS479" s="564"/>
      <c r="AT479" s="564"/>
      <c r="AU479" s="564"/>
      <c r="AV479" s="564"/>
      <c r="AW479" s="564"/>
      <c r="AX479" s="564"/>
      <c r="AY479" s="564"/>
      <c r="AZ479" s="564"/>
      <c r="BA479" s="564"/>
      <c r="BB479" s="564"/>
      <c r="BC479" s="564"/>
    </row>
    <row r="480" spans="1:55" ht="12" thickBot="1">
      <c r="A480" s="596" t="s">
        <v>1508</v>
      </c>
      <c r="B480" s="541" t="s">
        <v>176</v>
      </c>
      <c r="C480" s="541" t="s">
        <v>200</v>
      </c>
      <c r="D480" s="542" t="s">
        <v>207</v>
      </c>
      <c r="E480" s="549">
        <f t="shared" si="81"/>
        <v>0</v>
      </c>
      <c r="F480" s="988">
        <f t="shared" si="87"/>
        <v>0</v>
      </c>
      <c r="G480" s="988">
        <f t="shared" si="87"/>
        <v>0</v>
      </c>
      <c r="H480" s="988">
        <f t="shared" si="87"/>
        <v>0</v>
      </c>
      <c r="I480" s="988">
        <f t="shared" si="87"/>
        <v>0</v>
      </c>
      <c r="J480" s="988">
        <f t="shared" si="87"/>
        <v>0</v>
      </c>
      <c r="K480" s="988">
        <f t="shared" si="87"/>
        <v>0</v>
      </c>
      <c r="L480" s="988">
        <f t="shared" si="87"/>
        <v>0</v>
      </c>
      <c r="M480" s="988">
        <f t="shared" si="87"/>
        <v>0</v>
      </c>
      <c r="N480" s="988">
        <f t="shared" si="87"/>
        <v>0</v>
      </c>
      <c r="O480" s="988">
        <f t="shared" si="87"/>
        <v>0</v>
      </c>
      <c r="P480" s="988">
        <f t="shared" si="87"/>
        <v>0</v>
      </c>
      <c r="Q480" s="988"/>
      <c r="R480" s="988">
        <f t="shared" si="83"/>
        <v>0</v>
      </c>
      <c r="S480" s="546">
        <f t="shared" si="76"/>
        <v>0</v>
      </c>
      <c r="T480" s="547">
        <f t="shared" si="77"/>
        <v>0</v>
      </c>
      <c r="U480" s="546">
        <f t="shared" si="78"/>
        <v>0</v>
      </c>
      <c r="W480" s="350">
        <f t="shared" si="79"/>
        <v>0</v>
      </c>
      <c r="X480" s="285">
        <f t="shared" si="80"/>
        <v>0</v>
      </c>
      <c r="Y480" s="564"/>
      <c r="Z480" s="65"/>
      <c r="AA480" s="65"/>
      <c r="AB480" s="65"/>
      <c r="AC480" s="65"/>
      <c r="AD480" s="65"/>
      <c r="AE480" s="65"/>
      <c r="AF480" s="65"/>
      <c r="AG480" s="65"/>
      <c r="AH480" s="65"/>
      <c r="AI480" s="65"/>
      <c r="AJ480" s="65"/>
      <c r="AK480" s="65"/>
      <c r="AL480" s="65"/>
      <c r="AM480" s="65"/>
      <c r="AN480" s="65"/>
      <c r="AO480" s="65"/>
      <c r="AP480" s="65"/>
      <c r="AQ480" s="564"/>
      <c r="AR480" s="564"/>
      <c r="AS480" s="564"/>
      <c r="AT480" s="564"/>
      <c r="AU480" s="564"/>
      <c r="AV480" s="564"/>
      <c r="AW480" s="564"/>
      <c r="AX480" s="564"/>
      <c r="AY480" s="564"/>
      <c r="AZ480" s="564"/>
      <c r="BA480" s="564"/>
      <c r="BB480" s="564"/>
      <c r="BC480" s="564"/>
    </row>
    <row r="481" spans="1:55" ht="12" thickBot="1">
      <c r="A481" s="596" t="s">
        <v>1508</v>
      </c>
      <c r="B481" s="541" t="s">
        <v>458</v>
      </c>
      <c r="C481" s="541" t="s">
        <v>1367</v>
      </c>
      <c r="D481" s="542" t="s">
        <v>206</v>
      </c>
      <c r="E481" s="549">
        <f t="shared" si="81"/>
        <v>0</v>
      </c>
      <c r="F481" s="988">
        <f t="shared" si="87"/>
        <v>0</v>
      </c>
      <c r="G481" s="988">
        <f t="shared" si="87"/>
        <v>0</v>
      </c>
      <c r="H481" s="988">
        <f t="shared" si="87"/>
        <v>0</v>
      </c>
      <c r="I481" s="988">
        <f t="shared" si="87"/>
        <v>0</v>
      </c>
      <c r="J481" s="988">
        <f t="shared" si="87"/>
        <v>0</v>
      </c>
      <c r="K481" s="988">
        <f t="shared" si="87"/>
        <v>0</v>
      </c>
      <c r="L481" s="988">
        <f t="shared" si="87"/>
        <v>0</v>
      </c>
      <c r="M481" s="988">
        <f t="shared" si="87"/>
        <v>0</v>
      </c>
      <c r="N481" s="988">
        <f t="shared" si="87"/>
        <v>0</v>
      </c>
      <c r="O481" s="988">
        <f t="shared" si="87"/>
        <v>0</v>
      </c>
      <c r="P481" s="988">
        <f t="shared" si="87"/>
        <v>0</v>
      </c>
      <c r="Q481" s="988"/>
      <c r="R481" s="988">
        <f t="shared" si="83"/>
        <v>0</v>
      </c>
      <c r="S481" s="546">
        <f t="shared" si="76"/>
        <v>0</v>
      </c>
      <c r="T481" s="547">
        <f t="shared" si="77"/>
        <v>0</v>
      </c>
      <c r="U481" s="546">
        <f t="shared" si="78"/>
        <v>0</v>
      </c>
      <c r="W481" s="350">
        <f t="shared" si="79"/>
        <v>0</v>
      </c>
      <c r="X481" s="285">
        <f t="shared" si="80"/>
        <v>0</v>
      </c>
      <c r="Y481" s="564"/>
      <c r="Z481" s="65"/>
      <c r="AA481" s="65"/>
      <c r="AB481" s="65"/>
      <c r="AC481" s="65"/>
      <c r="AD481" s="65"/>
      <c r="AE481" s="65"/>
      <c r="AF481" s="65"/>
      <c r="AG481" s="65"/>
      <c r="AH481" s="65"/>
      <c r="AI481" s="65"/>
      <c r="AJ481" s="65"/>
      <c r="AK481" s="65"/>
      <c r="AL481" s="65"/>
      <c r="AM481" s="65"/>
      <c r="AN481" s="65"/>
      <c r="AO481" s="65"/>
      <c r="AP481" s="65"/>
      <c r="AQ481" s="564"/>
      <c r="AR481" s="564"/>
      <c r="AS481" s="564"/>
      <c r="AT481" s="564"/>
      <c r="AU481" s="564"/>
      <c r="AV481" s="564"/>
      <c r="AW481" s="564"/>
      <c r="AX481" s="564"/>
      <c r="AY481" s="564"/>
      <c r="AZ481" s="564"/>
      <c r="BA481" s="564"/>
      <c r="BB481" s="564"/>
      <c r="BC481" s="564"/>
    </row>
    <row r="482" spans="1:55" ht="12" thickBot="1">
      <c r="A482" s="596" t="s">
        <v>1508</v>
      </c>
      <c r="B482" s="541" t="s">
        <v>177</v>
      </c>
      <c r="C482" s="541" t="s">
        <v>201</v>
      </c>
      <c r="D482" s="542" t="s">
        <v>16</v>
      </c>
      <c r="E482" s="549">
        <f t="shared" si="81"/>
        <v>0</v>
      </c>
      <c r="F482" s="988">
        <f t="shared" si="87"/>
        <v>0</v>
      </c>
      <c r="G482" s="988">
        <f t="shared" si="87"/>
        <v>0</v>
      </c>
      <c r="H482" s="988">
        <f t="shared" si="87"/>
        <v>0</v>
      </c>
      <c r="I482" s="988">
        <f t="shared" si="87"/>
        <v>0</v>
      </c>
      <c r="J482" s="988">
        <f t="shared" si="87"/>
        <v>0</v>
      </c>
      <c r="K482" s="988">
        <f t="shared" si="87"/>
        <v>0</v>
      </c>
      <c r="L482" s="988">
        <f t="shared" si="87"/>
        <v>0</v>
      </c>
      <c r="M482" s="988">
        <f t="shared" si="87"/>
        <v>0</v>
      </c>
      <c r="N482" s="988">
        <f t="shared" si="87"/>
        <v>0</v>
      </c>
      <c r="O482" s="988">
        <f t="shared" si="87"/>
        <v>0</v>
      </c>
      <c r="P482" s="988">
        <f t="shared" si="87"/>
        <v>0</v>
      </c>
      <c r="Q482" s="988"/>
      <c r="R482" s="988">
        <f t="shared" si="83"/>
        <v>0</v>
      </c>
      <c r="S482" s="546">
        <f t="shared" si="76"/>
        <v>0</v>
      </c>
      <c r="T482" s="547">
        <f t="shared" si="77"/>
        <v>0</v>
      </c>
      <c r="U482" s="546">
        <f t="shared" si="78"/>
        <v>0</v>
      </c>
      <c r="W482" s="350">
        <f t="shared" si="79"/>
        <v>0</v>
      </c>
      <c r="X482" s="285">
        <f t="shared" si="80"/>
        <v>0</v>
      </c>
      <c r="Y482" s="564"/>
      <c r="Z482" s="65"/>
      <c r="AA482" s="65"/>
      <c r="AB482" s="65"/>
      <c r="AC482" s="65"/>
      <c r="AD482" s="65"/>
      <c r="AE482" s="65"/>
      <c r="AF482" s="65"/>
      <c r="AG482" s="65"/>
      <c r="AH482" s="65"/>
      <c r="AI482" s="65"/>
      <c r="AJ482" s="65"/>
      <c r="AK482" s="65"/>
      <c r="AL482" s="65"/>
      <c r="AM482" s="65"/>
      <c r="AN482" s="65"/>
      <c r="AO482" s="65"/>
      <c r="AP482" s="65"/>
      <c r="AQ482" s="564"/>
      <c r="AR482" s="564"/>
      <c r="AS482" s="564"/>
      <c r="AT482" s="564"/>
      <c r="AU482" s="564"/>
      <c r="AV482" s="564"/>
      <c r="AW482" s="564"/>
      <c r="AX482" s="564"/>
      <c r="AY482" s="564"/>
      <c r="AZ482" s="564"/>
      <c r="BA482" s="564"/>
      <c r="BB482" s="564"/>
      <c r="BC482" s="564"/>
    </row>
    <row r="483" spans="1:55" ht="12" thickBot="1">
      <c r="A483" s="596" t="s">
        <v>1508</v>
      </c>
      <c r="B483" s="541" t="s">
        <v>178</v>
      </c>
      <c r="C483" s="541" t="s">
        <v>202</v>
      </c>
      <c r="D483" s="542" t="s">
        <v>14</v>
      </c>
      <c r="E483" s="549">
        <f t="shared" si="81"/>
        <v>0</v>
      </c>
      <c r="F483" s="988">
        <f t="shared" si="87"/>
        <v>0</v>
      </c>
      <c r="G483" s="988">
        <f t="shared" si="87"/>
        <v>0</v>
      </c>
      <c r="H483" s="988">
        <f t="shared" si="87"/>
        <v>0</v>
      </c>
      <c r="I483" s="988">
        <f t="shared" si="87"/>
        <v>0</v>
      </c>
      <c r="J483" s="988">
        <f t="shared" si="87"/>
        <v>0</v>
      </c>
      <c r="K483" s="988">
        <f t="shared" si="87"/>
        <v>0</v>
      </c>
      <c r="L483" s="988">
        <f t="shared" si="87"/>
        <v>0</v>
      </c>
      <c r="M483" s="988">
        <f t="shared" si="87"/>
        <v>0</v>
      </c>
      <c r="N483" s="988">
        <f t="shared" si="87"/>
        <v>0</v>
      </c>
      <c r="O483" s="988">
        <f t="shared" si="87"/>
        <v>0</v>
      </c>
      <c r="P483" s="988">
        <f t="shared" si="87"/>
        <v>0</v>
      </c>
      <c r="Q483" s="988"/>
      <c r="R483" s="988">
        <f t="shared" si="83"/>
        <v>0</v>
      </c>
      <c r="S483" s="546">
        <f t="shared" si="76"/>
        <v>0</v>
      </c>
      <c r="T483" s="547">
        <f t="shared" si="77"/>
        <v>0</v>
      </c>
      <c r="U483" s="546">
        <f t="shared" si="78"/>
        <v>0</v>
      </c>
      <c r="W483" s="350">
        <f t="shared" si="79"/>
        <v>0</v>
      </c>
      <c r="X483" s="285">
        <f t="shared" si="80"/>
        <v>0</v>
      </c>
      <c r="Y483" s="564"/>
      <c r="Z483" s="65"/>
      <c r="AA483" s="65"/>
      <c r="AB483" s="65"/>
      <c r="AC483" s="65"/>
      <c r="AD483" s="65"/>
      <c r="AE483" s="65"/>
      <c r="AF483" s="65"/>
      <c r="AG483" s="65"/>
      <c r="AH483" s="65"/>
      <c r="AI483" s="65"/>
      <c r="AJ483" s="65"/>
      <c r="AK483" s="65"/>
      <c r="AL483" s="65"/>
      <c r="AM483" s="65"/>
      <c r="AN483" s="65"/>
      <c r="AO483" s="65"/>
      <c r="AP483" s="65"/>
      <c r="AQ483" s="564"/>
      <c r="AR483" s="564"/>
      <c r="AS483" s="564"/>
      <c r="AT483" s="564"/>
      <c r="AU483" s="564"/>
      <c r="AV483" s="564"/>
      <c r="AW483" s="564"/>
      <c r="AX483" s="564"/>
      <c r="AY483" s="564"/>
      <c r="AZ483" s="564"/>
      <c r="BA483" s="564"/>
      <c r="BB483" s="564"/>
      <c r="BC483" s="564"/>
    </row>
    <row r="484" spans="1:55" ht="12" thickBot="1">
      <c r="A484" s="596" t="s">
        <v>1508</v>
      </c>
      <c r="B484" s="541" t="s">
        <v>73</v>
      </c>
      <c r="C484" s="541" t="s">
        <v>1511</v>
      </c>
      <c r="D484" s="542"/>
      <c r="E484" s="549">
        <f t="shared" si="81"/>
        <v>8978325</v>
      </c>
      <c r="F484" s="988">
        <f t="shared" si="87"/>
        <v>0</v>
      </c>
      <c r="G484" s="988">
        <f t="shared" si="87"/>
        <v>1871965</v>
      </c>
      <c r="H484" s="988">
        <f t="shared" si="87"/>
        <v>259653</v>
      </c>
      <c r="I484" s="988">
        <f t="shared" si="87"/>
        <v>0</v>
      </c>
      <c r="J484" s="988">
        <f t="shared" si="87"/>
        <v>0</v>
      </c>
      <c r="K484" s="988">
        <f t="shared" si="87"/>
        <v>0</v>
      </c>
      <c r="L484" s="988">
        <f t="shared" si="87"/>
        <v>0</v>
      </c>
      <c r="M484" s="988">
        <f t="shared" si="87"/>
        <v>34795</v>
      </c>
      <c r="N484" s="988">
        <f t="shared" si="87"/>
        <v>67369</v>
      </c>
      <c r="O484" s="988">
        <f t="shared" si="87"/>
        <v>0</v>
      </c>
      <c r="P484" s="988">
        <f t="shared" si="87"/>
        <v>0</v>
      </c>
      <c r="Q484" s="988"/>
      <c r="R484" s="988">
        <f t="shared" si="83"/>
        <v>2233783</v>
      </c>
      <c r="S484" s="546">
        <f t="shared" si="76"/>
        <v>2131618</v>
      </c>
      <c r="T484" s="547">
        <f t="shared" si="77"/>
        <v>0</v>
      </c>
      <c r="U484" s="546">
        <f t="shared" si="78"/>
        <v>67369</v>
      </c>
      <c r="W484" s="350">
        <f t="shared" si="79"/>
        <v>2233782</v>
      </c>
      <c r="X484" s="285">
        <f t="shared" si="80"/>
        <v>-1</v>
      </c>
      <c r="Y484" s="564"/>
      <c r="Z484" s="65"/>
      <c r="AA484" s="65"/>
      <c r="AB484" s="65"/>
      <c r="AC484" s="65"/>
      <c r="AD484" s="65"/>
      <c r="AE484" s="65"/>
      <c r="AF484" s="65"/>
      <c r="AG484" s="65"/>
      <c r="AH484" s="65"/>
      <c r="AI484" s="65"/>
      <c r="AJ484" s="65"/>
      <c r="AK484" s="65"/>
      <c r="AL484" s="65"/>
      <c r="AM484" s="65"/>
      <c r="AN484" s="65"/>
      <c r="AO484" s="65"/>
      <c r="AP484" s="65"/>
      <c r="AQ484" s="564"/>
      <c r="AR484" s="564"/>
      <c r="AS484" s="564"/>
      <c r="AT484" s="564"/>
      <c r="AU484" s="564"/>
      <c r="AV484" s="564"/>
      <c r="AW484" s="564"/>
      <c r="AX484" s="564"/>
      <c r="AY484" s="564"/>
      <c r="AZ484" s="564"/>
      <c r="BA484" s="564"/>
      <c r="BB484" s="564"/>
      <c r="BC484" s="564"/>
    </row>
    <row r="485" spans="1:55" ht="12" thickBot="1">
      <c r="A485" s="596" t="s">
        <v>1508</v>
      </c>
      <c r="B485" s="541" t="s">
        <v>323</v>
      </c>
      <c r="C485" s="541" t="s">
        <v>1056</v>
      </c>
      <c r="D485" s="552" t="s">
        <v>1139</v>
      </c>
      <c r="E485" s="543"/>
      <c r="F485" s="545"/>
      <c r="G485" s="544"/>
      <c r="H485" s="545"/>
      <c r="I485" s="545"/>
      <c r="J485" s="545"/>
      <c r="K485" s="545"/>
      <c r="L485" s="545"/>
      <c r="M485" s="544"/>
      <c r="N485" s="544"/>
      <c r="O485" s="545"/>
      <c r="P485" s="545"/>
      <c r="Q485" s="544"/>
      <c r="R485" s="544"/>
      <c r="S485" s="546">
        <f t="shared" si="76"/>
        <v>0</v>
      </c>
      <c r="T485" s="547">
        <f t="shared" si="77"/>
        <v>0</v>
      </c>
      <c r="U485" s="546">
        <f t="shared" si="78"/>
        <v>0</v>
      </c>
      <c r="W485" s="350">
        <f t="shared" si="79"/>
        <v>0</v>
      </c>
      <c r="X485" s="285">
        <f t="shared" si="80"/>
        <v>0</v>
      </c>
      <c r="Y485" s="564"/>
      <c r="Z485" s="65"/>
      <c r="AA485" s="65"/>
      <c r="AB485" s="65"/>
      <c r="AC485" s="65"/>
      <c r="AD485" s="65"/>
      <c r="AE485" s="65"/>
      <c r="AF485" s="65"/>
      <c r="AG485" s="65"/>
      <c r="AH485" s="65"/>
      <c r="AI485" s="65"/>
      <c r="AJ485" s="65"/>
      <c r="AK485" s="65"/>
      <c r="AL485" s="65"/>
      <c r="AM485" s="65"/>
      <c r="AN485" s="65"/>
      <c r="AO485" s="65"/>
      <c r="AP485" s="65"/>
      <c r="AQ485" s="564"/>
      <c r="AR485" s="564"/>
      <c r="AS485" s="564"/>
      <c r="AT485" s="564"/>
      <c r="AU485" s="564"/>
      <c r="AV485" s="564"/>
      <c r="AW485" s="564"/>
      <c r="AX485" s="564"/>
      <c r="AY485" s="564"/>
      <c r="AZ485" s="564"/>
      <c r="BA485" s="564"/>
      <c r="BB485" s="564"/>
      <c r="BC485" s="564"/>
    </row>
    <row r="486" spans="1:55" ht="12" thickBot="1">
      <c r="A486" s="596" t="s">
        <v>1508</v>
      </c>
      <c r="B486" s="541" t="s">
        <v>328</v>
      </c>
      <c r="C486" s="541" t="s">
        <v>1057</v>
      </c>
      <c r="D486" s="552" t="s">
        <v>1139</v>
      </c>
      <c r="E486" s="549"/>
      <c r="F486" s="551"/>
      <c r="G486" s="550"/>
      <c r="H486" s="551"/>
      <c r="I486" s="551"/>
      <c r="J486" s="551"/>
      <c r="K486" s="551"/>
      <c r="L486" s="551"/>
      <c r="M486" s="550"/>
      <c r="N486" s="550"/>
      <c r="O486" s="551"/>
      <c r="P486" s="551"/>
      <c r="Q486" s="550"/>
      <c r="R486" s="550"/>
      <c r="S486" s="546">
        <f t="shared" si="76"/>
        <v>0</v>
      </c>
      <c r="T486" s="547">
        <f t="shared" si="77"/>
        <v>0</v>
      </c>
      <c r="U486" s="546">
        <f t="shared" si="78"/>
        <v>0</v>
      </c>
      <c r="W486" s="350">
        <f t="shared" si="79"/>
        <v>0</v>
      </c>
      <c r="X486" s="285">
        <f t="shared" si="80"/>
        <v>0</v>
      </c>
      <c r="Y486" s="564"/>
      <c r="Z486" s="65"/>
      <c r="AA486" s="65"/>
      <c r="AB486" s="65"/>
      <c r="AC486" s="65"/>
      <c r="AD486" s="65"/>
      <c r="AE486" s="65"/>
      <c r="AF486" s="65"/>
      <c r="AG486" s="65"/>
      <c r="AH486" s="65"/>
      <c r="AI486" s="65"/>
      <c r="AJ486" s="65"/>
      <c r="AK486" s="65"/>
      <c r="AL486" s="65"/>
      <c r="AM486" s="65"/>
      <c r="AN486" s="65"/>
      <c r="AO486" s="65"/>
      <c r="AP486" s="65"/>
      <c r="AQ486" s="564"/>
      <c r="AR486" s="564"/>
      <c r="AS486" s="564"/>
      <c r="AT486" s="564"/>
      <c r="AU486" s="564"/>
      <c r="AV486" s="564"/>
      <c r="AW486" s="564"/>
      <c r="AX486" s="564"/>
      <c r="AY486" s="564"/>
      <c r="AZ486" s="564"/>
      <c r="BA486" s="564"/>
      <c r="BB486" s="564"/>
      <c r="BC486" s="564"/>
    </row>
    <row r="487" spans="1:55" ht="12" thickBot="1">
      <c r="A487" s="596" t="s">
        <v>1508</v>
      </c>
      <c r="B487" s="541" t="s">
        <v>331</v>
      </c>
      <c r="C487" s="541" t="s">
        <v>1058</v>
      </c>
      <c r="D487" s="552" t="s">
        <v>1139</v>
      </c>
      <c r="E487" s="543"/>
      <c r="F487" s="545"/>
      <c r="G487" s="544"/>
      <c r="H487" s="545"/>
      <c r="I487" s="545"/>
      <c r="J487" s="545"/>
      <c r="K487" s="545"/>
      <c r="L487" s="545"/>
      <c r="M487" s="544"/>
      <c r="N487" s="544"/>
      <c r="O487" s="545"/>
      <c r="P487" s="545"/>
      <c r="Q487" s="544"/>
      <c r="R487" s="544"/>
      <c r="S487" s="546">
        <f t="shared" si="76"/>
        <v>0</v>
      </c>
      <c r="T487" s="547">
        <f t="shared" si="77"/>
        <v>0</v>
      </c>
      <c r="U487" s="546">
        <f t="shared" si="78"/>
        <v>0</v>
      </c>
      <c r="W487" s="350">
        <f t="shared" si="79"/>
        <v>0</v>
      </c>
      <c r="X487" s="285">
        <f t="shared" si="80"/>
        <v>0</v>
      </c>
      <c r="Y487" s="564"/>
      <c r="Z487" s="65"/>
      <c r="AA487" s="65"/>
      <c r="AB487" s="65"/>
      <c r="AC487" s="65"/>
      <c r="AD487" s="65"/>
      <c r="AE487" s="65"/>
      <c r="AF487" s="65"/>
      <c r="AG487" s="65"/>
      <c r="AH487" s="65"/>
      <c r="AI487" s="65"/>
      <c r="AJ487" s="65"/>
      <c r="AK487" s="65"/>
      <c r="AL487" s="65"/>
      <c r="AM487" s="65"/>
      <c r="AN487" s="65"/>
      <c r="AO487" s="65"/>
      <c r="AP487" s="65"/>
      <c r="AQ487" s="564"/>
      <c r="AR487" s="564"/>
      <c r="AS487" s="564"/>
      <c r="AT487" s="564"/>
      <c r="AU487" s="564"/>
      <c r="AV487" s="564"/>
      <c r="AW487" s="564"/>
      <c r="AX487" s="564"/>
      <c r="AY487" s="564"/>
      <c r="AZ487" s="564"/>
      <c r="BA487" s="564"/>
      <c r="BB487" s="564"/>
      <c r="BC487" s="564"/>
    </row>
    <row r="488" spans="1:55" ht="12" thickBot="1">
      <c r="A488" s="596" t="s">
        <v>1508</v>
      </c>
      <c r="B488" s="541" t="s">
        <v>332</v>
      </c>
      <c r="C488" s="541" t="s">
        <v>1059</v>
      </c>
      <c r="D488" s="552" t="s">
        <v>1139</v>
      </c>
      <c r="E488" s="549"/>
      <c r="F488" s="551"/>
      <c r="G488" s="550"/>
      <c r="H488" s="551"/>
      <c r="I488" s="551"/>
      <c r="J488" s="551"/>
      <c r="K488" s="551"/>
      <c r="L488" s="551"/>
      <c r="M488" s="550"/>
      <c r="N488" s="550"/>
      <c r="O488" s="551"/>
      <c r="P488" s="551"/>
      <c r="Q488" s="550"/>
      <c r="R488" s="550"/>
      <c r="S488" s="546">
        <f t="shared" si="76"/>
        <v>0</v>
      </c>
      <c r="T488" s="547">
        <f t="shared" si="77"/>
        <v>0</v>
      </c>
      <c r="U488" s="546">
        <f t="shared" si="78"/>
        <v>0</v>
      </c>
      <c r="W488" s="350">
        <f t="shared" si="79"/>
        <v>0</v>
      </c>
      <c r="X488" s="285">
        <f t="shared" si="80"/>
        <v>0</v>
      </c>
      <c r="Y488" s="564"/>
      <c r="Z488" s="65"/>
      <c r="AA488" s="65"/>
      <c r="AB488" s="65"/>
      <c r="AC488" s="65"/>
      <c r="AD488" s="65"/>
      <c r="AE488" s="65"/>
      <c r="AF488" s="65"/>
      <c r="AG488" s="65"/>
      <c r="AH488" s="65"/>
      <c r="AI488" s="65"/>
      <c r="AJ488" s="65"/>
      <c r="AK488" s="65"/>
      <c r="AL488" s="65"/>
      <c r="AM488" s="65"/>
      <c r="AN488" s="65"/>
      <c r="AO488" s="65"/>
      <c r="AP488" s="65"/>
      <c r="AQ488" s="564"/>
      <c r="AR488" s="564"/>
      <c r="AS488" s="564"/>
      <c r="AT488" s="564"/>
      <c r="AU488" s="564"/>
      <c r="AV488" s="564"/>
      <c r="AW488" s="564"/>
      <c r="AX488" s="564"/>
      <c r="AY488" s="564"/>
      <c r="AZ488" s="564"/>
      <c r="BA488" s="564"/>
      <c r="BB488" s="564"/>
      <c r="BC488" s="564"/>
    </row>
    <row r="489" spans="1:55" ht="12" thickBot="1">
      <c r="A489" s="596" t="s">
        <v>1508</v>
      </c>
      <c r="B489" s="541" t="s">
        <v>333</v>
      </c>
      <c r="C489" s="541" t="s">
        <v>1060</v>
      </c>
      <c r="D489" s="552" t="s">
        <v>1139</v>
      </c>
      <c r="E489" s="543"/>
      <c r="F489" s="545"/>
      <c r="G489" s="544"/>
      <c r="H489" s="545"/>
      <c r="I489" s="545"/>
      <c r="J489" s="545"/>
      <c r="K489" s="545"/>
      <c r="L489" s="545"/>
      <c r="M489" s="544"/>
      <c r="N489" s="544"/>
      <c r="O489" s="545"/>
      <c r="P489" s="545"/>
      <c r="Q489" s="544"/>
      <c r="R489" s="544"/>
      <c r="S489" s="546">
        <f t="shared" si="76"/>
        <v>0</v>
      </c>
      <c r="T489" s="547">
        <f t="shared" si="77"/>
        <v>0</v>
      </c>
      <c r="U489" s="546">
        <f t="shared" si="78"/>
        <v>0</v>
      </c>
      <c r="W489" s="350">
        <f t="shared" si="79"/>
        <v>0</v>
      </c>
      <c r="X489" s="285">
        <f t="shared" si="80"/>
        <v>0</v>
      </c>
      <c r="Y489" s="564"/>
      <c r="Z489" s="65"/>
      <c r="AA489" s="65"/>
      <c r="AB489" s="65"/>
      <c r="AC489" s="65"/>
      <c r="AD489" s="65"/>
      <c r="AE489" s="65"/>
      <c r="AF489" s="65"/>
      <c r="AG489" s="65"/>
      <c r="AH489" s="65"/>
      <c r="AI489" s="65"/>
      <c r="AJ489" s="65"/>
      <c r="AK489" s="65"/>
      <c r="AL489" s="65"/>
      <c r="AM489" s="65"/>
      <c r="AN489" s="65"/>
      <c r="AO489" s="65"/>
      <c r="AP489" s="65"/>
      <c r="AQ489" s="564"/>
      <c r="AR489" s="564"/>
      <c r="AS489" s="564"/>
      <c r="AT489" s="564"/>
      <c r="AU489" s="564"/>
      <c r="AV489" s="564"/>
      <c r="AW489" s="564"/>
      <c r="AX489" s="564"/>
      <c r="AY489" s="564"/>
      <c r="AZ489" s="564"/>
      <c r="BA489" s="564"/>
      <c r="BB489" s="564"/>
      <c r="BC489" s="564"/>
    </row>
    <row r="490" spans="1:55" ht="12" thickBot="1">
      <c r="A490" s="596" t="s">
        <v>1508</v>
      </c>
      <c r="B490" s="541" t="s">
        <v>335</v>
      </c>
      <c r="C490" s="541" t="s">
        <v>1061</v>
      </c>
      <c r="D490" s="552" t="s">
        <v>1139</v>
      </c>
      <c r="E490" s="549"/>
      <c r="F490" s="551"/>
      <c r="G490" s="550"/>
      <c r="H490" s="551"/>
      <c r="I490" s="551"/>
      <c r="J490" s="551"/>
      <c r="K490" s="551"/>
      <c r="L490" s="551"/>
      <c r="M490" s="550"/>
      <c r="N490" s="550"/>
      <c r="O490" s="551"/>
      <c r="P490" s="551"/>
      <c r="Q490" s="550"/>
      <c r="R490" s="550"/>
      <c r="S490" s="546">
        <f t="shared" si="76"/>
        <v>0</v>
      </c>
      <c r="T490" s="547">
        <f t="shared" si="77"/>
        <v>0</v>
      </c>
      <c r="U490" s="546">
        <f t="shared" si="78"/>
        <v>0</v>
      </c>
      <c r="W490" s="350">
        <f t="shared" si="79"/>
        <v>0</v>
      </c>
      <c r="X490" s="285">
        <f t="shared" si="80"/>
        <v>0</v>
      </c>
      <c r="Y490" s="564"/>
      <c r="Z490" s="65"/>
      <c r="AA490" s="65"/>
      <c r="AB490" s="65"/>
      <c r="AC490" s="65"/>
      <c r="AD490" s="65"/>
      <c r="AE490" s="65"/>
      <c r="AF490" s="65"/>
      <c r="AG490" s="65"/>
      <c r="AH490" s="65"/>
      <c r="AI490" s="65"/>
      <c r="AJ490" s="65"/>
      <c r="AK490" s="65"/>
      <c r="AL490" s="65"/>
      <c r="AM490" s="65"/>
      <c r="AN490" s="65"/>
      <c r="AO490" s="65"/>
      <c r="AP490" s="65"/>
      <c r="AQ490" s="564"/>
      <c r="AR490" s="564"/>
      <c r="AS490" s="564"/>
      <c r="AT490" s="564"/>
      <c r="AU490" s="564"/>
      <c r="AV490" s="564"/>
      <c r="AW490" s="564"/>
      <c r="AX490" s="564"/>
      <c r="AY490" s="564"/>
      <c r="AZ490" s="564"/>
      <c r="BA490" s="564"/>
      <c r="BB490" s="564"/>
      <c r="BC490" s="564"/>
    </row>
    <row r="491" spans="1:55" ht="12" thickBot="1">
      <c r="A491" s="596" t="s">
        <v>1508</v>
      </c>
      <c r="B491" s="541" t="s">
        <v>336</v>
      </c>
      <c r="C491" s="541" t="s">
        <v>1062</v>
      </c>
      <c r="D491" s="552" t="s">
        <v>1139</v>
      </c>
      <c r="E491" s="543"/>
      <c r="F491" s="545"/>
      <c r="G491" s="544"/>
      <c r="H491" s="545"/>
      <c r="I491" s="545"/>
      <c r="J491" s="545"/>
      <c r="K491" s="545"/>
      <c r="L491" s="545"/>
      <c r="M491" s="544"/>
      <c r="N491" s="544"/>
      <c r="O491" s="545"/>
      <c r="P491" s="545"/>
      <c r="Q491" s="544"/>
      <c r="R491" s="544"/>
      <c r="S491" s="546">
        <f t="shared" si="76"/>
        <v>0</v>
      </c>
      <c r="T491" s="547">
        <f t="shared" si="77"/>
        <v>0</v>
      </c>
      <c r="U491" s="546">
        <f t="shared" si="78"/>
        <v>0</v>
      </c>
      <c r="W491" s="350">
        <f t="shared" si="79"/>
        <v>0</v>
      </c>
      <c r="X491" s="285">
        <f t="shared" si="80"/>
        <v>0</v>
      </c>
      <c r="Y491" s="564"/>
      <c r="Z491" s="65"/>
      <c r="AA491" s="65"/>
      <c r="AB491" s="65"/>
      <c r="AC491" s="65"/>
      <c r="AD491" s="65"/>
      <c r="AE491" s="65"/>
      <c r="AF491" s="65"/>
      <c r="AG491" s="65"/>
      <c r="AH491" s="65"/>
      <c r="AI491" s="65"/>
      <c r="AJ491" s="65"/>
      <c r="AK491" s="65"/>
      <c r="AL491" s="65"/>
      <c r="AM491" s="65"/>
      <c r="AN491" s="65"/>
      <c r="AO491" s="65"/>
      <c r="AP491" s="65"/>
      <c r="AQ491" s="564"/>
      <c r="AR491" s="564"/>
      <c r="AS491" s="564"/>
      <c r="AT491" s="564"/>
      <c r="AU491" s="564"/>
      <c r="AV491" s="564"/>
      <c r="AW491" s="564"/>
      <c r="AX491" s="564"/>
      <c r="AY491" s="564"/>
      <c r="AZ491" s="564"/>
      <c r="BA491" s="564"/>
      <c r="BB491" s="564"/>
      <c r="BC491" s="564"/>
    </row>
    <row r="492" spans="1:55" ht="12" thickBot="1">
      <c r="A492" s="596" t="s">
        <v>1508</v>
      </c>
      <c r="B492" s="541" t="s">
        <v>338</v>
      </c>
      <c r="C492" s="541" t="s">
        <v>1063</v>
      </c>
      <c r="D492" s="552" t="s">
        <v>1139</v>
      </c>
      <c r="E492" s="549"/>
      <c r="F492" s="551"/>
      <c r="G492" s="550"/>
      <c r="H492" s="551"/>
      <c r="I492" s="551"/>
      <c r="J492" s="551"/>
      <c r="K492" s="551"/>
      <c r="L492" s="551"/>
      <c r="M492" s="550"/>
      <c r="N492" s="550"/>
      <c r="O492" s="551"/>
      <c r="P492" s="551"/>
      <c r="Q492" s="550"/>
      <c r="R492" s="550"/>
      <c r="S492" s="546">
        <f t="shared" si="76"/>
        <v>0</v>
      </c>
      <c r="T492" s="547">
        <f t="shared" si="77"/>
        <v>0</v>
      </c>
      <c r="U492" s="546">
        <f t="shared" si="78"/>
        <v>0</v>
      </c>
      <c r="W492" s="350">
        <f t="shared" si="79"/>
        <v>0</v>
      </c>
      <c r="X492" s="285">
        <f t="shared" si="80"/>
        <v>0</v>
      </c>
      <c r="Y492" s="564"/>
      <c r="Z492" s="65"/>
      <c r="AA492" s="65"/>
      <c r="AB492" s="65"/>
      <c r="AC492" s="65"/>
      <c r="AD492" s="65"/>
      <c r="AE492" s="65"/>
      <c r="AF492" s="65"/>
      <c r="AG492" s="65"/>
      <c r="AH492" s="65"/>
      <c r="AI492" s="65"/>
      <c r="AJ492" s="65"/>
      <c r="AK492" s="65"/>
      <c r="AL492" s="65"/>
      <c r="AM492" s="65"/>
      <c r="AN492" s="65"/>
      <c r="AO492" s="65"/>
      <c r="AP492" s="65"/>
      <c r="AQ492" s="564"/>
      <c r="AR492" s="564"/>
      <c r="AS492" s="564"/>
      <c r="AT492" s="564"/>
      <c r="AU492" s="564"/>
      <c r="AV492" s="564"/>
      <c r="AW492" s="564"/>
      <c r="AX492" s="564"/>
      <c r="AY492" s="564"/>
      <c r="AZ492" s="564"/>
      <c r="BA492" s="564"/>
      <c r="BB492" s="564"/>
      <c r="BC492" s="564"/>
    </row>
    <row r="493" spans="1:55" ht="12" thickBot="1">
      <c r="A493" s="596" t="s">
        <v>1508</v>
      </c>
      <c r="B493" s="541" t="s">
        <v>339</v>
      </c>
      <c r="C493" s="541" t="s">
        <v>1064</v>
      </c>
      <c r="D493" s="552" t="s">
        <v>1139</v>
      </c>
      <c r="E493" s="543"/>
      <c r="F493" s="545"/>
      <c r="G493" s="544"/>
      <c r="H493" s="545"/>
      <c r="I493" s="545"/>
      <c r="J493" s="545"/>
      <c r="K493" s="545"/>
      <c r="L493" s="545"/>
      <c r="M493" s="544"/>
      <c r="N493" s="544"/>
      <c r="O493" s="545"/>
      <c r="P493" s="545"/>
      <c r="Q493" s="544"/>
      <c r="R493" s="544"/>
      <c r="S493" s="546">
        <f t="shared" si="76"/>
        <v>0</v>
      </c>
      <c r="T493" s="547">
        <f t="shared" si="77"/>
        <v>0</v>
      </c>
      <c r="U493" s="546">
        <f t="shared" si="78"/>
        <v>0</v>
      </c>
      <c r="W493" s="350">
        <f t="shared" si="79"/>
        <v>0</v>
      </c>
      <c r="X493" s="285">
        <f t="shared" si="80"/>
        <v>0</v>
      </c>
      <c r="Y493" s="564"/>
      <c r="Z493" s="65"/>
      <c r="AA493" s="65"/>
      <c r="AB493" s="65"/>
      <c r="AC493" s="65"/>
      <c r="AD493" s="65"/>
      <c r="AE493" s="65"/>
      <c r="AF493" s="65"/>
      <c r="AG493" s="65"/>
      <c r="AH493" s="65"/>
      <c r="AI493" s="65"/>
      <c r="AJ493" s="65"/>
      <c r="AK493" s="65"/>
      <c r="AL493" s="65"/>
      <c r="AM493" s="65"/>
      <c r="AN493" s="65"/>
      <c r="AO493" s="65"/>
      <c r="AP493" s="65"/>
      <c r="AQ493" s="564"/>
      <c r="AR493" s="564"/>
      <c r="AS493" s="564"/>
      <c r="AT493" s="564"/>
      <c r="AU493" s="564"/>
      <c r="AV493" s="564"/>
      <c r="AW493" s="564"/>
      <c r="AX493" s="564"/>
      <c r="AY493" s="564"/>
      <c r="AZ493" s="564"/>
      <c r="BA493" s="564"/>
      <c r="BB493" s="564"/>
      <c r="BC493" s="564"/>
    </row>
    <row r="494" spans="1:55" ht="12" thickBot="1">
      <c r="A494" s="596" t="s">
        <v>1508</v>
      </c>
      <c r="B494" s="541" t="s">
        <v>325</v>
      </c>
      <c r="C494" s="541" t="s">
        <v>1065</v>
      </c>
      <c r="D494" s="552" t="s">
        <v>1139</v>
      </c>
      <c r="E494" s="549"/>
      <c r="F494" s="551"/>
      <c r="G494" s="550"/>
      <c r="H494" s="551"/>
      <c r="I494" s="551"/>
      <c r="J494" s="551"/>
      <c r="K494" s="551"/>
      <c r="L494" s="551"/>
      <c r="M494" s="550"/>
      <c r="N494" s="550"/>
      <c r="O494" s="551"/>
      <c r="P494" s="551"/>
      <c r="Q494" s="550"/>
      <c r="R494" s="550"/>
      <c r="S494" s="546">
        <f t="shared" si="76"/>
        <v>0</v>
      </c>
      <c r="T494" s="547">
        <f t="shared" si="77"/>
        <v>0</v>
      </c>
      <c r="U494" s="546">
        <f t="shared" si="78"/>
        <v>0</v>
      </c>
      <c r="W494" s="350">
        <f t="shared" ref="W494:W557" si="88">SUM(F494:Q494)</f>
        <v>0</v>
      </c>
      <c r="X494" s="285">
        <f t="shared" ref="X494:X557" si="89">W494-R494</f>
        <v>0</v>
      </c>
      <c r="Y494" s="564"/>
      <c r="Z494" s="65"/>
      <c r="AA494" s="65"/>
      <c r="AB494" s="65"/>
      <c r="AC494" s="65"/>
      <c r="AD494" s="65"/>
      <c r="AE494" s="65"/>
      <c r="AF494" s="65"/>
      <c r="AG494" s="65"/>
      <c r="AH494" s="65"/>
      <c r="AI494" s="65"/>
      <c r="AJ494" s="65"/>
      <c r="AK494" s="65"/>
      <c r="AL494" s="65"/>
      <c r="AM494" s="65"/>
      <c r="AN494" s="65"/>
      <c r="AO494" s="65"/>
      <c r="AP494" s="65"/>
      <c r="AQ494" s="564"/>
      <c r="AR494" s="564"/>
      <c r="AS494" s="564"/>
      <c r="AT494" s="564"/>
      <c r="AU494" s="564"/>
      <c r="AV494" s="564"/>
      <c r="AW494" s="564"/>
      <c r="AX494" s="564"/>
      <c r="AY494" s="564"/>
      <c r="AZ494" s="564"/>
      <c r="BA494" s="564"/>
      <c r="BB494" s="564"/>
      <c r="BC494" s="564"/>
    </row>
    <row r="495" spans="1:55" ht="12" thickBot="1">
      <c r="A495" s="596" t="s">
        <v>1508</v>
      </c>
      <c r="B495" s="541" t="s">
        <v>334</v>
      </c>
      <c r="C495" s="541" t="s">
        <v>1066</v>
      </c>
      <c r="D495" s="552" t="s">
        <v>1139</v>
      </c>
      <c r="E495" s="543"/>
      <c r="F495" s="545"/>
      <c r="G495" s="544"/>
      <c r="H495" s="545"/>
      <c r="I495" s="545"/>
      <c r="J495" s="545"/>
      <c r="K495" s="545"/>
      <c r="L495" s="545"/>
      <c r="M495" s="544"/>
      <c r="N495" s="544"/>
      <c r="O495" s="545"/>
      <c r="P495" s="545"/>
      <c r="Q495" s="544"/>
      <c r="R495" s="544"/>
      <c r="S495" s="546">
        <f t="shared" si="76"/>
        <v>0</v>
      </c>
      <c r="T495" s="547">
        <f t="shared" si="77"/>
        <v>0</v>
      </c>
      <c r="U495" s="546">
        <f t="shared" si="78"/>
        <v>0</v>
      </c>
      <c r="W495" s="350">
        <f t="shared" si="88"/>
        <v>0</v>
      </c>
      <c r="X495" s="285">
        <f t="shared" si="89"/>
        <v>0</v>
      </c>
      <c r="Y495" s="564"/>
      <c r="Z495" s="65"/>
      <c r="AA495" s="65"/>
      <c r="AB495" s="65"/>
      <c r="AC495" s="65"/>
      <c r="AD495" s="65"/>
      <c r="AE495" s="65"/>
      <c r="AF495" s="65"/>
      <c r="AG495" s="65"/>
      <c r="AH495" s="65"/>
      <c r="AI495" s="65"/>
      <c r="AJ495" s="65"/>
      <c r="AK495" s="65"/>
      <c r="AL495" s="65"/>
      <c r="AM495" s="65"/>
      <c r="AN495" s="65"/>
      <c r="AO495" s="65"/>
      <c r="AP495" s="65"/>
      <c r="AQ495" s="564"/>
      <c r="AR495" s="564"/>
      <c r="AS495" s="564"/>
      <c r="AT495" s="564"/>
      <c r="AU495" s="564"/>
      <c r="AV495" s="564"/>
      <c r="AW495" s="564"/>
      <c r="AX495" s="564"/>
      <c r="AY495" s="564"/>
      <c r="AZ495" s="564"/>
      <c r="BA495" s="564"/>
      <c r="BB495" s="564"/>
      <c r="BC495" s="564"/>
    </row>
    <row r="496" spans="1:55" ht="12" thickBot="1">
      <c r="A496" s="596" t="s">
        <v>1508</v>
      </c>
      <c r="B496" s="541" t="s">
        <v>326</v>
      </c>
      <c r="C496" s="541" t="s">
        <v>1067</v>
      </c>
      <c r="D496" s="552" t="s">
        <v>1139</v>
      </c>
      <c r="E496" s="549"/>
      <c r="F496" s="551"/>
      <c r="G496" s="550"/>
      <c r="H496" s="551"/>
      <c r="I496" s="551"/>
      <c r="J496" s="551"/>
      <c r="K496" s="551"/>
      <c r="L496" s="551"/>
      <c r="M496" s="550"/>
      <c r="N496" s="550"/>
      <c r="O496" s="551"/>
      <c r="P496" s="551"/>
      <c r="Q496" s="550"/>
      <c r="R496" s="550"/>
      <c r="S496" s="546">
        <f t="shared" ref="S496:S559" si="90">G496+H496+I496</f>
        <v>0</v>
      </c>
      <c r="T496" s="547">
        <f t="shared" ref="T496:T559" si="91">J496+K496</f>
        <v>0</v>
      </c>
      <c r="U496" s="546">
        <f t="shared" ref="U496:U559" si="92">N496+O496</f>
        <v>0</v>
      </c>
      <c r="W496" s="350">
        <f t="shared" si="88"/>
        <v>0</v>
      </c>
      <c r="X496" s="285">
        <f t="shared" si="89"/>
        <v>0</v>
      </c>
      <c r="Y496" s="564"/>
      <c r="Z496" s="65"/>
      <c r="AA496" s="65"/>
      <c r="AB496" s="65"/>
      <c r="AC496" s="65"/>
      <c r="AD496" s="65"/>
      <c r="AE496" s="65"/>
      <c r="AF496" s="65"/>
      <c r="AG496" s="65"/>
      <c r="AH496" s="65"/>
      <c r="AI496" s="65"/>
      <c r="AJ496" s="65"/>
      <c r="AK496" s="65"/>
      <c r="AL496" s="65"/>
      <c r="AM496" s="65"/>
      <c r="AN496" s="65"/>
      <c r="AO496" s="65"/>
      <c r="AP496" s="65"/>
      <c r="AQ496" s="564"/>
      <c r="AR496" s="564"/>
      <c r="AS496" s="564"/>
      <c r="AT496" s="564"/>
      <c r="AU496" s="564"/>
      <c r="AV496" s="564"/>
      <c r="AW496" s="564"/>
      <c r="AX496" s="564"/>
      <c r="AY496" s="564"/>
      <c r="AZ496" s="564"/>
      <c r="BA496" s="564"/>
      <c r="BB496" s="564"/>
      <c r="BC496" s="564"/>
    </row>
    <row r="497" spans="1:55" ht="12" thickBot="1">
      <c r="A497" s="596" t="s">
        <v>1508</v>
      </c>
      <c r="B497" s="541" t="s">
        <v>330</v>
      </c>
      <c r="C497" s="541" t="s">
        <v>1068</v>
      </c>
      <c r="D497" s="552" t="s">
        <v>1139</v>
      </c>
      <c r="E497" s="543"/>
      <c r="F497" s="545"/>
      <c r="G497" s="544"/>
      <c r="H497" s="545"/>
      <c r="I497" s="545"/>
      <c r="J497" s="545"/>
      <c r="K497" s="545"/>
      <c r="L497" s="545"/>
      <c r="M497" s="544"/>
      <c r="N497" s="544"/>
      <c r="O497" s="545"/>
      <c r="P497" s="545"/>
      <c r="Q497" s="544"/>
      <c r="R497" s="544"/>
      <c r="S497" s="546">
        <f t="shared" si="90"/>
        <v>0</v>
      </c>
      <c r="T497" s="547">
        <f t="shared" si="91"/>
        <v>0</v>
      </c>
      <c r="U497" s="546">
        <f t="shared" si="92"/>
        <v>0</v>
      </c>
      <c r="W497" s="350">
        <f t="shared" si="88"/>
        <v>0</v>
      </c>
      <c r="X497" s="285">
        <f t="shared" si="89"/>
        <v>0</v>
      </c>
      <c r="Y497" s="564"/>
      <c r="Z497" s="65"/>
      <c r="AA497" s="65"/>
      <c r="AB497" s="65"/>
      <c r="AC497" s="65"/>
      <c r="AD497" s="65"/>
      <c r="AE497" s="65"/>
      <c r="AF497" s="65"/>
      <c r="AG497" s="65"/>
      <c r="AH497" s="65"/>
      <c r="AI497" s="65"/>
      <c r="AJ497" s="65"/>
      <c r="AK497" s="65"/>
      <c r="AL497" s="65"/>
      <c r="AM497" s="65"/>
      <c r="AN497" s="65"/>
      <c r="AO497" s="65"/>
      <c r="AP497" s="65"/>
      <c r="AQ497" s="564"/>
      <c r="AR497" s="564"/>
      <c r="AS497" s="564"/>
      <c r="AT497" s="564"/>
      <c r="AU497" s="564"/>
      <c r="AV497" s="564"/>
      <c r="AW497" s="564"/>
      <c r="AX497" s="564"/>
      <c r="AY497" s="564"/>
      <c r="AZ497" s="564"/>
      <c r="BA497" s="564"/>
      <c r="BB497" s="564"/>
      <c r="BC497" s="564"/>
    </row>
    <row r="498" spans="1:55" ht="12" thickBot="1">
      <c r="A498" s="596" t="s">
        <v>1508</v>
      </c>
      <c r="B498" s="541" t="s">
        <v>337</v>
      </c>
      <c r="C498" s="541" t="s">
        <v>1069</v>
      </c>
      <c r="D498" s="552" t="s">
        <v>1139</v>
      </c>
      <c r="E498" s="549"/>
      <c r="F498" s="551"/>
      <c r="G498" s="550"/>
      <c r="H498" s="551"/>
      <c r="I498" s="551"/>
      <c r="J498" s="551"/>
      <c r="K498" s="551"/>
      <c r="L498" s="551"/>
      <c r="M498" s="550"/>
      <c r="N498" s="550"/>
      <c r="O498" s="551"/>
      <c r="P498" s="551"/>
      <c r="Q498" s="550"/>
      <c r="R498" s="550"/>
      <c r="S498" s="546">
        <f t="shared" si="90"/>
        <v>0</v>
      </c>
      <c r="T498" s="547">
        <f t="shared" si="91"/>
        <v>0</v>
      </c>
      <c r="U498" s="546">
        <f t="shared" si="92"/>
        <v>0</v>
      </c>
      <c r="W498" s="350">
        <f t="shared" si="88"/>
        <v>0</v>
      </c>
      <c r="X498" s="285">
        <f t="shared" si="89"/>
        <v>0</v>
      </c>
      <c r="Y498" s="564"/>
      <c r="Z498" s="65"/>
      <c r="AA498" s="65"/>
      <c r="AB498" s="65"/>
      <c r="AC498" s="65"/>
      <c r="AD498" s="65"/>
      <c r="AE498" s="65"/>
      <c r="AF498" s="65"/>
      <c r="AG498" s="65"/>
      <c r="AH498" s="65"/>
      <c r="AI498" s="65"/>
      <c r="AJ498" s="65"/>
      <c r="AK498" s="65"/>
      <c r="AL498" s="65"/>
      <c r="AM498" s="65"/>
      <c r="AN498" s="65"/>
      <c r="AO498" s="65"/>
      <c r="AP498" s="65"/>
      <c r="AQ498" s="564"/>
      <c r="AR498" s="564"/>
      <c r="AS498" s="564"/>
      <c r="AT498" s="564"/>
      <c r="AU498" s="564"/>
      <c r="AV498" s="564"/>
      <c r="AW498" s="564"/>
      <c r="AX498" s="564"/>
      <c r="AY498" s="564"/>
      <c r="AZ498" s="564"/>
      <c r="BA498" s="564"/>
      <c r="BB498" s="564"/>
      <c r="BC498" s="564"/>
    </row>
    <row r="499" spans="1:55" ht="12" thickBot="1">
      <c r="A499" s="596" t="s">
        <v>1508</v>
      </c>
      <c r="B499" s="541" t="s">
        <v>329</v>
      </c>
      <c r="C499" s="541" t="s">
        <v>1070</v>
      </c>
      <c r="D499" s="552" t="s">
        <v>1139</v>
      </c>
      <c r="E499" s="543"/>
      <c r="F499" s="545"/>
      <c r="G499" s="544"/>
      <c r="H499" s="545"/>
      <c r="I499" s="545"/>
      <c r="J499" s="545"/>
      <c r="K499" s="545"/>
      <c r="L499" s="545"/>
      <c r="M499" s="544"/>
      <c r="N499" s="544"/>
      <c r="O499" s="545"/>
      <c r="P499" s="545"/>
      <c r="Q499" s="544"/>
      <c r="R499" s="544"/>
      <c r="S499" s="546">
        <f t="shared" si="90"/>
        <v>0</v>
      </c>
      <c r="T499" s="547">
        <f t="shared" si="91"/>
        <v>0</v>
      </c>
      <c r="U499" s="546">
        <f t="shared" si="92"/>
        <v>0</v>
      </c>
      <c r="W499" s="350">
        <f t="shared" si="88"/>
        <v>0</v>
      </c>
      <c r="X499" s="285">
        <f t="shared" si="89"/>
        <v>0</v>
      </c>
      <c r="Y499" s="564"/>
      <c r="Z499" s="65"/>
      <c r="AA499" s="65"/>
      <c r="AB499" s="65"/>
      <c r="AC499" s="65"/>
      <c r="AD499" s="65"/>
      <c r="AE499" s="65"/>
      <c r="AF499" s="65"/>
      <c r="AG499" s="65"/>
      <c r="AH499" s="65"/>
      <c r="AI499" s="65"/>
      <c r="AJ499" s="65"/>
      <c r="AK499" s="65"/>
      <c r="AL499" s="65"/>
      <c r="AM499" s="65"/>
      <c r="AN499" s="65"/>
      <c r="AO499" s="65"/>
      <c r="AP499" s="65"/>
      <c r="AQ499" s="564"/>
      <c r="AR499" s="564"/>
      <c r="AS499" s="564"/>
      <c r="AT499" s="564"/>
      <c r="AU499" s="564"/>
      <c r="AV499" s="564"/>
      <c r="AW499" s="564"/>
      <c r="AX499" s="564"/>
      <c r="AY499" s="564"/>
      <c r="AZ499" s="564"/>
      <c r="BA499" s="564"/>
      <c r="BB499" s="564"/>
      <c r="BC499" s="564"/>
    </row>
    <row r="500" spans="1:55" ht="12" thickBot="1">
      <c r="A500" s="596" t="s">
        <v>1508</v>
      </c>
      <c r="B500" s="541" t="s">
        <v>327</v>
      </c>
      <c r="C500" s="541" t="s">
        <v>1071</v>
      </c>
      <c r="D500" s="552" t="s">
        <v>1139</v>
      </c>
      <c r="E500" s="549"/>
      <c r="F500" s="551"/>
      <c r="G500" s="550"/>
      <c r="H500" s="551"/>
      <c r="I500" s="551"/>
      <c r="J500" s="551"/>
      <c r="K500" s="551"/>
      <c r="L500" s="551"/>
      <c r="M500" s="550"/>
      <c r="N500" s="550"/>
      <c r="O500" s="551"/>
      <c r="P500" s="551"/>
      <c r="Q500" s="550"/>
      <c r="R500" s="550"/>
      <c r="S500" s="546">
        <f t="shared" si="90"/>
        <v>0</v>
      </c>
      <c r="T500" s="547">
        <f t="shared" si="91"/>
        <v>0</v>
      </c>
      <c r="U500" s="546">
        <f t="shared" si="92"/>
        <v>0</v>
      </c>
      <c r="W500" s="350">
        <f t="shared" si="88"/>
        <v>0</v>
      </c>
      <c r="X500" s="285">
        <f t="shared" si="89"/>
        <v>0</v>
      </c>
      <c r="Y500" s="564"/>
      <c r="Z500" s="65"/>
      <c r="AA500" s="65"/>
      <c r="AB500" s="65"/>
      <c r="AC500" s="65"/>
      <c r="AD500" s="65"/>
      <c r="AE500" s="65"/>
      <c r="AF500" s="65"/>
      <c r="AG500" s="65"/>
      <c r="AH500" s="65"/>
      <c r="AI500" s="65"/>
      <c r="AJ500" s="65"/>
      <c r="AK500" s="65"/>
      <c r="AL500" s="65"/>
      <c r="AM500" s="65"/>
      <c r="AN500" s="65"/>
      <c r="AO500" s="65"/>
      <c r="AP500" s="65"/>
      <c r="AQ500" s="564"/>
      <c r="AR500" s="564"/>
      <c r="AS500" s="564"/>
      <c r="AT500" s="564"/>
      <c r="AU500" s="564"/>
      <c r="AV500" s="564"/>
      <c r="AW500" s="564"/>
      <c r="AX500" s="564"/>
      <c r="AY500" s="564"/>
      <c r="AZ500" s="564"/>
      <c r="BA500" s="564"/>
      <c r="BB500" s="564"/>
      <c r="BC500" s="564"/>
    </row>
    <row r="501" spans="1:55" ht="12" thickBot="1">
      <c r="A501" s="596" t="s">
        <v>1508</v>
      </c>
      <c r="B501" s="541" t="s">
        <v>453</v>
      </c>
      <c r="C501" s="541" t="s">
        <v>1072</v>
      </c>
      <c r="D501" s="552" t="s">
        <v>1139</v>
      </c>
      <c r="E501" s="543"/>
      <c r="F501" s="545"/>
      <c r="G501" s="544"/>
      <c r="H501" s="545"/>
      <c r="I501" s="545"/>
      <c r="J501" s="545"/>
      <c r="K501" s="545"/>
      <c r="L501" s="545"/>
      <c r="M501" s="544"/>
      <c r="N501" s="544"/>
      <c r="O501" s="545"/>
      <c r="P501" s="545"/>
      <c r="Q501" s="545"/>
      <c r="R501" s="544"/>
      <c r="S501" s="546">
        <f t="shared" si="90"/>
        <v>0</v>
      </c>
      <c r="T501" s="547">
        <f t="shared" si="91"/>
        <v>0</v>
      </c>
      <c r="U501" s="546">
        <f t="shared" si="92"/>
        <v>0</v>
      </c>
      <c r="W501" s="350">
        <f t="shared" si="88"/>
        <v>0</v>
      </c>
      <c r="X501" s="285">
        <f t="shared" si="89"/>
        <v>0</v>
      </c>
      <c r="Y501" s="564"/>
      <c r="Z501" s="65"/>
      <c r="AA501" s="65"/>
      <c r="AB501" s="65"/>
      <c r="AC501" s="65"/>
      <c r="AD501" s="65"/>
      <c r="AE501" s="65"/>
      <c r="AF501" s="65"/>
      <c r="AG501" s="65"/>
      <c r="AH501" s="65"/>
      <c r="AI501" s="65"/>
      <c r="AJ501" s="65"/>
      <c r="AK501" s="65"/>
      <c r="AL501" s="65"/>
      <c r="AM501" s="65"/>
      <c r="AN501" s="65"/>
      <c r="AO501" s="65"/>
      <c r="AP501" s="65"/>
      <c r="AQ501" s="564"/>
      <c r="AR501" s="564"/>
      <c r="AS501" s="564"/>
      <c r="AT501" s="564"/>
      <c r="AU501" s="564"/>
      <c r="AV501" s="564"/>
      <c r="AW501" s="564"/>
      <c r="AX501" s="564"/>
      <c r="AY501" s="564"/>
      <c r="AZ501" s="564"/>
      <c r="BA501" s="564"/>
      <c r="BB501" s="564"/>
      <c r="BC501" s="564"/>
    </row>
    <row r="502" spans="1:55" ht="12" thickBot="1">
      <c r="A502" s="596" t="s">
        <v>1508</v>
      </c>
      <c r="B502" s="541" t="s">
        <v>366</v>
      </c>
      <c r="C502" s="541" t="s">
        <v>1073</v>
      </c>
      <c r="D502" s="552" t="s">
        <v>1139</v>
      </c>
      <c r="E502" s="549"/>
      <c r="F502" s="551"/>
      <c r="G502" s="550"/>
      <c r="H502" s="551"/>
      <c r="I502" s="551"/>
      <c r="J502" s="551"/>
      <c r="K502" s="551"/>
      <c r="L502" s="551"/>
      <c r="M502" s="550"/>
      <c r="N502" s="550"/>
      <c r="O502" s="551"/>
      <c r="P502" s="551"/>
      <c r="Q502" s="550"/>
      <c r="R502" s="550"/>
      <c r="S502" s="546">
        <f t="shared" si="90"/>
        <v>0</v>
      </c>
      <c r="T502" s="547">
        <f t="shared" si="91"/>
        <v>0</v>
      </c>
      <c r="U502" s="546">
        <f t="shared" si="92"/>
        <v>0</v>
      </c>
      <c r="W502" s="350">
        <f t="shared" si="88"/>
        <v>0</v>
      </c>
      <c r="X502" s="285">
        <f t="shared" si="89"/>
        <v>0</v>
      </c>
      <c r="Y502" s="564"/>
      <c r="Z502" s="65"/>
      <c r="AA502" s="65"/>
      <c r="AB502" s="65"/>
      <c r="AC502" s="65"/>
      <c r="AD502" s="65"/>
      <c r="AE502" s="65"/>
      <c r="AF502" s="65"/>
      <c r="AG502" s="65"/>
      <c r="AH502" s="65"/>
      <c r="AI502" s="65"/>
      <c r="AJ502" s="65"/>
      <c r="AK502" s="65"/>
      <c r="AL502" s="65"/>
      <c r="AM502" s="65"/>
      <c r="AN502" s="65"/>
      <c r="AO502" s="65"/>
      <c r="AP502" s="65"/>
      <c r="AQ502" s="564"/>
      <c r="AR502" s="564"/>
      <c r="AS502" s="564"/>
      <c r="AT502" s="564"/>
      <c r="AU502" s="564"/>
      <c r="AV502" s="564"/>
      <c r="AW502" s="564"/>
      <c r="AX502" s="564"/>
      <c r="AY502" s="564"/>
      <c r="AZ502" s="564"/>
      <c r="BA502" s="564"/>
      <c r="BB502" s="564"/>
      <c r="BC502" s="564"/>
    </row>
    <row r="503" spans="1:55" ht="12" thickBot="1">
      <c r="A503" s="596" t="s">
        <v>1508</v>
      </c>
      <c r="B503" s="541" t="s">
        <v>386</v>
      </c>
      <c r="C503" s="541" t="s">
        <v>1074</v>
      </c>
      <c r="D503" s="552" t="s">
        <v>1140</v>
      </c>
      <c r="E503" s="543"/>
      <c r="F503" s="545"/>
      <c r="G503" s="544"/>
      <c r="H503" s="545"/>
      <c r="I503" s="545"/>
      <c r="J503" s="545"/>
      <c r="K503" s="545"/>
      <c r="L503" s="545"/>
      <c r="M503" s="544"/>
      <c r="N503" s="544"/>
      <c r="O503" s="545"/>
      <c r="P503" s="545"/>
      <c r="Q503" s="544"/>
      <c r="R503" s="544"/>
      <c r="S503" s="546">
        <f t="shared" si="90"/>
        <v>0</v>
      </c>
      <c r="T503" s="547">
        <f t="shared" si="91"/>
        <v>0</v>
      </c>
      <c r="U503" s="546">
        <f t="shared" si="92"/>
        <v>0</v>
      </c>
      <c r="W503" s="350">
        <f t="shared" si="88"/>
        <v>0</v>
      </c>
      <c r="X503" s="285">
        <f t="shared" si="89"/>
        <v>0</v>
      </c>
      <c r="Y503" s="564"/>
      <c r="Z503" s="65"/>
      <c r="AA503" s="65"/>
      <c r="AB503" s="65"/>
      <c r="AC503" s="65"/>
      <c r="AD503" s="65"/>
      <c r="AE503" s="65"/>
      <c r="AF503" s="65"/>
      <c r="AG503" s="65"/>
      <c r="AH503" s="65"/>
      <c r="AI503" s="65"/>
      <c r="AJ503" s="65"/>
      <c r="AK503" s="65"/>
      <c r="AL503" s="65"/>
      <c r="AM503" s="65"/>
      <c r="AN503" s="65"/>
      <c r="AO503" s="65"/>
      <c r="AP503" s="65"/>
      <c r="AQ503" s="564"/>
      <c r="AR503" s="564"/>
      <c r="AS503" s="564"/>
      <c r="AT503" s="564"/>
      <c r="AU503" s="564"/>
      <c r="AV503" s="564"/>
      <c r="AW503" s="564"/>
      <c r="AX503" s="564"/>
      <c r="AY503" s="564"/>
      <c r="AZ503" s="564"/>
      <c r="BA503" s="564"/>
      <c r="BB503" s="564"/>
      <c r="BC503" s="564"/>
    </row>
    <row r="504" spans="1:55" ht="12" thickBot="1">
      <c r="A504" s="596" t="s">
        <v>1508</v>
      </c>
      <c r="B504" s="541" t="s">
        <v>342</v>
      </c>
      <c r="C504" s="541" t="s">
        <v>251</v>
      </c>
      <c r="D504" s="552" t="s">
        <v>1139</v>
      </c>
      <c r="E504" s="549"/>
      <c r="F504" s="551"/>
      <c r="G504" s="550"/>
      <c r="H504" s="551"/>
      <c r="I504" s="551"/>
      <c r="J504" s="551"/>
      <c r="K504" s="551"/>
      <c r="L504" s="551"/>
      <c r="M504" s="550"/>
      <c r="N504" s="550"/>
      <c r="O504" s="551"/>
      <c r="P504" s="551"/>
      <c r="Q504" s="550"/>
      <c r="R504" s="550"/>
      <c r="S504" s="546">
        <f t="shared" si="90"/>
        <v>0</v>
      </c>
      <c r="T504" s="547">
        <f t="shared" si="91"/>
        <v>0</v>
      </c>
      <c r="U504" s="546">
        <f t="shared" si="92"/>
        <v>0</v>
      </c>
      <c r="W504" s="350">
        <f t="shared" si="88"/>
        <v>0</v>
      </c>
      <c r="X504" s="285">
        <f t="shared" si="89"/>
        <v>0</v>
      </c>
      <c r="Y504" s="564"/>
      <c r="Z504" s="65"/>
      <c r="AA504" s="65"/>
      <c r="AB504" s="65"/>
      <c r="AC504" s="65"/>
      <c r="AD504" s="65"/>
      <c r="AE504" s="65"/>
      <c r="AF504" s="65"/>
      <c r="AG504" s="65"/>
      <c r="AH504" s="65"/>
      <c r="AI504" s="65"/>
      <c r="AJ504" s="65"/>
      <c r="AK504" s="65"/>
      <c r="AL504" s="65"/>
      <c r="AM504" s="65"/>
      <c r="AN504" s="65"/>
      <c r="AO504" s="65"/>
      <c r="AP504" s="65"/>
      <c r="AQ504" s="564"/>
      <c r="AR504" s="564"/>
      <c r="AS504" s="564"/>
      <c r="AT504" s="564"/>
      <c r="AU504" s="564"/>
      <c r="AV504" s="564"/>
      <c r="AW504" s="564"/>
      <c r="AX504" s="564"/>
      <c r="AY504" s="564"/>
      <c r="AZ504" s="564"/>
      <c r="BA504" s="564"/>
      <c r="BB504" s="564"/>
      <c r="BC504" s="564"/>
    </row>
    <row r="505" spans="1:55" ht="12" thickBot="1">
      <c r="A505" s="596" t="s">
        <v>1508</v>
      </c>
      <c r="B505" s="541" t="s">
        <v>382</v>
      </c>
      <c r="C505" s="541" t="s">
        <v>1075</v>
      </c>
      <c r="D505" s="552" t="s">
        <v>1140</v>
      </c>
      <c r="E505" s="543"/>
      <c r="F505" s="545"/>
      <c r="G505" s="544"/>
      <c r="H505" s="545"/>
      <c r="I505" s="545"/>
      <c r="J505" s="545"/>
      <c r="K505" s="545"/>
      <c r="L505" s="545"/>
      <c r="M505" s="544"/>
      <c r="N505" s="544"/>
      <c r="O505" s="545"/>
      <c r="P505" s="545"/>
      <c r="Q505" s="544"/>
      <c r="R505" s="544"/>
      <c r="S505" s="546">
        <f t="shared" si="90"/>
        <v>0</v>
      </c>
      <c r="T505" s="547">
        <f t="shared" si="91"/>
        <v>0</v>
      </c>
      <c r="U505" s="546">
        <f t="shared" si="92"/>
        <v>0</v>
      </c>
      <c r="W505" s="350">
        <f t="shared" si="88"/>
        <v>0</v>
      </c>
      <c r="X505" s="285">
        <f t="shared" si="89"/>
        <v>0</v>
      </c>
      <c r="Y505" s="564"/>
      <c r="Z505" s="65"/>
      <c r="AA505" s="65"/>
      <c r="AB505" s="65"/>
      <c r="AC505" s="65"/>
      <c r="AD505" s="65"/>
      <c r="AE505" s="65"/>
      <c r="AF505" s="65"/>
      <c r="AG505" s="65"/>
      <c r="AH505" s="65"/>
      <c r="AI505" s="65"/>
      <c r="AJ505" s="65"/>
      <c r="AK505" s="65"/>
      <c r="AL505" s="65"/>
      <c r="AM505" s="65"/>
      <c r="AN505" s="65"/>
      <c r="AO505" s="65"/>
      <c r="AP505" s="65"/>
      <c r="AQ505" s="564"/>
      <c r="AR505" s="564"/>
      <c r="AS505" s="564"/>
      <c r="AT505" s="564"/>
      <c r="AU505" s="564"/>
      <c r="AV505" s="564"/>
      <c r="AW505" s="564"/>
      <c r="AX505" s="564"/>
      <c r="AY505" s="564"/>
      <c r="AZ505" s="564"/>
      <c r="BA505" s="564"/>
      <c r="BB505" s="564"/>
      <c r="BC505" s="564"/>
    </row>
    <row r="506" spans="1:55" ht="12" thickBot="1">
      <c r="A506" s="596" t="s">
        <v>1508</v>
      </c>
      <c r="B506" s="541" t="s">
        <v>360</v>
      </c>
      <c r="C506" s="541" t="s">
        <v>1076</v>
      </c>
      <c r="D506" s="552" t="s">
        <v>1140</v>
      </c>
      <c r="E506" s="549"/>
      <c r="F506" s="551"/>
      <c r="G506" s="550"/>
      <c r="H506" s="551"/>
      <c r="I506" s="551"/>
      <c r="J506" s="551"/>
      <c r="K506" s="551"/>
      <c r="L506" s="551"/>
      <c r="M506" s="550"/>
      <c r="N506" s="550"/>
      <c r="O506" s="551"/>
      <c r="P506" s="551"/>
      <c r="Q506" s="550"/>
      <c r="R506" s="550"/>
      <c r="S506" s="546">
        <f t="shared" si="90"/>
        <v>0</v>
      </c>
      <c r="T506" s="547">
        <f t="shared" si="91"/>
        <v>0</v>
      </c>
      <c r="U506" s="546">
        <f t="shared" si="92"/>
        <v>0</v>
      </c>
      <c r="W506" s="350">
        <f t="shared" si="88"/>
        <v>0</v>
      </c>
      <c r="X506" s="285">
        <f t="shared" si="89"/>
        <v>0</v>
      </c>
      <c r="Y506" s="564"/>
      <c r="Z506" s="65"/>
      <c r="AA506" s="65"/>
      <c r="AB506" s="65"/>
      <c r="AC506" s="65"/>
      <c r="AD506" s="65"/>
      <c r="AE506" s="65"/>
      <c r="AF506" s="65"/>
      <c r="AG506" s="65"/>
      <c r="AH506" s="65"/>
      <c r="AI506" s="65"/>
      <c r="AJ506" s="65"/>
      <c r="AK506" s="65"/>
      <c r="AL506" s="65"/>
      <c r="AM506" s="65"/>
      <c r="AN506" s="65"/>
      <c r="AO506" s="65"/>
      <c r="AP506" s="65"/>
      <c r="AQ506" s="564"/>
      <c r="AR506" s="564"/>
      <c r="AS506" s="564"/>
      <c r="AT506" s="564"/>
      <c r="AU506" s="564"/>
      <c r="AV506" s="564"/>
      <c r="AW506" s="564"/>
      <c r="AX506" s="564"/>
      <c r="AY506" s="564"/>
      <c r="AZ506" s="564"/>
      <c r="BA506" s="564"/>
      <c r="BB506" s="564"/>
      <c r="BC506" s="564"/>
    </row>
    <row r="507" spans="1:55" ht="12" thickBot="1">
      <c r="A507" s="596" t="s">
        <v>1508</v>
      </c>
      <c r="B507" s="541" t="s">
        <v>368</v>
      </c>
      <c r="C507" s="541" t="s">
        <v>1077</v>
      </c>
      <c r="D507" s="552" t="s">
        <v>1139</v>
      </c>
      <c r="E507" s="543"/>
      <c r="F507" s="545"/>
      <c r="G507" s="544"/>
      <c r="H507" s="545"/>
      <c r="I507" s="545"/>
      <c r="J507" s="545"/>
      <c r="K507" s="545"/>
      <c r="L507" s="545"/>
      <c r="M507" s="544"/>
      <c r="N507" s="544"/>
      <c r="O507" s="545"/>
      <c r="P507" s="545"/>
      <c r="Q507" s="544"/>
      <c r="R507" s="544"/>
      <c r="S507" s="546">
        <f t="shared" si="90"/>
        <v>0</v>
      </c>
      <c r="T507" s="547">
        <f t="shared" si="91"/>
        <v>0</v>
      </c>
      <c r="U507" s="546">
        <f t="shared" si="92"/>
        <v>0</v>
      </c>
      <c r="W507" s="350">
        <f t="shared" si="88"/>
        <v>0</v>
      </c>
      <c r="X507" s="285">
        <f t="shared" si="89"/>
        <v>0</v>
      </c>
      <c r="Y507" s="564"/>
      <c r="Z507" s="65"/>
      <c r="AA507" s="65"/>
      <c r="AB507" s="65"/>
      <c r="AC507" s="65"/>
      <c r="AD507" s="65"/>
      <c r="AE507" s="65"/>
      <c r="AF507" s="65"/>
      <c r="AG507" s="65"/>
      <c r="AH507" s="65"/>
      <c r="AI507" s="65"/>
      <c r="AJ507" s="65"/>
      <c r="AK507" s="65"/>
      <c r="AL507" s="65"/>
      <c r="AM507" s="65"/>
      <c r="AN507" s="65"/>
      <c r="AO507" s="65"/>
      <c r="AP507" s="65"/>
      <c r="AQ507" s="564"/>
      <c r="AR507" s="564"/>
      <c r="AS507" s="564"/>
      <c r="AT507" s="564"/>
      <c r="AU507" s="564"/>
      <c r="AV507" s="564"/>
      <c r="AW507" s="564"/>
      <c r="AX507" s="564"/>
      <c r="AY507" s="564"/>
      <c r="AZ507" s="564"/>
      <c r="BA507" s="564"/>
      <c r="BB507" s="564"/>
      <c r="BC507" s="564"/>
    </row>
    <row r="508" spans="1:55" ht="12" thickBot="1">
      <c r="A508" s="596" t="s">
        <v>1508</v>
      </c>
      <c r="B508" s="541" t="s">
        <v>370</v>
      </c>
      <c r="C508" s="541" t="s">
        <v>1078</v>
      </c>
      <c r="D508" s="552" t="s">
        <v>1140</v>
      </c>
      <c r="E508" s="549"/>
      <c r="F508" s="551"/>
      <c r="G508" s="550"/>
      <c r="H508" s="551"/>
      <c r="I508" s="551"/>
      <c r="J508" s="551"/>
      <c r="K508" s="551"/>
      <c r="L508" s="551"/>
      <c r="M508" s="550"/>
      <c r="N508" s="550"/>
      <c r="O508" s="551"/>
      <c r="P508" s="551"/>
      <c r="Q508" s="550"/>
      <c r="R508" s="550"/>
      <c r="S508" s="546">
        <f t="shared" si="90"/>
        <v>0</v>
      </c>
      <c r="T508" s="547">
        <f t="shared" si="91"/>
        <v>0</v>
      </c>
      <c r="U508" s="546">
        <f t="shared" si="92"/>
        <v>0</v>
      </c>
      <c r="W508" s="350">
        <f t="shared" si="88"/>
        <v>0</v>
      </c>
      <c r="X508" s="285">
        <f t="shared" si="89"/>
        <v>0</v>
      </c>
      <c r="Y508" s="564"/>
      <c r="Z508" s="65"/>
      <c r="AA508" s="65"/>
      <c r="AB508" s="65"/>
      <c r="AC508" s="65"/>
      <c r="AD508" s="65"/>
      <c r="AE508" s="65"/>
      <c r="AF508" s="65"/>
      <c r="AG508" s="65"/>
      <c r="AH508" s="65"/>
      <c r="AI508" s="65"/>
      <c r="AJ508" s="65"/>
      <c r="AK508" s="65"/>
      <c r="AL508" s="65"/>
      <c r="AM508" s="65"/>
      <c r="AN508" s="65"/>
      <c r="AO508" s="65"/>
      <c r="AP508" s="65"/>
      <c r="AQ508" s="564"/>
      <c r="AR508" s="564"/>
      <c r="AS508" s="564"/>
      <c r="AT508" s="564"/>
      <c r="AU508" s="564"/>
      <c r="AV508" s="564"/>
      <c r="AW508" s="564"/>
      <c r="AX508" s="564"/>
      <c r="AY508" s="564"/>
      <c r="AZ508" s="564"/>
      <c r="BA508" s="564"/>
      <c r="BB508" s="564"/>
      <c r="BC508" s="564"/>
    </row>
    <row r="509" spans="1:55" ht="12" thickBot="1">
      <c r="A509" s="596" t="s">
        <v>1508</v>
      </c>
      <c r="B509" s="541" t="s">
        <v>393</v>
      </c>
      <c r="C509" s="541" t="s">
        <v>1079</v>
      </c>
      <c r="D509" s="552" t="s">
        <v>1140</v>
      </c>
      <c r="E509" s="543"/>
      <c r="F509" s="545"/>
      <c r="G509" s="544"/>
      <c r="H509" s="545"/>
      <c r="I509" s="545"/>
      <c r="J509" s="545"/>
      <c r="K509" s="545"/>
      <c r="L509" s="545"/>
      <c r="M509" s="544"/>
      <c r="N509" s="544"/>
      <c r="O509" s="545"/>
      <c r="P509" s="545"/>
      <c r="Q509" s="544"/>
      <c r="R509" s="544"/>
      <c r="S509" s="546">
        <f t="shared" si="90"/>
        <v>0</v>
      </c>
      <c r="T509" s="547">
        <f t="shared" si="91"/>
        <v>0</v>
      </c>
      <c r="U509" s="546">
        <f t="shared" si="92"/>
        <v>0</v>
      </c>
      <c r="W509" s="350">
        <f t="shared" si="88"/>
        <v>0</v>
      </c>
      <c r="X509" s="285">
        <f t="shared" si="89"/>
        <v>0</v>
      </c>
      <c r="Y509" s="564"/>
      <c r="Z509" s="65"/>
      <c r="AA509" s="65"/>
      <c r="AB509" s="65"/>
      <c r="AC509" s="65"/>
      <c r="AD509" s="65"/>
      <c r="AE509" s="65"/>
      <c r="AF509" s="65"/>
      <c r="AG509" s="65"/>
      <c r="AH509" s="65"/>
      <c r="AI509" s="65"/>
      <c r="AJ509" s="65"/>
      <c r="AK509" s="65"/>
      <c r="AL509" s="65"/>
      <c r="AM509" s="65"/>
      <c r="AN509" s="65"/>
      <c r="AO509" s="65"/>
      <c r="AP509" s="65"/>
      <c r="AQ509" s="564"/>
      <c r="AR509" s="564"/>
      <c r="AS509" s="564"/>
      <c r="AT509" s="564"/>
      <c r="AU509" s="564"/>
      <c r="AV509" s="564"/>
      <c r="AW509" s="564"/>
      <c r="AX509" s="564"/>
      <c r="AY509" s="564"/>
      <c r="AZ509" s="564"/>
      <c r="BA509" s="564"/>
      <c r="BB509" s="564"/>
      <c r="BC509" s="564"/>
    </row>
    <row r="510" spans="1:55" ht="12" thickBot="1">
      <c r="A510" s="596" t="s">
        <v>1508</v>
      </c>
      <c r="B510" s="541" t="s">
        <v>371</v>
      </c>
      <c r="C510" s="541" t="s">
        <v>1080</v>
      </c>
      <c r="D510" s="552" t="s">
        <v>1139</v>
      </c>
      <c r="E510" s="549"/>
      <c r="F510" s="551"/>
      <c r="G510" s="550"/>
      <c r="H510" s="551"/>
      <c r="I510" s="551"/>
      <c r="J510" s="551"/>
      <c r="K510" s="551"/>
      <c r="L510" s="551"/>
      <c r="M510" s="550"/>
      <c r="N510" s="550"/>
      <c r="O510" s="551"/>
      <c r="P510" s="551"/>
      <c r="Q510" s="550"/>
      <c r="R510" s="550"/>
      <c r="S510" s="546">
        <f t="shared" si="90"/>
        <v>0</v>
      </c>
      <c r="T510" s="547">
        <f t="shared" si="91"/>
        <v>0</v>
      </c>
      <c r="U510" s="546">
        <f t="shared" si="92"/>
        <v>0</v>
      </c>
      <c r="W510" s="350">
        <f t="shared" si="88"/>
        <v>0</v>
      </c>
      <c r="X510" s="285">
        <f t="shared" si="89"/>
        <v>0</v>
      </c>
      <c r="Y510" s="564"/>
      <c r="Z510" s="65"/>
      <c r="AA510" s="65"/>
      <c r="AB510" s="65"/>
      <c r="AC510" s="65"/>
      <c r="AD510" s="65"/>
      <c r="AE510" s="65"/>
      <c r="AF510" s="65"/>
      <c r="AG510" s="65"/>
      <c r="AH510" s="65"/>
      <c r="AI510" s="65"/>
      <c r="AJ510" s="65"/>
      <c r="AK510" s="65"/>
      <c r="AL510" s="65"/>
      <c r="AM510" s="65"/>
      <c r="AN510" s="65"/>
      <c r="AO510" s="65"/>
      <c r="AP510" s="65"/>
      <c r="AQ510" s="564"/>
      <c r="AR510" s="564"/>
      <c r="AS510" s="564"/>
      <c r="AT510" s="564"/>
      <c r="AU510" s="564"/>
      <c r="AV510" s="564"/>
      <c r="AW510" s="564"/>
      <c r="AX510" s="564"/>
      <c r="AY510" s="564"/>
      <c r="AZ510" s="564"/>
      <c r="BA510" s="564"/>
      <c r="BB510" s="564"/>
      <c r="BC510" s="564"/>
    </row>
    <row r="511" spans="1:55" ht="12" thickBot="1">
      <c r="A511" s="596" t="s">
        <v>1508</v>
      </c>
      <c r="B511" s="541" t="s">
        <v>394</v>
      </c>
      <c r="C511" s="541" t="s">
        <v>1081</v>
      </c>
      <c r="D511" s="552" t="s">
        <v>1139</v>
      </c>
      <c r="E511" s="543"/>
      <c r="F511" s="545"/>
      <c r="G511" s="544"/>
      <c r="H511" s="545"/>
      <c r="I511" s="545"/>
      <c r="J511" s="545"/>
      <c r="K511" s="545"/>
      <c r="L511" s="545"/>
      <c r="M511" s="544"/>
      <c r="N511" s="544"/>
      <c r="O511" s="545"/>
      <c r="P511" s="545"/>
      <c r="Q511" s="544"/>
      <c r="R511" s="544"/>
      <c r="S511" s="546">
        <f t="shared" si="90"/>
        <v>0</v>
      </c>
      <c r="T511" s="547">
        <f t="shared" si="91"/>
        <v>0</v>
      </c>
      <c r="U511" s="546">
        <f t="shared" si="92"/>
        <v>0</v>
      </c>
      <c r="W511" s="350">
        <f t="shared" si="88"/>
        <v>0</v>
      </c>
      <c r="X511" s="285">
        <f t="shared" si="89"/>
        <v>0</v>
      </c>
      <c r="Y511" s="564"/>
      <c r="Z511" s="65"/>
      <c r="AA511" s="65"/>
      <c r="AB511" s="65"/>
      <c r="AC511" s="65"/>
      <c r="AD511" s="65"/>
      <c r="AE511" s="65"/>
      <c r="AF511" s="65"/>
      <c r="AG511" s="65"/>
      <c r="AH511" s="65"/>
      <c r="AI511" s="65"/>
      <c r="AJ511" s="65"/>
      <c r="AK511" s="65"/>
      <c r="AL511" s="65"/>
      <c r="AM511" s="65"/>
      <c r="AN511" s="65"/>
      <c r="AO511" s="65"/>
      <c r="AP511" s="65"/>
      <c r="AQ511" s="564"/>
      <c r="AR511" s="564"/>
      <c r="AS511" s="564"/>
      <c r="AT511" s="564"/>
      <c r="AU511" s="564"/>
      <c r="AV511" s="564"/>
      <c r="AW511" s="564"/>
      <c r="AX511" s="564"/>
      <c r="AY511" s="564"/>
      <c r="AZ511" s="564"/>
      <c r="BA511" s="564"/>
      <c r="BB511" s="564"/>
      <c r="BC511" s="564"/>
    </row>
    <row r="512" spans="1:55" ht="12" thickBot="1">
      <c r="A512" s="596" t="s">
        <v>1508</v>
      </c>
      <c r="B512" s="541" t="s">
        <v>389</v>
      </c>
      <c r="C512" s="541" t="s">
        <v>1082</v>
      </c>
      <c r="D512" s="552" t="s">
        <v>1139</v>
      </c>
      <c r="E512" s="549"/>
      <c r="F512" s="551"/>
      <c r="G512" s="550"/>
      <c r="H512" s="551"/>
      <c r="I512" s="551"/>
      <c r="J512" s="551"/>
      <c r="K512" s="551"/>
      <c r="L512" s="551"/>
      <c r="M512" s="550"/>
      <c r="N512" s="550"/>
      <c r="O512" s="551"/>
      <c r="P512" s="551"/>
      <c r="Q512" s="550"/>
      <c r="R512" s="550"/>
      <c r="S512" s="546">
        <f t="shared" si="90"/>
        <v>0</v>
      </c>
      <c r="T512" s="547">
        <f t="shared" si="91"/>
        <v>0</v>
      </c>
      <c r="U512" s="546">
        <f t="shared" si="92"/>
        <v>0</v>
      </c>
      <c r="W512" s="350">
        <f t="shared" si="88"/>
        <v>0</v>
      </c>
      <c r="X512" s="285">
        <f t="shared" si="89"/>
        <v>0</v>
      </c>
      <c r="Y512" s="564"/>
      <c r="Z512" s="65"/>
      <c r="AA512" s="65"/>
      <c r="AB512" s="65"/>
      <c r="AC512" s="65"/>
      <c r="AD512" s="65"/>
      <c r="AE512" s="65"/>
      <c r="AF512" s="65"/>
      <c r="AG512" s="65"/>
      <c r="AH512" s="65"/>
      <c r="AI512" s="65"/>
      <c r="AJ512" s="65"/>
      <c r="AK512" s="65"/>
      <c r="AL512" s="65"/>
      <c r="AM512" s="65"/>
      <c r="AN512" s="65"/>
      <c r="AO512" s="65"/>
      <c r="AP512" s="65"/>
      <c r="AQ512" s="564"/>
      <c r="AR512" s="564"/>
      <c r="AS512" s="564"/>
      <c r="AT512" s="564"/>
      <c r="AU512" s="564"/>
      <c r="AV512" s="564"/>
      <c r="AW512" s="564"/>
      <c r="AX512" s="564"/>
      <c r="AY512" s="564"/>
      <c r="AZ512" s="564"/>
      <c r="BA512" s="564"/>
      <c r="BB512" s="564"/>
      <c r="BC512" s="564"/>
    </row>
    <row r="513" spans="1:55" ht="12" thickBot="1">
      <c r="A513" s="596" t="s">
        <v>1508</v>
      </c>
      <c r="B513" s="541" t="s">
        <v>310</v>
      </c>
      <c r="C513" s="541" t="s">
        <v>1083</v>
      </c>
      <c r="D513" s="552" t="s">
        <v>1140</v>
      </c>
      <c r="E513" s="543"/>
      <c r="F513" s="545"/>
      <c r="G513" s="544"/>
      <c r="H513" s="545"/>
      <c r="I513" s="545"/>
      <c r="J513" s="545"/>
      <c r="K513" s="545"/>
      <c r="L513" s="545"/>
      <c r="M513" s="544"/>
      <c r="N513" s="544"/>
      <c r="O513" s="545"/>
      <c r="P513" s="545"/>
      <c r="Q513" s="544"/>
      <c r="R513" s="544"/>
      <c r="S513" s="546">
        <f t="shared" si="90"/>
        <v>0</v>
      </c>
      <c r="T513" s="547">
        <f t="shared" si="91"/>
        <v>0</v>
      </c>
      <c r="U513" s="546">
        <f t="shared" si="92"/>
        <v>0</v>
      </c>
      <c r="W513" s="350">
        <f t="shared" si="88"/>
        <v>0</v>
      </c>
      <c r="X513" s="285">
        <f t="shared" si="89"/>
        <v>0</v>
      </c>
      <c r="Y513" s="564"/>
      <c r="Z513" s="65"/>
      <c r="AA513" s="65"/>
      <c r="AB513" s="65"/>
      <c r="AC513" s="65"/>
      <c r="AD513" s="65"/>
      <c r="AE513" s="65"/>
      <c r="AF513" s="65"/>
      <c r="AG513" s="65"/>
      <c r="AH513" s="65"/>
      <c r="AI513" s="65"/>
      <c r="AJ513" s="65"/>
      <c r="AK513" s="65"/>
      <c r="AL513" s="65"/>
      <c r="AM513" s="65"/>
      <c r="AN513" s="65"/>
      <c r="AO513" s="65"/>
      <c r="AP513" s="65"/>
      <c r="AQ513" s="564"/>
      <c r="AR513" s="564"/>
      <c r="AS513" s="564"/>
      <c r="AT513" s="564"/>
      <c r="AU513" s="564"/>
      <c r="AV513" s="564"/>
      <c r="AW513" s="564"/>
      <c r="AX513" s="564"/>
      <c r="AY513" s="564"/>
      <c r="AZ513" s="564"/>
      <c r="BA513" s="564"/>
      <c r="BB513" s="564"/>
      <c r="BC513" s="564"/>
    </row>
    <row r="514" spans="1:55" ht="12" thickBot="1">
      <c r="A514" s="596" t="s">
        <v>1508</v>
      </c>
      <c r="B514" s="541" t="s">
        <v>340</v>
      </c>
      <c r="C514" s="541" t="s">
        <v>1084</v>
      </c>
      <c r="D514" s="552" t="s">
        <v>1140</v>
      </c>
      <c r="E514" s="549"/>
      <c r="F514" s="551"/>
      <c r="G514" s="550"/>
      <c r="H514" s="551"/>
      <c r="I514" s="551"/>
      <c r="J514" s="551"/>
      <c r="K514" s="551"/>
      <c r="L514" s="551"/>
      <c r="M514" s="550"/>
      <c r="N514" s="550"/>
      <c r="O514" s="551"/>
      <c r="P514" s="551"/>
      <c r="Q514" s="550"/>
      <c r="R514" s="550"/>
      <c r="S514" s="546">
        <f t="shared" si="90"/>
        <v>0</v>
      </c>
      <c r="T514" s="547">
        <f t="shared" si="91"/>
        <v>0</v>
      </c>
      <c r="U514" s="546">
        <f t="shared" si="92"/>
        <v>0</v>
      </c>
      <c r="W514" s="350">
        <f t="shared" si="88"/>
        <v>0</v>
      </c>
      <c r="X514" s="285">
        <f t="shared" si="89"/>
        <v>0</v>
      </c>
      <c r="Y514" s="564"/>
      <c r="Z514" s="65"/>
      <c r="AA514" s="65"/>
      <c r="AB514" s="65"/>
      <c r="AC514" s="65"/>
      <c r="AD514" s="65"/>
      <c r="AE514" s="65"/>
      <c r="AF514" s="65"/>
      <c r="AG514" s="65"/>
      <c r="AH514" s="65"/>
      <c r="AI514" s="65"/>
      <c r="AJ514" s="65"/>
      <c r="AK514" s="65"/>
      <c r="AL514" s="65"/>
      <c r="AM514" s="65"/>
      <c r="AN514" s="65"/>
      <c r="AO514" s="65"/>
      <c r="AP514" s="65"/>
      <c r="AQ514" s="564"/>
      <c r="AR514" s="564"/>
      <c r="AS514" s="564"/>
      <c r="AT514" s="564"/>
      <c r="AU514" s="564"/>
      <c r="AV514" s="564"/>
      <c r="AW514" s="564"/>
      <c r="AX514" s="564"/>
      <c r="AY514" s="564"/>
      <c r="AZ514" s="564"/>
      <c r="BA514" s="564"/>
      <c r="BB514" s="564"/>
      <c r="BC514" s="564"/>
    </row>
    <row r="515" spans="1:55" ht="12" thickBot="1">
      <c r="A515" s="596" t="s">
        <v>1508</v>
      </c>
      <c r="B515" s="541" t="s">
        <v>358</v>
      </c>
      <c r="C515" s="541" t="s">
        <v>1085</v>
      </c>
      <c r="D515" s="552" t="s">
        <v>1140</v>
      </c>
      <c r="E515" s="543"/>
      <c r="F515" s="545"/>
      <c r="G515" s="544"/>
      <c r="H515" s="545"/>
      <c r="I515" s="545"/>
      <c r="J515" s="545"/>
      <c r="K515" s="545"/>
      <c r="L515" s="545"/>
      <c r="M515" s="544"/>
      <c r="N515" s="544"/>
      <c r="O515" s="545"/>
      <c r="P515" s="545"/>
      <c r="Q515" s="544"/>
      <c r="R515" s="544"/>
      <c r="S515" s="546">
        <f t="shared" si="90"/>
        <v>0</v>
      </c>
      <c r="T515" s="547">
        <f t="shared" si="91"/>
        <v>0</v>
      </c>
      <c r="U515" s="546">
        <f t="shared" si="92"/>
        <v>0</v>
      </c>
      <c r="W515" s="350">
        <f t="shared" si="88"/>
        <v>0</v>
      </c>
      <c r="X515" s="285">
        <f t="shared" si="89"/>
        <v>0</v>
      </c>
      <c r="Y515" s="564"/>
      <c r="Z515" s="65"/>
      <c r="AA515" s="65"/>
      <c r="AB515" s="65"/>
      <c r="AC515" s="65"/>
      <c r="AD515" s="65"/>
      <c r="AE515" s="65"/>
      <c r="AF515" s="65"/>
      <c r="AG515" s="65"/>
      <c r="AH515" s="65"/>
      <c r="AI515" s="65"/>
      <c r="AJ515" s="65"/>
      <c r="AK515" s="65"/>
      <c r="AL515" s="65"/>
      <c r="AM515" s="65"/>
      <c r="AN515" s="65"/>
      <c r="AO515" s="65"/>
      <c r="AP515" s="65"/>
      <c r="AQ515" s="564"/>
      <c r="AR515" s="564"/>
      <c r="AS515" s="564"/>
      <c r="AT515" s="564"/>
      <c r="AU515" s="564"/>
      <c r="AV515" s="564"/>
      <c r="AW515" s="564"/>
      <c r="AX515" s="564"/>
      <c r="AY515" s="564"/>
      <c r="AZ515" s="564"/>
      <c r="BA515" s="564"/>
      <c r="BB515" s="564"/>
      <c r="BC515" s="564"/>
    </row>
    <row r="516" spans="1:55" ht="12" thickBot="1">
      <c r="A516" s="596" t="s">
        <v>1508</v>
      </c>
      <c r="B516" s="541" t="s">
        <v>383</v>
      </c>
      <c r="C516" s="541" t="s">
        <v>1086</v>
      </c>
      <c r="D516" s="552" t="s">
        <v>1140</v>
      </c>
      <c r="E516" s="549"/>
      <c r="F516" s="551"/>
      <c r="G516" s="550"/>
      <c r="H516" s="551"/>
      <c r="I516" s="551"/>
      <c r="J516" s="551"/>
      <c r="K516" s="551"/>
      <c r="L516" s="551"/>
      <c r="M516" s="550"/>
      <c r="N516" s="550"/>
      <c r="O516" s="551"/>
      <c r="P516" s="551"/>
      <c r="Q516" s="550"/>
      <c r="R516" s="550"/>
      <c r="S516" s="546">
        <f t="shared" si="90"/>
        <v>0</v>
      </c>
      <c r="T516" s="547">
        <f t="shared" si="91"/>
        <v>0</v>
      </c>
      <c r="U516" s="546">
        <f t="shared" si="92"/>
        <v>0</v>
      </c>
      <c r="W516" s="350">
        <f t="shared" si="88"/>
        <v>0</v>
      </c>
      <c r="X516" s="285">
        <f t="shared" si="89"/>
        <v>0</v>
      </c>
      <c r="Y516" s="564"/>
      <c r="Z516" s="65"/>
      <c r="AA516" s="65"/>
      <c r="AB516" s="65"/>
      <c r="AC516" s="65"/>
      <c r="AD516" s="65"/>
      <c r="AE516" s="65"/>
      <c r="AF516" s="65"/>
      <c r="AG516" s="65"/>
      <c r="AH516" s="65"/>
      <c r="AI516" s="65"/>
      <c r="AJ516" s="65"/>
      <c r="AK516" s="65"/>
      <c r="AL516" s="65"/>
      <c r="AM516" s="65"/>
      <c r="AN516" s="65"/>
      <c r="AO516" s="65"/>
      <c r="AP516" s="65"/>
      <c r="AQ516" s="564"/>
      <c r="AR516" s="564"/>
      <c r="AS516" s="564"/>
      <c r="AT516" s="564"/>
      <c r="AU516" s="564"/>
      <c r="AV516" s="564"/>
      <c r="AW516" s="564"/>
      <c r="AX516" s="564"/>
      <c r="AY516" s="564"/>
      <c r="AZ516" s="564"/>
      <c r="BA516" s="564"/>
      <c r="BB516" s="564"/>
      <c r="BC516" s="564"/>
    </row>
    <row r="517" spans="1:55" ht="12" thickBot="1">
      <c r="A517" s="596" t="s">
        <v>1508</v>
      </c>
      <c r="B517" s="541" t="s">
        <v>375</v>
      </c>
      <c r="C517" s="541" t="s">
        <v>1087</v>
      </c>
      <c r="D517" s="552" t="s">
        <v>1140</v>
      </c>
      <c r="E517" s="543"/>
      <c r="F517" s="545"/>
      <c r="G517" s="544"/>
      <c r="H517" s="545"/>
      <c r="I517" s="545"/>
      <c r="J517" s="545"/>
      <c r="K517" s="545"/>
      <c r="L517" s="545"/>
      <c r="M517" s="544"/>
      <c r="N517" s="544"/>
      <c r="O517" s="545"/>
      <c r="P517" s="545"/>
      <c r="Q517" s="544"/>
      <c r="R517" s="544"/>
      <c r="S517" s="546">
        <f t="shared" si="90"/>
        <v>0</v>
      </c>
      <c r="T517" s="547">
        <f t="shared" si="91"/>
        <v>0</v>
      </c>
      <c r="U517" s="546">
        <f t="shared" si="92"/>
        <v>0</v>
      </c>
      <c r="W517" s="350">
        <f t="shared" si="88"/>
        <v>0</v>
      </c>
      <c r="X517" s="285">
        <f t="shared" si="89"/>
        <v>0</v>
      </c>
      <c r="Y517" s="564"/>
      <c r="Z517" s="65"/>
      <c r="AA517" s="65"/>
      <c r="AB517" s="65"/>
      <c r="AC517" s="65"/>
      <c r="AD517" s="65"/>
      <c r="AE517" s="65"/>
      <c r="AF517" s="65"/>
      <c r="AG517" s="65"/>
      <c r="AH517" s="65"/>
      <c r="AI517" s="65"/>
      <c r="AJ517" s="65"/>
      <c r="AK517" s="65"/>
      <c r="AL517" s="65"/>
      <c r="AM517" s="65"/>
      <c r="AN517" s="65"/>
      <c r="AO517" s="65"/>
      <c r="AP517" s="65"/>
      <c r="AQ517" s="564"/>
      <c r="AR517" s="564"/>
      <c r="AS517" s="564"/>
      <c r="AT517" s="564"/>
      <c r="AU517" s="564"/>
      <c r="AV517" s="564"/>
      <c r="AW517" s="564"/>
      <c r="AX517" s="564"/>
      <c r="AY517" s="564"/>
      <c r="AZ517" s="564"/>
      <c r="BA517" s="564"/>
      <c r="BB517" s="564"/>
      <c r="BC517" s="564"/>
    </row>
    <row r="518" spans="1:55" ht="12" thickBot="1">
      <c r="A518" s="596" t="s">
        <v>1508</v>
      </c>
      <c r="B518" s="541" t="s">
        <v>400</v>
      </c>
      <c r="C518" s="541" t="s">
        <v>1088</v>
      </c>
      <c r="D518" s="552" t="s">
        <v>1139</v>
      </c>
      <c r="E518" s="549"/>
      <c r="F518" s="551"/>
      <c r="G518" s="550"/>
      <c r="H518" s="551"/>
      <c r="I518" s="551"/>
      <c r="J518" s="551"/>
      <c r="K518" s="551"/>
      <c r="L518" s="551"/>
      <c r="M518" s="550"/>
      <c r="N518" s="550"/>
      <c r="O518" s="551"/>
      <c r="P518" s="551"/>
      <c r="Q518" s="550"/>
      <c r="R518" s="550"/>
      <c r="S518" s="546">
        <f t="shared" si="90"/>
        <v>0</v>
      </c>
      <c r="T518" s="547">
        <f t="shared" si="91"/>
        <v>0</v>
      </c>
      <c r="U518" s="546">
        <f t="shared" si="92"/>
        <v>0</v>
      </c>
      <c r="W518" s="350">
        <f t="shared" si="88"/>
        <v>0</v>
      </c>
      <c r="X518" s="285">
        <f t="shared" si="89"/>
        <v>0</v>
      </c>
      <c r="Y518" s="564"/>
      <c r="Z518" s="65"/>
      <c r="AA518" s="65"/>
      <c r="AB518" s="65"/>
      <c r="AC518" s="65"/>
      <c r="AD518" s="65"/>
      <c r="AE518" s="65"/>
      <c r="AF518" s="65"/>
      <c r="AG518" s="65"/>
      <c r="AH518" s="65"/>
      <c r="AI518" s="65"/>
      <c r="AJ518" s="65"/>
      <c r="AK518" s="65"/>
      <c r="AL518" s="65"/>
      <c r="AM518" s="65"/>
      <c r="AN518" s="65"/>
      <c r="AO518" s="65"/>
      <c r="AP518" s="65"/>
      <c r="AQ518" s="564"/>
      <c r="AR518" s="564"/>
      <c r="AS518" s="564"/>
      <c r="AT518" s="564"/>
      <c r="AU518" s="564"/>
      <c r="AV518" s="564"/>
      <c r="AW518" s="564"/>
      <c r="AX518" s="564"/>
      <c r="AY518" s="564"/>
      <c r="AZ518" s="564"/>
      <c r="BA518" s="564"/>
      <c r="BB518" s="564"/>
      <c r="BC518" s="564"/>
    </row>
    <row r="519" spans="1:55" ht="12" thickBot="1">
      <c r="A519" s="596" t="s">
        <v>1508</v>
      </c>
      <c r="B519" s="541" t="s">
        <v>391</v>
      </c>
      <c r="C519" s="541" t="s">
        <v>1089</v>
      </c>
      <c r="D519" s="552" t="s">
        <v>1139</v>
      </c>
      <c r="E519" s="543"/>
      <c r="F519" s="545"/>
      <c r="G519" s="544"/>
      <c r="H519" s="545"/>
      <c r="I519" s="545"/>
      <c r="J519" s="545"/>
      <c r="K519" s="545"/>
      <c r="L519" s="545"/>
      <c r="M519" s="544"/>
      <c r="N519" s="544"/>
      <c r="O519" s="545"/>
      <c r="P519" s="545"/>
      <c r="Q519" s="544"/>
      <c r="R519" s="544"/>
      <c r="S519" s="546">
        <f t="shared" si="90"/>
        <v>0</v>
      </c>
      <c r="T519" s="547">
        <f t="shared" si="91"/>
        <v>0</v>
      </c>
      <c r="U519" s="546">
        <f t="shared" si="92"/>
        <v>0</v>
      </c>
      <c r="W519" s="350">
        <f t="shared" si="88"/>
        <v>0</v>
      </c>
      <c r="X519" s="285">
        <f t="shared" si="89"/>
        <v>0</v>
      </c>
      <c r="Y519" s="564"/>
      <c r="Z519" s="65"/>
      <c r="AA519" s="65"/>
      <c r="AB519" s="65"/>
      <c r="AC519" s="65"/>
      <c r="AD519" s="65"/>
      <c r="AE519" s="65"/>
      <c r="AF519" s="65"/>
      <c r="AG519" s="65"/>
      <c r="AH519" s="65"/>
      <c r="AI519" s="65"/>
      <c r="AJ519" s="65"/>
      <c r="AK519" s="65"/>
      <c r="AL519" s="65"/>
      <c r="AM519" s="65"/>
      <c r="AN519" s="65"/>
      <c r="AO519" s="65"/>
      <c r="AP519" s="65"/>
      <c r="AQ519" s="564"/>
      <c r="AR519" s="564"/>
      <c r="AS519" s="564"/>
      <c r="AT519" s="564"/>
      <c r="AU519" s="564"/>
      <c r="AV519" s="564"/>
      <c r="AW519" s="564"/>
      <c r="AX519" s="564"/>
      <c r="AY519" s="564"/>
      <c r="AZ519" s="564"/>
      <c r="BA519" s="564"/>
      <c r="BB519" s="564"/>
      <c r="BC519" s="564"/>
    </row>
    <row r="520" spans="1:55" ht="12" thickBot="1">
      <c r="A520" s="596" t="s">
        <v>1508</v>
      </c>
      <c r="B520" s="541" t="s">
        <v>357</v>
      </c>
      <c r="C520" s="541" t="s">
        <v>1090</v>
      </c>
      <c r="D520" s="552" t="s">
        <v>1140</v>
      </c>
      <c r="E520" s="549"/>
      <c r="F520" s="551"/>
      <c r="G520" s="550"/>
      <c r="H520" s="551"/>
      <c r="I520" s="551"/>
      <c r="J520" s="551"/>
      <c r="K520" s="551"/>
      <c r="L520" s="551"/>
      <c r="M520" s="550"/>
      <c r="N520" s="550"/>
      <c r="O520" s="551"/>
      <c r="P520" s="551"/>
      <c r="Q520" s="550"/>
      <c r="R520" s="550"/>
      <c r="S520" s="546">
        <f t="shared" si="90"/>
        <v>0</v>
      </c>
      <c r="T520" s="547">
        <f t="shared" si="91"/>
        <v>0</v>
      </c>
      <c r="U520" s="546">
        <f t="shared" si="92"/>
        <v>0</v>
      </c>
      <c r="W520" s="350">
        <f t="shared" si="88"/>
        <v>0</v>
      </c>
      <c r="X520" s="285">
        <f t="shared" si="89"/>
        <v>0</v>
      </c>
      <c r="Y520" s="564"/>
      <c r="Z520" s="65"/>
      <c r="AA520" s="65"/>
      <c r="AB520" s="65"/>
      <c r="AC520" s="65"/>
      <c r="AD520" s="65"/>
      <c r="AE520" s="65"/>
      <c r="AF520" s="65"/>
      <c r="AG520" s="65"/>
      <c r="AH520" s="65"/>
      <c r="AI520" s="65"/>
      <c r="AJ520" s="65"/>
      <c r="AK520" s="65"/>
      <c r="AL520" s="65"/>
      <c r="AM520" s="65"/>
      <c r="AN520" s="65"/>
      <c r="AO520" s="65"/>
      <c r="AP520" s="65"/>
      <c r="AQ520" s="564"/>
      <c r="AR520" s="564"/>
      <c r="AS520" s="564"/>
      <c r="AT520" s="564"/>
      <c r="AU520" s="564"/>
      <c r="AV520" s="564"/>
      <c r="AW520" s="564"/>
      <c r="AX520" s="564"/>
      <c r="AY520" s="564"/>
      <c r="AZ520" s="564"/>
      <c r="BA520" s="564"/>
      <c r="BB520" s="564"/>
      <c r="BC520" s="564"/>
    </row>
    <row r="521" spans="1:55" ht="12" thickBot="1">
      <c r="A521" s="596" t="s">
        <v>1508</v>
      </c>
      <c r="B521" s="541" t="s">
        <v>359</v>
      </c>
      <c r="C521" s="541" t="s">
        <v>1091</v>
      </c>
      <c r="D521" s="552" t="s">
        <v>1140</v>
      </c>
      <c r="E521" s="543"/>
      <c r="F521" s="545"/>
      <c r="G521" s="544"/>
      <c r="H521" s="545"/>
      <c r="I521" s="545"/>
      <c r="J521" s="545"/>
      <c r="K521" s="545"/>
      <c r="L521" s="545"/>
      <c r="M521" s="544"/>
      <c r="N521" s="544"/>
      <c r="O521" s="545"/>
      <c r="P521" s="545"/>
      <c r="Q521" s="544"/>
      <c r="R521" s="544"/>
      <c r="S521" s="546">
        <f t="shared" si="90"/>
        <v>0</v>
      </c>
      <c r="T521" s="547">
        <f t="shared" si="91"/>
        <v>0</v>
      </c>
      <c r="U521" s="546">
        <f t="shared" si="92"/>
        <v>0</v>
      </c>
      <c r="W521" s="350">
        <f t="shared" si="88"/>
        <v>0</v>
      </c>
      <c r="X521" s="285">
        <f t="shared" si="89"/>
        <v>0</v>
      </c>
      <c r="Y521" s="564"/>
      <c r="Z521" s="65"/>
      <c r="AA521" s="65"/>
      <c r="AB521" s="65"/>
      <c r="AC521" s="65"/>
      <c r="AD521" s="65"/>
      <c r="AE521" s="65"/>
      <c r="AF521" s="65"/>
      <c r="AG521" s="65"/>
      <c r="AH521" s="65"/>
      <c r="AI521" s="65"/>
      <c r="AJ521" s="65"/>
      <c r="AK521" s="65"/>
      <c r="AL521" s="65"/>
      <c r="AM521" s="65"/>
      <c r="AN521" s="65"/>
      <c r="AO521" s="65"/>
      <c r="AP521" s="65"/>
      <c r="AQ521" s="564"/>
      <c r="AR521" s="564"/>
      <c r="AS521" s="564"/>
      <c r="AT521" s="564"/>
      <c r="AU521" s="564"/>
      <c r="AV521" s="564"/>
      <c r="AW521" s="564"/>
      <c r="AX521" s="564"/>
      <c r="AY521" s="564"/>
      <c r="AZ521" s="564"/>
      <c r="BA521" s="564"/>
      <c r="BB521" s="564"/>
      <c r="BC521" s="564"/>
    </row>
    <row r="522" spans="1:55" ht="12" thickBot="1">
      <c r="A522" s="596" t="s">
        <v>1508</v>
      </c>
      <c r="B522" s="541" t="s">
        <v>385</v>
      </c>
      <c r="C522" s="541" t="s">
        <v>1092</v>
      </c>
      <c r="D522" s="552" t="s">
        <v>1140</v>
      </c>
      <c r="E522" s="549"/>
      <c r="F522" s="551"/>
      <c r="G522" s="550"/>
      <c r="H522" s="551"/>
      <c r="I522" s="551"/>
      <c r="J522" s="551"/>
      <c r="K522" s="551"/>
      <c r="L522" s="551"/>
      <c r="M522" s="550"/>
      <c r="N522" s="550"/>
      <c r="O522" s="551"/>
      <c r="P522" s="551"/>
      <c r="Q522" s="550"/>
      <c r="R522" s="550"/>
      <c r="S522" s="546">
        <f t="shared" si="90"/>
        <v>0</v>
      </c>
      <c r="T522" s="547">
        <f t="shared" si="91"/>
        <v>0</v>
      </c>
      <c r="U522" s="546">
        <f t="shared" si="92"/>
        <v>0</v>
      </c>
      <c r="W522" s="350">
        <f t="shared" si="88"/>
        <v>0</v>
      </c>
      <c r="X522" s="285">
        <f t="shared" si="89"/>
        <v>0</v>
      </c>
      <c r="Y522" s="564"/>
      <c r="Z522" s="65"/>
      <c r="AA522" s="65"/>
      <c r="AB522" s="65"/>
      <c r="AC522" s="65"/>
      <c r="AD522" s="65"/>
      <c r="AE522" s="65"/>
      <c r="AF522" s="65"/>
      <c r="AG522" s="65"/>
      <c r="AH522" s="65"/>
      <c r="AI522" s="65"/>
      <c r="AJ522" s="65"/>
      <c r="AK522" s="65"/>
      <c r="AL522" s="65"/>
      <c r="AM522" s="65"/>
      <c r="AN522" s="65"/>
      <c r="AO522" s="65"/>
      <c r="AP522" s="65"/>
      <c r="AQ522" s="564"/>
      <c r="AR522" s="564"/>
      <c r="AS522" s="564"/>
      <c r="AT522" s="564"/>
      <c r="AU522" s="564"/>
      <c r="AV522" s="564"/>
      <c r="AW522" s="564"/>
      <c r="AX522" s="564"/>
      <c r="AY522" s="564"/>
      <c r="AZ522" s="564"/>
      <c r="BA522" s="564"/>
      <c r="BB522" s="564"/>
      <c r="BC522" s="564"/>
    </row>
    <row r="523" spans="1:55" ht="12" thickBot="1">
      <c r="A523" s="596" t="s">
        <v>1508</v>
      </c>
      <c r="B523" s="541" t="s">
        <v>312</v>
      </c>
      <c r="C523" s="541" t="s">
        <v>1093</v>
      </c>
      <c r="D523" s="552" t="s">
        <v>1140</v>
      </c>
      <c r="E523" s="543"/>
      <c r="F523" s="545"/>
      <c r="G523" s="544"/>
      <c r="H523" s="545"/>
      <c r="I523" s="545"/>
      <c r="J523" s="545"/>
      <c r="K523" s="545"/>
      <c r="L523" s="545"/>
      <c r="M523" s="544"/>
      <c r="N523" s="544"/>
      <c r="O523" s="545"/>
      <c r="P523" s="545"/>
      <c r="Q523" s="544"/>
      <c r="R523" s="544"/>
      <c r="S523" s="546">
        <f t="shared" si="90"/>
        <v>0</v>
      </c>
      <c r="T523" s="547">
        <f t="shared" si="91"/>
        <v>0</v>
      </c>
      <c r="U523" s="546">
        <f t="shared" si="92"/>
        <v>0</v>
      </c>
      <c r="W523" s="350">
        <f t="shared" si="88"/>
        <v>0</v>
      </c>
      <c r="X523" s="285">
        <f t="shared" si="89"/>
        <v>0</v>
      </c>
      <c r="Y523" s="564"/>
      <c r="Z523" s="65"/>
      <c r="AA523" s="65"/>
      <c r="AB523" s="65"/>
      <c r="AC523" s="65"/>
      <c r="AD523" s="65"/>
      <c r="AE523" s="65"/>
      <c r="AF523" s="65"/>
      <c r="AG523" s="65"/>
      <c r="AH523" s="65"/>
      <c r="AI523" s="65"/>
      <c r="AJ523" s="65"/>
      <c r="AK523" s="65"/>
      <c r="AL523" s="65"/>
      <c r="AM523" s="65"/>
      <c r="AN523" s="65"/>
      <c r="AO523" s="65"/>
      <c r="AP523" s="65"/>
      <c r="AQ523" s="564"/>
      <c r="AR523" s="564"/>
      <c r="AS523" s="564"/>
      <c r="AT523" s="564"/>
      <c r="AU523" s="564"/>
      <c r="AV523" s="564"/>
      <c r="AW523" s="564"/>
      <c r="AX523" s="564"/>
      <c r="AY523" s="564"/>
      <c r="AZ523" s="564"/>
      <c r="BA523" s="564"/>
      <c r="BB523" s="564"/>
      <c r="BC523" s="564"/>
    </row>
    <row r="524" spans="1:55" ht="12" thickBot="1">
      <c r="A524" s="596" t="s">
        <v>1508</v>
      </c>
      <c r="B524" s="541" t="s">
        <v>421</v>
      </c>
      <c r="C524" s="541" t="s">
        <v>1094</v>
      </c>
      <c r="D524" s="552" t="s">
        <v>1140</v>
      </c>
      <c r="E524" s="549"/>
      <c r="F524" s="551"/>
      <c r="G524" s="550"/>
      <c r="H524" s="551"/>
      <c r="I524" s="551"/>
      <c r="J524" s="551"/>
      <c r="K524" s="551"/>
      <c r="L524" s="551"/>
      <c r="M524" s="550"/>
      <c r="N524" s="550"/>
      <c r="O524" s="551"/>
      <c r="P524" s="551"/>
      <c r="Q524" s="550"/>
      <c r="R524" s="550"/>
      <c r="S524" s="546">
        <f t="shared" si="90"/>
        <v>0</v>
      </c>
      <c r="T524" s="547">
        <f t="shared" si="91"/>
        <v>0</v>
      </c>
      <c r="U524" s="546">
        <f t="shared" si="92"/>
        <v>0</v>
      </c>
      <c r="W524" s="350">
        <f t="shared" si="88"/>
        <v>0</v>
      </c>
      <c r="X524" s="285">
        <f t="shared" si="89"/>
        <v>0</v>
      </c>
      <c r="Y524" s="564"/>
      <c r="Z524" s="65"/>
      <c r="AA524" s="65"/>
      <c r="AB524" s="65"/>
      <c r="AC524" s="65"/>
      <c r="AD524" s="65"/>
      <c r="AE524" s="65"/>
      <c r="AF524" s="65"/>
      <c r="AG524" s="65"/>
      <c r="AH524" s="65"/>
      <c r="AI524" s="65"/>
      <c r="AJ524" s="65"/>
      <c r="AK524" s="65"/>
      <c r="AL524" s="65"/>
      <c r="AM524" s="65"/>
      <c r="AN524" s="65"/>
      <c r="AO524" s="65"/>
      <c r="AP524" s="65"/>
      <c r="AQ524" s="564"/>
      <c r="AR524" s="564"/>
      <c r="AS524" s="564"/>
      <c r="AT524" s="564"/>
      <c r="AU524" s="564"/>
      <c r="AV524" s="564"/>
      <c r="AW524" s="564"/>
      <c r="AX524" s="564"/>
      <c r="AY524" s="564"/>
      <c r="AZ524" s="564"/>
      <c r="BA524" s="564"/>
      <c r="BB524" s="564"/>
      <c r="BC524" s="564"/>
    </row>
    <row r="525" spans="1:55" ht="12" thickBot="1">
      <c r="A525" s="596" t="s">
        <v>1508</v>
      </c>
      <c r="B525" s="541" t="s">
        <v>322</v>
      </c>
      <c r="C525" s="541" t="s">
        <v>1095</v>
      </c>
      <c r="D525" s="552" t="s">
        <v>1139</v>
      </c>
      <c r="E525" s="543"/>
      <c r="F525" s="545"/>
      <c r="G525" s="544"/>
      <c r="H525" s="545"/>
      <c r="I525" s="545"/>
      <c r="J525" s="545"/>
      <c r="K525" s="545"/>
      <c r="L525" s="545"/>
      <c r="M525" s="544"/>
      <c r="N525" s="544"/>
      <c r="O525" s="545"/>
      <c r="P525" s="545"/>
      <c r="Q525" s="544"/>
      <c r="R525" s="544"/>
      <c r="S525" s="546">
        <f t="shared" si="90"/>
        <v>0</v>
      </c>
      <c r="T525" s="547">
        <f t="shared" si="91"/>
        <v>0</v>
      </c>
      <c r="U525" s="546">
        <f t="shared" si="92"/>
        <v>0</v>
      </c>
      <c r="W525" s="350">
        <f t="shared" si="88"/>
        <v>0</v>
      </c>
      <c r="X525" s="285">
        <f t="shared" si="89"/>
        <v>0</v>
      </c>
      <c r="Y525" s="564"/>
      <c r="Z525" s="65"/>
      <c r="AA525" s="65"/>
      <c r="AB525" s="65"/>
      <c r="AC525" s="65"/>
      <c r="AD525" s="65"/>
      <c r="AE525" s="65"/>
      <c r="AF525" s="65"/>
      <c r="AG525" s="65"/>
      <c r="AH525" s="65"/>
      <c r="AI525" s="65"/>
      <c r="AJ525" s="65"/>
      <c r="AK525" s="65"/>
      <c r="AL525" s="65"/>
      <c r="AM525" s="65"/>
      <c r="AN525" s="65"/>
      <c r="AO525" s="65"/>
      <c r="AP525" s="65"/>
      <c r="AQ525" s="564"/>
      <c r="AR525" s="564"/>
      <c r="AS525" s="564"/>
      <c r="AT525" s="564"/>
      <c r="AU525" s="564"/>
      <c r="AV525" s="564"/>
      <c r="AW525" s="564"/>
      <c r="AX525" s="564"/>
      <c r="AY525" s="564"/>
      <c r="AZ525" s="564"/>
      <c r="BA525" s="564"/>
      <c r="BB525" s="564"/>
      <c r="BC525" s="564"/>
    </row>
    <row r="526" spans="1:55" ht="12" thickBot="1">
      <c r="A526" s="596" t="s">
        <v>1508</v>
      </c>
      <c r="B526" s="541" t="s">
        <v>354</v>
      </c>
      <c r="C526" s="541" t="s">
        <v>1096</v>
      </c>
      <c r="D526" s="552" t="s">
        <v>1139</v>
      </c>
      <c r="E526" s="549"/>
      <c r="F526" s="551"/>
      <c r="G526" s="550"/>
      <c r="H526" s="551"/>
      <c r="I526" s="551"/>
      <c r="J526" s="551"/>
      <c r="K526" s="551"/>
      <c r="L526" s="551"/>
      <c r="M526" s="550"/>
      <c r="N526" s="550"/>
      <c r="O526" s="551"/>
      <c r="P526" s="551"/>
      <c r="Q526" s="550"/>
      <c r="R526" s="550"/>
      <c r="S526" s="546">
        <f t="shared" si="90"/>
        <v>0</v>
      </c>
      <c r="T526" s="547">
        <f t="shared" si="91"/>
        <v>0</v>
      </c>
      <c r="U526" s="546">
        <f t="shared" si="92"/>
        <v>0</v>
      </c>
      <c r="W526" s="350">
        <f t="shared" si="88"/>
        <v>0</v>
      </c>
      <c r="X526" s="285">
        <f t="shared" si="89"/>
        <v>0</v>
      </c>
      <c r="Y526" s="564"/>
      <c r="Z526" s="65"/>
      <c r="AA526" s="65"/>
      <c r="AB526" s="65"/>
      <c r="AC526" s="65"/>
      <c r="AD526" s="65"/>
      <c r="AE526" s="65"/>
      <c r="AF526" s="65"/>
      <c r="AG526" s="65"/>
      <c r="AH526" s="65"/>
      <c r="AI526" s="65"/>
      <c r="AJ526" s="65"/>
      <c r="AK526" s="65"/>
      <c r="AL526" s="65"/>
      <c r="AM526" s="65"/>
      <c r="AN526" s="65"/>
      <c r="AO526" s="65"/>
      <c r="AP526" s="65"/>
      <c r="AQ526" s="564"/>
      <c r="AR526" s="564"/>
      <c r="AS526" s="564"/>
      <c r="AT526" s="564"/>
      <c r="AU526" s="564"/>
      <c r="AV526" s="564"/>
      <c r="AW526" s="564"/>
      <c r="AX526" s="564"/>
      <c r="AY526" s="564"/>
      <c r="AZ526" s="564"/>
      <c r="BA526" s="564"/>
      <c r="BB526" s="564"/>
      <c r="BC526" s="564"/>
    </row>
    <row r="527" spans="1:55" ht="12" thickBot="1">
      <c r="A527" s="596" t="s">
        <v>1508</v>
      </c>
      <c r="B527" s="541" t="s">
        <v>317</v>
      </c>
      <c r="C527" s="541" t="s">
        <v>1097</v>
      </c>
      <c r="D527" s="552" t="s">
        <v>1139</v>
      </c>
      <c r="E527" s="543"/>
      <c r="F527" s="545"/>
      <c r="G527" s="544"/>
      <c r="H527" s="545"/>
      <c r="I527" s="545"/>
      <c r="J527" s="545"/>
      <c r="K527" s="545"/>
      <c r="L527" s="545"/>
      <c r="M527" s="544"/>
      <c r="N527" s="544"/>
      <c r="O527" s="545"/>
      <c r="P527" s="545"/>
      <c r="Q527" s="544"/>
      <c r="R527" s="544"/>
      <c r="S527" s="546">
        <f t="shared" si="90"/>
        <v>0</v>
      </c>
      <c r="T527" s="547">
        <f t="shared" si="91"/>
        <v>0</v>
      </c>
      <c r="U527" s="546">
        <f t="shared" si="92"/>
        <v>0</v>
      </c>
      <c r="W527" s="350">
        <f t="shared" si="88"/>
        <v>0</v>
      </c>
      <c r="X527" s="285">
        <f t="shared" si="89"/>
        <v>0</v>
      </c>
      <c r="Y527" s="564"/>
      <c r="Z527" s="65"/>
      <c r="AA527" s="65"/>
      <c r="AB527" s="65"/>
      <c r="AC527" s="65"/>
      <c r="AD527" s="65"/>
      <c r="AE527" s="65"/>
      <c r="AF527" s="65"/>
      <c r="AG527" s="65"/>
      <c r="AH527" s="65"/>
      <c r="AI527" s="65"/>
      <c r="AJ527" s="65"/>
      <c r="AK527" s="65"/>
      <c r="AL527" s="65"/>
      <c r="AM527" s="65"/>
      <c r="AN527" s="65"/>
      <c r="AO527" s="65"/>
      <c r="AP527" s="65"/>
      <c r="AQ527" s="564"/>
      <c r="AR527" s="564"/>
      <c r="AS527" s="564"/>
      <c r="AT527" s="564"/>
      <c r="AU527" s="564"/>
      <c r="AV527" s="564"/>
      <c r="AW527" s="564"/>
      <c r="AX527" s="564"/>
      <c r="AY527" s="564"/>
      <c r="AZ527" s="564"/>
      <c r="BA527" s="564"/>
      <c r="BB527" s="564"/>
      <c r="BC527" s="564"/>
    </row>
    <row r="528" spans="1:55" ht="12" thickBot="1">
      <c r="A528" s="596" t="s">
        <v>1508</v>
      </c>
      <c r="B528" s="541" t="s">
        <v>320</v>
      </c>
      <c r="C528" s="541" t="s">
        <v>1098</v>
      </c>
      <c r="D528" s="552" t="s">
        <v>1140</v>
      </c>
      <c r="E528" s="549"/>
      <c r="F528" s="551"/>
      <c r="G528" s="550"/>
      <c r="H528" s="551"/>
      <c r="I528" s="551"/>
      <c r="J528" s="551"/>
      <c r="K528" s="551"/>
      <c r="L528" s="551"/>
      <c r="M528" s="550"/>
      <c r="N528" s="550"/>
      <c r="O528" s="551"/>
      <c r="P528" s="551"/>
      <c r="Q528" s="550"/>
      <c r="R528" s="550"/>
      <c r="S528" s="546">
        <f t="shared" si="90"/>
        <v>0</v>
      </c>
      <c r="T528" s="547">
        <f t="shared" si="91"/>
        <v>0</v>
      </c>
      <c r="U528" s="546">
        <f t="shared" si="92"/>
        <v>0</v>
      </c>
      <c r="W528" s="350">
        <f t="shared" si="88"/>
        <v>0</v>
      </c>
      <c r="X528" s="285">
        <f t="shared" si="89"/>
        <v>0</v>
      </c>
      <c r="Y528" s="564"/>
      <c r="Z528" s="65"/>
      <c r="AA528" s="65"/>
      <c r="AB528" s="65"/>
      <c r="AC528" s="65"/>
      <c r="AD528" s="65"/>
      <c r="AE528" s="65"/>
      <c r="AF528" s="65"/>
      <c r="AG528" s="65"/>
      <c r="AH528" s="65"/>
      <c r="AI528" s="65"/>
      <c r="AJ528" s="65"/>
      <c r="AK528" s="65"/>
      <c r="AL528" s="65"/>
      <c r="AM528" s="65"/>
      <c r="AN528" s="65"/>
      <c r="AO528" s="65"/>
      <c r="AP528" s="65"/>
      <c r="AQ528" s="564"/>
      <c r="AR528" s="564"/>
      <c r="AS528" s="564"/>
      <c r="AT528" s="564"/>
      <c r="AU528" s="564"/>
      <c r="AV528" s="564"/>
      <c r="AW528" s="564"/>
      <c r="AX528" s="564"/>
      <c r="AY528" s="564"/>
      <c r="AZ528" s="564"/>
      <c r="BA528" s="564"/>
      <c r="BB528" s="564"/>
      <c r="BC528" s="564"/>
    </row>
    <row r="529" spans="1:55" ht="12" thickBot="1">
      <c r="A529" s="596" t="s">
        <v>1508</v>
      </c>
      <c r="B529" s="541" t="s">
        <v>352</v>
      </c>
      <c r="C529" s="541" t="s">
        <v>1099</v>
      </c>
      <c r="D529" s="552" t="s">
        <v>1140</v>
      </c>
      <c r="E529" s="543"/>
      <c r="F529" s="545"/>
      <c r="G529" s="544"/>
      <c r="H529" s="545"/>
      <c r="I529" s="545"/>
      <c r="J529" s="545"/>
      <c r="K529" s="545"/>
      <c r="L529" s="545"/>
      <c r="M529" s="544"/>
      <c r="N529" s="544"/>
      <c r="O529" s="545"/>
      <c r="P529" s="545"/>
      <c r="Q529" s="544"/>
      <c r="R529" s="544"/>
      <c r="S529" s="546">
        <f t="shared" si="90"/>
        <v>0</v>
      </c>
      <c r="T529" s="547">
        <f t="shared" si="91"/>
        <v>0</v>
      </c>
      <c r="U529" s="546">
        <f t="shared" si="92"/>
        <v>0</v>
      </c>
      <c r="W529" s="350">
        <f t="shared" si="88"/>
        <v>0</v>
      </c>
      <c r="X529" s="285">
        <f t="shared" si="89"/>
        <v>0</v>
      </c>
      <c r="Y529" s="564"/>
      <c r="Z529" s="65"/>
      <c r="AA529" s="65"/>
      <c r="AB529" s="65"/>
      <c r="AC529" s="65"/>
      <c r="AD529" s="65"/>
      <c r="AE529" s="65"/>
      <c r="AF529" s="65"/>
      <c r="AG529" s="65"/>
      <c r="AH529" s="65"/>
      <c r="AI529" s="65"/>
      <c r="AJ529" s="65"/>
      <c r="AK529" s="65"/>
      <c r="AL529" s="65"/>
      <c r="AM529" s="65"/>
      <c r="AN529" s="65"/>
      <c r="AO529" s="65"/>
      <c r="AP529" s="65"/>
      <c r="AQ529" s="564"/>
      <c r="AR529" s="564"/>
      <c r="AS529" s="564"/>
      <c r="AT529" s="564"/>
      <c r="AU529" s="564"/>
      <c r="AV529" s="564"/>
      <c r="AW529" s="564"/>
      <c r="AX529" s="564"/>
      <c r="AY529" s="564"/>
      <c r="AZ529" s="564"/>
      <c r="BA529" s="564"/>
      <c r="BB529" s="564"/>
      <c r="BC529" s="564"/>
    </row>
    <row r="530" spans="1:55" ht="12.75" customHeight="1" thickBot="1">
      <c r="A530" s="596" t="s">
        <v>1508</v>
      </c>
      <c r="B530" s="541" t="s">
        <v>384</v>
      </c>
      <c r="C530" s="541" t="s">
        <v>1100</v>
      </c>
      <c r="D530" s="552" t="s">
        <v>1140</v>
      </c>
      <c r="E530" s="549"/>
      <c r="F530" s="551"/>
      <c r="G530" s="550"/>
      <c r="H530" s="551"/>
      <c r="I530" s="551"/>
      <c r="J530" s="551"/>
      <c r="K530" s="551"/>
      <c r="L530" s="551"/>
      <c r="M530" s="550"/>
      <c r="N530" s="550"/>
      <c r="O530" s="551"/>
      <c r="P530" s="551"/>
      <c r="Q530" s="550"/>
      <c r="R530" s="550"/>
      <c r="S530" s="546">
        <f t="shared" si="90"/>
        <v>0</v>
      </c>
      <c r="T530" s="547">
        <f t="shared" si="91"/>
        <v>0</v>
      </c>
      <c r="U530" s="546">
        <f t="shared" si="92"/>
        <v>0</v>
      </c>
      <c r="W530" s="350">
        <f t="shared" si="88"/>
        <v>0</v>
      </c>
      <c r="X530" s="285">
        <f t="shared" si="89"/>
        <v>0</v>
      </c>
      <c r="Y530" s="564"/>
      <c r="Z530" s="65"/>
      <c r="AA530" s="65"/>
      <c r="AB530" s="65"/>
      <c r="AC530" s="65"/>
      <c r="AD530" s="65"/>
      <c r="AE530" s="65"/>
      <c r="AF530" s="65"/>
      <c r="AG530" s="65"/>
      <c r="AH530" s="65"/>
      <c r="AI530" s="65"/>
      <c r="AJ530" s="65"/>
      <c r="AK530" s="65"/>
      <c r="AL530" s="65"/>
      <c r="AM530" s="65"/>
      <c r="AN530" s="65"/>
      <c r="AO530" s="65"/>
      <c r="AP530" s="65"/>
      <c r="AQ530" s="564"/>
      <c r="AR530" s="564"/>
      <c r="AS530" s="564"/>
      <c r="AT530" s="564"/>
      <c r="AU530" s="564"/>
      <c r="AV530" s="564"/>
      <c r="AW530" s="564"/>
      <c r="AX530" s="564"/>
      <c r="AY530" s="564"/>
      <c r="AZ530" s="564"/>
      <c r="BA530" s="564"/>
      <c r="BB530" s="564"/>
      <c r="BC530" s="564"/>
    </row>
    <row r="531" spans="1:55" ht="12" thickBot="1">
      <c r="A531" s="596" t="s">
        <v>1508</v>
      </c>
      <c r="B531" s="541" t="s">
        <v>311</v>
      </c>
      <c r="C531" s="541" t="s">
        <v>1101</v>
      </c>
      <c r="D531" s="552" t="s">
        <v>1140</v>
      </c>
      <c r="E531" s="543"/>
      <c r="F531" s="545"/>
      <c r="G531" s="544"/>
      <c r="H531" s="545"/>
      <c r="I531" s="545"/>
      <c r="J531" s="545"/>
      <c r="K531" s="545"/>
      <c r="L531" s="545"/>
      <c r="M531" s="544"/>
      <c r="N531" s="544"/>
      <c r="O531" s="545"/>
      <c r="P531" s="545"/>
      <c r="Q531" s="544"/>
      <c r="R531" s="544"/>
      <c r="S531" s="546">
        <f t="shared" si="90"/>
        <v>0</v>
      </c>
      <c r="T531" s="547">
        <f t="shared" si="91"/>
        <v>0</v>
      </c>
      <c r="U531" s="546">
        <f t="shared" si="92"/>
        <v>0</v>
      </c>
      <c r="W531" s="350">
        <f t="shared" si="88"/>
        <v>0</v>
      </c>
      <c r="X531" s="285">
        <f t="shared" si="89"/>
        <v>0</v>
      </c>
      <c r="Y531" s="564"/>
      <c r="Z531" s="65"/>
      <c r="AA531" s="65"/>
      <c r="AB531" s="65"/>
      <c r="AC531" s="65"/>
      <c r="AD531" s="65"/>
      <c r="AE531" s="65"/>
      <c r="AF531" s="65"/>
      <c r="AG531" s="65"/>
      <c r="AH531" s="65"/>
      <c r="AI531" s="65"/>
      <c r="AJ531" s="65"/>
      <c r="AK531" s="65"/>
      <c r="AL531" s="65"/>
      <c r="AM531" s="65"/>
      <c r="AN531" s="65"/>
      <c r="AO531" s="65"/>
      <c r="AP531" s="65"/>
      <c r="AQ531" s="564"/>
      <c r="AR531" s="564"/>
      <c r="AS531" s="564"/>
      <c r="AT531" s="564"/>
      <c r="AU531" s="564"/>
      <c r="AV531" s="564"/>
      <c r="AW531" s="564"/>
      <c r="AX531" s="564"/>
      <c r="AY531" s="564"/>
      <c r="AZ531" s="564"/>
      <c r="BA531" s="564"/>
      <c r="BB531" s="564"/>
      <c r="BC531" s="564"/>
    </row>
    <row r="532" spans="1:55" ht="12" thickBot="1">
      <c r="A532" s="596" t="s">
        <v>1508</v>
      </c>
      <c r="B532" s="541" t="s">
        <v>341</v>
      </c>
      <c r="C532" s="541" t="s">
        <v>1102</v>
      </c>
      <c r="D532" s="552" t="s">
        <v>1140</v>
      </c>
      <c r="E532" s="549"/>
      <c r="F532" s="551"/>
      <c r="G532" s="550"/>
      <c r="H532" s="551"/>
      <c r="I532" s="551"/>
      <c r="J532" s="551"/>
      <c r="K532" s="551"/>
      <c r="L532" s="551"/>
      <c r="M532" s="550"/>
      <c r="N532" s="550"/>
      <c r="O532" s="551"/>
      <c r="P532" s="551"/>
      <c r="Q532" s="550"/>
      <c r="R532" s="550"/>
      <c r="S532" s="546">
        <f t="shared" si="90"/>
        <v>0</v>
      </c>
      <c r="T532" s="547">
        <f t="shared" si="91"/>
        <v>0</v>
      </c>
      <c r="U532" s="546">
        <f t="shared" si="92"/>
        <v>0</v>
      </c>
      <c r="W532" s="350">
        <f t="shared" si="88"/>
        <v>0</v>
      </c>
      <c r="X532" s="285">
        <f t="shared" si="89"/>
        <v>0</v>
      </c>
      <c r="Y532" s="564"/>
      <c r="Z532" s="65"/>
      <c r="AA532" s="65"/>
      <c r="AB532" s="65"/>
      <c r="AC532" s="65"/>
      <c r="AD532" s="65"/>
      <c r="AE532" s="65"/>
      <c r="AF532" s="65"/>
      <c r="AG532" s="65"/>
      <c r="AH532" s="65"/>
      <c r="AI532" s="65"/>
      <c r="AJ532" s="65"/>
      <c r="AK532" s="65"/>
      <c r="AL532" s="65"/>
      <c r="AM532" s="65"/>
      <c r="AN532" s="65"/>
      <c r="AO532" s="65"/>
      <c r="AP532" s="65"/>
      <c r="AQ532" s="564"/>
      <c r="AR532" s="564"/>
      <c r="AS532" s="564"/>
      <c r="AT532" s="564"/>
      <c r="AU532" s="564"/>
      <c r="AV532" s="564"/>
      <c r="AW532" s="564"/>
      <c r="AX532" s="564"/>
      <c r="AY532" s="564"/>
      <c r="AZ532" s="564"/>
      <c r="BA532" s="564"/>
      <c r="BB532" s="564"/>
      <c r="BC532" s="564"/>
    </row>
    <row r="533" spans="1:55" ht="12" thickBot="1">
      <c r="A533" s="596" t="s">
        <v>1508</v>
      </c>
      <c r="B533" s="541" t="s">
        <v>315</v>
      </c>
      <c r="C533" s="541" t="s">
        <v>1103</v>
      </c>
      <c r="D533" s="552" t="s">
        <v>1140</v>
      </c>
      <c r="E533" s="543"/>
      <c r="F533" s="545"/>
      <c r="G533" s="544"/>
      <c r="H533" s="545"/>
      <c r="I533" s="545"/>
      <c r="J533" s="545"/>
      <c r="K533" s="545"/>
      <c r="L533" s="545"/>
      <c r="M533" s="544"/>
      <c r="N533" s="544"/>
      <c r="O533" s="545"/>
      <c r="P533" s="545"/>
      <c r="Q533" s="544"/>
      <c r="R533" s="544"/>
      <c r="S533" s="546">
        <f t="shared" si="90"/>
        <v>0</v>
      </c>
      <c r="T533" s="547">
        <f t="shared" si="91"/>
        <v>0</v>
      </c>
      <c r="U533" s="546">
        <f t="shared" si="92"/>
        <v>0</v>
      </c>
      <c r="W533" s="350">
        <f t="shared" si="88"/>
        <v>0</v>
      </c>
      <c r="X533" s="285">
        <f t="shared" si="89"/>
        <v>0</v>
      </c>
      <c r="Y533" s="564"/>
      <c r="Z533" s="65"/>
      <c r="AA533" s="65"/>
      <c r="AB533" s="65"/>
      <c r="AC533" s="65"/>
      <c r="AD533" s="65"/>
      <c r="AE533" s="65"/>
      <c r="AF533" s="65"/>
      <c r="AG533" s="65"/>
      <c r="AH533" s="65"/>
      <c r="AI533" s="65"/>
      <c r="AJ533" s="65"/>
      <c r="AK533" s="65"/>
      <c r="AL533" s="65"/>
      <c r="AM533" s="65"/>
      <c r="AN533" s="65"/>
      <c r="AO533" s="65"/>
      <c r="AP533" s="65"/>
      <c r="AQ533" s="564"/>
      <c r="AR533" s="564"/>
      <c r="AS533" s="564"/>
      <c r="AT533" s="564"/>
      <c r="AU533" s="564"/>
      <c r="AV533" s="564"/>
      <c r="AW533" s="564"/>
      <c r="AX533" s="564"/>
      <c r="AY533" s="564"/>
      <c r="AZ533" s="564"/>
      <c r="BA533" s="564"/>
      <c r="BB533" s="564"/>
      <c r="BC533" s="564"/>
    </row>
    <row r="534" spans="1:55" ht="12" thickBot="1">
      <c r="A534" s="596" t="s">
        <v>1508</v>
      </c>
      <c r="B534" s="541" t="s">
        <v>319</v>
      </c>
      <c r="C534" s="541" t="s">
        <v>1104</v>
      </c>
      <c r="D534" s="552" t="s">
        <v>1140</v>
      </c>
      <c r="E534" s="549"/>
      <c r="F534" s="551"/>
      <c r="G534" s="550"/>
      <c r="H534" s="551"/>
      <c r="I534" s="551"/>
      <c r="J534" s="551"/>
      <c r="K534" s="551"/>
      <c r="L534" s="551"/>
      <c r="M534" s="550"/>
      <c r="N534" s="550"/>
      <c r="O534" s="551"/>
      <c r="P534" s="551"/>
      <c r="Q534" s="550"/>
      <c r="R534" s="550"/>
      <c r="S534" s="546">
        <f t="shared" si="90"/>
        <v>0</v>
      </c>
      <c r="T534" s="547">
        <f t="shared" si="91"/>
        <v>0</v>
      </c>
      <c r="U534" s="546">
        <f t="shared" si="92"/>
        <v>0</v>
      </c>
      <c r="W534" s="350">
        <f t="shared" si="88"/>
        <v>0</v>
      </c>
      <c r="X534" s="285">
        <f t="shared" si="89"/>
        <v>0</v>
      </c>
      <c r="Y534" s="564"/>
      <c r="Z534" s="65"/>
      <c r="AA534" s="65"/>
      <c r="AB534" s="65"/>
      <c r="AC534" s="65"/>
      <c r="AD534" s="65"/>
      <c r="AE534" s="65"/>
      <c r="AF534" s="65"/>
      <c r="AG534" s="65"/>
      <c r="AH534" s="65"/>
      <c r="AI534" s="65"/>
      <c r="AJ534" s="65"/>
      <c r="AK534" s="65"/>
      <c r="AL534" s="65"/>
      <c r="AM534" s="65"/>
      <c r="AN534" s="65"/>
      <c r="AO534" s="65"/>
      <c r="AP534" s="65"/>
      <c r="AQ534" s="564"/>
      <c r="AR534" s="564"/>
      <c r="AS534" s="564"/>
      <c r="AT534" s="564"/>
      <c r="AU534" s="564"/>
      <c r="AV534" s="564"/>
      <c r="AW534" s="564"/>
      <c r="AX534" s="564"/>
      <c r="AY534" s="564"/>
      <c r="AZ534" s="564"/>
      <c r="BA534" s="564"/>
      <c r="BB534" s="564"/>
      <c r="BC534" s="564"/>
    </row>
    <row r="535" spans="1:55" ht="12" thickBot="1">
      <c r="A535" s="596" t="s">
        <v>1508</v>
      </c>
      <c r="B535" s="541" t="s">
        <v>356</v>
      </c>
      <c r="C535" s="541" t="s">
        <v>1105</v>
      </c>
      <c r="D535" s="552" t="s">
        <v>1140</v>
      </c>
      <c r="E535" s="543"/>
      <c r="F535" s="545"/>
      <c r="G535" s="544"/>
      <c r="H535" s="545"/>
      <c r="I535" s="545"/>
      <c r="J535" s="545"/>
      <c r="K535" s="545"/>
      <c r="L535" s="545"/>
      <c r="M535" s="544"/>
      <c r="N535" s="544"/>
      <c r="O535" s="545"/>
      <c r="P535" s="545"/>
      <c r="Q535" s="544"/>
      <c r="R535" s="544"/>
      <c r="S535" s="546">
        <f t="shared" si="90"/>
        <v>0</v>
      </c>
      <c r="T535" s="547">
        <f t="shared" si="91"/>
        <v>0</v>
      </c>
      <c r="U535" s="546">
        <f t="shared" si="92"/>
        <v>0</v>
      </c>
      <c r="W535" s="350">
        <f t="shared" si="88"/>
        <v>0</v>
      </c>
      <c r="X535" s="285">
        <f t="shared" si="89"/>
        <v>0</v>
      </c>
      <c r="Y535" s="564"/>
      <c r="Z535" s="65"/>
      <c r="AA535" s="65"/>
      <c r="AB535" s="65"/>
      <c r="AC535" s="65"/>
      <c r="AD535" s="65"/>
      <c r="AE535" s="65"/>
      <c r="AF535" s="65"/>
      <c r="AG535" s="65"/>
      <c r="AH535" s="65"/>
      <c r="AI535" s="65"/>
      <c r="AJ535" s="65"/>
      <c r="AK535" s="65"/>
      <c r="AL535" s="65"/>
      <c r="AM535" s="65"/>
      <c r="AN535" s="65"/>
      <c r="AO535" s="65"/>
      <c r="AP535" s="65"/>
      <c r="AQ535" s="564"/>
      <c r="AR535" s="564"/>
      <c r="AS535" s="564"/>
      <c r="AT535" s="564"/>
      <c r="AU535" s="564"/>
      <c r="AV535" s="564"/>
      <c r="AW535" s="564"/>
      <c r="AX535" s="564"/>
      <c r="AY535" s="564"/>
      <c r="AZ535" s="564"/>
      <c r="BA535" s="564"/>
      <c r="BB535" s="564"/>
      <c r="BC535" s="564"/>
    </row>
    <row r="536" spans="1:55" ht="12" thickBot="1">
      <c r="A536" s="596" t="s">
        <v>1508</v>
      </c>
      <c r="B536" s="541" t="s">
        <v>365</v>
      </c>
      <c r="C536" s="541" t="s">
        <v>1106</v>
      </c>
      <c r="D536" s="552" t="s">
        <v>1139</v>
      </c>
      <c r="E536" s="549"/>
      <c r="F536" s="551"/>
      <c r="G536" s="550"/>
      <c r="H536" s="551"/>
      <c r="I536" s="551"/>
      <c r="J536" s="551"/>
      <c r="K536" s="551"/>
      <c r="L536" s="551"/>
      <c r="M536" s="550"/>
      <c r="N536" s="550"/>
      <c r="O536" s="551"/>
      <c r="P536" s="551"/>
      <c r="Q536" s="550"/>
      <c r="R536" s="550"/>
      <c r="S536" s="546">
        <f t="shared" si="90"/>
        <v>0</v>
      </c>
      <c r="T536" s="547">
        <f t="shared" si="91"/>
        <v>0</v>
      </c>
      <c r="U536" s="546">
        <f t="shared" si="92"/>
        <v>0</v>
      </c>
      <c r="W536" s="350">
        <f t="shared" si="88"/>
        <v>0</v>
      </c>
      <c r="X536" s="285">
        <f t="shared" si="89"/>
        <v>0</v>
      </c>
      <c r="Y536" s="564"/>
      <c r="Z536" s="65"/>
      <c r="AA536" s="65"/>
      <c r="AB536" s="65"/>
      <c r="AC536" s="65"/>
      <c r="AD536" s="65"/>
      <c r="AE536" s="65"/>
      <c r="AF536" s="65"/>
      <c r="AG536" s="65"/>
      <c r="AH536" s="65"/>
      <c r="AI536" s="65"/>
      <c r="AJ536" s="65"/>
      <c r="AK536" s="65"/>
      <c r="AL536" s="65"/>
      <c r="AM536" s="65"/>
      <c r="AN536" s="65"/>
      <c r="AO536" s="65"/>
      <c r="AP536" s="65"/>
      <c r="AQ536" s="564"/>
      <c r="AR536" s="564"/>
      <c r="AS536" s="564"/>
      <c r="AT536" s="564"/>
      <c r="AU536" s="564"/>
      <c r="AV536" s="564"/>
      <c r="AW536" s="564"/>
      <c r="AX536" s="564"/>
      <c r="AY536" s="564"/>
      <c r="AZ536" s="564"/>
      <c r="BA536" s="564"/>
      <c r="BB536" s="564"/>
      <c r="BC536" s="564"/>
    </row>
    <row r="537" spans="1:55" ht="12" thickBot="1">
      <c r="A537" s="596" t="s">
        <v>1508</v>
      </c>
      <c r="B537" s="541" t="s">
        <v>388</v>
      </c>
      <c r="C537" s="541" t="s">
        <v>1107</v>
      </c>
      <c r="D537" s="552" t="s">
        <v>1139</v>
      </c>
      <c r="E537" s="543"/>
      <c r="F537" s="545"/>
      <c r="G537" s="544"/>
      <c r="H537" s="545"/>
      <c r="I537" s="545"/>
      <c r="J537" s="545"/>
      <c r="K537" s="545"/>
      <c r="L537" s="545"/>
      <c r="M537" s="544"/>
      <c r="N537" s="544"/>
      <c r="O537" s="545"/>
      <c r="P537" s="545"/>
      <c r="Q537" s="544"/>
      <c r="R537" s="544"/>
      <c r="S537" s="546">
        <f t="shared" si="90"/>
        <v>0</v>
      </c>
      <c r="T537" s="547">
        <f t="shared" si="91"/>
        <v>0</v>
      </c>
      <c r="U537" s="546">
        <f t="shared" si="92"/>
        <v>0</v>
      </c>
      <c r="W537" s="350">
        <f t="shared" si="88"/>
        <v>0</v>
      </c>
      <c r="X537" s="285">
        <f t="shared" si="89"/>
        <v>0</v>
      </c>
      <c r="Y537" s="564"/>
      <c r="Z537" s="65"/>
      <c r="AA537" s="65"/>
      <c r="AB537" s="65"/>
      <c r="AC537" s="65"/>
      <c r="AD537" s="65"/>
      <c r="AE537" s="65"/>
      <c r="AF537" s="65"/>
      <c r="AG537" s="65"/>
      <c r="AH537" s="65"/>
      <c r="AI537" s="65"/>
      <c r="AJ537" s="65"/>
      <c r="AK537" s="65"/>
      <c r="AL537" s="65"/>
      <c r="AM537" s="65"/>
      <c r="AN537" s="65"/>
      <c r="AO537" s="65"/>
      <c r="AP537" s="65"/>
      <c r="AQ537" s="564"/>
      <c r="AR537" s="564"/>
      <c r="AS537" s="564"/>
      <c r="AT537" s="564"/>
      <c r="AU537" s="564"/>
      <c r="AV537" s="564"/>
      <c r="AW537" s="564"/>
      <c r="AX537" s="564"/>
      <c r="AY537" s="564"/>
      <c r="AZ537" s="564"/>
      <c r="BA537" s="564"/>
      <c r="BB537" s="564"/>
      <c r="BC537" s="564"/>
    </row>
    <row r="538" spans="1:55" ht="12" thickBot="1">
      <c r="A538" s="596" t="s">
        <v>1508</v>
      </c>
      <c r="B538" s="541" t="s">
        <v>345</v>
      </c>
      <c r="C538" s="541" t="s">
        <v>1108</v>
      </c>
      <c r="D538" s="552" t="s">
        <v>1139</v>
      </c>
      <c r="E538" s="549"/>
      <c r="F538" s="551"/>
      <c r="G538" s="550"/>
      <c r="H538" s="551"/>
      <c r="I538" s="551"/>
      <c r="J538" s="551"/>
      <c r="K538" s="551"/>
      <c r="L538" s="551"/>
      <c r="M538" s="550"/>
      <c r="N538" s="550"/>
      <c r="O538" s="551"/>
      <c r="P538" s="551"/>
      <c r="Q538" s="550"/>
      <c r="R538" s="550"/>
      <c r="S538" s="546">
        <f t="shared" si="90"/>
        <v>0</v>
      </c>
      <c r="T538" s="547">
        <f t="shared" si="91"/>
        <v>0</v>
      </c>
      <c r="U538" s="546">
        <f t="shared" si="92"/>
        <v>0</v>
      </c>
      <c r="W538" s="350">
        <f t="shared" si="88"/>
        <v>0</v>
      </c>
      <c r="X538" s="285">
        <f t="shared" si="89"/>
        <v>0</v>
      </c>
      <c r="Y538" s="564"/>
      <c r="Z538" s="65"/>
      <c r="AA538" s="65"/>
      <c r="AB538" s="65"/>
      <c r="AC538" s="65"/>
      <c r="AD538" s="65"/>
      <c r="AE538" s="65"/>
      <c r="AF538" s="65"/>
      <c r="AG538" s="65"/>
      <c r="AH538" s="65"/>
      <c r="AI538" s="65"/>
      <c r="AJ538" s="65"/>
      <c r="AK538" s="65"/>
      <c r="AL538" s="65"/>
      <c r="AM538" s="65"/>
      <c r="AN538" s="65"/>
      <c r="AO538" s="65"/>
      <c r="AP538" s="65"/>
      <c r="AQ538" s="564"/>
      <c r="AR538" s="564"/>
      <c r="AS538" s="564"/>
      <c r="AT538" s="564"/>
      <c r="AU538" s="564"/>
      <c r="AV538" s="564"/>
      <c r="AW538" s="564"/>
      <c r="AX538" s="564"/>
      <c r="AY538" s="564"/>
      <c r="AZ538" s="564"/>
      <c r="BA538" s="564"/>
      <c r="BB538" s="564"/>
      <c r="BC538" s="564"/>
    </row>
    <row r="539" spans="1:55" ht="12" thickBot="1">
      <c r="A539" s="596" t="s">
        <v>1508</v>
      </c>
      <c r="B539" s="541" t="s">
        <v>377</v>
      </c>
      <c r="C539" s="541" t="s">
        <v>1109</v>
      </c>
      <c r="D539" s="552" t="s">
        <v>1139</v>
      </c>
      <c r="E539" s="543"/>
      <c r="F539" s="545"/>
      <c r="G539" s="544"/>
      <c r="H539" s="545"/>
      <c r="I539" s="545"/>
      <c r="J539" s="545"/>
      <c r="K539" s="545"/>
      <c r="L539" s="545"/>
      <c r="M539" s="544"/>
      <c r="N539" s="544"/>
      <c r="O539" s="545"/>
      <c r="P539" s="545"/>
      <c r="Q539" s="544"/>
      <c r="R539" s="544"/>
      <c r="S539" s="546">
        <f t="shared" si="90"/>
        <v>0</v>
      </c>
      <c r="T539" s="547">
        <f t="shared" si="91"/>
        <v>0</v>
      </c>
      <c r="U539" s="546">
        <f t="shared" si="92"/>
        <v>0</v>
      </c>
      <c r="W539" s="350">
        <f t="shared" si="88"/>
        <v>0</v>
      </c>
      <c r="X539" s="285">
        <f t="shared" si="89"/>
        <v>0</v>
      </c>
      <c r="Y539" s="564"/>
      <c r="Z539" s="65"/>
      <c r="AA539" s="65"/>
      <c r="AB539" s="65"/>
      <c r="AC539" s="65"/>
      <c r="AD539" s="65"/>
      <c r="AE539" s="65"/>
      <c r="AF539" s="65"/>
      <c r="AG539" s="65"/>
      <c r="AH539" s="65"/>
      <c r="AI539" s="65"/>
      <c r="AJ539" s="65"/>
      <c r="AK539" s="65"/>
      <c r="AL539" s="65"/>
      <c r="AM539" s="65"/>
      <c r="AN539" s="65"/>
      <c r="AO539" s="65"/>
      <c r="AP539" s="65"/>
      <c r="AQ539" s="564"/>
      <c r="AR539" s="564"/>
      <c r="AS539" s="564"/>
      <c r="AT539" s="564"/>
      <c r="AU539" s="564"/>
      <c r="AV539" s="564"/>
      <c r="AW539" s="564"/>
      <c r="AX539" s="564"/>
      <c r="AY539" s="564"/>
      <c r="AZ539" s="564"/>
      <c r="BA539" s="564"/>
      <c r="BB539" s="564"/>
      <c r="BC539" s="564"/>
    </row>
    <row r="540" spans="1:55" ht="12" thickBot="1">
      <c r="A540" s="596" t="s">
        <v>1508</v>
      </c>
      <c r="B540" s="541" t="s">
        <v>1395</v>
      </c>
      <c r="C540" s="541" t="s">
        <v>1396</v>
      </c>
      <c r="D540" s="552" t="s">
        <v>1139</v>
      </c>
      <c r="E540" s="549"/>
      <c r="F540" s="551"/>
      <c r="G540" s="551"/>
      <c r="H540" s="551"/>
      <c r="I540" s="551"/>
      <c r="J540" s="551"/>
      <c r="K540" s="551"/>
      <c r="L540" s="551"/>
      <c r="M540" s="551"/>
      <c r="N540" s="551"/>
      <c r="O540" s="551"/>
      <c r="P540" s="551"/>
      <c r="Q540" s="551"/>
      <c r="R540" s="551"/>
      <c r="S540" s="546">
        <f t="shared" si="90"/>
        <v>0</v>
      </c>
      <c r="T540" s="547">
        <f t="shared" si="91"/>
        <v>0</v>
      </c>
      <c r="U540" s="546">
        <f t="shared" si="92"/>
        <v>0</v>
      </c>
      <c r="W540" s="350">
        <f t="shared" si="88"/>
        <v>0</v>
      </c>
      <c r="X540" s="285">
        <f t="shared" si="89"/>
        <v>0</v>
      </c>
      <c r="Y540" s="564"/>
      <c r="Z540" s="65"/>
      <c r="AA540" s="65"/>
      <c r="AB540" s="65"/>
      <c r="AC540" s="65"/>
      <c r="AD540" s="65"/>
      <c r="AE540" s="65"/>
      <c r="AF540" s="65"/>
      <c r="AG540" s="65"/>
      <c r="AH540" s="65"/>
      <c r="AI540" s="65"/>
      <c r="AJ540" s="65"/>
      <c r="AK540" s="65"/>
      <c r="AL540" s="65"/>
      <c r="AM540" s="65"/>
      <c r="AN540" s="65"/>
      <c r="AO540" s="65"/>
      <c r="AP540" s="65"/>
      <c r="AQ540" s="564"/>
      <c r="AR540" s="564"/>
      <c r="AS540" s="564"/>
      <c r="AT540" s="564"/>
      <c r="AU540" s="564"/>
      <c r="AV540" s="564"/>
      <c r="AW540" s="564"/>
      <c r="AX540" s="564"/>
      <c r="AY540" s="564"/>
      <c r="AZ540" s="564"/>
      <c r="BA540" s="564"/>
      <c r="BB540" s="564"/>
      <c r="BC540" s="564"/>
    </row>
    <row r="541" spans="1:55" ht="12" thickBot="1">
      <c r="A541" s="596" t="s">
        <v>1508</v>
      </c>
      <c r="B541" s="541" t="s">
        <v>363</v>
      </c>
      <c r="C541" s="541" t="s">
        <v>1110</v>
      </c>
      <c r="D541" s="552" t="s">
        <v>1140</v>
      </c>
      <c r="E541" s="543"/>
      <c r="F541" s="545"/>
      <c r="G541" s="544"/>
      <c r="H541" s="545"/>
      <c r="I541" s="545"/>
      <c r="J541" s="545"/>
      <c r="K541" s="545"/>
      <c r="L541" s="545"/>
      <c r="M541" s="544"/>
      <c r="N541" s="544"/>
      <c r="O541" s="545"/>
      <c r="P541" s="545"/>
      <c r="Q541" s="544"/>
      <c r="R541" s="544"/>
      <c r="S541" s="546">
        <f t="shared" si="90"/>
        <v>0</v>
      </c>
      <c r="T541" s="547">
        <f t="shared" si="91"/>
        <v>0</v>
      </c>
      <c r="U541" s="546">
        <f t="shared" si="92"/>
        <v>0</v>
      </c>
      <c r="W541" s="350">
        <f t="shared" si="88"/>
        <v>0</v>
      </c>
      <c r="X541" s="285">
        <f t="shared" si="89"/>
        <v>0</v>
      </c>
      <c r="Y541" s="564"/>
      <c r="Z541" s="65"/>
      <c r="AA541" s="65"/>
      <c r="AB541" s="65"/>
      <c r="AC541" s="65"/>
      <c r="AD541" s="65"/>
      <c r="AE541" s="65"/>
      <c r="AF541" s="65"/>
      <c r="AG541" s="65"/>
      <c r="AH541" s="65"/>
      <c r="AI541" s="65"/>
      <c r="AJ541" s="65"/>
      <c r="AK541" s="65"/>
      <c r="AL541" s="65"/>
      <c r="AM541" s="65"/>
      <c r="AN541" s="65"/>
      <c r="AO541" s="65"/>
      <c r="AP541" s="65"/>
      <c r="AQ541" s="564"/>
      <c r="AR541" s="564"/>
      <c r="AS541" s="564"/>
      <c r="AT541" s="564"/>
      <c r="AU541" s="564"/>
      <c r="AV541" s="564"/>
      <c r="AW541" s="564"/>
      <c r="AX541" s="564"/>
      <c r="AY541" s="564"/>
      <c r="AZ541" s="564"/>
      <c r="BA541" s="564"/>
      <c r="BB541" s="564"/>
      <c r="BC541" s="564"/>
    </row>
    <row r="542" spans="1:55" ht="12" thickBot="1">
      <c r="A542" s="596" t="s">
        <v>1508</v>
      </c>
      <c r="B542" s="541" t="s">
        <v>373</v>
      </c>
      <c r="C542" s="541" t="s">
        <v>1111</v>
      </c>
      <c r="D542" s="552" t="s">
        <v>1139</v>
      </c>
      <c r="E542" s="549"/>
      <c r="F542" s="551"/>
      <c r="G542" s="550"/>
      <c r="H542" s="551"/>
      <c r="I542" s="551"/>
      <c r="J542" s="551"/>
      <c r="K542" s="551"/>
      <c r="L542" s="551"/>
      <c r="M542" s="550"/>
      <c r="N542" s="550"/>
      <c r="O542" s="551"/>
      <c r="P542" s="551"/>
      <c r="Q542" s="550"/>
      <c r="R542" s="550"/>
      <c r="S542" s="546">
        <f t="shared" si="90"/>
        <v>0</v>
      </c>
      <c r="T542" s="547">
        <f t="shared" si="91"/>
        <v>0</v>
      </c>
      <c r="U542" s="546">
        <f t="shared" si="92"/>
        <v>0</v>
      </c>
      <c r="W542" s="350">
        <f t="shared" si="88"/>
        <v>0</v>
      </c>
      <c r="X542" s="285">
        <f t="shared" si="89"/>
        <v>0</v>
      </c>
      <c r="Y542" s="564"/>
      <c r="Z542" s="65"/>
      <c r="AA542" s="65"/>
      <c r="AB542" s="65"/>
      <c r="AC542" s="65"/>
      <c r="AD542" s="65"/>
      <c r="AE542" s="65"/>
      <c r="AF542" s="65"/>
      <c r="AG542" s="65"/>
      <c r="AH542" s="65"/>
      <c r="AI542" s="65"/>
      <c r="AJ542" s="65"/>
      <c r="AK542" s="65"/>
      <c r="AL542" s="65"/>
      <c r="AM542" s="65"/>
      <c r="AN542" s="65"/>
      <c r="AO542" s="65"/>
      <c r="AP542" s="65"/>
      <c r="AQ542" s="564"/>
      <c r="AR542" s="564"/>
      <c r="AS542" s="564"/>
      <c r="AT542" s="564"/>
      <c r="AU542" s="564"/>
      <c r="AV542" s="564"/>
      <c r="AW542" s="564"/>
      <c r="AX542" s="564"/>
      <c r="AY542" s="564"/>
      <c r="AZ542" s="564"/>
      <c r="BA542" s="564"/>
      <c r="BB542" s="564"/>
      <c r="BC542" s="564"/>
    </row>
    <row r="543" spans="1:55" ht="12" thickBot="1">
      <c r="A543" s="596" t="s">
        <v>1508</v>
      </c>
      <c r="B543" s="541" t="s">
        <v>396</v>
      </c>
      <c r="C543" s="541" t="s">
        <v>1112</v>
      </c>
      <c r="D543" s="552" t="s">
        <v>1139</v>
      </c>
      <c r="E543" s="543"/>
      <c r="F543" s="545"/>
      <c r="G543" s="544"/>
      <c r="H543" s="545"/>
      <c r="I543" s="545"/>
      <c r="J543" s="545"/>
      <c r="K543" s="545"/>
      <c r="L543" s="545"/>
      <c r="M543" s="544"/>
      <c r="N543" s="544"/>
      <c r="O543" s="545"/>
      <c r="P543" s="545"/>
      <c r="Q543" s="544"/>
      <c r="R543" s="544"/>
      <c r="S543" s="546">
        <f t="shared" si="90"/>
        <v>0</v>
      </c>
      <c r="T543" s="547">
        <f t="shared" si="91"/>
        <v>0</v>
      </c>
      <c r="U543" s="546">
        <f t="shared" si="92"/>
        <v>0</v>
      </c>
      <c r="W543" s="350">
        <f t="shared" si="88"/>
        <v>0</v>
      </c>
      <c r="X543" s="285">
        <f t="shared" si="89"/>
        <v>0</v>
      </c>
      <c r="Y543" s="564"/>
      <c r="Z543" s="65"/>
      <c r="AA543" s="65"/>
      <c r="AB543" s="65"/>
      <c r="AC543" s="65"/>
      <c r="AD543" s="65"/>
      <c r="AE543" s="65"/>
      <c r="AF543" s="65"/>
      <c r="AG543" s="65"/>
      <c r="AH543" s="65"/>
      <c r="AI543" s="65"/>
      <c r="AJ543" s="65"/>
      <c r="AK543" s="65"/>
      <c r="AL543" s="65"/>
      <c r="AM543" s="65"/>
      <c r="AN543" s="65"/>
      <c r="AO543" s="65"/>
      <c r="AP543" s="65"/>
      <c r="AQ543" s="564"/>
      <c r="AR543" s="564"/>
      <c r="AS543" s="564"/>
      <c r="AT543" s="564"/>
      <c r="AU543" s="564"/>
      <c r="AV543" s="564"/>
      <c r="AW543" s="564"/>
      <c r="AX543" s="564"/>
      <c r="AY543" s="564"/>
      <c r="AZ543" s="564"/>
      <c r="BA543" s="564"/>
      <c r="BB543" s="564"/>
      <c r="BC543" s="564"/>
    </row>
    <row r="544" spans="1:55" ht="12" thickBot="1">
      <c r="A544" s="596" t="s">
        <v>1508</v>
      </c>
      <c r="B544" s="541" t="s">
        <v>351</v>
      </c>
      <c r="C544" s="541" t="s">
        <v>1113</v>
      </c>
      <c r="D544" s="552" t="s">
        <v>1140</v>
      </c>
      <c r="E544" s="549"/>
      <c r="F544" s="551"/>
      <c r="G544" s="550"/>
      <c r="H544" s="551"/>
      <c r="I544" s="551"/>
      <c r="J544" s="551"/>
      <c r="K544" s="551"/>
      <c r="L544" s="551"/>
      <c r="M544" s="550"/>
      <c r="N544" s="550"/>
      <c r="O544" s="551"/>
      <c r="P544" s="551"/>
      <c r="Q544" s="550"/>
      <c r="R544" s="550"/>
      <c r="S544" s="546">
        <f t="shared" si="90"/>
        <v>0</v>
      </c>
      <c r="T544" s="547">
        <f t="shared" si="91"/>
        <v>0</v>
      </c>
      <c r="U544" s="546">
        <f t="shared" si="92"/>
        <v>0</v>
      </c>
      <c r="W544" s="350">
        <f t="shared" si="88"/>
        <v>0</v>
      </c>
      <c r="X544" s="285">
        <f t="shared" si="89"/>
        <v>0</v>
      </c>
      <c r="Y544" s="564"/>
      <c r="Z544" s="65"/>
      <c r="AA544" s="65"/>
      <c r="AB544" s="65"/>
      <c r="AC544" s="65"/>
      <c r="AD544" s="65"/>
      <c r="AE544" s="65"/>
      <c r="AF544" s="65"/>
      <c r="AG544" s="65"/>
      <c r="AH544" s="65"/>
      <c r="AI544" s="65"/>
      <c r="AJ544" s="65"/>
      <c r="AK544" s="65"/>
      <c r="AL544" s="65"/>
      <c r="AM544" s="65"/>
      <c r="AN544" s="65"/>
      <c r="AO544" s="65"/>
      <c r="AP544" s="65"/>
      <c r="AQ544" s="564"/>
      <c r="AR544" s="564"/>
      <c r="AS544" s="564"/>
      <c r="AT544" s="564"/>
      <c r="AU544" s="564"/>
      <c r="AV544" s="564"/>
      <c r="AW544" s="564"/>
      <c r="AX544" s="564"/>
      <c r="AY544" s="564"/>
      <c r="AZ544" s="564"/>
      <c r="BA544" s="564"/>
      <c r="BB544" s="564"/>
      <c r="BC544" s="564"/>
    </row>
    <row r="545" spans="1:55" ht="12" thickBot="1">
      <c r="A545" s="596" t="s">
        <v>1508</v>
      </c>
      <c r="B545" s="541" t="s">
        <v>314</v>
      </c>
      <c r="C545" s="541" t="s">
        <v>1114</v>
      </c>
      <c r="D545" s="552" t="s">
        <v>1140</v>
      </c>
      <c r="E545" s="543"/>
      <c r="F545" s="545"/>
      <c r="G545" s="544"/>
      <c r="H545" s="545"/>
      <c r="I545" s="545"/>
      <c r="J545" s="545"/>
      <c r="K545" s="545"/>
      <c r="L545" s="545"/>
      <c r="M545" s="544"/>
      <c r="N545" s="544"/>
      <c r="O545" s="545"/>
      <c r="P545" s="545"/>
      <c r="Q545" s="544"/>
      <c r="R545" s="544"/>
      <c r="S545" s="546">
        <f t="shared" si="90"/>
        <v>0</v>
      </c>
      <c r="T545" s="547">
        <f t="shared" si="91"/>
        <v>0</v>
      </c>
      <c r="U545" s="546">
        <f t="shared" si="92"/>
        <v>0</v>
      </c>
      <c r="W545" s="350">
        <f t="shared" si="88"/>
        <v>0</v>
      </c>
      <c r="X545" s="285">
        <f t="shared" si="89"/>
        <v>0</v>
      </c>
      <c r="Y545" s="564"/>
      <c r="Z545" s="65"/>
      <c r="AA545" s="65"/>
      <c r="AB545" s="65"/>
      <c r="AC545" s="65"/>
      <c r="AD545" s="65"/>
      <c r="AE545" s="65"/>
      <c r="AF545" s="65"/>
      <c r="AG545" s="65"/>
      <c r="AH545" s="65"/>
      <c r="AI545" s="65"/>
      <c r="AJ545" s="65"/>
      <c r="AK545" s="65"/>
      <c r="AL545" s="65"/>
      <c r="AM545" s="65"/>
      <c r="AN545" s="65"/>
      <c r="AO545" s="65"/>
      <c r="AP545" s="65"/>
      <c r="AQ545" s="564"/>
      <c r="AR545" s="564"/>
      <c r="AS545" s="564"/>
      <c r="AT545" s="564"/>
      <c r="AU545" s="564"/>
      <c r="AV545" s="564"/>
      <c r="AW545" s="564"/>
      <c r="AX545" s="564"/>
      <c r="AY545" s="564"/>
      <c r="AZ545" s="564"/>
      <c r="BA545" s="564"/>
      <c r="BB545" s="564"/>
      <c r="BC545" s="564"/>
    </row>
    <row r="546" spans="1:55" ht="12" thickBot="1">
      <c r="A546" s="596" t="s">
        <v>1508</v>
      </c>
      <c r="B546" s="541" t="s">
        <v>355</v>
      </c>
      <c r="C546" s="541" t="s">
        <v>1115</v>
      </c>
      <c r="D546" s="552" t="s">
        <v>1140</v>
      </c>
      <c r="E546" s="549"/>
      <c r="F546" s="551"/>
      <c r="G546" s="550"/>
      <c r="H546" s="551"/>
      <c r="I546" s="551"/>
      <c r="J546" s="551"/>
      <c r="K546" s="551"/>
      <c r="L546" s="551"/>
      <c r="M546" s="550"/>
      <c r="N546" s="550"/>
      <c r="O546" s="551"/>
      <c r="P546" s="551"/>
      <c r="Q546" s="550"/>
      <c r="R546" s="550"/>
      <c r="S546" s="546">
        <f t="shared" si="90"/>
        <v>0</v>
      </c>
      <c r="T546" s="547">
        <f t="shared" si="91"/>
        <v>0</v>
      </c>
      <c r="U546" s="546">
        <f t="shared" si="92"/>
        <v>0</v>
      </c>
      <c r="W546" s="350">
        <f t="shared" si="88"/>
        <v>0</v>
      </c>
      <c r="X546" s="285">
        <f t="shared" si="89"/>
        <v>0</v>
      </c>
      <c r="Y546" s="564"/>
      <c r="Z546" s="65"/>
      <c r="AA546" s="65"/>
      <c r="AB546" s="65"/>
      <c r="AC546" s="65"/>
      <c r="AD546" s="65"/>
      <c r="AE546" s="65"/>
      <c r="AF546" s="65"/>
      <c r="AG546" s="65"/>
      <c r="AH546" s="65"/>
      <c r="AI546" s="65"/>
      <c r="AJ546" s="65"/>
      <c r="AK546" s="65"/>
      <c r="AL546" s="65"/>
      <c r="AM546" s="65"/>
      <c r="AN546" s="65"/>
      <c r="AO546" s="65"/>
      <c r="AP546" s="65"/>
      <c r="AQ546" s="564"/>
      <c r="AR546" s="564"/>
      <c r="AS546" s="564"/>
      <c r="AT546" s="564"/>
      <c r="AU546" s="564"/>
      <c r="AV546" s="564"/>
      <c r="AW546" s="564"/>
      <c r="AX546" s="564"/>
      <c r="AY546" s="564"/>
      <c r="AZ546" s="564"/>
      <c r="BA546" s="564"/>
      <c r="BB546" s="564"/>
      <c r="BC546" s="564"/>
    </row>
    <row r="547" spans="1:55" ht="12" thickBot="1">
      <c r="A547" s="596" t="s">
        <v>1508</v>
      </c>
      <c r="B547" s="541" t="s">
        <v>364</v>
      </c>
      <c r="C547" s="541" t="s">
        <v>1116</v>
      </c>
      <c r="D547" s="552" t="s">
        <v>1139</v>
      </c>
      <c r="E547" s="543"/>
      <c r="F547" s="545"/>
      <c r="G547" s="544"/>
      <c r="H547" s="545"/>
      <c r="I547" s="545"/>
      <c r="J547" s="545"/>
      <c r="K547" s="545"/>
      <c r="L547" s="545"/>
      <c r="M547" s="544"/>
      <c r="N547" s="544"/>
      <c r="O547" s="545"/>
      <c r="P547" s="545"/>
      <c r="Q547" s="544"/>
      <c r="R547" s="544"/>
      <c r="S547" s="546">
        <f t="shared" si="90"/>
        <v>0</v>
      </c>
      <c r="T547" s="547">
        <f t="shared" si="91"/>
        <v>0</v>
      </c>
      <c r="U547" s="546">
        <f t="shared" si="92"/>
        <v>0</v>
      </c>
      <c r="W547" s="350">
        <f t="shared" si="88"/>
        <v>0</v>
      </c>
      <c r="X547" s="285">
        <f t="shared" si="89"/>
        <v>0</v>
      </c>
      <c r="Y547" s="564"/>
      <c r="Z547" s="65"/>
      <c r="AA547" s="65"/>
      <c r="AB547" s="65"/>
      <c r="AC547" s="65"/>
      <c r="AD547" s="65"/>
      <c r="AE547" s="65"/>
      <c r="AF547" s="65"/>
      <c r="AG547" s="65"/>
      <c r="AH547" s="65"/>
      <c r="AI547" s="65"/>
      <c r="AJ547" s="65"/>
      <c r="AK547" s="65"/>
      <c r="AL547" s="65"/>
      <c r="AM547" s="65"/>
      <c r="AN547" s="65"/>
      <c r="AO547" s="65"/>
      <c r="AP547" s="65"/>
      <c r="AQ547" s="564"/>
      <c r="AR547" s="564"/>
      <c r="AS547" s="564"/>
      <c r="AT547" s="564"/>
      <c r="AU547" s="564"/>
      <c r="AV547" s="564"/>
      <c r="AW547" s="564"/>
      <c r="AX547" s="564"/>
      <c r="AY547" s="564"/>
      <c r="AZ547" s="564"/>
      <c r="BA547" s="564"/>
      <c r="BB547" s="564"/>
      <c r="BC547" s="564"/>
    </row>
    <row r="548" spans="1:55" ht="12" thickBot="1">
      <c r="A548" s="596" t="s">
        <v>1508</v>
      </c>
      <c r="B548" s="541" t="s">
        <v>387</v>
      </c>
      <c r="C548" s="541" t="s">
        <v>1117</v>
      </c>
      <c r="D548" s="552" t="s">
        <v>1139</v>
      </c>
      <c r="E548" s="549"/>
      <c r="F548" s="551"/>
      <c r="G548" s="550"/>
      <c r="H548" s="551"/>
      <c r="I548" s="551"/>
      <c r="J548" s="551"/>
      <c r="K548" s="551"/>
      <c r="L548" s="551"/>
      <c r="M548" s="550"/>
      <c r="N548" s="550"/>
      <c r="O548" s="551"/>
      <c r="P548" s="551"/>
      <c r="Q548" s="550"/>
      <c r="R548" s="550"/>
      <c r="S548" s="546">
        <f t="shared" si="90"/>
        <v>0</v>
      </c>
      <c r="T548" s="547">
        <f t="shared" si="91"/>
        <v>0</v>
      </c>
      <c r="U548" s="546">
        <f t="shared" si="92"/>
        <v>0</v>
      </c>
      <c r="W548" s="350">
        <f t="shared" si="88"/>
        <v>0</v>
      </c>
      <c r="X548" s="285">
        <f t="shared" si="89"/>
        <v>0</v>
      </c>
      <c r="Y548" s="564"/>
      <c r="Z548" s="65"/>
      <c r="AA548" s="65"/>
      <c r="AB548" s="65"/>
      <c r="AC548" s="65"/>
      <c r="AD548" s="65"/>
      <c r="AE548" s="65"/>
      <c r="AF548" s="65"/>
      <c r="AG548" s="65"/>
      <c r="AH548" s="65"/>
      <c r="AI548" s="65"/>
      <c r="AJ548" s="65"/>
      <c r="AK548" s="65"/>
      <c r="AL548" s="65"/>
      <c r="AM548" s="65"/>
      <c r="AN548" s="65"/>
      <c r="AO548" s="65"/>
      <c r="AP548" s="65"/>
      <c r="AQ548" s="564"/>
      <c r="AR548" s="564"/>
      <c r="AS548" s="564"/>
      <c r="AT548" s="564"/>
      <c r="AU548" s="564"/>
      <c r="AV548" s="564"/>
      <c r="AW548" s="564"/>
      <c r="AX548" s="564"/>
      <c r="AY548" s="564"/>
      <c r="AZ548" s="564"/>
      <c r="BA548" s="564"/>
      <c r="BB548" s="564"/>
      <c r="BC548" s="564"/>
    </row>
    <row r="549" spans="1:55" ht="12" thickBot="1">
      <c r="A549" s="596" t="s">
        <v>1508</v>
      </c>
      <c r="B549" s="541" t="s">
        <v>344</v>
      </c>
      <c r="C549" s="541" t="s">
        <v>1118</v>
      </c>
      <c r="D549" s="552" t="s">
        <v>1139</v>
      </c>
      <c r="E549" s="543"/>
      <c r="F549" s="545"/>
      <c r="G549" s="544"/>
      <c r="H549" s="545"/>
      <c r="I549" s="545"/>
      <c r="J549" s="545"/>
      <c r="K549" s="545"/>
      <c r="L549" s="545"/>
      <c r="M549" s="544"/>
      <c r="N549" s="544"/>
      <c r="O549" s="545"/>
      <c r="P549" s="545"/>
      <c r="Q549" s="544"/>
      <c r="R549" s="544"/>
      <c r="S549" s="546">
        <f t="shared" si="90"/>
        <v>0</v>
      </c>
      <c r="T549" s="547">
        <f t="shared" si="91"/>
        <v>0</v>
      </c>
      <c r="U549" s="546">
        <f t="shared" si="92"/>
        <v>0</v>
      </c>
      <c r="W549" s="350">
        <f t="shared" si="88"/>
        <v>0</v>
      </c>
      <c r="X549" s="285">
        <f t="shared" si="89"/>
        <v>0</v>
      </c>
      <c r="Y549" s="564"/>
      <c r="Z549" s="65"/>
      <c r="AA549" s="65"/>
      <c r="AB549" s="65"/>
      <c r="AC549" s="65"/>
      <c r="AD549" s="65"/>
      <c r="AE549" s="65"/>
      <c r="AF549" s="65"/>
      <c r="AG549" s="65"/>
      <c r="AH549" s="65"/>
      <c r="AI549" s="65"/>
      <c r="AJ549" s="65"/>
      <c r="AK549" s="65"/>
      <c r="AL549" s="65"/>
      <c r="AM549" s="65"/>
      <c r="AN549" s="65"/>
      <c r="AO549" s="65"/>
      <c r="AP549" s="65"/>
      <c r="AQ549" s="564"/>
      <c r="AR549" s="564"/>
      <c r="AS549" s="564"/>
      <c r="AT549" s="564"/>
      <c r="AU549" s="564"/>
      <c r="AV549" s="564"/>
      <c r="AW549" s="564"/>
      <c r="AX549" s="564"/>
      <c r="AY549" s="564"/>
      <c r="AZ549" s="564"/>
      <c r="BA549" s="564"/>
      <c r="BB549" s="564"/>
      <c r="BC549" s="564"/>
    </row>
    <row r="550" spans="1:55" ht="12" thickBot="1">
      <c r="A550" s="596" t="s">
        <v>1508</v>
      </c>
      <c r="B550" s="541" t="s">
        <v>376</v>
      </c>
      <c r="C550" s="541" t="s">
        <v>1119</v>
      </c>
      <c r="D550" s="552" t="s">
        <v>1139</v>
      </c>
      <c r="E550" s="549"/>
      <c r="F550" s="551"/>
      <c r="G550" s="550"/>
      <c r="H550" s="551"/>
      <c r="I550" s="551"/>
      <c r="J550" s="551"/>
      <c r="K550" s="551"/>
      <c r="L550" s="551"/>
      <c r="M550" s="550"/>
      <c r="N550" s="550"/>
      <c r="O550" s="551"/>
      <c r="P550" s="551"/>
      <c r="Q550" s="550"/>
      <c r="R550" s="550"/>
      <c r="S550" s="546">
        <f t="shared" si="90"/>
        <v>0</v>
      </c>
      <c r="T550" s="547">
        <f t="shared" si="91"/>
        <v>0</v>
      </c>
      <c r="U550" s="546">
        <f t="shared" si="92"/>
        <v>0</v>
      </c>
      <c r="W550" s="350">
        <f t="shared" si="88"/>
        <v>0</v>
      </c>
      <c r="X550" s="285">
        <f t="shared" si="89"/>
        <v>0</v>
      </c>
      <c r="Y550" s="564"/>
      <c r="Z550" s="65"/>
      <c r="AA550" s="65"/>
      <c r="AB550" s="65"/>
      <c r="AC550" s="65"/>
      <c r="AD550" s="65"/>
      <c r="AE550" s="65"/>
      <c r="AF550" s="65"/>
      <c r="AG550" s="65"/>
      <c r="AH550" s="65"/>
      <c r="AI550" s="65"/>
      <c r="AJ550" s="65"/>
      <c r="AK550" s="65"/>
      <c r="AL550" s="65"/>
      <c r="AM550" s="65"/>
      <c r="AN550" s="65"/>
      <c r="AO550" s="65"/>
      <c r="AP550" s="65"/>
      <c r="AQ550" s="564"/>
      <c r="AR550" s="564"/>
      <c r="AS550" s="564"/>
      <c r="AT550" s="564"/>
      <c r="AU550" s="564"/>
      <c r="AV550" s="564"/>
      <c r="AW550" s="564"/>
      <c r="AX550" s="564"/>
      <c r="AY550" s="564"/>
      <c r="AZ550" s="564"/>
      <c r="BA550" s="564"/>
      <c r="BB550" s="564"/>
      <c r="BC550" s="564"/>
    </row>
    <row r="551" spans="1:55" ht="12" thickBot="1">
      <c r="A551" s="596" t="s">
        <v>1508</v>
      </c>
      <c r="B551" s="541" t="s">
        <v>374</v>
      </c>
      <c r="C551" s="541" t="s">
        <v>1120</v>
      </c>
      <c r="D551" s="552" t="s">
        <v>1139</v>
      </c>
      <c r="E551" s="543"/>
      <c r="F551" s="545"/>
      <c r="G551" s="544"/>
      <c r="H551" s="545"/>
      <c r="I551" s="545"/>
      <c r="J551" s="545"/>
      <c r="K551" s="545"/>
      <c r="L551" s="545"/>
      <c r="M551" s="544"/>
      <c r="N551" s="544"/>
      <c r="O551" s="545"/>
      <c r="P551" s="545"/>
      <c r="Q551" s="544"/>
      <c r="R551" s="544"/>
      <c r="S551" s="546">
        <f t="shared" si="90"/>
        <v>0</v>
      </c>
      <c r="T551" s="547">
        <f t="shared" si="91"/>
        <v>0</v>
      </c>
      <c r="U551" s="546">
        <f t="shared" si="92"/>
        <v>0</v>
      </c>
      <c r="W551" s="350">
        <f t="shared" si="88"/>
        <v>0</v>
      </c>
      <c r="X551" s="285">
        <f t="shared" si="89"/>
        <v>0</v>
      </c>
      <c r="Y551" s="564"/>
      <c r="Z551" s="65"/>
      <c r="AA551" s="65"/>
      <c r="AB551" s="65"/>
      <c r="AC551" s="65"/>
      <c r="AD551" s="65"/>
      <c r="AE551" s="65"/>
      <c r="AF551" s="65"/>
      <c r="AG551" s="65"/>
      <c r="AH551" s="65"/>
      <c r="AI551" s="65"/>
      <c r="AJ551" s="65"/>
      <c r="AK551" s="65"/>
      <c r="AL551" s="65"/>
      <c r="AM551" s="65"/>
      <c r="AN551" s="65"/>
      <c r="AO551" s="65"/>
      <c r="AP551" s="65"/>
      <c r="AQ551" s="564"/>
      <c r="AR551" s="564"/>
      <c r="AS551" s="564"/>
      <c r="AT551" s="564"/>
      <c r="AU551" s="564"/>
      <c r="AV551" s="564"/>
      <c r="AW551" s="564"/>
      <c r="AX551" s="564"/>
      <c r="AY551" s="564"/>
      <c r="AZ551" s="564"/>
      <c r="BA551" s="564"/>
      <c r="BB551" s="564"/>
      <c r="BC551" s="564"/>
    </row>
    <row r="552" spans="1:55" ht="12" thickBot="1">
      <c r="A552" s="596" t="s">
        <v>1508</v>
      </c>
      <c r="B552" s="541" t="s">
        <v>398</v>
      </c>
      <c r="C552" s="541" t="s">
        <v>1121</v>
      </c>
      <c r="D552" s="552" t="s">
        <v>1139</v>
      </c>
      <c r="E552" s="549"/>
      <c r="F552" s="551"/>
      <c r="G552" s="550"/>
      <c r="H552" s="551"/>
      <c r="I552" s="551"/>
      <c r="J552" s="551"/>
      <c r="K552" s="551"/>
      <c r="L552" s="551"/>
      <c r="M552" s="550"/>
      <c r="N552" s="550"/>
      <c r="O552" s="551"/>
      <c r="P552" s="551"/>
      <c r="Q552" s="550"/>
      <c r="R552" s="550"/>
      <c r="S552" s="546">
        <f t="shared" si="90"/>
        <v>0</v>
      </c>
      <c r="T552" s="547">
        <f t="shared" si="91"/>
        <v>0</v>
      </c>
      <c r="U552" s="546">
        <f t="shared" si="92"/>
        <v>0</v>
      </c>
      <c r="W552" s="350">
        <f t="shared" si="88"/>
        <v>0</v>
      </c>
      <c r="X552" s="285">
        <f t="shared" si="89"/>
        <v>0</v>
      </c>
      <c r="Y552" s="564"/>
      <c r="Z552" s="65"/>
      <c r="AA552" s="65"/>
      <c r="AB552" s="65"/>
      <c r="AC552" s="65"/>
      <c r="AD552" s="65"/>
      <c r="AE552" s="65"/>
      <c r="AF552" s="65"/>
      <c r="AG552" s="65"/>
      <c r="AH552" s="65"/>
      <c r="AI552" s="65"/>
      <c r="AJ552" s="65"/>
      <c r="AK552" s="65"/>
      <c r="AL552" s="65"/>
      <c r="AM552" s="65"/>
      <c r="AN552" s="65"/>
      <c r="AO552" s="65"/>
      <c r="AP552" s="65"/>
      <c r="AQ552" s="564"/>
      <c r="AR552" s="564"/>
      <c r="AS552" s="564"/>
      <c r="AT552" s="564"/>
      <c r="AU552" s="564"/>
      <c r="AV552" s="564"/>
      <c r="AW552" s="564"/>
      <c r="AX552" s="564"/>
      <c r="AY552" s="564"/>
      <c r="AZ552" s="564"/>
      <c r="BA552" s="564"/>
      <c r="BB552" s="564"/>
      <c r="BC552" s="564"/>
    </row>
    <row r="553" spans="1:55" ht="12" thickBot="1">
      <c r="A553" s="596" t="s">
        <v>1508</v>
      </c>
      <c r="B553" s="541" t="s">
        <v>348</v>
      </c>
      <c r="C553" s="541" t="s">
        <v>1122</v>
      </c>
      <c r="D553" s="552" t="s">
        <v>1139</v>
      </c>
      <c r="E553" s="543"/>
      <c r="F553" s="545"/>
      <c r="G553" s="544"/>
      <c r="H553" s="545"/>
      <c r="I553" s="545"/>
      <c r="J553" s="545"/>
      <c r="K553" s="545"/>
      <c r="L553" s="545"/>
      <c r="M553" s="544"/>
      <c r="N553" s="544"/>
      <c r="O553" s="545"/>
      <c r="P553" s="545"/>
      <c r="Q553" s="544"/>
      <c r="R553" s="544"/>
      <c r="S553" s="546">
        <f t="shared" si="90"/>
        <v>0</v>
      </c>
      <c r="T553" s="547">
        <f t="shared" si="91"/>
        <v>0</v>
      </c>
      <c r="U553" s="546">
        <f t="shared" si="92"/>
        <v>0</v>
      </c>
      <c r="W553" s="350">
        <f t="shared" si="88"/>
        <v>0</v>
      </c>
      <c r="X553" s="285">
        <f t="shared" si="89"/>
        <v>0</v>
      </c>
      <c r="Y553" s="564"/>
      <c r="Z553" s="65"/>
      <c r="AA553" s="65"/>
      <c r="AB553" s="65"/>
      <c r="AC553" s="65"/>
      <c r="AD553" s="65"/>
      <c r="AE553" s="65"/>
      <c r="AF553" s="65"/>
      <c r="AG553" s="65"/>
      <c r="AH553" s="65"/>
      <c r="AI553" s="65"/>
      <c r="AJ553" s="65"/>
      <c r="AK553" s="65"/>
      <c r="AL553" s="65"/>
      <c r="AM553" s="65"/>
      <c r="AN553" s="65"/>
      <c r="AO553" s="65"/>
      <c r="AP553" s="65"/>
      <c r="AQ553" s="564"/>
      <c r="AR553" s="564"/>
      <c r="AS553" s="564"/>
      <c r="AT553" s="564"/>
      <c r="AU553" s="564"/>
      <c r="AV553" s="564"/>
      <c r="AW553" s="564"/>
      <c r="AX553" s="564"/>
      <c r="AY553" s="564"/>
      <c r="AZ553" s="564"/>
      <c r="BA553" s="564"/>
      <c r="BB553" s="564"/>
      <c r="BC553" s="564"/>
    </row>
    <row r="554" spans="1:55" ht="12" thickBot="1">
      <c r="A554" s="596" t="s">
        <v>1508</v>
      </c>
      <c r="B554" s="541" t="s">
        <v>380</v>
      </c>
      <c r="C554" s="541" t="s">
        <v>1123</v>
      </c>
      <c r="D554" s="552" t="s">
        <v>1139</v>
      </c>
      <c r="E554" s="549"/>
      <c r="F554" s="551"/>
      <c r="G554" s="550"/>
      <c r="H554" s="551"/>
      <c r="I554" s="551"/>
      <c r="J554" s="551"/>
      <c r="K554" s="551"/>
      <c r="L554" s="551"/>
      <c r="M554" s="550"/>
      <c r="N554" s="550"/>
      <c r="O554" s="551"/>
      <c r="P554" s="551"/>
      <c r="Q554" s="550"/>
      <c r="R554" s="550"/>
      <c r="S554" s="546">
        <f t="shared" si="90"/>
        <v>0</v>
      </c>
      <c r="T554" s="547">
        <f t="shared" si="91"/>
        <v>0</v>
      </c>
      <c r="U554" s="546">
        <f t="shared" si="92"/>
        <v>0</v>
      </c>
      <c r="W554" s="350">
        <f t="shared" si="88"/>
        <v>0</v>
      </c>
      <c r="X554" s="285">
        <f t="shared" si="89"/>
        <v>0</v>
      </c>
      <c r="Y554" s="564"/>
      <c r="Z554" s="65"/>
      <c r="AA554" s="65"/>
      <c r="AB554" s="65"/>
      <c r="AC554" s="65"/>
      <c r="AD554" s="65"/>
      <c r="AE554" s="65"/>
      <c r="AF554" s="65"/>
      <c r="AG554" s="65"/>
      <c r="AH554" s="65"/>
      <c r="AI554" s="65"/>
      <c r="AJ554" s="65"/>
      <c r="AK554" s="65"/>
      <c r="AL554" s="65"/>
      <c r="AM554" s="65"/>
      <c r="AN554" s="65"/>
      <c r="AO554" s="65"/>
      <c r="AP554" s="65"/>
      <c r="AQ554" s="564"/>
      <c r="AR554" s="564"/>
      <c r="AS554" s="564"/>
      <c r="AT554" s="564"/>
      <c r="AU554" s="564"/>
      <c r="AV554" s="564"/>
      <c r="AW554" s="564"/>
      <c r="AX554" s="564"/>
      <c r="AY554" s="564"/>
      <c r="AZ554" s="564"/>
      <c r="BA554" s="564"/>
      <c r="BB554" s="564"/>
      <c r="BC554" s="564"/>
    </row>
    <row r="555" spans="1:55" ht="12" thickBot="1">
      <c r="A555" s="596" t="s">
        <v>1508</v>
      </c>
      <c r="B555" s="541" t="s">
        <v>399</v>
      </c>
      <c r="C555" s="541" t="s">
        <v>1124</v>
      </c>
      <c r="D555" s="552" t="s">
        <v>1139</v>
      </c>
      <c r="E555" s="543"/>
      <c r="F555" s="545"/>
      <c r="G555" s="544"/>
      <c r="H555" s="545"/>
      <c r="I555" s="545"/>
      <c r="J555" s="545"/>
      <c r="K555" s="545"/>
      <c r="L555" s="545"/>
      <c r="M555" s="544"/>
      <c r="N555" s="544"/>
      <c r="O555" s="545"/>
      <c r="P555" s="545"/>
      <c r="Q555" s="544"/>
      <c r="R555" s="544"/>
      <c r="S555" s="546">
        <f t="shared" si="90"/>
        <v>0</v>
      </c>
      <c r="T555" s="547">
        <f t="shared" si="91"/>
        <v>0</v>
      </c>
      <c r="U555" s="546">
        <f t="shared" si="92"/>
        <v>0</v>
      </c>
      <c r="W555" s="350">
        <f t="shared" si="88"/>
        <v>0</v>
      </c>
      <c r="X555" s="285">
        <f t="shared" si="89"/>
        <v>0</v>
      </c>
      <c r="Y555" s="564"/>
      <c r="Z555" s="65"/>
      <c r="AA555" s="65"/>
      <c r="AB555" s="65"/>
      <c r="AC555" s="65"/>
      <c r="AD555" s="65"/>
      <c r="AE555" s="65"/>
      <c r="AF555" s="65"/>
      <c r="AG555" s="65"/>
      <c r="AH555" s="65"/>
      <c r="AI555" s="65"/>
      <c r="AJ555" s="65"/>
      <c r="AK555" s="65"/>
      <c r="AL555" s="65"/>
      <c r="AM555" s="65"/>
      <c r="AN555" s="65"/>
      <c r="AO555" s="65"/>
      <c r="AP555" s="65"/>
      <c r="AQ555" s="564"/>
      <c r="AR555" s="564"/>
      <c r="AS555" s="564"/>
      <c r="AT555" s="564"/>
      <c r="AU555" s="564"/>
      <c r="AV555" s="564"/>
      <c r="AW555" s="564"/>
      <c r="AX555" s="564"/>
      <c r="AY555" s="564"/>
      <c r="AZ555" s="564"/>
      <c r="BA555" s="564"/>
      <c r="BB555" s="564"/>
      <c r="BC555" s="564"/>
    </row>
    <row r="556" spans="1:55" ht="12" thickBot="1">
      <c r="A556" s="596" t="s">
        <v>1508</v>
      </c>
      <c r="B556" s="541" t="s">
        <v>349</v>
      </c>
      <c r="C556" s="541" t="s">
        <v>1125</v>
      </c>
      <c r="D556" s="552" t="s">
        <v>1139</v>
      </c>
      <c r="E556" s="549"/>
      <c r="F556" s="551"/>
      <c r="G556" s="550"/>
      <c r="H556" s="551"/>
      <c r="I556" s="551"/>
      <c r="J556" s="551"/>
      <c r="K556" s="551"/>
      <c r="L556" s="551"/>
      <c r="M556" s="550"/>
      <c r="N556" s="550"/>
      <c r="O556" s="551"/>
      <c r="P556" s="551"/>
      <c r="Q556" s="550"/>
      <c r="R556" s="550"/>
      <c r="S556" s="546">
        <f>G556+H556+I556</f>
        <v>0</v>
      </c>
      <c r="T556" s="547">
        <f t="shared" si="91"/>
        <v>0</v>
      </c>
      <c r="U556" s="546">
        <f t="shared" si="92"/>
        <v>0</v>
      </c>
      <c r="W556" s="350">
        <f t="shared" si="88"/>
        <v>0</v>
      </c>
      <c r="X556" s="285">
        <f t="shared" si="89"/>
        <v>0</v>
      </c>
      <c r="Y556" s="564"/>
      <c r="Z556" s="65"/>
      <c r="AA556" s="65"/>
      <c r="AB556" s="65"/>
      <c r="AC556" s="65"/>
      <c r="AD556" s="65"/>
      <c r="AE556" s="65"/>
      <c r="AF556" s="65"/>
      <c r="AG556" s="65"/>
      <c r="AH556" s="65"/>
      <c r="AI556" s="65"/>
      <c r="AJ556" s="65"/>
      <c r="AK556" s="65"/>
      <c r="AL556" s="65"/>
      <c r="AM556" s="65"/>
      <c r="AN556" s="65"/>
      <c r="AO556" s="65"/>
      <c r="AP556" s="65"/>
      <c r="AQ556" s="564"/>
      <c r="AR556" s="564"/>
      <c r="AS556" s="564"/>
      <c r="AT556" s="564"/>
      <c r="AU556" s="564"/>
      <c r="AV556" s="564"/>
      <c r="AW556" s="564"/>
      <c r="AX556" s="564"/>
      <c r="AY556" s="564"/>
      <c r="AZ556" s="564"/>
      <c r="BA556" s="564"/>
      <c r="BB556" s="564"/>
      <c r="BC556" s="564"/>
    </row>
    <row r="557" spans="1:55" ht="12" thickBot="1">
      <c r="A557" s="596" t="s">
        <v>1508</v>
      </c>
      <c r="B557" s="541" t="s">
        <v>381</v>
      </c>
      <c r="C557" s="541" t="s">
        <v>1126</v>
      </c>
      <c r="D557" s="552" t="s">
        <v>1139</v>
      </c>
      <c r="E557" s="543"/>
      <c r="F557" s="545"/>
      <c r="G557" s="544"/>
      <c r="H557" s="545"/>
      <c r="I557" s="545"/>
      <c r="J557" s="545"/>
      <c r="K557" s="545"/>
      <c r="L557" s="545"/>
      <c r="M557" s="544"/>
      <c r="N557" s="544"/>
      <c r="O557" s="545"/>
      <c r="P557" s="545"/>
      <c r="Q557" s="544"/>
      <c r="R557" s="544"/>
      <c r="S557" s="546">
        <f t="shared" si="90"/>
        <v>0</v>
      </c>
      <c r="T557" s="547">
        <f t="shared" si="91"/>
        <v>0</v>
      </c>
      <c r="U557" s="546">
        <f t="shared" si="92"/>
        <v>0</v>
      </c>
      <c r="W557" s="350">
        <f t="shared" si="88"/>
        <v>0</v>
      </c>
      <c r="X557" s="285">
        <f t="shared" si="89"/>
        <v>0</v>
      </c>
      <c r="Y557" s="564"/>
      <c r="Z557" s="65"/>
      <c r="AA557" s="65"/>
      <c r="AB557" s="65"/>
      <c r="AC557" s="65"/>
      <c r="AD557" s="65"/>
      <c r="AE557" s="65"/>
      <c r="AF557" s="65"/>
      <c r="AG557" s="65"/>
      <c r="AH557" s="65"/>
      <c r="AI557" s="65"/>
      <c r="AJ557" s="65"/>
      <c r="AK557" s="65"/>
      <c r="AL557" s="65"/>
      <c r="AM557" s="65"/>
      <c r="AN557" s="65"/>
      <c r="AO557" s="65"/>
      <c r="AP557" s="65"/>
      <c r="AQ557" s="564"/>
      <c r="AR557" s="564"/>
      <c r="AS557" s="564"/>
      <c r="AT557" s="564"/>
      <c r="AU557" s="564"/>
      <c r="AV557" s="564"/>
      <c r="AW557" s="564"/>
      <c r="AX557" s="564"/>
      <c r="AY557" s="564"/>
      <c r="AZ557" s="564"/>
      <c r="BA557" s="564"/>
      <c r="BB557" s="564"/>
      <c r="BC557" s="564"/>
    </row>
    <row r="558" spans="1:55" ht="12" thickBot="1">
      <c r="A558" s="596" t="s">
        <v>1508</v>
      </c>
      <c r="B558" s="541" t="s">
        <v>321</v>
      </c>
      <c r="C558" s="541" t="s">
        <v>1127</v>
      </c>
      <c r="D558" s="552" t="s">
        <v>1139</v>
      </c>
      <c r="E558" s="549"/>
      <c r="F558" s="551"/>
      <c r="G558" s="550"/>
      <c r="H558" s="551"/>
      <c r="I558" s="551"/>
      <c r="J558" s="551"/>
      <c r="K558" s="551"/>
      <c r="L558" s="551"/>
      <c r="M558" s="550"/>
      <c r="N558" s="550"/>
      <c r="O558" s="551"/>
      <c r="P558" s="551"/>
      <c r="Q558" s="550"/>
      <c r="R558" s="550"/>
      <c r="S558" s="546">
        <f t="shared" si="90"/>
        <v>0</v>
      </c>
      <c r="T558" s="547">
        <f t="shared" si="91"/>
        <v>0</v>
      </c>
      <c r="U558" s="546">
        <f t="shared" si="92"/>
        <v>0</v>
      </c>
      <c r="W558" s="350">
        <f t="shared" ref="W558:W573" si="93">SUM(F558:Q558)</f>
        <v>0</v>
      </c>
      <c r="X558" s="285">
        <f t="shared" ref="X558:X573" si="94">W558-R558</f>
        <v>0</v>
      </c>
      <c r="Y558" s="564"/>
      <c r="Z558" s="65"/>
      <c r="AA558" s="65"/>
      <c r="AB558" s="65"/>
      <c r="AC558" s="65"/>
      <c r="AD558" s="65"/>
      <c r="AE558" s="65"/>
      <c r="AF558" s="65"/>
      <c r="AG558" s="65"/>
      <c r="AH558" s="65"/>
      <c r="AI558" s="65"/>
      <c r="AJ558" s="65"/>
      <c r="AK558" s="65"/>
      <c r="AL558" s="65"/>
      <c r="AM558" s="65"/>
      <c r="AN558" s="65"/>
      <c r="AO558" s="65"/>
      <c r="AP558" s="65"/>
      <c r="AQ558" s="564"/>
      <c r="AR558" s="564"/>
      <c r="AS558" s="564"/>
      <c r="AT558" s="564"/>
      <c r="AU558" s="564"/>
      <c r="AV558" s="564"/>
      <c r="AW558" s="564"/>
      <c r="AX558" s="564"/>
      <c r="AY558" s="564"/>
      <c r="AZ558" s="564"/>
      <c r="BA558" s="564"/>
      <c r="BB558" s="564"/>
      <c r="BC558" s="564"/>
    </row>
    <row r="559" spans="1:55" ht="12" thickBot="1">
      <c r="A559" s="596" t="s">
        <v>1508</v>
      </c>
      <c r="B559" s="541" t="s">
        <v>353</v>
      </c>
      <c r="C559" s="541" t="s">
        <v>1128</v>
      </c>
      <c r="D559" s="552" t="s">
        <v>1139</v>
      </c>
      <c r="E559" s="543"/>
      <c r="F559" s="545"/>
      <c r="G559" s="544"/>
      <c r="H559" s="545"/>
      <c r="I559" s="545"/>
      <c r="J559" s="545"/>
      <c r="K559" s="545"/>
      <c r="L559" s="545"/>
      <c r="M559" s="544"/>
      <c r="N559" s="544"/>
      <c r="O559" s="545"/>
      <c r="P559" s="545"/>
      <c r="Q559" s="544"/>
      <c r="R559" s="544"/>
      <c r="S559" s="546">
        <f t="shared" si="90"/>
        <v>0</v>
      </c>
      <c r="T559" s="547">
        <f t="shared" si="91"/>
        <v>0</v>
      </c>
      <c r="U559" s="546">
        <f t="shared" si="92"/>
        <v>0</v>
      </c>
      <c r="W559" s="350">
        <f t="shared" si="93"/>
        <v>0</v>
      </c>
      <c r="X559" s="285">
        <f t="shared" si="94"/>
        <v>0</v>
      </c>
      <c r="Y559" s="564"/>
      <c r="Z559" s="65"/>
      <c r="AA559" s="65"/>
      <c r="AB559" s="65"/>
      <c r="AC559" s="65"/>
      <c r="AD559" s="65"/>
      <c r="AE559" s="65"/>
      <c r="AF559" s="65"/>
      <c r="AG559" s="65"/>
      <c r="AH559" s="65"/>
      <c r="AI559" s="65"/>
      <c r="AJ559" s="65"/>
      <c r="AK559" s="65"/>
      <c r="AL559" s="65"/>
      <c r="AM559" s="65"/>
      <c r="AN559" s="65"/>
      <c r="AO559" s="65"/>
      <c r="AP559" s="65"/>
      <c r="AQ559" s="564"/>
      <c r="AR559" s="564"/>
      <c r="AS559" s="564"/>
      <c r="AT559" s="564"/>
      <c r="AU559" s="564"/>
      <c r="AV559" s="564"/>
      <c r="AW559" s="564"/>
      <c r="AX559" s="564"/>
      <c r="AY559" s="564"/>
      <c r="AZ559" s="564"/>
      <c r="BA559" s="564"/>
      <c r="BB559" s="564"/>
      <c r="BC559" s="564"/>
    </row>
    <row r="560" spans="1:55" ht="12" thickBot="1">
      <c r="A560" s="596" t="s">
        <v>1508</v>
      </c>
      <c r="B560" s="541" t="s">
        <v>678</v>
      </c>
      <c r="C560" s="541" t="s">
        <v>1129</v>
      </c>
      <c r="D560" s="552" t="s">
        <v>1139</v>
      </c>
      <c r="E560" s="549"/>
      <c r="F560" s="551"/>
      <c r="G560" s="550"/>
      <c r="H560" s="551"/>
      <c r="I560" s="551"/>
      <c r="J560" s="551"/>
      <c r="K560" s="551"/>
      <c r="L560" s="551"/>
      <c r="M560" s="550"/>
      <c r="N560" s="550"/>
      <c r="O560" s="551"/>
      <c r="P560" s="551"/>
      <c r="Q560" s="551"/>
      <c r="R560" s="550"/>
      <c r="S560" s="546">
        <f t="shared" ref="S560:S573" si="95">G560+H560+I560</f>
        <v>0</v>
      </c>
      <c r="T560" s="547">
        <f t="shared" ref="T560:T573" si="96">J560+K560</f>
        <v>0</v>
      </c>
      <c r="U560" s="546">
        <f t="shared" ref="U560:U573" si="97">N560+O560</f>
        <v>0</v>
      </c>
      <c r="W560" s="350">
        <f t="shared" si="93"/>
        <v>0</v>
      </c>
      <c r="X560" s="285">
        <f t="shared" si="94"/>
        <v>0</v>
      </c>
      <c r="Y560" s="564"/>
      <c r="Z560" s="65"/>
      <c r="AA560" s="65"/>
      <c r="AB560" s="65"/>
      <c r="AC560" s="65"/>
      <c r="AD560" s="65"/>
      <c r="AE560" s="65"/>
      <c r="AF560" s="65"/>
      <c r="AG560" s="65"/>
      <c r="AH560" s="65"/>
      <c r="AI560" s="65"/>
      <c r="AJ560" s="65"/>
      <c r="AK560" s="65"/>
      <c r="AL560" s="65"/>
      <c r="AM560" s="65"/>
      <c r="AN560" s="65"/>
      <c r="AO560" s="65"/>
      <c r="AP560" s="65"/>
      <c r="AQ560" s="564"/>
      <c r="AR560" s="564"/>
      <c r="AS560" s="564"/>
      <c r="AT560" s="564"/>
      <c r="AU560" s="564"/>
      <c r="AV560" s="564"/>
      <c r="AW560" s="564"/>
      <c r="AX560" s="564"/>
      <c r="AY560" s="564"/>
      <c r="AZ560" s="564"/>
      <c r="BA560" s="564"/>
      <c r="BB560" s="564"/>
      <c r="BC560" s="564"/>
    </row>
    <row r="561" spans="1:55" ht="12" thickBot="1">
      <c r="A561" s="596" t="s">
        <v>1508</v>
      </c>
      <c r="B561" s="541" t="s">
        <v>316</v>
      </c>
      <c r="C561" s="541" t="s">
        <v>1130</v>
      </c>
      <c r="D561" s="552" t="s">
        <v>1139</v>
      </c>
      <c r="E561" s="543"/>
      <c r="F561" s="545"/>
      <c r="G561" s="544"/>
      <c r="H561" s="545"/>
      <c r="I561" s="545"/>
      <c r="J561" s="545"/>
      <c r="K561" s="545"/>
      <c r="L561" s="545"/>
      <c r="M561" s="544"/>
      <c r="N561" s="544"/>
      <c r="O561" s="545"/>
      <c r="P561" s="545"/>
      <c r="Q561" s="544"/>
      <c r="R561" s="544"/>
      <c r="S561" s="546">
        <f t="shared" si="95"/>
        <v>0</v>
      </c>
      <c r="T561" s="547">
        <f t="shared" si="96"/>
        <v>0</v>
      </c>
      <c r="U561" s="546">
        <f t="shared" si="97"/>
        <v>0</v>
      </c>
      <c r="W561" s="350">
        <f t="shared" si="93"/>
        <v>0</v>
      </c>
      <c r="X561" s="285">
        <f t="shared" si="94"/>
        <v>0</v>
      </c>
      <c r="Y561" s="564"/>
      <c r="Z561" s="65"/>
      <c r="AA561" s="65"/>
      <c r="AB561" s="65"/>
      <c r="AC561" s="65"/>
      <c r="AD561" s="65"/>
      <c r="AE561" s="65"/>
      <c r="AF561" s="65"/>
      <c r="AG561" s="65"/>
      <c r="AH561" s="65"/>
      <c r="AI561" s="65"/>
      <c r="AJ561" s="65"/>
      <c r="AK561" s="65"/>
      <c r="AL561" s="65"/>
      <c r="AM561" s="65"/>
      <c r="AN561" s="65"/>
      <c r="AO561" s="65"/>
      <c r="AP561" s="65"/>
      <c r="AQ561" s="564"/>
      <c r="AR561" s="564"/>
      <c r="AS561" s="564"/>
      <c r="AT561" s="564"/>
      <c r="AU561" s="564"/>
      <c r="AV561" s="564"/>
      <c r="AW561" s="564"/>
      <c r="AX561" s="564"/>
      <c r="AY561" s="564"/>
      <c r="AZ561" s="564"/>
      <c r="BA561" s="564"/>
      <c r="BB561" s="564"/>
      <c r="BC561" s="564"/>
    </row>
    <row r="562" spans="1:55" ht="12" thickBot="1">
      <c r="A562" s="596" t="s">
        <v>1508</v>
      </c>
      <c r="B562" s="541" t="s">
        <v>318</v>
      </c>
      <c r="C562" s="541" t="s">
        <v>1131</v>
      </c>
      <c r="D562" s="552" t="s">
        <v>1139</v>
      </c>
      <c r="E562" s="549"/>
      <c r="F562" s="551"/>
      <c r="G562" s="550"/>
      <c r="H562" s="551"/>
      <c r="I562" s="551"/>
      <c r="J562" s="551"/>
      <c r="K562" s="551"/>
      <c r="L562" s="551"/>
      <c r="M562" s="550"/>
      <c r="N562" s="550"/>
      <c r="O562" s="551"/>
      <c r="P562" s="551"/>
      <c r="Q562" s="550"/>
      <c r="R562" s="550"/>
      <c r="S562" s="546">
        <f t="shared" si="95"/>
        <v>0</v>
      </c>
      <c r="T562" s="547">
        <f t="shared" si="96"/>
        <v>0</v>
      </c>
      <c r="U562" s="546">
        <f t="shared" si="97"/>
        <v>0</v>
      </c>
      <c r="W562" s="350">
        <f t="shared" si="93"/>
        <v>0</v>
      </c>
      <c r="X562" s="285">
        <f t="shared" si="94"/>
        <v>0</v>
      </c>
      <c r="Y562" s="564"/>
      <c r="Z562" s="65"/>
      <c r="AA562" s="65"/>
      <c r="AB562" s="65"/>
      <c r="AC562" s="65"/>
      <c r="AD562" s="65"/>
      <c r="AE562" s="65"/>
      <c r="AF562" s="65"/>
      <c r="AG562" s="65"/>
      <c r="AH562" s="65"/>
      <c r="AI562" s="65"/>
      <c r="AJ562" s="65"/>
      <c r="AK562" s="65"/>
      <c r="AL562" s="65"/>
      <c r="AM562" s="65"/>
      <c r="AN562" s="65"/>
      <c r="AO562" s="65"/>
      <c r="AP562" s="65"/>
      <c r="AQ562" s="564"/>
      <c r="AR562" s="564"/>
      <c r="AS562" s="564"/>
      <c r="AT562" s="564"/>
      <c r="AU562" s="564"/>
      <c r="AV562" s="564"/>
      <c r="AW562" s="564"/>
      <c r="AX562" s="564"/>
      <c r="AY562" s="564"/>
      <c r="AZ562" s="564"/>
      <c r="BA562" s="564"/>
      <c r="BB562" s="564"/>
      <c r="BC562" s="564"/>
    </row>
    <row r="563" spans="1:55" ht="12" thickBot="1">
      <c r="A563" s="596" t="s">
        <v>1508</v>
      </c>
      <c r="B563" s="541" t="s">
        <v>350</v>
      </c>
      <c r="C563" s="541" t="s">
        <v>1132</v>
      </c>
      <c r="D563" s="552" t="s">
        <v>1139</v>
      </c>
      <c r="E563" s="543"/>
      <c r="F563" s="545"/>
      <c r="G563" s="544"/>
      <c r="H563" s="545"/>
      <c r="I563" s="545"/>
      <c r="J563" s="545"/>
      <c r="K563" s="545"/>
      <c r="L563" s="545"/>
      <c r="M563" s="544"/>
      <c r="N563" s="544"/>
      <c r="O563" s="545"/>
      <c r="P563" s="545"/>
      <c r="Q563" s="544"/>
      <c r="R563" s="544"/>
      <c r="S563" s="546">
        <f t="shared" si="95"/>
        <v>0</v>
      </c>
      <c r="T563" s="547">
        <f t="shared" si="96"/>
        <v>0</v>
      </c>
      <c r="U563" s="546">
        <f t="shared" si="97"/>
        <v>0</v>
      </c>
      <c r="W563" s="350">
        <f t="shared" si="93"/>
        <v>0</v>
      </c>
      <c r="X563" s="285">
        <f t="shared" si="94"/>
        <v>0</v>
      </c>
      <c r="Y563" s="564"/>
      <c r="Z563" s="65"/>
      <c r="AA563" s="65"/>
      <c r="AB563" s="65"/>
      <c r="AC563" s="65"/>
      <c r="AD563" s="65"/>
      <c r="AE563" s="65"/>
      <c r="AF563" s="65"/>
      <c r="AG563" s="65"/>
      <c r="AH563" s="65"/>
      <c r="AI563" s="65"/>
      <c r="AJ563" s="65"/>
      <c r="AK563" s="65"/>
      <c r="AL563" s="65"/>
      <c r="AM563" s="65"/>
      <c r="AN563" s="65"/>
      <c r="AO563" s="65"/>
      <c r="AP563" s="65"/>
      <c r="AQ563" s="564"/>
      <c r="AR563" s="564"/>
      <c r="AS563" s="564"/>
      <c r="AT563" s="564"/>
      <c r="AU563" s="564"/>
      <c r="AV563" s="564"/>
      <c r="AW563" s="564"/>
      <c r="AX563" s="564"/>
      <c r="AY563" s="564"/>
      <c r="AZ563" s="564"/>
      <c r="BA563" s="564"/>
      <c r="BB563" s="564"/>
      <c r="BC563" s="564"/>
    </row>
    <row r="564" spans="1:55" ht="12" thickBot="1">
      <c r="A564" s="596" t="s">
        <v>1508</v>
      </c>
      <c r="B564" s="541" t="s">
        <v>313</v>
      </c>
      <c r="C564" s="541" t="s">
        <v>1133</v>
      </c>
      <c r="D564" s="552" t="s">
        <v>1139</v>
      </c>
      <c r="E564" s="549"/>
      <c r="F564" s="551"/>
      <c r="G564" s="550"/>
      <c r="H564" s="551"/>
      <c r="I564" s="551"/>
      <c r="J564" s="551"/>
      <c r="K564" s="551"/>
      <c r="L564" s="551"/>
      <c r="M564" s="550"/>
      <c r="N564" s="550"/>
      <c r="O564" s="551"/>
      <c r="P564" s="551"/>
      <c r="Q564" s="550"/>
      <c r="R564" s="550"/>
      <c r="S564" s="546">
        <f t="shared" si="95"/>
        <v>0</v>
      </c>
      <c r="T564" s="547">
        <f t="shared" si="96"/>
        <v>0</v>
      </c>
      <c r="U564" s="546">
        <f t="shared" si="97"/>
        <v>0</v>
      </c>
      <c r="W564" s="350">
        <f t="shared" si="93"/>
        <v>0</v>
      </c>
      <c r="X564" s="285">
        <f t="shared" si="94"/>
        <v>0</v>
      </c>
      <c r="Y564" s="564"/>
      <c r="Z564" s="65"/>
      <c r="AA564" s="65"/>
      <c r="AB564" s="65"/>
      <c r="AC564" s="65"/>
      <c r="AD564" s="65"/>
      <c r="AE564" s="65"/>
      <c r="AF564" s="65"/>
      <c r="AG564" s="65"/>
      <c r="AH564" s="65"/>
      <c r="AI564" s="65"/>
      <c r="AJ564" s="65"/>
      <c r="AK564" s="65"/>
      <c r="AL564" s="65"/>
      <c r="AM564" s="65"/>
      <c r="AN564" s="65"/>
      <c r="AO564" s="65"/>
      <c r="AP564" s="65"/>
      <c r="AQ564" s="564"/>
      <c r="AR564" s="564"/>
      <c r="AS564" s="564"/>
      <c r="AT564" s="564"/>
      <c r="AU564" s="564"/>
      <c r="AV564" s="564"/>
      <c r="AW564" s="564"/>
      <c r="AX564" s="564"/>
      <c r="AY564" s="564"/>
      <c r="AZ564" s="564"/>
      <c r="BA564" s="564"/>
      <c r="BB564" s="564"/>
      <c r="BC564" s="564"/>
    </row>
    <row r="565" spans="1:55" ht="12" thickBot="1">
      <c r="A565" s="596" t="s">
        <v>1508</v>
      </c>
      <c r="B565" s="541" t="s">
        <v>650</v>
      </c>
      <c r="C565" s="541" t="s">
        <v>1151</v>
      </c>
      <c r="D565" s="552" t="s">
        <v>1139</v>
      </c>
      <c r="E565" s="543"/>
      <c r="F565" s="545"/>
      <c r="G565" s="544"/>
      <c r="H565" s="545"/>
      <c r="I565" s="545"/>
      <c r="J565" s="545"/>
      <c r="K565" s="545"/>
      <c r="L565" s="545"/>
      <c r="M565" s="544"/>
      <c r="N565" s="544"/>
      <c r="O565" s="545"/>
      <c r="P565" s="545"/>
      <c r="Q565" s="545"/>
      <c r="R565" s="544"/>
      <c r="S565" s="546">
        <f t="shared" si="95"/>
        <v>0</v>
      </c>
      <c r="T565" s="547">
        <f t="shared" si="96"/>
        <v>0</v>
      </c>
      <c r="U565" s="546">
        <f t="shared" si="97"/>
        <v>0</v>
      </c>
      <c r="W565" s="350">
        <f t="shared" si="93"/>
        <v>0</v>
      </c>
      <c r="X565" s="285">
        <f t="shared" si="94"/>
        <v>0</v>
      </c>
      <c r="Y565" s="564"/>
      <c r="Z565" s="65"/>
      <c r="AA565" s="65"/>
      <c r="AB565" s="65"/>
      <c r="AC565" s="65"/>
      <c r="AD565" s="65"/>
      <c r="AE565" s="65"/>
      <c r="AF565" s="65"/>
      <c r="AG565" s="65"/>
      <c r="AH565" s="65"/>
      <c r="AI565" s="65"/>
      <c r="AJ565" s="65"/>
      <c r="AK565" s="65"/>
      <c r="AL565" s="65"/>
      <c r="AM565" s="65"/>
      <c r="AN565" s="65"/>
      <c r="AO565" s="65"/>
      <c r="AP565" s="65"/>
      <c r="AQ565" s="564"/>
      <c r="AR565" s="564"/>
      <c r="AS565" s="564"/>
      <c r="AT565" s="564"/>
      <c r="AU565" s="564"/>
      <c r="AV565" s="564"/>
      <c r="AW565" s="564"/>
      <c r="AX565" s="564"/>
      <c r="AY565" s="564"/>
      <c r="AZ565" s="564"/>
      <c r="BA565" s="564"/>
      <c r="BB565" s="564"/>
      <c r="BC565" s="564"/>
    </row>
    <row r="566" spans="1:55" ht="12" thickBot="1">
      <c r="A566" s="596" t="s">
        <v>1508</v>
      </c>
      <c r="B566" s="541" t="s">
        <v>447</v>
      </c>
      <c r="C566" s="541" t="s">
        <v>1134</v>
      </c>
      <c r="D566" s="552" t="s">
        <v>1139</v>
      </c>
      <c r="E566" s="549"/>
      <c r="F566" s="551"/>
      <c r="G566" s="550"/>
      <c r="H566" s="551"/>
      <c r="I566" s="551"/>
      <c r="J566" s="551"/>
      <c r="K566" s="551"/>
      <c r="L566" s="551"/>
      <c r="M566" s="550"/>
      <c r="N566" s="550"/>
      <c r="O566" s="551"/>
      <c r="P566" s="551"/>
      <c r="Q566" s="551"/>
      <c r="R566" s="550"/>
      <c r="S566" s="546">
        <f t="shared" si="95"/>
        <v>0</v>
      </c>
      <c r="T566" s="547">
        <f t="shared" si="96"/>
        <v>0</v>
      </c>
      <c r="U566" s="546">
        <f t="shared" si="97"/>
        <v>0</v>
      </c>
      <c r="W566" s="350">
        <f t="shared" si="93"/>
        <v>0</v>
      </c>
      <c r="X566" s="285">
        <f t="shared" si="94"/>
        <v>0</v>
      </c>
      <c r="Y566" s="564"/>
      <c r="Z566" s="65"/>
      <c r="AA566" s="65"/>
      <c r="AB566" s="65"/>
      <c r="AC566" s="65"/>
      <c r="AD566" s="65"/>
      <c r="AE566" s="65"/>
      <c r="AF566" s="65"/>
      <c r="AG566" s="65"/>
      <c r="AH566" s="65"/>
      <c r="AI566" s="65"/>
      <c r="AJ566" s="65"/>
      <c r="AK566" s="65"/>
      <c r="AL566" s="65"/>
      <c r="AM566" s="65"/>
      <c r="AN566" s="65"/>
      <c r="AO566" s="65"/>
      <c r="AP566" s="65"/>
      <c r="AQ566" s="564"/>
      <c r="AR566" s="564"/>
      <c r="AS566" s="564"/>
      <c r="AT566" s="564"/>
      <c r="AU566" s="564"/>
      <c r="AV566" s="564"/>
      <c r="AW566" s="564"/>
      <c r="AX566" s="564"/>
      <c r="AY566" s="564"/>
      <c r="AZ566" s="564"/>
      <c r="BA566" s="564"/>
      <c r="BB566" s="564"/>
      <c r="BC566" s="564"/>
    </row>
    <row r="567" spans="1:55" ht="12" thickBot="1">
      <c r="A567" s="596" t="s">
        <v>1508</v>
      </c>
      <c r="B567" s="541" t="s">
        <v>624</v>
      </c>
      <c r="C567" s="541" t="s">
        <v>1135</v>
      </c>
      <c r="D567" s="552" t="s">
        <v>1139</v>
      </c>
      <c r="E567" s="543"/>
      <c r="F567" s="545"/>
      <c r="G567" s="544"/>
      <c r="H567" s="545"/>
      <c r="I567" s="545"/>
      <c r="J567" s="545"/>
      <c r="K567" s="545"/>
      <c r="L567" s="545"/>
      <c r="M567" s="544"/>
      <c r="N567" s="544"/>
      <c r="O567" s="545"/>
      <c r="P567" s="545"/>
      <c r="Q567" s="545"/>
      <c r="R567" s="544"/>
      <c r="S567" s="546">
        <f t="shared" si="95"/>
        <v>0</v>
      </c>
      <c r="T567" s="547">
        <f t="shared" si="96"/>
        <v>0</v>
      </c>
      <c r="U567" s="546">
        <f t="shared" si="97"/>
        <v>0</v>
      </c>
      <c r="W567" s="350">
        <f t="shared" si="93"/>
        <v>0</v>
      </c>
      <c r="X567" s="285">
        <f t="shared" si="94"/>
        <v>0</v>
      </c>
      <c r="Y567" s="564"/>
      <c r="Z567" s="65"/>
      <c r="AA567" s="65"/>
      <c r="AB567" s="65"/>
      <c r="AC567" s="65"/>
      <c r="AD567" s="65"/>
      <c r="AE567" s="65"/>
      <c r="AF567" s="65"/>
      <c r="AG567" s="65"/>
      <c r="AH567" s="65"/>
      <c r="AI567" s="65"/>
      <c r="AJ567" s="65"/>
      <c r="AK567" s="65"/>
      <c r="AL567" s="65"/>
      <c r="AM567" s="65"/>
      <c r="AN567" s="65"/>
      <c r="AO567" s="65"/>
      <c r="AP567" s="65"/>
      <c r="AQ567" s="564"/>
      <c r="AR567" s="564"/>
      <c r="AS567" s="564"/>
      <c r="AT567" s="564"/>
      <c r="AU567" s="564"/>
      <c r="AV567" s="564"/>
      <c r="AW567" s="564"/>
      <c r="AX567" s="564"/>
      <c r="AY567" s="564"/>
      <c r="AZ567" s="564"/>
      <c r="BA567" s="564"/>
      <c r="BB567" s="564"/>
      <c r="BC567" s="564"/>
    </row>
    <row r="568" spans="1:55" ht="12" thickBot="1">
      <c r="A568" s="596" t="s">
        <v>1508</v>
      </c>
      <c r="B568" s="541" t="s">
        <v>429</v>
      </c>
      <c r="C568" s="541" t="s">
        <v>428</v>
      </c>
      <c r="D568" s="552" t="s">
        <v>73</v>
      </c>
      <c r="E568" s="551"/>
      <c r="F568" s="551"/>
      <c r="G568" s="551"/>
      <c r="H568" s="551"/>
      <c r="I568" s="551"/>
      <c r="J568" s="551"/>
      <c r="K568" s="551"/>
      <c r="L568" s="551"/>
      <c r="M568" s="551"/>
      <c r="N568" s="551"/>
      <c r="O568" s="551"/>
      <c r="P568" s="551"/>
      <c r="Q568" s="551"/>
      <c r="R568" s="550"/>
      <c r="S568" s="546">
        <f t="shared" si="95"/>
        <v>0</v>
      </c>
      <c r="T568" s="547">
        <f t="shared" si="96"/>
        <v>0</v>
      </c>
      <c r="U568" s="546">
        <f t="shared" si="97"/>
        <v>0</v>
      </c>
      <c r="W568" s="350">
        <f t="shared" si="93"/>
        <v>0</v>
      </c>
      <c r="X568" s="285">
        <f t="shared" si="94"/>
        <v>0</v>
      </c>
      <c r="Y568" s="564"/>
      <c r="Z568" s="65"/>
      <c r="AA568" s="65"/>
      <c r="AB568" s="65"/>
      <c r="AC568" s="65"/>
      <c r="AD568" s="65"/>
      <c r="AE568" s="65"/>
      <c r="AF568" s="65"/>
      <c r="AG568" s="65"/>
      <c r="AH568" s="65"/>
      <c r="AI568" s="65"/>
      <c r="AJ568" s="65"/>
      <c r="AK568" s="65"/>
      <c r="AL568" s="65"/>
      <c r="AM568" s="65"/>
      <c r="AN568" s="65"/>
      <c r="AO568" s="65"/>
      <c r="AP568" s="65"/>
      <c r="AQ568" s="564"/>
      <c r="AR568" s="564"/>
      <c r="AS568" s="564"/>
      <c r="AT568" s="564"/>
      <c r="AU568" s="564"/>
      <c r="AV568" s="564"/>
      <c r="AW568" s="564"/>
      <c r="AX568" s="564"/>
      <c r="AY568" s="564"/>
      <c r="AZ568" s="564"/>
      <c r="BA568" s="564"/>
      <c r="BB568" s="564"/>
      <c r="BC568" s="564"/>
    </row>
    <row r="569" spans="1:55" ht="12" thickBot="1">
      <c r="A569" s="596" t="s">
        <v>1508</v>
      </c>
      <c r="B569" s="541" t="s">
        <v>455</v>
      </c>
      <c r="C569" s="541" t="s">
        <v>454</v>
      </c>
      <c r="D569" s="552" t="s">
        <v>710</v>
      </c>
      <c r="E569" s="545"/>
      <c r="F569" s="545"/>
      <c r="G569" s="545"/>
      <c r="H569" s="545"/>
      <c r="I569" s="545"/>
      <c r="J569" s="545"/>
      <c r="K569" s="545"/>
      <c r="L569" s="545"/>
      <c r="M569" s="545"/>
      <c r="N569" s="545"/>
      <c r="O569" s="545"/>
      <c r="P569" s="545"/>
      <c r="Q569" s="545"/>
      <c r="R569" s="544"/>
      <c r="S569" s="546">
        <f t="shared" si="95"/>
        <v>0</v>
      </c>
      <c r="T569" s="547">
        <f t="shared" si="96"/>
        <v>0</v>
      </c>
      <c r="U569" s="546">
        <f t="shared" si="97"/>
        <v>0</v>
      </c>
      <c r="W569" s="350">
        <f t="shared" si="93"/>
        <v>0</v>
      </c>
      <c r="X569" s="285">
        <f t="shared" si="94"/>
        <v>0</v>
      </c>
      <c r="Y569" s="564"/>
      <c r="Z569" s="65"/>
      <c r="AA569" s="65"/>
      <c r="AB569" s="65"/>
      <c r="AC569" s="65"/>
      <c r="AD569" s="65"/>
      <c r="AE569" s="65"/>
      <c r="AF569" s="65"/>
      <c r="AG569" s="65"/>
      <c r="AH569" s="65"/>
      <c r="AI569" s="65"/>
      <c r="AJ569" s="65"/>
      <c r="AK569" s="65"/>
      <c r="AL569" s="65"/>
      <c r="AM569" s="65"/>
      <c r="AN569" s="65"/>
      <c r="AO569" s="65"/>
      <c r="AP569" s="65"/>
      <c r="AQ569" s="564"/>
      <c r="AR569" s="564"/>
      <c r="AS569" s="564"/>
      <c r="AT569" s="564"/>
      <c r="AU569" s="564"/>
      <c r="AV569" s="564"/>
      <c r="AW569" s="564"/>
      <c r="AX569" s="564"/>
      <c r="AY569" s="564"/>
      <c r="AZ569" s="564"/>
      <c r="BA569" s="564"/>
      <c r="BB569" s="564"/>
      <c r="BC569" s="564"/>
    </row>
    <row r="570" spans="1:55" ht="12" thickBot="1">
      <c r="A570" s="596" t="s">
        <v>1508</v>
      </c>
      <c r="B570" s="541" t="s">
        <v>457</v>
      </c>
      <c r="C570" s="541" t="s">
        <v>456</v>
      </c>
      <c r="D570" s="552" t="s">
        <v>710</v>
      </c>
      <c r="E570" s="551"/>
      <c r="F570" s="551"/>
      <c r="G570" s="551"/>
      <c r="H570" s="551"/>
      <c r="I570" s="551"/>
      <c r="J570" s="551"/>
      <c r="K570" s="551"/>
      <c r="L570" s="551"/>
      <c r="M570" s="551"/>
      <c r="N570" s="551"/>
      <c r="O570" s="551"/>
      <c r="P570" s="551"/>
      <c r="Q570" s="551"/>
      <c r="R570" s="550"/>
      <c r="S570" s="546">
        <f t="shared" si="95"/>
        <v>0</v>
      </c>
      <c r="T570" s="547">
        <f t="shared" si="96"/>
        <v>0</v>
      </c>
      <c r="U570" s="546">
        <f t="shared" si="97"/>
        <v>0</v>
      </c>
      <c r="W570" s="350">
        <f t="shared" si="93"/>
        <v>0</v>
      </c>
      <c r="X570" s="285">
        <f t="shared" si="94"/>
        <v>0</v>
      </c>
      <c r="Y570" s="564"/>
      <c r="Z570" s="65"/>
      <c r="AA570" s="65"/>
      <c r="AB570" s="65"/>
      <c r="AC570" s="65"/>
      <c r="AD570" s="65"/>
      <c r="AE570" s="65"/>
      <c r="AF570" s="65"/>
      <c r="AG570" s="65"/>
      <c r="AH570" s="65"/>
      <c r="AI570" s="65"/>
      <c r="AJ570" s="65"/>
      <c r="AK570" s="65"/>
      <c r="AL570" s="65"/>
      <c r="AM570" s="65"/>
      <c r="AN570" s="65"/>
      <c r="AO570" s="65"/>
      <c r="AP570" s="65"/>
      <c r="AQ570" s="564"/>
      <c r="AR570" s="564"/>
      <c r="AS570" s="564"/>
      <c r="AT570" s="564"/>
      <c r="AU570" s="564"/>
      <c r="AV570" s="564"/>
      <c r="AW570" s="564"/>
      <c r="AX570" s="564"/>
      <c r="AY570" s="564"/>
      <c r="AZ570" s="564"/>
      <c r="BA570" s="564"/>
      <c r="BB570" s="564"/>
      <c r="BC570" s="564"/>
    </row>
    <row r="571" spans="1:55" ht="12" thickBot="1">
      <c r="A571" s="596" t="s">
        <v>1508</v>
      </c>
      <c r="B571" s="541" t="s">
        <v>427</v>
      </c>
      <c r="C571" s="541" t="s">
        <v>426</v>
      </c>
      <c r="D571" s="552" t="s">
        <v>1157</v>
      </c>
      <c r="E571" s="545"/>
      <c r="F571" s="544"/>
      <c r="G571" s="545"/>
      <c r="H571" s="545"/>
      <c r="I571" s="545"/>
      <c r="J571" s="545"/>
      <c r="K571" s="545"/>
      <c r="L571" s="545"/>
      <c r="M571" s="545"/>
      <c r="N571" s="545"/>
      <c r="O571" s="545"/>
      <c r="P571" s="545"/>
      <c r="Q571" s="545"/>
      <c r="R571" s="544"/>
      <c r="S571" s="546">
        <f t="shared" si="95"/>
        <v>0</v>
      </c>
      <c r="T571" s="547">
        <f t="shared" si="96"/>
        <v>0</v>
      </c>
      <c r="U571" s="546">
        <f t="shared" si="97"/>
        <v>0</v>
      </c>
      <c r="W571" s="350">
        <f t="shared" si="93"/>
        <v>0</v>
      </c>
      <c r="X571" s="285">
        <f t="shared" si="94"/>
        <v>0</v>
      </c>
      <c r="Y571" s="564"/>
      <c r="Z571" s="65"/>
      <c r="AA571" s="65"/>
      <c r="AB571" s="65"/>
      <c r="AC571" s="65"/>
      <c r="AD571" s="65"/>
      <c r="AE571" s="65"/>
      <c r="AF571" s="65"/>
      <c r="AG571" s="65"/>
      <c r="AH571" s="65"/>
      <c r="AI571" s="65"/>
      <c r="AJ571" s="65"/>
      <c r="AK571" s="65"/>
      <c r="AL571" s="65"/>
      <c r="AM571" s="65"/>
      <c r="AN571" s="65"/>
      <c r="AO571" s="65"/>
      <c r="AP571" s="65"/>
      <c r="AQ571" s="564"/>
      <c r="AR571" s="564"/>
      <c r="AS571" s="564"/>
      <c r="AT571" s="564"/>
      <c r="AU571" s="564"/>
      <c r="AV571" s="564"/>
      <c r="AW571" s="564"/>
      <c r="AX571" s="564"/>
      <c r="AY571" s="564"/>
      <c r="AZ571" s="564"/>
      <c r="BA571" s="564"/>
      <c r="BB571" s="564"/>
      <c r="BC571" s="564"/>
    </row>
    <row r="572" spans="1:55" ht="12" thickBot="1">
      <c r="A572" s="596" t="s">
        <v>1508</v>
      </c>
      <c r="B572" s="541" t="s">
        <v>673</v>
      </c>
      <c r="C572" s="541" t="s">
        <v>674</v>
      </c>
      <c r="D572" s="552" t="s">
        <v>710</v>
      </c>
      <c r="E572" s="551"/>
      <c r="F572" s="551"/>
      <c r="G572" s="551"/>
      <c r="H572" s="551"/>
      <c r="I572" s="551"/>
      <c r="J572" s="551"/>
      <c r="K572" s="551"/>
      <c r="L572" s="551"/>
      <c r="M572" s="551"/>
      <c r="N572" s="551"/>
      <c r="O572" s="551"/>
      <c r="P572" s="551"/>
      <c r="Q572" s="551"/>
      <c r="R572" s="550"/>
      <c r="S572" s="546">
        <f t="shared" si="95"/>
        <v>0</v>
      </c>
      <c r="T572" s="547">
        <f t="shared" si="96"/>
        <v>0</v>
      </c>
      <c r="U572" s="546">
        <f t="shared" si="97"/>
        <v>0</v>
      </c>
      <c r="W572" s="350">
        <f t="shared" si="93"/>
        <v>0</v>
      </c>
      <c r="X572" s="285">
        <f t="shared" si="94"/>
        <v>0</v>
      </c>
      <c r="Y572" s="564"/>
      <c r="Z572" s="65"/>
      <c r="AA572" s="65"/>
      <c r="AB572" s="65"/>
      <c r="AC572" s="65"/>
      <c r="AD572" s="65"/>
      <c r="AE572" s="65"/>
      <c r="AF572" s="65"/>
      <c r="AG572" s="65"/>
      <c r="AH572" s="65"/>
      <c r="AI572" s="65"/>
      <c r="AJ572" s="65"/>
      <c r="AK572" s="65"/>
      <c r="AL572" s="65"/>
      <c r="AM572" s="65"/>
      <c r="AN572" s="65"/>
      <c r="AO572" s="65"/>
      <c r="AP572" s="65"/>
      <c r="AQ572" s="564"/>
      <c r="AR572" s="564"/>
      <c r="AS572" s="564"/>
      <c r="AT572" s="564"/>
      <c r="AU572" s="564"/>
      <c r="AV572" s="564"/>
      <c r="AW572" s="564"/>
      <c r="AX572" s="564"/>
      <c r="AY572" s="564"/>
      <c r="AZ572" s="564"/>
      <c r="BA572" s="564"/>
      <c r="BB572" s="564"/>
      <c r="BC572" s="564"/>
    </row>
    <row r="573" spans="1:55" ht="12" thickBot="1">
      <c r="A573" s="596" t="s">
        <v>1508</v>
      </c>
      <c r="B573" s="541" t="s">
        <v>1152</v>
      </c>
      <c r="C573" s="541" t="s">
        <v>1153</v>
      </c>
      <c r="D573" s="552" t="s">
        <v>710</v>
      </c>
      <c r="E573" s="545"/>
      <c r="F573" s="545"/>
      <c r="G573" s="545"/>
      <c r="H573" s="545"/>
      <c r="I573" s="545"/>
      <c r="J573" s="545"/>
      <c r="K573" s="545"/>
      <c r="L573" s="545"/>
      <c r="M573" s="545"/>
      <c r="N573" s="545"/>
      <c r="O573" s="545"/>
      <c r="P573" s="545"/>
      <c r="Q573" s="545"/>
      <c r="R573" s="544"/>
      <c r="S573" s="546">
        <f t="shared" si="95"/>
        <v>0</v>
      </c>
      <c r="T573" s="547">
        <f t="shared" si="96"/>
        <v>0</v>
      </c>
      <c r="U573" s="546">
        <f t="shared" si="97"/>
        <v>0</v>
      </c>
      <c r="W573" s="350">
        <f t="shared" si="93"/>
        <v>0</v>
      </c>
      <c r="X573" s="285">
        <f t="shared" si="94"/>
        <v>0</v>
      </c>
      <c r="Y573" s="564"/>
      <c r="Z573" s="65"/>
      <c r="AA573" s="65"/>
      <c r="AB573" s="65"/>
      <c r="AC573" s="65"/>
      <c r="AD573" s="65"/>
      <c r="AE573" s="65"/>
      <c r="AF573" s="65"/>
      <c r="AG573" s="65"/>
      <c r="AH573" s="65"/>
      <c r="AI573" s="65"/>
      <c r="AJ573" s="65"/>
      <c r="AK573" s="65"/>
      <c r="AL573" s="65"/>
      <c r="AM573" s="65"/>
      <c r="AN573" s="65"/>
      <c r="AO573" s="65"/>
      <c r="AP573" s="65"/>
      <c r="AQ573" s="564"/>
    </row>
    <row r="574" spans="1:55" ht="12" thickBot="1">
      <c r="A574" s="596" t="s">
        <v>1508</v>
      </c>
      <c r="B574" s="541" t="s">
        <v>434</v>
      </c>
      <c r="C574" s="541" t="s">
        <v>1154</v>
      </c>
      <c r="D574" s="552" t="s">
        <v>1158</v>
      </c>
      <c r="E574" s="549"/>
      <c r="F574" s="550"/>
      <c r="G574" s="550"/>
      <c r="H574" s="550"/>
      <c r="I574" s="551"/>
      <c r="J574" s="551"/>
      <c r="K574" s="551"/>
      <c r="L574" s="551"/>
      <c r="M574" s="551"/>
      <c r="N574" s="551"/>
      <c r="O574" s="551"/>
      <c r="P574" s="551"/>
      <c r="Q574" s="551"/>
      <c r="R574" s="550"/>
      <c r="S574" s="546">
        <f t="shared" ref="S574:S592" si="98">G574+H574+I574</f>
        <v>0</v>
      </c>
      <c r="T574" s="547">
        <f t="shared" ref="T574:T592" si="99">J574+K574</f>
        <v>0</v>
      </c>
      <c r="U574" s="546">
        <f t="shared" ref="U574:U637" si="100">N574+O574</f>
        <v>0</v>
      </c>
      <c r="W574" s="350">
        <f t="shared" ref="W574:W637" si="101">SUM(F574:Q574)</f>
        <v>0</v>
      </c>
      <c r="X574" s="285">
        <f t="shared" ref="X574:X587" si="102">W574-R574</f>
        <v>0</v>
      </c>
      <c r="Y574" s="564"/>
    </row>
    <row r="575" spans="1:55" ht="12" thickBot="1">
      <c r="A575" s="596" t="s">
        <v>1508</v>
      </c>
      <c r="B575" s="562" t="s">
        <v>8</v>
      </c>
      <c r="C575" s="563"/>
      <c r="D575" s="557"/>
      <c r="E575" s="558"/>
      <c r="F575" s="559"/>
      <c r="G575" s="559"/>
      <c r="H575" s="559"/>
      <c r="I575" s="559"/>
      <c r="J575" s="559"/>
      <c r="K575" s="559"/>
      <c r="L575" s="559"/>
      <c r="M575" s="559"/>
      <c r="N575" s="559"/>
      <c r="O575" s="559"/>
      <c r="P575" s="559"/>
      <c r="Q575" s="559"/>
      <c r="R575" s="559"/>
      <c r="S575" s="546">
        <f t="shared" si="98"/>
        <v>0</v>
      </c>
      <c r="T575" s="547">
        <f t="shared" si="99"/>
        <v>0</v>
      </c>
      <c r="U575" s="546">
        <f t="shared" si="100"/>
        <v>0</v>
      </c>
      <c r="W575" s="350">
        <f t="shared" si="101"/>
        <v>0</v>
      </c>
      <c r="X575" s="285">
        <f t="shared" si="102"/>
        <v>0</v>
      </c>
      <c r="Y575" s="564"/>
    </row>
    <row r="576" spans="1:55" ht="12" thickBot="1">
      <c r="A576" s="596" t="s">
        <v>1509</v>
      </c>
      <c r="B576" s="541" t="s">
        <v>424</v>
      </c>
      <c r="C576" s="541" t="s">
        <v>444</v>
      </c>
      <c r="D576" s="542" t="s">
        <v>724</v>
      </c>
      <c r="E576" s="543"/>
      <c r="F576" s="544"/>
      <c r="G576" s="544"/>
      <c r="H576" s="545"/>
      <c r="I576" s="545"/>
      <c r="J576" s="545"/>
      <c r="K576" s="545"/>
      <c r="L576" s="545"/>
      <c r="M576" s="545"/>
      <c r="N576" s="545"/>
      <c r="O576" s="545"/>
      <c r="P576" s="545"/>
      <c r="Q576" s="545"/>
      <c r="R576" s="544"/>
      <c r="S576" s="546">
        <f t="shared" si="98"/>
        <v>0</v>
      </c>
      <c r="T576" s="547">
        <f t="shared" si="99"/>
        <v>0</v>
      </c>
      <c r="U576" s="546">
        <f t="shared" si="100"/>
        <v>0</v>
      </c>
      <c r="W576" s="350">
        <f t="shared" si="101"/>
        <v>0</v>
      </c>
      <c r="X576" s="285">
        <f t="shared" si="102"/>
        <v>0</v>
      </c>
      <c r="Y576" s="564"/>
    </row>
    <row r="577" spans="1:25" ht="12" thickBot="1">
      <c r="A577" s="596" t="s">
        <v>1509</v>
      </c>
      <c r="B577" s="541" t="s">
        <v>425</v>
      </c>
      <c r="C577" s="541" t="s">
        <v>445</v>
      </c>
      <c r="D577" s="542" t="s">
        <v>724</v>
      </c>
      <c r="E577" s="549"/>
      <c r="F577" s="550"/>
      <c r="G577" s="550"/>
      <c r="H577" s="551"/>
      <c r="I577" s="551"/>
      <c r="J577" s="551"/>
      <c r="K577" s="551"/>
      <c r="L577" s="551"/>
      <c r="M577" s="551"/>
      <c r="N577" s="551"/>
      <c r="O577" s="551"/>
      <c r="P577" s="551"/>
      <c r="Q577" s="551"/>
      <c r="R577" s="550"/>
      <c r="S577" s="546">
        <f t="shared" si="98"/>
        <v>0</v>
      </c>
      <c r="T577" s="547">
        <f t="shared" si="99"/>
        <v>0</v>
      </c>
      <c r="U577" s="546">
        <f t="shared" si="100"/>
        <v>0</v>
      </c>
      <c r="W577" s="350">
        <f t="shared" si="101"/>
        <v>0</v>
      </c>
      <c r="X577" s="285">
        <f t="shared" si="102"/>
        <v>0</v>
      </c>
      <c r="Y577" s="564"/>
    </row>
    <row r="578" spans="1:25" ht="12" thickBot="1">
      <c r="A578" s="596" t="s">
        <v>1509</v>
      </c>
      <c r="B578" s="541" t="s">
        <v>433</v>
      </c>
      <c r="C578" s="541" t="s">
        <v>432</v>
      </c>
      <c r="D578" s="552" t="s">
        <v>1155</v>
      </c>
      <c r="E578" s="543"/>
      <c r="F578" s="545"/>
      <c r="G578" s="544"/>
      <c r="H578" s="545"/>
      <c r="I578" s="545"/>
      <c r="J578" s="545"/>
      <c r="K578" s="545"/>
      <c r="L578" s="545"/>
      <c r="M578" s="545"/>
      <c r="N578" s="545"/>
      <c r="O578" s="545"/>
      <c r="P578" s="545"/>
      <c r="Q578" s="545"/>
      <c r="R578" s="544"/>
      <c r="S578" s="546">
        <f t="shared" si="98"/>
        <v>0</v>
      </c>
      <c r="T578" s="547">
        <f t="shared" si="99"/>
        <v>0</v>
      </c>
      <c r="U578" s="546">
        <f t="shared" si="100"/>
        <v>0</v>
      </c>
      <c r="W578" s="350">
        <f t="shared" si="101"/>
        <v>0</v>
      </c>
      <c r="X578" s="285">
        <f t="shared" si="102"/>
        <v>0</v>
      </c>
      <c r="Y578" s="564"/>
    </row>
    <row r="579" spans="1:25" ht="12" thickBot="1">
      <c r="A579" s="596" t="s">
        <v>1509</v>
      </c>
      <c r="B579" s="541" t="s">
        <v>431</v>
      </c>
      <c r="C579" s="541" t="s">
        <v>430</v>
      </c>
      <c r="D579" s="553" t="s">
        <v>1155</v>
      </c>
      <c r="E579" s="549"/>
      <c r="F579" s="551"/>
      <c r="G579" s="550"/>
      <c r="H579" s="551"/>
      <c r="I579" s="551"/>
      <c r="J579" s="551"/>
      <c r="K579" s="551"/>
      <c r="L579" s="551"/>
      <c r="M579" s="551"/>
      <c r="N579" s="551"/>
      <c r="O579" s="551"/>
      <c r="P579" s="551"/>
      <c r="Q579" s="551"/>
      <c r="R579" s="550"/>
      <c r="S579" s="546">
        <f t="shared" si="98"/>
        <v>0</v>
      </c>
      <c r="T579" s="547">
        <f t="shared" si="99"/>
        <v>0</v>
      </c>
      <c r="U579" s="546">
        <f t="shared" si="100"/>
        <v>0</v>
      </c>
      <c r="W579" s="350">
        <f t="shared" si="101"/>
        <v>0</v>
      </c>
      <c r="X579" s="285">
        <f t="shared" si="102"/>
        <v>0</v>
      </c>
      <c r="Y579" s="564"/>
    </row>
    <row r="580" spans="1:25" ht="12" thickBot="1">
      <c r="A580" s="596" t="s">
        <v>1509</v>
      </c>
      <c r="B580" s="541" t="s">
        <v>1048</v>
      </c>
      <c r="C580" s="541" t="s">
        <v>1049</v>
      </c>
      <c r="D580" s="553" t="s">
        <v>1146</v>
      </c>
      <c r="E580" s="545"/>
      <c r="F580" s="545"/>
      <c r="G580" s="545"/>
      <c r="H580" s="545"/>
      <c r="I580" s="545"/>
      <c r="J580" s="545"/>
      <c r="K580" s="545"/>
      <c r="L580" s="545"/>
      <c r="M580" s="545"/>
      <c r="N580" s="545"/>
      <c r="O580" s="545"/>
      <c r="P580" s="545"/>
      <c r="Q580" s="545"/>
      <c r="R580" s="545"/>
      <c r="S580" s="546">
        <f t="shared" si="98"/>
        <v>0</v>
      </c>
      <c r="T580" s="547">
        <f t="shared" si="99"/>
        <v>0</v>
      </c>
      <c r="U580" s="546">
        <f t="shared" si="100"/>
        <v>0</v>
      </c>
      <c r="W580" s="350">
        <f t="shared" si="101"/>
        <v>0</v>
      </c>
      <c r="X580" s="285">
        <f t="shared" si="102"/>
        <v>0</v>
      </c>
      <c r="Y580" s="564"/>
    </row>
    <row r="581" spans="1:25" ht="12" thickBot="1">
      <c r="A581" s="596" t="s">
        <v>1509</v>
      </c>
      <c r="B581" s="541" t="s">
        <v>152</v>
      </c>
      <c r="C581" s="541" t="s">
        <v>57</v>
      </c>
      <c r="D581" s="553" t="s">
        <v>18</v>
      </c>
      <c r="E581" s="549">
        <f t="shared" ref="E581:E627" si="103">ROUND(SUMIFS(E$1721:E$1888,$A$1721:$A$1888,$A581,$B$1721:$B$1888,$B581),0)</f>
        <v>145721919</v>
      </c>
      <c r="F581" s="988">
        <f t="shared" ref="F581:P590" si="104">ROUND(SUMIFS(F$1721:F$1901,$A$1721:$A$1901,$A581,$B$1721:$B$1901,$B581),0)</f>
        <v>24000</v>
      </c>
      <c r="G581" s="988">
        <f t="shared" si="104"/>
        <v>1081257</v>
      </c>
      <c r="H581" s="988">
        <f t="shared" si="104"/>
        <v>4214278</v>
      </c>
      <c r="I581" s="988">
        <f t="shared" si="104"/>
        <v>0</v>
      </c>
      <c r="J581" s="988">
        <f t="shared" si="104"/>
        <v>214031</v>
      </c>
      <c r="K581" s="988">
        <f t="shared" si="104"/>
        <v>2196845</v>
      </c>
      <c r="L581" s="988">
        <f t="shared" si="104"/>
        <v>0</v>
      </c>
      <c r="M581" s="988">
        <f t="shared" si="104"/>
        <v>131506</v>
      </c>
      <c r="N581" s="988">
        <f t="shared" si="104"/>
        <v>0</v>
      </c>
      <c r="O581" s="988">
        <f t="shared" si="104"/>
        <v>988317</v>
      </c>
      <c r="P581" s="988">
        <f t="shared" si="104"/>
        <v>0</v>
      </c>
      <c r="Q581" s="988"/>
      <c r="R581" s="988">
        <f t="shared" ref="R581:R627" si="105">ROUND(SUMIFS(R$1721:R$1901,$A$1721:$A$1901,$A581,$B$1721:$B$1901,$B581),0)</f>
        <v>8850234</v>
      </c>
      <c r="S581" s="546">
        <f t="shared" si="98"/>
        <v>5295535</v>
      </c>
      <c r="T581" s="547">
        <f t="shared" si="99"/>
        <v>2410876</v>
      </c>
      <c r="U581" s="546">
        <f t="shared" si="100"/>
        <v>988317</v>
      </c>
      <c r="W581" s="350">
        <f t="shared" si="101"/>
        <v>8850234</v>
      </c>
      <c r="X581" s="285">
        <f t="shared" si="102"/>
        <v>0</v>
      </c>
      <c r="Y581" s="564"/>
    </row>
    <row r="582" spans="1:25" ht="12" thickBot="1">
      <c r="A582" s="596" t="s">
        <v>1509</v>
      </c>
      <c r="B582" s="541" t="s">
        <v>153</v>
      </c>
      <c r="C582" s="541" t="s">
        <v>180</v>
      </c>
      <c r="D582" s="542" t="s">
        <v>25</v>
      </c>
      <c r="E582" s="549">
        <f t="shared" si="103"/>
        <v>21507849</v>
      </c>
      <c r="F582" s="988">
        <f t="shared" si="104"/>
        <v>33150</v>
      </c>
      <c r="G582" s="988">
        <f t="shared" si="104"/>
        <v>144103</v>
      </c>
      <c r="H582" s="988">
        <f t="shared" si="104"/>
        <v>622007</v>
      </c>
      <c r="I582" s="988">
        <f t="shared" si="104"/>
        <v>0</v>
      </c>
      <c r="J582" s="988">
        <f t="shared" si="104"/>
        <v>60364</v>
      </c>
      <c r="K582" s="988">
        <f t="shared" si="104"/>
        <v>793681</v>
      </c>
      <c r="L582" s="988">
        <f t="shared" si="104"/>
        <v>39331</v>
      </c>
      <c r="M582" s="988">
        <f t="shared" si="104"/>
        <v>19410</v>
      </c>
      <c r="N582" s="988">
        <f t="shared" si="104"/>
        <v>0</v>
      </c>
      <c r="O582" s="988">
        <f t="shared" si="104"/>
        <v>145871</v>
      </c>
      <c r="P582" s="988">
        <f t="shared" si="104"/>
        <v>0</v>
      </c>
      <c r="Q582" s="988"/>
      <c r="R582" s="988">
        <f t="shared" si="105"/>
        <v>1857917</v>
      </c>
      <c r="S582" s="546">
        <f t="shared" si="98"/>
        <v>766110</v>
      </c>
      <c r="T582" s="547">
        <f t="shared" si="99"/>
        <v>854045</v>
      </c>
      <c r="U582" s="546">
        <f t="shared" si="100"/>
        <v>145871</v>
      </c>
      <c r="W582" s="350">
        <f t="shared" si="101"/>
        <v>1857917</v>
      </c>
      <c r="X582" s="285">
        <f t="shared" si="102"/>
        <v>0</v>
      </c>
      <c r="Y582" s="564"/>
    </row>
    <row r="583" spans="1:25" ht="12" thickBot="1">
      <c r="A583" s="596" t="s">
        <v>1509</v>
      </c>
      <c r="B583" s="541" t="s">
        <v>154</v>
      </c>
      <c r="C583" s="541" t="s">
        <v>181</v>
      </c>
      <c r="D583" s="542" t="s">
        <v>24</v>
      </c>
      <c r="E583" s="549">
        <f t="shared" si="103"/>
        <v>175977353</v>
      </c>
      <c r="F583" s="988">
        <f t="shared" si="104"/>
        <v>415350</v>
      </c>
      <c r="G583" s="988">
        <f t="shared" si="104"/>
        <v>1182568</v>
      </c>
      <c r="H583" s="988">
        <f t="shared" si="104"/>
        <v>5089265</v>
      </c>
      <c r="I583" s="988">
        <f t="shared" si="104"/>
        <v>0</v>
      </c>
      <c r="J583" s="988">
        <f t="shared" si="104"/>
        <v>593300</v>
      </c>
      <c r="K583" s="988">
        <f t="shared" si="104"/>
        <v>7811781</v>
      </c>
      <c r="L583" s="988">
        <f t="shared" si="104"/>
        <v>321804</v>
      </c>
      <c r="M583" s="988">
        <f t="shared" si="104"/>
        <v>158810</v>
      </c>
      <c r="N583" s="988">
        <f t="shared" si="104"/>
        <v>0</v>
      </c>
      <c r="O583" s="988">
        <f t="shared" si="104"/>
        <v>1193515</v>
      </c>
      <c r="P583" s="988">
        <f t="shared" si="104"/>
        <v>0</v>
      </c>
      <c r="Q583" s="988"/>
      <c r="R583" s="988">
        <f t="shared" si="105"/>
        <v>16766393</v>
      </c>
      <c r="S583" s="546">
        <f t="shared" si="98"/>
        <v>6271833</v>
      </c>
      <c r="T583" s="547">
        <f t="shared" si="99"/>
        <v>8405081</v>
      </c>
      <c r="U583" s="546">
        <f t="shared" si="100"/>
        <v>1193515</v>
      </c>
      <c r="W583" s="350">
        <f t="shared" si="101"/>
        <v>16766393</v>
      </c>
      <c r="X583" s="285">
        <f t="shared" si="102"/>
        <v>0</v>
      </c>
      <c r="Y583" s="564"/>
    </row>
    <row r="584" spans="1:25" ht="12" thickBot="1">
      <c r="A584" s="596" t="s">
        <v>1509</v>
      </c>
      <c r="B584" s="541" t="s">
        <v>155</v>
      </c>
      <c r="C584" s="541" t="s">
        <v>182</v>
      </c>
      <c r="D584" s="554" t="s">
        <v>205</v>
      </c>
      <c r="E584" s="549">
        <f t="shared" si="103"/>
        <v>268486937</v>
      </c>
      <c r="F584" s="988">
        <f t="shared" si="104"/>
        <v>15600</v>
      </c>
      <c r="G584" s="988">
        <f t="shared" si="104"/>
        <v>2343891</v>
      </c>
      <c r="H584" s="988">
        <f t="shared" si="104"/>
        <v>7764642</v>
      </c>
      <c r="I584" s="988">
        <f t="shared" si="104"/>
        <v>0</v>
      </c>
      <c r="J584" s="988">
        <f t="shared" si="104"/>
        <v>388196</v>
      </c>
      <c r="K584" s="988">
        <f t="shared" si="104"/>
        <v>3927660</v>
      </c>
      <c r="L584" s="988">
        <f t="shared" si="104"/>
        <v>490973</v>
      </c>
      <c r="M584" s="988">
        <f t="shared" si="104"/>
        <v>242295</v>
      </c>
      <c r="N584" s="988">
        <f t="shared" si="104"/>
        <v>0</v>
      </c>
      <c r="O584" s="988">
        <f t="shared" si="104"/>
        <v>1820935</v>
      </c>
      <c r="P584" s="988">
        <f t="shared" si="104"/>
        <v>0</v>
      </c>
      <c r="Q584" s="988"/>
      <c r="R584" s="988">
        <f t="shared" si="105"/>
        <v>16994192</v>
      </c>
      <c r="S584" s="546">
        <f t="shared" si="98"/>
        <v>10108533</v>
      </c>
      <c r="T584" s="547">
        <f t="shared" si="99"/>
        <v>4315856</v>
      </c>
      <c r="U584" s="546">
        <f t="shared" si="100"/>
        <v>1820935</v>
      </c>
      <c r="W584" s="350">
        <f t="shared" si="101"/>
        <v>16994192</v>
      </c>
      <c r="X584" s="285">
        <f t="shared" si="102"/>
        <v>0</v>
      </c>
      <c r="Y584" s="564"/>
    </row>
    <row r="585" spans="1:25" ht="12" thickBot="1">
      <c r="A585" s="596" t="s">
        <v>1509</v>
      </c>
      <c r="B585" s="541" t="s">
        <v>156</v>
      </c>
      <c r="C585" s="541" t="s">
        <v>183</v>
      </c>
      <c r="D585" s="554" t="s">
        <v>25</v>
      </c>
      <c r="E585" s="549">
        <f t="shared" si="103"/>
        <v>0</v>
      </c>
      <c r="F585" s="988">
        <f t="shared" si="104"/>
        <v>0</v>
      </c>
      <c r="G585" s="988">
        <f t="shared" si="104"/>
        <v>0</v>
      </c>
      <c r="H585" s="988">
        <f t="shared" si="104"/>
        <v>0</v>
      </c>
      <c r="I585" s="988">
        <f t="shared" si="104"/>
        <v>0</v>
      </c>
      <c r="J585" s="988">
        <f t="shared" si="104"/>
        <v>0</v>
      </c>
      <c r="K585" s="988">
        <f t="shared" si="104"/>
        <v>0</v>
      </c>
      <c r="L585" s="988">
        <f t="shared" si="104"/>
        <v>0</v>
      </c>
      <c r="M585" s="988">
        <f t="shared" si="104"/>
        <v>0</v>
      </c>
      <c r="N585" s="988">
        <f t="shared" si="104"/>
        <v>0</v>
      </c>
      <c r="O585" s="988">
        <f t="shared" si="104"/>
        <v>0</v>
      </c>
      <c r="P585" s="988">
        <f t="shared" si="104"/>
        <v>0</v>
      </c>
      <c r="Q585" s="988"/>
      <c r="R585" s="988">
        <f t="shared" si="105"/>
        <v>0</v>
      </c>
      <c r="S585" s="546">
        <f t="shared" si="98"/>
        <v>0</v>
      </c>
      <c r="T585" s="547">
        <f t="shared" si="99"/>
        <v>0</v>
      </c>
      <c r="U585" s="546">
        <f t="shared" si="100"/>
        <v>0</v>
      </c>
      <c r="W585" s="350">
        <f t="shared" si="101"/>
        <v>0</v>
      </c>
      <c r="X585" s="285">
        <f t="shared" si="102"/>
        <v>0</v>
      </c>
      <c r="Y585" s="564"/>
    </row>
    <row r="586" spans="1:25" ht="12" thickBot="1">
      <c r="A586" s="596" t="s">
        <v>1509</v>
      </c>
      <c r="B586" s="541" t="s">
        <v>157</v>
      </c>
      <c r="C586" s="541" t="s">
        <v>184</v>
      </c>
      <c r="D586" s="554" t="s">
        <v>24</v>
      </c>
      <c r="E586" s="549">
        <f t="shared" si="103"/>
        <v>0</v>
      </c>
      <c r="F586" s="988">
        <f t="shared" si="104"/>
        <v>0</v>
      </c>
      <c r="G586" s="988">
        <f t="shared" si="104"/>
        <v>0</v>
      </c>
      <c r="H586" s="988">
        <f t="shared" si="104"/>
        <v>0</v>
      </c>
      <c r="I586" s="988">
        <f t="shared" si="104"/>
        <v>0</v>
      </c>
      <c r="J586" s="988">
        <f t="shared" si="104"/>
        <v>0</v>
      </c>
      <c r="K586" s="988">
        <f t="shared" si="104"/>
        <v>0</v>
      </c>
      <c r="L586" s="988">
        <f t="shared" si="104"/>
        <v>0</v>
      </c>
      <c r="M586" s="988">
        <f t="shared" si="104"/>
        <v>0</v>
      </c>
      <c r="N586" s="988">
        <f t="shared" si="104"/>
        <v>0</v>
      </c>
      <c r="O586" s="988">
        <f t="shared" si="104"/>
        <v>0</v>
      </c>
      <c r="P586" s="988">
        <f t="shared" si="104"/>
        <v>0</v>
      </c>
      <c r="Q586" s="988"/>
      <c r="R586" s="988">
        <f t="shared" si="105"/>
        <v>0</v>
      </c>
      <c r="S586" s="546">
        <f t="shared" si="98"/>
        <v>0</v>
      </c>
      <c r="T586" s="547">
        <f t="shared" si="99"/>
        <v>0</v>
      </c>
      <c r="U586" s="546">
        <f t="shared" si="100"/>
        <v>0</v>
      </c>
      <c r="W586" s="350">
        <f t="shared" si="101"/>
        <v>0</v>
      </c>
      <c r="X586" s="285">
        <f t="shared" si="102"/>
        <v>0</v>
      </c>
      <c r="Y586" s="564"/>
    </row>
    <row r="587" spans="1:25" ht="12" thickBot="1">
      <c r="A587" s="596" t="s">
        <v>1509</v>
      </c>
      <c r="B587" s="541" t="s">
        <v>158</v>
      </c>
      <c r="C587" s="541" t="s">
        <v>185</v>
      </c>
      <c r="D587" s="542" t="s">
        <v>205</v>
      </c>
      <c r="E587" s="549">
        <f t="shared" si="103"/>
        <v>111982947</v>
      </c>
      <c r="F587" s="988">
        <f t="shared" si="104"/>
        <v>62700</v>
      </c>
      <c r="G587" s="988">
        <f t="shared" si="104"/>
        <v>977611</v>
      </c>
      <c r="H587" s="988">
        <f t="shared" si="104"/>
        <v>3238547</v>
      </c>
      <c r="I587" s="988">
        <f t="shared" si="104"/>
        <v>0</v>
      </c>
      <c r="J587" s="988">
        <f t="shared" si="104"/>
        <v>205225</v>
      </c>
      <c r="K587" s="988">
        <f t="shared" si="104"/>
        <v>2073181</v>
      </c>
      <c r="L587" s="988">
        <f t="shared" si="104"/>
        <v>204779</v>
      </c>
      <c r="M587" s="988">
        <f t="shared" si="104"/>
        <v>101059</v>
      </c>
      <c r="N587" s="988">
        <f t="shared" si="104"/>
        <v>0</v>
      </c>
      <c r="O587" s="988">
        <f t="shared" si="104"/>
        <v>759492</v>
      </c>
      <c r="P587" s="988">
        <f t="shared" si="104"/>
        <v>0</v>
      </c>
      <c r="Q587" s="988"/>
      <c r="R587" s="988">
        <f t="shared" si="105"/>
        <v>7622594</v>
      </c>
      <c r="S587" s="546">
        <f t="shared" si="98"/>
        <v>4216158</v>
      </c>
      <c r="T587" s="547">
        <f t="shared" si="99"/>
        <v>2278406</v>
      </c>
      <c r="U587" s="546">
        <f t="shared" si="100"/>
        <v>759492</v>
      </c>
      <c r="W587" s="350">
        <f t="shared" si="101"/>
        <v>7622594</v>
      </c>
      <c r="X587" s="285">
        <f t="shared" si="102"/>
        <v>0</v>
      </c>
      <c r="Y587" s="564"/>
    </row>
    <row r="588" spans="1:25" ht="12" thickBot="1">
      <c r="A588" s="596" t="s">
        <v>1509</v>
      </c>
      <c r="B588" s="541" t="s">
        <v>159</v>
      </c>
      <c r="C588" s="541" t="s">
        <v>186</v>
      </c>
      <c r="D588" s="542" t="s">
        <v>204</v>
      </c>
      <c r="E588" s="549">
        <f t="shared" si="103"/>
        <v>135748326</v>
      </c>
      <c r="F588" s="988">
        <f t="shared" si="104"/>
        <v>94200</v>
      </c>
      <c r="G588" s="988">
        <f t="shared" si="104"/>
        <v>1195943</v>
      </c>
      <c r="H588" s="988">
        <f t="shared" si="104"/>
        <v>3925842</v>
      </c>
      <c r="I588" s="988">
        <f t="shared" si="104"/>
        <v>0</v>
      </c>
      <c r="J588" s="988">
        <f t="shared" si="104"/>
        <v>297295</v>
      </c>
      <c r="K588" s="988">
        <f t="shared" si="104"/>
        <v>3035352</v>
      </c>
      <c r="L588" s="988">
        <f t="shared" si="104"/>
        <v>248238</v>
      </c>
      <c r="M588" s="988">
        <f t="shared" si="104"/>
        <v>122506</v>
      </c>
      <c r="N588" s="988">
        <f t="shared" si="104"/>
        <v>0</v>
      </c>
      <c r="O588" s="988">
        <f t="shared" si="104"/>
        <v>920674</v>
      </c>
      <c r="P588" s="988">
        <f t="shared" si="104"/>
        <v>0</v>
      </c>
      <c r="Q588" s="988"/>
      <c r="R588" s="988">
        <f t="shared" si="105"/>
        <v>9840049</v>
      </c>
      <c r="S588" s="546">
        <f t="shared" si="98"/>
        <v>5121785</v>
      </c>
      <c r="T588" s="547">
        <f t="shared" si="99"/>
        <v>3332647</v>
      </c>
      <c r="U588" s="546">
        <f t="shared" si="100"/>
        <v>920674</v>
      </c>
      <c r="W588" s="350">
        <f t="shared" si="101"/>
        <v>9840050</v>
      </c>
      <c r="X588" s="285">
        <f t="shared" ref="X588:X637" si="106">W588-R588</f>
        <v>1</v>
      </c>
      <c r="Y588" s="564"/>
    </row>
    <row r="589" spans="1:25" ht="12" thickBot="1">
      <c r="A589" s="596" t="s">
        <v>1509</v>
      </c>
      <c r="B589" s="541" t="s">
        <v>160</v>
      </c>
      <c r="C589" s="541" t="s">
        <v>187</v>
      </c>
      <c r="D589" s="542" t="s">
        <v>24</v>
      </c>
      <c r="E589" s="549">
        <f t="shared" si="103"/>
        <v>0</v>
      </c>
      <c r="F589" s="988">
        <f t="shared" si="104"/>
        <v>0</v>
      </c>
      <c r="G589" s="988">
        <f t="shared" si="104"/>
        <v>0</v>
      </c>
      <c r="H589" s="988">
        <f t="shared" si="104"/>
        <v>0</v>
      </c>
      <c r="I589" s="988">
        <f t="shared" si="104"/>
        <v>0</v>
      </c>
      <c r="J589" s="988">
        <f t="shared" si="104"/>
        <v>0</v>
      </c>
      <c r="K589" s="988">
        <f t="shared" si="104"/>
        <v>0</v>
      </c>
      <c r="L589" s="988">
        <f t="shared" si="104"/>
        <v>0</v>
      </c>
      <c r="M589" s="988">
        <f t="shared" si="104"/>
        <v>0</v>
      </c>
      <c r="N589" s="988">
        <f t="shared" si="104"/>
        <v>0</v>
      </c>
      <c r="O589" s="988">
        <f t="shared" si="104"/>
        <v>0</v>
      </c>
      <c r="P589" s="988">
        <f t="shared" si="104"/>
        <v>0</v>
      </c>
      <c r="Q589" s="988"/>
      <c r="R589" s="988">
        <f t="shared" si="105"/>
        <v>0</v>
      </c>
      <c r="S589" s="546">
        <f t="shared" si="98"/>
        <v>0</v>
      </c>
      <c r="T589" s="547">
        <f t="shared" si="99"/>
        <v>0</v>
      </c>
      <c r="U589" s="546">
        <f t="shared" si="100"/>
        <v>0</v>
      </c>
      <c r="W589" s="350">
        <f t="shared" si="101"/>
        <v>0</v>
      </c>
      <c r="X589" s="285">
        <f t="shared" si="106"/>
        <v>0</v>
      </c>
      <c r="Y589" s="564"/>
    </row>
    <row r="590" spans="1:25" ht="12" thickBot="1">
      <c r="A590" s="596" t="s">
        <v>1509</v>
      </c>
      <c r="B590" s="541" t="s">
        <v>1050</v>
      </c>
      <c r="C590" s="541" t="s">
        <v>1049</v>
      </c>
      <c r="D590" s="542" t="s">
        <v>1146</v>
      </c>
      <c r="E590" s="549">
        <f t="shared" si="103"/>
        <v>0</v>
      </c>
      <c r="F590" s="988">
        <f t="shared" si="104"/>
        <v>0</v>
      </c>
      <c r="G590" s="988">
        <f t="shared" si="104"/>
        <v>0</v>
      </c>
      <c r="H590" s="988">
        <f t="shared" si="104"/>
        <v>0</v>
      </c>
      <c r="I590" s="988">
        <f t="shared" si="104"/>
        <v>0</v>
      </c>
      <c r="J590" s="988">
        <f t="shared" si="104"/>
        <v>0</v>
      </c>
      <c r="K590" s="988">
        <f t="shared" si="104"/>
        <v>0</v>
      </c>
      <c r="L590" s="988">
        <f t="shared" si="104"/>
        <v>0</v>
      </c>
      <c r="M590" s="988">
        <f t="shared" si="104"/>
        <v>0</v>
      </c>
      <c r="N590" s="988">
        <f t="shared" si="104"/>
        <v>0</v>
      </c>
      <c r="O590" s="988">
        <f t="shared" si="104"/>
        <v>0</v>
      </c>
      <c r="P590" s="988">
        <f t="shared" si="104"/>
        <v>0</v>
      </c>
      <c r="Q590" s="988"/>
      <c r="R590" s="988">
        <f t="shared" si="105"/>
        <v>0</v>
      </c>
      <c r="S590" s="546">
        <f t="shared" si="98"/>
        <v>0</v>
      </c>
      <c r="T590" s="547">
        <f t="shared" si="99"/>
        <v>0</v>
      </c>
      <c r="U590" s="546">
        <f t="shared" si="100"/>
        <v>0</v>
      </c>
      <c r="W590" s="350">
        <f t="shared" si="101"/>
        <v>0</v>
      </c>
      <c r="X590" s="285">
        <f t="shared" si="106"/>
        <v>0</v>
      </c>
      <c r="Y590" s="564"/>
    </row>
    <row r="591" spans="1:25" ht="12" thickBot="1">
      <c r="A591" s="596" t="s">
        <v>1509</v>
      </c>
      <c r="B591" s="541" t="s">
        <v>161</v>
      </c>
      <c r="C591" s="541" t="s">
        <v>476</v>
      </c>
      <c r="D591" s="541" t="s">
        <v>208</v>
      </c>
      <c r="E591" s="549">
        <f t="shared" si="103"/>
        <v>59224022</v>
      </c>
      <c r="F591" s="988">
        <f t="shared" ref="F591:P600" si="107">ROUND(SUMIFS(F$1721:F$1901,$A$1721:$A$1901,$A591,$B$1721:$B$1901,$B591),0)</f>
        <v>1271362</v>
      </c>
      <c r="G591" s="988">
        <f t="shared" si="107"/>
        <v>3471712</v>
      </c>
      <c r="H591" s="988">
        <f t="shared" si="107"/>
        <v>1712759</v>
      </c>
      <c r="I591" s="988">
        <f t="shared" si="107"/>
        <v>278945</v>
      </c>
      <c r="J591" s="988">
        <f t="shared" si="107"/>
        <v>0</v>
      </c>
      <c r="K591" s="988">
        <f t="shared" si="107"/>
        <v>0</v>
      </c>
      <c r="L591" s="988">
        <f t="shared" si="107"/>
        <v>108301</v>
      </c>
      <c r="M591" s="988">
        <f t="shared" si="107"/>
        <v>53447</v>
      </c>
      <c r="N591" s="988">
        <f t="shared" si="107"/>
        <v>0</v>
      </c>
      <c r="O591" s="988">
        <f t="shared" si="107"/>
        <v>401670</v>
      </c>
      <c r="P591" s="988">
        <f t="shared" si="107"/>
        <v>0</v>
      </c>
      <c r="Q591" s="988"/>
      <c r="R591" s="988">
        <f t="shared" si="105"/>
        <v>7298195</v>
      </c>
      <c r="S591" s="546">
        <f t="shared" si="98"/>
        <v>5463416</v>
      </c>
      <c r="T591" s="547">
        <f t="shared" si="99"/>
        <v>0</v>
      </c>
      <c r="U591" s="546">
        <f t="shared" si="100"/>
        <v>401670</v>
      </c>
      <c r="W591" s="350">
        <f t="shared" si="101"/>
        <v>7298196</v>
      </c>
      <c r="X591" s="285">
        <f t="shared" si="106"/>
        <v>1</v>
      </c>
      <c r="Y591" s="564"/>
    </row>
    <row r="592" spans="1:25" ht="12" thickBot="1">
      <c r="A592" s="596" t="s">
        <v>1509</v>
      </c>
      <c r="B592" s="541" t="s">
        <v>162</v>
      </c>
      <c r="C592" s="541" t="s">
        <v>1391</v>
      </c>
      <c r="D592" s="561" t="s">
        <v>208</v>
      </c>
      <c r="E592" s="549">
        <f t="shared" si="103"/>
        <v>0</v>
      </c>
      <c r="F592" s="988">
        <f t="shared" si="107"/>
        <v>0</v>
      </c>
      <c r="G592" s="988">
        <f t="shared" si="107"/>
        <v>0</v>
      </c>
      <c r="H592" s="988">
        <f t="shared" si="107"/>
        <v>0</v>
      </c>
      <c r="I592" s="988">
        <f t="shared" si="107"/>
        <v>0</v>
      </c>
      <c r="J592" s="988">
        <f t="shared" si="107"/>
        <v>0</v>
      </c>
      <c r="K592" s="988">
        <f t="shared" si="107"/>
        <v>0</v>
      </c>
      <c r="L592" s="988">
        <f t="shared" si="107"/>
        <v>0</v>
      </c>
      <c r="M592" s="988">
        <f t="shared" si="107"/>
        <v>0</v>
      </c>
      <c r="N592" s="988">
        <f t="shared" si="107"/>
        <v>0</v>
      </c>
      <c r="O592" s="988">
        <f t="shared" si="107"/>
        <v>0</v>
      </c>
      <c r="P592" s="988">
        <f t="shared" si="107"/>
        <v>0</v>
      </c>
      <c r="Q592" s="988"/>
      <c r="R592" s="988">
        <f t="shared" si="105"/>
        <v>0</v>
      </c>
      <c r="S592" s="546">
        <f t="shared" si="98"/>
        <v>0</v>
      </c>
      <c r="T592" s="547">
        <f t="shared" si="99"/>
        <v>0</v>
      </c>
      <c r="U592" s="546">
        <f t="shared" si="100"/>
        <v>0</v>
      </c>
      <c r="W592" s="350">
        <f t="shared" si="101"/>
        <v>0</v>
      </c>
      <c r="X592" s="285">
        <f t="shared" si="106"/>
        <v>0</v>
      </c>
      <c r="Y592" s="564"/>
    </row>
    <row r="593" spans="1:25" ht="12" thickBot="1">
      <c r="A593" s="596" t="s">
        <v>1509</v>
      </c>
      <c r="B593" s="541" t="s">
        <v>163</v>
      </c>
      <c r="C593" s="541" t="s">
        <v>63</v>
      </c>
      <c r="D593" s="542" t="s">
        <v>17</v>
      </c>
      <c r="E593" s="549">
        <f t="shared" si="103"/>
        <v>86460113</v>
      </c>
      <c r="F593" s="988">
        <f t="shared" si="107"/>
        <v>650367</v>
      </c>
      <c r="G593" s="988">
        <f t="shared" si="107"/>
        <v>5068292</v>
      </c>
      <c r="H593" s="988">
        <f t="shared" si="107"/>
        <v>2500426</v>
      </c>
      <c r="I593" s="988">
        <f t="shared" si="107"/>
        <v>407227</v>
      </c>
      <c r="J593" s="988">
        <f t="shared" si="107"/>
        <v>0</v>
      </c>
      <c r="K593" s="988">
        <f t="shared" si="107"/>
        <v>0</v>
      </c>
      <c r="L593" s="988">
        <f t="shared" si="107"/>
        <v>158107</v>
      </c>
      <c r="M593" s="988">
        <f t="shared" si="107"/>
        <v>78026</v>
      </c>
      <c r="N593" s="988">
        <f t="shared" si="107"/>
        <v>586391</v>
      </c>
      <c r="O593" s="988">
        <f t="shared" si="107"/>
        <v>0</v>
      </c>
      <c r="P593" s="988">
        <f t="shared" si="107"/>
        <v>0</v>
      </c>
      <c r="Q593" s="988"/>
      <c r="R593" s="988">
        <f t="shared" si="105"/>
        <v>9448835</v>
      </c>
      <c r="S593" s="546">
        <f t="shared" ref="S593:S594" si="108">G593+H593+I593</f>
        <v>7975945</v>
      </c>
      <c r="T593" s="547">
        <f t="shared" ref="T593:T594" si="109">J593+K593</f>
        <v>0</v>
      </c>
      <c r="U593" s="546">
        <f t="shared" si="100"/>
        <v>586391</v>
      </c>
      <c r="W593" s="350">
        <f t="shared" si="101"/>
        <v>9448836</v>
      </c>
      <c r="X593" s="285"/>
      <c r="Y593" s="564"/>
    </row>
    <row r="594" spans="1:25" ht="12" thickBot="1">
      <c r="A594" s="596" t="s">
        <v>1509</v>
      </c>
      <c r="B594" s="541" t="s">
        <v>164</v>
      </c>
      <c r="C594" s="541" t="s">
        <v>188</v>
      </c>
      <c r="D594" s="555" t="s">
        <v>203</v>
      </c>
      <c r="E594" s="549">
        <f t="shared" si="103"/>
        <v>643622</v>
      </c>
      <c r="F594" s="988">
        <f t="shared" si="107"/>
        <v>7640</v>
      </c>
      <c r="G594" s="988">
        <f t="shared" si="107"/>
        <v>27245</v>
      </c>
      <c r="H594" s="988">
        <f t="shared" si="107"/>
        <v>18614</v>
      </c>
      <c r="I594" s="988">
        <f t="shared" si="107"/>
        <v>2027</v>
      </c>
      <c r="J594" s="988">
        <f t="shared" si="107"/>
        <v>0</v>
      </c>
      <c r="K594" s="988">
        <f t="shared" si="107"/>
        <v>0</v>
      </c>
      <c r="L594" s="988">
        <f t="shared" si="107"/>
        <v>1177</v>
      </c>
      <c r="M594" s="988">
        <f t="shared" si="107"/>
        <v>581</v>
      </c>
      <c r="N594" s="988">
        <f t="shared" si="107"/>
        <v>4365</v>
      </c>
      <c r="O594" s="988">
        <f t="shared" si="107"/>
        <v>0</v>
      </c>
      <c r="P594" s="988">
        <f t="shared" si="107"/>
        <v>0</v>
      </c>
      <c r="Q594" s="988"/>
      <c r="R594" s="988">
        <f t="shared" si="105"/>
        <v>61648</v>
      </c>
      <c r="S594" s="546">
        <f t="shared" si="108"/>
        <v>47886</v>
      </c>
      <c r="T594" s="547">
        <f t="shared" si="109"/>
        <v>0</v>
      </c>
      <c r="U594" s="546">
        <f t="shared" si="100"/>
        <v>4365</v>
      </c>
      <c r="W594" s="350">
        <f t="shared" si="101"/>
        <v>61649</v>
      </c>
      <c r="X594" s="285">
        <f t="shared" ref="X594" si="110">W594-R594</f>
        <v>1</v>
      </c>
      <c r="Y594" s="564"/>
    </row>
    <row r="595" spans="1:25" ht="12" thickBot="1">
      <c r="A595" s="596" t="s">
        <v>1509</v>
      </c>
      <c r="B595" s="541" t="s">
        <v>165</v>
      </c>
      <c r="C595" s="541" t="s">
        <v>189</v>
      </c>
      <c r="D595" s="554" t="s">
        <v>211</v>
      </c>
      <c r="E595" s="549">
        <f t="shared" si="103"/>
        <v>0</v>
      </c>
      <c r="F595" s="988">
        <f t="shared" si="107"/>
        <v>0</v>
      </c>
      <c r="G595" s="988">
        <f t="shared" si="107"/>
        <v>0</v>
      </c>
      <c r="H595" s="988">
        <f t="shared" si="107"/>
        <v>0</v>
      </c>
      <c r="I595" s="988">
        <f t="shared" si="107"/>
        <v>0</v>
      </c>
      <c r="J595" s="988">
        <f t="shared" si="107"/>
        <v>0</v>
      </c>
      <c r="K595" s="988">
        <f t="shared" si="107"/>
        <v>0</v>
      </c>
      <c r="L595" s="988">
        <f t="shared" si="107"/>
        <v>0</v>
      </c>
      <c r="M595" s="988">
        <f t="shared" si="107"/>
        <v>0</v>
      </c>
      <c r="N595" s="988">
        <f t="shared" si="107"/>
        <v>0</v>
      </c>
      <c r="O595" s="988">
        <f t="shared" si="107"/>
        <v>0</v>
      </c>
      <c r="P595" s="988">
        <f t="shared" si="107"/>
        <v>0</v>
      </c>
      <c r="Q595" s="988"/>
      <c r="R595" s="988">
        <f t="shared" si="105"/>
        <v>0</v>
      </c>
      <c r="S595" s="546">
        <f t="shared" ref="S595:S601" si="111">G595+H595+I595</f>
        <v>0</v>
      </c>
      <c r="T595" s="547">
        <f t="shared" ref="T595:T601" si="112">J595+K595</f>
        <v>0</v>
      </c>
      <c r="U595" s="546">
        <f t="shared" si="100"/>
        <v>0</v>
      </c>
      <c r="W595" s="350">
        <f t="shared" si="101"/>
        <v>0</v>
      </c>
      <c r="X595" s="285">
        <f t="shared" si="106"/>
        <v>0</v>
      </c>
      <c r="Y595" s="564"/>
    </row>
    <row r="596" spans="1:25" ht="12" thickBot="1">
      <c r="A596" s="596" t="s">
        <v>1509</v>
      </c>
      <c r="B596" s="541" t="s">
        <v>166</v>
      </c>
      <c r="C596" s="541" t="s">
        <v>190</v>
      </c>
      <c r="D596" s="554" t="s">
        <v>212</v>
      </c>
      <c r="E596" s="549">
        <f t="shared" si="103"/>
        <v>0</v>
      </c>
      <c r="F596" s="988">
        <f t="shared" si="107"/>
        <v>0</v>
      </c>
      <c r="G596" s="988">
        <f t="shared" si="107"/>
        <v>0</v>
      </c>
      <c r="H596" s="988">
        <f t="shared" si="107"/>
        <v>0</v>
      </c>
      <c r="I596" s="988">
        <f t="shared" si="107"/>
        <v>0</v>
      </c>
      <c r="J596" s="988">
        <f t="shared" si="107"/>
        <v>0</v>
      </c>
      <c r="K596" s="988">
        <f t="shared" si="107"/>
        <v>0</v>
      </c>
      <c r="L596" s="988">
        <f t="shared" si="107"/>
        <v>0</v>
      </c>
      <c r="M596" s="988">
        <f t="shared" si="107"/>
        <v>0</v>
      </c>
      <c r="N596" s="988">
        <f t="shared" si="107"/>
        <v>0</v>
      </c>
      <c r="O596" s="988">
        <f t="shared" si="107"/>
        <v>0</v>
      </c>
      <c r="P596" s="988">
        <f t="shared" si="107"/>
        <v>0</v>
      </c>
      <c r="Q596" s="988"/>
      <c r="R596" s="988">
        <f t="shared" si="105"/>
        <v>0</v>
      </c>
      <c r="S596" s="546">
        <f t="shared" si="111"/>
        <v>0</v>
      </c>
      <c r="T596" s="547">
        <f t="shared" si="112"/>
        <v>0</v>
      </c>
      <c r="U596" s="546">
        <f t="shared" si="100"/>
        <v>0</v>
      </c>
      <c r="W596" s="350">
        <f t="shared" si="101"/>
        <v>0</v>
      </c>
      <c r="X596" s="285">
        <f t="shared" si="106"/>
        <v>0</v>
      </c>
      <c r="Y596" s="564"/>
    </row>
    <row r="597" spans="1:25" ht="12" thickBot="1">
      <c r="A597" s="596" t="s">
        <v>1509</v>
      </c>
      <c r="B597" s="541" t="s">
        <v>167</v>
      </c>
      <c r="C597" s="541" t="s">
        <v>191</v>
      </c>
      <c r="D597" s="554" t="s">
        <v>213</v>
      </c>
      <c r="E597" s="549">
        <f t="shared" si="103"/>
        <v>11929227</v>
      </c>
      <c r="F597" s="988">
        <f t="shared" si="107"/>
        <v>9310</v>
      </c>
      <c r="G597" s="988">
        <f t="shared" si="107"/>
        <v>504964</v>
      </c>
      <c r="H597" s="988">
        <f t="shared" si="107"/>
        <v>344993</v>
      </c>
      <c r="I597" s="988">
        <f t="shared" si="107"/>
        <v>37577</v>
      </c>
      <c r="J597" s="988">
        <f t="shared" si="107"/>
        <v>0</v>
      </c>
      <c r="K597" s="988">
        <f t="shared" si="107"/>
        <v>0</v>
      </c>
      <c r="L597" s="988">
        <f t="shared" si="107"/>
        <v>21815</v>
      </c>
      <c r="M597" s="988">
        <f t="shared" si="107"/>
        <v>10766</v>
      </c>
      <c r="N597" s="988">
        <f t="shared" si="107"/>
        <v>80907</v>
      </c>
      <c r="O597" s="988">
        <f t="shared" si="107"/>
        <v>0</v>
      </c>
      <c r="P597" s="988">
        <f t="shared" si="107"/>
        <v>0</v>
      </c>
      <c r="Q597" s="988"/>
      <c r="R597" s="988">
        <f t="shared" si="105"/>
        <v>1010331</v>
      </c>
      <c r="S597" s="546">
        <f t="shared" si="111"/>
        <v>887534</v>
      </c>
      <c r="T597" s="547">
        <f t="shared" si="112"/>
        <v>0</v>
      </c>
      <c r="U597" s="546">
        <f t="shared" si="100"/>
        <v>80907</v>
      </c>
      <c r="W597" s="350">
        <f t="shared" si="101"/>
        <v>1010332</v>
      </c>
      <c r="X597" s="285">
        <f t="shared" si="106"/>
        <v>1</v>
      </c>
      <c r="Y597" s="564"/>
    </row>
    <row r="598" spans="1:25" ht="12" thickBot="1">
      <c r="A598" s="596" t="s">
        <v>1509</v>
      </c>
      <c r="B598" s="541" t="s">
        <v>683</v>
      </c>
      <c r="C598" s="541" t="s">
        <v>686</v>
      </c>
      <c r="D598" s="554" t="s">
        <v>723</v>
      </c>
      <c r="E598" s="549">
        <f t="shared" si="103"/>
        <v>0</v>
      </c>
      <c r="F598" s="988">
        <f t="shared" si="107"/>
        <v>0</v>
      </c>
      <c r="G598" s="988">
        <f t="shared" si="107"/>
        <v>0</v>
      </c>
      <c r="H598" s="988">
        <f t="shared" si="107"/>
        <v>0</v>
      </c>
      <c r="I598" s="988">
        <f t="shared" si="107"/>
        <v>0</v>
      </c>
      <c r="J598" s="988">
        <f t="shared" si="107"/>
        <v>0</v>
      </c>
      <c r="K598" s="988">
        <f t="shared" si="107"/>
        <v>0</v>
      </c>
      <c r="L598" s="988">
        <f t="shared" si="107"/>
        <v>0</v>
      </c>
      <c r="M598" s="988">
        <f t="shared" si="107"/>
        <v>0</v>
      </c>
      <c r="N598" s="988">
        <f t="shared" si="107"/>
        <v>0</v>
      </c>
      <c r="O598" s="988">
        <f t="shared" si="107"/>
        <v>0</v>
      </c>
      <c r="P598" s="988">
        <f t="shared" si="107"/>
        <v>0</v>
      </c>
      <c r="Q598" s="988"/>
      <c r="R598" s="988">
        <f t="shared" si="105"/>
        <v>0</v>
      </c>
      <c r="S598" s="546">
        <f t="shared" si="111"/>
        <v>0</v>
      </c>
      <c r="T598" s="547">
        <f t="shared" si="112"/>
        <v>0</v>
      </c>
      <c r="U598" s="546">
        <f t="shared" si="100"/>
        <v>0</v>
      </c>
      <c r="W598" s="350">
        <f t="shared" si="101"/>
        <v>0</v>
      </c>
      <c r="X598" s="285">
        <f t="shared" si="106"/>
        <v>0</v>
      </c>
      <c r="Y598" s="564"/>
    </row>
    <row r="599" spans="1:25" ht="12" thickBot="1">
      <c r="A599" s="596" t="s">
        <v>1509</v>
      </c>
      <c r="B599" s="541" t="s">
        <v>684</v>
      </c>
      <c r="C599" s="541" t="s">
        <v>687</v>
      </c>
      <c r="D599" s="554" t="s">
        <v>707</v>
      </c>
      <c r="E599" s="549">
        <f t="shared" si="103"/>
        <v>0</v>
      </c>
      <c r="F599" s="988">
        <f t="shared" si="107"/>
        <v>0</v>
      </c>
      <c r="G599" s="988">
        <f t="shared" si="107"/>
        <v>0</v>
      </c>
      <c r="H599" s="988">
        <f t="shared" si="107"/>
        <v>0</v>
      </c>
      <c r="I599" s="988">
        <f t="shared" si="107"/>
        <v>0</v>
      </c>
      <c r="J599" s="988">
        <f t="shared" si="107"/>
        <v>0</v>
      </c>
      <c r="K599" s="988">
        <f t="shared" si="107"/>
        <v>0</v>
      </c>
      <c r="L599" s="988">
        <f t="shared" si="107"/>
        <v>0</v>
      </c>
      <c r="M599" s="988">
        <f t="shared" si="107"/>
        <v>0</v>
      </c>
      <c r="N599" s="988">
        <f t="shared" si="107"/>
        <v>0</v>
      </c>
      <c r="O599" s="988">
        <f t="shared" si="107"/>
        <v>0</v>
      </c>
      <c r="P599" s="988">
        <f t="shared" si="107"/>
        <v>0</v>
      </c>
      <c r="Q599" s="988"/>
      <c r="R599" s="988">
        <f t="shared" si="105"/>
        <v>0</v>
      </c>
      <c r="S599" s="546">
        <f t="shared" si="111"/>
        <v>0</v>
      </c>
      <c r="T599" s="547">
        <f t="shared" si="112"/>
        <v>0</v>
      </c>
      <c r="U599" s="546">
        <f t="shared" si="100"/>
        <v>0</v>
      </c>
      <c r="W599" s="350">
        <f t="shared" si="101"/>
        <v>0</v>
      </c>
      <c r="X599" s="285">
        <f t="shared" si="106"/>
        <v>0</v>
      </c>
      <c r="Y599" s="564"/>
    </row>
    <row r="600" spans="1:25" ht="12" thickBot="1">
      <c r="A600" s="596" t="s">
        <v>1509</v>
      </c>
      <c r="B600" s="541" t="s">
        <v>685</v>
      </c>
      <c r="C600" s="541" t="s">
        <v>688</v>
      </c>
      <c r="D600" s="542" t="s">
        <v>1145</v>
      </c>
      <c r="E600" s="549">
        <f t="shared" si="103"/>
        <v>0</v>
      </c>
      <c r="F600" s="988">
        <f t="shared" si="107"/>
        <v>0</v>
      </c>
      <c r="G600" s="988">
        <f t="shared" si="107"/>
        <v>0</v>
      </c>
      <c r="H600" s="988">
        <f t="shared" si="107"/>
        <v>0</v>
      </c>
      <c r="I600" s="988">
        <f t="shared" si="107"/>
        <v>0</v>
      </c>
      <c r="J600" s="988">
        <f t="shared" si="107"/>
        <v>0</v>
      </c>
      <c r="K600" s="988">
        <f t="shared" si="107"/>
        <v>0</v>
      </c>
      <c r="L600" s="988">
        <f t="shared" si="107"/>
        <v>0</v>
      </c>
      <c r="M600" s="988">
        <f t="shared" si="107"/>
        <v>0</v>
      </c>
      <c r="N600" s="988">
        <f t="shared" si="107"/>
        <v>0</v>
      </c>
      <c r="O600" s="988">
        <f t="shared" si="107"/>
        <v>0</v>
      </c>
      <c r="P600" s="988">
        <f t="shared" si="107"/>
        <v>0</v>
      </c>
      <c r="Q600" s="988"/>
      <c r="R600" s="988">
        <f t="shared" si="105"/>
        <v>0</v>
      </c>
      <c r="S600" s="546">
        <f t="shared" si="111"/>
        <v>0</v>
      </c>
      <c r="T600" s="547">
        <f t="shared" si="112"/>
        <v>0</v>
      </c>
      <c r="U600" s="546">
        <f t="shared" si="100"/>
        <v>0</v>
      </c>
      <c r="W600" s="350">
        <f t="shared" si="101"/>
        <v>0</v>
      </c>
      <c r="X600" s="285">
        <f t="shared" si="106"/>
        <v>0</v>
      </c>
      <c r="Y600" s="564"/>
    </row>
    <row r="601" spans="1:25" ht="12" thickBot="1">
      <c r="A601" s="596" t="s">
        <v>1509</v>
      </c>
      <c r="B601" s="541" t="s">
        <v>217</v>
      </c>
      <c r="C601" s="541" t="s">
        <v>622</v>
      </c>
      <c r="D601" s="542" t="s">
        <v>19</v>
      </c>
      <c r="E601" s="549">
        <f t="shared" si="103"/>
        <v>0</v>
      </c>
      <c r="F601" s="988">
        <f t="shared" ref="F601:P610" si="113">ROUND(SUMIFS(F$1721:F$1901,$A$1721:$A$1901,$A601,$B$1721:$B$1901,$B601),0)</f>
        <v>0</v>
      </c>
      <c r="G601" s="988">
        <f t="shared" si="113"/>
        <v>0</v>
      </c>
      <c r="H601" s="988">
        <f t="shared" si="113"/>
        <v>0</v>
      </c>
      <c r="I601" s="988">
        <f t="shared" si="113"/>
        <v>0</v>
      </c>
      <c r="J601" s="988">
        <f t="shared" si="113"/>
        <v>0</v>
      </c>
      <c r="K601" s="988">
        <f t="shared" si="113"/>
        <v>0</v>
      </c>
      <c r="L601" s="988">
        <f t="shared" si="113"/>
        <v>0</v>
      </c>
      <c r="M601" s="988">
        <f t="shared" si="113"/>
        <v>0</v>
      </c>
      <c r="N601" s="988">
        <f t="shared" si="113"/>
        <v>0</v>
      </c>
      <c r="O601" s="988">
        <f t="shared" si="113"/>
        <v>0</v>
      </c>
      <c r="P601" s="988">
        <f t="shared" si="113"/>
        <v>0</v>
      </c>
      <c r="Q601" s="988"/>
      <c r="R601" s="988">
        <f t="shared" si="105"/>
        <v>0</v>
      </c>
      <c r="S601" s="546">
        <f t="shared" si="111"/>
        <v>0</v>
      </c>
      <c r="T601" s="547">
        <f t="shared" si="112"/>
        <v>0</v>
      </c>
      <c r="U601" s="546">
        <f t="shared" si="100"/>
        <v>0</v>
      </c>
      <c r="W601" s="350">
        <f t="shared" si="101"/>
        <v>0</v>
      </c>
      <c r="X601" s="285"/>
      <c r="Y601" s="564"/>
    </row>
    <row r="602" spans="1:25" ht="12" thickBot="1">
      <c r="A602" s="596" t="s">
        <v>1509</v>
      </c>
      <c r="B602" s="541" t="s">
        <v>216</v>
      </c>
      <c r="C602" s="541" t="s">
        <v>622</v>
      </c>
      <c r="D602" s="542" t="s">
        <v>19</v>
      </c>
      <c r="E602" s="549">
        <f t="shared" si="103"/>
        <v>0</v>
      </c>
      <c r="F602" s="988">
        <f t="shared" si="113"/>
        <v>0</v>
      </c>
      <c r="G602" s="988">
        <f t="shared" si="113"/>
        <v>0</v>
      </c>
      <c r="H602" s="988">
        <f t="shared" si="113"/>
        <v>0</v>
      </c>
      <c r="I602" s="988">
        <f t="shared" si="113"/>
        <v>0</v>
      </c>
      <c r="J602" s="988">
        <f t="shared" si="113"/>
        <v>0</v>
      </c>
      <c r="K602" s="988">
        <f t="shared" si="113"/>
        <v>0</v>
      </c>
      <c r="L602" s="988">
        <f t="shared" si="113"/>
        <v>0</v>
      </c>
      <c r="M602" s="988">
        <f t="shared" si="113"/>
        <v>0</v>
      </c>
      <c r="N602" s="988">
        <f t="shared" si="113"/>
        <v>0</v>
      </c>
      <c r="O602" s="988">
        <f t="shared" si="113"/>
        <v>0</v>
      </c>
      <c r="P602" s="988">
        <f t="shared" si="113"/>
        <v>0</v>
      </c>
      <c r="Q602" s="988"/>
      <c r="R602" s="988">
        <f t="shared" si="105"/>
        <v>0</v>
      </c>
      <c r="S602" s="546">
        <f>G602+H602+I602</f>
        <v>0</v>
      </c>
      <c r="T602" s="547">
        <f>J602+K602</f>
        <v>0</v>
      </c>
      <c r="U602" s="546">
        <f t="shared" si="100"/>
        <v>0</v>
      </c>
      <c r="W602" s="350">
        <f t="shared" si="101"/>
        <v>0</v>
      </c>
      <c r="X602" s="285">
        <f t="shared" si="106"/>
        <v>0</v>
      </c>
      <c r="Y602" s="564"/>
    </row>
    <row r="603" spans="1:25" ht="12" thickBot="1">
      <c r="A603" s="596" t="s">
        <v>1509</v>
      </c>
      <c r="B603" s="541" t="s">
        <v>168</v>
      </c>
      <c r="C603" s="541" t="s">
        <v>58</v>
      </c>
      <c r="D603" s="542" t="s">
        <v>20</v>
      </c>
      <c r="E603" s="549">
        <f t="shared" si="103"/>
        <v>0</v>
      </c>
      <c r="F603" s="988">
        <f t="shared" si="113"/>
        <v>0</v>
      </c>
      <c r="G603" s="988">
        <f t="shared" si="113"/>
        <v>0</v>
      </c>
      <c r="H603" s="988">
        <f t="shared" si="113"/>
        <v>0</v>
      </c>
      <c r="I603" s="988">
        <f t="shared" si="113"/>
        <v>0</v>
      </c>
      <c r="J603" s="988">
        <f t="shared" si="113"/>
        <v>0</v>
      </c>
      <c r="K603" s="988">
        <f t="shared" si="113"/>
        <v>0</v>
      </c>
      <c r="L603" s="988">
        <f t="shared" si="113"/>
        <v>0</v>
      </c>
      <c r="M603" s="988">
        <f t="shared" si="113"/>
        <v>0</v>
      </c>
      <c r="N603" s="988">
        <f t="shared" si="113"/>
        <v>0</v>
      </c>
      <c r="O603" s="988">
        <f t="shared" si="113"/>
        <v>0</v>
      </c>
      <c r="P603" s="988">
        <f t="shared" si="113"/>
        <v>0</v>
      </c>
      <c r="Q603" s="988"/>
      <c r="R603" s="988">
        <f t="shared" si="105"/>
        <v>0</v>
      </c>
      <c r="S603" s="546">
        <f>G603+H603+I603</f>
        <v>0</v>
      </c>
      <c r="T603" s="547">
        <f>J603+K603</f>
        <v>0</v>
      </c>
      <c r="U603" s="546">
        <f t="shared" si="100"/>
        <v>0</v>
      </c>
      <c r="W603" s="350">
        <f t="shared" si="101"/>
        <v>0</v>
      </c>
      <c r="X603" s="285">
        <f t="shared" si="106"/>
        <v>0</v>
      </c>
      <c r="Y603" s="564"/>
    </row>
    <row r="604" spans="1:25" ht="12" thickBot="1">
      <c r="A604" s="596" t="s">
        <v>1509</v>
      </c>
      <c r="B604" s="541" t="s">
        <v>623</v>
      </c>
      <c r="C604" s="541" t="s">
        <v>643</v>
      </c>
      <c r="D604" s="542" t="s">
        <v>20</v>
      </c>
      <c r="E604" s="549">
        <f t="shared" si="103"/>
        <v>0</v>
      </c>
      <c r="F604" s="988">
        <f t="shared" si="113"/>
        <v>0</v>
      </c>
      <c r="G604" s="988">
        <f t="shared" si="113"/>
        <v>0</v>
      </c>
      <c r="H604" s="988">
        <f t="shared" si="113"/>
        <v>0</v>
      </c>
      <c r="I604" s="988">
        <f t="shared" si="113"/>
        <v>0</v>
      </c>
      <c r="J604" s="988">
        <f t="shared" si="113"/>
        <v>0</v>
      </c>
      <c r="K604" s="988">
        <f t="shared" si="113"/>
        <v>0</v>
      </c>
      <c r="L604" s="988">
        <f t="shared" si="113"/>
        <v>0</v>
      </c>
      <c r="M604" s="988">
        <f t="shared" si="113"/>
        <v>0</v>
      </c>
      <c r="N604" s="988">
        <f t="shared" si="113"/>
        <v>0</v>
      </c>
      <c r="O604" s="988">
        <f t="shared" si="113"/>
        <v>0</v>
      </c>
      <c r="P604" s="988">
        <f t="shared" si="113"/>
        <v>0</v>
      </c>
      <c r="Q604" s="988"/>
      <c r="R604" s="988">
        <f t="shared" si="105"/>
        <v>0</v>
      </c>
      <c r="S604" s="546">
        <f t="shared" ref="S604:S605" si="114">G604+H604+I604</f>
        <v>0</v>
      </c>
      <c r="T604" s="547">
        <f t="shared" ref="T604:T605" si="115">J604+K604</f>
        <v>0</v>
      </c>
      <c r="U604" s="546">
        <f t="shared" si="100"/>
        <v>0</v>
      </c>
      <c r="W604" s="350">
        <f t="shared" si="101"/>
        <v>0</v>
      </c>
      <c r="X604" s="285"/>
      <c r="Y604" s="564"/>
    </row>
    <row r="605" spans="1:25" ht="12" thickBot="1">
      <c r="A605" s="596" t="s">
        <v>1509</v>
      </c>
      <c r="B605" s="541" t="s">
        <v>691</v>
      </c>
      <c r="C605" s="541" t="s">
        <v>689</v>
      </c>
      <c r="D605" s="542" t="s">
        <v>690</v>
      </c>
      <c r="E605" s="549">
        <f t="shared" si="103"/>
        <v>0</v>
      </c>
      <c r="F605" s="988">
        <f t="shared" si="113"/>
        <v>0</v>
      </c>
      <c r="G605" s="988">
        <f t="shared" si="113"/>
        <v>0</v>
      </c>
      <c r="H605" s="988">
        <f t="shared" si="113"/>
        <v>0</v>
      </c>
      <c r="I605" s="988">
        <f t="shared" si="113"/>
        <v>0</v>
      </c>
      <c r="J605" s="988">
        <f t="shared" si="113"/>
        <v>0</v>
      </c>
      <c r="K605" s="988">
        <f t="shared" si="113"/>
        <v>0</v>
      </c>
      <c r="L605" s="988">
        <f t="shared" si="113"/>
        <v>0</v>
      </c>
      <c r="M605" s="988">
        <f t="shared" si="113"/>
        <v>0</v>
      </c>
      <c r="N605" s="988">
        <f t="shared" si="113"/>
        <v>0</v>
      </c>
      <c r="O605" s="988">
        <f t="shared" si="113"/>
        <v>0</v>
      </c>
      <c r="P605" s="988">
        <f t="shared" si="113"/>
        <v>0</v>
      </c>
      <c r="Q605" s="988"/>
      <c r="R605" s="988">
        <f t="shared" si="105"/>
        <v>0</v>
      </c>
      <c r="S605" s="546">
        <f t="shared" si="114"/>
        <v>0</v>
      </c>
      <c r="T605" s="547">
        <f t="shared" si="115"/>
        <v>0</v>
      </c>
      <c r="U605" s="546">
        <f t="shared" si="100"/>
        <v>0</v>
      </c>
      <c r="W605" s="350">
        <f t="shared" si="101"/>
        <v>0</v>
      </c>
      <c r="X605" s="285"/>
      <c r="Y605" s="564"/>
    </row>
    <row r="606" spans="1:25" ht="12" thickBot="1">
      <c r="A606" s="596" t="s">
        <v>1509</v>
      </c>
      <c r="B606" s="541" t="s">
        <v>1147</v>
      </c>
      <c r="C606" s="541" t="s">
        <v>1148</v>
      </c>
      <c r="D606" s="542" t="s">
        <v>1156</v>
      </c>
      <c r="E606" s="549">
        <f t="shared" si="103"/>
        <v>0</v>
      </c>
      <c r="F606" s="988">
        <f t="shared" si="113"/>
        <v>0</v>
      </c>
      <c r="G606" s="988">
        <f t="shared" si="113"/>
        <v>0</v>
      </c>
      <c r="H606" s="988">
        <f t="shared" si="113"/>
        <v>0</v>
      </c>
      <c r="I606" s="988">
        <f t="shared" si="113"/>
        <v>0</v>
      </c>
      <c r="J606" s="988">
        <f t="shared" si="113"/>
        <v>0</v>
      </c>
      <c r="K606" s="988">
        <f t="shared" si="113"/>
        <v>0</v>
      </c>
      <c r="L606" s="988">
        <f t="shared" si="113"/>
        <v>0</v>
      </c>
      <c r="M606" s="988">
        <f t="shared" si="113"/>
        <v>0</v>
      </c>
      <c r="N606" s="988">
        <f t="shared" si="113"/>
        <v>0</v>
      </c>
      <c r="O606" s="988">
        <f t="shared" si="113"/>
        <v>0</v>
      </c>
      <c r="P606" s="988">
        <f t="shared" si="113"/>
        <v>0</v>
      </c>
      <c r="Q606" s="988"/>
      <c r="R606" s="988">
        <f t="shared" si="105"/>
        <v>0</v>
      </c>
      <c r="S606" s="546">
        <f>G606+H606+I606</f>
        <v>0</v>
      </c>
      <c r="T606" s="547">
        <f>J606+K606</f>
        <v>0</v>
      </c>
      <c r="U606" s="546">
        <f t="shared" si="100"/>
        <v>0</v>
      </c>
      <c r="W606" s="350">
        <f t="shared" si="101"/>
        <v>0</v>
      </c>
      <c r="X606" s="285">
        <f t="shared" si="106"/>
        <v>0</v>
      </c>
      <c r="Y606" s="564"/>
    </row>
    <row r="607" spans="1:25" ht="12" thickBot="1">
      <c r="A607" s="596" t="s">
        <v>1509</v>
      </c>
      <c r="B607" s="541" t="s">
        <v>169</v>
      </c>
      <c r="C607" s="541" t="s">
        <v>1392</v>
      </c>
      <c r="D607" s="542" t="s">
        <v>208</v>
      </c>
      <c r="E607" s="549">
        <f t="shared" si="103"/>
        <v>0</v>
      </c>
      <c r="F607" s="988">
        <f t="shared" si="113"/>
        <v>0</v>
      </c>
      <c r="G607" s="988">
        <f t="shared" si="113"/>
        <v>0</v>
      </c>
      <c r="H607" s="988">
        <f t="shared" si="113"/>
        <v>0</v>
      </c>
      <c r="I607" s="988">
        <f t="shared" si="113"/>
        <v>0</v>
      </c>
      <c r="J607" s="988">
        <f t="shared" si="113"/>
        <v>0</v>
      </c>
      <c r="K607" s="988">
        <f t="shared" si="113"/>
        <v>0</v>
      </c>
      <c r="L607" s="988">
        <f t="shared" si="113"/>
        <v>0</v>
      </c>
      <c r="M607" s="988">
        <f t="shared" si="113"/>
        <v>0</v>
      </c>
      <c r="N607" s="988">
        <f t="shared" si="113"/>
        <v>0</v>
      </c>
      <c r="O607" s="988">
        <f t="shared" si="113"/>
        <v>0</v>
      </c>
      <c r="P607" s="988">
        <f t="shared" si="113"/>
        <v>0</v>
      </c>
      <c r="Q607" s="988"/>
      <c r="R607" s="988">
        <f t="shared" si="105"/>
        <v>0</v>
      </c>
      <c r="S607" s="546">
        <f>G607+H607+I607</f>
        <v>0</v>
      </c>
      <c r="T607" s="547">
        <f>J607+K607</f>
        <v>0</v>
      </c>
      <c r="U607" s="546">
        <f t="shared" si="100"/>
        <v>0</v>
      </c>
      <c r="W607" s="350">
        <f t="shared" si="101"/>
        <v>0</v>
      </c>
      <c r="X607" s="285">
        <f t="shared" si="106"/>
        <v>0</v>
      </c>
      <c r="Y607" s="564"/>
    </row>
    <row r="608" spans="1:25" ht="12" thickBot="1">
      <c r="A608" s="596" t="s">
        <v>1509</v>
      </c>
      <c r="B608" s="541" t="s">
        <v>170</v>
      </c>
      <c r="C608" s="541" t="s">
        <v>1393</v>
      </c>
      <c r="D608" s="542" t="s">
        <v>17</v>
      </c>
      <c r="E608" s="549">
        <f t="shared" si="103"/>
        <v>0</v>
      </c>
      <c r="F608" s="988">
        <f t="shared" si="113"/>
        <v>0</v>
      </c>
      <c r="G608" s="988">
        <f t="shared" si="113"/>
        <v>0</v>
      </c>
      <c r="H608" s="988">
        <f t="shared" si="113"/>
        <v>0</v>
      </c>
      <c r="I608" s="988">
        <f t="shared" si="113"/>
        <v>0</v>
      </c>
      <c r="J608" s="988">
        <f t="shared" si="113"/>
        <v>0</v>
      </c>
      <c r="K608" s="988">
        <f t="shared" si="113"/>
        <v>0</v>
      </c>
      <c r="L608" s="988">
        <f t="shared" si="113"/>
        <v>0</v>
      </c>
      <c r="M608" s="988">
        <f t="shared" si="113"/>
        <v>0</v>
      </c>
      <c r="N608" s="988">
        <f t="shared" si="113"/>
        <v>0</v>
      </c>
      <c r="O608" s="988">
        <f t="shared" si="113"/>
        <v>0</v>
      </c>
      <c r="P608" s="988">
        <f t="shared" si="113"/>
        <v>0</v>
      </c>
      <c r="Q608" s="988"/>
      <c r="R608" s="988">
        <f t="shared" si="105"/>
        <v>0</v>
      </c>
      <c r="S608" s="546">
        <f>G608+H608+I608</f>
        <v>0</v>
      </c>
      <c r="T608" s="547">
        <f>J608+K608</f>
        <v>0</v>
      </c>
      <c r="U608" s="546">
        <f t="shared" si="100"/>
        <v>0</v>
      </c>
      <c r="W608" s="350">
        <f t="shared" si="101"/>
        <v>0</v>
      </c>
      <c r="X608" s="285">
        <f t="shared" si="106"/>
        <v>0</v>
      </c>
      <c r="Y608" s="564"/>
    </row>
    <row r="609" spans="1:25" ht="12" thickBot="1">
      <c r="A609" s="596" t="s">
        <v>1509</v>
      </c>
      <c r="B609" s="541" t="s">
        <v>713</v>
      </c>
      <c r="C609" s="541" t="s">
        <v>711</v>
      </c>
      <c r="D609" s="542" t="s">
        <v>712</v>
      </c>
      <c r="E609" s="549">
        <f t="shared" si="103"/>
        <v>0</v>
      </c>
      <c r="F609" s="988">
        <f t="shared" si="113"/>
        <v>0</v>
      </c>
      <c r="G609" s="988">
        <f t="shared" si="113"/>
        <v>0</v>
      </c>
      <c r="H609" s="988">
        <f t="shared" si="113"/>
        <v>0</v>
      </c>
      <c r="I609" s="988">
        <f t="shared" si="113"/>
        <v>0</v>
      </c>
      <c r="J609" s="988">
        <f t="shared" si="113"/>
        <v>0</v>
      </c>
      <c r="K609" s="988">
        <f t="shared" si="113"/>
        <v>0</v>
      </c>
      <c r="L609" s="988">
        <f t="shared" si="113"/>
        <v>0</v>
      </c>
      <c r="M609" s="988">
        <f t="shared" si="113"/>
        <v>0</v>
      </c>
      <c r="N609" s="988">
        <f t="shared" si="113"/>
        <v>0</v>
      </c>
      <c r="O609" s="988">
        <f t="shared" si="113"/>
        <v>0</v>
      </c>
      <c r="P609" s="988">
        <f t="shared" si="113"/>
        <v>0</v>
      </c>
      <c r="Q609" s="988"/>
      <c r="R609" s="988">
        <f t="shared" si="105"/>
        <v>0</v>
      </c>
      <c r="S609" s="546">
        <f>G609+H609+I609</f>
        <v>0</v>
      </c>
      <c r="T609" s="547">
        <f>J609+K609</f>
        <v>0</v>
      </c>
      <c r="U609" s="546">
        <f t="shared" si="100"/>
        <v>0</v>
      </c>
      <c r="W609" s="350">
        <f t="shared" si="101"/>
        <v>0</v>
      </c>
      <c r="X609" s="285">
        <f t="shared" si="106"/>
        <v>0</v>
      </c>
      <c r="Y609" s="564"/>
    </row>
    <row r="610" spans="1:25" ht="12" thickBot="1">
      <c r="A610" s="596" t="s">
        <v>1509</v>
      </c>
      <c r="B610" s="541" t="s">
        <v>171</v>
      </c>
      <c r="C610" s="541" t="s">
        <v>441</v>
      </c>
      <c r="D610" s="542" t="s">
        <v>72</v>
      </c>
      <c r="E610" s="549">
        <f t="shared" si="103"/>
        <v>0</v>
      </c>
      <c r="F610" s="988">
        <f t="shared" si="113"/>
        <v>0</v>
      </c>
      <c r="G610" s="988">
        <f t="shared" si="113"/>
        <v>0</v>
      </c>
      <c r="H610" s="988">
        <f t="shared" si="113"/>
        <v>0</v>
      </c>
      <c r="I610" s="988">
        <f t="shared" si="113"/>
        <v>0</v>
      </c>
      <c r="J610" s="988">
        <f t="shared" si="113"/>
        <v>0</v>
      </c>
      <c r="K610" s="988">
        <f t="shared" si="113"/>
        <v>0</v>
      </c>
      <c r="L610" s="988">
        <f t="shared" si="113"/>
        <v>0</v>
      </c>
      <c r="M610" s="988">
        <f t="shared" si="113"/>
        <v>0</v>
      </c>
      <c r="N610" s="988">
        <f t="shared" si="113"/>
        <v>0</v>
      </c>
      <c r="O610" s="988">
        <f t="shared" si="113"/>
        <v>0</v>
      </c>
      <c r="P610" s="988">
        <f t="shared" si="113"/>
        <v>-989829</v>
      </c>
      <c r="Q610" s="988"/>
      <c r="R610" s="988">
        <f t="shared" si="105"/>
        <v>-989829</v>
      </c>
      <c r="S610" s="546">
        <f t="shared" ref="S610" si="116">G610+H610+I610</f>
        <v>0</v>
      </c>
      <c r="T610" s="547">
        <f t="shared" ref="T610" si="117">J610+K610</f>
        <v>0</v>
      </c>
      <c r="U610" s="546">
        <f t="shared" si="100"/>
        <v>0</v>
      </c>
      <c r="W610" s="350">
        <f t="shared" si="101"/>
        <v>-989829</v>
      </c>
      <c r="X610" s="285"/>
      <c r="Y610" s="564"/>
    </row>
    <row r="611" spans="1:25" ht="12" thickBot="1">
      <c r="A611" s="596" t="s">
        <v>1509</v>
      </c>
      <c r="B611" s="541" t="s">
        <v>172</v>
      </c>
      <c r="C611" s="541" t="s">
        <v>442</v>
      </c>
      <c r="D611" s="542" t="s">
        <v>72</v>
      </c>
      <c r="E611" s="549">
        <f t="shared" si="103"/>
        <v>0</v>
      </c>
      <c r="F611" s="988">
        <f t="shared" ref="F611:P620" si="118">ROUND(SUMIFS(F$1721:F$1901,$A$1721:$A$1901,$A611,$B$1721:$B$1901,$B611),0)</f>
        <v>0</v>
      </c>
      <c r="G611" s="988">
        <f t="shared" si="118"/>
        <v>0</v>
      </c>
      <c r="H611" s="988">
        <f t="shared" si="118"/>
        <v>0</v>
      </c>
      <c r="I611" s="988">
        <f t="shared" si="118"/>
        <v>0</v>
      </c>
      <c r="J611" s="988">
        <f t="shared" si="118"/>
        <v>0</v>
      </c>
      <c r="K611" s="988">
        <f t="shared" si="118"/>
        <v>0</v>
      </c>
      <c r="L611" s="988">
        <f t="shared" si="118"/>
        <v>0</v>
      </c>
      <c r="M611" s="988">
        <f t="shared" si="118"/>
        <v>0</v>
      </c>
      <c r="N611" s="988">
        <f t="shared" si="118"/>
        <v>0</v>
      </c>
      <c r="O611" s="988">
        <f t="shared" si="118"/>
        <v>0</v>
      </c>
      <c r="P611" s="988">
        <f t="shared" si="118"/>
        <v>0</v>
      </c>
      <c r="Q611" s="988"/>
      <c r="R611" s="988">
        <f t="shared" si="105"/>
        <v>0</v>
      </c>
      <c r="S611" s="546">
        <f>G611+H611+I611</f>
        <v>0</v>
      </c>
      <c r="T611" s="547">
        <f>J611+K611</f>
        <v>0</v>
      </c>
      <c r="U611" s="546">
        <f t="shared" si="100"/>
        <v>0</v>
      </c>
      <c r="W611" s="350">
        <f t="shared" si="101"/>
        <v>0</v>
      </c>
      <c r="X611" s="285">
        <f t="shared" si="106"/>
        <v>0</v>
      </c>
      <c r="Y611" s="564"/>
    </row>
    <row r="612" spans="1:25" ht="12" thickBot="1">
      <c r="A612" s="596" t="s">
        <v>1509</v>
      </c>
      <c r="B612" s="541" t="s">
        <v>1397</v>
      </c>
      <c r="C612" s="541" t="s">
        <v>1398</v>
      </c>
      <c r="D612" s="542" t="s">
        <v>72</v>
      </c>
      <c r="E612" s="549">
        <f t="shared" si="103"/>
        <v>0</v>
      </c>
      <c r="F612" s="988">
        <f t="shared" si="118"/>
        <v>0</v>
      </c>
      <c r="G612" s="988">
        <f t="shared" si="118"/>
        <v>0</v>
      </c>
      <c r="H612" s="988">
        <f t="shared" si="118"/>
        <v>0</v>
      </c>
      <c r="I612" s="988">
        <f t="shared" si="118"/>
        <v>0</v>
      </c>
      <c r="J612" s="988">
        <f t="shared" si="118"/>
        <v>0</v>
      </c>
      <c r="K612" s="988">
        <f t="shared" si="118"/>
        <v>0</v>
      </c>
      <c r="L612" s="988">
        <f t="shared" si="118"/>
        <v>0</v>
      </c>
      <c r="M612" s="988">
        <f t="shared" si="118"/>
        <v>0</v>
      </c>
      <c r="N612" s="988">
        <f t="shared" si="118"/>
        <v>0</v>
      </c>
      <c r="O612" s="988">
        <f t="shared" si="118"/>
        <v>0</v>
      </c>
      <c r="P612" s="988">
        <f t="shared" si="118"/>
        <v>0</v>
      </c>
      <c r="Q612" s="988"/>
      <c r="R612" s="988">
        <f t="shared" si="105"/>
        <v>0</v>
      </c>
      <c r="S612" s="546">
        <f>G612+H612+I612</f>
        <v>0</v>
      </c>
      <c r="T612" s="547">
        <f>J612+K612</f>
        <v>0</v>
      </c>
      <c r="U612" s="546">
        <f t="shared" si="100"/>
        <v>0</v>
      </c>
      <c r="W612" s="350">
        <f t="shared" si="101"/>
        <v>0</v>
      </c>
      <c r="X612" s="285">
        <f t="shared" si="106"/>
        <v>0</v>
      </c>
      <c r="Y612" s="564"/>
    </row>
    <row r="613" spans="1:25" ht="12" thickBot="1">
      <c r="A613" s="596" t="s">
        <v>1509</v>
      </c>
      <c r="B613" s="541" t="s">
        <v>1149</v>
      </c>
      <c r="C613" s="541" t="s">
        <v>1150</v>
      </c>
      <c r="D613" s="542" t="s">
        <v>72</v>
      </c>
      <c r="E613" s="549">
        <f t="shared" si="103"/>
        <v>0</v>
      </c>
      <c r="F613" s="988">
        <f t="shared" si="118"/>
        <v>0</v>
      </c>
      <c r="G613" s="988">
        <f t="shared" si="118"/>
        <v>0</v>
      </c>
      <c r="H613" s="988">
        <f t="shared" si="118"/>
        <v>0</v>
      </c>
      <c r="I613" s="988">
        <f t="shared" si="118"/>
        <v>0</v>
      </c>
      <c r="J613" s="988">
        <f t="shared" si="118"/>
        <v>0</v>
      </c>
      <c r="K613" s="988">
        <f t="shared" si="118"/>
        <v>0</v>
      </c>
      <c r="L613" s="988">
        <f t="shared" si="118"/>
        <v>0</v>
      </c>
      <c r="M613" s="988">
        <f t="shared" si="118"/>
        <v>0</v>
      </c>
      <c r="N613" s="988">
        <f t="shared" si="118"/>
        <v>0</v>
      </c>
      <c r="O613" s="988">
        <f t="shared" si="118"/>
        <v>0</v>
      </c>
      <c r="P613" s="988">
        <f t="shared" si="118"/>
        <v>0</v>
      </c>
      <c r="Q613" s="988"/>
      <c r="R613" s="988">
        <f t="shared" si="105"/>
        <v>0</v>
      </c>
      <c r="S613" s="546">
        <f>G613+H613+I613</f>
        <v>0</v>
      </c>
      <c r="T613" s="547">
        <f>J613+K613</f>
        <v>0</v>
      </c>
      <c r="U613" s="546">
        <f t="shared" si="100"/>
        <v>0</v>
      </c>
      <c r="W613" s="350">
        <f t="shared" si="101"/>
        <v>0</v>
      </c>
      <c r="X613" s="285">
        <f t="shared" si="106"/>
        <v>0</v>
      </c>
      <c r="Y613" s="564"/>
    </row>
    <row r="614" spans="1:25" ht="12" thickBot="1">
      <c r="A614" s="596" t="s">
        <v>1509</v>
      </c>
      <c r="B614" s="541" t="s">
        <v>1051</v>
      </c>
      <c r="C614" s="541" t="s">
        <v>1052</v>
      </c>
      <c r="D614" s="542" t="s">
        <v>719</v>
      </c>
      <c r="E614" s="549">
        <f t="shared" si="103"/>
        <v>0</v>
      </c>
      <c r="F614" s="988">
        <f t="shared" si="118"/>
        <v>0</v>
      </c>
      <c r="G614" s="988">
        <f t="shared" si="118"/>
        <v>0</v>
      </c>
      <c r="H614" s="988">
        <f t="shared" si="118"/>
        <v>0</v>
      </c>
      <c r="I614" s="988">
        <f t="shared" si="118"/>
        <v>0</v>
      </c>
      <c r="J614" s="988">
        <f t="shared" si="118"/>
        <v>0</v>
      </c>
      <c r="K614" s="988">
        <f t="shared" si="118"/>
        <v>0</v>
      </c>
      <c r="L614" s="988">
        <f t="shared" si="118"/>
        <v>0</v>
      </c>
      <c r="M614" s="988">
        <f t="shared" si="118"/>
        <v>0</v>
      </c>
      <c r="N614" s="988">
        <f t="shared" si="118"/>
        <v>0</v>
      </c>
      <c r="O614" s="988">
        <f t="shared" si="118"/>
        <v>0</v>
      </c>
      <c r="P614" s="988">
        <f t="shared" si="118"/>
        <v>0</v>
      </c>
      <c r="Q614" s="988"/>
      <c r="R614" s="988">
        <f t="shared" si="105"/>
        <v>0</v>
      </c>
      <c r="S614" s="546">
        <f>G614+H614+I614</f>
        <v>0</v>
      </c>
      <c r="T614" s="547">
        <f>J614+K614</f>
        <v>0</v>
      </c>
      <c r="U614" s="546">
        <f t="shared" si="100"/>
        <v>0</v>
      </c>
      <c r="W614" s="350">
        <f t="shared" si="101"/>
        <v>0</v>
      </c>
      <c r="X614" s="285">
        <f t="shared" si="106"/>
        <v>0</v>
      </c>
      <c r="Y614" s="564"/>
    </row>
    <row r="615" spans="1:25" ht="12" thickBot="1">
      <c r="A615" s="596" t="s">
        <v>1509</v>
      </c>
      <c r="B615" s="541" t="s">
        <v>1053</v>
      </c>
      <c r="C615" s="541" t="s">
        <v>1054</v>
      </c>
      <c r="D615" s="542" t="s">
        <v>719</v>
      </c>
      <c r="E615" s="549">
        <f t="shared" si="103"/>
        <v>0</v>
      </c>
      <c r="F615" s="988">
        <f t="shared" si="118"/>
        <v>0</v>
      </c>
      <c r="G615" s="988">
        <f t="shared" si="118"/>
        <v>0</v>
      </c>
      <c r="H615" s="988">
        <f t="shared" si="118"/>
        <v>0</v>
      </c>
      <c r="I615" s="988">
        <f t="shared" si="118"/>
        <v>0</v>
      </c>
      <c r="J615" s="988">
        <f t="shared" si="118"/>
        <v>0</v>
      </c>
      <c r="K615" s="988">
        <f t="shared" si="118"/>
        <v>0</v>
      </c>
      <c r="L615" s="988">
        <f t="shared" si="118"/>
        <v>0</v>
      </c>
      <c r="M615" s="988">
        <f t="shared" si="118"/>
        <v>0</v>
      </c>
      <c r="N615" s="988">
        <f t="shared" si="118"/>
        <v>0</v>
      </c>
      <c r="O615" s="988">
        <f t="shared" si="118"/>
        <v>0</v>
      </c>
      <c r="P615" s="988">
        <f t="shared" si="118"/>
        <v>0</v>
      </c>
      <c r="Q615" s="988"/>
      <c r="R615" s="988">
        <f t="shared" si="105"/>
        <v>0</v>
      </c>
      <c r="S615" s="546">
        <f>G615+H615+I615</f>
        <v>0</v>
      </c>
      <c r="T615" s="547">
        <f>J615+K615</f>
        <v>0</v>
      </c>
      <c r="U615" s="546">
        <f t="shared" si="100"/>
        <v>0</v>
      </c>
      <c r="W615" s="350">
        <f t="shared" si="101"/>
        <v>0</v>
      </c>
      <c r="X615" s="285">
        <f t="shared" si="106"/>
        <v>0</v>
      </c>
      <c r="Y615" s="564"/>
    </row>
    <row r="616" spans="1:25" ht="12" thickBot="1">
      <c r="A616" s="596" t="s">
        <v>1509</v>
      </c>
      <c r="B616" s="541" t="s">
        <v>173</v>
      </c>
      <c r="C616" s="541" t="s">
        <v>192</v>
      </c>
      <c r="D616" s="542" t="s">
        <v>642</v>
      </c>
      <c r="E616" s="549">
        <f t="shared" si="103"/>
        <v>48437687</v>
      </c>
      <c r="F616" s="988">
        <f t="shared" si="118"/>
        <v>750</v>
      </c>
      <c r="G616" s="988">
        <f t="shared" si="118"/>
        <v>178735</v>
      </c>
      <c r="H616" s="988">
        <f t="shared" si="118"/>
        <v>1400818</v>
      </c>
      <c r="I616" s="988">
        <f t="shared" si="118"/>
        <v>0</v>
      </c>
      <c r="J616" s="988">
        <f t="shared" si="118"/>
        <v>51887</v>
      </c>
      <c r="K616" s="988">
        <f t="shared" si="118"/>
        <v>668312</v>
      </c>
      <c r="L616" s="988">
        <f t="shared" si="118"/>
        <v>0</v>
      </c>
      <c r="M616" s="988">
        <f t="shared" si="118"/>
        <v>43712</v>
      </c>
      <c r="N616" s="988">
        <f t="shared" si="118"/>
        <v>0</v>
      </c>
      <c r="O616" s="988">
        <f t="shared" si="118"/>
        <v>328515</v>
      </c>
      <c r="P616" s="988">
        <f t="shared" si="118"/>
        <v>0</v>
      </c>
      <c r="Q616" s="988"/>
      <c r="R616" s="988">
        <f t="shared" si="105"/>
        <v>2672729</v>
      </c>
      <c r="S616" s="546">
        <f t="shared" ref="S616:S617" si="119">G616+H616+I616</f>
        <v>1579553</v>
      </c>
      <c r="T616" s="547">
        <f t="shared" ref="T616:T617" si="120">J616+K616</f>
        <v>720199</v>
      </c>
      <c r="U616" s="546">
        <f t="shared" si="100"/>
        <v>328515</v>
      </c>
      <c r="W616" s="350">
        <f t="shared" si="101"/>
        <v>2672729</v>
      </c>
      <c r="X616" s="285">
        <f t="shared" si="106"/>
        <v>0</v>
      </c>
      <c r="Y616" s="564"/>
    </row>
    <row r="617" spans="1:25" ht="12" thickBot="1">
      <c r="A617" s="596" t="s">
        <v>1509</v>
      </c>
      <c r="B617" s="541" t="s">
        <v>193</v>
      </c>
      <c r="C617" s="541" t="s">
        <v>194</v>
      </c>
      <c r="D617" s="542" t="s">
        <v>443</v>
      </c>
      <c r="E617" s="549">
        <f t="shared" si="103"/>
        <v>0</v>
      </c>
      <c r="F617" s="988">
        <f t="shared" si="118"/>
        <v>0</v>
      </c>
      <c r="G617" s="988">
        <f t="shared" si="118"/>
        <v>0</v>
      </c>
      <c r="H617" s="988">
        <f t="shared" si="118"/>
        <v>0</v>
      </c>
      <c r="I617" s="988">
        <f t="shared" si="118"/>
        <v>0</v>
      </c>
      <c r="J617" s="988">
        <f t="shared" si="118"/>
        <v>0</v>
      </c>
      <c r="K617" s="988">
        <f t="shared" si="118"/>
        <v>0</v>
      </c>
      <c r="L617" s="988">
        <f t="shared" si="118"/>
        <v>0</v>
      </c>
      <c r="M617" s="988">
        <f t="shared" si="118"/>
        <v>0</v>
      </c>
      <c r="N617" s="988">
        <f t="shared" si="118"/>
        <v>0</v>
      </c>
      <c r="O617" s="988">
        <f t="shared" si="118"/>
        <v>0</v>
      </c>
      <c r="P617" s="988">
        <f t="shared" si="118"/>
        <v>0</v>
      </c>
      <c r="Q617" s="988"/>
      <c r="R617" s="988">
        <f t="shared" si="105"/>
        <v>0</v>
      </c>
      <c r="S617" s="546">
        <f t="shared" si="119"/>
        <v>0</v>
      </c>
      <c r="T617" s="547">
        <f t="shared" si="120"/>
        <v>0</v>
      </c>
      <c r="U617" s="546">
        <f t="shared" si="100"/>
        <v>0</v>
      </c>
      <c r="W617" s="350">
        <f t="shared" si="101"/>
        <v>0</v>
      </c>
      <c r="X617" s="285"/>
      <c r="Y617" s="564"/>
    </row>
    <row r="618" spans="1:25" ht="12" thickBot="1">
      <c r="A618" s="596" t="s">
        <v>1509</v>
      </c>
      <c r="B618" s="541" t="s">
        <v>195</v>
      </c>
      <c r="C618" s="541" t="s">
        <v>196</v>
      </c>
      <c r="D618" s="542" t="s">
        <v>443</v>
      </c>
      <c r="E618" s="549">
        <f t="shared" si="103"/>
        <v>0</v>
      </c>
      <c r="F618" s="988">
        <f t="shared" si="118"/>
        <v>0</v>
      </c>
      <c r="G618" s="988">
        <f t="shared" si="118"/>
        <v>0</v>
      </c>
      <c r="H618" s="988">
        <f t="shared" si="118"/>
        <v>0</v>
      </c>
      <c r="I618" s="988">
        <f t="shared" si="118"/>
        <v>0</v>
      </c>
      <c r="J618" s="988">
        <f t="shared" si="118"/>
        <v>0</v>
      </c>
      <c r="K618" s="988">
        <f t="shared" si="118"/>
        <v>0</v>
      </c>
      <c r="L618" s="988">
        <f t="shared" si="118"/>
        <v>0</v>
      </c>
      <c r="M618" s="988">
        <f t="shared" si="118"/>
        <v>0</v>
      </c>
      <c r="N618" s="988">
        <f t="shared" si="118"/>
        <v>0</v>
      </c>
      <c r="O618" s="988">
        <f t="shared" si="118"/>
        <v>0</v>
      </c>
      <c r="P618" s="988">
        <f t="shared" si="118"/>
        <v>0</v>
      </c>
      <c r="Q618" s="988"/>
      <c r="R618" s="988">
        <f t="shared" si="105"/>
        <v>0</v>
      </c>
      <c r="S618" s="546">
        <f t="shared" ref="S618:S649" si="121">G618+H618+I618</f>
        <v>0</v>
      </c>
      <c r="T618" s="547">
        <f t="shared" ref="T618:T649" si="122">J618+K618</f>
        <v>0</v>
      </c>
      <c r="U618" s="546">
        <f t="shared" si="100"/>
        <v>0</v>
      </c>
      <c r="W618" s="350">
        <f t="shared" si="101"/>
        <v>0</v>
      </c>
      <c r="X618" s="285">
        <f t="shared" si="106"/>
        <v>0</v>
      </c>
      <c r="Y618" s="564"/>
    </row>
    <row r="619" spans="1:25" ht="12" thickBot="1">
      <c r="A619" s="596" t="s">
        <v>1509</v>
      </c>
      <c r="B619" s="541" t="s">
        <v>197</v>
      </c>
      <c r="C619" s="541" t="s">
        <v>198</v>
      </c>
      <c r="D619" s="542" t="s">
        <v>443</v>
      </c>
      <c r="E619" s="549">
        <f t="shared" si="103"/>
        <v>0</v>
      </c>
      <c r="F619" s="988">
        <f t="shared" si="118"/>
        <v>0</v>
      </c>
      <c r="G619" s="988">
        <f t="shared" si="118"/>
        <v>0</v>
      </c>
      <c r="H619" s="988">
        <f t="shared" si="118"/>
        <v>0</v>
      </c>
      <c r="I619" s="988">
        <f t="shared" si="118"/>
        <v>0</v>
      </c>
      <c r="J619" s="988">
        <f t="shared" si="118"/>
        <v>0</v>
      </c>
      <c r="K619" s="988">
        <f t="shared" si="118"/>
        <v>0</v>
      </c>
      <c r="L619" s="988">
        <f t="shared" si="118"/>
        <v>0</v>
      </c>
      <c r="M619" s="988">
        <f t="shared" si="118"/>
        <v>0</v>
      </c>
      <c r="N619" s="988">
        <f t="shared" si="118"/>
        <v>0</v>
      </c>
      <c r="O619" s="988">
        <f t="shared" si="118"/>
        <v>0</v>
      </c>
      <c r="P619" s="988">
        <f t="shared" si="118"/>
        <v>0</v>
      </c>
      <c r="Q619" s="988"/>
      <c r="R619" s="988">
        <f t="shared" si="105"/>
        <v>0</v>
      </c>
      <c r="S619" s="546">
        <f t="shared" si="121"/>
        <v>0</v>
      </c>
      <c r="T619" s="547">
        <f t="shared" si="122"/>
        <v>0</v>
      </c>
      <c r="U619" s="546">
        <f t="shared" si="100"/>
        <v>0</v>
      </c>
      <c r="W619" s="350">
        <f t="shared" si="101"/>
        <v>0</v>
      </c>
      <c r="X619" s="285">
        <f t="shared" si="106"/>
        <v>0</v>
      </c>
      <c r="Y619" s="564"/>
    </row>
    <row r="620" spans="1:25" ht="12" thickBot="1">
      <c r="A620" s="596" t="s">
        <v>1509</v>
      </c>
      <c r="B620" s="541" t="s">
        <v>1055</v>
      </c>
      <c r="C620" s="541" t="s">
        <v>1049</v>
      </c>
      <c r="D620" s="542" t="s">
        <v>1146</v>
      </c>
      <c r="E620" s="549">
        <f t="shared" si="103"/>
        <v>0</v>
      </c>
      <c r="F620" s="988">
        <f t="shared" si="118"/>
        <v>0</v>
      </c>
      <c r="G620" s="988">
        <f t="shared" si="118"/>
        <v>0</v>
      </c>
      <c r="H620" s="988">
        <f t="shared" si="118"/>
        <v>0</v>
      </c>
      <c r="I620" s="988">
        <f t="shared" si="118"/>
        <v>0</v>
      </c>
      <c r="J620" s="988">
        <f t="shared" si="118"/>
        <v>0</v>
      </c>
      <c r="K620" s="988">
        <f t="shared" si="118"/>
        <v>0</v>
      </c>
      <c r="L620" s="988">
        <f t="shared" si="118"/>
        <v>0</v>
      </c>
      <c r="M620" s="988">
        <f t="shared" si="118"/>
        <v>0</v>
      </c>
      <c r="N620" s="988">
        <f t="shared" si="118"/>
        <v>0</v>
      </c>
      <c r="O620" s="988">
        <f t="shared" si="118"/>
        <v>0</v>
      </c>
      <c r="P620" s="988">
        <f t="shared" si="118"/>
        <v>0</v>
      </c>
      <c r="Q620" s="988"/>
      <c r="R620" s="988">
        <f t="shared" si="105"/>
        <v>0</v>
      </c>
      <c r="S620" s="546">
        <f t="shared" si="121"/>
        <v>0</v>
      </c>
      <c r="T620" s="547">
        <f t="shared" si="122"/>
        <v>0</v>
      </c>
      <c r="U620" s="546">
        <f t="shared" si="100"/>
        <v>0</v>
      </c>
      <c r="W620" s="350">
        <f t="shared" si="101"/>
        <v>0</v>
      </c>
      <c r="X620" s="285">
        <f t="shared" si="106"/>
        <v>0</v>
      </c>
      <c r="Y620" s="564"/>
    </row>
    <row r="621" spans="1:25" ht="12" thickBot="1">
      <c r="A621" s="596" t="s">
        <v>1509</v>
      </c>
      <c r="B621" s="541" t="s">
        <v>174</v>
      </c>
      <c r="C621" s="541" t="s">
        <v>106</v>
      </c>
      <c r="D621" s="542" t="s">
        <v>14</v>
      </c>
      <c r="E621" s="549">
        <f t="shared" si="103"/>
        <v>369801141</v>
      </c>
      <c r="F621" s="988">
        <f t="shared" ref="F621:P627" si="123">ROUND(SUMIFS(F$1721:F$1901,$A$1721:$A$1901,$A621,$B$1721:$B$1901,$B621),0)</f>
        <v>4635251</v>
      </c>
      <c r="G621" s="988">
        <f t="shared" si="123"/>
        <v>16777878</v>
      </c>
      <c r="H621" s="988">
        <f t="shared" si="123"/>
        <v>10694649</v>
      </c>
      <c r="I621" s="988">
        <f t="shared" si="123"/>
        <v>1164874</v>
      </c>
      <c r="J621" s="988">
        <f t="shared" si="123"/>
        <v>0</v>
      </c>
      <c r="K621" s="988">
        <f t="shared" si="123"/>
        <v>0</v>
      </c>
      <c r="L621" s="988">
        <f t="shared" si="123"/>
        <v>676243</v>
      </c>
      <c r="M621" s="988">
        <f t="shared" si="123"/>
        <v>333726</v>
      </c>
      <c r="N621" s="988">
        <f t="shared" si="123"/>
        <v>2508069</v>
      </c>
      <c r="O621" s="988">
        <f t="shared" si="123"/>
        <v>0</v>
      </c>
      <c r="P621" s="988">
        <f t="shared" si="123"/>
        <v>0</v>
      </c>
      <c r="Q621" s="988"/>
      <c r="R621" s="988">
        <f t="shared" si="105"/>
        <v>36790689</v>
      </c>
      <c r="S621" s="546">
        <f t="shared" si="121"/>
        <v>28637401</v>
      </c>
      <c r="T621" s="547">
        <f t="shared" si="122"/>
        <v>0</v>
      </c>
      <c r="U621" s="546">
        <f t="shared" si="100"/>
        <v>2508069</v>
      </c>
      <c r="W621" s="350">
        <f t="shared" si="101"/>
        <v>36790690</v>
      </c>
      <c r="X621" s="285">
        <f t="shared" si="106"/>
        <v>1</v>
      </c>
      <c r="Y621" s="564"/>
    </row>
    <row r="622" spans="1:25" ht="12" thickBot="1">
      <c r="A622" s="596" t="s">
        <v>1509</v>
      </c>
      <c r="B622" s="541" t="s">
        <v>175</v>
      </c>
      <c r="C622" s="541" t="s">
        <v>199</v>
      </c>
      <c r="D622" s="542" t="s">
        <v>14</v>
      </c>
      <c r="E622" s="549">
        <f t="shared" si="103"/>
        <v>0</v>
      </c>
      <c r="F622" s="988">
        <f t="shared" si="123"/>
        <v>0</v>
      </c>
      <c r="G622" s="988">
        <f t="shared" si="123"/>
        <v>0</v>
      </c>
      <c r="H622" s="988">
        <f t="shared" si="123"/>
        <v>0</v>
      </c>
      <c r="I622" s="988">
        <f t="shared" si="123"/>
        <v>0</v>
      </c>
      <c r="J622" s="988">
        <f t="shared" si="123"/>
        <v>0</v>
      </c>
      <c r="K622" s="988">
        <f t="shared" si="123"/>
        <v>0</v>
      </c>
      <c r="L622" s="988">
        <f t="shared" si="123"/>
        <v>0</v>
      </c>
      <c r="M622" s="988">
        <f t="shared" si="123"/>
        <v>0</v>
      </c>
      <c r="N622" s="988">
        <f t="shared" si="123"/>
        <v>0</v>
      </c>
      <c r="O622" s="988">
        <f t="shared" si="123"/>
        <v>0</v>
      </c>
      <c r="P622" s="988">
        <f t="shared" si="123"/>
        <v>0</v>
      </c>
      <c r="Q622" s="988"/>
      <c r="R622" s="988">
        <f t="shared" si="105"/>
        <v>0</v>
      </c>
      <c r="S622" s="546">
        <f t="shared" si="121"/>
        <v>0</v>
      </c>
      <c r="T622" s="547">
        <f t="shared" si="122"/>
        <v>0</v>
      </c>
      <c r="U622" s="546">
        <f t="shared" si="100"/>
        <v>0</v>
      </c>
      <c r="W622" s="350">
        <f t="shared" si="101"/>
        <v>0</v>
      </c>
      <c r="X622" s="285">
        <f t="shared" si="106"/>
        <v>0</v>
      </c>
      <c r="Y622" s="564"/>
    </row>
    <row r="623" spans="1:25" ht="12" thickBot="1">
      <c r="A623" s="596" t="s">
        <v>1509</v>
      </c>
      <c r="B623" s="541" t="s">
        <v>176</v>
      </c>
      <c r="C623" s="541" t="s">
        <v>200</v>
      </c>
      <c r="D623" s="542" t="s">
        <v>207</v>
      </c>
      <c r="E623" s="549">
        <f t="shared" si="103"/>
        <v>0</v>
      </c>
      <c r="F623" s="988">
        <f t="shared" si="123"/>
        <v>0</v>
      </c>
      <c r="G623" s="988">
        <f t="shared" si="123"/>
        <v>0</v>
      </c>
      <c r="H623" s="988">
        <f t="shared" si="123"/>
        <v>0</v>
      </c>
      <c r="I623" s="988">
        <f t="shared" si="123"/>
        <v>0</v>
      </c>
      <c r="J623" s="988">
        <f t="shared" si="123"/>
        <v>0</v>
      </c>
      <c r="K623" s="988">
        <f t="shared" si="123"/>
        <v>0</v>
      </c>
      <c r="L623" s="988">
        <f t="shared" si="123"/>
        <v>0</v>
      </c>
      <c r="M623" s="988">
        <f t="shared" si="123"/>
        <v>0</v>
      </c>
      <c r="N623" s="988">
        <f t="shared" si="123"/>
        <v>0</v>
      </c>
      <c r="O623" s="988">
        <f t="shared" si="123"/>
        <v>0</v>
      </c>
      <c r="P623" s="988">
        <f t="shared" si="123"/>
        <v>0</v>
      </c>
      <c r="Q623" s="988"/>
      <c r="R623" s="988">
        <f t="shared" si="105"/>
        <v>0</v>
      </c>
      <c r="S623" s="546">
        <f t="shared" si="121"/>
        <v>0</v>
      </c>
      <c r="T623" s="547">
        <f t="shared" si="122"/>
        <v>0</v>
      </c>
      <c r="U623" s="546">
        <f t="shared" si="100"/>
        <v>0</v>
      </c>
      <c r="W623" s="350">
        <f t="shared" si="101"/>
        <v>0</v>
      </c>
      <c r="X623" s="285">
        <f t="shared" si="106"/>
        <v>0</v>
      </c>
      <c r="Y623" s="564"/>
    </row>
    <row r="624" spans="1:25" ht="12" thickBot="1">
      <c r="A624" s="596" t="s">
        <v>1509</v>
      </c>
      <c r="B624" s="541" t="s">
        <v>458</v>
      </c>
      <c r="C624" s="541" t="s">
        <v>1367</v>
      </c>
      <c r="D624" s="542" t="s">
        <v>206</v>
      </c>
      <c r="E624" s="549">
        <f t="shared" si="103"/>
        <v>0</v>
      </c>
      <c r="F624" s="988">
        <f t="shared" si="123"/>
        <v>0</v>
      </c>
      <c r="G624" s="988">
        <f t="shared" si="123"/>
        <v>0</v>
      </c>
      <c r="H624" s="988">
        <f t="shared" si="123"/>
        <v>0</v>
      </c>
      <c r="I624" s="988">
        <f t="shared" si="123"/>
        <v>0</v>
      </c>
      <c r="J624" s="988">
        <f t="shared" si="123"/>
        <v>0</v>
      </c>
      <c r="K624" s="988">
        <f t="shared" si="123"/>
        <v>0</v>
      </c>
      <c r="L624" s="988">
        <f t="shared" si="123"/>
        <v>0</v>
      </c>
      <c r="M624" s="988">
        <f t="shared" si="123"/>
        <v>0</v>
      </c>
      <c r="N624" s="988">
        <f t="shared" si="123"/>
        <v>0</v>
      </c>
      <c r="O624" s="988">
        <f t="shared" si="123"/>
        <v>0</v>
      </c>
      <c r="P624" s="988">
        <f t="shared" si="123"/>
        <v>0</v>
      </c>
      <c r="Q624" s="988"/>
      <c r="R624" s="988">
        <f t="shared" si="105"/>
        <v>0</v>
      </c>
      <c r="S624" s="546">
        <f t="shared" si="121"/>
        <v>0</v>
      </c>
      <c r="T624" s="547">
        <f t="shared" si="122"/>
        <v>0</v>
      </c>
      <c r="U624" s="546">
        <f t="shared" si="100"/>
        <v>0</v>
      </c>
      <c r="W624" s="350">
        <f t="shared" si="101"/>
        <v>0</v>
      </c>
      <c r="X624" s="285">
        <f t="shared" si="106"/>
        <v>0</v>
      </c>
      <c r="Y624" s="564"/>
    </row>
    <row r="625" spans="1:25" ht="12" thickBot="1">
      <c r="A625" s="596" t="s">
        <v>1509</v>
      </c>
      <c r="B625" s="541" t="s">
        <v>177</v>
      </c>
      <c r="C625" s="541" t="s">
        <v>201</v>
      </c>
      <c r="D625" s="542" t="s">
        <v>16</v>
      </c>
      <c r="E625" s="549">
        <f t="shared" si="103"/>
        <v>0</v>
      </c>
      <c r="F625" s="988">
        <f t="shared" si="123"/>
        <v>0</v>
      </c>
      <c r="G625" s="988">
        <f t="shared" si="123"/>
        <v>0</v>
      </c>
      <c r="H625" s="988">
        <f t="shared" si="123"/>
        <v>0</v>
      </c>
      <c r="I625" s="988">
        <f t="shared" si="123"/>
        <v>0</v>
      </c>
      <c r="J625" s="988">
        <f t="shared" si="123"/>
        <v>0</v>
      </c>
      <c r="K625" s="988">
        <f t="shared" si="123"/>
        <v>0</v>
      </c>
      <c r="L625" s="988">
        <f t="shared" si="123"/>
        <v>0</v>
      </c>
      <c r="M625" s="988">
        <f t="shared" si="123"/>
        <v>0</v>
      </c>
      <c r="N625" s="988">
        <f t="shared" si="123"/>
        <v>0</v>
      </c>
      <c r="O625" s="988">
        <f t="shared" si="123"/>
        <v>0</v>
      </c>
      <c r="P625" s="988">
        <f t="shared" si="123"/>
        <v>0</v>
      </c>
      <c r="Q625" s="988"/>
      <c r="R625" s="988">
        <f t="shared" si="105"/>
        <v>0</v>
      </c>
      <c r="S625" s="546">
        <f t="shared" si="121"/>
        <v>0</v>
      </c>
      <c r="T625" s="547">
        <f t="shared" si="122"/>
        <v>0</v>
      </c>
      <c r="U625" s="546">
        <f t="shared" si="100"/>
        <v>0</v>
      </c>
      <c r="W625" s="350">
        <f t="shared" si="101"/>
        <v>0</v>
      </c>
      <c r="X625" s="285">
        <f t="shared" si="106"/>
        <v>0</v>
      </c>
      <c r="Y625" s="564"/>
    </row>
    <row r="626" spans="1:25" ht="12" thickBot="1">
      <c r="A626" s="596" t="s">
        <v>1509</v>
      </c>
      <c r="B626" s="541" t="s">
        <v>178</v>
      </c>
      <c r="C626" s="541" t="s">
        <v>202</v>
      </c>
      <c r="D626" s="542" t="s">
        <v>14</v>
      </c>
      <c r="E626" s="549">
        <f t="shared" si="103"/>
        <v>0</v>
      </c>
      <c r="F626" s="988">
        <f t="shared" si="123"/>
        <v>0</v>
      </c>
      <c r="G626" s="988">
        <f t="shared" si="123"/>
        <v>0</v>
      </c>
      <c r="H626" s="988">
        <f t="shared" si="123"/>
        <v>0</v>
      </c>
      <c r="I626" s="988">
        <f t="shared" si="123"/>
        <v>0</v>
      </c>
      <c r="J626" s="988">
        <f t="shared" si="123"/>
        <v>0</v>
      </c>
      <c r="K626" s="988">
        <f t="shared" si="123"/>
        <v>0</v>
      </c>
      <c r="L626" s="988">
        <f t="shared" si="123"/>
        <v>0</v>
      </c>
      <c r="M626" s="988">
        <f t="shared" si="123"/>
        <v>0</v>
      </c>
      <c r="N626" s="988">
        <f t="shared" si="123"/>
        <v>0</v>
      </c>
      <c r="O626" s="988">
        <f t="shared" si="123"/>
        <v>0</v>
      </c>
      <c r="P626" s="988">
        <f t="shared" si="123"/>
        <v>0</v>
      </c>
      <c r="Q626" s="988"/>
      <c r="R626" s="988">
        <f t="shared" si="105"/>
        <v>0</v>
      </c>
      <c r="S626" s="546">
        <f t="shared" si="121"/>
        <v>0</v>
      </c>
      <c r="T626" s="547">
        <f t="shared" si="122"/>
        <v>0</v>
      </c>
      <c r="U626" s="546">
        <f t="shared" si="100"/>
        <v>0</v>
      </c>
      <c r="W626" s="350">
        <f t="shared" si="101"/>
        <v>0</v>
      </c>
      <c r="X626" s="285">
        <f t="shared" si="106"/>
        <v>0</v>
      </c>
      <c r="Y626" s="564"/>
    </row>
    <row r="627" spans="1:25" ht="12" thickBot="1">
      <c r="A627" s="596" t="s">
        <v>1509</v>
      </c>
      <c r="B627" s="541" t="s">
        <v>73</v>
      </c>
      <c r="C627" s="541" t="s">
        <v>1511</v>
      </c>
      <c r="D627" s="542"/>
      <c r="E627" s="549">
        <f t="shared" si="103"/>
        <v>9612592</v>
      </c>
      <c r="F627" s="988">
        <f t="shared" si="123"/>
        <v>0</v>
      </c>
      <c r="G627" s="988">
        <f t="shared" si="123"/>
        <v>1851639</v>
      </c>
      <c r="H627" s="988">
        <f t="shared" si="123"/>
        <v>277996</v>
      </c>
      <c r="I627" s="988">
        <f t="shared" si="123"/>
        <v>0</v>
      </c>
      <c r="J627" s="988">
        <f t="shared" si="123"/>
        <v>0</v>
      </c>
      <c r="K627" s="988">
        <f t="shared" si="123"/>
        <v>0</v>
      </c>
      <c r="L627" s="988">
        <f t="shared" si="123"/>
        <v>0</v>
      </c>
      <c r="M627" s="988">
        <f t="shared" si="123"/>
        <v>8675</v>
      </c>
      <c r="N627" s="988">
        <f t="shared" si="123"/>
        <v>65195</v>
      </c>
      <c r="O627" s="988">
        <f t="shared" si="123"/>
        <v>0</v>
      </c>
      <c r="P627" s="988">
        <f t="shared" si="123"/>
        <v>0</v>
      </c>
      <c r="Q627" s="988"/>
      <c r="R627" s="988">
        <f t="shared" si="105"/>
        <v>2203505</v>
      </c>
      <c r="S627" s="546">
        <f t="shared" si="121"/>
        <v>2129635</v>
      </c>
      <c r="T627" s="547">
        <f t="shared" si="122"/>
        <v>0</v>
      </c>
      <c r="U627" s="546">
        <f t="shared" si="100"/>
        <v>65195</v>
      </c>
      <c r="W627" s="350">
        <f t="shared" si="101"/>
        <v>2203505</v>
      </c>
      <c r="X627" s="285">
        <f t="shared" si="106"/>
        <v>0</v>
      </c>
      <c r="Y627" s="564"/>
    </row>
    <row r="628" spans="1:25" ht="12" thickBot="1">
      <c r="A628" s="596" t="s">
        <v>1509</v>
      </c>
      <c r="B628" s="541" t="s">
        <v>323</v>
      </c>
      <c r="C628" s="541" t="s">
        <v>1056</v>
      </c>
      <c r="D628" s="552" t="s">
        <v>1139</v>
      </c>
      <c r="E628" s="543"/>
      <c r="F628" s="545"/>
      <c r="G628" s="544"/>
      <c r="H628" s="545"/>
      <c r="I628" s="545"/>
      <c r="J628" s="545"/>
      <c r="K628" s="545"/>
      <c r="L628" s="545"/>
      <c r="M628" s="544"/>
      <c r="N628" s="544"/>
      <c r="O628" s="545"/>
      <c r="P628" s="545"/>
      <c r="Q628" s="544"/>
      <c r="R628" s="544"/>
      <c r="S628" s="546">
        <f t="shared" si="121"/>
        <v>0</v>
      </c>
      <c r="T628" s="547">
        <f t="shared" si="122"/>
        <v>0</v>
      </c>
      <c r="U628" s="546">
        <f t="shared" si="100"/>
        <v>0</v>
      </c>
      <c r="W628" s="350">
        <f t="shared" si="101"/>
        <v>0</v>
      </c>
      <c r="X628" s="285">
        <f t="shared" si="106"/>
        <v>0</v>
      </c>
      <c r="Y628" s="564"/>
    </row>
    <row r="629" spans="1:25" ht="12" thickBot="1">
      <c r="A629" s="596" t="s">
        <v>1509</v>
      </c>
      <c r="B629" s="541" t="s">
        <v>328</v>
      </c>
      <c r="C629" s="541" t="s">
        <v>1057</v>
      </c>
      <c r="D629" s="552" t="s">
        <v>1139</v>
      </c>
      <c r="E629" s="549"/>
      <c r="F629" s="551"/>
      <c r="G629" s="550"/>
      <c r="H629" s="551"/>
      <c r="I629" s="551"/>
      <c r="J629" s="551"/>
      <c r="K629" s="551"/>
      <c r="L629" s="551"/>
      <c r="M629" s="550"/>
      <c r="N629" s="550"/>
      <c r="O629" s="551"/>
      <c r="P629" s="551"/>
      <c r="Q629" s="550"/>
      <c r="R629" s="550"/>
      <c r="S629" s="546">
        <f t="shared" si="121"/>
        <v>0</v>
      </c>
      <c r="T629" s="547">
        <f t="shared" si="122"/>
        <v>0</v>
      </c>
      <c r="U629" s="546">
        <f t="shared" si="100"/>
        <v>0</v>
      </c>
      <c r="W629" s="350">
        <f t="shared" si="101"/>
        <v>0</v>
      </c>
      <c r="X629" s="285">
        <f t="shared" si="106"/>
        <v>0</v>
      </c>
      <c r="Y629" s="564"/>
    </row>
    <row r="630" spans="1:25" ht="12" thickBot="1">
      <c r="A630" s="596" t="s">
        <v>1509</v>
      </c>
      <c r="B630" s="541" t="s">
        <v>331</v>
      </c>
      <c r="C630" s="541" t="s">
        <v>1058</v>
      </c>
      <c r="D630" s="552" t="s">
        <v>1139</v>
      </c>
      <c r="E630" s="543"/>
      <c r="F630" s="545"/>
      <c r="G630" s="544"/>
      <c r="H630" s="545"/>
      <c r="I630" s="545"/>
      <c r="J630" s="545"/>
      <c r="K630" s="545"/>
      <c r="L630" s="545"/>
      <c r="M630" s="544"/>
      <c r="N630" s="544"/>
      <c r="O630" s="545"/>
      <c r="P630" s="545"/>
      <c r="Q630" s="544"/>
      <c r="R630" s="544"/>
      <c r="S630" s="546">
        <f t="shared" si="121"/>
        <v>0</v>
      </c>
      <c r="T630" s="547">
        <f t="shared" si="122"/>
        <v>0</v>
      </c>
      <c r="U630" s="546">
        <f t="shared" si="100"/>
        <v>0</v>
      </c>
      <c r="W630" s="350">
        <f t="shared" si="101"/>
        <v>0</v>
      </c>
      <c r="X630" s="285">
        <f t="shared" si="106"/>
        <v>0</v>
      </c>
      <c r="Y630" s="564"/>
    </row>
    <row r="631" spans="1:25" ht="12" thickBot="1">
      <c r="A631" s="596" t="s">
        <v>1509</v>
      </c>
      <c r="B631" s="541" t="s">
        <v>332</v>
      </c>
      <c r="C631" s="541" t="s">
        <v>1059</v>
      </c>
      <c r="D631" s="552" t="s">
        <v>1139</v>
      </c>
      <c r="E631" s="549"/>
      <c r="F631" s="551"/>
      <c r="G631" s="550"/>
      <c r="H631" s="551"/>
      <c r="I631" s="551"/>
      <c r="J631" s="551"/>
      <c r="K631" s="551"/>
      <c r="L631" s="551"/>
      <c r="M631" s="550"/>
      <c r="N631" s="550"/>
      <c r="O631" s="551"/>
      <c r="P631" s="551"/>
      <c r="Q631" s="550"/>
      <c r="R631" s="550"/>
      <c r="S631" s="546">
        <f t="shared" si="121"/>
        <v>0</v>
      </c>
      <c r="T631" s="547">
        <f t="shared" si="122"/>
        <v>0</v>
      </c>
      <c r="U631" s="546">
        <f t="shared" si="100"/>
        <v>0</v>
      </c>
      <c r="W631" s="350">
        <f t="shared" si="101"/>
        <v>0</v>
      </c>
      <c r="X631" s="285">
        <f t="shared" si="106"/>
        <v>0</v>
      </c>
      <c r="Y631" s="564"/>
    </row>
    <row r="632" spans="1:25" ht="12" thickBot="1">
      <c r="A632" s="596" t="s">
        <v>1509</v>
      </c>
      <c r="B632" s="541" t="s">
        <v>333</v>
      </c>
      <c r="C632" s="541" t="s">
        <v>1060</v>
      </c>
      <c r="D632" s="552" t="s">
        <v>1139</v>
      </c>
      <c r="E632" s="543"/>
      <c r="F632" s="545"/>
      <c r="G632" s="544"/>
      <c r="H632" s="545"/>
      <c r="I632" s="545"/>
      <c r="J632" s="545"/>
      <c r="K632" s="545"/>
      <c r="L632" s="545"/>
      <c r="M632" s="544"/>
      <c r="N632" s="544"/>
      <c r="O632" s="545"/>
      <c r="P632" s="545"/>
      <c r="Q632" s="544"/>
      <c r="R632" s="544"/>
      <c r="S632" s="546">
        <f t="shared" si="121"/>
        <v>0</v>
      </c>
      <c r="T632" s="547">
        <f t="shared" si="122"/>
        <v>0</v>
      </c>
      <c r="U632" s="546">
        <f t="shared" si="100"/>
        <v>0</v>
      </c>
      <c r="W632" s="350">
        <f t="shared" si="101"/>
        <v>0</v>
      </c>
      <c r="X632" s="285">
        <f t="shared" si="106"/>
        <v>0</v>
      </c>
      <c r="Y632" s="564"/>
    </row>
    <row r="633" spans="1:25" ht="12" thickBot="1">
      <c r="A633" s="596" t="s">
        <v>1509</v>
      </c>
      <c r="B633" s="541" t="s">
        <v>335</v>
      </c>
      <c r="C633" s="541" t="s">
        <v>1061</v>
      </c>
      <c r="D633" s="552" t="s">
        <v>1139</v>
      </c>
      <c r="E633" s="549"/>
      <c r="F633" s="551"/>
      <c r="G633" s="550"/>
      <c r="H633" s="551"/>
      <c r="I633" s="551"/>
      <c r="J633" s="551"/>
      <c r="K633" s="551"/>
      <c r="L633" s="551"/>
      <c r="M633" s="550"/>
      <c r="N633" s="550"/>
      <c r="O633" s="551"/>
      <c r="P633" s="551"/>
      <c r="Q633" s="550"/>
      <c r="R633" s="550"/>
      <c r="S633" s="546">
        <f t="shared" si="121"/>
        <v>0</v>
      </c>
      <c r="T633" s="547">
        <f t="shared" si="122"/>
        <v>0</v>
      </c>
      <c r="U633" s="546">
        <f t="shared" si="100"/>
        <v>0</v>
      </c>
      <c r="W633" s="350">
        <f t="shared" si="101"/>
        <v>0</v>
      </c>
      <c r="X633" s="285">
        <f t="shared" si="106"/>
        <v>0</v>
      </c>
      <c r="Y633" s="564"/>
    </row>
    <row r="634" spans="1:25" ht="12" thickBot="1">
      <c r="A634" s="596" t="s">
        <v>1509</v>
      </c>
      <c r="B634" s="541" t="s">
        <v>336</v>
      </c>
      <c r="C634" s="541" t="s">
        <v>1062</v>
      </c>
      <c r="D634" s="552" t="s">
        <v>1139</v>
      </c>
      <c r="E634" s="543"/>
      <c r="F634" s="545"/>
      <c r="G634" s="544"/>
      <c r="H634" s="545"/>
      <c r="I634" s="545"/>
      <c r="J634" s="545"/>
      <c r="K634" s="545"/>
      <c r="L634" s="545"/>
      <c r="M634" s="544"/>
      <c r="N634" s="544"/>
      <c r="O634" s="545"/>
      <c r="P634" s="545"/>
      <c r="Q634" s="544"/>
      <c r="R634" s="544"/>
      <c r="S634" s="546">
        <f t="shared" si="121"/>
        <v>0</v>
      </c>
      <c r="T634" s="547">
        <f t="shared" si="122"/>
        <v>0</v>
      </c>
      <c r="U634" s="546">
        <f t="shared" si="100"/>
        <v>0</v>
      </c>
      <c r="W634" s="350">
        <f t="shared" si="101"/>
        <v>0</v>
      </c>
      <c r="X634" s="285">
        <f t="shared" si="106"/>
        <v>0</v>
      </c>
      <c r="Y634" s="564"/>
    </row>
    <row r="635" spans="1:25" ht="12" thickBot="1">
      <c r="A635" s="596" t="s">
        <v>1509</v>
      </c>
      <c r="B635" s="541" t="s">
        <v>338</v>
      </c>
      <c r="C635" s="541" t="s">
        <v>1063</v>
      </c>
      <c r="D635" s="552" t="s">
        <v>1139</v>
      </c>
      <c r="E635" s="549"/>
      <c r="F635" s="551"/>
      <c r="G635" s="550"/>
      <c r="H635" s="551"/>
      <c r="I635" s="551"/>
      <c r="J635" s="551"/>
      <c r="K635" s="551"/>
      <c r="L635" s="551"/>
      <c r="M635" s="550"/>
      <c r="N635" s="550"/>
      <c r="O635" s="551"/>
      <c r="P635" s="551"/>
      <c r="Q635" s="550"/>
      <c r="R635" s="550"/>
      <c r="S635" s="546">
        <f t="shared" si="121"/>
        <v>0</v>
      </c>
      <c r="T635" s="547">
        <f t="shared" si="122"/>
        <v>0</v>
      </c>
      <c r="U635" s="546">
        <f t="shared" si="100"/>
        <v>0</v>
      </c>
      <c r="W635" s="350">
        <f t="shared" si="101"/>
        <v>0</v>
      </c>
      <c r="X635" s="285">
        <f t="shared" si="106"/>
        <v>0</v>
      </c>
      <c r="Y635" s="564"/>
    </row>
    <row r="636" spans="1:25" ht="12" thickBot="1">
      <c r="A636" s="596" t="s">
        <v>1509</v>
      </c>
      <c r="B636" s="541" t="s">
        <v>339</v>
      </c>
      <c r="C636" s="541" t="s">
        <v>1064</v>
      </c>
      <c r="D636" s="552" t="s">
        <v>1139</v>
      </c>
      <c r="E636" s="543"/>
      <c r="F636" s="545"/>
      <c r="G636" s="544"/>
      <c r="H636" s="545"/>
      <c r="I636" s="545"/>
      <c r="J636" s="545"/>
      <c r="K636" s="545"/>
      <c r="L636" s="545"/>
      <c r="M636" s="544"/>
      <c r="N636" s="544"/>
      <c r="O636" s="545"/>
      <c r="P636" s="545"/>
      <c r="Q636" s="544"/>
      <c r="R636" s="544"/>
      <c r="S636" s="546">
        <f t="shared" si="121"/>
        <v>0</v>
      </c>
      <c r="T636" s="547">
        <f t="shared" si="122"/>
        <v>0</v>
      </c>
      <c r="U636" s="546">
        <f t="shared" si="100"/>
        <v>0</v>
      </c>
      <c r="W636" s="350">
        <f t="shared" si="101"/>
        <v>0</v>
      </c>
      <c r="X636" s="285">
        <f t="shared" si="106"/>
        <v>0</v>
      </c>
      <c r="Y636" s="564"/>
    </row>
    <row r="637" spans="1:25" ht="12" thickBot="1">
      <c r="A637" s="596" t="s">
        <v>1509</v>
      </c>
      <c r="B637" s="541" t="s">
        <v>325</v>
      </c>
      <c r="C637" s="541" t="s">
        <v>1065</v>
      </c>
      <c r="D637" s="552" t="s">
        <v>1139</v>
      </c>
      <c r="E637" s="549"/>
      <c r="F637" s="551"/>
      <c r="G637" s="550"/>
      <c r="H637" s="551"/>
      <c r="I637" s="551"/>
      <c r="J637" s="551"/>
      <c r="K637" s="551"/>
      <c r="L637" s="551"/>
      <c r="M637" s="550"/>
      <c r="N637" s="550"/>
      <c r="O637" s="551"/>
      <c r="P637" s="551"/>
      <c r="Q637" s="550"/>
      <c r="R637" s="550"/>
      <c r="S637" s="546">
        <f t="shared" si="121"/>
        <v>0</v>
      </c>
      <c r="T637" s="547">
        <f t="shared" si="122"/>
        <v>0</v>
      </c>
      <c r="U637" s="546">
        <f t="shared" si="100"/>
        <v>0</v>
      </c>
      <c r="W637" s="350">
        <f t="shared" si="101"/>
        <v>0</v>
      </c>
      <c r="X637" s="285">
        <f t="shared" si="106"/>
        <v>0</v>
      </c>
      <c r="Y637" s="564"/>
    </row>
    <row r="638" spans="1:25" ht="12" thickBot="1">
      <c r="A638" s="596" t="s">
        <v>1509</v>
      </c>
      <c r="B638" s="541" t="s">
        <v>334</v>
      </c>
      <c r="C638" s="541" t="s">
        <v>1066</v>
      </c>
      <c r="D638" s="552" t="s">
        <v>1139</v>
      </c>
      <c r="E638" s="543"/>
      <c r="F638" s="545"/>
      <c r="G638" s="544"/>
      <c r="H638" s="545"/>
      <c r="I638" s="545"/>
      <c r="J638" s="545"/>
      <c r="K638" s="545"/>
      <c r="L638" s="545"/>
      <c r="M638" s="544"/>
      <c r="N638" s="544"/>
      <c r="O638" s="545"/>
      <c r="P638" s="545"/>
      <c r="Q638" s="544"/>
      <c r="R638" s="544"/>
      <c r="S638" s="546">
        <f t="shared" si="121"/>
        <v>0</v>
      </c>
      <c r="T638" s="547">
        <f t="shared" si="122"/>
        <v>0</v>
      </c>
      <c r="U638" s="546">
        <f t="shared" ref="U638:U701" si="124">N638+O638</f>
        <v>0</v>
      </c>
      <c r="W638" s="350">
        <f t="shared" ref="W638:W701" si="125">SUM(F638:Q638)</f>
        <v>0</v>
      </c>
      <c r="X638" s="285">
        <f t="shared" ref="X638:X661" si="126">W638-R638</f>
        <v>0</v>
      </c>
      <c r="Y638" s="564"/>
    </row>
    <row r="639" spans="1:25" ht="12" thickBot="1">
      <c r="A639" s="596" t="s">
        <v>1509</v>
      </c>
      <c r="B639" s="541" t="s">
        <v>326</v>
      </c>
      <c r="C639" s="541" t="s">
        <v>1067</v>
      </c>
      <c r="D639" s="552" t="s">
        <v>1139</v>
      </c>
      <c r="E639" s="549"/>
      <c r="F639" s="551"/>
      <c r="G639" s="550"/>
      <c r="H639" s="551"/>
      <c r="I639" s="551"/>
      <c r="J639" s="551"/>
      <c r="K639" s="551"/>
      <c r="L639" s="551"/>
      <c r="M639" s="550"/>
      <c r="N639" s="550"/>
      <c r="O639" s="551"/>
      <c r="P639" s="551"/>
      <c r="Q639" s="550"/>
      <c r="R639" s="550"/>
      <c r="S639" s="546">
        <f t="shared" si="121"/>
        <v>0</v>
      </c>
      <c r="T639" s="547">
        <f t="shared" si="122"/>
        <v>0</v>
      </c>
      <c r="U639" s="546">
        <f t="shared" si="124"/>
        <v>0</v>
      </c>
      <c r="W639" s="350">
        <f t="shared" si="125"/>
        <v>0</v>
      </c>
      <c r="X639" s="285">
        <f t="shared" si="126"/>
        <v>0</v>
      </c>
      <c r="Y639" s="564"/>
    </row>
    <row r="640" spans="1:25" ht="12" thickBot="1">
      <c r="A640" s="596" t="s">
        <v>1509</v>
      </c>
      <c r="B640" s="541" t="s">
        <v>330</v>
      </c>
      <c r="C640" s="541" t="s">
        <v>1068</v>
      </c>
      <c r="D640" s="552" t="s">
        <v>1139</v>
      </c>
      <c r="E640" s="543"/>
      <c r="F640" s="545"/>
      <c r="G640" s="544"/>
      <c r="H640" s="545"/>
      <c r="I640" s="545"/>
      <c r="J640" s="545"/>
      <c r="K640" s="545"/>
      <c r="L640" s="545"/>
      <c r="M640" s="544"/>
      <c r="N640" s="544"/>
      <c r="O640" s="545"/>
      <c r="P640" s="545"/>
      <c r="Q640" s="544"/>
      <c r="R640" s="544"/>
      <c r="S640" s="546">
        <f t="shared" si="121"/>
        <v>0</v>
      </c>
      <c r="T640" s="547">
        <f t="shared" si="122"/>
        <v>0</v>
      </c>
      <c r="U640" s="546">
        <f t="shared" si="124"/>
        <v>0</v>
      </c>
      <c r="W640" s="350">
        <f t="shared" si="125"/>
        <v>0</v>
      </c>
      <c r="X640" s="285">
        <f t="shared" si="126"/>
        <v>0</v>
      </c>
      <c r="Y640" s="564"/>
    </row>
    <row r="641" spans="1:25" ht="12" thickBot="1">
      <c r="A641" s="596" t="s">
        <v>1509</v>
      </c>
      <c r="B641" s="541" t="s">
        <v>337</v>
      </c>
      <c r="C641" s="541" t="s">
        <v>1069</v>
      </c>
      <c r="D641" s="552" t="s">
        <v>1139</v>
      </c>
      <c r="E641" s="549"/>
      <c r="F641" s="551"/>
      <c r="G641" s="550"/>
      <c r="H641" s="551"/>
      <c r="I641" s="551"/>
      <c r="J641" s="551"/>
      <c r="K641" s="551"/>
      <c r="L641" s="551"/>
      <c r="M641" s="550"/>
      <c r="N641" s="550"/>
      <c r="O641" s="551"/>
      <c r="P641" s="551"/>
      <c r="Q641" s="550"/>
      <c r="R641" s="550"/>
      <c r="S641" s="546">
        <f t="shared" si="121"/>
        <v>0</v>
      </c>
      <c r="T641" s="547">
        <f t="shared" si="122"/>
        <v>0</v>
      </c>
      <c r="U641" s="546">
        <f t="shared" si="124"/>
        <v>0</v>
      </c>
      <c r="W641" s="350">
        <f t="shared" si="125"/>
        <v>0</v>
      </c>
      <c r="X641" s="285">
        <f t="shared" si="126"/>
        <v>0</v>
      </c>
      <c r="Y641" s="564"/>
    </row>
    <row r="642" spans="1:25" ht="12" thickBot="1">
      <c r="A642" s="596" t="s">
        <v>1509</v>
      </c>
      <c r="B642" s="541" t="s">
        <v>329</v>
      </c>
      <c r="C642" s="541" t="s">
        <v>1070</v>
      </c>
      <c r="D642" s="552" t="s">
        <v>1139</v>
      </c>
      <c r="E642" s="543"/>
      <c r="F642" s="545"/>
      <c r="G642" s="544"/>
      <c r="H642" s="545"/>
      <c r="I642" s="545"/>
      <c r="J642" s="545"/>
      <c r="K642" s="545"/>
      <c r="L642" s="545"/>
      <c r="M642" s="544"/>
      <c r="N642" s="544"/>
      <c r="O642" s="545"/>
      <c r="P642" s="545"/>
      <c r="Q642" s="544"/>
      <c r="R642" s="544"/>
      <c r="S642" s="546">
        <f t="shared" si="121"/>
        <v>0</v>
      </c>
      <c r="T642" s="547">
        <f t="shared" si="122"/>
        <v>0</v>
      </c>
      <c r="U642" s="546">
        <f t="shared" si="124"/>
        <v>0</v>
      </c>
      <c r="W642" s="350">
        <f t="shared" si="125"/>
        <v>0</v>
      </c>
      <c r="X642" s="285">
        <f t="shared" si="126"/>
        <v>0</v>
      </c>
      <c r="Y642" s="564"/>
    </row>
    <row r="643" spans="1:25" ht="12" thickBot="1">
      <c r="A643" s="596" t="s">
        <v>1509</v>
      </c>
      <c r="B643" s="541" t="s">
        <v>327</v>
      </c>
      <c r="C643" s="541" t="s">
        <v>1071</v>
      </c>
      <c r="D643" s="552" t="s">
        <v>1139</v>
      </c>
      <c r="E643" s="549"/>
      <c r="F643" s="551"/>
      <c r="G643" s="550"/>
      <c r="H643" s="551"/>
      <c r="I643" s="551"/>
      <c r="J643" s="551"/>
      <c r="K643" s="551"/>
      <c r="L643" s="551"/>
      <c r="M643" s="550"/>
      <c r="N643" s="550"/>
      <c r="O643" s="551"/>
      <c r="P643" s="551"/>
      <c r="Q643" s="550"/>
      <c r="R643" s="550"/>
      <c r="S643" s="546">
        <f t="shared" si="121"/>
        <v>0</v>
      </c>
      <c r="T643" s="547">
        <f t="shared" si="122"/>
        <v>0</v>
      </c>
      <c r="U643" s="546">
        <f t="shared" si="124"/>
        <v>0</v>
      </c>
      <c r="W643" s="350">
        <f t="shared" si="125"/>
        <v>0</v>
      </c>
      <c r="X643" s="285">
        <f t="shared" si="126"/>
        <v>0</v>
      </c>
      <c r="Y643" s="564"/>
    </row>
    <row r="644" spans="1:25" ht="12" thickBot="1">
      <c r="A644" s="596" t="s">
        <v>1509</v>
      </c>
      <c r="B644" s="541" t="s">
        <v>453</v>
      </c>
      <c r="C644" s="541" t="s">
        <v>1072</v>
      </c>
      <c r="D644" s="552" t="s">
        <v>1139</v>
      </c>
      <c r="E644" s="543"/>
      <c r="F644" s="545"/>
      <c r="G644" s="544"/>
      <c r="H644" s="545"/>
      <c r="I644" s="545"/>
      <c r="J644" s="545"/>
      <c r="K644" s="545"/>
      <c r="L644" s="545"/>
      <c r="M644" s="544"/>
      <c r="N644" s="544"/>
      <c r="O644" s="545"/>
      <c r="P644" s="545"/>
      <c r="Q644" s="545"/>
      <c r="R644" s="544"/>
      <c r="S644" s="546">
        <f t="shared" si="121"/>
        <v>0</v>
      </c>
      <c r="T644" s="547">
        <f t="shared" si="122"/>
        <v>0</v>
      </c>
      <c r="U644" s="546">
        <f t="shared" si="124"/>
        <v>0</v>
      </c>
      <c r="W644" s="350">
        <f t="shared" si="125"/>
        <v>0</v>
      </c>
      <c r="X644" s="285">
        <f t="shared" si="126"/>
        <v>0</v>
      </c>
      <c r="Y644" s="564"/>
    </row>
    <row r="645" spans="1:25" ht="12" thickBot="1">
      <c r="A645" s="596" t="s">
        <v>1509</v>
      </c>
      <c r="B645" s="541" t="s">
        <v>366</v>
      </c>
      <c r="C645" s="541" t="s">
        <v>1073</v>
      </c>
      <c r="D645" s="552" t="s">
        <v>1139</v>
      </c>
      <c r="E645" s="549"/>
      <c r="F645" s="551"/>
      <c r="G645" s="550"/>
      <c r="H645" s="551"/>
      <c r="I645" s="551"/>
      <c r="J645" s="551"/>
      <c r="K645" s="551"/>
      <c r="L645" s="551"/>
      <c r="M645" s="550"/>
      <c r="N645" s="550"/>
      <c r="O645" s="551"/>
      <c r="P645" s="551"/>
      <c r="Q645" s="550"/>
      <c r="R645" s="550"/>
      <c r="S645" s="546">
        <f t="shared" si="121"/>
        <v>0</v>
      </c>
      <c r="T645" s="547">
        <f t="shared" si="122"/>
        <v>0</v>
      </c>
      <c r="U645" s="546">
        <f t="shared" si="124"/>
        <v>0</v>
      </c>
      <c r="W645" s="350">
        <f t="shared" si="125"/>
        <v>0</v>
      </c>
      <c r="X645" s="285">
        <f t="shared" si="126"/>
        <v>0</v>
      </c>
      <c r="Y645" s="564"/>
    </row>
    <row r="646" spans="1:25" ht="12" thickBot="1">
      <c r="A646" s="596" t="s">
        <v>1509</v>
      </c>
      <c r="B646" s="541" t="s">
        <v>386</v>
      </c>
      <c r="C646" s="541" t="s">
        <v>1074</v>
      </c>
      <c r="D646" s="552" t="s">
        <v>1140</v>
      </c>
      <c r="E646" s="543"/>
      <c r="F646" s="545"/>
      <c r="G646" s="544"/>
      <c r="H646" s="545"/>
      <c r="I646" s="545"/>
      <c r="J646" s="545"/>
      <c r="K646" s="545"/>
      <c r="L646" s="545"/>
      <c r="M646" s="544"/>
      <c r="N646" s="544"/>
      <c r="O646" s="545"/>
      <c r="P646" s="545"/>
      <c r="Q646" s="544"/>
      <c r="R646" s="544"/>
      <c r="S646" s="546">
        <f t="shared" si="121"/>
        <v>0</v>
      </c>
      <c r="T646" s="547">
        <f t="shared" si="122"/>
        <v>0</v>
      </c>
      <c r="U646" s="546">
        <f t="shared" si="124"/>
        <v>0</v>
      </c>
      <c r="W646" s="350">
        <f t="shared" si="125"/>
        <v>0</v>
      </c>
      <c r="X646" s="285">
        <f t="shared" si="126"/>
        <v>0</v>
      </c>
      <c r="Y646" s="564"/>
    </row>
    <row r="647" spans="1:25" ht="12" thickBot="1">
      <c r="A647" s="596" t="s">
        <v>1509</v>
      </c>
      <c r="B647" s="541" t="s">
        <v>342</v>
      </c>
      <c r="C647" s="541" t="s">
        <v>251</v>
      </c>
      <c r="D647" s="552" t="s">
        <v>1139</v>
      </c>
      <c r="E647" s="549"/>
      <c r="F647" s="551"/>
      <c r="G647" s="550"/>
      <c r="H647" s="551"/>
      <c r="I647" s="551"/>
      <c r="J647" s="551"/>
      <c r="K647" s="551"/>
      <c r="L647" s="551"/>
      <c r="M647" s="550"/>
      <c r="N647" s="550"/>
      <c r="O647" s="551"/>
      <c r="P647" s="551"/>
      <c r="Q647" s="550"/>
      <c r="R647" s="550"/>
      <c r="S647" s="546">
        <f t="shared" si="121"/>
        <v>0</v>
      </c>
      <c r="T647" s="547">
        <f t="shared" si="122"/>
        <v>0</v>
      </c>
      <c r="U647" s="546">
        <f t="shared" si="124"/>
        <v>0</v>
      </c>
      <c r="W647" s="350">
        <f t="shared" si="125"/>
        <v>0</v>
      </c>
      <c r="X647" s="285">
        <f t="shared" si="126"/>
        <v>0</v>
      </c>
      <c r="Y647" s="564"/>
    </row>
    <row r="648" spans="1:25" ht="12" thickBot="1">
      <c r="A648" s="596" t="s">
        <v>1509</v>
      </c>
      <c r="B648" s="541" t="s">
        <v>382</v>
      </c>
      <c r="C648" s="541" t="s">
        <v>1075</v>
      </c>
      <c r="D648" s="552" t="s">
        <v>1140</v>
      </c>
      <c r="E648" s="543"/>
      <c r="F648" s="545"/>
      <c r="G648" s="544"/>
      <c r="H648" s="545"/>
      <c r="I648" s="545"/>
      <c r="J648" s="545"/>
      <c r="K648" s="545"/>
      <c r="L648" s="545"/>
      <c r="M648" s="544"/>
      <c r="N648" s="544"/>
      <c r="O648" s="545"/>
      <c r="P648" s="545"/>
      <c r="Q648" s="544"/>
      <c r="R648" s="544"/>
      <c r="S648" s="546">
        <f t="shared" si="121"/>
        <v>0</v>
      </c>
      <c r="T648" s="547">
        <f t="shared" si="122"/>
        <v>0</v>
      </c>
      <c r="U648" s="546">
        <f t="shared" si="124"/>
        <v>0</v>
      </c>
      <c r="W648" s="350">
        <f t="shared" si="125"/>
        <v>0</v>
      </c>
      <c r="X648" s="285">
        <f t="shared" si="126"/>
        <v>0</v>
      </c>
      <c r="Y648" s="564"/>
    </row>
    <row r="649" spans="1:25" ht="12" thickBot="1">
      <c r="A649" s="596" t="s">
        <v>1509</v>
      </c>
      <c r="B649" s="541" t="s">
        <v>360</v>
      </c>
      <c r="C649" s="541" t="s">
        <v>1076</v>
      </c>
      <c r="D649" s="552" t="s">
        <v>1140</v>
      </c>
      <c r="E649" s="549"/>
      <c r="F649" s="551"/>
      <c r="G649" s="550"/>
      <c r="H649" s="551"/>
      <c r="I649" s="551"/>
      <c r="J649" s="551"/>
      <c r="K649" s="551"/>
      <c r="L649" s="551"/>
      <c r="M649" s="550"/>
      <c r="N649" s="550"/>
      <c r="O649" s="551"/>
      <c r="P649" s="551"/>
      <c r="Q649" s="550"/>
      <c r="R649" s="550"/>
      <c r="S649" s="546">
        <f t="shared" si="121"/>
        <v>0</v>
      </c>
      <c r="T649" s="547">
        <f t="shared" si="122"/>
        <v>0</v>
      </c>
      <c r="U649" s="546">
        <f t="shared" si="124"/>
        <v>0</v>
      </c>
      <c r="W649" s="350">
        <f t="shared" si="125"/>
        <v>0</v>
      </c>
      <c r="X649" s="285">
        <f t="shared" si="126"/>
        <v>0</v>
      </c>
      <c r="Y649" s="564"/>
    </row>
    <row r="650" spans="1:25" ht="12" thickBot="1">
      <c r="A650" s="596" t="s">
        <v>1509</v>
      </c>
      <c r="B650" s="541" t="s">
        <v>368</v>
      </c>
      <c r="C650" s="541" t="s">
        <v>1077</v>
      </c>
      <c r="D650" s="552" t="s">
        <v>1139</v>
      </c>
      <c r="E650" s="543"/>
      <c r="F650" s="545"/>
      <c r="G650" s="544"/>
      <c r="H650" s="545"/>
      <c r="I650" s="545"/>
      <c r="J650" s="545"/>
      <c r="K650" s="545"/>
      <c r="L650" s="545"/>
      <c r="M650" s="544"/>
      <c r="N650" s="544"/>
      <c r="O650" s="545"/>
      <c r="P650" s="545"/>
      <c r="Q650" s="544"/>
      <c r="R650" s="544"/>
      <c r="S650" s="546">
        <f t="shared" ref="S650:S681" si="127">G650+H650+I650</f>
        <v>0</v>
      </c>
      <c r="T650" s="547">
        <f t="shared" ref="T650:T681" si="128">J650+K650</f>
        <v>0</v>
      </c>
      <c r="U650" s="546">
        <f t="shared" si="124"/>
        <v>0</v>
      </c>
      <c r="W650" s="350">
        <f t="shared" si="125"/>
        <v>0</v>
      </c>
      <c r="X650" s="285">
        <f t="shared" si="126"/>
        <v>0</v>
      </c>
      <c r="Y650" s="564"/>
    </row>
    <row r="651" spans="1:25" ht="12" thickBot="1">
      <c r="A651" s="596" t="s">
        <v>1509</v>
      </c>
      <c r="B651" s="541" t="s">
        <v>370</v>
      </c>
      <c r="C651" s="541" t="s">
        <v>1078</v>
      </c>
      <c r="D651" s="552" t="s">
        <v>1140</v>
      </c>
      <c r="E651" s="549"/>
      <c r="F651" s="551"/>
      <c r="G651" s="550"/>
      <c r="H651" s="551"/>
      <c r="I651" s="551"/>
      <c r="J651" s="551"/>
      <c r="K651" s="551"/>
      <c r="L651" s="551"/>
      <c r="M651" s="550"/>
      <c r="N651" s="550"/>
      <c r="O651" s="551"/>
      <c r="P651" s="551"/>
      <c r="Q651" s="550"/>
      <c r="R651" s="550"/>
      <c r="S651" s="546">
        <f t="shared" si="127"/>
        <v>0</v>
      </c>
      <c r="T651" s="547">
        <f t="shared" si="128"/>
        <v>0</v>
      </c>
      <c r="U651" s="546">
        <f t="shared" si="124"/>
        <v>0</v>
      </c>
      <c r="W651" s="350">
        <f t="shared" si="125"/>
        <v>0</v>
      </c>
      <c r="X651" s="285">
        <f t="shared" si="126"/>
        <v>0</v>
      </c>
      <c r="Y651" s="564"/>
    </row>
    <row r="652" spans="1:25" ht="12" thickBot="1">
      <c r="A652" s="596" t="s">
        <v>1509</v>
      </c>
      <c r="B652" s="541" t="s">
        <v>393</v>
      </c>
      <c r="C652" s="541" t="s">
        <v>1079</v>
      </c>
      <c r="D652" s="552" t="s">
        <v>1140</v>
      </c>
      <c r="E652" s="543"/>
      <c r="F652" s="545"/>
      <c r="G652" s="544"/>
      <c r="H652" s="545"/>
      <c r="I652" s="545"/>
      <c r="J652" s="545"/>
      <c r="K652" s="545"/>
      <c r="L652" s="545"/>
      <c r="M652" s="544"/>
      <c r="N652" s="544"/>
      <c r="O652" s="545"/>
      <c r="P652" s="545"/>
      <c r="Q652" s="544"/>
      <c r="R652" s="544"/>
      <c r="S652" s="546">
        <f t="shared" si="127"/>
        <v>0</v>
      </c>
      <c r="T652" s="547">
        <f t="shared" si="128"/>
        <v>0</v>
      </c>
      <c r="U652" s="546">
        <f t="shared" si="124"/>
        <v>0</v>
      </c>
      <c r="W652" s="350">
        <f t="shared" si="125"/>
        <v>0</v>
      </c>
      <c r="X652" s="285">
        <f t="shared" si="126"/>
        <v>0</v>
      </c>
      <c r="Y652" s="564"/>
    </row>
    <row r="653" spans="1:25" ht="12" thickBot="1">
      <c r="A653" s="596" t="s">
        <v>1509</v>
      </c>
      <c r="B653" s="541" t="s">
        <v>371</v>
      </c>
      <c r="C653" s="541" t="s">
        <v>1080</v>
      </c>
      <c r="D653" s="552" t="s">
        <v>1139</v>
      </c>
      <c r="E653" s="549"/>
      <c r="F653" s="551"/>
      <c r="G653" s="550"/>
      <c r="H653" s="551"/>
      <c r="I653" s="551"/>
      <c r="J653" s="551"/>
      <c r="K653" s="551"/>
      <c r="L653" s="551"/>
      <c r="M653" s="550"/>
      <c r="N653" s="550"/>
      <c r="O653" s="551"/>
      <c r="P653" s="551"/>
      <c r="Q653" s="550"/>
      <c r="R653" s="550"/>
      <c r="S653" s="546">
        <f t="shared" si="127"/>
        <v>0</v>
      </c>
      <c r="T653" s="547">
        <f t="shared" si="128"/>
        <v>0</v>
      </c>
      <c r="U653" s="546">
        <f t="shared" si="124"/>
        <v>0</v>
      </c>
      <c r="W653" s="350">
        <f t="shared" si="125"/>
        <v>0</v>
      </c>
      <c r="X653" s="285">
        <f t="shared" si="126"/>
        <v>0</v>
      </c>
      <c r="Y653" s="564"/>
    </row>
    <row r="654" spans="1:25" ht="12" thickBot="1">
      <c r="A654" s="596" t="s">
        <v>1509</v>
      </c>
      <c r="B654" s="541" t="s">
        <v>394</v>
      </c>
      <c r="C654" s="541" t="s">
        <v>1081</v>
      </c>
      <c r="D654" s="552" t="s">
        <v>1139</v>
      </c>
      <c r="E654" s="543"/>
      <c r="F654" s="545"/>
      <c r="G654" s="544"/>
      <c r="H654" s="545"/>
      <c r="I654" s="545"/>
      <c r="J654" s="545"/>
      <c r="K654" s="545"/>
      <c r="L654" s="545"/>
      <c r="M654" s="544"/>
      <c r="N654" s="544"/>
      <c r="O654" s="545"/>
      <c r="P654" s="545"/>
      <c r="Q654" s="544"/>
      <c r="R654" s="544"/>
      <c r="S654" s="546">
        <f t="shared" si="127"/>
        <v>0</v>
      </c>
      <c r="T654" s="547">
        <f t="shared" si="128"/>
        <v>0</v>
      </c>
      <c r="U654" s="546">
        <f t="shared" si="124"/>
        <v>0</v>
      </c>
      <c r="W654" s="350">
        <f t="shared" si="125"/>
        <v>0</v>
      </c>
      <c r="X654" s="285">
        <f t="shared" si="126"/>
        <v>0</v>
      </c>
      <c r="Y654" s="564"/>
    </row>
    <row r="655" spans="1:25" ht="12" thickBot="1">
      <c r="A655" s="596" t="s">
        <v>1509</v>
      </c>
      <c r="B655" s="541" t="s">
        <v>389</v>
      </c>
      <c r="C655" s="541" t="s">
        <v>1082</v>
      </c>
      <c r="D655" s="552" t="s">
        <v>1139</v>
      </c>
      <c r="E655" s="549"/>
      <c r="F655" s="551"/>
      <c r="G655" s="550"/>
      <c r="H655" s="551"/>
      <c r="I655" s="551"/>
      <c r="J655" s="551"/>
      <c r="K655" s="551"/>
      <c r="L655" s="551"/>
      <c r="M655" s="550"/>
      <c r="N655" s="550"/>
      <c r="O655" s="551"/>
      <c r="P655" s="551"/>
      <c r="Q655" s="550"/>
      <c r="R655" s="550"/>
      <c r="S655" s="546">
        <f t="shared" si="127"/>
        <v>0</v>
      </c>
      <c r="T655" s="547">
        <f t="shared" si="128"/>
        <v>0</v>
      </c>
      <c r="U655" s="546">
        <f t="shared" si="124"/>
        <v>0</v>
      </c>
      <c r="W655" s="350">
        <f t="shared" si="125"/>
        <v>0</v>
      </c>
      <c r="X655" s="285">
        <f t="shared" si="126"/>
        <v>0</v>
      </c>
      <c r="Y655" s="564"/>
    </row>
    <row r="656" spans="1:25" ht="12" thickBot="1">
      <c r="A656" s="596" t="s">
        <v>1509</v>
      </c>
      <c r="B656" s="541" t="s">
        <v>310</v>
      </c>
      <c r="C656" s="541" t="s">
        <v>1083</v>
      </c>
      <c r="D656" s="552" t="s">
        <v>1140</v>
      </c>
      <c r="E656" s="543"/>
      <c r="F656" s="545"/>
      <c r="G656" s="544"/>
      <c r="H656" s="545"/>
      <c r="I656" s="545"/>
      <c r="J656" s="545"/>
      <c r="K656" s="545"/>
      <c r="L656" s="545"/>
      <c r="M656" s="544"/>
      <c r="N656" s="544"/>
      <c r="O656" s="545"/>
      <c r="P656" s="545"/>
      <c r="Q656" s="544"/>
      <c r="R656" s="544"/>
      <c r="S656" s="546">
        <f t="shared" si="127"/>
        <v>0</v>
      </c>
      <c r="T656" s="547">
        <f t="shared" si="128"/>
        <v>0</v>
      </c>
      <c r="U656" s="546">
        <f t="shared" si="124"/>
        <v>0</v>
      </c>
      <c r="W656" s="350">
        <f t="shared" si="125"/>
        <v>0</v>
      </c>
      <c r="X656" s="285">
        <f t="shared" si="126"/>
        <v>0</v>
      </c>
      <c r="Y656" s="564"/>
    </row>
    <row r="657" spans="1:25" ht="12" thickBot="1">
      <c r="A657" s="596" t="s">
        <v>1509</v>
      </c>
      <c r="B657" s="541" t="s">
        <v>340</v>
      </c>
      <c r="C657" s="541" t="s">
        <v>1084</v>
      </c>
      <c r="D657" s="552" t="s">
        <v>1140</v>
      </c>
      <c r="E657" s="549"/>
      <c r="F657" s="551"/>
      <c r="G657" s="550"/>
      <c r="H657" s="551"/>
      <c r="I657" s="551"/>
      <c r="J657" s="551"/>
      <c r="K657" s="551"/>
      <c r="L657" s="551"/>
      <c r="M657" s="550"/>
      <c r="N657" s="550"/>
      <c r="O657" s="551"/>
      <c r="P657" s="551"/>
      <c r="Q657" s="550"/>
      <c r="R657" s="550"/>
      <c r="S657" s="546">
        <f t="shared" si="127"/>
        <v>0</v>
      </c>
      <c r="T657" s="547">
        <f t="shared" si="128"/>
        <v>0</v>
      </c>
      <c r="U657" s="546">
        <f t="shared" si="124"/>
        <v>0</v>
      </c>
      <c r="W657" s="350">
        <f t="shared" si="125"/>
        <v>0</v>
      </c>
      <c r="X657" s="285">
        <f t="shared" si="126"/>
        <v>0</v>
      </c>
      <c r="Y657" s="564"/>
    </row>
    <row r="658" spans="1:25" ht="12" thickBot="1">
      <c r="A658" s="596" t="s">
        <v>1509</v>
      </c>
      <c r="B658" s="541" t="s">
        <v>358</v>
      </c>
      <c r="C658" s="541" t="s">
        <v>1085</v>
      </c>
      <c r="D658" s="552" t="s">
        <v>1140</v>
      </c>
      <c r="E658" s="543"/>
      <c r="F658" s="545"/>
      <c r="G658" s="544"/>
      <c r="H658" s="545"/>
      <c r="I658" s="545"/>
      <c r="J658" s="545"/>
      <c r="K658" s="545"/>
      <c r="L658" s="545"/>
      <c r="M658" s="544"/>
      <c r="N658" s="544"/>
      <c r="O658" s="545"/>
      <c r="P658" s="545"/>
      <c r="Q658" s="544"/>
      <c r="R658" s="544"/>
      <c r="S658" s="546">
        <f t="shared" si="127"/>
        <v>0</v>
      </c>
      <c r="T658" s="547">
        <f t="shared" si="128"/>
        <v>0</v>
      </c>
      <c r="U658" s="546">
        <f t="shared" si="124"/>
        <v>0</v>
      </c>
      <c r="W658" s="350">
        <f t="shared" si="125"/>
        <v>0</v>
      </c>
      <c r="X658" s="285">
        <f t="shared" si="126"/>
        <v>0</v>
      </c>
      <c r="Y658" s="564"/>
    </row>
    <row r="659" spans="1:25" ht="12" thickBot="1">
      <c r="A659" s="596" t="s">
        <v>1509</v>
      </c>
      <c r="B659" s="541" t="s">
        <v>383</v>
      </c>
      <c r="C659" s="541" t="s">
        <v>1086</v>
      </c>
      <c r="D659" s="552" t="s">
        <v>1140</v>
      </c>
      <c r="E659" s="549"/>
      <c r="F659" s="551"/>
      <c r="G659" s="550"/>
      <c r="H659" s="551"/>
      <c r="I659" s="551"/>
      <c r="J659" s="551"/>
      <c r="K659" s="551"/>
      <c r="L659" s="551"/>
      <c r="M659" s="550"/>
      <c r="N659" s="550"/>
      <c r="O659" s="551"/>
      <c r="P659" s="551"/>
      <c r="Q659" s="550"/>
      <c r="R659" s="550"/>
      <c r="S659" s="546">
        <f t="shared" si="127"/>
        <v>0</v>
      </c>
      <c r="T659" s="547">
        <f t="shared" si="128"/>
        <v>0</v>
      </c>
      <c r="U659" s="546">
        <f t="shared" si="124"/>
        <v>0</v>
      </c>
      <c r="W659" s="350">
        <f t="shared" si="125"/>
        <v>0</v>
      </c>
      <c r="X659" s="285">
        <f t="shared" si="126"/>
        <v>0</v>
      </c>
      <c r="Y659" s="564"/>
    </row>
    <row r="660" spans="1:25" ht="12" thickBot="1">
      <c r="A660" s="596" t="s">
        <v>1509</v>
      </c>
      <c r="B660" s="541" t="s">
        <v>375</v>
      </c>
      <c r="C660" s="541" t="s">
        <v>1087</v>
      </c>
      <c r="D660" s="552" t="s">
        <v>1140</v>
      </c>
      <c r="E660" s="543"/>
      <c r="F660" s="545"/>
      <c r="G660" s="544"/>
      <c r="H660" s="545"/>
      <c r="I660" s="545"/>
      <c r="J660" s="545"/>
      <c r="K660" s="545"/>
      <c r="L660" s="545"/>
      <c r="M660" s="544"/>
      <c r="N660" s="544"/>
      <c r="O660" s="545"/>
      <c r="P660" s="545"/>
      <c r="Q660" s="544"/>
      <c r="R660" s="544"/>
      <c r="S660" s="546">
        <f t="shared" si="127"/>
        <v>0</v>
      </c>
      <c r="T660" s="547">
        <f t="shared" si="128"/>
        <v>0</v>
      </c>
      <c r="U660" s="546">
        <f t="shared" si="124"/>
        <v>0</v>
      </c>
      <c r="W660" s="350">
        <f t="shared" si="125"/>
        <v>0</v>
      </c>
      <c r="X660" s="285">
        <f t="shared" si="126"/>
        <v>0</v>
      </c>
      <c r="Y660" s="564"/>
    </row>
    <row r="661" spans="1:25" ht="12" thickBot="1">
      <c r="A661" s="596" t="s">
        <v>1509</v>
      </c>
      <c r="B661" s="541" t="s">
        <v>400</v>
      </c>
      <c r="C661" s="541" t="s">
        <v>1088</v>
      </c>
      <c r="D661" s="552" t="s">
        <v>1139</v>
      </c>
      <c r="E661" s="549"/>
      <c r="F661" s="551"/>
      <c r="G661" s="550"/>
      <c r="H661" s="551"/>
      <c r="I661" s="551"/>
      <c r="J661" s="551"/>
      <c r="K661" s="551"/>
      <c r="L661" s="551"/>
      <c r="M661" s="550"/>
      <c r="N661" s="550"/>
      <c r="O661" s="551"/>
      <c r="P661" s="551"/>
      <c r="Q661" s="550"/>
      <c r="R661" s="550"/>
      <c r="S661" s="546">
        <f t="shared" si="127"/>
        <v>0</v>
      </c>
      <c r="T661" s="547">
        <f t="shared" si="128"/>
        <v>0</v>
      </c>
      <c r="U661" s="546">
        <f t="shared" si="124"/>
        <v>0</v>
      </c>
      <c r="W661" s="350">
        <f t="shared" si="125"/>
        <v>0</v>
      </c>
      <c r="X661" s="285">
        <f t="shared" si="126"/>
        <v>0</v>
      </c>
      <c r="Y661" s="564"/>
    </row>
    <row r="662" spans="1:25" ht="12" thickBot="1">
      <c r="A662" s="596" t="s">
        <v>1509</v>
      </c>
      <c r="B662" s="541" t="s">
        <v>391</v>
      </c>
      <c r="C662" s="541" t="s">
        <v>1089</v>
      </c>
      <c r="D662" s="552" t="s">
        <v>1139</v>
      </c>
      <c r="E662" s="543"/>
      <c r="F662" s="545"/>
      <c r="G662" s="544"/>
      <c r="H662" s="545"/>
      <c r="I662" s="545"/>
      <c r="J662" s="545"/>
      <c r="K662" s="545"/>
      <c r="L662" s="545"/>
      <c r="M662" s="544"/>
      <c r="N662" s="544"/>
      <c r="O662" s="545"/>
      <c r="P662" s="545"/>
      <c r="Q662" s="544"/>
      <c r="R662" s="544"/>
      <c r="S662" s="546">
        <f t="shared" si="127"/>
        <v>0</v>
      </c>
      <c r="T662" s="547">
        <f t="shared" si="128"/>
        <v>0</v>
      </c>
      <c r="U662" s="546">
        <f t="shared" si="124"/>
        <v>0</v>
      </c>
      <c r="W662" s="350">
        <f t="shared" si="125"/>
        <v>0</v>
      </c>
      <c r="X662" s="285">
        <f t="shared" ref="X662:X679" si="129">W662-R662</f>
        <v>0</v>
      </c>
      <c r="Y662" s="564"/>
    </row>
    <row r="663" spans="1:25" ht="12" thickBot="1">
      <c r="A663" s="596" t="s">
        <v>1509</v>
      </c>
      <c r="B663" s="541" t="s">
        <v>357</v>
      </c>
      <c r="C663" s="541" t="s">
        <v>1090</v>
      </c>
      <c r="D663" s="552" t="s">
        <v>1140</v>
      </c>
      <c r="E663" s="549"/>
      <c r="F663" s="551"/>
      <c r="G663" s="550"/>
      <c r="H663" s="551"/>
      <c r="I663" s="551"/>
      <c r="J663" s="551"/>
      <c r="K663" s="551"/>
      <c r="L663" s="551"/>
      <c r="M663" s="550"/>
      <c r="N663" s="550"/>
      <c r="O663" s="551"/>
      <c r="P663" s="551"/>
      <c r="Q663" s="550"/>
      <c r="R663" s="550"/>
      <c r="S663" s="546">
        <f t="shared" si="127"/>
        <v>0</v>
      </c>
      <c r="T663" s="547">
        <f t="shared" si="128"/>
        <v>0</v>
      </c>
      <c r="U663" s="546">
        <f t="shared" si="124"/>
        <v>0</v>
      </c>
      <c r="W663" s="350">
        <f t="shared" si="125"/>
        <v>0</v>
      </c>
      <c r="X663" s="285">
        <f t="shared" si="129"/>
        <v>0</v>
      </c>
      <c r="Y663" s="564"/>
    </row>
    <row r="664" spans="1:25" ht="12" thickBot="1">
      <c r="A664" s="596" t="s">
        <v>1509</v>
      </c>
      <c r="B664" s="541" t="s">
        <v>359</v>
      </c>
      <c r="C664" s="541" t="s">
        <v>1091</v>
      </c>
      <c r="D664" s="552" t="s">
        <v>1140</v>
      </c>
      <c r="E664" s="543"/>
      <c r="F664" s="545"/>
      <c r="G664" s="544"/>
      <c r="H664" s="545"/>
      <c r="I664" s="545"/>
      <c r="J664" s="545"/>
      <c r="K664" s="545"/>
      <c r="L664" s="545"/>
      <c r="M664" s="544"/>
      <c r="N664" s="544"/>
      <c r="O664" s="545"/>
      <c r="P664" s="545"/>
      <c r="Q664" s="544"/>
      <c r="R664" s="544"/>
      <c r="S664" s="546">
        <f t="shared" si="127"/>
        <v>0</v>
      </c>
      <c r="T664" s="547">
        <f t="shared" si="128"/>
        <v>0</v>
      </c>
      <c r="U664" s="546">
        <f t="shared" si="124"/>
        <v>0</v>
      </c>
      <c r="W664" s="350">
        <f t="shared" si="125"/>
        <v>0</v>
      </c>
      <c r="X664" s="285">
        <f t="shared" si="129"/>
        <v>0</v>
      </c>
      <c r="Y664" s="564"/>
    </row>
    <row r="665" spans="1:25" ht="12" thickBot="1">
      <c r="A665" s="596" t="s">
        <v>1509</v>
      </c>
      <c r="B665" s="541" t="s">
        <v>385</v>
      </c>
      <c r="C665" s="541" t="s">
        <v>1092</v>
      </c>
      <c r="D665" s="552" t="s">
        <v>1140</v>
      </c>
      <c r="E665" s="549"/>
      <c r="F665" s="551"/>
      <c r="G665" s="550"/>
      <c r="H665" s="551"/>
      <c r="I665" s="551"/>
      <c r="J665" s="551"/>
      <c r="K665" s="551"/>
      <c r="L665" s="551"/>
      <c r="M665" s="550"/>
      <c r="N665" s="550"/>
      <c r="O665" s="551"/>
      <c r="P665" s="551"/>
      <c r="Q665" s="550"/>
      <c r="R665" s="550"/>
      <c r="S665" s="546">
        <f t="shared" si="127"/>
        <v>0</v>
      </c>
      <c r="T665" s="547">
        <f t="shared" si="128"/>
        <v>0</v>
      </c>
      <c r="U665" s="546">
        <f t="shared" si="124"/>
        <v>0</v>
      </c>
      <c r="W665" s="350">
        <f t="shared" si="125"/>
        <v>0</v>
      </c>
      <c r="X665" s="285">
        <f t="shared" si="129"/>
        <v>0</v>
      </c>
      <c r="Y665" s="564"/>
    </row>
    <row r="666" spans="1:25" ht="12" thickBot="1">
      <c r="A666" s="596" t="s">
        <v>1509</v>
      </c>
      <c r="B666" s="541" t="s">
        <v>312</v>
      </c>
      <c r="C666" s="541" t="s">
        <v>1093</v>
      </c>
      <c r="D666" s="552" t="s">
        <v>1140</v>
      </c>
      <c r="E666" s="543"/>
      <c r="F666" s="545"/>
      <c r="G666" s="544"/>
      <c r="H666" s="545"/>
      <c r="I666" s="545"/>
      <c r="J666" s="545"/>
      <c r="K666" s="545"/>
      <c r="L666" s="545"/>
      <c r="M666" s="544"/>
      <c r="N666" s="544"/>
      <c r="O666" s="545"/>
      <c r="P666" s="545"/>
      <c r="Q666" s="544"/>
      <c r="R666" s="544"/>
      <c r="S666" s="546">
        <f t="shared" si="127"/>
        <v>0</v>
      </c>
      <c r="T666" s="547">
        <f t="shared" si="128"/>
        <v>0</v>
      </c>
      <c r="U666" s="546">
        <f t="shared" si="124"/>
        <v>0</v>
      </c>
      <c r="W666" s="350">
        <f t="shared" si="125"/>
        <v>0</v>
      </c>
      <c r="X666" s="285">
        <f t="shared" si="129"/>
        <v>0</v>
      </c>
      <c r="Y666" s="564"/>
    </row>
    <row r="667" spans="1:25" ht="12" thickBot="1">
      <c r="A667" s="596" t="s">
        <v>1509</v>
      </c>
      <c r="B667" s="541" t="s">
        <v>421</v>
      </c>
      <c r="C667" s="541" t="s">
        <v>1094</v>
      </c>
      <c r="D667" s="552" t="s">
        <v>1140</v>
      </c>
      <c r="E667" s="549"/>
      <c r="F667" s="551"/>
      <c r="G667" s="550"/>
      <c r="H667" s="551"/>
      <c r="I667" s="551"/>
      <c r="J667" s="551"/>
      <c r="K667" s="551"/>
      <c r="L667" s="551"/>
      <c r="M667" s="550"/>
      <c r="N667" s="550"/>
      <c r="O667" s="551"/>
      <c r="P667" s="551"/>
      <c r="Q667" s="550"/>
      <c r="R667" s="550"/>
      <c r="S667" s="546">
        <f t="shared" si="127"/>
        <v>0</v>
      </c>
      <c r="T667" s="547">
        <f t="shared" si="128"/>
        <v>0</v>
      </c>
      <c r="U667" s="546">
        <f t="shared" si="124"/>
        <v>0</v>
      </c>
      <c r="W667" s="350">
        <f t="shared" si="125"/>
        <v>0</v>
      </c>
      <c r="X667" s="285">
        <f t="shared" si="129"/>
        <v>0</v>
      </c>
      <c r="Y667" s="564"/>
    </row>
    <row r="668" spans="1:25" ht="12" thickBot="1">
      <c r="A668" s="596" t="s">
        <v>1509</v>
      </c>
      <c r="B668" s="541" t="s">
        <v>322</v>
      </c>
      <c r="C668" s="541" t="s">
        <v>1095</v>
      </c>
      <c r="D668" s="552" t="s">
        <v>1139</v>
      </c>
      <c r="E668" s="543"/>
      <c r="F668" s="545"/>
      <c r="G668" s="544"/>
      <c r="H668" s="545"/>
      <c r="I668" s="545"/>
      <c r="J668" s="545"/>
      <c r="K668" s="545"/>
      <c r="L668" s="545"/>
      <c r="M668" s="544"/>
      <c r="N668" s="544"/>
      <c r="O668" s="545"/>
      <c r="P668" s="545"/>
      <c r="Q668" s="544"/>
      <c r="R668" s="544"/>
      <c r="S668" s="546">
        <f t="shared" si="127"/>
        <v>0</v>
      </c>
      <c r="T668" s="547">
        <f t="shared" si="128"/>
        <v>0</v>
      </c>
      <c r="U668" s="546">
        <f t="shared" si="124"/>
        <v>0</v>
      </c>
      <c r="W668" s="350">
        <f t="shared" si="125"/>
        <v>0</v>
      </c>
      <c r="X668" s="285">
        <f t="shared" si="129"/>
        <v>0</v>
      </c>
      <c r="Y668" s="564"/>
    </row>
    <row r="669" spans="1:25" ht="12" thickBot="1">
      <c r="A669" s="596" t="s">
        <v>1509</v>
      </c>
      <c r="B669" s="541" t="s">
        <v>354</v>
      </c>
      <c r="C669" s="541" t="s">
        <v>1096</v>
      </c>
      <c r="D669" s="552" t="s">
        <v>1139</v>
      </c>
      <c r="E669" s="549"/>
      <c r="F669" s="551"/>
      <c r="G669" s="550"/>
      <c r="H669" s="551"/>
      <c r="I669" s="551"/>
      <c r="J669" s="551"/>
      <c r="K669" s="551"/>
      <c r="L669" s="551"/>
      <c r="M669" s="550"/>
      <c r="N669" s="550"/>
      <c r="O669" s="551"/>
      <c r="P669" s="551"/>
      <c r="Q669" s="550"/>
      <c r="R669" s="550"/>
      <c r="S669" s="546">
        <f t="shared" si="127"/>
        <v>0</v>
      </c>
      <c r="T669" s="547">
        <f t="shared" si="128"/>
        <v>0</v>
      </c>
      <c r="U669" s="546">
        <f t="shared" si="124"/>
        <v>0</v>
      </c>
      <c r="W669" s="350">
        <f t="shared" si="125"/>
        <v>0</v>
      </c>
      <c r="X669" s="285">
        <f t="shared" si="129"/>
        <v>0</v>
      </c>
      <c r="Y669" s="564"/>
    </row>
    <row r="670" spans="1:25" ht="12" thickBot="1">
      <c r="A670" s="596" t="s">
        <v>1509</v>
      </c>
      <c r="B670" s="541" t="s">
        <v>317</v>
      </c>
      <c r="C670" s="541" t="s">
        <v>1097</v>
      </c>
      <c r="D670" s="552" t="s">
        <v>1139</v>
      </c>
      <c r="E670" s="543"/>
      <c r="F670" s="545"/>
      <c r="G670" s="544"/>
      <c r="H670" s="545"/>
      <c r="I670" s="545"/>
      <c r="J670" s="545"/>
      <c r="K670" s="545"/>
      <c r="L670" s="545"/>
      <c r="M670" s="544"/>
      <c r="N670" s="544"/>
      <c r="O670" s="545"/>
      <c r="P670" s="545"/>
      <c r="Q670" s="544"/>
      <c r="R670" s="544"/>
      <c r="S670" s="546">
        <f t="shared" si="127"/>
        <v>0</v>
      </c>
      <c r="T670" s="547">
        <f t="shared" si="128"/>
        <v>0</v>
      </c>
      <c r="U670" s="546">
        <f t="shared" si="124"/>
        <v>0</v>
      </c>
      <c r="W670" s="350">
        <f t="shared" si="125"/>
        <v>0</v>
      </c>
      <c r="X670" s="285">
        <f t="shared" si="129"/>
        <v>0</v>
      </c>
      <c r="Y670" s="564"/>
    </row>
    <row r="671" spans="1:25" ht="12" thickBot="1">
      <c r="A671" s="596" t="s">
        <v>1509</v>
      </c>
      <c r="B671" s="541" t="s">
        <v>320</v>
      </c>
      <c r="C671" s="541" t="s">
        <v>1098</v>
      </c>
      <c r="D671" s="552" t="s">
        <v>1140</v>
      </c>
      <c r="E671" s="549"/>
      <c r="F671" s="551"/>
      <c r="G671" s="550"/>
      <c r="H671" s="551"/>
      <c r="I671" s="551"/>
      <c r="J671" s="551"/>
      <c r="K671" s="551"/>
      <c r="L671" s="551"/>
      <c r="M671" s="550"/>
      <c r="N671" s="550"/>
      <c r="O671" s="551"/>
      <c r="P671" s="551"/>
      <c r="Q671" s="550"/>
      <c r="R671" s="550"/>
      <c r="S671" s="546">
        <f t="shared" si="127"/>
        <v>0</v>
      </c>
      <c r="T671" s="547">
        <f t="shared" si="128"/>
        <v>0</v>
      </c>
      <c r="U671" s="546">
        <f t="shared" si="124"/>
        <v>0</v>
      </c>
      <c r="W671" s="350">
        <f t="shared" si="125"/>
        <v>0</v>
      </c>
      <c r="X671" s="285">
        <f t="shared" si="129"/>
        <v>0</v>
      </c>
      <c r="Y671" s="564"/>
    </row>
    <row r="672" spans="1:25" ht="12" thickBot="1">
      <c r="A672" s="596" t="s">
        <v>1509</v>
      </c>
      <c r="B672" s="541" t="s">
        <v>352</v>
      </c>
      <c r="C672" s="541" t="s">
        <v>1099</v>
      </c>
      <c r="D672" s="552" t="s">
        <v>1140</v>
      </c>
      <c r="E672" s="543"/>
      <c r="F672" s="545"/>
      <c r="G672" s="544"/>
      <c r="H672" s="545"/>
      <c r="I672" s="545"/>
      <c r="J672" s="545"/>
      <c r="K672" s="545"/>
      <c r="L672" s="545"/>
      <c r="M672" s="544"/>
      <c r="N672" s="544"/>
      <c r="O672" s="545"/>
      <c r="P672" s="545"/>
      <c r="Q672" s="544"/>
      <c r="R672" s="544"/>
      <c r="S672" s="546">
        <f t="shared" si="127"/>
        <v>0</v>
      </c>
      <c r="T672" s="547">
        <f t="shared" si="128"/>
        <v>0</v>
      </c>
      <c r="U672" s="546">
        <f t="shared" si="124"/>
        <v>0</v>
      </c>
      <c r="W672" s="350">
        <f t="shared" si="125"/>
        <v>0</v>
      </c>
      <c r="X672" s="285">
        <f t="shared" si="129"/>
        <v>0</v>
      </c>
      <c r="Y672" s="564"/>
    </row>
    <row r="673" spans="1:25" ht="12" thickBot="1">
      <c r="A673" s="596" t="s">
        <v>1509</v>
      </c>
      <c r="B673" s="541" t="s">
        <v>384</v>
      </c>
      <c r="C673" s="541" t="s">
        <v>1100</v>
      </c>
      <c r="D673" s="552" t="s">
        <v>1140</v>
      </c>
      <c r="E673" s="549"/>
      <c r="F673" s="551"/>
      <c r="G673" s="550"/>
      <c r="H673" s="551"/>
      <c r="I673" s="551"/>
      <c r="J673" s="551"/>
      <c r="K673" s="551"/>
      <c r="L673" s="551"/>
      <c r="M673" s="550"/>
      <c r="N673" s="550"/>
      <c r="O673" s="551"/>
      <c r="P673" s="551"/>
      <c r="Q673" s="550"/>
      <c r="R673" s="550"/>
      <c r="S673" s="546">
        <f t="shared" si="127"/>
        <v>0</v>
      </c>
      <c r="T673" s="547">
        <f t="shared" si="128"/>
        <v>0</v>
      </c>
      <c r="U673" s="546">
        <f t="shared" si="124"/>
        <v>0</v>
      </c>
      <c r="W673" s="350">
        <f t="shared" si="125"/>
        <v>0</v>
      </c>
      <c r="X673" s="285">
        <f t="shared" si="129"/>
        <v>0</v>
      </c>
      <c r="Y673" s="564"/>
    </row>
    <row r="674" spans="1:25" ht="12" thickBot="1">
      <c r="A674" s="596" t="s">
        <v>1509</v>
      </c>
      <c r="B674" s="541" t="s">
        <v>311</v>
      </c>
      <c r="C674" s="541" t="s">
        <v>1101</v>
      </c>
      <c r="D674" s="552" t="s">
        <v>1140</v>
      </c>
      <c r="E674" s="543"/>
      <c r="F674" s="545"/>
      <c r="G674" s="544"/>
      <c r="H674" s="545"/>
      <c r="I674" s="545"/>
      <c r="J674" s="545"/>
      <c r="K674" s="545"/>
      <c r="L674" s="545"/>
      <c r="M674" s="544"/>
      <c r="N674" s="544"/>
      <c r="O674" s="545"/>
      <c r="P674" s="545"/>
      <c r="Q674" s="544"/>
      <c r="R674" s="544"/>
      <c r="S674" s="546">
        <f t="shared" si="127"/>
        <v>0</v>
      </c>
      <c r="T674" s="547">
        <f t="shared" si="128"/>
        <v>0</v>
      </c>
      <c r="U674" s="546">
        <f t="shared" si="124"/>
        <v>0</v>
      </c>
      <c r="W674" s="350">
        <f t="shared" si="125"/>
        <v>0</v>
      </c>
      <c r="X674" s="285">
        <f t="shared" si="129"/>
        <v>0</v>
      </c>
      <c r="Y674" s="564"/>
    </row>
    <row r="675" spans="1:25" ht="12" thickBot="1">
      <c r="A675" s="596" t="s">
        <v>1509</v>
      </c>
      <c r="B675" s="541" t="s">
        <v>341</v>
      </c>
      <c r="C675" s="541" t="s">
        <v>1102</v>
      </c>
      <c r="D675" s="552" t="s">
        <v>1140</v>
      </c>
      <c r="E675" s="549"/>
      <c r="F675" s="551"/>
      <c r="G675" s="550"/>
      <c r="H675" s="551"/>
      <c r="I675" s="551"/>
      <c r="J675" s="551"/>
      <c r="K675" s="551"/>
      <c r="L675" s="551"/>
      <c r="M675" s="550"/>
      <c r="N675" s="550"/>
      <c r="O675" s="551"/>
      <c r="P675" s="551"/>
      <c r="Q675" s="550"/>
      <c r="R675" s="550"/>
      <c r="S675" s="546">
        <f t="shared" si="127"/>
        <v>0</v>
      </c>
      <c r="T675" s="547">
        <f t="shared" si="128"/>
        <v>0</v>
      </c>
      <c r="U675" s="546">
        <f t="shared" si="124"/>
        <v>0</v>
      </c>
      <c r="W675" s="350">
        <f t="shared" si="125"/>
        <v>0</v>
      </c>
      <c r="X675" s="285">
        <f t="shared" si="129"/>
        <v>0</v>
      </c>
      <c r="Y675" s="564"/>
    </row>
    <row r="676" spans="1:25" ht="12" thickBot="1">
      <c r="A676" s="596" t="s">
        <v>1509</v>
      </c>
      <c r="B676" s="541" t="s">
        <v>315</v>
      </c>
      <c r="C676" s="541" t="s">
        <v>1103</v>
      </c>
      <c r="D676" s="552" t="s">
        <v>1140</v>
      </c>
      <c r="E676" s="543"/>
      <c r="F676" s="545"/>
      <c r="G676" s="544"/>
      <c r="H676" s="545"/>
      <c r="I676" s="545"/>
      <c r="J676" s="545"/>
      <c r="K676" s="545"/>
      <c r="L676" s="545"/>
      <c r="M676" s="544"/>
      <c r="N676" s="544"/>
      <c r="O676" s="545"/>
      <c r="P676" s="545"/>
      <c r="Q676" s="544"/>
      <c r="R676" s="544"/>
      <c r="S676" s="546">
        <f t="shared" si="127"/>
        <v>0</v>
      </c>
      <c r="T676" s="547">
        <f t="shared" si="128"/>
        <v>0</v>
      </c>
      <c r="U676" s="546">
        <f t="shared" si="124"/>
        <v>0</v>
      </c>
      <c r="W676" s="350">
        <f t="shared" si="125"/>
        <v>0</v>
      </c>
      <c r="X676" s="285">
        <f t="shared" si="129"/>
        <v>0</v>
      </c>
      <c r="Y676" s="564"/>
    </row>
    <row r="677" spans="1:25" ht="12" thickBot="1">
      <c r="A677" s="596" t="s">
        <v>1509</v>
      </c>
      <c r="B677" s="541" t="s">
        <v>319</v>
      </c>
      <c r="C677" s="541" t="s">
        <v>1104</v>
      </c>
      <c r="D677" s="552" t="s">
        <v>1140</v>
      </c>
      <c r="E677" s="549"/>
      <c r="F677" s="551"/>
      <c r="G677" s="550"/>
      <c r="H677" s="551"/>
      <c r="I677" s="551"/>
      <c r="J677" s="551"/>
      <c r="K677" s="551"/>
      <c r="L677" s="551"/>
      <c r="M677" s="550"/>
      <c r="N677" s="550"/>
      <c r="O677" s="551"/>
      <c r="P677" s="551"/>
      <c r="Q677" s="550"/>
      <c r="R677" s="550"/>
      <c r="S677" s="546">
        <f t="shared" si="127"/>
        <v>0</v>
      </c>
      <c r="T677" s="547">
        <f t="shared" si="128"/>
        <v>0</v>
      </c>
      <c r="U677" s="546">
        <f t="shared" si="124"/>
        <v>0</v>
      </c>
      <c r="W677" s="350">
        <f t="shared" si="125"/>
        <v>0</v>
      </c>
      <c r="X677" s="285">
        <f t="shared" si="129"/>
        <v>0</v>
      </c>
      <c r="Y677" s="564"/>
    </row>
    <row r="678" spans="1:25" ht="12" thickBot="1">
      <c r="A678" s="596" t="s">
        <v>1509</v>
      </c>
      <c r="B678" s="541" t="s">
        <v>356</v>
      </c>
      <c r="C678" s="541" t="s">
        <v>1105</v>
      </c>
      <c r="D678" s="552" t="s">
        <v>1140</v>
      </c>
      <c r="E678" s="543"/>
      <c r="F678" s="545"/>
      <c r="G678" s="544"/>
      <c r="H678" s="545"/>
      <c r="I678" s="545"/>
      <c r="J678" s="545"/>
      <c r="K678" s="545"/>
      <c r="L678" s="545"/>
      <c r="M678" s="544"/>
      <c r="N678" s="544"/>
      <c r="O678" s="545"/>
      <c r="P678" s="545"/>
      <c r="Q678" s="544"/>
      <c r="R678" s="544"/>
      <c r="S678" s="546">
        <f t="shared" si="127"/>
        <v>0</v>
      </c>
      <c r="T678" s="547">
        <f t="shared" si="128"/>
        <v>0</v>
      </c>
      <c r="U678" s="546">
        <f t="shared" si="124"/>
        <v>0</v>
      </c>
      <c r="W678" s="350">
        <f t="shared" si="125"/>
        <v>0</v>
      </c>
      <c r="X678" s="285">
        <f t="shared" si="129"/>
        <v>0</v>
      </c>
      <c r="Y678" s="564"/>
    </row>
    <row r="679" spans="1:25" ht="12" thickBot="1">
      <c r="A679" s="596" t="s">
        <v>1509</v>
      </c>
      <c r="B679" s="541" t="s">
        <v>365</v>
      </c>
      <c r="C679" s="541" t="s">
        <v>1106</v>
      </c>
      <c r="D679" s="552" t="s">
        <v>1139</v>
      </c>
      <c r="E679" s="549"/>
      <c r="F679" s="551"/>
      <c r="G679" s="550"/>
      <c r="H679" s="551"/>
      <c r="I679" s="551"/>
      <c r="J679" s="551"/>
      <c r="K679" s="551"/>
      <c r="L679" s="551"/>
      <c r="M679" s="550"/>
      <c r="N679" s="550"/>
      <c r="O679" s="551"/>
      <c r="P679" s="551"/>
      <c r="Q679" s="550"/>
      <c r="R679" s="550"/>
      <c r="S679" s="546">
        <f t="shared" si="127"/>
        <v>0</v>
      </c>
      <c r="T679" s="547">
        <f t="shared" si="128"/>
        <v>0</v>
      </c>
      <c r="U679" s="546">
        <f t="shared" si="124"/>
        <v>0</v>
      </c>
      <c r="W679" s="350">
        <f t="shared" si="125"/>
        <v>0</v>
      </c>
      <c r="X679" s="285">
        <f t="shared" si="129"/>
        <v>0</v>
      </c>
      <c r="Y679" s="564"/>
    </row>
    <row r="680" spans="1:25" ht="12" thickBot="1">
      <c r="A680" s="596" t="s">
        <v>1509</v>
      </c>
      <c r="B680" s="541" t="s">
        <v>388</v>
      </c>
      <c r="C680" s="541" t="s">
        <v>1107</v>
      </c>
      <c r="D680" s="552" t="s">
        <v>1139</v>
      </c>
      <c r="E680" s="543"/>
      <c r="F680" s="545"/>
      <c r="G680" s="544"/>
      <c r="H680" s="545"/>
      <c r="I680" s="545"/>
      <c r="J680" s="545"/>
      <c r="K680" s="545"/>
      <c r="L680" s="545"/>
      <c r="M680" s="544"/>
      <c r="N680" s="544"/>
      <c r="O680" s="545"/>
      <c r="P680" s="545"/>
      <c r="Q680" s="544"/>
      <c r="R680" s="544"/>
      <c r="S680" s="546">
        <f t="shared" si="127"/>
        <v>0</v>
      </c>
      <c r="T680" s="547">
        <f t="shared" si="128"/>
        <v>0</v>
      </c>
      <c r="U680" s="546">
        <f t="shared" si="124"/>
        <v>0</v>
      </c>
      <c r="W680" s="350">
        <f t="shared" si="125"/>
        <v>0</v>
      </c>
      <c r="X680" s="285">
        <f t="shared" ref="X680:X700" si="130">W680-R680</f>
        <v>0</v>
      </c>
      <c r="Y680" s="564"/>
    </row>
    <row r="681" spans="1:25" ht="12" thickBot="1">
      <c r="A681" s="596" t="s">
        <v>1509</v>
      </c>
      <c r="B681" s="541" t="s">
        <v>345</v>
      </c>
      <c r="C681" s="541" t="s">
        <v>1108</v>
      </c>
      <c r="D681" s="552" t="s">
        <v>1139</v>
      </c>
      <c r="E681" s="549"/>
      <c r="F681" s="551"/>
      <c r="G681" s="550"/>
      <c r="H681" s="551"/>
      <c r="I681" s="551"/>
      <c r="J681" s="551"/>
      <c r="K681" s="551"/>
      <c r="L681" s="551"/>
      <c r="M681" s="550"/>
      <c r="N681" s="550"/>
      <c r="O681" s="551"/>
      <c r="P681" s="551"/>
      <c r="Q681" s="550"/>
      <c r="R681" s="550"/>
      <c r="S681" s="546">
        <f t="shared" si="127"/>
        <v>0</v>
      </c>
      <c r="T681" s="547">
        <f t="shared" si="128"/>
        <v>0</v>
      </c>
      <c r="U681" s="546">
        <f t="shared" si="124"/>
        <v>0</v>
      </c>
      <c r="W681" s="350">
        <f t="shared" si="125"/>
        <v>0</v>
      </c>
      <c r="X681" s="285">
        <f t="shared" si="130"/>
        <v>0</v>
      </c>
      <c r="Y681" s="564"/>
    </row>
    <row r="682" spans="1:25" ht="12" thickBot="1">
      <c r="A682" s="596" t="s">
        <v>1509</v>
      </c>
      <c r="B682" s="541" t="s">
        <v>377</v>
      </c>
      <c r="C682" s="541" t="s">
        <v>1109</v>
      </c>
      <c r="D682" s="552" t="s">
        <v>1139</v>
      </c>
      <c r="E682" s="543"/>
      <c r="F682" s="545"/>
      <c r="G682" s="544"/>
      <c r="H682" s="545"/>
      <c r="I682" s="545"/>
      <c r="J682" s="545"/>
      <c r="K682" s="545"/>
      <c r="L682" s="545"/>
      <c r="M682" s="544"/>
      <c r="N682" s="544"/>
      <c r="O682" s="545"/>
      <c r="P682" s="545"/>
      <c r="Q682" s="544"/>
      <c r="R682" s="544"/>
      <c r="S682" s="546">
        <f t="shared" ref="S682:S713" si="131">G682+H682+I682</f>
        <v>0</v>
      </c>
      <c r="T682" s="547">
        <f t="shared" ref="T682:T713" si="132">J682+K682</f>
        <v>0</v>
      </c>
      <c r="U682" s="546">
        <f t="shared" si="124"/>
        <v>0</v>
      </c>
      <c r="W682" s="350">
        <f t="shared" si="125"/>
        <v>0</v>
      </c>
      <c r="X682" s="285">
        <f t="shared" si="130"/>
        <v>0</v>
      </c>
      <c r="Y682" s="564"/>
    </row>
    <row r="683" spans="1:25" ht="12" thickBot="1">
      <c r="A683" s="596" t="s">
        <v>1509</v>
      </c>
      <c r="B683" s="541" t="s">
        <v>1395</v>
      </c>
      <c r="C683" s="541" t="s">
        <v>1396</v>
      </c>
      <c r="D683" s="552" t="s">
        <v>1139</v>
      </c>
      <c r="E683" s="549"/>
      <c r="F683" s="551"/>
      <c r="G683" s="551"/>
      <c r="H683" s="551"/>
      <c r="I683" s="551"/>
      <c r="J683" s="551"/>
      <c r="K683" s="551"/>
      <c r="L683" s="551"/>
      <c r="M683" s="551"/>
      <c r="N683" s="551"/>
      <c r="O683" s="551"/>
      <c r="P683" s="551"/>
      <c r="Q683" s="551"/>
      <c r="R683" s="551"/>
      <c r="S683" s="546">
        <f t="shared" si="131"/>
        <v>0</v>
      </c>
      <c r="T683" s="547">
        <f t="shared" si="132"/>
        <v>0</v>
      </c>
      <c r="U683" s="546">
        <f t="shared" si="124"/>
        <v>0</v>
      </c>
      <c r="W683" s="350">
        <f t="shared" si="125"/>
        <v>0</v>
      </c>
      <c r="X683" s="285">
        <f t="shared" si="130"/>
        <v>0</v>
      </c>
      <c r="Y683" s="564"/>
    </row>
    <row r="684" spans="1:25" ht="12" thickBot="1">
      <c r="A684" s="596" t="s">
        <v>1509</v>
      </c>
      <c r="B684" s="541" t="s">
        <v>363</v>
      </c>
      <c r="C684" s="541" t="s">
        <v>1110</v>
      </c>
      <c r="D684" s="552" t="s">
        <v>1140</v>
      </c>
      <c r="E684" s="543"/>
      <c r="F684" s="545"/>
      <c r="G684" s="544"/>
      <c r="H684" s="545"/>
      <c r="I684" s="545"/>
      <c r="J684" s="545"/>
      <c r="K684" s="545"/>
      <c r="L684" s="545"/>
      <c r="M684" s="544"/>
      <c r="N684" s="544"/>
      <c r="O684" s="545"/>
      <c r="P684" s="545"/>
      <c r="Q684" s="544"/>
      <c r="R684" s="544"/>
      <c r="S684" s="546">
        <f t="shared" si="131"/>
        <v>0</v>
      </c>
      <c r="T684" s="547">
        <f t="shared" si="132"/>
        <v>0</v>
      </c>
      <c r="U684" s="546">
        <f t="shared" si="124"/>
        <v>0</v>
      </c>
      <c r="W684" s="350">
        <f t="shared" si="125"/>
        <v>0</v>
      </c>
      <c r="X684" s="285">
        <f t="shared" si="130"/>
        <v>0</v>
      </c>
      <c r="Y684" s="564"/>
    </row>
    <row r="685" spans="1:25" ht="12" thickBot="1">
      <c r="A685" s="596" t="s">
        <v>1509</v>
      </c>
      <c r="B685" s="541" t="s">
        <v>373</v>
      </c>
      <c r="C685" s="541" t="s">
        <v>1111</v>
      </c>
      <c r="D685" s="552" t="s">
        <v>1139</v>
      </c>
      <c r="E685" s="549"/>
      <c r="F685" s="551"/>
      <c r="G685" s="550"/>
      <c r="H685" s="551"/>
      <c r="I685" s="551"/>
      <c r="J685" s="551"/>
      <c r="K685" s="551"/>
      <c r="L685" s="551"/>
      <c r="M685" s="550"/>
      <c r="N685" s="550"/>
      <c r="O685" s="551"/>
      <c r="P685" s="551"/>
      <c r="Q685" s="550"/>
      <c r="R685" s="550"/>
      <c r="S685" s="546">
        <f t="shared" si="131"/>
        <v>0</v>
      </c>
      <c r="T685" s="547">
        <f t="shared" si="132"/>
        <v>0</v>
      </c>
      <c r="U685" s="546">
        <f t="shared" si="124"/>
        <v>0</v>
      </c>
      <c r="W685" s="350">
        <f t="shared" si="125"/>
        <v>0</v>
      </c>
      <c r="X685" s="285">
        <f t="shared" si="130"/>
        <v>0</v>
      </c>
      <c r="Y685" s="564"/>
    </row>
    <row r="686" spans="1:25" ht="12" thickBot="1">
      <c r="A686" s="596" t="s">
        <v>1509</v>
      </c>
      <c r="B686" s="541" t="s">
        <v>396</v>
      </c>
      <c r="C686" s="541" t="s">
        <v>1112</v>
      </c>
      <c r="D686" s="552" t="s">
        <v>1139</v>
      </c>
      <c r="E686" s="543"/>
      <c r="F686" s="545"/>
      <c r="G686" s="544"/>
      <c r="H686" s="545"/>
      <c r="I686" s="545"/>
      <c r="J686" s="545"/>
      <c r="K686" s="545"/>
      <c r="L686" s="545"/>
      <c r="M686" s="544"/>
      <c r="N686" s="544"/>
      <c r="O686" s="545"/>
      <c r="P686" s="545"/>
      <c r="Q686" s="544"/>
      <c r="R686" s="544"/>
      <c r="S686" s="546">
        <f t="shared" si="131"/>
        <v>0</v>
      </c>
      <c r="T686" s="547">
        <f t="shared" si="132"/>
        <v>0</v>
      </c>
      <c r="U686" s="546">
        <f t="shared" si="124"/>
        <v>0</v>
      </c>
      <c r="W686" s="350">
        <f t="shared" si="125"/>
        <v>0</v>
      </c>
      <c r="X686" s="285">
        <f t="shared" si="130"/>
        <v>0</v>
      </c>
      <c r="Y686" s="564"/>
    </row>
    <row r="687" spans="1:25" ht="12" thickBot="1">
      <c r="A687" s="596" t="s">
        <v>1509</v>
      </c>
      <c r="B687" s="541" t="s">
        <v>351</v>
      </c>
      <c r="C687" s="541" t="s">
        <v>1113</v>
      </c>
      <c r="D687" s="552" t="s">
        <v>1140</v>
      </c>
      <c r="E687" s="549"/>
      <c r="F687" s="551"/>
      <c r="G687" s="550"/>
      <c r="H687" s="551"/>
      <c r="I687" s="551"/>
      <c r="J687" s="551"/>
      <c r="K687" s="551"/>
      <c r="L687" s="551"/>
      <c r="M687" s="550"/>
      <c r="N687" s="550"/>
      <c r="O687" s="551"/>
      <c r="P687" s="551"/>
      <c r="Q687" s="550"/>
      <c r="R687" s="550"/>
      <c r="S687" s="546">
        <f t="shared" si="131"/>
        <v>0</v>
      </c>
      <c r="T687" s="547">
        <f t="shared" si="132"/>
        <v>0</v>
      </c>
      <c r="U687" s="546">
        <f t="shared" si="124"/>
        <v>0</v>
      </c>
      <c r="W687" s="350">
        <f t="shared" si="125"/>
        <v>0</v>
      </c>
      <c r="X687" s="285">
        <f t="shared" si="130"/>
        <v>0</v>
      </c>
      <c r="Y687" s="564"/>
    </row>
    <row r="688" spans="1:25" ht="12" thickBot="1">
      <c r="A688" s="596" t="s">
        <v>1509</v>
      </c>
      <c r="B688" s="541" t="s">
        <v>314</v>
      </c>
      <c r="C688" s="541" t="s">
        <v>1114</v>
      </c>
      <c r="D688" s="552" t="s">
        <v>1140</v>
      </c>
      <c r="E688" s="543"/>
      <c r="F688" s="545"/>
      <c r="G688" s="544"/>
      <c r="H688" s="545"/>
      <c r="I688" s="545"/>
      <c r="J688" s="545"/>
      <c r="K688" s="545"/>
      <c r="L688" s="545"/>
      <c r="M688" s="544"/>
      <c r="N688" s="544"/>
      <c r="O688" s="545"/>
      <c r="P688" s="545"/>
      <c r="Q688" s="544"/>
      <c r="R688" s="544"/>
      <c r="S688" s="546">
        <f t="shared" si="131"/>
        <v>0</v>
      </c>
      <c r="T688" s="547">
        <f t="shared" si="132"/>
        <v>0</v>
      </c>
      <c r="U688" s="546">
        <f t="shared" si="124"/>
        <v>0</v>
      </c>
      <c r="W688" s="350">
        <f t="shared" si="125"/>
        <v>0</v>
      </c>
      <c r="X688" s="285">
        <f t="shared" si="130"/>
        <v>0</v>
      </c>
      <c r="Y688" s="564"/>
    </row>
    <row r="689" spans="1:25" ht="12" thickBot="1">
      <c r="A689" s="596" t="s">
        <v>1509</v>
      </c>
      <c r="B689" s="541" t="s">
        <v>355</v>
      </c>
      <c r="C689" s="541" t="s">
        <v>1115</v>
      </c>
      <c r="D689" s="552" t="s">
        <v>1140</v>
      </c>
      <c r="E689" s="549"/>
      <c r="F689" s="551"/>
      <c r="G689" s="550"/>
      <c r="H689" s="551"/>
      <c r="I689" s="551"/>
      <c r="J689" s="551"/>
      <c r="K689" s="551"/>
      <c r="L689" s="551"/>
      <c r="M689" s="550"/>
      <c r="N689" s="550"/>
      <c r="O689" s="551"/>
      <c r="P689" s="551"/>
      <c r="Q689" s="550"/>
      <c r="R689" s="550"/>
      <c r="S689" s="546">
        <f t="shared" si="131"/>
        <v>0</v>
      </c>
      <c r="T689" s="547">
        <f t="shared" si="132"/>
        <v>0</v>
      </c>
      <c r="U689" s="546">
        <f t="shared" si="124"/>
        <v>0</v>
      </c>
      <c r="W689" s="350">
        <f t="shared" si="125"/>
        <v>0</v>
      </c>
      <c r="X689" s="285">
        <f t="shared" si="130"/>
        <v>0</v>
      </c>
      <c r="Y689" s="564"/>
    </row>
    <row r="690" spans="1:25" ht="12" thickBot="1">
      <c r="A690" s="596" t="s">
        <v>1509</v>
      </c>
      <c r="B690" s="541" t="s">
        <v>364</v>
      </c>
      <c r="C690" s="541" t="s">
        <v>1116</v>
      </c>
      <c r="D690" s="552" t="s">
        <v>1139</v>
      </c>
      <c r="E690" s="543"/>
      <c r="F690" s="545"/>
      <c r="G690" s="544"/>
      <c r="H690" s="545"/>
      <c r="I690" s="545"/>
      <c r="J690" s="545"/>
      <c r="K690" s="545"/>
      <c r="L690" s="545"/>
      <c r="M690" s="544"/>
      <c r="N690" s="544"/>
      <c r="O690" s="545"/>
      <c r="P690" s="545"/>
      <c r="Q690" s="544"/>
      <c r="R690" s="544"/>
      <c r="S690" s="546">
        <f t="shared" si="131"/>
        <v>0</v>
      </c>
      <c r="T690" s="547">
        <f t="shared" si="132"/>
        <v>0</v>
      </c>
      <c r="U690" s="546">
        <f t="shared" si="124"/>
        <v>0</v>
      </c>
      <c r="W690" s="350">
        <f t="shared" si="125"/>
        <v>0</v>
      </c>
      <c r="X690" s="285">
        <f t="shared" si="130"/>
        <v>0</v>
      </c>
      <c r="Y690" s="564"/>
    </row>
    <row r="691" spans="1:25" ht="12" thickBot="1">
      <c r="A691" s="596" t="s">
        <v>1509</v>
      </c>
      <c r="B691" s="541" t="s">
        <v>387</v>
      </c>
      <c r="C691" s="541" t="s">
        <v>1117</v>
      </c>
      <c r="D691" s="552" t="s">
        <v>1139</v>
      </c>
      <c r="E691" s="549"/>
      <c r="F691" s="551"/>
      <c r="G691" s="550"/>
      <c r="H691" s="551"/>
      <c r="I691" s="551"/>
      <c r="J691" s="551"/>
      <c r="K691" s="551"/>
      <c r="L691" s="551"/>
      <c r="M691" s="550"/>
      <c r="N691" s="550"/>
      <c r="O691" s="551"/>
      <c r="P691" s="551"/>
      <c r="Q691" s="550"/>
      <c r="R691" s="550"/>
      <c r="S691" s="546">
        <f t="shared" si="131"/>
        <v>0</v>
      </c>
      <c r="T691" s="547">
        <f t="shared" si="132"/>
        <v>0</v>
      </c>
      <c r="U691" s="546">
        <f t="shared" si="124"/>
        <v>0</v>
      </c>
      <c r="W691" s="350">
        <f t="shared" si="125"/>
        <v>0</v>
      </c>
      <c r="X691" s="285">
        <f t="shared" si="130"/>
        <v>0</v>
      </c>
      <c r="Y691" s="564"/>
    </row>
    <row r="692" spans="1:25" ht="12.75" customHeight="1" thickBot="1">
      <c r="A692" s="596" t="s">
        <v>1509</v>
      </c>
      <c r="B692" s="541" t="s">
        <v>344</v>
      </c>
      <c r="C692" s="541" t="s">
        <v>1118</v>
      </c>
      <c r="D692" s="552" t="s">
        <v>1139</v>
      </c>
      <c r="E692" s="543"/>
      <c r="F692" s="545"/>
      <c r="G692" s="544"/>
      <c r="H692" s="545"/>
      <c r="I692" s="545"/>
      <c r="J692" s="545"/>
      <c r="K692" s="545"/>
      <c r="L692" s="545"/>
      <c r="M692" s="544"/>
      <c r="N692" s="544"/>
      <c r="O692" s="545"/>
      <c r="P692" s="545"/>
      <c r="Q692" s="544"/>
      <c r="R692" s="544"/>
      <c r="S692" s="546">
        <f t="shared" si="131"/>
        <v>0</v>
      </c>
      <c r="T692" s="547">
        <f t="shared" si="132"/>
        <v>0</v>
      </c>
      <c r="U692" s="546">
        <f t="shared" si="124"/>
        <v>0</v>
      </c>
      <c r="W692" s="350">
        <f t="shared" si="125"/>
        <v>0</v>
      </c>
      <c r="X692" s="285">
        <f t="shared" si="130"/>
        <v>0</v>
      </c>
      <c r="Y692" s="564"/>
    </row>
    <row r="693" spans="1:25" ht="12" thickBot="1">
      <c r="A693" s="596" t="s">
        <v>1509</v>
      </c>
      <c r="B693" s="541" t="s">
        <v>376</v>
      </c>
      <c r="C693" s="541" t="s">
        <v>1119</v>
      </c>
      <c r="D693" s="552" t="s">
        <v>1139</v>
      </c>
      <c r="E693" s="549"/>
      <c r="F693" s="551"/>
      <c r="G693" s="550"/>
      <c r="H693" s="551"/>
      <c r="I693" s="551"/>
      <c r="J693" s="551"/>
      <c r="K693" s="551"/>
      <c r="L693" s="551"/>
      <c r="M693" s="550"/>
      <c r="N693" s="550"/>
      <c r="O693" s="551"/>
      <c r="P693" s="551"/>
      <c r="Q693" s="550"/>
      <c r="R693" s="550"/>
      <c r="S693" s="546">
        <f t="shared" si="131"/>
        <v>0</v>
      </c>
      <c r="T693" s="547">
        <f t="shared" si="132"/>
        <v>0</v>
      </c>
      <c r="U693" s="546">
        <f t="shared" si="124"/>
        <v>0</v>
      </c>
      <c r="W693" s="350">
        <f t="shared" si="125"/>
        <v>0</v>
      </c>
      <c r="X693" s="285">
        <f t="shared" si="130"/>
        <v>0</v>
      </c>
      <c r="Y693" s="564"/>
    </row>
    <row r="694" spans="1:25" ht="12" thickBot="1">
      <c r="A694" s="596" t="s">
        <v>1509</v>
      </c>
      <c r="B694" s="541" t="s">
        <v>374</v>
      </c>
      <c r="C694" s="541" t="s">
        <v>1120</v>
      </c>
      <c r="D694" s="552" t="s">
        <v>1139</v>
      </c>
      <c r="E694" s="543"/>
      <c r="F694" s="545"/>
      <c r="G694" s="544"/>
      <c r="H694" s="545"/>
      <c r="I694" s="545"/>
      <c r="J694" s="545"/>
      <c r="K694" s="545"/>
      <c r="L694" s="545"/>
      <c r="M694" s="544"/>
      <c r="N694" s="544"/>
      <c r="O694" s="545"/>
      <c r="P694" s="545"/>
      <c r="Q694" s="544"/>
      <c r="R694" s="544"/>
      <c r="S694" s="546">
        <f t="shared" si="131"/>
        <v>0</v>
      </c>
      <c r="T694" s="547">
        <f t="shared" si="132"/>
        <v>0</v>
      </c>
      <c r="U694" s="546">
        <f t="shared" si="124"/>
        <v>0</v>
      </c>
      <c r="W694" s="350">
        <f t="shared" si="125"/>
        <v>0</v>
      </c>
      <c r="X694" s="285">
        <f t="shared" si="130"/>
        <v>0</v>
      </c>
      <c r="Y694" s="564"/>
    </row>
    <row r="695" spans="1:25" ht="12" thickBot="1">
      <c r="A695" s="596" t="s">
        <v>1509</v>
      </c>
      <c r="B695" s="541" t="s">
        <v>398</v>
      </c>
      <c r="C695" s="541" t="s">
        <v>1121</v>
      </c>
      <c r="D695" s="552" t="s">
        <v>1139</v>
      </c>
      <c r="E695" s="549"/>
      <c r="F695" s="551"/>
      <c r="G695" s="550"/>
      <c r="H695" s="551"/>
      <c r="I695" s="551"/>
      <c r="J695" s="551"/>
      <c r="K695" s="551"/>
      <c r="L695" s="551"/>
      <c r="M695" s="550"/>
      <c r="N695" s="550"/>
      <c r="O695" s="551"/>
      <c r="P695" s="551"/>
      <c r="Q695" s="550"/>
      <c r="R695" s="550"/>
      <c r="S695" s="546">
        <f t="shared" si="131"/>
        <v>0</v>
      </c>
      <c r="T695" s="547">
        <f t="shared" si="132"/>
        <v>0</v>
      </c>
      <c r="U695" s="546">
        <f t="shared" si="124"/>
        <v>0</v>
      </c>
      <c r="W695" s="350">
        <f t="shared" si="125"/>
        <v>0</v>
      </c>
      <c r="X695" s="285">
        <f t="shared" si="130"/>
        <v>0</v>
      </c>
      <c r="Y695" s="564"/>
    </row>
    <row r="696" spans="1:25" ht="12" thickBot="1">
      <c r="A696" s="596" t="s">
        <v>1509</v>
      </c>
      <c r="B696" s="541" t="s">
        <v>348</v>
      </c>
      <c r="C696" s="541" t="s">
        <v>1122</v>
      </c>
      <c r="D696" s="552" t="s">
        <v>1139</v>
      </c>
      <c r="E696" s="543"/>
      <c r="F696" s="545"/>
      <c r="G696" s="544"/>
      <c r="H696" s="545"/>
      <c r="I696" s="545"/>
      <c r="J696" s="545"/>
      <c r="K696" s="545"/>
      <c r="L696" s="545"/>
      <c r="M696" s="544"/>
      <c r="N696" s="544"/>
      <c r="O696" s="545"/>
      <c r="P696" s="545"/>
      <c r="Q696" s="544"/>
      <c r="R696" s="544"/>
      <c r="S696" s="546">
        <f t="shared" si="131"/>
        <v>0</v>
      </c>
      <c r="T696" s="547">
        <f t="shared" si="132"/>
        <v>0</v>
      </c>
      <c r="U696" s="546">
        <f t="shared" si="124"/>
        <v>0</v>
      </c>
      <c r="W696" s="350">
        <f t="shared" si="125"/>
        <v>0</v>
      </c>
      <c r="X696" s="285">
        <f t="shared" si="130"/>
        <v>0</v>
      </c>
      <c r="Y696" s="564"/>
    </row>
    <row r="697" spans="1:25" ht="12" thickBot="1">
      <c r="A697" s="596" t="s">
        <v>1509</v>
      </c>
      <c r="B697" s="541" t="s">
        <v>380</v>
      </c>
      <c r="C697" s="541" t="s">
        <v>1123</v>
      </c>
      <c r="D697" s="552" t="s">
        <v>1139</v>
      </c>
      <c r="E697" s="549"/>
      <c r="F697" s="551"/>
      <c r="G697" s="550"/>
      <c r="H697" s="551"/>
      <c r="I697" s="551"/>
      <c r="J697" s="551"/>
      <c r="K697" s="551"/>
      <c r="L697" s="551"/>
      <c r="M697" s="550"/>
      <c r="N697" s="550"/>
      <c r="O697" s="551"/>
      <c r="P697" s="551"/>
      <c r="Q697" s="550"/>
      <c r="R697" s="550"/>
      <c r="S697" s="546">
        <f t="shared" si="131"/>
        <v>0</v>
      </c>
      <c r="T697" s="547">
        <f t="shared" si="132"/>
        <v>0</v>
      </c>
      <c r="U697" s="546">
        <f t="shared" si="124"/>
        <v>0</v>
      </c>
      <c r="W697" s="350">
        <f t="shared" si="125"/>
        <v>0</v>
      </c>
      <c r="X697" s="285">
        <f t="shared" si="130"/>
        <v>0</v>
      </c>
      <c r="Y697" s="564"/>
    </row>
    <row r="698" spans="1:25" ht="12" thickBot="1">
      <c r="A698" s="596" t="s">
        <v>1509</v>
      </c>
      <c r="B698" s="541" t="s">
        <v>399</v>
      </c>
      <c r="C698" s="541" t="s">
        <v>1124</v>
      </c>
      <c r="D698" s="552" t="s">
        <v>1139</v>
      </c>
      <c r="E698" s="543"/>
      <c r="F698" s="545"/>
      <c r="G698" s="544"/>
      <c r="H698" s="545"/>
      <c r="I698" s="545"/>
      <c r="J698" s="545"/>
      <c r="K698" s="545"/>
      <c r="L698" s="545"/>
      <c r="M698" s="544"/>
      <c r="N698" s="544"/>
      <c r="O698" s="545"/>
      <c r="P698" s="545"/>
      <c r="Q698" s="544"/>
      <c r="R698" s="544"/>
      <c r="S698" s="546">
        <f t="shared" si="131"/>
        <v>0</v>
      </c>
      <c r="T698" s="547">
        <f t="shared" si="132"/>
        <v>0</v>
      </c>
      <c r="U698" s="546">
        <f t="shared" si="124"/>
        <v>0</v>
      </c>
      <c r="W698" s="350">
        <f t="shared" si="125"/>
        <v>0</v>
      </c>
      <c r="X698" s="285">
        <f t="shared" si="130"/>
        <v>0</v>
      </c>
      <c r="Y698" s="564"/>
    </row>
    <row r="699" spans="1:25" ht="12" thickBot="1">
      <c r="A699" s="596" t="s">
        <v>1509</v>
      </c>
      <c r="B699" s="541" t="s">
        <v>349</v>
      </c>
      <c r="C699" s="541" t="s">
        <v>1125</v>
      </c>
      <c r="D699" s="552" t="s">
        <v>1139</v>
      </c>
      <c r="E699" s="549"/>
      <c r="F699" s="551"/>
      <c r="G699" s="550"/>
      <c r="H699" s="551"/>
      <c r="I699" s="551"/>
      <c r="J699" s="551"/>
      <c r="K699" s="551"/>
      <c r="L699" s="551"/>
      <c r="M699" s="550"/>
      <c r="N699" s="550"/>
      <c r="O699" s="551"/>
      <c r="P699" s="551"/>
      <c r="Q699" s="550"/>
      <c r="R699" s="550"/>
      <c r="S699" s="546">
        <f t="shared" si="131"/>
        <v>0</v>
      </c>
      <c r="T699" s="547">
        <f t="shared" si="132"/>
        <v>0</v>
      </c>
      <c r="U699" s="546">
        <f t="shared" si="124"/>
        <v>0</v>
      </c>
      <c r="W699" s="350">
        <f t="shared" si="125"/>
        <v>0</v>
      </c>
      <c r="X699" s="285">
        <f t="shared" si="130"/>
        <v>0</v>
      </c>
      <c r="Y699" s="564"/>
    </row>
    <row r="700" spans="1:25" ht="12" thickBot="1">
      <c r="A700" s="596" t="s">
        <v>1509</v>
      </c>
      <c r="B700" s="541" t="s">
        <v>381</v>
      </c>
      <c r="C700" s="541" t="s">
        <v>1126</v>
      </c>
      <c r="D700" s="552" t="s">
        <v>1139</v>
      </c>
      <c r="E700" s="543"/>
      <c r="F700" s="545"/>
      <c r="G700" s="544"/>
      <c r="H700" s="545"/>
      <c r="I700" s="545"/>
      <c r="J700" s="545"/>
      <c r="K700" s="545"/>
      <c r="L700" s="545"/>
      <c r="M700" s="544"/>
      <c r="N700" s="544"/>
      <c r="O700" s="545"/>
      <c r="P700" s="545"/>
      <c r="Q700" s="544"/>
      <c r="R700" s="544"/>
      <c r="S700" s="546">
        <f t="shared" si="131"/>
        <v>0</v>
      </c>
      <c r="T700" s="547">
        <f t="shared" si="132"/>
        <v>0</v>
      </c>
      <c r="U700" s="546">
        <f t="shared" si="124"/>
        <v>0</v>
      </c>
      <c r="W700" s="350">
        <f t="shared" si="125"/>
        <v>0</v>
      </c>
      <c r="X700" s="285">
        <f t="shared" si="130"/>
        <v>0</v>
      </c>
      <c r="Y700" s="564"/>
    </row>
    <row r="701" spans="1:25" ht="12" thickBot="1">
      <c r="A701" s="596" t="s">
        <v>1509</v>
      </c>
      <c r="B701" s="541" t="s">
        <v>321</v>
      </c>
      <c r="C701" s="541" t="s">
        <v>1127</v>
      </c>
      <c r="D701" s="552" t="s">
        <v>1139</v>
      </c>
      <c r="E701" s="549"/>
      <c r="F701" s="551"/>
      <c r="G701" s="550"/>
      <c r="H701" s="551"/>
      <c r="I701" s="551"/>
      <c r="J701" s="551"/>
      <c r="K701" s="551"/>
      <c r="L701" s="551"/>
      <c r="M701" s="550"/>
      <c r="N701" s="550"/>
      <c r="O701" s="551"/>
      <c r="P701" s="551"/>
      <c r="Q701" s="550"/>
      <c r="R701" s="550"/>
      <c r="S701" s="546">
        <f t="shared" si="131"/>
        <v>0</v>
      </c>
      <c r="T701" s="547">
        <f t="shared" si="132"/>
        <v>0</v>
      </c>
      <c r="U701" s="546">
        <f t="shared" si="124"/>
        <v>0</v>
      </c>
      <c r="W701" s="350">
        <f t="shared" si="125"/>
        <v>0</v>
      </c>
      <c r="X701" s="285">
        <f t="shared" ref="X701:X714" si="133">W701-R701</f>
        <v>0</v>
      </c>
      <c r="Y701" s="564"/>
    </row>
    <row r="702" spans="1:25" ht="12" thickBot="1">
      <c r="A702" s="596" t="s">
        <v>1509</v>
      </c>
      <c r="B702" s="541" t="s">
        <v>353</v>
      </c>
      <c r="C702" s="541" t="s">
        <v>1128</v>
      </c>
      <c r="D702" s="552" t="s">
        <v>1139</v>
      </c>
      <c r="E702" s="543"/>
      <c r="F702" s="545"/>
      <c r="G702" s="544"/>
      <c r="H702" s="545"/>
      <c r="I702" s="545"/>
      <c r="J702" s="545"/>
      <c r="K702" s="545"/>
      <c r="L702" s="545"/>
      <c r="M702" s="544"/>
      <c r="N702" s="544"/>
      <c r="O702" s="545"/>
      <c r="P702" s="545"/>
      <c r="Q702" s="544"/>
      <c r="R702" s="544"/>
      <c r="S702" s="546">
        <f t="shared" si="131"/>
        <v>0</v>
      </c>
      <c r="T702" s="547">
        <f t="shared" si="132"/>
        <v>0</v>
      </c>
      <c r="U702" s="546">
        <f t="shared" ref="U702:U714" si="134">N702+O702</f>
        <v>0</v>
      </c>
      <c r="W702" s="350">
        <f t="shared" ref="W702:W763" si="135">SUM(F702:Q702)</f>
        <v>0</v>
      </c>
      <c r="X702" s="285">
        <f t="shared" si="133"/>
        <v>0</v>
      </c>
      <c r="Y702" s="564"/>
    </row>
    <row r="703" spans="1:25" ht="12" thickBot="1">
      <c r="A703" s="596" t="s">
        <v>1509</v>
      </c>
      <c r="B703" s="541" t="s">
        <v>678</v>
      </c>
      <c r="C703" s="541" t="s">
        <v>1129</v>
      </c>
      <c r="D703" s="552" t="s">
        <v>1139</v>
      </c>
      <c r="E703" s="549"/>
      <c r="F703" s="551"/>
      <c r="G703" s="550"/>
      <c r="H703" s="551"/>
      <c r="I703" s="551"/>
      <c r="J703" s="551"/>
      <c r="K703" s="551"/>
      <c r="L703" s="551"/>
      <c r="M703" s="550"/>
      <c r="N703" s="550"/>
      <c r="O703" s="551"/>
      <c r="P703" s="551"/>
      <c r="Q703" s="551"/>
      <c r="R703" s="550"/>
      <c r="S703" s="546">
        <f t="shared" si="131"/>
        <v>0</v>
      </c>
      <c r="T703" s="547">
        <f t="shared" si="132"/>
        <v>0</v>
      </c>
      <c r="U703" s="546">
        <f t="shared" si="134"/>
        <v>0</v>
      </c>
      <c r="W703" s="350">
        <f t="shared" si="135"/>
        <v>0</v>
      </c>
      <c r="X703" s="285">
        <f t="shared" si="133"/>
        <v>0</v>
      </c>
      <c r="Y703" s="564"/>
    </row>
    <row r="704" spans="1:25" ht="12" thickBot="1">
      <c r="A704" s="596" t="s">
        <v>1509</v>
      </c>
      <c r="B704" s="541" t="s">
        <v>316</v>
      </c>
      <c r="C704" s="541" t="s">
        <v>1130</v>
      </c>
      <c r="D704" s="552" t="s">
        <v>1139</v>
      </c>
      <c r="E704" s="543"/>
      <c r="F704" s="545"/>
      <c r="G704" s="544"/>
      <c r="H704" s="545"/>
      <c r="I704" s="545"/>
      <c r="J704" s="545"/>
      <c r="K704" s="545"/>
      <c r="L704" s="545"/>
      <c r="M704" s="544"/>
      <c r="N704" s="544"/>
      <c r="O704" s="545"/>
      <c r="P704" s="545"/>
      <c r="Q704" s="544"/>
      <c r="R704" s="544"/>
      <c r="S704" s="546">
        <f t="shared" si="131"/>
        <v>0</v>
      </c>
      <c r="T704" s="547">
        <f t="shared" si="132"/>
        <v>0</v>
      </c>
      <c r="U704" s="546">
        <f t="shared" si="134"/>
        <v>0</v>
      </c>
      <c r="W704" s="350">
        <f t="shared" si="135"/>
        <v>0</v>
      </c>
      <c r="X704" s="285">
        <f t="shared" si="133"/>
        <v>0</v>
      </c>
      <c r="Y704" s="564"/>
    </row>
    <row r="705" spans="1:25" ht="12" thickBot="1">
      <c r="A705" s="596" t="s">
        <v>1509</v>
      </c>
      <c r="B705" s="541" t="s">
        <v>318</v>
      </c>
      <c r="C705" s="541" t="s">
        <v>1131</v>
      </c>
      <c r="D705" s="552" t="s">
        <v>1139</v>
      </c>
      <c r="E705" s="549"/>
      <c r="F705" s="551"/>
      <c r="G705" s="550"/>
      <c r="H705" s="551"/>
      <c r="I705" s="551"/>
      <c r="J705" s="551"/>
      <c r="K705" s="551"/>
      <c r="L705" s="551"/>
      <c r="M705" s="550"/>
      <c r="N705" s="550"/>
      <c r="O705" s="551"/>
      <c r="P705" s="551"/>
      <c r="Q705" s="550"/>
      <c r="R705" s="550"/>
      <c r="S705" s="546">
        <f t="shared" si="131"/>
        <v>0</v>
      </c>
      <c r="T705" s="547">
        <f t="shared" si="132"/>
        <v>0</v>
      </c>
      <c r="U705" s="546">
        <f t="shared" si="134"/>
        <v>0</v>
      </c>
      <c r="W705" s="350">
        <f t="shared" si="135"/>
        <v>0</v>
      </c>
      <c r="X705" s="285">
        <f t="shared" si="133"/>
        <v>0</v>
      </c>
      <c r="Y705" s="564"/>
    </row>
    <row r="706" spans="1:25" ht="12" thickBot="1">
      <c r="A706" s="596" t="s">
        <v>1509</v>
      </c>
      <c r="B706" s="541" t="s">
        <v>350</v>
      </c>
      <c r="C706" s="541" t="s">
        <v>1132</v>
      </c>
      <c r="D706" s="552" t="s">
        <v>1139</v>
      </c>
      <c r="E706" s="543"/>
      <c r="F706" s="545"/>
      <c r="G706" s="544"/>
      <c r="H706" s="545"/>
      <c r="I706" s="545"/>
      <c r="J706" s="545"/>
      <c r="K706" s="545"/>
      <c r="L706" s="545"/>
      <c r="M706" s="544"/>
      <c r="N706" s="544"/>
      <c r="O706" s="545"/>
      <c r="P706" s="545"/>
      <c r="Q706" s="544"/>
      <c r="R706" s="544"/>
      <c r="S706" s="546">
        <f t="shared" si="131"/>
        <v>0</v>
      </c>
      <c r="T706" s="547">
        <f t="shared" si="132"/>
        <v>0</v>
      </c>
      <c r="U706" s="546">
        <f t="shared" si="134"/>
        <v>0</v>
      </c>
      <c r="W706" s="350">
        <f t="shared" si="135"/>
        <v>0</v>
      </c>
      <c r="X706" s="285">
        <f t="shared" si="133"/>
        <v>0</v>
      </c>
      <c r="Y706" s="564"/>
    </row>
    <row r="707" spans="1:25" ht="12" thickBot="1">
      <c r="A707" s="596" t="s">
        <v>1509</v>
      </c>
      <c r="B707" s="541" t="s">
        <v>313</v>
      </c>
      <c r="C707" s="541" t="s">
        <v>1133</v>
      </c>
      <c r="D707" s="552" t="s">
        <v>1139</v>
      </c>
      <c r="E707" s="549"/>
      <c r="F707" s="551"/>
      <c r="G707" s="550"/>
      <c r="H707" s="551"/>
      <c r="I707" s="551"/>
      <c r="J707" s="551"/>
      <c r="K707" s="551"/>
      <c r="L707" s="551"/>
      <c r="M707" s="550"/>
      <c r="N707" s="550"/>
      <c r="O707" s="551"/>
      <c r="P707" s="551"/>
      <c r="Q707" s="550"/>
      <c r="R707" s="550"/>
      <c r="S707" s="546">
        <f t="shared" si="131"/>
        <v>0</v>
      </c>
      <c r="T707" s="547">
        <f t="shared" si="132"/>
        <v>0</v>
      </c>
      <c r="U707" s="546">
        <f t="shared" si="134"/>
        <v>0</v>
      </c>
      <c r="W707" s="350">
        <f t="shared" si="135"/>
        <v>0</v>
      </c>
      <c r="X707" s="285">
        <f t="shared" si="133"/>
        <v>0</v>
      </c>
      <c r="Y707" s="564"/>
    </row>
    <row r="708" spans="1:25" ht="12" thickBot="1">
      <c r="A708" s="596" t="s">
        <v>1509</v>
      </c>
      <c r="B708" s="541" t="s">
        <v>650</v>
      </c>
      <c r="C708" s="541" t="s">
        <v>1151</v>
      </c>
      <c r="D708" s="552" t="s">
        <v>1139</v>
      </c>
      <c r="E708" s="543"/>
      <c r="F708" s="545"/>
      <c r="G708" s="544"/>
      <c r="H708" s="545"/>
      <c r="I708" s="545"/>
      <c r="J708" s="545"/>
      <c r="K708" s="545"/>
      <c r="L708" s="545"/>
      <c r="M708" s="544"/>
      <c r="N708" s="544"/>
      <c r="O708" s="545"/>
      <c r="P708" s="545"/>
      <c r="Q708" s="545"/>
      <c r="R708" s="544"/>
      <c r="S708" s="546">
        <f t="shared" si="131"/>
        <v>0</v>
      </c>
      <c r="T708" s="547">
        <f t="shared" si="132"/>
        <v>0</v>
      </c>
      <c r="U708" s="546">
        <f t="shared" si="134"/>
        <v>0</v>
      </c>
      <c r="W708" s="350">
        <f t="shared" si="135"/>
        <v>0</v>
      </c>
      <c r="X708" s="285">
        <f t="shared" si="133"/>
        <v>0</v>
      </c>
      <c r="Y708" s="564"/>
    </row>
    <row r="709" spans="1:25" ht="12" thickBot="1">
      <c r="A709" s="596" t="s">
        <v>1509</v>
      </c>
      <c r="B709" s="541" t="s">
        <v>447</v>
      </c>
      <c r="C709" s="541" t="s">
        <v>1134</v>
      </c>
      <c r="D709" s="552" t="s">
        <v>1139</v>
      </c>
      <c r="E709" s="549"/>
      <c r="F709" s="551"/>
      <c r="G709" s="550"/>
      <c r="H709" s="551"/>
      <c r="I709" s="551"/>
      <c r="J709" s="551"/>
      <c r="K709" s="551"/>
      <c r="L709" s="551"/>
      <c r="M709" s="550"/>
      <c r="N709" s="550"/>
      <c r="O709" s="551"/>
      <c r="P709" s="551"/>
      <c r="Q709" s="551"/>
      <c r="R709" s="550"/>
      <c r="S709" s="546">
        <f t="shared" si="131"/>
        <v>0</v>
      </c>
      <c r="T709" s="547">
        <f t="shared" si="132"/>
        <v>0</v>
      </c>
      <c r="U709" s="546">
        <f t="shared" si="134"/>
        <v>0</v>
      </c>
      <c r="W709" s="350">
        <f t="shared" si="135"/>
        <v>0</v>
      </c>
      <c r="X709" s="285">
        <f t="shared" si="133"/>
        <v>0</v>
      </c>
      <c r="Y709" s="564"/>
    </row>
    <row r="710" spans="1:25" ht="12" thickBot="1">
      <c r="A710" s="596" t="s">
        <v>1509</v>
      </c>
      <c r="B710" s="541" t="s">
        <v>624</v>
      </c>
      <c r="C710" s="541" t="s">
        <v>1135</v>
      </c>
      <c r="D710" s="552" t="s">
        <v>1139</v>
      </c>
      <c r="E710" s="543"/>
      <c r="F710" s="545"/>
      <c r="G710" s="544"/>
      <c r="H710" s="545"/>
      <c r="I710" s="545"/>
      <c r="J710" s="545"/>
      <c r="K710" s="545"/>
      <c r="L710" s="545"/>
      <c r="M710" s="544"/>
      <c r="N710" s="544"/>
      <c r="O710" s="545"/>
      <c r="P710" s="545"/>
      <c r="Q710" s="545"/>
      <c r="R710" s="544"/>
      <c r="S710" s="546">
        <f t="shared" si="131"/>
        <v>0</v>
      </c>
      <c r="T710" s="547">
        <f t="shared" si="132"/>
        <v>0</v>
      </c>
      <c r="U710" s="546">
        <f t="shared" si="134"/>
        <v>0</v>
      </c>
      <c r="W710" s="350">
        <f t="shared" si="135"/>
        <v>0</v>
      </c>
      <c r="X710" s="285">
        <f t="shared" si="133"/>
        <v>0</v>
      </c>
      <c r="Y710" s="564"/>
    </row>
    <row r="711" spans="1:25" ht="12" thickBot="1">
      <c r="A711" s="596" t="s">
        <v>1509</v>
      </c>
      <c r="B711" s="541" t="s">
        <v>429</v>
      </c>
      <c r="C711" s="541" t="s">
        <v>428</v>
      </c>
      <c r="D711" s="552" t="s">
        <v>73</v>
      </c>
      <c r="E711" s="551"/>
      <c r="F711" s="551"/>
      <c r="G711" s="551"/>
      <c r="H711" s="551"/>
      <c r="I711" s="551"/>
      <c r="J711" s="551"/>
      <c r="K711" s="551"/>
      <c r="L711" s="551"/>
      <c r="M711" s="551"/>
      <c r="N711" s="551"/>
      <c r="O711" s="551"/>
      <c r="P711" s="551"/>
      <c r="Q711" s="551"/>
      <c r="R711" s="550"/>
      <c r="S711" s="546">
        <f t="shared" si="131"/>
        <v>0</v>
      </c>
      <c r="T711" s="547">
        <f t="shared" si="132"/>
        <v>0</v>
      </c>
      <c r="U711" s="546">
        <f t="shared" si="134"/>
        <v>0</v>
      </c>
      <c r="W711" s="350">
        <f t="shared" si="135"/>
        <v>0</v>
      </c>
      <c r="X711" s="285">
        <f t="shared" si="133"/>
        <v>0</v>
      </c>
      <c r="Y711" s="564"/>
    </row>
    <row r="712" spans="1:25" ht="12" thickBot="1">
      <c r="A712" s="596" t="s">
        <v>1509</v>
      </c>
      <c r="B712" s="541" t="s">
        <v>455</v>
      </c>
      <c r="C712" s="541" t="s">
        <v>454</v>
      </c>
      <c r="D712" s="552" t="s">
        <v>710</v>
      </c>
      <c r="E712" s="545"/>
      <c r="F712" s="545"/>
      <c r="G712" s="545"/>
      <c r="H712" s="545"/>
      <c r="I712" s="545"/>
      <c r="J712" s="545"/>
      <c r="K712" s="545"/>
      <c r="L712" s="545"/>
      <c r="M712" s="545"/>
      <c r="N712" s="545"/>
      <c r="O712" s="545"/>
      <c r="P712" s="545"/>
      <c r="Q712" s="545"/>
      <c r="R712" s="544"/>
      <c r="S712" s="546">
        <f t="shared" si="131"/>
        <v>0</v>
      </c>
      <c r="T712" s="547">
        <f t="shared" si="132"/>
        <v>0</v>
      </c>
      <c r="U712" s="546">
        <f t="shared" si="134"/>
        <v>0</v>
      </c>
      <c r="W712" s="350">
        <f t="shared" si="135"/>
        <v>0</v>
      </c>
      <c r="X712" s="285">
        <f t="shared" si="133"/>
        <v>0</v>
      </c>
    </row>
    <row r="713" spans="1:25" ht="12" thickBot="1">
      <c r="A713" s="596" t="s">
        <v>1509</v>
      </c>
      <c r="B713" s="541" t="s">
        <v>457</v>
      </c>
      <c r="C713" s="541" t="s">
        <v>456</v>
      </c>
      <c r="D713" s="552" t="s">
        <v>710</v>
      </c>
      <c r="E713" s="551"/>
      <c r="F713" s="551"/>
      <c r="G713" s="551"/>
      <c r="H713" s="551"/>
      <c r="I713" s="551"/>
      <c r="J713" s="551"/>
      <c r="K713" s="551"/>
      <c r="L713" s="551"/>
      <c r="M713" s="551"/>
      <c r="N713" s="551"/>
      <c r="O713" s="551"/>
      <c r="P713" s="551"/>
      <c r="Q713" s="551"/>
      <c r="R713" s="550"/>
      <c r="S713" s="546">
        <f t="shared" si="131"/>
        <v>0</v>
      </c>
      <c r="T713" s="547">
        <f t="shared" si="132"/>
        <v>0</v>
      </c>
      <c r="U713" s="546">
        <f t="shared" si="134"/>
        <v>0</v>
      </c>
      <c r="W713" s="350">
        <f t="shared" si="135"/>
        <v>0</v>
      </c>
      <c r="X713" s="285">
        <f t="shared" si="133"/>
        <v>0</v>
      </c>
    </row>
    <row r="714" spans="1:25" ht="12" thickBot="1">
      <c r="A714" s="596" t="s">
        <v>1509</v>
      </c>
      <c r="B714" s="541" t="s">
        <v>427</v>
      </c>
      <c r="C714" s="541" t="s">
        <v>426</v>
      </c>
      <c r="D714" s="552" t="s">
        <v>1157</v>
      </c>
      <c r="E714" s="545"/>
      <c r="F714" s="544"/>
      <c r="G714" s="545"/>
      <c r="H714" s="545"/>
      <c r="I714" s="545"/>
      <c r="J714" s="545"/>
      <c r="K714" s="545"/>
      <c r="L714" s="545"/>
      <c r="M714" s="545"/>
      <c r="N714" s="545"/>
      <c r="O714" s="545"/>
      <c r="P714" s="545"/>
      <c r="Q714" s="545"/>
      <c r="R714" s="544"/>
      <c r="S714" s="546">
        <f t="shared" ref="S714" si="136">G714+H714+I714</f>
        <v>0</v>
      </c>
      <c r="T714" s="547">
        <f t="shared" ref="T714" si="137">J714+K714</f>
        <v>0</v>
      </c>
      <c r="U714" s="546">
        <f t="shared" si="134"/>
        <v>0</v>
      </c>
      <c r="W714" s="350">
        <f t="shared" si="135"/>
        <v>0</v>
      </c>
      <c r="X714" s="285">
        <f t="shared" si="133"/>
        <v>0</v>
      </c>
    </row>
    <row r="715" spans="1:25" ht="12" thickBot="1">
      <c r="A715" s="596" t="s">
        <v>1509</v>
      </c>
      <c r="B715" s="541" t="s">
        <v>673</v>
      </c>
      <c r="C715" s="541" t="s">
        <v>674</v>
      </c>
      <c r="D715" s="552" t="s">
        <v>710</v>
      </c>
      <c r="E715" s="551"/>
      <c r="F715" s="551"/>
      <c r="G715" s="551"/>
      <c r="H715" s="551"/>
      <c r="I715" s="551"/>
      <c r="J715" s="551"/>
      <c r="K715" s="551"/>
      <c r="L715" s="551"/>
      <c r="M715" s="551"/>
      <c r="N715" s="551"/>
      <c r="O715" s="551"/>
      <c r="P715" s="551"/>
      <c r="Q715" s="551"/>
      <c r="R715" s="550"/>
      <c r="S715" s="546">
        <f t="shared" ref="S715:S778" si="138">G715+H715+I715</f>
        <v>0</v>
      </c>
      <c r="T715" s="547">
        <f t="shared" ref="T715:T778" si="139">J715+K715</f>
        <v>0</v>
      </c>
      <c r="U715" s="546">
        <f t="shared" ref="U715:U778" si="140">N715+O715</f>
        <v>0</v>
      </c>
      <c r="W715" s="350">
        <f t="shared" si="135"/>
        <v>0</v>
      </c>
      <c r="X715" s="285">
        <f t="shared" ref="X715:X778" si="141">W715-R715</f>
        <v>0</v>
      </c>
    </row>
    <row r="716" spans="1:25" ht="12" thickBot="1">
      <c r="A716" s="596" t="s">
        <v>1509</v>
      </c>
      <c r="B716" s="541" t="s">
        <v>1152</v>
      </c>
      <c r="C716" s="541" t="s">
        <v>1153</v>
      </c>
      <c r="D716" s="552" t="s">
        <v>710</v>
      </c>
      <c r="E716" s="545"/>
      <c r="F716" s="545"/>
      <c r="G716" s="545"/>
      <c r="H716" s="545"/>
      <c r="I716" s="545"/>
      <c r="J716" s="545"/>
      <c r="K716" s="545"/>
      <c r="L716" s="545"/>
      <c r="M716" s="545"/>
      <c r="N716" s="545"/>
      <c r="O716" s="545"/>
      <c r="P716" s="545"/>
      <c r="Q716" s="545"/>
      <c r="R716" s="544"/>
      <c r="S716" s="546">
        <f t="shared" si="138"/>
        <v>0</v>
      </c>
      <c r="T716" s="547">
        <f t="shared" si="139"/>
        <v>0</v>
      </c>
      <c r="U716" s="546">
        <f t="shared" si="140"/>
        <v>0</v>
      </c>
      <c r="W716" s="350">
        <f t="shared" si="135"/>
        <v>0</v>
      </c>
      <c r="X716" s="285">
        <f t="shared" si="141"/>
        <v>0</v>
      </c>
    </row>
    <row r="717" spans="1:25" ht="12" thickBot="1">
      <c r="A717" s="596" t="s">
        <v>1509</v>
      </c>
      <c r="B717" s="541" t="s">
        <v>434</v>
      </c>
      <c r="C717" s="541" t="s">
        <v>1154</v>
      </c>
      <c r="D717" s="552" t="s">
        <v>1158</v>
      </c>
      <c r="E717" s="549"/>
      <c r="F717" s="550"/>
      <c r="G717" s="550"/>
      <c r="H717" s="550"/>
      <c r="I717" s="551"/>
      <c r="J717" s="551"/>
      <c r="K717" s="551"/>
      <c r="L717" s="551"/>
      <c r="M717" s="551"/>
      <c r="N717" s="551"/>
      <c r="O717" s="551"/>
      <c r="P717" s="551"/>
      <c r="Q717" s="551"/>
      <c r="R717" s="550"/>
      <c r="S717" s="546">
        <f t="shared" si="138"/>
        <v>0</v>
      </c>
      <c r="T717" s="547">
        <f t="shared" si="139"/>
        <v>0</v>
      </c>
      <c r="U717" s="546">
        <f t="shared" si="140"/>
        <v>0</v>
      </c>
      <c r="W717" s="350">
        <f t="shared" si="135"/>
        <v>0</v>
      </c>
      <c r="X717" s="285">
        <f t="shared" si="141"/>
        <v>0</v>
      </c>
    </row>
    <row r="718" spans="1:25" ht="12" thickBot="1">
      <c r="A718" s="596" t="s">
        <v>1509</v>
      </c>
      <c r="B718" s="562" t="s">
        <v>8</v>
      </c>
      <c r="C718" s="563"/>
      <c r="D718" s="557"/>
      <c r="E718" s="558"/>
      <c r="F718" s="559"/>
      <c r="G718" s="559"/>
      <c r="H718" s="559"/>
      <c r="I718" s="559"/>
      <c r="J718" s="559"/>
      <c r="K718" s="559"/>
      <c r="L718" s="559"/>
      <c r="M718" s="559"/>
      <c r="N718" s="559"/>
      <c r="O718" s="559"/>
      <c r="P718" s="559"/>
      <c r="Q718" s="559"/>
      <c r="R718" s="559"/>
      <c r="S718" s="546">
        <f t="shared" si="138"/>
        <v>0</v>
      </c>
      <c r="T718" s="547">
        <f t="shared" si="139"/>
        <v>0</v>
      </c>
      <c r="U718" s="546">
        <f t="shared" si="140"/>
        <v>0</v>
      </c>
      <c r="W718" s="350">
        <f t="shared" si="135"/>
        <v>0</v>
      </c>
      <c r="X718" s="285">
        <f t="shared" si="141"/>
        <v>0</v>
      </c>
    </row>
    <row r="719" spans="1:25" ht="12" thickBot="1">
      <c r="A719" s="596" t="s">
        <v>1510</v>
      </c>
      <c r="B719" s="541" t="s">
        <v>424</v>
      </c>
      <c r="C719" s="541" t="s">
        <v>444</v>
      </c>
      <c r="D719" s="542" t="s">
        <v>724</v>
      </c>
      <c r="E719" s="543"/>
      <c r="F719" s="544"/>
      <c r="G719" s="544"/>
      <c r="H719" s="545"/>
      <c r="I719" s="545"/>
      <c r="J719" s="545"/>
      <c r="K719" s="545"/>
      <c r="L719" s="545"/>
      <c r="M719" s="545"/>
      <c r="N719" s="545"/>
      <c r="O719" s="545"/>
      <c r="P719" s="545"/>
      <c r="Q719" s="545"/>
      <c r="R719" s="544"/>
      <c r="S719" s="546">
        <f t="shared" si="138"/>
        <v>0</v>
      </c>
      <c r="T719" s="547">
        <f t="shared" si="139"/>
        <v>0</v>
      </c>
      <c r="U719" s="546">
        <f t="shared" si="140"/>
        <v>0</v>
      </c>
      <c r="W719" s="350">
        <f t="shared" si="135"/>
        <v>0</v>
      </c>
      <c r="X719" s="285">
        <f t="shared" si="141"/>
        <v>0</v>
      </c>
    </row>
    <row r="720" spans="1:25" ht="12" thickBot="1">
      <c r="A720" s="596" t="s">
        <v>1510</v>
      </c>
      <c r="B720" s="541" t="s">
        <v>425</v>
      </c>
      <c r="C720" s="541" t="s">
        <v>445</v>
      </c>
      <c r="D720" s="542" t="s">
        <v>724</v>
      </c>
      <c r="E720" s="549"/>
      <c r="F720" s="550"/>
      <c r="G720" s="550"/>
      <c r="H720" s="551"/>
      <c r="I720" s="551"/>
      <c r="J720" s="551"/>
      <c r="K720" s="551"/>
      <c r="L720" s="551"/>
      <c r="M720" s="551"/>
      <c r="N720" s="551"/>
      <c r="O720" s="551"/>
      <c r="P720" s="551"/>
      <c r="Q720" s="551"/>
      <c r="R720" s="550"/>
      <c r="S720" s="546">
        <f t="shared" si="138"/>
        <v>0</v>
      </c>
      <c r="T720" s="547">
        <f t="shared" si="139"/>
        <v>0</v>
      </c>
      <c r="U720" s="546">
        <f t="shared" si="140"/>
        <v>0</v>
      </c>
      <c r="W720" s="350">
        <f t="shared" si="135"/>
        <v>0</v>
      </c>
      <c r="X720" s="285">
        <f t="shared" si="141"/>
        <v>0</v>
      </c>
    </row>
    <row r="721" spans="1:24" ht="12" thickBot="1">
      <c r="A721" s="596" t="s">
        <v>1510</v>
      </c>
      <c r="B721" s="541" t="s">
        <v>433</v>
      </c>
      <c r="C721" s="541" t="s">
        <v>432</v>
      </c>
      <c r="D721" s="552" t="s">
        <v>1155</v>
      </c>
      <c r="E721" s="543"/>
      <c r="F721" s="545"/>
      <c r="G721" s="544"/>
      <c r="H721" s="545"/>
      <c r="I721" s="545"/>
      <c r="J721" s="545"/>
      <c r="K721" s="545"/>
      <c r="L721" s="545"/>
      <c r="M721" s="545"/>
      <c r="N721" s="545"/>
      <c r="O721" s="545"/>
      <c r="P721" s="545"/>
      <c r="Q721" s="545"/>
      <c r="R721" s="544"/>
      <c r="S721" s="546">
        <f t="shared" si="138"/>
        <v>0</v>
      </c>
      <c r="T721" s="547">
        <f t="shared" si="139"/>
        <v>0</v>
      </c>
      <c r="U721" s="546">
        <f t="shared" si="140"/>
        <v>0</v>
      </c>
      <c r="W721" s="350">
        <f t="shared" si="135"/>
        <v>0</v>
      </c>
      <c r="X721" s="285">
        <f t="shared" si="141"/>
        <v>0</v>
      </c>
    </row>
    <row r="722" spans="1:24" ht="12" thickBot="1">
      <c r="A722" s="596" t="s">
        <v>1510</v>
      </c>
      <c r="B722" s="541" t="s">
        <v>431</v>
      </c>
      <c r="C722" s="541" t="s">
        <v>430</v>
      </c>
      <c r="D722" s="553" t="s">
        <v>1155</v>
      </c>
      <c r="E722" s="549"/>
      <c r="F722" s="551"/>
      <c r="G722" s="550"/>
      <c r="H722" s="551"/>
      <c r="I722" s="551"/>
      <c r="J722" s="551"/>
      <c r="K722" s="551"/>
      <c r="L722" s="551"/>
      <c r="M722" s="551"/>
      <c r="N722" s="551"/>
      <c r="O722" s="551"/>
      <c r="P722" s="551"/>
      <c r="Q722" s="551"/>
      <c r="R722" s="550"/>
      <c r="S722" s="546">
        <f t="shared" si="138"/>
        <v>0</v>
      </c>
      <c r="T722" s="547">
        <f t="shared" si="139"/>
        <v>0</v>
      </c>
      <c r="U722" s="546">
        <f t="shared" si="140"/>
        <v>0</v>
      </c>
      <c r="W722" s="350">
        <f t="shared" si="135"/>
        <v>0</v>
      </c>
      <c r="X722" s="285">
        <f t="shared" si="141"/>
        <v>0</v>
      </c>
    </row>
    <row r="723" spans="1:24" ht="12" thickBot="1">
      <c r="A723" s="596" t="s">
        <v>1510</v>
      </c>
      <c r="B723" s="541" t="s">
        <v>1048</v>
      </c>
      <c r="C723" s="541" t="s">
        <v>1049</v>
      </c>
      <c r="D723" s="553" t="s">
        <v>1146</v>
      </c>
      <c r="E723" s="545"/>
      <c r="F723" s="545"/>
      <c r="G723" s="545"/>
      <c r="H723" s="545"/>
      <c r="I723" s="545"/>
      <c r="J723" s="545"/>
      <c r="K723" s="545"/>
      <c r="L723" s="545"/>
      <c r="M723" s="545"/>
      <c r="N723" s="545"/>
      <c r="O723" s="545"/>
      <c r="P723" s="545"/>
      <c r="Q723" s="545"/>
      <c r="R723" s="545"/>
      <c r="S723" s="546">
        <f t="shared" si="138"/>
        <v>0</v>
      </c>
      <c r="T723" s="547">
        <f t="shared" si="139"/>
        <v>0</v>
      </c>
      <c r="U723" s="546">
        <f t="shared" si="140"/>
        <v>0</v>
      </c>
      <c r="W723" s="350">
        <f t="shared" si="135"/>
        <v>0</v>
      </c>
      <c r="X723" s="285">
        <f t="shared" si="141"/>
        <v>0</v>
      </c>
    </row>
    <row r="724" spans="1:24" ht="12" thickBot="1">
      <c r="A724" s="596" t="s">
        <v>1510</v>
      </c>
      <c r="B724" s="541" t="s">
        <v>152</v>
      </c>
      <c r="C724" s="541" t="s">
        <v>57</v>
      </c>
      <c r="D724" s="553" t="s">
        <v>18</v>
      </c>
      <c r="E724" s="549">
        <f t="shared" ref="E724:E770" si="142">ROUND(SUMIFS(E$1721:E$1888,$A$1721:$A$1888,$A724,$B$1721:$B$1888,$B724),0)</f>
        <v>142956520</v>
      </c>
      <c r="F724" s="988">
        <f t="shared" ref="F724:P733" si="143">ROUND(SUMIFS(F$1721:F$1901,$A$1721:$A$1901,$A724,$B$1721:$B$1901,$B724),0)</f>
        <v>24000</v>
      </c>
      <c r="G724" s="988">
        <f t="shared" si="143"/>
        <v>1060737</v>
      </c>
      <c r="H724" s="988">
        <f t="shared" si="143"/>
        <v>4134303</v>
      </c>
      <c r="I724" s="988">
        <f t="shared" si="143"/>
        <v>0</v>
      </c>
      <c r="J724" s="988">
        <f t="shared" si="143"/>
        <v>219367</v>
      </c>
      <c r="K724" s="988">
        <f t="shared" si="143"/>
        <v>2244685</v>
      </c>
      <c r="L724" s="988">
        <f t="shared" si="143"/>
        <v>0</v>
      </c>
      <c r="M724" s="988">
        <f t="shared" si="143"/>
        <v>295052</v>
      </c>
      <c r="N724" s="988">
        <f t="shared" si="143"/>
        <v>0</v>
      </c>
      <c r="O724" s="988">
        <f t="shared" si="143"/>
        <v>844279</v>
      </c>
      <c r="P724" s="988">
        <f t="shared" si="143"/>
        <v>0</v>
      </c>
      <c r="Q724" s="988"/>
      <c r="R724" s="988">
        <f t="shared" ref="R724:R770" si="144">ROUND(SUMIFS(R$1721:R$1901,$A$1721:$A$1901,$A724,$B$1721:$B$1901,$B724),0)</f>
        <v>8822422</v>
      </c>
      <c r="S724" s="546">
        <f t="shared" si="138"/>
        <v>5195040</v>
      </c>
      <c r="T724" s="547">
        <f t="shared" si="139"/>
        <v>2464052</v>
      </c>
      <c r="U724" s="546">
        <f t="shared" si="140"/>
        <v>844279</v>
      </c>
      <c r="W724" s="350">
        <f t="shared" si="135"/>
        <v>8822423</v>
      </c>
      <c r="X724" s="285">
        <f t="shared" si="141"/>
        <v>1</v>
      </c>
    </row>
    <row r="725" spans="1:24" ht="12" thickBot="1">
      <c r="A725" s="596" t="s">
        <v>1510</v>
      </c>
      <c r="B725" s="541" t="s">
        <v>153</v>
      </c>
      <c r="C725" s="541" t="s">
        <v>180</v>
      </c>
      <c r="D725" s="542" t="s">
        <v>25</v>
      </c>
      <c r="E725" s="549">
        <f t="shared" si="142"/>
        <v>22620251</v>
      </c>
      <c r="F725" s="988">
        <f t="shared" si="143"/>
        <v>33150</v>
      </c>
      <c r="G725" s="988">
        <f t="shared" si="143"/>
        <v>151556</v>
      </c>
      <c r="H725" s="988">
        <f t="shared" si="143"/>
        <v>654178</v>
      </c>
      <c r="I725" s="988">
        <f t="shared" si="143"/>
        <v>0</v>
      </c>
      <c r="J725" s="988">
        <f t="shared" si="143"/>
        <v>63537</v>
      </c>
      <c r="K725" s="988">
        <f t="shared" si="143"/>
        <v>835390</v>
      </c>
      <c r="L725" s="988">
        <f t="shared" si="143"/>
        <v>32493</v>
      </c>
      <c r="M725" s="988">
        <f t="shared" si="143"/>
        <v>46687</v>
      </c>
      <c r="N725" s="988">
        <f t="shared" si="143"/>
        <v>0</v>
      </c>
      <c r="O725" s="988">
        <f t="shared" si="143"/>
        <v>133592</v>
      </c>
      <c r="P725" s="988">
        <f t="shared" si="143"/>
        <v>0</v>
      </c>
      <c r="Q725" s="988"/>
      <c r="R725" s="988">
        <f t="shared" si="144"/>
        <v>1950582</v>
      </c>
      <c r="S725" s="546">
        <f t="shared" si="138"/>
        <v>805734</v>
      </c>
      <c r="T725" s="547">
        <f t="shared" si="139"/>
        <v>898927</v>
      </c>
      <c r="U725" s="546">
        <f t="shared" si="140"/>
        <v>133592</v>
      </c>
      <c r="W725" s="350">
        <f t="shared" si="135"/>
        <v>1950583</v>
      </c>
      <c r="X725" s="285">
        <f t="shared" si="141"/>
        <v>1</v>
      </c>
    </row>
    <row r="726" spans="1:24" ht="12" thickBot="1">
      <c r="A726" s="596" t="s">
        <v>1510</v>
      </c>
      <c r="B726" s="541" t="s">
        <v>154</v>
      </c>
      <c r="C726" s="541" t="s">
        <v>181</v>
      </c>
      <c r="D726" s="542" t="s">
        <v>24</v>
      </c>
      <c r="E726" s="549">
        <f t="shared" si="142"/>
        <v>197280181</v>
      </c>
      <c r="F726" s="988">
        <f t="shared" si="143"/>
        <v>414900</v>
      </c>
      <c r="G726" s="988">
        <f t="shared" si="143"/>
        <v>1325723</v>
      </c>
      <c r="H726" s="988">
        <f t="shared" si="143"/>
        <v>5705343</v>
      </c>
      <c r="I726" s="988">
        <f t="shared" si="143"/>
        <v>0</v>
      </c>
      <c r="J726" s="988">
        <f t="shared" si="143"/>
        <v>666058</v>
      </c>
      <c r="K726" s="988">
        <f t="shared" si="143"/>
        <v>8769758</v>
      </c>
      <c r="L726" s="988">
        <f t="shared" si="143"/>
        <v>283388</v>
      </c>
      <c r="M726" s="988">
        <f t="shared" si="143"/>
        <v>407172</v>
      </c>
      <c r="N726" s="988">
        <f t="shared" si="143"/>
        <v>0</v>
      </c>
      <c r="O726" s="988">
        <f t="shared" si="143"/>
        <v>1165106</v>
      </c>
      <c r="P726" s="988">
        <f t="shared" si="143"/>
        <v>0</v>
      </c>
      <c r="Q726" s="988"/>
      <c r="R726" s="988">
        <f t="shared" si="144"/>
        <v>18737447</v>
      </c>
      <c r="S726" s="546">
        <f t="shared" si="138"/>
        <v>7031066</v>
      </c>
      <c r="T726" s="547">
        <f t="shared" si="139"/>
        <v>9435816</v>
      </c>
      <c r="U726" s="546">
        <f t="shared" si="140"/>
        <v>1165106</v>
      </c>
      <c r="W726" s="350">
        <f t="shared" si="135"/>
        <v>18737448</v>
      </c>
      <c r="X726" s="285">
        <f t="shared" si="141"/>
        <v>1</v>
      </c>
    </row>
    <row r="727" spans="1:24" ht="12" thickBot="1">
      <c r="A727" s="596" t="s">
        <v>1510</v>
      </c>
      <c r="B727" s="541" t="s">
        <v>155</v>
      </c>
      <c r="C727" s="541" t="s">
        <v>182</v>
      </c>
      <c r="D727" s="554" t="s">
        <v>205</v>
      </c>
      <c r="E727" s="549">
        <f t="shared" si="142"/>
        <v>279162975</v>
      </c>
      <c r="F727" s="988">
        <f t="shared" si="143"/>
        <v>15600</v>
      </c>
      <c r="G727" s="988">
        <f t="shared" si="143"/>
        <v>2437093</v>
      </c>
      <c r="H727" s="988">
        <f t="shared" si="143"/>
        <v>8073393</v>
      </c>
      <c r="I727" s="988">
        <f t="shared" si="143"/>
        <v>0</v>
      </c>
      <c r="J727" s="988">
        <f t="shared" si="143"/>
        <v>419160</v>
      </c>
      <c r="K727" s="988">
        <f t="shared" si="143"/>
        <v>4235465</v>
      </c>
      <c r="L727" s="988">
        <f t="shared" si="143"/>
        <v>401010</v>
      </c>
      <c r="M727" s="988">
        <f t="shared" si="143"/>
        <v>576172</v>
      </c>
      <c r="N727" s="988">
        <f t="shared" si="143"/>
        <v>0</v>
      </c>
      <c r="O727" s="988">
        <f t="shared" si="143"/>
        <v>1648694</v>
      </c>
      <c r="P727" s="988">
        <f t="shared" si="143"/>
        <v>0</v>
      </c>
      <c r="Q727" s="988"/>
      <c r="R727" s="988">
        <f t="shared" si="144"/>
        <v>17806586</v>
      </c>
      <c r="S727" s="546">
        <f t="shared" si="138"/>
        <v>10510486</v>
      </c>
      <c r="T727" s="547">
        <f t="shared" si="139"/>
        <v>4654625</v>
      </c>
      <c r="U727" s="546">
        <f t="shared" si="140"/>
        <v>1648694</v>
      </c>
      <c r="W727" s="350">
        <f t="shared" si="135"/>
        <v>17806587</v>
      </c>
      <c r="X727" s="285">
        <f t="shared" si="141"/>
        <v>1</v>
      </c>
    </row>
    <row r="728" spans="1:24" ht="12" thickBot="1">
      <c r="A728" s="596" t="s">
        <v>1510</v>
      </c>
      <c r="B728" s="541" t="s">
        <v>156</v>
      </c>
      <c r="C728" s="541" t="s">
        <v>183</v>
      </c>
      <c r="D728" s="554" t="s">
        <v>25</v>
      </c>
      <c r="E728" s="549">
        <f t="shared" si="142"/>
        <v>0</v>
      </c>
      <c r="F728" s="988">
        <f t="shared" si="143"/>
        <v>0</v>
      </c>
      <c r="G728" s="988">
        <f t="shared" si="143"/>
        <v>0</v>
      </c>
      <c r="H728" s="988">
        <f t="shared" si="143"/>
        <v>0</v>
      </c>
      <c r="I728" s="988">
        <f t="shared" si="143"/>
        <v>0</v>
      </c>
      <c r="J728" s="988">
        <f t="shared" si="143"/>
        <v>0</v>
      </c>
      <c r="K728" s="988">
        <f t="shared" si="143"/>
        <v>0</v>
      </c>
      <c r="L728" s="988">
        <f t="shared" si="143"/>
        <v>0</v>
      </c>
      <c r="M728" s="988">
        <f t="shared" si="143"/>
        <v>0</v>
      </c>
      <c r="N728" s="988">
        <f t="shared" si="143"/>
        <v>0</v>
      </c>
      <c r="O728" s="988">
        <f t="shared" si="143"/>
        <v>0</v>
      </c>
      <c r="P728" s="988">
        <f t="shared" si="143"/>
        <v>0</v>
      </c>
      <c r="Q728" s="988"/>
      <c r="R728" s="988">
        <f t="shared" si="144"/>
        <v>0</v>
      </c>
      <c r="S728" s="546">
        <f t="shared" si="138"/>
        <v>0</v>
      </c>
      <c r="T728" s="547">
        <f t="shared" si="139"/>
        <v>0</v>
      </c>
      <c r="U728" s="546">
        <f t="shared" si="140"/>
        <v>0</v>
      </c>
      <c r="W728" s="350">
        <f t="shared" si="135"/>
        <v>0</v>
      </c>
      <c r="X728" s="285">
        <f t="shared" si="141"/>
        <v>0</v>
      </c>
    </row>
    <row r="729" spans="1:24" ht="12" thickBot="1">
      <c r="A729" s="596" t="s">
        <v>1510</v>
      </c>
      <c r="B729" s="541" t="s">
        <v>157</v>
      </c>
      <c r="C729" s="541" t="s">
        <v>184</v>
      </c>
      <c r="D729" s="554" t="s">
        <v>24</v>
      </c>
      <c r="E729" s="549">
        <f t="shared" si="142"/>
        <v>0</v>
      </c>
      <c r="F729" s="988">
        <f t="shared" si="143"/>
        <v>0</v>
      </c>
      <c r="G729" s="988">
        <f t="shared" si="143"/>
        <v>0</v>
      </c>
      <c r="H729" s="988">
        <f t="shared" si="143"/>
        <v>0</v>
      </c>
      <c r="I729" s="988">
        <f t="shared" si="143"/>
        <v>0</v>
      </c>
      <c r="J729" s="988">
        <f t="shared" si="143"/>
        <v>0</v>
      </c>
      <c r="K729" s="988">
        <f t="shared" si="143"/>
        <v>0</v>
      </c>
      <c r="L729" s="988">
        <f t="shared" si="143"/>
        <v>0</v>
      </c>
      <c r="M729" s="988">
        <f t="shared" si="143"/>
        <v>0</v>
      </c>
      <c r="N729" s="988">
        <f t="shared" si="143"/>
        <v>0</v>
      </c>
      <c r="O729" s="988">
        <f t="shared" si="143"/>
        <v>0</v>
      </c>
      <c r="P729" s="988">
        <f t="shared" si="143"/>
        <v>0</v>
      </c>
      <c r="Q729" s="988"/>
      <c r="R729" s="988">
        <f t="shared" si="144"/>
        <v>0</v>
      </c>
      <c r="S729" s="546">
        <f t="shared" si="138"/>
        <v>0</v>
      </c>
      <c r="T729" s="547">
        <f t="shared" si="139"/>
        <v>0</v>
      </c>
      <c r="U729" s="546">
        <f t="shared" si="140"/>
        <v>0</v>
      </c>
      <c r="W729" s="350">
        <f t="shared" si="135"/>
        <v>0</v>
      </c>
      <c r="X729" s="285">
        <f t="shared" si="141"/>
        <v>0</v>
      </c>
    </row>
    <row r="730" spans="1:24" ht="12" thickBot="1">
      <c r="A730" s="596" t="s">
        <v>1510</v>
      </c>
      <c r="B730" s="541" t="s">
        <v>158</v>
      </c>
      <c r="C730" s="541" t="s">
        <v>185</v>
      </c>
      <c r="D730" s="542" t="s">
        <v>205</v>
      </c>
      <c r="E730" s="549">
        <f t="shared" si="142"/>
        <v>116178634</v>
      </c>
      <c r="F730" s="988">
        <f t="shared" si="143"/>
        <v>63300</v>
      </c>
      <c r="G730" s="988">
        <f t="shared" si="143"/>
        <v>1014239</v>
      </c>
      <c r="H730" s="988">
        <f t="shared" si="143"/>
        <v>3359886</v>
      </c>
      <c r="I730" s="988">
        <f t="shared" si="143"/>
        <v>0</v>
      </c>
      <c r="J730" s="988">
        <f t="shared" si="143"/>
        <v>210750</v>
      </c>
      <c r="K730" s="988">
        <f t="shared" si="143"/>
        <v>2127109</v>
      </c>
      <c r="L730" s="988">
        <f t="shared" si="143"/>
        <v>166888</v>
      </c>
      <c r="M730" s="988">
        <f t="shared" si="143"/>
        <v>239784</v>
      </c>
      <c r="N730" s="988">
        <f t="shared" si="143"/>
        <v>0</v>
      </c>
      <c r="O730" s="988">
        <f t="shared" si="143"/>
        <v>686133</v>
      </c>
      <c r="P730" s="988">
        <f t="shared" si="143"/>
        <v>0</v>
      </c>
      <c r="Q730" s="988"/>
      <c r="R730" s="988">
        <f t="shared" si="144"/>
        <v>7868089</v>
      </c>
      <c r="S730" s="546">
        <f t="shared" si="138"/>
        <v>4374125</v>
      </c>
      <c r="T730" s="547">
        <f t="shared" si="139"/>
        <v>2337859</v>
      </c>
      <c r="U730" s="546">
        <f t="shared" si="140"/>
        <v>686133</v>
      </c>
      <c r="W730" s="350">
        <f t="shared" si="135"/>
        <v>7868089</v>
      </c>
      <c r="X730" s="285">
        <f t="shared" si="141"/>
        <v>0</v>
      </c>
    </row>
    <row r="731" spans="1:24" ht="12" thickBot="1">
      <c r="A731" s="596" t="s">
        <v>1510</v>
      </c>
      <c r="B731" s="541" t="s">
        <v>159</v>
      </c>
      <c r="C731" s="541" t="s">
        <v>186</v>
      </c>
      <c r="D731" s="542" t="s">
        <v>204</v>
      </c>
      <c r="E731" s="549">
        <f t="shared" si="142"/>
        <v>150027765</v>
      </c>
      <c r="F731" s="988">
        <f t="shared" si="143"/>
        <v>94400</v>
      </c>
      <c r="G731" s="988">
        <f t="shared" si="143"/>
        <v>1321745</v>
      </c>
      <c r="H731" s="988">
        <f t="shared" si="143"/>
        <v>4338803</v>
      </c>
      <c r="I731" s="988">
        <f t="shared" si="143"/>
        <v>0</v>
      </c>
      <c r="J731" s="988">
        <f t="shared" si="143"/>
        <v>329216</v>
      </c>
      <c r="K731" s="988">
        <f t="shared" si="143"/>
        <v>3361263</v>
      </c>
      <c r="L731" s="988">
        <f t="shared" si="143"/>
        <v>215511</v>
      </c>
      <c r="M731" s="988">
        <f t="shared" si="143"/>
        <v>309646</v>
      </c>
      <c r="N731" s="988">
        <f t="shared" si="143"/>
        <v>0</v>
      </c>
      <c r="O731" s="988">
        <f t="shared" si="143"/>
        <v>886041</v>
      </c>
      <c r="P731" s="988">
        <f t="shared" si="143"/>
        <v>0</v>
      </c>
      <c r="Q731" s="988"/>
      <c r="R731" s="988">
        <f t="shared" si="144"/>
        <v>10856624</v>
      </c>
      <c r="S731" s="546">
        <f t="shared" si="138"/>
        <v>5660548</v>
      </c>
      <c r="T731" s="547">
        <f t="shared" si="139"/>
        <v>3690479</v>
      </c>
      <c r="U731" s="546">
        <f t="shared" si="140"/>
        <v>886041</v>
      </c>
      <c r="W731" s="350">
        <f t="shared" si="135"/>
        <v>10856625</v>
      </c>
      <c r="X731" s="285">
        <f t="shared" si="141"/>
        <v>1</v>
      </c>
    </row>
    <row r="732" spans="1:24" ht="12" thickBot="1">
      <c r="A732" s="596" t="s">
        <v>1510</v>
      </c>
      <c r="B732" s="541" t="s">
        <v>160</v>
      </c>
      <c r="C732" s="541" t="s">
        <v>187</v>
      </c>
      <c r="D732" s="542" t="s">
        <v>24</v>
      </c>
      <c r="E732" s="549">
        <f t="shared" si="142"/>
        <v>0</v>
      </c>
      <c r="F732" s="988">
        <f t="shared" si="143"/>
        <v>0</v>
      </c>
      <c r="G732" s="988">
        <f t="shared" si="143"/>
        <v>0</v>
      </c>
      <c r="H732" s="988">
        <f t="shared" si="143"/>
        <v>0</v>
      </c>
      <c r="I732" s="988">
        <f t="shared" si="143"/>
        <v>0</v>
      </c>
      <c r="J732" s="988">
        <f t="shared" si="143"/>
        <v>0</v>
      </c>
      <c r="K732" s="988">
        <f t="shared" si="143"/>
        <v>0</v>
      </c>
      <c r="L732" s="988">
        <f t="shared" si="143"/>
        <v>0</v>
      </c>
      <c r="M732" s="988">
        <f t="shared" si="143"/>
        <v>0</v>
      </c>
      <c r="N732" s="988">
        <f t="shared" si="143"/>
        <v>0</v>
      </c>
      <c r="O732" s="988">
        <f t="shared" si="143"/>
        <v>0</v>
      </c>
      <c r="P732" s="988">
        <f t="shared" si="143"/>
        <v>0</v>
      </c>
      <c r="Q732" s="988"/>
      <c r="R732" s="988">
        <f t="shared" si="144"/>
        <v>0</v>
      </c>
      <c r="S732" s="546">
        <f t="shared" si="138"/>
        <v>0</v>
      </c>
      <c r="T732" s="547">
        <f t="shared" si="139"/>
        <v>0</v>
      </c>
      <c r="U732" s="546">
        <f t="shared" si="140"/>
        <v>0</v>
      </c>
      <c r="W732" s="350">
        <f t="shared" si="135"/>
        <v>0</v>
      </c>
      <c r="X732" s="285">
        <f t="shared" si="141"/>
        <v>0</v>
      </c>
    </row>
    <row r="733" spans="1:24" ht="12" thickBot="1">
      <c r="A733" s="596" t="s">
        <v>1510</v>
      </c>
      <c r="B733" s="541" t="s">
        <v>1050</v>
      </c>
      <c r="C733" s="541" t="s">
        <v>1049</v>
      </c>
      <c r="D733" s="542" t="s">
        <v>1146</v>
      </c>
      <c r="E733" s="549">
        <f t="shared" si="142"/>
        <v>0</v>
      </c>
      <c r="F733" s="988">
        <f t="shared" si="143"/>
        <v>0</v>
      </c>
      <c r="G733" s="988">
        <f t="shared" si="143"/>
        <v>0</v>
      </c>
      <c r="H733" s="988">
        <f t="shared" si="143"/>
        <v>0</v>
      </c>
      <c r="I733" s="988">
        <f t="shared" si="143"/>
        <v>0</v>
      </c>
      <c r="J733" s="988">
        <f t="shared" si="143"/>
        <v>0</v>
      </c>
      <c r="K733" s="988">
        <f t="shared" si="143"/>
        <v>0</v>
      </c>
      <c r="L733" s="988">
        <f t="shared" si="143"/>
        <v>0</v>
      </c>
      <c r="M733" s="988">
        <f t="shared" si="143"/>
        <v>0</v>
      </c>
      <c r="N733" s="988">
        <f t="shared" si="143"/>
        <v>0</v>
      </c>
      <c r="O733" s="988">
        <f t="shared" si="143"/>
        <v>0</v>
      </c>
      <c r="P733" s="988">
        <f t="shared" si="143"/>
        <v>0</v>
      </c>
      <c r="Q733" s="988"/>
      <c r="R733" s="988">
        <f t="shared" si="144"/>
        <v>0</v>
      </c>
      <c r="S733" s="546">
        <f t="shared" si="138"/>
        <v>0</v>
      </c>
      <c r="T733" s="547">
        <f t="shared" si="139"/>
        <v>0</v>
      </c>
      <c r="U733" s="546">
        <f t="shared" si="140"/>
        <v>0</v>
      </c>
      <c r="W733" s="350">
        <f t="shared" si="135"/>
        <v>0</v>
      </c>
      <c r="X733" s="285">
        <f t="shared" si="141"/>
        <v>0</v>
      </c>
    </row>
    <row r="734" spans="1:24" ht="12" thickBot="1">
      <c r="A734" s="596" t="s">
        <v>1510</v>
      </c>
      <c r="B734" s="541" t="s">
        <v>161</v>
      </c>
      <c r="C734" s="541" t="s">
        <v>476</v>
      </c>
      <c r="D734" s="541" t="s">
        <v>208</v>
      </c>
      <c r="E734" s="549">
        <f t="shared" si="142"/>
        <v>67544147</v>
      </c>
      <c r="F734" s="988">
        <f t="shared" ref="F734:P743" si="145">ROUND(SUMIFS(F$1721:F$1901,$A$1721:$A$1901,$A734,$B$1721:$B$1901,$B734),0)</f>
        <v>1271517</v>
      </c>
      <c r="G734" s="988">
        <f t="shared" si="145"/>
        <v>3959438</v>
      </c>
      <c r="H734" s="988">
        <f t="shared" si="145"/>
        <v>1953377</v>
      </c>
      <c r="I734" s="988">
        <f t="shared" si="145"/>
        <v>318133</v>
      </c>
      <c r="J734" s="988">
        <f t="shared" si="145"/>
        <v>0</v>
      </c>
      <c r="K734" s="988">
        <f t="shared" si="145"/>
        <v>0</v>
      </c>
      <c r="L734" s="988">
        <f t="shared" si="145"/>
        <v>97025</v>
      </c>
      <c r="M734" s="988">
        <f t="shared" si="145"/>
        <v>139406</v>
      </c>
      <c r="N734" s="988">
        <f t="shared" si="145"/>
        <v>0</v>
      </c>
      <c r="O734" s="988">
        <f t="shared" si="145"/>
        <v>398905</v>
      </c>
      <c r="P734" s="988">
        <f t="shared" si="145"/>
        <v>0</v>
      </c>
      <c r="Q734" s="988"/>
      <c r="R734" s="988">
        <f t="shared" si="144"/>
        <v>8137801</v>
      </c>
      <c r="S734" s="546">
        <f t="shared" si="138"/>
        <v>6230948</v>
      </c>
      <c r="T734" s="547">
        <f t="shared" si="139"/>
        <v>0</v>
      </c>
      <c r="U734" s="546">
        <f t="shared" si="140"/>
        <v>398905</v>
      </c>
      <c r="W734" s="350">
        <f t="shared" si="135"/>
        <v>8137801</v>
      </c>
      <c r="X734" s="285">
        <f t="shared" si="141"/>
        <v>0</v>
      </c>
    </row>
    <row r="735" spans="1:24" ht="12" thickBot="1">
      <c r="A735" s="596" t="s">
        <v>1510</v>
      </c>
      <c r="B735" s="541" t="s">
        <v>162</v>
      </c>
      <c r="C735" s="541" t="s">
        <v>1391</v>
      </c>
      <c r="D735" s="561" t="s">
        <v>208</v>
      </c>
      <c r="E735" s="549">
        <f t="shared" si="142"/>
        <v>0</v>
      </c>
      <c r="F735" s="988">
        <f t="shared" si="145"/>
        <v>0</v>
      </c>
      <c r="G735" s="988">
        <f t="shared" si="145"/>
        <v>0</v>
      </c>
      <c r="H735" s="988">
        <f t="shared" si="145"/>
        <v>0</v>
      </c>
      <c r="I735" s="988">
        <f t="shared" si="145"/>
        <v>0</v>
      </c>
      <c r="J735" s="988">
        <f t="shared" si="145"/>
        <v>0</v>
      </c>
      <c r="K735" s="988">
        <f t="shared" si="145"/>
        <v>0</v>
      </c>
      <c r="L735" s="988">
        <f t="shared" si="145"/>
        <v>0</v>
      </c>
      <c r="M735" s="988">
        <f t="shared" si="145"/>
        <v>0</v>
      </c>
      <c r="N735" s="988">
        <f t="shared" si="145"/>
        <v>0</v>
      </c>
      <c r="O735" s="988">
        <f t="shared" si="145"/>
        <v>0</v>
      </c>
      <c r="P735" s="988">
        <f t="shared" si="145"/>
        <v>0</v>
      </c>
      <c r="Q735" s="988"/>
      <c r="R735" s="988">
        <f t="shared" si="144"/>
        <v>0</v>
      </c>
      <c r="S735" s="546">
        <f t="shared" si="138"/>
        <v>0</v>
      </c>
      <c r="T735" s="547">
        <f t="shared" si="139"/>
        <v>0</v>
      </c>
      <c r="U735" s="546">
        <f t="shared" si="140"/>
        <v>0</v>
      </c>
      <c r="W735" s="350">
        <f t="shared" si="135"/>
        <v>0</v>
      </c>
      <c r="X735" s="285">
        <f t="shared" si="141"/>
        <v>0</v>
      </c>
    </row>
    <row r="736" spans="1:24" ht="12" thickBot="1">
      <c r="A736" s="596" t="s">
        <v>1510</v>
      </c>
      <c r="B736" s="541" t="s">
        <v>163</v>
      </c>
      <c r="C736" s="541" t="s">
        <v>63</v>
      </c>
      <c r="D736" s="542" t="s">
        <v>17</v>
      </c>
      <c r="E736" s="549">
        <f t="shared" si="142"/>
        <v>98940301</v>
      </c>
      <c r="F736" s="988">
        <f t="shared" si="145"/>
        <v>650446</v>
      </c>
      <c r="G736" s="988">
        <f t="shared" si="145"/>
        <v>5799880</v>
      </c>
      <c r="H736" s="988">
        <f t="shared" si="145"/>
        <v>2861353</v>
      </c>
      <c r="I736" s="988">
        <f t="shared" si="145"/>
        <v>466009</v>
      </c>
      <c r="J736" s="988">
        <f t="shared" si="145"/>
        <v>0</v>
      </c>
      <c r="K736" s="988">
        <f t="shared" si="145"/>
        <v>0</v>
      </c>
      <c r="L736" s="988">
        <f t="shared" si="145"/>
        <v>142125</v>
      </c>
      <c r="M736" s="988">
        <f t="shared" si="145"/>
        <v>204206</v>
      </c>
      <c r="N736" s="988">
        <f t="shared" si="145"/>
        <v>584326</v>
      </c>
      <c r="O736" s="988">
        <f t="shared" si="145"/>
        <v>0</v>
      </c>
      <c r="P736" s="988">
        <f t="shared" si="145"/>
        <v>0</v>
      </c>
      <c r="Q736" s="988"/>
      <c r="R736" s="988">
        <f t="shared" si="144"/>
        <v>10708345</v>
      </c>
      <c r="S736" s="546">
        <f t="shared" si="138"/>
        <v>9127242</v>
      </c>
      <c r="T736" s="547">
        <f t="shared" si="139"/>
        <v>0</v>
      </c>
      <c r="U736" s="546">
        <f t="shared" si="140"/>
        <v>584326</v>
      </c>
      <c r="W736" s="350">
        <f t="shared" si="135"/>
        <v>10708345</v>
      </c>
      <c r="X736" s="285">
        <f t="shared" si="141"/>
        <v>0</v>
      </c>
    </row>
    <row r="737" spans="1:24" ht="12" thickBot="1">
      <c r="A737" s="596" t="s">
        <v>1510</v>
      </c>
      <c r="B737" s="541" t="s">
        <v>164</v>
      </c>
      <c r="C737" s="541" t="s">
        <v>188</v>
      </c>
      <c r="D737" s="555" t="s">
        <v>203</v>
      </c>
      <c r="E737" s="549">
        <f t="shared" si="142"/>
        <v>632032</v>
      </c>
      <c r="F737" s="988">
        <f t="shared" si="145"/>
        <v>7640</v>
      </c>
      <c r="G737" s="988">
        <f t="shared" si="145"/>
        <v>26754</v>
      </c>
      <c r="H737" s="988">
        <f t="shared" si="145"/>
        <v>18278</v>
      </c>
      <c r="I737" s="988">
        <f t="shared" si="145"/>
        <v>1991</v>
      </c>
      <c r="J737" s="988">
        <f t="shared" si="145"/>
        <v>0</v>
      </c>
      <c r="K737" s="988">
        <f t="shared" si="145"/>
        <v>0</v>
      </c>
      <c r="L737" s="988">
        <f t="shared" si="145"/>
        <v>908</v>
      </c>
      <c r="M737" s="988">
        <f t="shared" si="145"/>
        <v>1304</v>
      </c>
      <c r="N737" s="988">
        <f t="shared" si="145"/>
        <v>3733</v>
      </c>
      <c r="O737" s="988">
        <f t="shared" si="145"/>
        <v>0</v>
      </c>
      <c r="P737" s="988">
        <f t="shared" si="145"/>
        <v>0</v>
      </c>
      <c r="Q737" s="988"/>
      <c r="R737" s="988">
        <f t="shared" si="144"/>
        <v>60608</v>
      </c>
      <c r="S737" s="546">
        <f t="shared" si="138"/>
        <v>47023</v>
      </c>
      <c r="T737" s="547">
        <f t="shared" si="139"/>
        <v>0</v>
      </c>
      <c r="U737" s="546">
        <f t="shared" si="140"/>
        <v>3733</v>
      </c>
      <c r="W737" s="350">
        <f t="shared" si="135"/>
        <v>60608</v>
      </c>
      <c r="X737" s="285">
        <f t="shared" si="141"/>
        <v>0</v>
      </c>
    </row>
    <row r="738" spans="1:24" ht="12" thickBot="1">
      <c r="A738" s="596" t="s">
        <v>1510</v>
      </c>
      <c r="B738" s="541" t="s">
        <v>165</v>
      </c>
      <c r="C738" s="541" t="s">
        <v>189</v>
      </c>
      <c r="D738" s="554" t="s">
        <v>211</v>
      </c>
      <c r="E738" s="549">
        <f t="shared" si="142"/>
        <v>0</v>
      </c>
      <c r="F738" s="988">
        <f t="shared" si="145"/>
        <v>0</v>
      </c>
      <c r="G738" s="988">
        <f t="shared" si="145"/>
        <v>0</v>
      </c>
      <c r="H738" s="988">
        <f t="shared" si="145"/>
        <v>0</v>
      </c>
      <c r="I738" s="988">
        <f t="shared" si="145"/>
        <v>0</v>
      </c>
      <c r="J738" s="988">
        <f t="shared" si="145"/>
        <v>0</v>
      </c>
      <c r="K738" s="988">
        <f t="shared" si="145"/>
        <v>0</v>
      </c>
      <c r="L738" s="988">
        <f t="shared" si="145"/>
        <v>0</v>
      </c>
      <c r="M738" s="988">
        <f t="shared" si="145"/>
        <v>0</v>
      </c>
      <c r="N738" s="988">
        <f t="shared" si="145"/>
        <v>0</v>
      </c>
      <c r="O738" s="988">
        <f t="shared" si="145"/>
        <v>0</v>
      </c>
      <c r="P738" s="988">
        <f t="shared" si="145"/>
        <v>0</v>
      </c>
      <c r="Q738" s="988"/>
      <c r="R738" s="988">
        <f t="shared" si="144"/>
        <v>0</v>
      </c>
      <c r="S738" s="546">
        <f t="shared" si="138"/>
        <v>0</v>
      </c>
      <c r="T738" s="547">
        <f t="shared" si="139"/>
        <v>0</v>
      </c>
      <c r="U738" s="546">
        <f t="shared" si="140"/>
        <v>0</v>
      </c>
      <c r="W738" s="350">
        <f t="shared" si="135"/>
        <v>0</v>
      </c>
      <c r="X738" s="285">
        <f t="shared" si="141"/>
        <v>0</v>
      </c>
    </row>
    <row r="739" spans="1:24" ht="12" thickBot="1">
      <c r="A739" s="596" t="s">
        <v>1510</v>
      </c>
      <c r="B739" s="541" t="s">
        <v>166</v>
      </c>
      <c r="C739" s="541" t="s">
        <v>190</v>
      </c>
      <c r="D739" s="554" t="s">
        <v>212</v>
      </c>
      <c r="E739" s="549">
        <f t="shared" si="142"/>
        <v>0</v>
      </c>
      <c r="F739" s="988">
        <f t="shared" si="145"/>
        <v>0</v>
      </c>
      <c r="G739" s="988">
        <f t="shared" si="145"/>
        <v>0</v>
      </c>
      <c r="H739" s="988">
        <f t="shared" si="145"/>
        <v>0</v>
      </c>
      <c r="I739" s="988">
        <f t="shared" si="145"/>
        <v>0</v>
      </c>
      <c r="J739" s="988">
        <f t="shared" si="145"/>
        <v>0</v>
      </c>
      <c r="K739" s="988">
        <f t="shared" si="145"/>
        <v>0</v>
      </c>
      <c r="L739" s="988">
        <f t="shared" si="145"/>
        <v>0</v>
      </c>
      <c r="M739" s="988">
        <f t="shared" si="145"/>
        <v>0</v>
      </c>
      <c r="N739" s="988">
        <f t="shared" si="145"/>
        <v>0</v>
      </c>
      <c r="O739" s="988">
        <f t="shared" si="145"/>
        <v>0</v>
      </c>
      <c r="P739" s="988">
        <f t="shared" si="145"/>
        <v>0</v>
      </c>
      <c r="Q739" s="988"/>
      <c r="R739" s="988">
        <f t="shared" si="144"/>
        <v>0</v>
      </c>
      <c r="S739" s="546">
        <f t="shared" si="138"/>
        <v>0</v>
      </c>
      <c r="T739" s="547">
        <f t="shared" si="139"/>
        <v>0</v>
      </c>
      <c r="U739" s="546">
        <f t="shared" si="140"/>
        <v>0</v>
      </c>
      <c r="W739" s="350">
        <f t="shared" si="135"/>
        <v>0</v>
      </c>
      <c r="X739" s="285">
        <f t="shared" si="141"/>
        <v>0</v>
      </c>
    </row>
    <row r="740" spans="1:24" ht="12" thickBot="1">
      <c r="A740" s="596" t="s">
        <v>1510</v>
      </c>
      <c r="B740" s="541" t="s">
        <v>167</v>
      </c>
      <c r="C740" s="541" t="s">
        <v>191</v>
      </c>
      <c r="D740" s="554" t="s">
        <v>213</v>
      </c>
      <c r="E740" s="549">
        <f t="shared" si="142"/>
        <v>11714400</v>
      </c>
      <c r="F740" s="988">
        <f t="shared" si="145"/>
        <v>9275</v>
      </c>
      <c r="G740" s="988">
        <f t="shared" si="145"/>
        <v>495871</v>
      </c>
      <c r="H740" s="988">
        <f t="shared" si="145"/>
        <v>338780</v>
      </c>
      <c r="I740" s="988">
        <f t="shared" si="145"/>
        <v>36900</v>
      </c>
      <c r="J740" s="988">
        <f t="shared" si="145"/>
        <v>0</v>
      </c>
      <c r="K740" s="988">
        <f t="shared" si="145"/>
        <v>0</v>
      </c>
      <c r="L740" s="988">
        <f t="shared" si="145"/>
        <v>16827</v>
      </c>
      <c r="M740" s="988">
        <f t="shared" si="145"/>
        <v>24178</v>
      </c>
      <c r="N740" s="988">
        <f t="shared" si="145"/>
        <v>69183</v>
      </c>
      <c r="O740" s="988">
        <f t="shared" si="145"/>
        <v>0</v>
      </c>
      <c r="P740" s="988">
        <f t="shared" si="145"/>
        <v>0</v>
      </c>
      <c r="Q740" s="988"/>
      <c r="R740" s="988">
        <f t="shared" si="144"/>
        <v>991015</v>
      </c>
      <c r="S740" s="546">
        <f t="shared" si="138"/>
        <v>871551</v>
      </c>
      <c r="T740" s="547">
        <f t="shared" si="139"/>
        <v>0</v>
      </c>
      <c r="U740" s="546">
        <f t="shared" si="140"/>
        <v>69183</v>
      </c>
      <c r="W740" s="350">
        <f t="shared" si="135"/>
        <v>991014</v>
      </c>
      <c r="X740" s="285">
        <f t="shared" si="141"/>
        <v>-1</v>
      </c>
    </row>
    <row r="741" spans="1:24" ht="12" thickBot="1">
      <c r="A741" s="596" t="s">
        <v>1510</v>
      </c>
      <c r="B741" s="541" t="s">
        <v>683</v>
      </c>
      <c r="C741" s="541" t="s">
        <v>686</v>
      </c>
      <c r="D741" s="554" t="s">
        <v>723</v>
      </c>
      <c r="E741" s="549">
        <f t="shared" si="142"/>
        <v>0</v>
      </c>
      <c r="F741" s="988">
        <f t="shared" si="145"/>
        <v>0</v>
      </c>
      <c r="G741" s="988">
        <f t="shared" si="145"/>
        <v>0</v>
      </c>
      <c r="H741" s="988">
        <f t="shared" si="145"/>
        <v>0</v>
      </c>
      <c r="I741" s="988">
        <f t="shared" si="145"/>
        <v>0</v>
      </c>
      <c r="J741" s="988">
        <f t="shared" si="145"/>
        <v>0</v>
      </c>
      <c r="K741" s="988">
        <f t="shared" si="145"/>
        <v>0</v>
      </c>
      <c r="L741" s="988">
        <f t="shared" si="145"/>
        <v>0</v>
      </c>
      <c r="M741" s="988">
        <f t="shared" si="145"/>
        <v>0</v>
      </c>
      <c r="N741" s="988">
        <f t="shared" si="145"/>
        <v>0</v>
      </c>
      <c r="O741" s="988">
        <f t="shared" si="145"/>
        <v>0</v>
      </c>
      <c r="P741" s="988">
        <f t="shared" si="145"/>
        <v>0</v>
      </c>
      <c r="Q741" s="988"/>
      <c r="R741" s="988">
        <f t="shared" si="144"/>
        <v>0</v>
      </c>
      <c r="S741" s="546">
        <f t="shared" si="138"/>
        <v>0</v>
      </c>
      <c r="T741" s="547">
        <f t="shared" si="139"/>
        <v>0</v>
      </c>
      <c r="U741" s="546">
        <f t="shared" si="140"/>
        <v>0</v>
      </c>
      <c r="W741" s="350">
        <f t="shared" si="135"/>
        <v>0</v>
      </c>
      <c r="X741" s="285">
        <f t="shared" si="141"/>
        <v>0</v>
      </c>
    </row>
    <row r="742" spans="1:24" ht="12" thickBot="1">
      <c r="A742" s="596" t="s">
        <v>1510</v>
      </c>
      <c r="B742" s="541" t="s">
        <v>684</v>
      </c>
      <c r="C742" s="541" t="s">
        <v>687</v>
      </c>
      <c r="D742" s="554" t="s">
        <v>707</v>
      </c>
      <c r="E742" s="549">
        <f t="shared" si="142"/>
        <v>0</v>
      </c>
      <c r="F742" s="988">
        <f t="shared" si="145"/>
        <v>0</v>
      </c>
      <c r="G742" s="988">
        <f t="shared" si="145"/>
        <v>0</v>
      </c>
      <c r="H742" s="988">
        <f t="shared" si="145"/>
        <v>0</v>
      </c>
      <c r="I742" s="988">
        <f t="shared" si="145"/>
        <v>0</v>
      </c>
      <c r="J742" s="988">
        <f t="shared" si="145"/>
        <v>0</v>
      </c>
      <c r="K742" s="988">
        <f t="shared" si="145"/>
        <v>0</v>
      </c>
      <c r="L742" s="988">
        <f t="shared" si="145"/>
        <v>0</v>
      </c>
      <c r="M742" s="988">
        <f t="shared" si="145"/>
        <v>0</v>
      </c>
      <c r="N742" s="988">
        <f t="shared" si="145"/>
        <v>0</v>
      </c>
      <c r="O742" s="988">
        <f t="shared" si="145"/>
        <v>0</v>
      </c>
      <c r="P742" s="988">
        <f t="shared" si="145"/>
        <v>0</v>
      </c>
      <c r="Q742" s="988"/>
      <c r="R742" s="988">
        <f t="shared" si="144"/>
        <v>0</v>
      </c>
      <c r="S742" s="546">
        <f t="shared" si="138"/>
        <v>0</v>
      </c>
      <c r="T742" s="547">
        <f t="shared" si="139"/>
        <v>0</v>
      </c>
      <c r="U742" s="546">
        <f t="shared" si="140"/>
        <v>0</v>
      </c>
      <c r="W742" s="350">
        <f t="shared" si="135"/>
        <v>0</v>
      </c>
      <c r="X742" s="285">
        <f t="shared" si="141"/>
        <v>0</v>
      </c>
    </row>
    <row r="743" spans="1:24" ht="12" thickBot="1">
      <c r="A743" s="596" t="s">
        <v>1510</v>
      </c>
      <c r="B743" s="541" t="s">
        <v>685</v>
      </c>
      <c r="C743" s="541" t="s">
        <v>688</v>
      </c>
      <c r="D743" s="542" t="s">
        <v>1145</v>
      </c>
      <c r="E743" s="549">
        <f t="shared" si="142"/>
        <v>0</v>
      </c>
      <c r="F743" s="988">
        <f t="shared" si="145"/>
        <v>0</v>
      </c>
      <c r="G743" s="988">
        <f t="shared" si="145"/>
        <v>0</v>
      </c>
      <c r="H743" s="988">
        <f t="shared" si="145"/>
        <v>0</v>
      </c>
      <c r="I743" s="988">
        <f t="shared" si="145"/>
        <v>0</v>
      </c>
      <c r="J743" s="988">
        <f t="shared" si="145"/>
        <v>0</v>
      </c>
      <c r="K743" s="988">
        <f t="shared" si="145"/>
        <v>0</v>
      </c>
      <c r="L743" s="988">
        <f t="shared" si="145"/>
        <v>0</v>
      </c>
      <c r="M743" s="988">
        <f t="shared" si="145"/>
        <v>0</v>
      </c>
      <c r="N743" s="988">
        <f t="shared" si="145"/>
        <v>0</v>
      </c>
      <c r="O743" s="988">
        <f t="shared" si="145"/>
        <v>0</v>
      </c>
      <c r="P743" s="988">
        <f t="shared" si="145"/>
        <v>0</v>
      </c>
      <c r="Q743" s="988"/>
      <c r="R743" s="988">
        <f t="shared" si="144"/>
        <v>0</v>
      </c>
      <c r="S743" s="546">
        <f t="shared" si="138"/>
        <v>0</v>
      </c>
      <c r="T743" s="547">
        <f t="shared" si="139"/>
        <v>0</v>
      </c>
      <c r="U743" s="546">
        <f t="shared" si="140"/>
        <v>0</v>
      </c>
      <c r="W743" s="350">
        <f t="shared" si="135"/>
        <v>0</v>
      </c>
      <c r="X743" s="285">
        <f t="shared" si="141"/>
        <v>0</v>
      </c>
    </row>
    <row r="744" spans="1:24" ht="12" thickBot="1">
      <c r="A744" s="596" t="s">
        <v>1510</v>
      </c>
      <c r="B744" s="541" t="s">
        <v>217</v>
      </c>
      <c r="C744" s="541" t="s">
        <v>622</v>
      </c>
      <c r="D744" s="542" t="s">
        <v>19</v>
      </c>
      <c r="E744" s="549">
        <f t="shared" si="142"/>
        <v>0</v>
      </c>
      <c r="F744" s="988">
        <f t="shared" ref="F744:P753" si="146">ROUND(SUMIFS(F$1721:F$1901,$A$1721:$A$1901,$A744,$B$1721:$B$1901,$B744),0)</f>
        <v>0</v>
      </c>
      <c r="G744" s="988">
        <f t="shared" si="146"/>
        <v>0</v>
      </c>
      <c r="H744" s="988">
        <f t="shared" si="146"/>
        <v>0</v>
      </c>
      <c r="I744" s="988">
        <f t="shared" si="146"/>
        <v>0</v>
      </c>
      <c r="J744" s="988">
        <f t="shared" si="146"/>
        <v>0</v>
      </c>
      <c r="K744" s="988">
        <f t="shared" si="146"/>
        <v>0</v>
      </c>
      <c r="L744" s="988">
        <f t="shared" si="146"/>
        <v>0</v>
      </c>
      <c r="M744" s="988">
        <f t="shared" si="146"/>
        <v>0</v>
      </c>
      <c r="N744" s="988">
        <f t="shared" si="146"/>
        <v>0</v>
      </c>
      <c r="O744" s="988">
        <f t="shared" si="146"/>
        <v>0</v>
      </c>
      <c r="P744" s="988">
        <f t="shared" si="146"/>
        <v>0</v>
      </c>
      <c r="Q744" s="988"/>
      <c r="R744" s="988">
        <f t="shared" si="144"/>
        <v>0</v>
      </c>
      <c r="S744" s="546">
        <f t="shared" si="138"/>
        <v>0</v>
      </c>
      <c r="T744" s="547">
        <f t="shared" si="139"/>
        <v>0</v>
      </c>
      <c r="U744" s="546">
        <f t="shared" si="140"/>
        <v>0</v>
      </c>
      <c r="W744" s="350">
        <f t="shared" si="135"/>
        <v>0</v>
      </c>
      <c r="X744" s="285">
        <f t="shared" si="141"/>
        <v>0</v>
      </c>
    </row>
    <row r="745" spans="1:24" ht="12" thickBot="1">
      <c r="A745" s="596" t="s">
        <v>1510</v>
      </c>
      <c r="B745" s="541" t="s">
        <v>216</v>
      </c>
      <c r="C745" s="541" t="s">
        <v>622</v>
      </c>
      <c r="D745" s="542" t="s">
        <v>19</v>
      </c>
      <c r="E745" s="549">
        <f t="shared" si="142"/>
        <v>0</v>
      </c>
      <c r="F745" s="988">
        <f t="shared" si="146"/>
        <v>0</v>
      </c>
      <c r="G745" s="988">
        <f t="shared" si="146"/>
        <v>0</v>
      </c>
      <c r="H745" s="988">
        <f t="shared" si="146"/>
        <v>0</v>
      </c>
      <c r="I745" s="988">
        <f t="shared" si="146"/>
        <v>0</v>
      </c>
      <c r="J745" s="988">
        <f t="shared" si="146"/>
        <v>0</v>
      </c>
      <c r="K745" s="988">
        <f t="shared" si="146"/>
        <v>0</v>
      </c>
      <c r="L745" s="988">
        <f t="shared" si="146"/>
        <v>0</v>
      </c>
      <c r="M745" s="988">
        <f t="shared" si="146"/>
        <v>0</v>
      </c>
      <c r="N745" s="988">
        <f t="shared" si="146"/>
        <v>0</v>
      </c>
      <c r="O745" s="988">
        <f t="shared" si="146"/>
        <v>0</v>
      </c>
      <c r="P745" s="988">
        <f t="shared" si="146"/>
        <v>0</v>
      </c>
      <c r="Q745" s="988"/>
      <c r="R745" s="988">
        <f t="shared" si="144"/>
        <v>0</v>
      </c>
      <c r="S745" s="546">
        <f t="shared" si="138"/>
        <v>0</v>
      </c>
      <c r="T745" s="547">
        <f t="shared" si="139"/>
        <v>0</v>
      </c>
      <c r="U745" s="546">
        <f t="shared" si="140"/>
        <v>0</v>
      </c>
      <c r="W745" s="350">
        <f t="shared" si="135"/>
        <v>0</v>
      </c>
      <c r="X745" s="285">
        <f t="shared" si="141"/>
        <v>0</v>
      </c>
    </row>
    <row r="746" spans="1:24" ht="12" thickBot="1">
      <c r="A746" s="596" t="s">
        <v>1510</v>
      </c>
      <c r="B746" s="541" t="s">
        <v>168</v>
      </c>
      <c r="C746" s="541" t="s">
        <v>58</v>
      </c>
      <c r="D746" s="542" t="s">
        <v>20</v>
      </c>
      <c r="E746" s="549">
        <f t="shared" si="142"/>
        <v>0</v>
      </c>
      <c r="F746" s="988">
        <f t="shared" si="146"/>
        <v>0</v>
      </c>
      <c r="G746" s="988">
        <f t="shared" si="146"/>
        <v>0</v>
      </c>
      <c r="H746" s="988">
        <f t="shared" si="146"/>
        <v>0</v>
      </c>
      <c r="I746" s="988">
        <f t="shared" si="146"/>
        <v>0</v>
      </c>
      <c r="J746" s="988">
        <f t="shared" si="146"/>
        <v>0</v>
      </c>
      <c r="K746" s="988">
        <f t="shared" si="146"/>
        <v>0</v>
      </c>
      <c r="L746" s="988">
        <f t="shared" si="146"/>
        <v>0</v>
      </c>
      <c r="M746" s="988">
        <f t="shared" si="146"/>
        <v>0</v>
      </c>
      <c r="N746" s="988">
        <f t="shared" si="146"/>
        <v>0</v>
      </c>
      <c r="O746" s="988">
        <f t="shared" si="146"/>
        <v>0</v>
      </c>
      <c r="P746" s="988">
        <f t="shared" si="146"/>
        <v>0</v>
      </c>
      <c r="Q746" s="988"/>
      <c r="R746" s="988">
        <f t="shared" si="144"/>
        <v>0</v>
      </c>
      <c r="S746" s="546">
        <f t="shared" si="138"/>
        <v>0</v>
      </c>
      <c r="T746" s="547">
        <f t="shared" si="139"/>
        <v>0</v>
      </c>
      <c r="U746" s="546">
        <f t="shared" si="140"/>
        <v>0</v>
      </c>
      <c r="W746" s="350">
        <f t="shared" si="135"/>
        <v>0</v>
      </c>
      <c r="X746" s="285">
        <f t="shared" si="141"/>
        <v>0</v>
      </c>
    </row>
    <row r="747" spans="1:24" ht="12" thickBot="1">
      <c r="A747" s="596" t="s">
        <v>1510</v>
      </c>
      <c r="B747" s="541" t="s">
        <v>623</v>
      </c>
      <c r="C747" s="541" t="s">
        <v>643</v>
      </c>
      <c r="D747" s="542" t="s">
        <v>20</v>
      </c>
      <c r="E747" s="549">
        <f t="shared" si="142"/>
        <v>0</v>
      </c>
      <c r="F747" s="988">
        <f t="shared" si="146"/>
        <v>0</v>
      </c>
      <c r="G747" s="988">
        <f t="shared" si="146"/>
        <v>0</v>
      </c>
      <c r="H747" s="988">
        <f t="shared" si="146"/>
        <v>0</v>
      </c>
      <c r="I747" s="988">
        <f t="shared" si="146"/>
        <v>0</v>
      </c>
      <c r="J747" s="988">
        <f t="shared" si="146"/>
        <v>0</v>
      </c>
      <c r="K747" s="988">
        <f t="shared" si="146"/>
        <v>0</v>
      </c>
      <c r="L747" s="988">
        <f t="shared" si="146"/>
        <v>0</v>
      </c>
      <c r="M747" s="988">
        <f t="shared" si="146"/>
        <v>0</v>
      </c>
      <c r="N747" s="988">
        <f t="shared" si="146"/>
        <v>0</v>
      </c>
      <c r="O747" s="988">
        <f t="shared" si="146"/>
        <v>0</v>
      </c>
      <c r="P747" s="988">
        <f t="shared" si="146"/>
        <v>0</v>
      </c>
      <c r="Q747" s="988"/>
      <c r="R747" s="988">
        <f t="shared" si="144"/>
        <v>0</v>
      </c>
      <c r="S747" s="546">
        <f t="shared" si="138"/>
        <v>0</v>
      </c>
      <c r="T747" s="547">
        <f t="shared" si="139"/>
        <v>0</v>
      </c>
      <c r="U747" s="546">
        <f t="shared" si="140"/>
        <v>0</v>
      </c>
      <c r="W747" s="350">
        <f t="shared" si="135"/>
        <v>0</v>
      </c>
      <c r="X747" s="285">
        <f t="shared" si="141"/>
        <v>0</v>
      </c>
    </row>
    <row r="748" spans="1:24" ht="12" thickBot="1">
      <c r="A748" s="596" t="s">
        <v>1510</v>
      </c>
      <c r="B748" s="541" t="s">
        <v>691</v>
      </c>
      <c r="C748" s="541" t="s">
        <v>689</v>
      </c>
      <c r="D748" s="542" t="s">
        <v>690</v>
      </c>
      <c r="E748" s="549">
        <f t="shared" si="142"/>
        <v>0</v>
      </c>
      <c r="F748" s="988">
        <f t="shared" si="146"/>
        <v>0</v>
      </c>
      <c r="G748" s="988">
        <f t="shared" si="146"/>
        <v>0</v>
      </c>
      <c r="H748" s="988">
        <f t="shared" si="146"/>
        <v>0</v>
      </c>
      <c r="I748" s="988">
        <f t="shared" si="146"/>
        <v>0</v>
      </c>
      <c r="J748" s="988">
        <f t="shared" si="146"/>
        <v>0</v>
      </c>
      <c r="K748" s="988">
        <f t="shared" si="146"/>
        <v>0</v>
      </c>
      <c r="L748" s="988">
        <f t="shared" si="146"/>
        <v>0</v>
      </c>
      <c r="M748" s="988">
        <f t="shared" si="146"/>
        <v>0</v>
      </c>
      <c r="N748" s="988">
        <f t="shared" si="146"/>
        <v>0</v>
      </c>
      <c r="O748" s="988">
        <f t="shared" si="146"/>
        <v>0</v>
      </c>
      <c r="P748" s="988">
        <f t="shared" si="146"/>
        <v>0</v>
      </c>
      <c r="Q748" s="988"/>
      <c r="R748" s="988">
        <f t="shared" si="144"/>
        <v>0</v>
      </c>
      <c r="S748" s="546">
        <f t="shared" si="138"/>
        <v>0</v>
      </c>
      <c r="T748" s="547">
        <f t="shared" si="139"/>
        <v>0</v>
      </c>
      <c r="U748" s="546">
        <f t="shared" si="140"/>
        <v>0</v>
      </c>
      <c r="W748" s="350">
        <f t="shared" si="135"/>
        <v>0</v>
      </c>
      <c r="X748" s="285">
        <f t="shared" si="141"/>
        <v>0</v>
      </c>
    </row>
    <row r="749" spans="1:24" ht="12" thickBot="1">
      <c r="A749" s="596" t="s">
        <v>1510</v>
      </c>
      <c r="B749" s="541" t="s">
        <v>1147</v>
      </c>
      <c r="C749" s="541" t="s">
        <v>1148</v>
      </c>
      <c r="D749" s="542" t="s">
        <v>1156</v>
      </c>
      <c r="E749" s="549">
        <f t="shared" si="142"/>
        <v>0</v>
      </c>
      <c r="F749" s="988">
        <f t="shared" si="146"/>
        <v>0</v>
      </c>
      <c r="G749" s="988">
        <f t="shared" si="146"/>
        <v>0</v>
      </c>
      <c r="H749" s="988">
        <f t="shared" si="146"/>
        <v>0</v>
      </c>
      <c r="I749" s="988">
        <f t="shared" si="146"/>
        <v>0</v>
      </c>
      <c r="J749" s="988">
        <f t="shared" si="146"/>
        <v>0</v>
      </c>
      <c r="K749" s="988">
        <f t="shared" si="146"/>
        <v>0</v>
      </c>
      <c r="L749" s="988">
        <f t="shared" si="146"/>
        <v>0</v>
      </c>
      <c r="M749" s="988">
        <f t="shared" si="146"/>
        <v>0</v>
      </c>
      <c r="N749" s="988">
        <f t="shared" si="146"/>
        <v>0</v>
      </c>
      <c r="O749" s="988">
        <f t="shared" si="146"/>
        <v>0</v>
      </c>
      <c r="P749" s="988">
        <f t="shared" si="146"/>
        <v>0</v>
      </c>
      <c r="Q749" s="988"/>
      <c r="R749" s="988">
        <f t="shared" si="144"/>
        <v>0</v>
      </c>
      <c r="S749" s="546">
        <f t="shared" si="138"/>
        <v>0</v>
      </c>
      <c r="T749" s="547">
        <f t="shared" si="139"/>
        <v>0</v>
      </c>
      <c r="U749" s="546">
        <f t="shared" si="140"/>
        <v>0</v>
      </c>
      <c r="W749" s="350">
        <f t="shared" si="135"/>
        <v>0</v>
      </c>
      <c r="X749" s="285">
        <f t="shared" si="141"/>
        <v>0</v>
      </c>
    </row>
    <row r="750" spans="1:24" ht="12" thickBot="1">
      <c r="A750" s="596" t="s">
        <v>1510</v>
      </c>
      <c r="B750" s="541" t="s">
        <v>169</v>
      </c>
      <c r="C750" s="541" t="s">
        <v>1392</v>
      </c>
      <c r="D750" s="542" t="s">
        <v>208</v>
      </c>
      <c r="E750" s="549">
        <f t="shared" si="142"/>
        <v>0</v>
      </c>
      <c r="F750" s="988">
        <f t="shared" si="146"/>
        <v>0</v>
      </c>
      <c r="G750" s="988">
        <f t="shared" si="146"/>
        <v>0</v>
      </c>
      <c r="H750" s="988">
        <f t="shared" si="146"/>
        <v>0</v>
      </c>
      <c r="I750" s="988">
        <f t="shared" si="146"/>
        <v>0</v>
      </c>
      <c r="J750" s="988">
        <f t="shared" si="146"/>
        <v>0</v>
      </c>
      <c r="K750" s="988">
        <f t="shared" si="146"/>
        <v>0</v>
      </c>
      <c r="L750" s="988">
        <f t="shared" si="146"/>
        <v>0</v>
      </c>
      <c r="M750" s="988">
        <f t="shared" si="146"/>
        <v>0</v>
      </c>
      <c r="N750" s="988">
        <f t="shared" si="146"/>
        <v>0</v>
      </c>
      <c r="O750" s="988">
        <f t="shared" si="146"/>
        <v>0</v>
      </c>
      <c r="P750" s="988">
        <f t="shared" si="146"/>
        <v>0</v>
      </c>
      <c r="Q750" s="988"/>
      <c r="R750" s="988">
        <f t="shared" si="144"/>
        <v>0</v>
      </c>
      <c r="S750" s="546">
        <f t="shared" si="138"/>
        <v>0</v>
      </c>
      <c r="T750" s="547">
        <f t="shared" si="139"/>
        <v>0</v>
      </c>
      <c r="U750" s="546">
        <f t="shared" si="140"/>
        <v>0</v>
      </c>
      <c r="W750" s="350">
        <f t="shared" si="135"/>
        <v>0</v>
      </c>
      <c r="X750" s="285">
        <f t="shared" si="141"/>
        <v>0</v>
      </c>
    </row>
    <row r="751" spans="1:24" ht="12" thickBot="1">
      <c r="A751" s="596" t="s">
        <v>1510</v>
      </c>
      <c r="B751" s="541" t="s">
        <v>170</v>
      </c>
      <c r="C751" s="541" t="s">
        <v>1393</v>
      </c>
      <c r="D751" s="542" t="s">
        <v>17</v>
      </c>
      <c r="E751" s="549">
        <f t="shared" si="142"/>
        <v>0</v>
      </c>
      <c r="F751" s="988">
        <f t="shared" si="146"/>
        <v>0</v>
      </c>
      <c r="G751" s="988">
        <f t="shared" si="146"/>
        <v>0</v>
      </c>
      <c r="H751" s="988">
        <f t="shared" si="146"/>
        <v>0</v>
      </c>
      <c r="I751" s="988">
        <f t="shared" si="146"/>
        <v>0</v>
      </c>
      <c r="J751" s="988">
        <f t="shared" si="146"/>
        <v>0</v>
      </c>
      <c r="K751" s="988">
        <f t="shared" si="146"/>
        <v>0</v>
      </c>
      <c r="L751" s="988">
        <f t="shared" si="146"/>
        <v>0</v>
      </c>
      <c r="M751" s="988">
        <f t="shared" si="146"/>
        <v>0</v>
      </c>
      <c r="N751" s="988">
        <f t="shared" si="146"/>
        <v>0</v>
      </c>
      <c r="O751" s="988">
        <f t="shared" si="146"/>
        <v>0</v>
      </c>
      <c r="P751" s="988">
        <f t="shared" si="146"/>
        <v>0</v>
      </c>
      <c r="Q751" s="988"/>
      <c r="R751" s="988">
        <f t="shared" si="144"/>
        <v>0</v>
      </c>
      <c r="S751" s="546">
        <f t="shared" si="138"/>
        <v>0</v>
      </c>
      <c r="T751" s="547">
        <f t="shared" si="139"/>
        <v>0</v>
      </c>
      <c r="U751" s="546">
        <f t="shared" si="140"/>
        <v>0</v>
      </c>
      <c r="W751" s="350">
        <f t="shared" si="135"/>
        <v>0</v>
      </c>
      <c r="X751" s="285">
        <f t="shared" si="141"/>
        <v>0</v>
      </c>
    </row>
    <row r="752" spans="1:24" ht="12" thickBot="1">
      <c r="A752" s="596" t="s">
        <v>1510</v>
      </c>
      <c r="B752" s="541" t="s">
        <v>713</v>
      </c>
      <c r="C752" s="541" t="s">
        <v>711</v>
      </c>
      <c r="D752" s="542" t="s">
        <v>712</v>
      </c>
      <c r="E752" s="549">
        <f t="shared" si="142"/>
        <v>0</v>
      </c>
      <c r="F752" s="988">
        <f t="shared" si="146"/>
        <v>0</v>
      </c>
      <c r="G752" s="988">
        <f t="shared" si="146"/>
        <v>0</v>
      </c>
      <c r="H752" s="988">
        <f t="shared" si="146"/>
        <v>0</v>
      </c>
      <c r="I752" s="988">
        <f t="shared" si="146"/>
        <v>0</v>
      </c>
      <c r="J752" s="988">
        <f t="shared" si="146"/>
        <v>0</v>
      </c>
      <c r="K752" s="988">
        <f t="shared" si="146"/>
        <v>0</v>
      </c>
      <c r="L752" s="988">
        <f t="shared" si="146"/>
        <v>0</v>
      </c>
      <c r="M752" s="988">
        <f t="shared" si="146"/>
        <v>0</v>
      </c>
      <c r="N752" s="988">
        <f t="shared" si="146"/>
        <v>0</v>
      </c>
      <c r="O752" s="988">
        <f t="shared" si="146"/>
        <v>0</v>
      </c>
      <c r="P752" s="988">
        <f t="shared" si="146"/>
        <v>0</v>
      </c>
      <c r="Q752" s="988"/>
      <c r="R752" s="988">
        <f t="shared" si="144"/>
        <v>0</v>
      </c>
      <c r="S752" s="546">
        <f t="shared" si="138"/>
        <v>0</v>
      </c>
      <c r="T752" s="547">
        <f t="shared" si="139"/>
        <v>0</v>
      </c>
      <c r="U752" s="546">
        <f t="shared" si="140"/>
        <v>0</v>
      </c>
      <c r="W752" s="350">
        <f t="shared" si="135"/>
        <v>0</v>
      </c>
      <c r="X752" s="285">
        <f t="shared" si="141"/>
        <v>0</v>
      </c>
    </row>
    <row r="753" spans="1:24" ht="12" thickBot="1">
      <c r="A753" s="596" t="s">
        <v>1510</v>
      </c>
      <c r="B753" s="541" t="s">
        <v>171</v>
      </c>
      <c r="C753" s="541" t="s">
        <v>441</v>
      </c>
      <c r="D753" s="542" t="s">
        <v>72</v>
      </c>
      <c r="E753" s="549">
        <f t="shared" si="142"/>
        <v>0</v>
      </c>
      <c r="F753" s="988">
        <f t="shared" si="146"/>
        <v>0</v>
      </c>
      <c r="G753" s="988">
        <f t="shared" si="146"/>
        <v>0</v>
      </c>
      <c r="H753" s="988">
        <f t="shared" si="146"/>
        <v>0</v>
      </c>
      <c r="I753" s="988">
        <f t="shared" si="146"/>
        <v>0</v>
      </c>
      <c r="J753" s="988">
        <f t="shared" si="146"/>
        <v>0</v>
      </c>
      <c r="K753" s="988">
        <f t="shared" si="146"/>
        <v>0</v>
      </c>
      <c r="L753" s="988">
        <f t="shared" si="146"/>
        <v>0</v>
      </c>
      <c r="M753" s="988">
        <f t="shared" si="146"/>
        <v>0</v>
      </c>
      <c r="N753" s="988">
        <f t="shared" si="146"/>
        <v>0</v>
      </c>
      <c r="O753" s="988">
        <f t="shared" si="146"/>
        <v>0</v>
      </c>
      <c r="P753" s="988">
        <f t="shared" si="146"/>
        <v>-989829</v>
      </c>
      <c r="Q753" s="988"/>
      <c r="R753" s="988">
        <f t="shared" si="144"/>
        <v>-989829</v>
      </c>
      <c r="S753" s="546">
        <f t="shared" si="138"/>
        <v>0</v>
      </c>
      <c r="T753" s="547">
        <f t="shared" si="139"/>
        <v>0</v>
      </c>
      <c r="U753" s="546">
        <f t="shared" si="140"/>
        <v>0</v>
      </c>
      <c r="W753" s="350">
        <f t="shared" si="135"/>
        <v>-989829</v>
      </c>
      <c r="X753" s="285">
        <f t="shared" si="141"/>
        <v>0</v>
      </c>
    </row>
    <row r="754" spans="1:24" ht="12" thickBot="1">
      <c r="A754" s="596" t="s">
        <v>1510</v>
      </c>
      <c r="B754" s="541" t="s">
        <v>172</v>
      </c>
      <c r="C754" s="541" t="s">
        <v>442</v>
      </c>
      <c r="D754" s="542" t="s">
        <v>72</v>
      </c>
      <c r="E754" s="549">
        <f t="shared" si="142"/>
        <v>0</v>
      </c>
      <c r="F754" s="988">
        <f t="shared" ref="F754:P763" si="147">ROUND(SUMIFS(F$1721:F$1901,$A$1721:$A$1901,$A754,$B$1721:$B$1901,$B754),0)</f>
        <v>0</v>
      </c>
      <c r="G754" s="988">
        <f t="shared" si="147"/>
        <v>0</v>
      </c>
      <c r="H754" s="988">
        <f t="shared" si="147"/>
        <v>0</v>
      </c>
      <c r="I754" s="988">
        <f t="shared" si="147"/>
        <v>0</v>
      </c>
      <c r="J754" s="988">
        <f t="shared" si="147"/>
        <v>0</v>
      </c>
      <c r="K754" s="988">
        <f t="shared" si="147"/>
        <v>0</v>
      </c>
      <c r="L754" s="988">
        <f t="shared" si="147"/>
        <v>0</v>
      </c>
      <c r="M754" s="988">
        <f t="shared" si="147"/>
        <v>0</v>
      </c>
      <c r="N754" s="988">
        <f t="shared" si="147"/>
        <v>0</v>
      </c>
      <c r="O754" s="988">
        <f t="shared" si="147"/>
        <v>0</v>
      </c>
      <c r="P754" s="988">
        <f t="shared" si="147"/>
        <v>0</v>
      </c>
      <c r="Q754" s="988"/>
      <c r="R754" s="988">
        <f t="shared" si="144"/>
        <v>0</v>
      </c>
      <c r="S754" s="546">
        <f t="shared" si="138"/>
        <v>0</v>
      </c>
      <c r="T754" s="547">
        <f t="shared" si="139"/>
        <v>0</v>
      </c>
      <c r="U754" s="546">
        <f t="shared" si="140"/>
        <v>0</v>
      </c>
      <c r="W754" s="350">
        <f t="shared" si="135"/>
        <v>0</v>
      </c>
      <c r="X754" s="285">
        <f t="shared" si="141"/>
        <v>0</v>
      </c>
    </row>
    <row r="755" spans="1:24" ht="12" thickBot="1">
      <c r="A755" s="596" t="s">
        <v>1510</v>
      </c>
      <c r="B755" s="541" t="s">
        <v>1397</v>
      </c>
      <c r="C755" s="541" t="s">
        <v>1398</v>
      </c>
      <c r="D755" s="542" t="s">
        <v>72</v>
      </c>
      <c r="E755" s="549">
        <f t="shared" si="142"/>
        <v>0</v>
      </c>
      <c r="F755" s="988">
        <f t="shared" si="147"/>
        <v>0</v>
      </c>
      <c r="G755" s="988">
        <f t="shared" si="147"/>
        <v>0</v>
      </c>
      <c r="H755" s="988">
        <f t="shared" si="147"/>
        <v>0</v>
      </c>
      <c r="I755" s="988">
        <f t="shared" si="147"/>
        <v>0</v>
      </c>
      <c r="J755" s="988">
        <f t="shared" si="147"/>
        <v>0</v>
      </c>
      <c r="K755" s="988">
        <f t="shared" si="147"/>
        <v>0</v>
      </c>
      <c r="L755" s="988">
        <f t="shared" si="147"/>
        <v>0</v>
      </c>
      <c r="M755" s="988">
        <f t="shared" si="147"/>
        <v>0</v>
      </c>
      <c r="N755" s="988">
        <f t="shared" si="147"/>
        <v>0</v>
      </c>
      <c r="O755" s="988">
        <f t="shared" si="147"/>
        <v>0</v>
      </c>
      <c r="P755" s="988">
        <f t="shared" si="147"/>
        <v>0</v>
      </c>
      <c r="Q755" s="988"/>
      <c r="R755" s="988">
        <f t="shared" si="144"/>
        <v>0</v>
      </c>
      <c r="S755" s="546">
        <f t="shared" si="138"/>
        <v>0</v>
      </c>
      <c r="T755" s="547">
        <f t="shared" si="139"/>
        <v>0</v>
      </c>
      <c r="U755" s="546">
        <f t="shared" si="140"/>
        <v>0</v>
      </c>
      <c r="W755" s="350">
        <f t="shared" si="135"/>
        <v>0</v>
      </c>
      <c r="X755" s="285">
        <f t="shared" si="141"/>
        <v>0</v>
      </c>
    </row>
    <row r="756" spans="1:24" ht="12" thickBot="1">
      <c r="A756" s="596" t="s">
        <v>1510</v>
      </c>
      <c r="B756" s="541" t="s">
        <v>1149</v>
      </c>
      <c r="C756" s="541" t="s">
        <v>1150</v>
      </c>
      <c r="D756" s="542" t="s">
        <v>72</v>
      </c>
      <c r="E756" s="549">
        <f t="shared" si="142"/>
        <v>0</v>
      </c>
      <c r="F756" s="988">
        <f t="shared" si="147"/>
        <v>0</v>
      </c>
      <c r="G756" s="988">
        <f t="shared" si="147"/>
        <v>0</v>
      </c>
      <c r="H756" s="988">
        <f t="shared" si="147"/>
        <v>0</v>
      </c>
      <c r="I756" s="988">
        <f t="shared" si="147"/>
        <v>0</v>
      </c>
      <c r="J756" s="988">
        <f t="shared" si="147"/>
        <v>0</v>
      </c>
      <c r="K756" s="988">
        <f t="shared" si="147"/>
        <v>0</v>
      </c>
      <c r="L756" s="988">
        <f t="shared" si="147"/>
        <v>0</v>
      </c>
      <c r="M756" s="988">
        <f t="shared" si="147"/>
        <v>0</v>
      </c>
      <c r="N756" s="988">
        <f t="shared" si="147"/>
        <v>0</v>
      </c>
      <c r="O756" s="988">
        <f t="shared" si="147"/>
        <v>0</v>
      </c>
      <c r="P756" s="988">
        <f t="shared" si="147"/>
        <v>0</v>
      </c>
      <c r="Q756" s="988"/>
      <c r="R756" s="988">
        <f t="shared" si="144"/>
        <v>0</v>
      </c>
      <c r="S756" s="546">
        <f t="shared" si="138"/>
        <v>0</v>
      </c>
      <c r="T756" s="547">
        <f t="shared" si="139"/>
        <v>0</v>
      </c>
      <c r="U756" s="546">
        <f t="shared" si="140"/>
        <v>0</v>
      </c>
      <c r="W756" s="350">
        <f t="shared" si="135"/>
        <v>0</v>
      </c>
      <c r="X756" s="285">
        <f t="shared" si="141"/>
        <v>0</v>
      </c>
    </row>
    <row r="757" spans="1:24" ht="12" thickBot="1">
      <c r="A757" s="596" t="s">
        <v>1510</v>
      </c>
      <c r="B757" s="541" t="s">
        <v>1051</v>
      </c>
      <c r="C757" s="541" t="s">
        <v>1052</v>
      </c>
      <c r="D757" s="542" t="s">
        <v>719</v>
      </c>
      <c r="E757" s="549">
        <f t="shared" si="142"/>
        <v>0</v>
      </c>
      <c r="F757" s="988">
        <f t="shared" si="147"/>
        <v>0</v>
      </c>
      <c r="G757" s="988">
        <f t="shared" si="147"/>
        <v>0</v>
      </c>
      <c r="H757" s="988">
        <f t="shared" si="147"/>
        <v>0</v>
      </c>
      <c r="I757" s="988">
        <f t="shared" si="147"/>
        <v>0</v>
      </c>
      <c r="J757" s="988">
        <f t="shared" si="147"/>
        <v>0</v>
      </c>
      <c r="K757" s="988">
        <f t="shared" si="147"/>
        <v>0</v>
      </c>
      <c r="L757" s="988">
        <f t="shared" si="147"/>
        <v>0</v>
      </c>
      <c r="M757" s="988">
        <f t="shared" si="147"/>
        <v>0</v>
      </c>
      <c r="N757" s="988">
        <f t="shared" si="147"/>
        <v>0</v>
      </c>
      <c r="O757" s="988">
        <f t="shared" si="147"/>
        <v>0</v>
      </c>
      <c r="P757" s="988">
        <f t="shared" si="147"/>
        <v>0</v>
      </c>
      <c r="Q757" s="988"/>
      <c r="R757" s="988">
        <f t="shared" si="144"/>
        <v>0</v>
      </c>
      <c r="S757" s="546">
        <f t="shared" si="138"/>
        <v>0</v>
      </c>
      <c r="T757" s="547">
        <f t="shared" si="139"/>
        <v>0</v>
      </c>
      <c r="U757" s="546">
        <f t="shared" si="140"/>
        <v>0</v>
      </c>
      <c r="W757" s="350">
        <f t="shared" si="135"/>
        <v>0</v>
      </c>
      <c r="X757" s="285">
        <f t="shared" si="141"/>
        <v>0</v>
      </c>
    </row>
    <row r="758" spans="1:24" ht="12" thickBot="1">
      <c r="A758" s="596" t="s">
        <v>1510</v>
      </c>
      <c r="B758" s="541" t="s">
        <v>1053</v>
      </c>
      <c r="C758" s="541" t="s">
        <v>1054</v>
      </c>
      <c r="D758" s="542" t="s">
        <v>719</v>
      </c>
      <c r="E758" s="549">
        <f t="shared" si="142"/>
        <v>0</v>
      </c>
      <c r="F758" s="988">
        <f t="shared" si="147"/>
        <v>0</v>
      </c>
      <c r="G758" s="988">
        <f t="shared" si="147"/>
        <v>0</v>
      </c>
      <c r="H758" s="988">
        <f t="shared" si="147"/>
        <v>0</v>
      </c>
      <c r="I758" s="988">
        <f t="shared" si="147"/>
        <v>0</v>
      </c>
      <c r="J758" s="988">
        <f t="shared" si="147"/>
        <v>0</v>
      </c>
      <c r="K758" s="988">
        <f t="shared" si="147"/>
        <v>0</v>
      </c>
      <c r="L758" s="988">
        <f t="shared" si="147"/>
        <v>0</v>
      </c>
      <c r="M758" s="988">
        <f t="shared" si="147"/>
        <v>0</v>
      </c>
      <c r="N758" s="988">
        <f t="shared" si="147"/>
        <v>0</v>
      </c>
      <c r="O758" s="988">
        <f t="shared" si="147"/>
        <v>0</v>
      </c>
      <c r="P758" s="988">
        <f t="shared" si="147"/>
        <v>0</v>
      </c>
      <c r="Q758" s="988"/>
      <c r="R758" s="988">
        <f t="shared" si="144"/>
        <v>0</v>
      </c>
      <c r="S758" s="546">
        <f t="shared" si="138"/>
        <v>0</v>
      </c>
      <c r="T758" s="547">
        <f t="shared" si="139"/>
        <v>0</v>
      </c>
      <c r="U758" s="546">
        <f t="shared" si="140"/>
        <v>0</v>
      </c>
      <c r="W758" s="350">
        <f t="shared" si="135"/>
        <v>0</v>
      </c>
      <c r="X758" s="285">
        <f t="shared" si="141"/>
        <v>0</v>
      </c>
    </row>
    <row r="759" spans="1:24" ht="12" thickBot="1">
      <c r="A759" s="596" t="s">
        <v>1510</v>
      </c>
      <c r="B759" s="541" t="s">
        <v>173</v>
      </c>
      <c r="C759" s="541" t="s">
        <v>192</v>
      </c>
      <c r="D759" s="542" t="s">
        <v>642</v>
      </c>
      <c r="E759" s="549">
        <f t="shared" si="142"/>
        <v>45688667</v>
      </c>
      <c r="F759" s="988">
        <f t="shared" si="147"/>
        <v>750</v>
      </c>
      <c r="G759" s="988">
        <f t="shared" si="147"/>
        <v>168591</v>
      </c>
      <c r="H759" s="988">
        <f t="shared" si="147"/>
        <v>1321316</v>
      </c>
      <c r="I759" s="988">
        <f t="shared" si="147"/>
        <v>0</v>
      </c>
      <c r="J759" s="988">
        <f t="shared" si="147"/>
        <v>51887</v>
      </c>
      <c r="K759" s="988">
        <f t="shared" si="147"/>
        <v>668312</v>
      </c>
      <c r="L759" s="988">
        <f t="shared" si="147"/>
        <v>0</v>
      </c>
      <c r="M759" s="988">
        <f t="shared" si="147"/>
        <v>94298</v>
      </c>
      <c r="N759" s="988">
        <f t="shared" si="147"/>
        <v>0</v>
      </c>
      <c r="O759" s="988">
        <f t="shared" si="147"/>
        <v>269830</v>
      </c>
      <c r="P759" s="988">
        <f t="shared" si="147"/>
        <v>0</v>
      </c>
      <c r="Q759" s="988"/>
      <c r="R759" s="988">
        <f t="shared" si="144"/>
        <v>2574985</v>
      </c>
      <c r="S759" s="546">
        <f t="shared" si="138"/>
        <v>1489907</v>
      </c>
      <c r="T759" s="547">
        <f t="shared" si="139"/>
        <v>720199</v>
      </c>
      <c r="U759" s="546">
        <f t="shared" si="140"/>
        <v>269830</v>
      </c>
      <c r="W759" s="350">
        <f t="shared" si="135"/>
        <v>2574984</v>
      </c>
      <c r="X759" s="285">
        <f t="shared" si="141"/>
        <v>-1</v>
      </c>
    </row>
    <row r="760" spans="1:24" ht="12" thickBot="1">
      <c r="A760" s="596" t="s">
        <v>1510</v>
      </c>
      <c r="B760" s="541" t="s">
        <v>193</v>
      </c>
      <c r="C760" s="541" t="s">
        <v>194</v>
      </c>
      <c r="D760" s="542" t="s">
        <v>443</v>
      </c>
      <c r="E760" s="549">
        <f t="shared" si="142"/>
        <v>0</v>
      </c>
      <c r="F760" s="988">
        <f t="shared" si="147"/>
        <v>0</v>
      </c>
      <c r="G760" s="988">
        <f t="shared" si="147"/>
        <v>0</v>
      </c>
      <c r="H760" s="988">
        <f t="shared" si="147"/>
        <v>0</v>
      </c>
      <c r="I760" s="988">
        <f t="shared" si="147"/>
        <v>0</v>
      </c>
      <c r="J760" s="988">
        <f t="shared" si="147"/>
        <v>0</v>
      </c>
      <c r="K760" s="988">
        <f t="shared" si="147"/>
        <v>0</v>
      </c>
      <c r="L760" s="988">
        <f t="shared" si="147"/>
        <v>0</v>
      </c>
      <c r="M760" s="988">
        <f t="shared" si="147"/>
        <v>0</v>
      </c>
      <c r="N760" s="988">
        <f t="shared" si="147"/>
        <v>0</v>
      </c>
      <c r="O760" s="988">
        <f t="shared" si="147"/>
        <v>0</v>
      </c>
      <c r="P760" s="988">
        <f t="shared" si="147"/>
        <v>0</v>
      </c>
      <c r="Q760" s="988"/>
      <c r="R760" s="988">
        <f t="shared" si="144"/>
        <v>0</v>
      </c>
      <c r="S760" s="546">
        <f t="shared" si="138"/>
        <v>0</v>
      </c>
      <c r="T760" s="547">
        <f t="shared" si="139"/>
        <v>0</v>
      </c>
      <c r="U760" s="546">
        <f t="shared" si="140"/>
        <v>0</v>
      </c>
      <c r="W760" s="350">
        <f t="shared" si="135"/>
        <v>0</v>
      </c>
      <c r="X760" s="285">
        <f t="shared" si="141"/>
        <v>0</v>
      </c>
    </row>
    <row r="761" spans="1:24" ht="12" thickBot="1">
      <c r="A761" s="596" t="s">
        <v>1510</v>
      </c>
      <c r="B761" s="541" t="s">
        <v>195</v>
      </c>
      <c r="C761" s="541" t="s">
        <v>196</v>
      </c>
      <c r="D761" s="542" t="s">
        <v>443</v>
      </c>
      <c r="E761" s="549">
        <f t="shared" si="142"/>
        <v>0</v>
      </c>
      <c r="F761" s="988">
        <f t="shared" si="147"/>
        <v>0</v>
      </c>
      <c r="G761" s="988">
        <f t="shared" si="147"/>
        <v>0</v>
      </c>
      <c r="H761" s="988">
        <f t="shared" si="147"/>
        <v>0</v>
      </c>
      <c r="I761" s="988">
        <f t="shared" si="147"/>
        <v>0</v>
      </c>
      <c r="J761" s="988">
        <f t="shared" si="147"/>
        <v>0</v>
      </c>
      <c r="K761" s="988">
        <f t="shared" si="147"/>
        <v>0</v>
      </c>
      <c r="L761" s="988">
        <f t="shared" si="147"/>
        <v>0</v>
      </c>
      <c r="M761" s="988">
        <f t="shared" si="147"/>
        <v>0</v>
      </c>
      <c r="N761" s="988">
        <f t="shared" si="147"/>
        <v>0</v>
      </c>
      <c r="O761" s="988">
        <f t="shared" si="147"/>
        <v>0</v>
      </c>
      <c r="P761" s="988">
        <f t="shared" si="147"/>
        <v>0</v>
      </c>
      <c r="Q761" s="988"/>
      <c r="R761" s="988">
        <f t="shared" si="144"/>
        <v>0</v>
      </c>
      <c r="S761" s="546">
        <f t="shared" si="138"/>
        <v>0</v>
      </c>
      <c r="T761" s="547">
        <f t="shared" si="139"/>
        <v>0</v>
      </c>
      <c r="U761" s="546">
        <f t="shared" si="140"/>
        <v>0</v>
      </c>
      <c r="W761" s="350">
        <f t="shared" si="135"/>
        <v>0</v>
      </c>
      <c r="X761" s="285">
        <f t="shared" si="141"/>
        <v>0</v>
      </c>
    </row>
    <row r="762" spans="1:24" ht="12" thickBot="1">
      <c r="A762" s="596" t="s">
        <v>1510</v>
      </c>
      <c r="B762" s="541" t="s">
        <v>197</v>
      </c>
      <c r="C762" s="541" t="s">
        <v>198</v>
      </c>
      <c r="D762" s="542" t="s">
        <v>443</v>
      </c>
      <c r="E762" s="549">
        <f t="shared" si="142"/>
        <v>0</v>
      </c>
      <c r="F762" s="988">
        <f t="shared" si="147"/>
        <v>0</v>
      </c>
      <c r="G762" s="988">
        <f t="shared" si="147"/>
        <v>0</v>
      </c>
      <c r="H762" s="988">
        <f t="shared" si="147"/>
        <v>0</v>
      </c>
      <c r="I762" s="988">
        <f t="shared" si="147"/>
        <v>0</v>
      </c>
      <c r="J762" s="988">
        <f t="shared" si="147"/>
        <v>0</v>
      </c>
      <c r="K762" s="988">
        <f t="shared" si="147"/>
        <v>0</v>
      </c>
      <c r="L762" s="988">
        <f t="shared" si="147"/>
        <v>0</v>
      </c>
      <c r="M762" s="988">
        <f t="shared" si="147"/>
        <v>0</v>
      </c>
      <c r="N762" s="988">
        <f t="shared" si="147"/>
        <v>0</v>
      </c>
      <c r="O762" s="988">
        <f t="shared" si="147"/>
        <v>0</v>
      </c>
      <c r="P762" s="988">
        <f t="shared" si="147"/>
        <v>0</v>
      </c>
      <c r="Q762" s="988"/>
      <c r="R762" s="988">
        <f t="shared" si="144"/>
        <v>0</v>
      </c>
      <c r="S762" s="546">
        <f t="shared" si="138"/>
        <v>0</v>
      </c>
      <c r="T762" s="547">
        <f t="shared" si="139"/>
        <v>0</v>
      </c>
      <c r="U762" s="546">
        <f t="shared" si="140"/>
        <v>0</v>
      </c>
      <c r="W762" s="350">
        <f t="shared" si="135"/>
        <v>0</v>
      </c>
      <c r="X762" s="285">
        <f t="shared" si="141"/>
        <v>0</v>
      </c>
    </row>
    <row r="763" spans="1:24" ht="12" thickBot="1">
      <c r="A763" s="596" t="s">
        <v>1510</v>
      </c>
      <c r="B763" s="541" t="s">
        <v>1055</v>
      </c>
      <c r="C763" s="541" t="s">
        <v>1049</v>
      </c>
      <c r="D763" s="542" t="s">
        <v>1146</v>
      </c>
      <c r="E763" s="549">
        <f t="shared" si="142"/>
        <v>0</v>
      </c>
      <c r="F763" s="988">
        <f t="shared" si="147"/>
        <v>0</v>
      </c>
      <c r="G763" s="988">
        <f t="shared" si="147"/>
        <v>0</v>
      </c>
      <c r="H763" s="988">
        <f t="shared" si="147"/>
        <v>0</v>
      </c>
      <c r="I763" s="988">
        <f t="shared" si="147"/>
        <v>0</v>
      </c>
      <c r="J763" s="988">
        <f t="shared" si="147"/>
        <v>0</v>
      </c>
      <c r="K763" s="988">
        <f t="shared" si="147"/>
        <v>0</v>
      </c>
      <c r="L763" s="988">
        <f t="shared" si="147"/>
        <v>0</v>
      </c>
      <c r="M763" s="988">
        <f t="shared" si="147"/>
        <v>0</v>
      </c>
      <c r="N763" s="988">
        <f t="shared" si="147"/>
        <v>0</v>
      </c>
      <c r="O763" s="988">
        <f t="shared" si="147"/>
        <v>0</v>
      </c>
      <c r="P763" s="988">
        <f t="shared" si="147"/>
        <v>0</v>
      </c>
      <c r="Q763" s="988"/>
      <c r="R763" s="988">
        <f t="shared" si="144"/>
        <v>0</v>
      </c>
      <c r="S763" s="546">
        <f t="shared" si="138"/>
        <v>0</v>
      </c>
      <c r="T763" s="547">
        <f t="shared" si="139"/>
        <v>0</v>
      </c>
      <c r="U763" s="546">
        <f t="shared" si="140"/>
        <v>0</v>
      </c>
      <c r="W763" s="350">
        <f t="shared" si="135"/>
        <v>0</v>
      </c>
      <c r="X763" s="285">
        <f t="shared" si="141"/>
        <v>0</v>
      </c>
    </row>
    <row r="764" spans="1:24" ht="12" thickBot="1">
      <c r="A764" s="596" t="s">
        <v>1510</v>
      </c>
      <c r="B764" s="541" t="s">
        <v>174</v>
      </c>
      <c r="C764" s="541" t="s">
        <v>106</v>
      </c>
      <c r="D764" s="542" t="s">
        <v>14</v>
      </c>
      <c r="E764" s="549">
        <f t="shared" si="142"/>
        <v>466274258</v>
      </c>
      <c r="F764" s="988">
        <f t="shared" ref="F764:P770" si="148">ROUND(SUMIFS(F$1721:F$1901,$A$1721:$A$1901,$A764,$B$1721:$B$1901,$B764),0)</f>
        <v>4637210</v>
      </c>
      <c r="G764" s="988">
        <f t="shared" si="148"/>
        <v>21154863</v>
      </c>
      <c r="H764" s="988">
        <f t="shared" si="148"/>
        <v>13484652</v>
      </c>
      <c r="I764" s="988">
        <f t="shared" si="148"/>
        <v>1468764</v>
      </c>
      <c r="J764" s="988">
        <f t="shared" si="148"/>
        <v>0</v>
      </c>
      <c r="K764" s="988">
        <f t="shared" si="148"/>
        <v>0</v>
      </c>
      <c r="L764" s="988">
        <f t="shared" si="148"/>
        <v>669791</v>
      </c>
      <c r="M764" s="988">
        <f t="shared" si="148"/>
        <v>962356</v>
      </c>
      <c r="N764" s="988">
        <f t="shared" si="148"/>
        <v>2753744</v>
      </c>
      <c r="O764" s="988">
        <f t="shared" si="148"/>
        <v>0</v>
      </c>
      <c r="P764" s="988">
        <f t="shared" si="148"/>
        <v>0</v>
      </c>
      <c r="Q764" s="988"/>
      <c r="R764" s="988">
        <f t="shared" si="144"/>
        <v>45131380</v>
      </c>
      <c r="S764" s="546">
        <f t="shared" si="138"/>
        <v>36108279</v>
      </c>
      <c r="T764" s="547">
        <f t="shared" si="139"/>
        <v>0</v>
      </c>
      <c r="U764" s="546">
        <f t="shared" si="140"/>
        <v>2753744</v>
      </c>
      <c r="W764" s="350">
        <f t="shared" ref="W764:W827" si="149">SUM(F764:Q764)</f>
        <v>45131380</v>
      </c>
      <c r="X764" s="285">
        <f t="shared" si="141"/>
        <v>0</v>
      </c>
    </row>
    <row r="765" spans="1:24" ht="12" thickBot="1">
      <c r="A765" s="596" t="s">
        <v>1510</v>
      </c>
      <c r="B765" s="541" t="s">
        <v>175</v>
      </c>
      <c r="C765" s="541" t="s">
        <v>199</v>
      </c>
      <c r="D765" s="542" t="s">
        <v>14</v>
      </c>
      <c r="E765" s="549">
        <f t="shared" si="142"/>
        <v>0</v>
      </c>
      <c r="F765" s="988">
        <f t="shared" si="148"/>
        <v>0</v>
      </c>
      <c r="G765" s="988">
        <f t="shared" si="148"/>
        <v>0</v>
      </c>
      <c r="H765" s="988">
        <f t="shared" si="148"/>
        <v>0</v>
      </c>
      <c r="I765" s="988">
        <f t="shared" si="148"/>
        <v>0</v>
      </c>
      <c r="J765" s="988">
        <f t="shared" si="148"/>
        <v>0</v>
      </c>
      <c r="K765" s="988">
        <f t="shared" si="148"/>
        <v>0</v>
      </c>
      <c r="L765" s="988">
        <f t="shared" si="148"/>
        <v>0</v>
      </c>
      <c r="M765" s="988">
        <f t="shared" si="148"/>
        <v>0</v>
      </c>
      <c r="N765" s="988">
        <f t="shared" si="148"/>
        <v>0</v>
      </c>
      <c r="O765" s="988">
        <f t="shared" si="148"/>
        <v>0</v>
      </c>
      <c r="P765" s="988">
        <f t="shared" si="148"/>
        <v>0</v>
      </c>
      <c r="Q765" s="988"/>
      <c r="R765" s="988">
        <f t="shared" si="144"/>
        <v>0</v>
      </c>
      <c r="S765" s="546">
        <f t="shared" si="138"/>
        <v>0</v>
      </c>
      <c r="T765" s="547">
        <f t="shared" si="139"/>
        <v>0</v>
      </c>
      <c r="U765" s="546">
        <f t="shared" si="140"/>
        <v>0</v>
      </c>
      <c r="W765" s="350">
        <f t="shared" si="149"/>
        <v>0</v>
      </c>
      <c r="X765" s="285">
        <f t="shared" si="141"/>
        <v>0</v>
      </c>
    </row>
    <row r="766" spans="1:24" ht="12" thickBot="1">
      <c r="A766" s="596" t="s">
        <v>1510</v>
      </c>
      <c r="B766" s="541" t="s">
        <v>176</v>
      </c>
      <c r="C766" s="541" t="s">
        <v>200</v>
      </c>
      <c r="D766" s="542" t="s">
        <v>207</v>
      </c>
      <c r="E766" s="549">
        <f t="shared" si="142"/>
        <v>0</v>
      </c>
      <c r="F766" s="988">
        <f t="shared" si="148"/>
        <v>0</v>
      </c>
      <c r="G766" s="988">
        <f t="shared" si="148"/>
        <v>0</v>
      </c>
      <c r="H766" s="988">
        <f t="shared" si="148"/>
        <v>0</v>
      </c>
      <c r="I766" s="988">
        <f t="shared" si="148"/>
        <v>0</v>
      </c>
      <c r="J766" s="988">
        <f t="shared" si="148"/>
        <v>0</v>
      </c>
      <c r="K766" s="988">
        <f t="shared" si="148"/>
        <v>0</v>
      </c>
      <c r="L766" s="988">
        <f t="shared" si="148"/>
        <v>0</v>
      </c>
      <c r="M766" s="988">
        <f t="shared" si="148"/>
        <v>0</v>
      </c>
      <c r="N766" s="988">
        <f t="shared" si="148"/>
        <v>0</v>
      </c>
      <c r="O766" s="988">
        <f t="shared" si="148"/>
        <v>0</v>
      </c>
      <c r="P766" s="988">
        <f t="shared" si="148"/>
        <v>0</v>
      </c>
      <c r="Q766" s="988"/>
      <c r="R766" s="988">
        <f t="shared" si="144"/>
        <v>0</v>
      </c>
      <c r="S766" s="546">
        <f t="shared" si="138"/>
        <v>0</v>
      </c>
      <c r="T766" s="547">
        <f t="shared" si="139"/>
        <v>0</v>
      </c>
      <c r="U766" s="546">
        <f t="shared" si="140"/>
        <v>0</v>
      </c>
      <c r="W766" s="350">
        <f t="shared" si="149"/>
        <v>0</v>
      </c>
      <c r="X766" s="285">
        <f t="shared" si="141"/>
        <v>0</v>
      </c>
    </row>
    <row r="767" spans="1:24" ht="12" thickBot="1">
      <c r="A767" s="596" t="s">
        <v>1510</v>
      </c>
      <c r="B767" s="541" t="s">
        <v>458</v>
      </c>
      <c r="C767" s="541" t="s">
        <v>1367</v>
      </c>
      <c r="D767" s="542" t="s">
        <v>206</v>
      </c>
      <c r="E767" s="549">
        <f t="shared" si="142"/>
        <v>0</v>
      </c>
      <c r="F767" s="988">
        <f t="shared" si="148"/>
        <v>0</v>
      </c>
      <c r="G767" s="988">
        <f t="shared" si="148"/>
        <v>0</v>
      </c>
      <c r="H767" s="988">
        <f t="shared" si="148"/>
        <v>0</v>
      </c>
      <c r="I767" s="988">
        <f t="shared" si="148"/>
        <v>0</v>
      </c>
      <c r="J767" s="988">
        <f t="shared" si="148"/>
        <v>0</v>
      </c>
      <c r="K767" s="988">
        <f t="shared" si="148"/>
        <v>0</v>
      </c>
      <c r="L767" s="988">
        <f t="shared" si="148"/>
        <v>0</v>
      </c>
      <c r="M767" s="988">
        <f t="shared" si="148"/>
        <v>0</v>
      </c>
      <c r="N767" s="988">
        <f t="shared" si="148"/>
        <v>0</v>
      </c>
      <c r="O767" s="988">
        <f t="shared" si="148"/>
        <v>0</v>
      </c>
      <c r="P767" s="988">
        <f t="shared" si="148"/>
        <v>0</v>
      </c>
      <c r="Q767" s="988"/>
      <c r="R767" s="988">
        <f t="shared" si="144"/>
        <v>0</v>
      </c>
      <c r="S767" s="546">
        <f t="shared" si="138"/>
        <v>0</v>
      </c>
      <c r="T767" s="547">
        <f t="shared" si="139"/>
        <v>0</v>
      </c>
      <c r="U767" s="546">
        <f t="shared" si="140"/>
        <v>0</v>
      </c>
      <c r="W767" s="350">
        <f t="shared" si="149"/>
        <v>0</v>
      </c>
      <c r="X767" s="285">
        <f t="shared" si="141"/>
        <v>0</v>
      </c>
    </row>
    <row r="768" spans="1:24" ht="12" thickBot="1">
      <c r="A768" s="596" t="s">
        <v>1510</v>
      </c>
      <c r="B768" s="541" t="s">
        <v>177</v>
      </c>
      <c r="C768" s="541" t="s">
        <v>201</v>
      </c>
      <c r="D768" s="542" t="s">
        <v>16</v>
      </c>
      <c r="E768" s="549">
        <f t="shared" si="142"/>
        <v>0</v>
      </c>
      <c r="F768" s="988">
        <f t="shared" si="148"/>
        <v>0</v>
      </c>
      <c r="G768" s="988">
        <f t="shared" si="148"/>
        <v>0</v>
      </c>
      <c r="H768" s="988">
        <f t="shared" si="148"/>
        <v>0</v>
      </c>
      <c r="I768" s="988">
        <f t="shared" si="148"/>
        <v>0</v>
      </c>
      <c r="J768" s="988">
        <f t="shared" si="148"/>
        <v>0</v>
      </c>
      <c r="K768" s="988">
        <f t="shared" si="148"/>
        <v>0</v>
      </c>
      <c r="L768" s="988">
        <f t="shared" si="148"/>
        <v>0</v>
      </c>
      <c r="M768" s="988">
        <f t="shared" si="148"/>
        <v>0</v>
      </c>
      <c r="N768" s="988">
        <f t="shared" si="148"/>
        <v>0</v>
      </c>
      <c r="O768" s="988">
        <f t="shared" si="148"/>
        <v>0</v>
      </c>
      <c r="P768" s="988">
        <f t="shared" si="148"/>
        <v>0</v>
      </c>
      <c r="Q768" s="988"/>
      <c r="R768" s="988">
        <f t="shared" si="144"/>
        <v>0</v>
      </c>
      <c r="S768" s="546">
        <f t="shared" si="138"/>
        <v>0</v>
      </c>
      <c r="T768" s="547">
        <f t="shared" si="139"/>
        <v>0</v>
      </c>
      <c r="U768" s="546">
        <f t="shared" si="140"/>
        <v>0</v>
      </c>
      <c r="W768" s="350">
        <f t="shared" si="149"/>
        <v>0</v>
      </c>
      <c r="X768" s="285">
        <f t="shared" si="141"/>
        <v>0</v>
      </c>
    </row>
    <row r="769" spans="1:24" ht="12" thickBot="1">
      <c r="A769" s="596" t="s">
        <v>1510</v>
      </c>
      <c r="B769" s="541" t="s">
        <v>178</v>
      </c>
      <c r="C769" s="541" t="s">
        <v>202</v>
      </c>
      <c r="D769" s="542" t="s">
        <v>14</v>
      </c>
      <c r="E769" s="549">
        <f t="shared" si="142"/>
        <v>0</v>
      </c>
      <c r="F769" s="988">
        <f t="shared" si="148"/>
        <v>0</v>
      </c>
      <c r="G769" s="988">
        <f t="shared" si="148"/>
        <v>0</v>
      </c>
      <c r="H769" s="988">
        <f t="shared" si="148"/>
        <v>0</v>
      </c>
      <c r="I769" s="988">
        <f t="shared" si="148"/>
        <v>0</v>
      </c>
      <c r="J769" s="988">
        <f t="shared" si="148"/>
        <v>0</v>
      </c>
      <c r="K769" s="988">
        <f t="shared" si="148"/>
        <v>0</v>
      </c>
      <c r="L769" s="988">
        <f t="shared" si="148"/>
        <v>0</v>
      </c>
      <c r="M769" s="988">
        <f t="shared" si="148"/>
        <v>0</v>
      </c>
      <c r="N769" s="988">
        <f t="shared" si="148"/>
        <v>0</v>
      </c>
      <c r="O769" s="988">
        <f t="shared" si="148"/>
        <v>0</v>
      </c>
      <c r="P769" s="988">
        <f t="shared" si="148"/>
        <v>0</v>
      </c>
      <c r="Q769" s="988"/>
      <c r="R769" s="988">
        <f t="shared" si="144"/>
        <v>0</v>
      </c>
      <c r="S769" s="546">
        <f t="shared" si="138"/>
        <v>0</v>
      </c>
      <c r="T769" s="547">
        <f t="shared" si="139"/>
        <v>0</v>
      </c>
      <c r="U769" s="546">
        <f t="shared" si="140"/>
        <v>0</v>
      </c>
      <c r="W769" s="350">
        <f t="shared" si="149"/>
        <v>0</v>
      </c>
      <c r="X769" s="285">
        <f t="shared" si="141"/>
        <v>0</v>
      </c>
    </row>
    <row r="770" spans="1:24" ht="12" thickBot="1">
      <c r="A770" s="596" t="s">
        <v>1510</v>
      </c>
      <c r="B770" s="541" t="s">
        <v>73</v>
      </c>
      <c r="C770" s="541" t="s">
        <v>1511</v>
      </c>
      <c r="D770" s="542"/>
      <c r="E770" s="549">
        <f t="shared" si="142"/>
        <v>9184135</v>
      </c>
      <c r="F770" s="988">
        <f t="shared" si="148"/>
        <v>0</v>
      </c>
      <c r="G770" s="988">
        <f t="shared" si="148"/>
        <v>1877356</v>
      </c>
      <c r="H770" s="988">
        <f t="shared" si="148"/>
        <v>265605</v>
      </c>
      <c r="I770" s="988">
        <f t="shared" si="148"/>
        <v>0</v>
      </c>
      <c r="J770" s="988">
        <f t="shared" si="148"/>
        <v>0</v>
      </c>
      <c r="K770" s="988">
        <f t="shared" si="148"/>
        <v>0</v>
      </c>
      <c r="L770" s="988">
        <f t="shared" si="148"/>
        <v>0</v>
      </c>
      <c r="M770" s="988">
        <f t="shared" si="148"/>
        <v>18955</v>
      </c>
      <c r="N770" s="988">
        <f t="shared" si="148"/>
        <v>54240</v>
      </c>
      <c r="O770" s="988">
        <f t="shared" si="148"/>
        <v>0</v>
      </c>
      <c r="P770" s="988">
        <f t="shared" si="148"/>
        <v>0</v>
      </c>
      <c r="Q770" s="988"/>
      <c r="R770" s="988">
        <f t="shared" si="144"/>
        <v>2216156</v>
      </c>
      <c r="S770" s="546">
        <f t="shared" si="138"/>
        <v>2142961</v>
      </c>
      <c r="T770" s="547">
        <f t="shared" si="139"/>
        <v>0</v>
      </c>
      <c r="U770" s="546">
        <f t="shared" si="140"/>
        <v>54240</v>
      </c>
      <c r="W770" s="350">
        <f t="shared" si="149"/>
        <v>2216156</v>
      </c>
      <c r="X770" s="285">
        <f t="shared" si="141"/>
        <v>0</v>
      </c>
    </row>
    <row r="771" spans="1:24" ht="12" thickBot="1">
      <c r="A771" s="596" t="s">
        <v>1510</v>
      </c>
      <c r="B771" s="541" t="s">
        <v>323</v>
      </c>
      <c r="C771" s="541" t="s">
        <v>1056</v>
      </c>
      <c r="D771" s="552" t="s">
        <v>1139</v>
      </c>
      <c r="E771" s="543"/>
      <c r="F771" s="545"/>
      <c r="G771" s="544"/>
      <c r="H771" s="545"/>
      <c r="I771" s="545"/>
      <c r="J771" s="545"/>
      <c r="K771" s="545"/>
      <c r="L771" s="545"/>
      <c r="M771" s="544"/>
      <c r="N771" s="544"/>
      <c r="O771" s="545"/>
      <c r="P771" s="545"/>
      <c r="Q771" s="544"/>
      <c r="R771" s="544"/>
      <c r="S771" s="546">
        <f t="shared" si="138"/>
        <v>0</v>
      </c>
      <c r="T771" s="547">
        <f t="shared" si="139"/>
        <v>0</v>
      </c>
      <c r="U771" s="546">
        <f t="shared" si="140"/>
        <v>0</v>
      </c>
      <c r="W771" s="350">
        <f t="shared" si="149"/>
        <v>0</v>
      </c>
      <c r="X771" s="285">
        <f t="shared" si="141"/>
        <v>0</v>
      </c>
    </row>
    <row r="772" spans="1:24" ht="12" thickBot="1">
      <c r="A772" s="596" t="s">
        <v>1510</v>
      </c>
      <c r="B772" s="541" t="s">
        <v>328</v>
      </c>
      <c r="C772" s="541" t="s">
        <v>1057</v>
      </c>
      <c r="D772" s="552" t="s">
        <v>1139</v>
      </c>
      <c r="E772" s="549"/>
      <c r="F772" s="551"/>
      <c r="G772" s="550"/>
      <c r="H772" s="551"/>
      <c r="I772" s="551"/>
      <c r="J772" s="551"/>
      <c r="K772" s="551"/>
      <c r="L772" s="551"/>
      <c r="M772" s="550"/>
      <c r="N772" s="550"/>
      <c r="O772" s="551"/>
      <c r="P772" s="551"/>
      <c r="Q772" s="550"/>
      <c r="R772" s="550"/>
      <c r="S772" s="546">
        <f t="shared" si="138"/>
        <v>0</v>
      </c>
      <c r="T772" s="547">
        <f t="shared" si="139"/>
        <v>0</v>
      </c>
      <c r="U772" s="546">
        <f t="shared" si="140"/>
        <v>0</v>
      </c>
      <c r="W772" s="350">
        <f t="shared" si="149"/>
        <v>0</v>
      </c>
      <c r="X772" s="285">
        <f t="shared" si="141"/>
        <v>0</v>
      </c>
    </row>
    <row r="773" spans="1:24" ht="12" thickBot="1">
      <c r="A773" s="596" t="s">
        <v>1510</v>
      </c>
      <c r="B773" s="541" t="s">
        <v>331</v>
      </c>
      <c r="C773" s="541" t="s">
        <v>1058</v>
      </c>
      <c r="D773" s="552" t="s">
        <v>1139</v>
      </c>
      <c r="E773" s="543"/>
      <c r="F773" s="545"/>
      <c r="G773" s="544"/>
      <c r="H773" s="545"/>
      <c r="I773" s="545"/>
      <c r="J773" s="545"/>
      <c r="K773" s="545"/>
      <c r="L773" s="545"/>
      <c r="M773" s="544"/>
      <c r="N773" s="544"/>
      <c r="O773" s="545"/>
      <c r="P773" s="545"/>
      <c r="Q773" s="544"/>
      <c r="R773" s="544"/>
      <c r="S773" s="546">
        <f t="shared" si="138"/>
        <v>0</v>
      </c>
      <c r="T773" s="547">
        <f t="shared" si="139"/>
        <v>0</v>
      </c>
      <c r="U773" s="546">
        <f t="shared" si="140"/>
        <v>0</v>
      </c>
      <c r="W773" s="350">
        <f t="shared" si="149"/>
        <v>0</v>
      </c>
      <c r="X773" s="285">
        <f t="shared" si="141"/>
        <v>0</v>
      </c>
    </row>
    <row r="774" spans="1:24" ht="12" thickBot="1">
      <c r="A774" s="596" t="s">
        <v>1510</v>
      </c>
      <c r="B774" s="541" t="s">
        <v>332</v>
      </c>
      <c r="C774" s="541" t="s">
        <v>1059</v>
      </c>
      <c r="D774" s="552" t="s">
        <v>1139</v>
      </c>
      <c r="E774" s="549"/>
      <c r="F774" s="551"/>
      <c r="G774" s="550"/>
      <c r="H774" s="551"/>
      <c r="I774" s="551"/>
      <c r="J774" s="551"/>
      <c r="K774" s="551"/>
      <c r="L774" s="551"/>
      <c r="M774" s="550"/>
      <c r="N774" s="550"/>
      <c r="O774" s="551"/>
      <c r="P774" s="551"/>
      <c r="Q774" s="550"/>
      <c r="R774" s="550"/>
      <c r="S774" s="546">
        <f t="shared" si="138"/>
        <v>0</v>
      </c>
      <c r="T774" s="547">
        <f t="shared" si="139"/>
        <v>0</v>
      </c>
      <c r="U774" s="546">
        <f t="shared" si="140"/>
        <v>0</v>
      </c>
      <c r="W774" s="350">
        <f t="shared" si="149"/>
        <v>0</v>
      </c>
      <c r="X774" s="285">
        <f t="shared" si="141"/>
        <v>0</v>
      </c>
    </row>
    <row r="775" spans="1:24" ht="12" thickBot="1">
      <c r="A775" s="596" t="s">
        <v>1510</v>
      </c>
      <c r="B775" s="541" t="s">
        <v>333</v>
      </c>
      <c r="C775" s="541" t="s">
        <v>1060</v>
      </c>
      <c r="D775" s="552" t="s">
        <v>1139</v>
      </c>
      <c r="E775" s="543"/>
      <c r="F775" s="545"/>
      <c r="G775" s="544"/>
      <c r="H775" s="545"/>
      <c r="I775" s="545"/>
      <c r="J775" s="545"/>
      <c r="K775" s="545"/>
      <c r="L775" s="545"/>
      <c r="M775" s="544"/>
      <c r="N775" s="544"/>
      <c r="O775" s="545"/>
      <c r="P775" s="545"/>
      <c r="Q775" s="544"/>
      <c r="R775" s="544"/>
      <c r="S775" s="546">
        <f t="shared" si="138"/>
        <v>0</v>
      </c>
      <c r="T775" s="547">
        <f t="shared" si="139"/>
        <v>0</v>
      </c>
      <c r="U775" s="546">
        <f t="shared" si="140"/>
        <v>0</v>
      </c>
      <c r="W775" s="350">
        <f t="shared" si="149"/>
        <v>0</v>
      </c>
      <c r="X775" s="285">
        <f t="shared" si="141"/>
        <v>0</v>
      </c>
    </row>
    <row r="776" spans="1:24" ht="12" thickBot="1">
      <c r="A776" s="596" t="s">
        <v>1510</v>
      </c>
      <c r="B776" s="541" t="s">
        <v>335</v>
      </c>
      <c r="C776" s="541" t="s">
        <v>1061</v>
      </c>
      <c r="D776" s="552" t="s">
        <v>1139</v>
      </c>
      <c r="E776" s="549"/>
      <c r="F776" s="551"/>
      <c r="G776" s="550"/>
      <c r="H776" s="551"/>
      <c r="I776" s="551"/>
      <c r="J776" s="551"/>
      <c r="K776" s="551"/>
      <c r="L776" s="551"/>
      <c r="M776" s="550"/>
      <c r="N776" s="550"/>
      <c r="O776" s="551"/>
      <c r="P776" s="551"/>
      <c r="Q776" s="550"/>
      <c r="R776" s="550"/>
      <c r="S776" s="546">
        <f t="shared" si="138"/>
        <v>0</v>
      </c>
      <c r="T776" s="547">
        <f t="shared" si="139"/>
        <v>0</v>
      </c>
      <c r="U776" s="546">
        <f t="shared" si="140"/>
        <v>0</v>
      </c>
      <c r="W776" s="350">
        <f t="shared" si="149"/>
        <v>0</v>
      </c>
      <c r="X776" s="285">
        <f t="shared" si="141"/>
        <v>0</v>
      </c>
    </row>
    <row r="777" spans="1:24" ht="12" thickBot="1">
      <c r="A777" s="596" t="s">
        <v>1510</v>
      </c>
      <c r="B777" s="541" t="s">
        <v>336</v>
      </c>
      <c r="C777" s="541" t="s">
        <v>1062</v>
      </c>
      <c r="D777" s="552" t="s">
        <v>1139</v>
      </c>
      <c r="E777" s="543"/>
      <c r="F777" s="545"/>
      <c r="G777" s="544"/>
      <c r="H777" s="545"/>
      <c r="I777" s="545"/>
      <c r="J777" s="545"/>
      <c r="K777" s="545"/>
      <c r="L777" s="545"/>
      <c r="M777" s="544"/>
      <c r="N777" s="544"/>
      <c r="O777" s="545"/>
      <c r="P777" s="545"/>
      <c r="Q777" s="544"/>
      <c r="R777" s="544"/>
      <c r="S777" s="546">
        <f t="shared" si="138"/>
        <v>0</v>
      </c>
      <c r="T777" s="547">
        <f t="shared" si="139"/>
        <v>0</v>
      </c>
      <c r="U777" s="546">
        <f t="shared" si="140"/>
        <v>0</v>
      </c>
      <c r="W777" s="350">
        <f t="shared" si="149"/>
        <v>0</v>
      </c>
      <c r="X777" s="285">
        <f t="shared" si="141"/>
        <v>0</v>
      </c>
    </row>
    <row r="778" spans="1:24" ht="12" thickBot="1">
      <c r="A778" s="596" t="s">
        <v>1510</v>
      </c>
      <c r="B778" s="541" t="s">
        <v>338</v>
      </c>
      <c r="C778" s="541" t="s">
        <v>1063</v>
      </c>
      <c r="D778" s="552" t="s">
        <v>1139</v>
      </c>
      <c r="E778" s="549"/>
      <c r="F778" s="551"/>
      <c r="G778" s="550"/>
      <c r="H778" s="551"/>
      <c r="I778" s="551"/>
      <c r="J778" s="551"/>
      <c r="K778" s="551"/>
      <c r="L778" s="551"/>
      <c r="M778" s="550"/>
      <c r="N778" s="550"/>
      <c r="O778" s="551"/>
      <c r="P778" s="551"/>
      <c r="Q778" s="550"/>
      <c r="R778" s="550"/>
      <c r="S778" s="546">
        <f t="shared" si="138"/>
        <v>0</v>
      </c>
      <c r="T778" s="547">
        <f t="shared" si="139"/>
        <v>0</v>
      </c>
      <c r="U778" s="546">
        <f t="shared" si="140"/>
        <v>0</v>
      </c>
      <c r="W778" s="350">
        <f t="shared" si="149"/>
        <v>0</v>
      </c>
      <c r="X778" s="285">
        <f t="shared" si="141"/>
        <v>0</v>
      </c>
    </row>
    <row r="779" spans="1:24" ht="12" thickBot="1">
      <c r="A779" s="596" t="s">
        <v>1510</v>
      </c>
      <c r="B779" s="541" t="s">
        <v>339</v>
      </c>
      <c r="C779" s="541" t="s">
        <v>1064</v>
      </c>
      <c r="D779" s="552" t="s">
        <v>1139</v>
      </c>
      <c r="E779" s="543"/>
      <c r="F779" s="545"/>
      <c r="G779" s="544"/>
      <c r="H779" s="545"/>
      <c r="I779" s="545"/>
      <c r="J779" s="545"/>
      <c r="K779" s="545"/>
      <c r="L779" s="545"/>
      <c r="M779" s="544"/>
      <c r="N779" s="544"/>
      <c r="O779" s="545"/>
      <c r="P779" s="545"/>
      <c r="Q779" s="544"/>
      <c r="R779" s="544"/>
      <c r="S779" s="546">
        <f t="shared" ref="S779:S842" si="150">G779+H779+I779</f>
        <v>0</v>
      </c>
      <c r="T779" s="547">
        <f t="shared" ref="T779:T842" si="151">J779+K779</f>
        <v>0</v>
      </c>
      <c r="U779" s="546">
        <f t="shared" ref="U779:U842" si="152">N779+O779</f>
        <v>0</v>
      </c>
      <c r="W779" s="350">
        <f t="shared" si="149"/>
        <v>0</v>
      </c>
      <c r="X779" s="285">
        <f t="shared" ref="X779:X842" si="153">W779-R779</f>
        <v>0</v>
      </c>
    </row>
    <row r="780" spans="1:24" ht="12" thickBot="1">
      <c r="A780" s="596" t="s">
        <v>1510</v>
      </c>
      <c r="B780" s="541" t="s">
        <v>325</v>
      </c>
      <c r="C780" s="541" t="s">
        <v>1065</v>
      </c>
      <c r="D780" s="552" t="s">
        <v>1139</v>
      </c>
      <c r="E780" s="549"/>
      <c r="F780" s="551"/>
      <c r="G780" s="550"/>
      <c r="H780" s="551"/>
      <c r="I780" s="551"/>
      <c r="J780" s="551"/>
      <c r="K780" s="551"/>
      <c r="L780" s="551"/>
      <c r="M780" s="550"/>
      <c r="N780" s="550"/>
      <c r="O780" s="551"/>
      <c r="P780" s="551"/>
      <c r="Q780" s="550"/>
      <c r="R780" s="550"/>
      <c r="S780" s="546">
        <f t="shared" si="150"/>
        <v>0</v>
      </c>
      <c r="T780" s="547">
        <f t="shared" si="151"/>
        <v>0</v>
      </c>
      <c r="U780" s="546">
        <f t="shared" si="152"/>
        <v>0</v>
      </c>
      <c r="W780" s="350">
        <f t="shared" si="149"/>
        <v>0</v>
      </c>
      <c r="X780" s="285">
        <f t="shared" si="153"/>
        <v>0</v>
      </c>
    </row>
    <row r="781" spans="1:24" ht="12" thickBot="1">
      <c r="A781" s="596" t="s">
        <v>1510</v>
      </c>
      <c r="B781" s="541" t="s">
        <v>334</v>
      </c>
      <c r="C781" s="541" t="s">
        <v>1066</v>
      </c>
      <c r="D781" s="552" t="s">
        <v>1139</v>
      </c>
      <c r="E781" s="543"/>
      <c r="F781" s="545"/>
      <c r="G781" s="544"/>
      <c r="H781" s="545"/>
      <c r="I781" s="545"/>
      <c r="J781" s="545"/>
      <c r="K781" s="545"/>
      <c r="L781" s="545"/>
      <c r="M781" s="544"/>
      <c r="N781" s="544"/>
      <c r="O781" s="545"/>
      <c r="P781" s="545"/>
      <c r="Q781" s="544"/>
      <c r="R781" s="544"/>
      <c r="S781" s="546">
        <f t="shared" si="150"/>
        <v>0</v>
      </c>
      <c r="T781" s="547">
        <f t="shared" si="151"/>
        <v>0</v>
      </c>
      <c r="U781" s="546">
        <f t="shared" si="152"/>
        <v>0</v>
      </c>
      <c r="W781" s="350">
        <f t="shared" si="149"/>
        <v>0</v>
      </c>
      <c r="X781" s="285">
        <f t="shared" si="153"/>
        <v>0</v>
      </c>
    </row>
    <row r="782" spans="1:24" ht="12" thickBot="1">
      <c r="A782" s="596" t="s">
        <v>1510</v>
      </c>
      <c r="B782" s="541" t="s">
        <v>326</v>
      </c>
      <c r="C782" s="541" t="s">
        <v>1067</v>
      </c>
      <c r="D782" s="552" t="s">
        <v>1139</v>
      </c>
      <c r="E782" s="549"/>
      <c r="F782" s="551"/>
      <c r="G782" s="550"/>
      <c r="H782" s="551"/>
      <c r="I782" s="551"/>
      <c r="J782" s="551"/>
      <c r="K782" s="551"/>
      <c r="L782" s="551"/>
      <c r="M782" s="550"/>
      <c r="N782" s="550"/>
      <c r="O782" s="551"/>
      <c r="P782" s="551"/>
      <c r="Q782" s="550"/>
      <c r="R782" s="550"/>
      <c r="S782" s="546">
        <f t="shared" si="150"/>
        <v>0</v>
      </c>
      <c r="T782" s="547">
        <f t="shared" si="151"/>
        <v>0</v>
      </c>
      <c r="U782" s="546">
        <f t="shared" si="152"/>
        <v>0</v>
      </c>
      <c r="W782" s="350">
        <f t="shared" si="149"/>
        <v>0</v>
      </c>
      <c r="X782" s="285">
        <f t="shared" si="153"/>
        <v>0</v>
      </c>
    </row>
    <row r="783" spans="1:24" ht="12" thickBot="1">
      <c r="A783" s="596" t="s">
        <v>1510</v>
      </c>
      <c r="B783" s="541" t="s">
        <v>330</v>
      </c>
      <c r="C783" s="541" t="s">
        <v>1068</v>
      </c>
      <c r="D783" s="552" t="s">
        <v>1139</v>
      </c>
      <c r="E783" s="543"/>
      <c r="F783" s="545"/>
      <c r="G783" s="544"/>
      <c r="H783" s="545"/>
      <c r="I783" s="545"/>
      <c r="J783" s="545"/>
      <c r="K783" s="545"/>
      <c r="L783" s="545"/>
      <c r="M783" s="544"/>
      <c r="N783" s="544"/>
      <c r="O783" s="545"/>
      <c r="P783" s="545"/>
      <c r="Q783" s="544"/>
      <c r="R783" s="544"/>
      <c r="S783" s="546">
        <f t="shared" si="150"/>
        <v>0</v>
      </c>
      <c r="T783" s="547">
        <f t="shared" si="151"/>
        <v>0</v>
      </c>
      <c r="U783" s="546">
        <f t="shared" si="152"/>
        <v>0</v>
      </c>
      <c r="W783" s="350">
        <f t="shared" si="149"/>
        <v>0</v>
      </c>
      <c r="X783" s="285">
        <f t="shared" si="153"/>
        <v>0</v>
      </c>
    </row>
    <row r="784" spans="1:24" ht="12" thickBot="1">
      <c r="A784" s="596" t="s">
        <v>1510</v>
      </c>
      <c r="B784" s="541" t="s">
        <v>337</v>
      </c>
      <c r="C784" s="541" t="s">
        <v>1069</v>
      </c>
      <c r="D784" s="552" t="s">
        <v>1139</v>
      </c>
      <c r="E784" s="549"/>
      <c r="F784" s="551"/>
      <c r="G784" s="550"/>
      <c r="H784" s="551"/>
      <c r="I784" s="551"/>
      <c r="J784" s="551"/>
      <c r="K784" s="551"/>
      <c r="L784" s="551"/>
      <c r="M784" s="550"/>
      <c r="N784" s="550"/>
      <c r="O784" s="551"/>
      <c r="P784" s="551"/>
      <c r="Q784" s="550"/>
      <c r="R784" s="550"/>
      <c r="S784" s="546">
        <f t="shared" si="150"/>
        <v>0</v>
      </c>
      <c r="T784" s="547">
        <f t="shared" si="151"/>
        <v>0</v>
      </c>
      <c r="U784" s="546">
        <f t="shared" si="152"/>
        <v>0</v>
      </c>
      <c r="W784" s="350">
        <f t="shared" si="149"/>
        <v>0</v>
      </c>
      <c r="X784" s="285">
        <f t="shared" si="153"/>
        <v>0</v>
      </c>
    </row>
    <row r="785" spans="1:24" ht="12" thickBot="1">
      <c r="A785" s="596" t="s">
        <v>1510</v>
      </c>
      <c r="B785" s="541" t="s">
        <v>329</v>
      </c>
      <c r="C785" s="541" t="s">
        <v>1070</v>
      </c>
      <c r="D785" s="552" t="s">
        <v>1139</v>
      </c>
      <c r="E785" s="543"/>
      <c r="F785" s="545"/>
      <c r="G785" s="544"/>
      <c r="H785" s="545"/>
      <c r="I785" s="545"/>
      <c r="J785" s="545"/>
      <c r="K785" s="545"/>
      <c r="L785" s="545"/>
      <c r="M785" s="544"/>
      <c r="N785" s="544"/>
      <c r="O785" s="545"/>
      <c r="P785" s="545"/>
      <c r="Q785" s="544"/>
      <c r="R785" s="544"/>
      <c r="S785" s="546">
        <f t="shared" si="150"/>
        <v>0</v>
      </c>
      <c r="T785" s="547">
        <f t="shared" si="151"/>
        <v>0</v>
      </c>
      <c r="U785" s="546">
        <f t="shared" si="152"/>
        <v>0</v>
      </c>
      <c r="W785" s="350">
        <f t="shared" si="149"/>
        <v>0</v>
      </c>
      <c r="X785" s="285">
        <f t="shared" si="153"/>
        <v>0</v>
      </c>
    </row>
    <row r="786" spans="1:24" ht="12" thickBot="1">
      <c r="A786" s="596" t="s">
        <v>1510</v>
      </c>
      <c r="B786" s="541" t="s">
        <v>327</v>
      </c>
      <c r="C786" s="541" t="s">
        <v>1071</v>
      </c>
      <c r="D786" s="552" t="s">
        <v>1139</v>
      </c>
      <c r="E786" s="549"/>
      <c r="F786" s="551"/>
      <c r="G786" s="550"/>
      <c r="H786" s="551"/>
      <c r="I786" s="551"/>
      <c r="J786" s="551"/>
      <c r="K786" s="551"/>
      <c r="L786" s="551"/>
      <c r="M786" s="550"/>
      <c r="N786" s="550"/>
      <c r="O786" s="551"/>
      <c r="P786" s="551"/>
      <c r="Q786" s="550"/>
      <c r="R786" s="550"/>
      <c r="S786" s="546">
        <f t="shared" si="150"/>
        <v>0</v>
      </c>
      <c r="T786" s="547">
        <f t="shared" si="151"/>
        <v>0</v>
      </c>
      <c r="U786" s="546">
        <f t="shared" si="152"/>
        <v>0</v>
      </c>
      <c r="W786" s="350">
        <f t="shared" si="149"/>
        <v>0</v>
      </c>
      <c r="X786" s="285">
        <f t="shared" si="153"/>
        <v>0</v>
      </c>
    </row>
    <row r="787" spans="1:24" ht="12" thickBot="1">
      <c r="A787" s="596" t="s">
        <v>1510</v>
      </c>
      <c r="B787" s="541" t="s">
        <v>453</v>
      </c>
      <c r="C787" s="541" t="s">
        <v>1072</v>
      </c>
      <c r="D787" s="552" t="s">
        <v>1139</v>
      </c>
      <c r="E787" s="543"/>
      <c r="F787" s="545"/>
      <c r="G787" s="544"/>
      <c r="H787" s="545"/>
      <c r="I787" s="545"/>
      <c r="J787" s="545"/>
      <c r="K787" s="545"/>
      <c r="L787" s="545"/>
      <c r="M787" s="544"/>
      <c r="N787" s="544"/>
      <c r="O787" s="545"/>
      <c r="P787" s="545"/>
      <c r="Q787" s="545"/>
      <c r="R787" s="544"/>
      <c r="S787" s="546">
        <f t="shared" si="150"/>
        <v>0</v>
      </c>
      <c r="T787" s="547">
        <f t="shared" si="151"/>
        <v>0</v>
      </c>
      <c r="U787" s="546">
        <f t="shared" si="152"/>
        <v>0</v>
      </c>
      <c r="W787" s="350">
        <f t="shared" si="149"/>
        <v>0</v>
      </c>
      <c r="X787" s="285">
        <f t="shared" si="153"/>
        <v>0</v>
      </c>
    </row>
    <row r="788" spans="1:24" ht="12" thickBot="1">
      <c r="A788" s="596" t="s">
        <v>1510</v>
      </c>
      <c r="B788" s="541" t="s">
        <v>366</v>
      </c>
      <c r="C788" s="541" t="s">
        <v>1073</v>
      </c>
      <c r="D788" s="552" t="s">
        <v>1139</v>
      </c>
      <c r="E788" s="549"/>
      <c r="F788" s="551"/>
      <c r="G788" s="550"/>
      <c r="H788" s="551"/>
      <c r="I788" s="551"/>
      <c r="J788" s="551"/>
      <c r="K788" s="551"/>
      <c r="L788" s="551"/>
      <c r="M788" s="550"/>
      <c r="N788" s="550"/>
      <c r="O788" s="551"/>
      <c r="P788" s="551"/>
      <c r="Q788" s="550"/>
      <c r="R788" s="550"/>
      <c r="S788" s="546">
        <f t="shared" si="150"/>
        <v>0</v>
      </c>
      <c r="T788" s="547">
        <f t="shared" si="151"/>
        <v>0</v>
      </c>
      <c r="U788" s="546">
        <f t="shared" si="152"/>
        <v>0</v>
      </c>
      <c r="W788" s="350">
        <f t="shared" si="149"/>
        <v>0</v>
      </c>
      <c r="X788" s="285">
        <f t="shared" si="153"/>
        <v>0</v>
      </c>
    </row>
    <row r="789" spans="1:24" ht="12" thickBot="1">
      <c r="A789" s="596" t="s">
        <v>1510</v>
      </c>
      <c r="B789" s="541" t="s">
        <v>386</v>
      </c>
      <c r="C789" s="541" t="s">
        <v>1074</v>
      </c>
      <c r="D789" s="552" t="s">
        <v>1140</v>
      </c>
      <c r="E789" s="543"/>
      <c r="F789" s="545"/>
      <c r="G789" s="544"/>
      <c r="H789" s="545"/>
      <c r="I789" s="545"/>
      <c r="J789" s="545"/>
      <c r="K789" s="545"/>
      <c r="L789" s="545"/>
      <c r="M789" s="544"/>
      <c r="N789" s="544"/>
      <c r="O789" s="545"/>
      <c r="P789" s="545"/>
      <c r="Q789" s="544"/>
      <c r="R789" s="544"/>
      <c r="S789" s="546">
        <f t="shared" si="150"/>
        <v>0</v>
      </c>
      <c r="T789" s="547">
        <f t="shared" si="151"/>
        <v>0</v>
      </c>
      <c r="U789" s="546">
        <f t="shared" si="152"/>
        <v>0</v>
      </c>
      <c r="W789" s="350">
        <f t="shared" si="149"/>
        <v>0</v>
      </c>
      <c r="X789" s="285">
        <f t="shared" si="153"/>
        <v>0</v>
      </c>
    </row>
    <row r="790" spans="1:24" ht="12" thickBot="1">
      <c r="A790" s="596" t="s">
        <v>1510</v>
      </c>
      <c r="B790" s="541" t="s">
        <v>342</v>
      </c>
      <c r="C790" s="541" t="s">
        <v>251</v>
      </c>
      <c r="D790" s="552" t="s">
        <v>1139</v>
      </c>
      <c r="E790" s="549"/>
      <c r="F790" s="551"/>
      <c r="G790" s="550"/>
      <c r="H790" s="551"/>
      <c r="I790" s="551"/>
      <c r="J790" s="551"/>
      <c r="K790" s="551"/>
      <c r="L790" s="551"/>
      <c r="M790" s="550"/>
      <c r="N790" s="550"/>
      <c r="O790" s="551"/>
      <c r="P790" s="551"/>
      <c r="Q790" s="550"/>
      <c r="R790" s="550"/>
      <c r="S790" s="546">
        <f t="shared" si="150"/>
        <v>0</v>
      </c>
      <c r="T790" s="547">
        <f t="shared" si="151"/>
        <v>0</v>
      </c>
      <c r="U790" s="546">
        <f t="shared" si="152"/>
        <v>0</v>
      </c>
      <c r="W790" s="350">
        <f t="shared" si="149"/>
        <v>0</v>
      </c>
      <c r="X790" s="285">
        <f t="shared" si="153"/>
        <v>0</v>
      </c>
    </row>
    <row r="791" spans="1:24" ht="12" thickBot="1">
      <c r="A791" s="596" t="s">
        <v>1510</v>
      </c>
      <c r="B791" s="541" t="s">
        <v>382</v>
      </c>
      <c r="C791" s="541" t="s">
        <v>1075</v>
      </c>
      <c r="D791" s="552" t="s">
        <v>1140</v>
      </c>
      <c r="E791" s="543"/>
      <c r="F791" s="545"/>
      <c r="G791" s="544"/>
      <c r="H791" s="545"/>
      <c r="I791" s="545"/>
      <c r="J791" s="545"/>
      <c r="K791" s="545"/>
      <c r="L791" s="545"/>
      <c r="M791" s="544"/>
      <c r="N791" s="544"/>
      <c r="O791" s="545"/>
      <c r="P791" s="545"/>
      <c r="Q791" s="544"/>
      <c r="R791" s="544"/>
      <c r="S791" s="546">
        <f t="shared" si="150"/>
        <v>0</v>
      </c>
      <c r="T791" s="547">
        <f t="shared" si="151"/>
        <v>0</v>
      </c>
      <c r="U791" s="546">
        <f t="shared" si="152"/>
        <v>0</v>
      </c>
      <c r="W791" s="350">
        <f t="shared" si="149"/>
        <v>0</v>
      </c>
      <c r="X791" s="285">
        <f t="shared" si="153"/>
        <v>0</v>
      </c>
    </row>
    <row r="792" spans="1:24" ht="12" thickBot="1">
      <c r="A792" s="596" t="s">
        <v>1510</v>
      </c>
      <c r="B792" s="541" t="s">
        <v>360</v>
      </c>
      <c r="C792" s="541" t="s">
        <v>1076</v>
      </c>
      <c r="D792" s="552" t="s">
        <v>1140</v>
      </c>
      <c r="E792" s="549"/>
      <c r="F792" s="551"/>
      <c r="G792" s="550"/>
      <c r="H792" s="551"/>
      <c r="I792" s="551"/>
      <c r="J792" s="551"/>
      <c r="K792" s="551"/>
      <c r="L792" s="551"/>
      <c r="M792" s="550"/>
      <c r="N792" s="550"/>
      <c r="O792" s="551"/>
      <c r="P792" s="551"/>
      <c r="Q792" s="550"/>
      <c r="R792" s="550"/>
      <c r="S792" s="546">
        <f t="shared" si="150"/>
        <v>0</v>
      </c>
      <c r="T792" s="547">
        <f t="shared" si="151"/>
        <v>0</v>
      </c>
      <c r="U792" s="546">
        <f t="shared" si="152"/>
        <v>0</v>
      </c>
      <c r="W792" s="350">
        <f t="shared" si="149"/>
        <v>0</v>
      </c>
      <c r="X792" s="285">
        <f t="shared" si="153"/>
        <v>0</v>
      </c>
    </row>
    <row r="793" spans="1:24" ht="12" thickBot="1">
      <c r="A793" s="596" t="s">
        <v>1510</v>
      </c>
      <c r="B793" s="541" t="s">
        <v>368</v>
      </c>
      <c r="C793" s="541" t="s">
        <v>1077</v>
      </c>
      <c r="D793" s="552" t="s">
        <v>1139</v>
      </c>
      <c r="E793" s="543"/>
      <c r="F793" s="545"/>
      <c r="G793" s="544"/>
      <c r="H793" s="545"/>
      <c r="I793" s="545"/>
      <c r="J793" s="545"/>
      <c r="K793" s="545"/>
      <c r="L793" s="545"/>
      <c r="M793" s="544"/>
      <c r="N793" s="544"/>
      <c r="O793" s="545"/>
      <c r="P793" s="545"/>
      <c r="Q793" s="544"/>
      <c r="R793" s="544"/>
      <c r="S793" s="546">
        <f t="shared" si="150"/>
        <v>0</v>
      </c>
      <c r="T793" s="547">
        <f t="shared" si="151"/>
        <v>0</v>
      </c>
      <c r="U793" s="546">
        <f t="shared" si="152"/>
        <v>0</v>
      </c>
      <c r="W793" s="350">
        <f t="shared" si="149"/>
        <v>0</v>
      </c>
      <c r="X793" s="285">
        <f t="shared" si="153"/>
        <v>0</v>
      </c>
    </row>
    <row r="794" spans="1:24" ht="12" thickBot="1">
      <c r="A794" s="596" t="s">
        <v>1510</v>
      </c>
      <c r="B794" s="541" t="s">
        <v>370</v>
      </c>
      <c r="C794" s="541" t="s">
        <v>1078</v>
      </c>
      <c r="D794" s="552" t="s">
        <v>1140</v>
      </c>
      <c r="E794" s="549"/>
      <c r="F794" s="551"/>
      <c r="G794" s="550"/>
      <c r="H794" s="551"/>
      <c r="I794" s="551"/>
      <c r="J794" s="551"/>
      <c r="K794" s="551"/>
      <c r="L794" s="551"/>
      <c r="M794" s="550"/>
      <c r="N794" s="550"/>
      <c r="O794" s="551"/>
      <c r="P794" s="551"/>
      <c r="Q794" s="550"/>
      <c r="R794" s="550"/>
      <c r="S794" s="546">
        <f t="shared" si="150"/>
        <v>0</v>
      </c>
      <c r="T794" s="547">
        <f t="shared" si="151"/>
        <v>0</v>
      </c>
      <c r="U794" s="546">
        <f t="shared" si="152"/>
        <v>0</v>
      </c>
      <c r="W794" s="350">
        <f t="shared" si="149"/>
        <v>0</v>
      </c>
      <c r="X794" s="285">
        <f t="shared" si="153"/>
        <v>0</v>
      </c>
    </row>
    <row r="795" spans="1:24" ht="12" thickBot="1">
      <c r="A795" s="596" t="s">
        <v>1510</v>
      </c>
      <c r="B795" s="541" t="s">
        <v>393</v>
      </c>
      <c r="C795" s="541" t="s">
        <v>1079</v>
      </c>
      <c r="D795" s="552" t="s">
        <v>1140</v>
      </c>
      <c r="E795" s="543"/>
      <c r="F795" s="545"/>
      <c r="G795" s="544"/>
      <c r="H795" s="545"/>
      <c r="I795" s="545"/>
      <c r="J795" s="545"/>
      <c r="K795" s="545"/>
      <c r="L795" s="545"/>
      <c r="M795" s="544"/>
      <c r="N795" s="544"/>
      <c r="O795" s="545"/>
      <c r="P795" s="545"/>
      <c r="Q795" s="544"/>
      <c r="R795" s="544"/>
      <c r="S795" s="546">
        <f t="shared" si="150"/>
        <v>0</v>
      </c>
      <c r="T795" s="547">
        <f t="shared" si="151"/>
        <v>0</v>
      </c>
      <c r="U795" s="546">
        <f t="shared" si="152"/>
        <v>0</v>
      </c>
      <c r="W795" s="350">
        <f t="shared" si="149"/>
        <v>0</v>
      </c>
      <c r="X795" s="285">
        <f t="shared" si="153"/>
        <v>0</v>
      </c>
    </row>
    <row r="796" spans="1:24" ht="12" thickBot="1">
      <c r="A796" s="596" t="s">
        <v>1510</v>
      </c>
      <c r="B796" s="541" t="s">
        <v>371</v>
      </c>
      <c r="C796" s="541" t="s">
        <v>1080</v>
      </c>
      <c r="D796" s="552" t="s">
        <v>1139</v>
      </c>
      <c r="E796" s="549"/>
      <c r="F796" s="551"/>
      <c r="G796" s="550"/>
      <c r="H796" s="551"/>
      <c r="I796" s="551"/>
      <c r="J796" s="551"/>
      <c r="K796" s="551"/>
      <c r="L796" s="551"/>
      <c r="M796" s="550"/>
      <c r="N796" s="550"/>
      <c r="O796" s="551"/>
      <c r="P796" s="551"/>
      <c r="Q796" s="550"/>
      <c r="R796" s="550"/>
      <c r="S796" s="546">
        <f t="shared" si="150"/>
        <v>0</v>
      </c>
      <c r="T796" s="547">
        <f t="shared" si="151"/>
        <v>0</v>
      </c>
      <c r="U796" s="546">
        <f t="shared" si="152"/>
        <v>0</v>
      </c>
      <c r="W796" s="350">
        <f t="shared" si="149"/>
        <v>0</v>
      </c>
      <c r="X796" s="285">
        <f t="shared" si="153"/>
        <v>0</v>
      </c>
    </row>
    <row r="797" spans="1:24" ht="12" thickBot="1">
      <c r="A797" s="596" t="s">
        <v>1510</v>
      </c>
      <c r="B797" s="541" t="s">
        <v>394</v>
      </c>
      <c r="C797" s="541" t="s">
        <v>1081</v>
      </c>
      <c r="D797" s="552" t="s">
        <v>1139</v>
      </c>
      <c r="E797" s="543"/>
      <c r="F797" s="545"/>
      <c r="G797" s="544"/>
      <c r="H797" s="545"/>
      <c r="I797" s="545"/>
      <c r="J797" s="545"/>
      <c r="K797" s="545"/>
      <c r="L797" s="545"/>
      <c r="M797" s="544"/>
      <c r="N797" s="544"/>
      <c r="O797" s="545"/>
      <c r="P797" s="545"/>
      <c r="Q797" s="544"/>
      <c r="R797" s="544"/>
      <c r="S797" s="546">
        <f t="shared" si="150"/>
        <v>0</v>
      </c>
      <c r="T797" s="547">
        <f t="shared" si="151"/>
        <v>0</v>
      </c>
      <c r="U797" s="546">
        <f t="shared" si="152"/>
        <v>0</v>
      </c>
      <c r="W797" s="350">
        <f t="shared" si="149"/>
        <v>0</v>
      </c>
      <c r="X797" s="285">
        <f t="shared" si="153"/>
        <v>0</v>
      </c>
    </row>
    <row r="798" spans="1:24" ht="12" thickBot="1">
      <c r="A798" s="596" t="s">
        <v>1510</v>
      </c>
      <c r="B798" s="541" t="s">
        <v>389</v>
      </c>
      <c r="C798" s="541" t="s">
        <v>1082</v>
      </c>
      <c r="D798" s="552" t="s">
        <v>1139</v>
      </c>
      <c r="E798" s="549"/>
      <c r="F798" s="551"/>
      <c r="G798" s="550"/>
      <c r="H798" s="551"/>
      <c r="I798" s="551"/>
      <c r="J798" s="551"/>
      <c r="K798" s="551"/>
      <c r="L798" s="551"/>
      <c r="M798" s="550"/>
      <c r="N798" s="550"/>
      <c r="O798" s="551"/>
      <c r="P798" s="551"/>
      <c r="Q798" s="550"/>
      <c r="R798" s="550"/>
      <c r="S798" s="546">
        <f t="shared" si="150"/>
        <v>0</v>
      </c>
      <c r="T798" s="547">
        <f t="shared" si="151"/>
        <v>0</v>
      </c>
      <c r="U798" s="546">
        <f t="shared" si="152"/>
        <v>0</v>
      </c>
      <c r="W798" s="350">
        <f t="shared" si="149"/>
        <v>0</v>
      </c>
      <c r="X798" s="285">
        <f t="shared" si="153"/>
        <v>0</v>
      </c>
    </row>
    <row r="799" spans="1:24" ht="12" thickBot="1">
      <c r="A799" s="596" t="s">
        <v>1510</v>
      </c>
      <c r="B799" s="541" t="s">
        <v>310</v>
      </c>
      <c r="C799" s="541" t="s">
        <v>1083</v>
      </c>
      <c r="D799" s="552" t="s">
        <v>1140</v>
      </c>
      <c r="E799" s="543"/>
      <c r="F799" s="545"/>
      <c r="G799" s="544"/>
      <c r="H799" s="545"/>
      <c r="I799" s="545"/>
      <c r="J799" s="545"/>
      <c r="K799" s="545"/>
      <c r="L799" s="545"/>
      <c r="M799" s="544"/>
      <c r="N799" s="544"/>
      <c r="O799" s="545"/>
      <c r="P799" s="545"/>
      <c r="Q799" s="544"/>
      <c r="R799" s="544"/>
      <c r="S799" s="546">
        <f t="shared" si="150"/>
        <v>0</v>
      </c>
      <c r="T799" s="547">
        <f t="shared" si="151"/>
        <v>0</v>
      </c>
      <c r="U799" s="546">
        <f t="shared" si="152"/>
        <v>0</v>
      </c>
      <c r="W799" s="350">
        <f t="shared" si="149"/>
        <v>0</v>
      </c>
      <c r="X799" s="285">
        <f t="shared" si="153"/>
        <v>0</v>
      </c>
    </row>
    <row r="800" spans="1:24" ht="12" thickBot="1">
      <c r="A800" s="596" t="s">
        <v>1510</v>
      </c>
      <c r="B800" s="541" t="s">
        <v>340</v>
      </c>
      <c r="C800" s="541" t="s">
        <v>1084</v>
      </c>
      <c r="D800" s="552" t="s">
        <v>1140</v>
      </c>
      <c r="E800" s="549"/>
      <c r="F800" s="551"/>
      <c r="G800" s="550"/>
      <c r="H800" s="551"/>
      <c r="I800" s="551"/>
      <c r="J800" s="551"/>
      <c r="K800" s="551"/>
      <c r="L800" s="551"/>
      <c r="M800" s="550"/>
      <c r="N800" s="550"/>
      <c r="O800" s="551"/>
      <c r="P800" s="551"/>
      <c r="Q800" s="550"/>
      <c r="R800" s="550"/>
      <c r="S800" s="546">
        <f t="shared" si="150"/>
        <v>0</v>
      </c>
      <c r="T800" s="547">
        <f t="shared" si="151"/>
        <v>0</v>
      </c>
      <c r="U800" s="546">
        <f t="shared" si="152"/>
        <v>0</v>
      </c>
      <c r="W800" s="350">
        <f t="shared" si="149"/>
        <v>0</v>
      </c>
      <c r="X800" s="285">
        <f t="shared" si="153"/>
        <v>0</v>
      </c>
    </row>
    <row r="801" spans="1:24" ht="12" thickBot="1">
      <c r="A801" s="596" t="s">
        <v>1510</v>
      </c>
      <c r="B801" s="541" t="s">
        <v>358</v>
      </c>
      <c r="C801" s="541" t="s">
        <v>1085</v>
      </c>
      <c r="D801" s="552" t="s">
        <v>1140</v>
      </c>
      <c r="E801" s="543"/>
      <c r="F801" s="545"/>
      <c r="G801" s="544"/>
      <c r="H801" s="545"/>
      <c r="I801" s="545"/>
      <c r="J801" s="545"/>
      <c r="K801" s="545"/>
      <c r="L801" s="545"/>
      <c r="M801" s="544"/>
      <c r="N801" s="544"/>
      <c r="O801" s="545"/>
      <c r="P801" s="545"/>
      <c r="Q801" s="544"/>
      <c r="R801" s="544"/>
      <c r="S801" s="546">
        <f t="shared" si="150"/>
        <v>0</v>
      </c>
      <c r="T801" s="547">
        <f t="shared" si="151"/>
        <v>0</v>
      </c>
      <c r="U801" s="546">
        <f t="shared" si="152"/>
        <v>0</v>
      </c>
      <c r="W801" s="350">
        <f t="shared" si="149"/>
        <v>0</v>
      </c>
      <c r="X801" s="285">
        <f t="shared" si="153"/>
        <v>0</v>
      </c>
    </row>
    <row r="802" spans="1:24" ht="12" thickBot="1">
      <c r="A802" s="596" t="s">
        <v>1510</v>
      </c>
      <c r="B802" s="541" t="s">
        <v>383</v>
      </c>
      <c r="C802" s="541" t="s">
        <v>1086</v>
      </c>
      <c r="D802" s="552" t="s">
        <v>1140</v>
      </c>
      <c r="E802" s="549"/>
      <c r="F802" s="551"/>
      <c r="G802" s="550"/>
      <c r="H802" s="551"/>
      <c r="I802" s="551"/>
      <c r="J802" s="551"/>
      <c r="K802" s="551"/>
      <c r="L802" s="551"/>
      <c r="M802" s="550"/>
      <c r="N802" s="550"/>
      <c r="O802" s="551"/>
      <c r="P802" s="551"/>
      <c r="Q802" s="550"/>
      <c r="R802" s="550"/>
      <c r="S802" s="546">
        <f t="shared" si="150"/>
        <v>0</v>
      </c>
      <c r="T802" s="547">
        <f t="shared" si="151"/>
        <v>0</v>
      </c>
      <c r="U802" s="546">
        <f t="shared" si="152"/>
        <v>0</v>
      </c>
      <c r="W802" s="350">
        <f t="shared" si="149"/>
        <v>0</v>
      </c>
      <c r="X802" s="285">
        <f t="shared" si="153"/>
        <v>0</v>
      </c>
    </row>
    <row r="803" spans="1:24" ht="12" thickBot="1">
      <c r="A803" s="596" t="s">
        <v>1510</v>
      </c>
      <c r="B803" s="541" t="s">
        <v>375</v>
      </c>
      <c r="C803" s="541" t="s">
        <v>1087</v>
      </c>
      <c r="D803" s="552" t="s">
        <v>1140</v>
      </c>
      <c r="E803" s="543"/>
      <c r="F803" s="545"/>
      <c r="G803" s="544"/>
      <c r="H803" s="545"/>
      <c r="I803" s="545"/>
      <c r="J803" s="545"/>
      <c r="K803" s="545"/>
      <c r="L803" s="545"/>
      <c r="M803" s="544"/>
      <c r="N803" s="544"/>
      <c r="O803" s="545"/>
      <c r="P803" s="545"/>
      <c r="Q803" s="544"/>
      <c r="R803" s="544"/>
      <c r="S803" s="546">
        <f t="shared" si="150"/>
        <v>0</v>
      </c>
      <c r="T803" s="547">
        <f t="shared" si="151"/>
        <v>0</v>
      </c>
      <c r="U803" s="546">
        <f t="shared" si="152"/>
        <v>0</v>
      </c>
      <c r="W803" s="350">
        <f t="shared" si="149"/>
        <v>0</v>
      </c>
      <c r="X803" s="285">
        <f t="shared" si="153"/>
        <v>0</v>
      </c>
    </row>
    <row r="804" spans="1:24" ht="12" thickBot="1">
      <c r="A804" s="596" t="s">
        <v>1510</v>
      </c>
      <c r="B804" s="541" t="s">
        <v>400</v>
      </c>
      <c r="C804" s="541" t="s">
        <v>1088</v>
      </c>
      <c r="D804" s="552" t="s">
        <v>1139</v>
      </c>
      <c r="E804" s="549"/>
      <c r="F804" s="551"/>
      <c r="G804" s="550"/>
      <c r="H804" s="551"/>
      <c r="I804" s="551"/>
      <c r="J804" s="551"/>
      <c r="K804" s="551"/>
      <c r="L804" s="551"/>
      <c r="M804" s="550"/>
      <c r="N804" s="550"/>
      <c r="O804" s="551"/>
      <c r="P804" s="551"/>
      <c r="Q804" s="550"/>
      <c r="R804" s="550"/>
      <c r="S804" s="546">
        <f t="shared" si="150"/>
        <v>0</v>
      </c>
      <c r="T804" s="547">
        <f t="shared" si="151"/>
        <v>0</v>
      </c>
      <c r="U804" s="546">
        <f t="shared" si="152"/>
        <v>0</v>
      </c>
      <c r="W804" s="350">
        <f t="shared" si="149"/>
        <v>0</v>
      </c>
      <c r="X804" s="285">
        <f t="shared" si="153"/>
        <v>0</v>
      </c>
    </row>
    <row r="805" spans="1:24" ht="12" thickBot="1">
      <c r="A805" s="596" t="s">
        <v>1510</v>
      </c>
      <c r="B805" s="541" t="s">
        <v>391</v>
      </c>
      <c r="C805" s="541" t="s">
        <v>1089</v>
      </c>
      <c r="D805" s="552" t="s">
        <v>1139</v>
      </c>
      <c r="E805" s="543"/>
      <c r="F805" s="545"/>
      <c r="G805" s="544"/>
      <c r="H805" s="545"/>
      <c r="I805" s="545"/>
      <c r="J805" s="545"/>
      <c r="K805" s="545"/>
      <c r="L805" s="545"/>
      <c r="M805" s="544"/>
      <c r="N805" s="544"/>
      <c r="O805" s="545"/>
      <c r="P805" s="545"/>
      <c r="Q805" s="544"/>
      <c r="R805" s="544"/>
      <c r="S805" s="546">
        <f t="shared" si="150"/>
        <v>0</v>
      </c>
      <c r="T805" s="547">
        <f t="shared" si="151"/>
        <v>0</v>
      </c>
      <c r="U805" s="546">
        <f t="shared" si="152"/>
        <v>0</v>
      </c>
      <c r="W805" s="350">
        <f t="shared" si="149"/>
        <v>0</v>
      </c>
      <c r="X805" s="285">
        <f t="shared" si="153"/>
        <v>0</v>
      </c>
    </row>
    <row r="806" spans="1:24" ht="12" thickBot="1">
      <c r="A806" s="596" t="s">
        <v>1510</v>
      </c>
      <c r="B806" s="541" t="s">
        <v>357</v>
      </c>
      <c r="C806" s="541" t="s">
        <v>1090</v>
      </c>
      <c r="D806" s="552" t="s">
        <v>1140</v>
      </c>
      <c r="E806" s="549"/>
      <c r="F806" s="551"/>
      <c r="G806" s="550"/>
      <c r="H806" s="551"/>
      <c r="I806" s="551"/>
      <c r="J806" s="551"/>
      <c r="K806" s="551"/>
      <c r="L806" s="551"/>
      <c r="M806" s="550"/>
      <c r="N806" s="550"/>
      <c r="O806" s="551"/>
      <c r="P806" s="551"/>
      <c r="Q806" s="550"/>
      <c r="R806" s="550"/>
      <c r="S806" s="546">
        <f t="shared" si="150"/>
        <v>0</v>
      </c>
      <c r="T806" s="547">
        <f t="shared" si="151"/>
        <v>0</v>
      </c>
      <c r="U806" s="546">
        <f t="shared" si="152"/>
        <v>0</v>
      </c>
      <c r="W806" s="350">
        <f t="shared" si="149"/>
        <v>0</v>
      </c>
      <c r="X806" s="285">
        <f t="shared" si="153"/>
        <v>0</v>
      </c>
    </row>
    <row r="807" spans="1:24" ht="12" thickBot="1">
      <c r="A807" s="596" t="s">
        <v>1510</v>
      </c>
      <c r="B807" s="541" t="s">
        <v>359</v>
      </c>
      <c r="C807" s="541" t="s">
        <v>1091</v>
      </c>
      <c r="D807" s="552" t="s">
        <v>1140</v>
      </c>
      <c r="E807" s="543"/>
      <c r="F807" s="545"/>
      <c r="G807" s="544"/>
      <c r="H807" s="545"/>
      <c r="I807" s="545"/>
      <c r="J807" s="545"/>
      <c r="K807" s="545"/>
      <c r="L807" s="545"/>
      <c r="M807" s="544"/>
      <c r="N807" s="544"/>
      <c r="O807" s="545"/>
      <c r="P807" s="545"/>
      <c r="Q807" s="544"/>
      <c r="R807" s="544"/>
      <c r="S807" s="546">
        <f t="shared" si="150"/>
        <v>0</v>
      </c>
      <c r="T807" s="547">
        <f t="shared" si="151"/>
        <v>0</v>
      </c>
      <c r="U807" s="546">
        <f t="shared" si="152"/>
        <v>0</v>
      </c>
      <c r="W807" s="350">
        <f t="shared" si="149"/>
        <v>0</v>
      </c>
      <c r="X807" s="285">
        <f t="shared" si="153"/>
        <v>0</v>
      </c>
    </row>
    <row r="808" spans="1:24" ht="12" thickBot="1">
      <c r="A808" s="596" t="s">
        <v>1510</v>
      </c>
      <c r="B808" s="541" t="s">
        <v>385</v>
      </c>
      <c r="C808" s="541" t="s">
        <v>1092</v>
      </c>
      <c r="D808" s="552" t="s">
        <v>1140</v>
      </c>
      <c r="E808" s="549"/>
      <c r="F808" s="551"/>
      <c r="G808" s="550"/>
      <c r="H808" s="551"/>
      <c r="I808" s="551"/>
      <c r="J808" s="551"/>
      <c r="K808" s="551"/>
      <c r="L808" s="551"/>
      <c r="M808" s="550"/>
      <c r="N808" s="550"/>
      <c r="O808" s="551"/>
      <c r="P808" s="551"/>
      <c r="Q808" s="550"/>
      <c r="R808" s="550"/>
      <c r="S808" s="546">
        <f t="shared" si="150"/>
        <v>0</v>
      </c>
      <c r="T808" s="547">
        <f t="shared" si="151"/>
        <v>0</v>
      </c>
      <c r="U808" s="546">
        <f t="shared" si="152"/>
        <v>0</v>
      </c>
      <c r="W808" s="350">
        <f t="shared" si="149"/>
        <v>0</v>
      </c>
      <c r="X808" s="285">
        <f t="shared" si="153"/>
        <v>0</v>
      </c>
    </row>
    <row r="809" spans="1:24" ht="12" thickBot="1">
      <c r="A809" s="596" t="s">
        <v>1510</v>
      </c>
      <c r="B809" s="541" t="s">
        <v>312</v>
      </c>
      <c r="C809" s="541" t="s">
        <v>1093</v>
      </c>
      <c r="D809" s="552" t="s">
        <v>1140</v>
      </c>
      <c r="E809" s="543"/>
      <c r="F809" s="545"/>
      <c r="G809" s="544"/>
      <c r="H809" s="545"/>
      <c r="I809" s="545"/>
      <c r="J809" s="545"/>
      <c r="K809" s="545"/>
      <c r="L809" s="545"/>
      <c r="M809" s="544"/>
      <c r="N809" s="544"/>
      <c r="O809" s="545"/>
      <c r="P809" s="545"/>
      <c r="Q809" s="544"/>
      <c r="R809" s="544"/>
      <c r="S809" s="546">
        <f t="shared" si="150"/>
        <v>0</v>
      </c>
      <c r="T809" s="547">
        <f t="shared" si="151"/>
        <v>0</v>
      </c>
      <c r="U809" s="546">
        <f t="shared" si="152"/>
        <v>0</v>
      </c>
      <c r="W809" s="350">
        <f t="shared" si="149"/>
        <v>0</v>
      </c>
      <c r="X809" s="285">
        <f t="shared" si="153"/>
        <v>0</v>
      </c>
    </row>
    <row r="810" spans="1:24" ht="12" thickBot="1">
      <c r="A810" s="596" t="s">
        <v>1510</v>
      </c>
      <c r="B810" s="541" t="s">
        <v>421</v>
      </c>
      <c r="C810" s="541" t="s">
        <v>1094</v>
      </c>
      <c r="D810" s="552" t="s">
        <v>1140</v>
      </c>
      <c r="E810" s="549"/>
      <c r="F810" s="551"/>
      <c r="G810" s="550"/>
      <c r="H810" s="551"/>
      <c r="I810" s="551"/>
      <c r="J810" s="551"/>
      <c r="K810" s="551"/>
      <c r="L810" s="551"/>
      <c r="M810" s="550"/>
      <c r="N810" s="550"/>
      <c r="O810" s="551"/>
      <c r="P810" s="551"/>
      <c r="Q810" s="550"/>
      <c r="R810" s="550"/>
      <c r="S810" s="546">
        <f t="shared" si="150"/>
        <v>0</v>
      </c>
      <c r="T810" s="547">
        <f t="shared" si="151"/>
        <v>0</v>
      </c>
      <c r="U810" s="546">
        <f t="shared" si="152"/>
        <v>0</v>
      </c>
      <c r="W810" s="350">
        <f t="shared" si="149"/>
        <v>0</v>
      </c>
      <c r="X810" s="285">
        <f t="shared" si="153"/>
        <v>0</v>
      </c>
    </row>
    <row r="811" spans="1:24" ht="12" thickBot="1">
      <c r="A811" s="596" t="s">
        <v>1510</v>
      </c>
      <c r="B811" s="541" t="s">
        <v>322</v>
      </c>
      <c r="C811" s="541" t="s">
        <v>1095</v>
      </c>
      <c r="D811" s="552" t="s">
        <v>1139</v>
      </c>
      <c r="E811" s="543"/>
      <c r="F811" s="545"/>
      <c r="G811" s="544"/>
      <c r="H811" s="545"/>
      <c r="I811" s="545"/>
      <c r="J811" s="545"/>
      <c r="K811" s="545"/>
      <c r="L811" s="545"/>
      <c r="M811" s="544"/>
      <c r="N811" s="544"/>
      <c r="O811" s="545"/>
      <c r="P811" s="545"/>
      <c r="Q811" s="544"/>
      <c r="R811" s="544"/>
      <c r="S811" s="546">
        <f t="shared" si="150"/>
        <v>0</v>
      </c>
      <c r="T811" s="547">
        <f t="shared" si="151"/>
        <v>0</v>
      </c>
      <c r="U811" s="546">
        <f t="shared" si="152"/>
        <v>0</v>
      </c>
      <c r="W811" s="350">
        <f t="shared" si="149"/>
        <v>0</v>
      </c>
      <c r="X811" s="285">
        <f t="shared" si="153"/>
        <v>0</v>
      </c>
    </row>
    <row r="812" spans="1:24" ht="12" thickBot="1">
      <c r="A812" s="596" t="s">
        <v>1510</v>
      </c>
      <c r="B812" s="541" t="s">
        <v>354</v>
      </c>
      <c r="C812" s="541" t="s">
        <v>1096</v>
      </c>
      <c r="D812" s="552" t="s">
        <v>1139</v>
      </c>
      <c r="E812" s="549"/>
      <c r="F812" s="551"/>
      <c r="G812" s="550"/>
      <c r="H812" s="551"/>
      <c r="I812" s="551"/>
      <c r="J812" s="551"/>
      <c r="K812" s="551"/>
      <c r="L812" s="551"/>
      <c r="M812" s="550"/>
      <c r="N812" s="550"/>
      <c r="O812" s="551"/>
      <c r="P812" s="551"/>
      <c r="Q812" s="550"/>
      <c r="R812" s="550"/>
      <c r="S812" s="546">
        <f t="shared" si="150"/>
        <v>0</v>
      </c>
      <c r="T812" s="547">
        <f t="shared" si="151"/>
        <v>0</v>
      </c>
      <c r="U812" s="546">
        <f t="shared" si="152"/>
        <v>0</v>
      </c>
      <c r="W812" s="350">
        <f t="shared" si="149"/>
        <v>0</v>
      </c>
      <c r="X812" s="285">
        <f t="shared" si="153"/>
        <v>0</v>
      </c>
    </row>
    <row r="813" spans="1:24" ht="12" thickBot="1">
      <c r="A813" s="596" t="s">
        <v>1510</v>
      </c>
      <c r="B813" s="541" t="s">
        <v>317</v>
      </c>
      <c r="C813" s="541" t="s">
        <v>1097</v>
      </c>
      <c r="D813" s="552" t="s">
        <v>1139</v>
      </c>
      <c r="E813" s="543"/>
      <c r="F813" s="545"/>
      <c r="G813" s="544"/>
      <c r="H813" s="545"/>
      <c r="I813" s="545"/>
      <c r="J813" s="545"/>
      <c r="K813" s="545"/>
      <c r="L813" s="545"/>
      <c r="M813" s="544"/>
      <c r="N813" s="544"/>
      <c r="O813" s="545"/>
      <c r="P813" s="545"/>
      <c r="Q813" s="544"/>
      <c r="R813" s="544"/>
      <c r="S813" s="546">
        <f t="shared" si="150"/>
        <v>0</v>
      </c>
      <c r="T813" s="547">
        <f t="shared" si="151"/>
        <v>0</v>
      </c>
      <c r="U813" s="546">
        <f t="shared" si="152"/>
        <v>0</v>
      </c>
      <c r="W813" s="350">
        <f t="shared" si="149"/>
        <v>0</v>
      </c>
      <c r="X813" s="285">
        <f t="shared" si="153"/>
        <v>0</v>
      </c>
    </row>
    <row r="814" spans="1:24" ht="12" thickBot="1">
      <c r="A814" s="596" t="s">
        <v>1510</v>
      </c>
      <c r="B814" s="541" t="s">
        <v>320</v>
      </c>
      <c r="C814" s="541" t="s">
        <v>1098</v>
      </c>
      <c r="D814" s="552" t="s">
        <v>1140</v>
      </c>
      <c r="E814" s="549"/>
      <c r="F814" s="551"/>
      <c r="G814" s="550"/>
      <c r="H814" s="551"/>
      <c r="I814" s="551"/>
      <c r="J814" s="551"/>
      <c r="K814" s="551"/>
      <c r="L814" s="551"/>
      <c r="M814" s="550"/>
      <c r="N814" s="550"/>
      <c r="O814" s="551"/>
      <c r="P814" s="551"/>
      <c r="Q814" s="550"/>
      <c r="R814" s="550"/>
      <c r="S814" s="546">
        <f t="shared" si="150"/>
        <v>0</v>
      </c>
      <c r="T814" s="547">
        <f t="shared" si="151"/>
        <v>0</v>
      </c>
      <c r="U814" s="546">
        <f t="shared" si="152"/>
        <v>0</v>
      </c>
      <c r="W814" s="350">
        <f t="shared" si="149"/>
        <v>0</v>
      </c>
      <c r="X814" s="285">
        <f t="shared" si="153"/>
        <v>0</v>
      </c>
    </row>
    <row r="815" spans="1:24" ht="12" thickBot="1">
      <c r="A815" s="596" t="s">
        <v>1510</v>
      </c>
      <c r="B815" s="541" t="s">
        <v>352</v>
      </c>
      <c r="C815" s="541" t="s">
        <v>1099</v>
      </c>
      <c r="D815" s="552" t="s">
        <v>1140</v>
      </c>
      <c r="E815" s="543"/>
      <c r="F815" s="545"/>
      <c r="G815" s="544"/>
      <c r="H815" s="545"/>
      <c r="I815" s="545"/>
      <c r="J815" s="545"/>
      <c r="K815" s="545"/>
      <c r="L815" s="545"/>
      <c r="M815" s="544"/>
      <c r="N815" s="544"/>
      <c r="O815" s="545"/>
      <c r="P815" s="545"/>
      <c r="Q815" s="544"/>
      <c r="R815" s="544"/>
      <c r="S815" s="546">
        <f t="shared" si="150"/>
        <v>0</v>
      </c>
      <c r="T815" s="547">
        <f t="shared" si="151"/>
        <v>0</v>
      </c>
      <c r="U815" s="546">
        <f t="shared" si="152"/>
        <v>0</v>
      </c>
      <c r="W815" s="350">
        <f t="shared" si="149"/>
        <v>0</v>
      </c>
      <c r="X815" s="285">
        <f t="shared" si="153"/>
        <v>0</v>
      </c>
    </row>
    <row r="816" spans="1:24" ht="12" thickBot="1">
      <c r="A816" s="596" t="s">
        <v>1510</v>
      </c>
      <c r="B816" s="541" t="s">
        <v>384</v>
      </c>
      <c r="C816" s="541" t="s">
        <v>1100</v>
      </c>
      <c r="D816" s="552" t="s">
        <v>1140</v>
      </c>
      <c r="E816" s="549"/>
      <c r="F816" s="551"/>
      <c r="G816" s="550"/>
      <c r="H816" s="551"/>
      <c r="I816" s="551"/>
      <c r="J816" s="551"/>
      <c r="K816" s="551"/>
      <c r="L816" s="551"/>
      <c r="M816" s="550"/>
      <c r="N816" s="550"/>
      <c r="O816" s="551"/>
      <c r="P816" s="551"/>
      <c r="Q816" s="550"/>
      <c r="R816" s="550"/>
      <c r="S816" s="546">
        <f t="shared" si="150"/>
        <v>0</v>
      </c>
      <c r="T816" s="547">
        <f t="shared" si="151"/>
        <v>0</v>
      </c>
      <c r="U816" s="546">
        <f t="shared" si="152"/>
        <v>0</v>
      </c>
      <c r="W816" s="350">
        <f t="shared" si="149"/>
        <v>0</v>
      </c>
      <c r="X816" s="285">
        <f t="shared" si="153"/>
        <v>0</v>
      </c>
    </row>
    <row r="817" spans="1:24" ht="12" thickBot="1">
      <c r="A817" s="596" t="s">
        <v>1510</v>
      </c>
      <c r="B817" s="541" t="s">
        <v>311</v>
      </c>
      <c r="C817" s="541" t="s">
        <v>1101</v>
      </c>
      <c r="D817" s="552" t="s">
        <v>1140</v>
      </c>
      <c r="E817" s="543"/>
      <c r="F817" s="545"/>
      <c r="G817" s="544"/>
      <c r="H817" s="545"/>
      <c r="I817" s="545"/>
      <c r="J817" s="545"/>
      <c r="K817" s="545"/>
      <c r="L817" s="545"/>
      <c r="M817" s="544"/>
      <c r="N817" s="544"/>
      <c r="O817" s="545"/>
      <c r="P817" s="545"/>
      <c r="Q817" s="544"/>
      <c r="R817" s="544"/>
      <c r="S817" s="546">
        <f t="shared" si="150"/>
        <v>0</v>
      </c>
      <c r="T817" s="547">
        <f t="shared" si="151"/>
        <v>0</v>
      </c>
      <c r="U817" s="546">
        <f t="shared" si="152"/>
        <v>0</v>
      </c>
      <c r="W817" s="350">
        <f t="shared" si="149"/>
        <v>0</v>
      </c>
      <c r="X817" s="285">
        <f t="shared" si="153"/>
        <v>0</v>
      </c>
    </row>
    <row r="818" spans="1:24" ht="12" thickBot="1">
      <c r="A818" s="596" t="s">
        <v>1510</v>
      </c>
      <c r="B818" s="541" t="s">
        <v>341</v>
      </c>
      <c r="C818" s="541" t="s">
        <v>1102</v>
      </c>
      <c r="D818" s="552" t="s">
        <v>1140</v>
      </c>
      <c r="E818" s="549"/>
      <c r="F818" s="551"/>
      <c r="G818" s="550"/>
      <c r="H818" s="551"/>
      <c r="I818" s="551"/>
      <c r="J818" s="551"/>
      <c r="K818" s="551"/>
      <c r="L818" s="551"/>
      <c r="M818" s="550"/>
      <c r="N818" s="550"/>
      <c r="O818" s="551"/>
      <c r="P818" s="551"/>
      <c r="Q818" s="550"/>
      <c r="R818" s="550"/>
      <c r="S818" s="546">
        <f t="shared" si="150"/>
        <v>0</v>
      </c>
      <c r="T818" s="547">
        <f t="shared" si="151"/>
        <v>0</v>
      </c>
      <c r="U818" s="546">
        <f t="shared" si="152"/>
        <v>0</v>
      </c>
      <c r="W818" s="350">
        <f t="shared" si="149"/>
        <v>0</v>
      </c>
      <c r="X818" s="285">
        <f t="shared" si="153"/>
        <v>0</v>
      </c>
    </row>
    <row r="819" spans="1:24" ht="12" thickBot="1">
      <c r="A819" s="596" t="s">
        <v>1510</v>
      </c>
      <c r="B819" s="541" t="s">
        <v>315</v>
      </c>
      <c r="C819" s="541" t="s">
        <v>1103</v>
      </c>
      <c r="D819" s="552" t="s">
        <v>1140</v>
      </c>
      <c r="E819" s="543"/>
      <c r="F819" s="545"/>
      <c r="G819" s="544"/>
      <c r="H819" s="545"/>
      <c r="I819" s="545"/>
      <c r="J819" s="545"/>
      <c r="K819" s="545"/>
      <c r="L819" s="545"/>
      <c r="M819" s="544"/>
      <c r="N819" s="544"/>
      <c r="O819" s="545"/>
      <c r="P819" s="545"/>
      <c r="Q819" s="544"/>
      <c r="R819" s="544"/>
      <c r="S819" s="546">
        <f t="shared" si="150"/>
        <v>0</v>
      </c>
      <c r="T819" s="547">
        <f t="shared" si="151"/>
        <v>0</v>
      </c>
      <c r="U819" s="546">
        <f t="shared" si="152"/>
        <v>0</v>
      </c>
      <c r="W819" s="350">
        <f t="shared" si="149"/>
        <v>0</v>
      </c>
      <c r="X819" s="285">
        <f t="shared" si="153"/>
        <v>0</v>
      </c>
    </row>
    <row r="820" spans="1:24" ht="12" thickBot="1">
      <c r="A820" s="596" t="s">
        <v>1510</v>
      </c>
      <c r="B820" s="541" t="s">
        <v>319</v>
      </c>
      <c r="C820" s="541" t="s">
        <v>1104</v>
      </c>
      <c r="D820" s="552" t="s">
        <v>1140</v>
      </c>
      <c r="E820" s="549"/>
      <c r="F820" s="551"/>
      <c r="G820" s="550"/>
      <c r="H820" s="551"/>
      <c r="I820" s="551"/>
      <c r="J820" s="551"/>
      <c r="K820" s="551"/>
      <c r="L820" s="551"/>
      <c r="M820" s="550"/>
      <c r="N820" s="550"/>
      <c r="O820" s="551"/>
      <c r="P820" s="551"/>
      <c r="Q820" s="550"/>
      <c r="R820" s="550"/>
      <c r="S820" s="546">
        <f t="shared" si="150"/>
        <v>0</v>
      </c>
      <c r="T820" s="547">
        <f t="shared" si="151"/>
        <v>0</v>
      </c>
      <c r="U820" s="546">
        <f t="shared" si="152"/>
        <v>0</v>
      </c>
      <c r="W820" s="350">
        <f t="shared" si="149"/>
        <v>0</v>
      </c>
      <c r="X820" s="285">
        <f t="shared" si="153"/>
        <v>0</v>
      </c>
    </row>
    <row r="821" spans="1:24" ht="12" thickBot="1">
      <c r="A821" s="596" t="s">
        <v>1510</v>
      </c>
      <c r="B821" s="541" t="s">
        <v>356</v>
      </c>
      <c r="C821" s="541" t="s">
        <v>1105</v>
      </c>
      <c r="D821" s="552" t="s">
        <v>1140</v>
      </c>
      <c r="E821" s="543"/>
      <c r="F821" s="545"/>
      <c r="G821" s="544"/>
      <c r="H821" s="545"/>
      <c r="I821" s="545"/>
      <c r="J821" s="545"/>
      <c r="K821" s="545"/>
      <c r="L821" s="545"/>
      <c r="M821" s="544"/>
      <c r="N821" s="544"/>
      <c r="O821" s="545"/>
      <c r="P821" s="545"/>
      <c r="Q821" s="544"/>
      <c r="R821" s="544"/>
      <c r="S821" s="546">
        <f t="shared" si="150"/>
        <v>0</v>
      </c>
      <c r="T821" s="547">
        <f t="shared" si="151"/>
        <v>0</v>
      </c>
      <c r="U821" s="546">
        <f t="shared" si="152"/>
        <v>0</v>
      </c>
      <c r="W821" s="350">
        <f t="shared" si="149"/>
        <v>0</v>
      </c>
      <c r="X821" s="285">
        <f t="shared" si="153"/>
        <v>0</v>
      </c>
    </row>
    <row r="822" spans="1:24" ht="12" thickBot="1">
      <c r="A822" s="596" t="s">
        <v>1510</v>
      </c>
      <c r="B822" s="541" t="s">
        <v>365</v>
      </c>
      <c r="C822" s="541" t="s">
        <v>1106</v>
      </c>
      <c r="D822" s="552" t="s">
        <v>1139</v>
      </c>
      <c r="E822" s="549"/>
      <c r="F822" s="551"/>
      <c r="G822" s="550"/>
      <c r="H822" s="551"/>
      <c r="I822" s="551"/>
      <c r="J822" s="551"/>
      <c r="K822" s="551"/>
      <c r="L822" s="551"/>
      <c r="M822" s="550"/>
      <c r="N822" s="550"/>
      <c r="O822" s="551"/>
      <c r="P822" s="551"/>
      <c r="Q822" s="550"/>
      <c r="R822" s="550"/>
      <c r="S822" s="546">
        <f t="shared" si="150"/>
        <v>0</v>
      </c>
      <c r="T822" s="547">
        <f t="shared" si="151"/>
        <v>0</v>
      </c>
      <c r="U822" s="546">
        <f t="shared" si="152"/>
        <v>0</v>
      </c>
      <c r="W822" s="350">
        <f t="shared" si="149"/>
        <v>0</v>
      </c>
      <c r="X822" s="285">
        <f t="shared" si="153"/>
        <v>0</v>
      </c>
    </row>
    <row r="823" spans="1:24" ht="12" thickBot="1">
      <c r="A823" s="596" t="s">
        <v>1510</v>
      </c>
      <c r="B823" s="541" t="s">
        <v>388</v>
      </c>
      <c r="C823" s="541" t="s">
        <v>1107</v>
      </c>
      <c r="D823" s="552" t="s">
        <v>1139</v>
      </c>
      <c r="E823" s="543"/>
      <c r="F823" s="545"/>
      <c r="G823" s="544"/>
      <c r="H823" s="545"/>
      <c r="I823" s="545"/>
      <c r="J823" s="545"/>
      <c r="K823" s="545"/>
      <c r="L823" s="545"/>
      <c r="M823" s="544"/>
      <c r="N823" s="544"/>
      <c r="O823" s="545"/>
      <c r="P823" s="545"/>
      <c r="Q823" s="544"/>
      <c r="R823" s="544"/>
      <c r="S823" s="546">
        <f t="shared" si="150"/>
        <v>0</v>
      </c>
      <c r="T823" s="547">
        <f t="shared" si="151"/>
        <v>0</v>
      </c>
      <c r="U823" s="546">
        <f t="shared" si="152"/>
        <v>0</v>
      </c>
      <c r="W823" s="350">
        <f t="shared" si="149"/>
        <v>0</v>
      </c>
      <c r="X823" s="285">
        <f t="shared" si="153"/>
        <v>0</v>
      </c>
    </row>
    <row r="824" spans="1:24" ht="12" thickBot="1">
      <c r="A824" s="596" t="s">
        <v>1510</v>
      </c>
      <c r="B824" s="541" t="s">
        <v>345</v>
      </c>
      <c r="C824" s="541" t="s">
        <v>1108</v>
      </c>
      <c r="D824" s="552" t="s">
        <v>1139</v>
      </c>
      <c r="E824" s="549"/>
      <c r="F824" s="551"/>
      <c r="G824" s="550"/>
      <c r="H824" s="551"/>
      <c r="I824" s="551"/>
      <c r="J824" s="551"/>
      <c r="K824" s="551"/>
      <c r="L824" s="551"/>
      <c r="M824" s="550"/>
      <c r="N824" s="550"/>
      <c r="O824" s="551"/>
      <c r="P824" s="551"/>
      <c r="Q824" s="550"/>
      <c r="R824" s="550"/>
      <c r="S824" s="546">
        <f t="shared" si="150"/>
        <v>0</v>
      </c>
      <c r="T824" s="547">
        <f t="shared" si="151"/>
        <v>0</v>
      </c>
      <c r="U824" s="546">
        <f t="shared" si="152"/>
        <v>0</v>
      </c>
      <c r="W824" s="350">
        <f t="shared" si="149"/>
        <v>0</v>
      </c>
      <c r="X824" s="285">
        <f t="shared" si="153"/>
        <v>0</v>
      </c>
    </row>
    <row r="825" spans="1:24" ht="12" thickBot="1">
      <c r="A825" s="596" t="s">
        <v>1510</v>
      </c>
      <c r="B825" s="541" t="s">
        <v>377</v>
      </c>
      <c r="C825" s="541" t="s">
        <v>1109</v>
      </c>
      <c r="D825" s="552" t="s">
        <v>1139</v>
      </c>
      <c r="E825" s="543"/>
      <c r="F825" s="545"/>
      <c r="G825" s="544"/>
      <c r="H825" s="545"/>
      <c r="I825" s="545"/>
      <c r="J825" s="545"/>
      <c r="K825" s="545"/>
      <c r="L825" s="545"/>
      <c r="M825" s="544"/>
      <c r="N825" s="544"/>
      <c r="O825" s="545"/>
      <c r="P825" s="545"/>
      <c r="Q825" s="544"/>
      <c r="R825" s="544"/>
      <c r="S825" s="546">
        <f t="shared" si="150"/>
        <v>0</v>
      </c>
      <c r="T825" s="547">
        <f t="shared" si="151"/>
        <v>0</v>
      </c>
      <c r="U825" s="546">
        <f t="shared" si="152"/>
        <v>0</v>
      </c>
      <c r="W825" s="350">
        <f t="shared" si="149"/>
        <v>0</v>
      </c>
      <c r="X825" s="285">
        <f t="shared" si="153"/>
        <v>0</v>
      </c>
    </row>
    <row r="826" spans="1:24" ht="12" thickBot="1">
      <c r="A826" s="596" t="s">
        <v>1510</v>
      </c>
      <c r="B826" s="541" t="s">
        <v>1395</v>
      </c>
      <c r="C826" s="541" t="s">
        <v>1396</v>
      </c>
      <c r="D826" s="552" t="s">
        <v>1139</v>
      </c>
      <c r="E826" s="549"/>
      <c r="F826" s="551"/>
      <c r="G826" s="551"/>
      <c r="H826" s="551"/>
      <c r="I826" s="551"/>
      <c r="J826" s="551"/>
      <c r="K826" s="551"/>
      <c r="L826" s="551"/>
      <c r="M826" s="551"/>
      <c r="N826" s="551"/>
      <c r="O826" s="551"/>
      <c r="P826" s="551"/>
      <c r="Q826" s="551"/>
      <c r="R826" s="551"/>
      <c r="S826" s="546">
        <f t="shared" si="150"/>
        <v>0</v>
      </c>
      <c r="T826" s="547">
        <f t="shared" si="151"/>
        <v>0</v>
      </c>
      <c r="U826" s="546">
        <f t="shared" si="152"/>
        <v>0</v>
      </c>
      <c r="W826" s="350">
        <f t="shared" si="149"/>
        <v>0</v>
      </c>
      <c r="X826" s="285">
        <f t="shared" si="153"/>
        <v>0</v>
      </c>
    </row>
    <row r="827" spans="1:24" ht="12" thickBot="1">
      <c r="A827" s="596" t="s">
        <v>1510</v>
      </c>
      <c r="B827" s="541" t="s">
        <v>363</v>
      </c>
      <c r="C827" s="541" t="s">
        <v>1110</v>
      </c>
      <c r="D827" s="552" t="s">
        <v>1140</v>
      </c>
      <c r="E827" s="543"/>
      <c r="F827" s="545"/>
      <c r="G827" s="544"/>
      <c r="H827" s="545"/>
      <c r="I827" s="545"/>
      <c r="J827" s="545"/>
      <c r="K827" s="545"/>
      <c r="L827" s="545"/>
      <c r="M827" s="544"/>
      <c r="N827" s="544"/>
      <c r="O827" s="545"/>
      <c r="P827" s="545"/>
      <c r="Q827" s="544"/>
      <c r="R827" s="544"/>
      <c r="S827" s="546">
        <f t="shared" si="150"/>
        <v>0</v>
      </c>
      <c r="T827" s="547">
        <f t="shared" si="151"/>
        <v>0</v>
      </c>
      <c r="U827" s="546">
        <f t="shared" si="152"/>
        <v>0</v>
      </c>
      <c r="W827" s="350">
        <f t="shared" si="149"/>
        <v>0</v>
      </c>
      <c r="X827" s="285">
        <f t="shared" si="153"/>
        <v>0</v>
      </c>
    </row>
    <row r="828" spans="1:24" ht="12" thickBot="1">
      <c r="A828" s="596" t="s">
        <v>1510</v>
      </c>
      <c r="B828" s="541" t="s">
        <v>373</v>
      </c>
      <c r="C828" s="541" t="s">
        <v>1111</v>
      </c>
      <c r="D828" s="552" t="s">
        <v>1139</v>
      </c>
      <c r="E828" s="549"/>
      <c r="F828" s="551"/>
      <c r="G828" s="550"/>
      <c r="H828" s="551"/>
      <c r="I828" s="551"/>
      <c r="J828" s="551"/>
      <c r="K828" s="551"/>
      <c r="L828" s="551"/>
      <c r="M828" s="550"/>
      <c r="N828" s="550"/>
      <c r="O828" s="551"/>
      <c r="P828" s="551"/>
      <c r="Q828" s="550"/>
      <c r="R828" s="550"/>
      <c r="S828" s="546">
        <f t="shared" si="150"/>
        <v>0</v>
      </c>
      <c r="T828" s="547">
        <f t="shared" si="151"/>
        <v>0</v>
      </c>
      <c r="U828" s="546">
        <f t="shared" si="152"/>
        <v>0</v>
      </c>
      <c r="W828" s="350">
        <f t="shared" ref="W828:W1032" si="154">SUM(F828:Q828)</f>
        <v>0</v>
      </c>
      <c r="X828" s="285">
        <f t="shared" si="153"/>
        <v>0</v>
      </c>
    </row>
    <row r="829" spans="1:24" ht="12" thickBot="1">
      <c r="A829" s="596" t="s">
        <v>1510</v>
      </c>
      <c r="B829" s="541" t="s">
        <v>396</v>
      </c>
      <c r="C829" s="541" t="s">
        <v>1112</v>
      </c>
      <c r="D829" s="552" t="s">
        <v>1139</v>
      </c>
      <c r="E829" s="543"/>
      <c r="F829" s="545"/>
      <c r="G829" s="544"/>
      <c r="H829" s="545"/>
      <c r="I829" s="545"/>
      <c r="J829" s="545"/>
      <c r="K829" s="545"/>
      <c r="L829" s="545"/>
      <c r="M829" s="544"/>
      <c r="N829" s="544"/>
      <c r="O829" s="545"/>
      <c r="P829" s="545"/>
      <c r="Q829" s="544"/>
      <c r="R829" s="544"/>
      <c r="S829" s="546">
        <f t="shared" si="150"/>
        <v>0</v>
      </c>
      <c r="T829" s="547">
        <f t="shared" si="151"/>
        <v>0</v>
      </c>
      <c r="U829" s="546">
        <f t="shared" si="152"/>
        <v>0</v>
      </c>
      <c r="W829" s="350">
        <f t="shared" si="154"/>
        <v>0</v>
      </c>
      <c r="X829" s="285">
        <f t="shared" si="153"/>
        <v>0</v>
      </c>
    </row>
    <row r="830" spans="1:24" ht="12" thickBot="1">
      <c r="A830" s="596" t="s">
        <v>1510</v>
      </c>
      <c r="B830" s="541" t="s">
        <v>351</v>
      </c>
      <c r="C830" s="541" t="s">
        <v>1113</v>
      </c>
      <c r="D830" s="552" t="s">
        <v>1140</v>
      </c>
      <c r="E830" s="549"/>
      <c r="F830" s="551"/>
      <c r="G830" s="550"/>
      <c r="H830" s="551"/>
      <c r="I830" s="551"/>
      <c r="J830" s="551"/>
      <c r="K830" s="551"/>
      <c r="L830" s="551"/>
      <c r="M830" s="550"/>
      <c r="N830" s="550"/>
      <c r="O830" s="551"/>
      <c r="P830" s="551"/>
      <c r="Q830" s="550"/>
      <c r="R830" s="550"/>
      <c r="S830" s="546">
        <f t="shared" si="150"/>
        <v>0</v>
      </c>
      <c r="T830" s="547">
        <f t="shared" si="151"/>
        <v>0</v>
      </c>
      <c r="U830" s="546">
        <f t="shared" si="152"/>
        <v>0</v>
      </c>
      <c r="W830" s="350">
        <f t="shared" si="154"/>
        <v>0</v>
      </c>
      <c r="X830" s="285">
        <f t="shared" si="153"/>
        <v>0</v>
      </c>
    </row>
    <row r="831" spans="1:24" ht="12" thickBot="1">
      <c r="A831" s="596" t="s">
        <v>1510</v>
      </c>
      <c r="B831" s="541" t="s">
        <v>314</v>
      </c>
      <c r="C831" s="541" t="s">
        <v>1114</v>
      </c>
      <c r="D831" s="552" t="s">
        <v>1140</v>
      </c>
      <c r="E831" s="543"/>
      <c r="F831" s="545"/>
      <c r="G831" s="544"/>
      <c r="H831" s="545"/>
      <c r="I831" s="545"/>
      <c r="J831" s="545"/>
      <c r="K831" s="545"/>
      <c r="L831" s="545"/>
      <c r="M831" s="544"/>
      <c r="N831" s="544"/>
      <c r="O831" s="545"/>
      <c r="P831" s="545"/>
      <c r="Q831" s="544"/>
      <c r="R831" s="544"/>
      <c r="S831" s="546">
        <f t="shared" si="150"/>
        <v>0</v>
      </c>
      <c r="T831" s="547">
        <f t="shared" si="151"/>
        <v>0</v>
      </c>
      <c r="U831" s="546">
        <f t="shared" si="152"/>
        <v>0</v>
      </c>
      <c r="W831" s="350">
        <f t="shared" si="154"/>
        <v>0</v>
      </c>
      <c r="X831" s="285">
        <f t="shared" si="153"/>
        <v>0</v>
      </c>
    </row>
    <row r="832" spans="1:24" ht="12" thickBot="1">
      <c r="A832" s="596" t="s">
        <v>1510</v>
      </c>
      <c r="B832" s="541" t="s">
        <v>355</v>
      </c>
      <c r="C832" s="541" t="s">
        <v>1115</v>
      </c>
      <c r="D832" s="552" t="s">
        <v>1140</v>
      </c>
      <c r="E832" s="549"/>
      <c r="F832" s="551"/>
      <c r="G832" s="550"/>
      <c r="H832" s="551"/>
      <c r="I832" s="551"/>
      <c r="J832" s="551"/>
      <c r="K832" s="551"/>
      <c r="L832" s="551"/>
      <c r="M832" s="550"/>
      <c r="N832" s="550"/>
      <c r="O832" s="551"/>
      <c r="P832" s="551"/>
      <c r="Q832" s="550"/>
      <c r="R832" s="550"/>
      <c r="S832" s="546">
        <f t="shared" si="150"/>
        <v>0</v>
      </c>
      <c r="T832" s="547">
        <f t="shared" si="151"/>
        <v>0</v>
      </c>
      <c r="U832" s="546">
        <f t="shared" si="152"/>
        <v>0</v>
      </c>
      <c r="W832" s="350">
        <f t="shared" si="154"/>
        <v>0</v>
      </c>
      <c r="X832" s="285">
        <f t="shared" si="153"/>
        <v>0</v>
      </c>
    </row>
    <row r="833" spans="1:24" ht="12" thickBot="1">
      <c r="A833" s="596" t="s">
        <v>1510</v>
      </c>
      <c r="B833" s="541" t="s">
        <v>364</v>
      </c>
      <c r="C833" s="541" t="s">
        <v>1116</v>
      </c>
      <c r="D833" s="552" t="s">
        <v>1139</v>
      </c>
      <c r="E833" s="543"/>
      <c r="F833" s="545"/>
      <c r="G833" s="544"/>
      <c r="H833" s="545"/>
      <c r="I833" s="545"/>
      <c r="J833" s="545"/>
      <c r="K833" s="545"/>
      <c r="L833" s="545"/>
      <c r="M833" s="544"/>
      <c r="N833" s="544"/>
      <c r="O833" s="545"/>
      <c r="P833" s="545"/>
      <c r="Q833" s="544"/>
      <c r="R833" s="544"/>
      <c r="S833" s="546">
        <f t="shared" si="150"/>
        <v>0</v>
      </c>
      <c r="T833" s="547">
        <f t="shared" si="151"/>
        <v>0</v>
      </c>
      <c r="U833" s="546">
        <f t="shared" si="152"/>
        <v>0</v>
      </c>
      <c r="W833" s="350">
        <f t="shared" si="154"/>
        <v>0</v>
      </c>
      <c r="X833" s="285">
        <f t="shared" si="153"/>
        <v>0</v>
      </c>
    </row>
    <row r="834" spans="1:24" ht="12" thickBot="1">
      <c r="A834" s="596" t="s">
        <v>1510</v>
      </c>
      <c r="B834" s="541" t="s">
        <v>387</v>
      </c>
      <c r="C834" s="541" t="s">
        <v>1117</v>
      </c>
      <c r="D834" s="552" t="s">
        <v>1139</v>
      </c>
      <c r="E834" s="549"/>
      <c r="F834" s="551"/>
      <c r="G834" s="550"/>
      <c r="H834" s="551"/>
      <c r="I834" s="551"/>
      <c r="J834" s="551"/>
      <c r="K834" s="551"/>
      <c r="L834" s="551"/>
      <c r="M834" s="550"/>
      <c r="N834" s="550"/>
      <c r="O834" s="551"/>
      <c r="P834" s="551"/>
      <c r="Q834" s="550"/>
      <c r="R834" s="550"/>
      <c r="S834" s="546">
        <f t="shared" si="150"/>
        <v>0</v>
      </c>
      <c r="T834" s="547">
        <f t="shared" si="151"/>
        <v>0</v>
      </c>
      <c r="U834" s="546">
        <f t="shared" si="152"/>
        <v>0</v>
      </c>
      <c r="W834" s="350">
        <f t="shared" si="154"/>
        <v>0</v>
      </c>
      <c r="X834" s="285">
        <f t="shared" si="153"/>
        <v>0</v>
      </c>
    </row>
    <row r="835" spans="1:24" ht="12" thickBot="1">
      <c r="A835" s="596" t="s">
        <v>1510</v>
      </c>
      <c r="B835" s="541" t="s">
        <v>344</v>
      </c>
      <c r="C835" s="541" t="s">
        <v>1118</v>
      </c>
      <c r="D835" s="552" t="s">
        <v>1139</v>
      </c>
      <c r="E835" s="543"/>
      <c r="F835" s="545"/>
      <c r="G835" s="544"/>
      <c r="H835" s="545"/>
      <c r="I835" s="545"/>
      <c r="J835" s="545"/>
      <c r="K835" s="545"/>
      <c r="L835" s="545"/>
      <c r="M835" s="544"/>
      <c r="N835" s="544"/>
      <c r="O835" s="545"/>
      <c r="P835" s="545"/>
      <c r="Q835" s="544"/>
      <c r="R835" s="544"/>
      <c r="S835" s="546">
        <f t="shared" si="150"/>
        <v>0</v>
      </c>
      <c r="T835" s="547">
        <f t="shared" si="151"/>
        <v>0</v>
      </c>
      <c r="U835" s="546">
        <f t="shared" si="152"/>
        <v>0</v>
      </c>
      <c r="W835" s="350">
        <f t="shared" si="154"/>
        <v>0</v>
      </c>
      <c r="X835" s="285">
        <f t="shared" si="153"/>
        <v>0</v>
      </c>
    </row>
    <row r="836" spans="1:24" ht="12" thickBot="1">
      <c r="A836" s="596" t="s">
        <v>1510</v>
      </c>
      <c r="B836" s="541" t="s">
        <v>376</v>
      </c>
      <c r="C836" s="541" t="s">
        <v>1119</v>
      </c>
      <c r="D836" s="552" t="s">
        <v>1139</v>
      </c>
      <c r="E836" s="549"/>
      <c r="F836" s="551"/>
      <c r="G836" s="550"/>
      <c r="H836" s="551"/>
      <c r="I836" s="551"/>
      <c r="J836" s="551"/>
      <c r="K836" s="551"/>
      <c r="L836" s="551"/>
      <c r="M836" s="550"/>
      <c r="N836" s="550"/>
      <c r="O836" s="551"/>
      <c r="P836" s="551"/>
      <c r="Q836" s="550"/>
      <c r="R836" s="550"/>
      <c r="S836" s="546">
        <f t="shared" si="150"/>
        <v>0</v>
      </c>
      <c r="T836" s="547">
        <f t="shared" si="151"/>
        <v>0</v>
      </c>
      <c r="U836" s="546">
        <f t="shared" si="152"/>
        <v>0</v>
      </c>
      <c r="W836" s="350">
        <f t="shared" si="154"/>
        <v>0</v>
      </c>
      <c r="X836" s="285">
        <f t="shared" si="153"/>
        <v>0</v>
      </c>
    </row>
    <row r="837" spans="1:24" ht="12" thickBot="1">
      <c r="A837" s="596" t="s">
        <v>1510</v>
      </c>
      <c r="B837" s="541" t="s">
        <v>374</v>
      </c>
      <c r="C837" s="541" t="s">
        <v>1120</v>
      </c>
      <c r="D837" s="552" t="s">
        <v>1139</v>
      </c>
      <c r="E837" s="543"/>
      <c r="F837" s="545"/>
      <c r="G837" s="544"/>
      <c r="H837" s="545"/>
      <c r="I837" s="545"/>
      <c r="J837" s="545"/>
      <c r="K837" s="545"/>
      <c r="L837" s="545"/>
      <c r="M837" s="544"/>
      <c r="N837" s="544"/>
      <c r="O837" s="545"/>
      <c r="P837" s="545"/>
      <c r="Q837" s="544"/>
      <c r="R837" s="544"/>
      <c r="S837" s="546">
        <f t="shared" si="150"/>
        <v>0</v>
      </c>
      <c r="T837" s="547">
        <f t="shared" si="151"/>
        <v>0</v>
      </c>
      <c r="U837" s="546">
        <f t="shared" si="152"/>
        <v>0</v>
      </c>
      <c r="W837" s="350">
        <f t="shared" si="154"/>
        <v>0</v>
      </c>
      <c r="X837" s="285">
        <f t="shared" si="153"/>
        <v>0</v>
      </c>
    </row>
    <row r="838" spans="1:24" ht="12" thickBot="1">
      <c r="A838" s="596" t="s">
        <v>1510</v>
      </c>
      <c r="B838" s="541" t="s">
        <v>398</v>
      </c>
      <c r="C838" s="541" t="s">
        <v>1121</v>
      </c>
      <c r="D838" s="552" t="s">
        <v>1139</v>
      </c>
      <c r="E838" s="549"/>
      <c r="F838" s="551"/>
      <c r="G838" s="550"/>
      <c r="H838" s="551"/>
      <c r="I838" s="551"/>
      <c r="J838" s="551"/>
      <c r="K838" s="551"/>
      <c r="L838" s="551"/>
      <c r="M838" s="550"/>
      <c r="N838" s="550"/>
      <c r="O838" s="551"/>
      <c r="P838" s="551"/>
      <c r="Q838" s="550"/>
      <c r="R838" s="550"/>
      <c r="S838" s="546">
        <f t="shared" si="150"/>
        <v>0</v>
      </c>
      <c r="T838" s="547">
        <f t="shared" si="151"/>
        <v>0</v>
      </c>
      <c r="U838" s="546">
        <f t="shared" si="152"/>
        <v>0</v>
      </c>
      <c r="W838" s="350">
        <f t="shared" si="154"/>
        <v>0</v>
      </c>
      <c r="X838" s="285">
        <f t="shared" si="153"/>
        <v>0</v>
      </c>
    </row>
    <row r="839" spans="1:24" ht="12" thickBot="1">
      <c r="A839" s="596" t="s">
        <v>1510</v>
      </c>
      <c r="B839" s="541" t="s">
        <v>348</v>
      </c>
      <c r="C839" s="541" t="s">
        <v>1122</v>
      </c>
      <c r="D839" s="552" t="s">
        <v>1139</v>
      </c>
      <c r="E839" s="543"/>
      <c r="F839" s="545"/>
      <c r="G839" s="544"/>
      <c r="H839" s="545"/>
      <c r="I839" s="545"/>
      <c r="J839" s="545"/>
      <c r="K839" s="545"/>
      <c r="L839" s="545"/>
      <c r="M839" s="544"/>
      <c r="N839" s="544"/>
      <c r="O839" s="545"/>
      <c r="P839" s="545"/>
      <c r="Q839" s="544"/>
      <c r="R839" s="544"/>
      <c r="S839" s="546">
        <f t="shared" si="150"/>
        <v>0</v>
      </c>
      <c r="T839" s="547">
        <f t="shared" si="151"/>
        <v>0</v>
      </c>
      <c r="U839" s="546">
        <f t="shared" si="152"/>
        <v>0</v>
      </c>
      <c r="W839" s="350">
        <f t="shared" si="154"/>
        <v>0</v>
      </c>
      <c r="X839" s="285">
        <f t="shared" si="153"/>
        <v>0</v>
      </c>
    </row>
    <row r="840" spans="1:24" ht="12" thickBot="1">
      <c r="A840" s="596" t="s">
        <v>1510</v>
      </c>
      <c r="B840" s="541" t="s">
        <v>380</v>
      </c>
      <c r="C840" s="541" t="s">
        <v>1123</v>
      </c>
      <c r="D840" s="552" t="s">
        <v>1139</v>
      </c>
      <c r="E840" s="549"/>
      <c r="F840" s="551"/>
      <c r="G840" s="550"/>
      <c r="H840" s="551"/>
      <c r="I840" s="551"/>
      <c r="J840" s="551"/>
      <c r="K840" s="551"/>
      <c r="L840" s="551"/>
      <c r="M840" s="550"/>
      <c r="N840" s="550"/>
      <c r="O840" s="551"/>
      <c r="P840" s="551"/>
      <c r="Q840" s="550"/>
      <c r="R840" s="550"/>
      <c r="S840" s="546">
        <f t="shared" si="150"/>
        <v>0</v>
      </c>
      <c r="T840" s="547">
        <f t="shared" si="151"/>
        <v>0</v>
      </c>
      <c r="U840" s="546">
        <f t="shared" si="152"/>
        <v>0</v>
      </c>
      <c r="W840" s="350">
        <f t="shared" si="154"/>
        <v>0</v>
      </c>
      <c r="X840" s="285">
        <f t="shared" si="153"/>
        <v>0</v>
      </c>
    </row>
    <row r="841" spans="1:24" ht="12" thickBot="1">
      <c r="A841" s="596" t="s">
        <v>1510</v>
      </c>
      <c r="B841" s="541" t="s">
        <v>399</v>
      </c>
      <c r="C841" s="541" t="s">
        <v>1124</v>
      </c>
      <c r="D841" s="552" t="s">
        <v>1139</v>
      </c>
      <c r="E841" s="543"/>
      <c r="F841" s="545"/>
      <c r="G841" s="544"/>
      <c r="H841" s="545"/>
      <c r="I841" s="545"/>
      <c r="J841" s="545"/>
      <c r="K841" s="545"/>
      <c r="L841" s="545"/>
      <c r="M841" s="544"/>
      <c r="N841" s="544"/>
      <c r="O841" s="545"/>
      <c r="P841" s="545"/>
      <c r="Q841" s="544"/>
      <c r="R841" s="544"/>
      <c r="S841" s="546">
        <f t="shared" si="150"/>
        <v>0</v>
      </c>
      <c r="T841" s="547">
        <f t="shared" si="151"/>
        <v>0</v>
      </c>
      <c r="U841" s="546">
        <f t="shared" si="152"/>
        <v>0</v>
      </c>
      <c r="W841" s="350">
        <f t="shared" si="154"/>
        <v>0</v>
      </c>
      <c r="X841" s="285">
        <f t="shared" si="153"/>
        <v>0</v>
      </c>
    </row>
    <row r="842" spans="1:24" ht="12" thickBot="1">
      <c r="A842" s="596" t="s">
        <v>1510</v>
      </c>
      <c r="B842" s="541" t="s">
        <v>349</v>
      </c>
      <c r="C842" s="541" t="s">
        <v>1125</v>
      </c>
      <c r="D842" s="552" t="s">
        <v>1139</v>
      </c>
      <c r="E842" s="549"/>
      <c r="F842" s="551"/>
      <c r="G842" s="550"/>
      <c r="H842" s="551"/>
      <c r="I842" s="551"/>
      <c r="J842" s="551"/>
      <c r="K842" s="551"/>
      <c r="L842" s="551"/>
      <c r="M842" s="550"/>
      <c r="N842" s="550"/>
      <c r="O842" s="551"/>
      <c r="P842" s="551"/>
      <c r="Q842" s="550"/>
      <c r="R842" s="550"/>
      <c r="S842" s="546">
        <f t="shared" si="150"/>
        <v>0</v>
      </c>
      <c r="T842" s="547">
        <f t="shared" si="151"/>
        <v>0</v>
      </c>
      <c r="U842" s="546">
        <f t="shared" si="152"/>
        <v>0</v>
      </c>
      <c r="W842" s="350">
        <f t="shared" si="154"/>
        <v>0</v>
      </c>
      <c r="X842" s="285">
        <f t="shared" si="153"/>
        <v>0</v>
      </c>
    </row>
    <row r="843" spans="1:24" ht="12" thickBot="1">
      <c r="A843" s="596" t="s">
        <v>1510</v>
      </c>
      <c r="B843" s="541" t="s">
        <v>381</v>
      </c>
      <c r="C843" s="541" t="s">
        <v>1126</v>
      </c>
      <c r="D843" s="552" t="s">
        <v>1139</v>
      </c>
      <c r="E843" s="543"/>
      <c r="F843" s="545"/>
      <c r="G843" s="544"/>
      <c r="H843" s="545"/>
      <c r="I843" s="545"/>
      <c r="J843" s="545"/>
      <c r="K843" s="545"/>
      <c r="L843" s="545"/>
      <c r="M843" s="544"/>
      <c r="N843" s="544"/>
      <c r="O843" s="545"/>
      <c r="P843" s="545"/>
      <c r="Q843" s="544"/>
      <c r="R843" s="544"/>
      <c r="S843" s="546">
        <f t="shared" ref="S843:S858" si="155">G843+H843+I843</f>
        <v>0</v>
      </c>
      <c r="T843" s="547">
        <f t="shared" ref="T843:T858" si="156">J843+K843</f>
        <v>0</v>
      </c>
      <c r="U843" s="546">
        <f t="shared" ref="U843:U858" si="157">N843+O843</f>
        <v>0</v>
      </c>
      <c r="W843" s="350">
        <f t="shared" si="154"/>
        <v>0</v>
      </c>
      <c r="X843" s="285">
        <f t="shared" ref="X843:X858" si="158">W843-R843</f>
        <v>0</v>
      </c>
    </row>
    <row r="844" spans="1:24" ht="12" thickBot="1">
      <c r="A844" s="596" t="s">
        <v>1510</v>
      </c>
      <c r="B844" s="541" t="s">
        <v>321</v>
      </c>
      <c r="C844" s="541" t="s">
        <v>1127</v>
      </c>
      <c r="D844" s="552" t="s">
        <v>1139</v>
      </c>
      <c r="E844" s="549"/>
      <c r="F844" s="551"/>
      <c r="G844" s="550"/>
      <c r="H844" s="551"/>
      <c r="I844" s="551"/>
      <c r="J844" s="551"/>
      <c r="K844" s="551"/>
      <c r="L844" s="551"/>
      <c r="M844" s="550"/>
      <c r="N844" s="550"/>
      <c r="O844" s="551"/>
      <c r="P844" s="551"/>
      <c r="Q844" s="550"/>
      <c r="R844" s="550"/>
      <c r="S844" s="546">
        <f t="shared" si="155"/>
        <v>0</v>
      </c>
      <c r="T844" s="547">
        <f t="shared" si="156"/>
        <v>0</v>
      </c>
      <c r="U844" s="546">
        <f t="shared" si="157"/>
        <v>0</v>
      </c>
      <c r="W844" s="350">
        <f t="shared" si="154"/>
        <v>0</v>
      </c>
      <c r="X844" s="285">
        <f t="shared" si="158"/>
        <v>0</v>
      </c>
    </row>
    <row r="845" spans="1:24" ht="12" thickBot="1">
      <c r="A845" s="596" t="s">
        <v>1510</v>
      </c>
      <c r="B845" s="541" t="s">
        <v>353</v>
      </c>
      <c r="C845" s="541" t="s">
        <v>1128</v>
      </c>
      <c r="D845" s="552" t="s">
        <v>1139</v>
      </c>
      <c r="E845" s="543"/>
      <c r="F845" s="545"/>
      <c r="G845" s="544"/>
      <c r="H845" s="545"/>
      <c r="I845" s="545"/>
      <c r="J845" s="545"/>
      <c r="K845" s="545"/>
      <c r="L845" s="545"/>
      <c r="M845" s="544"/>
      <c r="N845" s="544"/>
      <c r="O845" s="545"/>
      <c r="P845" s="545"/>
      <c r="Q845" s="544"/>
      <c r="R845" s="544"/>
      <c r="S845" s="546">
        <f t="shared" si="155"/>
        <v>0</v>
      </c>
      <c r="T845" s="547">
        <f t="shared" si="156"/>
        <v>0</v>
      </c>
      <c r="U845" s="546">
        <f t="shared" si="157"/>
        <v>0</v>
      </c>
      <c r="W845" s="350">
        <f t="shared" si="154"/>
        <v>0</v>
      </c>
      <c r="X845" s="285">
        <f t="shared" si="158"/>
        <v>0</v>
      </c>
    </row>
    <row r="846" spans="1:24" ht="12" thickBot="1">
      <c r="A846" s="596" t="s">
        <v>1510</v>
      </c>
      <c r="B846" s="541" t="s">
        <v>678</v>
      </c>
      <c r="C846" s="541" t="s">
        <v>1129</v>
      </c>
      <c r="D846" s="552" t="s">
        <v>1139</v>
      </c>
      <c r="E846" s="549"/>
      <c r="F846" s="551"/>
      <c r="G846" s="550"/>
      <c r="H846" s="551"/>
      <c r="I846" s="551"/>
      <c r="J846" s="551"/>
      <c r="K846" s="551"/>
      <c r="L846" s="551"/>
      <c r="M846" s="550"/>
      <c r="N846" s="550"/>
      <c r="O846" s="551"/>
      <c r="P846" s="551"/>
      <c r="Q846" s="551"/>
      <c r="R846" s="550"/>
      <c r="S846" s="546">
        <f t="shared" si="155"/>
        <v>0</v>
      </c>
      <c r="T846" s="547">
        <f t="shared" si="156"/>
        <v>0</v>
      </c>
      <c r="U846" s="546">
        <f t="shared" si="157"/>
        <v>0</v>
      </c>
      <c r="W846" s="350">
        <f t="shared" si="154"/>
        <v>0</v>
      </c>
      <c r="X846" s="285">
        <f t="shared" si="158"/>
        <v>0</v>
      </c>
    </row>
    <row r="847" spans="1:24" ht="12" thickBot="1">
      <c r="A847" s="596" t="s">
        <v>1510</v>
      </c>
      <c r="B847" s="541" t="s">
        <v>316</v>
      </c>
      <c r="C847" s="541" t="s">
        <v>1130</v>
      </c>
      <c r="D847" s="552" t="s">
        <v>1139</v>
      </c>
      <c r="E847" s="543"/>
      <c r="F847" s="545"/>
      <c r="G847" s="544"/>
      <c r="H847" s="545"/>
      <c r="I847" s="545"/>
      <c r="J847" s="545"/>
      <c r="K847" s="545"/>
      <c r="L847" s="545"/>
      <c r="M847" s="544"/>
      <c r="N847" s="544"/>
      <c r="O847" s="545"/>
      <c r="P847" s="545"/>
      <c r="Q847" s="544"/>
      <c r="R847" s="544"/>
      <c r="S847" s="546">
        <f t="shared" si="155"/>
        <v>0</v>
      </c>
      <c r="T847" s="547">
        <f t="shared" si="156"/>
        <v>0</v>
      </c>
      <c r="U847" s="546">
        <f t="shared" si="157"/>
        <v>0</v>
      </c>
      <c r="W847" s="350">
        <f t="shared" si="154"/>
        <v>0</v>
      </c>
      <c r="X847" s="285">
        <f t="shared" si="158"/>
        <v>0</v>
      </c>
    </row>
    <row r="848" spans="1:24" ht="12" thickBot="1">
      <c r="A848" s="596" t="s">
        <v>1510</v>
      </c>
      <c r="B848" s="541" t="s">
        <v>318</v>
      </c>
      <c r="C848" s="541" t="s">
        <v>1131</v>
      </c>
      <c r="D848" s="552" t="s">
        <v>1139</v>
      </c>
      <c r="E848" s="549"/>
      <c r="F848" s="551"/>
      <c r="G848" s="550"/>
      <c r="H848" s="551"/>
      <c r="I848" s="551"/>
      <c r="J848" s="551"/>
      <c r="K848" s="551"/>
      <c r="L848" s="551"/>
      <c r="M848" s="550"/>
      <c r="N848" s="550"/>
      <c r="O848" s="551"/>
      <c r="P848" s="551"/>
      <c r="Q848" s="550"/>
      <c r="R848" s="550"/>
      <c r="S848" s="546">
        <f t="shared" si="155"/>
        <v>0</v>
      </c>
      <c r="T848" s="547">
        <f t="shared" si="156"/>
        <v>0</v>
      </c>
      <c r="U848" s="546">
        <f t="shared" si="157"/>
        <v>0</v>
      </c>
      <c r="W848" s="350">
        <f t="shared" si="154"/>
        <v>0</v>
      </c>
      <c r="X848" s="285">
        <f t="shared" si="158"/>
        <v>0</v>
      </c>
    </row>
    <row r="849" spans="1:24" ht="12" thickBot="1">
      <c r="A849" s="596" t="s">
        <v>1510</v>
      </c>
      <c r="B849" s="541" t="s">
        <v>350</v>
      </c>
      <c r="C849" s="541" t="s">
        <v>1132</v>
      </c>
      <c r="D849" s="552" t="s">
        <v>1139</v>
      </c>
      <c r="E849" s="543"/>
      <c r="F849" s="545"/>
      <c r="G849" s="544"/>
      <c r="H849" s="545"/>
      <c r="I849" s="545"/>
      <c r="J849" s="545"/>
      <c r="K849" s="545"/>
      <c r="L849" s="545"/>
      <c r="M849" s="544"/>
      <c r="N849" s="544"/>
      <c r="O849" s="545"/>
      <c r="P849" s="545"/>
      <c r="Q849" s="544"/>
      <c r="R849" s="544"/>
      <c r="S849" s="546">
        <f t="shared" si="155"/>
        <v>0</v>
      </c>
      <c r="T849" s="547">
        <f t="shared" si="156"/>
        <v>0</v>
      </c>
      <c r="U849" s="546">
        <f t="shared" si="157"/>
        <v>0</v>
      </c>
      <c r="W849" s="350">
        <f t="shared" si="154"/>
        <v>0</v>
      </c>
      <c r="X849" s="285">
        <f t="shared" si="158"/>
        <v>0</v>
      </c>
    </row>
    <row r="850" spans="1:24" ht="12" thickBot="1">
      <c r="A850" s="596" t="s">
        <v>1510</v>
      </c>
      <c r="B850" s="541" t="s">
        <v>313</v>
      </c>
      <c r="C850" s="541" t="s">
        <v>1133</v>
      </c>
      <c r="D850" s="552" t="s">
        <v>1139</v>
      </c>
      <c r="E850" s="549"/>
      <c r="F850" s="551"/>
      <c r="G850" s="550"/>
      <c r="H850" s="551"/>
      <c r="I850" s="551"/>
      <c r="J850" s="551"/>
      <c r="K850" s="551"/>
      <c r="L850" s="551"/>
      <c r="M850" s="550"/>
      <c r="N850" s="550"/>
      <c r="O850" s="551"/>
      <c r="P850" s="551"/>
      <c r="Q850" s="550"/>
      <c r="R850" s="550"/>
      <c r="S850" s="546">
        <f t="shared" si="155"/>
        <v>0</v>
      </c>
      <c r="T850" s="547">
        <f t="shared" si="156"/>
        <v>0</v>
      </c>
      <c r="U850" s="546">
        <f t="shared" si="157"/>
        <v>0</v>
      </c>
      <c r="W850" s="350">
        <f t="shared" si="154"/>
        <v>0</v>
      </c>
      <c r="X850" s="285">
        <f t="shared" si="158"/>
        <v>0</v>
      </c>
    </row>
    <row r="851" spans="1:24" ht="12" thickBot="1">
      <c r="A851" s="596" t="s">
        <v>1510</v>
      </c>
      <c r="B851" s="541" t="s">
        <v>650</v>
      </c>
      <c r="C851" s="541" t="s">
        <v>1151</v>
      </c>
      <c r="D851" s="552" t="s">
        <v>1139</v>
      </c>
      <c r="E851" s="543"/>
      <c r="F851" s="545"/>
      <c r="G851" s="544"/>
      <c r="H851" s="545"/>
      <c r="I851" s="545"/>
      <c r="J851" s="545"/>
      <c r="K851" s="545"/>
      <c r="L851" s="545"/>
      <c r="M851" s="544"/>
      <c r="N851" s="544"/>
      <c r="O851" s="545"/>
      <c r="P851" s="545"/>
      <c r="Q851" s="545"/>
      <c r="R851" s="544"/>
      <c r="S851" s="546">
        <f t="shared" si="155"/>
        <v>0</v>
      </c>
      <c r="T851" s="547">
        <f t="shared" si="156"/>
        <v>0</v>
      </c>
      <c r="U851" s="546">
        <f t="shared" si="157"/>
        <v>0</v>
      </c>
      <c r="W851" s="350">
        <f t="shared" si="154"/>
        <v>0</v>
      </c>
      <c r="X851" s="285">
        <f t="shared" si="158"/>
        <v>0</v>
      </c>
    </row>
    <row r="852" spans="1:24" ht="12" thickBot="1">
      <c r="A852" s="596" t="s">
        <v>1510</v>
      </c>
      <c r="B852" s="541" t="s">
        <v>447</v>
      </c>
      <c r="C852" s="541" t="s">
        <v>1134</v>
      </c>
      <c r="D852" s="552" t="s">
        <v>1139</v>
      </c>
      <c r="E852" s="549"/>
      <c r="F852" s="551"/>
      <c r="G852" s="550"/>
      <c r="H852" s="551"/>
      <c r="I852" s="551"/>
      <c r="J852" s="551"/>
      <c r="K852" s="551"/>
      <c r="L852" s="551"/>
      <c r="M852" s="550"/>
      <c r="N852" s="550"/>
      <c r="O852" s="551"/>
      <c r="P852" s="551"/>
      <c r="Q852" s="551"/>
      <c r="R852" s="550"/>
      <c r="S852" s="546">
        <f t="shared" si="155"/>
        <v>0</v>
      </c>
      <c r="T852" s="547">
        <f t="shared" si="156"/>
        <v>0</v>
      </c>
      <c r="U852" s="546">
        <f t="shared" si="157"/>
        <v>0</v>
      </c>
      <c r="W852" s="350">
        <f t="shared" si="154"/>
        <v>0</v>
      </c>
      <c r="X852" s="285">
        <f t="shared" si="158"/>
        <v>0</v>
      </c>
    </row>
    <row r="853" spans="1:24" ht="12" thickBot="1">
      <c r="A853" s="596" t="s">
        <v>1510</v>
      </c>
      <c r="B853" s="541" t="s">
        <v>624</v>
      </c>
      <c r="C853" s="541" t="s">
        <v>1135</v>
      </c>
      <c r="D853" s="552" t="s">
        <v>1139</v>
      </c>
      <c r="E853" s="543"/>
      <c r="F853" s="545"/>
      <c r="G853" s="544"/>
      <c r="H853" s="545"/>
      <c r="I853" s="545"/>
      <c r="J853" s="545"/>
      <c r="K853" s="545"/>
      <c r="L853" s="545"/>
      <c r="M853" s="544"/>
      <c r="N853" s="544"/>
      <c r="O853" s="545"/>
      <c r="P853" s="545"/>
      <c r="Q853" s="545"/>
      <c r="R853" s="544"/>
      <c r="S853" s="546">
        <f t="shared" si="155"/>
        <v>0</v>
      </c>
      <c r="T853" s="547">
        <f t="shared" si="156"/>
        <v>0</v>
      </c>
      <c r="U853" s="546">
        <f t="shared" si="157"/>
        <v>0</v>
      </c>
      <c r="W853" s="350">
        <f t="shared" si="154"/>
        <v>0</v>
      </c>
      <c r="X853" s="285">
        <f t="shared" si="158"/>
        <v>0</v>
      </c>
    </row>
    <row r="854" spans="1:24" ht="12" thickBot="1">
      <c r="A854" s="596" t="s">
        <v>1510</v>
      </c>
      <c r="B854" s="541" t="s">
        <v>429</v>
      </c>
      <c r="C854" s="541" t="s">
        <v>428</v>
      </c>
      <c r="D854" s="552" t="s">
        <v>73</v>
      </c>
      <c r="E854" s="551"/>
      <c r="F854" s="551"/>
      <c r="G854" s="551"/>
      <c r="H854" s="551"/>
      <c r="I854" s="551"/>
      <c r="J854" s="551"/>
      <c r="K854" s="551"/>
      <c r="L854" s="551"/>
      <c r="M854" s="551"/>
      <c r="N854" s="551"/>
      <c r="O854" s="551"/>
      <c r="P854" s="551"/>
      <c r="Q854" s="551"/>
      <c r="R854" s="550"/>
      <c r="S854" s="546">
        <f t="shared" si="155"/>
        <v>0</v>
      </c>
      <c r="T854" s="547">
        <f t="shared" si="156"/>
        <v>0</v>
      </c>
      <c r="U854" s="546">
        <f t="shared" si="157"/>
        <v>0</v>
      </c>
      <c r="W854" s="350">
        <f t="shared" si="154"/>
        <v>0</v>
      </c>
      <c r="X854" s="285">
        <f t="shared" si="158"/>
        <v>0</v>
      </c>
    </row>
    <row r="855" spans="1:24" ht="12" thickBot="1">
      <c r="A855" s="596" t="s">
        <v>1510</v>
      </c>
      <c r="B855" s="541" t="s">
        <v>455</v>
      </c>
      <c r="C855" s="541" t="s">
        <v>454</v>
      </c>
      <c r="D855" s="552" t="s">
        <v>710</v>
      </c>
      <c r="E855" s="545"/>
      <c r="F855" s="545"/>
      <c r="G855" s="545"/>
      <c r="H855" s="545"/>
      <c r="I855" s="545"/>
      <c r="J855" s="545"/>
      <c r="K855" s="545"/>
      <c r="L855" s="545"/>
      <c r="M855" s="545"/>
      <c r="N855" s="545"/>
      <c r="O855" s="545"/>
      <c r="P855" s="545"/>
      <c r="Q855" s="545"/>
      <c r="R855" s="544"/>
      <c r="S855" s="546">
        <f t="shared" si="155"/>
        <v>0</v>
      </c>
      <c r="T855" s="547">
        <f t="shared" si="156"/>
        <v>0</v>
      </c>
      <c r="U855" s="546">
        <f t="shared" si="157"/>
        <v>0</v>
      </c>
      <c r="W855" s="350">
        <f t="shared" si="154"/>
        <v>0</v>
      </c>
      <c r="X855" s="285">
        <f t="shared" si="158"/>
        <v>0</v>
      </c>
    </row>
    <row r="856" spans="1:24" ht="12" thickBot="1">
      <c r="A856" s="596" t="s">
        <v>1510</v>
      </c>
      <c r="B856" s="541" t="s">
        <v>457</v>
      </c>
      <c r="C856" s="541" t="s">
        <v>456</v>
      </c>
      <c r="D856" s="552" t="s">
        <v>710</v>
      </c>
      <c r="E856" s="551"/>
      <c r="F856" s="551"/>
      <c r="G856" s="551"/>
      <c r="H856" s="551"/>
      <c r="I856" s="551"/>
      <c r="J856" s="551"/>
      <c r="K856" s="551"/>
      <c r="L856" s="551"/>
      <c r="M856" s="551"/>
      <c r="N856" s="551"/>
      <c r="O856" s="551"/>
      <c r="P856" s="551"/>
      <c r="Q856" s="551"/>
      <c r="R856" s="550"/>
      <c r="S856" s="546">
        <f t="shared" si="155"/>
        <v>0</v>
      </c>
      <c r="T856" s="547">
        <f t="shared" si="156"/>
        <v>0</v>
      </c>
      <c r="U856" s="546">
        <f t="shared" si="157"/>
        <v>0</v>
      </c>
      <c r="W856" s="350">
        <f t="shared" si="154"/>
        <v>0</v>
      </c>
      <c r="X856" s="285">
        <f t="shared" si="158"/>
        <v>0</v>
      </c>
    </row>
    <row r="857" spans="1:24" ht="12" thickBot="1">
      <c r="A857" s="596" t="s">
        <v>1510</v>
      </c>
      <c r="B857" s="541" t="s">
        <v>427</v>
      </c>
      <c r="C857" s="541" t="s">
        <v>426</v>
      </c>
      <c r="D857" s="552" t="s">
        <v>1157</v>
      </c>
      <c r="E857" s="545"/>
      <c r="F857" s="544"/>
      <c r="G857" s="545"/>
      <c r="H857" s="545"/>
      <c r="I857" s="545"/>
      <c r="J857" s="545"/>
      <c r="K857" s="545"/>
      <c r="L857" s="545"/>
      <c r="M857" s="545"/>
      <c r="N857" s="545"/>
      <c r="O857" s="545"/>
      <c r="P857" s="545"/>
      <c r="Q857" s="545"/>
      <c r="R857" s="544"/>
      <c r="S857" s="546">
        <f t="shared" si="155"/>
        <v>0</v>
      </c>
      <c r="T857" s="547">
        <f t="shared" si="156"/>
        <v>0</v>
      </c>
      <c r="U857" s="546">
        <f t="shared" si="157"/>
        <v>0</v>
      </c>
      <c r="W857" s="350">
        <f t="shared" si="154"/>
        <v>0</v>
      </c>
      <c r="X857" s="285">
        <f t="shared" si="158"/>
        <v>0</v>
      </c>
    </row>
    <row r="858" spans="1:24" ht="12" thickBot="1">
      <c r="A858" s="596" t="s">
        <v>1510</v>
      </c>
      <c r="B858" s="541" t="s">
        <v>673</v>
      </c>
      <c r="C858" s="541" t="s">
        <v>674</v>
      </c>
      <c r="D858" s="552" t="s">
        <v>710</v>
      </c>
      <c r="E858" s="551"/>
      <c r="F858" s="551"/>
      <c r="G858" s="551"/>
      <c r="H858" s="551"/>
      <c r="I858" s="551"/>
      <c r="J858" s="551"/>
      <c r="K858" s="551"/>
      <c r="L858" s="551"/>
      <c r="M858" s="551"/>
      <c r="N858" s="551"/>
      <c r="O858" s="551"/>
      <c r="P858" s="551"/>
      <c r="Q858" s="551"/>
      <c r="R858" s="550"/>
      <c r="S858" s="546">
        <f t="shared" si="155"/>
        <v>0</v>
      </c>
      <c r="T858" s="547">
        <f t="shared" si="156"/>
        <v>0</v>
      </c>
      <c r="U858" s="546">
        <f t="shared" si="157"/>
        <v>0</v>
      </c>
      <c r="W858" s="350">
        <f t="shared" si="154"/>
        <v>0</v>
      </c>
      <c r="X858" s="285">
        <f t="shared" si="158"/>
        <v>0</v>
      </c>
    </row>
    <row r="859" spans="1:24" s="831" customFormat="1" ht="12.75" thickBot="1">
      <c r="A859" s="596" t="s">
        <v>1510</v>
      </c>
      <c r="B859" s="541" t="s">
        <v>1152</v>
      </c>
      <c r="C859" s="541" t="s">
        <v>1153</v>
      </c>
      <c r="D859" s="552" t="s">
        <v>710</v>
      </c>
      <c r="E859" s="545"/>
      <c r="F859" s="545"/>
      <c r="G859" s="545"/>
      <c r="H859" s="545"/>
      <c r="I859" s="545"/>
      <c r="J859" s="545"/>
      <c r="K859" s="545"/>
      <c r="L859" s="545"/>
      <c r="M859" s="545"/>
      <c r="N859" s="545"/>
      <c r="O859" s="545"/>
      <c r="P859" s="545"/>
      <c r="Q859" s="545"/>
      <c r="R859" s="544"/>
      <c r="S859" s="546">
        <f t="shared" ref="S859:S922" si="159">G859+H859+I859</f>
        <v>0</v>
      </c>
      <c r="T859" s="547">
        <f t="shared" ref="T859:T922" si="160">J859+K859</f>
        <v>0</v>
      </c>
      <c r="U859" s="546">
        <f t="shared" ref="U859:U922" si="161">N859+O859</f>
        <v>0</v>
      </c>
      <c r="V859" s="548"/>
      <c r="W859" s="350">
        <f t="shared" ref="W859:W922" si="162">SUM(F859:Q859)</f>
        <v>0</v>
      </c>
      <c r="X859" s="285">
        <f t="shared" ref="X859:X922" si="163">W859-R859</f>
        <v>0</v>
      </c>
    </row>
    <row r="860" spans="1:24" s="831" customFormat="1" ht="12.75" thickBot="1">
      <c r="A860" s="596" t="s">
        <v>1510</v>
      </c>
      <c r="B860" s="541" t="s">
        <v>434</v>
      </c>
      <c r="C860" s="541" t="s">
        <v>1154</v>
      </c>
      <c r="D860" s="552" t="s">
        <v>1158</v>
      </c>
      <c r="E860" s="549"/>
      <c r="F860" s="550"/>
      <c r="G860" s="550"/>
      <c r="H860" s="550"/>
      <c r="I860" s="551"/>
      <c r="J860" s="551"/>
      <c r="K860" s="551"/>
      <c r="L860" s="551"/>
      <c r="M860" s="551"/>
      <c r="N860" s="551"/>
      <c r="O860" s="551"/>
      <c r="P860" s="551"/>
      <c r="Q860" s="551"/>
      <c r="R860" s="550"/>
      <c r="S860" s="546">
        <f t="shared" si="159"/>
        <v>0</v>
      </c>
      <c r="T860" s="547">
        <f t="shared" si="160"/>
        <v>0</v>
      </c>
      <c r="U860" s="546">
        <f t="shared" si="161"/>
        <v>0</v>
      </c>
      <c r="V860" s="548"/>
      <c r="W860" s="350">
        <f t="shared" si="162"/>
        <v>0</v>
      </c>
      <c r="X860" s="285">
        <f t="shared" si="163"/>
        <v>0</v>
      </c>
    </row>
    <row r="861" spans="1:24" s="831" customFormat="1" ht="12.75" thickBot="1">
      <c r="A861" s="596" t="s">
        <v>1510</v>
      </c>
      <c r="B861" s="562" t="s">
        <v>8</v>
      </c>
      <c r="C861" s="563"/>
      <c r="D861" s="557"/>
      <c r="E861" s="558"/>
      <c r="F861" s="559"/>
      <c r="G861" s="559"/>
      <c r="H861" s="559"/>
      <c r="I861" s="559"/>
      <c r="J861" s="559"/>
      <c r="K861" s="559"/>
      <c r="L861" s="559"/>
      <c r="M861" s="559"/>
      <c r="N861" s="559"/>
      <c r="O861" s="559"/>
      <c r="P861" s="559"/>
      <c r="Q861" s="559"/>
      <c r="R861" s="559"/>
      <c r="S861" s="546">
        <f t="shared" si="159"/>
        <v>0</v>
      </c>
      <c r="T861" s="547">
        <f t="shared" si="160"/>
        <v>0</v>
      </c>
      <c r="U861" s="546">
        <f t="shared" si="161"/>
        <v>0</v>
      </c>
      <c r="V861" s="548"/>
      <c r="W861" s="350">
        <f t="shared" si="162"/>
        <v>0</v>
      </c>
      <c r="X861" s="285">
        <f t="shared" si="163"/>
        <v>0</v>
      </c>
    </row>
    <row r="862" spans="1:24" s="831" customFormat="1" ht="12.75" thickBot="1">
      <c r="A862" s="596" t="s">
        <v>1499</v>
      </c>
      <c r="B862" s="541" t="s">
        <v>424</v>
      </c>
      <c r="C862" s="541" t="s">
        <v>444</v>
      </c>
      <c r="D862" s="542" t="s">
        <v>724</v>
      </c>
      <c r="E862" s="543"/>
      <c r="F862" s="544"/>
      <c r="G862" s="544"/>
      <c r="H862" s="545"/>
      <c r="I862" s="545"/>
      <c r="J862" s="545"/>
      <c r="K862" s="545"/>
      <c r="L862" s="545"/>
      <c r="M862" s="545"/>
      <c r="N862" s="545"/>
      <c r="O862" s="545"/>
      <c r="P862" s="545"/>
      <c r="Q862" s="545"/>
      <c r="R862" s="544"/>
      <c r="S862" s="546">
        <f t="shared" si="159"/>
        <v>0</v>
      </c>
      <c r="T862" s="547">
        <f t="shared" si="160"/>
        <v>0</v>
      </c>
      <c r="U862" s="546">
        <f t="shared" si="161"/>
        <v>0</v>
      </c>
      <c r="V862" s="548"/>
      <c r="W862" s="350">
        <f t="shared" si="162"/>
        <v>0</v>
      </c>
      <c r="X862" s="285">
        <f t="shared" si="163"/>
        <v>0</v>
      </c>
    </row>
    <row r="863" spans="1:24" s="831" customFormat="1" ht="12.75" thickBot="1">
      <c r="A863" s="596" t="s">
        <v>1499</v>
      </c>
      <c r="B863" s="541" t="s">
        <v>425</v>
      </c>
      <c r="C863" s="541" t="s">
        <v>445</v>
      </c>
      <c r="D863" s="542" t="s">
        <v>724</v>
      </c>
      <c r="E863" s="549"/>
      <c r="F863" s="550"/>
      <c r="G863" s="550"/>
      <c r="H863" s="551"/>
      <c r="I863" s="551"/>
      <c r="J863" s="551"/>
      <c r="K863" s="551"/>
      <c r="L863" s="551"/>
      <c r="M863" s="551"/>
      <c r="N863" s="551"/>
      <c r="O863" s="551"/>
      <c r="P863" s="551"/>
      <c r="Q863" s="551"/>
      <c r="R863" s="550"/>
      <c r="S863" s="546">
        <f t="shared" si="159"/>
        <v>0</v>
      </c>
      <c r="T863" s="547">
        <f t="shared" si="160"/>
        <v>0</v>
      </c>
      <c r="U863" s="546">
        <f t="shared" si="161"/>
        <v>0</v>
      </c>
      <c r="V863" s="548"/>
      <c r="W863" s="350">
        <f t="shared" si="162"/>
        <v>0</v>
      </c>
      <c r="X863" s="285">
        <f t="shared" si="163"/>
        <v>0</v>
      </c>
    </row>
    <row r="864" spans="1:24" s="831" customFormat="1" ht="12.75" thickBot="1">
      <c r="A864" s="596" t="s">
        <v>1499</v>
      </c>
      <c r="B864" s="541" t="s">
        <v>433</v>
      </c>
      <c r="C864" s="541" t="s">
        <v>432</v>
      </c>
      <c r="D864" s="552" t="s">
        <v>1155</v>
      </c>
      <c r="E864" s="543"/>
      <c r="F864" s="545"/>
      <c r="G864" s="544"/>
      <c r="H864" s="545"/>
      <c r="I864" s="545"/>
      <c r="J864" s="545"/>
      <c r="K864" s="545"/>
      <c r="L864" s="545"/>
      <c r="M864" s="545"/>
      <c r="N864" s="545"/>
      <c r="O864" s="545"/>
      <c r="P864" s="545"/>
      <c r="Q864" s="545"/>
      <c r="R864" s="544"/>
      <c r="S864" s="546">
        <f t="shared" si="159"/>
        <v>0</v>
      </c>
      <c r="T864" s="547">
        <f t="shared" si="160"/>
        <v>0</v>
      </c>
      <c r="U864" s="546">
        <f t="shared" si="161"/>
        <v>0</v>
      </c>
      <c r="V864" s="548"/>
      <c r="W864" s="350">
        <f t="shared" si="162"/>
        <v>0</v>
      </c>
      <c r="X864" s="285">
        <f t="shared" si="163"/>
        <v>0</v>
      </c>
    </row>
    <row r="865" spans="1:24" s="831" customFormat="1" ht="12.75" thickBot="1">
      <c r="A865" s="596" t="s">
        <v>1499</v>
      </c>
      <c r="B865" s="541" t="s">
        <v>431</v>
      </c>
      <c r="C865" s="541" t="s">
        <v>430</v>
      </c>
      <c r="D865" s="553" t="s">
        <v>1155</v>
      </c>
      <c r="E865" s="549"/>
      <c r="F865" s="551"/>
      <c r="G865" s="550"/>
      <c r="H865" s="551"/>
      <c r="I865" s="551"/>
      <c r="J865" s="551"/>
      <c r="K865" s="551"/>
      <c r="L865" s="551"/>
      <c r="M865" s="551"/>
      <c r="N865" s="551"/>
      <c r="O865" s="551"/>
      <c r="P865" s="551"/>
      <c r="Q865" s="551"/>
      <c r="R865" s="550"/>
      <c r="S865" s="546">
        <f t="shared" si="159"/>
        <v>0</v>
      </c>
      <c r="T865" s="547">
        <f t="shared" si="160"/>
        <v>0</v>
      </c>
      <c r="U865" s="546">
        <f t="shared" si="161"/>
        <v>0</v>
      </c>
      <c r="V865" s="548"/>
      <c r="W865" s="350">
        <f t="shared" si="162"/>
        <v>0</v>
      </c>
      <c r="X865" s="285">
        <f t="shared" si="163"/>
        <v>0</v>
      </c>
    </row>
    <row r="866" spans="1:24" s="831" customFormat="1" ht="12.75" thickBot="1">
      <c r="A866" s="596" t="s">
        <v>1499</v>
      </c>
      <c r="B866" s="541" t="s">
        <v>1048</v>
      </c>
      <c r="C866" s="541" t="s">
        <v>1049</v>
      </c>
      <c r="D866" s="553" t="s">
        <v>1146</v>
      </c>
      <c r="E866" s="545"/>
      <c r="F866" s="545"/>
      <c r="G866" s="545"/>
      <c r="H866" s="545"/>
      <c r="I866" s="545"/>
      <c r="J866" s="545"/>
      <c r="K866" s="545"/>
      <c r="L866" s="545"/>
      <c r="M866" s="545"/>
      <c r="N866" s="545"/>
      <c r="O866" s="545"/>
      <c r="P866" s="545"/>
      <c r="Q866" s="545"/>
      <c r="R866" s="545"/>
      <c r="S866" s="546">
        <f t="shared" si="159"/>
        <v>0</v>
      </c>
      <c r="T866" s="547">
        <f t="shared" si="160"/>
        <v>0</v>
      </c>
      <c r="U866" s="546">
        <f t="shared" si="161"/>
        <v>0</v>
      </c>
      <c r="V866" s="548"/>
      <c r="W866" s="350">
        <f t="shared" si="162"/>
        <v>0</v>
      </c>
      <c r="X866" s="285">
        <f t="shared" si="163"/>
        <v>0</v>
      </c>
    </row>
    <row r="867" spans="1:24" s="831" customFormat="1" ht="12.75" thickBot="1">
      <c r="A867" s="596" t="s">
        <v>1499</v>
      </c>
      <c r="B867" s="541" t="s">
        <v>152</v>
      </c>
      <c r="C867" s="541" t="s">
        <v>57</v>
      </c>
      <c r="D867" s="553" t="s">
        <v>18</v>
      </c>
      <c r="E867" s="549">
        <f t="shared" ref="E867:E913" si="164">ROUND(SUMIFS(E$1721:E$1888,$A$1721:$A$1888,$A867,$B$1721:$B$1888,$B867),0)</f>
        <v>124179788</v>
      </c>
      <c r="F867" s="988">
        <f t="shared" ref="F867:P876" si="165">ROUND(SUMIFS(F$1721:F$1901,$A$1721:$A$1901,$A867,$B$1721:$B$1901,$B867),0)</f>
        <v>24000</v>
      </c>
      <c r="G867" s="988">
        <f t="shared" si="165"/>
        <v>921414</v>
      </c>
      <c r="H867" s="988">
        <f t="shared" si="165"/>
        <v>3591279</v>
      </c>
      <c r="I867" s="988">
        <f t="shared" si="165"/>
        <v>0</v>
      </c>
      <c r="J867" s="988">
        <f t="shared" si="165"/>
        <v>209232</v>
      </c>
      <c r="K867" s="988">
        <f t="shared" si="165"/>
        <v>2140251</v>
      </c>
      <c r="L867" s="988">
        <f t="shared" si="165"/>
        <v>0</v>
      </c>
      <c r="M867" s="988">
        <f t="shared" si="165"/>
        <v>243645</v>
      </c>
      <c r="N867" s="988">
        <f t="shared" si="165"/>
        <v>0</v>
      </c>
      <c r="O867" s="988">
        <f t="shared" si="165"/>
        <v>532752</v>
      </c>
      <c r="P867" s="988">
        <f t="shared" si="165"/>
        <v>0</v>
      </c>
      <c r="Q867" s="988"/>
      <c r="R867" s="988">
        <f t="shared" ref="R867:R913" si="166">ROUND(SUMIFS(R$1721:R$1901,$A$1721:$A$1901,$A867,$B$1721:$B$1901,$B867),0)</f>
        <v>7662572</v>
      </c>
      <c r="S867" s="546">
        <f t="shared" si="159"/>
        <v>4512693</v>
      </c>
      <c r="T867" s="547">
        <f t="shared" si="160"/>
        <v>2349483</v>
      </c>
      <c r="U867" s="546">
        <f t="shared" si="161"/>
        <v>532752</v>
      </c>
      <c r="V867" s="548"/>
      <c r="W867" s="350">
        <f t="shared" si="162"/>
        <v>7662573</v>
      </c>
      <c r="X867" s="285">
        <f t="shared" si="163"/>
        <v>1</v>
      </c>
    </row>
    <row r="868" spans="1:24" s="831" customFormat="1" ht="12.75" thickBot="1">
      <c r="A868" s="596" t="s">
        <v>1499</v>
      </c>
      <c r="B868" s="541" t="s">
        <v>153</v>
      </c>
      <c r="C868" s="541" t="s">
        <v>180</v>
      </c>
      <c r="D868" s="542" t="s">
        <v>25</v>
      </c>
      <c r="E868" s="549">
        <f t="shared" si="164"/>
        <v>22656623</v>
      </c>
      <c r="F868" s="988">
        <f t="shared" si="165"/>
        <v>34680</v>
      </c>
      <c r="G868" s="988">
        <f t="shared" si="165"/>
        <v>151799</v>
      </c>
      <c r="H868" s="988">
        <f t="shared" si="165"/>
        <v>655230</v>
      </c>
      <c r="I868" s="988">
        <f t="shared" si="165"/>
        <v>0</v>
      </c>
      <c r="J868" s="988">
        <f t="shared" si="165"/>
        <v>66495</v>
      </c>
      <c r="K868" s="988">
        <f t="shared" si="165"/>
        <v>874282</v>
      </c>
      <c r="L868" s="988">
        <f t="shared" si="165"/>
        <v>33357</v>
      </c>
      <c r="M868" s="988">
        <f t="shared" si="165"/>
        <v>44453</v>
      </c>
      <c r="N868" s="988">
        <f t="shared" si="165"/>
        <v>0</v>
      </c>
      <c r="O868" s="988">
        <f t="shared" si="165"/>
        <v>97201</v>
      </c>
      <c r="P868" s="988">
        <f t="shared" si="165"/>
        <v>0</v>
      </c>
      <c r="Q868" s="988"/>
      <c r="R868" s="988">
        <f t="shared" si="166"/>
        <v>1957496</v>
      </c>
      <c r="S868" s="546">
        <f t="shared" si="159"/>
        <v>807029</v>
      </c>
      <c r="T868" s="547">
        <f t="shared" si="160"/>
        <v>940777</v>
      </c>
      <c r="U868" s="546">
        <f t="shared" si="161"/>
        <v>97201</v>
      </c>
      <c r="V868" s="548"/>
      <c r="W868" s="350">
        <f t="shared" si="162"/>
        <v>1957497</v>
      </c>
      <c r="X868" s="285">
        <f t="shared" si="163"/>
        <v>1</v>
      </c>
    </row>
    <row r="869" spans="1:24" s="831" customFormat="1" ht="12.75" thickBot="1">
      <c r="A869" s="596" t="s">
        <v>1499</v>
      </c>
      <c r="B869" s="541" t="s">
        <v>154</v>
      </c>
      <c r="C869" s="541" t="s">
        <v>181</v>
      </c>
      <c r="D869" s="542" t="s">
        <v>24</v>
      </c>
      <c r="E869" s="549">
        <f t="shared" si="164"/>
        <v>209548842</v>
      </c>
      <c r="F869" s="988">
        <f t="shared" si="165"/>
        <v>423900</v>
      </c>
      <c r="G869" s="988">
        <f t="shared" si="165"/>
        <v>1408168</v>
      </c>
      <c r="H869" s="988">
        <f t="shared" si="165"/>
        <v>6060153</v>
      </c>
      <c r="I869" s="988">
        <f t="shared" si="165"/>
        <v>0</v>
      </c>
      <c r="J869" s="988">
        <f t="shared" si="165"/>
        <v>733921</v>
      </c>
      <c r="K869" s="988">
        <f t="shared" si="165"/>
        <v>9663293</v>
      </c>
      <c r="L869" s="988">
        <f t="shared" si="165"/>
        <v>308515</v>
      </c>
      <c r="M869" s="988">
        <f t="shared" si="165"/>
        <v>411141</v>
      </c>
      <c r="N869" s="988">
        <f t="shared" si="165"/>
        <v>0</v>
      </c>
      <c r="O869" s="988">
        <f t="shared" si="165"/>
        <v>899000</v>
      </c>
      <c r="P869" s="988">
        <f t="shared" si="165"/>
        <v>0</v>
      </c>
      <c r="Q869" s="988"/>
      <c r="R869" s="988">
        <f t="shared" si="166"/>
        <v>19908091</v>
      </c>
      <c r="S869" s="546">
        <f t="shared" si="159"/>
        <v>7468321</v>
      </c>
      <c r="T869" s="547">
        <f t="shared" si="160"/>
        <v>10397214</v>
      </c>
      <c r="U869" s="546">
        <f t="shared" si="161"/>
        <v>899000</v>
      </c>
      <c r="V869" s="548"/>
      <c r="W869" s="350">
        <f t="shared" si="162"/>
        <v>19908091</v>
      </c>
      <c r="X869" s="285">
        <f t="shared" si="163"/>
        <v>0</v>
      </c>
    </row>
    <row r="870" spans="1:24" s="831" customFormat="1" ht="12.75" thickBot="1">
      <c r="A870" s="596" t="s">
        <v>1499</v>
      </c>
      <c r="B870" s="541" t="s">
        <v>155</v>
      </c>
      <c r="C870" s="541" t="s">
        <v>182</v>
      </c>
      <c r="D870" s="554" t="s">
        <v>205</v>
      </c>
      <c r="E870" s="549">
        <f t="shared" si="164"/>
        <v>279512046</v>
      </c>
      <c r="F870" s="988">
        <f t="shared" si="165"/>
        <v>15600</v>
      </c>
      <c r="G870" s="988">
        <f t="shared" si="165"/>
        <v>2440140</v>
      </c>
      <c r="H870" s="988">
        <f t="shared" si="165"/>
        <v>8083488</v>
      </c>
      <c r="I870" s="988">
        <f t="shared" si="165"/>
        <v>0</v>
      </c>
      <c r="J870" s="988">
        <f t="shared" si="165"/>
        <v>428426</v>
      </c>
      <c r="K870" s="988">
        <f t="shared" si="165"/>
        <v>4339525</v>
      </c>
      <c r="L870" s="988">
        <f t="shared" si="165"/>
        <v>411521</v>
      </c>
      <c r="M870" s="988">
        <f t="shared" si="165"/>
        <v>548411</v>
      </c>
      <c r="N870" s="988">
        <f t="shared" si="165"/>
        <v>0</v>
      </c>
      <c r="O870" s="988">
        <f t="shared" si="165"/>
        <v>1199154</v>
      </c>
      <c r="P870" s="988">
        <f t="shared" si="165"/>
        <v>0</v>
      </c>
      <c r="Q870" s="988"/>
      <c r="R870" s="988">
        <f t="shared" si="166"/>
        <v>17466266</v>
      </c>
      <c r="S870" s="546">
        <f t="shared" si="159"/>
        <v>10523628</v>
      </c>
      <c r="T870" s="547">
        <f t="shared" si="160"/>
        <v>4767951</v>
      </c>
      <c r="U870" s="546">
        <f t="shared" si="161"/>
        <v>1199154</v>
      </c>
      <c r="V870" s="548"/>
      <c r="W870" s="350">
        <f t="shared" si="162"/>
        <v>17466265</v>
      </c>
      <c r="X870" s="285">
        <f t="shared" si="163"/>
        <v>-1</v>
      </c>
    </row>
    <row r="871" spans="1:24" s="831" customFormat="1" ht="12.75" thickBot="1">
      <c r="A871" s="596" t="s">
        <v>1499</v>
      </c>
      <c r="B871" s="541" t="s">
        <v>156</v>
      </c>
      <c r="C871" s="541" t="s">
        <v>183</v>
      </c>
      <c r="D871" s="554" t="s">
        <v>25</v>
      </c>
      <c r="E871" s="549">
        <f t="shared" si="164"/>
        <v>0</v>
      </c>
      <c r="F871" s="988">
        <f t="shared" si="165"/>
        <v>0</v>
      </c>
      <c r="G871" s="988">
        <f t="shared" si="165"/>
        <v>0</v>
      </c>
      <c r="H871" s="988">
        <f t="shared" si="165"/>
        <v>0</v>
      </c>
      <c r="I871" s="988">
        <f t="shared" si="165"/>
        <v>0</v>
      </c>
      <c r="J871" s="988">
        <f t="shared" si="165"/>
        <v>0</v>
      </c>
      <c r="K871" s="988">
        <f t="shared" si="165"/>
        <v>0</v>
      </c>
      <c r="L871" s="988">
        <f t="shared" si="165"/>
        <v>0</v>
      </c>
      <c r="M871" s="988">
        <f t="shared" si="165"/>
        <v>0</v>
      </c>
      <c r="N871" s="988">
        <f t="shared" si="165"/>
        <v>0</v>
      </c>
      <c r="O871" s="988">
        <f t="shared" si="165"/>
        <v>0</v>
      </c>
      <c r="P871" s="988">
        <f t="shared" si="165"/>
        <v>0</v>
      </c>
      <c r="Q871" s="988"/>
      <c r="R871" s="988">
        <f t="shared" si="166"/>
        <v>0</v>
      </c>
      <c r="S871" s="546">
        <f t="shared" si="159"/>
        <v>0</v>
      </c>
      <c r="T871" s="547">
        <f t="shared" si="160"/>
        <v>0</v>
      </c>
      <c r="U871" s="546">
        <f t="shared" si="161"/>
        <v>0</v>
      </c>
      <c r="V871" s="548"/>
      <c r="W871" s="350">
        <f t="shared" si="162"/>
        <v>0</v>
      </c>
      <c r="X871" s="285">
        <f t="shared" si="163"/>
        <v>0</v>
      </c>
    </row>
    <row r="872" spans="1:24" s="831" customFormat="1" ht="12.75" thickBot="1">
      <c r="A872" s="596" t="s">
        <v>1499</v>
      </c>
      <c r="B872" s="541" t="s">
        <v>157</v>
      </c>
      <c r="C872" s="541" t="s">
        <v>184</v>
      </c>
      <c r="D872" s="554" t="s">
        <v>24</v>
      </c>
      <c r="E872" s="549">
        <f t="shared" si="164"/>
        <v>0</v>
      </c>
      <c r="F872" s="988">
        <f t="shared" si="165"/>
        <v>0</v>
      </c>
      <c r="G872" s="988">
        <f t="shared" si="165"/>
        <v>0</v>
      </c>
      <c r="H872" s="988">
        <f t="shared" si="165"/>
        <v>0</v>
      </c>
      <c r="I872" s="988">
        <f t="shared" si="165"/>
        <v>0</v>
      </c>
      <c r="J872" s="988">
        <f t="shared" si="165"/>
        <v>0</v>
      </c>
      <c r="K872" s="988">
        <f t="shared" si="165"/>
        <v>0</v>
      </c>
      <c r="L872" s="988">
        <f t="shared" si="165"/>
        <v>0</v>
      </c>
      <c r="M872" s="988">
        <f t="shared" si="165"/>
        <v>0</v>
      </c>
      <c r="N872" s="988">
        <f t="shared" si="165"/>
        <v>0</v>
      </c>
      <c r="O872" s="988">
        <f t="shared" si="165"/>
        <v>0</v>
      </c>
      <c r="P872" s="988">
        <f t="shared" si="165"/>
        <v>0</v>
      </c>
      <c r="Q872" s="988"/>
      <c r="R872" s="988">
        <f t="shared" si="166"/>
        <v>0</v>
      </c>
      <c r="S872" s="546">
        <f t="shared" si="159"/>
        <v>0</v>
      </c>
      <c r="T872" s="547">
        <f t="shared" si="160"/>
        <v>0</v>
      </c>
      <c r="U872" s="546">
        <f t="shared" si="161"/>
        <v>0</v>
      </c>
      <c r="V872" s="548"/>
      <c r="W872" s="350">
        <f t="shared" si="162"/>
        <v>0</v>
      </c>
      <c r="X872" s="285">
        <f t="shared" si="163"/>
        <v>0</v>
      </c>
    </row>
    <row r="873" spans="1:24" s="831" customFormat="1" ht="12.75" thickBot="1">
      <c r="A873" s="596" t="s">
        <v>1499</v>
      </c>
      <c r="B873" s="541" t="s">
        <v>158</v>
      </c>
      <c r="C873" s="541" t="s">
        <v>185</v>
      </c>
      <c r="D873" s="542" t="s">
        <v>205</v>
      </c>
      <c r="E873" s="549">
        <f t="shared" si="164"/>
        <v>116315819</v>
      </c>
      <c r="F873" s="988">
        <f t="shared" si="165"/>
        <v>58200</v>
      </c>
      <c r="G873" s="988">
        <f t="shared" si="165"/>
        <v>1015437</v>
      </c>
      <c r="H873" s="988">
        <f t="shared" si="165"/>
        <v>3363853</v>
      </c>
      <c r="I873" s="988">
        <f t="shared" si="165"/>
        <v>0</v>
      </c>
      <c r="J873" s="988">
        <f t="shared" si="165"/>
        <v>225142</v>
      </c>
      <c r="K873" s="988">
        <f t="shared" si="165"/>
        <v>2271633</v>
      </c>
      <c r="L873" s="988">
        <f t="shared" si="165"/>
        <v>171250</v>
      </c>
      <c r="M873" s="988">
        <f t="shared" si="165"/>
        <v>228215</v>
      </c>
      <c r="N873" s="988">
        <f t="shared" si="165"/>
        <v>0</v>
      </c>
      <c r="O873" s="988">
        <f t="shared" si="165"/>
        <v>499015</v>
      </c>
      <c r="P873" s="988">
        <f t="shared" si="165"/>
        <v>0</v>
      </c>
      <c r="Q873" s="988"/>
      <c r="R873" s="988">
        <f t="shared" si="166"/>
        <v>7832746</v>
      </c>
      <c r="S873" s="546">
        <f t="shared" si="159"/>
        <v>4379290</v>
      </c>
      <c r="T873" s="547">
        <f t="shared" si="160"/>
        <v>2496775</v>
      </c>
      <c r="U873" s="546">
        <f t="shared" si="161"/>
        <v>499015</v>
      </c>
      <c r="V873" s="548"/>
      <c r="W873" s="350">
        <f t="shared" si="162"/>
        <v>7832745</v>
      </c>
      <c r="X873" s="285">
        <f t="shared" si="163"/>
        <v>-1</v>
      </c>
    </row>
    <row r="874" spans="1:24" s="831" customFormat="1" ht="12.75" thickBot="1">
      <c r="A874" s="596" t="s">
        <v>1499</v>
      </c>
      <c r="B874" s="541" t="s">
        <v>159</v>
      </c>
      <c r="C874" s="541" t="s">
        <v>186</v>
      </c>
      <c r="D874" s="542" t="s">
        <v>204</v>
      </c>
      <c r="E874" s="549">
        <f t="shared" si="164"/>
        <v>149714839</v>
      </c>
      <c r="F874" s="988">
        <f t="shared" si="165"/>
        <v>92200</v>
      </c>
      <c r="G874" s="988">
        <f t="shared" si="165"/>
        <v>1318988</v>
      </c>
      <c r="H874" s="988">
        <f t="shared" si="165"/>
        <v>4329753</v>
      </c>
      <c r="I874" s="988">
        <f t="shared" si="165"/>
        <v>0</v>
      </c>
      <c r="J874" s="988">
        <f t="shared" si="165"/>
        <v>339514</v>
      </c>
      <c r="K874" s="988">
        <f t="shared" si="165"/>
        <v>3466403</v>
      </c>
      <c r="L874" s="988">
        <f t="shared" si="165"/>
        <v>220423</v>
      </c>
      <c r="M874" s="988">
        <f t="shared" si="165"/>
        <v>293745</v>
      </c>
      <c r="N874" s="988">
        <f t="shared" si="165"/>
        <v>0</v>
      </c>
      <c r="O874" s="988">
        <f t="shared" si="165"/>
        <v>642302</v>
      </c>
      <c r="P874" s="988">
        <f t="shared" si="165"/>
        <v>0</v>
      </c>
      <c r="Q874" s="988"/>
      <c r="R874" s="988">
        <f t="shared" si="166"/>
        <v>10703327</v>
      </c>
      <c r="S874" s="546">
        <f t="shared" si="159"/>
        <v>5648741</v>
      </c>
      <c r="T874" s="547">
        <f t="shared" si="160"/>
        <v>3805917</v>
      </c>
      <c r="U874" s="546">
        <f t="shared" si="161"/>
        <v>642302</v>
      </c>
      <c r="V874" s="548"/>
      <c r="W874" s="350">
        <f t="shared" si="162"/>
        <v>10703328</v>
      </c>
      <c r="X874" s="285">
        <f t="shared" si="163"/>
        <v>1</v>
      </c>
    </row>
    <row r="875" spans="1:24" s="831" customFormat="1" ht="12.75" thickBot="1">
      <c r="A875" s="596" t="s">
        <v>1499</v>
      </c>
      <c r="B875" s="541" t="s">
        <v>160</v>
      </c>
      <c r="C875" s="541" t="s">
        <v>187</v>
      </c>
      <c r="D875" s="542" t="s">
        <v>24</v>
      </c>
      <c r="E875" s="549">
        <f t="shared" si="164"/>
        <v>0</v>
      </c>
      <c r="F875" s="988">
        <f t="shared" si="165"/>
        <v>0</v>
      </c>
      <c r="G875" s="988">
        <f t="shared" si="165"/>
        <v>0</v>
      </c>
      <c r="H875" s="988">
        <f t="shared" si="165"/>
        <v>0</v>
      </c>
      <c r="I875" s="988">
        <f t="shared" si="165"/>
        <v>0</v>
      </c>
      <c r="J875" s="988">
        <f t="shared" si="165"/>
        <v>0</v>
      </c>
      <c r="K875" s="988">
        <f t="shared" si="165"/>
        <v>0</v>
      </c>
      <c r="L875" s="988">
        <f t="shared" si="165"/>
        <v>0</v>
      </c>
      <c r="M875" s="988">
        <f t="shared" si="165"/>
        <v>0</v>
      </c>
      <c r="N875" s="988">
        <f t="shared" si="165"/>
        <v>0</v>
      </c>
      <c r="O875" s="988">
        <f t="shared" si="165"/>
        <v>0</v>
      </c>
      <c r="P875" s="988">
        <f t="shared" si="165"/>
        <v>0</v>
      </c>
      <c r="Q875" s="988"/>
      <c r="R875" s="988">
        <f t="shared" si="166"/>
        <v>0</v>
      </c>
      <c r="S875" s="546">
        <f t="shared" si="159"/>
        <v>0</v>
      </c>
      <c r="T875" s="547">
        <f t="shared" si="160"/>
        <v>0</v>
      </c>
      <c r="U875" s="546">
        <f t="shared" si="161"/>
        <v>0</v>
      </c>
      <c r="V875" s="548"/>
      <c r="W875" s="350">
        <f t="shared" si="162"/>
        <v>0</v>
      </c>
      <c r="X875" s="285">
        <f t="shared" si="163"/>
        <v>0</v>
      </c>
    </row>
    <row r="876" spans="1:24" s="831" customFormat="1" ht="12.75" thickBot="1">
      <c r="A876" s="596" t="s">
        <v>1499</v>
      </c>
      <c r="B876" s="541" t="s">
        <v>1050</v>
      </c>
      <c r="C876" s="541" t="s">
        <v>1049</v>
      </c>
      <c r="D876" s="542" t="s">
        <v>1146</v>
      </c>
      <c r="E876" s="549">
        <f t="shared" si="164"/>
        <v>0</v>
      </c>
      <c r="F876" s="988">
        <f t="shared" si="165"/>
        <v>0</v>
      </c>
      <c r="G876" s="988">
        <f t="shared" si="165"/>
        <v>0</v>
      </c>
      <c r="H876" s="988">
        <f t="shared" si="165"/>
        <v>0</v>
      </c>
      <c r="I876" s="988">
        <f t="shared" si="165"/>
        <v>0</v>
      </c>
      <c r="J876" s="988">
        <f t="shared" si="165"/>
        <v>0</v>
      </c>
      <c r="K876" s="988">
        <f t="shared" si="165"/>
        <v>0</v>
      </c>
      <c r="L876" s="988">
        <f t="shared" si="165"/>
        <v>0</v>
      </c>
      <c r="M876" s="988">
        <f t="shared" si="165"/>
        <v>0</v>
      </c>
      <c r="N876" s="988">
        <f t="shared" si="165"/>
        <v>0</v>
      </c>
      <c r="O876" s="988">
        <f t="shared" si="165"/>
        <v>0</v>
      </c>
      <c r="P876" s="988">
        <f t="shared" si="165"/>
        <v>0</v>
      </c>
      <c r="Q876" s="988"/>
      <c r="R876" s="988">
        <f t="shared" si="166"/>
        <v>0</v>
      </c>
      <c r="S876" s="546">
        <f t="shared" si="159"/>
        <v>0</v>
      </c>
      <c r="T876" s="547">
        <f t="shared" si="160"/>
        <v>0</v>
      </c>
      <c r="U876" s="546">
        <f t="shared" si="161"/>
        <v>0</v>
      </c>
      <c r="V876" s="548"/>
      <c r="W876" s="350">
        <f t="shared" si="162"/>
        <v>0</v>
      </c>
      <c r="X876" s="285">
        <f t="shared" si="163"/>
        <v>0</v>
      </c>
    </row>
    <row r="877" spans="1:24" s="831" customFormat="1" ht="12.75" thickBot="1">
      <c r="A877" s="596" t="s">
        <v>1499</v>
      </c>
      <c r="B877" s="541" t="s">
        <v>161</v>
      </c>
      <c r="C877" s="541" t="s">
        <v>476</v>
      </c>
      <c r="D877" s="541" t="s">
        <v>208</v>
      </c>
      <c r="E877" s="549">
        <f t="shared" si="164"/>
        <v>71183680</v>
      </c>
      <c r="F877" s="988">
        <f t="shared" ref="F877:P886" si="167">ROUND(SUMIFS(F$1721:F$1901,$A$1721:$A$1901,$A877,$B$1721:$B$1901,$B877),0)</f>
        <v>1269812</v>
      </c>
      <c r="G877" s="988">
        <f t="shared" si="167"/>
        <v>4172787</v>
      </c>
      <c r="H877" s="988">
        <f t="shared" si="167"/>
        <v>2058632</v>
      </c>
      <c r="I877" s="988">
        <f t="shared" si="167"/>
        <v>335275</v>
      </c>
      <c r="J877" s="988">
        <f t="shared" si="167"/>
        <v>0</v>
      </c>
      <c r="K877" s="988">
        <f t="shared" si="167"/>
        <v>0</v>
      </c>
      <c r="L877" s="988">
        <f t="shared" si="167"/>
        <v>104803</v>
      </c>
      <c r="M877" s="988">
        <f t="shared" si="167"/>
        <v>139665</v>
      </c>
      <c r="N877" s="988">
        <f t="shared" si="167"/>
        <v>0</v>
      </c>
      <c r="O877" s="988">
        <f t="shared" si="167"/>
        <v>305390</v>
      </c>
      <c r="P877" s="988">
        <f t="shared" si="167"/>
        <v>0</v>
      </c>
      <c r="Q877" s="988"/>
      <c r="R877" s="988">
        <f t="shared" si="166"/>
        <v>8386364</v>
      </c>
      <c r="S877" s="546">
        <f t="shared" si="159"/>
        <v>6566694</v>
      </c>
      <c r="T877" s="547">
        <f t="shared" si="160"/>
        <v>0</v>
      </c>
      <c r="U877" s="546">
        <f t="shared" si="161"/>
        <v>305390</v>
      </c>
      <c r="V877" s="548"/>
      <c r="W877" s="350">
        <f t="shared" si="162"/>
        <v>8386364</v>
      </c>
      <c r="X877" s="285">
        <f t="shared" si="163"/>
        <v>0</v>
      </c>
    </row>
    <row r="878" spans="1:24" s="831" customFormat="1" ht="12.75" thickBot="1">
      <c r="A878" s="596" t="s">
        <v>1499</v>
      </c>
      <c r="B878" s="541" t="s">
        <v>162</v>
      </c>
      <c r="C878" s="541" t="s">
        <v>1391</v>
      </c>
      <c r="D878" s="561" t="s">
        <v>208</v>
      </c>
      <c r="E878" s="549">
        <f t="shared" si="164"/>
        <v>0</v>
      </c>
      <c r="F878" s="988">
        <f t="shared" si="167"/>
        <v>0</v>
      </c>
      <c r="G878" s="988">
        <f t="shared" si="167"/>
        <v>0</v>
      </c>
      <c r="H878" s="988">
        <f t="shared" si="167"/>
        <v>0</v>
      </c>
      <c r="I878" s="988">
        <f t="shared" si="167"/>
        <v>0</v>
      </c>
      <c r="J878" s="988">
        <f t="shared" si="167"/>
        <v>0</v>
      </c>
      <c r="K878" s="988">
        <f t="shared" si="167"/>
        <v>0</v>
      </c>
      <c r="L878" s="988">
        <f t="shared" si="167"/>
        <v>0</v>
      </c>
      <c r="M878" s="988">
        <f t="shared" si="167"/>
        <v>0</v>
      </c>
      <c r="N878" s="988">
        <f t="shared" si="167"/>
        <v>0</v>
      </c>
      <c r="O878" s="988">
        <f t="shared" si="167"/>
        <v>0</v>
      </c>
      <c r="P878" s="988">
        <f t="shared" si="167"/>
        <v>0</v>
      </c>
      <c r="Q878" s="988"/>
      <c r="R878" s="988">
        <f t="shared" si="166"/>
        <v>0</v>
      </c>
      <c r="S878" s="546">
        <f t="shared" si="159"/>
        <v>0</v>
      </c>
      <c r="T878" s="547">
        <f t="shared" si="160"/>
        <v>0</v>
      </c>
      <c r="U878" s="546">
        <f t="shared" si="161"/>
        <v>0</v>
      </c>
      <c r="V878" s="548"/>
      <c r="W878" s="350">
        <f t="shared" si="162"/>
        <v>0</v>
      </c>
      <c r="X878" s="285">
        <f t="shared" si="163"/>
        <v>0</v>
      </c>
    </row>
    <row r="879" spans="1:24" s="831" customFormat="1" ht="12.75" thickBot="1">
      <c r="A879" s="596" t="s">
        <v>1499</v>
      </c>
      <c r="B879" s="541" t="s">
        <v>163</v>
      </c>
      <c r="C879" s="541" t="s">
        <v>63</v>
      </c>
      <c r="D879" s="542" t="s">
        <v>17</v>
      </c>
      <c r="E879" s="549">
        <f t="shared" si="164"/>
        <v>104399600</v>
      </c>
      <c r="F879" s="988">
        <f t="shared" si="167"/>
        <v>649579</v>
      </c>
      <c r="G879" s="988">
        <f t="shared" si="167"/>
        <v>6119905</v>
      </c>
      <c r="H879" s="988">
        <f t="shared" si="167"/>
        <v>3019236</v>
      </c>
      <c r="I879" s="988">
        <f t="shared" si="167"/>
        <v>491722</v>
      </c>
      <c r="J879" s="988">
        <f t="shared" si="167"/>
        <v>0</v>
      </c>
      <c r="K879" s="988">
        <f t="shared" si="167"/>
        <v>0</v>
      </c>
      <c r="L879" s="988">
        <f t="shared" si="167"/>
        <v>153706</v>
      </c>
      <c r="M879" s="988">
        <f t="shared" si="167"/>
        <v>204835</v>
      </c>
      <c r="N879" s="988">
        <f t="shared" si="167"/>
        <v>447892</v>
      </c>
      <c r="O879" s="988">
        <f t="shared" si="167"/>
        <v>0</v>
      </c>
      <c r="P879" s="988">
        <f t="shared" si="167"/>
        <v>0</v>
      </c>
      <c r="Q879" s="988"/>
      <c r="R879" s="988">
        <f t="shared" si="166"/>
        <v>11086875</v>
      </c>
      <c r="S879" s="546">
        <f t="shared" si="159"/>
        <v>9630863</v>
      </c>
      <c r="T879" s="547">
        <f t="shared" si="160"/>
        <v>0</v>
      </c>
      <c r="U879" s="546">
        <f t="shared" si="161"/>
        <v>447892</v>
      </c>
      <c r="V879" s="548"/>
      <c r="W879" s="350">
        <f t="shared" si="162"/>
        <v>11086875</v>
      </c>
      <c r="X879" s="285">
        <f t="shared" si="163"/>
        <v>0</v>
      </c>
    </row>
    <row r="880" spans="1:24" s="831" customFormat="1" ht="12.75" thickBot="1">
      <c r="A880" s="596" t="s">
        <v>1499</v>
      </c>
      <c r="B880" s="541" t="s">
        <v>164</v>
      </c>
      <c r="C880" s="541" t="s">
        <v>188</v>
      </c>
      <c r="D880" s="555" t="s">
        <v>203</v>
      </c>
      <c r="E880" s="549">
        <f t="shared" si="164"/>
        <v>629052</v>
      </c>
      <c r="F880" s="988">
        <f t="shared" si="167"/>
        <v>7540</v>
      </c>
      <c r="G880" s="988">
        <f t="shared" si="167"/>
        <v>26628</v>
      </c>
      <c r="H880" s="988">
        <f t="shared" si="167"/>
        <v>18192</v>
      </c>
      <c r="I880" s="988">
        <f t="shared" si="167"/>
        <v>1982</v>
      </c>
      <c r="J880" s="988">
        <f t="shared" si="167"/>
        <v>0</v>
      </c>
      <c r="K880" s="988">
        <f t="shared" si="167"/>
        <v>0</v>
      </c>
      <c r="L880" s="988">
        <f t="shared" si="167"/>
        <v>926</v>
      </c>
      <c r="M880" s="988">
        <f t="shared" si="167"/>
        <v>1234</v>
      </c>
      <c r="N880" s="988">
        <f t="shared" si="167"/>
        <v>2699</v>
      </c>
      <c r="O880" s="988">
        <f t="shared" si="167"/>
        <v>0</v>
      </c>
      <c r="P880" s="988">
        <f t="shared" si="167"/>
        <v>0</v>
      </c>
      <c r="Q880" s="988"/>
      <c r="R880" s="988">
        <f t="shared" si="166"/>
        <v>59201</v>
      </c>
      <c r="S880" s="546">
        <f t="shared" si="159"/>
        <v>46802</v>
      </c>
      <c r="T880" s="547">
        <f t="shared" si="160"/>
        <v>0</v>
      </c>
      <c r="U880" s="546">
        <f t="shared" si="161"/>
        <v>2699</v>
      </c>
      <c r="V880" s="548"/>
      <c r="W880" s="350">
        <f t="shared" si="162"/>
        <v>59201</v>
      </c>
      <c r="X880" s="285">
        <f t="shared" si="163"/>
        <v>0</v>
      </c>
    </row>
    <row r="881" spans="1:24" s="831" customFormat="1" ht="12.75" thickBot="1">
      <c r="A881" s="596" t="s">
        <v>1499</v>
      </c>
      <c r="B881" s="541" t="s">
        <v>165</v>
      </c>
      <c r="C881" s="541" t="s">
        <v>189</v>
      </c>
      <c r="D881" s="554" t="s">
        <v>211</v>
      </c>
      <c r="E881" s="549">
        <f t="shared" si="164"/>
        <v>0</v>
      </c>
      <c r="F881" s="988">
        <f t="shared" si="167"/>
        <v>0</v>
      </c>
      <c r="G881" s="988">
        <f t="shared" si="167"/>
        <v>0</v>
      </c>
      <c r="H881" s="988">
        <f t="shared" si="167"/>
        <v>0</v>
      </c>
      <c r="I881" s="988">
        <f t="shared" si="167"/>
        <v>0</v>
      </c>
      <c r="J881" s="988">
        <f t="shared" si="167"/>
        <v>0</v>
      </c>
      <c r="K881" s="988">
        <f t="shared" si="167"/>
        <v>0</v>
      </c>
      <c r="L881" s="988">
        <f t="shared" si="167"/>
        <v>0</v>
      </c>
      <c r="M881" s="988">
        <f t="shared" si="167"/>
        <v>0</v>
      </c>
      <c r="N881" s="988">
        <f t="shared" si="167"/>
        <v>0</v>
      </c>
      <c r="O881" s="988">
        <f t="shared" si="167"/>
        <v>0</v>
      </c>
      <c r="P881" s="988">
        <f t="shared" si="167"/>
        <v>0</v>
      </c>
      <c r="Q881" s="988"/>
      <c r="R881" s="988">
        <f t="shared" si="166"/>
        <v>0</v>
      </c>
      <c r="S881" s="546">
        <f t="shared" si="159"/>
        <v>0</v>
      </c>
      <c r="T881" s="547">
        <f t="shared" si="160"/>
        <v>0</v>
      </c>
      <c r="U881" s="546">
        <f t="shared" si="161"/>
        <v>0</v>
      </c>
      <c r="V881" s="548"/>
      <c r="W881" s="350">
        <f t="shared" si="162"/>
        <v>0</v>
      </c>
      <c r="X881" s="285">
        <f t="shared" si="163"/>
        <v>0</v>
      </c>
    </row>
    <row r="882" spans="1:24" s="831" customFormat="1" ht="12.75" thickBot="1">
      <c r="A882" s="596" t="s">
        <v>1499</v>
      </c>
      <c r="B882" s="541" t="s">
        <v>166</v>
      </c>
      <c r="C882" s="541" t="s">
        <v>190</v>
      </c>
      <c r="D882" s="554" t="s">
        <v>212</v>
      </c>
      <c r="E882" s="549">
        <f t="shared" si="164"/>
        <v>0</v>
      </c>
      <c r="F882" s="988">
        <f t="shared" si="167"/>
        <v>0</v>
      </c>
      <c r="G882" s="988">
        <f t="shared" si="167"/>
        <v>0</v>
      </c>
      <c r="H882" s="988">
        <f t="shared" si="167"/>
        <v>0</v>
      </c>
      <c r="I882" s="988">
        <f t="shared" si="167"/>
        <v>0</v>
      </c>
      <c r="J882" s="988">
        <f t="shared" si="167"/>
        <v>0</v>
      </c>
      <c r="K882" s="988">
        <f t="shared" si="167"/>
        <v>0</v>
      </c>
      <c r="L882" s="988">
        <f t="shared" si="167"/>
        <v>0</v>
      </c>
      <c r="M882" s="988">
        <f t="shared" si="167"/>
        <v>0</v>
      </c>
      <c r="N882" s="988">
        <f t="shared" si="167"/>
        <v>0</v>
      </c>
      <c r="O882" s="988">
        <f t="shared" si="167"/>
        <v>0</v>
      </c>
      <c r="P882" s="988">
        <f t="shared" si="167"/>
        <v>0</v>
      </c>
      <c r="Q882" s="988"/>
      <c r="R882" s="988">
        <f t="shared" si="166"/>
        <v>0</v>
      </c>
      <c r="S882" s="546">
        <f t="shared" si="159"/>
        <v>0</v>
      </c>
      <c r="T882" s="547">
        <f t="shared" si="160"/>
        <v>0</v>
      </c>
      <c r="U882" s="546">
        <f t="shared" si="161"/>
        <v>0</v>
      </c>
      <c r="V882" s="548"/>
      <c r="W882" s="350">
        <f t="shared" si="162"/>
        <v>0</v>
      </c>
      <c r="X882" s="285">
        <f t="shared" si="163"/>
        <v>0</v>
      </c>
    </row>
    <row r="883" spans="1:24" s="831" customFormat="1" ht="12.75" thickBot="1">
      <c r="A883" s="596" t="s">
        <v>1499</v>
      </c>
      <c r="B883" s="541" t="s">
        <v>167</v>
      </c>
      <c r="C883" s="541" t="s">
        <v>191</v>
      </c>
      <c r="D883" s="554" t="s">
        <v>213</v>
      </c>
      <c r="E883" s="549">
        <f t="shared" si="164"/>
        <v>11659181</v>
      </c>
      <c r="F883" s="988">
        <f t="shared" si="167"/>
        <v>9170</v>
      </c>
      <c r="G883" s="988">
        <f t="shared" si="167"/>
        <v>493533</v>
      </c>
      <c r="H883" s="988">
        <f t="shared" si="167"/>
        <v>337184</v>
      </c>
      <c r="I883" s="988">
        <f t="shared" si="167"/>
        <v>36726</v>
      </c>
      <c r="J883" s="988">
        <f t="shared" si="167"/>
        <v>0</v>
      </c>
      <c r="K883" s="988">
        <f t="shared" si="167"/>
        <v>0</v>
      </c>
      <c r="L883" s="988">
        <f t="shared" si="167"/>
        <v>17166</v>
      </c>
      <c r="M883" s="988">
        <f t="shared" si="167"/>
        <v>22876</v>
      </c>
      <c r="N883" s="988">
        <f t="shared" si="167"/>
        <v>50020</v>
      </c>
      <c r="O883" s="988">
        <f t="shared" si="167"/>
        <v>0</v>
      </c>
      <c r="P883" s="988">
        <f t="shared" si="167"/>
        <v>0</v>
      </c>
      <c r="Q883" s="988"/>
      <c r="R883" s="988">
        <f t="shared" si="166"/>
        <v>966674</v>
      </c>
      <c r="S883" s="546">
        <f t="shared" si="159"/>
        <v>867443</v>
      </c>
      <c r="T883" s="547">
        <f t="shared" si="160"/>
        <v>0</v>
      </c>
      <c r="U883" s="546">
        <f t="shared" si="161"/>
        <v>50020</v>
      </c>
      <c r="V883" s="548"/>
      <c r="W883" s="350">
        <f t="shared" si="162"/>
        <v>966675</v>
      </c>
      <c r="X883" s="285">
        <f t="shared" si="163"/>
        <v>1</v>
      </c>
    </row>
    <row r="884" spans="1:24" s="831" customFormat="1" ht="12.75" thickBot="1">
      <c r="A884" s="596" t="s">
        <v>1499</v>
      </c>
      <c r="B884" s="541" t="s">
        <v>683</v>
      </c>
      <c r="C884" s="541" t="s">
        <v>686</v>
      </c>
      <c r="D884" s="554" t="s">
        <v>723</v>
      </c>
      <c r="E884" s="549">
        <f t="shared" si="164"/>
        <v>0</v>
      </c>
      <c r="F884" s="988">
        <f t="shared" si="167"/>
        <v>0</v>
      </c>
      <c r="G884" s="988">
        <f t="shared" si="167"/>
        <v>0</v>
      </c>
      <c r="H884" s="988">
        <f t="shared" si="167"/>
        <v>0</v>
      </c>
      <c r="I884" s="988">
        <f t="shared" si="167"/>
        <v>0</v>
      </c>
      <c r="J884" s="988">
        <f t="shared" si="167"/>
        <v>0</v>
      </c>
      <c r="K884" s="988">
        <f t="shared" si="167"/>
        <v>0</v>
      </c>
      <c r="L884" s="988">
        <f t="shared" si="167"/>
        <v>0</v>
      </c>
      <c r="M884" s="988">
        <f t="shared" si="167"/>
        <v>0</v>
      </c>
      <c r="N884" s="988">
        <f t="shared" si="167"/>
        <v>0</v>
      </c>
      <c r="O884" s="988">
        <f t="shared" si="167"/>
        <v>0</v>
      </c>
      <c r="P884" s="988">
        <f t="shared" si="167"/>
        <v>0</v>
      </c>
      <c r="Q884" s="988"/>
      <c r="R884" s="988">
        <f t="shared" si="166"/>
        <v>0</v>
      </c>
      <c r="S884" s="546">
        <f t="shared" si="159"/>
        <v>0</v>
      </c>
      <c r="T884" s="547">
        <f t="shared" si="160"/>
        <v>0</v>
      </c>
      <c r="U884" s="546">
        <f t="shared" si="161"/>
        <v>0</v>
      </c>
      <c r="V884" s="548"/>
      <c r="W884" s="350">
        <f t="shared" si="162"/>
        <v>0</v>
      </c>
      <c r="X884" s="285">
        <f t="shared" si="163"/>
        <v>0</v>
      </c>
    </row>
    <row r="885" spans="1:24" s="831" customFormat="1" ht="12.75" thickBot="1">
      <c r="A885" s="596" t="s">
        <v>1499</v>
      </c>
      <c r="B885" s="541" t="s">
        <v>684</v>
      </c>
      <c r="C885" s="541" t="s">
        <v>687</v>
      </c>
      <c r="D885" s="554" t="s">
        <v>707</v>
      </c>
      <c r="E885" s="549">
        <f t="shared" si="164"/>
        <v>0</v>
      </c>
      <c r="F885" s="988">
        <f t="shared" si="167"/>
        <v>0</v>
      </c>
      <c r="G885" s="988">
        <f t="shared" si="167"/>
        <v>0</v>
      </c>
      <c r="H885" s="988">
        <f t="shared" si="167"/>
        <v>0</v>
      </c>
      <c r="I885" s="988">
        <f t="shared" si="167"/>
        <v>0</v>
      </c>
      <c r="J885" s="988">
        <f t="shared" si="167"/>
        <v>0</v>
      </c>
      <c r="K885" s="988">
        <f t="shared" si="167"/>
        <v>0</v>
      </c>
      <c r="L885" s="988">
        <f t="shared" si="167"/>
        <v>0</v>
      </c>
      <c r="M885" s="988">
        <f t="shared" si="167"/>
        <v>0</v>
      </c>
      <c r="N885" s="988">
        <f t="shared" si="167"/>
        <v>0</v>
      </c>
      <c r="O885" s="988">
        <f t="shared" si="167"/>
        <v>0</v>
      </c>
      <c r="P885" s="988">
        <f t="shared" si="167"/>
        <v>0</v>
      </c>
      <c r="Q885" s="988"/>
      <c r="R885" s="988">
        <f t="shared" si="166"/>
        <v>0</v>
      </c>
      <c r="S885" s="546">
        <f t="shared" si="159"/>
        <v>0</v>
      </c>
      <c r="T885" s="547">
        <f t="shared" si="160"/>
        <v>0</v>
      </c>
      <c r="U885" s="546">
        <f t="shared" si="161"/>
        <v>0</v>
      </c>
      <c r="V885" s="548"/>
      <c r="W885" s="350">
        <f t="shared" si="162"/>
        <v>0</v>
      </c>
      <c r="X885" s="285">
        <f t="shared" si="163"/>
        <v>0</v>
      </c>
    </row>
    <row r="886" spans="1:24" s="831" customFormat="1" ht="12.75" thickBot="1">
      <c r="A886" s="596" t="s">
        <v>1499</v>
      </c>
      <c r="B886" s="541" t="s">
        <v>685</v>
      </c>
      <c r="C886" s="541" t="s">
        <v>688</v>
      </c>
      <c r="D886" s="542" t="s">
        <v>1145</v>
      </c>
      <c r="E886" s="549">
        <f t="shared" si="164"/>
        <v>0</v>
      </c>
      <c r="F886" s="988">
        <f t="shared" si="167"/>
        <v>0</v>
      </c>
      <c r="G886" s="988">
        <f t="shared" si="167"/>
        <v>0</v>
      </c>
      <c r="H886" s="988">
        <f t="shared" si="167"/>
        <v>0</v>
      </c>
      <c r="I886" s="988">
        <f t="shared" si="167"/>
        <v>0</v>
      </c>
      <c r="J886" s="988">
        <f t="shared" si="167"/>
        <v>0</v>
      </c>
      <c r="K886" s="988">
        <f t="shared" si="167"/>
        <v>0</v>
      </c>
      <c r="L886" s="988">
        <f t="shared" si="167"/>
        <v>0</v>
      </c>
      <c r="M886" s="988">
        <f t="shared" si="167"/>
        <v>0</v>
      </c>
      <c r="N886" s="988">
        <f t="shared" si="167"/>
        <v>0</v>
      </c>
      <c r="O886" s="988">
        <f t="shared" si="167"/>
        <v>0</v>
      </c>
      <c r="P886" s="988">
        <f t="shared" si="167"/>
        <v>0</v>
      </c>
      <c r="Q886" s="988"/>
      <c r="R886" s="988">
        <f t="shared" si="166"/>
        <v>0</v>
      </c>
      <c r="S886" s="546">
        <f t="shared" si="159"/>
        <v>0</v>
      </c>
      <c r="T886" s="547">
        <f t="shared" si="160"/>
        <v>0</v>
      </c>
      <c r="U886" s="546">
        <f t="shared" si="161"/>
        <v>0</v>
      </c>
      <c r="V886" s="548"/>
      <c r="W886" s="350">
        <f t="shared" si="162"/>
        <v>0</v>
      </c>
      <c r="X886" s="285">
        <f t="shared" si="163"/>
        <v>0</v>
      </c>
    </row>
    <row r="887" spans="1:24" s="831" customFormat="1" ht="12.75" thickBot="1">
      <c r="A887" s="596" t="s">
        <v>1499</v>
      </c>
      <c r="B887" s="541" t="s">
        <v>217</v>
      </c>
      <c r="C887" s="541" t="s">
        <v>622</v>
      </c>
      <c r="D887" s="542" t="s">
        <v>19</v>
      </c>
      <c r="E887" s="549">
        <f t="shared" si="164"/>
        <v>0</v>
      </c>
      <c r="F887" s="988">
        <f t="shared" ref="F887:P896" si="168">ROUND(SUMIFS(F$1721:F$1901,$A$1721:$A$1901,$A887,$B$1721:$B$1901,$B887),0)</f>
        <v>0</v>
      </c>
      <c r="G887" s="988">
        <f t="shared" si="168"/>
        <v>0</v>
      </c>
      <c r="H887" s="988">
        <f t="shared" si="168"/>
        <v>0</v>
      </c>
      <c r="I887" s="988">
        <f t="shared" si="168"/>
        <v>0</v>
      </c>
      <c r="J887" s="988">
        <f t="shared" si="168"/>
        <v>0</v>
      </c>
      <c r="K887" s="988">
        <f t="shared" si="168"/>
        <v>0</v>
      </c>
      <c r="L887" s="988">
        <f t="shared" si="168"/>
        <v>0</v>
      </c>
      <c r="M887" s="988">
        <f t="shared" si="168"/>
        <v>0</v>
      </c>
      <c r="N887" s="988">
        <f t="shared" si="168"/>
        <v>0</v>
      </c>
      <c r="O887" s="988">
        <f t="shared" si="168"/>
        <v>0</v>
      </c>
      <c r="P887" s="988">
        <f t="shared" si="168"/>
        <v>0</v>
      </c>
      <c r="Q887" s="988"/>
      <c r="R887" s="988">
        <f t="shared" si="166"/>
        <v>0</v>
      </c>
      <c r="S887" s="546">
        <f t="shared" si="159"/>
        <v>0</v>
      </c>
      <c r="T887" s="547">
        <f t="shared" si="160"/>
        <v>0</v>
      </c>
      <c r="U887" s="546">
        <f t="shared" si="161"/>
        <v>0</v>
      </c>
      <c r="V887" s="548"/>
      <c r="W887" s="350">
        <f t="shared" si="162"/>
        <v>0</v>
      </c>
      <c r="X887" s="285">
        <f t="shared" si="163"/>
        <v>0</v>
      </c>
    </row>
    <row r="888" spans="1:24" s="831" customFormat="1" ht="12.75" thickBot="1">
      <c r="A888" s="596" t="s">
        <v>1499</v>
      </c>
      <c r="B888" s="541" t="s">
        <v>216</v>
      </c>
      <c r="C888" s="541" t="s">
        <v>622</v>
      </c>
      <c r="D888" s="542" t="s">
        <v>19</v>
      </c>
      <c r="E888" s="549">
        <f t="shared" si="164"/>
        <v>0</v>
      </c>
      <c r="F888" s="988">
        <f t="shared" si="168"/>
        <v>0</v>
      </c>
      <c r="G888" s="988">
        <f t="shared" si="168"/>
        <v>0</v>
      </c>
      <c r="H888" s="988">
        <f t="shared" si="168"/>
        <v>0</v>
      </c>
      <c r="I888" s="988">
        <f t="shared" si="168"/>
        <v>0</v>
      </c>
      <c r="J888" s="988">
        <f t="shared" si="168"/>
        <v>0</v>
      </c>
      <c r="K888" s="988">
        <f t="shared" si="168"/>
        <v>0</v>
      </c>
      <c r="L888" s="988">
        <f t="shared" si="168"/>
        <v>0</v>
      </c>
      <c r="M888" s="988">
        <f t="shared" si="168"/>
        <v>0</v>
      </c>
      <c r="N888" s="988">
        <f t="shared" si="168"/>
        <v>0</v>
      </c>
      <c r="O888" s="988">
        <f t="shared" si="168"/>
        <v>0</v>
      </c>
      <c r="P888" s="988">
        <f t="shared" si="168"/>
        <v>0</v>
      </c>
      <c r="Q888" s="988"/>
      <c r="R888" s="988">
        <f t="shared" si="166"/>
        <v>0</v>
      </c>
      <c r="S888" s="546">
        <f t="shared" si="159"/>
        <v>0</v>
      </c>
      <c r="T888" s="547">
        <f t="shared" si="160"/>
        <v>0</v>
      </c>
      <c r="U888" s="546">
        <f t="shared" si="161"/>
        <v>0</v>
      </c>
      <c r="V888" s="548"/>
      <c r="W888" s="350">
        <f t="shared" si="162"/>
        <v>0</v>
      </c>
      <c r="X888" s="285">
        <f t="shared" si="163"/>
        <v>0</v>
      </c>
    </row>
    <row r="889" spans="1:24" s="831" customFormat="1" ht="12.75" thickBot="1">
      <c r="A889" s="596" t="s">
        <v>1499</v>
      </c>
      <c r="B889" s="541" t="s">
        <v>168</v>
      </c>
      <c r="C889" s="541" t="s">
        <v>58</v>
      </c>
      <c r="D889" s="542" t="s">
        <v>20</v>
      </c>
      <c r="E889" s="549">
        <f t="shared" si="164"/>
        <v>0</v>
      </c>
      <c r="F889" s="988">
        <f t="shared" si="168"/>
        <v>0</v>
      </c>
      <c r="G889" s="988">
        <f t="shared" si="168"/>
        <v>0</v>
      </c>
      <c r="H889" s="988">
        <f t="shared" si="168"/>
        <v>0</v>
      </c>
      <c r="I889" s="988">
        <f t="shared" si="168"/>
        <v>0</v>
      </c>
      <c r="J889" s="988">
        <f t="shared" si="168"/>
        <v>0</v>
      </c>
      <c r="K889" s="988">
        <f t="shared" si="168"/>
        <v>0</v>
      </c>
      <c r="L889" s="988">
        <f t="shared" si="168"/>
        <v>0</v>
      </c>
      <c r="M889" s="988">
        <f t="shared" si="168"/>
        <v>0</v>
      </c>
      <c r="N889" s="988">
        <f t="shared" si="168"/>
        <v>0</v>
      </c>
      <c r="O889" s="988">
        <f t="shared" si="168"/>
        <v>0</v>
      </c>
      <c r="P889" s="988">
        <f t="shared" si="168"/>
        <v>0</v>
      </c>
      <c r="Q889" s="988"/>
      <c r="R889" s="988">
        <f t="shared" si="166"/>
        <v>0</v>
      </c>
      <c r="S889" s="546">
        <f t="shared" si="159"/>
        <v>0</v>
      </c>
      <c r="T889" s="547">
        <f t="shared" si="160"/>
        <v>0</v>
      </c>
      <c r="U889" s="546">
        <f t="shared" si="161"/>
        <v>0</v>
      </c>
      <c r="V889" s="548"/>
      <c r="W889" s="350">
        <f t="shared" si="162"/>
        <v>0</v>
      </c>
      <c r="X889" s="285">
        <f t="shared" si="163"/>
        <v>0</v>
      </c>
    </row>
    <row r="890" spans="1:24" s="831" customFormat="1" ht="12.75" thickBot="1">
      <c r="A890" s="596" t="s">
        <v>1499</v>
      </c>
      <c r="B890" s="541" t="s">
        <v>623</v>
      </c>
      <c r="C890" s="541" t="s">
        <v>643</v>
      </c>
      <c r="D890" s="542" t="s">
        <v>20</v>
      </c>
      <c r="E890" s="549">
        <f t="shared" si="164"/>
        <v>0</v>
      </c>
      <c r="F890" s="988">
        <f t="shared" si="168"/>
        <v>0</v>
      </c>
      <c r="G890" s="988">
        <f t="shared" si="168"/>
        <v>0</v>
      </c>
      <c r="H890" s="988">
        <f t="shared" si="168"/>
        <v>0</v>
      </c>
      <c r="I890" s="988">
        <f t="shared" si="168"/>
        <v>0</v>
      </c>
      <c r="J890" s="988">
        <f t="shared" si="168"/>
        <v>0</v>
      </c>
      <c r="K890" s="988">
        <f t="shared" si="168"/>
        <v>0</v>
      </c>
      <c r="L890" s="988">
        <f t="shared" si="168"/>
        <v>0</v>
      </c>
      <c r="M890" s="988">
        <f t="shared" si="168"/>
        <v>0</v>
      </c>
      <c r="N890" s="988">
        <f t="shared" si="168"/>
        <v>0</v>
      </c>
      <c r="O890" s="988">
        <f t="shared" si="168"/>
        <v>0</v>
      </c>
      <c r="P890" s="988">
        <f t="shared" si="168"/>
        <v>0</v>
      </c>
      <c r="Q890" s="988"/>
      <c r="R890" s="988">
        <f t="shared" si="166"/>
        <v>0</v>
      </c>
      <c r="S890" s="546">
        <f t="shared" si="159"/>
        <v>0</v>
      </c>
      <c r="T890" s="547">
        <f t="shared" si="160"/>
        <v>0</v>
      </c>
      <c r="U890" s="546">
        <f t="shared" si="161"/>
        <v>0</v>
      </c>
      <c r="V890" s="548"/>
      <c r="W890" s="350">
        <f t="shared" si="162"/>
        <v>0</v>
      </c>
      <c r="X890" s="285">
        <f t="shared" si="163"/>
        <v>0</v>
      </c>
    </row>
    <row r="891" spans="1:24" s="831" customFormat="1" ht="12.75" thickBot="1">
      <c r="A891" s="596" t="s">
        <v>1499</v>
      </c>
      <c r="B891" s="541" t="s">
        <v>691</v>
      </c>
      <c r="C891" s="541" t="s">
        <v>689</v>
      </c>
      <c r="D891" s="542" t="s">
        <v>690</v>
      </c>
      <c r="E891" s="549">
        <f t="shared" si="164"/>
        <v>0</v>
      </c>
      <c r="F891" s="988">
        <f t="shared" si="168"/>
        <v>0</v>
      </c>
      <c r="G891" s="988">
        <f t="shared" si="168"/>
        <v>0</v>
      </c>
      <c r="H891" s="988">
        <f t="shared" si="168"/>
        <v>0</v>
      </c>
      <c r="I891" s="988">
        <f t="shared" si="168"/>
        <v>0</v>
      </c>
      <c r="J891" s="988">
        <f t="shared" si="168"/>
        <v>0</v>
      </c>
      <c r="K891" s="988">
        <f t="shared" si="168"/>
        <v>0</v>
      </c>
      <c r="L891" s="988">
        <f t="shared" si="168"/>
        <v>0</v>
      </c>
      <c r="M891" s="988">
        <f t="shared" si="168"/>
        <v>0</v>
      </c>
      <c r="N891" s="988">
        <f t="shared" si="168"/>
        <v>0</v>
      </c>
      <c r="O891" s="988">
        <f t="shared" si="168"/>
        <v>0</v>
      </c>
      <c r="P891" s="988">
        <f t="shared" si="168"/>
        <v>0</v>
      </c>
      <c r="Q891" s="988"/>
      <c r="R891" s="988">
        <f t="shared" si="166"/>
        <v>0</v>
      </c>
      <c r="S891" s="546">
        <f t="shared" si="159"/>
        <v>0</v>
      </c>
      <c r="T891" s="547">
        <f t="shared" si="160"/>
        <v>0</v>
      </c>
      <c r="U891" s="546">
        <f t="shared" si="161"/>
        <v>0</v>
      </c>
      <c r="V891" s="548"/>
      <c r="W891" s="350">
        <f t="shared" si="162"/>
        <v>0</v>
      </c>
      <c r="X891" s="285">
        <f t="shared" si="163"/>
        <v>0</v>
      </c>
    </row>
    <row r="892" spans="1:24" s="831" customFormat="1" ht="12.75" thickBot="1">
      <c r="A892" s="596" t="s">
        <v>1499</v>
      </c>
      <c r="B892" s="541" t="s">
        <v>1147</v>
      </c>
      <c r="C892" s="541" t="s">
        <v>1148</v>
      </c>
      <c r="D892" s="542" t="s">
        <v>1156</v>
      </c>
      <c r="E892" s="549">
        <f t="shared" si="164"/>
        <v>0</v>
      </c>
      <c r="F892" s="988">
        <f t="shared" si="168"/>
        <v>0</v>
      </c>
      <c r="G892" s="988">
        <f t="shared" si="168"/>
        <v>0</v>
      </c>
      <c r="H892" s="988">
        <f t="shared" si="168"/>
        <v>0</v>
      </c>
      <c r="I892" s="988">
        <f t="shared" si="168"/>
        <v>0</v>
      </c>
      <c r="J892" s="988">
        <f t="shared" si="168"/>
        <v>0</v>
      </c>
      <c r="K892" s="988">
        <f t="shared" si="168"/>
        <v>0</v>
      </c>
      <c r="L892" s="988">
        <f t="shared" si="168"/>
        <v>0</v>
      </c>
      <c r="M892" s="988">
        <f t="shared" si="168"/>
        <v>0</v>
      </c>
      <c r="N892" s="988">
        <f t="shared" si="168"/>
        <v>0</v>
      </c>
      <c r="O892" s="988">
        <f t="shared" si="168"/>
        <v>0</v>
      </c>
      <c r="P892" s="988">
        <f t="shared" si="168"/>
        <v>0</v>
      </c>
      <c r="Q892" s="988"/>
      <c r="R892" s="988">
        <f t="shared" si="166"/>
        <v>0</v>
      </c>
      <c r="S892" s="546">
        <f t="shared" si="159"/>
        <v>0</v>
      </c>
      <c r="T892" s="547">
        <f t="shared" si="160"/>
        <v>0</v>
      </c>
      <c r="U892" s="546">
        <f t="shared" si="161"/>
        <v>0</v>
      </c>
      <c r="V892" s="548"/>
      <c r="W892" s="350">
        <f t="shared" si="162"/>
        <v>0</v>
      </c>
      <c r="X892" s="285">
        <f t="shared" si="163"/>
        <v>0</v>
      </c>
    </row>
    <row r="893" spans="1:24" s="831" customFormat="1" ht="12.75" thickBot="1">
      <c r="A893" s="596" t="s">
        <v>1499</v>
      </c>
      <c r="B893" s="541" t="s">
        <v>169</v>
      </c>
      <c r="C893" s="541" t="s">
        <v>1392</v>
      </c>
      <c r="D893" s="542" t="s">
        <v>208</v>
      </c>
      <c r="E893" s="549">
        <f t="shared" si="164"/>
        <v>0</v>
      </c>
      <c r="F893" s="988">
        <f t="shared" si="168"/>
        <v>0</v>
      </c>
      <c r="G893" s="988">
        <f t="shared" si="168"/>
        <v>0</v>
      </c>
      <c r="H893" s="988">
        <f t="shared" si="168"/>
        <v>0</v>
      </c>
      <c r="I893" s="988">
        <f t="shared" si="168"/>
        <v>0</v>
      </c>
      <c r="J893" s="988">
        <f t="shared" si="168"/>
        <v>0</v>
      </c>
      <c r="K893" s="988">
        <f t="shared" si="168"/>
        <v>0</v>
      </c>
      <c r="L893" s="988">
        <f t="shared" si="168"/>
        <v>0</v>
      </c>
      <c r="M893" s="988">
        <f t="shared" si="168"/>
        <v>0</v>
      </c>
      <c r="N893" s="988">
        <f t="shared" si="168"/>
        <v>0</v>
      </c>
      <c r="O893" s="988">
        <f t="shared" si="168"/>
        <v>0</v>
      </c>
      <c r="P893" s="988">
        <f t="shared" si="168"/>
        <v>0</v>
      </c>
      <c r="Q893" s="988"/>
      <c r="R893" s="988">
        <f t="shared" si="166"/>
        <v>0</v>
      </c>
      <c r="S893" s="546">
        <f t="shared" si="159"/>
        <v>0</v>
      </c>
      <c r="T893" s="547">
        <f t="shared" si="160"/>
        <v>0</v>
      </c>
      <c r="U893" s="546">
        <f t="shared" si="161"/>
        <v>0</v>
      </c>
      <c r="V893" s="548"/>
      <c r="W893" s="350">
        <f t="shared" si="162"/>
        <v>0</v>
      </c>
      <c r="X893" s="285">
        <f t="shared" si="163"/>
        <v>0</v>
      </c>
    </row>
    <row r="894" spans="1:24" s="831" customFormat="1" ht="12.75" thickBot="1">
      <c r="A894" s="596" t="s">
        <v>1499</v>
      </c>
      <c r="B894" s="541" t="s">
        <v>170</v>
      </c>
      <c r="C894" s="541" t="s">
        <v>1393</v>
      </c>
      <c r="D894" s="542" t="s">
        <v>17</v>
      </c>
      <c r="E894" s="549">
        <f t="shared" si="164"/>
        <v>0</v>
      </c>
      <c r="F894" s="988">
        <f t="shared" si="168"/>
        <v>0</v>
      </c>
      <c r="G894" s="988">
        <f t="shared" si="168"/>
        <v>0</v>
      </c>
      <c r="H894" s="988">
        <f t="shared" si="168"/>
        <v>0</v>
      </c>
      <c r="I894" s="988">
        <f t="shared" si="168"/>
        <v>0</v>
      </c>
      <c r="J894" s="988">
        <f t="shared" si="168"/>
        <v>0</v>
      </c>
      <c r="K894" s="988">
        <f t="shared" si="168"/>
        <v>0</v>
      </c>
      <c r="L894" s="988">
        <f t="shared" si="168"/>
        <v>0</v>
      </c>
      <c r="M894" s="988">
        <f t="shared" si="168"/>
        <v>0</v>
      </c>
      <c r="N894" s="988">
        <f t="shared" si="168"/>
        <v>0</v>
      </c>
      <c r="O894" s="988">
        <f t="shared" si="168"/>
        <v>0</v>
      </c>
      <c r="P894" s="988">
        <f t="shared" si="168"/>
        <v>0</v>
      </c>
      <c r="Q894" s="988"/>
      <c r="R894" s="988">
        <f t="shared" si="166"/>
        <v>0</v>
      </c>
      <c r="S894" s="546">
        <f t="shared" si="159"/>
        <v>0</v>
      </c>
      <c r="T894" s="547">
        <f t="shared" si="160"/>
        <v>0</v>
      </c>
      <c r="U894" s="546">
        <f t="shared" si="161"/>
        <v>0</v>
      </c>
      <c r="V894" s="548"/>
      <c r="W894" s="350">
        <f t="shared" si="162"/>
        <v>0</v>
      </c>
      <c r="X894" s="285">
        <f t="shared" si="163"/>
        <v>0</v>
      </c>
    </row>
    <row r="895" spans="1:24" s="831" customFormat="1" ht="12.75" thickBot="1">
      <c r="A895" s="596" t="s">
        <v>1499</v>
      </c>
      <c r="B895" s="541" t="s">
        <v>713</v>
      </c>
      <c r="C895" s="541" t="s">
        <v>711</v>
      </c>
      <c r="D895" s="542" t="s">
        <v>712</v>
      </c>
      <c r="E895" s="549">
        <f t="shared" si="164"/>
        <v>0</v>
      </c>
      <c r="F895" s="988">
        <f t="shared" si="168"/>
        <v>0</v>
      </c>
      <c r="G895" s="988">
        <f t="shared" si="168"/>
        <v>0</v>
      </c>
      <c r="H895" s="988">
        <f t="shared" si="168"/>
        <v>0</v>
      </c>
      <c r="I895" s="988">
        <f t="shared" si="168"/>
        <v>0</v>
      </c>
      <c r="J895" s="988">
        <f t="shared" si="168"/>
        <v>0</v>
      </c>
      <c r="K895" s="988">
        <f t="shared" si="168"/>
        <v>0</v>
      </c>
      <c r="L895" s="988">
        <f t="shared" si="168"/>
        <v>0</v>
      </c>
      <c r="M895" s="988">
        <f t="shared" si="168"/>
        <v>0</v>
      </c>
      <c r="N895" s="988">
        <f t="shared" si="168"/>
        <v>0</v>
      </c>
      <c r="O895" s="988">
        <f t="shared" si="168"/>
        <v>0</v>
      </c>
      <c r="P895" s="988">
        <f t="shared" si="168"/>
        <v>0</v>
      </c>
      <c r="Q895" s="988"/>
      <c r="R895" s="988">
        <f t="shared" si="166"/>
        <v>0</v>
      </c>
      <c r="S895" s="546">
        <f t="shared" si="159"/>
        <v>0</v>
      </c>
      <c r="T895" s="547">
        <f t="shared" si="160"/>
        <v>0</v>
      </c>
      <c r="U895" s="546">
        <f t="shared" si="161"/>
        <v>0</v>
      </c>
      <c r="V895" s="548"/>
      <c r="W895" s="350">
        <f t="shared" si="162"/>
        <v>0</v>
      </c>
      <c r="X895" s="285">
        <f t="shared" si="163"/>
        <v>0</v>
      </c>
    </row>
    <row r="896" spans="1:24" s="831" customFormat="1" ht="12.75" thickBot="1">
      <c r="A896" s="596" t="s">
        <v>1499</v>
      </c>
      <c r="B896" s="541" t="s">
        <v>171</v>
      </c>
      <c r="C896" s="541" t="s">
        <v>441</v>
      </c>
      <c r="D896" s="542" t="s">
        <v>72</v>
      </c>
      <c r="E896" s="549">
        <f t="shared" si="164"/>
        <v>0</v>
      </c>
      <c r="F896" s="988">
        <f t="shared" si="168"/>
        <v>0</v>
      </c>
      <c r="G896" s="988">
        <f t="shared" si="168"/>
        <v>0</v>
      </c>
      <c r="H896" s="988">
        <f t="shared" si="168"/>
        <v>0</v>
      </c>
      <c r="I896" s="988">
        <f t="shared" si="168"/>
        <v>0</v>
      </c>
      <c r="J896" s="988">
        <f t="shared" si="168"/>
        <v>0</v>
      </c>
      <c r="K896" s="988">
        <f t="shared" si="168"/>
        <v>0</v>
      </c>
      <c r="L896" s="988">
        <f t="shared" si="168"/>
        <v>0</v>
      </c>
      <c r="M896" s="988">
        <f t="shared" si="168"/>
        <v>0</v>
      </c>
      <c r="N896" s="988">
        <f t="shared" si="168"/>
        <v>0</v>
      </c>
      <c r="O896" s="988">
        <f t="shared" si="168"/>
        <v>0</v>
      </c>
      <c r="P896" s="988">
        <f t="shared" si="168"/>
        <v>-989829</v>
      </c>
      <c r="Q896" s="988"/>
      <c r="R896" s="988">
        <f t="shared" si="166"/>
        <v>-989829</v>
      </c>
      <c r="S896" s="546">
        <f t="shared" si="159"/>
        <v>0</v>
      </c>
      <c r="T896" s="547">
        <f t="shared" si="160"/>
        <v>0</v>
      </c>
      <c r="U896" s="546">
        <f t="shared" si="161"/>
        <v>0</v>
      </c>
      <c r="V896" s="548"/>
      <c r="W896" s="350">
        <f t="shared" si="162"/>
        <v>-989829</v>
      </c>
      <c r="X896" s="285">
        <f t="shared" si="163"/>
        <v>0</v>
      </c>
    </row>
    <row r="897" spans="1:24" s="831" customFormat="1" ht="12.75" thickBot="1">
      <c r="A897" s="596" t="s">
        <v>1499</v>
      </c>
      <c r="B897" s="541" t="s">
        <v>172</v>
      </c>
      <c r="C897" s="541" t="s">
        <v>442</v>
      </c>
      <c r="D897" s="542" t="s">
        <v>72</v>
      </c>
      <c r="E897" s="549">
        <f t="shared" si="164"/>
        <v>0</v>
      </c>
      <c r="F897" s="988">
        <f t="shared" ref="F897:P906" si="169">ROUND(SUMIFS(F$1721:F$1901,$A$1721:$A$1901,$A897,$B$1721:$B$1901,$B897),0)</f>
        <v>0</v>
      </c>
      <c r="G897" s="988">
        <f t="shared" si="169"/>
        <v>0</v>
      </c>
      <c r="H897" s="988">
        <f t="shared" si="169"/>
        <v>0</v>
      </c>
      <c r="I897" s="988">
        <f t="shared" si="169"/>
        <v>0</v>
      </c>
      <c r="J897" s="988">
        <f t="shared" si="169"/>
        <v>0</v>
      </c>
      <c r="K897" s="988">
        <f t="shared" si="169"/>
        <v>0</v>
      </c>
      <c r="L897" s="988">
        <f t="shared" si="169"/>
        <v>0</v>
      </c>
      <c r="M897" s="988">
        <f t="shared" si="169"/>
        <v>0</v>
      </c>
      <c r="N897" s="988">
        <f t="shared" si="169"/>
        <v>0</v>
      </c>
      <c r="O897" s="988">
        <f t="shared" si="169"/>
        <v>0</v>
      </c>
      <c r="P897" s="988">
        <f t="shared" si="169"/>
        <v>0</v>
      </c>
      <c r="Q897" s="988"/>
      <c r="R897" s="988">
        <f t="shared" si="166"/>
        <v>0</v>
      </c>
      <c r="S897" s="546">
        <f t="shared" si="159"/>
        <v>0</v>
      </c>
      <c r="T897" s="547">
        <f t="shared" si="160"/>
        <v>0</v>
      </c>
      <c r="U897" s="546">
        <f t="shared" si="161"/>
        <v>0</v>
      </c>
      <c r="V897" s="548"/>
      <c r="W897" s="350">
        <f t="shared" si="162"/>
        <v>0</v>
      </c>
      <c r="X897" s="285">
        <f t="shared" si="163"/>
        <v>0</v>
      </c>
    </row>
    <row r="898" spans="1:24" s="831" customFormat="1" ht="12.75" thickBot="1">
      <c r="A898" s="596" t="s">
        <v>1499</v>
      </c>
      <c r="B898" s="541" t="s">
        <v>1397</v>
      </c>
      <c r="C898" s="541" t="s">
        <v>1398</v>
      </c>
      <c r="D898" s="542" t="s">
        <v>72</v>
      </c>
      <c r="E898" s="549">
        <f t="shared" si="164"/>
        <v>0</v>
      </c>
      <c r="F898" s="988">
        <f t="shared" si="169"/>
        <v>0</v>
      </c>
      <c r="G898" s="988">
        <f t="shared" si="169"/>
        <v>0</v>
      </c>
      <c r="H898" s="988">
        <f t="shared" si="169"/>
        <v>0</v>
      </c>
      <c r="I898" s="988">
        <f t="shared" si="169"/>
        <v>0</v>
      </c>
      <c r="J898" s="988">
        <f t="shared" si="169"/>
        <v>0</v>
      </c>
      <c r="K898" s="988">
        <f t="shared" si="169"/>
        <v>0</v>
      </c>
      <c r="L898" s="988">
        <f t="shared" si="169"/>
        <v>0</v>
      </c>
      <c r="M898" s="988">
        <f t="shared" si="169"/>
        <v>0</v>
      </c>
      <c r="N898" s="988">
        <f t="shared" si="169"/>
        <v>0</v>
      </c>
      <c r="O898" s="988">
        <f t="shared" si="169"/>
        <v>0</v>
      </c>
      <c r="P898" s="988">
        <f t="shared" si="169"/>
        <v>0</v>
      </c>
      <c r="Q898" s="988"/>
      <c r="R898" s="988">
        <f t="shared" si="166"/>
        <v>0</v>
      </c>
      <c r="S898" s="546">
        <f t="shared" si="159"/>
        <v>0</v>
      </c>
      <c r="T898" s="547">
        <f t="shared" si="160"/>
        <v>0</v>
      </c>
      <c r="U898" s="546">
        <f t="shared" si="161"/>
        <v>0</v>
      </c>
      <c r="V898" s="548"/>
      <c r="W898" s="350">
        <f t="shared" si="162"/>
        <v>0</v>
      </c>
      <c r="X898" s="285">
        <f t="shared" si="163"/>
        <v>0</v>
      </c>
    </row>
    <row r="899" spans="1:24" s="831" customFormat="1" ht="12.75" thickBot="1">
      <c r="A899" s="596" t="s">
        <v>1499</v>
      </c>
      <c r="B899" s="541" t="s">
        <v>1149</v>
      </c>
      <c r="C899" s="541" t="s">
        <v>1150</v>
      </c>
      <c r="D899" s="542" t="s">
        <v>72</v>
      </c>
      <c r="E899" s="549">
        <f t="shared" si="164"/>
        <v>0</v>
      </c>
      <c r="F899" s="988">
        <f t="shared" si="169"/>
        <v>0</v>
      </c>
      <c r="G899" s="988">
        <f t="shared" si="169"/>
        <v>0</v>
      </c>
      <c r="H899" s="988">
        <f t="shared" si="169"/>
        <v>0</v>
      </c>
      <c r="I899" s="988">
        <f t="shared" si="169"/>
        <v>0</v>
      </c>
      <c r="J899" s="988">
        <f t="shared" si="169"/>
        <v>0</v>
      </c>
      <c r="K899" s="988">
        <f t="shared" si="169"/>
        <v>0</v>
      </c>
      <c r="L899" s="988">
        <f t="shared" si="169"/>
        <v>0</v>
      </c>
      <c r="M899" s="988">
        <f t="shared" si="169"/>
        <v>0</v>
      </c>
      <c r="N899" s="988">
        <f t="shared" si="169"/>
        <v>0</v>
      </c>
      <c r="O899" s="988">
        <f t="shared" si="169"/>
        <v>0</v>
      </c>
      <c r="P899" s="988">
        <f t="shared" si="169"/>
        <v>0</v>
      </c>
      <c r="Q899" s="988"/>
      <c r="R899" s="988">
        <f t="shared" si="166"/>
        <v>0</v>
      </c>
      <c r="S899" s="546">
        <f t="shared" si="159"/>
        <v>0</v>
      </c>
      <c r="T899" s="547">
        <f t="shared" si="160"/>
        <v>0</v>
      </c>
      <c r="U899" s="546">
        <f t="shared" si="161"/>
        <v>0</v>
      </c>
      <c r="V899" s="548"/>
      <c r="W899" s="350">
        <f t="shared" si="162"/>
        <v>0</v>
      </c>
      <c r="X899" s="285">
        <f t="shared" si="163"/>
        <v>0</v>
      </c>
    </row>
    <row r="900" spans="1:24" s="831" customFormat="1" ht="12.75" thickBot="1">
      <c r="A900" s="596" t="s">
        <v>1499</v>
      </c>
      <c r="B900" s="541" t="s">
        <v>1051</v>
      </c>
      <c r="C900" s="541" t="s">
        <v>1052</v>
      </c>
      <c r="D900" s="542" t="s">
        <v>719</v>
      </c>
      <c r="E900" s="549">
        <f t="shared" si="164"/>
        <v>0</v>
      </c>
      <c r="F900" s="988">
        <f t="shared" si="169"/>
        <v>0</v>
      </c>
      <c r="G900" s="988">
        <f t="shared" si="169"/>
        <v>0</v>
      </c>
      <c r="H900" s="988">
        <f t="shared" si="169"/>
        <v>0</v>
      </c>
      <c r="I900" s="988">
        <f t="shared" si="169"/>
        <v>0</v>
      </c>
      <c r="J900" s="988">
        <f t="shared" si="169"/>
        <v>0</v>
      </c>
      <c r="K900" s="988">
        <f t="shared" si="169"/>
        <v>0</v>
      </c>
      <c r="L900" s="988">
        <f t="shared" si="169"/>
        <v>0</v>
      </c>
      <c r="M900" s="988">
        <f t="shared" si="169"/>
        <v>0</v>
      </c>
      <c r="N900" s="988">
        <f t="shared" si="169"/>
        <v>0</v>
      </c>
      <c r="O900" s="988">
        <f t="shared" si="169"/>
        <v>0</v>
      </c>
      <c r="P900" s="988">
        <f t="shared" si="169"/>
        <v>0</v>
      </c>
      <c r="Q900" s="988"/>
      <c r="R900" s="988">
        <f t="shared" si="166"/>
        <v>0</v>
      </c>
      <c r="S900" s="546">
        <f t="shared" si="159"/>
        <v>0</v>
      </c>
      <c r="T900" s="547">
        <f t="shared" si="160"/>
        <v>0</v>
      </c>
      <c r="U900" s="546">
        <f t="shared" si="161"/>
        <v>0</v>
      </c>
      <c r="V900" s="548"/>
      <c r="W900" s="350">
        <f t="shared" si="162"/>
        <v>0</v>
      </c>
      <c r="X900" s="285">
        <f t="shared" si="163"/>
        <v>0</v>
      </c>
    </row>
    <row r="901" spans="1:24" s="831" customFormat="1" ht="12.75" thickBot="1">
      <c r="A901" s="596" t="s">
        <v>1499</v>
      </c>
      <c r="B901" s="541" t="s">
        <v>1053</v>
      </c>
      <c r="C901" s="541" t="s">
        <v>1054</v>
      </c>
      <c r="D901" s="542" t="s">
        <v>719</v>
      </c>
      <c r="E901" s="549">
        <f t="shared" si="164"/>
        <v>0</v>
      </c>
      <c r="F901" s="988">
        <f t="shared" si="169"/>
        <v>0</v>
      </c>
      <c r="G901" s="988">
        <f t="shared" si="169"/>
        <v>0</v>
      </c>
      <c r="H901" s="988">
        <f t="shared" si="169"/>
        <v>0</v>
      </c>
      <c r="I901" s="988">
        <f t="shared" si="169"/>
        <v>0</v>
      </c>
      <c r="J901" s="988">
        <f t="shared" si="169"/>
        <v>0</v>
      </c>
      <c r="K901" s="988">
        <f t="shared" si="169"/>
        <v>0</v>
      </c>
      <c r="L901" s="988">
        <f t="shared" si="169"/>
        <v>0</v>
      </c>
      <c r="M901" s="988">
        <f t="shared" si="169"/>
        <v>0</v>
      </c>
      <c r="N901" s="988">
        <f t="shared" si="169"/>
        <v>0</v>
      </c>
      <c r="O901" s="988">
        <f t="shared" si="169"/>
        <v>0</v>
      </c>
      <c r="P901" s="988">
        <f t="shared" si="169"/>
        <v>0</v>
      </c>
      <c r="Q901" s="988"/>
      <c r="R901" s="988">
        <f t="shared" si="166"/>
        <v>0</v>
      </c>
      <c r="S901" s="546">
        <f t="shared" si="159"/>
        <v>0</v>
      </c>
      <c r="T901" s="547">
        <f t="shared" si="160"/>
        <v>0</v>
      </c>
      <c r="U901" s="546">
        <f t="shared" si="161"/>
        <v>0</v>
      </c>
      <c r="V901" s="548"/>
      <c r="W901" s="350">
        <f t="shared" si="162"/>
        <v>0</v>
      </c>
      <c r="X901" s="285">
        <f t="shared" si="163"/>
        <v>0</v>
      </c>
    </row>
    <row r="902" spans="1:24" s="831" customFormat="1" ht="12.75" thickBot="1">
      <c r="A902" s="596" t="s">
        <v>1499</v>
      </c>
      <c r="B902" s="541" t="s">
        <v>173</v>
      </c>
      <c r="C902" s="541" t="s">
        <v>192</v>
      </c>
      <c r="D902" s="542" t="s">
        <v>642</v>
      </c>
      <c r="E902" s="549">
        <f t="shared" si="164"/>
        <v>44549469</v>
      </c>
      <c r="F902" s="988">
        <f t="shared" si="169"/>
        <v>750</v>
      </c>
      <c r="G902" s="988">
        <f t="shared" si="169"/>
        <v>164388</v>
      </c>
      <c r="H902" s="988">
        <f t="shared" si="169"/>
        <v>1288371</v>
      </c>
      <c r="I902" s="988">
        <f t="shared" si="169"/>
        <v>0</v>
      </c>
      <c r="J902" s="988">
        <f t="shared" si="169"/>
        <v>51887</v>
      </c>
      <c r="K902" s="988">
        <f t="shared" si="169"/>
        <v>668312</v>
      </c>
      <c r="L902" s="988">
        <f t="shared" si="169"/>
        <v>0</v>
      </c>
      <c r="M902" s="988">
        <f t="shared" si="169"/>
        <v>87407</v>
      </c>
      <c r="N902" s="988">
        <f t="shared" si="169"/>
        <v>0</v>
      </c>
      <c r="O902" s="988">
        <f t="shared" si="169"/>
        <v>191125</v>
      </c>
      <c r="P902" s="988">
        <f t="shared" si="169"/>
        <v>0</v>
      </c>
      <c r="Q902" s="988"/>
      <c r="R902" s="988">
        <f t="shared" si="166"/>
        <v>2452240</v>
      </c>
      <c r="S902" s="546">
        <f t="shared" si="159"/>
        <v>1452759</v>
      </c>
      <c r="T902" s="547">
        <f t="shared" si="160"/>
        <v>720199</v>
      </c>
      <c r="U902" s="546">
        <f t="shared" si="161"/>
        <v>191125</v>
      </c>
      <c r="V902" s="548"/>
      <c r="W902" s="350">
        <f>SUM(F902:Q902)</f>
        <v>2452240</v>
      </c>
      <c r="X902" s="285">
        <f>W902-R902</f>
        <v>0</v>
      </c>
    </row>
    <row r="903" spans="1:24" s="831" customFormat="1" ht="12.75" thickBot="1">
      <c r="A903" s="596" t="s">
        <v>1499</v>
      </c>
      <c r="B903" s="541" t="s">
        <v>193</v>
      </c>
      <c r="C903" s="541" t="s">
        <v>194</v>
      </c>
      <c r="D903" s="542" t="s">
        <v>443</v>
      </c>
      <c r="E903" s="549">
        <f t="shared" si="164"/>
        <v>0</v>
      </c>
      <c r="F903" s="988">
        <f t="shared" si="169"/>
        <v>0</v>
      </c>
      <c r="G903" s="988">
        <f t="shared" si="169"/>
        <v>0</v>
      </c>
      <c r="H903" s="988">
        <f t="shared" si="169"/>
        <v>0</v>
      </c>
      <c r="I903" s="988">
        <f t="shared" si="169"/>
        <v>0</v>
      </c>
      <c r="J903" s="988">
        <f t="shared" si="169"/>
        <v>0</v>
      </c>
      <c r="K903" s="988">
        <f t="shared" si="169"/>
        <v>0</v>
      </c>
      <c r="L903" s="988">
        <f t="shared" si="169"/>
        <v>0</v>
      </c>
      <c r="M903" s="988">
        <f t="shared" si="169"/>
        <v>0</v>
      </c>
      <c r="N903" s="988">
        <f t="shared" si="169"/>
        <v>0</v>
      </c>
      <c r="O903" s="988">
        <f t="shared" si="169"/>
        <v>0</v>
      </c>
      <c r="P903" s="988">
        <f t="shared" si="169"/>
        <v>0</v>
      </c>
      <c r="Q903" s="988"/>
      <c r="R903" s="988">
        <f t="shared" si="166"/>
        <v>0</v>
      </c>
      <c r="S903" s="546">
        <f t="shared" si="159"/>
        <v>0</v>
      </c>
      <c r="T903" s="547">
        <f t="shared" si="160"/>
        <v>0</v>
      </c>
      <c r="U903" s="546">
        <f t="shared" si="161"/>
        <v>0</v>
      </c>
      <c r="V903" s="548"/>
      <c r="W903" s="350">
        <f t="shared" si="162"/>
        <v>0</v>
      </c>
      <c r="X903" s="285">
        <f t="shared" si="163"/>
        <v>0</v>
      </c>
    </row>
    <row r="904" spans="1:24" s="831" customFormat="1" ht="12.75" thickBot="1">
      <c r="A904" s="596" t="s">
        <v>1499</v>
      </c>
      <c r="B904" s="541" t="s">
        <v>195</v>
      </c>
      <c r="C904" s="541" t="s">
        <v>196</v>
      </c>
      <c r="D904" s="542" t="s">
        <v>443</v>
      </c>
      <c r="E904" s="549">
        <f t="shared" si="164"/>
        <v>0</v>
      </c>
      <c r="F904" s="988">
        <f t="shared" si="169"/>
        <v>0</v>
      </c>
      <c r="G904" s="988">
        <f t="shared" si="169"/>
        <v>0</v>
      </c>
      <c r="H904" s="988">
        <f t="shared" si="169"/>
        <v>0</v>
      </c>
      <c r="I904" s="988">
        <f t="shared" si="169"/>
        <v>0</v>
      </c>
      <c r="J904" s="988">
        <f t="shared" si="169"/>
        <v>0</v>
      </c>
      <c r="K904" s="988">
        <f t="shared" si="169"/>
        <v>0</v>
      </c>
      <c r="L904" s="988">
        <f t="shared" si="169"/>
        <v>0</v>
      </c>
      <c r="M904" s="988">
        <f t="shared" si="169"/>
        <v>0</v>
      </c>
      <c r="N904" s="988">
        <f t="shared" si="169"/>
        <v>0</v>
      </c>
      <c r="O904" s="988">
        <f t="shared" si="169"/>
        <v>0</v>
      </c>
      <c r="P904" s="988">
        <f t="shared" si="169"/>
        <v>0</v>
      </c>
      <c r="Q904" s="988"/>
      <c r="R904" s="988">
        <f t="shared" si="166"/>
        <v>0</v>
      </c>
      <c r="S904" s="546">
        <f t="shared" si="159"/>
        <v>0</v>
      </c>
      <c r="T904" s="547">
        <f t="shared" si="160"/>
        <v>0</v>
      </c>
      <c r="U904" s="546">
        <f t="shared" si="161"/>
        <v>0</v>
      </c>
      <c r="V904" s="548"/>
      <c r="W904" s="350">
        <f t="shared" si="162"/>
        <v>0</v>
      </c>
      <c r="X904" s="285">
        <f t="shared" si="163"/>
        <v>0</v>
      </c>
    </row>
    <row r="905" spans="1:24" s="831" customFormat="1" ht="12.75" thickBot="1">
      <c r="A905" s="596" t="s">
        <v>1499</v>
      </c>
      <c r="B905" s="541" t="s">
        <v>197</v>
      </c>
      <c r="C905" s="541" t="s">
        <v>198</v>
      </c>
      <c r="D905" s="542" t="s">
        <v>443</v>
      </c>
      <c r="E905" s="549">
        <f t="shared" si="164"/>
        <v>0</v>
      </c>
      <c r="F905" s="988">
        <f t="shared" si="169"/>
        <v>0</v>
      </c>
      <c r="G905" s="988">
        <f t="shared" si="169"/>
        <v>0</v>
      </c>
      <c r="H905" s="988">
        <f t="shared" si="169"/>
        <v>0</v>
      </c>
      <c r="I905" s="988">
        <f t="shared" si="169"/>
        <v>0</v>
      </c>
      <c r="J905" s="988">
        <f t="shared" si="169"/>
        <v>0</v>
      </c>
      <c r="K905" s="988">
        <f t="shared" si="169"/>
        <v>0</v>
      </c>
      <c r="L905" s="988">
        <f t="shared" si="169"/>
        <v>0</v>
      </c>
      <c r="M905" s="988">
        <f t="shared" si="169"/>
        <v>0</v>
      </c>
      <c r="N905" s="988">
        <f t="shared" si="169"/>
        <v>0</v>
      </c>
      <c r="O905" s="988">
        <f t="shared" si="169"/>
        <v>0</v>
      </c>
      <c r="P905" s="988">
        <f t="shared" si="169"/>
        <v>0</v>
      </c>
      <c r="Q905" s="988"/>
      <c r="R905" s="988">
        <f t="shared" si="166"/>
        <v>0</v>
      </c>
      <c r="S905" s="546">
        <f t="shared" si="159"/>
        <v>0</v>
      </c>
      <c r="T905" s="547">
        <f t="shared" si="160"/>
        <v>0</v>
      </c>
      <c r="U905" s="546">
        <f t="shared" si="161"/>
        <v>0</v>
      </c>
      <c r="V905" s="548"/>
      <c r="W905" s="350">
        <f t="shared" si="162"/>
        <v>0</v>
      </c>
      <c r="X905" s="285">
        <f t="shared" si="163"/>
        <v>0</v>
      </c>
    </row>
    <row r="906" spans="1:24" s="831" customFormat="1" ht="12.75" thickBot="1">
      <c r="A906" s="596" t="s">
        <v>1499</v>
      </c>
      <c r="B906" s="541" t="s">
        <v>1055</v>
      </c>
      <c r="C906" s="541" t="s">
        <v>1049</v>
      </c>
      <c r="D906" s="542" t="s">
        <v>1146</v>
      </c>
      <c r="E906" s="549">
        <f t="shared" si="164"/>
        <v>0</v>
      </c>
      <c r="F906" s="988">
        <f t="shared" si="169"/>
        <v>0</v>
      </c>
      <c r="G906" s="988">
        <f t="shared" si="169"/>
        <v>0</v>
      </c>
      <c r="H906" s="988">
        <f t="shared" si="169"/>
        <v>0</v>
      </c>
      <c r="I906" s="988">
        <f t="shared" si="169"/>
        <v>0</v>
      </c>
      <c r="J906" s="988">
        <f t="shared" si="169"/>
        <v>0</v>
      </c>
      <c r="K906" s="988">
        <f t="shared" si="169"/>
        <v>0</v>
      </c>
      <c r="L906" s="988">
        <f t="shared" si="169"/>
        <v>0</v>
      </c>
      <c r="M906" s="988">
        <f t="shared" si="169"/>
        <v>0</v>
      </c>
      <c r="N906" s="988">
        <f t="shared" si="169"/>
        <v>0</v>
      </c>
      <c r="O906" s="988">
        <f t="shared" si="169"/>
        <v>0</v>
      </c>
      <c r="P906" s="988">
        <f t="shared" si="169"/>
        <v>0</v>
      </c>
      <c r="Q906" s="988"/>
      <c r="R906" s="988">
        <f t="shared" si="166"/>
        <v>0</v>
      </c>
      <c r="S906" s="546">
        <f t="shared" si="159"/>
        <v>0</v>
      </c>
      <c r="T906" s="547">
        <f t="shared" si="160"/>
        <v>0</v>
      </c>
      <c r="U906" s="546">
        <f t="shared" si="161"/>
        <v>0</v>
      </c>
      <c r="V906" s="548"/>
      <c r="W906" s="350">
        <f t="shared" si="162"/>
        <v>0</v>
      </c>
      <c r="X906" s="285">
        <f t="shared" si="163"/>
        <v>0</v>
      </c>
    </row>
    <row r="907" spans="1:24" s="831" customFormat="1" ht="12.75" thickBot="1">
      <c r="A907" s="596" t="s">
        <v>1499</v>
      </c>
      <c r="B907" s="541" t="s">
        <v>174</v>
      </c>
      <c r="C907" s="541" t="s">
        <v>106</v>
      </c>
      <c r="D907" s="542" t="s">
        <v>14</v>
      </c>
      <c r="E907" s="549">
        <f t="shared" si="164"/>
        <v>564336687</v>
      </c>
      <c r="F907" s="988">
        <f t="shared" ref="F907:P913" si="170">ROUND(SUMIFS(F$1721:F$1901,$A$1721:$A$1901,$A907,$B$1721:$B$1901,$B907),0)</f>
        <v>4615148</v>
      </c>
      <c r="G907" s="988">
        <f t="shared" si="170"/>
        <v>25603956</v>
      </c>
      <c r="H907" s="988">
        <f t="shared" si="170"/>
        <v>16320617</v>
      </c>
      <c r="I907" s="988">
        <f t="shared" si="170"/>
        <v>1777661</v>
      </c>
      <c r="J907" s="988">
        <f t="shared" si="170"/>
        <v>0</v>
      </c>
      <c r="K907" s="988">
        <f t="shared" si="170"/>
        <v>0</v>
      </c>
      <c r="L907" s="988">
        <f t="shared" si="170"/>
        <v>830864</v>
      </c>
      <c r="M907" s="988">
        <f t="shared" si="170"/>
        <v>1107246</v>
      </c>
      <c r="N907" s="988">
        <f t="shared" si="170"/>
        <v>2421100</v>
      </c>
      <c r="O907" s="988">
        <f t="shared" si="170"/>
        <v>0</v>
      </c>
      <c r="P907" s="988">
        <f t="shared" si="170"/>
        <v>0</v>
      </c>
      <c r="Q907" s="988"/>
      <c r="R907" s="988">
        <f t="shared" si="166"/>
        <v>52676591</v>
      </c>
      <c r="S907" s="546">
        <f t="shared" si="159"/>
        <v>43702234</v>
      </c>
      <c r="T907" s="547">
        <f t="shared" si="160"/>
        <v>0</v>
      </c>
      <c r="U907" s="546">
        <f t="shared" si="161"/>
        <v>2421100</v>
      </c>
      <c r="V907" s="548"/>
      <c r="W907" s="350">
        <f t="shared" si="162"/>
        <v>52676592</v>
      </c>
      <c r="X907" s="285">
        <f t="shared" si="163"/>
        <v>1</v>
      </c>
    </row>
    <row r="908" spans="1:24" s="831" customFormat="1" ht="12.75" thickBot="1">
      <c r="A908" s="596" t="s">
        <v>1499</v>
      </c>
      <c r="B908" s="541" t="s">
        <v>175</v>
      </c>
      <c r="C908" s="541" t="s">
        <v>199</v>
      </c>
      <c r="D908" s="542" t="s">
        <v>14</v>
      </c>
      <c r="E908" s="549">
        <f t="shared" si="164"/>
        <v>0</v>
      </c>
      <c r="F908" s="988">
        <f t="shared" si="170"/>
        <v>0</v>
      </c>
      <c r="G908" s="988">
        <f t="shared" si="170"/>
        <v>0</v>
      </c>
      <c r="H908" s="988">
        <f t="shared" si="170"/>
        <v>0</v>
      </c>
      <c r="I908" s="988">
        <f t="shared" si="170"/>
        <v>0</v>
      </c>
      <c r="J908" s="988">
        <f t="shared" si="170"/>
        <v>0</v>
      </c>
      <c r="K908" s="988">
        <f t="shared" si="170"/>
        <v>0</v>
      </c>
      <c r="L908" s="988">
        <f t="shared" si="170"/>
        <v>0</v>
      </c>
      <c r="M908" s="988">
        <f t="shared" si="170"/>
        <v>0</v>
      </c>
      <c r="N908" s="988">
        <f t="shared" si="170"/>
        <v>0</v>
      </c>
      <c r="O908" s="988">
        <f t="shared" si="170"/>
        <v>0</v>
      </c>
      <c r="P908" s="988">
        <f t="shared" si="170"/>
        <v>0</v>
      </c>
      <c r="Q908" s="988"/>
      <c r="R908" s="988">
        <f t="shared" si="166"/>
        <v>0</v>
      </c>
      <c r="S908" s="546">
        <f t="shared" si="159"/>
        <v>0</v>
      </c>
      <c r="T908" s="547">
        <f t="shared" si="160"/>
        <v>0</v>
      </c>
      <c r="U908" s="546">
        <f t="shared" si="161"/>
        <v>0</v>
      </c>
      <c r="V908" s="548"/>
      <c r="W908" s="350">
        <f t="shared" si="162"/>
        <v>0</v>
      </c>
      <c r="X908" s="285">
        <f t="shared" si="163"/>
        <v>0</v>
      </c>
    </row>
    <row r="909" spans="1:24" s="831" customFormat="1" ht="12.75" thickBot="1">
      <c r="A909" s="596" t="s">
        <v>1499</v>
      </c>
      <c r="B909" s="541" t="s">
        <v>176</v>
      </c>
      <c r="C909" s="541" t="s">
        <v>200</v>
      </c>
      <c r="D909" s="542" t="s">
        <v>207</v>
      </c>
      <c r="E909" s="549">
        <f t="shared" si="164"/>
        <v>0</v>
      </c>
      <c r="F909" s="988">
        <f t="shared" si="170"/>
        <v>0</v>
      </c>
      <c r="G909" s="988">
        <f t="shared" si="170"/>
        <v>0</v>
      </c>
      <c r="H909" s="988">
        <f t="shared" si="170"/>
        <v>0</v>
      </c>
      <c r="I909" s="988">
        <f t="shared" si="170"/>
        <v>0</v>
      </c>
      <c r="J909" s="988">
        <f t="shared" si="170"/>
        <v>0</v>
      </c>
      <c r="K909" s="988">
        <f t="shared" si="170"/>
        <v>0</v>
      </c>
      <c r="L909" s="988">
        <f t="shared" si="170"/>
        <v>0</v>
      </c>
      <c r="M909" s="988">
        <f t="shared" si="170"/>
        <v>0</v>
      </c>
      <c r="N909" s="988">
        <f t="shared" si="170"/>
        <v>0</v>
      </c>
      <c r="O909" s="988">
        <f t="shared" si="170"/>
        <v>0</v>
      </c>
      <c r="P909" s="988">
        <f t="shared" si="170"/>
        <v>0</v>
      </c>
      <c r="Q909" s="988"/>
      <c r="R909" s="988">
        <f t="shared" si="166"/>
        <v>0</v>
      </c>
      <c r="S909" s="546">
        <f t="shared" si="159"/>
        <v>0</v>
      </c>
      <c r="T909" s="547">
        <f t="shared" si="160"/>
        <v>0</v>
      </c>
      <c r="U909" s="546">
        <f t="shared" si="161"/>
        <v>0</v>
      </c>
      <c r="V909" s="548"/>
      <c r="W909" s="350">
        <f t="shared" si="162"/>
        <v>0</v>
      </c>
      <c r="X909" s="285">
        <f t="shared" si="163"/>
        <v>0</v>
      </c>
    </row>
    <row r="910" spans="1:24" s="831" customFormat="1" ht="12.75" thickBot="1">
      <c r="A910" s="596" t="s">
        <v>1499</v>
      </c>
      <c r="B910" s="541" t="s">
        <v>458</v>
      </c>
      <c r="C910" s="541" t="s">
        <v>1367</v>
      </c>
      <c r="D910" s="542" t="s">
        <v>206</v>
      </c>
      <c r="E910" s="549">
        <f t="shared" si="164"/>
        <v>0</v>
      </c>
      <c r="F910" s="988">
        <f t="shared" si="170"/>
        <v>0</v>
      </c>
      <c r="G910" s="988">
        <f t="shared" si="170"/>
        <v>0</v>
      </c>
      <c r="H910" s="988">
        <f t="shared" si="170"/>
        <v>0</v>
      </c>
      <c r="I910" s="988">
        <f t="shared" si="170"/>
        <v>0</v>
      </c>
      <c r="J910" s="988">
        <f t="shared" si="170"/>
        <v>0</v>
      </c>
      <c r="K910" s="988">
        <f t="shared" si="170"/>
        <v>0</v>
      </c>
      <c r="L910" s="988">
        <f t="shared" si="170"/>
        <v>0</v>
      </c>
      <c r="M910" s="988">
        <f t="shared" si="170"/>
        <v>0</v>
      </c>
      <c r="N910" s="988">
        <f t="shared" si="170"/>
        <v>0</v>
      </c>
      <c r="O910" s="988">
        <f t="shared" si="170"/>
        <v>0</v>
      </c>
      <c r="P910" s="988">
        <f t="shared" si="170"/>
        <v>0</v>
      </c>
      <c r="Q910" s="988"/>
      <c r="R910" s="988">
        <f t="shared" si="166"/>
        <v>0</v>
      </c>
      <c r="S910" s="546">
        <f t="shared" si="159"/>
        <v>0</v>
      </c>
      <c r="T910" s="547">
        <f t="shared" si="160"/>
        <v>0</v>
      </c>
      <c r="U910" s="546">
        <f t="shared" si="161"/>
        <v>0</v>
      </c>
      <c r="V910" s="548"/>
      <c r="W910" s="350">
        <f t="shared" si="162"/>
        <v>0</v>
      </c>
      <c r="X910" s="285">
        <f t="shared" si="163"/>
        <v>0</v>
      </c>
    </row>
    <row r="911" spans="1:24" s="831" customFormat="1" ht="12.75" thickBot="1">
      <c r="A911" s="596" t="s">
        <v>1499</v>
      </c>
      <c r="B911" s="541" t="s">
        <v>177</v>
      </c>
      <c r="C911" s="541" t="s">
        <v>201</v>
      </c>
      <c r="D911" s="542" t="s">
        <v>16</v>
      </c>
      <c r="E911" s="549">
        <f t="shared" si="164"/>
        <v>0</v>
      </c>
      <c r="F911" s="988">
        <f t="shared" si="170"/>
        <v>0</v>
      </c>
      <c r="G911" s="988">
        <f t="shared" si="170"/>
        <v>0</v>
      </c>
      <c r="H911" s="988">
        <f t="shared" si="170"/>
        <v>0</v>
      </c>
      <c r="I911" s="988">
        <f t="shared" si="170"/>
        <v>0</v>
      </c>
      <c r="J911" s="988">
        <f t="shared" si="170"/>
        <v>0</v>
      </c>
      <c r="K911" s="988">
        <f t="shared" si="170"/>
        <v>0</v>
      </c>
      <c r="L911" s="988">
        <f t="shared" si="170"/>
        <v>0</v>
      </c>
      <c r="M911" s="988">
        <f t="shared" si="170"/>
        <v>0</v>
      </c>
      <c r="N911" s="988">
        <f t="shared" si="170"/>
        <v>0</v>
      </c>
      <c r="O911" s="988">
        <f t="shared" si="170"/>
        <v>0</v>
      </c>
      <c r="P911" s="988">
        <f t="shared" si="170"/>
        <v>0</v>
      </c>
      <c r="Q911" s="988"/>
      <c r="R911" s="988">
        <f t="shared" si="166"/>
        <v>0</v>
      </c>
      <c r="S911" s="546">
        <f t="shared" si="159"/>
        <v>0</v>
      </c>
      <c r="T911" s="547">
        <f t="shared" si="160"/>
        <v>0</v>
      </c>
      <c r="U911" s="546">
        <f t="shared" si="161"/>
        <v>0</v>
      </c>
      <c r="V911" s="548"/>
      <c r="W911" s="350">
        <f t="shared" si="162"/>
        <v>0</v>
      </c>
      <c r="X911" s="285">
        <f t="shared" si="163"/>
        <v>0</v>
      </c>
    </row>
    <row r="912" spans="1:24" s="831" customFormat="1" ht="12.75" thickBot="1">
      <c r="A912" s="596" t="s">
        <v>1499</v>
      </c>
      <c r="B912" s="541" t="s">
        <v>178</v>
      </c>
      <c r="C912" s="541" t="s">
        <v>202</v>
      </c>
      <c r="D912" s="542" t="s">
        <v>14</v>
      </c>
      <c r="E912" s="549">
        <f t="shared" si="164"/>
        <v>0</v>
      </c>
      <c r="F912" s="988">
        <f t="shared" si="170"/>
        <v>0</v>
      </c>
      <c r="G912" s="988">
        <f t="shared" si="170"/>
        <v>0</v>
      </c>
      <c r="H912" s="988">
        <f t="shared" si="170"/>
        <v>0</v>
      </c>
      <c r="I912" s="988">
        <f t="shared" si="170"/>
        <v>0</v>
      </c>
      <c r="J912" s="988">
        <f t="shared" si="170"/>
        <v>0</v>
      </c>
      <c r="K912" s="988">
        <f t="shared" si="170"/>
        <v>0</v>
      </c>
      <c r="L912" s="988">
        <f t="shared" si="170"/>
        <v>0</v>
      </c>
      <c r="M912" s="988">
        <f t="shared" si="170"/>
        <v>0</v>
      </c>
      <c r="N912" s="988">
        <f t="shared" si="170"/>
        <v>0</v>
      </c>
      <c r="O912" s="988">
        <f t="shared" si="170"/>
        <v>0</v>
      </c>
      <c r="P912" s="988">
        <f t="shared" si="170"/>
        <v>0</v>
      </c>
      <c r="Q912" s="988"/>
      <c r="R912" s="988">
        <f t="shared" si="166"/>
        <v>0</v>
      </c>
      <c r="S912" s="546">
        <f t="shared" si="159"/>
        <v>0</v>
      </c>
      <c r="T912" s="547">
        <f t="shared" si="160"/>
        <v>0</v>
      </c>
      <c r="U912" s="546">
        <f t="shared" si="161"/>
        <v>0</v>
      </c>
      <c r="V912" s="548"/>
      <c r="W912" s="350">
        <f t="shared" si="162"/>
        <v>0</v>
      </c>
      <c r="X912" s="285">
        <f t="shared" si="163"/>
        <v>0</v>
      </c>
    </row>
    <row r="913" spans="1:24" s="831" customFormat="1" ht="12.75" thickBot="1">
      <c r="A913" s="596" t="s">
        <v>1499</v>
      </c>
      <c r="B913" s="541" t="s">
        <v>73</v>
      </c>
      <c r="C913" s="541" t="s">
        <v>1511</v>
      </c>
      <c r="D913" s="542"/>
      <c r="E913" s="549">
        <f t="shared" si="164"/>
        <v>8653918</v>
      </c>
      <c r="F913" s="988">
        <f t="shared" si="170"/>
        <v>0</v>
      </c>
      <c r="G913" s="988">
        <f t="shared" si="170"/>
        <v>1900253</v>
      </c>
      <c r="H913" s="988">
        <f t="shared" si="170"/>
        <v>250271</v>
      </c>
      <c r="I913" s="988">
        <f t="shared" si="170"/>
        <v>0</v>
      </c>
      <c r="J913" s="988">
        <f t="shared" si="170"/>
        <v>0</v>
      </c>
      <c r="K913" s="988">
        <f t="shared" si="170"/>
        <v>0</v>
      </c>
      <c r="L913" s="988">
        <f t="shared" si="170"/>
        <v>0</v>
      </c>
      <c r="M913" s="988">
        <f t="shared" si="170"/>
        <v>16979</v>
      </c>
      <c r="N913" s="988">
        <f t="shared" si="170"/>
        <v>37127</v>
      </c>
      <c r="O913" s="988">
        <f t="shared" si="170"/>
        <v>0</v>
      </c>
      <c r="P913" s="988">
        <f t="shared" si="170"/>
        <v>0</v>
      </c>
      <c r="Q913" s="988"/>
      <c r="R913" s="988">
        <f t="shared" si="166"/>
        <v>2204631</v>
      </c>
      <c r="S913" s="546">
        <f t="shared" si="159"/>
        <v>2150524</v>
      </c>
      <c r="T913" s="547">
        <f t="shared" si="160"/>
        <v>0</v>
      </c>
      <c r="U913" s="546">
        <f t="shared" si="161"/>
        <v>37127</v>
      </c>
      <c r="V913" s="548"/>
      <c r="W913" s="350">
        <f t="shared" si="162"/>
        <v>2204630</v>
      </c>
      <c r="X913" s="285">
        <f t="shared" si="163"/>
        <v>-1</v>
      </c>
    </row>
    <row r="914" spans="1:24" s="831" customFormat="1" ht="12.75" thickBot="1">
      <c r="A914" s="596" t="s">
        <v>1499</v>
      </c>
      <c r="B914" s="541" t="s">
        <v>323</v>
      </c>
      <c r="C914" s="541" t="s">
        <v>1056</v>
      </c>
      <c r="D914" s="552" t="s">
        <v>1139</v>
      </c>
      <c r="E914" s="543"/>
      <c r="F914" s="545"/>
      <c r="G914" s="544"/>
      <c r="H914" s="545"/>
      <c r="I914" s="545"/>
      <c r="J914" s="545"/>
      <c r="K914" s="545"/>
      <c r="L914" s="545"/>
      <c r="M914" s="544"/>
      <c r="N914" s="544"/>
      <c r="O914" s="545"/>
      <c r="P914" s="545"/>
      <c r="Q914" s="544"/>
      <c r="R914" s="544"/>
      <c r="S914" s="546">
        <f t="shared" si="159"/>
        <v>0</v>
      </c>
      <c r="T914" s="547">
        <f t="shared" si="160"/>
        <v>0</v>
      </c>
      <c r="U914" s="546">
        <f t="shared" si="161"/>
        <v>0</v>
      </c>
      <c r="V914" s="548"/>
      <c r="W914" s="350">
        <f t="shared" si="162"/>
        <v>0</v>
      </c>
      <c r="X914" s="285">
        <f t="shared" si="163"/>
        <v>0</v>
      </c>
    </row>
    <row r="915" spans="1:24" s="831" customFormat="1" ht="12.75" thickBot="1">
      <c r="A915" s="596" t="s">
        <v>1499</v>
      </c>
      <c r="B915" s="541" t="s">
        <v>328</v>
      </c>
      <c r="C915" s="541" t="s">
        <v>1057</v>
      </c>
      <c r="D915" s="552" t="s">
        <v>1139</v>
      </c>
      <c r="E915" s="549"/>
      <c r="F915" s="551"/>
      <c r="G915" s="550"/>
      <c r="H915" s="551"/>
      <c r="I915" s="551"/>
      <c r="J915" s="551"/>
      <c r="K915" s="551"/>
      <c r="L915" s="551"/>
      <c r="M915" s="550"/>
      <c r="N915" s="550"/>
      <c r="O915" s="551"/>
      <c r="P915" s="551"/>
      <c r="Q915" s="550"/>
      <c r="R915" s="550"/>
      <c r="S915" s="546">
        <f t="shared" si="159"/>
        <v>0</v>
      </c>
      <c r="T915" s="547">
        <f t="shared" si="160"/>
        <v>0</v>
      </c>
      <c r="U915" s="546">
        <f t="shared" si="161"/>
        <v>0</v>
      </c>
      <c r="V915" s="548"/>
      <c r="W915" s="350">
        <f t="shared" si="162"/>
        <v>0</v>
      </c>
      <c r="X915" s="285">
        <f t="shared" si="163"/>
        <v>0</v>
      </c>
    </row>
    <row r="916" spans="1:24" s="831" customFormat="1" ht="12.75" thickBot="1">
      <c r="A916" s="596" t="s">
        <v>1499</v>
      </c>
      <c r="B916" s="541" t="s">
        <v>331</v>
      </c>
      <c r="C916" s="541" t="s">
        <v>1058</v>
      </c>
      <c r="D916" s="552" t="s">
        <v>1139</v>
      </c>
      <c r="E916" s="543"/>
      <c r="F916" s="545"/>
      <c r="G916" s="544"/>
      <c r="H916" s="545"/>
      <c r="I916" s="545"/>
      <c r="J916" s="545"/>
      <c r="K916" s="545"/>
      <c r="L916" s="545"/>
      <c r="M916" s="544"/>
      <c r="N916" s="544"/>
      <c r="O916" s="545"/>
      <c r="P916" s="545"/>
      <c r="Q916" s="544"/>
      <c r="R916" s="544"/>
      <c r="S916" s="546">
        <f t="shared" si="159"/>
        <v>0</v>
      </c>
      <c r="T916" s="547">
        <f t="shared" si="160"/>
        <v>0</v>
      </c>
      <c r="U916" s="546">
        <f t="shared" si="161"/>
        <v>0</v>
      </c>
      <c r="V916" s="548"/>
      <c r="W916" s="350">
        <f t="shared" si="162"/>
        <v>0</v>
      </c>
      <c r="X916" s="285">
        <f t="shared" si="163"/>
        <v>0</v>
      </c>
    </row>
    <row r="917" spans="1:24" s="831" customFormat="1" ht="12.75" thickBot="1">
      <c r="A917" s="596" t="s">
        <v>1499</v>
      </c>
      <c r="B917" s="541" t="s">
        <v>332</v>
      </c>
      <c r="C917" s="541" t="s">
        <v>1059</v>
      </c>
      <c r="D917" s="552" t="s">
        <v>1139</v>
      </c>
      <c r="E917" s="549"/>
      <c r="F917" s="551"/>
      <c r="G917" s="550"/>
      <c r="H917" s="551"/>
      <c r="I917" s="551"/>
      <c r="J917" s="551"/>
      <c r="K917" s="551"/>
      <c r="L917" s="551"/>
      <c r="M917" s="550"/>
      <c r="N917" s="550"/>
      <c r="O917" s="551"/>
      <c r="P917" s="551"/>
      <c r="Q917" s="550"/>
      <c r="R917" s="550"/>
      <c r="S917" s="546">
        <f t="shared" si="159"/>
        <v>0</v>
      </c>
      <c r="T917" s="547">
        <f t="shared" si="160"/>
        <v>0</v>
      </c>
      <c r="U917" s="546">
        <f t="shared" si="161"/>
        <v>0</v>
      </c>
      <c r="V917" s="548"/>
      <c r="W917" s="350">
        <f t="shared" si="162"/>
        <v>0</v>
      </c>
      <c r="X917" s="285">
        <f t="shared" si="163"/>
        <v>0</v>
      </c>
    </row>
    <row r="918" spans="1:24" s="831" customFormat="1" ht="12.75" thickBot="1">
      <c r="A918" s="596" t="s">
        <v>1499</v>
      </c>
      <c r="B918" s="541" t="s">
        <v>333</v>
      </c>
      <c r="C918" s="541" t="s">
        <v>1060</v>
      </c>
      <c r="D918" s="552" t="s">
        <v>1139</v>
      </c>
      <c r="E918" s="543"/>
      <c r="F918" s="545"/>
      <c r="G918" s="544"/>
      <c r="H918" s="545"/>
      <c r="I918" s="545"/>
      <c r="J918" s="545"/>
      <c r="K918" s="545"/>
      <c r="L918" s="545"/>
      <c r="M918" s="544"/>
      <c r="N918" s="544"/>
      <c r="O918" s="545"/>
      <c r="P918" s="545"/>
      <c r="Q918" s="544"/>
      <c r="R918" s="544"/>
      <c r="S918" s="546">
        <f t="shared" si="159"/>
        <v>0</v>
      </c>
      <c r="T918" s="547">
        <f t="shared" si="160"/>
        <v>0</v>
      </c>
      <c r="U918" s="546">
        <f t="shared" si="161"/>
        <v>0</v>
      </c>
      <c r="V918" s="548"/>
      <c r="W918" s="350">
        <f t="shared" si="162"/>
        <v>0</v>
      </c>
      <c r="X918" s="285">
        <f t="shared" si="163"/>
        <v>0</v>
      </c>
    </row>
    <row r="919" spans="1:24" s="831" customFormat="1" ht="12.75" thickBot="1">
      <c r="A919" s="596" t="s">
        <v>1499</v>
      </c>
      <c r="B919" s="541" t="s">
        <v>335</v>
      </c>
      <c r="C919" s="541" t="s">
        <v>1061</v>
      </c>
      <c r="D919" s="552" t="s">
        <v>1139</v>
      </c>
      <c r="E919" s="549"/>
      <c r="F919" s="551"/>
      <c r="G919" s="550"/>
      <c r="H919" s="551"/>
      <c r="I919" s="551"/>
      <c r="J919" s="551"/>
      <c r="K919" s="551"/>
      <c r="L919" s="551"/>
      <c r="M919" s="550"/>
      <c r="N919" s="550"/>
      <c r="O919" s="551"/>
      <c r="P919" s="551"/>
      <c r="Q919" s="550"/>
      <c r="R919" s="550"/>
      <c r="S919" s="546">
        <f t="shared" si="159"/>
        <v>0</v>
      </c>
      <c r="T919" s="547">
        <f t="shared" si="160"/>
        <v>0</v>
      </c>
      <c r="U919" s="546">
        <f t="shared" si="161"/>
        <v>0</v>
      </c>
      <c r="V919" s="548"/>
      <c r="W919" s="350">
        <f t="shared" si="162"/>
        <v>0</v>
      </c>
      <c r="X919" s="285">
        <f t="shared" si="163"/>
        <v>0</v>
      </c>
    </row>
    <row r="920" spans="1:24" s="831" customFormat="1" ht="12.75" thickBot="1">
      <c r="A920" s="596" t="s">
        <v>1499</v>
      </c>
      <c r="B920" s="541" t="s">
        <v>336</v>
      </c>
      <c r="C920" s="541" t="s">
        <v>1062</v>
      </c>
      <c r="D920" s="552" t="s">
        <v>1139</v>
      </c>
      <c r="E920" s="543"/>
      <c r="F920" s="545"/>
      <c r="G920" s="544"/>
      <c r="H920" s="545"/>
      <c r="I920" s="545"/>
      <c r="J920" s="545"/>
      <c r="K920" s="545"/>
      <c r="L920" s="545"/>
      <c r="M920" s="544"/>
      <c r="N920" s="544"/>
      <c r="O920" s="545"/>
      <c r="P920" s="545"/>
      <c r="Q920" s="544"/>
      <c r="R920" s="544"/>
      <c r="S920" s="546">
        <f t="shared" si="159"/>
        <v>0</v>
      </c>
      <c r="T920" s="547">
        <f t="shared" si="160"/>
        <v>0</v>
      </c>
      <c r="U920" s="546">
        <f t="shared" si="161"/>
        <v>0</v>
      </c>
      <c r="V920" s="548"/>
      <c r="W920" s="350">
        <f t="shared" si="162"/>
        <v>0</v>
      </c>
      <c r="X920" s="285">
        <f t="shared" si="163"/>
        <v>0</v>
      </c>
    </row>
    <row r="921" spans="1:24" s="831" customFormat="1" ht="12.75" thickBot="1">
      <c r="A921" s="596" t="s">
        <v>1499</v>
      </c>
      <c r="B921" s="541" t="s">
        <v>338</v>
      </c>
      <c r="C921" s="541" t="s">
        <v>1063</v>
      </c>
      <c r="D921" s="552" t="s">
        <v>1139</v>
      </c>
      <c r="E921" s="549"/>
      <c r="F921" s="551"/>
      <c r="G921" s="550"/>
      <c r="H921" s="551"/>
      <c r="I921" s="551"/>
      <c r="J921" s="551"/>
      <c r="K921" s="551"/>
      <c r="L921" s="551"/>
      <c r="M921" s="550"/>
      <c r="N921" s="550"/>
      <c r="O921" s="551"/>
      <c r="P921" s="551"/>
      <c r="Q921" s="550"/>
      <c r="R921" s="550"/>
      <c r="S921" s="546">
        <f t="shared" si="159"/>
        <v>0</v>
      </c>
      <c r="T921" s="547">
        <f t="shared" si="160"/>
        <v>0</v>
      </c>
      <c r="U921" s="546">
        <f t="shared" si="161"/>
        <v>0</v>
      </c>
      <c r="V921" s="548"/>
      <c r="W921" s="350">
        <f t="shared" si="162"/>
        <v>0</v>
      </c>
      <c r="X921" s="285">
        <f t="shared" si="163"/>
        <v>0</v>
      </c>
    </row>
    <row r="922" spans="1:24" s="831" customFormat="1" ht="12.75" thickBot="1">
      <c r="A922" s="596" t="s">
        <v>1499</v>
      </c>
      <c r="B922" s="541" t="s">
        <v>339</v>
      </c>
      <c r="C922" s="541" t="s">
        <v>1064</v>
      </c>
      <c r="D922" s="552" t="s">
        <v>1139</v>
      </c>
      <c r="E922" s="543"/>
      <c r="F922" s="545"/>
      <c r="G922" s="544"/>
      <c r="H922" s="545"/>
      <c r="I922" s="545"/>
      <c r="J922" s="545"/>
      <c r="K922" s="545"/>
      <c r="L922" s="545"/>
      <c r="M922" s="544"/>
      <c r="N922" s="544"/>
      <c r="O922" s="545"/>
      <c r="P922" s="545"/>
      <c r="Q922" s="544"/>
      <c r="R922" s="544"/>
      <c r="S922" s="546">
        <f t="shared" si="159"/>
        <v>0</v>
      </c>
      <c r="T922" s="547">
        <f t="shared" si="160"/>
        <v>0</v>
      </c>
      <c r="U922" s="546">
        <f t="shared" si="161"/>
        <v>0</v>
      </c>
      <c r="V922" s="548"/>
      <c r="W922" s="350">
        <f t="shared" si="162"/>
        <v>0</v>
      </c>
      <c r="X922" s="285">
        <f t="shared" si="163"/>
        <v>0</v>
      </c>
    </row>
    <row r="923" spans="1:24" s="831" customFormat="1" ht="12.75" thickBot="1">
      <c r="A923" s="596" t="s">
        <v>1499</v>
      </c>
      <c r="B923" s="541" t="s">
        <v>325</v>
      </c>
      <c r="C923" s="541" t="s">
        <v>1065</v>
      </c>
      <c r="D923" s="552" t="s">
        <v>1139</v>
      </c>
      <c r="E923" s="549"/>
      <c r="F923" s="551"/>
      <c r="G923" s="550"/>
      <c r="H923" s="551"/>
      <c r="I923" s="551"/>
      <c r="J923" s="551"/>
      <c r="K923" s="551"/>
      <c r="L923" s="551"/>
      <c r="M923" s="550"/>
      <c r="N923" s="550"/>
      <c r="O923" s="551"/>
      <c r="P923" s="551"/>
      <c r="Q923" s="550"/>
      <c r="R923" s="550"/>
      <c r="S923" s="546">
        <f t="shared" ref="S923:S986" si="171">G923+H923+I923</f>
        <v>0</v>
      </c>
      <c r="T923" s="547">
        <f t="shared" ref="T923:T986" si="172">J923+K923</f>
        <v>0</v>
      </c>
      <c r="U923" s="546">
        <f t="shared" ref="U923:U986" si="173">N923+O923</f>
        <v>0</v>
      </c>
      <c r="V923" s="548"/>
      <c r="W923" s="350">
        <f t="shared" ref="W923:W986" si="174">SUM(F923:Q923)</f>
        <v>0</v>
      </c>
      <c r="X923" s="285">
        <f t="shared" ref="X923:X986" si="175">W923-R923</f>
        <v>0</v>
      </c>
    </row>
    <row r="924" spans="1:24" s="831" customFormat="1" ht="12.75" thickBot="1">
      <c r="A924" s="596" t="s">
        <v>1499</v>
      </c>
      <c r="B924" s="541" t="s">
        <v>334</v>
      </c>
      <c r="C924" s="541" t="s">
        <v>1066</v>
      </c>
      <c r="D924" s="552" t="s">
        <v>1139</v>
      </c>
      <c r="E924" s="543"/>
      <c r="F924" s="545"/>
      <c r="G924" s="544"/>
      <c r="H924" s="545"/>
      <c r="I924" s="545"/>
      <c r="J924" s="545"/>
      <c r="K924" s="545"/>
      <c r="L924" s="545"/>
      <c r="M924" s="544"/>
      <c r="N924" s="544"/>
      <c r="O924" s="545"/>
      <c r="P924" s="545"/>
      <c r="Q924" s="544"/>
      <c r="R924" s="544"/>
      <c r="S924" s="546">
        <f t="shared" si="171"/>
        <v>0</v>
      </c>
      <c r="T924" s="547">
        <f t="shared" si="172"/>
        <v>0</v>
      </c>
      <c r="U924" s="546">
        <f t="shared" si="173"/>
        <v>0</v>
      </c>
      <c r="V924" s="548"/>
      <c r="W924" s="350">
        <f t="shared" si="174"/>
        <v>0</v>
      </c>
      <c r="X924" s="285">
        <f t="shared" si="175"/>
        <v>0</v>
      </c>
    </row>
    <row r="925" spans="1:24" s="831" customFormat="1" ht="12.75" thickBot="1">
      <c r="A925" s="596" t="s">
        <v>1499</v>
      </c>
      <c r="B925" s="541" t="s">
        <v>326</v>
      </c>
      <c r="C925" s="541" t="s">
        <v>1067</v>
      </c>
      <c r="D925" s="552" t="s">
        <v>1139</v>
      </c>
      <c r="E925" s="549"/>
      <c r="F925" s="551"/>
      <c r="G925" s="550"/>
      <c r="H925" s="551"/>
      <c r="I925" s="551"/>
      <c r="J925" s="551"/>
      <c r="K925" s="551"/>
      <c r="L925" s="551"/>
      <c r="M925" s="550"/>
      <c r="N925" s="550"/>
      <c r="O925" s="551"/>
      <c r="P925" s="551"/>
      <c r="Q925" s="550"/>
      <c r="R925" s="550"/>
      <c r="S925" s="546">
        <f t="shared" si="171"/>
        <v>0</v>
      </c>
      <c r="T925" s="547">
        <f t="shared" si="172"/>
        <v>0</v>
      </c>
      <c r="U925" s="546">
        <f t="shared" si="173"/>
        <v>0</v>
      </c>
      <c r="V925" s="548"/>
      <c r="W925" s="350">
        <f t="shared" si="174"/>
        <v>0</v>
      </c>
      <c r="X925" s="285">
        <f t="shared" si="175"/>
        <v>0</v>
      </c>
    </row>
    <row r="926" spans="1:24" s="831" customFormat="1" ht="12.75" thickBot="1">
      <c r="A926" s="596" t="s">
        <v>1499</v>
      </c>
      <c r="B926" s="541" t="s">
        <v>330</v>
      </c>
      <c r="C926" s="541" t="s">
        <v>1068</v>
      </c>
      <c r="D926" s="552" t="s">
        <v>1139</v>
      </c>
      <c r="E926" s="543"/>
      <c r="F926" s="545"/>
      <c r="G926" s="544"/>
      <c r="H926" s="545"/>
      <c r="I926" s="545"/>
      <c r="J926" s="545"/>
      <c r="K926" s="545"/>
      <c r="L926" s="545"/>
      <c r="M926" s="544"/>
      <c r="N926" s="544"/>
      <c r="O926" s="545"/>
      <c r="P926" s="545"/>
      <c r="Q926" s="544"/>
      <c r="R926" s="544"/>
      <c r="S926" s="546">
        <f t="shared" si="171"/>
        <v>0</v>
      </c>
      <c r="T926" s="547">
        <f t="shared" si="172"/>
        <v>0</v>
      </c>
      <c r="U926" s="546">
        <f t="shared" si="173"/>
        <v>0</v>
      </c>
      <c r="V926" s="548"/>
      <c r="W926" s="350">
        <f t="shared" si="174"/>
        <v>0</v>
      </c>
      <c r="X926" s="285">
        <f t="shared" si="175"/>
        <v>0</v>
      </c>
    </row>
    <row r="927" spans="1:24" s="831" customFormat="1" ht="12.75" thickBot="1">
      <c r="A927" s="596" t="s">
        <v>1499</v>
      </c>
      <c r="B927" s="541" t="s">
        <v>337</v>
      </c>
      <c r="C927" s="541" t="s">
        <v>1069</v>
      </c>
      <c r="D927" s="552" t="s">
        <v>1139</v>
      </c>
      <c r="E927" s="549"/>
      <c r="F927" s="551"/>
      <c r="G927" s="550"/>
      <c r="H927" s="551"/>
      <c r="I927" s="551"/>
      <c r="J927" s="551"/>
      <c r="K927" s="551"/>
      <c r="L927" s="551"/>
      <c r="M927" s="550"/>
      <c r="N927" s="550"/>
      <c r="O927" s="551"/>
      <c r="P927" s="551"/>
      <c r="Q927" s="550"/>
      <c r="R927" s="550"/>
      <c r="S927" s="546">
        <f t="shared" si="171"/>
        <v>0</v>
      </c>
      <c r="T927" s="547">
        <f t="shared" si="172"/>
        <v>0</v>
      </c>
      <c r="U927" s="546">
        <f t="shared" si="173"/>
        <v>0</v>
      </c>
      <c r="V927" s="548"/>
      <c r="W927" s="350">
        <f t="shared" si="174"/>
        <v>0</v>
      </c>
      <c r="X927" s="285">
        <f t="shared" si="175"/>
        <v>0</v>
      </c>
    </row>
    <row r="928" spans="1:24" s="831" customFormat="1" ht="12.75" thickBot="1">
      <c r="A928" s="596" t="s">
        <v>1499</v>
      </c>
      <c r="B928" s="541" t="s">
        <v>329</v>
      </c>
      <c r="C928" s="541" t="s">
        <v>1070</v>
      </c>
      <c r="D928" s="552" t="s">
        <v>1139</v>
      </c>
      <c r="E928" s="543"/>
      <c r="F928" s="545"/>
      <c r="G928" s="544"/>
      <c r="H928" s="545"/>
      <c r="I928" s="545"/>
      <c r="J928" s="545"/>
      <c r="K928" s="545"/>
      <c r="L928" s="545"/>
      <c r="M928" s="544"/>
      <c r="N928" s="544"/>
      <c r="O928" s="545"/>
      <c r="P928" s="545"/>
      <c r="Q928" s="544"/>
      <c r="R928" s="544"/>
      <c r="S928" s="546">
        <f t="shared" si="171"/>
        <v>0</v>
      </c>
      <c r="T928" s="547">
        <f t="shared" si="172"/>
        <v>0</v>
      </c>
      <c r="U928" s="546">
        <f t="shared" si="173"/>
        <v>0</v>
      </c>
      <c r="V928" s="548"/>
      <c r="W928" s="350">
        <f t="shared" si="174"/>
        <v>0</v>
      </c>
      <c r="X928" s="285">
        <f t="shared" si="175"/>
        <v>0</v>
      </c>
    </row>
    <row r="929" spans="1:24" s="831" customFormat="1" ht="12.75" thickBot="1">
      <c r="A929" s="596" t="s">
        <v>1499</v>
      </c>
      <c r="B929" s="541" t="s">
        <v>327</v>
      </c>
      <c r="C929" s="541" t="s">
        <v>1071</v>
      </c>
      <c r="D929" s="552" t="s">
        <v>1139</v>
      </c>
      <c r="E929" s="549"/>
      <c r="F929" s="551"/>
      <c r="G929" s="550"/>
      <c r="H929" s="551"/>
      <c r="I929" s="551"/>
      <c r="J929" s="551"/>
      <c r="K929" s="551"/>
      <c r="L929" s="551"/>
      <c r="M929" s="550"/>
      <c r="N929" s="550"/>
      <c r="O929" s="551"/>
      <c r="P929" s="551"/>
      <c r="Q929" s="550"/>
      <c r="R929" s="550"/>
      <c r="S929" s="546">
        <f t="shared" si="171"/>
        <v>0</v>
      </c>
      <c r="T929" s="547">
        <f t="shared" si="172"/>
        <v>0</v>
      </c>
      <c r="U929" s="546">
        <f t="shared" si="173"/>
        <v>0</v>
      </c>
      <c r="V929" s="548"/>
      <c r="W929" s="350">
        <f t="shared" si="174"/>
        <v>0</v>
      </c>
      <c r="X929" s="285">
        <f t="shared" si="175"/>
        <v>0</v>
      </c>
    </row>
    <row r="930" spans="1:24" s="831" customFormat="1" ht="12.75" thickBot="1">
      <c r="A930" s="596" t="s">
        <v>1499</v>
      </c>
      <c r="B930" s="541" t="s">
        <v>453</v>
      </c>
      <c r="C930" s="541" t="s">
        <v>1072</v>
      </c>
      <c r="D930" s="552" t="s">
        <v>1139</v>
      </c>
      <c r="E930" s="543"/>
      <c r="F930" s="545"/>
      <c r="G930" s="544"/>
      <c r="H930" s="545"/>
      <c r="I930" s="545"/>
      <c r="J930" s="545"/>
      <c r="K930" s="545"/>
      <c r="L930" s="545"/>
      <c r="M930" s="544"/>
      <c r="N930" s="544"/>
      <c r="O930" s="545"/>
      <c r="P930" s="545"/>
      <c r="Q930" s="545"/>
      <c r="R930" s="544"/>
      <c r="S930" s="546">
        <f t="shared" si="171"/>
        <v>0</v>
      </c>
      <c r="T930" s="547">
        <f t="shared" si="172"/>
        <v>0</v>
      </c>
      <c r="U930" s="546">
        <f t="shared" si="173"/>
        <v>0</v>
      </c>
      <c r="V930" s="548"/>
      <c r="W930" s="350">
        <f t="shared" si="174"/>
        <v>0</v>
      </c>
      <c r="X930" s="285">
        <f t="shared" si="175"/>
        <v>0</v>
      </c>
    </row>
    <row r="931" spans="1:24" s="831" customFormat="1" ht="12.75" thickBot="1">
      <c r="A931" s="596" t="s">
        <v>1499</v>
      </c>
      <c r="B931" s="541" t="s">
        <v>366</v>
      </c>
      <c r="C931" s="541" t="s">
        <v>1073</v>
      </c>
      <c r="D931" s="552" t="s">
        <v>1139</v>
      </c>
      <c r="E931" s="549"/>
      <c r="F931" s="551"/>
      <c r="G931" s="550"/>
      <c r="H931" s="551"/>
      <c r="I931" s="551"/>
      <c r="J931" s="551"/>
      <c r="K931" s="551"/>
      <c r="L931" s="551"/>
      <c r="M931" s="550"/>
      <c r="N931" s="550"/>
      <c r="O931" s="551"/>
      <c r="P931" s="551"/>
      <c r="Q931" s="550"/>
      <c r="R931" s="550"/>
      <c r="S931" s="546">
        <f t="shared" si="171"/>
        <v>0</v>
      </c>
      <c r="T931" s="547">
        <f t="shared" si="172"/>
        <v>0</v>
      </c>
      <c r="U931" s="546">
        <f t="shared" si="173"/>
        <v>0</v>
      </c>
      <c r="V931" s="548"/>
      <c r="W931" s="350">
        <f t="shared" si="174"/>
        <v>0</v>
      </c>
      <c r="X931" s="285">
        <f t="shared" si="175"/>
        <v>0</v>
      </c>
    </row>
    <row r="932" spans="1:24" s="831" customFormat="1" ht="12.75" thickBot="1">
      <c r="A932" s="596" t="s">
        <v>1499</v>
      </c>
      <c r="B932" s="541" t="s">
        <v>386</v>
      </c>
      <c r="C932" s="541" t="s">
        <v>1074</v>
      </c>
      <c r="D932" s="552" t="s">
        <v>1140</v>
      </c>
      <c r="E932" s="543"/>
      <c r="F932" s="545"/>
      <c r="G932" s="544"/>
      <c r="H932" s="545"/>
      <c r="I932" s="545"/>
      <c r="J932" s="545"/>
      <c r="K932" s="545"/>
      <c r="L932" s="545"/>
      <c r="M932" s="544"/>
      <c r="N932" s="544"/>
      <c r="O932" s="545"/>
      <c r="P932" s="545"/>
      <c r="Q932" s="544"/>
      <c r="R932" s="544"/>
      <c r="S932" s="546">
        <f t="shared" si="171"/>
        <v>0</v>
      </c>
      <c r="T932" s="547">
        <f t="shared" si="172"/>
        <v>0</v>
      </c>
      <c r="U932" s="546">
        <f t="shared" si="173"/>
        <v>0</v>
      </c>
      <c r="V932" s="548"/>
      <c r="W932" s="350">
        <f t="shared" si="174"/>
        <v>0</v>
      </c>
      <c r="X932" s="285">
        <f t="shared" si="175"/>
        <v>0</v>
      </c>
    </row>
    <row r="933" spans="1:24" s="831" customFormat="1" ht="12.75" thickBot="1">
      <c r="A933" s="596" t="s">
        <v>1499</v>
      </c>
      <c r="B933" s="541" t="s">
        <v>342</v>
      </c>
      <c r="C933" s="541" t="s">
        <v>251</v>
      </c>
      <c r="D933" s="552" t="s">
        <v>1139</v>
      </c>
      <c r="E933" s="549"/>
      <c r="F933" s="551"/>
      <c r="G933" s="550"/>
      <c r="H933" s="551"/>
      <c r="I933" s="551"/>
      <c r="J933" s="551"/>
      <c r="K933" s="551"/>
      <c r="L933" s="551"/>
      <c r="M933" s="550"/>
      <c r="N933" s="550"/>
      <c r="O933" s="551"/>
      <c r="P933" s="551"/>
      <c r="Q933" s="550"/>
      <c r="R933" s="550"/>
      <c r="S933" s="546">
        <f t="shared" si="171"/>
        <v>0</v>
      </c>
      <c r="T933" s="547">
        <f t="shared" si="172"/>
        <v>0</v>
      </c>
      <c r="U933" s="546">
        <f t="shared" si="173"/>
        <v>0</v>
      </c>
      <c r="V933" s="548"/>
      <c r="W933" s="350">
        <f t="shared" si="174"/>
        <v>0</v>
      </c>
      <c r="X933" s="285">
        <f t="shared" si="175"/>
        <v>0</v>
      </c>
    </row>
    <row r="934" spans="1:24" s="831" customFormat="1" ht="12.75" thickBot="1">
      <c r="A934" s="596" t="s">
        <v>1499</v>
      </c>
      <c r="B934" s="541" t="s">
        <v>382</v>
      </c>
      <c r="C934" s="541" t="s">
        <v>1075</v>
      </c>
      <c r="D934" s="552" t="s">
        <v>1140</v>
      </c>
      <c r="E934" s="543"/>
      <c r="F934" s="545"/>
      <c r="G934" s="544"/>
      <c r="H934" s="545"/>
      <c r="I934" s="545"/>
      <c r="J934" s="545"/>
      <c r="K934" s="545"/>
      <c r="L934" s="545"/>
      <c r="M934" s="544"/>
      <c r="N934" s="544"/>
      <c r="O934" s="545"/>
      <c r="P934" s="545"/>
      <c r="Q934" s="544"/>
      <c r="R934" s="544"/>
      <c r="S934" s="546">
        <f t="shared" si="171"/>
        <v>0</v>
      </c>
      <c r="T934" s="547">
        <f t="shared" si="172"/>
        <v>0</v>
      </c>
      <c r="U934" s="546">
        <f t="shared" si="173"/>
        <v>0</v>
      </c>
      <c r="V934" s="548"/>
      <c r="W934" s="350">
        <f t="shared" si="174"/>
        <v>0</v>
      </c>
      <c r="X934" s="285">
        <f t="shared" si="175"/>
        <v>0</v>
      </c>
    </row>
    <row r="935" spans="1:24" s="831" customFormat="1" ht="12.75" thickBot="1">
      <c r="A935" s="596" t="s">
        <v>1499</v>
      </c>
      <c r="B935" s="541" t="s">
        <v>360</v>
      </c>
      <c r="C935" s="541" t="s">
        <v>1076</v>
      </c>
      <c r="D935" s="552" t="s">
        <v>1140</v>
      </c>
      <c r="E935" s="549"/>
      <c r="F935" s="551"/>
      <c r="G935" s="550"/>
      <c r="H935" s="551"/>
      <c r="I935" s="551"/>
      <c r="J935" s="551"/>
      <c r="K935" s="551"/>
      <c r="L935" s="551"/>
      <c r="M935" s="550"/>
      <c r="N935" s="550"/>
      <c r="O935" s="551"/>
      <c r="P935" s="551"/>
      <c r="Q935" s="550"/>
      <c r="R935" s="550"/>
      <c r="S935" s="546">
        <f t="shared" si="171"/>
        <v>0</v>
      </c>
      <c r="T935" s="547">
        <f t="shared" si="172"/>
        <v>0</v>
      </c>
      <c r="U935" s="546">
        <f t="shared" si="173"/>
        <v>0</v>
      </c>
      <c r="V935" s="548"/>
      <c r="W935" s="350">
        <f t="shared" si="174"/>
        <v>0</v>
      </c>
      <c r="X935" s="285">
        <f t="shared" si="175"/>
        <v>0</v>
      </c>
    </row>
    <row r="936" spans="1:24" s="831" customFormat="1" ht="12.75" thickBot="1">
      <c r="A936" s="596" t="s">
        <v>1499</v>
      </c>
      <c r="B936" s="541" t="s">
        <v>368</v>
      </c>
      <c r="C936" s="541" t="s">
        <v>1077</v>
      </c>
      <c r="D936" s="552" t="s">
        <v>1139</v>
      </c>
      <c r="E936" s="543"/>
      <c r="F936" s="545"/>
      <c r="G936" s="544"/>
      <c r="H936" s="545"/>
      <c r="I936" s="545"/>
      <c r="J936" s="545"/>
      <c r="K936" s="545"/>
      <c r="L936" s="545"/>
      <c r="M936" s="544"/>
      <c r="N936" s="544"/>
      <c r="O936" s="545"/>
      <c r="P936" s="545"/>
      <c r="Q936" s="544"/>
      <c r="R936" s="544"/>
      <c r="S936" s="546">
        <f t="shared" si="171"/>
        <v>0</v>
      </c>
      <c r="T936" s="547">
        <f t="shared" si="172"/>
        <v>0</v>
      </c>
      <c r="U936" s="546">
        <f t="shared" si="173"/>
        <v>0</v>
      </c>
      <c r="V936" s="548"/>
      <c r="W936" s="350">
        <f t="shared" si="174"/>
        <v>0</v>
      </c>
      <c r="X936" s="285">
        <f t="shared" si="175"/>
        <v>0</v>
      </c>
    </row>
    <row r="937" spans="1:24" s="831" customFormat="1" ht="12.75" thickBot="1">
      <c r="A937" s="596" t="s">
        <v>1499</v>
      </c>
      <c r="B937" s="541" t="s">
        <v>370</v>
      </c>
      <c r="C937" s="541" t="s">
        <v>1078</v>
      </c>
      <c r="D937" s="552" t="s">
        <v>1140</v>
      </c>
      <c r="E937" s="549"/>
      <c r="F937" s="551"/>
      <c r="G937" s="550"/>
      <c r="H937" s="551"/>
      <c r="I937" s="551"/>
      <c r="J937" s="551"/>
      <c r="K937" s="551"/>
      <c r="L937" s="551"/>
      <c r="M937" s="550"/>
      <c r="N937" s="550"/>
      <c r="O937" s="551"/>
      <c r="P937" s="551"/>
      <c r="Q937" s="550"/>
      <c r="R937" s="550"/>
      <c r="S937" s="546">
        <f t="shared" si="171"/>
        <v>0</v>
      </c>
      <c r="T937" s="547">
        <f t="shared" si="172"/>
        <v>0</v>
      </c>
      <c r="U937" s="546">
        <f t="shared" si="173"/>
        <v>0</v>
      </c>
      <c r="V937" s="548"/>
      <c r="W937" s="350">
        <f t="shared" si="174"/>
        <v>0</v>
      </c>
      <c r="X937" s="285">
        <f t="shared" si="175"/>
        <v>0</v>
      </c>
    </row>
    <row r="938" spans="1:24" s="831" customFormat="1" ht="12.75" thickBot="1">
      <c r="A938" s="596" t="s">
        <v>1499</v>
      </c>
      <c r="B938" s="541" t="s">
        <v>393</v>
      </c>
      <c r="C938" s="541" t="s">
        <v>1079</v>
      </c>
      <c r="D938" s="552" t="s">
        <v>1140</v>
      </c>
      <c r="E938" s="543"/>
      <c r="F938" s="545"/>
      <c r="G938" s="544"/>
      <c r="H938" s="545"/>
      <c r="I938" s="545"/>
      <c r="J938" s="545"/>
      <c r="K938" s="545"/>
      <c r="L938" s="545"/>
      <c r="M938" s="544"/>
      <c r="N938" s="544"/>
      <c r="O938" s="545"/>
      <c r="P938" s="545"/>
      <c r="Q938" s="544"/>
      <c r="R938" s="544"/>
      <c r="S938" s="546">
        <f t="shared" si="171"/>
        <v>0</v>
      </c>
      <c r="T938" s="547">
        <f t="shared" si="172"/>
        <v>0</v>
      </c>
      <c r="U938" s="546">
        <f t="shared" si="173"/>
        <v>0</v>
      </c>
      <c r="V938" s="548"/>
      <c r="W938" s="350">
        <f t="shared" si="174"/>
        <v>0</v>
      </c>
      <c r="X938" s="285">
        <f t="shared" si="175"/>
        <v>0</v>
      </c>
    </row>
    <row r="939" spans="1:24" s="831" customFormat="1" ht="12.75" thickBot="1">
      <c r="A939" s="596" t="s">
        <v>1499</v>
      </c>
      <c r="B939" s="541" t="s">
        <v>371</v>
      </c>
      <c r="C939" s="541" t="s">
        <v>1080</v>
      </c>
      <c r="D939" s="552" t="s">
        <v>1139</v>
      </c>
      <c r="E939" s="549"/>
      <c r="F939" s="551"/>
      <c r="G939" s="550"/>
      <c r="H939" s="551"/>
      <c r="I939" s="551"/>
      <c r="J939" s="551"/>
      <c r="K939" s="551"/>
      <c r="L939" s="551"/>
      <c r="M939" s="550"/>
      <c r="N939" s="550"/>
      <c r="O939" s="551"/>
      <c r="P939" s="551"/>
      <c r="Q939" s="550"/>
      <c r="R939" s="550"/>
      <c r="S939" s="546">
        <f t="shared" si="171"/>
        <v>0</v>
      </c>
      <c r="T939" s="547">
        <f t="shared" si="172"/>
        <v>0</v>
      </c>
      <c r="U939" s="546">
        <f t="shared" si="173"/>
        <v>0</v>
      </c>
      <c r="V939" s="548"/>
      <c r="W939" s="350">
        <f t="shared" si="174"/>
        <v>0</v>
      </c>
      <c r="X939" s="285">
        <f t="shared" si="175"/>
        <v>0</v>
      </c>
    </row>
    <row r="940" spans="1:24" s="831" customFormat="1" ht="12.75" thickBot="1">
      <c r="A940" s="596" t="s">
        <v>1499</v>
      </c>
      <c r="B940" s="541" t="s">
        <v>394</v>
      </c>
      <c r="C940" s="541" t="s">
        <v>1081</v>
      </c>
      <c r="D940" s="552" t="s">
        <v>1139</v>
      </c>
      <c r="E940" s="543"/>
      <c r="F940" s="545"/>
      <c r="G940" s="544"/>
      <c r="H940" s="545"/>
      <c r="I940" s="545"/>
      <c r="J940" s="545"/>
      <c r="K940" s="545"/>
      <c r="L940" s="545"/>
      <c r="M940" s="544"/>
      <c r="N940" s="544"/>
      <c r="O940" s="545"/>
      <c r="P940" s="545"/>
      <c r="Q940" s="544"/>
      <c r="R940" s="544"/>
      <c r="S940" s="546">
        <f t="shared" si="171"/>
        <v>0</v>
      </c>
      <c r="T940" s="547">
        <f t="shared" si="172"/>
        <v>0</v>
      </c>
      <c r="U940" s="546">
        <f t="shared" si="173"/>
        <v>0</v>
      </c>
      <c r="V940" s="548"/>
      <c r="W940" s="350">
        <f t="shared" si="174"/>
        <v>0</v>
      </c>
      <c r="X940" s="285">
        <f t="shared" si="175"/>
        <v>0</v>
      </c>
    </row>
    <row r="941" spans="1:24" s="831" customFormat="1" ht="12.75" thickBot="1">
      <c r="A941" s="596" t="s">
        <v>1499</v>
      </c>
      <c r="B941" s="541" t="s">
        <v>389</v>
      </c>
      <c r="C941" s="541" t="s">
        <v>1082</v>
      </c>
      <c r="D941" s="552" t="s">
        <v>1139</v>
      </c>
      <c r="E941" s="549"/>
      <c r="F941" s="551"/>
      <c r="G941" s="550"/>
      <c r="H941" s="551"/>
      <c r="I941" s="551"/>
      <c r="J941" s="551"/>
      <c r="K941" s="551"/>
      <c r="L941" s="551"/>
      <c r="M941" s="550"/>
      <c r="N941" s="550"/>
      <c r="O941" s="551"/>
      <c r="P941" s="551"/>
      <c r="Q941" s="550"/>
      <c r="R941" s="550"/>
      <c r="S941" s="546">
        <f t="shared" si="171"/>
        <v>0</v>
      </c>
      <c r="T941" s="547">
        <f t="shared" si="172"/>
        <v>0</v>
      </c>
      <c r="U941" s="546">
        <f t="shared" si="173"/>
        <v>0</v>
      </c>
      <c r="V941" s="548"/>
      <c r="W941" s="350">
        <f t="shared" si="174"/>
        <v>0</v>
      </c>
      <c r="X941" s="285">
        <f t="shared" si="175"/>
        <v>0</v>
      </c>
    </row>
    <row r="942" spans="1:24" s="831" customFormat="1" ht="12.75" thickBot="1">
      <c r="A942" s="596" t="s">
        <v>1499</v>
      </c>
      <c r="B942" s="541" t="s">
        <v>310</v>
      </c>
      <c r="C942" s="541" t="s">
        <v>1083</v>
      </c>
      <c r="D942" s="552" t="s">
        <v>1140</v>
      </c>
      <c r="E942" s="543"/>
      <c r="F942" s="545"/>
      <c r="G942" s="544"/>
      <c r="H942" s="545"/>
      <c r="I942" s="545"/>
      <c r="J942" s="545"/>
      <c r="K942" s="545"/>
      <c r="L942" s="545"/>
      <c r="M942" s="544"/>
      <c r="N942" s="544"/>
      <c r="O942" s="545"/>
      <c r="P942" s="545"/>
      <c r="Q942" s="544"/>
      <c r="R942" s="544"/>
      <c r="S942" s="546">
        <f t="shared" si="171"/>
        <v>0</v>
      </c>
      <c r="T942" s="547">
        <f t="shared" si="172"/>
        <v>0</v>
      </c>
      <c r="U942" s="546">
        <f t="shared" si="173"/>
        <v>0</v>
      </c>
      <c r="V942" s="548"/>
      <c r="W942" s="350">
        <f t="shared" si="174"/>
        <v>0</v>
      </c>
      <c r="X942" s="285">
        <f t="shared" si="175"/>
        <v>0</v>
      </c>
    </row>
    <row r="943" spans="1:24" s="831" customFormat="1" ht="12.75" thickBot="1">
      <c r="A943" s="596" t="s">
        <v>1499</v>
      </c>
      <c r="B943" s="541" t="s">
        <v>340</v>
      </c>
      <c r="C943" s="541" t="s">
        <v>1084</v>
      </c>
      <c r="D943" s="552" t="s">
        <v>1140</v>
      </c>
      <c r="E943" s="549"/>
      <c r="F943" s="551"/>
      <c r="G943" s="550"/>
      <c r="H943" s="551"/>
      <c r="I943" s="551"/>
      <c r="J943" s="551"/>
      <c r="K943" s="551"/>
      <c r="L943" s="551"/>
      <c r="M943" s="550"/>
      <c r="N943" s="550"/>
      <c r="O943" s="551"/>
      <c r="P943" s="551"/>
      <c r="Q943" s="550"/>
      <c r="R943" s="550"/>
      <c r="S943" s="546">
        <f t="shared" si="171"/>
        <v>0</v>
      </c>
      <c r="T943" s="547">
        <f t="shared" si="172"/>
        <v>0</v>
      </c>
      <c r="U943" s="546">
        <f t="shared" si="173"/>
        <v>0</v>
      </c>
      <c r="V943" s="548"/>
      <c r="W943" s="350">
        <f t="shared" si="174"/>
        <v>0</v>
      </c>
      <c r="X943" s="285">
        <f t="shared" si="175"/>
        <v>0</v>
      </c>
    </row>
    <row r="944" spans="1:24" s="831" customFormat="1" ht="12.75" thickBot="1">
      <c r="A944" s="596" t="s">
        <v>1499</v>
      </c>
      <c r="B944" s="541" t="s">
        <v>358</v>
      </c>
      <c r="C944" s="541" t="s">
        <v>1085</v>
      </c>
      <c r="D944" s="552" t="s">
        <v>1140</v>
      </c>
      <c r="E944" s="543"/>
      <c r="F944" s="545"/>
      <c r="G944" s="544"/>
      <c r="H944" s="545"/>
      <c r="I944" s="545"/>
      <c r="J944" s="545"/>
      <c r="K944" s="545"/>
      <c r="L944" s="545"/>
      <c r="M944" s="544"/>
      <c r="N944" s="544"/>
      <c r="O944" s="545"/>
      <c r="P944" s="545"/>
      <c r="Q944" s="544"/>
      <c r="R944" s="544"/>
      <c r="S944" s="546">
        <f t="shared" si="171"/>
        <v>0</v>
      </c>
      <c r="T944" s="547">
        <f t="shared" si="172"/>
        <v>0</v>
      </c>
      <c r="U944" s="546">
        <f t="shared" si="173"/>
        <v>0</v>
      </c>
      <c r="V944" s="548"/>
      <c r="W944" s="350">
        <f t="shared" si="174"/>
        <v>0</v>
      </c>
      <c r="X944" s="285">
        <f t="shared" si="175"/>
        <v>0</v>
      </c>
    </row>
    <row r="945" spans="1:24" s="831" customFormat="1" ht="12.75" thickBot="1">
      <c r="A945" s="596" t="s">
        <v>1499</v>
      </c>
      <c r="B945" s="541" t="s">
        <v>383</v>
      </c>
      <c r="C945" s="541" t="s">
        <v>1086</v>
      </c>
      <c r="D945" s="552" t="s">
        <v>1140</v>
      </c>
      <c r="E945" s="549"/>
      <c r="F945" s="551"/>
      <c r="G945" s="550"/>
      <c r="H945" s="551"/>
      <c r="I945" s="551"/>
      <c r="J945" s="551"/>
      <c r="K945" s="551"/>
      <c r="L945" s="551"/>
      <c r="M945" s="550"/>
      <c r="N945" s="550"/>
      <c r="O945" s="551"/>
      <c r="P945" s="551"/>
      <c r="Q945" s="550"/>
      <c r="R945" s="550"/>
      <c r="S945" s="546">
        <f t="shared" si="171"/>
        <v>0</v>
      </c>
      <c r="T945" s="547">
        <f t="shared" si="172"/>
        <v>0</v>
      </c>
      <c r="U945" s="546">
        <f t="shared" si="173"/>
        <v>0</v>
      </c>
      <c r="V945" s="548"/>
      <c r="W945" s="350">
        <f t="shared" si="174"/>
        <v>0</v>
      </c>
      <c r="X945" s="285">
        <f t="shared" si="175"/>
        <v>0</v>
      </c>
    </row>
    <row r="946" spans="1:24" s="831" customFormat="1" ht="12.75" thickBot="1">
      <c r="A946" s="596" t="s">
        <v>1499</v>
      </c>
      <c r="B946" s="541" t="s">
        <v>375</v>
      </c>
      <c r="C946" s="541" t="s">
        <v>1087</v>
      </c>
      <c r="D946" s="552" t="s">
        <v>1140</v>
      </c>
      <c r="E946" s="543"/>
      <c r="F946" s="545"/>
      <c r="G946" s="544"/>
      <c r="H946" s="545"/>
      <c r="I946" s="545"/>
      <c r="J946" s="545"/>
      <c r="K946" s="545"/>
      <c r="L946" s="545"/>
      <c r="M946" s="544"/>
      <c r="N946" s="544"/>
      <c r="O946" s="545"/>
      <c r="P946" s="545"/>
      <c r="Q946" s="544"/>
      <c r="R946" s="544"/>
      <c r="S946" s="546">
        <f t="shared" si="171"/>
        <v>0</v>
      </c>
      <c r="T946" s="547">
        <f t="shared" si="172"/>
        <v>0</v>
      </c>
      <c r="U946" s="546">
        <f t="shared" si="173"/>
        <v>0</v>
      </c>
      <c r="V946" s="548"/>
      <c r="W946" s="350">
        <f t="shared" si="174"/>
        <v>0</v>
      </c>
      <c r="X946" s="285">
        <f t="shared" si="175"/>
        <v>0</v>
      </c>
    </row>
    <row r="947" spans="1:24" s="831" customFormat="1" ht="12.75" thickBot="1">
      <c r="A947" s="596" t="s">
        <v>1499</v>
      </c>
      <c r="B947" s="541" t="s">
        <v>400</v>
      </c>
      <c r="C947" s="541" t="s">
        <v>1088</v>
      </c>
      <c r="D947" s="552" t="s">
        <v>1139</v>
      </c>
      <c r="E947" s="549"/>
      <c r="F947" s="551"/>
      <c r="G947" s="550"/>
      <c r="H947" s="551"/>
      <c r="I947" s="551"/>
      <c r="J947" s="551"/>
      <c r="K947" s="551"/>
      <c r="L947" s="551"/>
      <c r="M947" s="550"/>
      <c r="N947" s="550"/>
      <c r="O947" s="551"/>
      <c r="P947" s="551"/>
      <c r="Q947" s="550"/>
      <c r="R947" s="550"/>
      <c r="S947" s="546">
        <f t="shared" si="171"/>
        <v>0</v>
      </c>
      <c r="T947" s="547">
        <f t="shared" si="172"/>
        <v>0</v>
      </c>
      <c r="U947" s="546">
        <f t="shared" si="173"/>
        <v>0</v>
      </c>
      <c r="V947" s="548"/>
      <c r="W947" s="350">
        <f t="shared" si="174"/>
        <v>0</v>
      </c>
      <c r="X947" s="285">
        <f t="shared" si="175"/>
        <v>0</v>
      </c>
    </row>
    <row r="948" spans="1:24" s="831" customFormat="1" ht="12.75" thickBot="1">
      <c r="A948" s="596" t="s">
        <v>1499</v>
      </c>
      <c r="B948" s="541" t="s">
        <v>391</v>
      </c>
      <c r="C948" s="541" t="s">
        <v>1089</v>
      </c>
      <c r="D948" s="552" t="s">
        <v>1139</v>
      </c>
      <c r="E948" s="543"/>
      <c r="F948" s="545"/>
      <c r="G948" s="544"/>
      <c r="H948" s="545"/>
      <c r="I948" s="545"/>
      <c r="J948" s="545"/>
      <c r="K948" s="545"/>
      <c r="L948" s="545"/>
      <c r="M948" s="544"/>
      <c r="N948" s="544"/>
      <c r="O948" s="545"/>
      <c r="P948" s="545"/>
      <c r="Q948" s="544"/>
      <c r="R948" s="544"/>
      <c r="S948" s="546">
        <f t="shared" si="171"/>
        <v>0</v>
      </c>
      <c r="T948" s="547">
        <f t="shared" si="172"/>
        <v>0</v>
      </c>
      <c r="U948" s="546">
        <f t="shared" si="173"/>
        <v>0</v>
      </c>
      <c r="V948" s="548"/>
      <c r="W948" s="350">
        <f t="shared" si="174"/>
        <v>0</v>
      </c>
      <c r="X948" s="285">
        <f t="shared" si="175"/>
        <v>0</v>
      </c>
    </row>
    <row r="949" spans="1:24" s="831" customFormat="1" ht="12.75" thickBot="1">
      <c r="A949" s="596" t="s">
        <v>1499</v>
      </c>
      <c r="B949" s="541" t="s">
        <v>357</v>
      </c>
      <c r="C949" s="541" t="s">
        <v>1090</v>
      </c>
      <c r="D949" s="552" t="s">
        <v>1140</v>
      </c>
      <c r="E949" s="549"/>
      <c r="F949" s="551"/>
      <c r="G949" s="550"/>
      <c r="H949" s="551"/>
      <c r="I949" s="551"/>
      <c r="J949" s="551"/>
      <c r="K949" s="551"/>
      <c r="L949" s="551"/>
      <c r="M949" s="550"/>
      <c r="N949" s="550"/>
      <c r="O949" s="551"/>
      <c r="P949" s="551"/>
      <c r="Q949" s="550"/>
      <c r="R949" s="550"/>
      <c r="S949" s="546">
        <f t="shared" si="171"/>
        <v>0</v>
      </c>
      <c r="T949" s="547">
        <f t="shared" si="172"/>
        <v>0</v>
      </c>
      <c r="U949" s="546">
        <f t="shared" si="173"/>
        <v>0</v>
      </c>
      <c r="V949" s="548"/>
      <c r="W949" s="350">
        <f t="shared" si="174"/>
        <v>0</v>
      </c>
      <c r="X949" s="285">
        <f t="shared" si="175"/>
        <v>0</v>
      </c>
    </row>
    <row r="950" spans="1:24" s="831" customFormat="1" ht="12.75" thickBot="1">
      <c r="A950" s="596" t="s">
        <v>1499</v>
      </c>
      <c r="B950" s="541" t="s">
        <v>359</v>
      </c>
      <c r="C950" s="541" t="s">
        <v>1091</v>
      </c>
      <c r="D950" s="552" t="s">
        <v>1140</v>
      </c>
      <c r="E950" s="543"/>
      <c r="F950" s="545"/>
      <c r="G950" s="544"/>
      <c r="H950" s="545"/>
      <c r="I950" s="545"/>
      <c r="J950" s="545"/>
      <c r="K950" s="545"/>
      <c r="L950" s="545"/>
      <c r="M950" s="544"/>
      <c r="N950" s="544"/>
      <c r="O950" s="545"/>
      <c r="P950" s="545"/>
      <c r="Q950" s="544"/>
      <c r="R950" s="544"/>
      <c r="S950" s="546">
        <f t="shared" si="171"/>
        <v>0</v>
      </c>
      <c r="T950" s="547">
        <f t="shared" si="172"/>
        <v>0</v>
      </c>
      <c r="U950" s="546">
        <f t="shared" si="173"/>
        <v>0</v>
      </c>
      <c r="V950" s="548"/>
      <c r="W950" s="350">
        <f t="shared" si="174"/>
        <v>0</v>
      </c>
      <c r="X950" s="285">
        <f t="shared" si="175"/>
        <v>0</v>
      </c>
    </row>
    <row r="951" spans="1:24" s="831" customFormat="1" ht="12.75" thickBot="1">
      <c r="A951" s="596" t="s">
        <v>1499</v>
      </c>
      <c r="B951" s="541" t="s">
        <v>385</v>
      </c>
      <c r="C951" s="541" t="s">
        <v>1092</v>
      </c>
      <c r="D951" s="552" t="s">
        <v>1140</v>
      </c>
      <c r="E951" s="549"/>
      <c r="F951" s="551"/>
      <c r="G951" s="550"/>
      <c r="H951" s="551"/>
      <c r="I951" s="551"/>
      <c r="J951" s="551"/>
      <c r="K951" s="551"/>
      <c r="L951" s="551"/>
      <c r="M951" s="550"/>
      <c r="N951" s="550"/>
      <c r="O951" s="551"/>
      <c r="P951" s="551"/>
      <c r="Q951" s="550"/>
      <c r="R951" s="550"/>
      <c r="S951" s="546">
        <f t="shared" si="171"/>
        <v>0</v>
      </c>
      <c r="T951" s="547">
        <f t="shared" si="172"/>
        <v>0</v>
      </c>
      <c r="U951" s="546">
        <f t="shared" si="173"/>
        <v>0</v>
      </c>
      <c r="V951" s="548"/>
      <c r="W951" s="350">
        <f t="shared" si="174"/>
        <v>0</v>
      </c>
      <c r="X951" s="285">
        <f t="shared" si="175"/>
        <v>0</v>
      </c>
    </row>
    <row r="952" spans="1:24" s="831" customFormat="1" ht="12.75" thickBot="1">
      <c r="A952" s="596" t="s">
        <v>1499</v>
      </c>
      <c r="B952" s="541" t="s">
        <v>312</v>
      </c>
      <c r="C952" s="541" t="s">
        <v>1093</v>
      </c>
      <c r="D952" s="552" t="s">
        <v>1140</v>
      </c>
      <c r="E952" s="543"/>
      <c r="F952" s="545"/>
      <c r="G952" s="544"/>
      <c r="H952" s="545"/>
      <c r="I952" s="545"/>
      <c r="J952" s="545"/>
      <c r="K952" s="545"/>
      <c r="L952" s="545"/>
      <c r="M952" s="544"/>
      <c r="N952" s="544"/>
      <c r="O952" s="545"/>
      <c r="P952" s="545"/>
      <c r="Q952" s="544"/>
      <c r="R952" s="544"/>
      <c r="S952" s="546">
        <f t="shared" si="171"/>
        <v>0</v>
      </c>
      <c r="T952" s="547">
        <f t="shared" si="172"/>
        <v>0</v>
      </c>
      <c r="U952" s="546">
        <f t="shared" si="173"/>
        <v>0</v>
      </c>
      <c r="V952" s="548"/>
      <c r="W952" s="350">
        <f t="shared" si="174"/>
        <v>0</v>
      </c>
      <c r="X952" s="285">
        <f t="shared" si="175"/>
        <v>0</v>
      </c>
    </row>
    <row r="953" spans="1:24" s="831" customFormat="1" ht="12.75" thickBot="1">
      <c r="A953" s="596" t="s">
        <v>1499</v>
      </c>
      <c r="B953" s="541" t="s">
        <v>421</v>
      </c>
      <c r="C953" s="541" t="s">
        <v>1094</v>
      </c>
      <c r="D953" s="552" t="s">
        <v>1140</v>
      </c>
      <c r="E953" s="549"/>
      <c r="F953" s="551"/>
      <c r="G953" s="550"/>
      <c r="H953" s="551"/>
      <c r="I953" s="551"/>
      <c r="J953" s="551"/>
      <c r="K953" s="551"/>
      <c r="L953" s="551"/>
      <c r="M953" s="550"/>
      <c r="N953" s="550"/>
      <c r="O953" s="551"/>
      <c r="P953" s="551"/>
      <c r="Q953" s="550"/>
      <c r="R953" s="550"/>
      <c r="S953" s="546">
        <f t="shared" si="171"/>
        <v>0</v>
      </c>
      <c r="T953" s="547">
        <f t="shared" si="172"/>
        <v>0</v>
      </c>
      <c r="U953" s="546">
        <f t="shared" si="173"/>
        <v>0</v>
      </c>
      <c r="V953" s="548"/>
      <c r="W953" s="350">
        <f t="shared" si="174"/>
        <v>0</v>
      </c>
      <c r="X953" s="285">
        <f t="shared" si="175"/>
        <v>0</v>
      </c>
    </row>
    <row r="954" spans="1:24" s="831" customFormat="1" ht="12.75" thickBot="1">
      <c r="A954" s="596" t="s">
        <v>1499</v>
      </c>
      <c r="B954" s="541" t="s">
        <v>322</v>
      </c>
      <c r="C954" s="541" t="s">
        <v>1095</v>
      </c>
      <c r="D954" s="552" t="s">
        <v>1139</v>
      </c>
      <c r="E954" s="543"/>
      <c r="F954" s="545"/>
      <c r="G954" s="544"/>
      <c r="H954" s="545"/>
      <c r="I954" s="545"/>
      <c r="J954" s="545"/>
      <c r="K954" s="545"/>
      <c r="L954" s="545"/>
      <c r="M954" s="544"/>
      <c r="N954" s="544"/>
      <c r="O954" s="545"/>
      <c r="P954" s="545"/>
      <c r="Q954" s="544"/>
      <c r="R954" s="544"/>
      <c r="S954" s="546">
        <f t="shared" si="171"/>
        <v>0</v>
      </c>
      <c r="T954" s="547">
        <f t="shared" si="172"/>
        <v>0</v>
      </c>
      <c r="U954" s="546">
        <f t="shared" si="173"/>
        <v>0</v>
      </c>
      <c r="V954" s="548"/>
      <c r="W954" s="350">
        <f t="shared" si="174"/>
        <v>0</v>
      </c>
      <c r="X954" s="285">
        <f t="shared" si="175"/>
        <v>0</v>
      </c>
    </row>
    <row r="955" spans="1:24" s="831" customFormat="1" ht="12.75" thickBot="1">
      <c r="A955" s="596" t="s">
        <v>1499</v>
      </c>
      <c r="B955" s="541" t="s">
        <v>354</v>
      </c>
      <c r="C955" s="541" t="s">
        <v>1096</v>
      </c>
      <c r="D955" s="552" t="s">
        <v>1139</v>
      </c>
      <c r="E955" s="549"/>
      <c r="F955" s="551"/>
      <c r="G955" s="550"/>
      <c r="H955" s="551"/>
      <c r="I955" s="551"/>
      <c r="J955" s="551"/>
      <c r="K955" s="551"/>
      <c r="L955" s="551"/>
      <c r="M955" s="550"/>
      <c r="N955" s="550"/>
      <c r="O955" s="551"/>
      <c r="P955" s="551"/>
      <c r="Q955" s="550"/>
      <c r="R955" s="550"/>
      <c r="S955" s="546">
        <f t="shared" si="171"/>
        <v>0</v>
      </c>
      <c r="T955" s="547">
        <f t="shared" si="172"/>
        <v>0</v>
      </c>
      <c r="U955" s="546">
        <f t="shared" si="173"/>
        <v>0</v>
      </c>
      <c r="V955" s="548"/>
      <c r="W955" s="350">
        <f t="shared" si="174"/>
        <v>0</v>
      </c>
      <c r="X955" s="285">
        <f t="shared" si="175"/>
        <v>0</v>
      </c>
    </row>
    <row r="956" spans="1:24" s="831" customFormat="1" ht="12.75" thickBot="1">
      <c r="A956" s="596" t="s">
        <v>1499</v>
      </c>
      <c r="B956" s="541" t="s">
        <v>317</v>
      </c>
      <c r="C956" s="541" t="s">
        <v>1097</v>
      </c>
      <c r="D956" s="552" t="s">
        <v>1139</v>
      </c>
      <c r="E956" s="543"/>
      <c r="F956" s="545"/>
      <c r="G956" s="544"/>
      <c r="H956" s="545"/>
      <c r="I956" s="545"/>
      <c r="J956" s="545"/>
      <c r="K956" s="545"/>
      <c r="L956" s="545"/>
      <c r="M956" s="544"/>
      <c r="N956" s="544"/>
      <c r="O956" s="545"/>
      <c r="P956" s="545"/>
      <c r="Q956" s="544"/>
      <c r="R956" s="544"/>
      <c r="S956" s="546">
        <f t="shared" si="171"/>
        <v>0</v>
      </c>
      <c r="T956" s="547">
        <f t="shared" si="172"/>
        <v>0</v>
      </c>
      <c r="U956" s="546">
        <f t="shared" si="173"/>
        <v>0</v>
      </c>
      <c r="V956" s="548"/>
      <c r="W956" s="350">
        <f t="shared" si="174"/>
        <v>0</v>
      </c>
      <c r="X956" s="285">
        <f t="shared" si="175"/>
        <v>0</v>
      </c>
    </row>
    <row r="957" spans="1:24" s="831" customFormat="1" ht="12.75" thickBot="1">
      <c r="A957" s="596" t="s">
        <v>1499</v>
      </c>
      <c r="B957" s="541" t="s">
        <v>320</v>
      </c>
      <c r="C957" s="541" t="s">
        <v>1098</v>
      </c>
      <c r="D957" s="552" t="s">
        <v>1140</v>
      </c>
      <c r="E957" s="549"/>
      <c r="F957" s="551"/>
      <c r="G957" s="550"/>
      <c r="H957" s="551"/>
      <c r="I957" s="551"/>
      <c r="J957" s="551"/>
      <c r="K957" s="551"/>
      <c r="L957" s="551"/>
      <c r="M957" s="550"/>
      <c r="N957" s="550"/>
      <c r="O957" s="551"/>
      <c r="P957" s="551"/>
      <c r="Q957" s="550"/>
      <c r="R957" s="550"/>
      <c r="S957" s="546">
        <f t="shared" si="171"/>
        <v>0</v>
      </c>
      <c r="T957" s="547">
        <f t="shared" si="172"/>
        <v>0</v>
      </c>
      <c r="U957" s="546">
        <f t="shared" si="173"/>
        <v>0</v>
      </c>
      <c r="V957" s="548"/>
      <c r="W957" s="350">
        <f t="shared" si="174"/>
        <v>0</v>
      </c>
      <c r="X957" s="285">
        <f t="shared" si="175"/>
        <v>0</v>
      </c>
    </row>
    <row r="958" spans="1:24" s="831" customFormat="1" ht="12.75" thickBot="1">
      <c r="A958" s="596" t="s">
        <v>1499</v>
      </c>
      <c r="B958" s="541" t="s">
        <v>352</v>
      </c>
      <c r="C958" s="541" t="s">
        <v>1099</v>
      </c>
      <c r="D958" s="552" t="s">
        <v>1140</v>
      </c>
      <c r="E958" s="543"/>
      <c r="F958" s="545"/>
      <c r="G958" s="544"/>
      <c r="H958" s="545"/>
      <c r="I958" s="545"/>
      <c r="J958" s="545"/>
      <c r="K958" s="545"/>
      <c r="L958" s="545"/>
      <c r="M958" s="544"/>
      <c r="N958" s="544"/>
      <c r="O958" s="545"/>
      <c r="P958" s="545"/>
      <c r="Q958" s="544"/>
      <c r="R958" s="544"/>
      <c r="S958" s="546">
        <f t="shared" si="171"/>
        <v>0</v>
      </c>
      <c r="T958" s="547">
        <f t="shared" si="172"/>
        <v>0</v>
      </c>
      <c r="U958" s="546">
        <f t="shared" si="173"/>
        <v>0</v>
      </c>
      <c r="V958" s="548"/>
      <c r="W958" s="350">
        <f t="shared" si="174"/>
        <v>0</v>
      </c>
      <c r="X958" s="285">
        <f t="shared" si="175"/>
        <v>0</v>
      </c>
    </row>
    <row r="959" spans="1:24" s="831" customFormat="1" ht="12.75" thickBot="1">
      <c r="A959" s="596" t="s">
        <v>1499</v>
      </c>
      <c r="B959" s="541" t="s">
        <v>384</v>
      </c>
      <c r="C959" s="541" t="s">
        <v>1100</v>
      </c>
      <c r="D959" s="552" t="s">
        <v>1140</v>
      </c>
      <c r="E959" s="549"/>
      <c r="F959" s="551"/>
      <c r="G959" s="550"/>
      <c r="H959" s="551"/>
      <c r="I959" s="551"/>
      <c r="J959" s="551"/>
      <c r="K959" s="551"/>
      <c r="L959" s="551"/>
      <c r="M959" s="550"/>
      <c r="N959" s="550"/>
      <c r="O959" s="551"/>
      <c r="P959" s="551"/>
      <c r="Q959" s="550"/>
      <c r="R959" s="550"/>
      <c r="S959" s="546">
        <f t="shared" si="171"/>
        <v>0</v>
      </c>
      <c r="T959" s="547">
        <f t="shared" si="172"/>
        <v>0</v>
      </c>
      <c r="U959" s="546">
        <f t="shared" si="173"/>
        <v>0</v>
      </c>
      <c r="V959" s="548"/>
      <c r="W959" s="350">
        <f t="shared" si="174"/>
        <v>0</v>
      </c>
      <c r="X959" s="285">
        <f t="shared" si="175"/>
        <v>0</v>
      </c>
    </row>
    <row r="960" spans="1:24" s="831" customFormat="1" ht="12.75" thickBot="1">
      <c r="A960" s="596" t="s">
        <v>1499</v>
      </c>
      <c r="B960" s="541" t="s">
        <v>311</v>
      </c>
      <c r="C960" s="541" t="s">
        <v>1101</v>
      </c>
      <c r="D960" s="552" t="s">
        <v>1140</v>
      </c>
      <c r="E960" s="543"/>
      <c r="F960" s="545"/>
      <c r="G960" s="544"/>
      <c r="H960" s="545"/>
      <c r="I960" s="545"/>
      <c r="J960" s="545"/>
      <c r="K960" s="545"/>
      <c r="L960" s="545"/>
      <c r="M960" s="544"/>
      <c r="N960" s="544"/>
      <c r="O960" s="545"/>
      <c r="P960" s="545"/>
      <c r="Q960" s="544"/>
      <c r="R960" s="544"/>
      <c r="S960" s="546">
        <f t="shared" si="171"/>
        <v>0</v>
      </c>
      <c r="T960" s="547">
        <f t="shared" si="172"/>
        <v>0</v>
      </c>
      <c r="U960" s="546">
        <f t="shared" si="173"/>
        <v>0</v>
      </c>
      <c r="V960" s="548"/>
      <c r="W960" s="350">
        <f t="shared" si="174"/>
        <v>0</v>
      </c>
      <c r="X960" s="285">
        <f t="shared" si="175"/>
        <v>0</v>
      </c>
    </row>
    <row r="961" spans="1:24" s="831" customFormat="1" ht="12.75" thickBot="1">
      <c r="A961" s="596" t="s">
        <v>1499</v>
      </c>
      <c r="B961" s="541" t="s">
        <v>341</v>
      </c>
      <c r="C961" s="541" t="s">
        <v>1102</v>
      </c>
      <c r="D961" s="552" t="s">
        <v>1140</v>
      </c>
      <c r="E961" s="549"/>
      <c r="F961" s="551"/>
      <c r="G961" s="550"/>
      <c r="H961" s="551"/>
      <c r="I961" s="551"/>
      <c r="J961" s="551"/>
      <c r="K961" s="551"/>
      <c r="L961" s="551"/>
      <c r="M961" s="550"/>
      <c r="N961" s="550"/>
      <c r="O961" s="551"/>
      <c r="P961" s="551"/>
      <c r="Q961" s="550"/>
      <c r="R961" s="550"/>
      <c r="S961" s="546">
        <f t="shared" si="171"/>
        <v>0</v>
      </c>
      <c r="T961" s="547">
        <f t="shared" si="172"/>
        <v>0</v>
      </c>
      <c r="U961" s="546">
        <f t="shared" si="173"/>
        <v>0</v>
      </c>
      <c r="V961" s="548"/>
      <c r="W961" s="350">
        <f t="shared" si="174"/>
        <v>0</v>
      </c>
      <c r="X961" s="285">
        <f t="shared" si="175"/>
        <v>0</v>
      </c>
    </row>
    <row r="962" spans="1:24" s="831" customFormat="1" ht="12.75" thickBot="1">
      <c r="A962" s="596" t="s">
        <v>1499</v>
      </c>
      <c r="B962" s="541" t="s">
        <v>315</v>
      </c>
      <c r="C962" s="541" t="s">
        <v>1103</v>
      </c>
      <c r="D962" s="552" t="s">
        <v>1140</v>
      </c>
      <c r="E962" s="543"/>
      <c r="F962" s="545"/>
      <c r="G962" s="544"/>
      <c r="H962" s="545"/>
      <c r="I962" s="545"/>
      <c r="J962" s="545"/>
      <c r="K962" s="545"/>
      <c r="L962" s="545"/>
      <c r="M962" s="544"/>
      <c r="N962" s="544"/>
      <c r="O962" s="545"/>
      <c r="P962" s="545"/>
      <c r="Q962" s="544"/>
      <c r="R962" s="544"/>
      <c r="S962" s="546">
        <f t="shared" si="171"/>
        <v>0</v>
      </c>
      <c r="T962" s="547">
        <f t="shared" si="172"/>
        <v>0</v>
      </c>
      <c r="U962" s="546">
        <f t="shared" si="173"/>
        <v>0</v>
      </c>
      <c r="V962" s="548"/>
      <c r="W962" s="350">
        <f t="shared" si="174"/>
        <v>0</v>
      </c>
      <c r="X962" s="285">
        <f t="shared" si="175"/>
        <v>0</v>
      </c>
    </row>
    <row r="963" spans="1:24" s="831" customFormat="1" ht="12.75" thickBot="1">
      <c r="A963" s="596" t="s">
        <v>1499</v>
      </c>
      <c r="B963" s="541" t="s">
        <v>319</v>
      </c>
      <c r="C963" s="541" t="s">
        <v>1104</v>
      </c>
      <c r="D963" s="552" t="s">
        <v>1140</v>
      </c>
      <c r="E963" s="549"/>
      <c r="F963" s="551"/>
      <c r="G963" s="550"/>
      <c r="H963" s="551"/>
      <c r="I963" s="551"/>
      <c r="J963" s="551"/>
      <c r="K963" s="551"/>
      <c r="L963" s="551"/>
      <c r="M963" s="550"/>
      <c r="N963" s="550"/>
      <c r="O963" s="551"/>
      <c r="P963" s="551"/>
      <c r="Q963" s="550"/>
      <c r="R963" s="550"/>
      <c r="S963" s="546">
        <f t="shared" si="171"/>
        <v>0</v>
      </c>
      <c r="T963" s="547">
        <f t="shared" si="172"/>
        <v>0</v>
      </c>
      <c r="U963" s="546">
        <f t="shared" si="173"/>
        <v>0</v>
      </c>
      <c r="V963" s="548"/>
      <c r="W963" s="350">
        <f t="shared" si="174"/>
        <v>0</v>
      </c>
      <c r="X963" s="285">
        <f t="shared" si="175"/>
        <v>0</v>
      </c>
    </row>
    <row r="964" spans="1:24" s="831" customFormat="1" ht="12.75" thickBot="1">
      <c r="A964" s="596" t="s">
        <v>1499</v>
      </c>
      <c r="B964" s="541" t="s">
        <v>356</v>
      </c>
      <c r="C964" s="541" t="s">
        <v>1105</v>
      </c>
      <c r="D964" s="552" t="s">
        <v>1140</v>
      </c>
      <c r="E964" s="543"/>
      <c r="F964" s="545"/>
      <c r="G964" s="544"/>
      <c r="H964" s="545"/>
      <c r="I964" s="545"/>
      <c r="J964" s="545"/>
      <c r="K964" s="545"/>
      <c r="L964" s="545"/>
      <c r="M964" s="544"/>
      <c r="N964" s="544"/>
      <c r="O964" s="545"/>
      <c r="P964" s="545"/>
      <c r="Q964" s="544"/>
      <c r="R964" s="544"/>
      <c r="S964" s="546">
        <f t="shared" si="171"/>
        <v>0</v>
      </c>
      <c r="T964" s="547">
        <f t="shared" si="172"/>
        <v>0</v>
      </c>
      <c r="U964" s="546">
        <f t="shared" si="173"/>
        <v>0</v>
      </c>
      <c r="V964" s="548"/>
      <c r="W964" s="350">
        <f t="shared" si="174"/>
        <v>0</v>
      </c>
      <c r="X964" s="285">
        <f t="shared" si="175"/>
        <v>0</v>
      </c>
    </row>
    <row r="965" spans="1:24" s="831" customFormat="1" ht="12.75" thickBot="1">
      <c r="A965" s="596" t="s">
        <v>1499</v>
      </c>
      <c r="B965" s="541" t="s">
        <v>365</v>
      </c>
      <c r="C965" s="541" t="s">
        <v>1106</v>
      </c>
      <c r="D965" s="552" t="s">
        <v>1139</v>
      </c>
      <c r="E965" s="549"/>
      <c r="F965" s="551"/>
      <c r="G965" s="550"/>
      <c r="H965" s="551"/>
      <c r="I965" s="551"/>
      <c r="J965" s="551"/>
      <c r="K965" s="551"/>
      <c r="L965" s="551"/>
      <c r="M965" s="550"/>
      <c r="N965" s="550"/>
      <c r="O965" s="551"/>
      <c r="P965" s="551"/>
      <c r="Q965" s="550"/>
      <c r="R965" s="550"/>
      <c r="S965" s="546">
        <f t="shared" si="171"/>
        <v>0</v>
      </c>
      <c r="T965" s="547">
        <f t="shared" si="172"/>
        <v>0</v>
      </c>
      <c r="U965" s="546">
        <f t="shared" si="173"/>
        <v>0</v>
      </c>
      <c r="V965" s="548"/>
      <c r="W965" s="350">
        <f t="shared" si="174"/>
        <v>0</v>
      </c>
      <c r="X965" s="285">
        <f t="shared" si="175"/>
        <v>0</v>
      </c>
    </row>
    <row r="966" spans="1:24" s="831" customFormat="1" ht="12.75" thickBot="1">
      <c r="A966" s="596" t="s">
        <v>1499</v>
      </c>
      <c r="B966" s="541" t="s">
        <v>388</v>
      </c>
      <c r="C966" s="541" t="s">
        <v>1107</v>
      </c>
      <c r="D966" s="552" t="s">
        <v>1139</v>
      </c>
      <c r="E966" s="543"/>
      <c r="F966" s="545"/>
      <c r="G966" s="544"/>
      <c r="H966" s="545"/>
      <c r="I966" s="545"/>
      <c r="J966" s="545"/>
      <c r="K966" s="545"/>
      <c r="L966" s="545"/>
      <c r="M966" s="544"/>
      <c r="N966" s="544"/>
      <c r="O966" s="545"/>
      <c r="P966" s="545"/>
      <c r="Q966" s="544"/>
      <c r="R966" s="544"/>
      <c r="S966" s="546">
        <f t="shared" si="171"/>
        <v>0</v>
      </c>
      <c r="T966" s="547">
        <f t="shared" si="172"/>
        <v>0</v>
      </c>
      <c r="U966" s="546">
        <f t="shared" si="173"/>
        <v>0</v>
      </c>
      <c r="V966" s="548"/>
      <c r="W966" s="350">
        <f t="shared" si="174"/>
        <v>0</v>
      </c>
      <c r="X966" s="285">
        <f t="shared" si="175"/>
        <v>0</v>
      </c>
    </row>
    <row r="967" spans="1:24" s="831" customFormat="1" ht="12.75" thickBot="1">
      <c r="A967" s="596" t="s">
        <v>1499</v>
      </c>
      <c r="B967" s="541" t="s">
        <v>345</v>
      </c>
      <c r="C967" s="541" t="s">
        <v>1108</v>
      </c>
      <c r="D967" s="552" t="s">
        <v>1139</v>
      </c>
      <c r="E967" s="549"/>
      <c r="F967" s="551"/>
      <c r="G967" s="550"/>
      <c r="H967" s="551"/>
      <c r="I967" s="551"/>
      <c r="J967" s="551"/>
      <c r="K967" s="551"/>
      <c r="L967" s="551"/>
      <c r="M967" s="550"/>
      <c r="N967" s="550"/>
      <c r="O967" s="551"/>
      <c r="P967" s="551"/>
      <c r="Q967" s="550"/>
      <c r="R967" s="550"/>
      <c r="S967" s="546">
        <f t="shared" si="171"/>
        <v>0</v>
      </c>
      <c r="T967" s="547">
        <f t="shared" si="172"/>
        <v>0</v>
      </c>
      <c r="U967" s="546">
        <f t="shared" si="173"/>
        <v>0</v>
      </c>
      <c r="V967" s="548"/>
      <c r="W967" s="350">
        <f t="shared" si="174"/>
        <v>0</v>
      </c>
      <c r="X967" s="285">
        <f t="shared" si="175"/>
        <v>0</v>
      </c>
    </row>
    <row r="968" spans="1:24" s="831" customFormat="1" ht="12.75" thickBot="1">
      <c r="A968" s="596" t="s">
        <v>1499</v>
      </c>
      <c r="B968" s="541" t="s">
        <v>377</v>
      </c>
      <c r="C968" s="541" t="s">
        <v>1109</v>
      </c>
      <c r="D968" s="552" t="s">
        <v>1139</v>
      </c>
      <c r="E968" s="543"/>
      <c r="F968" s="545"/>
      <c r="G968" s="544"/>
      <c r="H968" s="545"/>
      <c r="I968" s="545"/>
      <c r="J968" s="545"/>
      <c r="K968" s="545"/>
      <c r="L968" s="545"/>
      <c r="M968" s="544"/>
      <c r="N968" s="544"/>
      <c r="O968" s="545"/>
      <c r="P968" s="545"/>
      <c r="Q968" s="544"/>
      <c r="R968" s="544"/>
      <c r="S968" s="546">
        <f t="shared" si="171"/>
        <v>0</v>
      </c>
      <c r="T968" s="547">
        <f t="shared" si="172"/>
        <v>0</v>
      </c>
      <c r="U968" s="546">
        <f t="shared" si="173"/>
        <v>0</v>
      </c>
      <c r="V968" s="548"/>
      <c r="W968" s="350">
        <f t="shared" si="174"/>
        <v>0</v>
      </c>
      <c r="X968" s="285">
        <f t="shared" si="175"/>
        <v>0</v>
      </c>
    </row>
    <row r="969" spans="1:24" s="831" customFormat="1" ht="12.75" thickBot="1">
      <c r="A969" s="596" t="s">
        <v>1499</v>
      </c>
      <c r="B969" s="541" t="s">
        <v>1395</v>
      </c>
      <c r="C969" s="541" t="s">
        <v>1396</v>
      </c>
      <c r="D969" s="552" t="s">
        <v>1139</v>
      </c>
      <c r="E969" s="549"/>
      <c r="F969" s="551"/>
      <c r="G969" s="551"/>
      <c r="H969" s="551"/>
      <c r="I969" s="551"/>
      <c r="J969" s="551"/>
      <c r="K969" s="551"/>
      <c r="L969" s="551"/>
      <c r="M969" s="551"/>
      <c r="N969" s="551"/>
      <c r="O969" s="551"/>
      <c r="P969" s="551"/>
      <c r="Q969" s="551"/>
      <c r="R969" s="551"/>
      <c r="S969" s="546">
        <f t="shared" si="171"/>
        <v>0</v>
      </c>
      <c r="T969" s="547">
        <f t="shared" si="172"/>
        <v>0</v>
      </c>
      <c r="U969" s="546">
        <f t="shared" si="173"/>
        <v>0</v>
      </c>
      <c r="V969" s="548"/>
      <c r="W969" s="350">
        <f t="shared" si="174"/>
        <v>0</v>
      </c>
      <c r="X969" s="285">
        <f t="shared" si="175"/>
        <v>0</v>
      </c>
    </row>
    <row r="970" spans="1:24" s="831" customFormat="1" ht="12.75" thickBot="1">
      <c r="A970" s="596" t="s">
        <v>1499</v>
      </c>
      <c r="B970" s="541" t="s">
        <v>363</v>
      </c>
      <c r="C970" s="541" t="s">
        <v>1110</v>
      </c>
      <c r="D970" s="552" t="s">
        <v>1140</v>
      </c>
      <c r="E970" s="543"/>
      <c r="F970" s="545"/>
      <c r="G970" s="544"/>
      <c r="H970" s="545"/>
      <c r="I970" s="545"/>
      <c r="J970" s="545"/>
      <c r="K970" s="545"/>
      <c r="L970" s="545"/>
      <c r="M970" s="544"/>
      <c r="N970" s="544"/>
      <c r="O970" s="545"/>
      <c r="P970" s="545"/>
      <c r="Q970" s="544"/>
      <c r="R970" s="544"/>
      <c r="S970" s="546">
        <f t="shared" si="171"/>
        <v>0</v>
      </c>
      <c r="T970" s="547">
        <f t="shared" si="172"/>
        <v>0</v>
      </c>
      <c r="U970" s="546">
        <f t="shared" si="173"/>
        <v>0</v>
      </c>
      <c r="V970" s="548"/>
      <c r="W970" s="350">
        <f t="shared" si="174"/>
        <v>0</v>
      </c>
      <c r="X970" s="285">
        <f t="shared" si="175"/>
        <v>0</v>
      </c>
    </row>
    <row r="971" spans="1:24" s="831" customFormat="1" ht="12.75" thickBot="1">
      <c r="A971" s="596" t="s">
        <v>1499</v>
      </c>
      <c r="B971" s="541" t="s">
        <v>373</v>
      </c>
      <c r="C971" s="541" t="s">
        <v>1111</v>
      </c>
      <c r="D971" s="552" t="s">
        <v>1139</v>
      </c>
      <c r="E971" s="549"/>
      <c r="F971" s="551"/>
      <c r="G971" s="550"/>
      <c r="H971" s="551"/>
      <c r="I971" s="551"/>
      <c r="J971" s="551"/>
      <c r="K971" s="551"/>
      <c r="L971" s="551"/>
      <c r="M971" s="550"/>
      <c r="N971" s="550"/>
      <c r="O971" s="551"/>
      <c r="P971" s="551"/>
      <c r="Q971" s="550"/>
      <c r="R971" s="550"/>
      <c r="S971" s="546">
        <f t="shared" si="171"/>
        <v>0</v>
      </c>
      <c r="T971" s="547">
        <f t="shared" si="172"/>
        <v>0</v>
      </c>
      <c r="U971" s="546">
        <f t="shared" si="173"/>
        <v>0</v>
      </c>
      <c r="V971" s="548"/>
      <c r="W971" s="350">
        <f t="shared" si="174"/>
        <v>0</v>
      </c>
      <c r="X971" s="285">
        <f t="shared" si="175"/>
        <v>0</v>
      </c>
    </row>
    <row r="972" spans="1:24" s="831" customFormat="1" ht="12.75" thickBot="1">
      <c r="A972" s="596" t="s">
        <v>1499</v>
      </c>
      <c r="B972" s="541" t="s">
        <v>396</v>
      </c>
      <c r="C972" s="541" t="s">
        <v>1112</v>
      </c>
      <c r="D972" s="552" t="s">
        <v>1139</v>
      </c>
      <c r="E972" s="543"/>
      <c r="F972" s="545"/>
      <c r="G972" s="544"/>
      <c r="H972" s="545"/>
      <c r="I972" s="545"/>
      <c r="J972" s="545"/>
      <c r="K972" s="545"/>
      <c r="L972" s="545"/>
      <c r="M972" s="544"/>
      <c r="N972" s="544"/>
      <c r="O972" s="545"/>
      <c r="P972" s="545"/>
      <c r="Q972" s="544"/>
      <c r="R972" s="544"/>
      <c r="S972" s="546">
        <f t="shared" si="171"/>
        <v>0</v>
      </c>
      <c r="T972" s="547">
        <f t="shared" si="172"/>
        <v>0</v>
      </c>
      <c r="U972" s="546">
        <f t="shared" si="173"/>
        <v>0</v>
      </c>
      <c r="V972" s="548"/>
      <c r="W972" s="350">
        <f t="shared" si="174"/>
        <v>0</v>
      </c>
      <c r="X972" s="285">
        <f t="shared" si="175"/>
        <v>0</v>
      </c>
    </row>
    <row r="973" spans="1:24" s="831" customFormat="1" ht="12.75" thickBot="1">
      <c r="A973" s="596" t="s">
        <v>1499</v>
      </c>
      <c r="B973" s="541" t="s">
        <v>351</v>
      </c>
      <c r="C973" s="541" t="s">
        <v>1113</v>
      </c>
      <c r="D973" s="552" t="s">
        <v>1140</v>
      </c>
      <c r="E973" s="549"/>
      <c r="F973" s="551"/>
      <c r="G973" s="550"/>
      <c r="H973" s="551"/>
      <c r="I973" s="551"/>
      <c r="J973" s="551"/>
      <c r="K973" s="551"/>
      <c r="L973" s="551"/>
      <c r="M973" s="550"/>
      <c r="N973" s="550"/>
      <c r="O973" s="551"/>
      <c r="P973" s="551"/>
      <c r="Q973" s="550"/>
      <c r="R973" s="550"/>
      <c r="S973" s="546">
        <f t="shared" si="171"/>
        <v>0</v>
      </c>
      <c r="T973" s="547">
        <f t="shared" si="172"/>
        <v>0</v>
      </c>
      <c r="U973" s="546">
        <f t="shared" si="173"/>
        <v>0</v>
      </c>
      <c r="V973" s="548"/>
      <c r="W973" s="350">
        <f t="shared" si="174"/>
        <v>0</v>
      </c>
      <c r="X973" s="285">
        <f t="shared" si="175"/>
        <v>0</v>
      </c>
    </row>
    <row r="974" spans="1:24" s="831" customFormat="1" ht="12.75" thickBot="1">
      <c r="A974" s="596" t="s">
        <v>1499</v>
      </c>
      <c r="B974" s="541" t="s">
        <v>314</v>
      </c>
      <c r="C974" s="541" t="s">
        <v>1114</v>
      </c>
      <c r="D974" s="552" t="s">
        <v>1140</v>
      </c>
      <c r="E974" s="543"/>
      <c r="F974" s="545"/>
      <c r="G974" s="544"/>
      <c r="H974" s="545"/>
      <c r="I974" s="545"/>
      <c r="J974" s="545"/>
      <c r="K974" s="545"/>
      <c r="L974" s="545"/>
      <c r="M974" s="544"/>
      <c r="N974" s="544"/>
      <c r="O974" s="545"/>
      <c r="P974" s="545"/>
      <c r="Q974" s="544"/>
      <c r="R974" s="544"/>
      <c r="S974" s="546">
        <f t="shared" si="171"/>
        <v>0</v>
      </c>
      <c r="T974" s="547">
        <f t="shared" si="172"/>
        <v>0</v>
      </c>
      <c r="U974" s="546">
        <f t="shared" si="173"/>
        <v>0</v>
      </c>
      <c r="V974" s="548"/>
      <c r="W974" s="350">
        <f t="shared" si="174"/>
        <v>0</v>
      </c>
      <c r="X974" s="285">
        <f t="shared" si="175"/>
        <v>0</v>
      </c>
    </row>
    <row r="975" spans="1:24" s="831" customFormat="1" ht="12.75" thickBot="1">
      <c r="A975" s="596" t="s">
        <v>1499</v>
      </c>
      <c r="B975" s="541" t="s">
        <v>355</v>
      </c>
      <c r="C975" s="541" t="s">
        <v>1115</v>
      </c>
      <c r="D975" s="552" t="s">
        <v>1140</v>
      </c>
      <c r="E975" s="549"/>
      <c r="F975" s="551"/>
      <c r="G975" s="550"/>
      <c r="H975" s="551"/>
      <c r="I975" s="551"/>
      <c r="J975" s="551"/>
      <c r="K975" s="551"/>
      <c r="L975" s="551"/>
      <c r="M975" s="550"/>
      <c r="N975" s="550"/>
      <c r="O975" s="551"/>
      <c r="P975" s="551"/>
      <c r="Q975" s="550"/>
      <c r="R975" s="550"/>
      <c r="S975" s="546">
        <f t="shared" si="171"/>
        <v>0</v>
      </c>
      <c r="T975" s="547">
        <f t="shared" si="172"/>
        <v>0</v>
      </c>
      <c r="U975" s="546">
        <f t="shared" si="173"/>
        <v>0</v>
      </c>
      <c r="V975" s="548"/>
      <c r="W975" s="350">
        <f t="shared" si="174"/>
        <v>0</v>
      </c>
      <c r="X975" s="285">
        <f t="shared" si="175"/>
        <v>0</v>
      </c>
    </row>
    <row r="976" spans="1:24" s="831" customFormat="1" ht="12.75" thickBot="1">
      <c r="A976" s="596" t="s">
        <v>1499</v>
      </c>
      <c r="B976" s="541" t="s">
        <v>364</v>
      </c>
      <c r="C976" s="541" t="s">
        <v>1116</v>
      </c>
      <c r="D976" s="552" t="s">
        <v>1139</v>
      </c>
      <c r="E976" s="543"/>
      <c r="F976" s="545"/>
      <c r="G976" s="544"/>
      <c r="H976" s="545"/>
      <c r="I976" s="545"/>
      <c r="J976" s="545"/>
      <c r="K976" s="545"/>
      <c r="L976" s="545"/>
      <c r="M976" s="544"/>
      <c r="N976" s="544"/>
      <c r="O976" s="545"/>
      <c r="P976" s="545"/>
      <c r="Q976" s="544"/>
      <c r="R976" s="544"/>
      <c r="S976" s="546">
        <f t="shared" si="171"/>
        <v>0</v>
      </c>
      <c r="T976" s="547">
        <f t="shared" si="172"/>
        <v>0</v>
      </c>
      <c r="U976" s="546">
        <f t="shared" si="173"/>
        <v>0</v>
      </c>
      <c r="V976" s="548"/>
      <c r="W976" s="350">
        <f t="shared" si="174"/>
        <v>0</v>
      </c>
      <c r="X976" s="285">
        <f t="shared" si="175"/>
        <v>0</v>
      </c>
    </row>
    <row r="977" spans="1:24" s="831" customFormat="1" ht="12.75" thickBot="1">
      <c r="A977" s="596" t="s">
        <v>1499</v>
      </c>
      <c r="B977" s="541" t="s">
        <v>387</v>
      </c>
      <c r="C977" s="541" t="s">
        <v>1117</v>
      </c>
      <c r="D977" s="552" t="s">
        <v>1139</v>
      </c>
      <c r="E977" s="549"/>
      <c r="F977" s="551"/>
      <c r="G977" s="550"/>
      <c r="H977" s="551"/>
      <c r="I977" s="551"/>
      <c r="J977" s="551"/>
      <c r="K977" s="551"/>
      <c r="L977" s="551"/>
      <c r="M977" s="550"/>
      <c r="N977" s="550"/>
      <c r="O977" s="551"/>
      <c r="P977" s="551"/>
      <c r="Q977" s="550"/>
      <c r="R977" s="550"/>
      <c r="S977" s="546">
        <f t="shared" si="171"/>
        <v>0</v>
      </c>
      <c r="T977" s="547">
        <f t="shared" si="172"/>
        <v>0</v>
      </c>
      <c r="U977" s="546">
        <f t="shared" si="173"/>
        <v>0</v>
      </c>
      <c r="V977" s="548"/>
      <c r="W977" s="350">
        <f t="shared" si="174"/>
        <v>0</v>
      </c>
      <c r="X977" s="285">
        <f t="shared" si="175"/>
        <v>0</v>
      </c>
    </row>
    <row r="978" spans="1:24" s="831" customFormat="1" ht="12.75" thickBot="1">
      <c r="A978" s="596" t="s">
        <v>1499</v>
      </c>
      <c r="B978" s="541" t="s">
        <v>344</v>
      </c>
      <c r="C978" s="541" t="s">
        <v>1118</v>
      </c>
      <c r="D978" s="552" t="s">
        <v>1139</v>
      </c>
      <c r="E978" s="543"/>
      <c r="F978" s="545"/>
      <c r="G978" s="544"/>
      <c r="H978" s="545"/>
      <c r="I978" s="545"/>
      <c r="J978" s="545"/>
      <c r="K978" s="545"/>
      <c r="L978" s="545"/>
      <c r="M978" s="544"/>
      <c r="N978" s="544"/>
      <c r="O978" s="545"/>
      <c r="P978" s="545"/>
      <c r="Q978" s="544"/>
      <c r="R978" s="544"/>
      <c r="S978" s="546">
        <f t="shared" si="171"/>
        <v>0</v>
      </c>
      <c r="T978" s="547">
        <f t="shared" si="172"/>
        <v>0</v>
      </c>
      <c r="U978" s="546">
        <f t="shared" si="173"/>
        <v>0</v>
      </c>
      <c r="V978" s="548"/>
      <c r="W978" s="350">
        <f t="shared" si="174"/>
        <v>0</v>
      </c>
      <c r="X978" s="285">
        <f t="shared" si="175"/>
        <v>0</v>
      </c>
    </row>
    <row r="979" spans="1:24" s="831" customFormat="1" ht="12.75" thickBot="1">
      <c r="A979" s="596" t="s">
        <v>1499</v>
      </c>
      <c r="B979" s="541" t="s">
        <v>376</v>
      </c>
      <c r="C979" s="541" t="s">
        <v>1119</v>
      </c>
      <c r="D979" s="552" t="s">
        <v>1139</v>
      </c>
      <c r="E979" s="549"/>
      <c r="F979" s="551"/>
      <c r="G979" s="550"/>
      <c r="H979" s="551"/>
      <c r="I979" s="551"/>
      <c r="J979" s="551"/>
      <c r="K979" s="551"/>
      <c r="L979" s="551"/>
      <c r="M979" s="550"/>
      <c r="N979" s="550"/>
      <c r="O979" s="551"/>
      <c r="P979" s="551"/>
      <c r="Q979" s="550"/>
      <c r="R979" s="550"/>
      <c r="S979" s="546">
        <f t="shared" si="171"/>
        <v>0</v>
      </c>
      <c r="T979" s="547">
        <f t="shared" si="172"/>
        <v>0</v>
      </c>
      <c r="U979" s="546">
        <f t="shared" si="173"/>
        <v>0</v>
      </c>
      <c r="V979" s="548"/>
      <c r="W979" s="350">
        <f t="shared" si="174"/>
        <v>0</v>
      </c>
      <c r="X979" s="285">
        <f t="shared" si="175"/>
        <v>0</v>
      </c>
    </row>
    <row r="980" spans="1:24" s="831" customFormat="1" ht="12.75" thickBot="1">
      <c r="A980" s="596" t="s">
        <v>1499</v>
      </c>
      <c r="B980" s="541" t="s">
        <v>374</v>
      </c>
      <c r="C980" s="541" t="s">
        <v>1120</v>
      </c>
      <c r="D980" s="552" t="s">
        <v>1139</v>
      </c>
      <c r="E980" s="543"/>
      <c r="F980" s="545"/>
      <c r="G980" s="544"/>
      <c r="H980" s="545"/>
      <c r="I980" s="545"/>
      <c r="J980" s="545"/>
      <c r="K980" s="545"/>
      <c r="L980" s="545"/>
      <c r="M980" s="544"/>
      <c r="N980" s="544"/>
      <c r="O980" s="545"/>
      <c r="P980" s="545"/>
      <c r="Q980" s="544"/>
      <c r="R980" s="544"/>
      <c r="S980" s="546">
        <f t="shared" si="171"/>
        <v>0</v>
      </c>
      <c r="T980" s="547">
        <f t="shared" si="172"/>
        <v>0</v>
      </c>
      <c r="U980" s="546">
        <f t="shared" si="173"/>
        <v>0</v>
      </c>
      <c r="V980" s="548"/>
      <c r="W980" s="350">
        <f t="shared" si="174"/>
        <v>0</v>
      </c>
      <c r="X980" s="285">
        <f t="shared" si="175"/>
        <v>0</v>
      </c>
    </row>
    <row r="981" spans="1:24" s="831" customFormat="1" ht="12.75" thickBot="1">
      <c r="A981" s="596" t="s">
        <v>1499</v>
      </c>
      <c r="B981" s="541" t="s">
        <v>398</v>
      </c>
      <c r="C981" s="541" t="s">
        <v>1121</v>
      </c>
      <c r="D981" s="552" t="s">
        <v>1139</v>
      </c>
      <c r="E981" s="549"/>
      <c r="F981" s="551"/>
      <c r="G981" s="550"/>
      <c r="H981" s="551"/>
      <c r="I981" s="551"/>
      <c r="J981" s="551"/>
      <c r="K981" s="551"/>
      <c r="L981" s="551"/>
      <c r="M981" s="550"/>
      <c r="N981" s="550"/>
      <c r="O981" s="551"/>
      <c r="P981" s="551"/>
      <c r="Q981" s="550"/>
      <c r="R981" s="550"/>
      <c r="S981" s="546">
        <f t="shared" si="171"/>
        <v>0</v>
      </c>
      <c r="T981" s="547">
        <f t="shared" si="172"/>
        <v>0</v>
      </c>
      <c r="U981" s="546">
        <f t="shared" si="173"/>
        <v>0</v>
      </c>
      <c r="V981" s="548"/>
      <c r="W981" s="350">
        <f t="shared" si="174"/>
        <v>0</v>
      </c>
      <c r="X981" s="285">
        <f t="shared" si="175"/>
        <v>0</v>
      </c>
    </row>
    <row r="982" spans="1:24" s="831" customFormat="1" ht="12.75" thickBot="1">
      <c r="A982" s="596" t="s">
        <v>1499</v>
      </c>
      <c r="B982" s="541" t="s">
        <v>348</v>
      </c>
      <c r="C982" s="541" t="s">
        <v>1122</v>
      </c>
      <c r="D982" s="552" t="s">
        <v>1139</v>
      </c>
      <c r="E982" s="543"/>
      <c r="F982" s="545"/>
      <c r="G982" s="544"/>
      <c r="H982" s="545"/>
      <c r="I982" s="545"/>
      <c r="J982" s="545"/>
      <c r="K982" s="545"/>
      <c r="L982" s="545"/>
      <c r="M982" s="544"/>
      <c r="N982" s="544"/>
      <c r="O982" s="545"/>
      <c r="P982" s="545"/>
      <c r="Q982" s="544"/>
      <c r="R982" s="544"/>
      <c r="S982" s="546">
        <f t="shared" si="171"/>
        <v>0</v>
      </c>
      <c r="T982" s="547">
        <f t="shared" si="172"/>
        <v>0</v>
      </c>
      <c r="U982" s="546">
        <f t="shared" si="173"/>
        <v>0</v>
      </c>
      <c r="V982" s="548"/>
      <c r="W982" s="350">
        <f t="shared" si="174"/>
        <v>0</v>
      </c>
      <c r="X982" s="285">
        <f t="shared" si="175"/>
        <v>0</v>
      </c>
    </row>
    <row r="983" spans="1:24" s="831" customFormat="1" ht="12.75" thickBot="1">
      <c r="A983" s="596" t="s">
        <v>1499</v>
      </c>
      <c r="B983" s="541" t="s">
        <v>380</v>
      </c>
      <c r="C983" s="541" t="s">
        <v>1123</v>
      </c>
      <c r="D983" s="552" t="s">
        <v>1139</v>
      </c>
      <c r="E983" s="549"/>
      <c r="F983" s="551"/>
      <c r="G983" s="550"/>
      <c r="H983" s="551"/>
      <c r="I983" s="551"/>
      <c r="J983" s="551"/>
      <c r="K983" s="551"/>
      <c r="L983" s="551"/>
      <c r="M983" s="550"/>
      <c r="N983" s="550"/>
      <c r="O983" s="551"/>
      <c r="P983" s="551"/>
      <c r="Q983" s="550"/>
      <c r="R983" s="550"/>
      <c r="S983" s="546">
        <f t="shared" si="171"/>
        <v>0</v>
      </c>
      <c r="T983" s="547">
        <f t="shared" si="172"/>
        <v>0</v>
      </c>
      <c r="U983" s="546">
        <f t="shared" si="173"/>
        <v>0</v>
      </c>
      <c r="V983" s="548"/>
      <c r="W983" s="350">
        <f t="shared" si="174"/>
        <v>0</v>
      </c>
      <c r="X983" s="285">
        <f t="shared" si="175"/>
        <v>0</v>
      </c>
    </row>
    <row r="984" spans="1:24" s="831" customFormat="1" ht="12.75" thickBot="1">
      <c r="A984" s="596" t="s">
        <v>1499</v>
      </c>
      <c r="B984" s="541" t="s">
        <v>399</v>
      </c>
      <c r="C984" s="541" t="s">
        <v>1124</v>
      </c>
      <c r="D984" s="552" t="s">
        <v>1139</v>
      </c>
      <c r="E984" s="543"/>
      <c r="F984" s="545"/>
      <c r="G984" s="544"/>
      <c r="H984" s="545"/>
      <c r="I984" s="545"/>
      <c r="J984" s="545"/>
      <c r="K984" s="545"/>
      <c r="L984" s="545"/>
      <c r="M984" s="544"/>
      <c r="N984" s="544"/>
      <c r="O984" s="545"/>
      <c r="P984" s="545"/>
      <c r="Q984" s="544"/>
      <c r="R984" s="544"/>
      <c r="S984" s="546">
        <f t="shared" si="171"/>
        <v>0</v>
      </c>
      <c r="T984" s="547">
        <f t="shared" si="172"/>
        <v>0</v>
      </c>
      <c r="U984" s="546">
        <f t="shared" si="173"/>
        <v>0</v>
      </c>
      <c r="V984" s="548"/>
      <c r="W984" s="350">
        <f t="shared" si="174"/>
        <v>0</v>
      </c>
      <c r="X984" s="285">
        <f t="shared" si="175"/>
        <v>0</v>
      </c>
    </row>
    <row r="985" spans="1:24" s="831" customFormat="1" ht="12.75" thickBot="1">
      <c r="A985" s="596" t="s">
        <v>1499</v>
      </c>
      <c r="B985" s="541" t="s">
        <v>349</v>
      </c>
      <c r="C985" s="541" t="s">
        <v>1125</v>
      </c>
      <c r="D985" s="552" t="s">
        <v>1139</v>
      </c>
      <c r="E985" s="549"/>
      <c r="F985" s="551"/>
      <c r="G985" s="550"/>
      <c r="H985" s="551"/>
      <c r="I985" s="551"/>
      <c r="J985" s="551"/>
      <c r="K985" s="551"/>
      <c r="L985" s="551"/>
      <c r="M985" s="550"/>
      <c r="N985" s="550"/>
      <c r="O985" s="551"/>
      <c r="P985" s="551"/>
      <c r="Q985" s="550"/>
      <c r="R985" s="550"/>
      <c r="S985" s="546">
        <f t="shared" si="171"/>
        <v>0</v>
      </c>
      <c r="T985" s="547">
        <f t="shared" si="172"/>
        <v>0</v>
      </c>
      <c r="U985" s="546">
        <f t="shared" si="173"/>
        <v>0</v>
      </c>
      <c r="V985" s="548"/>
      <c r="W985" s="350">
        <f t="shared" si="174"/>
        <v>0</v>
      </c>
      <c r="X985" s="285">
        <f t="shared" si="175"/>
        <v>0</v>
      </c>
    </row>
    <row r="986" spans="1:24" s="831" customFormat="1" ht="12.75" thickBot="1">
      <c r="A986" s="596" t="s">
        <v>1499</v>
      </c>
      <c r="B986" s="541" t="s">
        <v>381</v>
      </c>
      <c r="C986" s="541" t="s">
        <v>1126</v>
      </c>
      <c r="D986" s="552" t="s">
        <v>1139</v>
      </c>
      <c r="E986" s="543"/>
      <c r="F986" s="545"/>
      <c r="G986" s="544"/>
      <c r="H986" s="545"/>
      <c r="I986" s="545"/>
      <c r="J986" s="545"/>
      <c r="K986" s="545"/>
      <c r="L986" s="545"/>
      <c r="M986" s="544"/>
      <c r="N986" s="544"/>
      <c r="O986" s="545"/>
      <c r="P986" s="545"/>
      <c r="Q986" s="544"/>
      <c r="R986" s="544"/>
      <c r="S986" s="546">
        <f t="shared" si="171"/>
        <v>0</v>
      </c>
      <c r="T986" s="547">
        <f t="shared" si="172"/>
        <v>0</v>
      </c>
      <c r="U986" s="546">
        <f t="shared" si="173"/>
        <v>0</v>
      </c>
      <c r="V986" s="548"/>
      <c r="W986" s="350">
        <f t="shared" si="174"/>
        <v>0</v>
      </c>
      <c r="X986" s="285">
        <f t="shared" si="175"/>
        <v>0</v>
      </c>
    </row>
    <row r="987" spans="1:24" s="831" customFormat="1" ht="12.75" thickBot="1">
      <c r="A987" s="596" t="s">
        <v>1499</v>
      </c>
      <c r="B987" s="541" t="s">
        <v>321</v>
      </c>
      <c r="C987" s="541" t="s">
        <v>1127</v>
      </c>
      <c r="D987" s="552" t="s">
        <v>1139</v>
      </c>
      <c r="E987" s="549"/>
      <c r="F987" s="551"/>
      <c r="G987" s="550"/>
      <c r="H987" s="551"/>
      <c r="I987" s="551"/>
      <c r="J987" s="551"/>
      <c r="K987" s="551"/>
      <c r="L987" s="551"/>
      <c r="M987" s="550"/>
      <c r="N987" s="550"/>
      <c r="O987" s="551"/>
      <c r="P987" s="551"/>
      <c r="Q987" s="550"/>
      <c r="R987" s="550"/>
      <c r="S987" s="546">
        <f t="shared" ref="S987:S999" si="176">G987+H987+I987</f>
        <v>0</v>
      </c>
      <c r="T987" s="547">
        <f t="shared" ref="T987:T999" si="177">J987+K987</f>
        <v>0</v>
      </c>
      <c r="U987" s="546">
        <f t="shared" ref="U987:U999" si="178">N987+O987</f>
        <v>0</v>
      </c>
      <c r="V987" s="548"/>
      <c r="W987" s="350">
        <f t="shared" ref="W987:W999" si="179">SUM(F987:Q987)</f>
        <v>0</v>
      </c>
      <c r="X987" s="285">
        <f t="shared" ref="X987:X999" si="180">W987-R987</f>
        <v>0</v>
      </c>
    </row>
    <row r="988" spans="1:24" s="831" customFormat="1" ht="12.75" thickBot="1">
      <c r="A988" s="596" t="s">
        <v>1499</v>
      </c>
      <c r="B988" s="541" t="s">
        <v>353</v>
      </c>
      <c r="C988" s="541" t="s">
        <v>1128</v>
      </c>
      <c r="D988" s="552" t="s">
        <v>1139</v>
      </c>
      <c r="E988" s="543"/>
      <c r="F988" s="545"/>
      <c r="G988" s="544"/>
      <c r="H988" s="545"/>
      <c r="I988" s="545"/>
      <c r="J988" s="545"/>
      <c r="K988" s="545"/>
      <c r="L988" s="545"/>
      <c r="M988" s="544"/>
      <c r="N988" s="544"/>
      <c r="O988" s="545"/>
      <c r="P988" s="545"/>
      <c r="Q988" s="544"/>
      <c r="R988" s="544"/>
      <c r="S988" s="546">
        <f t="shared" si="176"/>
        <v>0</v>
      </c>
      <c r="T988" s="547">
        <f t="shared" si="177"/>
        <v>0</v>
      </c>
      <c r="U988" s="546">
        <f t="shared" si="178"/>
        <v>0</v>
      </c>
      <c r="V988" s="548"/>
      <c r="W988" s="350">
        <f t="shared" si="179"/>
        <v>0</v>
      </c>
      <c r="X988" s="285">
        <f t="shared" si="180"/>
        <v>0</v>
      </c>
    </row>
    <row r="989" spans="1:24" s="831" customFormat="1" ht="12.75" thickBot="1">
      <c r="A989" s="596" t="s">
        <v>1499</v>
      </c>
      <c r="B989" s="541" t="s">
        <v>678</v>
      </c>
      <c r="C989" s="541" t="s">
        <v>1129</v>
      </c>
      <c r="D989" s="552" t="s">
        <v>1139</v>
      </c>
      <c r="E989" s="549"/>
      <c r="F989" s="551"/>
      <c r="G989" s="550"/>
      <c r="H989" s="551"/>
      <c r="I989" s="551"/>
      <c r="J989" s="551"/>
      <c r="K989" s="551"/>
      <c r="L989" s="551"/>
      <c r="M989" s="550"/>
      <c r="N989" s="550"/>
      <c r="O989" s="551"/>
      <c r="P989" s="551"/>
      <c r="Q989" s="551"/>
      <c r="R989" s="550"/>
      <c r="S989" s="546">
        <f t="shared" si="176"/>
        <v>0</v>
      </c>
      <c r="T989" s="547">
        <f t="shared" si="177"/>
        <v>0</v>
      </c>
      <c r="U989" s="546">
        <f t="shared" si="178"/>
        <v>0</v>
      </c>
      <c r="V989" s="548"/>
      <c r="W989" s="350">
        <f t="shared" si="179"/>
        <v>0</v>
      </c>
      <c r="X989" s="285">
        <f t="shared" si="180"/>
        <v>0</v>
      </c>
    </row>
    <row r="990" spans="1:24" s="831" customFormat="1" ht="12.75" thickBot="1">
      <c r="A990" s="596" t="s">
        <v>1499</v>
      </c>
      <c r="B990" s="541" t="s">
        <v>316</v>
      </c>
      <c r="C990" s="541" t="s">
        <v>1130</v>
      </c>
      <c r="D990" s="552" t="s">
        <v>1139</v>
      </c>
      <c r="E990" s="543"/>
      <c r="F990" s="545"/>
      <c r="G990" s="544"/>
      <c r="H990" s="545"/>
      <c r="I990" s="545"/>
      <c r="J990" s="545"/>
      <c r="K990" s="545"/>
      <c r="L990" s="545"/>
      <c r="M990" s="544"/>
      <c r="N990" s="544"/>
      <c r="O990" s="545"/>
      <c r="P990" s="545"/>
      <c r="Q990" s="544"/>
      <c r="R990" s="544"/>
      <c r="S990" s="546">
        <f t="shared" si="176"/>
        <v>0</v>
      </c>
      <c r="T990" s="547">
        <f t="shared" si="177"/>
        <v>0</v>
      </c>
      <c r="U990" s="546">
        <f t="shared" si="178"/>
        <v>0</v>
      </c>
      <c r="V990" s="548"/>
      <c r="W990" s="350">
        <f t="shared" si="179"/>
        <v>0</v>
      </c>
      <c r="X990" s="285">
        <f t="shared" si="180"/>
        <v>0</v>
      </c>
    </row>
    <row r="991" spans="1:24" s="831" customFormat="1" ht="12.75" thickBot="1">
      <c r="A991" s="596" t="s">
        <v>1499</v>
      </c>
      <c r="B991" s="541" t="s">
        <v>318</v>
      </c>
      <c r="C991" s="541" t="s">
        <v>1131</v>
      </c>
      <c r="D991" s="552" t="s">
        <v>1139</v>
      </c>
      <c r="E991" s="549"/>
      <c r="F991" s="551"/>
      <c r="G991" s="550"/>
      <c r="H991" s="551"/>
      <c r="I991" s="551"/>
      <c r="J991" s="551"/>
      <c r="K991" s="551"/>
      <c r="L991" s="551"/>
      <c r="M991" s="550"/>
      <c r="N991" s="550"/>
      <c r="O991" s="551"/>
      <c r="P991" s="551"/>
      <c r="Q991" s="550"/>
      <c r="R991" s="550"/>
      <c r="S991" s="546">
        <f t="shared" si="176"/>
        <v>0</v>
      </c>
      <c r="T991" s="547">
        <f t="shared" si="177"/>
        <v>0</v>
      </c>
      <c r="U991" s="546">
        <f t="shared" si="178"/>
        <v>0</v>
      </c>
      <c r="V991" s="548"/>
      <c r="W991" s="350">
        <f t="shared" si="179"/>
        <v>0</v>
      </c>
      <c r="X991" s="285">
        <f t="shared" si="180"/>
        <v>0</v>
      </c>
    </row>
    <row r="992" spans="1:24" s="831" customFormat="1" ht="12.75" thickBot="1">
      <c r="A992" s="596" t="s">
        <v>1499</v>
      </c>
      <c r="B992" s="541" t="s">
        <v>350</v>
      </c>
      <c r="C992" s="541" t="s">
        <v>1132</v>
      </c>
      <c r="D992" s="552" t="s">
        <v>1139</v>
      </c>
      <c r="E992" s="543"/>
      <c r="F992" s="545"/>
      <c r="G992" s="544"/>
      <c r="H992" s="545"/>
      <c r="I992" s="545"/>
      <c r="J992" s="545"/>
      <c r="K992" s="545"/>
      <c r="L992" s="545"/>
      <c r="M992" s="544"/>
      <c r="N992" s="544"/>
      <c r="O992" s="545"/>
      <c r="P992" s="545"/>
      <c r="Q992" s="544"/>
      <c r="R992" s="544"/>
      <c r="S992" s="546">
        <f t="shared" si="176"/>
        <v>0</v>
      </c>
      <c r="T992" s="547">
        <f t="shared" si="177"/>
        <v>0</v>
      </c>
      <c r="U992" s="546">
        <f t="shared" si="178"/>
        <v>0</v>
      </c>
      <c r="V992" s="548"/>
      <c r="W992" s="350">
        <f t="shared" si="179"/>
        <v>0</v>
      </c>
      <c r="X992" s="285">
        <f t="shared" si="180"/>
        <v>0</v>
      </c>
    </row>
    <row r="993" spans="1:24" s="831" customFormat="1" ht="12.75" thickBot="1">
      <c r="A993" s="596" t="s">
        <v>1499</v>
      </c>
      <c r="B993" s="541" t="s">
        <v>313</v>
      </c>
      <c r="C993" s="541" t="s">
        <v>1133</v>
      </c>
      <c r="D993" s="552" t="s">
        <v>1139</v>
      </c>
      <c r="E993" s="549"/>
      <c r="F993" s="551"/>
      <c r="G993" s="550"/>
      <c r="H993" s="551"/>
      <c r="I993" s="551"/>
      <c r="J993" s="551"/>
      <c r="K993" s="551"/>
      <c r="L993" s="551"/>
      <c r="M993" s="550"/>
      <c r="N993" s="550"/>
      <c r="O993" s="551"/>
      <c r="P993" s="551"/>
      <c r="Q993" s="550"/>
      <c r="R993" s="550"/>
      <c r="S993" s="546">
        <f t="shared" si="176"/>
        <v>0</v>
      </c>
      <c r="T993" s="547">
        <f t="shared" si="177"/>
        <v>0</v>
      </c>
      <c r="U993" s="546">
        <f t="shared" si="178"/>
        <v>0</v>
      </c>
      <c r="V993" s="548"/>
      <c r="W993" s="350">
        <f t="shared" si="179"/>
        <v>0</v>
      </c>
      <c r="X993" s="285">
        <f t="shared" si="180"/>
        <v>0</v>
      </c>
    </row>
    <row r="994" spans="1:24" s="831" customFormat="1" ht="12.75" thickBot="1">
      <c r="A994" s="596" t="s">
        <v>1499</v>
      </c>
      <c r="B994" s="541" t="s">
        <v>650</v>
      </c>
      <c r="C994" s="541" t="s">
        <v>1151</v>
      </c>
      <c r="D994" s="552" t="s">
        <v>1139</v>
      </c>
      <c r="E994" s="543"/>
      <c r="F994" s="545"/>
      <c r="G994" s="544"/>
      <c r="H994" s="545"/>
      <c r="I994" s="545"/>
      <c r="J994" s="545"/>
      <c r="K994" s="545"/>
      <c r="L994" s="545"/>
      <c r="M994" s="544"/>
      <c r="N994" s="544"/>
      <c r="O994" s="545"/>
      <c r="P994" s="545"/>
      <c r="Q994" s="545"/>
      <c r="R994" s="544"/>
      <c r="S994" s="546">
        <f t="shared" si="176"/>
        <v>0</v>
      </c>
      <c r="T994" s="547">
        <f t="shared" si="177"/>
        <v>0</v>
      </c>
      <c r="U994" s="546">
        <f t="shared" si="178"/>
        <v>0</v>
      </c>
      <c r="V994" s="548"/>
      <c r="W994" s="350">
        <f t="shared" si="179"/>
        <v>0</v>
      </c>
      <c r="X994" s="285">
        <f t="shared" si="180"/>
        <v>0</v>
      </c>
    </row>
    <row r="995" spans="1:24" s="831" customFormat="1" ht="12.75" thickBot="1">
      <c r="A995" s="596" t="s">
        <v>1499</v>
      </c>
      <c r="B995" s="541" t="s">
        <v>447</v>
      </c>
      <c r="C995" s="541" t="s">
        <v>1134</v>
      </c>
      <c r="D995" s="552" t="s">
        <v>1139</v>
      </c>
      <c r="E995" s="549"/>
      <c r="F995" s="551"/>
      <c r="G995" s="550"/>
      <c r="H995" s="551"/>
      <c r="I995" s="551"/>
      <c r="J995" s="551"/>
      <c r="K995" s="551"/>
      <c r="L995" s="551"/>
      <c r="M995" s="550"/>
      <c r="N995" s="550"/>
      <c r="O995" s="551"/>
      <c r="P995" s="551"/>
      <c r="Q995" s="551"/>
      <c r="R995" s="550"/>
      <c r="S995" s="546">
        <f t="shared" si="176"/>
        <v>0</v>
      </c>
      <c r="T995" s="547">
        <f t="shared" si="177"/>
        <v>0</v>
      </c>
      <c r="U995" s="546">
        <f t="shared" si="178"/>
        <v>0</v>
      </c>
      <c r="V995" s="548"/>
      <c r="W995" s="350">
        <f t="shared" si="179"/>
        <v>0</v>
      </c>
      <c r="X995" s="285">
        <f t="shared" si="180"/>
        <v>0</v>
      </c>
    </row>
    <row r="996" spans="1:24" s="831" customFormat="1" ht="12.75" thickBot="1">
      <c r="A996" s="596" t="s">
        <v>1499</v>
      </c>
      <c r="B996" s="541" t="s">
        <v>624</v>
      </c>
      <c r="C996" s="541" t="s">
        <v>1135</v>
      </c>
      <c r="D996" s="552" t="s">
        <v>1139</v>
      </c>
      <c r="E996" s="543"/>
      <c r="F996" s="545"/>
      <c r="G996" s="544"/>
      <c r="H996" s="545"/>
      <c r="I996" s="545"/>
      <c r="J996" s="545"/>
      <c r="K996" s="545"/>
      <c r="L996" s="545"/>
      <c r="M996" s="544"/>
      <c r="N996" s="544"/>
      <c r="O996" s="545"/>
      <c r="P996" s="545"/>
      <c r="Q996" s="545"/>
      <c r="R996" s="544"/>
      <c r="S996" s="546">
        <f t="shared" si="176"/>
        <v>0</v>
      </c>
      <c r="T996" s="547">
        <f t="shared" si="177"/>
        <v>0</v>
      </c>
      <c r="U996" s="546">
        <f t="shared" si="178"/>
        <v>0</v>
      </c>
      <c r="V996" s="548"/>
      <c r="W996" s="350">
        <f t="shared" si="179"/>
        <v>0</v>
      </c>
      <c r="X996" s="285">
        <f t="shared" si="180"/>
        <v>0</v>
      </c>
    </row>
    <row r="997" spans="1:24" s="831" customFormat="1" ht="12.75" thickBot="1">
      <c r="A997" s="596" t="s">
        <v>1499</v>
      </c>
      <c r="B997" s="541" t="s">
        <v>429</v>
      </c>
      <c r="C997" s="541" t="s">
        <v>428</v>
      </c>
      <c r="D997" s="552" t="s">
        <v>73</v>
      </c>
      <c r="E997" s="551"/>
      <c r="F997" s="551"/>
      <c r="G997" s="551"/>
      <c r="H997" s="551"/>
      <c r="I997" s="551"/>
      <c r="J997" s="551"/>
      <c r="K997" s="551"/>
      <c r="L997" s="551"/>
      <c r="M997" s="551"/>
      <c r="N997" s="551"/>
      <c r="O997" s="551"/>
      <c r="P997" s="551"/>
      <c r="Q997" s="551"/>
      <c r="R997" s="550"/>
      <c r="S997" s="546">
        <f t="shared" si="176"/>
        <v>0</v>
      </c>
      <c r="T997" s="547">
        <f t="shared" si="177"/>
        <v>0</v>
      </c>
      <c r="U997" s="546">
        <f t="shared" si="178"/>
        <v>0</v>
      </c>
      <c r="V997" s="548"/>
      <c r="W997" s="350">
        <f t="shared" si="179"/>
        <v>0</v>
      </c>
      <c r="X997" s="285">
        <f t="shared" si="180"/>
        <v>0</v>
      </c>
    </row>
    <row r="998" spans="1:24" s="831" customFormat="1" ht="12.75" thickBot="1">
      <c r="A998" s="596" t="s">
        <v>1499</v>
      </c>
      <c r="B998" s="541" t="s">
        <v>455</v>
      </c>
      <c r="C998" s="541" t="s">
        <v>454</v>
      </c>
      <c r="D998" s="552" t="s">
        <v>710</v>
      </c>
      <c r="E998" s="545"/>
      <c r="F998" s="545"/>
      <c r="G998" s="545"/>
      <c r="H998" s="545"/>
      <c r="I998" s="545"/>
      <c r="J998" s="545"/>
      <c r="K998" s="545"/>
      <c r="L998" s="545"/>
      <c r="M998" s="545"/>
      <c r="N998" s="545"/>
      <c r="O998" s="545"/>
      <c r="P998" s="545"/>
      <c r="Q998" s="545"/>
      <c r="R998" s="544"/>
      <c r="S998" s="546">
        <f t="shared" si="176"/>
        <v>0</v>
      </c>
      <c r="T998" s="547">
        <f t="shared" si="177"/>
        <v>0</v>
      </c>
      <c r="U998" s="546">
        <f t="shared" si="178"/>
        <v>0</v>
      </c>
      <c r="V998" s="548"/>
      <c r="W998" s="350">
        <f t="shared" si="179"/>
        <v>0</v>
      </c>
      <c r="X998" s="285">
        <f t="shared" si="180"/>
        <v>0</v>
      </c>
    </row>
    <row r="999" spans="1:24" s="831" customFormat="1" ht="12.75" thickBot="1">
      <c r="A999" s="596" t="s">
        <v>1499</v>
      </c>
      <c r="B999" s="541" t="s">
        <v>457</v>
      </c>
      <c r="C999" s="541" t="s">
        <v>456</v>
      </c>
      <c r="D999" s="552" t="s">
        <v>710</v>
      </c>
      <c r="E999" s="551"/>
      <c r="F999" s="551"/>
      <c r="G999" s="551"/>
      <c r="H999" s="551"/>
      <c r="I999" s="551"/>
      <c r="J999" s="551"/>
      <c r="K999" s="551"/>
      <c r="L999" s="551"/>
      <c r="M999" s="551"/>
      <c r="N999" s="551"/>
      <c r="O999" s="551"/>
      <c r="P999" s="551"/>
      <c r="Q999" s="551"/>
      <c r="R999" s="550"/>
      <c r="S999" s="546">
        <f t="shared" si="176"/>
        <v>0</v>
      </c>
      <c r="T999" s="547">
        <f t="shared" si="177"/>
        <v>0</v>
      </c>
      <c r="U999" s="546">
        <f t="shared" si="178"/>
        <v>0</v>
      </c>
      <c r="V999" s="548"/>
      <c r="W999" s="350">
        <f t="shared" si="179"/>
        <v>0</v>
      </c>
      <c r="X999" s="285">
        <f t="shared" si="180"/>
        <v>0</v>
      </c>
    </row>
    <row r="1000" spans="1:24" ht="12" thickBot="1">
      <c r="A1000" s="596" t="s">
        <v>1499</v>
      </c>
      <c r="B1000" s="541" t="s">
        <v>427</v>
      </c>
      <c r="C1000" s="541" t="s">
        <v>426</v>
      </c>
      <c r="D1000" s="552" t="s">
        <v>1157</v>
      </c>
      <c r="E1000" s="545"/>
      <c r="F1000" s="544"/>
      <c r="G1000" s="545"/>
      <c r="H1000" s="545"/>
      <c r="I1000" s="545"/>
      <c r="J1000" s="545"/>
      <c r="K1000" s="545"/>
      <c r="L1000" s="545"/>
      <c r="M1000" s="545"/>
      <c r="N1000" s="545"/>
      <c r="O1000" s="545"/>
      <c r="P1000" s="545"/>
      <c r="Q1000" s="545"/>
      <c r="R1000" s="544"/>
      <c r="S1000" s="546"/>
      <c r="T1000" s="547"/>
      <c r="U1000" s="546"/>
      <c r="W1000" s="350">
        <f t="shared" si="154"/>
        <v>0</v>
      </c>
      <c r="X1000" s="285"/>
    </row>
    <row r="1001" spans="1:24" ht="12" thickBot="1">
      <c r="A1001" s="596" t="s">
        <v>1499</v>
      </c>
      <c r="B1001" s="541" t="s">
        <v>673</v>
      </c>
      <c r="C1001" s="541" t="s">
        <v>674</v>
      </c>
      <c r="D1001" s="552" t="s">
        <v>710</v>
      </c>
      <c r="E1001" s="551"/>
      <c r="F1001" s="551"/>
      <c r="G1001" s="551"/>
      <c r="H1001" s="551"/>
      <c r="I1001" s="551"/>
      <c r="J1001" s="551"/>
      <c r="K1001" s="551"/>
      <c r="L1001" s="551"/>
      <c r="M1001" s="551"/>
      <c r="N1001" s="551"/>
      <c r="O1001" s="551"/>
      <c r="P1001" s="551"/>
      <c r="Q1001" s="551"/>
      <c r="R1001" s="550"/>
      <c r="S1001" s="546"/>
      <c r="T1001" s="547"/>
      <c r="U1001" s="546"/>
      <c r="W1001" s="350">
        <f t="shared" si="154"/>
        <v>0</v>
      </c>
      <c r="X1001" s="285"/>
    </row>
    <row r="1002" spans="1:24" ht="12" thickBot="1">
      <c r="A1002" s="596" t="s">
        <v>1499</v>
      </c>
      <c r="B1002" s="541" t="s">
        <v>1152</v>
      </c>
      <c r="C1002" s="541" t="s">
        <v>1153</v>
      </c>
      <c r="D1002" s="552" t="s">
        <v>710</v>
      </c>
      <c r="E1002" s="545"/>
      <c r="F1002" s="545"/>
      <c r="G1002" s="545"/>
      <c r="H1002" s="545"/>
      <c r="I1002" s="545"/>
      <c r="J1002" s="545"/>
      <c r="K1002" s="545"/>
      <c r="L1002" s="545"/>
      <c r="M1002" s="545"/>
      <c r="N1002" s="545"/>
      <c r="O1002" s="545"/>
      <c r="P1002" s="545"/>
      <c r="Q1002" s="545"/>
      <c r="R1002" s="544"/>
      <c r="S1002" s="546">
        <f t="shared" ref="S1002:S1065" si="181">G1002+H1002+I1002</f>
        <v>0</v>
      </c>
      <c r="T1002" s="547">
        <f t="shared" ref="T1002:T1065" si="182">J1002+K1002</f>
        <v>0</v>
      </c>
      <c r="U1002" s="546">
        <f t="shared" ref="U1002:U1065" si="183">N1002+O1002</f>
        <v>0</v>
      </c>
      <c r="W1002" s="350">
        <f t="shared" si="154"/>
        <v>0</v>
      </c>
      <c r="X1002" s="285">
        <f t="shared" ref="X1002:X1065" si="184">W1002-R1002</f>
        <v>0</v>
      </c>
    </row>
    <row r="1003" spans="1:24" ht="12" thickBot="1">
      <c r="A1003" s="596" t="s">
        <v>1499</v>
      </c>
      <c r="B1003" s="541" t="s">
        <v>434</v>
      </c>
      <c r="C1003" s="541" t="s">
        <v>1154</v>
      </c>
      <c r="D1003" s="552" t="s">
        <v>1158</v>
      </c>
      <c r="E1003" s="549"/>
      <c r="F1003" s="550"/>
      <c r="G1003" s="550"/>
      <c r="H1003" s="550"/>
      <c r="I1003" s="551"/>
      <c r="J1003" s="551"/>
      <c r="K1003" s="551"/>
      <c r="L1003" s="551"/>
      <c r="M1003" s="551"/>
      <c r="N1003" s="551"/>
      <c r="O1003" s="551"/>
      <c r="P1003" s="551"/>
      <c r="Q1003" s="551"/>
      <c r="R1003" s="550"/>
      <c r="S1003" s="546">
        <f t="shared" si="181"/>
        <v>0</v>
      </c>
      <c r="T1003" s="547">
        <f t="shared" si="182"/>
        <v>0</v>
      </c>
      <c r="U1003" s="546">
        <f t="shared" si="183"/>
        <v>0</v>
      </c>
      <c r="W1003" s="350">
        <f t="shared" si="154"/>
        <v>0</v>
      </c>
      <c r="X1003" s="285">
        <f t="shared" si="184"/>
        <v>0</v>
      </c>
    </row>
    <row r="1004" spans="1:24" ht="12" thickBot="1">
      <c r="A1004" s="596" t="s">
        <v>1499</v>
      </c>
      <c r="B1004" s="562" t="s">
        <v>8</v>
      </c>
      <c r="C1004" s="563"/>
      <c r="D1004" s="557"/>
      <c r="E1004" s="558"/>
      <c r="F1004" s="559"/>
      <c r="G1004" s="559"/>
      <c r="H1004" s="559"/>
      <c r="I1004" s="559"/>
      <c r="J1004" s="559"/>
      <c r="K1004" s="559"/>
      <c r="L1004" s="559"/>
      <c r="M1004" s="559"/>
      <c r="N1004" s="559"/>
      <c r="O1004" s="559"/>
      <c r="P1004" s="559"/>
      <c r="Q1004" s="559"/>
      <c r="R1004" s="559"/>
      <c r="S1004" s="546">
        <f t="shared" si="181"/>
        <v>0</v>
      </c>
      <c r="T1004" s="547">
        <f t="shared" si="182"/>
        <v>0</v>
      </c>
      <c r="U1004" s="546">
        <f t="shared" si="183"/>
        <v>0</v>
      </c>
      <c r="W1004" s="350">
        <f t="shared" si="154"/>
        <v>0</v>
      </c>
      <c r="X1004" s="285">
        <f t="shared" si="184"/>
        <v>0</v>
      </c>
    </row>
    <row r="1005" spans="1:24" ht="12" thickBot="1">
      <c r="A1005" s="596" t="s">
        <v>1500</v>
      </c>
      <c r="B1005" s="541" t="s">
        <v>424</v>
      </c>
      <c r="C1005" s="541" t="s">
        <v>444</v>
      </c>
      <c r="D1005" s="542" t="s">
        <v>724</v>
      </c>
      <c r="E1005" s="543"/>
      <c r="F1005" s="544"/>
      <c r="G1005" s="544"/>
      <c r="H1005" s="545"/>
      <c r="I1005" s="545"/>
      <c r="J1005" s="545"/>
      <c r="K1005" s="545"/>
      <c r="L1005" s="545"/>
      <c r="M1005" s="545"/>
      <c r="N1005" s="545"/>
      <c r="O1005" s="545"/>
      <c r="P1005" s="545"/>
      <c r="Q1005" s="545"/>
      <c r="R1005" s="544"/>
      <c r="S1005" s="546">
        <f t="shared" si="181"/>
        <v>0</v>
      </c>
      <c r="T1005" s="547">
        <f t="shared" si="182"/>
        <v>0</v>
      </c>
      <c r="U1005" s="546">
        <f>N1005+O1005</f>
        <v>0</v>
      </c>
      <c r="W1005" s="350">
        <f t="shared" si="154"/>
        <v>0</v>
      </c>
      <c r="X1005" s="285">
        <f>W1005-R1005</f>
        <v>0</v>
      </c>
    </row>
    <row r="1006" spans="1:24" ht="12" thickBot="1">
      <c r="A1006" s="596" t="s">
        <v>1500</v>
      </c>
      <c r="B1006" s="541" t="s">
        <v>425</v>
      </c>
      <c r="C1006" s="541" t="s">
        <v>445</v>
      </c>
      <c r="D1006" s="542" t="s">
        <v>724</v>
      </c>
      <c r="E1006" s="549"/>
      <c r="F1006" s="550"/>
      <c r="G1006" s="550"/>
      <c r="H1006" s="551"/>
      <c r="I1006" s="551"/>
      <c r="J1006" s="551"/>
      <c r="K1006" s="551"/>
      <c r="L1006" s="551"/>
      <c r="M1006" s="551"/>
      <c r="N1006" s="551"/>
      <c r="O1006" s="551"/>
      <c r="P1006" s="551"/>
      <c r="Q1006" s="551"/>
      <c r="R1006" s="550"/>
      <c r="S1006" s="546">
        <f t="shared" si="181"/>
        <v>0</v>
      </c>
      <c r="T1006" s="547">
        <f t="shared" si="182"/>
        <v>0</v>
      </c>
      <c r="U1006" s="546">
        <f t="shared" si="183"/>
        <v>0</v>
      </c>
      <c r="W1006" s="350">
        <f t="shared" si="154"/>
        <v>0</v>
      </c>
      <c r="X1006" s="285">
        <f t="shared" si="184"/>
        <v>0</v>
      </c>
    </row>
    <row r="1007" spans="1:24" ht="12" thickBot="1">
      <c r="A1007" s="596" t="s">
        <v>1500</v>
      </c>
      <c r="B1007" s="541" t="s">
        <v>433</v>
      </c>
      <c r="C1007" s="541" t="s">
        <v>432</v>
      </c>
      <c r="D1007" s="552" t="s">
        <v>1155</v>
      </c>
      <c r="E1007" s="543"/>
      <c r="F1007" s="545"/>
      <c r="G1007" s="544"/>
      <c r="H1007" s="545"/>
      <c r="I1007" s="545"/>
      <c r="J1007" s="545"/>
      <c r="K1007" s="545"/>
      <c r="L1007" s="545"/>
      <c r="M1007" s="545"/>
      <c r="N1007" s="545"/>
      <c r="O1007" s="545"/>
      <c r="P1007" s="545"/>
      <c r="Q1007" s="545"/>
      <c r="R1007" s="544"/>
      <c r="S1007" s="546">
        <f t="shared" si="181"/>
        <v>0</v>
      </c>
      <c r="T1007" s="547">
        <f t="shared" si="182"/>
        <v>0</v>
      </c>
      <c r="U1007" s="546">
        <f t="shared" si="183"/>
        <v>0</v>
      </c>
      <c r="W1007" s="350">
        <f t="shared" si="154"/>
        <v>0</v>
      </c>
      <c r="X1007" s="285">
        <f t="shared" si="184"/>
        <v>0</v>
      </c>
    </row>
    <row r="1008" spans="1:24" ht="12" thickBot="1">
      <c r="A1008" s="596" t="s">
        <v>1500</v>
      </c>
      <c r="B1008" s="541" t="s">
        <v>431</v>
      </c>
      <c r="C1008" s="541" t="s">
        <v>430</v>
      </c>
      <c r="D1008" s="553" t="s">
        <v>1155</v>
      </c>
      <c r="E1008" s="549"/>
      <c r="F1008" s="551"/>
      <c r="G1008" s="550"/>
      <c r="H1008" s="551"/>
      <c r="I1008" s="551"/>
      <c r="J1008" s="551"/>
      <c r="K1008" s="551"/>
      <c r="L1008" s="551"/>
      <c r="M1008" s="551"/>
      <c r="N1008" s="551"/>
      <c r="O1008" s="551"/>
      <c r="P1008" s="551"/>
      <c r="Q1008" s="551"/>
      <c r="R1008" s="550"/>
      <c r="S1008" s="546">
        <f t="shared" si="181"/>
        <v>0</v>
      </c>
      <c r="T1008" s="547">
        <f t="shared" si="182"/>
        <v>0</v>
      </c>
      <c r="U1008" s="546">
        <f t="shared" si="183"/>
        <v>0</v>
      </c>
      <c r="W1008" s="350">
        <f t="shared" si="154"/>
        <v>0</v>
      </c>
      <c r="X1008" s="285">
        <f t="shared" si="184"/>
        <v>0</v>
      </c>
    </row>
    <row r="1009" spans="1:24" ht="12" thickBot="1">
      <c r="A1009" s="596" t="s">
        <v>1500</v>
      </c>
      <c r="B1009" s="541" t="s">
        <v>1048</v>
      </c>
      <c r="C1009" s="541" t="s">
        <v>1049</v>
      </c>
      <c r="D1009" s="553" t="s">
        <v>1146</v>
      </c>
      <c r="E1009" s="545"/>
      <c r="F1009" s="545"/>
      <c r="G1009" s="545"/>
      <c r="H1009" s="545"/>
      <c r="I1009" s="545"/>
      <c r="J1009" s="545"/>
      <c r="K1009" s="545"/>
      <c r="L1009" s="545"/>
      <c r="M1009" s="545"/>
      <c r="N1009" s="545"/>
      <c r="O1009" s="545"/>
      <c r="P1009" s="545"/>
      <c r="Q1009" s="545"/>
      <c r="R1009" s="545"/>
      <c r="S1009" s="546">
        <f t="shared" si="181"/>
        <v>0</v>
      </c>
      <c r="T1009" s="547">
        <f t="shared" si="182"/>
        <v>0</v>
      </c>
      <c r="U1009" s="546">
        <f t="shared" si="183"/>
        <v>0</v>
      </c>
      <c r="W1009" s="350">
        <f t="shared" si="154"/>
        <v>0</v>
      </c>
      <c r="X1009" s="285">
        <f t="shared" si="184"/>
        <v>0</v>
      </c>
    </row>
    <row r="1010" spans="1:24" ht="12" thickBot="1">
      <c r="A1010" s="596" t="s">
        <v>1500</v>
      </c>
      <c r="B1010" s="541" t="s">
        <v>152</v>
      </c>
      <c r="C1010" s="541" t="s">
        <v>57</v>
      </c>
      <c r="D1010" s="553" t="s">
        <v>18</v>
      </c>
      <c r="E1010" s="549">
        <f t="shared" ref="E1010:E1056" si="185">ROUND(SUMIFS(E$1721:E$1888,$A$1721:$A$1888,$A1010,$B$1721:$B$1888,$B1010),0)</f>
        <v>138340919</v>
      </c>
      <c r="F1010" s="988">
        <f t="shared" ref="F1010:P1019" si="186">ROUND(SUMIFS(F$1721:F$1901,$A$1721:$A$1901,$A1010,$B$1721:$B$1901,$B1010),0)</f>
        <v>24000</v>
      </c>
      <c r="G1010" s="988">
        <f t="shared" si="186"/>
        <v>1026490</v>
      </c>
      <c r="H1010" s="988">
        <f t="shared" si="186"/>
        <v>4000819</v>
      </c>
      <c r="I1010" s="988">
        <f t="shared" si="186"/>
        <v>0</v>
      </c>
      <c r="J1010" s="988">
        <f t="shared" si="186"/>
        <v>203449</v>
      </c>
      <c r="K1010" s="988">
        <f t="shared" si="186"/>
        <v>2086250</v>
      </c>
      <c r="L1010" s="988">
        <f t="shared" si="186"/>
        <v>0</v>
      </c>
      <c r="M1010" s="988">
        <f t="shared" si="186"/>
        <v>296729</v>
      </c>
      <c r="N1010" s="988">
        <f t="shared" si="186"/>
        <v>0</v>
      </c>
      <c r="O1010" s="988">
        <f t="shared" si="186"/>
        <v>585927</v>
      </c>
      <c r="P1010" s="988">
        <f t="shared" si="186"/>
        <v>0</v>
      </c>
      <c r="Q1010" s="988"/>
      <c r="R1010" s="988">
        <f t="shared" ref="R1010:R1056" si="187">ROUND(SUMIFS(R$1721:R$1901,$A$1721:$A$1901,$A1010,$B$1721:$B$1901,$B1010),0)</f>
        <v>8223663</v>
      </c>
      <c r="S1010" s="546">
        <f t="shared" si="181"/>
        <v>5027309</v>
      </c>
      <c r="T1010" s="547">
        <f t="shared" si="182"/>
        <v>2289699</v>
      </c>
      <c r="U1010" s="546">
        <f t="shared" si="183"/>
        <v>585927</v>
      </c>
      <c r="W1010" s="350">
        <f t="shared" si="154"/>
        <v>8223664</v>
      </c>
      <c r="X1010" s="285">
        <f t="shared" si="184"/>
        <v>1</v>
      </c>
    </row>
    <row r="1011" spans="1:24" ht="12" thickBot="1">
      <c r="A1011" s="596" t="s">
        <v>1500</v>
      </c>
      <c r="B1011" s="541" t="s">
        <v>153</v>
      </c>
      <c r="C1011" s="541" t="s">
        <v>180</v>
      </c>
      <c r="D1011" s="542" t="s">
        <v>25</v>
      </c>
      <c r="E1011" s="549">
        <f t="shared" si="185"/>
        <v>22727624</v>
      </c>
      <c r="F1011" s="988">
        <f t="shared" si="186"/>
        <v>34340</v>
      </c>
      <c r="G1011" s="988">
        <f t="shared" si="186"/>
        <v>152275</v>
      </c>
      <c r="H1011" s="988">
        <f t="shared" si="186"/>
        <v>657283</v>
      </c>
      <c r="I1011" s="988">
        <f t="shared" si="186"/>
        <v>0</v>
      </c>
      <c r="J1011" s="988">
        <f t="shared" si="186"/>
        <v>67161</v>
      </c>
      <c r="K1011" s="988">
        <f t="shared" si="186"/>
        <v>883046</v>
      </c>
      <c r="L1011" s="988">
        <f t="shared" si="186"/>
        <v>41836</v>
      </c>
      <c r="M1011" s="988">
        <f t="shared" si="186"/>
        <v>48749</v>
      </c>
      <c r="N1011" s="988">
        <f t="shared" si="186"/>
        <v>0</v>
      </c>
      <c r="O1011" s="988">
        <f t="shared" si="186"/>
        <v>96260</v>
      </c>
      <c r="P1011" s="988">
        <f t="shared" si="186"/>
        <v>0</v>
      </c>
      <c r="Q1011" s="988"/>
      <c r="R1011" s="988">
        <f t="shared" si="187"/>
        <v>1980950</v>
      </c>
      <c r="S1011" s="546">
        <f t="shared" si="181"/>
        <v>809558</v>
      </c>
      <c r="T1011" s="547">
        <f t="shared" si="182"/>
        <v>950207</v>
      </c>
      <c r="U1011" s="546">
        <f t="shared" si="183"/>
        <v>96260</v>
      </c>
      <c r="W1011" s="350">
        <f t="shared" si="154"/>
        <v>1980950</v>
      </c>
      <c r="X1011" s="285">
        <f t="shared" si="184"/>
        <v>0</v>
      </c>
    </row>
    <row r="1012" spans="1:24" ht="12" thickBot="1">
      <c r="A1012" s="596" t="s">
        <v>1500</v>
      </c>
      <c r="B1012" s="541" t="s">
        <v>154</v>
      </c>
      <c r="C1012" s="541" t="s">
        <v>181</v>
      </c>
      <c r="D1012" s="542" t="s">
        <v>24</v>
      </c>
      <c r="E1012" s="549">
        <f t="shared" si="185"/>
        <v>209413425</v>
      </c>
      <c r="F1012" s="988">
        <f t="shared" si="186"/>
        <v>423000</v>
      </c>
      <c r="G1012" s="988">
        <f t="shared" si="186"/>
        <v>1407258</v>
      </c>
      <c r="H1012" s="988">
        <f t="shared" si="186"/>
        <v>6056236</v>
      </c>
      <c r="I1012" s="988">
        <f t="shared" si="186"/>
        <v>0</v>
      </c>
      <c r="J1012" s="988">
        <f t="shared" si="186"/>
        <v>737862</v>
      </c>
      <c r="K1012" s="988">
        <f t="shared" si="186"/>
        <v>9715179</v>
      </c>
      <c r="L1012" s="988">
        <f t="shared" si="186"/>
        <v>385480</v>
      </c>
      <c r="M1012" s="988">
        <f t="shared" si="186"/>
        <v>449173</v>
      </c>
      <c r="N1012" s="988">
        <f t="shared" si="186"/>
        <v>0</v>
      </c>
      <c r="O1012" s="988">
        <f t="shared" si="186"/>
        <v>886946</v>
      </c>
      <c r="P1012" s="988">
        <f t="shared" si="186"/>
        <v>0</v>
      </c>
      <c r="Q1012" s="988"/>
      <c r="R1012" s="988">
        <f t="shared" si="187"/>
        <v>20061134</v>
      </c>
      <c r="S1012" s="546">
        <f t="shared" si="181"/>
        <v>7463494</v>
      </c>
      <c r="T1012" s="547">
        <f t="shared" si="182"/>
        <v>10453041</v>
      </c>
      <c r="U1012" s="546">
        <f t="shared" si="183"/>
        <v>886946</v>
      </c>
      <c r="W1012" s="350">
        <f t="shared" si="154"/>
        <v>20061134</v>
      </c>
      <c r="X1012" s="285">
        <f t="shared" si="184"/>
        <v>0</v>
      </c>
    </row>
    <row r="1013" spans="1:24" ht="12" thickBot="1">
      <c r="A1013" s="596" t="s">
        <v>1500</v>
      </c>
      <c r="B1013" s="541" t="s">
        <v>155</v>
      </c>
      <c r="C1013" s="541" t="s">
        <v>182</v>
      </c>
      <c r="D1013" s="554" t="s">
        <v>205</v>
      </c>
      <c r="E1013" s="549">
        <f t="shared" si="185"/>
        <v>280193456</v>
      </c>
      <c r="F1013" s="988">
        <f t="shared" si="186"/>
        <v>15600</v>
      </c>
      <c r="G1013" s="988">
        <f t="shared" si="186"/>
        <v>2446089</v>
      </c>
      <c r="H1013" s="988">
        <f t="shared" si="186"/>
        <v>8103195</v>
      </c>
      <c r="I1013" s="988">
        <f t="shared" si="186"/>
        <v>0</v>
      </c>
      <c r="J1013" s="988">
        <f t="shared" si="186"/>
        <v>430992</v>
      </c>
      <c r="K1013" s="988">
        <f t="shared" si="186"/>
        <v>4369323</v>
      </c>
      <c r="L1013" s="988">
        <f t="shared" si="186"/>
        <v>515769</v>
      </c>
      <c r="M1013" s="988">
        <f t="shared" si="186"/>
        <v>600989</v>
      </c>
      <c r="N1013" s="988">
        <f t="shared" si="186"/>
        <v>0</v>
      </c>
      <c r="O1013" s="988">
        <f t="shared" si="186"/>
        <v>1186726</v>
      </c>
      <c r="P1013" s="988">
        <f t="shared" si="186"/>
        <v>0</v>
      </c>
      <c r="Q1013" s="988"/>
      <c r="R1013" s="988">
        <f t="shared" si="187"/>
        <v>17668684</v>
      </c>
      <c r="S1013" s="546">
        <f t="shared" si="181"/>
        <v>10549284</v>
      </c>
      <c r="T1013" s="547">
        <f t="shared" si="182"/>
        <v>4800315</v>
      </c>
      <c r="U1013" s="546">
        <f t="shared" si="183"/>
        <v>1186726</v>
      </c>
      <c r="W1013" s="350">
        <f t="shared" si="154"/>
        <v>17668683</v>
      </c>
      <c r="X1013" s="285">
        <f t="shared" si="184"/>
        <v>-1</v>
      </c>
    </row>
    <row r="1014" spans="1:24" ht="12" thickBot="1">
      <c r="A1014" s="596" t="s">
        <v>1500</v>
      </c>
      <c r="B1014" s="541" t="s">
        <v>156</v>
      </c>
      <c r="C1014" s="541" t="s">
        <v>183</v>
      </c>
      <c r="D1014" s="554" t="s">
        <v>25</v>
      </c>
      <c r="E1014" s="549">
        <f t="shared" si="185"/>
        <v>0</v>
      </c>
      <c r="F1014" s="988">
        <f t="shared" si="186"/>
        <v>0</v>
      </c>
      <c r="G1014" s="988">
        <f t="shared" si="186"/>
        <v>0</v>
      </c>
      <c r="H1014" s="988">
        <f t="shared" si="186"/>
        <v>0</v>
      </c>
      <c r="I1014" s="988">
        <f t="shared" si="186"/>
        <v>0</v>
      </c>
      <c r="J1014" s="988">
        <f t="shared" si="186"/>
        <v>0</v>
      </c>
      <c r="K1014" s="988">
        <f t="shared" si="186"/>
        <v>0</v>
      </c>
      <c r="L1014" s="988">
        <f t="shared" si="186"/>
        <v>0</v>
      </c>
      <c r="M1014" s="988">
        <f t="shared" si="186"/>
        <v>0</v>
      </c>
      <c r="N1014" s="988">
        <f t="shared" si="186"/>
        <v>0</v>
      </c>
      <c r="O1014" s="988">
        <f t="shared" si="186"/>
        <v>0</v>
      </c>
      <c r="P1014" s="988">
        <f t="shared" si="186"/>
        <v>0</v>
      </c>
      <c r="Q1014" s="988"/>
      <c r="R1014" s="988">
        <f t="shared" si="187"/>
        <v>0</v>
      </c>
      <c r="S1014" s="546">
        <f t="shared" si="181"/>
        <v>0</v>
      </c>
      <c r="T1014" s="547">
        <f t="shared" si="182"/>
        <v>0</v>
      </c>
      <c r="U1014" s="546">
        <f t="shared" si="183"/>
        <v>0</v>
      </c>
      <c r="W1014" s="350">
        <f t="shared" si="154"/>
        <v>0</v>
      </c>
      <c r="X1014" s="285">
        <f t="shared" si="184"/>
        <v>0</v>
      </c>
    </row>
    <row r="1015" spans="1:24" ht="12" thickBot="1">
      <c r="A1015" s="596" t="s">
        <v>1500</v>
      </c>
      <c r="B1015" s="541" t="s">
        <v>157</v>
      </c>
      <c r="C1015" s="541" t="s">
        <v>184</v>
      </c>
      <c r="D1015" s="554" t="s">
        <v>24</v>
      </c>
      <c r="E1015" s="549">
        <f t="shared" si="185"/>
        <v>0</v>
      </c>
      <c r="F1015" s="988">
        <f t="shared" si="186"/>
        <v>0</v>
      </c>
      <c r="G1015" s="988">
        <f t="shared" si="186"/>
        <v>0</v>
      </c>
      <c r="H1015" s="988">
        <f t="shared" si="186"/>
        <v>0</v>
      </c>
      <c r="I1015" s="988">
        <f t="shared" si="186"/>
        <v>0</v>
      </c>
      <c r="J1015" s="988">
        <f t="shared" si="186"/>
        <v>0</v>
      </c>
      <c r="K1015" s="988">
        <f t="shared" si="186"/>
        <v>0</v>
      </c>
      <c r="L1015" s="988">
        <f t="shared" si="186"/>
        <v>0</v>
      </c>
      <c r="M1015" s="988">
        <f t="shared" si="186"/>
        <v>0</v>
      </c>
      <c r="N1015" s="988">
        <f t="shared" si="186"/>
        <v>0</v>
      </c>
      <c r="O1015" s="988">
        <f t="shared" si="186"/>
        <v>0</v>
      </c>
      <c r="P1015" s="988">
        <f t="shared" si="186"/>
        <v>0</v>
      </c>
      <c r="Q1015" s="988"/>
      <c r="R1015" s="988">
        <f t="shared" si="187"/>
        <v>0</v>
      </c>
      <c r="S1015" s="546">
        <f t="shared" si="181"/>
        <v>0</v>
      </c>
      <c r="T1015" s="547">
        <f t="shared" si="182"/>
        <v>0</v>
      </c>
      <c r="U1015" s="546">
        <f t="shared" si="183"/>
        <v>0</v>
      </c>
      <c r="W1015" s="350">
        <f t="shared" si="154"/>
        <v>0</v>
      </c>
      <c r="X1015" s="285">
        <f t="shared" si="184"/>
        <v>0</v>
      </c>
    </row>
    <row r="1016" spans="1:24" ht="12" thickBot="1">
      <c r="A1016" s="596" t="s">
        <v>1500</v>
      </c>
      <c r="B1016" s="541" t="s">
        <v>158</v>
      </c>
      <c r="C1016" s="541" t="s">
        <v>185</v>
      </c>
      <c r="D1016" s="542" t="s">
        <v>205</v>
      </c>
      <c r="E1016" s="549">
        <f t="shared" si="185"/>
        <v>116583613</v>
      </c>
      <c r="F1016" s="988">
        <f t="shared" si="186"/>
        <v>58800</v>
      </c>
      <c r="G1016" s="988">
        <f t="shared" si="186"/>
        <v>1017775</v>
      </c>
      <c r="H1016" s="988">
        <f t="shared" si="186"/>
        <v>3371598</v>
      </c>
      <c r="I1016" s="988">
        <f t="shared" si="186"/>
        <v>0</v>
      </c>
      <c r="J1016" s="988">
        <f t="shared" si="186"/>
        <v>222399</v>
      </c>
      <c r="K1016" s="988">
        <f t="shared" si="186"/>
        <v>2239776</v>
      </c>
      <c r="L1016" s="988">
        <f t="shared" si="186"/>
        <v>214603</v>
      </c>
      <c r="M1016" s="988">
        <f t="shared" si="186"/>
        <v>250061</v>
      </c>
      <c r="N1016" s="988">
        <f t="shared" si="186"/>
        <v>0</v>
      </c>
      <c r="O1016" s="988">
        <f t="shared" si="186"/>
        <v>493776</v>
      </c>
      <c r="P1016" s="988">
        <f t="shared" si="186"/>
        <v>0</v>
      </c>
      <c r="Q1016" s="988"/>
      <c r="R1016" s="988">
        <f t="shared" si="187"/>
        <v>7868789</v>
      </c>
      <c r="S1016" s="546">
        <f t="shared" si="181"/>
        <v>4389373</v>
      </c>
      <c r="T1016" s="547">
        <f t="shared" si="182"/>
        <v>2462175</v>
      </c>
      <c r="U1016" s="546">
        <f t="shared" si="183"/>
        <v>493776</v>
      </c>
      <c r="W1016" s="350">
        <f t="shared" si="154"/>
        <v>7868788</v>
      </c>
      <c r="X1016" s="285">
        <f t="shared" si="184"/>
        <v>-1</v>
      </c>
    </row>
    <row r="1017" spans="1:24" ht="12" thickBot="1">
      <c r="A1017" s="596" t="s">
        <v>1500</v>
      </c>
      <c r="B1017" s="541" t="s">
        <v>159</v>
      </c>
      <c r="C1017" s="541" t="s">
        <v>186</v>
      </c>
      <c r="D1017" s="542" t="s">
        <v>204</v>
      </c>
      <c r="E1017" s="549">
        <f t="shared" si="185"/>
        <v>151711802</v>
      </c>
      <c r="F1017" s="988">
        <f t="shared" si="186"/>
        <v>92400</v>
      </c>
      <c r="G1017" s="988">
        <f t="shared" si="186"/>
        <v>1336581</v>
      </c>
      <c r="H1017" s="988">
        <f t="shared" si="186"/>
        <v>4387505</v>
      </c>
      <c r="I1017" s="988">
        <f t="shared" si="186"/>
        <v>0</v>
      </c>
      <c r="J1017" s="988">
        <f t="shared" si="186"/>
        <v>345858</v>
      </c>
      <c r="K1017" s="988">
        <f t="shared" si="186"/>
        <v>3531181</v>
      </c>
      <c r="L1017" s="988">
        <f t="shared" si="186"/>
        <v>279265</v>
      </c>
      <c r="M1017" s="988">
        <f t="shared" si="186"/>
        <v>325408</v>
      </c>
      <c r="N1017" s="988">
        <f t="shared" si="186"/>
        <v>0</v>
      </c>
      <c r="O1017" s="988">
        <f t="shared" si="186"/>
        <v>642557</v>
      </c>
      <c r="P1017" s="988">
        <f t="shared" si="186"/>
        <v>0</v>
      </c>
      <c r="Q1017" s="988"/>
      <c r="R1017" s="988">
        <f t="shared" si="187"/>
        <v>10940756</v>
      </c>
      <c r="S1017" s="546">
        <f t="shared" si="181"/>
        <v>5724086</v>
      </c>
      <c r="T1017" s="547">
        <f t="shared" si="182"/>
        <v>3877039</v>
      </c>
      <c r="U1017" s="546">
        <f t="shared" si="183"/>
        <v>642557</v>
      </c>
      <c r="W1017" s="350">
        <f t="shared" si="154"/>
        <v>10940755</v>
      </c>
      <c r="X1017" s="285">
        <f t="shared" si="184"/>
        <v>-1</v>
      </c>
    </row>
    <row r="1018" spans="1:24" ht="12" thickBot="1">
      <c r="A1018" s="596" t="s">
        <v>1500</v>
      </c>
      <c r="B1018" s="541" t="s">
        <v>160</v>
      </c>
      <c r="C1018" s="541" t="s">
        <v>187</v>
      </c>
      <c r="D1018" s="542" t="s">
        <v>24</v>
      </c>
      <c r="E1018" s="549">
        <f t="shared" si="185"/>
        <v>0</v>
      </c>
      <c r="F1018" s="988">
        <f t="shared" si="186"/>
        <v>0</v>
      </c>
      <c r="G1018" s="988">
        <f t="shared" si="186"/>
        <v>0</v>
      </c>
      <c r="H1018" s="988">
        <f t="shared" si="186"/>
        <v>0</v>
      </c>
      <c r="I1018" s="988">
        <f t="shared" si="186"/>
        <v>0</v>
      </c>
      <c r="J1018" s="988">
        <f t="shared" si="186"/>
        <v>0</v>
      </c>
      <c r="K1018" s="988">
        <f t="shared" si="186"/>
        <v>0</v>
      </c>
      <c r="L1018" s="988">
        <f t="shared" si="186"/>
        <v>0</v>
      </c>
      <c r="M1018" s="988">
        <f t="shared" si="186"/>
        <v>0</v>
      </c>
      <c r="N1018" s="988">
        <f t="shared" si="186"/>
        <v>0</v>
      </c>
      <c r="O1018" s="988">
        <f t="shared" si="186"/>
        <v>0</v>
      </c>
      <c r="P1018" s="988">
        <f t="shared" si="186"/>
        <v>0</v>
      </c>
      <c r="Q1018" s="988"/>
      <c r="R1018" s="988">
        <f t="shared" si="187"/>
        <v>0</v>
      </c>
      <c r="S1018" s="546">
        <f t="shared" si="181"/>
        <v>0</v>
      </c>
      <c r="T1018" s="547">
        <f t="shared" si="182"/>
        <v>0</v>
      </c>
      <c r="U1018" s="546">
        <f t="shared" si="183"/>
        <v>0</v>
      </c>
      <c r="W1018" s="350">
        <f t="shared" si="154"/>
        <v>0</v>
      </c>
      <c r="X1018" s="285">
        <f t="shared" si="184"/>
        <v>0</v>
      </c>
    </row>
    <row r="1019" spans="1:24" ht="12" thickBot="1">
      <c r="A1019" s="596" t="s">
        <v>1500</v>
      </c>
      <c r="B1019" s="541" t="s">
        <v>1050</v>
      </c>
      <c r="C1019" s="541" t="s">
        <v>1049</v>
      </c>
      <c r="D1019" s="542" t="s">
        <v>1146</v>
      </c>
      <c r="E1019" s="549">
        <f t="shared" si="185"/>
        <v>0</v>
      </c>
      <c r="F1019" s="988">
        <f t="shared" si="186"/>
        <v>0</v>
      </c>
      <c r="G1019" s="988">
        <f t="shared" si="186"/>
        <v>0</v>
      </c>
      <c r="H1019" s="988">
        <f t="shared" si="186"/>
        <v>0</v>
      </c>
      <c r="I1019" s="988">
        <f t="shared" si="186"/>
        <v>0</v>
      </c>
      <c r="J1019" s="988">
        <f t="shared" si="186"/>
        <v>0</v>
      </c>
      <c r="K1019" s="988">
        <f t="shared" si="186"/>
        <v>0</v>
      </c>
      <c r="L1019" s="988">
        <f t="shared" si="186"/>
        <v>0</v>
      </c>
      <c r="M1019" s="988">
        <f t="shared" si="186"/>
        <v>0</v>
      </c>
      <c r="N1019" s="988">
        <f t="shared" si="186"/>
        <v>0</v>
      </c>
      <c r="O1019" s="988">
        <f t="shared" si="186"/>
        <v>0</v>
      </c>
      <c r="P1019" s="988">
        <f t="shared" si="186"/>
        <v>0</v>
      </c>
      <c r="Q1019" s="988"/>
      <c r="R1019" s="988">
        <f t="shared" si="187"/>
        <v>0</v>
      </c>
      <c r="S1019" s="546">
        <f t="shared" si="181"/>
        <v>0</v>
      </c>
      <c r="T1019" s="547">
        <f t="shared" si="182"/>
        <v>0</v>
      </c>
      <c r="U1019" s="546">
        <f t="shared" si="183"/>
        <v>0</v>
      </c>
      <c r="W1019" s="350">
        <f t="shared" si="154"/>
        <v>0</v>
      </c>
      <c r="X1019" s="285">
        <f t="shared" si="184"/>
        <v>0</v>
      </c>
    </row>
    <row r="1020" spans="1:24" ht="12" thickBot="1">
      <c r="A1020" s="596" t="s">
        <v>1500</v>
      </c>
      <c r="B1020" s="541" t="s">
        <v>161</v>
      </c>
      <c r="C1020" s="541" t="s">
        <v>476</v>
      </c>
      <c r="D1020" s="541" t="s">
        <v>208</v>
      </c>
      <c r="E1020" s="549">
        <f t="shared" si="185"/>
        <v>73848581</v>
      </c>
      <c r="F1020" s="988">
        <f t="shared" ref="F1020:P1029" si="188">ROUND(SUMIFS(F$1721:F$1901,$A$1721:$A$1901,$A1020,$B$1721:$B$1901,$B1020),0)</f>
        <v>1269967</v>
      </c>
      <c r="G1020" s="988">
        <f t="shared" si="188"/>
        <v>4329004</v>
      </c>
      <c r="H1020" s="988">
        <f t="shared" si="188"/>
        <v>2135701</v>
      </c>
      <c r="I1020" s="988">
        <f t="shared" si="188"/>
        <v>347827</v>
      </c>
      <c r="J1020" s="988">
        <f t="shared" si="188"/>
        <v>0</v>
      </c>
      <c r="K1020" s="988">
        <f t="shared" si="188"/>
        <v>0</v>
      </c>
      <c r="L1020" s="988">
        <f t="shared" si="188"/>
        <v>135938</v>
      </c>
      <c r="M1020" s="988">
        <f t="shared" si="188"/>
        <v>158398</v>
      </c>
      <c r="N1020" s="988">
        <f t="shared" si="188"/>
        <v>0</v>
      </c>
      <c r="O1020" s="988">
        <f t="shared" si="188"/>
        <v>312777</v>
      </c>
      <c r="P1020" s="988">
        <f t="shared" si="188"/>
        <v>0</v>
      </c>
      <c r="Q1020" s="988"/>
      <c r="R1020" s="988">
        <f t="shared" si="187"/>
        <v>8689612</v>
      </c>
      <c r="S1020" s="546">
        <f t="shared" si="181"/>
        <v>6812532</v>
      </c>
      <c r="T1020" s="547">
        <f t="shared" si="182"/>
        <v>0</v>
      </c>
      <c r="U1020" s="546">
        <f t="shared" si="183"/>
        <v>312777</v>
      </c>
      <c r="W1020" s="350">
        <f t="shared" si="154"/>
        <v>8689612</v>
      </c>
      <c r="X1020" s="285">
        <f t="shared" si="184"/>
        <v>0</v>
      </c>
    </row>
    <row r="1021" spans="1:24" ht="12" thickBot="1">
      <c r="A1021" s="596" t="s">
        <v>1500</v>
      </c>
      <c r="B1021" s="541" t="s">
        <v>162</v>
      </c>
      <c r="C1021" s="541" t="s">
        <v>1391</v>
      </c>
      <c r="D1021" s="561" t="s">
        <v>208</v>
      </c>
      <c r="E1021" s="549">
        <f t="shared" si="185"/>
        <v>0</v>
      </c>
      <c r="F1021" s="988">
        <f t="shared" si="188"/>
        <v>0</v>
      </c>
      <c r="G1021" s="988">
        <f t="shared" si="188"/>
        <v>0</v>
      </c>
      <c r="H1021" s="988">
        <f t="shared" si="188"/>
        <v>0</v>
      </c>
      <c r="I1021" s="988">
        <f t="shared" si="188"/>
        <v>0</v>
      </c>
      <c r="J1021" s="988">
        <f t="shared" si="188"/>
        <v>0</v>
      </c>
      <c r="K1021" s="988">
        <f t="shared" si="188"/>
        <v>0</v>
      </c>
      <c r="L1021" s="988">
        <f t="shared" si="188"/>
        <v>0</v>
      </c>
      <c r="M1021" s="988">
        <f t="shared" si="188"/>
        <v>0</v>
      </c>
      <c r="N1021" s="988">
        <f t="shared" si="188"/>
        <v>0</v>
      </c>
      <c r="O1021" s="988">
        <f t="shared" si="188"/>
        <v>0</v>
      </c>
      <c r="P1021" s="988">
        <f t="shared" si="188"/>
        <v>0</v>
      </c>
      <c r="Q1021" s="988"/>
      <c r="R1021" s="988">
        <f t="shared" si="187"/>
        <v>0</v>
      </c>
      <c r="S1021" s="546">
        <f t="shared" si="181"/>
        <v>0</v>
      </c>
      <c r="T1021" s="547">
        <f t="shared" si="182"/>
        <v>0</v>
      </c>
      <c r="U1021" s="546">
        <f t="shared" si="183"/>
        <v>0</v>
      </c>
      <c r="W1021" s="350">
        <f t="shared" si="154"/>
        <v>0</v>
      </c>
      <c r="X1021" s="285">
        <f t="shared" si="184"/>
        <v>0</v>
      </c>
    </row>
    <row r="1022" spans="1:24" ht="12" thickBot="1">
      <c r="A1022" s="596" t="s">
        <v>1500</v>
      </c>
      <c r="B1022" s="541" t="s">
        <v>163</v>
      </c>
      <c r="C1022" s="541" t="s">
        <v>63</v>
      </c>
      <c r="D1022" s="542" t="s">
        <v>17</v>
      </c>
      <c r="E1022" s="549">
        <f t="shared" si="185"/>
        <v>108396952</v>
      </c>
      <c r="F1022" s="988">
        <f t="shared" si="188"/>
        <v>649658</v>
      </c>
      <c r="G1022" s="988">
        <f t="shared" si="188"/>
        <v>6354229</v>
      </c>
      <c r="H1022" s="988">
        <f t="shared" si="188"/>
        <v>3134840</v>
      </c>
      <c r="I1022" s="988">
        <f t="shared" si="188"/>
        <v>510550</v>
      </c>
      <c r="J1022" s="988">
        <f t="shared" si="188"/>
        <v>0</v>
      </c>
      <c r="K1022" s="988">
        <f t="shared" si="188"/>
        <v>0</v>
      </c>
      <c r="L1022" s="988">
        <f t="shared" si="188"/>
        <v>199533</v>
      </c>
      <c r="M1022" s="988">
        <f t="shared" si="188"/>
        <v>232502</v>
      </c>
      <c r="N1022" s="988">
        <f t="shared" si="188"/>
        <v>459103</v>
      </c>
      <c r="O1022" s="988">
        <f t="shared" si="188"/>
        <v>0</v>
      </c>
      <c r="P1022" s="988">
        <f t="shared" si="188"/>
        <v>0</v>
      </c>
      <c r="Q1022" s="988"/>
      <c r="R1022" s="988">
        <f t="shared" si="187"/>
        <v>11540413</v>
      </c>
      <c r="S1022" s="546">
        <f t="shared" si="181"/>
        <v>9999619</v>
      </c>
      <c r="T1022" s="547">
        <f t="shared" si="182"/>
        <v>0</v>
      </c>
      <c r="U1022" s="546">
        <f t="shared" si="183"/>
        <v>459103</v>
      </c>
      <c r="W1022" s="350">
        <f t="shared" si="154"/>
        <v>11540415</v>
      </c>
      <c r="X1022" s="285">
        <f t="shared" si="184"/>
        <v>2</v>
      </c>
    </row>
    <row r="1023" spans="1:24" ht="12" thickBot="1">
      <c r="A1023" s="596" t="s">
        <v>1500</v>
      </c>
      <c r="B1023" s="541" t="s">
        <v>164</v>
      </c>
      <c r="C1023" s="541" t="s">
        <v>188</v>
      </c>
      <c r="D1023" s="555" t="s">
        <v>203</v>
      </c>
      <c r="E1023" s="549">
        <f t="shared" si="185"/>
        <v>629511</v>
      </c>
      <c r="F1023" s="988">
        <f t="shared" si="188"/>
        <v>7520</v>
      </c>
      <c r="G1023" s="988">
        <f t="shared" si="188"/>
        <v>26647</v>
      </c>
      <c r="H1023" s="988">
        <f t="shared" si="188"/>
        <v>18205</v>
      </c>
      <c r="I1023" s="988">
        <f t="shared" si="188"/>
        <v>1983</v>
      </c>
      <c r="J1023" s="988">
        <f t="shared" si="188"/>
        <v>0</v>
      </c>
      <c r="K1023" s="988">
        <f t="shared" si="188"/>
        <v>0</v>
      </c>
      <c r="L1023" s="988">
        <f t="shared" si="188"/>
        <v>1159</v>
      </c>
      <c r="M1023" s="988">
        <f t="shared" si="188"/>
        <v>1350</v>
      </c>
      <c r="N1023" s="988">
        <f t="shared" si="188"/>
        <v>2666</v>
      </c>
      <c r="O1023" s="988">
        <f t="shared" si="188"/>
        <v>0</v>
      </c>
      <c r="P1023" s="988">
        <f t="shared" si="188"/>
        <v>0</v>
      </c>
      <c r="Q1023" s="988"/>
      <c r="R1023" s="988">
        <f t="shared" si="187"/>
        <v>59531</v>
      </c>
      <c r="S1023" s="546">
        <f t="shared" si="181"/>
        <v>46835</v>
      </c>
      <c r="T1023" s="547">
        <f t="shared" si="182"/>
        <v>0</v>
      </c>
      <c r="U1023" s="546">
        <f t="shared" si="183"/>
        <v>2666</v>
      </c>
      <c r="W1023" s="350">
        <f t="shared" si="154"/>
        <v>59530</v>
      </c>
      <c r="X1023" s="285">
        <f t="shared" si="184"/>
        <v>-1</v>
      </c>
    </row>
    <row r="1024" spans="1:24" ht="12" thickBot="1">
      <c r="A1024" s="596" t="s">
        <v>1500</v>
      </c>
      <c r="B1024" s="541" t="s">
        <v>165</v>
      </c>
      <c r="C1024" s="541" t="s">
        <v>189</v>
      </c>
      <c r="D1024" s="554" t="s">
        <v>211</v>
      </c>
      <c r="E1024" s="549">
        <f t="shared" si="185"/>
        <v>0</v>
      </c>
      <c r="F1024" s="988">
        <f t="shared" si="188"/>
        <v>0</v>
      </c>
      <c r="G1024" s="988">
        <f t="shared" si="188"/>
        <v>0</v>
      </c>
      <c r="H1024" s="988">
        <f t="shared" si="188"/>
        <v>0</v>
      </c>
      <c r="I1024" s="988">
        <f t="shared" si="188"/>
        <v>0</v>
      </c>
      <c r="J1024" s="988">
        <f t="shared" si="188"/>
        <v>0</v>
      </c>
      <c r="K1024" s="988">
        <f t="shared" si="188"/>
        <v>0</v>
      </c>
      <c r="L1024" s="988">
        <f t="shared" si="188"/>
        <v>0</v>
      </c>
      <c r="M1024" s="988">
        <f t="shared" si="188"/>
        <v>0</v>
      </c>
      <c r="N1024" s="988">
        <f t="shared" si="188"/>
        <v>0</v>
      </c>
      <c r="O1024" s="988">
        <f t="shared" si="188"/>
        <v>0</v>
      </c>
      <c r="P1024" s="988">
        <f t="shared" si="188"/>
        <v>0</v>
      </c>
      <c r="Q1024" s="988"/>
      <c r="R1024" s="988">
        <f t="shared" si="187"/>
        <v>0</v>
      </c>
      <c r="S1024" s="546">
        <f t="shared" si="181"/>
        <v>0</v>
      </c>
      <c r="T1024" s="547">
        <f t="shared" si="182"/>
        <v>0</v>
      </c>
      <c r="U1024" s="546">
        <f t="shared" si="183"/>
        <v>0</v>
      </c>
      <c r="W1024" s="350">
        <f t="shared" si="154"/>
        <v>0</v>
      </c>
      <c r="X1024" s="285">
        <f t="shared" si="184"/>
        <v>0</v>
      </c>
    </row>
    <row r="1025" spans="1:24" ht="12" thickBot="1">
      <c r="A1025" s="596" t="s">
        <v>1500</v>
      </c>
      <c r="B1025" s="541" t="s">
        <v>166</v>
      </c>
      <c r="C1025" s="541" t="s">
        <v>190</v>
      </c>
      <c r="D1025" s="554" t="s">
        <v>212</v>
      </c>
      <c r="E1025" s="549">
        <f t="shared" si="185"/>
        <v>0</v>
      </c>
      <c r="F1025" s="988">
        <f t="shared" si="188"/>
        <v>0</v>
      </c>
      <c r="G1025" s="988">
        <f t="shared" si="188"/>
        <v>0</v>
      </c>
      <c r="H1025" s="988">
        <f t="shared" si="188"/>
        <v>0</v>
      </c>
      <c r="I1025" s="988">
        <f t="shared" si="188"/>
        <v>0</v>
      </c>
      <c r="J1025" s="988">
        <f t="shared" si="188"/>
        <v>0</v>
      </c>
      <c r="K1025" s="988">
        <f t="shared" si="188"/>
        <v>0</v>
      </c>
      <c r="L1025" s="988">
        <f t="shared" si="188"/>
        <v>0</v>
      </c>
      <c r="M1025" s="988">
        <f t="shared" si="188"/>
        <v>0</v>
      </c>
      <c r="N1025" s="988">
        <f t="shared" si="188"/>
        <v>0</v>
      </c>
      <c r="O1025" s="988">
        <f t="shared" si="188"/>
        <v>0</v>
      </c>
      <c r="P1025" s="988">
        <f t="shared" si="188"/>
        <v>0</v>
      </c>
      <c r="Q1025" s="988"/>
      <c r="R1025" s="988">
        <f t="shared" si="187"/>
        <v>0</v>
      </c>
      <c r="S1025" s="546">
        <f t="shared" si="181"/>
        <v>0</v>
      </c>
      <c r="T1025" s="547">
        <f t="shared" si="182"/>
        <v>0</v>
      </c>
      <c r="U1025" s="546">
        <f t="shared" si="183"/>
        <v>0</v>
      </c>
      <c r="W1025" s="350">
        <f t="shared" si="154"/>
        <v>0</v>
      </c>
      <c r="X1025" s="285">
        <f t="shared" si="184"/>
        <v>0</v>
      </c>
    </row>
    <row r="1026" spans="1:24" ht="12" thickBot="1">
      <c r="A1026" s="596" t="s">
        <v>1500</v>
      </c>
      <c r="B1026" s="541" t="s">
        <v>167</v>
      </c>
      <c r="C1026" s="541" t="s">
        <v>191</v>
      </c>
      <c r="D1026" s="554" t="s">
        <v>213</v>
      </c>
      <c r="E1026" s="549">
        <f t="shared" si="185"/>
        <v>11667674</v>
      </c>
      <c r="F1026" s="988">
        <f t="shared" si="188"/>
        <v>9135</v>
      </c>
      <c r="G1026" s="988">
        <f t="shared" si="188"/>
        <v>493893</v>
      </c>
      <c r="H1026" s="988">
        <f t="shared" si="188"/>
        <v>337429</v>
      </c>
      <c r="I1026" s="988">
        <f t="shared" si="188"/>
        <v>36753</v>
      </c>
      <c r="J1026" s="988">
        <f t="shared" si="188"/>
        <v>0</v>
      </c>
      <c r="K1026" s="988">
        <f t="shared" si="188"/>
        <v>0</v>
      </c>
      <c r="L1026" s="988">
        <f t="shared" si="188"/>
        <v>21477</v>
      </c>
      <c r="M1026" s="988">
        <f t="shared" si="188"/>
        <v>25026</v>
      </c>
      <c r="N1026" s="988">
        <f t="shared" si="188"/>
        <v>49417</v>
      </c>
      <c r="O1026" s="988">
        <f t="shared" si="188"/>
        <v>0</v>
      </c>
      <c r="P1026" s="988">
        <f t="shared" si="188"/>
        <v>0</v>
      </c>
      <c r="Q1026" s="988"/>
      <c r="R1026" s="988">
        <f t="shared" si="187"/>
        <v>973131</v>
      </c>
      <c r="S1026" s="546">
        <f t="shared" si="181"/>
        <v>868075</v>
      </c>
      <c r="T1026" s="547">
        <f t="shared" si="182"/>
        <v>0</v>
      </c>
      <c r="U1026" s="546">
        <f t="shared" si="183"/>
        <v>49417</v>
      </c>
      <c r="W1026" s="350">
        <f t="shared" si="154"/>
        <v>973130</v>
      </c>
      <c r="X1026" s="285">
        <f t="shared" si="184"/>
        <v>-1</v>
      </c>
    </row>
    <row r="1027" spans="1:24" ht="12" thickBot="1">
      <c r="A1027" s="596" t="s">
        <v>1500</v>
      </c>
      <c r="B1027" s="541" t="s">
        <v>683</v>
      </c>
      <c r="C1027" s="541" t="s">
        <v>686</v>
      </c>
      <c r="D1027" s="554" t="s">
        <v>723</v>
      </c>
      <c r="E1027" s="549">
        <f t="shared" si="185"/>
        <v>0</v>
      </c>
      <c r="F1027" s="988">
        <f t="shared" si="188"/>
        <v>0</v>
      </c>
      <c r="G1027" s="988">
        <f t="shared" si="188"/>
        <v>0</v>
      </c>
      <c r="H1027" s="988">
        <f t="shared" si="188"/>
        <v>0</v>
      </c>
      <c r="I1027" s="988">
        <f t="shared" si="188"/>
        <v>0</v>
      </c>
      <c r="J1027" s="988">
        <f t="shared" si="188"/>
        <v>0</v>
      </c>
      <c r="K1027" s="988">
        <f t="shared" si="188"/>
        <v>0</v>
      </c>
      <c r="L1027" s="988">
        <f t="shared" si="188"/>
        <v>0</v>
      </c>
      <c r="M1027" s="988">
        <f t="shared" si="188"/>
        <v>0</v>
      </c>
      <c r="N1027" s="988">
        <f t="shared" si="188"/>
        <v>0</v>
      </c>
      <c r="O1027" s="988">
        <f t="shared" si="188"/>
        <v>0</v>
      </c>
      <c r="P1027" s="988">
        <f t="shared" si="188"/>
        <v>0</v>
      </c>
      <c r="Q1027" s="988"/>
      <c r="R1027" s="988">
        <f t="shared" si="187"/>
        <v>0</v>
      </c>
      <c r="S1027" s="546">
        <f t="shared" si="181"/>
        <v>0</v>
      </c>
      <c r="T1027" s="547">
        <f t="shared" si="182"/>
        <v>0</v>
      </c>
      <c r="U1027" s="546">
        <f t="shared" si="183"/>
        <v>0</v>
      </c>
      <c r="W1027" s="350">
        <f t="shared" si="154"/>
        <v>0</v>
      </c>
      <c r="X1027" s="285">
        <f t="shared" si="184"/>
        <v>0</v>
      </c>
    </row>
    <row r="1028" spans="1:24" ht="12" thickBot="1">
      <c r="A1028" s="596" t="s">
        <v>1500</v>
      </c>
      <c r="B1028" s="541" t="s">
        <v>684</v>
      </c>
      <c r="C1028" s="541" t="s">
        <v>687</v>
      </c>
      <c r="D1028" s="554" t="s">
        <v>707</v>
      </c>
      <c r="E1028" s="549">
        <f t="shared" si="185"/>
        <v>0</v>
      </c>
      <c r="F1028" s="988">
        <f t="shared" si="188"/>
        <v>0</v>
      </c>
      <c r="G1028" s="988">
        <f t="shared" si="188"/>
        <v>0</v>
      </c>
      <c r="H1028" s="988">
        <f t="shared" si="188"/>
        <v>0</v>
      </c>
      <c r="I1028" s="988">
        <f t="shared" si="188"/>
        <v>0</v>
      </c>
      <c r="J1028" s="988">
        <f t="shared" si="188"/>
        <v>0</v>
      </c>
      <c r="K1028" s="988">
        <f t="shared" si="188"/>
        <v>0</v>
      </c>
      <c r="L1028" s="988">
        <f t="shared" si="188"/>
        <v>0</v>
      </c>
      <c r="M1028" s="988">
        <f t="shared" si="188"/>
        <v>0</v>
      </c>
      <c r="N1028" s="988">
        <f t="shared" si="188"/>
        <v>0</v>
      </c>
      <c r="O1028" s="988">
        <f t="shared" si="188"/>
        <v>0</v>
      </c>
      <c r="P1028" s="988">
        <f t="shared" si="188"/>
        <v>0</v>
      </c>
      <c r="Q1028" s="988"/>
      <c r="R1028" s="988">
        <f t="shared" si="187"/>
        <v>0</v>
      </c>
      <c r="S1028" s="546">
        <f t="shared" si="181"/>
        <v>0</v>
      </c>
      <c r="T1028" s="547">
        <f t="shared" si="182"/>
        <v>0</v>
      </c>
      <c r="U1028" s="546">
        <f t="shared" si="183"/>
        <v>0</v>
      </c>
      <c r="W1028" s="350">
        <f t="shared" si="154"/>
        <v>0</v>
      </c>
      <c r="X1028" s="285">
        <f t="shared" si="184"/>
        <v>0</v>
      </c>
    </row>
    <row r="1029" spans="1:24" ht="12" thickBot="1">
      <c r="A1029" s="596" t="s">
        <v>1500</v>
      </c>
      <c r="B1029" s="541" t="s">
        <v>685</v>
      </c>
      <c r="C1029" s="541" t="s">
        <v>688</v>
      </c>
      <c r="D1029" s="542" t="s">
        <v>1145</v>
      </c>
      <c r="E1029" s="549">
        <f t="shared" si="185"/>
        <v>0</v>
      </c>
      <c r="F1029" s="988">
        <f t="shared" si="188"/>
        <v>0</v>
      </c>
      <c r="G1029" s="988">
        <f t="shared" si="188"/>
        <v>0</v>
      </c>
      <c r="H1029" s="988">
        <f t="shared" si="188"/>
        <v>0</v>
      </c>
      <c r="I1029" s="988">
        <f t="shared" si="188"/>
        <v>0</v>
      </c>
      <c r="J1029" s="988">
        <f t="shared" si="188"/>
        <v>0</v>
      </c>
      <c r="K1029" s="988">
        <f t="shared" si="188"/>
        <v>0</v>
      </c>
      <c r="L1029" s="988">
        <f t="shared" si="188"/>
        <v>0</v>
      </c>
      <c r="M1029" s="988">
        <f t="shared" si="188"/>
        <v>0</v>
      </c>
      <c r="N1029" s="988">
        <f t="shared" si="188"/>
        <v>0</v>
      </c>
      <c r="O1029" s="988">
        <f t="shared" si="188"/>
        <v>0</v>
      </c>
      <c r="P1029" s="988">
        <f t="shared" si="188"/>
        <v>0</v>
      </c>
      <c r="Q1029" s="988"/>
      <c r="R1029" s="988">
        <f t="shared" si="187"/>
        <v>0</v>
      </c>
      <c r="S1029" s="546">
        <f t="shared" si="181"/>
        <v>0</v>
      </c>
      <c r="T1029" s="547">
        <f t="shared" si="182"/>
        <v>0</v>
      </c>
      <c r="U1029" s="546">
        <f t="shared" si="183"/>
        <v>0</v>
      </c>
      <c r="W1029" s="350">
        <f t="shared" si="154"/>
        <v>0</v>
      </c>
      <c r="X1029" s="285">
        <f t="shared" si="184"/>
        <v>0</v>
      </c>
    </row>
    <row r="1030" spans="1:24" ht="12" thickBot="1">
      <c r="A1030" s="596" t="s">
        <v>1500</v>
      </c>
      <c r="B1030" s="541" t="s">
        <v>217</v>
      </c>
      <c r="C1030" s="541" t="s">
        <v>622</v>
      </c>
      <c r="D1030" s="542" t="s">
        <v>19</v>
      </c>
      <c r="E1030" s="549">
        <f t="shared" si="185"/>
        <v>0</v>
      </c>
      <c r="F1030" s="988">
        <f t="shared" ref="F1030:P1039" si="189">ROUND(SUMIFS(F$1721:F$1901,$A$1721:$A$1901,$A1030,$B$1721:$B$1901,$B1030),0)</f>
        <v>0</v>
      </c>
      <c r="G1030" s="988">
        <f t="shared" si="189"/>
        <v>0</v>
      </c>
      <c r="H1030" s="988">
        <f t="shared" si="189"/>
        <v>0</v>
      </c>
      <c r="I1030" s="988">
        <f t="shared" si="189"/>
        <v>0</v>
      </c>
      <c r="J1030" s="988">
        <f t="shared" si="189"/>
        <v>0</v>
      </c>
      <c r="K1030" s="988">
        <f t="shared" si="189"/>
        <v>0</v>
      </c>
      <c r="L1030" s="988">
        <f t="shared" si="189"/>
        <v>0</v>
      </c>
      <c r="M1030" s="988">
        <f t="shared" si="189"/>
        <v>0</v>
      </c>
      <c r="N1030" s="988">
        <f t="shared" si="189"/>
        <v>0</v>
      </c>
      <c r="O1030" s="988">
        <f t="shared" si="189"/>
        <v>0</v>
      </c>
      <c r="P1030" s="988">
        <f t="shared" si="189"/>
        <v>0</v>
      </c>
      <c r="Q1030" s="988"/>
      <c r="R1030" s="988">
        <f t="shared" si="187"/>
        <v>0</v>
      </c>
      <c r="S1030" s="546">
        <f t="shared" si="181"/>
        <v>0</v>
      </c>
      <c r="T1030" s="547">
        <f t="shared" si="182"/>
        <v>0</v>
      </c>
      <c r="U1030" s="546">
        <f t="shared" si="183"/>
        <v>0</v>
      </c>
      <c r="W1030" s="350">
        <f t="shared" si="154"/>
        <v>0</v>
      </c>
      <c r="X1030" s="285">
        <f t="shared" si="184"/>
        <v>0</v>
      </c>
    </row>
    <row r="1031" spans="1:24" ht="12" thickBot="1">
      <c r="A1031" s="596" t="s">
        <v>1500</v>
      </c>
      <c r="B1031" s="541" t="s">
        <v>216</v>
      </c>
      <c r="C1031" s="541" t="s">
        <v>622</v>
      </c>
      <c r="D1031" s="542" t="s">
        <v>19</v>
      </c>
      <c r="E1031" s="549">
        <f t="shared" si="185"/>
        <v>0</v>
      </c>
      <c r="F1031" s="988">
        <f t="shared" si="189"/>
        <v>0</v>
      </c>
      <c r="G1031" s="988">
        <f t="shared" si="189"/>
        <v>0</v>
      </c>
      <c r="H1031" s="988">
        <f t="shared" si="189"/>
        <v>0</v>
      </c>
      <c r="I1031" s="988">
        <f t="shared" si="189"/>
        <v>0</v>
      </c>
      <c r="J1031" s="988">
        <f t="shared" si="189"/>
        <v>0</v>
      </c>
      <c r="K1031" s="988">
        <f t="shared" si="189"/>
        <v>0</v>
      </c>
      <c r="L1031" s="988">
        <f t="shared" si="189"/>
        <v>0</v>
      </c>
      <c r="M1031" s="988">
        <f t="shared" si="189"/>
        <v>0</v>
      </c>
      <c r="N1031" s="988">
        <f t="shared" si="189"/>
        <v>0</v>
      </c>
      <c r="O1031" s="988">
        <f t="shared" si="189"/>
        <v>0</v>
      </c>
      <c r="P1031" s="988">
        <f t="shared" si="189"/>
        <v>0</v>
      </c>
      <c r="Q1031" s="988"/>
      <c r="R1031" s="988">
        <f t="shared" si="187"/>
        <v>0</v>
      </c>
      <c r="S1031" s="546">
        <f t="shared" si="181"/>
        <v>0</v>
      </c>
      <c r="T1031" s="547">
        <f t="shared" si="182"/>
        <v>0</v>
      </c>
      <c r="U1031" s="546">
        <f t="shared" si="183"/>
        <v>0</v>
      </c>
      <c r="W1031" s="350">
        <f t="shared" si="154"/>
        <v>0</v>
      </c>
      <c r="X1031" s="285">
        <f t="shared" si="184"/>
        <v>0</v>
      </c>
    </row>
    <row r="1032" spans="1:24" ht="12" thickBot="1">
      <c r="A1032" s="596" t="s">
        <v>1500</v>
      </c>
      <c r="B1032" s="541" t="s">
        <v>168</v>
      </c>
      <c r="C1032" s="541" t="s">
        <v>58</v>
      </c>
      <c r="D1032" s="542" t="s">
        <v>20</v>
      </c>
      <c r="E1032" s="549">
        <f t="shared" si="185"/>
        <v>0</v>
      </c>
      <c r="F1032" s="988">
        <f t="shared" si="189"/>
        <v>0</v>
      </c>
      <c r="G1032" s="988">
        <f t="shared" si="189"/>
        <v>0</v>
      </c>
      <c r="H1032" s="988">
        <f t="shared" si="189"/>
        <v>0</v>
      </c>
      <c r="I1032" s="988">
        <f t="shared" si="189"/>
        <v>0</v>
      </c>
      <c r="J1032" s="988">
        <f t="shared" si="189"/>
        <v>0</v>
      </c>
      <c r="K1032" s="988">
        <f t="shared" si="189"/>
        <v>0</v>
      </c>
      <c r="L1032" s="988">
        <f t="shared" si="189"/>
        <v>0</v>
      </c>
      <c r="M1032" s="988">
        <f t="shared" si="189"/>
        <v>0</v>
      </c>
      <c r="N1032" s="988">
        <f t="shared" si="189"/>
        <v>0</v>
      </c>
      <c r="O1032" s="988">
        <f t="shared" si="189"/>
        <v>0</v>
      </c>
      <c r="P1032" s="988">
        <f t="shared" si="189"/>
        <v>0</v>
      </c>
      <c r="Q1032" s="988"/>
      <c r="R1032" s="988">
        <f t="shared" si="187"/>
        <v>0</v>
      </c>
      <c r="S1032" s="546">
        <f t="shared" si="181"/>
        <v>0</v>
      </c>
      <c r="T1032" s="547">
        <f t="shared" si="182"/>
        <v>0</v>
      </c>
      <c r="U1032" s="546">
        <f t="shared" si="183"/>
        <v>0</v>
      </c>
      <c r="W1032" s="350">
        <f t="shared" si="154"/>
        <v>0</v>
      </c>
      <c r="X1032" s="285">
        <f t="shared" si="184"/>
        <v>0</v>
      </c>
    </row>
    <row r="1033" spans="1:24" ht="12" thickBot="1">
      <c r="A1033" s="596" t="s">
        <v>1500</v>
      </c>
      <c r="B1033" s="541" t="s">
        <v>623</v>
      </c>
      <c r="C1033" s="541" t="s">
        <v>643</v>
      </c>
      <c r="D1033" s="542" t="s">
        <v>20</v>
      </c>
      <c r="E1033" s="549">
        <f t="shared" si="185"/>
        <v>0</v>
      </c>
      <c r="F1033" s="988">
        <f t="shared" si="189"/>
        <v>0</v>
      </c>
      <c r="G1033" s="988">
        <f t="shared" si="189"/>
        <v>0</v>
      </c>
      <c r="H1033" s="988">
        <f t="shared" si="189"/>
        <v>0</v>
      </c>
      <c r="I1033" s="988">
        <f t="shared" si="189"/>
        <v>0</v>
      </c>
      <c r="J1033" s="988">
        <f t="shared" si="189"/>
        <v>0</v>
      </c>
      <c r="K1033" s="988">
        <f t="shared" si="189"/>
        <v>0</v>
      </c>
      <c r="L1033" s="988">
        <f t="shared" si="189"/>
        <v>0</v>
      </c>
      <c r="M1033" s="988">
        <f t="shared" si="189"/>
        <v>0</v>
      </c>
      <c r="N1033" s="988">
        <f t="shared" si="189"/>
        <v>0</v>
      </c>
      <c r="O1033" s="988">
        <f t="shared" si="189"/>
        <v>0</v>
      </c>
      <c r="P1033" s="988">
        <f t="shared" si="189"/>
        <v>0</v>
      </c>
      <c r="Q1033" s="988"/>
      <c r="R1033" s="988">
        <f t="shared" si="187"/>
        <v>0</v>
      </c>
      <c r="S1033" s="546">
        <f t="shared" si="181"/>
        <v>0</v>
      </c>
      <c r="T1033" s="547">
        <f t="shared" si="182"/>
        <v>0</v>
      </c>
      <c r="U1033" s="546">
        <f t="shared" si="183"/>
        <v>0</v>
      </c>
      <c r="W1033" s="350">
        <f t="shared" ref="W1033:W1096" si="190">SUM(F1033:Q1033)</f>
        <v>0</v>
      </c>
      <c r="X1033" s="285">
        <f t="shared" si="184"/>
        <v>0</v>
      </c>
    </row>
    <row r="1034" spans="1:24" ht="12" thickBot="1">
      <c r="A1034" s="596" t="s">
        <v>1500</v>
      </c>
      <c r="B1034" s="541" t="s">
        <v>691</v>
      </c>
      <c r="C1034" s="541" t="s">
        <v>689</v>
      </c>
      <c r="D1034" s="542" t="s">
        <v>690</v>
      </c>
      <c r="E1034" s="549">
        <f t="shared" si="185"/>
        <v>0</v>
      </c>
      <c r="F1034" s="988">
        <f t="shared" si="189"/>
        <v>0</v>
      </c>
      <c r="G1034" s="988">
        <f t="shared" si="189"/>
        <v>0</v>
      </c>
      <c r="H1034" s="988">
        <f t="shared" si="189"/>
        <v>0</v>
      </c>
      <c r="I1034" s="988">
        <f t="shared" si="189"/>
        <v>0</v>
      </c>
      <c r="J1034" s="988">
        <f t="shared" si="189"/>
        <v>0</v>
      </c>
      <c r="K1034" s="988">
        <f t="shared" si="189"/>
        <v>0</v>
      </c>
      <c r="L1034" s="988">
        <f t="shared" si="189"/>
        <v>0</v>
      </c>
      <c r="M1034" s="988">
        <f t="shared" si="189"/>
        <v>0</v>
      </c>
      <c r="N1034" s="988">
        <f t="shared" si="189"/>
        <v>0</v>
      </c>
      <c r="O1034" s="988">
        <f t="shared" si="189"/>
        <v>0</v>
      </c>
      <c r="P1034" s="988">
        <f t="shared" si="189"/>
        <v>0</v>
      </c>
      <c r="Q1034" s="988"/>
      <c r="R1034" s="988">
        <f t="shared" si="187"/>
        <v>0</v>
      </c>
      <c r="S1034" s="546">
        <f t="shared" si="181"/>
        <v>0</v>
      </c>
      <c r="T1034" s="547">
        <f t="shared" si="182"/>
        <v>0</v>
      </c>
      <c r="U1034" s="546">
        <f t="shared" si="183"/>
        <v>0</v>
      </c>
      <c r="W1034" s="350">
        <f t="shared" si="190"/>
        <v>0</v>
      </c>
      <c r="X1034" s="285">
        <f t="shared" si="184"/>
        <v>0</v>
      </c>
    </row>
    <row r="1035" spans="1:24" ht="12" thickBot="1">
      <c r="A1035" s="596" t="s">
        <v>1500</v>
      </c>
      <c r="B1035" s="541" t="s">
        <v>1147</v>
      </c>
      <c r="C1035" s="541" t="s">
        <v>1148</v>
      </c>
      <c r="D1035" s="542" t="s">
        <v>1156</v>
      </c>
      <c r="E1035" s="549">
        <f t="shared" si="185"/>
        <v>0</v>
      </c>
      <c r="F1035" s="988">
        <f t="shared" si="189"/>
        <v>0</v>
      </c>
      <c r="G1035" s="988">
        <f t="shared" si="189"/>
        <v>0</v>
      </c>
      <c r="H1035" s="988">
        <f t="shared" si="189"/>
        <v>0</v>
      </c>
      <c r="I1035" s="988">
        <f t="shared" si="189"/>
        <v>0</v>
      </c>
      <c r="J1035" s="988">
        <f t="shared" si="189"/>
        <v>0</v>
      </c>
      <c r="K1035" s="988">
        <f t="shared" si="189"/>
        <v>0</v>
      </c>
      <c r="L1035" s="988">
        <f t="shared" si="189"/>
        <v>0</v>
      </c>
      <c r="M1035" s="988">
        <f t="shared" si="189"/>
        <v>0</v>
      </c>
      <c r="N1035" s="988">
        <f t="shared" si="189"/>
        <v>0</v>
      </c>
      <c r="O1035" s="988">
        <f t="shared" si="189"/>
        <v>0</v>
      </c>
      <c r="P1035" s="988">
        <f t="shared" si="189"/>
        <v>0</v>
      </c>
      <c r="Q1035" s="988"/>
      <c r="R1035" s="988">
        <f t="shared" si="187"/>
        <v>0</v>
      </c>
      <c r="S1035" s="546">
        <f t="shared" si="181"/>
        <v>0</v>
      </c>
      <c r="T1035" s="547">
        <f t="shared" si="182"/>
        <v>0</v>
      </c>
      <c r="U1035" s="546">
        <f t="shared" si="183"/>
        <v>0</v>
      </c>
      <c r="W1035" s="350">
        <f t="shared" si="190"/>
        <v>0</v>
      </c>
      <c r="X1035" s="285">
        <f t="shared" si="184"/>
        <v>0</v>
      </c>
    </row>
    <row r="1036" spans="1:24" ht="12" thickBot="1">
      <c r="A1036" s="596" t="s">
        <v>1500</v>
      </c>
      <c r="B1036" s="541" t="s">
        <v>169</v>
      </c>
      <c r="C1036" s="541" t="s">
        <v>1392</v>
      </c>
      <c r="D1036" s="542" t="s">
        <v>208</v>
      </c>
      <c r="E1036" s="549">
        <f t="shared" si="185"/>
        <v>0</v>
      </c>
      <c r="F1036" s="988">
        <f t="shared" si="189"/>
        <v>0</v>
      </c>
      <c r="G1036" s="988">
        <f t="shared" si="189"/>
        <v>0</v>
      </c>
      <c r="H1036" s="988">
        <f t="shared" si="189"/>
        <v>0</v>
      </c>
      <c r="I1036" s="988">
        <f t="shared" si="189"/>
        <v>0</v>
      </c>
      <c r="J1036" s="988">
        <f t="shared" si="189"/>
        <v>0</v>
      </c>
      <c r="K1036" s="988">
        <f t="shared" si="189"/>
        <v>0</v>
      </c>
      <c r="L1036" s="988">
        <f t="shared" si="189"/>
        <v>0</v>
      </c>
      <c r="M1036" s="988">
        <f t="shared" si="189"/>
        <v>0</v>
      </c>
      <c r="N1036" s="988">
        <f t="shared" si="189"/>
        <v>0</v>
      </c>
      <c r="O1036" s="988">
        <f t="shared" si="189"/>
        <v>0</v>
      </c>
      <c r="P1036" s="988">
        <f t="shared" si="189"/>
        <v>0</v>
      </c>
      <c r="Q1036" s="988"/>
      <c r="R1036" s="988">
        <f t="shared" si="187"/>
        <v>0</v>
      </c>
      <c r="S1036" s="546">
        <f t="shared" si="181"/>
        <v>0</v>
      </c>
      <c r="T1036" s="547">
        <f t="shared" si="182"/>
        <v>0</v>
      </c>
      <c r="U1036" s="546">
        <f t="shared" si="183"/>
        <v>0</v>
      </c>
      <c r="W1036" s="350">
        <f t="shared" si="190"/>
        <v>0</v>
      </c>
      <c r="X1036" s="285">
        <f t="shared" si="184"/>
        <v>0</v>
      </c>
    </row>
    <row r="1037" spans="1:24" ht="12" thickBot="1">
      <c r="A1037" s="596" t="s">
        <v>1500</v>
      </c>
      <c r="B1037" s="541" t="s">
        <v>170</v>
      </c>
      <c r="C1037" s="541" t="s">
        <v>1393</v>
      </c>
      <c r="D1037" s="542" t="s">
        <v>17</v>
      </c>
      <c r="E1037" s="549">
        <f t="shared" si="185"/>
        <v>0</v>
      </c>
      <c r="F1037" s="988">
        <f t="shared" si="189"/>
        <v>0</v>
      </c>
      <c r="G1037" s="988">
        <f t="shared" si="189"/>
        <v>0</v>
      </c>
      <c r="H1037" s="988">
        <f t="shared" si="189"/>
        <v>0</v>
      </c>
      <c r="I1037" s="988">
        <f t="shared" si="189"/>
        <v>0</v>
      </c>
      <c r="J1037" s="988">
        <f t="shared" si="189"/>
        <v>0</v>
      </c>
      <c r="K1037" s="988">
        <f t="shared" si="189"/>
        <v>0</v>
      </c>
      <c r="L1037" s="988">
        <f t="shared" si="189"/>
        <v>0</v>
      </c>
      <c r="M1037" s="988">
        <f t="shared" si="189"/>
        <v>0</v>
      </c>
      <c r="N1037" s="988">
        <f t="shared" si="189"/>
        <v>0</v>
      </c>
      <c r="O1037" s="988">
        <f t="shared" si="189"/>
        <v>0</v>
      </c>
      <c r="P1037" s="988">
        <f t="shared" si="189"/>
        <v>0</v>
      </c>
      <c r="Q1037" s="988"/>
      <c r="R1037" s="988">
        <f t="shared" si="187"/>
        <v>0</v>
      </c>
      <c r="S1037" s="546">
        <f t="shared" si="181"/>
        <v>0</v>
      </c>
      <c r="T1037" s="547">
        <f t="shared" si="182"/>
        <v>0</v>
      </c>
      <c r="U1037" s="546">
        <f t="shared" si="183"/>
        <v>0</v>
      </c>
      <c r="W1037" s="350">
        <f t="shared" si="190"/>
        <v>0</v>
      </c>
      <c r="X1037" s="285">
        <f t="shared" si="184"/>
        <v>0</v>
      </c>
    </row>
    <row r="1038" spans="1:24" ht="12" thickBot="1">
      <c r="A1038" s="596" t="s">
        <v>1500</v>
      </c>
      <c r="B1038" s="541" t="s">
        <v>713</v>
      </c>
      <c r="C1038" s="541" t="s">
        <v>711</v>
      </c>
      <c r="D1038" s="542" t="s">
        <v>712</v>
      </c>
      <c r="E1038" s="549">
        <f t="shared" si="185"/>
        <v>0</v>
      </c>
      <c r="F1038" s="988">
        <f t="shared" si="189"/>
        <v>0</v>
      </c>
      <c r="G1038" s="988">
        <f t="shared" si="189"/>
        <v>0</v>
      </c>
      <c r="H1038" s="988">
        <f t="shared" si="189"/>
        <v>0</v>
      </c>
      <c r="I1038" s="988">
        <f t="shared" si="189"/>
        <v>0</v>
      </c>
      <c r="J1038" s="988">
        <f t="shared" si="189"/>
        <v>0</v>
      </c>
      <c r="K1038" s="988">
        <f t="shared" si="189"/>
        <v>0</v>
      </c>
      <c r="L1038" s="988">
        <f t="shared" si="189"/>
        <v>0</v>
      </c>
      <c r="M1038" s="988">
        <f t="shared" si="189"/>
        <v>0</v>
      </c>
      <c r="N1038" s="988">
        <f t="shared" si="189"/>
        <v>0</v>
      </c>
      <c r="O1038" s="988">
        <f t="shared" si="189"/>
        <v>0</v>
      </c>
      <c r="P1038" s="988">
        <f t="shared" si="189"/>
        <v>0</v>
      </c>
      <c r="Q1038" s="988"/>
      <c r="R1038" s="988">
        <f t="shared" si="187"/>
        <v>0</v>
      </c>
      <c r="S1038" s="546">
        <f t="shared" si="181"/>
        <v>0</v>
      </c>
      <c r="T1038" s="547">
        <f t="shared" si="182"/>
        <v>0</v>
      </c>
      <c r="U1038" s="546">
        <f t="shared" si="183"/>
        <v>0</v>
      </c>
      <c r="W1038" s="350">
        <f t="shared" si="190"/>
        <v>0</v>
      </c>
      <c r="X1038" s="285">
        <f t="shared" si="184"/>
        <v>0</v>
      </c>
    </row>
    <row r="1039" spans="1:24" ht="12" thickBot="1">
      <c r="A1039" s="596" t="s">
        <v>1500</v>
      </c>
      <c r="B1039" s="541" t="s">
        <v>171</v>
      </c>
      <c r="C1039" s="541" t="s">
        <v>441</v>
      </c>
      <c r="D1039" s="542" t="s">
        <v>72</v>
      </c>
      <c r="E1039" s="549">
        <f t="shared" si="185"/>
        <v>0</v>
      </c>
      <c r="F1039" s="988">
        <f t="shared" si="189"/>
        <v>0</v>
      </c>
      <c r="G1039" s="988">
        <f t="shared" si="189"/>
        <v>0</v>
      </c>
      <c r="H1039" s="988">
        <f t="shared" si="189"/>
        <v>0</v>
      </c>
      <c r="I1039" s="988">
        <f t="shared" si="189"/>
        <v>0</v>
      </c>
      <c r="J1039" s="988">
        <f t="shared" si="189"/>
        <v>0</v>
      </c>
      <c r="K1039" s="988">
        <f t="shared" si="189"/>
        <v>0</v>
      </c>
      <c r="L1039" s="988">
        <f t="shared" si="189"/>
        <v>0</v>
      </c>
      <c r="M1039" s="988">
        <f t="shared" si="189"/>
        <v>0</v>
      </c>
      <c r="N1039" s="988">
        <f t="shared" si="189"/>
        <v>0</v>
      </c>
      <c r="O1039" s="988">
        <f t="shared" si="189"/>
        <v>0</v>
      </c>
      <c r="P1039" s="988">
        <f t="shared" si="189"/>
        <v>-989829</v>
      </c>
      <c r="Q1039" s="988"/>
      <c r="R1039" s="988">
        <f t="shared" si="187"/>
        <v>-989829</v>
      </c>
      <c r="S1039" s="546">
        <f t="shared" si="181"/>
        <v>0</v>
      </c>
      <c r="T1039" s="547">
        <f t="shared" si="182"/>
        <v>0</v>
      </c>
      <c r="U1039" s="546">
        <f t="shared" si="183"/>
        <v>0</v>
      </c>
      <c r="W1039" s="350">
        <f t="shared" si="190"/>
        <v>-989829</v>
      </c>
      <c r="X1039" s="285">
        <f t="shared" si="184"/>
        <v>0</v>
      </c>
    </row>
    <row r="1040" spans="1:24" ht="12" thickBot="1">
      <c r="A1040" s="596" t="s">
        <v>1500</v>
      </c>
      <c r="B1040" s="541" t="s">
        <v>172</v>
      </c>
      <c r="C1040" s="541" t="s">
        <v>442</v>
      </c>
      <c r="D1040" s="542" t="s">
        <v>72</v>
      </c>
      <c r="E1040" s="549">
        <f t="shared" si="185"/>
        <v>0</v>
      </c>
      <c r="F1040" s="988">
        <f t="shared" ref="F1040:P1049" si="191">ROUND(SUMIFS(F$1721:F$1901,$A$1721:$A$1901,$A1040,$B$1721:$B$1901,$B1040),0)</f>
        <v>0</v>
      </c>
      <c r="G1040" s="988">
        <f t="shared" si="191"/>
        <v>0</v>
      </c>
      <c r="H1040" s="988">
        <f t="shared" si="191"/>
        <v>0</v>
      </c>
      <c r="I1040" s="988">
        <f t="shared" si="191"/>
        <v>0</v>
      </c>
      <c r="J1040" s="988">
        <f t="shared" si="191"/>
        <v>0</v>
      </c>
      <c r="K1040" s="988">
        <f t="shared" si="191"/>
        <v>0</v>
      </c>
      <c r="L1040" s="988">
        <f t="shared" si="191"/>
        <v>0</v>
      </c>
      <c r="M1040" s="988">
        <f t="shared" si="191"/>
        <v>0</v>
      </c>
      <c r="N1040" s="988">
        <f t="shared" si="191"/>
        <v>0</v>
      </c>
      <c r="O1040" s="988">
        <f t="shared" si="191"/>
        <v>0</v>
      </c>
      <c r="P1040" s="988">
        <f t="shared" si="191"/>
        <v>0</v>
      </c>
      <c r="Q1040" s="988"/>
      <c r="R1040" s="988">
        <f t="shared" si="187"/>
        <v>0</v>
      </c>
      <c r="S1040" s="546">
        <f t="shared" si="181"/>
        <v>0</v>
      </c>
      <c r="T1040" s="547">
        <f t="shared" si="182"/>
        <v>0</v>
      </c>
      <c r="U1040" s="546">
        <f t="shared" si="183"/>
        <v>0</v>
      </c>
      <c r="W1040" s="350">
        <f t="shared" si="190"/>
        <v>0</v>
      </c>
      <c r="X1040" s="285">
        <f t="shared" si="184"/>
        <v>0</v>
      </c>
    </row>
    <row r="1041" spans="1:24" ht="12" thickBot="1">
      <c r="A1041" s="596" t="s">
        <v>1500</v>
      </c>
      <c r="B1041" s="541" t="s">
        <v>1397</v>
      </c>
      <c r="C1041" s="541" t="s">
        <v>1398</v>
      </c>
      <c r="D1041" s="542" t="s">
        <v>72</v>
      </c>
      <c r="E1041" s="549">
        <f t="shared" si="185"/>
        <v>0</v>
      </c>
      <c r="F1041" s="988">
        <f t="shared" si="191"/>
        <v>0</v>
      </c>
      <c r="G1041" s="988">
        <f t="shared" si="191"/>
        <v>0</v>
      </c>
      <c r="H1041" s="988">
        <f t="shared" si="191"/>
        <v>0</v>
      </c>
      <c r="I1041" s="988">
        <f t="shared" si="191"/>
        <v>0</v>
      </c>
      <c r="J1041" s="988">
        <f t="shared" si="191"/>
        <v>0</v>
      </c>
      <c r="K1041" s="988">
        <f t="shared" si="191"/>
        <v>0</v>
      </c>
      <c r="L1041" s="988">
        <f t="shared" si="191"/>
        <v>0</v>
      </c>
      <c r="M1041" s="988">
        <f t="shared" si="191"/>
        <v>0</v>
      </c>
      <c r="N1041" s="988">
        <f t="shared" si="191"/>
        <v>0</v>
      </c>
      <c r="O1041" s="988">
        <f t="shared" si="191"/>
        <v>0</v>
      </c>
      <c r="P1041" s="988">
        <f t="shared" si="191"/>
        <v>0</v>
      </c>
      <c r="Q1041" s="988"/>
      <c r="R1041" s="988">
        <f t="shared" si="187"/>
        <v>0</v>
      </c>
      <c r="S1041" s="546">
        <f t="shared" si="181"/>
        <v>0</v>
      </c>
      <c r="T1041" s="547">
        <f t="shared" si="182"/>
        <v>0</v>
      </c>
      <c r="U1041" s="546">
        <f t="shared" si="183"/>
        <v>0</v>
      </c>
      <c r="W1041" s="350">
        <f t="shared" si="190"/>
        <v>0</v>
      </c>
      <c r="X1041" s="285">
        <f t="shared" si="184"/>
        <v>0</v>
      </c>
    </row>
    <row r="1042" spans="1:24" ht="12" thickBot="1">
      <c r="A1042" s="596" t="s">
        <v>1500</v>
      </c>
      <c r="B1042" s="541" t="s">
        <v>1149</v>
      </c>
      <c r="C1042" s="541" t="s">
        <v>1150</v>
      </c>
      <c r="D1042" s="542" t="s">
        <v>72</v>
      </c>
      <c r="E1042" s="549">
        <f t="shared" si="185"/>
        <v>0</v>
      </c>
      <c r="F1042" s="988">
        <f t="shared" si="191"/>
        <v>0</v>
      </c>
      <c r="G1042" s="988">
        <f t="shared" si="191"/>
        <v>0</v>
      </c>
      <c r="H1042" s="988">
        <f t="shared" si="191"/>
        <v>0</v>
      </c>
      <c r="I1042" s="988">
        <f t="shared" si="191"/>
        <v>0</v>
      </c>
      <c r="J1042" s="988">
        <f t="shared" si="191"/>
        <v>0</v>
      </c>
      <c r="K1042" s="988">
        <f t="shared" si="191"/>
        <v>0</v>
      </c>
      <c r="L1042" s="988">
        <f t="shared" si="191"/>
        <v>0</v>
      </c>
      <c r="M1042" s="988">
        <f t="shared" si="191"/>
        <v>0</v>
      </c>
      <c r="N1042" s="988">
        <f t="shared" si="191"/>
        <v>0</v>
      </c>
      <c r="O1042" s="988">
        <f t="shared" si="191"/>
        <v>0</v>
      </c>
      <c r="P1042" s="988">
        <f t="shared" si="191"/>
        <v>0</v>
      </c>
      <c r="Q1042" s="988"/>
      <c r="R1042" s="988">
        <f t="shared" si="187"/>
        <v>0</v>
      </c>
      <c r="S1042" s="546">
        <f t="shared" si="181"/>
        <v>0</v>
      </c>
      <c r="T1042" s="547">
        <f t="shared" si="182"/>
        <v>0</v>
      </c>
      <c r="U1042" s="546">
        <f t="shared" si="183"/>
        <v>0</v>
      </c>
      <c r="W1042" s="350">
        <f t="shared" si="190"/>
        <v>0</v>
      </c>
      <c r="X1042" s="285">
        <f t="shared" si="184"/>
        <v>0</v>
      </c>
    </row>
    <row r="1043" spans="1:24" ht="12" thickBot="1">
      <c r="A1043" s="596" t="s">
        <v>1500</v>
      </c>
      <c r="B1043" s="541" t="s">
        <v>1051</v>
      </c>
      <c r="C1043" s="541" t="s">
        <v>1052</v>
      </c>
      <c r="D1043" s="542" t="s">
        <v>719</v>
      </c>
      <c r="E1043" s="549">
        <f t="shared" si="185"/>
        <v>0</v>
      </c>
      <c r="F1043" s="988">
        <f t="shared" si="191"/>
        <v>0</v>
      </c>
      <c r="G1043" s="988">
        <f t="shared" si="191"/>
        <v>0</v>
      </c>
      <c r="H1043" s="988">
        <f t="shared" si="191"/>
        <v>0</v>
      </c>
      <c r="I1043" s="988">
        <f t="shared" si="191"/>
        <v>0</v>
      </c>
      <c r="J1043" s="988">
        <f t="shared" si="191"/>
        <v>0</v>
      </c>
      <c r="K1043" s="988">
        <f t="shared" si="191"/>
        <v>0</v>
      </c>
      <c r="L1043" s="988">
        <f t="shared" si="191"/>
        <v>0</v>
      </c>
      <c r="M1043" s="988">
        <f t="shared" si="191"/>
        <v>0</v>
      </c>
      <c r="N1043" s="988">
        <f t="shared" si="191"/>
        <v>0</v>
      </c>
      <c r="O1043" s="988">
        <f t="shared" si="191"/>
        <v>0</v>
      </c>
      <c r="P1043" s="988">
        <f t="shared" si="191"/>
        <v>0</v>
      </c>
      <c r="Q1043" s="988"/>
      <c r="R1043" s="988">
        <f t="shared" si="187"/>
        <v>0</v>
      </c>
      <c r="S1043" s="546">
        <f t="shared" si="181"/>
        <v>0</v>
      </c>
      <c r="T1043" s="547">
        <f t="shared" si="182"/>
        <v>0</v>
      </c>
      <c r="U1043" s="546">
        <f t="shared" si="183"/>
        <v>0</v>
      </c>
      <c r="W1043" s="350">
        <f t="shared" si="190"/>
        <v>0</v>
      </c>
      <c r="X1043" s="285">
        <f t="shared" si="184"/>
        <v>0</v>
      </c>
    </row>
    <row r="1044" spans="1:24" ht="12" thickBot="1">
      <c r="A1044" s="596" t="s">
        <v>1500</v>
      </c>
      <c r="B1044" s="541" t="s">
        <v>1053</v>
      </c>
      <c r="C1044" s="541" t="s">
        <v>1054</v>
      </c>
      <c r="D1044" s="542" t="s">
        <v>719</v>
      </c>
      <c r="E1044" s="549">
        <f t="shared" si="185"/>
        <v>0</v>
      </c>
      <c r="F1044" s="988">
        <f t="shared" si="191"/>
        <v>0</v>
      </c>
      <c r="G1044" s="988">
        <f t="shared" si="191"/>
        <v>0</v>
      </c>
      <c r="H1044" s="988">
        <f t="shared" si="191"/>
        <v>0</v>
      </c>
      <c r="I1044" s="988">
        <f t="shared" si="191"/>
        <v>0</v>
      </c>
      <c r="J1044" s="988">
        <f t="shared" si="191"/>
        <v>0</v>
      </c>
      <c r="K1044" s="988">
        <f t="shared" si="191"/>
        <v>0</v>
      </c>
      <c r="L1044" s="988">
        <f t="shared" si="191"/>
        <v>0</v>
      </c>
      <c r="M1044" s="988">
        <f t="shared" si="191"/>
        <v>0</v>
      </c>
      <c r="N1044" s="988">
        <f t="shared" si="191"/>
        <v>0</v>
      </c>
      <c r="O1044" s="988">
        <f t="shared" si="191"/>
        <v>0</v>
      </c>
      <c r="P1044" s="988">
        <f t="shared" si="191"/>
        <v>0</v>
      </c>
      <c r="Q1044" s="988"/>
      <c r="R1044" s="988">
        <f t="shared" si="187"/>
        <v>0</v>
      </c>
      <c r="S1044" s="546">
        <f t="shared" si="181"/>
        <v>0</v>
      </c>
      <c r="T1044" s="547">
        <f t="shared" si="182"/>
        <v>0</v>
      </c>
      <c r="U1044" s="546">
        <f t="shared" si="183"/>
        <v>0</v>
      </c>
      <c r="W1044" s="350">
        <f t="shared" si="190"/>
        <v>0</v>
      </c>
      <c r="X1044" s="285">
        <f t="shared" si="184"/>
        <v>0</v>
      </c>
    </row>
    <row r="1045" spans="1:24" ht="12" thickBot="1">
      <c r="A1045" s="596" t="s">
        <v>1500</v>
      </c>
      <c r="B1045" s="541" t="s">
        <v>173</v>
      </c>
      <c r="C1045" s="541" t="s">
        <v>192</v>
      </c>
      <c r="D1045" s="542" t="s">
        <v>642</v>
      </c>
      <c r="E1045" s="549">
        <f t="shared" si="185"/>
        <v>46590427</v>
      </c>
      <c r="F1045" s="988">
        <f t="shared" si="191"/>
        <v>750</v>
      </c>
      <c r="G1045" s="988">
        <f t="shared" si="191"/>
        <v>171919</v>
      </c>
      <c r="H1045" s="988">
        <f t="shared" si="191"/>
        <v>1347395</v>
      </c>
      <c r="I1045" s="988">
        <f t="shared" si="191"/>
        <v>0</v>
      </c>
      <c r="J1045" s="988">
        <f t="shared" si="191"/>
        <v>51887</v>
      </c>
      <c r="K1045" s="988">
        <f t="shared" si="191"/>
        <v>668312</v>
      </c>
      <c r="L1045" s="988">
        <f t="shared" si="191"/>
        <v>0</v>
      </c>
      <c r="M1045" s="988">
        <f t="shared" si="191"/>
        <v>99932</v>
      </c>
      <c r="N1045" s="988">
        <f t="shared" si="191"/>
        <v>0</v>
      </c>
      <c r="O1045" s="988">
        <f t="shared" si="191"/>
        <v>197328</v>
      </c>
      <c r="P1045" s="988">
        <f t="shared" si="191"/>
        <v>0</v>
      </c>
      <c r="Q1045" s="988"/>
      <c r="R1045" s="988">
        <f t="shared" si="187"/>
        <v>2537523</v>
      </c>
      <c r="S1045" s="546">
        <f t="shared" si="181"/>
        <v>1519314</v>
      </c>
      <c r="T1045" s="547">
        <f t="shared" si="182"/>
        <v>720199</v>
      </c>
      <c r="U1045" s="546">
        <f t="shared" si="183"/>
        <v>197328</v>
      </c>
      <c r="W1045" s="350">
        <f t="shared" si="190"/>
        <v>2537523</v>
      </c>
      <c r="X1045" s="285">
        <f t="shared" si="184"/>
        <v>0</v>
      </c>
    </row>
    <row r="1046" spans="1:24" ht="12" thickBot="1">
      <c r="A1046" s="596" t="s">
        <v>1500</v>
      </c>
      <c r="B1046" s="541" t="s">
        <v>193</v>
      </c>
      <c r="C1046" s="541" t="s">
        <v>194</v>
      </c>
      <c r="D1046" s="542" t="s">
        <v>443</v>
      </c>
      <c r="E1046" s="549">
        <f t="shared" si="185"/>
        <v>0</v>
      </c>
      <c r="F1046" s="988">
        <f t="shared" si="191"/>
        <v>0</v>
      </c>
      <c r="G1046" s="988">
        <f t="shared" si="191"/>
        <v>0</v>
      </c>
      <c r="H1046" s="988">
        <f t="shared" si="191"/>
        <v>0</v>
      </c>
      <c r="I1046" s="988">
        <f t="shared" si="191"/>
        <v>0</v>
      </c>
      <c r="J1046" s="988">
        <f t="shared" si="191"/>
        <v>0</v>
      </c>
      <c r="K1046" s="988">
        <f t="shared" si="191"/>
        <v>0</v>
      </c>
      <c r="L1046" s="988">
        <f t="shared" si="191"/>
        <v>0</v>
      </c>
      <c r="M1046" s="988">
        <f t="shared" si="191"/>
        <v>0</v>
      </c>
      <c r="N1046" s="988">
        <f t="shared" si="191"/>
        <v>0</v>
      </c>
      <c r="O1046" s="988">
        <f t="shared" si="191"/>
        <v>0</v>
      </c>
      <c r="P1046" s="988">
        <f t="shared" si="191"/>
        <v>0</v>
      </c>
      <c r="Q1046" s="988"/>
      <c r="R1046" s="988">
        <f t="shared" si="187"/>
        <v>0</v>
      </c>
      <c r="S1046" s="546">
        <f t="shared" si="181"/>
        <v>0</v>
      </c>
      <c r="T1046" s="547">
        <f t="shared" si="182"/>
        <v>0</v>
      </c>
      <c r="U1046" s="546">
        <f t="shared" si="183"/>
        <v>0</v>
      </c>
      <c r="W1046" s="350">
        <f t="shared" si="190"/>
        <v>0</v>
      </c>
      <c r="X1046" s="285">
        <f t="shared" si="184"/>
        <v>0</v>
      </c>
    </row>
    <row r="1047" spans="1:24" ht="12" thickBot="1">
      <c r="A1047" s="596" t="s">
        <v>1500</v>
      </c>
      <c r="B1047" s="541" t="s">
        <v>195</v>
      </c>
      <c r="C1047" s="541" t="s">
        <v>196</v>
      </c>
      <c r="D1047" s="542" t="s">
        <v>443</v>
      </c>
      <c r="E1047" s="549">
        <f t="shared" si="185"/>
        <v>0</v>
      </c>
      <c r="F1047" s="988">
        <f t="shared" si="191"/>
        <v>0</v>
      </c>
      <c r="G1047" s="988">
        <f t="shared" si="191"/>
        <v>0</v>
      </c>
      <c r="H1047" s="988">
        <f t="shared" si="191"/>
        <v>0</v>
      </c>
      <c r="I1047" s="988">
        <f t="shared" si="191"/>
        <v>0</v>
      </c>
      <c r="J1047" s="988">
        <f t="shared" si="191"/>
        <v>0</v>
      </c>
      <c r="K1047" s="988">
        <f t="shared" si="191"/>
        <v>0</v>
      </c>
      <c r="L1047" s="988">
        <f t="shared" si="191"/>
        <v>0</v>
      </c>
      <c r="M1047" s="988">
        <f t="shared" si="191"/>
        <v>0</v>
      </c>
      <c r="N1047" s="988">
        <f t="shared" si="191"/>
        <v>0</v>
      </c>
      <c r="O1047" s="988">
        <f t="shared" si="191"/>
        <v>0</v>
      </c>
      <c r="P1047" s="988">
        <f t="shared" si="191"/>
        <v>0</v>
      </c>
      <c r="Q1047" s="988"/>
      <c r="R1047" s="988">
        <f t="shared" si="187"/>
        <v>0</v>
      </c>
      <c r="S1047" s="546">
        <f t="shared" si="181"/>
        <v>0</v>
      </c>
      <c r="T1047" s="547">
        <f t="shared" si="182"/>
        <v>0</v>
      </c>
      <c r="U1047" s="546">
        <f t="shared" si="183"/>
        <v>0</v>
      </c>
      <c r="W1047" s="350">
        <f t="shared" si="190"/>
        <v>0</v>
      </c>
      <c r="X1047" s="285">
        <f t="shared" si="184"/>
        <v>0</v>
      </c>
    </row>
    <row r="1048" spans="1:24" ht="12" thickBot="1">
      <c r="A1048" s="596" t="s">
        <v>1500</v>
      </c>
      <c r="B1048" s="541" t="s">
        <v>197</v>
      </c>
      <c r="C1048" s="541" t="s">
        <v>198</v>
      </c>
      <c r="D1048" s="542" t="s">
        <v>443</v>
      </c>
      <c r="E1048" s="549">
        <f t="shared" si="185"/>
        <v>0</v>
      </c>
      <c r="F1048" s="988">
        <f t="shared" si="191"/>
        <v>0</v>
      </c>
      <c r="G1048" s="988">
        <f t="shared" si="191"/>
        <v>0</v>
      </c>
      <c r="H1048" s="988">
        <f t="shared" si="191"/>
        <v>0</v>
      </c>
      <c r="I1048" s="988">
        <f t="shared" si="191"/>
        <v>0</v>
      </c>
      <c r="J1048" s="988">
        <f t="shared" si="191"/>
        <v>0</v>
      </c>
      <c r="K1048" s="988">
        <f t="shared" si="191"/>
        <v>0</v>
      </c>
      <c r="L1048" s="988">
        <f t="shared" si="191"/>
        <v>0</v>
      </c>
      <c r="M1048" s="988">
        <f t="shared" si="191"/>
        <v>0</v>
      </c>
      <c r="N1048" s="988">
        <f t="shared" si="191"/>
        <v>0</v>
      </c>
      <c r="O1048" s="988">
        <f t="shared" si="191"/>
        <v>0</v>
      </c>
      <c r="P1048" s="988">
        <f t="shared" si="191"/>
        <v>0</v>
      </c>
      <c r="Q1048" s="988"/>
      <c r="R1048" s="988">
        <f t="shared" si="187"/>
        <v>0</v>
      </c>
      <c r="S1048" s="546">
        <f t="shared" si="181"/>
        <v>0</v>
      </c>
      <c r="T1048" s="547">
        <f t="shared" si="182"/>
        <v>0</v>
      </c>
      <c r="U1048" s="546">
        <f t="shared" si="183"/>
        <v>0</v>
      </c>
      <c r="W1048" s="350">
        <f t="shared" si="190"/>
        <v>0</v>
      </c>
      <c r="X1048" s="285">
        <f t="shared" si="184"/>
        <v>0</v>
      </c>
    </row>
    <row r="1049" spans="1:24" ht="12" thickBot="1">
      <c r="A1049" s="596" t="s">
        <v>1500</v>
      </c>
      <c r="B1049" s="541" t="s">
        <v>1055</v>
      </c>
      <c r="C1049" s="541" t="s">
        <v>1049</v>
      </c>
      <c r="D1049" s="542" t="s">
        <v>1146</v>
      </c>
      <c r="E1049" s="549">
        <f t="shared" si="185"/>
        <v>0</v>
      </c>
      <c r="F1049" s="988">
        <f t="shared" si="191"/>
        <v>0</v>
      </c>
      <c r="G1049" s="988">
        <f t="shared" si="191"/>
        <v>0</v>
      </c>
      <c r="H1049" s="988">
        <f t="shared" si="191"/>
        <v>0</v>
      </c>
      <c r="I1049" s="988">
        <f t="shared" si="191"/>
        <v>0</v>
      </c>
      <c r="J1049" s="988">
        <f t="shared" si="191"/>
        <v>0</v>
      </c>
      <c r="K1049" s="988">
        <f t="shared" si="191"/>
        <v>0</v>
      </c>
      <c r="L1049" s="988">
        <f t="shared" si="191"/>
        <v>0</v>
      </c>
      <c r="M1049" s="988">
        <f t="shared" si="191"/>
        <v>0</v>
      </c>
      <c r="N1049" s="988">
        <f t="shared" si="191"/>
        <v>0</v>
      </c>
      <c r="O1049" s="988">
        <f t="shared" si="191"/>
        <v>0</v>
      </c>
      <c r="P1049" s="988">
        <f t="shared" si="191"/>
        <v>0</v>
      </c>
      <c r="Q1049" s="988"/>
      <c r="R1049" s="988">
        <f t="shared" si="187"/>
        <v>0</v>
      </c>
      <c r="S1049" s="546">
        <f t="shared" si="181"/>
        <v>0</v>
      </c>
      <c r="T1049" s="547">
        <f t="shared" si="182"/>
        <v>0</v>
      </c>
      <c r="U1049" s="546">
        <f t="shared" si="183"/>
        <v>0</v>
      </c>
      <c r="W1049" s="350">
        <f t="shared" si="190"/>
        <v>0</v>
      </c>
      <c r="X1049" s="285">
        <f t="shared" si="184"/>
        <v>0</v>
      </c>
    </row>
    <row r="1050" spans="1:24" ht="12" thickBot="1">
      <c r="A1050" s="596" t="s">
        <v>1500</v>
      </c>
      <c r="B1050" s="541" t="s">
        <v>174</v>
      </c>
      <c r="C1050" s="541" t="s">
        <v>106</v>
      </c>
      <c r="D1050" s="542" t="s">
        <v>14</v>
      </c>
      <c r="E1050" s="549">
        <f t="shared" si="185"/>
        <v>576729203</v>
      </c>
      <c r="F1050" s="988">
        <f t="shared" ref="F1050:P1056" si="192">ROUND(SUMIFS(F$1721:F$1901,$A$1721:$A$1901,$A1050,$B$1721:$B$1901,$B1050),0)</f>
        <v>4617210</v>
      </c>
      <c r="G1050" s="988">
        <f t="shared" si="192"/>
        <v>26166204</v>
      </c>
      <c r="H1050" s="988">
        <f t="shared" si="192"/>
        <v>16679009</v>
      </c>
      <c r="I1050" s="988">
        <f t="shared" si="192"/>
        <v>1816697</v>
      </c>
      <c r="J1050" s="988">
        <f t="shared" si="192"/>
        <v>0</v>
      </c>
      <c r="K1050" s="988">
        <f t="shared" si="192"/>
        <v>0</v>
      </c>
      <c r="L1050" s="988">
        <f t="shared" si="192"/>
        <v>1061621</v>
      </c>
      <c r="M1050" s="988">
        <f t="shared" si="192"/>
        <v>1237032</v>
      </c>
      <c r="N1050" s="988">
        <f t="shared" si="192"/>
        <v>2442669</v>
      </c>
      <c r="O1050" s="988">
        <f t="shared" si="192"/>
        <v>0</v>
      </c>
      <c r="P1050" s="988">
        <f t="shared" si="192"/>
        <v>0</v>
      </c>
      <c r="Q1050" s="988"/>
      <c r="R1050" s="988">
        <f t="shared" si="187"/>
        <v>54020441</v>
      </c>
      <c r="S1050" s="546">
        <f t="shared" si="181"/>
        <v>44661910</v>
      </c>
      <c r="T1050" s="547">
        <f t="shared" si="182"/>
        <v>0</v>
      </c>
      <c r="U1050" s="546">
        <f t="shared" si="183"/>
        <v>2442669</v>
      </c>
      <c r="W1050" s="350">
        <f t="shared" si="190"/>
        <v>54020442</v>
      </c>
      <c r="X1050" s="285">
        <f t="shared" si="184"/>
        <v>1</v>
      </c>
    </row>
    <row r="1051" spans="1:24" ht="12" thickBot="1">
      <c r="A1051" s="596" t="s">
        <v>1500</v>
      </c>
      <c r="B1051" s="541" t="s">
        <v>175</v>
      </c>
      <c r="C1051" s="541" t="s">
        <v>199</v>
      </c>
      <c r="D1051" s="542" t="s">
        <v>14</v>
      </c>
      <c r="E1051" s="549">
        <f t="shared" si="185"/>
        <v>0</v>
      </c>
      <c r="F1051" s="988">
        <f t="shared" si="192"/>
        <v>0</v>
      </c>
      <c r="G1051" s="988">
        <f t="shared" si="192"/>
        <v>0</v>
      </c>
      <c r="H1051" s="988">
        <f t="shared" si="192"/>
        <v>0</v>
      </c>
      <c r="I1051" s="988">
        <f t="shared" si="192"/>
        <v>0</v>
      </c>
      <c r="J1051" s="988">
        <f t="shared" si="192"/>
        <v>0</v>
      </c>
      <c r="K1051" s="988">
        <f t="shared" si="192"/>
        <v>0</v>
      </c>
      <c r="L1051" s="988">
        <f t="shared" si="192"/>
        <v>0</v>
      </c>
      <c r="M1051" s="988">
        <f t="shared" si="192"/>
        <v>0</v>
      </c>
      <c r="N1051" s="988">
        <f t="shared" si="192"/>
        <v>0</v>
      </c>
      <c r="O1051" s="988">
        <f t="shared" si="192"/>
        <v>0</v>
      </c>
      <c r="P1051" s="988">
        <f t="shared" si="192"/>
        <v>0</v>
      </c>
      <c r="Q1051" s="988"/>
      <c r="R1051" s="988">
        <f t="shared" si="187"/>
        <v>0</v>
      </c>
      <c r="S1051" s="546">
        <f t="shared" si="181"/>
        <v>0</v>
      </c>
      <c r="T1051" s="547">
        <f t="shared" si="182"/>
        <v>0</v>
      </c>
      <c r="U1051" s="546">
        <f t="shared" si="183"/>
        <v>0</v>
      </c>
      <c r="W1051" s="350">
        <f t="shared" si="190"/>
        <v>0</v>
      </c>
      <c r="X1051" s="285">
        <f t="shared" si="184"/>
        <v>0</v>
      </c>
    </row>
    <row r="1052" spans="1:24" ht="12" thickBot="1">
      <c r="A1052" s="596" t="s">
        <v>1500</v>
      </c>
      <c r="B1052" s="541" t="s">
        <v>176</v>
      </c>
      <c r="C1052" s="541" t="s">
        <v>200</v>
      </c>
      <c r="D1052" s="542" t="s">
        <v>207</v>
      </c>
      <c r="E1052" s="549">
        <f t="shared" si="185"/>
        <v>0</v>
      </c>
      <c r="F1052" s="988">
        <f t="shared" si="192"/>
        <v>0</v>
      </c>
      <c r="G1052" s="988">
        <f t="shared" si="192"/>
        <v>0</v>
      </c>
      <c r="H1052" s="988">
        <f t="shared" si="192"/>
        <v>0</v>
      </c>
      <c r="I1052" s="988">
        <f t="shared" si="192"/>
        <v>0</v>
      </c>
      <c r="J1052" s="988">
        <f t="shared" si="192"/>
        <v>0</v>
      </c>
      <c r="K1052" s="988">
        <f t="shared" si="192"/>
        <v>0</v>
      </c>
      <c r="L1052" s="988">
        <f t="shared" si="192"/>
        <v>0</v>
      </c>
      <c r="M1052" s="988">
        <f t="shared" si="192"/>
        <v>0</v>
      </c>
      <c r="N1052" s="988">
        <f t="shared" si="192"/>
        <v>0</v>
      </c>
      <c r="O1052" s="988">
        <f t="shared" si="192"/>
        <v>0</v>
      </c>
      <c r="P1052" s="988">
        <f t="shared" si="192"/>
        <v>0</v>
      </c>
      <c r="Q1052" s="988"/>
      <c r="R1052" s="988">
        <f t="shared" si="187"/>
        <v>0</v>
      </c>
      <c r="S1052" s="546">
        <f t="shared" si="181"/>
        <v>0</v>
      </c>
      <c r="T1052" s="547">
        <f t="shared" si="182"/>
        <v>0</v>
      </c>
      <c r="U1052" s="546">
        <f t="shared" si="183"/>
        <v>0</v>
      </c>
      <c r="W1052" s="350">
        <f t="shared" si="190"/>
        <v>0</v>
      </c>
      <c r="X1052" s="285">
        <f t="shared" si="184"/>
        <v>0</v>
      </c>
    </row>
    <row r="1053" spans="1:24" ht="12" thickBot="1">
      <c r="A1053" s="596" t="s">
        <v>1500</v>
      </c>
      <c r="B1053" s="541" t="s">
        <v>458</v>
      </c>
      <c r="C1053" s="541" t="s">
        <v>1367</v>
      </c>
      <c r="D1053" s="542" t="s">
        <v>206</v>
      </c>
      <c r="E1053" s="549">
        <f t="shared" si="185"/>
        <v>0</v>
      </c>
      <c r="F1053" s="988">
        <f t="shared" si="192"/>
        <v>0</v>
      </c>
      <c r="G1053" s="988">
        <f t="shared" si="192"/>
        <v>0</v>
      </c>
      <c r="H1053" s="988">
        <f t="shared" si="192"/>
        <v>0</v>
      </c>
      <c r="I1053" s="988">
        <f t="shared" si="192"/>
        <v>0</v>
      </c>
      <c r="J1053" s="988">
        <f t="shared" si="192"/>
        <v>0</v>
      </c>
      <c r="K1053" s="988">
        <f t="shared" si="192"/>
        <v>0</v>
      </c>
      <c r="L1053" s="988">
        <f t="shared" si="192"/>
        <v>0</v>
      </c>
      <c r="M1053" s="988">
        <f t="shared" si="192"/>
        <v>0</v>
      </c>
      <c r="N1053" s="988">
        <f t="shared" si="192"/>
        <v>0</v>
      </c>
      <c r="O1053" s="988">
        <f t="shared" si="192"/>
        <v>0</v>
      </c>
      <c r="P1053" s="988">
        <f t="shared" si="192"/>
        <v>0</v>
      </c>
      <c r="Q1053" s="988"/>
      <c r="R1053" s="988">
        <f t="shared" si="187"/>
        <v>0</v>
      </c>
      <c r="S1053" s="546">
        <f t="shared" si="181"/>
        <v>0</v>
      </c>
      <c r="T1053" s="547">
        <f t="shared" si="182"/>
        <v>0</v>
      </c>
      <c r="U1053" s="546">
        <f t="shared" si="183"/>
        <v>0</v>
      </c>
      <c r="W1053" s="350">
        <f t="shared" si="190"/>
        <v>0</v>
      </c>
      <c r="X1053" s="285">
        <f t="shared" si="184"/>
        <v>0</v>
      </c>
    </row>
    <row r="1054" spans="1:24" ht="12" thickBot="1">
      <c r="A1054" s="596" t="s">
        <v>1500</v>
      </c>
      <c r="B1054" s="541" t="s">
        <v>177</v>
      </c>
      <c r="C1054" s="541" t="s">
        <v>201</v>
      </c>
      <c r="D1054" s="542" t="s">
        <v>16</v>
      </c>
      <c r="E1054" s="549">
        <f t="shared" si="185"/>
        <v>0</v>
      </c>
      <c r="F1054" s="988">
        <f t="shared" si="192"/>
        <v>0</v>
      </c>
      <c r="G1054" s="988">
        <f t="shared" si="192"/>
        <v>0</v>
      </c>
      <c r="H1054" s="988">
        <f t="shared" si="192"/>
        <v>0</v>
      </c>
      <c r="I1054" s="988">
        <f t="shared" si="192"/>
        <v>0</v>
      </c>
      <c r="J1054" s="988">
        <f t="shared" si="192"/>
        <v>0</v>
      </c>
      <c r="K1054" s="988">
        <f t="shared" si="192"/>
        <v>0</v>
      </c>
      <c r="L1054" s="988">
        <f t="shared" si="192"/>
        <v>0</v>
      </c>
      <c r="M1054" s="988">
        <f t="shared" si="192"/>
        <v>0</v>
      </c>
      <c r="N1054" s="988">
        <f t="shared" si="192"/>
        <v>0</v>
      </c>
      <c r="O1054" s="988">
        <f t="shared" si="192"/>
        <v>0</v>
      </c>
      <c r="P1054" s="988">
        <f t="shared" si="192"/>
        <v>0</v>
      </c>
      <c r="Q1054" s="988"/>
      <c r="R1054" s="988">
        <f t="shared" si="187"/>
        <v>0</v>
      </c>
      <c r="S1054" s="546">
        <f t="shared" si="181"/>
        <v>0</v>
      </c>
      <c r="T1054" s="547">
        <f t="shared" si="182"/>
        <v>0</v>
      </c>
      <c r="U1054" s="546">
        <f t="shared" si="183"/>
        <v>0</v>
      </c>
      <c r="W1054" s="350">
        <f t="shared" si="190"/>
        <v>0</v>
      </c>
      <c r="X1054" s="285">
        <f t="shared" si="184"/>
        <v>0</v>
      </c>
    </row>
    <row r="1055" spans="1:24" ht="12" thickBot="1">
      <c r="A1055" s="596" t="s">
        <v>1500</v>
      </c>
      <c r="B1055" s="541" t="s">
        <v>178</v>
      </c>
      <c r="C1055" s="541" t="s">
        <v>202</v>
      </c>
      <c r="D1055" s="542" t="s">
        <v>14</v>
      </c>
      <c r="E1055" s="549">
        <f t="shared" si="185"/>
        <v>0</v>
      </c>
      <c r="F1055" s="988">
        <f t="shared" si="192"/>
        <v>0</v>
      </c>
      <c r="G1055" s="988">
        <f t="shared" si="192"/>
        <v>0</v>
      </c>
      <c r="H1055" s="988">
        <f t="shared" si="192"/>
        <v>0</v>
      </c>
      <c r="I1055" s="988">
        <f t="shared" si="192"/>
        <v>0</v>
      </c>
      <c r="J1055" s="988">
        <f t="shared" si="192"/>
        <v>0</v>
      </c>
      <c r="K1055" s="988">
        <f t="shared" si="192"/>
        <v>0</v>
      </c>
      <c r="L1055" s="988">
        <f t="shared" si="192"/>
        <v>0</v>
      </c>
      <c r="M1055" s="988">
        <f t="shared" si="192"/>
        <v>0</v>
      </c>
      <c r="N1055" s="988">
        <f t="shared" si="192"/>
        <v>0</v>
      </c>
      <c r="O1055" s="988">
        <f t="shared" si="192"/>
        <v>0</v>
      </c>
      <c r="P1055" s="988">
        <f t="shared" si="192"/>
        <v>0</v>
      </c>
      <c r="Q1055" s="988"/>
      <c r="R1055" s="988">
        <f t="shared" si="187"/>
        <v>0</v>
      </c>
      <c r="S1055" s="546">
        <f t="shared" si="181"/>
        <v>0</v>
      </c>
      <c r="T1055" s="547">
        <f t="shared" si="182"/>
        <v>0</v>
      </c>
      <c r="U1055" s="546">
        <f t="shared" si="183"/>
        <v>0</v>
      </c>
      <c r="W1055" s="350">
        <f t="shared" si="190"/>
        <v>0</v>
      </c>
      <c r="X1055" s="285">
        <f t="shared" si="184"/>
        <v>0</v>
      </c>
    </row>
    <row r="1056" spans="1:24" ht="12" thickBot="1">
      <c r="A1056" s="596" t="s">
        <v>1500</v>
      </c>
      <c r="B1056" s="541" t="s">
        <v>73</v>
      </c>
      <c r="C1056" s="541" t="s">
        <v>1511</v>
      </c>
      <c r="D1056" s="542"/>
      <c r="E1056" s="549">
        <f t="shared" si="185"/>
        <v>9030466</v>
      </c>
      <c r="F1056" s="988">
        <f t="shared" si="192"/>
        <v>0</v>
      </c>
      <c r="G1056" s="988">
        <f t="shared" si="192"/>
        <v>1877335</v>
      </c>
      <c r="H1056" s="988">
        <f t="shared" si="192"/>
        <v>261161</v>
      </c>
      <c r="I1056" s="988">
        <f t="shared" si="192"/>
        <v>0</v>
      </c>
      <c r="J1056" s="988">
        <f t="shared" si="192"/>
        <v>0</v>
      </c>
      <c r="K1056" s="988">
        <f t="shared" si="192"/>
        <v>0</v>
      </c>
      <c r="L1056" s="988">
        <f t="shared" si="192"/>
        <v>0</v>
      </c>
      <c r="M1056" s="988">
        <f t="shared" si="192"/>
        <v>19370</v>
      </c>
      <c r="N1056" s="988">
        <f t="shared" si="192"/>
        <v>38247</v>
      </c>
      <c r="O1056" s="988">
        <f t="shared" si="192"/>
        <v>0</v>
      </c>
      <c r="P1056" s="988">
        <f t="shared" si="192"/>
        <v>0</v>
      </c>
      <c r="Q1056" s="988"/>
      <c r="R1056" s="988">
        <f t="shared" si="187"/>
        <v>2196113</v>
      </c>
      <c r="S1056" s="546">
        <f t="shared" si="181"/>
        <v>2138496</v>
      </c>
      <c r="T1056" s="547">
        <f t="shared" si="182"/>
        <v>0</v>
      </c>
      <c r="U1056" s="546">
        <f t="shared" si="183"/>
        <v>38247</v>
      </c>
      <c r="W1056" s="350">
        <f t="shared" si="190"/>
        <v>2196113</v>
      </c>
      <c r="X1056" s="285">
        <f t="shared" si="184"/>
        <v>0</v>
      </c>
    </row>
    <row r="1057" spans="1:24" ht="12" thickBot="1">
      <c r="A1057" s="596" t="s">
        <v>1500</v>
      </c>
      <c r="B1057" s="541" t="s">
        <v>323</v>
      </c>
      <c r="C1057" s="541" t="s">
        <v>1056</v>
      </c>
      <c r="D1057" s="552" t="s">
        <v>1139</v>
      </c>
      <c r="E1057" s="543"/>
      <c r="F1057" s="545"/>
      <c r="G1057" s="544"/>
      <c r="H1057" s="545"/>
      <c r="I1057" s="545"/>
      <c r="J1057" s="545"/>
      <c r="K1057" s="545"/>
      <c r="L1057" s="545"/>
      <c r="M1057" s="544"/>
      <c r="N1057" s="544"/>
      <c r="O1057" s="545"/>
      <c r="P1057" s="545"/>
      <c r="Q1057" s="544"/>
      <c r="R1057" s="544"/>
      <c r="S1057" s="546">
        <f t="shared" si="181"/>
        <v>0</v>
      </c>
      <c r="T1057" s="547">
        <f t="shared" si="182"/>
        <v>0</v>
      </c>
      <c r="U1057" s="546">
        <f t="shared" si="183"/>
        <v>0</v>
      </c>
      <c r="W1057" s="350">
        <f t="shared" si="190"/>
        <v>0</v>
      </c>
      <c r="X1057" s="285">
        <f t="shared" si="184"/>
        <v>0</v>
      </c>
    </row>
    <row r="1058" spans="1:24" ht="12" thickBot="1">
      <c r="A1058" s="596" t="s">
        <v>1500</v>
      </c>
      <c r="B1058" s="541" t="s">
        <v>328</v>
      </c>
      <c r="C1058" s="541" t="s">
        <v>1057</v>
      </c>
      <c r="D1058" s="552" t="s">
        <v>1139</v>
      </c>
      <c r="E1058" s="549"/>
      <c r="F1058" s="551"/>
      <c r="G1058" s="550"/>
      <c r="H1058" s="551"/>
      <c r="I1058" s="551"/>
      <c r="J1058" s="551"/>
      <c r="K1058" s="551"/>
      <c r="L1058" s="551"/>
      <c r="M1058" s="550"/>
      <c r="N1058" s="550"/>
      <c r="O1058" s="551"/>
      <c r="P1058" s="551"/>
      <c r="Q1058" s="550"/>
      <c r="R1058" s="550"/>
      <c r="S1058" s="546">
        <f t="shared" si="181"/>
        <v>0</v>
      </c>
      <c r="T1058" s="547">
        <f t="shared" si="182"/>
        <v>0</v>
      </c>
      <c r="U1058" s="546">
        <f t="shared" si="183"/>
        <v>0</v>
      </c>
      <c r="W1058" s="350">
        <f t="shared" si="190"/>
        <v>0</v>
      </c>
      <c r="X1058" s="285">
        <f t="shared" si="184"/>
        <v>0</v>
      </c>
    </row>
    <row r="1059" spans="1:24" ht="12" thickBot="1">
      <c r="A1059" s="596" t="s">
        <v>1500</v>
      </c>
      <c r="B1059" s="541" t="s">
        <v>331</v>
      </c>
      <c r="C1059" s="541" t="s">
        <v>1058</v>
      </c>
      <c r="D1059" s="552" t="s">
        <v>1139</v>
      </c>
      <c r="E1059" s="543"/>
      <c r="F1059" s="545"/>
      <c r="G1059" s="544"/>
      <c r="H1059" s="545"/>
      <c r="I1059" s="545"/>
      <c r="J1059" s="545"/>
      <c r="K1059" s="545"/>
      <c r="L1059" s="545"/>
      <c r="M1059" s="544"/>
      <c r="N1059" s="544"/>
      <c r="O1059" s="545"/>
      <c r="P1059" s="545"/>
      <c r="Q1059" s="544"/>
      <c r="R1059" s="544"/>
      <c r="S1059" s="546">
        <f t="shared" si="181"/>
        <v>0</v>
      </c>
      <c r="T1059" s="547">
        <f t="shared" si="182"/>
        <v>0</v>
      </c>
      <c r="U1059" s="546">
        <f t="shared" si="183"/>
        <v>0</v>
      </c>
      <c r="W1059" s="350">
        <f t="shared" si="190"/>
        <v>0</v>
      </c>
      <c r="X1059" s="285">
        <f t="shared" si="184"/>
        <v>0</v>
      </c>
    </row>
    <row r="1060" spans="1:24" ht="12" thickBot="1">
      <c r="A1060" s="596" t="s">
        <v>1500</v>
      </c>
      <c r="B1060" s="541" t="s">
        <v>332</v>
      </c>
      <c r="C1060" s="541" t="s">
        <v>1059</v>
      </c>
      <c r="D1060" s="552" t="s">
        <v>1139</v>
      </c>
      <c r="E1060" s="549"/>
      <c r="F1060" s="551"/>
      <c r="G1060" s="550"/>
      <c r="H1060" s="551"/>
      <c r="I1060" s="551"/>
      <c r="J1060" s="551"/>
      <c r="K1060" s="551"/>
      <c r="L1060" s="551"/>
      <c r="M1060" s="550"/>
      <c r="N1060" s="550"/>
      <c r="O1060" s="551"/>
      <c r="P1060" s="551"/>
      <c r="Q1060" s="550"/>
      <c r="R1060" s="550"/>
      <c r="S1060" s="546">
        <f t="shared" si="181"/>
        <v>0</v>
      </c>
      <c r="T1060" s="547">
        <f t="shared" si="182"/>
        <v>0</v>
      </c>
      <c r="U1060" s="546">
        <f t="shared" si="183"/>
        <v>0</v>
      </c>
      <c r="W1060" s="350">
        <f t="shared" si="190"/>
        <v>0</v>
      </c>
      <c r="X1060" s="285">
        <f t="shared" si="184"/>
        <v>0</v>
      </c>
    </row>
    <row r="1061" spans="1:24" ht="12" thickBot="1">
      <c r="A1061" s="596" t="s">
        <v>1500</v>
      </c>
      <c r="B1061" s="541" t="s">
        <v>333</v>
      </c>
      <c r="C1061" s="541" t="s">
        <v>1060</v>
      </c>
      <c r="D1061" s="552" t="s">
        <v>1139</v>
      </c>
      <c r="E1061" s="543"/>
      <c r="F1061" s="545"/>
      <c r="G1061" s="544"/>
      <c r="H1061" s="545"/>
      <c r="I1061" s="545"/>
      <c r="J1061" s="545"/>
      <c r="K1061" s="545"/>
      <c r="L1061" s="545"/>
      <c r="M1061" s="544"/>
      <c r="N1061" s="544"/>
      <c r="O1061" s="545"/>
      <c r="P1061" s="545"/>
      <c r="Q1061" s="544"/>
      <c r="R1061" s="544"/>
      <c r="S1061" s="546">
        <f t="shared" si="181"/>
        <v>0</v>
      </c>
      <c r="T1061" s="547">
        <f t="shared" si="182"/>
        <v>0</v>
      </c>
      <c r="U1061" s="546">
        <f t="shared" si="183"/>
        <v>0</v>
      </c>
      <c r="W1061" s="350">
        <f t="shared" si="190"/>
        <v>0</v>
      </c>
      <c r="X1061" s="285">
        <f t="shared" si="184"/>
        <v>0</v>
      </c>
    </row>
    <row r="1062" spans="1:24" ht="12" thickBot="1">
      <c r="A1062" s="596" t="s">
        <v>1500</v>
      </c>
      <c r="B1062" s="541" t="s">
        <v>335</v>
      </c>
      <c r="C1062" s="541" t="s">
        <v>1061</v>
      </c>
      <c r="D1062" s="552" t="s">
        <v>1139</v>
      </c>
      <c r="E1062" s="549"/>
      <c r="F1062" s="551"/>
      <c r="G1062" s="550"/>
      <c r="H1062" s="551"/>
      <c r="I1062" s="551"/>
      <c r="J1062" s="551"/>
      <c r="K1062" s="551"/>
      <c r="L1062" s="551"/>
      <c r="M1062" s="550"/>
      <c r="N1062" s="550"/>
      <c r="O1062" s="551"/>
      <c r="P1062" s="551"/>
      <c r="Q1062" s="550"/>
      <c r="R1062" s="550"/>
      <c r="S1062" s="546">
        <f t="shared" si="181"/>
        <v>0</v>
      </c>
      <c r="T1062" s="547">
        <f t="shared" si="182"/>
        <v>0</v>
      </c>
      <c r="U1062" s="546">
        <f t="shared" si="183"/>
        <v>0</v>
      </c>
      <c r="W1062" s="350">
        <f t="shared" si="190"/>
        <v>0</v>
      </c>
      <c r="X1062" s="285">
        <f t="shared" si="184"/>
        <v>0</v>
      </c>
    </row>
    <row r="1063" spans="1:24" ht="12" thickBot="1">
      <c r="A1063" s="596" t="s">
        <v>1500</v>
      </c>
      <c r="B1063" s="541" t="s">
        <v>336</v>
      </c>
      <c r="C1063" s="541" t="s">
        <v>1062</v>
      </c>
      <c r="D1063" s="552" t="s">
        <v>1139</v>
      </c>
      <c r="E1063" s="543"/>
      <c r="F1063" s="545"/>
      <c r="G1063" s="544"/>
      <c r="H1063" s="545"/>
      <c r="I1063" s="545"/>
      <c r="J1063" s="545"/>
      <c r="K1063" s="545"/>
      <c r="L1063" s="545"/>
      <c r="M1063" s="544"/>
      <c r="N1063" s="544"/>
      <c r="O1063" s="545"/>
      <c r="P1063" s="545"/>
      <c r="Q1063" s="544"/>
      <c r="R1063" s="544"/>
      <c r="S1063" s="546">
        <f t="shared" si="181"/>
        <v>0</v>
      </c>
      <c r="T1063" s="547">
        <f t="shared" si="182"/>
        <v>0</v>
      </c>
      <c r="U1063" s="546">
        <f t="shared" si="183"/>
        <v>0</v>
      </c>
      <c r="W1063" s="350">
        <f t="shared" si="190"/>
        <v>0</v>
      </c>
      <c r="X1063" s="285">
        <f t="shared" si="184"/>
        <v>0</v>
      </c>
    </row>
    <row r="1064" spans="1:24" ht="12" thickBot="1">
      <c r="A1064" s="596" t="s">
        <v>1500</v>
      </c>
      <c r="B1064" s="541" t="s">
        <v>338</v>
      </c>
      <c r="C1064" s="541" t="s">
        <v>1063</v>
      </c>
      <c r="D1064" s="552" t="s">
        <v>1139</v>
      </c>
      <c r="E1064" s="549"/>
      <c r="F1064" s="551"/>
      <c r="G1064" s="550"/>
      <c r="H1064" s="551"/>
      <c r="I1064" s="551"/>
      <c r="J1064" s="551"/>
      <c r="K1064" s="551"/>
      <c r="L1064" s="551"/>
      <c r="M1064" s="550"/>
      <c r="N1064" s="550"/>
      <c r="O1064" s="551"/>
      <c r="P1064" s="551"/>
      <c r="Q1064" s="550"/>
      <c r="R1064" s="550"/>
      <c r="S1064" s="546">
        <f t="shared" si="181"/>
        <v>0</v>
      </c>
      <c r="T1064" s="547">
        <f t="shared" si="182"/>
        <v>0</v>
      </c>
      <c r="U1064" s="546">
        <f t="shared" si="183"/>
        <v>0</v>
      </c>
      <c r="W1064" s="350">
        <f t="shared" si="190"/>
        <v>0</v>
      </c>
      <c r="X1064" s="285">
        <f t="shared" si="184"/>
        <v>0</v>
      </c>
    </row>
    <row r="1065" spans="1:24" ht="12" thickBot="1">
      <c r="A1065" s="596" t="s">
        <v>1500</v>
      </c>
      <c r="B1065" s="541" t="s">
        <v>339</v>
      </c>
      <c r="C1065" s="541" t="s">
        <v>1064</v>
      </c>
      <c r="D1065" s="552" t="s">
        <v>1139</v>
      </c>
      <c r="E1065" s="543"/>
      <c r="F1065" s="545"/>
      <c r="G1065" s="544"/>
      <c r="H1065" s="545"/>
      <c r="I1065" s="545"/>
      <c r="J1065" s="545"/>
      <c r="K1065" s="545"/>
      <c r="L1065" s="545"/>
      <c r="M1065" s="544"/>
      <c r="N1065" s="544"/>
      <c r="O1065" s="545"/>
      <c r="P1065" s="545"/>
      <c r="Q1065" s="544"/>
      <c r="R1065" s="544"/>
      <c r="S1065" s="546">
        <f t="shared" si="181"/>
        <v>0</v>
      </c>
      <c r="T1065" s="547">
        <f t="shared" si="182"/>
        <v>0</v>
      </c>
      <c r="U1065" s="546">
        <f t="shared" si="183"/>
        <v>0</v>
      </c>
      <c r="W1065" s="350">
        <f t="shared" si="190"/>
        <v>0</v>
      </c>
      <c r="X1065" s="285">
        <f t="shared" si="184"/>
        <v>0</v>
      </c>
    </row>
    <row r="1066" spans="1:24" ht="12" thickBot="1">
      <c r="A1066" s="596" t="s">
        <v>1500</v>
      </c>
      <c r="B1066" s="541" t="s">
        <v>325</v>
      </c>
      <c r="C1066" s="541" t="s">
        <v>1065</v>
      </c>
      <c r="D1066" s="552" t="s">
        <v>1139</v>
      </c>
      <c r="E1066" s="549"/>
      <c r="F1066" s="551"/>
      <c r="G1066" s="550"/>
      <c r="H1066" s="551"/>
      <c r="I1066" s="551"/>
      <c r="J1066" s="551"/>
      <c r="K1066" s="551"/>
      <c r="L1066" s="551"/>
      <c r="M1066" s="550"/>
      <c r="N1066" s="550"/>
      <c r="O1066" s="551"/>
      <c r="P1066" s="551"/>
      <c r="Q1066" s="550"/>
      <c r="R1066" s="550"/>
      <c r="S1066" s="546">
        <f t="shared" ref="S1066:S1129" si="193">G1066+H1066+I1066</f>
        <v>0</v>
      </c>
      <c r="T1066" s="547">
        <f t="shared" ref="T1066:T1129" si="194">J1066+K1066</f>
        <v>0</v>
      </c>
      <c r="U1066" s="546">
        <f t="shared" ref="U1066:U1129" si="195">N1066+O1066</f>
        <v>0</v>
      </c>
      <c r="W1066" s="350">
        <f t="shared" si="190"/>
        <v>0</v>
      </c>
      <c r="X1066" s="285">
        <f t="shared" ref="X1066:X1129" si="196">W1066-R1066</f>
        <v>0</v>
      </c>
    </row>
    <row r="1067" spans="1:24" ht="12" thickBot="1">
      <c r="A1067" s="596" t="s">
        <v>1500</v>
      </c>
      <c r="B1067" s="541" t="s">
        <v>334</v>
      </c>
      <c r="C1067" s="541" t="s">
        <v>1066</v>
      </c>
      <c r="D1067" s="552" t="s">
        <v>1139</v>
      </c>
      <c r="E1067" s="543"/>
      <c r="F1067" s="545"/>
      <c r="G1067" s="544"/>
      <c r="H1067" s="545"/>
      <c r="I1067" s="545"/>
      <c r="J1067" s="545"/>
      <c r="K1067" s="545"/>
      <c r="L1067" s="545"/>
      <c r="M1067" s="544"/>
      <c r="N1067" s="544"/>
      <c r="O1067" s="545"/>
      <c r="P1067" s="545"/>
      <c r="Q1067" s="544"/>
      <c r="R1067" s="544"/>
      <c r="S1067" s="546">
        <f t="shared" si="193"/>
        <v>0</v>
      </c>
      <c r="T1067" s="547">
        <f t="shared" si="194"/>
        <v>0</v>
      </c>
      <c r="U1067" s="546">
        <f t="shared" si="195"/>
        <v>0</v>
      </c>
      <c r="W1067" s="350">
        <f t="shared" si="190"/>
        <v>0</v>
      </c>
      <c r="X1067" s="285">
        <f t="shared" si="196"/>
        <v>0</v>
      </c>
    </row>
    <row r="1068" spans="1:24" ht="12" thickBot="1">
      <c r="A1068" s="596" t="s">
        <v>1500</v>
      </c>
      <c r="B1068" s="541" t="s">
        <v>326</v>
      </c>
      <c r="C1068" s="541" t="s">
        <v>1067</v>
      </c>
      <c r="D1068" s="552" t="s">
        <v>1139</v>
      </c>
      <c r="E1068" s="549"/>
      <c r="F1068" s="551"/>
      <c r="G1068" s="550"/>
      <c r="H1068" s="551"/>
      <c r="I1068" s="551"/>
      <c r="J1068" s="551"/>
      <c r="K1068" s="551"/>
      <c r="L1068" s="551"/>
      <c r="M1068" s="550"/>
      <c r="N1068" s="550"/>
      <c r="O1068" s="551"/>
      <c r="P1068" s="551"/>
      <c r="Q1068" s="550"/>
      <c r="R1068" s="550"/>
      <c r="S1068" s="546">
        <f t="shared" si="193"/>
        <v>0</v>
      </c>
      <c r="T1068" s="547">
        <f t="shared" si="194"/>
        <v>0</v>
      </c>
      <c r="U1068" s="546">
        <f t="shared" si="195"/>
        <v>0</v>
      </c>
      <c r="W1068" s="350">
        <f t="shared" si="190"/>
        <v>0</v>
      </c>
      <c r="X1068" s="285">
        <f t="shared" si="196"/>
        <v>0</v>
      </c>
    </row>
    <row r="1069" spans="1:24" ht="12" thickBot="1">
      <c r="A1069" s="596" t="s">
        <v>1500</v>
      </c>
      <c r="B1069" s="541" t="s">
        <v>330</v>
      </c>
      <c r="C1069" s="541" t="s">
        <v>1068</v>
      </c>
      <c r="D1069" s="552" t="s">
        <v>1139</v>
      </c>
      <c r="E1069" s="543"/>
      <c r="F1069" s="545"/>
      <c r="G1069" s="544"/>
      <c r="H1069" s="545"/>
      <c r="I1069" s="545"/>
      <c r="J1069" s="545"/>
      <c r="K1069" s="545"/>
      <c r="L1069" s="545"/>
      <c r="M1069" s="544"/>
      <c r="N1069" s="544"/>
      <c r="O1069" s="545"/>
      <c r="P1069" s="545"/>
      <c r="Q1069" s="544"/>
      <c r="R1069" s="544"/>
      <c r="S1069" s="546">
        <f t="shared" si="193"/>
        <v>0</v>
      </c>
      <c r="T1069" s="547">
        <f t="shared" si="194"/>
        <v>0</v>
      </c>
      <c r="U1069" s="546">
        <f t="shared" si="195"/>
        <v>0</v>
      </c>
      <c r="W1069" s="350">
        <f t="shared" si="190"/>
        <v>0</v>
      </c>
      <c r="X1069" s="285">
        <f t="shared" si="196"/>
        <v>0</v>
      </c>
    </row>
    <row r="1070" spans="1:24" ht="12" thickBot="1">
      <c r="A1070" s="596" t="s">
        <v>1500</v>
      </c>
      <c r="B1070" s="541" t="s">
        <v>337</v>
      </c>
      <c r="C1070" s="541" t="s">
        <v>1069</v>
      </c>
      <c r="D1070" s="552" t="s">
        <v>1139</v>
      </c>
      <c r="E1070" s="549"/>
      <c r="F1070" s="551"/>
      <c r="G1070" s="550"/>
      <c r="H1070" s="551"/>
      <c r="I1070" s="551"/>
      <c r="J1070" s="551"/>
      <c r="K1070" s="551"/>
      <c r="L1070" s="551"/>
      <c r="M1070" s="550"/>
      <c r="N1070" s="550"/>
      <c r="O1070" s="551"/>
      <c r="P1070" s="551"/>
      <c r="Q1070" s="550"/>
      <c r="R1070" s="550"/>
      <c r="S1070" s="546">
        <f t="shared" si="193"/>
        <v>0</v>
      </c>
      <c r="T1070" s="547">
        <f t="shared" si="194"/>
        <v>0</v>
      </c>
      <c r="U1070" s="546">
        <f t="shared" si="195"/>
        <v>0</v>
      </c>
      <c r="W1070" s="350">
        <f t="shared" si="190"/>
        <v>0</v>
      </c>
      <c r="X1070" s="285">
        <f t="shared" si="196"/>
        <v>0</v>
      </c>
    </row>
    <row r="1071" spans="1:24" ht="12" thickBot="1">
      <c r="A1071" s="596" t="s">
        <v>1500</v>
      </c>
      <c r="B1071" s="541" t="s">
        <v>329</v>
      </c>
      <c r="C1071" s="541" t="s">
        <v>1070</v>
      </c>
      <c r="D1071" s="552" t="s">
        <v>1139</v>
      </c>
      <c r="E1071" s="543"/>
      <c r="F1071" s="545"/>
      <c r="G1071" s="544"/>
      <c r="H1071" s="545"/>
      <c r="I1071" s="545"/>
      <c r="J1071" s="545"/>
      <c r="K1071" s="545"/>
      <c r="L1071" s="545"/>
      <c r="M1071" s="544"/>
      <c r="N1071" s="544"/>
      <c r="O1071" s="545"/>
      <c r="P1071" s="545"/>
      <c r="Q1071" s="544"/>
      <c r="R1071" s="544"/>
      <c r="S1071" s="546">
        <f t="shared" si="193"/>
        <v>0</v>
      </c>
      <c r="T1071" s="547">
        <f t="shared" si="194"/>
        <v>0</v>
      </c>
      <c r="U1071" s="546">
        <f t="shared" si="195"/>
        <v>0</v>
      </c>
      <c r="W1071" s="350">
        <f t="shared" si="190"/>
        <v>0</v>
      </c>
      <c r="X1071" s="285">
        <f t="shared" si="196"/>
        <v>0</v>
      </c>
    </row>
    <row r="1072" spans="1:24" ht="12" thickBot="1">
      <c r="A1072" s="596" t="s">
        <v>1500</v>
      </c>
      <c r="B1072" s="541" t="s">
        <v>327</v>
      </c>
      <c r="C1072" s="541" t="s">
        <v>1071</v>
      </c>
      <c r="D1072" s="552" t="s">
        <v>1139</v>
      </c>
      <c r="E1072" s="549"/>
      <c r="F1072" s="551"/>
      <c r="G1072" s="550"/>
      <c r="H1072" s="551"/>
      <c r="I1072" s="551"/>
      <c r="J1072" s="551"/>
      <c r="K1072" s="551"/>
      <c r="L1072" s="551"/>
      <c r="M1072" s="550"/>
      <c r="N1072" s="550"/>
      <c r="O1072" s="551"/>
      <c r="P1072" s="551"/>
      <c r="Q1072" s="550"/>
      <c r="R1072" s="550"/>
      <c r="S1072" s="546">
        <f t="shared" si="193"/>
        <v>0</v>
      </c>
      <c r="T1072" s="547">
        <f t="shared" si="194"/>
        <v>0</v>
      </c>
      <c r="U1072" s="546">
        <f t="shared" si="195"/>
        <v>0</v>
      </c>
      <c r="W1072" s="350">
        <f t="shared" si="190"/>
        <v>0</v>
      </c>
      <c r="X1072" s="285">
        <f t="shared" si="196"/>
        <v>0</v>
      </c>
    </row>
    <row r="1073" spans="1:24" ht="12" thickBot="1">
      <c r="A1073" s="596" t="s">
        <v>1500</v>
      </c>
      <c r="B1073" s="541" t="s">
        <v>453</v>
      </c>
      <c r="C1073" s="541" t="s">
        <v>1072</v>
      </c>
      <c r="D1073" s="552" t="s">
        <v>1139</v>
      </c>
      <c r="E1073" s="543"/>
      <c r="F1073" s="545"/>
      <c r="G1073" s="544"/>
      <c r="H1073" s="545"/>
      <c r="I1073" s="545"/>
      <c r="J1073" s="545"/>
      <c r="K1073" s="545"/>
      <c r="L1073" s="545"/>
      <c r="M1073" s="544"/>
      <c r="N1073" s="544"/>
      <c r="O1073" s="545"/>
      <c r="P1073" s="545"/>
      <c r="Q1073" s="545"/>
      <c r="R1073" s="544"/>
      <c r="S1073" s="546">
        <f t="shared" si="193"/>
        <v>0</v>
      </c>
      <c r="T1073" s="547">
        <f t="shared" si="194"/>
        <v>0</v>
      </c>
      <c r="U1073" s="546">
        <f t="shared" si="195"/>
        <v>0</v>
      </c>
      <c r="W1073" s="350">
        <f t="shared" si="190"/>
        <v>0</v>
      </c>
      <c r="X1073" s="285">
        <f t="shared" si="196"/>
        <v>0</v>
      </c>
    </row>
    <row r="1074" spans="1:24" ht="12" thickBot="1">
      <c r="A1074" s="596" t="s">
        <v>1500</v>
      </c>
      <c r="B1074" s="541" t="s">
        <v>366</v>
      </c>
      <c r="C1074" s="541" t="s">
        <v>1073</v>
      </c>
      <c r="D1074" s="552" t="s">
        <v>1139</v>
      </c>
      <c r="E1074" s="549"/>
      <c r="F1074" s="551"/>
      <c r="G1074" s="550"/>
      <c r="H1074" s="551"/>
      <c r="I1074" s="551"/>
      <c r="J1074" s="551"/>
      <c r="K1074" s="551"/>
      <c r="L1074" s="551"/>
      <c r="M1074" s="550"/>
      <c r="N1074" s="550"/>
      <c r="O1074" s="551"/>
      <c r="P1074" s="551"/>
      <c r="Q1074" s="550"/>
      <c r="R1074" s="550"/>
      <c r="S1074" s="546">
        <f t="shared" si="193"/>
        <v>0</v>
      </c>
      <c r="T1074" s="547">
        <f t="shared" si="194"/>
        <v>0</v>
      </c>
      <c r="U1074" s="546">
        <f t="shared" si="195"/>
        <v>0</v>
      </c>
      <c r="W1074" s="350">
        <f t="shared" si="190"/>
        <v>0</v>
      </c>
      <c r="X1074" s="285">
        <f t="shared" si="196"/>
        <v>0</v>
      </c>
    </row>
    <row r="1075" spans="1:24" ht="12" thickBot="1">
      <c r="A1075" s="596" t="s">
        <v>1500</v>
      </c>
      <c r="B1075" s="541" t="s">
        <v>386</v>
      </c>
      <c r="C1075" s="541" t="s">
        <v>1074</v>
      </c>
      <c r="D1075" s="552" t="s">
        <v>1140</v>
      </c>
      <c r="E1075" s="543"/>
      <c r="F1075" s="545"/>
      <c r="G1075" s="544"/>
      <c r="H1075" s="545"/>
      <c r="I1075" s="545"/>
      <c r="J1075" s="545"/>
      <c r="K1075" s="545"/>
      <c r="L1075" s="545"/>
      <c r="M1075" s="544"/>
      <c r="N1075" s="544"/>
      <c r="O1075" s="545"/>
      <c r="P1075" s="545"/>
      <c r="Q1075" s="544"/>
      <c r="R1075" s="544"/>
      <c r="S1075" s="546">
        <f t="shared" si="193"/>
        <v>0</v>
      </c>
      <c r="T1075" s="547">
        <f t="shared" si="194"/>
        <v>0</v>
      </c>
      <c r="U1075" s="546">
        <f t="shared" si="195"/>
        <v>0</v>
      </c>
      <c r="W1075" s="350">
        <f t="shared" si="190"/>
        <v>0</v>
      </c>
      <c r="X1075" s="285">
        <f t="shared" si="196"/>
        <v>0</v>
      </c>
    </row>
    <row r="1076" spans="1:24" ht="12" thickBot="1">
      <c r="A1076" s="596" t="s">
        <v>1500</v>
      </c>
      <c r="B1076" s="541" t="s">
        <v>342</v>
      </c>
      <c r="C1076" s="541" t="s">
        <v>251</v>
      </c>
      <c r="D1076" s="552" t="s">
        <v>1139</v>
      </c>
      <c r="E1076" s="549"/>
      <c r="F1076" s="551"/>
      <c r="G1076" s="550"/>
      <c r="H1076" s="551"/>
      <c r="I1076" s="551"/>
      <c r="J1076" s="551"/>
      <c r="K1076" s="551"/>
      <c r="L1076" s="551"/>
      <c r="M1076" s="550"/>
      <c r="N1076" s="550"/>
      <c r="O1076" s="551"/>
      <c r="P1076" s="551"/>
      <c r="Q1076" s="550"/>
      <c r="R1076" s="550"/>
      <c r="S1076" s="546">
        <f t="shared" si="193"/>
        <v>0</v>
      </c>
      <c r="T1076" s="547">
        <f t="shared" si="194"/>
        <v>0</v>
      </c>
      <c r="U1076" s="546">
        <f t="shared" si="195"/>
        <v>0</v>
      </c>
      <c r="W1076" s="350">
        <f t="shared" si="190"/>
        <v>0</v>
      </c>
      <c r="X1076" s="285">
        <f t="shared" si="196"/>
        <v>0</v>
      </c>
    </row>
    <row r="1077" spans="1:24" ht="12" thickBot="1">
      <c r="A1077" s="596" t="s">
        <v>1500</v>
      </c>
      <c r="B1077" s="541" t="s">
        <v>382</v>
      </c>
      <c r="C1077" s="541" t="s">
        <v>1075</v>
      </c>
      <c r="D1077" s="552" t="s">
        <v>1140</v>
      </c>
      <c r="E1077" s="543"/>
      <c r="F1077" s="545"/>
      <c r="G1077" s="544"/>
      <c r="H1077" s="545"/>
      <c r="I1077" s="545"/>
      <c r="J1077" s="545"/>
      <c r="K1077" s="545"/>
      <c r="L1077" s="545"/>
      <c r="M1077" s="544"/>
      <c r="N1077" s="544"/>
      <c r="O1077" s="545"/>
      <c r="P1077" s="545"/>
      <c r="Q1077" s="544"/>
      <c r="R1077" s="544"/>
      <c r="S1077" s="546">
        <f t="shared" si="193"/>
        <v>0</v>
      </c>
      <c r="T1077" s="547">
        <f t="shared" si="194"/>
        <v>0</v>
      </c>
      <c r="U1077" s="546">
        <f t="shared" si="195"/>
        <v>0</v>
      </c>
      <c r="W1077" s="350">
        <f t="shared" si="190"/>
        <v>0</v>
      </c>
      <c r="X1077" s="285">
        <f t="shared" si="196"/>
        <v>0</v>
      </c>
    </row>
    <row r="1078" spans="1:24" ht="12" thickBot="1">
      <c r="A1078" s="596" t="s">
        <v>1500</v>
      </c>
      <c r="B1078" s="541" t="s">
        <v>360</v>
      </c>
      <c r="C1078" s="541" t="s">
        <v>1076</v>
      </c>
      <c r="D1078" s="552" t="s">
        <v>1140</v>
      </c>
      <c r="E1078" s="549"/>
      <c r="F1078" s="551"/>
      <c r="G1078" s="550"/>
      <c r="H1078" s="551"/>
      <c r="I1078" s="551"/>
      <c r="J1078" s="551"/>
      <c r="K1078" s="551"/>
      <c r="L1078" s="551"/>
      <c r="M1078" s="550"/>
      <c r="N1078" s="550"/>
      <c r="O1078" s="551"/>
      <c r="P1078" s="551"/>
      <c r="Q1078" s="550"/>
      <c r="R1078" s="550"/>
      <c r="S1078" s="546">
        <f t="shared" si="193"/>
        <v>0</v>
      </c>
      <c r="T1078" s="547">
        <f t="shared" si="194"/>
        <v>0</v>
      </c>
      <c r="U1078" s="546">
        <f t="shared" si="195"/>
        <v>0</v>
      </c>
      <c r="W1078" s="350">
        <f t="shared" si="190"/>
        <v>0</v>
      </c>
      <c r="X1078" s="285">
        <f t="shared" si="196"/>
        <v>0</v>
      </c>
    </row>
    <row r="1079" spans="1:24" ht="12" thickBot="1">
      <c r="A1079" s="596" t="s">
        <v>1500</v>
      </c>
      <c r="B1079" s="541" t="s">
        <v>368</v>
      </c>
      <c r="C1079" s="541" t="s">
        <v>1077</v>
      </c>
      <c r="D1079" s="552" t="s">
        <v>1139</v>
      </c>
      <c r="E1079" s="543"/>
      <c r="F1079" s="545"/>
      <c r="G1079" s="544"/>
      <c r="H1079" s="545"/>
      <c r="I1079" s="545"/>
      <c r="J1079" s="545"/>
      <c r="K1079" s="545"/>
      <c r="L1079" s="545"/>
      <c r="M1079" s="544"/>
      <c r="N1079" s="544"/>
      <c r="O1079" s="545"/>
      <c r="P1079" s="545"/>
      <c r="Q1079" s="544"/>
      <c r="R1079" s="544"/>
      <c r="S1079" s="546">
        <f t="shared" si="193"/>
        <v>0</v>
      </c>
      <c r="T1079" s="547">
        <f t="shared" si="194"/>
        <v>0</v>
      </c>
      <c r="U1079" s="546">
        <f t="shared" si="195"/>
        <v>0</v>
      </c>
      <c r="W1079" s="350">
        <f t="shared" si="190"/>
        <v>0</v>
      </c>
      <c r="X1079" s="285">
        <f t="shared" si="196"/>
        <v>0</v>
      </c>
    </row>
    <row r="1080" spans="1:24" ht="12" thickBot="1">
      <c r="A1080" s="596" t="s">
        <v>1500</v>
      </c>
      <c r="B1080" s="541" t="s">
        <v>370</v>
      </c>
      <c r="C1080" s="541" t="s">
        <v>1078</v>
      </c>
      <c r="D1080" s="552" t="s">
        <v>1140</v>
      </c>
      <c r="E1080" s="549"/>
      <c r="F1080" s="551"/>
      <c r="G1080" s="550"/>
      <c r="H1080" s="551"/>
      <c r="I1080" s="551"/>
      <c r="J1080" s="551"/>
      <c r="K1080" s="551"/>
      <c r="L1080" s="551"/>
      <c r="M1080" s="550"/>
      <c r="N1080" s="550"/>
      <c r="O1080" s="551"/>
      <c r="P1080" s="551"/>
      <c r="Q1080" s="550"/>
      <c r="R1080" s="550"/>
      <c r="S1080" s="546">
        <f t="shared" si="193"/>
        <v>0</v>
      </c>
      <c r="T1080" s="547">
        <f t="shared" si="194"/>
        <v>0</v>
      </c>
      <c r="U1080" s="546">
        <f t="shared" si="195"/>
        <v>0</v>
      </c>
      <c r="W1080" s="350">
        <f t="shared" si="190"/>
        <v>0</v>
      </c>
      <c r="X1080" s="285">
        <f t="shared" si="196"/>
        <v>0</v>
      </c>
    </row>
    <row r="1081" spans="1:24" ht="12" thickBot="1">
      <c r="A1081" s="596" t="s">
        <v>1500</v>
      </c>
      <c r="B1081" s="541" t="s">
        <v>393</v>
      </c>
      <c r="C1081" s="541" t="s">
        <v>1079</v>
      </c>
      <c r="D1081" s="552" t="s">
        <v>1140</v>
      </c>
      <c r="E1081" s="543"/>
      <c r="F1081" s="545"/>
      <c r="G1081" s="544"/>
      <c r="H1081" s="545"/>
      <c r="I1081" s="545"/>
      <c r="J1081" s="545"/>
      <c r="K1081" s="545"/>
      <c r="L1081" s="545"/>
      <c r="M1081" s="544"/>
      <c r="N1081" s="544"/>
      <c r="O1081" s="545"/>
      <c r="P1081" s="545"/>
      <c r="Q1081" s="544"/>
      <c r="R1081" s="544"/>
      <c r="S1081" s="546">
        <f t="shared" si="193"/>
        <v>0</v>
      </c>
      <c r="T1081" s="547">
        <f t="shared" si="194"/>
        <v>0</v>
      </c>
      <c r="U1081" s="546">
        <f t="shared" si="195"/>
        <v>0</v>
      </c>
      <c r="W1081" s="350">
        <f t="shared" si="190"/>
        <v>0</v>
      </c>
      <c r="X1081" s="285">
        <f t="shared" si="196"/>
        <v>0</v>
      </c>
    </row>
    <row r="1082" spans="1:24" ht="12" thickBot="1">
      <c r="A1082" s="596" t="s">
        <v>1500</v>
      </c>
      <c r="B1082" s="541" t="s">
        <v>371</v>
      </c>
      <c r="C1082" s="541" t="s">
        <v>1080</v>
      </c>
      <c r="D1082" s="552" t="s">
        <v>1139</v>
      </c>
      <c r="E1082" s="549"/>
      <c r="F1082" s="551"/>
      <c r="G1082" s="550"/>
      <c r="H1082" s="551"/>
      <c r="I1082" s="551"/>
      <c r="J1082" s="551"/>
      <c r="K1082" s="551"/>
      <c r="L1082" s="551"/>
      <c r="M1082" s="550"/>
      <c r="N1082" s="550"/>
      <c r="O1082" s="551"/>
      <c r="P1082" s="551"/>
      <c r="Q1082" s="550"/>
      <c r="R1082" s="550"/>
      <c r="S1082" s="546">
        <f t="shared" si="193"/>
        <v>0</v>
      </c>
      <c r="T1082" s="547">
        <f t="shared" si="194"/>
        <v>0</v>
      </c>
      <c r="U1082" s="546">
        <f t="shared" si="195"/>
        <v>0</v>
      </c>
      <c r="W1082" s="350">
        <f t="shared" si="190"/>
        <v>0</v>
      </c>
      <c r="X1082" s="285">
        <f t="shared" si="196"/>
        <v>0</v>
      </c>
    </row>
    <row r="1083" spans="1:24" ht="12" thickBot="1">
      <c r="A1083" s="596" t="s">
        <v>1500</v>
      </c>
      <c r="B1083" s="541" t="s">
        <v>394</v>
      </c>
      <c r="C1083" s="541" t="s">
        <v>1081</v>
      </c>
      <c r="D1083" s="552" t="s">
        <v>1139</v>
      </c>
      <c r="E1083" s="543"/>
      <c r="F1083" s="545"/>
      <c r="G1083" s="544"/>
      <c r="H1083" s="545"/>
      <c r="I1083" s="545"/>
      <c r="J1083" s="545"/>
      <c r="K1083" s="545"/>
      <c r="L1083" s="545"/>
      <c r="M1083" s="544"/>
      <c r="N1083" s="544"/>
      <c r="O1083" s="545"/>
      <c r="P1083" s="545"/>
      <c r="Q1083" s="544"/>
      <c r="R1083" s="544"/>
      <c r="S1083" s="546">
        <f t="shared" si="193"/>
        <v>0</v>
      </c>
      <c r="T1083" s="547">
        <f t="shared" si="194"/>
        <v>0</v>
      </c>
      <c r="U1083" s="546">
        <f t="shared" si="195"/>
        <v>0</v>
      </c>
      <c r="W1083" s="350">
        <f t="shared" si="190"/>
        <v>0</v>
      </c>
      <c r="X1083" s="285">
        <f t="shared" si="196"/>
        <v>0</v>
      </c>
    </row>
    <row r="1084" spans="1:24" ht="12" thickBot="1">
      <c r="A1084" s="596" t="s">
        <v>1500</v>
      </c>
      <c r="B1084" s="541" t="s">
        <v>389</v>
      </c>
      <c r="C1084" s="541" t="s">
        <v>1082</v>
      </c>
      <c r="D1084" s="552" t="s">
        <v>1139</v>
      </c>
      <c r="E1084" s="549"/>
      <c r="F1084" s="551"/>
      <c r="G1084" s="550"/>
      <c r="H1084" s="551"/>
      <c r="I1084" s="551"/>
      <c r="J1084" s="551"/>
      <c r="K1084" s="551"/>
      <c r="L1084" s="551"/>
      <c r="M1084" s="550"/>
      <c r="N1084" s="550"/>
      <c r="O1084" s="551"/>
      <c r="P1084" s="551"/>
      <c r="Q1084" s="550"/>
      <c r="R1084" s="550"/>
      <c r="S1084" s="546">
        <f t="shared" si="193"/>
        <v>0</v>
      </c>
      <c r="T1084" s="547">
        <f t="shared" si="194"/>
        <v>0</v>
      </c>
      <c r="U1084" s="546">
        <f t="shared" si="195"/>
        <v>0</v>
      </c>
      <c r="W1084" s="350">
        <f t="shared" si="190"/>
        <v>0</v>
      </c>
      <c r="X1084" s="285">
        <f t="shared" si="196"/>
        <v>0</v>
      </c>
    </row>
    <row r="1085" spans="1:24" ht="12" thickBot="1">
      <c r="A1085" s="596" t="s">
        <v>1500</v>
      </c>
      <c r="B1085" s="541" t="s">
        <v>310</v>
      </c>
      <c r="C1085" s="541" t="s">
        <v>1083</v>
      </c>
      <c r="D1085" s="552" t="s">
        <v>1140</v>
      </c>
      <c r="E1085" s="543"/>
      <c r="F1085" s="545"/>
      <c r="G1085" s="544"/>
      <c r="H1085" s="545"/>
      <c r="I1085" s="545"/>
      <c r="J1085" s="545"/>
      <c r="K1085" s="545"/>
      <c r="L1085" s="545"/>
      <c r="M1085" s="544"/>
      <c r="N1085" s="544"/>
      <c r="O1085" s="545"/>
      <c r="P1085" s="545"/>
      <c r="Q1085" s="544"/>
      <c r="R1085" s="544"/>
      <c r="S1085" s="546">
        <f t="shared" si="193"/>
        <v>0</v>
      </c>
      <c r="T1085" s="547">
        <f t="shared" si="194"/>
        <v>0</v>
      </c>
      <c r="U1085" s="546">
        <f t="shared" si="195"/>
        <v>0</v>
      </c>
      <c r="W1085" s="350">
        <f t="shared" si="190"/>
        <v>0</v>
      </c>
      <c r="X1085" s="285">
        <f t="shared" si="196"/>
        <v>0</v>
      </c>
    </row>
    <row r="1086" spans="1:24" ht="12" thickBot="1">
      <c r="A1086" s="596" t="s">
        <v>1500</v>
      </c>
      <c r="B1086" s="541" t="s">
        <v>340</v>
      </c>
      <c r="C1086" s="541" t="s">
        <v>1084</v>
      </c>
      <c r="D1086" s="552" t="s">
        <v>1140</v>
      </c>
      <c r="E1086" s="549"/>
      <c r="F1086" s="551"/>
      <c r="G1086" s="550"/>
      <c r="H1086" s="551"/>
      <c r="I1086" s="551"/>
      <c r="J1086" s="551"/>
      <c r="K1086" s="551"/>
      <c r="L1086" s="551"/>
      <c r="M1086" s="550"/>
      <c r="N1086" s="550"/>
      <c r="O1086" s="551"/>
      <c r="P1086" s="551"/>
      <c r="Q1086" s="550"/>
      <c r="R1086" s="550"/>
      <c r="S1086" s="546">
        <f t="shared" si="193"/>
        <v>0</v>
      </c>
      <c r="T1086" s="547">
        <f t="shared" si="194"/>
        <v>0</v>
      </c>
      <c r="U1086" s="546">
        <f t="shared" si="195"/>
        <v>0</v>
      </c>
      <c r="W1086" s="350">
        <f t="shared" si="190"/>
        <v>0</v>
      </c>
      <c r="X1086" s="285">
        <f t="shared" si="196"/>
        <v>0</v>
      </c>
    </row>
    <row r="1087" spans="1:24" ht="12" thickBot="1">
      <c r="A1087" s="596" t="s">
        <v>1500</v>
      </c>
      <c r="B1087" s="541" t="s">
        <v>358</v>
      </c>
      <c r="C1087" s="541" t="s">
        <v>1085</v>
      </c>
      <c r="D1087" s="552" t="s">
        <v>1140</v>
      </c>
      <c r="E1087" s="543"/>
      <c r="F1087" s="545"/>
      <c r="G1087" s="544"/>
      <c r="H1087" s="545"/>
      <c r="I1087" s="545"/>
      <c r="J1087" s="545"/>
      <c r="K1087" s="545"/>
      <c r="L1087" s="545"/>
      <c r="M1087" s="544"/>
      <c r="N1087" s="544"/>
      <c r="O1087" s="545"/>
      <c r="P1087" s="545"/>
      <c r="Q1087" s="544"/>
      <c r="R1087" s="544"/>
      <c r="S1087" s="546">
        <f t="shared" si="193"/>
        <v>0</v>
      </c>
      <c r="T1087" s="547">
        <f t="shared" si="194"/>
        <v>0</v>
      </c>
      <c r="U1087" s="546">
        <f t="shared" si="195"/>
        <v>0</v>
      </c>
      <c r="W1087" s="350">
        <f t="shared" si="190"/>
        <v>0</v>
      </c>
      <c r="X1087" s="285">
        <f t="shared" si="196"/>
        <v>0</v>
      </c>
    </row>
    <row r="1088" spans="1:24" ht="12" thickBot="1">
      <c r="A1088" s="596" t="s">
        <v>1500</v>
      </c>
      <c r="B1088" s="541" t="s">
        <v>383</v>
      </c>
      <c r="C1088" s="541" t="s">
        <v>1086</v>
      </c>
      <c r="D1088" s="552" t="s">
        <v>1140</v>
      </c>
      <c r="E1088" s="549"/>
      <c r="F1088" s="551"/>
      <c r="G1088" s="550"/>
      <c r="H1088" s="551"/>
      <c r="I1088" s="551"/>
      <c r="J1088" s="551"/>
      <c r="K1088" s="551"/>
      <c r="L1088" s="551"/>
      <c r="M1088" s="550"/>
      <c r="N1088" s="550"/>
      <c r="O1088" s="551"/>
      <c r="P1088" s="551"/>
      <c r="Q1088" s="550"/>
      <c r="R1088" s="550"/>
      <c r="S1088" s="546">
        <f t="shared" si="193"/>
        <v>0</v>
      </c>
      <c r="T1088" s="547">
        <f t="shared" si="194"/>
        <v>0</v>
      </c>
      <c r="U1088" s="546">
        <f t="shared" si="195"/>
        <v>0</v>
      </c>
      <c r="W1088" s="350">
        <f t="shared" si="190"/>
        <v>0</v>
      </c>
      <c r="X1088" s="285">
        <f t="shared" si="196"/>
        <v>0</v>
      </c>
    </row>
    <row r="1089" spans="1:24" ht="12" thickBot="1">
      <c r="A1089" s="596" t="s">
        <v>1500</v>
      </c>
      <c r="B1089" s="541" t="s">
        <v>375</v>
      </c>
      <c r="C1089" s="541" t="s">
        <v>1087</v>
      </c>
      <c r="D1089" s="552" t="s">
        <v>1140</v>
      </c>
      <c r="E1089" s="543"/>
      <c r="F1089" s="545"/>
      <c r="G1089" s="544"/>
      <c r="H1089" s="545"/>
      <c r="I1089" s="545"/>
      <c r="J1089" s="545"/>
      <c r="K1089" s="545"/>
      <c r="L1089" s="545"/>
      <c r="M1089" s="544"/>
      <c r="N1089" s="544"/>
      <c r="O1089" s="545"/>
      <c r="P1089" s="545"/>
      <c r="Q1089" s="544"/>
      <c r="R1089" s="544"/>
      <c r="S1089" s="546">
        <f t="shared" si="193"/>
        <v>0</v>
      </c>
      <c r="T1089" s="547">
        <f t="shared" si="194"/>
        <v>0</v>
      </c>
      <c r="U1089" s="546">
        <f t="shared" si="195"/>
        <v>0</v>
      </c>
      <c r="W1089" s="350">
        <f t="shared" si="190"/>
        <v>0</v>
      </c>
      <c r="X1089" s="285">
        <f t="shared" si="196"/>
        <v>0</v>
      </c>
    </row>
    <row r="1090" spans="1:24" ht="12" thickBot="1">
      <c r="A1090" s="596" t="s">
        <v>1500</v>
      </c>
      <c r="B1090" s="541" t="s">
        <v>400</v>
      </c>
      <c r="C1090" s="541" t="s">
        <v>1088</v>
      </c>
      <c r="D1090" s="552" t="s">
        <v>1139</v>
      </c>
      <c r="E1090" s="549"/>
      <c r="F1090" s="551"/>
      <c r="G1090" s="550"/>
      <c r="H1090" s="551"/>
      <c r="I1090" s="551"/>
      <c r="J1090" s="551"/>
      <c r="K1090" s="551"/>
      <c r="L1090" s="551"/>
      <c r="M1090" s="550"/>
      <c r="N1090" s="550"/>
      <c r="O1090" s="551"/>
      <c r="P1090" s="551"/>
      <c r="Q1090" s="550"/>
      <c r="R1090" s="550"/>
      <c r="S1090" s="546">
        <f t="shared" si="193"/>
        <v>0</v>
      </c>
      <c r="T1090" s="547">
        <f t="shared" si="194"/>
        <v>0</v>
      </c>
      <c r="U1090" s="546">
        <f t="shared" si="195"/>
        <v>0</v>
      </c>
      <c r="W1090" s="350">
        <f t="shared" si="190"/>
        <v>0</v>
      </c>
      <c r="X1090" s="285">
        <f t="shared" si="196"/>
        <v>0</v>
      </c>
    </row>
    <row r="1091" spans="1:24" ht="12" thickBot="1">
      <c r="A1091" s="596" t="s">
        <v>1500</v>
      </c>
      <c r="B1091" s="541" t="s">
        <v>391</v>
      </c>
      <c r="C1091" s="541" t="s">
        <v>1089</v>
      </c>
      <c r="D1091" s="552" t="s">
        <v>1139</v>
      </c>
      <c r="E1091" s="543"/>
      <c r="F1091" s="545"/>
      <c r="G1091" s="544"/>
      <c r="H1091" s="545"/>
      <c r="I1091" s="545"/>
      <c r="J1091" s="545"/>
      <c r="K1091" s="545"/>
      <c r="L1091" s="545"/>
      <c r="M1091" s="544"/>
      <c r="N1091" s="544"/>
      <c r="O1091" s="545"/>
      <c r="P1091" s="545"/>
      <c r="Q1091" s="544"/>
      <c r="R1091" s="544"/>
      <c r="S1091" s="546">
        <f t="shared" si="193"/>
        <v>0</v>
      </c>
      <c r="T1091" s="547">
        <f t="shared" si="194"/>
        <v>0</v>
      </c>
      <c r="U1091" s="546">
        <f t="shared" si="195"/>
        <v>0</v>
      </c>
      <c r="W1091" s="350">
        <f t="shared" si="190"/>
        <v>0</v>
      </c>
      <c r="X1091" s="285">
        <f t="shared" si="196"/>
        <v>0</v>
      </c>
    </row>
    <row r="1092" spans="1:24" ht="12" thickBot="1">
      <c r="A1092" s="596" t="s">
        <v>1500</v>
      </c>
      <c r="B1092" s="541" t="s">
        <v>357</v>
      </c>
      <c r="C1092" s="541" t="s">
        <v>1090</v>
      </c>
      <c r="D1092" s="552" t="s">
        <v>1140</v>
      </c>
      <c r="E1092" s="549"/>
      <c r="F1092" s="551"/>
      <c r="G1092" s="550"/>
      <c r="H1092" s="551"/>
      <c r="I1092" s="551"/>
      <c r="J1092" s="551"/>
      <c r="K1092" s="551"/>
      <c r="L1092" s="551"/>
      <c r="M1092" s="550"/>
      <c r="N1092" s="550"/>
      <c r="O1092" s="551"/>
      <c r="P1092" s="551"/>
      <c r="Q1092" s="550"/>
      <c r="R1092" s="550"/>
      <c r="S1092" s="546">
        <f t="shared" si="193"/>
        <v>0</v>
      </c>
      <c r="T1092" s="547">
        <f t="shared" si="194"/>
        <v>0</v>
      </c>
      <c r="U1092" s="546">
        <f t="shared" si="195"/>
        <v>0</v>
      </c>
      <c r="W1092" s="350">
        <f t="shared" si="190"/>
        <v>0</v>
      </c>
      <c r="X1092" s="285">
        <f t="shared" si="196"/>
        <v>0</v>
      </c>
    </row>
    <row r="1093" spans="1:24" ht="12" thickBot="1">
      <c r="A1093" s="596" t="s">
        <v>1500</v>
      </c>
      <c r="B1093" s="541" t="s">
        <v>359</v>
      </c>
      <c r="C1093" s="541" t="s">
        <v>1091</v>
      </c>
      <c r="D1093" s="552" t="s">
        <v>1140</v>
      </c>
      <c r="E1093" s="543"/>
      <c r="F1093" s="545"/>
      <c r="G1093" s="544"/>
      <c r="H1093" s="545"/>
      <c r="I1093" s="545"/>
      <c r="J1093" s="545"/>
      <c r="K1093" s="545"/>
      <c r="L1093" s="545"/>
      <c r="M1093" s="544"/>
      <c r="N1093" s="544"/>
      <c r="O1093" s="545"/>
      <c r="P1093" s="545"/>
      <c r="Q1093" s="544"/>
      <c r="R1093" s="544"/>
      <c r="S1093" s="546">
        <f t="shared" si="193"/>
        <v>0</v>
      </c>
      <c r="T1093" s="547">
        <f t="shared" si="194"/>
        <v>0</v>
      </c>
      <c r="U1093" s="546">
        <f t="shared" si="195"/>
        <v>0</v>
      </c>
      <c r="W1093" s="350">
        <f t="shared" si="190"/>
        <v>0</v>
      </c>
      <c r="X1093" s="285">
        <f t="shared" si="196"/>
        <v>0</v>
      </c>
    </row>
    <row r="1094" spans="1:24" ht="12" thickBot="1">
      <c r="A1094" s="596" t="s">
        <v>1500</v>
      </c>
      <c r="B1094" s="541" t="s">
        <v>385</v>
      </c>
      <c r="C1094" s="541" t="s">
        <v>1092</v>
      </c>
      <c r="D1094" s="552" t="s">
        <v>1140</v>
      </c>
      <c r="E1094" s="549"/>
      <c r="F1094" s="551"/>
      <c r="G1094" s="550"/>
      <c r="H1094" s="551"/>
      <c r="I1094" s="551"/>
      <c r="J1094" s="551"/>
      <c r="K1094" s="551"/>
      <c r="L1094" s="551"/>
      <c r="M1094" s="550"/>
      <c r="N1094" s="550"/>
      <c r="O1094" s="551"/>
      <c r="P1094" s="551"/>
      <c r="Q1094" s="550"/>
      <c r="R1094" s="550"/>
      <c r="S1094" s="546">
        <f t="shared" si="193"/>
        <v>0</v>
      </c>
      <c r="T1094" s="547">
        <f t="shared" si="194"/>
        <v>0</v>
      </c>
      <c r="U1094" s="546">
        <f t="shared" si="195"/>
        <v>0</v>
      </c>
      <c r="W1094" s="350">
        <f t="shared" si="190"/>
        <v>0</v>
      </c>
      <c r="X1094" s="285">
        <f t="shared" si="196"/>
        <v>0</v>
      </c>
    </row>
    <row r="1095" spans="1:24" ht="12" thickBot="1">
      <c r="A1095" s="596" t="s">
        <v>1500</v>
      </c>
      <c r="B1095" s="541" t="s">
        <v>312</v>
      </c>
      <c r="C1095" s="541" t="s">
        <v>1093</v>
      </c>
      <c r="D1095" s="552" t="s">
        <v>1140</v>
      </c>
      <c r="E1095" s="543"/>
      <c r="F1095" s="545"/>
      <c r="G1095" s="544"/>
      <c r="H1095" s="545"/>
      <c r="I1095" s="545"/>
      <c r="J1095" s="545"/>
      <c r="K1095" s="545"/>
      <c r="L1095" s="545"/>
      <c r="M1095" s="544"/>
      <c r="N1095" s="544"/>
      <c r="O1095" s="545"/>
      <c r="P1095" s="545"/>
      <c r="Q1095" s="544"/>
      <c r="R1095" s="544"/>
      <c r="S1095" s="546">
        <f t="shared" si="193"/>
        <v>0</v>
      </c>
      <c r="T1095" s="547">
        <f t="shared" si="194"/>
        <v>0</v>
      </c>
      <c r="U1095" s="546">
        <f t="shared" si="195"/>
        <v>0</v>
      </c>
      <c r="W1095" s="350">
        <f t="shared" si="190"/>
        <v>0</v>
      </c>
      <c r="X1095" s="285">
        <f t="shared" si="196"/>
        <v>0</v>
      </c>
    </row>
    <row r="1096" spans="1:24" ht="12" thickBot="1">
      <c r="A1096" s="596" t="s">
        <v>1500</v>
      </c>
      <c r="B1096" s="541" t="s">
        <v>421</v>
      </c>
      <c r="C1096" s="541" t="s">
        <v>1094</v>
      </c>
      <c r="D1096" s="552" t="s">
        <v>1140</v>
      </c>
      <c r="E1096" s="549"/>
      <c r="F1096" s="551"/>
      <c r="G1096" s="550"/>
      <c r="H1096" s="551"/>
      <c r="I1096" s="551"/>
      <c r="J1096" s="551"/>
      <c r="K1096" s="551"/>
      <c r="L1096" s="551"/>
      <c r="M1096" s="550"/>
      <c r="N1096" s="550"/>
      <c r="O1096" s="551"/>
      <c r="P1096" s="551"/>
      <c r="Q1096" s="550"/>
      <c r="R1096" s="550"/>
      <c r="S1096" s="546">
        <f t="shared" si="193"/>
        <v>0</v>
      </c>
      <c r="T1096" s="547">
        <f t="shared" si="194"/>
        <v>0</v>
      </c>
      <c r="U1096" s="546">
        <f t="shared" si="195"/>
        <v>0</v>
      </c>
      <c r="W1096" s="350">
        <f t="shared" si="190"/>
        <v>0</v>
      </c>
      <c r="X1096" s="285">
        <f t="shared" si="196"/>
        <v>0</v>
      </c>
    </row>
    <row r="1097" spans="1:24" ht="12" thickBot="1">
      <c r="A1097" s="596" t="s">
        <v>1500</v>
      </c>
      <c r="B1097" s="541" t="s">
        <v>322</v>
      </c>
      <c r="C1097" s="541" t="s">
        <v>1095</v>
      </c>
      <c r="D1097" s="552" t="s">
        <v>1139</v>
      </c>
      <c r="E1097" s="543"/>
      <c r="F1097" s="545"/>
      <c r="G1097" s="544"/>
      <c r="H1097" s="545"/>
      <c r="I1097" s="545"/>
      <c r="J1097" s="545"/>
      <c r="K1097" s="545"/>
      <c r="L1097" s="545"/>
      <c r="M1097" s="544"/>
      <c r="N1097" s="544"/>
      <c r="O1097" s="545"/>
      <c r="P1097" s="545"/>
      <c r="Q1097" s="544"/>
      <c r="R1097" s="544"/>
      <c r="S1097" s="546">
        <f t="shared" si="193"/>
        <v>0</v>
      </c>
      <c r="T1097" s="547">
        <f t="shared" si="194"/>
        <v>0</v>
      </c>
      <c r="U1097" s="546">
        <f t="shared" si="195"/>
        <v>0</v>
      </c>
      <c r="W1097" s="350">
        <f t="shared" ref="W1097:W1157" si="197">SUM(F1097:Q1097)</f>
        <v>0</v>
      </c>
      <c r="X1097" s="285">
        <f t="shared" si="196"/>
        <v>0</v>
      </c>
    </row>
    <row r="1098" spans="1:24" ht="12" thickBot="1">
      <c r="A1098" s="596" t="s">
        <v>1500</v>
      </c>
      <c r="B1098" s="541" t="s">
        <v>354</v>
      </c>
      <c r="C1098" s="541" t="s">
        <v>1096</v>
      </c>
      <c r="D1098" s="552" t="s">
        <v>1139</v>
      </c>
      <c r="E1098" s="549"/>
      <c r="F1098" s="551"/>
      <c r="G1098" s="550"/>
      <c r="H1098" s="551"/>
      <c r="I1098" s="551"/>
      <c r="J1098" s="551"/>
      <c r="K1098" s="551"/>
      <c r="L1098" s="551"/>
      <c r="M1098" s="550"/>
      <c r="N1098" s="550"/>
      <c r="O1098" s="551"/>
      <c r="P1098" s="551"/>
      <c r="Q1098" s="550"/>
      <c r="R1098" s="550"/>
      <c r="S1098" s="546">
        <f t="shared" si="193"/>
        <v>0</v>
      </c>
      <c r="T1098" s="547">
        <f t="shared" si="194"/>
        <v>0</v>
      </c>
      <c r="U1098" s="546">
        <f t="shared" si="195"/>
        <v>0</v>
      </c>
      <c r="W1098" s="350">
        <f t="shared" si="197"/>
        <v>0</v>
      </c>
      <c r="X1098" s="285">
        <f t="shared" si="196"/>
        <v>0</v>
      </c>
    </row>
    <row r="1099" spans="1:24" ht="12" thickBot="1">
      <c r="A1099" s="596" t="s">
        <v>1500</v>
      </c>
      <c r="B1099" s="541" t="s">
        <v>317</v>
      </c>
      <c r="C1099" s="541" t="s">
        <v>1097</v>
      </c>
      <c r="D1099" s="552" t="s">
        <v>1139</v>
      </c>
      <c r="E1099" s="543"/>
      <c r="F1099" s="545"/>
      <c r="G1099" s="544"/>
      <c r="H1099" s="545"/>
      <c r="I1099" s="545"/>
      <c r="J1099" s="545"/>
      <c r="K1099" s="545"/>
      <c r="L1099" s="545"/>
      <c r="M1099" s="544"/>
      <c r="N1099" s="544"/>
      <c r="O1099" s="545"/>
      <c r="P1099" s="545"/>
      <c r="Q1099" s="544"/>
      <c r="R1099" s="544"/>
      <c r="S1099" s="546">
        <f t="shared" si="193"/>
        <v>0</v>
      </c>
      <c r="T1099" s="547">
        <f t="shared" si="194"/>
        <v>0</v>
      </c>
      <c r="U1099" s="546">
        <f t="shared" si="195"/>
        <v>0</v>
      </c>
      <c r="W1099" s="350">
        <f t="shared" si="197"/>
        <v>0</v>
      </c>
      <c r="X1099" s="285">
        <f t="shared" si="196"/>
        <v>0</v>
      </c>
    </row>
    <row r="1100" spans="1:24" ht="12" thickBot="1">
      <c r="A1100" s="596" t="s">
        <v>1500</v>
      </c>
      <c r="B1100" s="541" t="s">
        <v>320</v>
      </c>
      <c r="C1100" s="541" t="s">
        <v>1098</v>
      </c>
      <c r="D1100" s="552" t="s">
        <v>1140</v>
      </c>
      <c r="E1100" s="549"/>
      <c r="F1100" s="551"/>
      <c r="G1100" s="550"/>
      <c r="H1100" s="551"/>
      <c r="I1100" s="551"/>
      <c r="J1100" s="551"/>
      <c r="K1100" s="551"/>
      <c r="L1100" s="551"/>
      <c r="M1100" s="550"/>
      <c r="N1100" s="550"/>
      <c r="O1100" s="551"/>
      <c r="P1100" s="551"/>
      <c r="Q1100" s="550"/>
      <c r="R1100" s="550"/>
      <c r="S1100" s="546">
        <f t="shared" si="193"/>
        <v>0</v>
      </c>
      <c r="T1100" s="547">
        <f t="shared" si="194"/>
        <v>0</v>
      </c>
      <c r="U1100" s="546">
        <f t="shared" si="195"/>
        <v>0</v>
      </c>
      <c r="W1100" s="350">
        <f t="shared" si="197"/>
        <v>0</v>
      </c>
      <c r="X1100" s="285">
        <f t="shared" si="196"/>
        <v>0</v>
      </c>
    </row>
    <row r="1101" spans="1:24" ht="12" thickBot="1">
      <c r="A1101" s="596" t="s">
        <v>1500</v>
      </c>
      <c r="B1101" s="541" t="s">
        <v>352</v>
      </c>
      <c r="C1101" s="541" t="s">
        <v>1099</v>
      </c>
      <c r="D1101" s="552" t="s">
        <v>1140</v>
      </c>
      <c r="E1101" s="543"/>
      <c r="F1101" s="545"/>
      <c r="G1101" s="544"/>
      <c r="H1101" s="545"/>
      <c r="I1101" s="545"/>
      <c r="J1101" s="545"/>
      <c r="K1101" s="545"/>
      <c r="L1101" s="545"/>
      <c r="M1101" s="544"/>
      <c r="N1101" s="544"/>
      <c r="O1101" s="545"/>
      <c r="P1101" s="545"/>
      <c r="Q1101" s="544"/>
      <c r="R1101" s="544"/>
      <c r="S1101" s="546">
        <f t="shared" si="193"/>
        <v>0</v>
      </c>
      <c r="T1101" s="547">
        <f t="shared" si="194"/>
        <v>0</v>
      </c>
      <c r="U1101" s="546">
        <f t="shared" si="195"/>
        <v>0</v>
      </c>
      <c r="W1101" s="350">
        <f t="shared" si="197"/>
        <v>0</v>
      </c>
      <c r="X1101" s="285">
        <f t="shared" si="196"/>
        <v>0</v>
      </c>
    </row>
    <row r="1102" spans="1:24" ht="12" thickBot="1">
      <c r="A1102" s="596" t="s">
        <v>1500</v>
      </c>
      <c r="B1102" s="541" t="s">
        <v>384</v>
      </c>
      <c r="C1102" s="541" t="s">
        <v>1100</v>
      </c>
      <c r="D1102" s="552" t="s">
        <v>1140</v>
      </c>
      <c r="E1102" s="549"/>
      <c r="F1102" s="551"/>
      <c r="G1102" s="550"/>
      <c r="H1102" s="551"/>
      <c r="I1102" s="551"/>
      <c r="J1102" s="551"/>
      <c r="K1102" s="551"/>
      <c r="L1102" s="551"/>
      <c r="M1102" s="550"/>
      <c r="N1102" s="550"/>
      <c r="O1102" s="551"/>
      <c r="P1102" s="551"/>
      <c r="Q1102" s="550"/>
      <c r="R1102" s="550"/>
      <c r="S1102" s="546">
        <f t="shared" si="193"/>
        <v>0</v>
      </c>
      <c r="T1102" s="547">
        <f t="shared" si="194"/>
        <v>0</v>
      </c>
      <c r="U1102" s="546">
        <f t="shared" si="195"/>
        <v>0</v>
      </c>
      <c r="W1102" s="350">
        <f t="shared" si="197"/>
        <v>0</v>
      </c>
      <c r="X1102" s="285">
        <f t="shared" si="196"/>
        <v>0</v>
      </c>
    </row>
    <row r="1103" spans="1:24" ht="12" thickBot="1">
      <c r="A1103" s="596" t="s">
        <v>1500</v>
      </c>
      <c r="B1103" s="541" t="s">
        <v>311</v>
      </c>
      <c r="C1103" s="541" t="s">
        <v>1101</v>
      </c>
      <c r="D1103" s="552" t="s">
        <v>1140</v>
      </c>
      <c r="E1103" s="543"/>
      <c r="F1103" s="545"/>
      <c r="G1103" s="544"/>
      <c r="H1103" s="545"/>
      <c r="I1103" s="545"/>
      <c r="J1103" s="545"/>
      <c r="K1103" s="545"/>
      <c r="L1103" s="545"/>
      <c r="M1103" s="544"/>
      <c r="N1103" s="544"/>
      <c r="O1103" s="545"/>
      <c r="P1103" s="545"/>
      <c r="Q1103" s="544"/>
      <c r="R1103" s="544"/>
      <c r="S1103" s="546">
        <f t="shared" si="193"/>
        <v>0</v>
      </c>
      <c r="T1103" s="547">
        <f t="shared" si="194"/>
        <v>0</v>
      </c>
      <c r="U1103" s="546">
        <f t="shared" si="195"/>
        <v>0</v>
      </c>
      <c r="W1103" s="350">
        <f t="shared" si="197"/>
        <v>0</v>
      </c>
      <c r="X1103" s="285">
        <f t="shared" si="196"/>
        <v>0</v>
      </c>
    </row>
    <row r="1104" spans="1:24" ht="12" thickBot="1">
      <c r="A1104" s="596" t="s">
        <v>1500</v>
      </c>
      <c r="B1104" s="541" t="s">
        <v>341</v>
      </c>
      <c r="C1104" s="541" t="s">
        <v>1102</v>
      </c>
      <c r="D1104" s="552" t="s">
        <v>1140</v>
      </c>
      <c r="E1104" s="549"/>
      <c r="F1104" s="551"/>
      <c r="G1104" s="550"/>
      <c r="H1104" s="551"/>
      <c r="I1104" s="551"/>
      <c r="J1104" s="551"/>
      <c r="K1104" s="551"/>
      <c r="L1104" s="551"/>
      <c r="M1104" s="550"/>
      <c r="N1104" s="550"/>
      <c r="O1104" s="551"/>
      <c r="P1104" s="551"/>
      <c r="Q1104" s="550"/>
      <c r="R1104" s="550"/>
      <c r="S1104" s="546">
        <f t="shared" si="193"/>
        <v>0</v>
      </c>
      <c r="T1104" s="547">
        <f t="shared" si="194"/>
        <v>0</v>
      </c>
      <c r="U1104" s="546">
        <f t="shared" si="195"/>
        <v>0</v>
      </c>
      <c r="W1104" s="350">
        <f t="shared" si="197"/>
        <v>0</v>
      </c>
      <c r="X1104" s="285">
        <f t="shared" si="196"/>
        <v>0</v>
      </c>
    </row>
    <row r="1105" spans="1:24" ht="12" thickBot="1">
      <c r="A1105" s="596" t="s">
        <v>1500</v>
      </c>
      <c r="B1105" s="541" t="s">
        <v>315</v>
      </c>
      <c r="C1105" s="541" t="s">
        <v>1103</v>
      </c>
      <c r="D1105" s="552" t="s">
        <v>1140</v>
      </c>
      <c r="E1105" s="543"/>
      <c r="F1105" s="545"/>
      <c r="G1105" s="544"/>
      <c r="H1105" s="545"/>
      <c r="I1105" s="545"/>
      <c r="J1105" s="545"/>
      <c r="K1105" s="545"/>
      <c r="L1105" s="545"/>
      <c r="M1105" s="544"/>
      <c r="N1105" s="544"/>
      <c r="O1105" s="545"/>
      <c r="P1105" s="545"/>
      <c r="Q1105" s="544"/>
      <c r="R1105" s="544"/>
      <c r="S1105" s="546">
        <f t="shared" si="193"/>
        <v>0</v>
      </c>
      <c r="T1105" s="547">
        <f t="shared" si="194"/>
        <v>0</v>
      </c>
      <c r="U1105" s="546">
        <f t="shared" si="195"/>
        <v>0</v>
      </c>
      <c r="W1105" s="350">
        <f t="shared" si="197"/>
        <v>0</v>
      </c>
      <c r="X1105" s="285">
        <f t="shared" si="196"/>
        <v>0</v>
      </c>
    </row>
    <row r="1106" spans="1:24" ht="12" thickBot="1">
      <c r="A1106" s="596" t="s">
        <v>1500</v>
      </c>
      <c r="B1106" s="541" t="s">
        <v>319</v>
      </c>
      <c r="C1106" s="541" t="s">
        <v>1104</v>
      </c>
      <c r="D1106" s="552" t="s">
        <v>1140</v>
      </c>
      <c r="E1106" s="549"/>
      <c r="F1106" s="551"/>
      <c r="G1106" s="550"/>
      <c r="H1106" s="551"/>
      <c r="I1106" s="551"/>
      <c r="J1106" s="551"/>
      <c r="K1106" s="551"/>
      <c r="L1106" s="551"/>
      <c r="M1106" s="550"/>
      <c r="N1106" s="550"/>
      <c r="O1106" s="551"/>
      <c r="P1106" s="551"/>
      <c r="Q1106" s="550"/>
      <c r="R1106" s="550"/>
      <c r="S1106" s="546">
        <f t="shared" si="193"/>
        <v>0</v>
      </c>
      <c r="T1106" s="547">
        <f t="shared" si="194"/>
        <v>0</v>
      </c>
      <c r="U1106" s="546">
        <f t="shared" si="195"/>
        <v>0</v>
      </c>
      <c r="W1106" s="350">
        <f t="shared" si="197"/>
        <v>0</v>
      </c>
      <c r="X1106" s="285">
        <f t="shared" si="196"/>
        <v>0</v>
      </c>
    </row>
    <row r="1107" spans="1:24" ht="12" thickBot="1">
      <c r="A1107" s="596" t="s">
        <v>1500</v>
      </c>
      <c r="B1107" s="541" t="s">
        <v>356</v>
      </c>
      <c r="C1107" s="541" t="s">
        <v>1105</v>
      </c>
      <c r="D1107" s="552" t="s">
        <v>1140</v>
      </c>
      <c r="E1107" s="543"/>
      <c r="F1107" s="545"/>
      <c r="G1107" s="544"/>
      <c r="H1107" s="545"/>
      <c r="I1107" s="545"/>
      <c r="J1107" s="545"/>
      <c r="K1107" s="545"/>
      <c r="L1107" s="545"/>
      <c r="M1107" s="544"/>
      <c r="N1107" s="544"/>
      <c r="O1107" s="545"/>
      <c r="P1107" s="545"/>
      <c r="Q1107" s="544"/>
      <c r="R1107" s="544"/>
      <c r="S1107" s="546">
        <f t="shared" si="193"/>
        <v>0</v>
      </c>
      <c r="T1107" s="547">
        <f t="shared" si="194"/>
        <v>0</v>
      </c>
      <c r="U1107" s="546">
        <f t="shared" si="195"/>
        <v>0</v>
      </c>
      <c r="W1107" s="350">
        <f t="shared" si="197"/>
        <v>0</v>
      </c>
      <c r="X1107" s="285">
        <f t="shared" si="196"/>
        <v>0</v>
      </c>
    </row>
    <row r="1108" spans="1:24" ht="12" thickBot="1">
      <c r="A1108" s="596" t="s">
        <v>1500</v>
      </c>
      <c r="B1108" s="541" t="s">
        <v>365</v>
      </c>
      <c r="C1108" s="541" t="s">
        <v>1106</v>
      </c>
      <c r="D1108" s="552" t="s">
        <v>1139</v>
      </c>
      <c r="E1108" s="549"/>
      <c r="F1108" s="551"/>
      <c r="G1108" s="550"/>
      <c r="H1108" s="551"/>
      <c r="I1108" s="551"/>
      <c r="J1108" s="551"/>
      <c r="K1108" s="551"/>
      <c r="L1108" s="551"/>
      <c r="M1108" s="550"/>
      <c r="N1108" s="550"/>
      <c r="O1108" s="551"/>
      <c r="P1108" s="551"/>
      <c r="Q1108" s="550"/>
      <c r="R1108" s="550"/>
      <c r="S1108" s="546">
        <f t="shared" si="193"/>
        <v>0</v>
      </c>
      <c r="T1108" s="547">
        <f t="shared" si="194"/>
        <v>0</v>
      </c>
      <c r="U1108" s="546">
        <f t="shared" si="195"/>
        <v>0</v>
      </c>
      <c r="W1108" s="350">
        <f t="shared" si="197"/>
        <v>0</v>
      </c>
      <c r="X1108" s="285">
        <f t="shared" si="196"/>
        <v>0</v>
      </c>
    </row>
    <row r="1109" spans="1:24" ht="12" thickBot="1">
      <c r="A1109" s="596" t="s">
        <v>1500</v>
      </c>
      <c r="B1109" s="541" t="s">
        <v>388</v>
      </c>
      <c r="C1109" s="541" t="s">
        <v>1107</v>
      </c>
      <c r="D1109" s="552" t="s">
        <v>1139</v>
      </c>
      <c r="E1109" s="543"/>
      <c r="F1109" s="545"/>
      <c r="G1109" s="544"/>
      <c r="H1109" s="545"/>
      <c r="I1109" s="545"/>
      <c r="J1109" s="545"/>
      <c r="K1109" s="545"/>
      <c r="L1109" s="545"/>
      <c r="M1109" s="544"/>
      <c r="N1109" s="544"/>
      <c r="O1109" s="545"/>
      <c r="P1109" s="545"/>
      <c r="Q1109" s="544"/>
      <c r="R1109" s="544"/>
      <c r="S1109" s="546">
        <f t="shared" si="193"/>
        <v>0</v>
      </c>
      <c r="T1109" s="547">
        <f t="shared" si="194"/>
        <v>0</v>
      </c>
      <c r="U1109" s="546">
        <f t="shared" si="195"/>
        <v>0</v>
      </c>
      <c r="W1109" s="350">
        <f t="shared" si="197"/>
        <v>0</v>
      </c>
      <c r="X1109" s="285">
        <f t="shared" si="196"/>
        <v>0</v>
      </c>
    </row>
    <row r="1110" spans="1:24" ht="12" thickBot="1">
      <c r="A1110" s="596" t="s">
        <v>1500</v>
      </c>
      <c r="B1110" s="541" t="s">
        <v>345</v>
      </c>
      <c r="C1110" s="541" t="s">
        <v>1108</v>
      </c>
      <c r="D1110" s="552" t="s">
        <v>1139</v>
      </c>
      <c r="E1110" s="549"/>
      <c r="F1110" s="551"/>
      <c r="G1110" s="550"/>
      <c r="H1110" s="551"/>
      <c r="I1110" s="551"/>
      <c r="J1110" s="551"/>
      <c r="K1110" s="551"/>
      <c r="L1110" s="551"/>
      <c r="M1110" s="550"/>
      <c r="N1110" s="550"/>
      <c r="O1110" s="551"/>
      <c r="P1110" s="551"/>
      <c r="Q1110" s="550"/>
      <c r="R1110" s="550"/>
      <c r="S1110" s="546">
        <f t="shared" si="193"/>
        <v>0</v>
      </c>
      <c r="T1110" s="547">
        <f t="shared" si="194"/>
        <v>0</v>
      </c>
      <c r="U1110" s="546">
        <f t="shared" si="195"/>
        <v>0</v>
      </c>
      <c r="W1110" s="350">
        <f t="shared" si="197"/>
        <v>0</v>
      </c>
      <c r="X1110" s="285">
        <f t="shared" si="196"/>
        <v>0</v>
      </c>
    </row>
    <row r="1111" spans="1:24" ht="12" thickBot="1">
      <c r="A1111" s="596" t="s">
        <v>1500</v>
      </c>
      <c r="B1111" s="541" t="s">
        <v>377</v>
      </c>
      <c r="C1111" s="541" t="s">
        <v>1109</v>
      </c>
      <c r="D1111" s="552" t="s">
        <v>1139</v>
      </c>
      <c r="E1111" s="543"/>
      <c r="F1111" s="545"/>
      <c r="G1111" s="544"/>
      <c r="H1111" s="545"/>
      <c r="I1111" s="545"/>
      <c r="J1111" s="545"/>
      <c r="K1111" s="545"/>
      <c r="L1111" s="545"/>
      <c r="M1111" s="544"/>
      <c r="N1111" s="544"/>
      <c r="O1111" s="545"/>
      <c r="P1111" s="545"/>
      <c r="Q1111" s="544"/>
      <c r="R1111" s="544"/>
      <c r="S1111" s="546">
        <f t="shared" si="193"/>
        <v>0</v>
      </c>
      <c r="T1111" s="547">
        <f t="shared" si="194"/>
        <v>0</v>
      </c>
      <c r="U1111" s="546">
        <f t="shared" si="195"/>
        <v>0</v>
      </c>
      <c r="W1111" s="350">
        <f t="shared" si="197"/>
        <v>0</v>
      </c>
      <c r="X1111" s="285">
        <f t="shared" si="196"/>
        <v>0</v>
      </c>
    </row>
    <row r="1112" spans="1:24" ht="12" thickBot="1">
      <c r="A1112" s="596" t="s">
        <v>1500</v>
      </c>
      <c r="B1112" s="541" t="s">
        <v>1395</v>
      </c>
      <c r="C1112" s="541" t="s">
        <v>1396</v>
      </c>
      <c r="D1112" s="552" t="s">
        <v>1139</v>
      </c>
      <c r="E1112" s="549"/>
      <c r="F1112" s="551"/>
      <c r="G1112" s="551"/>
      <c r="H1112" s="551"/>
      <c r="I1112" s="551"/>
      <c r="J1112" s="551"/>
      <c r="K1112" s="551"/>
      <c r="L1112" s="551"/>
      <c r="M1112" s="551"/>
      <c r="N1112" s="551"/>
      <c r="O1112" s="551"/>
      <c r="P1112" s="551"/>
      <c r="Q1112" s="551"/>
      <c r="R1112" s="551"/>
      <c r="S1112" s="546">
        <f t="shared" si="193"/>
        <v>0</v>
      </c>
      <c r="T1112" s="547">
        <f t="shared" si="194"/>
        <v>0</v>
      </c>
      <c r="U1112" s="546">
        <f t="shared" si="195"/>
        <v>0</v>
      </c>
      <c r="W1112" s="350">
        <f t="shared" si="197"/>
        <v>0</v>
      </c>
      <c r="X1112" s="285">
        <f t="shared" si="196"/>
        <v>0</v>
      </c>
    </row>
    <row r="1113" spans="1:24" ht="12" thickBot="1">
      <c r="A1113" s="596" t="s">
        <v>1500</v>
      </c>
      <c r="B1113" s="541" t="s">
        <v>363</v>
      </c>
      <c r="C1113" s="541" t="s">
        <v>1110</v>
      </c>
      <c r="D1113" s="552" t="s">
        <v>1140</v>
      </c>
      <c r="E1113" s="543"/>
      <c r="F1113" s="545"/>
      <c r="G1113" s="544"/>
      <c r="H1113" s="545"/>
      <c r="I1113" s="545"/>
      <c r="J1113" s="545"/>
      <c r="K1113" s="545"/>
      <c r="L1113" s="545"/>
      <c r="M1113" s="544"/>
      <c r="N1113" s="544"/>
      <c r="O1113" s="545"/>
      <c r="P1113" s="545"/>
      <c r="Q1113" s="544"/>
      <c r="R1113" s="544"/>
      <c r="S1113" s="546">
        <f t="shared" si="193"/>
        <v>0</v>
      </c>
      <c r="T1113" s="547">
        <f t="shared" si="194"/>
        <v>0</v>
      </c>
      <c r="U1113" s="546">
        <f t="shared" si="195"/>
        <v>0</v>
      </c>
      <c r="W1113" s="350">
        <f t="shared" si="197"/>
        <v>0</v>
      </c>
      <c r="X1113" s="285">
        <f t="shared" si="196"/>
        <v>0</v>
      </c>
    </row>
    <row r="1114" spans="1:24" ht="12" thickBot="1">
      <c r="A1114" s="596" t="s">
        <v>1500</v>
      </c>
      <c r="B1114" s="541" t="s">
        <v>373</v>
      </c>
      <c r="C1114" s="541" t="s">
        <v>1111</v>
      </c>
      <c r="D1114" s="552" t="s">
        <v>1139</v>
      </c>
      <c r="E1114" s="549"/>
      <c r="F1114" s="551"/>
      <c r="G1114" s="550"/>
      <c r="H1114" s="551"/>
      <c r="I1114" s="551"/>
      <c r="J1114" s="551"/>
      <c r="K1114" s="551"/>
      <c r="L1114" s="551"/>
      <c r="M1114" s="550"/>
      <c r="N1114" s="550"/>
      <c r="O1114" s="551"/>
      <c r="P1114" s="551"/>
      <c r="Q1114" s="550"/>
      <c r="R1114" s="550"/>
      <c r="S1114" s="546">
        <f t="shared" si="193"/>
        <v>0</v>
      </c>
      <c r="T1114" s="547">
        <f t="shared" si="194"/>
        <v>0</v>
      </c>
      <c r="U1114" s="546">
        <f t="shared" si="195"/>
        <v>0</v>
      </c>
      <c r="W1114" s="350">
        <f t="shared" si="197"/>
        <v>0</v>
      </c>
      <c r="X1114" s="285">
        <f t="shared" si="196"/>
        <v>0</v>
      </c>
    </row>
    <row r="1115" spans="1:24" ht="12" thickBot="1">
      <c r="A1115" s="596" t="s">
        <v>1500</v>
      </c>
      <c r="B1115" s="541" t="s">
        <v>396</v>
      </c>
      <c r="C1115" s="541" t="s">
        <v>1112</v>
      </c>
      <c r="D1115" s="552" t="s">
        <v>1139</v>
      </c>
      <c r="E1115" s="543"/>
      <c r="F1115" s="545"/>
      <c r="G1115" s="544"/>
      <c r="H1115" s="545"/>
      <c r="I1115" s="545"/>
      <c r="J1115" s="545"/>
      <c r="K1115" s="545"/>
      <c r="L1115" s="545"/>
      <c r="M1115" s="544"/>
      <c r="N1115" s="544"/>
      <c r="O1115" s="545"/>
      <c r="P1115" s="545"/>
      <c r="Q1115" s="544"/>
      <c r="R1115" s="544"/>
      <c r="S1115" s="546">
        <f t="shared" si="193"/>
        <v>0</v>
      </c>
      <c r="T1115" s="547">
        <f t="shared" si="194"/>
        <v>0</v>
      </c>
      <c r="U1115" s="546">
        <f t="shared" si="195"/>
        <v>0</v>
      </c>
      <c r="W1115" s="350">
        <f t="shared" si="197"/>
        <v>0</v>
      </c>
      <c r="X1115" s="285">
        <f t="shared" si="196"/>
        <v>0</v>
      </c>
    </row>
    <row r="1116" spans="1:24" ht="12" thickBot="1">
      <c r="A1116" s="596" t="s">
        <v>1500</v>
      </c>
      <c r="B1116" s="541" t="s">
        <v>351</v>
      </c>
      <c r="C1116" s="541" t="s">
        <v>1113</v>
      </c>
      <c r="D1116" s="552" t="s">
        <v>1140</v>
      </c>
      <c r="E1116" s="549"/>
      <c r="F1116" s="551"/>
      <c r="G1116" s="550"/>
      <c r="H1116" s="551"/>
      <c r="I1116" s="551"/>
      <c r="J1116" s="551"/>
      <c r="K1116" s="551"/>
      <c r="L1116" s="551"/>
      <c r="M1116" s="550"/>
      <c r="N1116" s="550"/>
      <c r="O1116" s="551"/>
      <c r="P1116" s="551"/>
      <c r="Q1116" s="550"/>
      <c r="R1116" s="550"/>
      <c r="S1116" s="546">
        <f t="shared" si="193"/>
        <v>0</v>
      </c>
      <c r="T1116" s="547">
        <f t="shared" si="194"/>
        <v>0</v>
      </c>
      <c r="U1116" s="546">
        <f t="shared" si="195"/>
        <v>0</v>
      </c>
      <c r="W1116" s="350">
        <f t="shared" si="197"/>
        <v>0</v>
      </c>
      <c r="X1116" s="285">
        <f t="shared" si="196"/>
        <v>0</v>
      </c>
    </row>
    <row r="1117" spans="1:24" ht="12" thickBot="1">
      <c r="A1117" s="596" t="s">
        <v>1500</v>
      </c>
      <c r="B1117" s="541" t="s">
        <v>314</v>
      </c>
      <c r="C1117" s="541" t="s">
        <v>1114</v>
      </c>
      <c r="D1117" s="552" t="s">
        <v>1140</v>
      </c>
      <c r="E1117" s="543"/>
      <c r="F1117" s="545"/>
      <c r="G1117" s="544"/>
      <c r="H1117" s="545"/>
      <c r="I1117" s="545"/>
      <c r="J1117" s="545"/>
      <c r="K1117" s="545"/>
      <c r="L1117" s="545"/>
      <c r="M1117" s="544"/>
      <c r="N1117" s="544"/>
      <c r="O1117" s="545"/>
      <c r="P1117" s="545"/>
      <c r="Q1117" s="544"/>
      <c r="R1117" s="544"/>
      <c r="S1117" s="546">
        <f t="shared" si="193"/>
        <v>0</v>
      </c>
      <c r="T1117" s="547">
        <f t="shared" si="194"/>
        <v>0</v>
      </c>
      <c r="U1117" s="546">
        <f t="shared" si="195"/>
        <v>0</v>
      </c>
      <c r="W1117" s="350">
        <f t="shared" si="197"/>
        <v>0</v>
      </c>
      <c r="X1117" s="285">
        <f t="shared" si="196"/>
        <v>0</v>
      </c>
    </row>
    <row r="1118" spans="1:24" ht="12" thickBot="1">
      <c r="A1118" s="596" t="s">
        <v>1500</v>
      </c>
      <c r="B1118" s="541" t="s">
        <v>355</v>
      </c>
      <c r="C1118" s="541" t="s">
        <v>1115</v>
      </c>
      <c r="D1118" s="552" t="s">
        <v>1140</v>
      </c>
      <c r="E1118" s="549"/>
      <c r="F1118" s="551"/>
      <c r="G1118" s="550"/>
      <c r="H1118" s="551"/>
      <c r="I1118" s="551"/>
      <c r="J1118" s="551"/>
      <c r="K1118" s="551"/>
      <c r="L1118" s="551"/>
      <c r="M1118" s="550"/>
      <c r="N1118" s="550"/>
      <c r="O1118" s="551"/>
      <c r="P1118" s="551"/>
      <c r="Q1118" s="550"/>
      <c r="R1118" s="550"/>
      <c r="S1118" s="546">
        <f t="shared" si="193"/>
        <v>0</v>
      </c>
      <c r="T1118" s="547">
        <f t="shared" si="194"/>
        <v>0</v>
      </c>
      <c r="U1118" s="546">
        <f t="shared" si="195"/>
        <v>0</v>
      </c>
      <c r="W1118" s="350">
        <f t="shared" si="197"/>
        <v>0</v>
      </c>
      <c r="X1118" s="285">
        <f t="shared" si="196"/>
        <v>0</v>
      </c>
    </row>
    <row r="1119" spans="1:24" ht="12" thickBot="1">
      <c r="A1119" s="596" t="s">
        <v>1500</v>
      </c>
      <c r="B1119" s="541" t="s">
        <v>364</v>
      </c>
      <c r="C1119" s="541" t="s">
        <v>1116</v>
      </c>
      <c r="D1119" s="552" t="s">
        <v>1139</v>
      </c>
      <c r="E1119" s="543"/>
      <c r="F1119" s="545"/>
      <c r="G1119" s="544"/>
      <c r="H1119" s="545"/>
      <c r="I1119" s="545"/>
      <c r="J1119" s="545"/>
      <c r="K1119" s="545"/>
      <c r="L1119" s="545"/>
      <c r="M1119" s="544"/>
      <c r="N1119" s="544"/>
      <c r="O1119" s="545"/>
      <c r="P1119" s="545"/>
      <c r="Q1119" s="544"/>
      <c r="R1119" s="544"/>
      <c r="S1119" s="546">
        <f t="shared" si="193"/>
        <v>0</v>
      </c>
      <c r="T1119" s="547">
        <f t="shared" si="194"/>
        <v>0</v>
      </c>
      <c r="U1119" s="546">
        <f t="shared" si="195"/>
        <v>0</v>
      </c>
      <c r="W1119" s="350">
        <f t="shared" si="197"/>
        <v>0</v>
      </c>
      <c r="X1119" s="285">
        <f t="shared" si="196"/>
        <v>0</v>
      </c>
    </row>
    <row r="1120" spans="1:24" ht="12" thickBot="1">
      <c r="A1120" s="596" t="s">
        <v>1500</v>
      </c>
      <c r="B1120" s="541" t="s">
        <v>387</v>
      </c>
      <c r="C1120" s="541" t="s">
        <v>1117</v>
      </c>
      <c r="D1120" s="552" t="s">
        <v>1139</v>
      </c>
      <c r="E1120" s="549"/>
      <c r="F1120" s="551"/>
      <c r="G1120" s="550"/>
      <c r="H1120" s="551"/>
      <c r="I1120" s="551"/>
      <c r="J1120" s="551"/>
      <c r="K1120" s="551"/>
      <c r="L1120" s="551"/>
      <c r="M1120" s="550"/>
      <c r="N1120" s="550"/>
      <c r="O1120" s="551"/>
      <c r="P1120" s="551"/>
      <c r="Q1120" s="550"/>
      <c r="R1120" s="550"/>
      <c r="S1120" s="546">
        <f t="shared" si="193"/>
        <v>0</v>
      </c>
      <c r="T1120" s="547">
        <f t="shared" si="194"/>
        <v>0</v>
      </c>
      <c r="U1120" s="546">
        <f t="shared" si="195"/>
        <v>0</v>
      </c>
      <c r="W1120" s="350">
        <f t="shared" si="197"/>
        <v>0</v>
      </c>
      <c r="X1120" s="285">
        <f t="shared" si="196"/>
        <v>0</v>
      </c>
    </row>
    <row r="1121" spans="1:24" ht="12" thickBot="1">
      <c r="A1121" s="596" t="s">
        <v>1500</v>
      </c>
      <c r="B1121" s="541" t="s">
        <v>344</v>
      </c>
      <c r="C1121" s="541" t="s">
        <v>1118</v>
      </c>
      <c r="D1121" s="552" t="s">
        <v>1139</v>
      </c>
      <c r="E1121" s="543"/>
      <c r="F1121" s="545"/>
      <c r="G1121" s="544"/>
      <c r="H1121" s="545"/>
      <c r="I1121" s="545"/>
      <c r="J1121" s="545"/>
      <c r="K1121" s="545"/>
      <c r="L1121" s="545"/>
      <c r="M1121" s="544"/>
      <c r="N1121" s="544"/>
      <c r="O1121" s="545"/>
      <c r="P1121" s="545"/>
      <c r="Q1121" s="544"/>
      <c r="R1121" s="544"/>
      <c r="S1121" s="546">
        <f t="shared" si="193"/>
        <v>0</v>
      </c>
      <c r="T1121" s="547">
        <f t="shared" si="194"/>
        <v>0</v>
      </c>
      <c r="U1121" s="546">
        <f t="shared" si="195"/>
        <v>0</v>
      </c>
      <c r="W1121" s="350">
        <f t="shared" si="197"/>
        <v>0</v>
      </c>
      <c r="X1121" s="285">
        <f t="shared" si="196"/>
        <v>0</v>
      </c>
    </row>
    <row r="1122" spans="1:24" ht="12" thickBot="1">
      <c r="A1122" s="596" t="s">
        <v>1500</v>
      </c>
      <c r="B1122" s="541" t="s">
        <v>376</v>
      </c>
      <c r="C1122" s="541" t="s">
        <v>1119</v>
      </c>
      <c r="D1122" s="552" t="s">
        <v>1139</v>
      </c>
      <c r="E1122" s="549"/>
      <c r="F1122" s="551"/>
      <c r="G1122" s="550"/>
      <c r="H1122" s="551"/>
      <c r="I1122" s="551"/>
      <c r="J1122" s="551"/>
      <c r="K1122" s="551"/>
      <c r="L1122" s="551"/>
      <c r="M1122" s="550"/>
      <c r="N1122" s="550"/>
      <c r="O1122" s="551"/>
      <c r="P1122" s="551"/>
      <c r="Q1122" s="550"/>
      <c r="R1122" s="550"/>
      <c r="S1122" s="546">
        <f t="shared" si="193"/>
        <v>0</v>
      </c>
      <c r="T1122" s="547">
        <f t="shared" si="194"/>
        <v>0</v>
      </c>
      <c r="U1122" s="546">
        <f t="shared" si="195"/>
        <v>0</v>
      </c>
      <c r="W1122" s="350">
        <f t="shared" si="197"/>
        <v>0</v>
      </c>
      <c r="X1122" s="285">
        <f t="shared" si="196"/>
        <v>0</v>
      </c>
    </row>
    <row r="1123" spans="1:24" ht="12" thickBot="1">
      <c r="A1123" s="596" t="s">
        <v>1500</v>
      </c>
      <c r="B1123" s="541" t="s">
        <v>374</v>
      </c>
      <c r="C1123" s="541" t="s">
        <v>1120</v>
      </c>
      <c r="D1123" s="552" t="s">
        <v>1139</v>
      </c>
      <c r="E1123" s="543"/>
      <c r="F1123" s="545"/>
      <c r="G1123" s="544"/>
      <c r="H1123" s="545"/>
      <c r="I1123" s="545"/>
      <c r="J1123" s="545"/>
      <c r="K1123" s="545"/>
      <c r="L1123" s="545"/>
      <c r="M1123" s="544"/>
      <c r="N1123" s="544"/>
      <c r="O1123" s="545"/>
      <c r="P1123" s="545"/>
      <c r="Q1123" s="544"/>
      <c r="R1123" s="544"/>
      <c r="S1123" s="546">
        <f t="shared" si="193"/>
        <v>0</v>
      </c>
      <c r="T1123" s="547">
        <f t="shared" si="194"/>
        <v>0</v>
      </c>
      <c r="U1123" s="546">
        <f t="shared" si="195"/>
        <v>0</v>
      </c>
      <c r="W1123" s="350">
        <f t="shared" si="197"/>
        <v>0</v>
      </c>
      <c r="X1123" s="285">
        <f t="shared" si="196"/>
        <v>0</v>
      </c>
    </row>
    <row r="1124" spans="1:24" ht="12" thickBot="1">
      <c r="A1124" s="596" t="s">
        <v>1500</v>
      </c>
      <c r="B1124" s="541" t="s">
        <v>398</v>
      </c>
      <c r="C1124" s="541" t="s">
        <v>1121</v>
      </c>
      <c r="D1124" s="552" t="s">
        <v>1139</v>
      </c>
      <c r="E1124" s="549"/>
      <c r="F1124" s="551"/>
      <c r="G1124" s="550"/>
      <c r="H1124" s="551"/>
      <c r="I1124" s="551"/>
      <c r="J1124" s="551"/>
      <c r="K1124" s="551"/>
      <c r="L1124" s="551"/>
      <c r="M1124" s="550"/>
      <c r="N1124" s="550"/>
      <c r="O1124" s="551"/>
      <c r="P1124" s="551"/>
      <c r="Q1124" s="550"/>
      <c r="R1124" s="550"/>
      <c r="S1124" s="546">
        <f t="shared" si="193"/>
        <v>0</v>
      </c>
      <c r="T1124" s="547">
        <f t="shared" si="194"/>
        <v>0</v>
      </c>
      <c r="U1124" s="546">
        <f t="shared" si="195"/>
        <v>0</v>
      </c>
      <c r="W1124" s="350">
        <f t="shared" si="197"/>
        <v>0</v>
      </c>
      <c r="X1124" s="285">
        <f t="shared" si="196"/>
        <v>0</v>
      </c>
    </row>
    <row r="1125" spans="1:24" ht="12" thickBot="1">
      <c r="A1125" s="596" t="s">
        <v>1500</v>
      </c>
      <c r="B1125" s="541" t="s">
        <v>348</v>
      </c>
      <c r="C1125" s="541" t="s">
        <v>1122</v>
      </c>
      <c r="D1125" s="552" t="s">
        <v>1139</v>
      </c>
      <c r="E1125" s="543"/>
      <c r="F1125" s="545"/>
      <c r="G1125" s="544"/>
      <c r="H1125" s="545"/>
      <c r="I1125" s="545"/>
      <c r="J1125" s="545"/>
      <c r="K1125" s="545"/>
      <c r="L1125" s="545"/>
      <c r="M1125" s="544"/>
      <c r="N1125" s="544"/>
      <c r="O1125" s="545"/>
      <c r="P1125" s="545"/>
      <c r="Q1125" s="544"/>
      <c r="R1125" s="544"/>
      <c r="S1125" s="546">
        <f t="shared" si="193"/>
        <v>0</v>
      </c>
      <c r="T1125" s="547">
        <f t="shared" si="194"/>
        <v>0</v>
      </c>
      <c r="U1125" s="546">
        <f t="shared" si="195"/>
        <v>0</v>
      </c>
      <c r="W1125" s="350">
        <f t="shared" si="197"/>
        <v>0</v>
      </c>
      <c r="X1125" s="285">
        <f t="shared" si="196"/>
        <v>0</v>
      </c>
    </row>
    <row r="1126" spans="1:24" ht="12" thickBot="1">
      <c r="A1126" s="596" t="s">
        <v>1500</v>
      </c>
      <c r="B1126" s="541" t="s">
        <v>380</v>
      </c>
      <c r="C1126" s="541" t="s">
        <v>1123</v>
      </c>
      <c r="D1126" s="552" t="s">
        <v>1139</v>
      </c>
      <c r="E1126" s="549"/>
      <c r="F1126" s="551"/>
      <c r="G1126" s="550"/>
      <c r="H1126" s="551"/>
      <c r="I1126" s="551"/>
      <c r="J1126" s="551"/>
      <c r="K1126" s="551"/>
      <c r="L1126" s="551"/>
      <c r="M1126" s="550"/>
      <c r="N1126" s="550"/>
      <c r="O1126" s="551"/>
      <c r="P1126" s="551"/>
      <c r="Q1126" s="550"/>
      <c r="R1126" s="550"/>
      <c r="S1126" s="546">
        <f t="shared" si="193"/>
        <v>0</v>
      </c>
      <c r="T1126" s="547">
        <f t="shared" si="194"/>
        <v>0</v>
      </c>
      <c r="U1126" s="546">
        <f t="shared" si="195"/>
        <v>0</v>
      </c>
      <c r="W1126" s="350">
        <f t="shared" si="197"/>
        <v>0</v>
      </c>
      <c r="X1126" s="285">
        <f t="shared" si="196"/>
        <v>0</v>
      </c>
    </row>
    <row r="1127" spans="1:24" ht="12" thickBot="1">
      <c r="A1127" s="596" t="s">
        <v>1500</v>
      </c>
      <c r="B1127" s="541" t="s">
        <v>399</v>
      </c>
      <c r="C1127" s="541" t="s">
        <v>1124</v>
      </c>
      <c r="D1127" s="552" t="s">
        <v>1139</v>
      </c>
      <c r="E1127" s="543"/>
      <c r="F1127" s="545"/>
      <c r="G1127" s="544"/>
      <c r="H1127" s="545"/>
      <c r="I1127" s="545"/>
      <c r="J1127" s="545"/>
      <c r="K1127" s="545"/>
      <c r="L1127" s="545"/>
      <c r="M1127" s="544"/>
      <c r="N1127" s="544"/>
      <c r="O1127" s="545"/>
      <c r="P1127" s="545"/>
      <c r="Q1127" s="544"/>
      <c r="R1127" s="544"/>
      <c r="S1127" s="546">
        <f t="shared" si="193"/>
        <v>0</v>
      </c>
      <c r="T1127" s="547">
        <f t="shared" si="194"/>
        <v>0</v>
      </c>
      <c r="U1127" s="546">
        <f t="shared" si="195"/>
        <v>0</v>
      </c>
      <c r="W1127" s="350">
        <f t="shared" si="197"/>
        <v>0</v>
      </c>
      <c r="X1127" s="285">
        <f t="shared" si="196"/>
        <v>0</v>
      </c>
    </row>
    <row r="1128" spans="1:24" ht="12" thickBot="1">
      <c r="A1128" s="596" t="s">
        <v>1500</v>
      </c>
      <c r="B1128" s="541" t="s">
        <v>349</v>
      </c>
      <c r="C1128" s="541" t="s">
        <v>1125</v>
      </c>
      <c r="D1128" s="552" t="s">
        <v>1139</v>
      </c>
      <c r="E1128" s="549"/>
      <c r="F1128" s="551"/>
      <c r="G1128" s="550"/>
      <c r="H1128" s="551"/>
      <c r="I1128" s="551"/>
      <c r="J1128" s="551"/>
      <c r="K1128" s="551"/>
      <c r="L1128" s="551"/>
      <c r="M1128" s="550"/>
      <c r="N1128" s="550"/>
      <c r="O1128" s="551"/>
      <c r="P1128" s="551"/>
      <c r="Q1128" s="550"/>
      <c r="R1128" s="550"/>
      <c r="S1128" s="546">
        <f t="shared" si="193"/>
        <v>0</v>
      </c>
      <c r="T1128" s="547">
        <f t="shared" si="194"/>
        <v>0</v>
      </c>
      <c r="U1128" s="546">
        <f t="shared" si="195"/>
        <v>0</v>
      </c>
      <c r="W1128" s="350">
        <f t="shared" si="197"/>
        <v>0</v>
      </c>
      <c r="X1128" s="285">
        <f t="shared" si="196"/>
        <v>0</v>
      </c>
    </row>
    <row r="1129" spans="1:24" ht="12" thickBot="1">
      <c r="A1129" s="596" t="s">
        <v>1500</v>
      </c>
      <c r="B1129" s="541" t="s">
        <v>381</v>
      </c>
      <c r="C1129" s="541" t="s">
        <v>1126</v>
      </c>
      <c r="D1129" s="552" t="s">
        <v>1139</v>
      </c>
      <c r="E1129" s="543"/>
      <c r="F1129" s="545"/>
      <c r="G1129" s="544"/>
      <c r="H1129" s="545"/>
      <c r="I1129" s="545"/>
      <c r="J1129" s="545"/>
      <c r="K1129" s="545"/>
      <c r="L1129" s="545"/>
      <c r="M1129" s="544"/>
      <c r="N1129" s="544"/>
      <c r="O1129" s="545"/>
      <c r="P1129" s="545"/>
      <c r="Q1129" s="544"/>
      <c r="R1129" s="544"/>
      <c r="S1129" s="546">
        <f t="shared" si="193"/>
        <v>0</v>
      </c>
      <c r="T1129" s="547">
        <f t="shared" si="194"/>
        <v>0</v>
      </c>
      <c r="U1129" s="546">
        <f t="shared" si="195"/>
        <v>0</v>
      </c>
      <c r="W1129" s="350">
        <f t="shared" si="197"/>
        <v>0</v>
      </c>
      <c r="X1129" s="285">
        <f t="shared" si="196"/>
        <v>0</v>
      </c>
    </row>
    <row r="1130" spans="1:24" ht="12" thickBot="1">
      <c r="A1130" s="596" t="s">
        <v>1500</v>
      </c>
      <c r="B1130" s="541" t="s">
        <v>321</v>
      </c>
      <c r="C1130" s="541" t="s">
        <v>1127</v>
      </c>
      <c r="D1130" s="552" t="s">
        <v>1139</v>
      </c>
      <c r="E1130" s="549"/>
      <c r="F1130" s="551"/>
      <c r="G1130" s="550"/>
      <c r="H1130" s="551"/>
      <c r="I1130" s="551"/>
      <c r="J1130" s="551"/>
      <c r="K1130" s="551"/>
      <c r="L1130" s="551"/>
      <c r="M1130" s="550"/>
      <c r="N1130" s="550"/>
      <c r="O1130" s="551"/>
      <c r="P1130" s="551"/>
      <c r="Q1130" s="550"/>
      <c r="R1130" s="550"/>
      <c r="S1130" s="546">
        <f t="shared" ref="S1130:S1151" si="198">G1130+H1130+I1130</f>
        <v>0</v>
      </c>
      <c r="T1130" s="547">
        <f t="shared" ref="T1130:T1151" si="199">J1130+K1130</f>
        <v>0</v>
      </c>
      <c r="U1130" s="546">
        <f t="shared" ref="U1130:U1151" si="200">N1130+O1130</f>
        <v>0</v>
      </c>
      <c r="W1130" s="350">
        <f t="shared" si="197"/>
        <v>0</v>
      </c>
      <c r="X1130" s="285">
        <f t="shared" ref="X1130:X1150" si="201">W1130-R1130</f>
        <v>0</v>
      </c>
    </row>
    <row r="1131" spans="1:24" ht="12" thickBot="1">
      <c r="A1131" s="596" t="s">
        <v>1500</v>
      </c>
      <c r="B1131" s="541" t="s">
        <v>353</v>
      </c>
      <c r="C1131" s="541" t="s">
        <v>1128</v>
      </c>
      <c r="D1131" s="552" t="s">
        <v>1139</v>
      </c>
      <c r="E1131" s="543"/>
      <c r="F1131" s="545"/>
      <c r="G1131" s="544"/>
      <c r="H1131" s="545"/>
      <c r="I1131" s="545"/>
      <c r="J1131" s="545"/>
      <c r="K1131" s="545"/>
      <c r="L1131" s="545"/>
      <c r="M1131" s="544"/>
      <c r="N1131" s="544"/>
      <c r="O1131" s="545"/>
      <c r="P1131" s="545"/>
      <c r="Q1131" s="544"/>
      <c r="R1131" s="544"/>
      <c r="S1131" s="546">
        <f t="shared" si="198"/>
        <v>0</v>
      </c>
      <c r="T1131" s="547">
        <f t="shared" si="199"/>
        <v>0</v>
      </c>
      <c r="U1131" s="546">
        <f t="shared" si="200"/>
        <v>0</v>
      </c>
      <c r="W1131" s="350">
        <f t="shared" si="197"/>
        <v>0</v>
      </c>
      <c r="X1131" s="285">
        <f t="shared" si="201"/>
        <v>0</v>
      </c>
    </row>
    <row r="1132" spans="1:24" ht="12" thickBot="1">
      <c r="A1132" s="596" t="s">
        <v>1500</v>
      </c>
      <c r="B1132" s="541" t="s">
        <v>678</v>
      </c>
      <c r="C1132" s="541" t="s">
        <v>1129</v>
      </c>
      <c r="D1132" s="552" t="s">
        <v>1139</v>
      </c>
      <c r="E1132" s="549"/>
      <c r="F1132" s="551"/>
      <c r="G1132" s="550"/>
      <c r="H1132" s="551"/>
      <c r="I1132" s="551"/>
      <c r="J1132" s="551"/>
      <c r="K1132" s="551"/>
      <c r="L1132" s="551"/>
      <c r="M1132" s="550"/>
      <c r="N1132" s="550"/>
      <c r="O1132" s="551"/>
      <c r="P1132" s="551"/>
      <c r="Q1132" s="551"/>
      <c r="R1132" s="550"/>
      <c r="S1132" s="546">
        <f t="shared" si="198"/>
        <v>0</v>
      </c>
      <c r="T1132" s="547">
        <f t="shared" si="199"/>
        <v>0</v>
      </c>
      <c r="U1132" s="546">
        <f t="shared" si="200"/>
        <v>0</v>
      </c>
      <c r="W1132" s="350">
        <f t="shared" si="197"/>
        <v>0</v>
      </c>
      <c r="X1132" s="285">
        <f t="shared" si="201"/>
        <v>0</v>
      </c>
    </row>
    <row r="1133" spans="1:24" ht="12" thickBot="1">
      <c r="A1133" s="596" t="s">
        <v>1500</v>
      </c>
      <c r="B1133" s="541" t="s">
        <v>316</v>
      </c>
      <c r="C1133" s="541" t="s">
        <v>1130</v>
      </c>
      <c r="D1133" s="552" t="s">
        <v>1139</v>
      </c>
      <c r="E1133" s="543"/>
      <c r="F1133" s="545"/>
      <c r="G1133" s="544"/>
      <c r="H1133" s="545"/>
      <c r="I1133" s="545"/>
      <c r="J1133" s="545"/>
      <c r="K1133" s="545"/>
      <c r="L1133" s="545"/>
      <c r="M1133" s="544"/>
      <c r="N1133" s="544"/>
      <c r="O1133" s="545"/>
      <c r="P1133" s="545"/>
      <c r="Q1133" s="544"/>
      <c r="R1133" s="544"/>
      <c r="S1133" s="546">
        <f t="shared" si="198"/>
        <v>0</v>
      </c>
      <c r="T1133" s="547">
        <f t="shared" si="199"/>
        <v>0</v>
      </c>
      <c r="U1133" s="546">
        <f t="shared" si="200"/>
        <v>0</v>
      </c>
      <c r="W1133" s="350">
        <f t="shared" si="197"/>
        <v>0</v>
      </c>
      <c r="X1133" s="285">
        <f t="shared" si="201"/>
        <v>0</v>
      </c>
    </row>
    <row r="1134" spans="1:24" ht="12" thickBot="1">
      <c r="A1134" s="596" t="s">
        <v>1500</v>
      </c>
      <c r="B1134" s="541" t="s">
        <v>318</v>
      </c>
      <c r="C1134" s="541" t="s">
        <v>1131</v>
      </c>
      <c r="D1134" s="552" t="s">
        <v>1139</v>
      </c>
      <c r="E1134" s="549"/>
      <c r="F1134" s="551"/>
      <c r="G1134" s="550"/>
      <c r="H1134" s="551"/>
      <c r="I1134" s="551"/>
      <c r="J1134" s="551"/>
      <c r="K1134" s="551"/>
      <c r="L1134" s="551"/>
      <c r="M1134" s="550"/>
      <c r="N1134" s="550"/>
      <c r="O1134" s="551"/>
      <c r="P1134" s="551"/>
      <c r="Q1134" s="550"/>
      <c r="R1134" s="550"/>
      <c r="S1134" s="546">
        <f t="shared" si="198"/>
        <v>0</v>
      </c>
      <c r="T1134" s="547">
        <f t="shared" si="199"/>
        <v>0</v>
      </c>
      <c r="U1134" s="546">
        <f t="shared" si="200"/>
        <v>0</v>
      </c>
      <c r="W1134" s="350">
        <f t="shared" si="197"/>
        <v>0</v>
      </c>
      <c r="X1134" s="285">
        <f t="shared" si="201"/>
        <v>0</v>
      </c>
    </row>
    <row r="1135" spans="1:24" ht="12" thickBot="1">
      <c r="A1135" s="596" t="s">
        <v>1500</v>
      </c>
      <c r="B1135" s="541" t="s">
        <v>350</v>
      </c>
      <c r="C1135" s="541" t="s">
        <v>1132</v>
      </c>
      <c r="D1135" s="552" t="s">
        <v>1139</v>
      </c>
      <c r="E1135" s="543"/>
      <c r="F1135" s="545"/>
      <c r="G1135" s="544"/>
      <c r="H1135" s="545"/>
      <c r="I1135" s="545"/>
      <c r="J1135" s="545"/>
      <c r="K1135" s="545"/>
      <c r="L1135" s="545"/>
      <c r="M1135" s="544"/>
      <c r="N1135" s="544"/>
      <c r="O1135" s="545"/>
      <c r="P1135" s="545"/>
      <c r="Q1135" s="544"/>
      <c r="R1135" s="544"/>
      <c r="S1135" s="546">
        <f t="shared" si="198"/>
        <v>0</v>
      </c>
      <c r="T1135" s="547">
        <f t="shared" si="199"/>
        <v>0</v>
      </c>
      <c r="U1135" s="546">
        <f t="shared" si="200"/>
        <v>0</v>
      </c>
      <c r="W1135" s="350">
        <f t="shared" si="197"/>
        <v>0</v>
      </c>
      <c r="X1135" s="285">
        <f t="shared" si="201"/>
        <v>0</v>
      </c>
    </row>
    <row r="1136" spans="1:24" ht="12" thickBot="1">
      <c r="A1136" s="596" t="s">
        <v>1500</v>
      </c>
      <c r="B1136" s="541" t="s">
        <v>313</v>
      </c>
      <c r="C1136" s="541" t="s">
        <v>1133</v>
      </c>
      <c r="D1136" s="552" t="s">
        <v>1139</v>
      </c>
      <c r="E1136" s="549"/>
      <c r="F1136" s="551"/>
      <c r="G1136" s="550"/>
      <c r="H1136" s="551"/>
      <c r="I1136" s="551"/>
      <c r="J1136" s="551"/>
      <c r="K1136" s="551"/>
      <c r="L1136" s="551"/>
      <c r="M1136" s="550"/>
      <c r="N1136" s="550"/>
      <c r="O1136" s="551"/>
      <c r="P1136" s="551"/>
      <c r="Q1136" s="550"/>
      <c r="R1136" s="550"/>
      <c r="S1136" s="546">
        <f t="shared" si="198"/>
        <v>0</v>
      </c>
      <c r="T1136" s="547">
        <f t="shared" si="199"/>
        <v>0</v>
      </c>
      <c r="U1136" s="546">
        <f t="shared" si="200"/>
        <v>0</v>
      </c>
      <c r="W1136" s="350">
        <f t="shared" si="197"/>
        <v>0</v>
      </c>
      <c r="X1136" s="285">
        <f t="shared" si="201"/>
        <v>0</v>
      </c>
    </row>
    <row r="1137" spans="1:24" ht="12" thickBot="1">
      <c r="A1137" s="596" t="s">
        <v>1500</v>
      </c>
      <c r="B1137" s="541" t="s">
        <v>650</v>
      </c>
      <c r="C1137" s="541" t="s">
        <v>1151</v>
      </c>
      <c r="D1137" s="552" t="s">
        <v>1139</v>
      </c>
      <c r="E1137" s="543"/>
      <c r="F1137" s="545"/>
      <c r="G1137" s="544"/>
      <c r="H1137" s="545"/>
      <c r="I1137" s="545"/>
      <c r="J1137" s="545"/>
      <c r="K1137" s="545"/>
      <c r="L1137" s="545"/>
      <c r="M1137" s="544"/>
      <c r="N1137" s="544"/>
      <c r="O1137" s="545"/>
      <c r="P1137" s="545"/>
      <c r="Q1137" s="545"/>
      <c r="R1137" s="544"/>
      <c r="S1137" s="546">
        <f t="shared" si="198"/>
        <v>0</v>
      </c>
      <c r="T1137" s="547">
        <f t="shared" si="199"/>
        <v>0</v>
      </c>
      <c r="U1137" s="546">
        <f t="shared" si="200"/>
        <v>0</v>
      </c>
      <c r="W1137" s="350">
        <f t="shared" si="197"/>
        <v>0</v>
      </c>
      <c r="X1137" s="285">
        <f t="shared" si="201"/>
        <v>0</v>
      </c>
    </row>
    <row r="1138" spans="1:24" ht="12" thickBot="1">
      <c r="A1138" s="596" t="s">
        <v>1500</v>
      </c>
      <c r="B1138" s="541" t="s">
        <v>447</v>
      </c>
      <c r="C1138" s="541" t="s">
        <v>1134</v>
      </c>
      <c r="D1138" s="552" t="s">
        <v>1139</v>
      </c>
      <c r="E1138" s="549"/>
      <c r="F1138" s="551"/>
      <c r="G1138" s="550"/>
      <c r="H1138" s="551"/>
      <c r="I1138" s="551"/>
      <c r="J1138" s="551"/>
      <c r="K1138" s="551"/>
      <c r="L1138" s="551"/>
      <c r="M1138" s="550"/>
      <c r="N1138" s="550"/>
      <c r="O1138" s="551"/>
      <c r="P1138" s="551"/>
      <c r="Q1138" s="551"/>
      <c r="R1138" s="550"/>
      <c r="S1138" s="546">
        <f t="shared" si="198"/>
        <v>0</v>
      </c>
      <c r="T1138" s="547">
        <f t="shared" si="199"/>
        <v>0</v>
      </c>
      <c r="U1138" s="546">
        <f t="shared" si="200"/>
        <v>0</v>
      </c>
      <c r="W1138" s="350">
        <f t="shared" si="197"/>
        <v>0</v>
      </c>
      <c r="X1138" s="285">
        <f t="shared" si="201"/>
        <v>0</v>
      </c>
    </row>
    <row r="1139" spans="1:24" ht="12" thickBot="1">
      <c r="A1139" s="596" t="s">
        <v>1500</v>
      </c>
      <c r="B1139" s="541" t="s">
        <v>624</v>
      </c>
      <c r="C1139" s="541" t="s">
        <v>1135</v>
      </c>
      <c r="D1139" s="552" t="s">
        <v>1139</v>
      </c>
      <c r="E1139" s="543"/>
      <c r="F1139" s="545"/>
      <c r="G1139" s="544"/>
      <c r="H1139" s="545"/>
      <c r="I1139" s="545"/>
      <c r="J1139" s="545"/>
      <c r="K1139" s="545"/>
      <c r="L1139" s="545"/>
      <c r="M1139" s="544"/>
      <c r="N1139" s="544"/>
      <c r="O1139" s="545"/>
      <c r="P1139" s="545"/>
      <c r="Q1139" s="545"/>
      <c r="R1139" s="544"/>
      <c r="S1139" s="546">
        <f t="shared" si="198"/>
        <v>0</v>
      </c>
      <c r="T1139" s="547">
        <f t="shared" si="199"/>
        <v>0</v>
      </c>
      <c r="U1139" s="546">
        <f t="shared" si="200"/>
        <v>0</v>
      </c>
      <c r="W1139" s="350">
        <f t="shared" si="197"/>
        <v>0</v>
      </c>
      <c r="X1139" s="285">
        <f t="shared" si="201"/>
        <v>0</v>
      </c>
    </row>
    <row r="1140" spans="1:24" ht="12" thickBot="1">
      <c r="A1140" s="596" t="s">
        <v>1500</v>
      </c>
      <c r="B1140" s="541" t="s">
        <v>429</v>
      </c>
      <c r="C1140" s="541" t="s">
        <v>428</v>
      </c>
      <c r="D1140" s="552" t="s">
        <v>73</v>
      </c>
      <c r="E1140" s="551"/>
      <c r="F1140" s="551"/>
      <c r="G1140" s="551"/>
      <c r="H1140" s="551"/>
      <c r="I1140" s="551"/>
      <c r="J1140" s="551"/>
      <c r="K1140" s="551"/>
      <c r="L1140" s="551"/>
      <c r="M1140" s="551"/>
      <c r="N1140" s="551"/>
      <c r="O1140" s="551"/>
      <c r="P1140" s="551"/>
      <c r="Q1140" s="551"/>
      <c r="R1140" s="550"/>
      <c r="S1140" s="546">
        <f t="shared" si="198"/>
        <v>0</v>
      </c>
      <c r="T1140" s="547">
        <f t="shared" si="199"/>
        <v>0</v>
      </c>
      <c r="U1140" s="546">
        <f t="shared" si="200"/>
        <v>0</v>
      </c>
      <c r="W1140" s="350">
        <f t="shared" si="197"/>
        <v>0</v>
      </c>
      <c r="X1140" s="285">
        <f t="shared" si="201"/>
        <v>0</v>
      </c>
    </row>
    <row r="1141" spans="1:24" ht="12" thickBot="1">
      <c r="A1141" s="596" t="s">
        <v>1500</v>
      </c>
      <c r="B1141" s="541" t="s">
        <v>455</v>
      </c>
      <c r="C1141" s="541" t="s">
        <v>454</v>
      </c>
      <c r="D1141" s="552" t="s">
        <v>710</v>
      </c>
      <c r="E1141" s="545"/>
      <c r="F1141" s="545"/>
      <c r="G1141" s="545"/>
      <c r="H1141" s="545"/>
      <c r="I1141" s="545"/>
      <c r="J1141" s="545"/>
      <c r="K1141" s="545"/>
      <c r="L1141" s="545"/>
      <c r="M1141" s="545"/>
      <c r="N1141" s="545"/>
      <c r="O1141" s="545"/>
      <c r="P1141" s="545"/>
      <c r="Q1141" s="545"/>
      <c r="R1141" s="544"/>
      <c r="S1141" s="546">
        <f t="shared" si="198"/>
        <v>0</v>
      </c>
      <c r="T1141" s="547">
        <f t="shared" si="199"/>
        <v>0</v>
      </c>
      <c r="U1141" s="546">
        <f t="shared" si="200"/>
        <v>0</v>
      </c>
      <c r="W1141" s="350">
        <f t="shared" si="197"/>
        <v>0</v>
      </c>
      <c r="X1141" s="285">
        <f t="shared" si="201"/>
        <v>0</v>
      </c>
    </row>
    <row r="1142" spans="1:24" ht="12" thickBot="1">
      <c r="A1142" s="596" t="s">
        <v>1500</v>
      </c>
      <c r="B1142" s="541" t="s">
        <v>457</v>
      </c>
      <c r="C1142" s="541" t="s">
        <v>456</v>
      </c>
      <c r="D1142" s="552" t="s">
        <v>710</v>
      </c>
      <c r="E1142" s="551"/>
      <c r="F1142" s="551"/>
      <c r="G1142" s="551"/>
      <c r="H1142" s="551"/>
      <c r="I1142" s="551"/>
      <c r="J1142" s="551"/>
      <c r="K1142" s="551"/>
      <c r="L1142" s="551"/>
      <c r="M1142" s="551"/>
      <c r="N1142" s="551"/>
      <c r="O1142" s="551"/>
      <c r="P1142" s="551"/>
      <c r="Q1142" s="551"/>
      <c r="R1142" s="550"/>
      <c r="S1142" s="546">
        <f t="shared" si="198"/>
        <v>0</v>
      </c>
      <c r="T1142" s="547">
        <f t="shared" si="199"/>
        <v>0</v>
      </c>
      <c r="U1142" s="546">
        <f t="shared" si="200"/>
        <v>0</v>
      </c>
      <c r="W1142" s="350">
        <f t="shared" si="197"/>
        <v>0</v>
      </c>
      <c r="X1142" s="285">
        <f t="shared" si="201"/>
        <v>0</v>
      </c>
    </row>
    <row r="1143" spans="1:24" ht="12" thickBot="1">
      <c r="A1143" s="596" t="s">
        <v>1500</v>
      </c>
      <c r="B1143" s="541" t="s">
        <v>427</v>
      </c>
      <c r="C1143" s="541" t="s">
        <v>426</v>
      </c>
      <c r="D1143" s="552" t="s">
        <v>1157</v>
      </c>
      <c r="E1143" s="545"/>
      <c r="F1143" s="544"/>
      <c r="G1143" s="545"/>
      <c r="H1143" s="545"/>
      <c r="I1143" s="545"/>
      <c r="J1143" s="545"/>
      <c r="K1143" s="545"/>
      <c r="L1143" s="545"/>
      <c r="M1143" s="545"/>
      <c r="N1143" s="545"/>
      <c r="O1143" s="545"/>
      <c r="P1143" s="545"/>
      <c r="Q1143" s="545"/>
      <c r="R1143" s="544"/>
      <c r="S1143" s="546">
        <f t="shared" si="198"/>
        <v>0</v>
      </c>
      <c r="T1143" s="547">
        <f t="shared" si="199"/>
        <v>0</v>
      </c>
      <c r="U1143" s="546">
        <f t="shared" si="200"/>
        <v>0</v>
      </c>
      <c r="W1143" s="350">
        <f t="shared" si="197"/>
        <v>0</v>
      </c>
      <c r="X1143" s="285">
        <f t="shared" si="201"/>
        <v>0</v>
      </c>
    </row>
    <row r="1144" spans="1:24" ht="12" thickBot="1">
      <c r="A1144" s="596" t="s">
        <v>1500</v>
      </c>
      <c r="B1144" s="541" t="s">
        <v>673</v>
      </c>
      <c r="C1144" s="541" t="s">
        <v>674</v>
      </c>
      <c r="D1144" s="552" t="s">
        <v>710</v>
      </c>
      <c r="E1144" s="551"/>
      <c r="F1144" s="551"/>
      <c r="G1144" s="551"/>
      <c r="H1144" s="551"/>
      <c r="I1144" s="551"/>
      <c r="J1144" s="551"/>
      <c r="K1144" s="551"/>
      <c r="L1144" s="551"/>
      <c r="M1144" s="551"/>
      <c r="N1144" s="551"/>
      <c r="O1144" s="551"/>
      <c r="P1144" s="551"/>
      <c r="Q1144" s="551"/>
      <c r="R1144" s="550"/>
      <c r="S1144" s="546">
        <f t="shared" si="198"/>
        <v>0</v>
      </c>
      <c r="T1144" s="547">
        <f t="shared" si="199"/>
        <v>0</v>
      </c>
      <c r="U1144" s="546">
        <f t="shared" si="200"/>
        <v>0</v>
      </c>
      <c r="W1144" s="350">
        <f t="shared" si="197"/>
        <v>0</v>
      </c>
      <c r="X1144" s="285">
        <f t="shared" si="201"/>
        <v>0</v>
      </c>
    </row>
    <row r="1145" spans="1:24" ht="12" thickBot="1">
      <c r="A1145" s="596" t="s">
        <v>1500</v>
      </c>
      <c r="B1145" s="541" t="s">
        <v>1152</v>
      </c>
      <c r="C1145" s="541" t="s">
        <v>1153</v>
      </c>
      <c r="D1145" s="552" t="s">
        <v>710</v>
      </c>
      <c r="E1145" s="545"/>
      <c r="F1145" s="545"/>
      <c r="G1145" s="545"/>
      <c r="H1145" s="545"/>
      <c r="I1145" s="545"/>
      <c r="J1145" s="545"/>
      <c r="K1145" s="545"/>
      <c r="L1145" s="545"/>
      <c r="M1145" s="545"/>
      <c r="N1145" s="545"/>
      <c r="O1145" s="545"/>
      <c r="P1145" s="545"/>
      <c r="Q1145" s="545"/>
      <c r="R1145" s="544"/>
      <c r="S1145" s="546">
        <f t="shared" si="198"/>
        <v>0</v>
      </c>
      <c r="T1145" s="547">
        <f t="shared" si="199"/>
        <v>0</v>
      </c>
      <c r="U1145" s="546">
        <f t="shared" si="200"/>
        <v>0</v>
      </c>
      <c r="W1145" s="350">
        <f t="shared" si="197"/>
        <v>0</v>
      </c>
      <c r="X1145" s="285">
        <f t="shared" si="201"/>
        <v>0</v>
      </c>
    </row>
    <row r="1146" spans="1:24" ht="12" thickBot="1">
      <c r="A1146" s="596" t="s">
        <v>1500</v>
      </c>
      <c r="B1146" s="541" t="s">
        <v>434</v>
      </c>
      <c r="C1146" s="541" t="s">
        <v>1154</v>
      </c>
      <c r="D1146" s="552" t="s">
        <v>1158</v>
      </c>
      <c r="E1146" s="549"/>
      <c r="F1146" s="550"/>
      <c r="G1146" s="550"/>
      <c r="H1146" s="550"/>
      <c r="I1146" s="551"/>
      <c r="J1146" s="551"/>
      <c r="K1146" s="551"/>
      <c r="L1146" s="551"/>
      <c r="M1146" s="551"/>
      <c r="N1146" s="551"/>
      <c r="O1146" s="551"/>
      <c r="P1146" s="551"/>
      <c r="Q1146" s="551"/>
      <c r="R1146" s="550"/>
      <c r="S1146" s="546">
        <f t="shared" si="198"/>
        <v>0</v>
      </c>
      <c r="T1146" s="547">
        <f t="shared" si="199"/>
        <v>0</v>
      </c>
      <c r="U1146" s="546">
        <f t="shared" si="200"/>
        <v>0</v>
      </c>
      <c r="W1146" s="350">
        <f t="shared" si="197"/>
        <v>0</v>
      </c>
      <c r="X1146" s="285">
        <f t="shared" si="201"/>
        <v>0</v>
      </c>
    </row>
    <row r="1147" spans="1:24" ht="12" thickBot="1">
      <c r="A1147" s="596" t="s">
        <v>1500</v>
      </c>
      <c r="B1147" s="562" t="s">
        <v>8</v>
      </c>
      <c r="C1147" s="563"/>
      <c r="D1147" s="557"/>
      <c r="E1147" s="558"/>
      <c r="F1147" s="559"/>
      <c r="G1147" s="559"/>
      <c r="H1147" s="559"/>
      <c r="I1147" s="559"/>
      <c r="J1147" s="559"/>
      <c r="K1147" s="559"/>
      <c r="L1147" s="559"/>
      <c r="M1147" s="559"/>
      <c r="N1147" s="559"/>
      <c r="O1147" s="559"/>
      <c r="P1147" s="559"/>
      <c r="Q1147" s="559"/>
      <c r="R1147" s="559"/>
      <c r="S1147" s="546">
        <f t="shared" si="198"/>
        <v>0</v>
      </c>
      <c r="T1147" s="547">
        <f t="shared" si="199"/>
        <v>0</v>
      </c>
      <c r="U1147" s="546">
        <f t="shared" si="200"/>
        <v>0</v>
      </c>
      <c r="W1147" s="350">
        <f t="shared" si="197"/>
        <v>0</v>
      </c>
      <c r="X1147" s="285">
        <f t="shared" si="201"/>
        <v>0</v>
      </c>
    </row>
    <row r="1148" spans="1:24" ht="12" thickBot="1">
      <c r="A1148" s="596" t="s">
        <v>1501</v>
      </c>
      <c r="B1148" s="541" t="s">
        <v>424</v>
      </c>
      <c r="C1148" s="541" t="s">
        <v>444</v>
      </c>
      <c r="D1148" s="542" t="s">
        <v>724</v>
      </c>
      <c r="E1148" s="543"/>
      <c r="F1148" s="544"/>
      <c r="G1148" s="544"/>
      <c r="H1148" s="545"/>
      <c r="I1148" s="545"/>
      <c r="J1148" s="545"/>
      <c r="K1148" s="545"/>
      <c r="L1148" s="545"/>
      <c r="M1148" s="545"/>
      <c r="N1148" s="545"/>
      <c r="O1148" s="545"/>
      <c r="P1148" s="545"/>
      <c r="Q1148" s="545"/>
      <c r="R1148" s="544"/>
      <c r="S1148" s="546">
        <f t="shared" si="198"/>
        <v>0</v>
      </c>
      <c r="T1148" s="547">
        <f t="shared" si="199"/>
        <v>0</v>
      </c>
      <c r="U1148" s="546">
        <f t="shared" si="200"/>
        <v>0</v>
      </c>
      <c r="W1148" s="350">
        <f t="shared" si="197"/>
        <v>0</v>
      </c>
      <c r="X1148" s="285">
        <f t="shared" si="201"/>
        <v>0</v>
      </c>
    </row>
    <row r="1149" spans="1:24" ht="12" thickBot="1">
      <c r="A1149" s="596" t="s">
        <v>1501</v>
      </c>
      <c r="B1149" s="541" t="s">
        <v>425</v>
      </c>
      <c r="C1149" s="541" t="s">
        <v>445</v>
      </c>
      <c r="D1149" s="542" t="s">
        <v>724</v>
      </c>
      <c r="E1149" s="549"/>
      <c r="F1149" s="550"/>
      <c r="G1149" s="550"/>
      <c r="H1149" s="551"/>
      <c r="I1149" s="551"/>
      <c r="J1149" s="551"/>
      <c r="K1149" s="551"/>
      <c r="L1149" s="551"/>
      <c r="M1149" s="551"/>
      <c r="N1149" s="551"/>
      <c r="O1149" s="551"/>
      <c r="P1149" s="551"/>
      <c r="Q1149" s="551"/>
      <c r="R1149" s="550"/>
      <c r="S1149" s="546">
        <f t="shared" si="198"/>
        <v>0</v>
      </c>
      <c r="T1149" s="547">
        <f t="shared" si="199"/>
        <v>0</v>
      </c>
      <c r="U1149" s="546">
        <f t="shared" si="200"/>
        <v>0</v>
      </c>
      <c r="W1149" s="350">
        <f t="shared" si="197"/>
        <v>0</v>
      </c>
      <c r="X1149" s="285">
        <f t="shared" si="201"/>
        <v>0</v>
      </c>
    </row>
    <row r="1150" spans="1:24" ht="12" thickBot="1">
      <c r="A1150" s="596" t="s">
        <v>1501</v>
      </c>
      <c r="B1150" s="541" t="s">
        <v>433</v>
      </c>
      <c r="C1150" s="541" t="s">
        <v>432</v>
      </c>
      <c r="D1150" s="552" t="s">
        <v>1155</v>
      </c>
      <c r="E1150" s="543"/>
      <c r="F1150" s="545"/>
      <c r="G1150" s="544"/>
      <c r="H1150" s="545"/>
      <c r="I1150" s="545"/>
      <c r="J1150" s="545"/>
      <c r="K1150" s="545"/>
      <c r="L1150" s="545"/>
      <c r="M1150" s="545"/>
      <c r="N1150" s="545"/>
      <c r="O1150" s="545"/>
      <c r="P1150" s="545"/>
      <c r="Q1150" s="545"/>
      <c r="R1150" s="544"/>
      <c r="S1150" s="546">
        <f t="shared" si="198"/>
        <v>0</v>
      </c>
      <c r="T1150" s="547">
        <f t="shared" si="199"/>
        <v>0</v>
      </c>
      <c r="U1150" s="546">
        <f t="shared" si="200"/>
        <v>0</v>
      </c>
      <c r="W1150" s="350">
        <f t="shared" si="197"/>
        <v>0</v>
      </c>
      <c r="X1150" s="285">
        <f t="shared" si="201"/>
        <v>0</v>
      </c>
    </row>
    <row r="1151" spans="1:24" ht="12" thickBot="1">
      <c r="A1151" s="596" t="s">
        <v>1501</v>
      </c>
      <c r="B1151" s="541" t="s">
        <v>431</v>
      </c>
      <c r="C1151" s="541" t="s">
        <v>430</v>
      </c>
      <c r="D1151" s="553" t="s">
        <v>1155</v>
      </c>
      <c r="E1151" s="549"/>
      <c r="F1151" s="551"/>
      <c r="G1151" s="550"/>
      <c r="H1151" s="551"/>
      <c r="I1151" s="551"/>
      <c r="J1151" s="551"/>
      <c r="K1151" s="551"/>
      <c r="L1151" s="551"/>
      <c r="M1151" s="551"/>
      <c r="N1151" s="551"/>
      <c r="O1151" s="551"/>
      <c r="P1151" s="551"/>
      <c r="Q1151" s="551"/>
      <c r="R1151" s="550"/>
      <c r="S1151" s="546">
        <f t="shared" si="198"/>
        <v>0</v>
      </c>
      <c r="T1151" s="547">
        <f t="shared" si="199"/>
        <v>0</v>
      </c>
      <c r="U1151" s="546">
        <f t="shared" si="200"/>
        <v>0</v>
      </c>
      <c r="W1151" s="350">
        <f t="shared" si="197"/>
        <v>0</v>
      </c>
      <c r="X1151" s="285"/>
    </row>
    <row r="1152" spans="1:24" ht="12" thickBot="1">
      <c r="A1152" s="596" t="s">
        <v>1501</v>
      </c>
      <c r="B1152" s="541" t="s">
        <v>1048</v>
      </c>
      <c r="C1152" s="541" t="s">
        <v>1049</v>
      </c>
      <c r="D1152" s="553" t="s">
        <v>1146</v>
      </c>
      <c r="E1152" s="545"/>
      <c r="F1152" s="545"/>
      <c r="G1152" s="545"/>
      <c r="H1152" s="545"/>
      <c r="I1152" s="545"/>
      <c r="J1152" s="545"/>
      <c r="K1152" s="545"/>
      <c r="L1152" s="545"/>
      <c r="M1152" s="545"/>
      <c r="N1152" s="545"/>
      <c r="O1152" s="545"/>
      <c r="P1152" s="545"/>
      <c r="Q1152" s="545"/>
      <c r="R1152" s="545"/>
      <c r="S1152" s="546"/>
      <c r="T1152" s="547"/>
      <c r="U1152" s="546"/>
      <c r="W1152" s="350">
        <f t="shared" si="197"/>
        <v>0</v>
      </c>
      <c r="X1152" s="285"/>
    </row>
    <row r="1153" spans="1:24" ht="12" thickBot="1">
      <c r="A1153" s="596" t="s">
        <v>1501</v>
      </c>
      <c r="B1153" s="541" t="s">
        <v>152</v>
      </c>
      <c r="C1153" s="541" t="s">
        <v>57</v>
      </c>
      <c r="D1153" s="553" t="s">
        <v>18</v>
      </c>
      <c r="E1153" s="549">
        <f t="shared" ref="E1153:E1199" si="202">ROUND(SUMIFS(E$1721:E$1888,$A$1721:$A$1888,$A1153,$B$1721:$B$1888,$B1153),0)</f>
        <v>118627727</v>
      </c>
      <c r="F1153" s="988">
        <f t="shared" ref="F1153:P1162" si="203">ROUND(SUMIFS(F$1721:F$1901,$A$1721:$A$1901,$A1153,$B$1721:$B$1901,$B1153),0)</f>
        <v>24000</v>
      </c>
      <c r="G1153" s="988">
        <f t="shared" si="203"/>
        <v>880218</v>
      </c>
      <c r="H1153" s="988">
        <f t="shared" si="203"/>
        <v>3430714</v>
      </c>
      <c r="I1153" s="988">
        <f t="shared" si="203"/>
        <v>0</v>
      </c>
      <c r="J1153" s="988">
        <f t="shared" si="203"/>
        <v>209558</v>
      </c>
      <c r="K1153" s="988">
        <f t="shared" si="203"/>
        <v>2143663</v>
      </c>
      <c r="L1153" s="988">
        <f t="shared" si="203"/>
        <v>0</v>
      </c>
      <c r="M1153" s="988">
        <f t="shared" si="203"/>
        <v>49766</v>
      </c>
      <c r="N1153" s="988">
        <f t="shared" si="203"/>
        <v>0</v>
      </c>
      <c r="O1153" s="988">
        <f t="shared" si="203"/>
        <v>675681</v>
      </c>
      <c r="P1153" s="988">
        <f t="shared" si="203"/>
        <v>0</v>
      </c>
      <c r="Q1153" s="988"/>
      <c r="R1153" s="988">
        <f t="shared" ref="R1153:R1199" si="204">ROUND(SUMIFS(R$1721:R$1901,$A$1721:$A$1901,$A1153,$B$1721:$B$1901,$B1153),0)</f>
        <v>7413600</v>
      </c>
      <c r="S1153" s="546">
        <f t="shared" ref="S1153:S1216" si="205">G1153+H1153+I1153</f>
        <v>4310932</v>
      </c>
      <c r="T1153" s="547">
        <f t="shared" ref="T1153:T1216" si="206">J1153+K1153</f>
        <v>2353221</v>
      </c>
      <c r="U1153" s="546">
        <f t="shared" ref="U1153:U1216" si="207">N1153+O1153</f>
        <v>675681</v>
      </c>
      <c r="W1153" s="350">
        <f t="shared" si="197"/>
        <v>7413600</v>
      </c>
      <c r="X1153" s="285">
        <f t="shared" ref="X1153:X1216" si="208">W1153-R1153</f>
        <v>0</v>
      </c>
    </row>
    <row r="1154" spans="1:24" ht="12" thickBot="1">
      <c r="A1154" s="596" t="s">
        <v>1501</v>
      </c>
      <c r="B1154" s="541" t="s">
        <v>153</v>
      </c>
      <c r="C1154" s="541" t="s">
        <v>180</v>
      </c>
      <c r="D1154" s="542" t="s">
        <v>25</v>
      </c>
      <c r="E1154" s="549">
        <f t="shared" si="202"/>
        <v>17906267</v>
      </c>
      <c r="F1154" s="988">
        <f t="shared" si="203"/>
        <v>34170</v>
      </c>
      <c r="G1154" s="988">
        <f t="shared" si="203"/>
        <v>119972</v>
      </c>
      <c r="H1154" s="988">
        <f t="shared" si="203"/>
        <v>517849</v>
      </c>
      <c r="I1154" s="988">
        <f t="shared" si="203"/>
        <v>0</v>
      </c>
      <c r="J1154" s="988">
        <f t="shared" si="203"/>
        <v>65088</v>
      </c>
      <c r="K1154" s="988">
        <f t="shared" si="203"/>
        <v>855788</v>
      </c>
      <c r="L1154" s="988">
        <f t="shared" si="203"/>
        <v>33816</v>
      </c>
      <c r="M1154" s="988">
        <f t="shared" si="203"/>
        <v>7512</v>
      </c>
      <c r="N1154" s="988">
        <f t="shared" si="203"/>
        <v>0</v>
      </c>
      <c r="O1154" s="988">
        <f t="shared" si="203"/>
        <v>101991</v>
      </c>
      <c r="P1154" s="988">
        <f t="shared" si="203"/>
        <v>0</v>
      </c>
      <c r="Q1154" s="988"/>
      <c r="R1154" s="988">
        <f t="shared" si="204"/>
        <v>1736187</v>
      </c>
      <c r="S1154" s="546">
        <f t="shared" si="205"/>
        <v>637821</v>
      </c>
      <c r="T1154" s="547">
        <f t="shared" si="206"/>
        <v>920876</v>
      </c>
      <c r="U1154" s="546">
        <f t="shared" si="207"/>
        <v>101991</v>
      </c>
      <c r="W1154" s="350">
        <f t="shared" si="197"/>
        <v>1736186</v>
      </c>
      <c r="X1154" s="285">
        <f t="shared" si="208"/>
        <v>-1</v>
      </c>
    </row>
    <row r="1155" spans="1:24" ht="12" thickBot="1">
      <c r="A1155" s="596" t="s">
        <v>1501</v>
      </c>
      <c r="B1155" s="541" t="s">
        <v>154</v>
      </c>
      <c r="C1155" s="541" t="s">
        <v>181</v>
      </c>
      <c r="D1155" s="542" t="s">
        <v>24</v>
      </c>
      <c r="E1155" s="549">
        <f t="shared" si="202"/>
        <v>178051436</v>
      </c>
      <c r="F1155" s="988">
        <f t="shared" si="203"/>
        <v>422100</v>
      </c>
      <c r="G1155" s="988">
        <f t="shared" si="203"/>
        <v>1196506</v>
      </c>
      <c r="H1155" s="988">
        <f t="shared" si="203"/>
        <v>5149248</v>
      </c>
      <c r="I1155" s="988">
        <f t="shared" si="203"/>
        <v>0</v>
      </c>
      <c r="J1155" s="988">
        <f t="shared" si="203"/>
        <v>738879</v>
      </c>
      <c r="K1155" s="988">
        <f t="shared" si="203"/>
        <v>9728569</v>
      </c>
      <c r="L1155" s="988">
        <f t="shared" si="203"/>
        <v>336255</v>
      </c>
      <c r="M1155" s="988">
        <f t="shared" si="203"/>
        <v>74695</v>
      </c>
      <c r="N1155" s="988">
        <f t="shared" si="203"/>
        <v>0</v>
      </c>
      <c r="O1155" s="988">
        <f t="shared" si="203"/>
        <v>1014147</v>
      </c>
      <c r="P1155" s="988">
        <f t="shared" si="203"/>
        <v>0</v>
      </c>
      <c r="Q1155" s="988"/>
      <c r="R1155" s="988">
        <f t="shared" si="204"/>
        <v>18660399</v>
      </c>
      <c r="S1155" s="546">
        <f t="shared" si="205"/>
        <v>6345754</v>
      </c>
      <c r="T1155" s="547">
        <f t="shared" si="206"/>
        <v>10467448</v>
      </c>
      <c r="U1155" s="546">
        <f t="shared" si="207"/>
        <v>1014147</v>
      </c>
      <c r="W1155" s="350">
        <f t="shared" si="197"/>
        <v>18660399</v>
      </c>
      <c r="X1155" s="285">
        <f t="shared" si="208"/>
        <v>0</v>
      </c>
    </row>
    <row r="1156" spans="1:24" ht="12" thickBot="1">
      <c r="A1156" s="596" t="s">
        <v>1501</v>
      </c>
      <c r="B1156" s="541" t="s">
        <v>155</v>
      </c>
      <c r="C1156" s="541" t="s">
        <v>182</v>
      </c>
      <c r="D1156" s="554" t="s">
        <v>205</v>
      </c>
      <c r="E1156" s="549">
        <f t="shared" si="202"/>
        <v>233921558</v>
      </c>
      <c r="F1156" s="988">
        <f t="shared" si="203"/>
        <v>15600</v>
      </c>
      <c r="G1156" s="988">
        <f t="shared" si="203"/>
        <v>2042135</v>
      </c>
      <c r="H1156" s="988">
        <f t="shared" si="203"/>
        <v>6765011</v>
      </c>
      <c r="I1156" s="988">
        <f t="shared" si="203"/>
        <v>0</v>
      </c>
      <c r="J1156" s="988">
        <f t="shared" si="203"/>
        <v>409887</v>
      </c>
      <c r="K1156" s="988">
        <f t="shared" si="203"/>
        <v>4160193</v>
      </c>
      <c r="L1156" s="988">
        <f t="shared" si="203"/>
        <v>441767</v>
      </c>
      <c r="M1156" s="988">
        <f t="shared" si="203"/>
        <v>98134</v>
      </c>
      <c r="N1156" s="988">
        <f t="shared" si="203"/>
        <v>0</v>
      </c>
      <c r="O1156" s="988">
        <f t="shared" si="203"/>
        <v>1332372</v>
      </c>
      <c r="P1156" s="988">
        <f t="shared" si="203"/>
        <v>0</v>
      </c>
      <c r="Q1156" s="988"/>
      <c r="R1156" s="988">
        <f t="shared" si="204"/>
        <v>15265101</v>
      </c>
      <c r="S1156" s="546">
        <f t="shared" si="205"/>
        <v>8807146</v>
      </c>
      <c r="T1156" s="547">
        <f t="shared" si="206"/>
        <v>4570080</v>
      </c>
      <c r="U1156" s="546">
        <f t="shared" si="207"/>
        <v>1332372</v>
      </c>
      <c r="W1156" s="350">
        <f t="shared" si="197"/>
        <v>15265099</v>
      </c>
      <c r="X1156" s="285">
        <f t="shared" si="208"/>
        <v>-2</v>
      </c>
    </row>
    <row r="1157" spans="1:24" ht="12" thickBot="1">
      <c r="A1157" s="596" t="s">
        <v>1501</v>
      </c>
      <c r="B1157" s="541" t="s">
        <v>156</v>
      </c>
      <c r="C1157" s="541" t="s">
        <v>183</v>
      </c>
      <c r="D1157" s="554" t="s">
        <v>25</v>
      </c>
      <c r="E1157" s="549">
        <f t="shared" si="202"/>
        <v>0</v>
      </c>
      <c r="F1157" s="988">
        <f t="shared" si="203"/>
        <v>0</v>
      </c>
      <c r="G1157" s="988">
        <f t="shared" si="203"/>
        <v>0</v>
      </c>
      <c r="H1157" s="988">
        <f t="shared" si="203"/>
        <v>0</v>
      </c>
      <c r="I1157" s="988">
        <f t="shared" si="203"/>
        <v>0</v>
      </c>
      <c r="J1157" s="988">
        <f t="shared" si="203"/>
        <v>0</v>
      </c>
      <c r="K1157" s="988">
        <f t="shared" si="203"/>
        <v>0</v>
      </c>
      <c r="L1157" s="988">
        <f t="shared" si="203"/>
        <v>0</v>
      </c>
      <c r="M1157" s="988">
        <f t="shared" si="203"/>
        <v>0</v>
      </c>
      <c r="N1157" s="988">
        <f t="shared" si="203"/>
        <v>0</v>
      </c>
      <c r="O1157" s="988">
        <f t="shared" si="203"/>
        <v>0</v>
      </c>
      <c r="P1157" s="988">
        <f t="shared" si="203"/>
        <v>0</v>
      </c>
      <c r="Q1157" s="988"/>
      <c r="R1157" s="988">
        <f t="shared" si="204"/>
        <v>0</v>
      </c>
      <c r="S1157" s="546">
        <f t="shared" si="205"/>
        <v>0</v>
      </c>
      <c r="T1157" s="547">
        <f t="shared" si="206"/>
        <v>0</v>
      </c>
      <c r="U1157" s="546">
        <f t="shared" si="207"/>
        <v>0</v>
      </c>
      <c r="W1157" s="350">
        <f t="shared" si="197"/>
        <v>0</v>
      </c>
      <c r="X1157" s="285">
        <f t="shared" si="208"/>
        <v>0</v>
      </c>
    </row>
    <row r="1158" spans="1:24" ht="12" thickBot="1">
      <c r="A1158" s="596" t="s">
        <v>1501</v>
      </c>
      <c r="B1158" s="541" t="s">
        <v>157</v>
      </c>
      <c r="C1158" s="541" t="s">
        <v>184</v>
      </c>
      <c r="D1158" s="554" t="s">
        <v>24</v>
      </c>
      <c r="E1158" s="549">
        <f t="shared" si="202"/>
        <v>0</v>
      </c>
      <c r="F1158" s="988">
        <f t="shared" si="203"/>
        <v>0</v>
      </c>
      <c r="G1158" s="988">
        <f t="shared" si="203"/>
        <v>0</v>
      </c>
      <c r="H1158" s="988">
        <f t="shared" si="203"/>
        <v>0</v>
      </c>
      <c r="I1158" s="988">
        <f t="shared" si="203"/>
        <v>0</v>
      </c>
      <c r="J1158" s="988">
        <f t="shared" si="203"/>
        <v>0</v>
      </c>
      <c r="K1158" s="988">
        <f t="shared" si="203"/>
        <v>0</v>
      </c>
      <c r="L1158" s="988">
        <f t="shared" si="203"/>
        <v>0</v>
      </c>
      <c r="M1158" s="988">
        <f t="shared" si="203"/>
        <v>0</v>
      </c>
      <c r="N1158" s="988">
        <f t="shared" si="203"/>
        <v>0</v>
      </c>
      <c r="O1158" s="988">
        <f t="shared" si="203"/>
        <v>0</v>
      </c>
      <c r="P1158" s="988">
        <f t="shared" si="203"/>
        <v>0</v>
      </c>
      <c r="Q1158" s="988"/>
      <c r="R1158" s="988">
        <f t="shared" si="204"/>
        <v>0</v>
      </c>
      <c r="S1158" s="546">
        <f t="shared" si="205"/>
        <v>0</v>
      </c>
      <c r="T1158" s="547">
        <f t="shared" si="206"/>
        <v>0</v>
      </c>
      <c r="U1158" s="546">
        <f t="shared" si="207"/>
        <v>0</v>
      </c>
      <c r="W1158" s="350">
        <f t="shared" ref="W1158:W1221" si="209">SUM(F1158:Q1158)</f>
        <v>0</v>
      </c>
      <c r="X1158" s="285">
        <f t="shared" si="208"/>
        <v>0</v>
      </c>
    </row>
    <row r="1159" spans="1:24" ht="12" thickBot="1">
      <c r="A1159" s="596" t="s">
        <v>1501</v>
      </c>
      <c r="B1159" s="541" t="s">
        <v>158</v>
      </c>
      <c r="C1159" s="541" t="s">
        <v>185</v>
      </c>
      <c r="D1159" s="542" t="s">
        <v>205</v>
      </c>
      <c r="E1159" s="549">
        <f t="shared" si="202"/>
        <v>98398740</v>
      </c>
      <c r="F1159" s="988">
        <f t="shared" si="203"/>
        <v>59100</v>
      </c>
      <c r="G1159" s="988">
        <f t="shared" si="203"/>
        <v>859021</v>
      </c>
      <c r="H1159" s="988">
        <f t="shared" si="203"/>
        <v>2845692</v>
      </c>
      <c r="I1159" s="988">
        <f t="shared" si="203"/>
        <v>0</v>
      </c>
      <c r="J1159" s="988">
        <f t="shared" si="203"/>
        <v>204795</v>
      </c>
      <c r="K1159" s="988">
        <f t="shared" si="203"/>
        <v>2061455</v>
      </c>
      <c r="L1159" s="988">
        <f t="shared" si="203"/>
        <v>185829</v>
      </c>
      <c r="M1159" s="988">
        <f t="shared" si="203"/>
        <v>41280</v>
      </c>
      <c r="N1159" s="988">
        <f t="shared" si="203"/>
        <v>0</v>
      </c>
      <c r="O1159" s="988">
        <f t="shared" si="203"/>
        <v>560460</v>
      </c>
      <c r="P1159" s="988">
        <f t="shared" si="203"/>
        <v>0</v>
      </c>
      <c r="Q1159" s="988"/>
      <c r="R1159" s="988">
        <f t="shared" si="204"/>
        <v>6817632</v>
      </c>
      <c r="S1159" s="546">
        <f t="shared" si="205"/>
        <v>3704713</v>
      </c>
      <c r="T1159" s="547">
        <f t="shared" si="206"/>
        <v>2266250</v>
      </c>
      <c r="U1159" s="546">
        <f t="shared" si="207"/>
        <v>560460</v>
      </c>
      <c r="W1159" s="350">
        <f t="shared" si="209"/>
        <v>6817632</v>
      </c>
      <c r="X1159" s="285">
        <f t="shared" si="208"/>
        <v>0</v>
      </c>
    </row>
    <row r="1160" spans="1:24" ht="12" thickBot="1">
      <c r="A1160" s="596" t="s">
        <v>1501</v>
      </c>
      <c r="B1160" s="541" t="s">
        <v>159</v>
      </c>
      <c r="C1160" s="541" t="s">
        <v>186</v>
      </c>
      <c r="D1160" s="542" t="s">
        <v>204</v>
      </c>
      <c r="E1160" s="549">
        <f t="shared" si="202"/>
        <v>133838239</v>
      </c>
      <c r="F1160" s="988">
        <f t="shared" si="203"/>
        <v>92600</v>
      </c>
      <c r="G1160" s="988">
        <f t="shared" si="203"/>
        <v>1179115</v>
      </c>
      <c r="H1160" s="988">
        <f t="shared" si="203"/>
        <v>3870602</v>
      </c>
      <c r="I1160" s="988">
        <f t="shared" si="203"/>
        <v>0</v>
      </c>
      <c r="J1160" s="988">
        <f t="shared" si="203"/>
        <v>351088</v>
      </c>
      <c r="K1160" s="988">
        <f t="shared" si="203"/>
        <v>3584571</v>
      </c>
      <c r="L1160" s="988">
        <f t="shared" si="203"/>
        <v>252757</v>
      </c>
      <c r="M1160" s="988">
        <f t="shared" si="203"/>
        <v>56147</v>
      </c>
      <c r="N1160" s="988">
        <f t="shared" si="203"/>
        <v>0</v>
      </c>
      <c r="O1160" s="988">
        <f t="shared" si="203"/>
        <v>762317</v>
      </c>
      <c r="P1160" s="988">
        <f t="shared" si="203"/>
        <v>0</v>
      </c>
      <c r="Q1160" s="988"/>
      <c r="R1160" s="988">
        <f t="shared" si="204"/>
        <v>10149197</v>
      </c>
      <c r="S1160" s="546">
        <f t="shared" si="205"/>
        <v>5049717</v>
      </c>
      <c r="T1160" s="547">
        <f t="shared" si="206"/>
        <v>3935659</v>
      </c>
      <c r="U1160" s="546">
        <f t="shared" si="207"/>
        <v>762317</v>
      </c>
      <c r="W1160" s="350">
        <f t="shared" si="209"/>
        <v>10149197</v>
      </c>
      <c r="X1160" s="285">
        <f t="shared" si="208"/>
        <v>0</v>
      </c>
    </row>
    <row r="1161" spans="1:24" ht="12" thickBot="1">
      <c r="A1161" s="596" t="s">
        <v>1501</v>
      </c>
      <c r="B1161" s="541" t="s">
        <v>160</v>
      </c>
      <c r="C1161" s="541" t="s">
        <v>187</v>
      </c>
      <c r="D1161" s="542" t="s">
        <v>24</v>
      </c>
      <c r="E1161" s="549">
        <f t="shared" si="202"/>
        <v>0</v>
      </c>
      <c r="F1161" s="988">
        <f t="shared" si="203"/>
        <v>0</v>
      </c>
      <c r="G1161" s="988">
        <f t="shared" si="203"/>
        <v>0</v>
      </c>
      <c r="H1161" s="988">
        <f t="shared" si="203"/>
        <v>0</v>
      </c>
      <c r="I1161" s="988">
        <f t="shared" si="203"/>
        <v>0</v>
      </c>
      <c r="J1161" s="988">
        <f t="shared" si="203"/>
        <v>0</v>
      </c>
      <c r="K1161" s="988">
        <f t="shared" si="203"/>
        <v>0</v>
      </c>
      <c r="L1161" s="988">
        <f t="shared" si="203"/>
        <v>0</v>
      </c>
      <c r="M1161" s="988">
        <f t="shared" si="203"/>
        <v>0</v>
      </c>
      <c r="N1161" s="988">
        <f t="shared" si="203"/>
        <v>0</v>
      </c>
      <c r="O1161" s="988">
        <f t="shared" si="203"/>
        <v>0</v>
      </c>
      <c r="P1161" s="988">
        <f t="shared" si="203"/>
        <v>0</v>
      </c>
      <c r="Q1161" s="988"/>
      <c r="R1161" s="988">
        <f t="shared" si="204"/>
        <v>0</v>
      </c>
      <c r="S1161" s="546">
        <f t="shared" si="205"/>
        <v>0</v>
      </c>
      <c r="T1161" s="547">
        <f t="shared" si="206"/>
        <v>0</v>
      </c>
      <c r="U1161" s="546">
        <f t="shared" si="207"/>
        <v>0</v>
      </c>
      <c r="W1161" s="350">
        <f t="shared" si="209"/>
        <v>0</v>
      </c>
      <c r="X1161" s="285">
        <f t="shared" si="208"/>
        <v>0</v>
      </c>
    </row>
    <row r="1162" spans="1:24" ht="12" thickBot="1">
      <c r="A1162" s="596" t="s">
        <v>1501</v>
      </c>
      <c r="B1162" s="541" t="s">
        <v>1050</v>
      </c>
      <c r="C1162" s="541" t="s">
        <v>1049</v>
      </c>
      <c r="D1162" s="542" t="s">
        <v>1146</v>
      </c>
      <c r="E1162" s="549">
        <f t="shared" si="202"/>
        <v>0</v>
      </c>
      <c r="F1162" s="988">
        <f t="shared" si="203"/>
        <v>0</v>
      </c>
      <c r="G1162" s="988">
        <f t="shared" si="203"/>
        <v>0</v>
      </c>
      <c r="H1162" s="988">
        <f t="shared" si="203"/>
        <v>0</v>
      </c>
      <c r="I1162" s="988">
        <f t="shared" si="203"/>
        <v>0</v>
      </c>
      <c r="J1162" s="988">
        <f t="shared" si="203"/>
        <v>0</v>
      </c>
      <c r="K1162" s="988">
        <f t="shared" si="203"/>
        <v>0</v>
      </c>
      <c r="L1162" s="988">
        <f t="shared" si="203"/>
        <v>0</v>
      </c>
      <c r="M1162" s="988">
        <f t="shared" si="203"/>
        <v>0</v>
      </c>
      <c r="N1162" s="988">
        <f t="shared" si="203"/>
        <v>0</v>
      </c>
      <c r="O1162" s="988">
        <f t="shared" si="203"/>
        <v>0</v>
      </c>
      <c r="P1162" s="988">
        <f t="shared" si="203"/>
        <v>0</v>
      </c>
      <c r="Q1162" s="988"/>
      <c r="R1162" s="988">
        <f t="shared" si="204"/>
        <v>0</v>
      </c>
      <c r="S1162" s="546">
        <f t="shared" si="205"/>
        <v>0</v>
      </c>
      <c r="T1162" s="547">
        <f t="shared" si="206"/>
        <v>0</v>
      </c>
      <c r="U1162" s="546">
        <f t="shared" si="207"/>
        <v>0</v>
      </c>
      <c r="W1162" s="350">
        <f t="shared" si="209"/>
        <v>0</v>
      </c>
      <c r="X1162" s="285">
        <f t="shared" si="208"/>
        <v>0</v>
      </c>
    </row>
    <row r="1163" spans="1:24" ht="12" thickBot="1">
      <c r="A1163" s="596" t="s">
        <v>1501</v>
      </c>
      <c r="B1163" s="541" t="s">
        <v>161</v>
      </c>
      <c r="C1163" s="541" t="s">
        <v>476</v>
      </c>
      <c r="D1163" s="541" t="s">
        <v>208</v>
      </c>
      <c r="E1163" s="549">
        <f t="shared" si="202"/>
        <v>60603647</v>
      </c>
      <c r="F1163" s="988">
        <f t="shared" ref="F1163:P1172" si="210">ROUND(SUMIFS(F$1721:F$1901,$A$1721:$A$1901,$A1163,$B$1721:$B$1901,$B1163),0)</f>
        <v>1270122</v>
      </c>
      <c r="G1163" s="988">
        <f t="shared" si="210"/>
        <v>3552586</v>
      </c>
      <c r="H1163" s="988">
        <f t="shared" si="210"/>
        <v>1752657</v>
      </c>
      <c r="I1163" s="988">
        <f t="shared" si="210"/>
        <v>285443</v>
      </c>
      <c r="J1163" s="988">
        <f t="shared" si="210"/>
        <v>0</v>
      </c>
      <c r="K1163" s="988">
        <f t="shared" si="210"/>
        <v>0</v>
      </c>
      <c r="L1163" s="988">
        <f t="shared" si="210"/>
        <v>114452</v>
      </c>
      <c r="M1163" s="988">
        <f t="shared" si="210"/>
        <v>25424</v>
      </c>
      <c r="N1163" s="988">
        <f t="shared" si="210"/>
        <v>0</v>
      </c>
      <c r="O1163" s="988">
        <f t="shared" si="210"/>
        <v>345187</v>
      </c>
      <c r="P1163" s="988">
        <f t="shared" si="210"/>
        <v>0</v>
      </c>
      <c r="Q1163" s="988"/>
      <c r="R1163" s="988">
        <f t="shared" si="204"/>
        <v>7345871</v>
      </c>
      <c r="S1163" s="546">
        <f t="shared" si="205"/>
        <v>5590686</v>
      </c>
      <c r="T1163" s="547">
        <f t="shared" si="206"/>
        <v>0</v>
      </c>
      <c r="U1163" s="546">
        <f t="shared" si="207"/>
        <v>345187</v>
      </c>
      <c r="W1163" s="350">
        <f t="shared" si="209"/>
        <v>7345871</v>
      </c>
      <c r="X1163" s="285">
        <f t="shared" si="208"/>
        <v>0</v>
      </c>
    </row>
    <row r="1164" spans="1:24" ht="12" thickBot="1">
      <c r="A1164" s="596" t="s">
        <v>1501</v>
      </c>
      <c r="B1164" s="541" t="s">
        <v>162</v>
      </c>
      <c r="C1164" s="541" t="s">
        <v>1391</v>
      </c>
      <c r="D1164" s="561" t="s">
        <v>208</v>
      </c>
      <c r="E1164" s="549">
        <f t="shared" si="202"/>
        <v>0</v>
      </c>
      <c r="F1164" s="988">
        <f t="shared" si="210"/>
        <v>0</v>
      </c>
      <c r="G1164" s="988">
        <f t="shared" si="210"/>
        <v>0</v>
      </c>
      <c r="H1164" s="988">
        <f t="shared" si="210"/>
        <v>0</v>
      </c>
      <c r="I1164" s="988">
        <f t="shared" si="210"/>
        <v>0</v>
      </c>
      <c r="J1164" s="988">
        <f t="shared" si="210"/>
        <v>0</v>
      </c>
      <c r="K1164" s="988">
        <f t="shared" si="210"/>
        <v>0</v>
      </c>
      <c r="L1164" s="988">
        <f t="shared" si="210"/>
        <v>0</v>
      </c>
      <c r="M1164" s="988">
        <f t="shared" si="210"/>
        <v>0</v>
      </c>
      <c r="N1164" s="988">
        <f t="shared" si="210"/>
        <v>0</v>
      </c>
      <c r="O1164" s="988">
        <f t="shared" si="210"/>
        <v>0</v>
      </c>
      <c r="P1164" s="988">
        <f t="shared" si="210"/>
        <v>0</v>
      </c>
      <c r="Q1164" s="988"/>
      <c r="R1164" s="988">
        <f t="shared" si="204"/>
        <v>0</v>
      </c>
      <c r="S1164" s="546">
        <f t="shared" si="205"/>
        <v>0</v>
      </c>
      <c r="T1164" s="547">
        <f t="shared" si="206"/>
        <v>0</v>
      </c>
      <c r="U1164" s="546">
        <f t="shared" si="207"/>
        <v>0</v>
      </c>
      <c r="W1164" s="350">
        <f t="shared" si="209"/>
        <v>0</v>
      </c>
      <c r="X1164" s="285">
        <f t="shared" si="208"/>
        <v>0</v>
      </c>
    </row>
    <row r="1165" spans="1:24" ht="12" thickBot="1">
      <c r="A1165" s="596" t="s">
        <v>1501</v>
      </c>
      <c r="B1165" s="541" t="s">
        <v>163</v>
      </c>
      <c r="C1165" s="541" t="s">
        <v>63</v>
      </c>
      <c r="D1165" s="542" t="s">
        <v>17</v>
      </c>
      <c r="E1165" s="549">
        <f t="shared" si="202"/>
        <v>88529551</v>
      </c>
      <c r="F1165" s="988">
        <f t="shared" si="210"/>
        <v>649736</v>
      </c>
      <c r="G1165" s="988">
        <f t="shared" si="210"/>
        <v>5189602</v>
      </c>
      <c r="H1165" s="988">
        <f t="shared" si="210"/>
        <v>2560275</v>
      </c>
      <c r="I1165" s="988">
        <f t="shared" si="210"/>
        <v>416974</v>
      </c>
      <c r="J1165" s="988">
        <f t="shared" si="210"/>
        <v>0</v>
      </c>
      <c r="K1165" s="988">
        <f t="shared" si="210"/>
        <v>0</v>
      </c>
      <c r="L1165" s="988">
        <f t="shared" si="210"/>
        <v>167191</v>
      </c>
      <c r="M1165" s="988">
        <f t="shared" si="210"/>
        <v>37140</v>
      </c>
      <c r="N1165" s="988">
        <f t="shared" si="210"/>
        <v>504247</v>
      </c>
      <c r="O1165" s="988">
        <f t="shared" si="210"/>
        <v>0</v>
      </c>
      <c r="P1165" s="988">
        <f t="shared" si="210"/>
        <v>0</v>
      </c>
      <c r="Q1165" s="988"/>
      <c r="R1165" s="988">
        <f t="shared" si="204"/>
        <v>9525165</v>
      </c>
      <c r="S1165" s="546">
        <f t="shared" si="205"/>
        <v>8166851</v>
      </c>
      <c r="T1165" s="547">
        <f t="shared" si="206"/>
        <v>0</v>
      </c>
      <c r="U1165" s="546">
        <f t="shared" si="207"/>
        <v>504247</v>
      </c>
      <c r="W1165" s="350">
        <f t="shared" si="209"/>
        <v>9525165</v>
      </c>
      <c r="X1165" s="285">
        <f t="shared" si="208"/>
        <v>0</v>
      </c>
    </row>
    <row r="1166" spans="1:24" ht="12" thickBot="1">
      <c r="A1166" s="596" t="s">
        <v>1501</v>
      </c>
      <c r="B1166" s="541" t="s">
        <v>164</v>
      </c>
      <c r="C1166" s="541" t="s">
        <v>188</v>
      </c>
      <c r="D1166" s="555" t="s">
        <v>203</v>
      </c>
      <c r="E1166" s="549">
        <f t="shared" si="202"/>
        <v>520806</v>
      </c>
      <c r="F1166" s="988">
        <f t="shared" si="210"/>
        <v>7500</v>
      </c>
      <c r="G1166" s="988">
        <f t="shared" si="210"/>
        <v>22046</v>
      </c>
      <c r="H1166" s="988">
        <f t="shared" si="210"/>
        <v>15062</v>
      </c>
      <c r="I1166" s="988">
        <f t="shared" si="210"/>
        <v>1641</v>
      </c>
      <c r="J1166" s="988">
        <f t="shared" si="210"/>
        <v>0</v>
      </c>
      <c r="K1166" s="988">
        <f t="shared" si="210"/>
        <v>0</v>
      </c>
      <c r="L1166" s="988">
        <f t="shared" si="210"/>
        <v>984</v>
      </c>
      <c r="M1166" s="988">
        <f t="shared" si="210"/>
        <v>218</v>
      </c>
      <c r="N1166" s="988">
        <f t="shared" si="210"/>
        <v>2966</v>
      </c>
      <c r="O1166" s="988">
        <f t="shared" si="210"/>
        <v>0</v>
      </c>
      <c r="P1166" s="988">
        <f t="shared" si="210"/>
        <v>0</v>
      </c>
      <c r="Q1166" s="988"/>
      <c r="R1166" s="988">
        <f t="shared" si="204"/>
        <v>50416</v>
      </c>
      <c r="S1166" s="546">
        <f t="shared" si="205"/>
        <v>38749</v>
      </c>
      <c r="T1166" s="547">
        <f t="shared" si="206"/>
        <v>0</v>
      </c>
      <c r="U1166" s="546">
        <f t="shared" si="207"/>
        <v>2966</v>
      </c>
      <c r="W1166" s="350">
        <f t="shared" si="209"/>
        <v>50417</v>
      </c>
      <c r="X1166" s="285">
        <f t="shared" si="208"/>
        <v>1</v>
      </c>
    </row>
    <row r="1167" spans="1:24" ht="12" thickBot="1">
      <c r="A1167" s="596" t="s">
        <v>1501</v>
      </c>
      <c r="B1167" s="541" t="s">
        <v>165</v>
      </c>
      <c r="C1167" s="541" t="s">
        <v>189</v>
      </c>
      <c r="D1167" s="554" t="s">
        <v>211</v>
      </c>
      <c r="E1167" s="549">
        <f t="shared" si="202"/>
        <v>0</v>
      </c>
      <c r="F1167" s="988">
        <f t="shared" si="210"/>
        <v>0</v>
      </c>
      <c r="G1167" s="988">
        <f t="shared" si="210"/>
        <v>0</v>
      </c>
      <c r="H1167" s="988">
        <f t="shared" si="210"/>
        <v>0</v>
      </c>
      <c r="I1167" s="988">
        <f t="shared" si="210"/>
        <v>0</v>
      </c>
      <c r="J1167" s="988">
        <f t="shared" si="210"/>
        <v>0</v>
      </c>
      <c r="K1167" s="988">
        <f t="shared" si="210"/>
        <v>0</v>
      </c>
      <c r="L1167" s="988">
        <f t="shared" si="210"/>
        <v>0</v>
      </c>
      <c r="M1167" s="988">
        <f t="shared" si="210"/>
        <v>0</v>
      </c>
      <c r="N1167" s="988">
        <f t="shared" si="210"/>
        <v>0</v>
      </c>
      <c r="O1167" s="988">
        <f t="shared" si="210"/>
        <v>0</v>
      </c>
      <c r="P1167" s="988">
        <f t="shared" si="210"/>
        <v>0</v>
      </c>
      <c r="Q1167" s="988"/>
      <c r="R1167" s="988">
        <f t="shared" si="204"/>
        <v>0</v>
      </c>
      <c r="S1167" s="546">
        <f t="shared" si="205"/>
        <v>0</v>
      </c>
      <c r="T1167" s="547">
        <f t="shared" si="206"/>
        <v>0</v>
      </c>
      <c r="U1167" s="546">
        <f t="shared" si="207"/>
        <v>0</v>
      </c>
      <c r="W1167" s="350">
        <f t="shared" si="209"/>
        <v>0</v>
      </c>
      <c r="X1167" s="285">
        <f t="shared" si="208"/>
        <v>0</v>
      </c>
    </row>
    <row r="1168" spans="1:24" ht="12" thickBot="1">
      <c r="A1168" s="596" t="s">
        <v>1501</v>
      </c>
      <c r="B1168" s="541" t="s">
        <v>166</v>
      </c>
      <c r="C1168" s="541" t="s">
        <v>190</v>
      </c>
      <c r="D1168" s="554" t="s">
        <v>212</v>
      </c>
      <c r="E1168" s="549">
        <f t="shared" si="202"/>
        <v>0</v>
      </c>
      <c r="F1168" s="988">
        <f t="shared" si="210"/>
        <v>0</v>
      </c>
      <c r="G1168" s="988">
        <f t="shared" si="210"/>
        <v>0</v>
      </c>
      <c r="H1168" s="988">
        <f t="shared" si="210"/>
        <v>0</v>
      </c>
      <c r="I1168" s="988">
        <f t="shared" si="210"/>
        <v>0</v>
      </c>
      <c r="J1168" s="988">
        <f t="shared" si="210"/>
        <v>0</v>
      </c>
      <c r="K1168" s="988">
        <f t="shared" si="210"/>
        <v>0</v>
      </c>
      <c r="L1168" s="988">
        <f t="shared" si="210"/>
        <v>0</v>
      </c>
      <c r="M1168" s="988">
        <f t="shared" si="210"/>
        <v>0</v>
      </c>
      <c r="N1168" s="988">
        <f t="shared" si="210"/>
        <v>0</v>
      </c>
      <c r="O1168" s="988">
        <f t="shared" si="210"/>
        <v>0</v>
      </c>
      <c r="P1168" s="988">
        <f t="shared" si="210"/>
        <v>0</v>
      </c>
      <c r="Q1168" s="988"/>
      <c r="R1168" s="988">
        <f t="shared" si="204"/>
        <v>0</v>
      </c>
      <c r="S1168" s="546">
        <f t="shared" si="205"/>
        <v>0</v>
      </c>
      <c r="T1168" s="547">
        <f t="shared" si="206"/>
        <v>0</v>
      </c>
      <c r="U1168" s="546">
        <f t="shared" si="207"/>
        <v>0</v>
      </c>
      <c r="W1168" s="350">
        <f t="shared" si="209"/>
        <v>0</v>
      </c>
      <c r="X1168" s="285">
        <f t="shared" si="208"/>
        <v>0</v>
      </c>
    </row>
    <row r="1169" spans="1:24" ht="12" thickBot="1">
      <c r="A1169" s="596" t="s">
        <v>1501</v>
      </c>
      <c r="B1169" s="541" t="s">
        <v>167</v>
      </c>
      <c r="C1169" s="541" t="s">
        <v>191</v>
      </c>
      <c r="D1169" s="554" t="s">
        <v>213</v>
      </c>
      <c r="E1169" s="549">
        <f t="shared" si="202"/>
        <v>9652888</v>
      </c>
      <c r="F1169" s="988">
        <f t="shared" si="210"/>
        <v>9100</v>
      </c>
      <c r="G1169" s="988">
        <f t="shared" si="210"/>
        <v>408607</v>
      </c>
      <c r="H1169" s="988">
        <f t="shared" si="210"/>
        <v>279162</v>
      </c>
      <c r="I1169" s="988">
        <f t="shared" si="210"/>
        <v>30407</v>
      </c>
      <c r="J1169" s="988">
        <f t="shared" si="210"/>
        <v>0</v>
      </c>
      <c r="K1169" s="988">
        <f t="shared" si="210"/>
        <v>0</v>
      </c>
      <c r="L1169" s="988">
        <f t="shared" si="210"/>
        <v>18230</v>
      </c>
      <c r="M1169" s="988">
        <f t="shared" si="210"/>
        <v>4050</v>
      </c>
      <c r="N1169" s="988">
        <f t="shared" si="210"/>
        <v>54981</v>
      </c>
      <c r="O1169" s="988">
        <f t="shared" si="210"/>
        <v>0</v>
      </c>
      <c r="P1169" s="988">
        <f t="shared" si="210"/>
        <v>0</v>
      </c>
      <c r="Q1169" s="988"/>
      <c r="R1169" s="988">
        <f t="shared" si="204"/>
        <v>804535</v>
      </c>
      <c r="S1169" s="546">
        <f t="shared" si="205"/>
        <v>718176</v>
      </c>
      <c r="T1169" s="547">
        <f t="shared" si="206"/>
        <v>0</v>
      </c>
      <c r="U1169" s="546">
        <f t="shared" si="207"/>
        <v>54981</v>
      </c>
      <c r="W1169" s="350">
        <f t="shared" si="209"/>
        <v>804537</v>
      </c>
      <c r="X1169" s="285">
        <f t="shared" si="208"/>
        <v>2</v>
      </c>
    </row>
    <row r="1170" spans="1:24" ht="12" thickBot="1">
      <c r="A1170" s="596" t="s">
        <v>1501</v>
      </c>
      <c r="B1170" s="541" t="s">
        <v>683</v>
      </c>
      <c r="C1170" s="541" t="s">
        <v>686</v>
      </c>
      <c r="D1170" s="554" t="s">
        <v>723</v>
      </c>
      <c r="E1170" s="549">
        <f t="shared" si="202"/>
        <v>0</v>
      </c>
      <c r="F1170" s="988">
        <f t="shared" si="210"/>
        <v>0</v>
      </c>
      <c r="G1170" s="988">
        <f t="shared" si="210"/>
        <v>0</v>
      </c>
      <c r="H1170" s="988">
        <f t="shared" si="210"/>
        <v>0</v>
      </c>
      <c r="I1170" s="988">
        <f t="shared" si="210"/>
        <v>0</v>
      </c>
      <c r="J1170" s="988">
        <f t="shared" si="210"/>
        <v>0</v>
      </c>
      <c r="K1170" s="988">
        <f t="shared" si="210"/>
        <v>0</v>
      </c>
      <c r="L1170" s="988">
        <f t="shared" si="210"/>
        <v>0</v>
      </c>
      <c r="M1170" s="988">
        <f t="shared" si="210"/>
        <v>0</v>
      </c>
      <c r="N1170" s="988">
        <f t="shared" si="210"/>
        <v>0</v>
      </c>
      <c r="O1170" s="988">
        <f t="shared" si="210"/>
        <v>0</v>
      </c>
      <c r="P1170" s="988">
        <f t="shared" si="210"/>
        <v>0</v>
      </c>
      <c r="Q1170" s="988"/>
      <c r="R1170" s="988">
        <f t="shared" si="204"/>
        <v>0</v>
      </c>
      <c r="S1170" s="546">
        <f t="shared" si="205"/>
        <v>0</v>
      </c>
      <c r="T1170" s="547">
        <f t="shared" si="206"/>
        <v>0</v>
      </c>
      <c r="U1170" s="546">
        <f t="shared" si="207"/>
        <v>0</v>
      </c>
      <c r="W1170" s="350">
        <f t="shared" si="209"/>
        <v>0</v>
      </c>
      <c r="X1170" s="285">
        <f t="shared" si="208"/>
        <v>0</v>
      </c>
    </row>
    <row r="1171" spans="1:24" ht="12" thickBot="1">
      <c r="A1171" s="596" t="s">
        <v>1501</v>
      </c>
      <c r="B1171" s="541" t="s">
        <v>684</v>
      </c>
      <c r="C1171" s="541" t="s">
        <v>687</v>
      </c>
      <c r="D1171" s="554" t="s">
        <v>707</v>
      </c>
      <c r="E1171" s="549">
        <f t="shared" si="202"/>
        <v>0</v>
      </c>
      <c r="F1171" s="988">
        <f t="shared" si="210"/>
        <v>0</v>
      </c>
      <c r="G1171" s="988">
        <f t="shared" si="210"/>
        <v>0</v>
      </c>
      <c r="H1171" s="988">
        <f t="shared" si="210"/>
        <v>0</v>
      </c>
      <c r="I1171" s="988">
        <f t="shared" si="210"/>
        <v>0</v>
      </c>
      <c r="J1171" s="988">
        <f t="shared" si="210"/>
        <v>0</v>
      </c>
      <c r="K1171" s="988">
        <f t="shared" si="210"/>
        <v>0</v>
      </c>
      <c r="L1171" s="988">
        <f t="shared" si="210"/>
        <v>0</v>
      </c>
      <c r="M1171" s="988">
        <f t="shared" si="210"/>
        <v>0</v>
      </c>
      <c r="N1171" s="988">
        <f t="shared" si="210"/>
        <v>0</v>
      </c>
      <c r="O1171" s="988">
        <f t="shared" si="210"/>
        <v>0</v>
      </c>
      <c r="P1171" s="988">
        <f t="shared" si="210"/>
        <v>0</v>
      </c>
      <c r="Q1171" s="988"/>
      <c r="R1171" s="988">
        <f t="shared" si="204"/>
        <v>0</v>
      </c>
      <c r="S1171" s="546">
        <f t="shared" si="205"/>
        <v>0</v>
      </c>
      <c r="T1171" s="547">
        <f t="shared" si="206"/>
        <v>0</v>
      </c>
      <c r="U1171" s="546">
        <f t="shared" si="207"/>
        <v>0</v>
      </c>
      <c r="W1171" s="350">
        <f t="shared" si="209"/>
        <v>0</v>
      </c>
      <c r="X1171" s="285">
        <f t="shared" si="208"/>
        <v>0</v>
      </c>
    </row>
    <row r="1172" spans="1:24" ht="12" thickBot="1">
      <c r="A1172" s="596" t="s">
        <v>1501</v>
      </c>
      <c r="B1172" s="541" t="s">
        <v>685</v>
      </c>
      <c r="C1172" s="541" t="s">
        <v>688</v>
      </c>
      <c r="D1172" s="542" t="s">
        <v>1145</v>
      </c>
      <c r="E1172" s="549">
        <f t="shared" si="202"/>
        <v>0</v>
      </c>
      <c r="F1172" s="988">
        <f t="shared" si="210"/>
        <v>0</v>
      </c>
      <c r="G1172" s="988">
        <f t="shared" si="210"/>
        <v>0</v>
      </c>
      <c r="H1172" s="988">
        <f t="shared" si="210"/>
        <v>0</v>
      </c>
      <c r="I1172" s="988">
        <f t="shared" si="210"/>
        <v>0</v>
      </c>
      <c r="J1172" s="988">
        <f t="shared" si="210"/>
        <v>0</v>
      </c>
      <c r="K1172" s="988">
        <f t="shared" si="210"/>
        <v>0</v>
      </c>
      <c r="L1172" s="988">
        <f t="shared" si="210"/>
        <v>0</v>
      </c>
      <c r="M1172" s="988">
        <f t="shared" si="210"/>
        <v>0</v>
      </c>
      <c r="N1172" s="988">
        <f t="shared" si="210"/>
        <v>0</v>
      </c>
      <c r="O1172" s="988">
        <f t="shared" si="210"/>
        <v>0</v>
      </c>
      <c r="P1172" s="988">
        <f t="shared" si="210"/>
        <v>0</v>
      </c>
      <c r="Q1172" s="988"/>
      <c r="R1172" s="988">
        <f t="shared" si="204"/>
        <v>0</v>
      </c>
      <c r="S1172" s="546">
        <f t="shared" si="205"/>
        <v>0</v>
      </c>
      <c r="T1172" s="547">
        <f t="shared" si="206"/>
        <v>0</v>
      </c>
      <c r="U1172" s="546">
        <f t="shared" si="207"/>
        <v>0</v>
      </c>
      <c r="W1172" s="350">
        <f t="shared" si="209"/>
        <v>0</v>
      </c>
      <c r="X1172" s="285">
        <f t="shared" si="208"/>
        <v>0</v>
      </c>
    </row>
    <row r="1173" spans="1:24" ht="12" thickBot="1">
      <c r="A1173" s="596" t="s">
        <v>1501</v>
      </c>
      <c r="B1173" s="541" t="s">
        <v>217</v>
      </c>
      <c r="C1173" s="541" t="s">
        <v>622</v>
      </c>
      <c r="D1173" s="542" t="s">
        <v>19</v>
      </c>
      <c r="E1173" s="549">
        <f t="shared" si="202"/>
        <v>0</v>
      </c>
      <c r="F1173" s="988">
        <f t="shared" ref="F1173:P1182" si="211">ROUND(SUMIFS(F$1721:F$1901,$A$1721:$A$1901,$A1173,$B$1721:$B$1901,$B1173),0)</f>
        <v>0</v>
      </c>
      <c r="G1173" s="988">
        <f t="shared" si="211"/>
        <v>0</v>
      </c>
      <c r="H1173" s="988">
        <f t="shared" si="211"/>
        <v>0</v>
      </c>
      <c r="I1173" s="988">
        <f t="shared" si="211"/>
        <v>0</v>
      </c>
      <c r="J1173" s="988">
        <f t="shared" si="211"/>
        <v>0</v>
      </c>
      <c r="K1173" s="988">
        <f t="shared" si="211"/>
        <v>0</v>
      </c>
      <c r="L1173" s="988">
        <f t="shared" si="211"/>
        <v>0</v>
      </c>
      <c r="M1173" s="988">
        <f t="shared" si="211"/>
        <v>0</v>
      </c>
      <c r="N1173" s="988">
        <f t="shared" si="211"/>
        <v>0</v>
      </c>
      <c r="O1173" s="988">
        <f t="shared" si="211"/>
        <v>0</v>
      </c>
      <c r="P1173" s="988">
        <f t="shared" si="211"/>
        <v>0</v>
      </c>
      <c r="Q1173" s="988"/>
      <c r="R1173" s="988">
        <f t="shared" si="204"/>
        <v>0</v>
      </c>
      <c r="S1173" s="546">
        <f t="shared" si="205"/>
        <v>0</v>
      </c>
      <c r="T1173" s="547">
        <f t="shared" si="206"/>
        <v>0</v>
      </c>
      <c r="U1173" s="546">
        <f t="shared" si="207"/>
        <v>0</v>
      </c>
      <c r="W1173" s="350">
        <f t="shared" si="209"/>
        <v>0</v>
      </c>
      <c r="X1173" s="285">
        <f t="shared" si="208"/>
        <v>0</v>
      </c>
    </row>
    <row r="1174" spans="1:24" ht="12" thickBot="1">
      <c r="A1174" s="596" t="s">
        <v>1501</v>
      </c>
      <c r="B1174" s="541" t="s">
        <v>216</v>
      </c>
      <c r="C1174" s="541" t="s">
        <v>622</v>
      </c>
      <c r="D1174" s="542" t="s">
        <v>19</v>
      </c>
      <c r="E1174" s="549">
        <f t="shared" si="202"/>
        <v>0</v>
      </c>
      <c r="F1174" s="988">
        <f t="shared" si="211"/>
        <v>0</v>
      </c>
      <c r="G1174" s="988">
        <f t="shared" si="211"/>
        <v>0</v>
      </c>
      <c r="H1174" s="988">
        <f t="shared" si="211"/>
        <v>0</v>
      </c>
      <c r="I1174" s="988">
        <f t="shared" si="211"/>
        <v>0</v>
      </c>
      <c r="J1174" s="988">
        <f t="shared" si="211"/>
        <v>0</v>
      </c>
      <c r="K1174" s="988">
        <f t="shared" si="211"/>
        <v>0</v>
      </c>
      <c r="L1174" s="988">
        <f t="shared" si="211"/>
        <v>0</v>
      </c>
      <c r="M1174" s="988">
        <f t="shared" si="211"/>
        <v>0</v>
      </c>
      <c r="N1174" s="988">
        <f t="shared" si="211"/>
        <v>0</v>
      </c>
      <c r="O1174" s="988">
        <f t="shared" si="211"/>
        <v>0</v>
      </c>
      <c r="P1174" s="988">
        <f t="shared" si="211"/>
        <v>0</v>
      </c>
      <c r="Q1174" s="988"/>
      <c r="R1174" s="988">
        <f t="shared" si="204"/>
        <v>0</v>
      </c>
      <c r="S1174" s="546">
        <f t="shared" si="205"/>
        <v>0</v>
      </c>
      <c r="T1174" s="547">
        <f t="shared" si="206"/>
        <v>0</v>
      </c>
      <c r="U1174" s="546">
        <f t="shared" si="207"/>
        <v>0</v>
      </c>
      <c r="W1174" s="350">
        <f t="shared" si="209"/>
        <v>0</v>
      </c>
      <c r="X1174" s="285">
        <f t="shared" si="208"/>
        <v>0</v>
      </c>
    </row>
    <row r="1175" spans="1:24" ht="12" thickBot="1">
      <c r="A1175" s="596" t="s">
        <v>1501</v>
      </c>
      <c r="B1175" s="541" t="s">
        <v>168</v>
      </c>
      <c r="C1175" s="541" t="s">
        <v>58</v>
      </c>
      <c r="D1175" s="542" t="s">
        <v>20</v>
      </c>
      <c r="E1175" s="549">
        <f t="shared" si="202"/>
        <v>0</v>
      </c>
      <c r="F1175" s="988">
        <f t="shared" si="211"/>
        <v>0</v>
      </c>
      <c r="G1175" s="988">
        <f t="shared" si="211"/>
        <v>0</v>
      </c>
      <c r="H1175" s="988">
        <f t="shared" si="211"/>
        <v>0</v>
      </c>
      <c r="I1175" s="988">
        <f t="shared" si="211"/>
        <v>0</v>
      </c>
      <c r="J1175" s="988">
        <f t="shared" si="211"/>
        <v>0</v>
      </c>
      <c r="K1175" s="988">
        <f t="shared" si="211"/>
        <v>0</v>
      </c>
      <c r="L1175" s="988">
        <f t="shared" si="211"/>
        <v>0</v>
      </c>
      <c r="M1175" s="988">
        <f t="shared" si="211"/>
        <v>0</v>
      </c>
      <c r="N1175" s="988">
        <f t="shared" si="211"/>
        <v>0</v>
      </c>
      <c r="O1175" s="988">
        <f t="shared" si="211"/>
        <v>0</v>
      </c>
      <c r="P1175" s="988">
        <f t="shared" si="211"/>
        <v>0</v>
      </c>
      <c r="Q1175" s="988"/>
      <c r="R1175" s="988">
        <f t="shared" si="204"/>
        <v>0</v>
      </c>
      <c r="S1175" s="546">
        <f t="shared" si="205"/>
        <v>0</v>
      </c>
      <c r="T1175" s="547">
        <f t="shared" si="206"/>
        <v>0</v>
      </c>
      <c r="U1175" s="546">
        <f t="shared" si="207"/>
        <v>0</v>
      </c>
      <c r="W1175" s="350">
        <f t="shared" si="209"/>
        <v>0</v>
      </c>
      <c r="X1175" s="285">
        <f t="shared" si="208"/>
        <v>0</v>
      </c>
    </row>
    <row r="1176" spans="1:24" ht="12" thickBot="1">
      <c r="A1176" s="596" t="s">
        <v>1501</v>
      </c>
      <c r="B1176" s="541" t="s">
        <v>623</v>
      </c>
      <c r="C1176" s="541" t="s">
        <v>643</v>
      </c>
      <c r="D1176" s="542" t="s">
        <v>20</v>
      </c>
      <c r="E1176" s="549">
        <f t="shared" si="202"/>
        <v>0</v>
      </c>
      <c r="F1176" s="988">
        <f t="shared" si="211"/>
        <v>0</v>
      </c>
      <c r="G1176" s="988">
        <f t="shared" si="211"/>
        <v>0</v>
      </c>
      <c r="H1176" s="988">
        <f t="shared" si="211"/>
        <v>0</v>
      </c>
      <c r="I1176" s="988">
        <f t="shared" si="211"/>
        <v>0</v>
      </c>
      <c r="J1176" s="988">
        <f t="shared" si="211"/>
        <v>0</v>
      </c>
      <c r="K1176" s="988">
        <f t="shared" si="211"/>
        <v>0</v>
      </c>
      <c r="L1176" s="988">
        <f t="shared" si="211"/>
        <v>0</v>
      </c>
      <c r="M1176" s="988">
        <f t="shared" si="211"/>
        <v>0</v>
      </c>
      <c r="N1176" s="988">
        <f t="shared" si="211"/>
        <v>0</v>
      </c>
      <c r="O1176" s="988">
        <f t="shared" si="211"/>
        <v>0</v>
      </c>
      <c r="P1176" s="988">
        <f t="shared" si="211"/>
        <v>0</v>
      </c>
      <c r="Q1176" s="988"/>
      <c r="R1176" s="988">
        <f t="shared" si="204"/>
        <v>0</v>
      </c>
      <c r="S1176" s="546">
        <f t="shared" si="205"/>
        <v>0</v>
      </c>
      <c r="T1176" s="547">
        <f t="shared" si="206"/>
        <v>0</v>
      </c>
      <c r="U1176" s="546">
        <f t="shared" si="207"/>
        <v>0</v>
      </c>
      <c r="W1176" s="350">
        <f t="shared" si="209"/>
        <v>0</v>
      </c>
      <c r="X1176" s="285">
        <f t="shared" si="208"/>
        <v>0</v>
      </c>
    </row>
    <row r="1177" spans="1:24" ht="12" thickBot="1">
      <c r="A1177" s="596" t="s">
        <v>1501</v>
      </c>
      <c r="B1177" s="541" t="s">
        <v>691</v>
      </c>
      <c r="C1177" s="541" t="s">
        <v>689</v>
      </c>
      <c r="D1177" s="542" t="s">
        <v>690</v>
      </c>
      <c r="E1177" s="549">
        <f t="shared" si="202"/>
        <v>0</v>
      </c>
      <c r="F1177" s="988">
        <f t="shared" si="211"/>
        <v>0</v>
      </c>
      <c r="G1177" s="988">
        <f t="shared" si="211"/>
        <v>0</v>
      </c>
      <c r="H1177" s="988">
        <f t="shared" si="211"/>
        <v>0</v>
      </c>
      <c r="I1177" s="988">
        <f t="shared" si="211"/>
        <v>0</v>
      </c>
      <c r="J1177" s="988">
        <f t="shared" si="211"/>
        <v>0</v>
      </c>
      <c r="K1177" s="988">
        <f t="shared" si="211"/>
        <v>0</v>
      </c>
      <c r="L1177" s="988">
        <f t="shared" si="211"/>
        <v>0</v>
      </c>
      <c r="M1177" s="988">
        <f t="shared" si="211"/>
        <v>0</v>
      </c>
      <c r="N1177" s="988">
        <f t="shared" si="211"/>
        <v>0</v>
      </c>
      <c r="O1177" s="988">
        <f t="shared" si="211"/>
        <v>0</v>
      </c>
      <c r="P1177" s="988">
        <f t="shared" si="211"/>
        <v>0</v>
      </c>
      <c r="Q1177" s="988"/>
      <c r="R1177" s="988">
        <f t="shared" si="204"/>
        <v>0</v>
      </c>
      <c r="S1177" s="546">
        <f t="shared" si="205"/>
        <v>0</v>
      </c>
      <c r="T1177" s="547">
        <f t="shared" si="206"/>
        <v>0</v>
      </c>
      <c r="U1177" s="546">
        <f t="shared" si="207"/>
        <v>0</v>
      </c>
      <c r="W1177" s="350">
        <f t="shared" si="209"/>
        <v>0</v>
      </c>
      <c r="X1177" s="285">
        <f t="shared" si="208"/>
        <v>0</v>
      </c>
    </row>
    <row r="1178" spans="1:24" ht="12" thickBot="1">
      <c r="A1178" s="596" t="s">
        <v>1501</v>
      </c>
      <c r="B1178" s="541" t="s">
        <v>1147</v>
      </c>
      <c r="C1178" s="541" t="s">
        <v>1148</v>
      </c>
      <c r="D1178" s="542" t="s">
        <v>1156</v>
      </c>
      <c r="E1178" s="549">
        <f t="shared" si="202"/>
        <v>0</v>
      </c>
      <c r="F1178" s="988">
        <f t="shared" si="211"/>
        <v>0</v>
      </c>
      <c r="G1178" s="988">
        <f t="shared" si="211"/>
        <v>0</v>
      </c>
      <c r="H1178" s="988">
        <f t="shared" si="211"/>
        <v>0</v>
      </c>
      <c r="I1178" s="988">
        <f t="shared" si="211"/>
        <v>0</v>
      </c>
      <c r="J1178" s="988">
        <f t="shared" si="211"/>
        <v>0</v>
      </c>
      <c r="K1178" s="988">
        <f t="shared" si="211"/>
        <v>0</v>
      </c>
      <c r="L1178" s="988">
        <f t="shared" si="211"/>
        <v>0</v>
      </c>
      <c r="M1178" s="988">
        <f t="shared" si="211"/>
        <v>0</v>
      </c>
      <c r="N1178" s="988">
        <f t="shared" si="211"/>
        <v>0</v>
      </c>
      <c r="O1178" s="988">
        <f t="shared" si="211"/>
        <v>0</v>
      </c>
      <c r="P1178" s="988">
        <f t="shared" si="211"/>
        <v>0</v>
      </c>
      <c r="Q1178" s="988"/>
      <c r="R1178" s="988">
        <f t="shared" si="204"/>
        <v>0</v>
      </c>
      <c r="S1178" s="546">
        <f t="shared" si="205"/>
        <v>0</v>
      </c>
      <c r="T1178" s="547">
        <f t="shared" si="206"/>
        <v>0</v>
      </c>
      <c r="U1178" s="546">
        <f t="shared" si="207"/>
        <v>0</v>
      </c>
      <c r="W1178" s="350">
        <f t="shared" si="209"/>
        <v>0</v>
      </c>
      <c r="X1178" s="285">
        <f t="shared" si="208"/>
        <v>0</v>
      </c>
    </row>
    <row r="1179" spans="1:24" ht="12" thickBot="1">
      <c r="A1179" s="596" t="s">
        <v>1501</v>
      </c>
      <c r="B1179" s="541" t="s">
        <v>169</v>
      </c>
      <c r="C1179" s="541" t="s">
        <v>1392</v>
      </c>
      <c r="D1179" s="542" t="s">
        <v>208</v>
      </c>
      <c r="E1179" s="549">
        <f t="shared" si="202"/>
        <v>0</v>
      </c>
      <c r="F1179" s="988">
        <f t="shared" si="211"/>
        <v>0</v>
      </c>
      <c r="G1179" s="988">
        <f t="shared" si="211"/>
        <v>0</v>
      </c>
      <c r="H1179" s="988">
        <f t="shared" si="211"/>
        <v>0</v>
      </c>
      <c r="I1179" s="988">
        <f t="shared" si="211"/>
        <v>0</v>
      </c>
      <c r="J1179" s="988">
        <f t="shared" si="211"/>
        <v>0</v>
      </c>
      <c r="K1179" s="988">
        <f t="shared" si="211"/>
        <v>0</v>
      </c>
      <c r="L1179" s="988">
        <f t="shared" si="211"/>
        <v>0</v>
      </c>
      <c r="M1179" s="988">
        <f t="shared" si="211"/>
        <v>0</v>
      </c>
      <c r="N1179" s="988">
        <f t="shared" si="211"/>
        <v>0</v>
      </c>
      <c r="O1179" s="988">
        <f t="shared" si="211"/>
        <v>0</v>
      </c>
      <c r="P1179" s="988">
        <f t="shared" si="211"/>
        <v>0</v>
      </c>
      <c r="Q1179" s="988"/>
      <c r="R1179" s="988">
        <f t="shared" si="204"/>
        <v>0</v>
      </c>
      <c r="S1179" s="546">
        <f t="shared" si="205"/>
        <v>0</v>
      </c>
      <c r="T1179" s="547">
        <f t="shared" si="206"/>
        <v>0</v>
      </c>
      <c r="U1179" s="546">
        <f t="shared" si="207"/>
        <v>0</v>
      </c>
      <c r="W1179" s="350">
        <f t="shared" si="209"/>
        <v>0</v>
      </c>
      <c r="X1179" s="285">
        <f t="shared" si="208"/>
        <v>0</v>
      </c>
    </row>
    <row r="1180" spans="1:24" ht="12" thickBot="1">
      <c r="A1180" s="596" t="s">
        <v>1501</v>
      </c>
      <c r="B1180" s="541" t="s">
        <v>170</v>
      </c>
      <c r="C1180" s="541" t="s">
        <v>1393</v>
      </c>
      <c r="D1180" s="542" t="s">
        <v>17</v>
      </c>
      <c r="E1180" s="549">
        <f t="shared" si="202"/>
        <v>0</v>
      </c>
      <c r="F1180" s="988">
        <f t="shared" si="211"/>
        <v>0</v>
      </c>
      <c r="G1180" s="988">
        <f t="shared" si="211"/>
        <v>0</v>
      </c>
      <c r="H1180" s="988">
        <f t="shared" si="211"/>
        <v>0</v>
      </c>
      <c r="I1180" s="988">
        <f t="shared" si="211"/>
        <v>0</v>
      </c>
      <c r="J1180" s="988">
        <f t="shared" si="211"/>
        <v>0</v>
      </c>
      <c r="K1180" s="988">
        <f t="shared" si="211"/>
        <v>0</v>
      </c>
      <c r="L1180" s="988">
        <f t="shared" si="211"/>
        <v>0</v>
      </c>
      <c r="M1180" s="988">
        <f t="shared" si="211"/>
        <v>0</v>
      </c>
      <c r="N1180" s="988">
        <f t="shared" si="211"/>
        <v>0</v>
      </c>
      <c r="O1180" s="988">
        <f t="shared" si="211"/>
        <v>0</v>
      </c>
      <c r="P1180" s="988">
        <f t="shared" si="211"/>
        <v>0</v>
      </c>
      <c r="Q1180" s="988"/>
      <c r="R1180" s="988">
        <f t="shared" si="204"/>
        <v>0</v>
      </c>
      <c r="S1180" s="546">
        <f t="shared" si="205"/>
        <v>0</v>
      </c>
      <c r="T1180" s="547">
        <f t="shared" si="206"/>
        <v>0</v>
      </c>
      <c r="U1180" s="546">
        <f t="shared" si="207"/>
        <v>0</v>
      </c>
      <c r="W1180" s="350">
        <f t="shared" si="209"/>
        <v>0</v>
      </c>
      <c r="X1180" s="285">
        <f t="shared" si="208"/>
        <v>0</v>
      </c>
    </row>
    <row r="1181" spans="1:24" ht="12" thickBot="1">
      <c r="A1181" s="596" t="s">
        <v>1501</v>
      </c>
      <c r="B1181" s="541" t="s">
        <v>713</v>
      </c>
      <c r="C1181" s="541" t="s">
        <v>711</v>
      </c>
      <c r="D1181" s="542" t="s">
        <v>712</v>
      </c>
      <c r="E1181" s="549">
        <f t="shared" si="202"/>
        <v>0</v>
      </c>
      <c r="F1181" s="988">
        <f t="shared" si="211"/>
        <v>0</v>
      </c>
      <c r="G1181" s="988">
        <f t="shared" si="211"/>
        <v>0</v>
      </c>
      <c r="H1181" s="988">
        <f t="shared" si="211"/>
        <v>0</v>
      </c>
      <c r="I1181" s="988">
        <f t="shared" si="211"/>
        <v>0</v>
      </c>
      <c r="J1181" s="988">
        <f t="shared" si="211"/>
        <v>0</v>
      </c>
      <c r="K1181" s="988">
        <f t="shared" si="211"/>
        <v>0</v>
      </c>
      <c r="L1181" s="988">
        <f t="shared" si="211"/>
        <v>0</v>
      </c>
      <c r="M1181" s="988">
        <f t="shared" si="211"/>
        <v>0</v>
      </c>
      <c r="N1181" s="988">
        <f t="shared" si="211"/>
        <v>0</v>
      </c>
      <c r="O1181" s="988">
        <f t="shared" si="211"/>
        <v>0</v>
      </c>
      <c r="P1181" s="988">
        <f t="shared" si="211"/>
        <v>0</v>
      </c>
      <c r="Q1181" s="988"/>
      <c r="R1181" s="988">
        <f t="shared" si="204"/>
        <v>0</v>
      </c>
      <c r="S1181" s="546">
        <f t="shared" si="205"/>
        <v>0</v>
      </c>
      <c r="T1181" s="547">
        <f t="shared" si="206"/>
        <v>0</v>
      </c>
      <c r="U1181" s="546">
        <f t="shared" si="207"/>
        <v>0</v>
      </c>
      <c r="W1181" s="350">
        <f t="shared" si="209"/>
        <v>0</v>
      </c>
      <c r="X1181" s="285">
        <f t="shared" si="208"/>
        <v>0</v>
      </c>
    </row>
    <row r="1182" spans="1:24" ht="12" thickBot="1">
      <c r="A1182" s="596" t="s">
        <v>1501</v>
      </c>
      <c r="B1182" s="541" t="s">
        <v>171</v>
      </c>
      <c r="C1182" s="541" t="s">
        <v>441</v>
      </c>
      <c r="D1182" s="542" t="s">
        <v>72</v>
      </c>
      <c r="E1182" s="549">
        <f t="shared" si="202"/>
        <v>0</v>
      </c>
      <c r="F1182" s="988">
        <f t="shared" si="211"/>
        <v>0</v>
      </c>
      <c r="G1182" s="988">
        <f t="shared" si="211"/>
        <v>0</v>
      </c>
      <c r="H1182" s="988">
        <f t="shared" si="211"/>
        <v>0</v>
      </c>
      <c r="I1182" s="988">
        <f t="shared" si="211"/>
        <v>0</v>
      </c>
      <c r="J1182" s="988">
        <f t="shared" si="211"/>
        <v>0</v>
      </c>
      <c r="K1182" s="988">
        <f t="shared" si="211"/>
        <v>0</v>
      </c>
      <c r="L1182" s="988">
        <f t="shared" si="211"/>
        <v>0</v>
      </c>
      <c r="M1182" s="988">
        <f t="shared" si="211"/>
        <v>0</v>
      </c>
      <c r="N1182" s="988">
        <f t="shared" si="211"/>
        <v>0</v>
      </c>
      <c r="O1182" s="988">
        <f t="shared" si="211"/>
        <v>0</v>
      </c>
      <c r="P1182" s="988">
        <f t="shared" si="211"/>
        <v>-989829</v>
      </c>
      <c r="Q1182" s="988"/>
      <c r="R1182" s="988">
        <f t="shared" si="204"/>
        <v>-989829</v>
      </c>
      <c r="S1182" s="546">
        <f t="shared" si="205"/>
        <v>0</v>
      </c>
      <c r="T1182" s="547">
        <f t="shared" si="206"/>
        <v>0</v>
      </c>
      <c r="U1182" s="546">
        <f t="shared" si="207"/>
        <v>0</v>
      </c>
      <c r="W1182" s="350">
        <f t="shared" si="209"/>
        <v>-989829</v>
      </c>
      <c r="X1182" s="285">
        <f t="shared" si="208"/>
        <v>0</v>
      </c>
    </row>
    <row r="1183" spans="1:24" ht="12" thickBot="1">
      <c r="A1183" s="596" t="s">
        <v>1501</v>
      </c>
      <c r="B1183" s="541" t="s">
        <v>172</v>
      </c>
      <c r="C1183" s="541" t="s">
        <v>442</v>
      </c>
      <c r="D1183" s="542" t="s">
        <v>72</v>
      </c>
      <c r="E1183" s="549">
        <f t="shared" si="202"/>
        <v>0</v>
      </c>
      <c r="F1183" s="988">
        <f t="shared" ref="F1183:P1192" si="212">ROUND(SUMIFS(F$1721:F$1901,$A$1721:$A$1901,$A1183,$B$1721:$B$1901,$B1183),0)</f>
        <v>0</v>
      </c>
      <c r="G1183" s="988">
        <f t="shared" si="212"/>
        <v>0</v>
      </c>
      <c r="H1183" s="988">
        <f t="shared" si="212"/>
        <v>0</v>
      </c>
      <c r="I1183" s="988">
        <f t="shared" si="212"/>
        <v>0</v>
      </c>
      <c r="J1183" s="988">
        <f t="shared" si="212"/>
        <v>0</v>
      </c>
      <c r="K1183" s="988">
        <f t="shared" si="212"/>
        <v>0</v>
      </c>
      <c r="L1183" s="988">
        <f t="shared" si="212"/>
        <v>0</v>
      </c>
      <c r="M1183" s="988">
        <f t="shared" si="212"/>
        <v>0</v>
      </c>
      <c r="N1183" s="988">
        <f t="shared" si="212"/>
        <v>0</v>
      </c>
      <c r="O1183" s="988">
        <f t="shared" si="212"/>
        <v>0</v>
      </c>
      <c r="P1183" s="988">
        <f t="shared" si="212"/>
        <v>0</v>
      </c>
      <c r="Q1183" s="988"/>
      <c r="R1183" s="988">
        <f t="shared" si="204"/>
        <v>0</v>
      </c>
      <c r="S1183" s="546">
        <f t="shared" si="205"/>
        <v>0</v>
      </c>
      <c r="T1183" s="547">
        <f t="shared" si="206"/>
        <v>0</v>
      </c>
      <c r="U1183" s="546">
        <f t="shared" si="207"/>
        <v>0</v>
      </c>
      <c r="W1183" s="350">
        <f t="shared" si="209"/>
        <v>0</v>
      </c>
      <c r="X1183" s="285">
        <f t="shared" si="208"/>
        <v>0</v>
      </c>
    </row>
    <row r="1184" spans="1:24" ht="12" thickBot="1">
      <c r="A1184" s="596" t="s">
        <v>1501</v>
      </c>
      <c r="B1184" s="541" t="s">
        <v>1397</v>
      </c>
      <c r="C1184" s="541" t="s">
        <v>1398</v>
      </c>
      <c r="D1184" s="542" t="s">
        <v>72</v>
      </c>
      <c r="E1184" s="549">
        <f t="shared" si="202"/>
        <v>0</v>
      </c>
      <c r="F1184" s="988">
        <f t="shared" si="212"/>
        <v>0</v>
      </c>
      <c r="G1184" s="988">
        <f t="shared" si="212"/>
        <v>0</v>
      </c>
      <c r="H1184" s="988">
        <f t="shared" si="212"/>
        <v>0</v>
      </c>
      <c r="I1184" s="988">
        <f t="shared" si="212"/>
        <v>0</v>
      </c>
      <c r="J1184" s="988">
        <f t="shared" si="212"/>
        <v>0</v>
      </c>
      <c r="K1184" s="988">
        <f t="shared" si="212"/>
        <v>0</v>
      </c>
      <c r="L1184" s="988">
        <f t="shared" si="212"/>
        <v>0</v>
      </c>
      <c r="M1184" s="988">
        <f t="shared" si="212"/>
        <v>0</v>
      </c>
      <c r="N1184" s="988">
        <f t="shared" si="212"/>
        <v>0</v>
      </c>
      <c r="O1184" s="988">
        <f t="shared" si="212"/>
        <v>0</v>
      </c>
      <c r="P1184" s="988">
        <f t="shared" si="212"/>
        <v>0</v>
      </c>
      <c r="Q1184" s="988"/>
      <c r="R1184" s="988">
        <f t="shared" si="204"/>
        <v>0</v>
      </c>
      <c r="S1184" s="546">
        <f t="shared" si="205"/>
        <v>0</v>
      </c>
      <c r="T1184" s="547">
        <f t="shared" si="206"/>
        <v>0</v>
      </c>
      <c r="U1184" s="546">
        <f t="shared" si="207"/>
        <v>0</v>
      </c>
      <c r="W1184" s="350">
        <f t="shared" si="209"/>
        <v>0</v>
      </c>
      <c r="X1184" s="285">
        <f t="shared" si="208"/>
        <v>0</v>
      </c>
    </row>
    <row r="1185" spans="1:24" ht="12" thickBot="1">
      <c r="A1185" s="596" t="s">
        <v>1501</v>
      </c>
      <c r="B1185" s="541" t="s">
        <v>1149</v>
      </c>
      <c r="C1185" s="541" t="s">
        <v>1150</v>
      </c>
      <c r="D1185" s="542" t="s">
        <v>72</v>
      </c>
      <c r="E1185" s="549">
        <f t="shared" si="202"/>
        <v>0</v>
      </c>
      <c r="F1185" s="988">
        <f t="shared" si="212"/>
        <v>0</v>
      </c>
      <c r="G1185" s="988">
        <f t="shared" si="212"/>
        <v>0</v>
      </c>
      <c r="H1185" s="988">
        <f t="shared" si="212"/>
        <v>0</v>
      </c>
      <c r="I1185" s="988">
        <f t="shared" si="212"/>
        <v>0</v>
      </c>
      <c r="J1185" s="988">
        <f t="shared" si="212"/>
        <v>0</v>
      </c>
      <c r="K1185" s="988">
        <f t="shared" si="212"/>
        <v>0</v>
      </c>
      <c r="L1185" s="988">
        <f t="shared" si="212"/>
        <v>0</v>
      </c>
      <c r="M1185" s="988">
        <f t="shared" si="212"/>
        <v>0</v>
      </c>
      <c r="N1185" s="988">
        <f t="shared" si="212"/>
        <v>0</v>
      </c>
      <c r="O1185" s="988">
        <f t="shared" si="212"/>
        <v>0</v>
      </c>
      <c r="P1185" s="988">
        <f t="shared" si="212"/>
        <v>0</v>
      </c>
      <c r="Q1185" s="988"/>
      <c r="R1185" s="988">
        <f t="shared" si="204"/>
        <v>0</v>
      </c>
      <c r="S1185" s="546">
        <f t="shared" si="205"/>
        <v>0</v>
      </c>
      <c r="T1185" s="547">
        <f t="shared" si="206"/>
        <v>0</v>
      </c>
      <c r="U1185" s="546">
        <f t="shared" si="207"/>
        <v>0</v>
      </c>
      <c r="W1185" s="350">
        <f t="shared" si="209"/>
        <v>0</v>
      </c>
      <c r="X1185" s="285">
        <f t="shared" si="208"/>
        <v>0</v>
      </c>
    </row>
    <row r="1186" spans="1:24" ht="12" thickBot="1">
      <c r="A1186" s="596" t="s">
        <v>1501</v>
      </c>
      <c r="B1186" s="541" t="s">
        <v>1051</v>
      </c>
      <c r="C1186" s="541" t="s">
        <v>1052</v>
      </c>
      <c r="D1186" s="542" t="s">
        <v>719</v>
      </c>
      <c r="E1186" s="549">
        <f t="shared" si="202"/>
        <v>0</v>
      </c>
      <c r="F1186" s="988">
        <f t="shared" si="212"/>
        <v>0</v>
      </c>
      <c r="G1186" s="988">
        <f t="shared" si="212"/>
        <v>0</v>
      </c>
      <c r="H1186" s="988">
        <f t="shared" si="212"/>
        <v>0</v>
      </c>
      <c r="I1186" s="988">
        <f t="shared" si="212"/>
        <v>0</v>
      </c>
      <c r="J1186" s="988">
        <f t="shared" si="212"/>
        <v>0</v>
      </c>
      <c r="K1186" s="988">
        <f t="shared" si="212"/>
        <v>0</v>
      </c>
      <c r="L1186" s="988">
        <f t="shared" si="212"/>
        <v>0</v>
      </c>
      <c r="M1186" s="988">
        <f t="shared" si="212"/>
        <v>0</v>
      </c>
      <c r="N1186" s="988">
        <f t="shared" si="212"/>
        <v>0</v>
      </c>
      <c r="O1186" s="988">
        <f t="shared" si="212"/>
        <v>0</v>
      </c>
      <c r="P1186" s="988">
        <f t="shared" si="212"/>
        <v>0</v>
      </c>
      <c r="Q1186" s="988"/>
      <c r="R1186" s="988">
        <f t="shared" si="204"/>
        <v>0</v>
      </c>
      <c r="S1186" s="546">
        <f t="shared" si="205"/>
        <v>0</v>
      </c>
      <c r="T1186" s="547">
        <f t="shared" si="206"/>
        <v>0</v>
      </c>
      <c r="U1186" s="546">
        <f t="shared" si="207"/>
        <v>0</v>
      </c>
      <c r="W1186" s="350">
        <f t="shared" si="209"/>
        <v>0</v>
      </c>
      <c r="X1186" s="285">
        <f t="shared" si="208"/>
        <v>0</v>
      </c>
    </row>
    <row r="1187" spans="1:24" ht="12" thickBot="1">
      <c r="A1187" s="596" t="s">
        <v>1501</v>
      </c>
      <c r="B1187" s="541" t="s">
        <v>1053</v>
      </c>
      <c r="C1187" s="541" t="s">
        <v>1054</v>
      </c>
      <c r="D1187" s="542" t="s">
        <v>719</v>
      </c>
      <c r="E1187" s="549">
        <f t="shared" si="202"/>
        <v>0</v>
      </c>
      <c r="F1187" s="988">
        <f t="shared" si="212"/>
        <v>0</v>
      </c>
      <c r="G1187" s="988">
        <f t="shared" si="212"/>
        <v>0</v>
      </c>
      <c r="H1187" s="988">
        <f t="shared" si="212"/>
        <v>0</v>
      </c>
      <c r="I1187" s="988">
        <f t="shared" si="212"/>
        <v>0</v>
      </c>
      <c r="J1187" s="988">
        <f t="shared" si="212"/>
        <v>0</v>
      </c>
      <c r="K1187" s="988">
        <f t="shared" si="212"/>
        <v>0</v>
      </c>
      <c r="L1187" s="988">
        <f t="shared" si="212"/>
        <v>0</v>
      </c>
      <c r="M1187" s="988">
        <f t="shared" si="212"/>
        <v>0</v>
      </c>
      <c r="N1187" s="988">
        <f t="shared" si="212"/>
        <v>0</v>
      </c>
      <c r="O1187" s="988">
        <f t="shared" si="212"/>
        <v>0</v>
      </c>
      <c r="P1187" s="988">
        <f t="shared" si="212"/>
        <v>0</v>
      </c>
      <c r="Q1187" s="988"/>
      <c r="R1187" s="988">
        <f t="shared" si="204"/>
        <v>0</v>
      </c>
      <c r="S1187" s="546">
        <f t="shared" si="205"/>
        <v>0</v>
      </c>
      <c r="T1187" s="547">
        <f t="shared" si="206"/>
        <v>0</v>
      </c>
      <c r="U1187" s="546">
        <f t="shared" si="207"/>
        <v>0</v>
      </c>
      <c r="W1187" s="350">
        <f t="shared" si="209"/>
        <v>0</v>
      </c>
      <c r="X1187" s="285">
        <f t="shared" si="208"/>
        <v>0</v>
      </c>
    </row>
    <row r="1188" spans="1:24" ht="12" thickBot="1">
      <c r="A1188" s="596" t="s">
        <v>1501</v>
      </c>
      <c r="B1188" s="541" t="s">
        <v>173</v>
      </c>
      <c r="C1188" s="541" t="s">
        <v>192</v>
      </c>
      <c r="D1188" s="542" t="s">
        <v>642</v>
      </c>
      <c r="E1188" s="549">
        <f t="shared" si="202"/>
        <v>45641536</v>
      </c>
      <c r="F1188" s="988">
        <f t="shared" si="212"/>
        <v>750</v>
      </c>
      <c r="G1188" s="988">
        <f t="shared" si="212"/>
        <v>168417</v>
      </c>
      <c r="H1188" s="988">
        <f t="shared" si="212"/>
        <v>1319953</v>
      </c>
      <c r="I1188" s="988">
        <f t="shared" si="212"/>
        <v>0</v>
      </c>
      <c r="J1188" s="988">
        <f t="shared" si="212"/>
        <v>51887</v>
      </c>
      <c r="K1188" s="988">
        <f t="shared" si="212"/>
        <v>668312</v>
      </c>
      <c r="L1188" s="988">
        <f t="shared" si="212"/>
        <v>0</v>
      </c>
      <c r="M1188" s="988">
        <f t="shared" si="212"/>
        <v>19147</v>
      </c>
      <c r="N1188" s="988">
        <f t="shared" si="212"/>
        <v>0</v>
      </c>
      <c r="O1188" s="988">
        <f t="shared" si="212"/>
        <v>259965</v>
      </c>
      <c r="P1188" s="988">
        <f t="shared" si="212"/>
        <v>0</v>
      </c>
      <c r="Q1188" s="988"/>
      <c r="R1188" s="988">
        <f t="shared" si="204"/>
        <v>2488432</v>
      </c>
      <c r="S1188" s="546">
        <f t="shared" si="205"/>
        <v>1488370</v>
      </c>
      <c r="T1188" s="547">
        <f t="shared" si="206"/>
        <v>720199</v>
      </c>
      <c r="U1188" s="546">
        <f t="shared" si="207"/>
        <v>259965</v>
      </c>
      <c r="W1188" s="350">
        <f t="shared" si="209"/>
        <v>2488431</v>
      </c>
      <c r="X1188" s="285">
        <f t="shared" si="208"/>
        <v>-1</v>
      </c>
    </row>
    <row r="1189" spans="1:24" ht="12" thickBot="1">
      <c r="A1189" s="596" t="s">
        <v>1501</v>
      </c>
      <c r="B1189" s="541" t="s">
        <v>193</v>
      </c>
      <c r="C1189" s="541" t="s">
        <v>194</v>
      </c>
      <c r="D1189" s="542" t="s">
        <v>443</v>
      </c>
      <c r="E1189" s="549">
        <f t="shared" si="202"/>
        <v>0</v>
      </c>
      <c r="F1189" s="988">
        <f t="shared" si="212"/>
        <v>0</v>
      </c>
      <c r="G1189" s="988">
        <f t="shared" si="212"/>
        <v>0</v>
      </c>
      <c r="H1189" s="988">
        <f t="shared" si="212"/>
        <v>0</v>
      </c>
      <c r="I1189" s="988">
        <f t="shared" si="212"/>
        <v>0</v>
      </c>
      <c r="J1189" s="988">
        <f t="shared" si="212"/>
        <v>0</v>
      </c>
      <c r="K1189" s="988">
        <f t="shared" si="212"/>
        <v>0</v>
      </c>
      <c r="L1189" s="988">
        <f t="shared" si="212"/>
        <v>0</v>
      </c>
      <c r="M1189" s="988">
        <f t="shared" si="212"/>
        <v>0</v>
      </c>
      <c r="N1189" s="988">
        <f t="shared" si="212"/>
        <v>0</v>
      </c>
      <c r="O1189" s="988">
        <f t="shared" si="212"/>
        <v>0</v>
      </c>
      <c r="P1189" s="988">
        <f t="shared" si="212"/>
        <v>0</v>
      </c>
      <c r="Q1189" s="988"/>
      <c r="R1189" s="988">
        <f t="shared" si="204"/>
        <v>0</v>
      </c>
      <c r="S1189" s="546">
        <f t="shared" si="205"/>
        <v>0</v>
      </c>
      <c r="T1189" s="547">
        <f t="shared" si="206"/>
        <v>0</v>
      </c>
      <c r="U1189" s="546">
        <f t="shared" si="207"/>
        <v>0</v>
      </c>
      <c r="W1189" s="350">
        <f t="shared" si="209"/>
        <v>0</v>
      </c>
      <c r="X1189" s="285">
        <f t="shared" si="208"/>
        <v>0</v>
      </c>
    </row>
    <row r="1190" spans="1:24" ht="12" thickBot="1">
      <c r="A1190" s="596" t="s">
        <v>1501</v>
      </c>
      <c r="B1190" s="541" t="s">
        <v>195</v>
      </c>
      <c r="C1190" s="541" t="s">
        <v>196</v>
      </c>
      <c r="D1190" s="542" t="s">
        <v>443</v>
      </c>
      <c r="E1190" s="549">
        <f t="shared" si="202"/>
        <v>0</v>
      </c>
      <c r="F1190" s="988">
        <f t="shared" si="212"/>
        <v>0</v>
      </c>
      <c r="G1190" s="988">
        <f t="shared" si="212"/>
        <v>0</v>
      </c>
      <c r="H1190" s="988">
        <f t="shared" si="212"/>
        <v>0</v>
      </c>
      <c r="I1190" s="988">
        <f t="shared" si="212"/>
        <v>0</v>
      </c>
      <c r="J1190" s="988">
        <f t="shared" si="212"/>
        <v>0</v>
      </c>
      <c r="K1190" s="988">
        <f t="shared" si="212"/>
        <v>0</v>
      </c>
      <c r="L1190" s="988">
        <f t="shared" si="212"/>
        <v>0</v>
      </c>
      <c r="M1190" s="988">
        <f t="shared" si="212"/>
        <v>0</v>
      </c>
      <c r="N1190" s="988">
        <f t="shared" si="212"/>
        <v>0</v>
      </c>
      <c r="O1190" s="988">
        <f t="shared" si="212"/>
        <v>0</v>
      </c>
      <c r="P1190" s="988">
        <f t="shared" si="212"/>
        <v>0</v>
      </c>
      <c r="Q1190" s="988"/>
      <c r="R1190" s="988">
        <f t="shared" si="204"/>
        <v>0</v>
      </c>
      <c r="S1190" s="546">
        <f t="shared" si="205"/>
        <v>0</v>
      </c>
      <c r="T1190" s="547">
        <f t="shared" si="206"/>
        <v>0</v>
      </c>
      <c r="U1190" s="546">
        <f t="shared" si="207"/>
        <v>0</v>
      </c>
      <c r="W1190" s="350">
        <f t="shared" si="209"/>
        <v>0</v>
      </c>
      <c r="X1190" s="285">
        <f t="shared" si="208"/>
        <v>0</v>
      </c>
    </row>
    <row r="1191" spans="1:24" ht="12" thickBot="1">
      <c r="A1191" s="596" t="s">
        <v>1501</v>
      </c>
      <c r="B1191" s="541" t="s">
        <v>197</v>
      </c>
      <c r="C1191" s="541" t="s">
        <v>198</v>
      </c>
      <c r="D1191" s="542" t="s">
        <v>443</v>
      </c>
      <c r="E1191" s="549">
        <f t="shared" si="202"/>
        <v>0</v>
      </c>
      <c r="F1191" s="988">
        <f t="shared" si="212"/>
        <v>0</v>
      </c>
      <c r="G1191" s="988">
        <f t="shared" si="212"/>
        <v>0</v>
      </c>
      <c r="H1191" s="988">
        <f t="shared" si="212"/>
        <v>0</v>
      </c>
      <c r="I1191" s="988">
        <f t="shared" si="212"/>
        <v>0</v>
      </c>
      <c r="J1191" s="988">
        <f t="shared" si="212"/>
        <v>0</v>
      </c>
      <c r="K1191" s="988">
        <f t="shared" si="212"/>
        <v>0</v>
      </c>
      <c r="L1191" s="988">
        <f t="shared" si="212"/>
        <v>0</v>
      </c>
      <c r="M1191" s="988">
        <f t="shared" si="212"/>
        <v>0</v>
      </c>
      <c r="N1191" s="988">
        <f t="shared" si="212"/>
        <v>0</v>
      </c>
      <c r="O1191" s="988">
        <f t="shared" si="212"/>
        <v>0</v>
      </c>
      <c r="P1191" s="988">
        <f t="shared" si="212"/>
        <v>0</v>
      </c>
      <c r="Q1191" s="988"/>
      <c r="R1191" s="988">
        <f t="shared" si="204"/>
        <v>0</v>
      </c>
      <c r="S1191" s="546">
        <f t="shared" si="205"/>
        <v>0</v>
      </c>
      <c r="T1191" s="547">
        <f t="shared" si="206"/>
        <v>0</v>
      </c>
      <c r="U1191" s="546">
        <f t="shared" si="207"/>
        <v>0</v>
      </c>
      <c r="W1191" s="350">
        <f t="shared" si="209"/>
        <v>0</v>
      </c>
      <c r="X1191" s="285">
        <f t="shared" si="208"/>
        <v>0</v>
      </c>
    </row>
    <row r="1192" spans="1:24" ht="12" thickBot="1">
      <c r="A1192" s="596" t="s">
        <v>1501</v>
      </c>
      <c r="B1192" s="541" t="s">
        <v>1055</v>
      </c>
      <c r="C1192" s="541" t="s">
        <v>1049</v>
      </c>
      <c r="D1192" s="542" t="s">
        <v>1146</v>
      </c>
      <c r="E1192" s="549">
        <f t="shared" si="202"/>
        <v>0</v>
      </c>
      <c r="F1192" s="988">
        <f t="shared" si="212"/>
        <v>0</v>
      </c>
      <c r="G1192" s="988">
        <f t="shared" si="212"/>
        <v>0</v>
      </c>
      <c r="H1192" s="988">
        <f t="shared" si="212"/>
        <v>0</v>
      </c>
      <c r="I1192" s="988">
        <f t="shared" si="212"/>
        <v>0</v>
      </c>
      <c r="J1192" s="988">
        <f t="shared" si="212"/>
        <v>0</v>
      </c>
      <c r="K1192" s="988">
        <f t="shared" si="212"/>
        <v>0</v>
      </c>
      <c r="L1192" s="988">
        <f t="shared" si="212"/>
        <v>0</v>
      </c>
      <c r="M1192" s="988">
        <f t="shared" si="212"/>
        <v>0</v>
      </c>
      <c r="N1192" s="988">
        <f t="shared" si="212"/>
        <v>0</v>
      </c>
      <c r="O1192" s="988">
        <f t="shared" si="212"/>
        <v>0</v>
      </c>
      <c r="P1192" s="988">
        <f t="shared" si="212"/>
        <v>0</v>
      </c>
      <c r="Q1192" s="988"/>
      <c r="R1192" s="988">
        <f t="shared" si="204"/>
        <v>0</v>
      </c>
      <c r="S1192" s="546">
        <f t="shared" si="205"/>
        <v>0</v>
      </c>
      <c r="T1192" s="547">
        <f t="shared" si="206"/>
        <v>0</v>
      </c>
      <c r="U1192" s="546">
        <f t="shared" si="207"/>
        <v>0</v>
      </c>
      <c r="W1192" s="350">
        <f t="shared" si="209"/>
        <v>0</v>
      </c>
      <c r="X1192" s="285">
        <f t="shared" si="208"/>
        <v>0</v>
      </c>
    </row>
    <row r="1193" spans="1:24" ht="12" thickBot="1">
      <c r="A1193" s="596" t="s">
        <v>1501</v>
      </c>
      <c r="B1193" s="541" t="s">
        <v>174</v>
      </c>
      <c r="C1193" s="541" t="s">
        <v>106</v>
      </c>
      <c r="D1193" s="542" t="s">
        <v>14</v>
      </c>
      <c r="E1193" s="549">
        <f t="shared" si="202"/>
        <v>450435840</v>
      </c>
      <c r="F1193" s="988">
        <f t="shared" ref="F1193:P1199" si="213">ROUND(SUMIFS(F$1721:F$1901,$A$1721:$A$1901,$A1193,$B$1721:$B$1901,$B1193),0)</f>
        <v>4619271</v>
      </c>
      <c r="G1193" s="988">
        <f t="shared" si="213"/>
        <v>20436274</v>
      </c>
      <c r="H1193" s="988">
        <f t="shared" si="213"/>
        <v>13026604</v>
      </c>
      <c r="I1193" s="988">
        <f t="shared" si="213"/>
        <v>1418873</v>
      </c>
      <c r="J1193" s="988">
        <f t="shared" si="213"/>
        <v>0</v>
      </c>
      <c r="K1193" s="988">
        <f t="shared" si="213"/>
        <v>0</v>
      </c>
      <c r="L1193" s="988">
        <f t="shared" si="213"/>
        <v>850661</v>
      </c>
      <c r="M1193" s="988">
        <f t="shared" si="213"/>
        <v>188965</v>
      </c>
      <c r="N1193" s="988">
        <f t="shared" si="213"/>
        <v>2565596</v>
      </c>
      <c r="O1193" s="988">
        <f t="shared" si="213"/>
        <v>0</v>
      </c>
      <c r="P1193" s="988">
        <f t="shared" si="213"/>
        <v>0</v>
      </c>
      <c r="Q1193" s="988"/>
      <c r="R1193" s="988">
        <f t="shared" si="204"/>
        <v>43106244</v>
      </c>
      <c r="S1193" s="546">
        <f t="shared" si="205"/>
        <v>34881751</v>
      </c>
      <c r="T1193" s="547">
        <f t="shared" si="206"/>
        <v>0</v>
      </c>
      <c r="U1193" s="546">
        <f t="shared" si="207"/>
        <v>2565596</v>
      </c>
      <c r="W1193" s="350">
        <f t="shared" si="209"/>
        <v>43106244</v>
      </c>
      <c r="X1193" s="285">
        <f t="shared" si="208"/>
        <v>0</v>
      </c>
    </row>
    <row r="1194" spans="1:24" ht="12" thickBot="1">
      <c r="A1194" s="596" t="s">
        <v>1501</v>
      </c>
      <c r="B1194" s="541" t="s">
        <v>175</v>
      </c>
      <c r="C1194" s="541" t="s">
        <v>199</v>
      </c>
      <c r="D1194" s="542" t="s">
        <v>14</v>
      </c>
      <c r="E1194" s="549">
        <f t="shared" si="202"/>
        <v>0</v>
      </c>
      <c r="F1194" s="988">
        <f t="shared" si="213"/>
        <v>0</v>
      </c>
      <c r="G1194" s="988">
        <f t="shared" si="213"/>
        <v>0</v>
      </c>
      <c r="H1194" s="988">
        <f t="shared" si="213"/>
        <v>0</v>
      </c>
      <c r="I1194" s="988">
        <f t="shared" si="213"/>
        <v>0</v>
      </c>
      <c r="J1194" s="988">
        <f t="shared" si="213"/>
        <v>0</v>
      </c>
      <c r="K1194" s="988">
        <f t="shared" si="213"/>
        <v>0</v>
      </c>
      <c r="L1194" s="988">
        <f t="shared" si="213"/>
        <v>0</v>
      </c>
      <c r="M1194" s="988">
        <f t="shared" si="213"/>
        <v>0</v>
      </c>
      <c r="N1194" s="988">
        <f t="shared" si="213"/>
        <v>0</v>
      </c>
      <c r="O1194" s="988">
        <f t="shared" si="213"/>
        <v>0</v>
      </c>
      <c r="P1194" s="988">
        <f t="shared" si="213"/>
        <v>0</v>
      </c>
      <c r="Q1194" s="988"/>
      <c r="R1194" s="988">
        <f t="shared" si="204"/>
        <v>0</v>
      </c>
      <c r="S1194" s="546">
        <f t="shared" si="205"/>
        <v>0</v>
      </c>
      <c r="T1194" s="547">
        <f t="shared" si="206"/>
        <v>0</v>
      </c>
      <c r="U1194" s="546">
        <f t="shared" si="207"/>
        <v>0</v>
      </c>
      <c r="W1194" s="350">
        <f t="shared" si="209"/>
        <v>0</v>
      </c>
      <c r="X1194" s="285">
        <f t="shared" si="208"/>
        <v>0</v>
      </c>
    </row>
    <row r="1195" spans="1:24" ht="12" thickBot="1">
      <c r="A1195" s="596" t="s">
        <v>1501</v>
      </c>
      <c r="B1195" s="541" t="s">
        <v>176</v>
      </c>
      <c r="C1195" s="541" t="s">
        <v>200</v>
      </c>
      <c r="D1195" s="542" t="s">
        <v>207</v>
      </c>
      <c r="E1195" s="549">
        <f t="shared" si="202"/>
        <v>0</v>
      </c>
      <c r="F1195" s="988">
        <f t="shared" si="213"/>
        <v>0</v>
      </c>
      <c r="G1195" s="988">
        <f t="shared" si="213"/>
        <v>0</v>
      </c>
      <c r="H1195" s="988">
        <f t="shared" si="213"/>
        <v>0</v>
      </c>
      <c r="I1195" s="988">
        <f t="shared" si="213"/>
        <v>0</v>
      </c>
      <c r="J1195" s="988">
        <f t="shared" si="213"/>
        <v>0</v>
      </c>
      <c r="K1195" s="988">
        <f t="shared" si="213"/>
        <v>0</v>
      </c>
      <c r="L1195" s="988">
        <f t="shared" si="213"/>
        <v>0</v>
      </c>
      <c r="M1195" s="988">
        <f t="shared" si="213"/>
        <v>0</v>
      </c>
      <c r="N1195" s="988">
        <f t="shared" si="213"/>
        <v>0</v>
      </c>
      <c r="O1195" s="988">
        <f t="shared" si="213"/>
        <v>0</v>
      </c>
      <c r="P1195" s="988">
        <f t="shared" si="213"/>
        <v>0</v>
      </c>
      <c r="Q1195" s="988"/>
      <c r="R1195" s="988">
        <f t="shared" si="204"/>
        <v>0</v>
      </c>
      <c r="S1195" s="546">
        <f t="shared" si="205"/>
        <v>0</v>
      </c>
      <c r="T1195" s="547">
        <f t="shared" si="206"/>
        <v>0</v>
      </c>
      <c r="U1195" s="546">
        <f t="shared" si="207"/>
        <v>0</v>
      </c>
      <c r="W1195" s="350">
        <f t="shared" si="209"/>
        <v>0</v>
      </c>
      <c r="X1195" s="285">
        <f t="shared" si="208"/>
        <v>0</v>
      </c>
    </row>
    <row r="1196" spans="1:24" ht="12" thickBot="1">
      <c r="A1196" s="596" t="s">
        <v>1501</v>
      </c>
      <c r="B1196" s="541" t="s">
        <v>458</v>
      </c>
      <c r="C1196" s="541" t="s">
        <v>1367</v>
      </c>
      <c r="D1196" s="542" t="s">
        <v>206</v>
      </c>
      <c r="E1196" s="549">
        <f t="shared" si="202"/>
        <v>0</v>
      </c>
      <c r="F1196" s="988">
        <f t="shared" si="213"/>
        <v>0</v>
      </c>
      <c r="G1196" s="988">
        <f t="shared" si="213"/>
        <v>0</v>
      </c>
      <c r="H1196" s="988">
        <f t="shared" si="213"/>
        <v>0</v>
      </c>
      <c r="I1196" s="988">
        <f t="shared" si="213"/>
        <v>0</v>
      </c>
      <c r="J1196" s="988">
        <f t="shared" si="213"/>
        <v>0</v>
      </c>
      <c r="K1196" s="988">
        <f t="shared" si="213"/>
        <v>0</v>
      </c>
      <c r="L1196" s="988">
        <f t="shared" si="213"/>
        <v>0</v>
      </c>
      <c r="M1196" s="988">
        <f t="shared" si="213"/>
        <v>0</v>
      </c>
      <c r="N1196" s="988">
        <f t="shared" si="213"/>
        <v>0</v>
      </c>
      <c r="O1196" s="988">
        <f t="shared" si="213"/>
        <v>0</v>
      </c>
      <c r="P1196" s="988">
        <f t="shared" si="213"/>
        <v>0</v>
      </c>
      <c r="Q1196" s="988"/>
      <c r="R1196" s="988">
        <f t="shared" si="204"/>
        <v>0</v>
      </c>
      <c r="S1196" s="546">
        <f t="shared" si="205"/>
        <v>0</v>
      </c>
      <c r="T1196" s="547">
        <f t="shared" si="206"/>
        <v>0</v>
      </c>
      <c r="U1196" s="546">
        <f t="shared" si="207"/>
        <v>0</v>
      </c>
      <c r="W1196" s="350">
        <f t="shared" si="209"/>
        <v>0</v>
      </c>
      <c r="X1196" s="285">
        <f t="shared" si="208"/>
        <v>0</v>
      </c>
    </row>
    <row r="1197" spans="1:24" ht="12" thickBot="1">
      <c r="A1197" s="596" t="s">
        <v>1501</v>
      </c>
      <c r="B1197" s="541" t="s">
        <v>177</v>
      </c>
      <c r="C1197" s="541" t="s">
        <v>201</v>
      </c>
      <c r="D1197" s="542" t="s">
        <v>16</v>
      </c>
      <c r="E1197" s="549">
        <f t="shared" si="202"/>
        <v>0</v>
      </c>
      <c r="F1197" s="988">
        <f t="shared" si="213"/>
        <v>0</v>
      </c>
      <c r="G1197" s="988">
        <f t="shared" si="213"/>
        <v>0</v>
      </c>
      <c r="H1197" s="988">
        <f t="shared" si="213"/>
        <v>0</v>
      </c>
      <c r="I1197" s="988">
        <f t="shared" si="213"/>
        <v>0</v>
      </c>
      <c r="J1197" s="988">
        <f t="shared" si="213"/>
        <v>0</v>
      </c>
      <c r="K1197" s="988">
        <f t="shared" si="213"/>
        <v>0</v>
      </c>
      <c r="L1197" s="988">
        <f t="shared" si="213"/>
        <v>0</v>
      </c>
      <c r="M1197" s="988">
        <f t="shared" si="213"/>
        <v>0</v>
      </c>
      <c r="N1197" s="988">
        <f t="shared" si="213"/>
        <v>0</v>
      </c>
      <c r="O1197" s="988">
        <f t="shared" si="213"/>
        <v>0</v>
      </c>
      <c r="P1197" s="988">
        <f t="shared" si="213"/>
        <v>0</v>
      </c>
      <c r="Q1197" s="988"/>
      <c r="R1197" s="988">
        <f t="shared" si="204"/>
        <v>0</v>
      </c>
      <c r="S1197" s="546">
        <f t="shared" si="205"/>
        <v>0</v>
      </c>
      <c r="T1197" s="547">
        <f t="shared" si="206"/>
        <v>0</v>
      </c>
      <c r="U1197" s="546">
        <f t="shared" si="207"/>
        <v>0</v>
      </c>
      <c r="W1197" s="350">
        <f t="shared" si="209"/>
        <v>0</v>
      </c>
      <c r="X1197" s="285">
        <f t="shared" si="208"/>
        <v>0</v>
      </c>
    </row>
    <row r="1198" spans="1:24" ht="12" thickBot="1">
      <c r="A1198" s="596" t="s">
        <v>1501</v>
      </c>
      <c r="B1198" s="541" t="s">
        <v>178</v>
      </c>
      <c r="C1198" s="541" t="s">
        <v>202</v>
      </c>
      <c r="D1198" s="542" t="s">
        <v>14</v>
      </c>
      <c r="E1198" s="549">
        <f t="shared" si="202"/>
        <v>0</v>
      </c>
      <c r="F1198" s="988">
        <f t="shared" si="213"/>
        <v>0</v>
      </c>
      <c r="G1198" s="988">
        <f t="shared" si="213"/>
        <v>0</v>
      </c>
      <c r="H1198" s="988">
        <f t="shared" si="213"/>
        <v>0</v>
      </c>
      <c r="I1198" s="988">
        <f t="shared" si="213"/>
        <v>0</v>
      </c>
      <c r="J1198" s="988">
        <f t="shared" si="213"/>
        <v>0</v>
      </c>
      <c r="K1198" s="988">
        <f t="shared" si="213"/>
        <v>0</v>
      </c>
      <c r="L1198" s="988">
        <f t="shared" si="213"/>
        <v>0</v>
      </c>
      <c r="M1198" s="988">
        <f t="shared" si="213"/>
        <v>0</v>
      </c>
      <c r="N1198" s="988">
        <f t="shared" si="213"/>
        <v>0</v>
      </c>
      <c r="O1198" s="988">
        <f t="shared" si="213"/>
        <v>0</v>
      </c>
      <c r="P1198" s="988">
        <f t="shared" si="213"/>
        <v>0</v>
      </c>
      <c r="Q1198" s="988"/>
      <c r="R1198" s="988">
        <f t="shared" si="204"/>
        <v>0</v>
      </c>
      <c r="S1198" s="546">
        <f t="shared" si="205"/>
        <v>0</v>
      </c>
      <c r="T1198" s="547">
        <f t="shared" si="206"/>
        <v>0</v>
      </c>
      <c r="U1198" s="546">
        <f t="shared" si="207"/>
        <v>0</v>
      </c>
      <c r="W1198" s="350">
        <f t="shared" si="209"/>
        <v>0</v>
      </c>
      <c r="X1198" s="285">
        <f t="shared" si="208"/>
        <v>0</v>
      </c>
    </row>
    <row r="1199" spans="1:24" ht="12" thickBot="1">
      <c r="A1199" s="596" t="s">
        <v>1501</v>
      </c>
      <c r="B1199" s="541" t="s">
        <v>73</v>
      </c>
      <c r="C1199" s="541" t="s">
        <v>1511</v>
      </c>
      <c r="D1199" s="542"/>
      <c r="E1199" s="549">
        <f t="shared" si="202"/>
        <v>8710078</v>
      </c>
      <c r="F1199" s="988">
        <f t="shared" si="213"/>
        <v>0</v>
      </c>
      <c r="G1199" s="988">
        <f t="shared" si="213"/>
        <v>1786439</v>
      </c>
      <c r="H1199" s="988">
        <f t="shared" si="213"/>
        <v>251895</v>
      </c>
      <c r="I1199" s="988">
        <f t="shared" si="213"/>
        <v>0</v>
      </c>
      <c r="J1199" s="988">
        <f t="shared" si="213"/>
        <v>0</v>
      </c>
      <c r="K1199" s="988">
        <f t="shared" si="213"/>
        <v>0</v>
      </c>
      <c r="L1199" s="988">
        <f t="shared" si="213"/>
        <v>0</v>
      </c>
      <c r="M1199" s="988">
        <f t="shared" si="213"/>
        <v>3654</v>
      </c>
      <c r="N1199" s="988">
        <f t="shared" si="213"/>
        <v>49611</v>
      </c>
      <c r="O1199" s="988">
        <f t="shared" si="213"/>
        <v>0</v>
      </c>
      <c r="P1199" s="988">
        <f t="shared" si="213"/>
        <v>0</v>
      </c>
      <c r="Q1199" s="988"/>
      <c r="R1199" s="988">
        <f t="shared" si="204"/>
        <v>2091599</v>
      </c>
      <c r="S1199" s="546">
        <f t="shared" si="205"/>
        <v>2038334</v>
      </c>
      <c r="T1199" s="547">
        <f t="shared" si="206"/>
        <v>0</v>
      </c>
      <c r="U1199" s="546">
        <f t="shared" si="207"/>
        <v>49611</v>
      </c>
      <c r="W1199" s="350">
        <f t="shared" si="209"/>
        <v>2091599</v>
      </c>
      <c r="X1199" s="285">
        <f t="shared" si="208"/>
        <v>0</v>
      </c>
    </row>
    <row r="1200" spans="1:24" ht="12" thickBot="1">
      <c r="A1200" s="596" t="s">
        <v>1501</v>
      </c>
      <c r="B1200" s="541" t="s">
        <v>323</v>
      </c>
      <c r="C1200" s="541" t="s">
        <v>1056</v>
      </c>
      <c r="D1200" s="552" t="s">
        <v>1139</v>
      </c>
      <c r="E1200" s="543"/>
      <c r="F1200" s="545"/>
      <c r="G1200" s="544"/>
      <c r="H1200" s="545"/>
      <c r="I1200" s="545"/>
      <c r="J1200" s="545"/>
      <c r="K1200" s="545"/>
      <c r="L1200" s="545"/>
      <c r="M1200" s="544"/>
      <c r="N1200" s="544"/>
      <c r="O1200" s="545"/>
      <c r="P1200" s="545"/>
      <c r="Q1200" s="544"/>
      <c r="R1200" s="544"/>
      <c r="S1200" s="546">
        <f t="shared" si="205"/>
        <v>0</v>
      </c>
      <c r="T1200" s="547">
        <f t="shared" si="206"/>
        <v>0</v>
      </c>
      <c r="U1200" s="546">
        <f t="shared" si="207"/>
        <v>0</v>
      </c>
      <c r="W1200" s="350">
        <f t="shared" si="209"/>
        <v>0</v>
      </c>
      <c r="X1200" s="285">
        <f t="shared" si="208"/>
        <v>0</v>
      </c>
    </row>
    <row r="1201" spans="1:24" ht="12" thickBot="1">
      <c r="A1201" s="596" t="s">
        <v>1501</v>
      </c>
      <c r="B1201" s="541" t="s">
        <v>328</v>
      </c>
      <c r="C1201" s="541" t="s">
        <v>1057</v>
      </c>
      <c r="D1201" s="552" t="s">
        <v>1139</v>
      </c>
      <c r="E1201" s="549"/>
      <c r="F1201" s="551"/>
      <c r="G1201" s="550"/>
      <c r="H1201" s="551"/>
      <c r="I1201" s="551"/>
      <c r="J1201" s="551"/>
      <c r="K1201" s="551"/>
      <c r="L1201" s="551"/>
      <c r="M1201" s="550"/>
      <c r="N1201" s="550"/>
      <c r="O1201" s="551"/>
      <c r="P1201" s="551"/>
      <c r="Q1201" s="550"/>
      <c r="R1201" s="550"/>
      <c r="S1201" s="546">
        <f t="shared" si="205"/>
        <v>0</v>
      </c>
      <c r="T1201" s="547">
        <f t="shared" si="206"/>
        <v>0</v>
      </c>
      <c r="U1201" s="546">
        <f t="shared" si="207"/>
        <v>0</v>
      </c>
      <c r="W1201" s="350">
        <f t="shared" si="209"/>
        <v>0</v>
      </c>
      <c r="X1201" s="285">
        <f t="shared" si="208"/>
        <v>0</v>
      </c>
    </row>
    <row r="1202" spans="1:24" ht="12" thickBot="1">
      <c r="A1202" s="596" t="s">
        <v>1501</v>
      </c>
      <c r="B1202" s="541" t="s">
        <v>331</v>
      </c>
      <c r="C1202" s="541" t="s">
        <v>1058</v>
      </c>
      <c r="D1202" s="552" t="s">
        <v>1139</v>
      </c>
      <c r="E1202" s="543"/>
      <c r="F1202" s="545"/>
      <c r="G1202" s="544"/>
      <c r="H1202" s="545"/>
      <c r="I1202" s="545"/>
      <c r="J1202" s="545"/>
      <c r="K1202" s="545"/>
      <c r="L1202" s="545"/>
      <c r="M1202" s="544"/>
      <c r="N1202" s="544"/>
      <c r="O1202" s="545"/>
      <c r="P1202" s="545"/>
      <c r="Q1202" s="544"/>
      <c r="R1202" s="544"/>
      <c r="S1202" s="546">
        <f t="shared" si="205"/>
        <v>0</v>
      </c>
      <c r="T1202" s="547">
        <f t="shared" si="206"/>
        <v>0</v>
      </c>
      <c r="U1202" s="546">
        <f t="shared" si="207"/>
        <v>0</v>
      </c>
      <c r="W1202" s="350">
        <f t="shared" si="209"/>
        <v>0</v>
      </c>
      <c r="X1202" s="285">
        <f t="shared" si="208"/>
        <v>0</v>
      </c>
    </row>
    <row r="1203" spans="1:24" ht="12" thickBot="1">
      <c r="A1203" s="596" t="s">
        <v>1501</v>
      </c>
      <c r="B1203" s="541" t="s">
        <v>332</v>
      </c>
      <c r="C1203" s="541" t="s">
        <v>1059</v>
      </c>
      <c r="D1203" s="552" t="s">
        <v>1139</v>
      </c>
      <c r="E1203" s="549"/>
      <c r="F1203" s="551"/>
      <c r="G1203" s="550"/>
      <c r="H1203" s="551"/>
      <c r="I1203" s="551"/>
      <c r="J1203" s="551"/>
      <c r="K1203" s="551"/>
      <c r="L1203" s="551"/>
      <c r="M1203" s="550"/>
      <c r="N1203" s="550"/>
      <c r="O1203" s="551"/>
      <c r="P1203" s="551"/>
      <c r="Q1203" s="550"/>
      <c r="R1203" s="550"/>
      <c r="S1203" s="546">
        <f t="shared" si="205"/>
        <v>0</v>
      </c>
      <c r="T1203" s="547">
        <f t="shared" si="206"/>
        <v>0</v>
      </c>
      <c r="U1203" s="546">
        <f t="shared" si="207"/>
        <v>0</v>
      </c>
      <c r="W1203" s="350">
        <f t="shared" si="209"/>
        <v>0</v>
      </c>
      <c r="X1203" s="285">
        <f t="shared" si="208"/>
        <v>0</v>
      </c>
    </row>
    <row r="1204" spans="1:24" ht="12" thickBot="1">
      <c r="A1204" s="596" t="s">
        <v>1501</v>
      </c>
      <c r="B1204" s="541" t="s">
        <v>333</v>
      </c>
      <c r="C1204" s="541" t="s">
        <v>1060</v>
      </c>
      <c r="D1204" s="552" t="s">
        <v>1139</v>
      </c>
      <c r="E1204" s="543"/>
      <c r="F1204" s="545"/>
      <c r="G1204" s="544"/>
      <c r="H1204" s="545"/>
      <c r="I1204" s="545"/>
      <c r="J1204" s="545"/>
      <c r="K1204" s="545"/>
      <c r="L1204" s="545"/>
      <c r="M1204" s="544"/>
      <c r="N1204" s="544"/>
      <c r="O1204" s="545"/>
      <c r="P1204" s="545"/>
      <c r="Q1204" s="544"/>
      <c r="R1204" s="544"/>
      <c r="S1204" s="546">
        <f t="shared" si="205"/>
        <v>0</v>
      </c>
      <c r="T1204" s="547">
        <f t="shared" si="206"/>
        <v>0</v>
      </c>
      <c r="U1204" s="546">
        <f t="shared" si="207"/>
        <v>0</v>
      </c>
      <c r="W1204" s="350">
        <f t="shared" si="209"/>
        <v>0</v>
      </c>
      <c r="X1204" s="285">
        <f t="shared" si="208"/>
        <v>0</v>
      </c>
    </row>
    <row r="1205" spans="1:24" ht="12" thickBot="1">
      <c r="A1205" s="596" t="s">
        <v>1501</v>
      </c>
      <c r="B1205" s="541" t="s">
        <v>335</v>
      </c>
      <c r="C1205" s="541" t="s">
        <v>1061</v>
      </c>
      <c r="D1205" s="552" t="s">
        <v>1139</v>
      </c>
      <c r="E1205" s="549"/>
      <c r="F1205" s="551"/>
      <c r="G1205" s="550"/>
      <c r="H1205" s="551"/>
      <c r="I1205" s="551"/>
      <c r="J1205" s="551"/>
      <c r="K1205" s="551"/>
      <c r="L1205" s="551"/>
      <c r="M1205" s="550"/>
      <c r="N1205" s="550"/>
      <c r="O1205" s="551"/>
      <c r="P1205" s="551"/>
      <c r="Q1205" s="550"/>
      <c r="R1205" s="550"/>
      <c r="S1205" s="546">
        <f t="shared" si="205"/>
        <v>0</v>
      </c>
      <c r="T1205" s="547">
        <f t="shared" si="206"/>
        <v>0</v>
      </c>
      <c r="U1205" s="546">
        <f t="shared" si="207"/>
        <v>0</v>
      </c>
      <c r="W1205" s="350">
        <f t="shared" si="209"/>
        <v>0</v>
      </c>
      <c r="X1205" s="285">
        <f t="shared" si="208"/>
        <v>0</v>
      </c>
    </row>
    <row r="1206" spans="1:24" ht="12" thickBot="1">
      <c r="A1206" s="596" t="s">
        <v>1501</v>
      </c>
      <c r="B1206" s="541" t="s">
        <v>336</v>
      </c>
      <c r="C1206" s="541" t="s">
        <v>1062</v>
      </c>
      <c r="D1206" s="552" t="s">
        <v>1139</v>
      </c>
      <c r="E1206" s="543"/>
      <c r="F1206" s="545"/>
      <c r="G1206" s="544"/>
      <c r="H1206" s="545"/>
      <c r="I1206" s="545"/>
      <c r="J1206" s="545"/>
      <c r="K1206" s="545"/>
      <c r="L1206" s="545"/>
      <c r="M1206" s="544"/>
      <c r="N1206" s="544"/>
      <c r="O1206" s="545"/>
      <c r="P1206" s="545"/>
      <c r="Q1206" s="544"/>
      <c r="R1206" s="544"/>
      <c r="S1206" s="546">
        <f t="shared" si="205"/>
        <v>0</v>
      </c>
      <c r="T1206" s="547">
        <f t="shared" si="206"/>
        <v>0</v>
      </c>
      <c r="U1206" s="546">
        <f t="shared" si="207"/>
        <v>0</v>
      </c>
      <c r="W1206" s="350">
        <f t="shared" si="209"/>
        <v>0</v>
      </c>
      <c r="X1206" s="285">
        <f t="shared" si="208"/>
        <v>0</v>
      </c>
    </row>
    <row r="1207" spans="1:24" ht="12" thickBot="1">
      <c r="A1207" s="596" t="s">
        <v>1501</v>
      </c>
      <c r="B1207" s="541" t="s">
        <v>338</v>
      </c>
      <c r="C1207" s="541" t="s">
        <v>1063</v>
      </c>
      <c r="D1207" s="552" t="s">
        <v>1139</v>
      </c>
      <c r="E1207" s="549"/>
      <c r="F1207" s="551"/>
      <c r="G1207" s="550"/>
      <c r="H1207" s="551"/>
      <c r="I1207" s="551"/>
      <c r="J1207" s="551"/>
      <c r="K1207" s="551"/>
      <c r="L1207" s="551"/>
      <c r="M1207" s="550"/>
      <c r="N1207" s="550"/>
      <c r="O1207" s="551"/>
      <c r="P1207" s="551"/>
      <c r="Q1207" s="550"/>
      <c r="R1207" s="550"/>
      <c r="S1207" s="546">
        <f t="shared" si="205"/>
        <v>0</v>
      </c>
      <c r="T1207" s="547">
        <f t="shared" si="206"/>
        <v>0</v>
      </c>
      <c r="U1207" s="546">
        <f t="shared" si="207"/>
        <v>0</v>
      </c>
      <c r="W1207" s="350">
        <f t="shared" si="209"/>
        <v>0</v>
      </c>
      <c r="X1207" s="285">
        <f t="shared" si="208"/>
        <v>0</v>
      </c>
    </row>
    <row r="1208" spans="1:24" ht="12" thickBot="1">
      <c r="A1208" s="596" t="s">
        <v>1501</v>
      </c>
      <c r="B1208" s="541" t="s">
        <v>339</v>
      </c>
      <c r="C1208" s="541" t="s">
        <v>1064</v>
      </c>
      <c r="D1208" s="552" t="s">
        <v>1139</v>
      </c>
      <c r="E1208" s="543"/>
      <c r="F1208" s="545"/>
      <c r="G1208" s="544"/>
      <c r="H1208" s="545"/>
      <c r="I1208" s="545"/>
      <c r="J1208" s="545"/>
      <c r="K1208" s="545"/>
      <c r="L1208" s="545"/>
      <c r="M1208" s="544"/>
      <c r="N1208" s="544"/>
      <c r="O1208" s="545"/>
      <c r="P1208" s="545"/>
      <c r="Q1208" s="544"/>
      <c r="R1208" s="544"/>
      <c r="S1208" s="546">
        <f t="shared" si="205"/>
        <v>0</v>
      </c>
      <c r="T1208" s="547">
        <f t="shared" si="206"/>
        <v>0</v>
      </c>
      <c r="U1208" s="546">
        <f t="shared" si="207"/>
        <v>0</v>
      </c>
      <c r="W1208" s="350">
        <f t="shared" si="209"/>
        <v>0</v>
      </c>
      <c r="X1208" s="285">
        <f t="shared" si="208"/>
        <v>0</v>
      </c>
    </row>
    <row r="1209" spans="1:24" ht="12" thickBot="1">
      <c r="A1209" s="596" t="s">
        <v>1501</v>
      </c>
      <c r="B1209" s="541" t="s">
        <v>325</v>
      </c>
      <c r="C1209" s="541" t="s">
        <v>1065</v>
      </c>
      <c r="D1209" s="552" t="s">
        <v>1139</v>
      </c>
      <c r="E1209" s="549"/>
      <c r="F1209" s="551"/>
      <c r="G1209" s="550"/>
      <c r="H1209" s="551"/>
      <c r="I1209" s="551"/>
      <c r="J1209" s="551"/>
      <c r="K1209" s="551"/>
      <c r="L1209" s="551"/>
      <c r="M1209" s="550"/>
      <c r="N1209" s="550"/>
      <c r="O1209" s="551"/>
      <c r="P1209" s="551"/>
      <c r="Q1209" s="550"/>
      <c r="R1209" s="550"/>
      <c r="S1209" s="546">
        <f t="shared" si="205"/>
        <v>0</v>
      </c>
      <c r="T1209" s="547">
        <f t="shared" si="206"/>
        <v>0</v>
      </c>
      <c r="U1209" s="546">
        <f t="shared" si="207"/>
        <v>0</v>
      </c>
      <c r="W1209" s="350">
        <f t="shared" si="209"/>
        <v>0</v>
      </c>
      <c r="X1209" s="285">
        <f t="shared" si="208"/>
        <v>0</v>
      </c>
    </row>
    <row r="1210" spans="1:24" ht="12" thickBot="1">
      <c r="A1210" s="596" t="s">
        <v>1501</v>
      </c>
      <c r="B1210" s="541" t="s">
        <v>334</v>
      </c>
      <c r="C1210" s="541" t="s">
        <v>1066</v>
      </c>
      <c r="D1210" s="552" t="s">
        <v>1139</v>
      </c>
      <c r="E1210" s="543"/>
      <c r="F1210" s="545"/>
      <c r="G1210" s="544"/>
      <c r="H1210" s="545"/>
      <c r="I1210" s="545"/>
      <c r="J1210" s="545"/>
      <c r="K1210" s="545"/>
      <c r="L1210" s="545"/>
      <c r="M1210" s="544"/>
      <c r="N1210" s="544"/>
      <c r="O1210" s="545"/>
      <c r="P1210" s="545"/>
      <c r="Q1210" s="544"/>
      <c r="R1210" s="544"/>
      <c r="S1210" s="546">
        <f t="shared" si="205"/>
        <v>0</v>
      </c>
      <c r="T1210" s="547">
        <f t="shared" si="206"/>
        <v>0</v>
      </c>
      <c r="U1210" s="546">
        <f t="shared" si="207"/>
        <v>0</v>
      </c>
      <c r="W1210" s="350">
        <f t="shared" si="209"/>
        <v>0</v>
      </c>
      <c r="X1210" s="285">
        <f t="shared" si="208"/>
        <v>0</v>
      </c>
    </row>
    <row r="1211" spans="1:24" ht="12" thickBot="1">
      <c r="A1211" s="596" t="s">
        <v>1501</v>
      </c>
      <c r="B1211" s="541" t="s">
        <v>326</v>
      </c>
      <c r="C1211" s="541" t="s">
        <v>1067</v>
      </c>
      <c r="D1211" s="552" t="s">
        <v>1139</v>
      </c>
      <c r="E1211" s="549"/>
      <c r="F1211" s="551"/>
      <c r="G1211" s="550"/>
      <c r="H1211" s="551"/>
      <c r="I1211" s="551"/>
      <c r="J1211" s="551"/>
      <c r="K1211" s="551"/>
      <c r="L1211" s="551"/>
      <c r="M1211" s="550"/>
      <c r="N1211" s="550"/>
      <c r="O1211" s="551"/>
      <c r="P1211" s="551"/>
      <c r="Q1211" s="550"/>
      <c r="R1211" s="550"/>
      <c r="S1211" s="546">
        <f t="shared" si="205"/>
        <v>0</v>
      </c>
      <c r="T1211" s="547">
        <f t="shared" si="206"/>
        <v>0</v>
      </c>
      <c r="U1211" s="546">
        <f t="shared" si="207"/>
        <v>0</v>
      </c>
      <c r="W1211" s="350">
        <f t="shared" si="209"/>
        <v>0</v>
      </c>
      <c r="X1211" s="285">
        <f t="shared" si="208"/>
        <v>0</v>
      </c>
    </row>
    <row r="1212" spans="1:24" ht="12" thickBot="1">
      <c r="A1212" s="596" t="s">
        <v>1501</v>
      </c>
      <c r="B1212" s="541" t="s">
        <v>330</v>
      </c>
      <c r="C1212" s="541" t="s">
        <v>1068</v>
      </c>
      <c r="D1212" s="552" t="s">
        <v>1139</v>
      </c>
      <c r="E1212" s="543"/>
      <c r="F1212" s="545"/>
      <c r="G1212" s="544"/>
      <c r="H1212" s="545"/>
      <c r="I1212" s="545"/>
      <c r="J1212" s="545"/>
      <c r="K1212" s="545"/>
      <c r="L1212" s="545"/>
      <c r="M1212" s="544"/>
      <c r="N1212" s="544"/>
      <c r="O1212" s="545"/>
      <c r="P1212" s="545"/>
      <c r="Q1212" s="544"/>
      <c r="R1212" s="544"/>
      <c r="S1212" s="546">
        <f t="shared" si="205"/>
        <v>0</v>
      </c>
      <c r="T1212" s="547">
        <f t="shared" si="206"/>
        <v>0</v>
      </c>
      <c r="U1212" s="546">
        <f t="shared" si="207"/>
        <v>0</v>
      </c>
      <c r="W1212" s="350">
        <f t="shared" si="209"/>
        <v>0</v>
      </c>
      <c r="X1212" s="285">
        <f t="shared" si="208"/>
        <v>0</v>
      </c>
    </row>
    <row r="1213" spans="1:24" ht="12" thickBot="1">
      <c r="A1213" s="596" t="s">
        <v>1501</v>
      </c>
      <c r="B1213" s="541" t="s">
        <v>337</v>
      </c>
      <c r="C1213" s="541" t="s">
        <v>1069</v>
      </c>
      <c r="D1213" s="552" t="s">
        <v>1139</v>
      </c>
      <c r="E1213" s="549"/>
      <c r="F1213" s="551"/>
      <c r="G1213" s="550"/>
      <c r="H1213" s="551"/>
      <c r="I1213" s="551"/>
      <c r="J1213" s="551"/>
      <c r="K1213" s="551"/>
      <c r="L1213" s="551"/>
      <c r="M1213" s="550"/>
      <c r="N1213" s="550"/>
      <c r="O1213" s="551"/>
      <c r="P1213" s="551"/>
      <c r="Q1213" s="550"/>
      <c r="R1213" s="550"/>
      <c r="S1213" s="546">
        <f t="shared" si="205"/>
        <v>0</v>
      </c>
      <c r="T1213" s="547">
        <f t="shared" si="206"/>
        <v>0</v>
      </c>
      <c r="U1213" s="546">
        <f t="shared" si="207"/>
        <v>0</v>
      </c>
      <c r="W1213" s="350">
        <f t="shared" si="209"/>
        <v>0</v>
      </c>
      <c r="X1213" s="285">
        <f t="shared" si="208"/>
        <v>0</v>
      </c>
    </row>
    <row r="1214" spans="1:24" ht="12" thickBot="1">
      <c r="A1214" s="596" t="s">
        <v>1501</v>
      </c>
      <c r="B1214" s="541" t="s">
        <v>329</v>
      </c>
      <c r="C1214" s="541" t="s">
        <v>1070</v>
      </c>
      <c r="D1214" s="552" t="s">
        <v>1139</v>
      </c>
      <c r="E1214" s="543"/>
      <c r="F1214" s="545"/>
      <c r="G1214" s="544"/>
      <c r="H1214" s="545"/>
      <c r="I1214" s="545"/>
      <c r="J1214" s="545"/>
      <c r="K1214" s="545"/>
      <c r="L1214" s="545"/>
      <c r="M1214" s="544"/>
      <c r="N1214" s="544"/>
      <c r="O1214" s="545"/>
      <c r="P1214" s="545"/>
      <c r="Q1214" s="544"/>
      <c r="R1214" s="544"/>
      <c r="S1214" s="546">
        <f t="shared" si="205"/>
        <v>0</v>
      </c>
      <c r="T1214" s="547">
        <f t="shared" si="206"/>
        <v>0</v>
      </c>
      <c r="U1214" s="546">
        <f t="shared" si="207"/>
        <v>0</v>
      </c>
      <c r="W1214" s="350">
        <f t="shared" si="209"/>
        <v>0</v>
      </c>
      <c r="X1214" s="285">
        <f t="shared" si="208"/>
        <v>0</v>
      </c>
    </row>
    <row r="1215" spans="1:24" ht="12" thickBot="1">
      <c r="A1215" s="596" t="s">
        <v>1501</v>
      </c>
      <c r="B1215" s="541" t="s">
        <v>327</v>
      </c>
      <c r="C1215" s="541" t="s">
        <v>1071</v>
      </c>
      <c r="D1215" s="552" t="s">
        <v>1139</v>
      </c>
      <c r="E1215" s="549"/>
      <c r="F1215" s="551"/>
      <c r="G1215" s="550"/>
      <c r="H1215" s="551"/>
      <c r="I1215" s="551"/>
      <c r="J1215" s="551"/>
      <c r="K1215" s="551"/>
      <c r="L1215" s="551"/>
      <c r="M1215" s="550"/>
      <c r="N1215" s="550"/>
      <c r="O1215" s="551"/>
      <c r="P1215" s="551"/>
      <c r="Q1215" s="550"/>
      <c r="R1215" s="550"/>
      <c r="S1215" s="546">
        <f t="shared" si="205"/>
        <v>0</v>
      </c>
      <c r="T1215" s="547">
        <f t="shared" si="206"/>
        <v>0</v>
      </c>
      <c r="U1215" s="546">
        <f t="shared" si="207"/>
        <v>0</v>
      </c>
      <c r="W1215" s="350">
        <f t="shared" si="209"/>
        <v>0</v>
      </c>
      <c r="X1215" s="285">
        <f t="shared" si="208"/>
        <v>0</v>
      </c>
    </row>
    <row r="1216" spans="1:24" ht="12" thickBot="1">
      <c r="A1216" s="596" t="s">
        <v>1501</v>
      </c>
      <c r="B1216" s="541" t="s">
        <v>453</v>
      </c>
      <c r="C1216" s="541" t="s">
        <v>1072</v>
      </c>
      <c r="D1216" s="552" t="s">
        <v>1139</v>
      </c>
      <c r="E1216" s="543"/>
      <c r="F1216" s="545"/>
      <c r="G1216" s="544"/>
      <c r="H1216" s="545"/>
      <c r="I1216" s="545"/>
      <c r="J1216" s="545"/>
      <c r="K1216" s="545"/>
      <c r="L1216" s="545"/>
      <c r="M1216" s="544"/>
      <c r="N1216" s="544"/>
      <c r="O1216" s="545"/>
      <c r="P1216" s="545"/>
      <c r="Q1216" s="545"/>
      <c r="R1216" s="544"/>
      <c r="S1216" s="546">
        <f t="shared" si="205"/>
        <v>0</v>
      </c>
      <c r="T1216" s="547">
        <f t="shared" si="206"/>
        <v>0</v>
      </c>
      <c r="U1216" s="546">
        <f t="shared" si="207"/>
        <v>0</v>
      </c>
      <c r="W1216" s="350">
        <f t="shared" si="209"/>
        <v>0</v>
      </c>
      <c r="X1216" s="285">
        <f t="shared" si="208"/>
        <v>0</v>
      </c>
    </row>
    <row r="1217" spans="1:24" ht="12" thickBot="1">
      <c r="A1217" s="596" t="s">
        <v>1501</v>
      </c>
      <c r="B1217" s="541" t="s">
        <v>366</v>
      </c>
      <c r="C1217" s="541" t="s">
        <v>1073</v>
      </c>
      <c r="D1217" s="552" t="s">
        <v>1139</v>
      </c>
      <c r="E1217" s="549"/>
      <c r="F1217" s="551"/>
      <c r="G1217" s="550"/>
      <c r="H1217" s="551"/>
      <c r="I1217" s="551"/>
      <c r="J1217" s="551"/>
      <c r="K1217" s="551"/>
      <c r="L1217" s="551"/>
      <c r="M1217" s="550"/>
      <c r="N1217" s="550"/>
      <c r="O1217" s="551"/>
      <c r="P1217" s="551"/>
      <c r="Q1217" s="550"/>
      <c r="R1217" s="550"/>
      <c r="S1217" s="546">
        <f t="shared" ref="S1217:S1280" si="214">G1217+H1217+I1217</f>
        <v>0</v>
      </c>
      <c r="T1217" s="547">
        <f t="shared" ref="T1217:T1280" si="215">J1217+K1217</f>
        <v>0</v>
      </c>
      <c r="U1217" s="546">
        <f t="shared" ref="U1217:U1280" si="216">N1217+O1217</f>
        <v>0</v>
      </c>
      <c r="W1217" s="350">
        <f t="shared" si="209"/>
        <v>0</v>
      </c>
      <c r="X1217" s="285">
        <f t="shared" ref="X1217:X1280" si="217">W1217-R1217</f>
        <v>0</v>
      </c>
    </row>
    <row r="1218" spans="1:24" ht="12" thickBot="1">
      <c r="A1218" s="596" t="s">
        <v>1501</v>
      </c>
      <c r="B1218" s="541" t="s">
        <v>386</v>
      </c>
      <c r="C1218" s="541" t="s">
        <v>1074</v>
      </c>
      <c r="D1218" s="552" t="s">
        <v>1140</v>
      </c>
      <c r="E1218" s="543"/>
      <c r="F1218" s="545"/>
      <c r="G1218" s="544"/>
      <c r="H1218" s="545"/>
      <c r="I1218" s="545"/>
      <c r="J1218" s="545"/>
      <c r="K1218" s="545"/>
      <c r="L1218" s="545"/>
      <c r="M1218" s="544"/>
      <c r="N1218" s="544"/>
      <c r="O1218" s="545"/>
      <c r="P1218" s="545"/>
      <c r="Q1218" s="544"/>
      <c r="R1218" s="544"/>
      <c r="S1218" s="546">
        <f t="shared" si="214"/>
        <v>0</v>
      </c>
      <c r="T1218" s="547">
        <f t="shared" si="215"/>
        <v>0</v>
      </c>
      <c r="U1218" s="546">
        <f t="shared" si="216"/>
        <v>0</v>
      </c>
      <c r="W1218" s="350">
        <f t="shared" si="209"/>
        <v>0</v>
      </c>
      <c r="X1218" s="285">
        <f t="shared" si="217"/>
        <v>0</v>
      </c>
    </row>
    <row r="1219" spans="1:24" ht="12" thickBot="1">
      <c r="A1219" s="596" t="s">
        <v>1501</v>
      </c>
      <c r="B1219" s="541" t="s">
        <v>342</v>
      </c>
      <c r="C1219" s="541" t="s">
        <v>251</v>
      </c>
      <c r="D1219" s="552" t="s">
        <v>1139</v>
      </c>
      <c r="E1219" s="549"/>
      <c r="F1219" s="551"/>
      <c r="G1219" s="550"/>
      <c r="H1219" s="551"/>
      <c r="I1219" s="551"/>
      <c r="J1219" s="551"/>
      <c r="K1219" s="551"/>
      <c r="L1219" s="551"/>
      <c r="M1219" s="550"/>
      <c r="N1219" s="550"/>
      <c r="O1219" s="551"/>
      <c r="P1219" s="551"/>
      <c r="Q1219" s="550"/>
      <c r="R1219" s="550"/>
      <c r="S1219" s="546">
        <f t="shared" si="214"/>
        <v>0</v>
      </c>
      <c r="T1219" s="547">
        <f t="shared" si="215"/>
        <v>0</v>
      </c>
      <c r="U1219" s="546">
        <f t="shared" si="216"/>
        <v>0</v>
      </c>
      <c r="W1219" s="350">
        <f t="shared" si="209"/>
        <v>0</v>
      </c>
      <c r="X1219" s="285">
        <f t="shared" si="217"/>
        <v>0</v>
      </c>
    </row>
    <row r="1220" spans="1:24" ht="12" thickBot="1">
      <c r="A1220" s="596" t="s">
        <v>1501</v>
      </c>
      <c r="B1220" s="541" t="s">
        <v>382</v>
      </c>
      <c r="C1220" s="541" t="s">
        <v>1075</v>
      </c>
      <c r="D1220" s="552" t="s">
        <v>1140</v>
      </c>
      <c r="E1220" s="543"/>
      <c r="F1220" s="545"/>
      <c r="G1220" s="544"/>
      <c r="H1220" s="545"/>
      <c r="I1220" s="545"/>
      <c r="J1220" s="545"/>
      <c r="K1220" s="545"/>
      <c r="L1220" s="545"/>
      <c r="M1220" s="544"/>
      <c r="N1220" s="544"/>
      <c r="O1220" s="545"/>
      <c r="P1220" s="545"/>
      <c r="Q1220" s="544"/>
      <c r="R1220" s="544"/>
      <c r="S1220" s="546">
        <f t="shared" si="214"/>
        <v>0</v>
      </c>
      <c r="T1220" s="547">
        <f t="shared" si="215"/>
        <v>0</v>
      </c>
      <c r="U1220" s="546">
        <f t="shared" si="216"/>
        <v>0</v>
      </c>
      <c r="W1220" s="350">
        <f t="shared" si="209"/>
        <v>0</v>
      </c>
      <c r="X1220" s="285">
        <f t="shared" si="217"/>
        <v>0</v>
      </c>
    </row>
    <row r="1221" spans="1:24" ht="12" thickBot="1">
      <c r="A1221" s="596" t="s">
        <v>1501</v>
      </c>
      <c r="B1221" s="541" t="s">
        <v>360</v>
      </c>
      <c r="C1221" s="541" t="s">
        <v>1076</v>
      </c>
      <c r="D1221" s="552" t="s">
        <v>1140</v>
      </c>
      <c r="E1221" s="549"/>
      <c r="F1221" s="551"/>
      <c r="G1221" s="550"/>
      <c r="H1221" s="551"/>
      <c r="I1221" s="551"/>
      <c r="J1221" s="551"/>
      <c r="K1221" s="551"/>
      <c r="L1221" s="551"/>
      <c r="M1221" s="550"/>
      <c r="N1221" s="550"/>
      <c r="O1221" s="551"/>
      <c r="P1221" s="551"/>
      <c r="Q1221" s="550"/>
      <c r="R1221" s="550"/>
      <c r="S1221" s="546">
        <f t="shared" si="214"/>
        <v>0</v>
      </c>
      <c r="T1221" s="547">
        <f t="shared" si="215"/>
        <v>0</v>
      </c>
      <c r="U1221" s="546">
        <f t="shared" si="216"/>
        <v>0</v>
      </c>
      <c r="W1221" s="350">
        <f t="shared" si="209"/>
        <v>0</v>
      </c>
      <c r="X1221" s="285">
        <f t="shared" si="217"/>
        <v>0</v>
      </c>
    </row>
    <row r="1222" spans="1:24" ht="12" thickBot="1">
      <c r="A1222" s="596" t="s">
        <v>1501</v>
      </c>
      <c r="B1222" s="541" t="s">
        <v>368</v>
      </c>
      <c r="C1222" s="541" t="s">
        <v>1077</v>
      </c>
      <c r="D1222" s="552" t="s">
        <v>1139</v>
      </c>
      <c r="E1222" s="543"/>
      <c r="F1222" s="545"/>
      <c r="G1222" s="544"/>
      <c r="H1222" s="545"/>
      <c r="I1222" s="545"/>
      <c r="J1222" s="545"/>
      <c r="K1222" s="545"/>
      <c r="L1222" s="545"/>
      <c r="M1222" s="544"/>
      <c r="N1222" s="544"/>
      <c r="O1222" s="545"/>
      <c r="P1222" s="545"/>
      <c r="Q1222" s="544"/>
      <c r="R1222" s="544"/>
      <c r="S1222" s="546">
        <f t="shared" si="214"/>
        <v>0</v>
      </c>
      <c r="T1222" s="547">
        <f t="shared" si="215"/>
        <v>0</v>
      </c>
      <c r="U1222" s="546">
        <f t="shared" si="216"/>
        <v>0</v>
      </c>
      <c r="W1222" s="350">
        <f t="shared" ref="W1222:W1285" si="218">SUM(F1222:Q1222)</f>
        <v>0</v>
      </c>
      <c r="X1222" s="285">
        <f t="shared" si="217"/>
        <v>0</v>
      </c>
    </row>
    <row r="1223" spans="1:24" ht="12" thickBot="1">
      <c r="A1223" s="596" t="s">
        <v>1501</v>
      </c>
      <c r="B1223" s="541" t="s">
        <v>370</v>
      </c>
      <c r="C1223" s="541" t="s">
        <v>1078</v>
      </c>
      <c r="D1223" s="552" t="s">
        <v>1140</v>
      </c>
      <c r="E1223" s="549"/>
      <c r="F1223" s="551"/>
      <c r="G1223" s="550"/>
      <c r="H1223" s="551"/>
      <c r="I1223" s="551"/>
      <c r="J1223" s="551"/>
      <c r="K1223" s="551"/>
      <c r="L1223" s="551"/>
      <c r="M1223" s="550"/>
      <c r="N1223" s="550"/>
      <c r="O1223" s="551"/>
      <c r="P1223" s="551"/>
      <c r="Q1223" s="550"/>
      <c r="R1223" s="550"/>
      <c r="S1223" s="546">
        <f t="shared" si="214"/>
        <v>0</v>
      </c>
      <c r="T1223" s="547">
        <f t="shared" si="215"/>
        <v>0</v>
      </c>
      <c r="U1223" s="546">
        <f t="shared" si="216"/>
        <v>0</v>
      </c>
      <c r="W1223" s="350">
        <f t="shared" si="218"/>
        <v>0</v>
      </c>
      <c r="X1223" s="285">
        <f t="shared" si="217"/>
        <v>0</v>
      </c>
    </row>
    <row r="1224" spans="1:24" ht="12" thickBot="1">
      <c r="A1224" s="596" t="s">
        <v>1501</v>
      </c>
      <c r="B1224" s="541" t="s">
        <v>393</v>
      </c>
      <c r="C1224" s="541" t="s">
        <v>1079</v>
      </c>
      <c r="D1224" s="552" t="s">
        <v>1140</v>
      </c>
      <c r="E1224" s="543"/>
      <c r="F1224" s="545"/>
      <c r="G1224" s="544"/>
      <c r="H1224" s="545"/>
      <c r="I1224" s="545"/>
      <c r="J1224" s="545"/>
      <c r="K1224" s="545"/>
      <c r="L1224" s="545"/>
      <c r="M1224" s="544"/>
      <c r="N1224" s="544"/>
      <c r="O1224" s="545"/>
      <c r="P1224" s="545"/>
      <c r="Q1224" s="544"/>
      <c r="R1224" s="544"/>
      <c r="S1224" s="546">
        <f t="shared" si="214"/>
        <v>0</v>
      </c>
      <c r="T1224" s="547">
        <f t="shared" si="215"/>
        <v>0</v>
      </c>
      <c r="U1224" s="546">
        <f t="shared" si="216"/>
        <v>0</v>
      </c>
      <c r="W1224" s="350">
        <f t="shared" si="218"/>
        <v>0</v>
      </c>
      <c r="X1224" s="285">
        <f t="shared" si="217"/>
        <v>0</v>
      </c>
    </row>
    <row r="1225" spans="1:24" ht="12" thickBot="1">
      <c r="A1225" s="596" t="s">
        <v>1501</v>
      </c>
      <c r="B1225" s="541" t="s">
        <v>371</v>
      </c>
      <c r="C1225" s="541" t="s">
        <v>1080</v>
      </c>
      <c r="D1225" s="552" t="s">
        <v>1139</v>
      </c>
      <c r="E1225" s="549"/>
      <c r="F1225" s="551"/>
      <c r="G1225" s="550"/>
      <c r="H1225" s="551"/>
      <c r="I1225" s="551"/>
      <c r="J1225" s="551"/>
      <c r="K1225" s="551"/>
      <c r="L1225" s="551"/>
      <c r="M1225" s="550"/>
      <c r="N1225" s="550"/>
      <c r="O1225" s="551"/>
      <c r="P1225" s="551"/>
      <c r="Q1225" s="550"/>
      <c r="R1225" s="550"/>
      <c r="S1225" s="546">
        <f t="shared" si="214"/>
        <v>0</v>
      </c>
      <c r="T1225" s="547">
        <f t="shared" si="215"/>
        <v>0</v>
      </c>
      <c r="U1225" s="546">
        <f t="shared" si="216"/>
        <v>0</v>
      </c>
      <c r="W1225" s="350">
        <f t="shared" si="218"/>
        <v>0</v>
      </c>
      <c r="X1225" s="285">
        <f t="shared" si="217"/>
        <v>0</v>
      </c>
    </row>
    <row r="1226" spans="1:24" ht="12" thickBot="1">
      <c r="A1226" s="596" t="s">
        <v>1501</v>
      </c>
      <c r="B1226" s="541" t="s">
        <v>394</v>
      </c>
      <c r="C1226" s="541" t="s">
        <v>1081</v>
      </c>
      <c r="D1226" s="552" t="s">
        <v>1139</v>
      </c>
      <c r="E1226" s="543"/>
      <c r="F1226" s="545"/>
      <c r="G1226" s="544"/>
      <c r="H1226" s="545"/>
      <c r="I1226" s="545"/>
      <c r="J1226" s="545"/>
      <c r="K1226" s="545"/>
      <c r="L1226" s="545"/>
      <c r="M1226" s="544"/>
      <c r="N1226" s="544"/>
      <c r="O1226" s="545"/>
      <c r="P1226" s="545"/>
      <c r="Q1226" s="544"/>
      <c r="R1226" s="544"/>
      <c r="S1226" s="546">
        <f t="shared" si="214"/>
        <v>0</v>
      </c>
      <c r="T1226" s="547">
        <f t="shared" si="215"/>
        <v>0</v>
      </c>
      <c r="U1226" s="546">
        <f t="shared" si="216"/>
        <v>0</v>
      </c>
      <c r="W1226" s="350">
        <f t="shared" si="218"/>
        <v>0</v>
      </c>
      <c r="X1226" s="285">
        <f t="shared" si="217"/>
        <v>0</v>
      </c>
    </row>
    <row r="1227" spans="1:24" ht="12" thickBot="1">
      <c r="A1227" s="596" t="s">
        <v>1501</v>
      </c>
      <c r="B1227" s="541" t="s">
        <v>389</v>
      </c>
      <c r="C1227" s="541" t="s">
        <v>1082</v>
      </c>
      <c r="D1227" s="552" t="s">
        <v>1139</v>
      </c>
      <c r="E1227" s="549"/>
      <c r="F1227" s="551"/>
      <c r="G1227" s="550"/>
      <c r="H1227" s="551"/>
      <c r="I1227" s="551"/>
      <c r="J1227" s="551"/>
      <c r="K1227" s="551"/>
      <c r="L1227" s="551"/>
      <c r="M1227" s="550"/>
      <c r="N1227" s="550"/>
      <c r="O1227" s="551"/>
      <c r="P1227" s="551"/>
      <c r="Q1227" s="550"/>
      <c r="R1227" s="550"/>
      <c r="S1227" s="546">
        <f t="shared" si="214"/>
        <v>0</v>
      </c>
      <c r="T1227" s="547">
        <f t="shared" si="215"/>
        <v>0</v>
      </c>
      <c r="U1227" s="546">
        <f t="shared" si="216"/>
        <v>0</v>
      </c>
      <c r="W1227" s="350">
        <f t="shared" si="218"/>
        <v>0</v>
      </c>
      <c r="X1227" s="285">
        <f t="shared" si="217"/>
        <v>0</v>
      </c>
    </row>
    <row r="1228" spans="1:24" ht="12" thickBot="1">
      <c r="A1228" s="596" t="s">
        <v>1501</v>
      </c>
      <c r="B1228" s="541" t="s">
        <v>310</v>
      </c>
      <c r="C1228" s="541" t="s">
        <v>1083</v>
      </c>
      <c r="D1228" s="552" t="s">
        <v>1140</v>
      </c>
      <c r="E1228" s="543"/>
      <c r="F1228" s="545"/>
      <c r="G1228" s="544"/>
      <c r="H1228" s="545"/>
      <c r="I1228" s="545"/>
      <c r="J1228" s="545"/>
      <c r="K1228" s="545"/>
      <c r="L1228" s="545"/>
      <c r="M1228" s="544"/>
      <c r="N1228" s="544"/>
      <c r="O1228" s="545"/>
      <c r="P1228" s="545"/>
      <c r="Q1228" s="544"/>
      <c r="R1228" s="544"/>
      <c r="S1228" s="546">
        <f t="shared" si="214"/>
        <v>0</v>
      </c>
      <c r="T1228" s="547">
        <f t="shared" si="215"/>
        <v>0</v>
      </c>
      <c r="U1228" s="546">
        <f t="shared" si="216"/>
        <v>0</v>
      </c>
      <c r="W1228" s="350">
        <f t="shared" si="218"/>
        <v>0</v>
      </c>
      <c r="X1228" s="285">
        <f t="shared" si="217"/>
        <v>0</v>
      </c>
    </row>
    <row r="1229" spans="1:24" ht="12" thickBot="1">
      <c r="A1229" s="596" t="s">
        <v>1501</v>
      </c>
      <c r="B1229" s="541" t="s">
        <v>340</v>
      </c>
      <c r="C1229" s="541" t="s">
        <v>1084</v>
      </c>
      <c r="D1229" s="552" t="s">
        <v>1140</v>
      </c>
      <c r="E1229" s="549"/>
      <c r="F1229" s="551"/>
      <c r="G1229" s="550"/>
      <c r="H1229" s="551"/>
      <c r="I1229" s="551"/>
      <c r="J1229" s="551"/>
      <c r="K1229" s="551"/>
      <c r="L1229" s="551"/>
      <c r="M1229" s="550"/>
      <c r="N1229" s="550"/>
      <c r="O1229" s="551"/>
      <c r="P1229" s="551"/>
      <c r="Q1229" s="550"/>
      <c r="R1229" s="550"/>
      <c r="S1229" s="546">
        <f t="shared" si="214"/>
        <v>0</v>
      </c>
      <c r="T1229" s="547">
        <f t="shared" si="215"/>
        <v>0</v>
      </c>
      <c r="U1229" s="546">
        <f t="shared" si="216"/>
        <v>0</v>
      </c>
      <c r="W1229" s="350">
        <f t="shared" si="218"/>
        <v>0</v>
      </c>
      <c r="X1229" s="285">
        <f t="shared" si="217"/>
        <v>0</v>
      </c>
    </row>
    <row r="1230" spans="1:24" ht="12" thickBot="1">
      <c r="A1230" s="596" t="s">
        <v>1501</v>
      </c>
      <c r="B1230" s="541" t="s">
        <v>358</v>
      </c>
      <c r="C1230" s="541" t="s">
        <v>1085</v>
      </c>
      <c r="D1230" s="552" t="s">
        <v>1140</v>
      </c>
      <c r="E1230" s="543"/>
      <c r="F1230" s="545"/>
      <c r="G1230" s="544"/>
      <c r="H1230" s="545"/>
      <c r="I1230" s="545"/>
      <c r="J1230" s="545"/>
      <c r="K1230" s="545"/>
      <c r="L1230" s="545"/>
      <c r="M1230" s="544"/>
      <c r="N1230" s="544"/>
      <c r="O1230" s="545"/>
      <c r="P1230" s="545"/>
      <c r="Q1230" s="544"/>
      <c r="R1230" s="544"/>
      <c r="S1230" s="546">
        <f t="shared" si="214"/>
        <v>0</v>
      </c>
      <c r="T1230" s="547">
        <f t="shared" si="215"/>
        <v>0</v>
      </c>
      <c r="U1230" s="546">
        <f t="shared" si="216"/>
        <v>0</v>
      </c>
      <c r="W1230" s="350">
        <f t="shared" si="218"/>
        <v>0</v>
      </c>
      <c r="X1230" s="285">
        <f t="shared" si="217"/>
        <v>0</v>
      </c>
    </row>
    <row r="1231" spans="1:24" ht="12" thickBot="1">
      <c r="A1231" s="596" t="s">
        <v>1501</v>
      </c>
      <c r="B1231" s="541" t="s">
        <v>383</v>
      </c>
      <c r="C1231" s="541" t="s">
        <v>1086</v>
      </c>
      <c r="D1231" s="552" t="s">
        <v>1140</v>
      </c>
      <c r="E1231" s="549"/>
      <c r="F1231" s="551"/>
      <c r="G1231" s="550"/>
      <c r="H1231" s="551"/>
      <c r="I1231" s="551"/>
      <c r="J1231" s="551"/>
      <c r="K1231" s="551"/>
      <c r="L1231" s="551"/>
      <c r="M1231" s="550"/>
      <c r="N1231" s="550"/>
      <c r="O1231" s="551"/>
      <c r="P1231" s="551"/>
      <c r="Q1231" s="550"/>
      <c r="R1231" s="550"/>
      <c r="S1231" s="546">
        <f t="shared" si="214"/>
        <v>0</v>
      </c>
      <c r="T1231" s="547">
        <f t="shared" si="215"/>
        <v>0</v>
      </c>
      <c r="U1231" s="546">
        <f t="shared" si="216"/>
        <v>0</v>
      </c>
      <c r="W1231" s="350">
        <f t="shared" si="218"/>
        <v>0</v>
      </c>
      <c r="X1231" s="285">
        <f t="shared" si="217"/>
        <v>0</v>
      </c>
    </row>
    <row r="1232" spans="1:24" ht="12" thickBot="1">
      <c r="A1232" s="596" t="s">
        <v>1501</v>
      </c>
      <c r="B1232" s="541" t="s">
        <v>375</v>
      </c>
      <c r="C1232" s="541" t="s">
        <v>1087</v>
      </c>
      <c r="D1232" s="552" t="s">
        <v>1140</v>
      </c>
      <c r="E1232" s="543"/>
      <c r="F1232" s="545"/>
      <c r="G1232" s="544"/>
      <c r="H1232" s="545"/>
      <c r="I1232" s="545"/>
      <c r="J1232" s="545"/>
      <c r="K1232" s="545"/>
      <c r="L1232" s="545"/>
      <c r="M1232" s="544"/>
      <c r="N1232" s="544"/>
      <c r="O1232" s="545"/>
      <c r="P1232" s="545"/>
      <c r="Q1232" s="544"/>
      <c r="R1232" s="544"/>
      <c r="S1232" s="546">
        <f t="shared" si="214"/>
        <v>0</v>
      </c>
      <c r="T1232" s="547">
        <f t="shared" si="215"/>
        <v>0</v>
      </c>
      <c r="U1232" s="546">
        <f t="shared" si="216"/>
        <v>0</v>
      </c>
      <c r="W1232" s="350">
        <f t="shared" si="218"/>
        <v>0</v>
      </c>
      <c r="X1232" s="285">
        <f t="shared" si="217"/>
        <v>0</v>
      </c>
    </row>
    <row r="1233" spans="1:24" ht="12" thickBot="1">
      <c r="A1233" s="596" t="s">
        <v>1501</v>
      </c>
      <c r="B1233" s="541" t="s">
        <v>400</v>
      </c>
      <c r="C1233" s="541" t="s">
        <v>1088</v>
      </c>
      <c r="D1233" s="552" t="s">
        <v>1139</v>
      </c>
      <c r="E1233" s="549"/>
      <c r="F1233" s="551"/>
      <c r="G1233" s="550"/>
      <c r="H1233" s="551"/>
      <c r="I1233" s="551"/>
      <c r="J1233" s="551"/>
      <c r="K1233" s="551"/>
      <c r="L1233" s="551"/>
      <c r="M1233" s="550"/>
      <c r="N1233" s="550"/>
      <c r="O1233" s="551"/>
      <c r="P1233" s="551"/>
      <c r="Q1233" s="550"/>
      <c r="R1233" s="550"/>
      <c r="S1233" s="546">
        <f t="shared" si="214"/>
        <v>0</v>
      </c>
      <c r="T1233" s="547">
        <f t="shared" si="215"/>
        <v>0</v>
      </c>
      <c r="U1233" s="546">
        <f t="shared" si="216"/>
        <v>0</v>
      </c>
      <c r="W1233" s="350">
        <f t="shared" si="218"/>
        <v>0</v>
      </c>
      <c r="X1233" s="285">
        <f t="shared" si="217"/>
        <v>0</v>
      </c>
    </row>
    <row r="1234" spans="1:24" ht="12" thickBot="1">
      <c r="A1234" s="596" t="s">
        <v>1501</v>
      </c>
      <c r="B1234" s="541" t="s">
        <v>391</v>
      </c>
      <c r="C1234" s="541" t="s">
        <v>1089</v>
      </c>
      <c r="D1234" s="552" t="s">
        <v>1139</v>
      </c>
      <c r="E1234" s="543"/>
      <c r="F1234" s="545"/>
      <c r="G1234" s="544"/>
      <c r="H1234" s="545"/>
      <c r="I1234" s="545"/>
      <c r="J1234" s="545"/>
      <c r="K1234" s="545"/>
      <c r="L1234" s="545"/>
      <c r="M1234" s="544"/>
      <c r="N1234" s="544"/>
      <c r="O1234" s="545"/>
      <c r="P1234" s="545"/>
      <c r="Q1234" s="544"/>
      <c r="R1234" s="544"/>
      <c r="S1234" s="546">
        <f t="shared" si="214"/>
        <v>0</v>
      </c>
      <c r="T1234" s="547">
        <f t="shared" si="215"/>
        <v>0</v>
      </c>
      <c r="U1234" s="546">
        <f t="shared" si="216"/>
        <v>0</v>
      </c>
      <c r="W1234" s="350">
        <f t="shared" si="218"/>
        <v>0</v>
      </c>
      <c r="X1234" s="285">
        <f t="shared" si="217"/>
        <v>0</v>
      </c>
    </row>
    <row r="1235" spans="1:24" ht="12" thickBot="1">
      <c r="A1235" s="596" t="s">
        <v>1501</v>
      </c>
      <c r="B1235" s="541" t="s">
        <v>357</v>
      </c>
      <c r="C1235" s="541" t="s">
        <v>1090</v>
      </c>
      <c r="D1235" s="552" t="s">
        <v>1140</v>
      </c>
      <c r="E1235" s="549"/>
      <c r="F1235" s="551"/>
      <c r="G1235" s="550"/>
      <c r="H1235" s="551"/>
      <c r="I1235" s="551"/>
      <c r="J1235" s="551"/>
      <c r="K1235" s="551"/>
      <c r="L1235" s="551"/>
      <c r="M1235" s="550"/>
      <c r="N1235" s="550"/>
      <c r="O1235" s="551"/>
      <c r="P1235" s="551"/>
      <c r="Q1235" s="550"/>
      <c r="R1235" s="550"/>
      <c r="S1235" s="546">
        <f t="shared" si="214"/>
        <v>0</v>
      </c>
      <c r="T1235" s="547">
        <f t="shared" si="215"/>
        <v>0</v>
      </c>
      <c r="U1235" s="546">
        <f t="shared" si="216"/>
        <v>0</v>
      </c>
      <c r="W1235" s="350">
        <f t="shared" si="218"/>
        <v>0</v>
      </c>
      <c r="X1235" s="285">
        <f t="shared" si="217"/>
        <v>0</v>
      </c>
    </row>
    <row r="1236" spans="1:24" ht="12" thickBot="1">
      <c r="A1236" s="596" t="s">
        <v>1501</v>
      </c>
      <c r="B1236" s="541" t="s">
        <v>359</v>
      </c>
      <c r="C1236" s="541" t="s">
        <v>1091</v>
      </c>
      <c r="D1236" s="552" t="s">
        <v>1140</v>
      </c>
      <c r="E1236" s="543"/>
      <c r="F1236" s="545"/>
      <c r="G1236" s="544"/>
      <c r="H1236" s="545"/>
      <c r="I1236" s="545"/>
      <c r="J1236" s="545"/>
      <c r="K1236" s="545"/>
      <c r="L1236" s="545"/>
      <c r="M1236" s="544"/>
      <c r="N1236" s="544"/>
      <c r="O1236" s="545"/>
      <c r="P1236" s="545"/>
      <c r="Q1236" s="544"/>
      <c r="R1236" s="544"/>
      <c r="S1236" s="546">
        <f t="shared" si="214"/>
        <v>0</v>
      </c>
      <c r="T1236" s="547">
        <f t="shared" si="215"/>
        <v>0</v>
      </c>
      <c r="U1236" s="546">
        <f t="shared" si="216"/>
        <v>0</v>
      </c>
      <c r="W1236" s="350">
        <f t="shared" si="218"/>
        <v>0</v>
      </c>
      <c r="X1236" s="285">
        <f t="shared" si="217"/>
        <v>0</v>
      </c>
    </row>
    <row r="1237" spans="1:24" ht="12" thickBot="1">
      <c r="A1237" s="596" t="s">
        <v>1501</v>
      </c>
      <c r="B1237" s="541" t="s">
        <v>385</v>
      </c>
      <c r="C1237" s="541" t="s">
        <v>1092</v>
      </c>
      <c r="D1237" s="552" t="s">
        <v>1140</v>
      </c>
      <c r="E1237" s="549"/>
      <c r="F1237" s="551"/>
      <c r="G1237" s="550"/>
      <c r="H1237" s="551"/>
      <c r="I1237" s="551"/>
      <c r="J1237" s="551"/>
      <c r="K1237" s="551"/>
      <c r="L1237" s="551"/>
      <c r="M1237" s="550"/>
      <c r="N1237" s="550"/>
      <c r="O1237" s="551"/>
      <c r="P1237" s="551"/>
      <c r="Q1237" s="550"/>
      <c r="R1237" s="550"/>
      <c r="S1237" s="546">
        <f t="shared" si="214"/>
        <v>0</v>
      </c>
      <c r="T1237" s="547">
        <f t="shared" si="215"/>
        <v>0</v>
      </c>
      <c r="U1237" s="546">
        <f t="shared" si="216"/>
        <v>0</v>
      </c>
      <c r="W1237" s="350">
        <f t="shared" si="218"/>
        <v>0</v>
      </c>
      <c r="X1237" s="285">
        <f t="shared" si="217"/>
        <v>0</v>
      </c>
    </row>
    <row r="1238" spans="1:24" ht="12" thickBot="1">
      <c r="A1238" s="596" t="s">
        <v>1501</v>
      </c>
      <c r="B1238" s="541" t="s">
        <v>312</v>
      </c>
      <c r="C1238" s="541" t="s">
        <v>1093</v>
      </c>
      <c r="D1238" s="552" t="s">
        <v>1140</v>
      </c>
      <c r="E1238" s="543"/>
      <c r="F1238" s="545"/>
      <c r="G1238" s="544"/>
      <c r="H1238" s="545"/>
      <c r="I1238" s="545"/>
      <c r="J1238" s="545"/>
      <c r="K1238" s="545"/>
      <c r="L1238" s="545"/>
      <c r="M1238" s="544"/>
      <c r="N1238" s="544"/>
      <c r="O1238" s="545"/>
      <c r="P1238" s="545"/>
      <c r="Q1238" s="544"/>
      <c r="R1238" s="544"/>
      <c r="S1238" s="546">
        <f t="shared" si="214"/>
        <v>0</v>
      </c>
      <c r="T1238" s="547">
        <f t="shared" si="215"/>
        <v>0</v>
      </c>
      <c r="U1238" s="546">
        <f t="shared" si="216"/>
        <v>0</v>
      </c>
      <c r="W1238" s="350">
        <f t="shared" si="218"/>
        <v>0</v>
      </c>
      <c r="X1238" s="285">
        <f t="shared" si="217"/>
        <v>0</v>
      </c>
    </row>
    <row r="1239" spans="1:24" ht="12" thickBot="1">
      <c r="A1239" s="596" t="s">
        <v>1501</v>
      </c>
      <c r="B1239" s="541" t="s">
        <v>421</v>
      </c>
      <c r="C1239" s="541" t="s">
        <v>1094</v>
      </c>
      <c r="D1239" s="552" t="s">
        <v>1140</v>
      </c>
      <c r="E1239" s="549"/>
      <c r="F1239" s="551"/>
      <c r="G1239" s="550"/>
      <c r="H1239" s="551"/>
      <c r="I1239" s="551"/>
      <c r="J1239" s="551"/>
      <c r="K1239" s="551"/>
      <c r="L1239" s="551"/>
      <c r="M1239" s="550"/>
      <c r="N1239" s="550"/>
      <c r="O1239" s="551"/>
      <c r="P1239" s="551"/>
      <c r="Q1239" s="550"/>
      <c r="R1239" s="550"/>
      <c r="S1239" s="546">
        <f t="shared" si="214"/>
        <v>0</v>
      </c>
      <c r="T1239" s="547">
        <f t="shared" si="215"/>
        <v>0</v>
      </c>
      <c r="U1239" s="546">
        <f t="shared" si="216"/>
        <v>0</v>
      </c>
      <c r="W1239" s="350">
        <f t="shared" si="218"/>
        <v>0</v>
      </c>
      <c r="X1239" s="285">
        <f t="shared" si="217"/>
        <v>0</v>
      </c>
    </row>
    <row r="1240" spans="1:24" ht="12" thickBot="1">
      <c r="A1240" s="596" t="s">
        <v>1501</v>
      </c>
      <c r="B1240" s="541" t="s">
        <v>322</v>
      </c>
      <c r="C1240" s="541" t="s">
        <v>1095</v>
      </c>
      <c r="D1240" s="552" t="s">
        <v>1139</v>
      </c>
      <c r="E1240" s="543"/>
      <c r="F1240" s="545"/>
      <c r="G1240" s="544"/>
      <c r="H1240" s="545"/>
      <c r="I1240" s="545"/>
      <c r="J1240" s="545"/>
      <c r="K1240" s="545"/>
      <c r="L1240" s="545"/>
      <c r="M1240" s="544"/>
      <c r="N1240" s="544"/>
      <c r="O1240" s="545"/>
      <c r="P1240" s="545"/>
      <c r="Q1240" s="544"/>
      <c r="R1240" s="544"/>
      <c r="S1240" s="546">
        <f t="shared" si="214"/>
        <v>0</v>
      </c>
      <c r="T1240" s="547">
        <f t="shared" si="215"/>
        <v>0</v>
      </c>
      <c r="U1240" s="546">
        <f t="shared" si="216"/>
        <v>0</v>
      </c>
      <c r="W1240" s="350">
        <f t="shared" si="218"/>
        <v>0</v>
      </c>
      <c r="X1240" s="285">
        <f t="shared" si="217"/>
        <v>0</v>
      </c>
    </row>
    <row r="1241" spans="1:24" ht="12" thickBot="1">
      <c r="A1241" s="596" t="s">
        <v>1501</v>
      </c>
      <c r="B1241" s="541" t="s">
        <v>354</v>
      </c>
      <c r="C1241" s="541" t="s">
        <v>1096</v>
      </c>
      <c r="D1241" s="552" t="s">
        <v>1139</v>
      </c>
      <c r="E1241" s="549"/>
      <c r="F1241" s="551"/>
      <c r="G1241" s="550"/>
      <c r="H1241" s="551"/>
      <c r="I1241" s="551"/>
      <c r="J1241" s="551"/>
      <c r="K1241" s="551"/>
      <c r="L1241" s="551"/>
      <c r="M1241" s="550"/>
      <c r="N1241" s="550"/>
      <c r="O1241" s="551"/>
      <c r="P1241" s="551"/>
      <c r="Q1241" s="550"/>
      <c r="R1241" s="550"/>
      <c r="S1241" s="546">
        <f t="shared" si="214"/>
        <v>0</v>
      </c>
      <c r="T1241" s="547">
        <f t="shared" si="215"/>
        <v>0</v>
      </c>
      <c r="U1241" s="546">
        <f t="shared" si="216"/>
        <v>0</v>
      </c>
      <c r="W1241" s="350">
        <f t="shared" si="218"/>
        <v>0</v>
      </c>
      <c r="X1241" s="285">
        <f t="shared" si="217"/>
        <v>0</v>
      </c>
    </row>
    <row r="1242" spans="1:24" ht="12" thickBot="1">
      <c r="A1242" s="596" t="s">
        <v>1501</v>
      </c>
      <c r="B1242" s="541" t="s">
        <v>317</v>
      </c>
      <c r="C1242" s="541" t="s">
        <v>1097</v>
      </c>
      <c r="D1242" s="552" t="s">
        <v>1139</v>
      </c>
      <c r="E1242" s="543"/>
      <c r="F1242" s="545"/>
      <c r="G1242" s="544"/>
      <c r="H1242" s="545"/>
      <c r="I1242" s="545"/>
      <c r="J1242" s="545"/>
      <c r="K1242" s="545"/>
      <c r="L1242" s="545"/>
      <c r="M1242" s="544"/>
      <c r="N1242" s="544"/>
      <c r="O1242" s="545"/>
      <c r="P1242" s="545"/>
      <c r="Q1242" s="544"/>
      <c r="R1242" s="544"/>
      <c r="S1242" s="546">
        <f t="shared" si="214"/>
        <v>0</v>
      </c>
      <c r="T1242" s="547">
        <f t="shared" si="215"/>
        <v>0</v>
      </c>
      <c r="U1242" s="546">
        <f t="shared" si="216"/>
        <v>0</v>
      </c>
      <c r="W1242" s="350">
        <f t="shared" si="218"/>
        <v>0</v>
      </c>
      <c r="X1242" s="285">
        <f t="shared" si="217"/>
        <v>0</v>
      </c>
    </row>
    <row r="1243" spans="1:24" ht="12" thickBot="1">
      <c r="A1243" s="596" t="s">
        <v>1501</v>
      </c>
      <c r="B1243" s="541" t="s">
        <v>320</v>
      </c>
      <c r="C1243" s="541" t="s">
        <v>1098</v>
      </c>
      <c r="D1243" s="552" t="s">
        <v>1140</v>
      </c>
      <c r="E1243" s="549"/>
      <c r="F1243" s="551"/>
      <c r="G1243" s="550"/>
      <c r="H1243" s="551"/>
      <c r="I1243" s="551"/>
      <c r="J1243" s="551"/>
      <c r="K1243" s="551"/>
      <c r="L1243" s="551"/>
      <c r="M1243" s="550"/>
      <c r="N1243" s="550"/>
      <c r="O1243" s="551"/>
      <c r="P1243" s="551"/>
      <c r="Q1243" s="550"/>
      <c r="R1243" s="550"/>
      <c r="S1243" s="546">
        <f t="shared" si="214"/>
        <v>0</v>
      </c>
      <c r="T1243" s="547">
        <f t="shared" si="215"/>
        <v>0</v>
      </c>
      <c r="U1243" s="546">
        <f t="shared" si="216"/>
        <v>0</v>
      </c>
      <c r="W1243" s="350">
        <f t="shared" si="218"/>
        <v>0</v>
      </c>
      <c r="X1243" s="285">
        <f t="shared" si="217"/>
        <v>0</v>
      </c>
    </row>
    <row r="1244" spans="1:24" ht="12" thickBot="1">
      <c r="A1244" s="596" t="s">
        <v>1501</v>
      </c>
      <c r="B1244" s="541" t="s">
        <v>352</v>
      </c>
      <c r="C1244" s="541" t="s">
        <v>1099</v>
      </c>
      <c r="D1244" s="552" t="s">
        <v>1140</v>
      </c>
      <c r="E1244" s="543"/>
      <c r="F1244" s="545"/>
      <c r="G1244" s="544"/>
      <c r="H1244" s="545"/>
      <c r="I1244" s="545"/>
      <c r="J1244" s="545"/>
      <c r="K1244" s="545"/>
      <c r="L1244" s="545"/>
      <c r="M1244" s="544"/>
      <c r="N1244" s="544"/>
      <c r="O1244" s="545"/>
      <c r="P1244" s="545"/>
      <c r="Q1244" s="544"/>
      <c r="R1244" s="544"/>
      <c r="S1244" s="546">
        <f t="shared" si="214"/>
        <v>0</v>
      </c>
      <c r="T1244" s="547">
        <f t="shared" si="215"/>
        <v>0</v>
      </c>
      <c r="U1244" s="546">
        <f t="shared" si="216"/>
        <v>0</v>
      </c>
      <c r="W1244" s="350">
        <f t="shared" si="218"/>
        <v>0</v>
      </c>
      <c r="X1244" s="285">
        <f t="shared" si="217"/>
        <v>0</v>
      </c>
    </row>
    <row r="1245" spans="1:24" ht="12" thickBot="1">
      <c r="A1245" s="596" t="s">
        <v>1501</v>
      </c>
      <c r="B1245" s="541" t="s">
        <v>384</v>
      </c>
      <c r="C1245" s="541" t="s">
        <v>1100</v>
      </c>
      <c r="D1245" s="552" t="s">
        <v>1140</v>
      </c>
      <c r="E1245" s="549"/>
      <c r="F1245" s="551"/>
      <c r="G1245" s="550"/>
      <c r="H1245" s="551"/>
      <c r="I1245" s="551"/>
      <c r="J1245" s="551"/>
      <c r="K1245" s="551"/>
      <c r="L1245" s="551"/>
      <c r="M1245" s="550"/>
      <c r="N1245" s="550"/>
      <c r="O1245" s="551"/>
      <c r="P1245" s="551"/>
      <c r="Q1245" s="550"/>
      <c r="R1245" s="550"/>
      <c r="S1245" s="546">
        <f t="shared" si="214"/>
        <v>0</v>
      </c>
      <c r="T1245" s="547">
        <f t="shared" si="215"/>
        <v>0</v>
      </c>
      <c r="U1245" s="546">
        <f t="shared" si="216"/>
        <v>0</v>
      </c>
      <c r="W1245" s="350">
        <f t="shared" si="218"/>
        <v>0</v>
      </c>
      <c r="X1245" s="285">
        <f t="shared" si="217"/>
        <v>0</v>
      </c>
    </row>
    <row r="1246" spans="1:24" ht="12" thickBot="1">
      <c r="A1246" s="596" t="s">
        <v>1501</v>
      </c>
      <c r="B1246" s="541" t="s">
        <v>311</v>
      </c>
      <c r="C1246" s="541" t="s">
        <v>1101</v>
      </c>
      <c r="D1246" s="552" t="s">
        <v>1140</v>
      </c>
      <c r="E1246" s="543"/>
      <c r="F1246" s="545"/>
      <c r="G1246" s="544"/>
      <c r="H1246" s="545"/>
      <c r="I1246" s="545"/>
      <c r="J1246" s="545"/>
      <c r="K1246" s="545"/>
      <c r="L1246" s="545"/>
      <c r="M1246" s="544"/>
      <c r="N1246" s="544"/>
      <c r="O1246" s="545"/>
      <c r="P1246" s="545"/>
      <c r="Q1246" s="544"/>
      <c r="R1246" s="544"/>
      <c r="S1246" s="546">
        <f t="shared" si="214"/>
        <v>0</v>
      </c>
      <c r="T1246" s="547">
        <f t="shared" si="215"/>
        <v>0</v>
      </c>
      <c r="U1246" s="546">
        <f t="shared" si="216"/>
        <v>0</v>
      </c>
      <c r="W1246" s="350">
        <f t="shared" si="218"/>
        <v>0</v>
      </c>
      <c r="X1246" s="285">
        <f t="shared" si="217"/>
        <v>0</v>
      </c>
    </row>
    <row r="1247" spans="1:24" ht="12" thickBot="1">
      <c r="A1247" s="596" t="s">
        <v>1501</v>
      </c>
      <c r="B1247" s="541" t="s">
        <v>341</v>
      </c>
      <c r="C1247" s="541" t="s">
        <v>1102</v>
      </c>
      <c r="D1247" s="552" t="s">
        <v>1140</v>
      </c>
      <c r="E1247" s="549"/>
      <c r="F1247" s="551"/>
      <c r="G1247" s="550"/>
      <c r="H1247" s="551"/>
      <c r="I1247" s="551"/>
      <c r="J1247" s="551"/>
      <c r="K1247" s="551"/>
      <c r="L1247" s="551"/>
      <c r="M1247" s="550"/>
      <c r="N1247" s="550"/>
      <c r="O1247" s="551"/>
      <c r="P1247" s="551"/>
      <c r="Q1247" s="550"/>
      <c r="R1247" s="550"/>
      <c r="S1247" s="546">
        <f t="shared" si="214"/>
        <v>0</v>
      </c>
      <c r="T1247" s="547">
        <f t="shared" si="215"/>
        <v>0</v>
      </c>
      <c r="U1247" s="546">
        <f t="shared" si="216"/>
        <v>0</v>
      </c>
      <c r="W1247" s="350">
        <f t="shared" si="218"/>
        <v>0</v>
      </c>
      <c r="X1247" s="285">
        <f t="shared" si="217"/>
        <v>0</v>
      </c>
    </row>
    <row r="1248" spans="1:24" ht="12" thickBot="1">
      <c r="A1248" s="596" t="s">
        <v>1501</v>
      </c>
      <c r="B1248" s="541" t="s">
        <v>315</v>
      </c>
      <c r="C1248" s="541" t="s">
        <v>1103</v>
      </c>
      <c r="D1248" s="552" t="s">
        <v>1140</v>
      </c>
      <c r="E1248" s="543"/>
      <c r="F1248" s="545"/>
      <c r="G1248" s="544"/>
      <c r="H1248" s="545"/>
      <c r="I1248" s="545"/>
      <c r="J1248" s="545"/>
      <c r="K1248" s="545"/>
      <c r="L1248" s="545"/>
      <c r="M1248" s="544"/>
      <c r="N1248" s="544"/>
      <c r="O1248" s="545"/>
      <c r="P1248" s="545"/>
      <c r="Q1248" s="544"/>
      <c r="R1248" s="544"/>
      <c r="S1248" s="546">
        <f t="shared" si="214"/>
        <v>0</v>
      </c>
      <c r="T1248" s="547">
        <f t="shared" si="215"/>
        <v>0</v>
      </c>
      <c r="U1248" s="546">
        <f t="shared" si="216"/>
        <v>0</v>
      </c>
      <c r="W1248" s="350">
        <f t="shared" si="218"/>
        <v>0</v>
      </c>
      <c r="X1248" s="285">
        <f t="shared" si="217"/>
        <v>0</v>
      </c>
    </row>
    <row r="1249" spans="1:24" ht="12" thickBot="1">
      <c r="A1249" s="596" t="s">
        <v>1501</v>
      </c>
      <c r="B1249" s="541" t="s">
        <v>319</v>
      </c>
      <c r="C1249" s="541" t="s">
        <v>1104</v>
      </c>
      <c r="D1249" s="552" t="s">
        <v>1140</v>
      </c>
      <c r="E1249" s="549"/>
      <c r="F1249" s="551"/>
      <c r="G1249" s="550"/>
      <c r="H1249" s="551"/>
      <c r="I1249" s="551"/>
      <c r="J1249" s="551"/>
      <c r="K1249" s="551"/>
      <c r="L1249" s="551"/>
      <c r="M1249" s="550"/>
      <c r="N1249" s="550"/>
      <c r="O1249" s="551"/>
      <c r="P1249" s="551"/>
      <c r="Q1249" s="550"/>
      <c r="R1249" s="550"/>
      <c r="S1249" s="546">
        <f t="shared" si="214"/>
        <v>0</v>
      </c>
      <c r="T1249" s="547">
        <f t="shared" si="215"/>
        <v>0</v>
      </c>
      <c r="U1249" s="546">
        <f t="shared" si="216"/>
        <v>0</v>
      </c>
      <c r="W1249" s="350">
        <f t="shared" si="218"/>
        <v>0</v>
      </c>
      <c r="X1249" s="285">
        <f t="shared" si="217"/>
        <v>0</v>
      </c>
    </row>
    <row r="1250" spans="1:24" ht="12" thickBot="1">
      <c r="A1250" s="596" t="s">
        <v>1501</v>
      </c>
      <c r="B1250" s="541" t="s">
        <v>356</v>
      </c>
      <c r="C1250" s="541" t="s">
        <v>1105</v>
      </c>
      <c r="D1250" s="552" t="s">
        <v>1140</v>
      </c>
      <c r="E1250" s="543"/>
      <c r="F1250" s="545"/>
      <c r="G1250" s="544"/>
      <c r="H1250" s="545"/>
      <c r="I1250" s="545"/>
      <c r="J1250" s="545"/>
      <c r="K1250" s="545"/>
      <c r="L1250" s="545"/>
      <c r="M1250" s="544"/>
      <c r="N1250" s="544"/>
      <c r="O1250" s="545"/>
      <c r="P1250" s="545"/>
      <c r="Q1250" s="544"/>
      <c r="R1250" s="544"/>
      <c r="S1250" s="546">
        <f t="shared" si="214"/>
        <v>0</v>
      </c>
      <c r="T1250" s="547">
        <f t="shared" si="215"/>
        <v>0</v>
      </c>
      <c r="U1250" s="546">
        <f t="shared" si="216"/>
        <v>0</v>
      </c>
      <c r="W1250" s="350">
        <f t="shared" si="218"/>
        <v>0</v>
      </c>
      <c r="X1250" s="285">
        <f t="shared" si="217"/>
        <v>0</v>
      </c>
    </row>
    <row r="1251" spans="1:24" ht="12" thickBot="1">
      <c r="A1251" s="596" t="s">
        <v>1501</v>
      </c>
      <c r="B1251" s="541" t="s">
        <v>365</v>
      </c>
      <c r="C1251" s="541" t="s">
        <v>1106</v>
      </c>
      <c r="D1251" s="552" t="s">
        <v>1139</v>
      </c>
      <c r="E1251" s="549"/>
      <c r="F1251" s="551"/>
      <c r="G1251" s="550"/>
      <c r="H1251" s="551"/>
      <c r="I1251" s="551"/>
      <c r="J1251" s="551"/>
      <c r="K1251" s="551"/>
      <c r="L1251" s="551"/>
      <c r="M1251" s="550"/>
      <c r="N1251" s="550"/>
      <c r="O1251" s="551"/>
      <c r="P1251" s="551"/>
      <c r="Q1251" s="550"/>
      <c r="R1251" s="550"/>
      <c r="S1251" s="546">
        <f t="shared" si="214"/>
        <v>0</v>
      </c>
      <c r="T1251" s="547">
        <f t="shared" si="215"/>
        <v>0</v>
      </c>
      <c r="U1251" s="546">
        <f t="shared" si="216"/>
        <v>0</v>
      </c>
      <c r="W1251" s="350">
        <f t="shared" si="218"/>
        <v>0</v>
      </c>
      <c r="X1251" s="285">
        <f t="shared" si="217"/>
        <v>0</v>
      </c>
    </row>
    <row r="1252" spans="1:24" ht="12" thickBot="1">
      <c r="A1252" s="596" t="s">
        <v>1501</v>
      </c>
      <c r="B1252" s="541" t="s">
        <v>388</v>
      </c>
      <c r="C1252" s="541" t="s">
        <v>1107</v>
      </c>
      <c r="D1252" s="552" t="s">
        <v>1139</v>
      </c>
      <c r="E1252" s="543"/>
      <c r="F1252" s="545"/>
      <c r="G1252" s="544"/>
      <c r="H1252" s="545"/>
      <c r="I1252" s="545"/>
      <c r="J1252" s="545"/>
      <c r="K1252" s="545"/>
      <c r="L1252" s="545"/>
      <c r="M1252" s="544"/>
      <c r="N1252" s="544"/>
      <c r="O1252" s="545"/>
      <c r="P1252" s="545"/>
      <c r="Q1252" s="544"/>
      <c r="R1252" s="544"/>
      <c r="S1252" s="546">
        <f t="shared" si="214"/>
        <v>0</v>
      </c>
      <c r="T1252" s="547">
        <f t="shared" si="215"/>
        <v>0</v>
      </c>
      <c r="U1252" s="546">
        <f t="shared" si="216"/>
        <v>0</v>
      </c>
      <c r="W1252" s="350">
        <f t="shared" si="218"/>
        <v>0</v>
      </c>
      <c r="X1252" s="285">
        <f t="shared" si="217"/>
        <v>0</v>
      </c>
    </row>
    <row r="1253" spans="1:24" ht="12" thickBot="1">
      <c r="A1253" s="596" t="s">
        <v>1501</v>
      </c>
      <c r="B1253" s="541" t="s">
        <v>345</v>
      </c>
      <c r="C1253" s="541" t="s">
        <v>1108</v>
      </c>
      <c r="D1253" s="552" t="s">
        <v>1139</v>
      </c>
      <c r="E1253" s="549"/>
      <c r="F1253" s="551"/>
      <c r="G1253" s="550"/>
      <c r="H1253" s="551"/>
      <c r="I1253" s="551"/>
      <c r="J1253" s="551"/>
      <c r="K1253" s="551"/>
      <c r="L1253" s="551"/>
      <c r="M1253" s="550"/>
      <c r="N1253" s="550"/>
      <c r="O1253" s="551"/>
      <c r="P1253" s="551"/>
      <c r="Q1253" s="550"/>
      <c r="R1253" s="550"/>
      <c r="S1253" s="546">
        <f t="shared" si="214"/>
        <v>0</v>
      </c>
      <c r="T1253" s="547">
        <f t="shared" si="215"/>
        <v>0</v>
      </c>
      <c r="U1253" s="546">
        <f t="shared" si="216"/>
        <v>0</v>
      </c>
      <c r="W1253" s="350">
        <f t="shared" si="218"/>
        <v>0</v>
      </c>
      <c r="X1253" s="285">
        <f t="shared" si="217"/>
        <v>0</v>
      </c>
    </row>
    <row r="1254" spans="1:24" ht="12" thickBot="1">
      <c r="A1254" s="596" t="s">
        <v>1501</v>
      </c>
      <c r="B1254" s="541" t="s">
        <v>377</v>
      </c>
      <c r="C1254" s="541" t="s">
        <v>1109</v>
      </c>
      <c r="D1254" s="552" t="s">
        <v>1139</v>
      </c>
      <c r="E1254" s="543"/>
      <c r="F1254" s="545"/>
      <c r="G1254" s="544"/>
      <c r="H1254" s="545"/>
      <c r="I1254" s="545"/>
      <c r="J1254" s="545"/>
      <c r="K1254" s="545"/>
      <c r="L1254" s="545"/>
      <c r="M1254" s="544"/>
      <c r="N1254" s="544"/>
      <c r="O1254" s="545"/>
      <c r="P1254" s="545"/>
      <c r="Q1254" s="544"/>
      <c r="R1254" s="544"/>
      <c r="S1254" s="546">
        <f t="shared" si="214"/>
        <v>0</v>
      </c>
      <c r="T1254" s="547">
        <f t="shared" si="215"/>
        <v>0</v>
      </c>
      <c r="U1254" s="546">
        <f t="shared" si="216"/>
        <v>0</v>
      </c>
      <c r="W1254" s="350">
        <f t="shared" si="218"/>
        <v>0</v>
      </c>
      <c r="X1254" s="285">
        <f t="shared" si="217"/>
        <v>0</v>
      </c>
    </row>
    <row r="1255" spans="1:24" ht="12" thickBot="1">
      <c r="A1255" s="596" t="s">
        <v>1501</v>
      </c>
      <c r="B1255" s="541" t="s">
        <v>1395</v>
      </c>
      <c r="C1255" s="541" t="s">
        <v>1396</v>
      </c>
      <c r="D1255" s="552" t="s">
        <v>1139</v>
      </c>
      <c r="E1255" s="549"/>
      <c r="F1255" s="551"/>
      <c r="G1255" s="551"/>
      <c r="H1255" s="551"/>
      <c r="I1255" s="551"/>
      <c r="J1255" s="551"/>
      <c r="K1255" s="551"/>
      <c r="L1255" s="551"/>
      <c r="M1255" s="551"/>
      <c r="N1255" s="551"/>
      <c r="O1255" s="551"/>
      <c r="P1255" s="551"/>
      <c r="Q1255" s="551"/>
      <c r="R1255" s="551"/>
      <c r="S1255" s="546">
        <f t="shared" si="214"/>
        <v>0</v>
      </c>
      <c r="T1255" s="547">
        <f t="shared" si="215"/>
        <v>0</v>
      </c>
      <c r="U1255" s="546">
        <f t="shared" si="216"/>
        <v>0</v>
      </c>
      <c r="W1255" s="350">
        <f t="shared" si="218"/>
        <v>0</v>
      </c>
      <c r="X1255" s="285">
        <f t="shared" si="217"/>
        <v>0</v>
      </c>
    </row>
    <row r="1256" spans="1:24" ht="12" thickBot="1">
      <c r="A1256" s="596" t="s">
        <v>1501</v>
      </c>
      <c r="B1256" s="541" t="s">
        <v>363</v>
      </c>
      <c r="C1256" s="541" t="s">
        <v>1110</v>
      </c>
      <c r="D1256" s="552" t="s">
        <v>1140</v>
      </c>
      <c r="E1256" s="543"/>
      <c r="F1256" s="545"/>
      <c r="G1256" s="544"/>
      <c r="H1256" s="545"/>
      <c r="I1256" s="545"/>
      <c r="J1256" s="545"/>
      <c r="K1256" s="545"/>
      <c r="L1256" s="545"/>
      <c r="M1256" s="544"/>
      <c r="N1256" s="544"/>
      <c r="O1256" s="545"/>
      <c r="P1256" s="545"/>
      <c r="Q1256" s="544"/>
      <c r="R1256" s="544"/>
      <c r="S1256" s="546">
        <f t="shared" si="214"/>
        <v>0</v>
      </c>
      <c r="T1256" s="547">
        <f t="shared" si="215"/>
        <v>0</v>
      </c>
      <c r="U1256" s="546">
        <f t="shared" si="216"/>
        <v>0</v>
      </c>
      <c r="W1256" s="350">
        <f t="shared" si="218"/>
        <v>0</v>
      </c>
      <c r="X1256" s="285">
        <f t="shared" si="217"/>
        <v>0</v>
      </c>
    </row>
    <row r="1257" spans="1:24" ht="12" thickBot="1">
      <c r="A1257" s="596" t="s">
        <v>1501</v>
      </c>
      <c r="B1257" s="541" t="s">
        <v>373</v>
      </c>
      <c r="C1257" s="541" t="s">
        <v>1111</v>
      </c>
      <c r="D1257" s="552" t="s">
        <v>1139</v>
      </c>
      <c r="E1257" s="549"/>
      <c r="F1257" s="551"/>
      <c r="G1257" s="550"/>
      <c r="H1257" s="551"/>
      <c r="I1257" s="551"/>
      <c r="J1257" s="551"/>
      <c r="K1257" s="551"/>
      <c r="L1257" s="551"/>
      <c r="M1257" s="550"/>
      <c r="N1257" s="550"/>
      <c r="O1257" s="551"/>
      <c r="P1257" s="551"/>
      <c r="Q1257" s="550"/>
      <c r="R1257" s="550"/>
      <c r="S1257" s="546">
        <f t="shared" si="214"/>
        <v>0</v>
      </c>
      <c r="T1257" s="547">
        <f t="shared" si="215"/>
        <v>0</v>
      </c>
      <c r="U1257" s="546">
        <f t="shared" si="216"/>
        <v>0</v>
      </c>
      <c r="W1257" s="350">
        <f t="shared" si="218"/>
        <v>0</v>
      </c>
      <c r="X1257" s="285">
        <f t="shared" si="217"/>
        <v>0</v>
      </c>
    </row>
    <row r="1258" spans="1:24" ht="12" thickBot="1">
      <c r="A1258" s="596" t="s">
        <v>1501</v>
      </c>
      <c r="B1258" s="541" t="s">
        <v>396</v>
      </c>
      <c r="C1258" s="541" t="s">
        <v>1112</v>
      </c>
      <c r="D1258" s="552" t="s">
        <v>1139</v>
      </c>
      <c r="E1258" s="543"/>
      <c r="F1258" s="545"/>
      <c r="G1258" s="544"/>
      <c r="H1258" s="545"/>
      <c r="I1258" s="545"/>
      <c r="J1258" s="545"/>
      <c r="K1258" s="545"/>
      <c r="L1258" s="545"/>
      <c r="M1258" s="544"/>
      <c r="N1258" s="544"/>
      <c r="O1258" s="545"/>
      <c r="P1258" s="545"/>
      <c r="Q1258" s="544"/>
      <c r="R1258" s="544"/>
      <c r="S1258" s="546">
        <f t="shared" si="214"/>
        <v>0</v>
      </c>
      <c r="T1258" s="547">
        <f t="shared" si="215"/>
        <v>0</v>
      </c>
      <c r="U1258" s="546">
        <f t="shared" si="216"/>
        <v>0</v>
      </c>
      <c r="W1258" s="350">
        <f t="shared" si="218"/>
        <v>0</v>
      </c>
      <c r="X1258" s="285">
        <f t="shared" si="217"/>
        <v>0</v>
      </c>
    </row>
    <row r="1259" spans="1:24" ht="12" thickBot="1">
      <c r="A1259" s="596" t="s">
        <v>1501</v>
      </c>
      <c r="B1259" s="541" t="s">
        <v>351</v>
      </c>
      <c r="C1259" s="541" t="s">
        <v>1113</v>
      </c>
      <c r="D1259" s="552" t="s">
        <v>1140</v>
      </c>
      <c r="E1259" s="549"/>
      <c r="F1259" s="551"/>
      <c r="G1259" s="550"/>
      <c r="H1259" s="551"/>
      <c r="I1259" s="551"/>
      <c r="J1259" s="551"/>
      <c r="K1259" s="551"/>
      <c r="L1259" s="551"/>
      <c r="M1259" s="550"/>
      <c r="N1259" s="550"/>
      <c r="O1259" s="551"/>
      <c r="P1259" s="551"/>
      <c r="Q1259" s="550"/>
      <c r="R1259" s="550"/>
      <c r="S1259" s="546">
        <f t="shared" si="214"/>
        <v>0</v>
      </c>
      <c r="T1259" s="547">
        <f t="shared" si="215"/>
        <v>0</v>
      </c>
      <c r="U1259" s="546">
        <f t="shared" si="216"/>
        <v>0</v>
      </c>
      <c r="W1259" s="350">
        <f t="shared" si="218"/>
        <v>0</v>
      </c>
      <c r="X1259" s="285">
        <f t="shared" si="217"/>
        <v>0</v>
      </c>
    </row>
    <row r="1260" spans="1:24" ht="12" thickBot="1">
      <c r="A1260" s="596" t="s">
        <v>1501</v>
      </c>
      <c r="B1260" s="541" t="s">
        <v>314</v>
      </c>
      <c r="C1260" s="541" t="s">
        <v>1114</v>
      </c>
      <c r="D1260" s="552" t="s">
        <v>1140</v>
      </c>
      <c r="E1260" s="543"/>
      <c r="F1260" s="545"/>
      <c r="G1260" s="544"/>
      <c r="H1260" s="545"/>
      <c r="I1260" s="545"/>
      <c r="J1260" s="545"/>
      <c r="K1260" s="545"/>
      <c r="L1260" s="545"/>
      <c r="M1260" s="544"/>
      <c r="N1260" s="544"/>
      <c r="O1260" s="545"/>
      <c r="P1260" s="545"/>
      <c r="Q1260" s="544"/>
      <c r="R1260" s="544"/>
      <c r="S1260" s="546">
        <f t="shared" si="214"/>
        <v>0</v>
      </c>
      <c r="T1260" s="547">
        <f t="shared" si="215"/>
        <v>0</v>
      </c>
      <c r="U1260" s="546">
        <f t="shared" si="216"/>
        <v>0</v>
      </c>
      <c r="W1260" s="350">
        <f t="shared" si="218"/>
        <v>0</v>
      </c>
      <c r="X1260" s="285">
        <f t="shared" si="217"/>
        <v>0</v>
      </c>
    </row>
    <row r="1261" spans="1:24" ht="12" thickBot="1">
      <c r="A1261" s="596" t="s">
        <v>1501</v>
      </c>
      <c r="B1261" s="541" t="s">
        <v>355</v>
      </c>
      <c r="C1261" s="541" t="s">
        <v>1115</v>
      </c>
      <c r="D1261" s="552" t="s">
        <v>1140</v>
      </c>
      <c r="E1261" s="549"/>
      <c r="F1261" s="551"/>
      <c r="G1261" s="550"/>
      <c r="H1261" s="551"/>
      <c r="I1261" s="551"/>
      <c r="J1261" s="551"/>
      <c r="K1261" s="551"/>
      <c r="L1261" s="551"/>
      <c r="M1261" s="550"/>
      <c r="N1261" s="550"/>
      <c r="O1261" s="551"/>
      <c r="P1261" s="551"/>
      <c r="Q1261" s="550"/>
      <c r="R1261" s="550"/>
      <c r="S1261" s="546">
        <f t="shared" si="214"/>
        <v>0</v>
      </c>
      <c r="T1261" s="547">
        <f t="shared" si="215"/>
        <v>0</v>
      </c>
      <c r="U1261" s="546">
        <f t="shared" si="216"/>
        <v>0</v>
      </c>
      <c r="W1261" s="350">
        <f t="shared" si="218"/>
        <v>0</v>
      </c>
      <c r="X1261" s="285">
        <f t="shared" si="217"/>
        <v>0</v>
      </c>
    </row>
    <row r="1262" spans="1:24" ht="12" thickBot="1">
      <c r="A1262" s="596" t="s">
        <v>1501</v>
      </c>
      <c r="B1262" s="541" t="s">
        <v>364</v>
      </c>
      <c r="C1262" s="541" t="s">
        <v>1116</v>
      </c>
      <c r="D1262" s="552" t="s">
        <v>1139</v>
      </c>
      <c r="E1262" s="543"/>
      <c r="F1262" s="545"/>
      <c r="G1262" s="544"/>
      <c r="H1262" s="545"/>
      <c r="I1262" s="545"/>
      <c r="J1262" s="545"/>
      <c r="K1262" s="545"/>
      <c r="L1262" s="545"/>
      <c r="M1262" s="544"/>
      <c r="N1262" s="544"/>
      <c r="O1262" s="545"/>
      <c r="P1262" s="545"/>
      <c r="Q1262" s="544"/>
      <c r="R1262" s="544"/>
      <c r="S1262" s="546">
        <f t="shared" si="214"/>
        <v>0</v>
      </c>
      <c r="T1262" s="547">
        <f t="shared" si="215"/>
        <v>0</v>
      </c>
      <c r="U1262" s="546">
        <f t="shared" si="216"/>
        <v>0</v>
      </c>
      <c r="W1262" s="350">
        <f t="shared" si="218"/>
        <v>0</v>
      </c>
      <c r="X1262" s="285">
        <f t="shared" si="217"/>
        <v>0</v>
      </c>
    </row>
    <row r="1263" spans="1:24" ht="12" thickBot="1">
      <c r="A1263" s="596" t="s">
        <v>1501</v>
      </c>
      <c r="B1263" s="541" t="s">
        <v>387</v>
      </c>
      <c r="C1263" s="541" t="s">
        <v>1117</v>
      </c>
      <c r="D1263" s="552" t="s">
        <v>1139</v>
      </c>
      <c r="E1263" s="549"/>
      <c r="F1263" s="551"/>
      <c r="G1263" s="550"/>
      <c r="H1263" s="551"/>
      <c r="I1263" s="551"/>
      <c r="J1263" s="551"/>
      <c r="K1263" s="551"/>
      <c r="L1263" s="551"/>
      <c r="M1263" s="550"/>
      <c r="N1263" s="550"/>
      <c r="O1263" s="551"/>
      <c r="P1263" s="551"/>
      <c r="Q1263" s="550"/>
      <c r="R1263" s="550"/>
      <c r="S1263" s="546">
        <f t="shared" si="214"/>
        <v>0</v>
      </c>
      <c r="T1263" s="547">
        <f t="shared" si="215"/>
        <v>0</v>
      </c>
      <c r="U1263" s="546">
        <f t="shared" si="216"/>
        <v>0</v>
      </c>
      <c r="W1263" s="350">
        <f t="shared" si="218"/>
        <v>0</v>
      </c>
      <c r="X1263" s="285">
        <f t="shared" si="217"/>
        <v>0</v>
      </c>
    </row>
    <row r="1264" spans="1:24" ht="12" thickBot="1">
      <c r="A1264" s="596" t="s">
        <v>1501</v>
      </c>
      <c r="B1264" s="541" t="s">
        <v>344</v>
      </c>
      <c r="C1264" s="541" t="s">
        <v>1118</v>
      </c>
      <c r="D1264" s="552" t="s">
        <v>1139</v>
      </c>
      <c r="E1264" s="543"/>
      <c r="F1264" s="545"/>
      <c r="G1264" s="544"/>
      <c r="H1264" s="545"/>
      <c r="I1264" s="545"/>
      <c r="J1264" s="545"/>
      <c r="K1264" s="545"/>
      <c r="L1264" s="545"/>
      <c r="M1264" s="544"/>
      <c r="N1264" s="544"/>
      <c r="O1264" s="545"/>
      <c r="P1264" s="545"/>
      <c r="Q1264" s="544"/>
      <c r="R1264" s="544"/>
      <c r="S1264" s="546">
        <f t="shared" si="214"/>
        <v>0</v>
      </c>
      <c r="T1264" s="547">
        <f t="shared" si="215"/>
        <v>0</v>
      </c>
      <c r="U1264" s="546">
        <f t="shared" si="216"/>
        <v>0</v>
      </c>
      <c r="W1264" s="350">
        <f t="shared" si="218"/>
        <v>0</v>
      </c>
      <c r="X1264" s="285">
        <f t="shared" si="217"/>
        <v>0</v>
      </c>
    </row>
    <row r="1265" spans="1:24" ht="12" thickBot="1">
      <c r="A1265" s="596" t="s">
        <v>1501</v>
      </c>
      <c r="B1265" s="541" t="s">
        <v>376</v>
      </c>
      <c r="C1265" s="541" t="s">
        <v>1119</v>
      </c>
      <c r="D1265" s="552" t="s">
        <v>1139</v>
      </c>
      <c r="E1265" s="549"/>
      <c r="F1265" s="551"/>
      <c r="G1265" s="550"/>
      <c r="H1265" s="551"/>
      <c r="I1265" s="551"/>
      <c r="J1265" s="551"/>
      <c r="K1265" s="551"/>
      <c r="L1265" s="551"/>
      <c r="M1265" s="550"/>
      <c r="N1265" s="550"/>
      <c r="O1265" s="551"/>
      <c r="P1265" s="551"/>
      <c r="Q1265" s="550"/>
      <c r="R1265" s="550"/>
      <c r="S1265" s="546">
        <f t="shared" si="214"/>
        <v>0</v>
      </c>
      <c r="T1265" s="547">
        <f t="shared" si="215"/>
        <v>0</v>
      </c>
      <c r="U1265" s="546">
        <f t="shared" si="216"/>
        <v>0</v>
      </c>
      <c r="W1265" s="350">
        <f t="shared" si="218"/>
        <v>0</v>
      </c>
      <c r="X1265" s="285">
        <f t="shared" si="217"/>
        <v>0</v>
      </c>
    </row>
    <row r="1266" spans="1:24" ht="12" thickBot="1">
      <c r="A1266" s="596" t="s">
        <v>1501</v>
      </c>
      <c r="B1266" s="541" t="s">
        <v>374</v>
      </c>
      <c r="C1266" s="541" t="s">
        <v>1120</v>
      </c>
      <c r="D1266" s="552" t="s">
        <v>1139</v>
      </c>
      <c r="E1266" s="543"/>
      <c r="F1266" s="545"/>
      <c r="G1266" s="544"/>
      <c r="H1266" s="545"/>
      <c r="I1266" s="545"/>
      <c r="J1266" s="545"/>
      <c r="K1266" s="545"/>
      <c r="L1266" s="545"/>
      <c r="M1266" s="544"/>
      <c r="N1266" s="544"/>
      <c r="O1266" s="545"/>
      <c r="P1266" s="545"/>
      <c r="Q1266" s="544"/>
      <c r="R1266" s="544"/>
      <c r="S1266" s="546">
        <f t="shared" si="214"/>
        <v>0</v>
      </c>
      <c r="T1266" s="547">
        <f t="shared" si="215"/>
        <v>0</v>
      </c>
      <c r="U1266" s="546">
        <f t="shared" si="216"/>
        <v>0</v>
      </c>
      <c r="W1266" s="350">
        <f t="shared" si="218"/>
        <v>0</v>
      </c>
      <c r="X1266" s="285">
        <f t="shared" si="217"/>
        <v>0</v>
      </c>
    </row>
    <row r="1267" spans="1:24" ht="12" thickBot="1">
      <c r="A1267" s="596" t="s">
        <v>1501</v>
      </c>
      <c r="B1267" s="541" t="s">
        <v>398</v>
      </c>
      <c r="C1267" s="541" t="s">
        <v>1121</v>
      </c>
      <c r="D1267" s="552" t="s">
        <v>1139</v>
      </c>
      <c r="E1267" s="549"/>
      <c r="F1267" s="551"/>
      <c r="G1267" s="550"/>
      <c r="H1267" s="551"/>
      <c r="I1267" s="551"/>
      <c r="J1267" s="551"/>
      <c r="K1267" s="551"/>
      <c r="L1267" s="551"/>
      <c r="M1267" s="550"/>
      <c r="N1267" s="550"/>
      <c r="O1267" s="551"/>
      <c r="P1267" s="551"/>
      <c r="Q1267" s="550"/>
      <c r="R1267" s="550"/>
      <c r="S1267" s="546">
        <f t="shared" si="214"/>
        <v>0</v>
      </c>
      <c r="T1267" s="547">
        <f t="shared" si="215"/>
        <v>0</v>
      </c>
      <c r="U1267" s="546">
        <f t="shared" si="216"/>
        <v>0</v>
      </c>
      <c r="W1267" s="350">
        <f t="shared" si="218"/>
        <v>0</v>
      </c>
      <c r="X1267" s="285">
        <f t="shared" si="217"/>
        <v>0</v>
      </c>
    </row>
    <row r="1268" spans="1:24" ht="12" thickBot="1">
      <c r="A1268" s="596" t="s">
        <v>1501</v>
      </c>
      <c r="B1268" s="541" t="s">
        <v>348</v>
      </c>
      <c r="C1268" s="541" t="s">
        <v>1122</v>
      </c>
      <c r="D1268" s="552" t="s">
        <v>1139</v>
      </c>
      <c r="E1268" s="543"/>
      <c r="F1268" s="545"/>
      <c r="G1268" s="544"/>
      <c r="H1268" s="545"/>
      <c r="I1268" s="545"/>
      <c r="J1268" s="545"/>
      <c r="K1268" s="545"/>
      <c r="L1268" s="545"/>
      <c r="M1268" s="544"/>
      <c r="N1268" s="544"/>
      <c r="O1268" s="545"/>
      <c r="P1268" s="545"/>
      <c r="Q1268" s="544"/>
      <c r="R1268" s="544"/>
      <c r="S1268" s="546">
        <f t="shared" si="214"/>
        <v>0</v>
      </c>
      <c r="T1268" s="547">
        <f t="shared" si="215"/>
        <v>0</v>
      </c>
      <c r="U1268" s="546">
        <f t="shared" si="216"/>
        <v>0</v>
      </c>
      <c r="W1268" s="350">
        <f t="shared" si="218"/>
        <v>0</v>
      </c>
      <c r="X1268" s="285">
        <f t="shared" si="217"/>
        <v>0</v>
      </c>
    </row>
    <row r="1269" spans="1:24" ht="12" thickBot="1">
      <c r="A1269" s="596" t="s">
        <v>1501</v>
      </c>
      <c r="B1269" s="541" t="s">
        <v>380</v>
      </c>
      <c r="C1269" s="541" t="s">
        <v>1123</v>
      </c>
      <c r="D1269" s="552" t="s">
        <v>1139</v>
      </c>
      <c r="E1269" s="549"/>
      <c r="F1269" s="551"/>
      <c r="G1269" s="550"/>
      <c r="H1269" s="551"/>
      <c r="I1269" s="551"/>
      <c r="J1269" s="551"/>
      <c r="K1269" s="551"/>
      <c r="L1269" s="551"/>
      <c r="M1269" s="550"/>
      <c r="N1269" s="550"/>
      <c r="O1269" s="551"/>
      <c r="P1269" s="551"/>
      <c r="Q1269" s="550"/>
      <c r="R1269" s="550"/>
      <c r="S1269" s="546">
        <f t="shared" si="214"/>
        <v>0</v>
      </c>
      <c r="T1269" s="547">
        <f t="shared" si="215"/>
        <v>0</v>
      </c>
      <c r="U1269" s="546">
        <f t="shared" si="216"/>
        <v>0</v>
      </c>
      <c r="W1269" s="350">
        <f t="shared" si="218"/>
        <v>0</v>
      </c>
      <c r="X1269" s="285">
        <f t="shared" si="217"/>
        <v>0</v>
      </c>
    </row>
    <row r="1270" spans="1:24" ht="12" thickBot="1">
      <c r="A1270" s="596" t="s">
        <v>1501</v>
      </c>
      <c r="B1270" s="541" t="s">
        <v>399</v>
      </c>
      <c r="C1270" s="541" t="s">
        <v>1124</v>
      </c>
      <c r="D1270" s="552" t="s">
        <v>1139</v>
      </c>
      <c r="E1270" s="543"/>
      <c r="F1270" s="545"/>
      <c r="G1270" s="544"/>
      <c r="H1270" s="545"/>
      <c r="I1270" s="545"/>
      <c r="J1270" s="545"/>
      <c r="K1270" s="545"/>
      <c r="L1270" s="545"/>
      <c r="M1270" s="544"/>
      <c r="N1270" s="544"/>
      <c r="O1270" s="545"/>
      <c r="P1270" s="545"/>
      <c r="Q1270" s="544"/>
      <c r="R1270" s="544"/>
      <c r="S1270" s="546">
        <f t="shared" si="214"/>
        <v>0</v>
      </c>
      <c r="T1270" s="547">
        <f t="shared" si="215"/>
        <v>0</v>
      </c>
      <c r="U1270" s="546">
        <f t="shared" si="216"/>
        <v>0</v>
      </c>
      <c r="W1270" s="350">
        <f t="shared" si="218"/>
        <v>0</v>
      </c>
      <c r="X1270" s="285">
        <f t="shared" si="217"/>
        <v>0</v>
      </c>
    </row>
    <row r="1271" spans="1:24" ht="12" thickBot="1">
      <c r="A1271" s="596" t="s">
        <v>1501</v>
      </c>
      <c r="B1271" s="541" t="s">
        <v>349</v>
      </c>
      <c r="C1271" s="541" t="s">
        <v>1125</v>
      </c>
      <c r="D1271" s="552" t="s">
        <v>1139</v>
      </c>
      <c r="E1271" s="549"/>
      <c r="F1271" s="551"/>
      <c r="G1271" s="550"/>
      <c r="H1271" s="551"/>
      <c r="I1271" s="551"/>
      <c r="J1271" s="551"/>
      <c r="K1271" s="551"/>
      <c r="L1271" s="551"/>
      <c r="M1271" s="550"/>
      <c r="N1271" s="550"/>
      <c r="O1271" s="551"/>
      <c r="P1271" s="551"/>
      <c r="Q1271" s="550"/>
      <c r="R1271" s="550"/>
      <c r="S1271" s="546">
        <f t="shared" si="214"/>
        <v>0</v>
      </c>
      <c r="T1271" s="547">
        <f t="shared" si="215"/>
        <v>0</v>
      </c>
      <c r="U1271" s="546">
        <f t="shared" si="216"/>
        <v>0</v>
      </c>
      <c r="W1271" s="350">
        <f t="shared" si="218"/>
        <v>0</v>
      </c>
      <c r="X1271" s="285">
        <f t="shared" si="217"/>
        <v>0</v>
      </c>
    </row>
    <row r="1272" spans="1:24" ht="12" thickBot="1">
      <c r="A1272" s="596" t="s">
        <v>1501</v>
      </c>
      <c r="B1272" s="541" t="s">
        <v>381</v>
      </c>
      <c r="C1272" s="541" t="s">
        <v>1126</v>
      </c>
      <c r="D1272" s="552" t="s">
        <v>1139</v>
      </c>
      <c r="E1272" s="543"/>
      <c r="F1272" s="545"/>
      <c r="G1272" s="544"/>
      <c r="H1272" s="545"/>
      <c r="I1272" s="545"/>
      <c r="J1272" s="545"/>
      <c r="K1272" s="545"/>
      <c r="L1272" s="545"/>
      <c r="M1272" s="544"/>
      <c r="N1272" s="544"/>
      <c r="O1272" s="545"/>
      <c r="P1272" s="545"/>
      <c r="Q1272" s="544"/>
      <c r="R1272" s="544"/>
      <c r="S1272" s="546">
        <f t="shared" si="214"/>
        <v>0</v>
      </c>
      <c r="T1272" s="547">
        <f t="shared" si="215"/>
        <v>0</v>
      </c>
      <c r="U1272" s="546">
        <f t="shared" si="216"/>
        <v>0</v>
      </c>
      <c r="W1272" s="350">
        <f t="shared" si="218"/>
        <v>0</v>
      </c>
      <c r="X1272" s="285">
        <f t="shared" si="217"/>
        <v>0</v>
      </c>
    </row>
    <row r="1273" spans="1:24" ht="12" thickBot="1">
      <c r="A1273" s="596" t="s">
        <v>1501</v>
      </c>
      <c r="B1273" s="541" t="s">
        <v>321</v>
      </c>
      <c r="C1273" s="541" t="s">
        <v>1127</v>
      </c>
      <c r="D1273" s="552" t="s">
        <v>1139</v>
      </c>
      <c r="E1273" s="549"/>
      <c r="F1273" s="551"/>
      <c r="G1273" s="550"/>
      <c r="H1273" s="551"/>
      <c r="I1273" s="551"/>
      <c r="J1273" s="551"/>
      <c r="K1273" s="551"/>
      <c r="L1273" s="551"/>
      <c r="M1273" s="550"/>
      <c r="N1273" s="550"/>
      <c r="O1273" s="551"/>
      <c r="P1273" s="551"/>
      <c r="Q1273" s="550"/>
      <c r="R1273" s="550"/>
      <c r="S1273" s="546">
        <f t="shared" si="214"/>
        <v>0</v>
      </c>
      <c r="T1273" s="547">
        <f t="shared" si="215"/>
        <v>0</v>
      </c>
      <c r="U1273" s="546">
        <f t="shared" si="216"/>
        <v>0</v>
      </c>
      <c r="W1273" s="350">
        <f t="shared" si="218"/>
        <v>0</v>
      </c>
      <c r="X1273" s="285">
        <f t="shared" si="217"/>
        <v>0</v>
      </c>
    </row>
    <row r="1274" spans="1:24" ht="12" thickBot="1">
      <c r="A1274" s="596" t="s">
        <v>1501</v>
      </c>
      <c r="B1274" s="541" t="s">
        <v>353</v>
      </c>
      <c r="C1274" s="541" t="s">
        <v>1128</v>
      </c>
      <c r="D1274" s="552" t="s">
        <v>1139</v>
      </c>
      <c r="E1274" s="543"/>
      <c r="F1274" s="545"/>
      <c r="G1274" s="544"/>
      <c r="H1274" s="545"/>
      <c r="I1274" s="545"/>
      <c r="J1274" s="545"/>
      <c r="K1274" s="545"/>
      <c r="L1274" s="545"/>
      <c r="M1274" s="544"/>
      <c r="N1274" s="544"/>
      <c r="O1274" s="545"/>
      <c r="P1274" s="545"/>
      <c r="Q1274" s="544"/>
      <c r="R1274" s="544"/>
      <c r="S1274" s="546">
        <f t="shared" si="214"/>
        <v>0</v>
      </c>
      <c r="T1274" s="547">
        <f t="shared" si="215"/>
        <v>0</v>
      </c>
      <c r="U1274" s="546">
        <f t="shared" si="216"/>
        <v>0</v>
      </c>
      <c r="W1274" s="350">
        <f t="shared" si="218"/>
        <v>0</v>
      </c>
      <c r="X1274" s="285">
        <f t="shared" si="217"/>
        <v>0</v>
      </c>
    </row>
    <row r="1275" spans="1:24" ht="12" thickBot="1">
      <c r="A1275" s="596" t="s">
        <v>1501</v>
      </c>
      <c r="B1275" s="541" t="s">
        <v>678</v>
      </c>
      <c r="C1275" s="541" t="s">
        <v>1129</v>
      </c>
      <c r="D1275" s="552" t="s">
        <v>1139</v>
      </c>
      <c r="E1275" s="549"/>
      <c r="F1275" s="551"/>
      <c r="G1275" s="550"/>
      <c r="H1275" s="551"/>
      <c r="I1275" s="551"/>
      <c r="J1275" s="551"/>
      <c r="K1275" s="551"/>
      <c r="L1275" s="551"/>
      <c r="M1275" s="550"/>
      <c r="N1275" s="550"/>
      <c r="O1275" s="551"/>
      <c r="P1275" s="551"/>
      <c r="Q1275" s="551"/>
      <c r="R1275" s="550"/>
      <c r="S1275" s="546">
        <f t="shared" si="214"/>
        <v>0</v>
      </c>
      <c r="T1275" s="547">
        <f t="shared" si="215"/>
        <v>0</v>
      </c>
      <c r="U1275" s="546">
        <f t="shared" si="216"/>
        <v>0</v>
      </c>
      <c r="W1275" s="350">
        <f t="shared" si="218"/>
        <v>0</v>
      </c>
      <c r="X1275" s="285">
        <f t="shared" si="217"/>
        <v>0</v>
      </c>
    </row>
    <row r="1276" spans="1:24" ht="12" thickBot="1">
      <c r="A1276" s="596" t="s">
        <v>1501</v>
      </c>
      <c r="B1276" s="541" t="s">
        <v>316</v>
      </c>
      <c r="C1276" s="541" t="s">
        <v>1130</v>
      </c>
      <c r="D1276" s="552" t="s">
        <v>1139</v>
      </c>
      <c r="E1276" s="543"/>
      <c r="F1276" s="545"/>
      <c r="G1276" s="544"/>
      <c r="H1276" s="545"/>
      <c r="I1276" s="545"/>
      <c r="J1276" s="545"/>
      <c r="K1276" s="545"/>
      <c r="L1276" s="545"/>
      <c r="M1276" s="544"/>
      <c r="N1276" s="544"/>
      <c r="O1276" s="545"/>
      <c r="P1276" s="545"/>
      <c r="Q1276" s="544"/>
      <c r="R1276" s="544"/>
      <c r="S1276" s="546">
        <f t="shared" si="214"/>
        <v>0</v>
      </c>
      <c r="T1276" s="547">
        <f t="shared" si="215"/>
        <v>0</v>
      </c>
      <c r="U1276" s="546">
        <f t="shared" si="216"/>
        <v>0</v>
      </c>
      <c r="W1276" s="350">
        <f t="shared" si="218"/>
        <v>0</v>
      </c>
      <c r="X1276" s="285">
        <f t="shared" si="217"/>
        <v>0</v>
      </c>
    </row>
    <row r="1277" spans="1:24" ht="12" thickBot="1">
      <c r="A1277" s="596" t="s">
        <v>1501</v>
      </c>
      <c r="B1277" s="541" t="s">
        <v>318</v>
      </c>
      <c r="C1277" s="541" t="s">
        <v>1131</v>
      </c>
      <c r="D1277" s="552" t="s">
        <v>1139</v>
      </c>
      <c r="E1277" s="549"/>
      <c r="F1277" s="551"/>
      <c r="G1277" s="550"/>
      <c r="H1277" s="551"/>
      <c r="I1277" s="551"/>
      <c r="J1277" s="551"/>
      <c r="K1277" s="551"/>
      <c r="L1277" s="551"/>
      <c r="M1277" s="550"/>
      <c r="N1277" s="550"/>
      <c r="O1277" s="551"/>
      <c r="P1277" s="551"/>
      <c r="Q1277" s="550"/>
      <c r="R1277" s="550"/>
      <c r="S1277" s="546">
        <f t="shared" si="214"/>
        <v>0</v>
      </c>
      <c r="T1277" s="547">
        <f t="shared" si="215"/>
        <v>0</v>
      </c>
      <c r="U1277" s="546">
        <f t="shared" si="216"/>
        <v>0</v>
      </c>
      <c r="W1277" s="350">
        <f t="shared" si="218"/>
        <v>0</v>
      </c>
      <c r="X1277" s="285">
        <f t="shared" si="217"/>
        <v>0</v>
      </c>
    </row>
    <row r="1278" spans="1:24" ht="12" thickBot="1">
      <c r="A1278" s="596" t="s">
        <v>1501</v>
      </c>
      <c r="B1278" s="541" t="s">
        <v>350</v>
      </c>
      <c r="C1278" s="541" t="s">
        <v>1132</v>
      </c>
      <c r="D1278" s="552" t="s">
        <v>1139</v>
      </c>
      <c r="E1278" s="543"/>
      <c r="F1278" s="545"/>
      <c r="G1278" s="544"/>
      <c r="H1278" s="545"/>
      <c r="I1278" s="545"/>
      <c r="J1278" s="545"/>
      <c r="K1278" s="545"/>
      <c r="L1278" s="545"/>
      <c r="M1278" s="544"/>
      <c r="N1278" s="544"/>
      <c r="O1278" s="545"/>
      <c r="P1278" s="545"/>
      <c r="Q1278" s="544"/>
      <c r="R1278" s="544"/>
      <c r="S1278" s="546">
        <f t="shared" si="214"/>
        <v>0</v>
      </c>
      <c r="T1278" s="547">
        <f t="shared" si="215"/>
        <v>0</v>
      </c>
      <c r="U1278" s="546">
        <f t="shared" si="216"/>
        <v>0</v>
      </c>
      <c r="W1278" s="350">
        <f t="shared" si="218"/>
        <v>0</v>
      </c>
      <c r="X1278" s="285">
        <f t="shared" si="217"/>
        <v>0</v>
      </c>
    </row>
    <row r="1279" spans="1:24" ht="12" thickBot="1">
      <c r="A1279" s="596" t="s">
        <v>1501</v>
      </c>
      <c r="B1279" s="541" t="s">
        <v>313</v>
      </c>
      <c r="C1279" s="541" t="s">
        <v>1133</v>
      </c>
      <c r="D1279" s="552" t="s">
        <v>1139</v>
      </c>
      <c r="E1279" s="549"/>
      <c r="F1279" s="551"/>
      <c r="G1279" s="550"/>
      <c r="H1279" s="551"/>
      <c r="I1279" s="551"/>
      <c r="J1279" s="551"/>
      <c r="K1279" s="551"/>
      <c r="L1279" s="551"/>
      <c r="M1279" s="550"/>
      <c r="N1279" s="550"/>
      <c r="O1279" s="551"/>
      <c r="P1279" s="551"/>
      <c r="Q1279" s="550"/>
      <c r="R1279" s="550"/>
      <c r="S1279" s="546">
        <f t="shared" si="214"/>
        <v>0</v>
      </c>
      <c r="T1279" s="547">
        <f t="shared" si="215"/>
        <v>0</v>
      </c>
      <c r="U1279" s="546">
        <f t="shared" si="216"/>
        <v>0</v>
      </c>
      <c r="W1279" s="350">
        <f t="shared" si="218"/>
        <v>0</v>
      </c>
      <c r="X1279" s="285">
        <f t="shared" si="217"/>
        <v>0</v>
      </c>
    </row>
    <row r="1280" spans="1:24" ht="12" thickBot="1">
      <c r="A1280" s="596" t="s">
        <v>1501</v>
      </c>
      <c r="B1280" s="541" t="s">
        <v>650</v>
      </c>
      <c r="C1280" s="541" t="s">
        <v>1151</v>
      </c>
      <c r="D1280" s="552" t="s">
        <v>1139</v>
      </c>
      <c r="E1280" s="543"/>
      <c r="F1280" s="545"/>
      <c r="G1280" s="544"/>
      <c r="H1280" s="545"/>
      <c r="I1280" s="545"/>
      <c r="J1280" s="545"/>
      <c r="K1280" s="545"/>
      <c r="L1280" s="545"/>
      <c r="M1280" s="544"/>
      <c r="N1280" s="544"/>
      <c r="O1280" s="545"/>
      <c r="P1280" s="545"/>
      <c r="Q1280" s="545"/>
      <c r="R1280" s="544"/>
      <c r="S1280" s="546">
        <f t="shared" si="214"/>
        <v>0</v>
      </c>
      <c r="T1280" s="547">
        <f t="shared" si="215"/>
        <v>0</v>
      </c>
      <c r="U1280" s="546">
        <f t="shared" si="216"/>
        <v>0</v>
      </c>
      <c r="W1280" s="350">
        <f t="shared" si="218"/>
        <v>0</v>
      </c>
      <c r="X1280" s="285">
        <f t="shared" si="217"/>
        <v>0</v>
      </c>
    </row>
    <row r="1281" spans="1:24" ht="12" thickBot="1">
      <c r="A1281" s="596" t="s">
        <v>1501</v>
      </c>
      <c r="B1281" s="541" t="s">
        <v>447</v>
      </c>
      <c r="C1281" s="541" t="s">
        <v>1134</v>
      </c>
      <c r="D1281" s="552" t="s">
        <v>1139</v>
      </c>
      <c r="E1281" s="549"/>
      <c r="F1281" s="551"/>
      <c r="G1281" s="550"/>
      <c r="H1281" s="551"/>
      <c r="I1281" s="551"/>
      <c r="J1281" s="551"/>
      <c r="K1281" s="551"/>
      <c r="L1281" s="551"/>
      <c r="M1281" s="550"/>
      <c r="N1281" s="550"/>
      <c r="O1281" s="551"/>
      <c r="P1281" s="551"/>
      <c r="Q1281" s="551"/>
      <c r="R1281" s="550"/>
      <c r="S1281" s="546">
        <f t="shared" ref="S1281:S1307" si="219">G1281+H1281+I1281</f>
        <v>0</v>
      </c>
      <c r="T1281" s="547">
        <f t="shared" ref="T1281:T1307" si="220">J1281+K1281</f>
        <v>0</v>
      </c>
      <c r="U1281" s="546">
        <f t="shared" ref="U1281:U1307" si="221">N1281+O1281</f>
        <v>0</v>
      </c>
      <c r="W1281" s="350">
        <f t="shared" si="218"/>
        <v>0</v>
      </c>
      <c r="X1281" s="285">
        <f t="shared" ref="X1281:X1305" si="222">W1281-R1281</f>
        <v>0</v>
      </c>
    </row>
    <row r="1282" spans="1:24" ht="12" thickBot="1">
      <c r="A1282" s="596" t="s">
        <v>1501</v>
      </c>
      <c r="B1282" s="541" t="s">
        <v>624</v>
      </c>
      <c r="C1282" s="541" t="s">
        <v>1135</v>
      </c>
      <c r="D1282" s="552" t="s">
        <v>1139</v>
      </c>
      <c r="E1282" s="543"/>
      <c r="F1282" s="545"/>
      <c r="G1282" s="544"/>
      <c r="H1282" s="545"/>
      <c r="I1282" s="545"/>
      <c r="J1282" s="545"/>
      <c r="K1282" s="545"/>
      <c r="L1282" s="545"/>
      <c r="M1282" s="544"/>
      <c r="N1282" s="544"/>
      <c r="O1282" s="545"/>
      <c r="P1282" s="545"/>
      <c r="Q1282" s="545"/>
      <c r="R1282" s="544"/>
      <c r="S1282" s="546">
        <f t="shared" si="219"/>
        <v>0</v>
      </c>
      <c r="T1282" s="547">
        <f t="shared" si="220"/>
        <v>0</v>
      </c>
      <c r="U1282" s="546">
        <f t="shared" si="221"/>
        <v>0</v>
      </c>
      <c r="W1282" s="350">
        <f t="shared" si="218"/>
        <v>0</v>
      </c>
      <c r="X1282" s="285">
        <f t="shared" si="222"/>
        <v>0</v>
      </c>
    </row>
    <row r="1283" spans="1:24" ht="12" thickBot="1">
      <c r="A1283" s="596" t="s">
        <v>1501</v>
      </c>
      <c r="B1283" s="541" t="s">
        <v>429</v>
      </c>
      <c r="C1283" s="541" t="s">
        <v>428</v>
      </c>
      <c r="D1283" s="552" t="s">
        <v>73</v>
      </c>
      <c r="E1283" s="551"/>
      <c r="F1283" s="551"/>
      <c r="G1283" s="551"/>
      <c r="H1283" s="551"/>
      <c r="I1283" s="551"/>
      <c r="J1283" s="551"/>
      <c r="K1283" s="551"/>
      <c r="L1283" s="551"/>
      <c r="M1283" s="551"/>
      <c r="N1283" s="551"/>
      <c r="O1283" s="551"/>
      <c r="P1283" s="551"/>
      <c r="Q1283" s="551"/>
      <c r="R1283" s="550"/>
      <c r="S1283" s="546">
        <f t="shared" si="219"/>
        <v>0</v>
      </c>
      <c r="T1283" s="547">
        <f t="shared" si="220"/>
        <v>0</v>
      </c>
      <c r="U1283" s="546">
        <f t="shared" si="221"/>
        <v>0</v>
      </c>
      <c r="W1283" s="350">
        <f t="shared" si="218"/>
        <v>0</v>
      </c>
      <c r="X1283" s="285">
        <f t="shared" si="222"/>
        <v>0</v>
      </c>
    </row>
    <row r="1284" spans="1:24" ht="12" thickBot="1">
      <c r="A1284" s="596" t="s">
        <v>1501</v>
      </c>
      <c r="B1284" s="541" t="s">
        <v>455</v>
      </c>
      <c r="C1284" s="541" t="s">
        <v>454</v>
      </c>
      <c r="D1284" s="552" t="s">
        <v>710</v>
      </c>
      <c r="E1284" s="545"/>
      <c r="F1284" s="545"/>
      <c r="G1284" s="545"/>
      <c r="H1284" s="545"/>
      <c r="I1284" s="545"/>
      <c r="J1284" s="545"/>
      <c r="K1284" s="545"/>
      <c r="L1284" s="545"/>
      <c r="M1284" s="545"/>
      <c r="N1284" s="545"/>
      <c r="O1284" s="545"/>
      <c r="P1284" s="545"/>
      <c r="Q1284" s="545"/>
      <c r="R1284" s="544"/>
      <c r="S1284" s="546">
        <f t="shared" si="219"/>
        <v>0</v>
      </c>
      <c r="T1284" s="547">
        <f t="shared" si="220"/>
        <v>0</v>
      </c>
      <c r="U1284" s="546">
        <f t="shared" si="221"/>
        <v>0</v>
      </c>
      <c r="W1284" s="350">
        <f t="shared" si="218"/>
        <v>0</v>
      </c>
      <c r="X1284" s="285">
        <f t="shared" si="222"/>
        <v>0</v>
      </c>
    </row>
    <row r="1285" spans="1:24" ht="12" thickBot="1">
      <c r="A1285" s="596" t="s">
        <v>1501</v>
      </c>
      <c r="B1285" s="541" t="s">
        <v>457</v>
      </c>
      <c r="C1285" s="541" t="s">
        <v>456</v>
      </c>
      <c r="D1285" s="552" t="s">
        <v>710</v>
      </c>
      <c r="E1285" s="551"/>
      <c r="F1285" s="551"/>
      <c r="G1285" s="551"/>
      <c r="H1285" s="551"/>
      <c r="I1285" s="551"/>
      <c r="J1285" s="551"/>
      <c r="K1285" s="551"/>
      <c r="L1285" s="551"/>
      <c r="M1285" s="551"/>
      <c r="N1285" s="551"/>
      <c r="O1285" s="551"/>
      <c r="P1285" s="551"/>
      <c r="Q1285" s="551"/>
      <c r="R1285" s="550"/>
      <c r="S1285" s="546">
        <f t="shared" si="219"/>
        <v>0</v>
      </c>
      <c r="T1285" s="547">
        <f t="shared" si="220"/>
        <v>0</v>
      </c>
      <c r="U1285" s="546">
        <f t="shared" si="221"/>
        <v>0</v>
      </c>
      <c r="W1285" s="350">
        <f t="shared" si="218"/>
        <v>0</v>
      </c>
      <c r="X1285" s="285">
        <f t="shared" si="222"/>
        <v>0</v>
      </c>
    </row>
    <row r="1286" spans="1:24" ht="12" thickBot="1">
      <c r="A1286" s="596" t="s">
        <v>1501</v>
      </c>
      <c r="B1286" s="541" t="s">
        <v>427</v>
      </c>
      <c r="C1286" s="541" t="s">
        <v>426</v>
      </c>
      <c r="D1286" s="552" t="s">
        <v>1157</v>
      </c>
      <c r="E1286" s="545"/>
      <c r="F1286" s="544"/>
      <c r="G1286" s="545"/>
      <c r="H1286" s="545"/>
      <c r="I1286" s="545"/>
      <c r="J1286" s="545"/>
      <c r="K1286" s="545"/>
      <c r="L1286" s="545"/>
      <c r="M1286" s="545"/>
      <c r="N1286" s="545"/>
      <c r="O1286" s="545"/>
      <c r="P1286" s="545"/>
      <c r="Q1286" s="545"/>
      <c r="R1286" s="544"/>
      <c r="S1286" s="546">
        <f t="shared" si="219"/>
        <v>0</v>
      </c>
      <c r="T1286" s="547">
        <f t="shared" si="220"/>
        <v>0</v>
      </c>
      <c r="U1286" s="546">
        <f t="shared" si="221"/>
        <v>0</v>
      </c>
      <c r="W1286" s="350">
        <f t="shared" ref="W1286:W1349" si="223">SUM(F1286:Q1286)</f>
        <v>0</v>
      </c>
      <c r="X1286" s="285">
        <f t="shared" si="222"/>
        <v>0</v>
      </c>
    </row>
    <row r="1287" spans="1:24" ht="12" thickBot="1">
      <c r="A1287" s="596" t="s">
        <v>1501</v>
      </c>
      <c r="B1287" s="541" t="s">
        <v>673</v>
      </c>
      <c r="C1287" s="541" t="s">
        <v>674</v>
      </c>
      <c r="D1287" s="552" t="s">
        <v>710</v>
      </c>
      <c r="E1287" s="551"/>
      <c r="F1287" s="551"/>
      <c r="G1287" s="551"/>
      <c r="H1287" s="551"/>
      <c r="I1287" s="551"/>
      <c r="J1287" s="551"/>
      <c r="K1287" s="551"/>
      <c r="L1287" s="551"/>
      <c r="M1287" s="551"/>
      <c r="N1287" s="551"/>
      <c r="O1287" s="551"/>
      <c r="P1287" s="551"/>
      <c r="Q1287" s="551"/>
      <c r="R1287" s="550"/>
      <c r="S1287" s="546">
        <f t="shared" si="219"/>
        <v>0</v>
      </c>
      <c r="T1287" s="547">
        <f t="shared" si="220"/>
        <v>0</v>
      </c>
      <c r="U1287" s="546">
        <f t="shared" si="221"/>
        <v>0</v>
      </c>
      <c r="W1287" s="350">
        <f t="shared" si="223"/>
        <v>0</v>
      </c>
      <c r="X1287" s="285">
        <f t="shared" si="222"/>
        <v>0</v>
      </c>
    </row>
    <row r="1288" spans="1:24" ht="12" thickBot="1">
      <c r="A1288" s="596" t="s">
        <v>1501</v>
      </c>
      <c r="B1288" s="541" t="s">
        <v>1152</v>
      </c>
      <c r="C1288" s="541" t="s">
        <v>1153</v>
      </c>
      <c r="D1288" s="552" t="s">
        <v>710</v>
      </c>
      <c r="E1288" s="545"/>
      <c r="F1288" s="545"/>
      <c r="G1288" s="545"/>
      <c r="H1288" s="545"/>
      <c r="I1288" s="545"/>
      <c r="J1288" s="545"/>
      <c r="K1288" s="545"/>
      <c r="L1288" s="545"/>
      <c r="M1288" s="545"/>
      <c r="N1288" s="545"/>
      <c r="O1288" s="545"/>
      <c r="P1288" s="545"/>
      <c r="Q1288" s="545"/>
      <c r="R1288" s="544"/>
      <c r="S1288" s="546">
        <f t="shared" si="219"/>
        <v>0</v>
      </c>
      <c r="T1288" s="547">
        <f t="shared" si="220"/>
        <v>0</v>
      </c>
      <c r="U1288" s="546">
        <f t="shared" si="221"/>
        <v>0</v>
      </c>
      <c r="W1288" s="350">
        <f t="shared" si="223"/>
        <v>0</v>
      </c>
      <c r="X1288" s="285">
        <f t="shared" si="222"/>
        <v>0</v>
      </c>
    </row>
    <row r="1289" spans="1:24" ht="12" thickBot="1">
      <c r="A1289" s="596" t="s">
        <v>1501</v>
      </c>
      <c r="B1289" s="541" t="s">
        <v>434</v>
      </c>
      <c r="C1289" s="541" t="s">
        <v>1154</v>
      </c>
      <c r="D1289" s="552" t="s">
        <v>1158</v>
      </c>
      <c r="E1289" s="549"/>
      <c r="F1289" s="550"/>
      <c r="G1289" s="550"/>
      <c r="H1289" s="550"/>
      <c r="I1289" s="551"/>
      <c r="J1289" s="551"/>
      <c r="K1289" s="551"/>
      <c r="L1289" s="551"/>
      <c r="M1289" s="551"/>
      <c r="N1289" s="551"/>
      <c r="O1289" s="551"/>
      <c r="P1289" s="551"/>
      <c r="Q1289" s="551"/>
      <c r="R1289" s="550"/>
      <c r="S1289" s="546">
        <f t="shared" si="219"/>
        <v>0</v>
      </c>
      <c r="T1289" s="547">
        <f t="shared" si="220"/>
        <v>0</v>
      </c>
      <c r="U1289" s="546">
        <f t="shared" si="221"/>
        <v>0</v>
      </c>
      <c r="W1289" s="350">
        <f t="shared" si="223"/>
        <v>0</v>
      </c>
      <c r="X1289" s="285">
        <f t="shared" si="222"/>
        <v>0</v>
      </c>
    </row>
    <row r="1290" spans="1:24" ht="12" thickBot="1">
      <c r="A1290" s="596" t="s">
        <v>1501</v>
      </c>
      <c r="B1290" s="562" t="s">
        <v>8</v>
      </c>
      <c r="C1290" s="563"/>
      <c r="D1290" s="557"/>
      <c r="E1290" s="558"/>
      <c r="F1290" s="559"/>
      <c r="G1290" s="559"/>
      <c r="H1290" s="559"/>
      <c r="I1290" s="559"/>
      <c r="J1290" s="559"/>
      <c r="K1290" s="559"/>
      <c r="L1290" s="559"/>
      <c r="M1290" s="559"/>
      <c r="N1290" s="559"/>
      <c r="O1290" s="559"/>
      <c r="P1290" s="559"/>
      <c r="Q1290" s="559"/>
      <c r="R1290" s="559"/>
      <c r="S1290" s="546">
        <f t="shared" si="219"/>
        <v>0</v>
      </c>
      <c r="T1290" s="547">
        <f t="shared" si="220"/>
        <v>0</v>
      </c>
      <c r="U1290" s="546">
        <f t="shared" si="221"/>
        <v>0</v>
      </c>
      <c r="W1290" s="350">
        <f t="shared" si="223"/>
        <v>0</v>
      </c>
      <c r="X1290" s="285">
        <f t="shared" si="222"/>
        <v>0</v>
      </c>
    </row>
    <row r="1291" spans="1:24" ht="12" thickBot="1">
      <c r="A1291" s="541" t="s">
        <v>1502</v>
      </c>
      <c r="B1291" s="541" t="s">
        <v>424</v>
      </c>
      <c r="C1291" s="541" t="s">
        <v>444</v>
      </c>
      <c r="D1291" s="542" t="s">
        <v>724</v>
      </c>
      <c r="E1291" s="543"/>
      <c r="F1291" s="544"/>
      <c r="G1291" s="544"/>
      <c r="H1291" s="545"/>
      <c r="I1291" s="545"/>
      <c r="J1291" s="545"/>
      <c r="K1291" s="545"/>
      <c r="L1291" s="545"/>
      <c r="M1291" s="545"/>
      <c r="N1291" s="545"/>
      <c r="O1291" s="545"/>
      <c r="P1291" s="545"/>
      <c r="Q1291" s="545"/>
      <c r="R1291" s="544"/>
      <c r="S1291" s="546">
        <f t="shared" si="219"/>
        <v>0</v>
      </c>
      <c r="T1291" s="547">
        <f t="shared" si="220"/>
        <v>0</v>
      </c>
      <c r="U1291" s="546">
        <f t="shared" si="221"/>
        <v>0</v>
      </c>
      <c r="W1291" s="350">
        <f t="shared" si="223"/>
        <v>0</v>
      </c>
      <c r="X1291" s="285">
        <f t="shared" si="222"/>
        <v>0</v>
      </c>
    </row>
    <row r="1292" spans="1:24" ht="12" thickBot="1">
      <c r="A1292" s="541" t="s">
        <v>1502</v>
      </c>
      <c r="B1292" s="541" t="s">
        <v>425</v>
      </c>
      <c r="C1292" s="541" t="s">
        <v>445</v>
      </c>
      <c r="D1292" s="542" t="s">
        <v>724</v>
      </c>
      <c r="E1292" s="549"/>
      <c r="F1292" s="550"/>
      <c r="G1292" s="550"/>
      <c r="H1292" s="551"/>
      <c r="I1292" s="551"/>
      <c r="J1292" s="551"/>
      <c r="K1292" s="551"/>
      <c r="L1292" s="551"/>
      <c r="M1292" s="551"/>
      <c r="N1292" s="551"/>
      <c r="O1292" s="551"/>
      <c r="P1292" s="551"/>
      <c r="Q1292" s="551"/>
      <c r="R1292" s="550"/>
      <c r="S1292" s="546">
        <f t="shared" si="219"/>
        <v>0</v>
      </c>
      <c r="T1292" s="547">
        <f t="shared" si="220"/>
        <v>0</v>
      </c>
      <c r="U1292" s="546">
        <f t="shared" si="221"/>
        <v>0</v>
      </c>
      <c r="W1292" s="350">
        <f t="shared" si="223"/>
        <v>0</v>
      </c>
      <c r="X1292" s="285">
        <f t="shared" si="222"/>
        <v>0</v>
      </c>
    </row>
    <row r="1293" spans="1:24" ht="12" thickBot="1">
      <c r="A1293" s="541" t="s">
        <v>1502</v>
      </c>
      <c r="B1293" s="541" t="s">
        <v>433</v>
      </c>
      <c r="C1293" s="541" t="s">
        <v>432</v>
      </c>
      <c r="D1293" s="552" t="s">
        <v>1155</v>
      </c>
      <c r="E1293" s="543"/>
      <c r="F1293" s="545"/>
      <c r="G1293" s="544"/>
      <c r="H1293" s="545"/>
      <c r="I1293" s="545"/>
      <c r="J1293" s="545"/>
      <c r="K1293" s="545"/>
      <c r="L1293" s="545"/>
      <c r="M1293" s="545"/>
      <c r="N1293" s="545"/>
      <c r="O1293" s="545"/>
      <c r="P1293" s="545"/>
      <c r="Q1293" s="545"/>
      <c r="R1293" s="544"/>
      <c r="S1293" s="546">
        <f t="shared" si="219"/>
        <v>0</v>
      </c>
      <c r="T1293" s="547">
        <f t="shared" si="220"/>
        <v>0</v>
      </c>
      <c r="U1293" s="546">
        <f t="shared" si="221"/>
        <v>0</v>
      </c>
      <c r="W1293" s="350">
        <f t="shared" si="223"/>
        <v>0</v>
      </c>
      <c r="X1293" s="285">
        <f t="shared" si="222"/>
        <v>0</v>
      </c>
    </row>
    <row r="1294" spans="1:24" ht="12" thickBot="1">
      <c r="A1294" s="541" t="s">
        <v>1502</v>
      </c>
      <c r="B1294" s="541" t="s">
        <v>431</v>
      </c>
      <c r="C1294" s="541" t="s">
        <v>430</v>
      </c>
      <c r="D1294" s="553" t="s">
        <v>1155</v>
      </c>
      <c r="E1294" s="549"/>
      <c r="F1294" s="551"/>
      <c r="G1294" s="550"/>
      <c r="H1294" s="551"/>
      <c r="I1294" s="551"/>
      <c r="J1294" s="551"/>
      <c r="K1294" s="551"/>
      <c r="L1294" s="551"/>
      <c r="M1294" s="551"/>
      <c r="N1294" s="551"/>
      <c r="O1294" s="551"/>
      <c r="P1294" s="551"/>
      <c r="Q1294" s="551"/>
      <c r="R1294" s="550"/>
      <c r="S1294" s="546">
        <f t="shared" si="219"/>
        <v>0</v>
      </c>
      <c r="T1294" s="547">
        <f t="shared" si="220"/>
        <v>0</v>
      </c>
      <c r="U1294" s="546">
        <f t="shared" si="221"/>
        <v>0</v>
      </c>
      <c r="W1294" s="350">
        <f t="shared" si="223"/>
        <v>0</v>
      </c>
      <c r="X1294" s="285">
        <f t="shared" si="222"/>
        <v>0</v>
      </c>
    </row>
    <row r="1295" spans="1:24" ht="12" thickBot="1">
      <c r="A1295" s="541" t="s">
        <v>1502</v>
      </c>
      <c r="B1295" s="541" t="s">
        <v>1048</v>
      </c>
      <c r="C1295" s="541" t="s">
        <v>1049</v>
      </c>
      <c r="D1295" s="553" t="s">
        <v>1146</v>
      </c>
      <c r="E1295" s="545"/>
      <c r="F1295" s="545"/>
      <c r="G1295" s="545"/>
      <c r="H1295" s="545"/>
      <c r="I1295" s="545"/>
      <c r="J1295" s="545"/>
      <c r="K1295" s="545"/>
      <c r="L1295" s="545"/>
      <c r="M1295" s="545"/>
      <c r="N1295" s="545"/>
      <c r="O1295" s="545"/>
      <c r="P1295" s="545"/>
      <c r="Q1295" s="545"/>
      <c r="R1295" s="545"/>
      <c r="S1295" s="546">
        <f t="shared" si="219"/>
        <v>0</v>
      </c>
      <c r="T1295" s="547">
        <f t="shared" si="220"/>
        <v>0</v>
      </c>
      <c r="U1295" s="546">
        <f t="shared" si="221"/>
        <v>0</v>
      </c>
      <c r="W1295" s="350">
        <f t="shared" si="223"/>
        <v>0</v>
      </c>
      <c r="X1295" s="285">
        <f t="shared" si="222"/>
        <v>0</v>
      </c>
    </row>
    <row r="1296" spans="1:24" ht="12" thickBot="1">
      <c r="A1296" s="541" t="s">
        <v>1502</v>
      </c>
      <c r="B1296" s="541" t="s">
        <v>152</v>
      </c>
      <c r="C1296" s="541" t="s">
        <v>57</v>
      </c>
      <c r="D1296" s="553" t="s">
        <v>18</v>
      </c>
      <c r="E1296" s="549">
        <f t="shared" ref="E1296:E1342" si="224">ROUND(SUMIFS(E$1721:E$1888,$A$1721:$A$1888,$A1296,$B$1721:$B$1888,$B1296),0)</f>
        <v>127037667</v>
      </c>
      <c r="F1296" s="988">
        <f t="shared" ref="F1296:P1305" si="225">ROUND(SUMIFS(F$1721:F$1901,$A$1721:$A$1901,$A1296,$B$1721:$B$1901,$B1296),0)</f>
        <v>24000</v>
      </c>
      <c r="G1296" s="988">
        <f t="shared" si="225"/>
        <v>942619</v>
      </c>
      <c r="H1296" s="988">
        <f t="shared" si="225"/>
        <v>3673929</v>
      </c>
      <c r="I1296" s="988">
        <f t="shared" si="225"/>
        <v>0</v>
      </c>
      <c r="J1296" s="988">
        <f t="shared" si="225"/>
        <v>206687</v>
      </c>
      <c r="K1296" s="988">
        <f t="shared" si="225"/>
        <v>2122371</v>
      </c>
      <c r="L1296" s="988">
        <f t="shared" si="225"/>
        <v>0</v>
      </c>
      <c r="M1296" s="988">
        <f t="shared" si="225"/>
        <v>301122</v>
      </c>
      <c r="N1296" s="988">
        <f t="shared" si="225"/>
        <v>0</v>
      </c>
      <c r="O1296" s="988">
        <f t="shared" si="225"/>
        <v>793636</v>
      </c>
      <c r="P1296" s="988">
        <f t="shared" si="225"/>
        <v>0</v>
      </c>
      <c r="Q1296" s="988"/>
      <c r="R1296" s="988">
        <f t="shared" ref="R1296:R1342" si="226">ROUND(SUMIFS(R$1721:R$1901,$A$1721:$A$1901,$A1296,$B$1721:$B$1901,$B1296),0)</f>
        <v>8064365</v>
      </c>
      <c r="S1296" s="546">
        <f t="shared" si="219"/>
        <v>4616548</v>
      </c>
      <c r="T1296" s="547">
        <f t="shared" si="220"/>
        <v>2329058</v>
      </c>
      <c r="U1296" s="546">
        <f t="shared" si="221"/>
        <v>793636</v>
      </c>
      <c r="W1296" s="350">
        <f t="shared" si="223"/>
        <v>8064364</v>
      </c>
      <c r="X1296" s="285">
        <f t="shared" si="222"/>
        <v>-1</v>
      </c>
    </row>
    <row r="1297" spans="1:24" ht="12" thickBot="1">
      <c r="A1297" s="541" t="s">
        <v>1502</v>
      </c>
      <c r="B1297" s="541" t="s">
        <v>153</v>
      </c>
      <c r="C1297" s="541" t="s">
        <v>180</v>
      </c>
      <c r="D1297" s="542" t="s">
        <v>25</v>
      </c>
      <c r="E1297" s="549">
        <f t="shared" si="224"/>
        <v>18810649</v>
      </c>
      <c r="F1297" s="988">
        <f t="shared" si="225"/>
        <v>33830</v>
      </c>
      <c r="G1297" s="988">
        <f t="shared" si="225"/>
        <v>126031</v>
      </c>
      <c r="H1297" s="988">
        <f t="shared" si="225"/>
        <v>544004</v>
      </c>
      <c r="I1297" s="988">
        <f t="shared" si="225"/>
        <v>0</v>
      </c>
      <c r="J1297" s="988">
        <f t="shared" si="225"/>
        <v>60468</v>
      </c>
      <c r="K1297" s="988">
        <f t="shared" si="225"/>
        <v>677468</v>
      </c>
      <c r="L1297" s="988">
        <f t="shared" si="225"/>
        <v>35817</v>
      </c>
      <c r="M1297" s="988">
        <f t="shared" si="225"/>
        <v>44588</v>
      </c>
      <c r="N1297" s="988">
        <f t="shared" si="225"/>
        <v>0</v>
      </c>
      <c r="O1297" s="988">
        <f t="shared" si="225"/>
        <v>117515</v>
      </c>
      <c r="P1297" s="988">
        <f t="shared" si="225"/>
        <v>0</v>
      </c>
      <c r="Q1297" s="988"/>
      <c r="R1297" s="988">
        <f t="shared" si="226"/>
        <v>1639721</v>
      </c>
      <c r="S1297" s="546">
        <f t="shared" si="219"/>
        <v>670035</v>
      </c>
      <c r="T1297" s="547">
        <f t="shared" si="220"/>
        <v>737936</v>
      </c>
      <c r="U1297" s="546">
        <f t="shared" si="221"/>
        <v>117515</v>
      </c>
      <c r="W1297" s="350">
        <f t="shared" si="223"/>
        <v>1639721</v>
      </c>
      <c r="X1297" s="285">
        <f t="shared" si="222"/>
        <v>0</v>
      </c>
    </row>
    <row r="1298" spans="1:24" ht="12" thickBot="1">
      <c r="A1298" s="541" t="s">
        <v>1502</v>
      </c>
      <c r="B1298" s="541" t="s">
        <v>154</v>
      </c>
      <c r="C1298" s="541" t="s">
        <v>181</v>
      </c>
      <c r="D1298" s="542" t="s">
        <v>24</v>
      </c>
      <c r="E1298" s="549">
        <f t="shared" si="224"/>
        <v>169242347</v>
      </c>
      <c r="F1298" s="988">
        <f t="shared" si="225"/>
        <v>421200</v>
      </c>
      <c r="G1298" s="988">
        <f t="shared" si="225"/>
        <v>1137309</v>
      </c>
      <c r="H1298" s="988">
        <f t="shared" si="225"/>
        <v>4894489</v>
      </c>
      <c r="I1298" s="988">
        <f t="shared" si="225"/>
        <v>0</v>
      </c>
      <c r="J1298" s="988">
        <f t="shared" si="225"/>
        <v>610300</v>
      </c>
      <c r="K1298" s="988">
        <f t="shared" si="225"/>
        <v>6848924</v>
      </c>
      <c r="L1298" s="988">
        <f t="shared" si="225"/>
        <v>322255</v>
      </c>
      <c r="M1298" s="988">
        <f t="shared" si="225"/>
        <v>401161</v>
      </c>
      <c r="N1298" s="988">
        <f t="shared" si="225"/>
        <v>0</v>
      </c>
      <c r="O1298" s="988">
        <f t="shared" si="225"/>
        <v>1057300</v>
      </c>
      <c r="P1298" s="988">
        <f t="shared" si="225"/>
        <v>0</v>
      </c>
      <c r="Q1298" s="988"/>
      <c r="R1298" s="988">
        <f t="shared" si="226"/>
        <v>15692937</v>
      </c>
      <c r="S1298" s="546">
        <f t="shared" si="219"/>
        <v>6031798</v>
      </c>
      <c r="T1298" s="547">
        <f t="shared" si="220"/>
        <v>7459224</v>
      </c>
      <c r="U1298" s="546">
        <f t="shared" si="221"/>
        <v>1057300</v>
      </c>
      <c r="W1298" s="350">
        <f t="shared" si="223"/>
        <v>15692938</v>
      </c>
      <c r="X1298" s="285">
        <f t="shared" si="222"/>
        <v>1</v>
      </c>
    </row>
    <row r="1299" spans="1:24" ht="12" thickBot="1">
      <c r="A1299" s="541" t="s">
        <v>1502</v>
      </c>
      <c r="B1299" s="541" t="s">
        <v>155</v>
      </c>
      <c r="C1299" s="541" t="s">
        <v>182</v>
      </c>
      <c r="D1299" s="554" t="s">
        <v>205</v>
      </c>
      <c r="E1299" s="549">
        <f t="shared" si="224"/>
        <v>242601164</v>
      </c>
      <c r="F1299" s="988">
        <f t="shared" si="225"/>
        <v>15600</v>
      </c>
      <c r="G1299" s="988">
        <f t="shared" si="225"/>
        <v>2117908</v>
      </c>
      <c r="H1299" s="988">
        <f t="shared" si="225"/>
        <v>7016026</v>
      </c>
      <c r="I1299" s="988">
        <f t="shared" si="225"/>
        <v>0</v>
      </c>
      <c r="J1299" s="988">
        <f t="shared" si="225"/>
        <v>407256</v>
      </c>
      <c r="K1299" s="988">
        <f t="shared" si="225"/>
        <v>4110120</v>
      </c>
      <c r="L1299" s="988">
        <f t="shared" si="225"/>
        <v>461938</v>
      </c>
      <c r="M1299" s="988">
        <f t="shared" si="225"/>
        <v>575046</v>
      </c>
      <c r="N1299" s="988">
        <f t="shared" si="225"/>
        <v>0</v>
      </c>
      <c r="O1299" s="988">
        <f t="shared" si="225"/>
        <v>1515591</v>
      </c>
      <c r="P1299" s="988">
        <f t="shared" si="225"/>
        <v>0</v>
      </c>
      <c r="Q1299" s="988"/>
      <c r="R1299" s="988">
        <f t="shared" si="226"/>
        <v>16219484</v>
      </c>
      <c r="S1299" s="546">
        <f t="shared" si="219"/>
        <v>9133934</v>
      </c>
      <c r="T1299" s="547">
        <f t="shared" si="220"/>
        <v>4517376</v>
      </c>
      <c r="U1299" s="546">
        <f t="shared" si="221"/>
        <v>1515591</v>
      </c>
      <c r="W1299" s="350">
        <f t="shared" si="223"/>
        <v>16219485</v>
      </c>
      <c r="X1299" s="285">
        <f t="shared" si="222"/>
        <v>1</v>
      </c>
    </row>
    <row r="1300" spans="1:24" ht="12" thickBot="1">
      <c r="A1300" s="541" t="s">
        <v>1502</v>
      </c>
      <c r="B1300" s="541" t="s">
        <v>156</v>
      </c>
      <c r="C1300" s="541" t="s">
        <v>183</v>
      </c>
      <c r="D1300" s="554" t="s">
        <v>25</v>
      </c>
      <c r="E1300" s="549">
        <f t="shared" si="224"/>
        <v>0</v>
      </c>
      <c r="F1300" s="988">
        <f t="shared" si="225"/>
        <v>0</v>
      </c>
      <c r="G1300" s="988">
        <f t="shared" si="225"/>
        <v>0</v>
      </c>
      <c r="H1300" s="988">
        <f t="shared" si="225"/>
        <v>0</v>
      </c>
      <c r="I1300" s="988">
        <f t="shared" si="225"/>
        <v>0</v>
      </c>
      <c r="J1300" s="988">
        <f t="shared" si="225"/>
        <v>0</v>
      </c>
      <c r="K1300" s="988">
        <f t="shared" si="225"/>
        <v>0</v>
      </c>
      <c r="L1300" s="988">
        <f t="shared" si="225"/>
        <v>0</v>
      </c>
      <c r="M1300" s="988">
        <f t="shared" si="225"/>
        <v>0</v>
      </c>
      <c r="N1300" s="988">
        <f t="shared" si="225"/>
        <v>0</v>
      </c>
      <c r="O1300" s="988">
        <f t="shared" si="225"/>
        <v>0</v>
      </c>
      <c r="P1300" s="988">
        <f t="shared" si="225"/>
        <v>0</v>
      </c>
      <c r="Q1300" s="988"/>
      <c r="R1300" s="988">
        <f t="shared" si="226"/>
        <v>0</v>
      </c>
      <c r="S1300" s="546">
        <f t="shared" si="219"/>
        <v>0</v>
      </c>
      <c r="T1300" s="547">
        <f t="shared" si="220"/>
        <v>0</v>
      </c>
      <c r="U1300" s="546">
        <f t="shared" si="221"/>
        <v>0</v>
      </c>
      <c r="W1300" s="350">
        <f t="shared" si="223"/>
        <v>0</v>
      </c>
      <c r="X1300" s="285">
        <f t="shared" si="222"/>
        <v>0</v>
      </c>
    </row>
    <row r="1301" spans="1:24" ht="12" thickBot="1">
      <c r="A1301" s="541" t="s">
        <v>1502</v>
      </c>
      <c r="B1301" s="541" t="s">
        <v>157</v>
      </c>
      <c r="C1301" s="541" t="s">
        <v>184</v>
      </c>
      <c r="D1301" s="554" t="s">
        <v>24</v>
      </c>
      <c r="E1301" s="549">
        <f t="shared" si="224"/>
        <v>0</v>
      </c>
      <c r="F1301" s="988">
        <f t="shared" si="225"/>
        <v>0</v>
      </c>
      <c r="G1301" s="988">
        <f t="shared" si="225"/>
        <v>0</v>
      </c>
      <c r="H1301" s="988">
        <f t="shared" si="225"/>
        <v>0</v>
      </c>
      <c r="I1301" s="988">
        <f t="shared" si="225"/>
        <v>0</v>
      </c>
      <c r="J1301" s="988">
        <f t="shared" si="225"/>
        <v>0</v>
      </c>
      <c r="K1301" s="988">
        <f t="shared" si="225"/>
        <v>0</v>
      </c>
      <c r="L1301" s="988">
        <f t="shared" si="225"/>
        <v>0</v>
      </c>
      <c r="M1301" s="988">
        <f t="shared" si="225"/>
        <v>0</v>
      </c>
      <c r="N1301" s="988">
        <f t="shared" si="225"/>
        <v>0</v>
      </c>
      <c r="O1301" s="988">
        <f t="shared" si="225"/>
        <v>0</v>
      </c>
      <c r="P1301" s="988">
        <f t="shared" si="225"/>
        <v>0</v>
      </c>
      <c r="Q1301" s="988"/>
      <c r="R1301" s="988">
        <f t="shared" si="226"/>
        <v>0</v>
      </c>
      <c r="S1301" s="546">
        <f t="shared" si="219"/>
        <v>0</v>
      </c>
      <c r="T1301" s="547">
        <f t="shared" si="220"/>
        <v>0</v>
      </c>
      <c r="U1301" s="546">
        <f t="shared" si="221"/>
        <v>0</v>
      </c>
      <c r="W1301" s="350">
        <f t="shared" si="223"/>
        <v>0</v>
      </c>
      <c r="X1301" s="285">
        <f t="shared" si="222"/>
        <v>0</v>
      </c>
    </row>
    <row r="1302" spans="1:24" ht="12" thickBot="1">
      <c r="A1302" s="541" t="s">
        <v>1502</v>
      </c>
      <c r="B1302" s="541" t="s">
        <v>158</v>
      </c>
      <c r="C1302" s="541" t="s">
        <v>185</v>
      </c>
      <c r="D1302" s="542" t="s">
        <v>205</v>
      </c>
      <c r="E1302" s="549">
        <f t="shared" si="224"/>
        <v>101809828</v>
      </c>
      <c r="F1302" s="988">
        <f t="shared" si="225"/>
        <v>59700</v>
      </c>
      <c r="G1302" s="988">
        <f t="shared" si="225"/>
        <v>888800</v>
      </c>
      <c r="H1302" s="988">
        <f t="shared" si="225"/>
        <v>2944340</v>
      </c>
      <c r="I1302" s="988">
        <f t="shared" si="225"/>
        <v>0</v>
      </c>
      <c r="J1302" s="988">
        <f t="shared" si="225"/>
        <v>205125</v>
      </c>
      <c r="K1302" s="988">
        <f t="shared" si="225"/>
        <v>2067627</v>
      </c>
      <c r="L1302" s="988">
        <f t="shared" si="225"/>
        <v>193856</v>
      </c>
      <c r="M1302" s="988">
        <f t="shared" si="225"/>
        <v>241323</v>
      </c>
      <c r="N1302" s="988">
        <f t="shared" si="225"/>
        <v>0</v>
      </c>
      <c r="O1302" s="988">
        <f t="shared" si="225"/>
        <v>636032</v>
      </c>
      <c r="P1302" s="988">
        <f t="shared" si="225"/>
        <v>0</v>
      </c>
      <c r="Q1302" s="988"/>
      <c r="R1302" s="988">
        <f t="shared" si="226"/>
        <v>7236804</v>
      </c>
      <c r="S1302" s="546">
        <f t="shared" si="219"/>
        <v>3833140</v>
      </c>
      <c r="T1302" s="547">
        <f t="shared" si="220"/>
        <v>2272752</v>
      </c>
      <c r="U1302" s="546">
        <f t="shared" si="221"/>
        <v>636032</v>
      </c>
      <c r="W1302" s="350">
        <f t="shared" si="223"/>
        <v>7236803</v>
      </c>
      <c r="X1302" s="285">
        <f t="shared" si="222"/>
        <v>-1</v>
      </c>
    </row>
    <row r="1303" spans="1:24" ht="12" thickBot="1">
      <c r="A1303" s="541" t="s">
        <v>1502</v>
      </c>
      <c r="B1303" s="541" t="s">
        <v>159</v>
      </c>
      <c r="C1303" s="541" t="s">
        <v>186</v>
      </c>
      <c r="D1303" s="542" t="s">
        <v>204</v>
      </c>
      <c r="E1303" s="549">
        <f t="shared" si="224"/>
        <v>129968346</v>
      </c>
      <c r="F1303" s="988">
        <f t="shared" si="225"/>
        <v>92800</v>
      </c>
      <c r="G1303" s="988">
        <f t="shared" si="225"/>
        <v>1145021</v>
      </c>
      <c r="H1303" s="988">
        <f t="shared" si="225"/>
        <v>3758685</v>
      </c>
      <c r="I1303" s="988">
        <f t="shared" si="225"/>
        <v>0</v>
      </c>
      <c r="J1303" s="988">
        <f t="shared" si="225"/>
        <v>300371</v>
      </c>
      <c r="K1303" s="988">
        <f t="shared" si="225"/>
        <v>3065389</v>
      </c>
      <c r="L1303" s="988">
        <f t="shared" si="225"/>
        <v>247473</v>
      </c>
      <c r="M1303" s="988">
        <f t="shared" si="225"/>
        <v>308069</v>
      </c>
      <c r="N1303" s="988">
        <f t="shared" si="225"/>
        <v>0</v>
      </c>
      <c r="O1303" s="988">
        <f t="shared" si="225"/>
        <v>811945</v>
      </c>
      <c r="P1303" s="988">
        <f t="shared" si="225"/>
        <v>0</v>
      </c>
      <c r="Q1303" s="988"/>
      <c r="R1303" s="988">
        <f t="shared" si="226"/>
        <v>9729753</v>
      </c>
      <c r="S1303" s="546">
        <f t="shared" si="219"/>
        <v>4903706</v>
      </c>
      <c r="T1303" s="547">
        <f t="shared" si="220"/>
        <v>3365760</v>
      </c>
      <c r="U1303" s="546">
        <f t="shared" si="221"/>
        <v>811945</v>
      </c>
      <c r="W1303" s="350">
        <f t="shared" si="223"/>
        <v>9729753</v>
      </c>
      <c r="X1303" s="285">
        <f t="shared" si="222"/>
        <v>0</v>
      </c>
    </row>
    <row r="1304" spans="1:24" ht="12" thickBot="1">
      <c r="A1304" s="541" t="s">
        <v>1502</v>
      </c>
      <c r="B1304" s="541" t="s">
        <v>160</v>
      </c>
      <c r="C1304" s="541" t="s">
        <v>187</v>
      </c>
      <c r="D1304" s="542" t="s">
        <v>24</v>
      </c>
      <c r="E1304" s="549">
        <f t="shared" si="224"/>
        <v>0</v>
      </c>
      <c r="F1304" s="988">
        <f t="shared" si="225"/>
        <v>0</v>
      </c>
      <c r="G1304" s="988">
        <f t="shared" si="225"/>
        <v>0</v>
      </c>
      <c r="H1304" s="988">
        <f t="shared" si="225"/>
        <v>0</v>
      </c>
      <c r="I1304" s="988">
        <f t="shared" si="225"/>
        <v>0</v>
      </c>
      <c r="J1304" s="988">
        <f t="shared" si="225"/>
        <v>0</v>
      </c>
      <c r="K1304" s="988">
        <f t="shared" si="225"/>
        <v>0</v>
      </c>
      <c r="L1304" s="988">
        <f t="shared" si="225"/>
        <v>0</v>
      </c>
      <c r="M1304" s="988">
        <f t="shared" si="225"/>
        <v>0</v>
      </c>
      <c r="N1304" s="988">
        <f t="shared" si="225"/>
        <v>0</v>
      </c>
      <c r="O1304" s="988">
        <f t="shared" si="225"/>
        <v>0</v>
      </c>
      <c r="P1304" s="988">
        <f t="shared" si="225"/>
        <v>0</v>
      </c>
      <c r="Q1304" s="988"/>
      <c r="R1304" s="988">
        <f t="shared" si="226"/>
        <v>0</v>
      </c>
      <c r="S1304" s="546">
        <f t="shared" si="219"/>
        <v>0</v>
      </c>
      <c r="T1304" s="547">
        <f t="shared" si="220"/>
        <v>0</v>
      </c>
      <c r="U1304" s="546">
        <f t="shared" si="221"/>
        <v>0</v>
      </c>
      <c r="W1304" s="350">
        <f t="shared" si="223"/>
        <v>0</v>
      </c>
      <c r="X1304" s="285">
        <f t="shared" si="222"/>
        <v>0</v>
      </c>
    </row>
    <row r="1305" spans="1:24" ht="12" thickBot="1">
      <c r="A1305" s="541" t="s">
        <v>1502</v>
      </c>
      <c r="B1305" s="541" t="s">
        <v>1050</v>
      </c>
      <c r="C1305" s="541" t="s">
        <v>1049</v>
      </c>
      <c r="D1305" s="542" t="s">
        <v>1146</v>
      </c>
      <c r="E1305" s="549">
        <f t="shared" si="224"/>
        <v>0</v>
      </c>
      <c r="F1305" s="988">
        <f t="shared" si="225"/>
        <v>0</v>
      </c>
      <c r="G1305" s="988">
        <f t="shared" si="225"/>
        <v>0</v>
      </c>
      <c r="H1305" s="988">
        <f t="shared" si="225"/>
        <v>0</v>
      </c>
      <c r="I1305" s="988">
        <f t="shared" si="225"/>
        <v>0</v>
      </c>
      <c r="J1305" s="988">
        <f t="shared" si="225"/>
        <v>0</v>
      </c>
      <c r="K1305" s="988">
        <f t="shared" si="225"/>
        <v>0</v>
      </c>
      <c r="L1305" s="988">
        <f t="shared" si="225"/>
        <v>0</v>
      </c>
      <c r="M1305" s="988">
        <f t="shared" si="225"/>
        <v>0</v>
      </c>
      <c r="N1305" s="988">
        <f t="shared" si="225"/>
        <v>0</v>
      </c>
      <c r="O1305" s="988">
        <f t="shared" si="225"/>
        <v>0</v>
      </c>
      <c r="P1305" s="988">
        <f t="shared" si="225"/>
        <v>0</v>
      </c>
      <c r="Q1305" s="988"/>
      <c r="R1305" s="988">
        <f t="shared" si="226"/>
        <v>0</v>
      </c>
      <c r="S1305" s="546">
        <f t="shared" si="219"/>
        <v>0</v>
      </c>
      <c r="T1305" s="547">
        <f t="shared" si="220"/>
        <v>0</v>
      </c>
      <c r="U1305" s="546">
        <f t="shared" si="221"/>
        <v>0</v>
      </c>
      <c r="W1305" s="350">
        <f t="shared" si="223"/>
        <v>0</v>
      </c>
      <c r="X1305" s="285">
        <f t="shared" si="222"/>
        <v>0</v>
      </c>
    </row>
    <row r="1306" spans="1:24" ht="12" thickBot="1">
      <c r="A1306" s="541" t="s">
        <v>1502</v>
      </c>
      <c r="B1306" s="541" t="s">
        <v>161</v>
      </c>
      <c r="C1306" s="541" t="s">
        <v>476</v>
      </c>
      <c r="D1306" s="541" t="s">
        <v>208</v>
      </c>
      <c r="E1306" s="549">
        <f t="shared" si="224"/>
        <v>56367337</v>
      </c>
      <c r="F1306" s="988">
        <f t="shared" ref="F1306:P1315" si="227">ROUND(SUMIFS(F$1721:F$1901,$A$1721:$A$1901,$A1306,$B$1721:$B$1901,$B1306),0)</f>
        <v>1270277</v>
      </c>
      <c r="G1306" s="988">
        <f t="shared" si="227"/>
        <v>3304253</v>
      </c>
      <c r="H1306" s="988">
        <f t="shared" si="227"/>
        <v>1630143</v>
      </c>
      <c r="I1306" s="988">
        <f t="shared" si="227"/>
        <v>265490</v>
      </c>
      <c r="J1306" s="988">
        <f t="shared" si="227"/>
        <v>0</v>
      </c>
      <c r="K1306" s="988">
        <f t="shared" si="227"/>
        <v>0</v>
      </c>
      <c r="L1306" s="988">
        <f t="shared" si="227"/>
        <v>107329</v>
      </c>
      <c r="M1306" s="988">
        <f t="shared" si="227"/>
        <v>133609</v>
      </c>
      <c r="N1306" s="988">
        <f t="shared" si="227"/>
        <v>0</v>
      </c>
      <c r="O1306" s="988">
        <f t="shared" si="227"/>
        <v>352141</v>
      </c>
      <c r="P1306" s="988">
        <f t="shared" si="227"/>
        <v>0</v>
      </c>
      <c r="Q1306" s="988"/>
      <c r="R1306" s="988">
        <f t="shared" si="226"/>
        <v>7063244</v>
      </c>
      <c r="S1306" s="546">
        <f t="shared" si="219"/>
        <v>5199886</v>
      </c>
      <c r="T1306" s="547">
        <f t="shared" si="220"/>
        <v>0</v>
      </c>
      <c r="U1306" s="546">
        <f t="shared" si="221"/>
        <v>352141</v>
      </c>
      <c r="W1306" s="350">
        <f t="shared" si="223"/>
        <v>7063242</v>
      </c>
      <c r="X1306" s="285"/>
    </row>
    <row r="1307" spans="1:24" ht="12" thickBot="1">
      <c r="A1307" s="541" t="s">
        <v>1502</v>
      </c>
      <c r="B1307" s="541" t="s">
        <v>162</v>
      </c>
      <c r="C1307" s="541" t="s">
        <v>1391</v>
      </c>
      <c r="D1307" s="561" t="s">
        <v>208</v>
      </c>
      <c r="E1307" s="549">
        <f t="shared" si="224"/>
        <v>0</v>
      </c>
      <c r="F1307" s="988">
        <f t="shared" si="227"/>
        <v>0</v>
      </c>
      <c r="G1307" s="988">
        <f t="shared" si="227"/>
        <v>0</v>
      </c>
      <c r="H1307" s="988">
        <f t="shared" si="227"/>
        <v>0</v>
      </c>
      <c r="I1307" s="988">
        <f t="shared" si="227"/>
        <v>0</v>
      </c>
      <c r="J1307" s="988">
        <f t="shared" si="227"/>
        <v>0</v>
      </c>
      <c r="K1307" s="988">
        <f t="shared" si="227"/>
        <v>0</v>
      </c>
      <c r="L1307" s="988">
        <f t="shared" si="227"/>
        <v>0</v>
      </c>
      <c r="M1307" s="988">
        <f t="shared" si="227"/>
        <v>0</v>
      </c>
      <c r="N1307" s="988">
        <f t="shared" si="227"/>
        <v>0</v>
      </c>
      <c r="O1307" s="988">
        <f t="shared" si="227"/>
        <v>0</v>
      </c>
      <c r="P1307" s="988">
        <f t="shared" si="227"/>
        <v>0</v>
      </c>
      <c r="Q1307" s="988"/>
      <c r="R1307" s="988">
        <f t="shared" si="226"/>
        <v>0</v>
      </c>
      <c r="S1307" s="546">
        <f t="shared" si="219"/>
        <v>0</v>
      </c>
      <c r="T1307" s="547">
        <f t="shared" si="220"/>
        <v>0</v>
      </c>
      <c r="U1307" s="546">
        <f t="shared" si="221"/>
        <v>0</v>
      </c>
      <c r="W1307" s="350">
        <f t="shared" si="223"/>
        <v>0</v>
      </c>
      <c r="X1307" s="285"/>
    </row>
    <row r="1308" spans="1:24" ht="12" thickBot="1">
      <c r="A1308" s="541" t="s">
        <v>1502</v>
      </c>
      <c r="B1308" s="541" t="s">
        <v>163</v>
      </c>
      <c r="C1308" s="541" t="s">
        <v>63</v>
      </c>
      <c r="D1308" s="542" t="s">
        <v>17</v>
      </c>
      <c r="E1308" s="549">
        <f t="shared" si="224"/>
        <v>82175085</v>
      </c>
      <c r="F1308" s="988">
        <f t="shared" si="227"/>
        <v>649815</v>
      </c>
      <c r="G1308" s="988">
        <f t="shared" si="227"/>
        <v>4817104</v>
      </c>
      <c r="H1308" s="988">
        <f t="shared" si="227"/>
        <v>2376503</v>
      </c>
      <c r="I1308" s="988">
        <f t="shared" si="227"/>
        <v>387045</v>
      </c>
      <c r="J1308" s="988">
        <f t="shared" si="227"/>
        <v>0</v>
      </c>
      <c r="K1308" s="988">
        <f t="shared" si="227"/>
        <v>0</v>
      </c>
      <c r="L1308" s="988">
        <f t="shared" si="227"/>
        <v>156470</v>
      </c>
      <c r="M1308" s="988">
        <f t="shared" si="227"/>
        <v>194782</v>
      </c>
      <c r="N1308" s="988">
        <f t="shared" si="227"/>
        <v>513368</v>
      </c>
      <c r="O1308" s="988">
        <f t="shared" si="227"/>
        <v>0</v>
      </c>
      <c r="P1308" s="988">
        <f t="shared" si="227"/>
        <v>0</v>
      </c>
      <c r="Q1308" s="988"/>
      <c r="R1308" s="988">
        <f t="shared" si="226"/>
        <v>9095088</v>
      </c>
      <c r="S1308" s="546">
        <f t="shared" ref="S1308:S1371" si="228">G1308+H1308+I1308</f>
        <v>7580652</v>
      </c>
      <c r="T1308" s="547">
        <f t="shared" ref="T1308:T1371" si="229">J1308+K1308</f>
        <v>0</v>
      </c>
      <c r="U1308" s="546">
        <f t="shared" ref="U1308:U1371" si="230">N1308+O1308</f>
        <v>513368</v>
      </c>
      <c r="W1308" s="350">
        <f t="shared" si="223"/>
        <v>9095087</v>
      </c>
      <c r="X1308" s="285">
        <f t="shared" ref="X1308:X1371" si="231">W1308-R1308</f>
        <v>-1</v>
      </c>
    </row>
    <row r="1309" spans="1:24" ht="12" thickBot="1">
      <c r="A1309" s="541" t="s">
        <v>1502</v>
      </c>
      <c r="B1309" s="541" t="s">
        <v>164</v>
      </c>
      <c r="C1309" s="541" t="s">
        <v>188</v>
      </c>
      <c r="D1309" s="555" t="s">
        <v>203</v>
      </c>
      <c r="E1309" s="549">
        <f t="shared" si="224"/>
        <v>560790</v>
      </c>
      <c r="F1309" s="988">
        <f t="shared" si="227"/>
        <v>7500</v>
      </c>
      <c r="G1309" s="988">
        <f t="shared" si="227"/>
        <v>23738</v>
      </c>
      <c r="H1309" s="988">
        <f t="shared" si="227"/>
        <v>16218</v>
      </c>
      <c r="I1309" s="988">
        <f t="shared" si="227"/>
        <v>1766</v>
      </c>
      <c r="J1309" s="988">
        <f t="shared" si="227"/>
        <v>0</v>
      </c>
      <c r="K1309" s="988">
        <f t="shared" si="227"/>
        <v>0</v>
      </c>
      <c r="L1309" s="988">
        <f t="shared" si="227"/>
        <v>1068</v>
      </c>
      <c r="M1309" s="988">
        <f t="shared" si="227"/>
        <v>1329</v>
      </c>
      <c r="N1309" s="988">
        <f t="shared" si="227"/>
        <v>3503</v>
      </c>
      <c r="O1309" s="988">
        <f t="shared" si="227"/>
        <v>0</v>
      </c>
      <c r="P1309" s="988">
        <f t="shared" si="227"/>
        <v>0</v>
      </c>
      <c r="Q1309" s="988"/>
      <c r="R1309" s="988">
        <f t="shared" si="226"/>
        <v>55123</v>
      </c>
      <c r="S1309" s="546">
        <f t="shared" si="228"/>
        <v>41722</v>
      </c>
      <c r="T1309" s="547">
        <f t="shared" si="229"/>
        <v>0</v>
      </c>
      <c r="U1309" s="546">
        <f t="shared" si="230"/>
        <v>3503</v>
      </c>
      <c r="W1309" s="350">
        <f t="shared" si="223"/>
        <v>55122</v>
      </c>
      <c r="X1309" s="285">
        <f t="shared" si="231"/>
        <v>-1</v>
      </c>
    </row>
    <row r="1310" spans="1:24" ht="12" thickBot="1">
      <c r="A1310" s="541" t="s">
        <v>1502</v>
      </c>
      <c r="B1310" s="541" t="s">
        <v>165</v>
      </c>
      <c r="C1310" s="541" t="s">
        <v>189</v>
      </c>
      <c r="D1310" s="554" t="s">
        <v>211</v>
      </c>
      <c r="E1310" s="549">
        <f t="shared" si="224"/>
        <v>0</v>
      </c>
      <c r="F1310" s="988">
        <f t="shared" si="227"/>
        <v>0</v>
      </c>
      <c r="G1310" s="988">
        <f t="shared" si="227"/>
        <v>0</v>
      </c>
      <c r="H1310" s="988">
        <f t="shared" si="227"/>
        <v>0</v>
      </c>
      <c r="I1310" s="988">
        <f t="shared" si="227"/>
        <v>0</v>
      </c>
      <c r="J1310" s="988">
        <f t="shared" si="227"/>
        <v>0</v>
      </c>
      <c r="K1310" s="988">
        <f t="shared" si="227"/>
        <v>0</v>
      </c>
      <c r="L1310" s="988">
        <f t="shared" si="227"/>
        <v>0</v>
      </c>
      <c r="M1310" s="988">
        <f t="shared" si="227"/>
        <v>0</v>
      </c>
      <c r="N1310" s="988">
        <f t="shared" si="227"/>
        <v>0</v>
      </c>
      <c r="O1310" s="988">
        <f t="shared" si="227"/>
        <v>0</v>
      </c>
      <c r="P1310" s="988">
        <f t="shared" si="227"/>
        <v>0</v>
      </c>
      <c r="Q1310" s="988"/>
      <c r="R1310" s="988">
        <f t="shared" si="226"/>
        <v>0</v>
      </c>
      <c r="S1310" s="546">
        <f t="shared" si="228"/>
        <v>0</v>
      </c>
      <c r="T1310" s="547">
        <f t="shared" si="229"/>
        <v>0</v>
      </c>
      <c r="U1310" s="546">
        <f t="shared" si="230"/>
        <v>0</v>
      </c>
      <c r="W1310" s="350">
        <f t="shared" si="223"/>
        <v>0</v>
      </c>
      <c r="X1310" s="285">
        <f t="shared" si="231"/>
        <v>0</v>
      </c>
    </row>
    <row r="1311" spans="1:24" ht="12" thickBot="1">
      <c r="A1311" s="541" t="s">
        <v>1502</v>
      </c>
      <c r="B1311" s="541" t="s">
        <v>166</v>
      </c>
      <c r="C1311" s="541" t="s">
        <v>190</v>
      </c>
      <c r="D1311" s="554" t="s">
        <v>212</v>
      </c>
      <c r="E1311" s="549">
        <f t="shared" si="224"/>
        <v>0</v>
      </c>
      <c r="F1311" s="988">
        <f t="shared" si="227"/>
        <v>0</v>
      </c>
      <c r="G1311" s="988">
        <f t="shared" si="227"/>
        <v>0</v>
      </c>
      <c r="H1311" s="988">
        <f t="shared" si="227"/>
        <v>0</v>
      </c>
      <c r="I1311" s="988">
        <f t="shared" si="227"/>
        <v>0</v>
      </c>
      <c r="J1311" s="988">
        <f t="shared" si="227"/>
        <v>0</v>
      </c>
      <c r="K1311" s="988">
        <f t="shared" si="227"/>
        <v>0</v>
      </c>
      <c r="L1311" s="988">
        <f t="shared" si="227"/>
        <v>0</v>
      </c>
      <c r="M1311" s="988">
        <f t="shared" si="227"/>
        <v>0</v>
      </c>
      <c r="N1311" s="988">
        <f t="shared" si="227"/>
        <v>0</v>
      </c>
      <c r="O1311" s="988">
        <f t="shared" si="227"/>
        <v>0</v>
      </c>
      <c r="P1311" s="988">
        <f t="shared" si="227"/>
        <v>0</v>
      </c>
      <c r="Q1311" s="988"/>
      <c r="R1311" s="988">
        <f t="shared" si="226"/>
        <v>0</v>
      </c>
      <c r="S1311" s="546">
        <f t="shared" si="228"/>
        <v>0</v>
      </c>
      <c r="T1311" s="547">
        <f t="shared" si="229"/>
        <v>0</v>
      </c>
      <c r="U1311" s="546">
        <f t="shared" si="230"/>
        <v>0</v>
      </c>
      <c r="W1311" s="350">
        <f t="shared" si="223"/>
        <v>0</v>
      </c>
      <c r="X1311" s="285">
        <f t="shared" si="231"/>
        <v>0</v>
      </c>
    </row>
    <row r="1312" spans="1:24" ht="12" thickBot="1">
      <c r="A1312" s="541" t="s">
        <v>1502</v>
      </c>
      <c r="B1312" s="541" t="s">
        <v>167</v>
      </c>
      <c r="C1312" s="541" t="s">
        <v>191</v>
      </c>
      <c r="D1312" s="554" t="s">
        <v>213</v>
      </c>
      <c r="E1312" s="549">
        <f t="shared" si="224"/>
        <v>10393976</v>
      </c>
      <c r="F1312" s="988">
        <f t="shared" si="227"/>
        <v>9100</v>
      </c>
      <c r="G1312" s="988">
        <f t="shared" si="227"/>
        <v>439977</v>
      </c>
      <c r="H1312" s="988">
        <f t="shared" si="227"/>
        <v>300594</v>
      </c>
      <c r="I1312" s="988">
        <f t="shared" si="227"/>
        <v>32741</v>
      </c>
      <c r="J1312" s="988">
        <f t="shared" si="227"/>
        <v>0</v>
      </c>
      <c r="K1312" s="988">
        <f t="shared" si="227"/>
        <v>0</v>
      </c>
      <c r="L1312" s="988">
        <f t="shared" si="227"/>
        <v>19791</v>
      </c>
      <c r="M1312" s="988">
        <f t="shared" si="227"/>
        <v>24637</v>
      </c>
      <c r="N1312" s="988">
        <f t="shared" si="227"/>
        <v>64934</v>
      </c>
      <c r="O1312" s="988">
        <f t="shared" si="227"/>
        <v>0</v>
      </c>
      <c r="P1312" s="988">
        <f t="shared" si="227"/>
        <v>0</v>
      </c>
      <c r="Q1312" s="988"/>
      <c r="R1312" s="988">
        <f t="shared" si="226"/>
        <v>891774</v>
      </c>
      <c r="S1312" s="546">
        <f t="shared" si="228"/>
        <v>773312</v>
      </c>
      <c r="T1312" s="547">
        <f t="shared" si="229"/>
        <v>0</v>
      </c>
      <c r="U1312" s="546">
        <f t="shared" si="230"/>
        <v>64934</v>
      </c>
      <c r="W1312" s="350">
        <f t="shared" si="223"/>
        <v>891774</v>
      </c>
      <c r="X1312" s="285">
        <f t="shared" si="231"/>
        <v>0</v>
      </c>
    </row>
    <row r="1313" spans="1:24" ht="12" thickBot="1">
      <c r="A1313" s="541" t="s">
        <v>1502</v>
      </c>
      <c r="B1313" s="541" t="s">
        <v>683</v>
      </c>
      <c r="C1313" s="541" t="s">
        <v>686</v>
      </c>
      <c r="D1313" s="554" t="s">
        <v>723</v>
      </c>
      <c r="E1313" s="549">
        <f t="shared" si="224"/>
        <v>0</v>
      </c>
      <c r="F1313" s="988">
        <f t="shared" si="227"/>
        <v>0</v>
      </c>
      <c r="G1313" s="988">
        <f t="shared" si="227"/>
        <v>0</v>
      </c>
      <c r="H1313" s="988">
        <f t="shared" si="227"/>
        <v>0</v>
      </c>
      <c r="I1313" s="988">
        <f t="shared" si="227"/>
        <v>0</v>
      </c>
      <c r="J1313" s="988">
        <f t="shared" si="227"/>
        <v>0</v>
      </c>
      <c r="K1313" s="988">
        <f t="shared" si="227"/>
        <v>0</v>
      </c>
      <c r="L1313" s="988">
        <f t="shared" si="227"/>
        <v>0</v>
      </c>
      <c r="M1313" s="988">
        <f t="shared" si="227"/>
        <v>0</v>
      </c>
      <c r="N1313" s="988">
        <f t="shared" si="227"/>
        <v>0</v>
      </c>
      <c r="O1313" s="988">
        <f t="shared" si="227"/>
        <v>0</v>
      </c>
      <c r="P1313" s="988">
        <f t="shared" si="227"/>
        <v>0</v>
      </c>
      <c r="Q1313" s="988"/>
      <c r="R1313" s="988">
        <f t="shared" si="226"/>
        <v>0</v>
      </c>
      <c r="S1313" s="546">
        <f t="shared" si="228"/>
        <v>0</v>
      </c>
      <c r="T1313" s="547">
        <f t="shared" si="229"/>
        <v>0</v>
      </c>
      <c r="U1313" s="546">
        <f t="shared" si="230"/>
        <v>0</v>
      </c>
      <c r="W1313" s="350">
        <f t="shared" si="223"/>
        <v>0</v>
      </c>
      <c r="X1313" s="285">
        <f t="shared" si="231"/>
        <v>0</v>
      </c>
    </row>
    <row r="1314" spans="1:24" ht="12" thickBot="1">
      <c r="A1314" s="541" t="s">
        <v>1502</v>
      </c>
      <c r="B1314" s="541" t="s">
        <v>684</v>
      </c>
      <c r="C1314" s="541" t="s">
        <v>687</v>
      </c>
      <c r="D1314" s="554" t="s">
        <v>707</v>
      </c>
      <c r="E1314" s="549">
        <f t="shared" si="224"/>
        <v>0</v>
      </c>
      <c r="F1314" s="988">
        <f t="shared" si="227"/>
        <v>0</v>
      </c>
      <c r="G1314" s="988">
        <f t="shared" si="227"/>
        <v>0</v>
      </c>
      <c r="H1314" s="988">
        <f t="shared" si="227"/>
        <v>0</v>
      </c>
      <c r="I1314" s="988">
        <f t="shared" si="227"/>
        <v>0</v>
      </c>
      <c r="J1314" s="988">
        <f t="shared" si="227"/>
        <v>0</v>
      </c>
      <c r="K1314" s="988">
        <f t="shared" si="227"/>
        <v>0</v>
      </c>
      <c r="L1314" s="988">
        <f t="shared" si="227"/>
        <v>0</v>
      </c>
      <c r="M1314" s="988">
        <f t="shared" si="227"/>
        <v>0</v>
      </c>
      <c r="N1314" s="988">
        <f t="shared" si="227"/>
        <v>0</v>
      </c>
      <c r="O1314" s="988">
        <f t="shared" si="227"/>
        <v>0</v>
      </c>
      <c r="P1314" s="988">
        <f t="shared" si="227"/>
        <v>0</v>
      </c>
      <c r="Q1314" s="988"/>
      <c r="R1314" s="988">
        <f t="shared" si="226"/>
        <v>0</v>
      </c>
      <c r="S1314" s="546">
        <f t="shared" si="228"/>
        <v>0</v>
      </c>
      <c r="T1314" s="547">
        <f t="shared" si="229"/>
        <v>0</v>
      </c>
      <c r="U1314" s="546">
        <f t="shared" si="230"/>
        <v>0</v>
      </c>
      <c r="W1314" s="350">
        <f t="shared" si="223"/>
        <v>0</v>
      </c>
      <c r="X1314" s="285">
        <f t="shared" si="231"/>
        <v>0</v>
      </c>
    </row>
    <row r="1315" spans="1:24" ht="12" thickBot="1">
      <c r="A1315" s="541" t="s">
        <v>1502</v>
      </c>
      <c r="B1315" s="541" t="s">
        <v>685</v>
      </c>
      <c r="C1315" s="541" t="s">
        <v>688</v>
      </c>
      <c r="D1315" s="542" t="s">
        <v>1145</v>
      </c>
      <c r="E1315" s="549">
        <f t="shared" si="224"/>
        <v>0</v>
      </c>
      <c r="F1315" s="988">
        <f t="shared" si="227"/>
        <v>0</v>
      </c>
      <c r="G1315" s="988">
        <f t="shared" si="227"/>
        <v>0</v>
      </c>
      <c r="H1315" s="988">
        <f t="shared" si="227"/>
        <v>0</v>
      </c>
      <c r="I1315" s="988">
        <f t="shared" si="227"/>
        <v>0</v>
      </c>
      <c r="J1315" s="988">
        <f t="shared" si="227"/>
        <v>0</v>
      </c>
      <c r="K1315" s="988">
        <f t="shared" si="227"/>
        <v>0</v>
      </c>
      <c r="L1315" s="988">
        <f t="shared" si="227"/>
        <v>0</v>
      </c>
      <c r="M1315" s="988">
        <f t="shared" si="227"/>
        <v>0</v>
      </c>
      <c r="N1315" s="988">
        <f t="shared" si="227"/>
        <v>0</v>
      </c>
      <c r="O1315" s="988">
        <f t="shared" si="227"/>
        <v>0</v>
      </c>
      <c r="P1315" s="988">
        <f t="shared" si="227"/>
        <v>0</v>
      </c>
      <c r="Q1315" s="988"/>
      <c r="R1315" s="988">
        <f t="shared" si="226"/>
        <v>0</v>
      </c>
      <c r="S1315" s="546">
        <f t="shared" si="228"/>
        <v>0</v>
      </c>
      <c r="T1315" s="547">
        <f t="shared" si="229"/>
        <v>0</v>
      </c>
      <c r="U1315" s="546">
        <f t="shared" si="230"/>
        <v>0</v>
      </c>
      <c r="W1315" s="350">
        <f t="shared" si="223"/>
        <v>0</v>
      </c>
      <c r="X1315" s="285">
        <f t="shared" si="231"/>
        <v>0</v>
      </c>
    </row>
    <row r="1316" spans="1:24" ht="12" thickBot="1">
      <c r="A1316" s="541" t="s">
        <v>1502</v>
      </c>
      <c r="B1316" s="541" t="s">
        <v>217</v>
      </c>
      <c r="C1316" s="541" t="s">
        <v>622</v>
      </c>
      <c r="D1316" s="542" t="s">
        <v>19</v>
      </c>
      <c r="E1316" s="549">
        <f t="shared" si="224"/>
        <v>0</v>
      </c>
      <c r="F1316" s="988">
        <f t="shared" ref="F1316:P1325" si="232">ROUND(SUMIFS(F$1721:F$1901,$A$1721:$A$1901,$A1316,$B$1721:$B$1901,$B1316),0)</f>
        <v>0</v>
      </c>
      <c r="G1316" s="988">
        <f t="shared" si="232"/>
        <v>0</v>
      </c>
      <c r="H1316" s="988">
        <f t="shared" si="232"/>
        <v>0</v>
      </c>
      <c r="I1316" s="988">
        <f t="shared" si="232"/>
        <v>0</v>
      </c>
      <c r="J1316" s="988">
        <f t="shared" si="232"/>
        <v>0</v>
      </c>
      <c r="K1316" s="988">
        <f t="shared" si="232"/>
        <v>0</v>
      </c>
      <c r="L1316" s="988">
        <f t="shared" si="232"/>
        <v>0</v>
      </c>
      <c r="M1316" s="988">
        <f t="shared" si="232"/>
        <v>0</v>
      </c>
      <c r="N1316" s="988">
        <f t="shared" si="232"/>
        <v>0</v>
      </c>
      <c r="O1316" s="988">
        <f t="shared" si="232"/>
        <v>0</v>
      </c>
      <c r="P1316" s="988">
        <f t="shared" si="232"/>
        <v>0</v>
      </c>
      <c r="Q1316" s="988"/>
      <c r="R1316" s="988">
        <f t="shared" si="226"/>
        <v>0</v>
      </c>
      <c r="S1316" s="546">
        <f t="shared" si="228"/>
        <v>0</v>
      </c>
      <c r="T1316" s="547">
        <f t="shared" si="229"/>
        <v>0</v>
      </c>
      <c r="U1316" s="546">
        <f t="shared" si="230"/>
        <v>0</v>
      </c>
      <c r="W1316" s="350">
        <f t="shared" si="223"/>
        <v>0</v>
      </c>
      <c r="X1316" s="285">
        <f t="shared" si="231"/>
        <v>0</v>
      </c>
    </row>
    <row r="1317" spans="1:24" ht="12" thickBot="1">
      <c r="A1317" s="541" t="s">
        <v>1502</v>
      </c>
      <c r="B1317" s="541" t="s">
        <v>216</v>
      </c>
      <c r="C1317" s="541" t="s">
        <v>622</v>
      </c>
      <c r="D1317" s="542" t="s">
        <v>19</v>
      </c>
      <c r="E1317" s="549">
        <f t="shared" si="224"/>
        <v>0</v>
      </c>
      <c r="F1317" s="988">
        <f t="shared" si="232"/>
        <v>0</v>
      </c>
      <c r="G1317" s="988">
        <f t="shared" si="232"/>
        <v>0</v>
      </c>
      <c r="H1317" s="988">
        <f t="shared" si="232"/>
        <v>0</v>
      </c>
      <c r="I1317" s="988">
        <f t="shared" si="232"/>
        <v>0</v>
      </c>
      <c r="J1317" s="988">
        <f t="shared" si="232"/>
        <v>0</v>
      </c>
      <c r="K1317" s="988">
        <f t="shared" si="232"/>
        <v>0</v>
      </c>
      <c r="L1317" s="988">
        <f t="shared" si="232"/>
        <v>0</v>
      </c>
      <c r="M1317" s="988">
        <f t="shared" si="232"/>
        <v>0</v>
      </c>
      <c r="N1317" s="988">
        <f t="shared" si="232"/>
        <v>0</v>
      </c>
      <c r="O1317" s="988">
        <f t="shared" si="232"/>
        <v>0</v>
      </c>
      <c r="P1317" s="988">
        <f t="shared" si="232"/>
        <v>0</v>
      </c>
      <c r="Q1317" s="988"/>
      <c r="R1317" s="988">
        <f t="shared" si="226"/>
        <v>0</v>
      </c>
      <c r="S1317" s="546">
        <f t="shared" si="228"/>
        <v>0</v>
      </c>
      <c r="T1317" s="547">
        <f t="shared" si="229"/>
        <v>0</v>
      </c>
      <c r="U1317" s="546">
        <f t="shared" si="230"/>
        <v>0</v>
      </c>
      <c r="W1317" s="350">
        <f t="shared" si="223"/>
        <v>0</v>
      </c>
      <c r="X1317" s="285">
        <f t="shared" si="231"/>
        <v>0</v>
      </c>
    </row>
    <row r="1318" spans="1:24" ht="12" thickBot="1">
      <c r="A1318" s="541" t="s">
        <v>1502</v>
      </c>
      <c r="B1318" s="541" t="s">
        <v>168</v>
      </c>
      <c r="C1318" s="541" t="s">
        <v>58</v>
      </c>
      <c r="D1318" s="542" t="s">
        <v>20</v>
      </c>
      <c r="E1318" s="549">
        <f t="shared" si="224"/>
        <v>0</v>
      </c>
      <c r="F1318" s="988">
        <f t="shared" si="232"/>
        <v>0</v>
      </c>
      <c r="G1318" s="988">
        <f t="shared" si="232"/>
        <v>0</v>
      </c>
      <c r="H1318" s="988">
        <f t="shared" si="232"/>
        <v>0</v>
      </c>
      <c r="I1318" s="988">
        <f t="shared" si="232"/>
        <v>0</v>
      </c>
      <c r="J1318" s="988">
        <f t="shared" si="232"/>
        <v>0</v>
      </c>
      <c r="K1318" s="988">
        <f t="shared" si="232"/>
        <v>0</v>
      </c>
      <c r="L1318" s="988">
        <f t="shared" si="232"/>
        <v>0</v>
      </c>
      <c r="M1318" s="988">
        <f t="shared" si="232"/>
        <v>0</v>
      </c>
      <c r="N1318" s="988">
        <f t="shared" si="232"/>
        <v>0</v>
      </c>
      <c r="O1318" s="988">
        <f t="shared" si="232"/>
        <v>0</v>
      </c>
      <c r="P1318" s="988">
        <f t="shared" si="232"/>
        <v>0</v>
      </c>
      <c r="Q1318" s="988"/>
      <c r="R1318" s="988">
        <f t="shared" si="226"/>
        <v>0</v>
      </c>
      <c r="S1318" s="546">
        <f t="shared" si="228"/>
        <v>0</v>
      </c>
      <c r="T1318" s="547">
        <f t="shared" si="229"/>
        <v>0</v>
      </c>
      <c r="U1318" s="546">
        <f t="shared" si="230"/>
        <v>0</v>
      </c>
      <c r="W1318" s="350">
        <f t="shared" si="223"/>
        <v>0</v>
      </c>
      <c r="X1318" s="285">
        <f t="shared" si="231"/>
        <v>0</v>
      </c>
    </row>
    <row r="1319" spans="1:24" ht="12" thickBot="1">
      <c r="A1319" s="541" t="s">
        <v>1502</v>
      </c>
      <c r="B1319" s="541" t="s">
        <v>623</v>
      </c>
      <c r="C1319" s="541" t="s">
        <v>643</v>
      </c>
      <c r="D1319" s="542" t="s">
        <v>20</v>
      </c>
      <c r="E1319" s="549">
        <f t="shared" si="224"/>
        <v>0</v>
      </c>
      <c r="F1319" s="988">
        <f t="shared" si="232"/>
        <v>0</v>
      </c>
      <c r="G1319" s="988">
        <f t="shared" si="232"/>
        <v>0</v>
      </c>
      <c r="H1319" s="988">
        <f t="shared" si="232"/>
        <v>0</v>
      </c>
      <c r="I1319" s="988">
        <f t="shared" si="232"/>
        <v>0</v>
      </c>
      <c r="J1319" s="988">
        <f t="shared" si="232"/>
        <v>0</v>
      </c>
      <c r="K1319" s="988">
        <f t="shared" si="232"/>
        <v>0</v>
      </c>
      <c r="L1319" s="988">
        <f t="shared" si="232"/>
        <v>0</v>
      </c>
      <c r="M1319" s="988">
        <f t="shared" si="232"/>
        <v>0</v>
      </c>
      <c r="N1319" s="988">
        <f t="shared" si="232"/>
        <v>0</v>
      </c>
      <c r="O1319" s="988">
        <f t="shared" si="232"/>
        <v>0</v>
      </c>
      <c r="P1319" s="988">
        <f t="shared" si="232"/>
        <v>0</v>
      </c>
      <c r="Q1319" s="988"/>
      <c r="R1319" s="988">
        <f t="shared" si="226"/>
        <v>0</v>
      </c>
      <c r="S1319" s="546">
        <f t="shared" si="228"/>
        <v>0</v>
      </c>
      <c r="T1319" s="547">
        <f t="shared" si="229"/>
        <v>0</v>
      </c>
      <c r="U1319" s="546">
        <f t="shared" si="230"/>
        <v>0</v>
      </c>
      <c r="W1319" s="350">
        <f t="shared" si="223"/>
        <v>0</v>
      </c>
      <c r="X1319" s="285">
        <f t="shared" si="231"/>
        <v>0</v>
      </c>
    </row>
    <row r="1320" spans="1:24" ht="12" thickBot="1">
      <c r="A1320" s="541" t="s">
        <v>1502</v>
      </c>
      <c r="B1320" s="541" t="s">
        <v>691</v>
      </c>
      <c r="C1320" s="541" t="s">
        <v>689</v>
      </c>
      <c r="D1320" s="542" t="s">
        <v>690</v>
      </c>
      <c r="E1320" s="549">
        <f t="shared" si="224"/>
        <v>0</v>
      </c>
      <c r="F1320" s="988">
        <f t="shared" si="232"/>
        <v>0</v>
      </c>
      <c r="G1320" s="988">
        <f t="shared" si="232"/>
        <v>0</v>
      </c>
      <c r="H1320" s="988">
        <f t="shared" si="232"/>
        <v>0</v>
      </c>
      <c r="I1320" s="988">
        <f t="shared" si="232"/>
        <v>0</v>
      </c>
      <c r="J1320" s="988">
        <f t="shared" si="232"/>
        <v>0</v>
      </c>
      <c r="K1320" s="988">
        <f t="shared" si="232"/>
        <v>0</v>
      </c>
      <c r="L1320" s="988">
        <f t="shared" si="232"/>
        <v>0</v>
      </c>
      <c r="M1320" s="988">
        <f t="shared" si="232"/>
        <v>0</v>
      </c>
      <c r="N1320" s="988">
        <f t="shared" si="232"/>
        <v>0</v>
      </c>
      <c r="O1320" s="988">
        <f t="shared" si="232"/>
        <v>0</v>
      </c>
      <c r="P1320" s="988">
        <f t="shared" si="232"/>
        <v>0</v>
      </c>
      <c r="Q1320" s="988"/>
      <c r="R1320" s="988">
        <f t="shared" si="226"/>
        <v>0</v>
      </c>
      <c r="S1320" s="546">
        <f t="shared" si="228"/>
        <v>0</v>
      </c>
      <c r="T1320" s="547">
        <f t="shared" si="229"/>
        <v>0</v>
      </c>
      <c r="U1320" s="546">
        <f t="shared" si="230"/>
        <v>0</v>
      </c>
      <c r="W1320" s="350">
        <f t="shared" si="223"/>
        <v>0</v>
      </c>
      <c r="X1320" s="285">
        <f t="shared" si="231"/>
        <v>0</v>
      </c>
    </row>
    <row r="1321" spans="1:24" ht="12" thickBot="1">
      <c r="A1321" s="541" t="s">
        <v>1502</v>
      </c>
      <c r="B1321" s="541" t="s">
        <v>1147</v>
      </c>
      <c r="C1321" s="541" t="s">
        <v>1148</v>
      </c>
      <c r="D1321" s="542" t="s">
        <v>1156</v>
      </c>
      <c r="E1321" s="549">
        <f t="shared" si="224"/>
        <v>0</v>
      </c>
      <c r="F1321" s="988">
        <f t="shared" si="232"/>
        <v>0</v>
      </c>
      <c r="G1321" s="988">
        <f t="shared" si="232"/>
        <v>0</v>
      </c>
      <c r="H1321" s="988">
        <f t="shared" si="232"/>
        <v>0</v>
      </c>
      <c r="I1321" s="988">
        <f t="shared" si="232"/>
        <v>0</v>
      </c>
      <c r="J1321" s="988">
        <f t="shared" si="232"/>
        <v>0</v>
      </c>
      <c r="K1321" s="988">
        <f t="shared" si="232"/>
        <v>0</v>
      </c>
      <c r="L1321" s="988">
        <f t="shared" si="232"/>
        <v>0</v>
      </c>
      <c r="M1321" s="988">
        <f t="shared" si="232"/>
        <v>0</v>
      </c>
      <c r="N1321" s="988">
        <f t="shared" si="232"/>
        <v>0</v>
      </c>
      <c r="O1321" s="988">
        <f t="shared" si="232"/>
        <v>0</v>
      </c>
      <c r="P1321" s="988">
        <f t="shared" si="232"/>
        <v>0</v>
      </c>
      <c r="Q1321" s="988"/>
      <c r="R1321" s="988">
        <f t="shared" si="226"/>
        <v>0</v>
      </c>
      <c r="S1321" s="546">
        <f t="shared" si="228"/>
        <v>0</v>
      </c>
      <c r="T1321" s="547">
        <f t="shared" si="229"/>
        <v>0</v>
      </c>
      <c r="U1321" s="546">
        <f t="shared" si="230"/>
        <v>0</v>
      </c>
      <c r="W1321" s="350">
        <f t="shared" si="223"/>
        <v>0</v>
      </c>
      <c r="X1321" s="285">
        <f t="shared" si="231"/>
        <v>0</v>
      </c>
    </row>
    <row r="1322" spans="1:24" ht="12" thickBot="1">
      <c r="A1322" s="541" t="s">
        <v>1502</v>
      </c>
      <c r="B1322" s="541" t="s">
        <v>169</v>
      </c>
      <c r="C1322" s="541" t="s">
        <v>1392</v>
      </c>
      <c r="D1322" s="542" t="s">
        <v>208</v>
      </c>
      <c r="E1322" s="549">
        <f t="shared" si="224"/>
        <v>0</v>
      </c>
      <c r="F1322" s="988">
        <f t="shared" si="232"/>
        <v>0</v>
      </c>
      <c r="G1322" s="988">
        <f t="shared" si="232"/>
        <v>0</v>
      </c>
      <c r="H1322" s="988">
        <f t="shared" si="232"/>
        <v>0</v>
      </c>
      <c r="I1322" s="988">
        <f t="shared" si="232"/>
        <v>0</v>
      </c>
      <c r="J1322" s="988">
        <f t="shared" si="232"/>
        <v>0</v>
      </c>
      <c r="K1322" s="988">
        <f t="shared" si="232"/>
        <v>0</v>
      </c>
      <c r="L1322" s="988">
        <f t="shared" si="232"/>
        <v>0</v>
      </c>
      <c r="M1322" s="988">
        <f t="shared" si="232"/>
        <v>0</v>
      </c>
      <c r="N1322" s="988">
        <f t="shared" si="232"/>
        <v>0</v>
      </c>
      <c r="O1322" s="988">
        <f t="shared" si="232"/>
        <v>0</v>
      </c>
      <c r="P1322" s="988">
        <f t="shared" si="232"/>
        <v>0</v>
      </c>
      <c r="Q1322" s="988"/>
      <c r="R1322" s="988">
        <f t="shared" si="226"/>
        <v>0</v>
      </c>
      <c r="S1322" s="546">
        <f t="shared" si="228"/>
        <v>0</v>
      </c>
      <c r="T1322" s="547">
        <f t="shared" si="229"/>
        <v>0</v>
      </c>
      <c r="U1322" s="546">
        <f t="shared" si="230"/>
        <v>0</v>
      </c>
      <c r="W1322" s="350">
        <f t="shared" si="223"/>
        <v>0</v>
      </c>
      <c r="X1322" s="285">
        <f t="shared" si="231"/>
        <v>0</v>
      </c>
    </row>
    <row r="1323" spans="1:24" ht="12" thickBot="1">
      <c r="A1323" s="541" t="s">
        <v>1502</v>
      </c>
      <c r="B1323" s="541" t="s">
        <v>170</v>
      </c>
      <c r="C1323" s="541" t="s">
        <v>1393</v>
      </c>
      <c r="D1323" s="542" t="s">
        <v>17</v>
      </c>
      <c r="E1323" s="549">
        <f t="shared" si="224"/>
        <v>0</v>
      </c>
      <c r="F1323" s="988">
        <f t="shared" si="232"/>
        <v>0</v>
      </c>
      <c r="G1323" s="988">
        <f t="shared" si="232"/>
        <v>0</v>
      </c>
      <c r="H1323" s="988">
        <f t="shared" si="232"/>
        <v>0</v>
      </c>
      <c r="I1323" s="988">
        <f t="shared" si="232"/>
        <v>0</v>
      </c>
      <c r="J1323" s="988">
        <f t="shared" si="232"/>
        <v>0</v>
      </c>
      <c r="K1323" s="988">
        <f t="shared" si="232"/>
        <v>0</v>
      </c>
      <c r="L1323" s="988">
        <f t="shared" si="232"/>
        <v>0</v>
      </c>
      <c r="M1323" s="988">
        <f t="shared" si="232"/>
        <v>0</v>
      </c>
      <c r="N1323" s="988">
        <f t="shared" si="232"/>
        <v>0</v>
      </c>
      <c r="O1323" s="988">
        <f t="shared" si="232"/>
        <v>0</v>
      </c>
      <c r="P1323" s="988">
        <f t="shared" si="232"/>
        <v>0</v>
      </c>
      <c r="Q1323" s="988"/>
      <c r="R1323" s="988">
        <f t="shared" si="226"/>
        <v>0</v>
      </c>
      <c r="S1323" s="546">
        <f t="shared" si="228"/>
        <v>0</v>
      </c>
      <c r="T1323" s="547">
        <f t="shared" si="229"/>
        <v>0</v>
      </c>
      <c r="U1323" s="546">
        <f t="shared" si="230"/>
        <v>0</v>
      </c>
      <c r="W1323" s="350">
        <f t="shared" si="223"/>
        <v>0</v>
      </c>
      <c r="X1323" s="285">
        <f t="shared" si="231"/>
        <v>0</v>
      </c>
    </row>
    <row r="1324" spans="1:24" ht="12" thickBot="1">
      <c r="A1324" s="541" t="s">
        <v>1502</v>
      </c>
      <c r="B1324" s="541" t="s">
        <v>713</v>
      </c>
      <c r="C1324" s="541" t="s">
        <v>711</v>
      </c>
      <c r="D1324" s="542" t="s">
        <v>712</v>
      </c>
      <c r="E1324" s="549">
        <f t="shared" si="224"/>
        <v>0</v>
      </c>
      <c r="F1324" s="988">
        <f t="shared" si="232"/>
        <v>0</v>
      </c>
      <c r="G1324" s="988">
        <f t="shared" si="232"/>
        <v>0</v>
      </c>
      <c r="H1324" s="988">
        <f t="shared" si="232"/>
        <v>0</v>
      </c>
      <c r="I1324" s="988">
        <f t="shared" si="232"/>
        <v>0</v>
      </c>
      <c r="J1324" s="988">
        <f t="shared" si="232"/>
        <v>0</v>
      </c>
      <c r="K1324" s="988">
        <f t="shared" si="232"/>
        <v>0</v>
      </c>
      <c r="L1324" s="988">
        <f t="shared" si="232"/>
        <v>0</v>
      </c>
      <c r="M1324" s="988">
        <f t="shared" si="232"/>
        <v>0</v>
      </c>
      <c r="N1324" s="988">
        <f t="shared" si="232"/>
        <v>0</v>
      </c>
      <c r="O1324" s="988">
        <f t="shared" si="232"/>
        <v>0</v>
      </c>
      <c r="P1324" s="988">
        <f t="shared" si="232"/>
        <v>0</v>
      </c>
      <c r="Q1324" s="988"/>
      <c r="R1324" s="988">
        <f t="shared" si="226"/>
        <v>0</v>
      </c>
      <c r="S1324" s="546">
        <f t="shared" si="228"/>
        <v>0</v>
      </c>
      <c r="T1324" s="547">
        <f t="shared" si="229"/>
        <v>0</v>
      </c>
      <c r="U1324" s="546">
        <f t="shared" si="230"/>
        <v>0</v>
      </c>
      <c r="W1324" s="350">
        <f t="shared" si="223"/>
        <v>0</v>
      </c>
      <c r="X1324" s="285">
        <f t="shared" si="231"/>
        <v>0</v>
      </c>
    </row>
    <row r="1325" spans="1:24" ht="12" thickBot="1">
      <c r="A1325" s="541" t="s">
        <v>1502</v>
      </c>
      <c r="B1325" s="541" t="s">
        <v>171</v>
      </c>
      <c r="C1325" s="541" t="s">
        <v>441</v>
      </c>
      <c r="D1325" s="542" t="s">
        <v>72</v>
      </c>
      <c r="E1325" s="549">
        <f t="shared" si="224"/>
        <v>0</v>
      </c>
      <c r="F1325" s="988">
        <f t="shared" si="232"/>
        <v>0</v>
      </c>
      <c r="G1325" s="988">
        <f t="shared" si="232"/>
        <v>0</v>
      </c>
      <c r="H1325" s="988">
        <f t="shared" si="232"/>
        <v>0</v>
      </c>
      <c r="I1325" s="988">
        <f t="shared" si="232"/>
        <v>0</v>
      </c>
      <c r="J1325" s="988">
        <f t="shared" si="232"/>
        <v>0</v>
      </c>
      <c r="K1325" s="988">
        <f t="shared" si="232"/>
        <v>0</v>
      </c>
      <c r="L1325" s="988">
        <f t="shared" si="232"/>
        <v>0</v>
      </c>
      <c r="M1325" s="988">
        <f t="shared" si="232"/>
        <v>0</v>
      </c>
      <c r="N1325" s="988">
        <f t="shared" si="232"/>
        <v>0</v>
      </c>
      <c r="O1325" s="988">
        <f t="shared" si="232"/>
        <v>0</v>
      </c>
      <c r="P1325" s="988">
        <f t="shared" si="232"/>
        <v>-989829</v>
      </c>
      <c r="Q1325" s="988"/>
      <c r="R1325" s="988">
        <f t="shared" si="226"/>
        <v>-989829</v>
      </c>
      <c r="S1325" s="546">
        <f t="shared" si="228"/>
        <v>0</v>
      </c>
      <c r="T1325" s="547">
        <f t="shared" si="229"/>
        <v>0</v>
      </c>
      <c r="U1325" s="546">
        <f t="shared" si="230"/>
        <v>0</v>
      </c>
      <c r="W1325" s="350">
        <f t="shared" si="223"/>
        <v>-989829</v>
      </c>
      <c r="X1325" s="285">
        <f t="shared" si="231"/>
        <v>0</v>
      </c>
    </row>
    <row r="1326" spans="1:24" ht="12" thickBot="1">
      <c r="A1326" s="541" t="s">
        <v>1502</v>
      </c>
      <c r="B1326" s="541" t="s">
        <v>172</v>
      </c>
      <c r="C1326" s="541" t="s">
        <v>442</v>
      </c>
      <c r="D1326" s="542" t="s">
        <v>72</v>
      </c>
      <c r="E1326" s="549">
        <f t="shared" si="224"/>
        <v>0</v>
      </c>
      <c r="F1326" s="988">
        <f t="shared" ref="F1326:P1335" si="233">ROUND(SUMIFS(F$1721:F$1901,$A$1721:$A$1901,$A1326,$B$1721:$B$1901,$B1326),0)</f>
        <v>0</v>
      </c>
      <c r="G1326" s="988">
        <f t="shared" si="233"/>
        <v>0</v>
      </c>
      <c r="H1326" s="988">
        <f t="shared" si="233"/>
        <v>0</v>
      </c>
      <c r="I1326" s="988">
        <f t="shared" si="233"/>
        <v>0</v>
      </c>
      <c r="J1326" s="988">
        <f t="shared" si="233"/>
        <v>0</v>
      </c>
      <c r="K1326" s="988">
        <f t="shared" si="233"/>
        <v>0</v>
      </c>
      <c r="L1326" s="988">
        <f t="shared" si="233"/>
        <v>0</v>
      </c>
      <c r="M1326" s="988">
        <f t="shared" si="233"/>
        <v>0</v>
      </c>
      <c r="N1326" s="988">
        <f t="shared" si="233"/>
        <v>0</v>
      </c>
      <c r="O1326" s="988">
        <f t="shared" si="233"/>
        <v>0</v>
      </c>
      <c r="P1326" s="988">
        <f t="shared" si="233"/>
        <v>0</v>
      </c>
      <c r="Q1326" s="988"/>
      <c r="R1326" s="988">
        <f t="shared" si="226"/>
        <v>0</v>
      </c>
      <c r="S1326" s="546">
        <f t="shared" si="228"/>
        <v>0</v>
      </c>
      <c r="T1326" s="547">
        <f t="shared" si="229"/>
        <v>0</v>
      </c>
      <c r="U1326" s="546">
        <f t="shared" si="230"/>
        <v>0</v>
      </c>
      <c r="W1326" s="350">
        <f t="shared" si="223"/>
        <v>0</v>
      </c>
      <c r="X1326" s="285">
        <f t="shared" si="231"/>
        <v>0</v>
      </c>
    </row>
    <row r="1327" spans="1:24" ht="12" thickBot="1">
      <c r="A1327" s="541" t="s">
        <v>1502</v>
      </c>
      <c r="B1327" s="541" t="s">
        <v>1397</v>
      </c>
      <c r="C1327" s="541" t="s">
        <v>1398</v>
      </c>
      <c r="D1327" s="542" t="s">
        <v>72</v>
      </c>
      <c r="E1327" s="549">
        <f t="shared" si="224"/>
        <v>0</v>
      </c>
      <c r="F1327" s="988">
        <f t="shared" si="233"/>
        <v>0</v>
      </c>
      <c r="G1327" s="988">
        <f t="shared" si="233"/>
        <v>0</v>
      </c>
      <c r="H1327" s="988">
        <f t="shared" si="233"/>
        <v>0</v>
      </c>
      <c r="I1327" s="988">
        <f t="shared" si="233"/>
        <v>0</v>
      </c>
      <c r="J1327" s="988">
        <f t="shared" si="233"/>
        <v>0</v>
      </c>
      <c r="K1327" s="988">
        <f t="shared" si="233"/>
        <v>0</v>
      </c>
      <c r="L1327" s="988">
        <f t="shared" si="233"/>
        <v>0</v>
      </c>
      <c r="M1327" s="988">
        <f t="shared" si="233"/>
        <v>0</v>
      </c>
      <c r="N1327" s="988">
        <f t="shared" si="233"/>
        <v>0</v>
      </c>
      <c r="O1327" s="988">
        <f t="shared" si="233"/>
        <v>0</v>
      </c>
      <c r="P1327" s="988">
        <f t="shared" si="233"/>
        <v>0</v>
      </c>
      <c r="Q1327" s="988"/>
      <c r="R1327" s="988">
        <f t="shared" si="226"/>
        <v>0</v>
      </c>
      <c r="S1327" s="546">
        <f t="shared" si="228"/>
        <v>0</v>
      </c>
      <c r="T1327" s="547">
        <f t="shared" si="229"/>
        <v>0</v>
      </c>
      <c r="U1327" s="546">
        <f t="shared" si="230"/>
        <v>0</v>
      </c>
      <c r="W1327" s="350">
        <f t="shared" si="223"/>
        <v>0</v>
      </c>
      <c r="X1327" s="285">
        <f t="shared" si="231"/>
        <v>0</v>
      </c>
    </row>
    <row r="1328" spans="1:24" ht="12" thickBot="1">
      <c r="A1328" s="541" t="s">
        <v>1502</v>
      </c>
      <c r="B1328" s="541" t="s">
        <v>1149</v>
      </c>
      <c r="C1328" s="541" t="s">
        <v>1150</v>
      </c>
      <c r="D1328" s="542" t="s">
        <v>72</v>
      </c>
      <c r="E1328" s="549">
        <f t="shared" si="224"/>
        <v>0</v>
      </c>
      <c r="F1328" s="988">
        <f t="shared" si="233"/>
        <v>0</v>
      </c>
      <c r="G1328" s="988">
        <f t="shared" si="233"/>
        <v>0</v>
      </c>
      <c r="H1328" s="988">
        <f t="shared" si="233"/>
        <v>0</v>
      </c>
      <c r="I1328" s="988">
        <f t="shared" si="233"/>
        <v>0</v>
      </c>
      <c r="J1328" s="988">
        <f t="shared" si="233"/>
        <v>0</v>
      </c>
      <c r="K1328" s="988">
        <f t="shared" si="233"/>
        <v>0</v>
      </c>
      <c r="L1328" s="988">
        <f t="shared" si="233"/>
        <v>0</v>
      </c>
      <c r="M1328" s="988">
        <f t="shared" si="233"/>
        <v>0</v>
      </c>
      <c r="N1328" s="988">
        <f t="shared" si="233"/>
        <v>0</v>
      </c>
      <c r="O1328" s="988">
        <f t="shared" si="233"/>
        <v>0</v>
      </c>
      <c r="P1328" s="988">
        <f t="shared" si="233"/>
        <v>0</v>
      </c>
      <c r="Q1328" s="988"/>
      <c r="R1328" s="988">
        <f t="shared" si="226"/>
        <v>0</v>
      </c>
      <c r="S1328" s="546">
        <f t="shared" si="228"/>
        <v>0</v>
      </c>
      <c r="T1328" s="547">
        <f t="shared" si="229"/>
        <v>0</v>
      </c>
      <c r="U1328" s="546">
        <f t="shared" si="230"/>
        <v>0</v>
      </c>
      <c r="W1328" s="350">
        <f t="shared" si="223"/>
        <v>0</v>
      </c>
      <c r="X1328" s="285">
        <f t="shared" si="231"/>
        <v>0</v>
      </c>
    </row>
    <row r="1329" spans="1:24" ht="12" thickBot="1">
      <c r="A1329" s="541" t="s">
        <v>1502</v>
      </c>
      <c r="B1329" s="541" t="s">
        <v>1051</v>
      </c>
      <c r="C1329" s="541" t="s">
        <v>1052</v>
      </c>
      <c r="D1329" s="542" t="s">
        <v>719</v>
      </c>
      <c r="E1329" s="549">
        <f t="shared" si="224"/>
        <v>0</v>
      </c>
      <c r="F1329" s="988">
        <f t="shared" si="233"/>
        <v>0</v>
      </c>
      <c r="G1329" s="988">
        <f t="shared" si="233"/>
        <v>0</v>
      </c>
      <c r="H1329" s="988">
        <f t="shared" si="233"/>
        <v>0</v>
      </c>
      <c r="I1329" s="988">
        <f t="shared" si="233"/>
        <v>0</v>
      </c>
      <c r="J1329" s="988">
        <f t="shared" si="233"/>
        <v>0</v>
      </c>
      <c r="K1329" s="988">
        <f t="shared" si="233"/>
        <v>0</v>
      </c>
      <c r="L1329" s="988">
        <f t="shared" si="233"/>
        <v>0</v>
      </c>
      <c r="M1329" s="988">
        <f t="shared" si="233"/>
        <v>0</v>
      </c>
      <c r="N1329" s="988">
        <f t="shared" si="233"/>
        <v>0</v>
      </c>
      <c r="O1329" s="988">
        <f t="shared" si="233"/>
        <v>0</v>
      </c>
      <c r="P1329" s="988">
        <f t="shared" si="233"/>
        <v>0</v>
      </c>
      <c r="Q1329" s="988"/>
      <c r="R1329" s="988">
        <f t="shared" si="226"/>
        <v>0</v>
      </c>
      <c r="S1329" s="546">
        <f t="shared" si="228"/>
        <v>0</v>
      </c>
      <c r="T1329" s="547">
        <f t="shared" si="229"/>
        <v>0</v>
      </c>
      <c r="U1329" s="546">
        <f t="shared" si="230"/>
        <v>0</v>
      </c>
      <c r="W1329" s="350">
        <f t="shared" si="223"/>
        <v>0</v>
      </c>
      <c r="X1329" s="285">
        <f t="shared" si="231"/>
        <v>0</v>
      </c>
    </row>
    <row r="1330" spans="1:24" ht="12" thickBot="1">
      <c r="A1330" s="541" t="s">
        <v>1502</v>
      </c>
      <c r="B1330" s="541" t="s">
        <v>1053</v>
      </c>
      <c r="C1330" s="541" t="s">
        <v>1054</v>
      </c>
      <c r="D1330" s="542" t="s">
        <v>719</v>
      </c>
      <c r="E1330" s="549">
        <f t="shared" si="224"/>
        <v>0</v>
      </c>
      <c r="F1330" s="988">
        <f t="shared" si="233"/>
        <v>0</v>
      </c>
      <c r="G1330" s="988">
        <f t="shared" si="233"/>
        <v>0</v>
      </c>
      <c r="H1330" s="988">
        <f t="shared" si="233"/>
        <v>0</v>
      </c>
      <c r="I1330" s="988">
        <f t="shared" si="233"/>
        <v>0</v>
      </c>
      <c r="J1330" s="988">
        <f t="shared" si="233"/>
        <v>0</v>
      </c>
      <c r="K1330" s="988">
        <f t="shared" si="233"/>
        <v>0</v>
      </c>
      <c r="L1330" s="988">
        <f t="shared" si="233"/>
        <v>0</v>
      </c>
      <c r="M1330" s="988">
        <f t="shared" si="233"/>
        <v>0</v>
      </c>
      <c r="N1330" s="988">
        <f t="shared" si="233"/>
        <v>0</v>
      </c>
      <c r="O1330" s="988">
        <f t="shared" si="233"/>
        <v>0</v>
      </c>
      <c r="P1330" s="988">
        <f t="shared" si="233"/>
        <v>0</v>
      </c>
      <c r="Q1330" s="988"/>
      <c r="R1330" s="988">
        <f t="shared" si="226"/>
        <v>0</v>
      </c>
      <c r="S1330" s="546">
        <f t="shared" si="228"/>
        <v>0</v>
      </c>
      <c r="T1330" s="547">
        <f t="shared" si="229"/>
        <v>0</v>
      </c>
      <c r="U1330" s="546">
        <f t="shared" si="230"/>
        <v>0</v>
      </c>
      <c r="W1330" s="350">
        <f t="shared" si="223"/>
        <v>0</v>
      </c>
      <c r="X1330" s="285">
        <f t="shared" si="231"/>
        <v>0</v>
      </c>
    </row>
    <row r="1331" spans="1:24" ht="12" thickBot="1">
      <c r="A1331" s="541" t="s">
        <v>1502</v>
      </c>
      <c r="B1331" s="541" t="s">
        <v>173</v>
      </c>
      <c r="C1331" s="541" t="s">
        <v>192</v>
      </c>
      <c r="D1331" s="542" t="s">
        <v>642</v>
      </c>
      <c r="E1331" s="549">
        <f t="shared" si="224"/>
        <v>45507524</v>
      </c>
      <c r="F1331" s="988">
        <f t="shared" si="233"/>
        <v>750</v>
      </c>
      <c r="G1331" s="988">
        <f t="shared" si="233"/>
        <v>167923</v>
      </c>
      <c r="H1331" s="988">
        <f t="shared" si="233"/>
        <v>1316078</v>
      </c>
      <c r="I1331" s="988">
        <f t="shared" si="233"/>
        <v>0</v>
      </c>
      <c r="J1331" s="988">
        <f t="shared" si="233"/>
        <v>51887</v>
      </c>
      <c r="K1331" s="988">
        <f t="shared" si="233"/>
        <v>668312</v>
      </c>
      <c r="L1331" s="988">
        <f t="shared" si="233"/>
        <v>0</v>
      </c>
      <c r="M1331" s="988">
        <f t="shared" si="233"/>
        <v>107868</v>
      </c>
      <c r="N1331" s="988">
        <f t="shared" si="233"/>
        <v>0</v>
      </c>
      <c r="O1331" s="988">
        <f t="shared" si="233"/>
        <v>284297</v>
      </c>
      <c r="P1331" s="988">
        <f t="shared" si="233"/>
        <v>0</v>
      </c>
      <c r="Q1331" s="988"/>
      <c r="R1331" s="988">
        <f t="shared" si="226"/>
        <v>2597115</v>
      </c>
      <c r="S1331" s="546">
        <f t="shared" si="228"/>
        <v>1484001</v>
      </c>
      <c r="T1331" s="547">
        <f t="shared" si="229"/>
        <v>720199</v>
      </c>
      <c r="U1331" s="546">
        <f t="shared" si="230"/>
        <v>284297</v>
      </c>
      <c r="W1331" s="350">
        <f t="shared" si="223"/>
        <v>2597115</v>
      </c>
      <c r="X1331" s="285">
        <f t="shared" si="231"/>
        <v>0</v>
      </c>
    </row>
    <row r="1332" spans="1:24" ht="12" thickBot="1">
      <c r="A1332" s="541" t="s">
        <v>1502</v>
      </c>
      <c r="B1332" s="541" t="s">
        <v>193</v>
      </c>
      <c r="C1332" s="541" t="s">
        <v>194</v>
      </c>
      <c r="D1332" s="542" t="s">
        <v>443</v>
      </c>
      <c r="E1332" s="549">
        <f t="shared" si="224"/>
        <v>0</v>
      </c>
      <c r="F1332" s="988">
        <f t="shared" si="233"/>
        <v>0</v>
      </c>
      <c r="G1332" s="988">
        <f t="shared" si="233"/>
        <v>0</v>
      </c>
      <c r="H1332" s="988">
        <f t="shared" si="233"/>
        <v>0</v>
      </c>
      <c r="I1332" s="988">
        <f t="shared" si="233"/>
        <v>0</v>
      </c>
      <c r="J1332" s="988">
        <f t="shared" si="233"/>
        <v>0</v>
      </c>
      <c r="K1332" s="988">
        <f t="shared" si="233"/>
        <v>0</v>
      </c>
      <c r="L1332" s="988">
        <f t="shared" si="233"/>
        <v>0</v>
      </c>
      <c r="M1332" s="988">
        <f t="shared" si="233"/>
        <v>0</v>
      </c>
      <c r="N1332" s="988">
        <f t="shared" si="233"/>
        <v>0</v>
      </c>
      <c r="O1332" s="988">
        <f t="shared" si="233"/>
        <v>0</v>
      </c>
      <c r="P1332" s="988">
        <f t="shared" si="233"/>
        <v>0</v>
      </c>
      <c r="Q1332" s="988"/>
      <c r="R1332" s="988">
        <f t="shared" si="226"/>
        <v>0</v>
      </c>
      <c r="S1332" s="546">
        <f t="shared" si="228"/>
        <v>0</v>
      </c>
      <c r="T1332" s="547">
        <f t="shared" si="229"/>
        <v>0</v>
      </c>
      <c r="U1332" s="546">
        <f t="shared" si="230"/>
        <v>0</v>
      </c>
      <c r="W1332" s="350">
        <f t="shared" si="223"/>
        <v>0</v>
      </c>
      <c r="X1332" s="285">
        <f t="shared" si="231"/>
        <v>0</v>
      </c>
    </row>
    <row r="1333" spans="1:24" ht="12" thickBot="1">
      <c r="A1333" s="541" t="s">
        <v>1502</v>
      </c>
      <c r="B1333" s="541" t="s">
        <v>195</v>
      </c>
      <c r="C1333" s="541" t="s">
        <v>196</v>
      </c>
      <c r="D1333" s="542" t="s">
        <v>443</v>
      </c>
      <c r="E1333" s="549">
        <f t="shared" si="224"/>
        <v>0</v>
      </c>
      <c r="F1333" s="988">
        <f t="shared" si="233"/>
        <v>0</v>
      </c>
      <c r="G1333" s="988">
        <f t="shared" si="233"/>
        <v>0</v>
      </c>
      <c r="H1333" s="988">
        <f t="shared" si="233"/>
        <v>0</v>
      </c>
      <c r="I1333" s="988">
        <f t="shared" si="233"/>
        <v>0</v>
      </c>
      <c r="J1333" s="988">
        <f t="shared" si="233"/>
        <v>0</v>
      </c>
      <c r="K1333" s="988">
        <f t="shared" si="233"/>
        <v>0</v>
      </c>
      <c r="L1333" s="988">
        <f t="shared" si="233"/>
        <v>0</v>
      </c>
      <c r="M1333" s="988">
        <f t="shared" si="233"/>
        <v>0</v>
      </c>
      <c r="N1333" s="988">
        <f t="shared" si="233"/>
        <v>0</v>
      </c>
      <c r="O1333" s="988">
        <f t="shared" si="233"/>
        <v>0</v>
      </c>
      <c r="P1333" s="988">
        <f t="shared" si="233"/>
        <v>0</v>
      </c>
      <c r="Q1333" s="988"/>
      <c r="R1333" s="988">
        <f t="shared" si="226"/>
        <v>0</v>
      </c>
      <c r="S1333" s="546">
        <f t="shared" si="228"/>
        <v>0</v>
      </c>
      <c r="T1333" s="547">
        <f t="shared" si="229"/>
        <v>0</v>
      </c>
      <c r="U1333" s="546">
        <f t="shared" si="230"/>
        <v>0</v>
      </c>
      <c r="W1333" s="350">
        <f t="shared" si="223"/>
        <v>0</v>
      </c>
      <c r="X1333" s="285">
        <f t="shared" si="231"/>
        <v>0</v>
      </c>
    </row>
    <row r="1334" spans="1:24" ht="12" thickBot="1">
      <c r="A1334" s="541" t="s">
        <v>1502</v>
      </c>
      <c r="B1334" s="541" t="s">
        <v>197</v>
      </c>
      <c r="C1334" s="541" t="s">
        <v>198</v>
      </c>
      <c r="D1334" s="542" t="s">
        <v>443</v>
      </c>
      <c r="E1334" s="549">
        <f t="shared" si="224"/>
        <v>0</v>
      </c>
      <c r="F1334" s="988">
        <f t="shared" si="233"/>
        <v>0</v>
      </c>
      <c r="G1334" s="988">
        <f t="shared" si="233"/>
        <v>0</v>
      </c>
      <c r="H1334" s="988">
        <f t="shared" si="233"/>
        <v>0</v>
      </c>
      <c r="I1334" s="988">
        <f t="shared" si="233"/>
        <v>0</v>
      </c>
      <c r="J1334" s="988">
        <f t="shared" si="233"/>
        <v>0</v>
      </c>
      <c r="K1334" s="988">
        <f t="shared" si="233"/>
        <v>0</v>
      </c>
      <c r="L1334" s="988">
        <f t="shared" si="233"/>
        <v>0</v>
      </c>
      <c r="M1334" s="988">
        <f t="shared" si="233"/>
        <v>0</v>
      </c>
      <c r="N1334" s="988">
        <f t="shared" si="233"/>
        <v>0</v>
      </c>
      <c r="O1334" s="988">
        <f t="shared" si="233"/>
        <v>0</v>
      </c>
      <c r="P1334" s="988">
        <f t="shared" si="233"/>
        <v>0</v>
      </c>
      <c r="Q1334" s="988"/>
      <c r="R1334" s="988">
        <f t="shared" si="226"/>
        <v>0</v>
      </c>
      <c r="S1334" s="546">
        <f t="shared" si="228"/>
        <v>0</v>
      </c>
      <c r="T1334" s="547">
        <f t="shared" si="229"/>
        <v>0</v>
      </c>
      <c r="U1334" s="546">
        <f t="shared" si="230"/>
        <v>0</v>
      </c>
      <c r="W1334" s="350">
        <f t="shared" si="223"/>
        <v>0</v>
      </c>
      <c r="X1334" s="285">
        <f t="shared" si="231"/>
        <v>0</v>
      </c>
    </row>
    <row r="1335" spans="1:24" ht="12" thickBot="1">
      <c r="A1335" s="541" t="s">
        <v>1502</v>
      </c>
      <c r="B1335" s="541" t="s">
        <v>1055</v>
      </c>
      <c r="C1335" s="541" t="s">
        <v>1049</v>
      </c>
      <c r="D1335" s="542" t="s">
        <v>1146</v>
      </c>
      <c r="E1335" s="549">
        <f t="shared" si="224"/>
        <v>0</v>
      </c>
      <c r="F1335" s="988">
        <f t="shared" si="233"/>
        <v>0</v>
      </c>
      <c r="G1335" s="988">
        <f t="shared" si="233"/>
        <v>0</v>
      </c>
      <c r="H1335" s="988">
        <f t="shared" si="233"/>
        <v>0</v>
      </c>
      <c r="I1335" s="988">
        <f t="shared" si="233"/>
        <v>0</v>
      </c>
      <c r="J1335" s="988">
        <f t="shared" si="233"/>
        <v>0</v>
      </c>
      <c r="K1335" s="988">
        <f t="shared" si="233"/>
        <v>0</v>
      </c>
      <c r="L1335" s="988">
        <f t="shared" si="233"/>
        <v>0</v>
      </c>
      <c r="M1335" s="988">
        <f t="shared" si="233"/>
        <v>0</v>
      </c>
      <c r="N1335" s="988">
        <f t="shared" si="233"/>
        <v>0</v>
      </c>
      <c r="O1335" s="988">
        <f t="shared" si="233"/>
        <v>0</v>
      </c>
      <c r="P1335" s="988">
        <f t="shared" si="233"/>
        <v>0</v>
      </c>
      <c r="Q1335" s="988"/>
      <c r="R1335" s="988">
        <f t="shared" si="226"/>
        <v>0</v>
      </c>
      <c r="S1335" s="546">
        <f t="shared" si="228"/>
        <v>0</v>
      </c>
      <c r="T1335" s="547">
        <f t="shared" si="229"/>
        <v>0</v>
      </c>
      <c r="U1335" s="546">
        <f t="shared" si="230"/>
        <v>0</v>
      </c>
      <c r="W1335" s="350">
        <f t="shared" si="223"/>
        <v>0</v>
      </c>
      <c r="X1335" s="285">
        <f t="shared" si="231"/>
        <v>0</v>
      </c>
    </row>
    <row r="1336" spans="1:24" ht="12" thickBot="1">
      <c r="A1336" s="541" t="s">
        <v>1502</v>
      </c>
      <c r="B1336" s="541" t="s">
        <v>174</v>
      </c>
      <c r="C1336" s="541" t="s">
        <v>106</v>
      </c>
      <c r="D1336" s="542" t="s">
        <v>14</v>
      </c>
      <c r="E1336" s="549">
        <f t="shared" si="224"/>
        <v>372875403</v>
      </c>
      <c r="F1336" s="988">
        <f t="shared" ref="F1336:P1342" si="234">ROUND(SUMIFS(F$1721:F$1901,$A$1721:$A$1901,$A1336,$B$1721:$B$1901,$B1336),0)</f>
        <v>4621332</v>
      </c>
      <c r="G1336" s="988">
        <f t="shared" si="234"/>
        <v>16917357</v>
      </c>
      <c r="H1336" s="988">
        <f t="shared" si="234"/>
        <v>10783557</v>
      </c>
      <c r="I1336" s="988">
        <f t="shared" si="234"/>
        <v>1174558</v>
      </c>
      <c r="J1336" s="988">
        <f t="shared" si="234"/>
        <v>0</v>
      </c>
      <c r="K1336" s="988">
        <f t="shared" si="234"/>
        <v>0</v>
      </c>
      <c r="L1336" s="988">
        <f t="shared" si="234"/>
        <v>709994</v>
      </c>
      <c r="M1336" s="988">
        <f t="shared" si="234"/>
        <v>883840</v>
      </c>
      <c r="N1336" s="988">
        <f t="shared" si="234"/>
        <v>2329447</v>
      </c>
      <c r="O1336" s="988">
        <f t="shared" si="234"/>
        <v>0</v>
      </c>
      <c r="P1336" s="988">
        <f t="shared" si="234"/>
        <v>0</v>
      </c>
      <c r="Q1336" s="988"/>
      <c r="R1336" s="988">
        <f t="shared" si="226"/>
        <v>37420083</v>
      </c>
      <c r="S1336" s="546">
        <f t="shared" si="228"/>
        <v>28875472</v>
      </c>
      <c r="T1336" s="547">
        <f t="shared" si="229"/>
        <v>0</v>
      </c>
      <c r="U1336" s="546">
        <f t="shared" si="230"/>
        <v>2329447</v>
      </c>
      <c r="W1336" s="350">
        <f t="shared" si="223"/>
        <v>37420085</v>
      </c>
      <c r="X1336" s="285">
        <f t="shared" si="231"/>
        <v>2</v>
      </c>
    </row>
    <row r="1337" spans="1:24" ht="12" thickBot="1">
      <c r="A1337" s="541" t="s">
        <v>1502</v>
      </c>
      <c r="B1337" s="541" t="s">
        <v>175</v>
      </c>
      <c r="C1337" s="541" t="s">
        <v>199</v>
      </c>
      <c r="D1337" s="542" t="s">
        <v>14</v>
      </c>
      <c r="E1337" s="549">
        <f t="shared" si="224"/>
        <v>0</v>
      </c>
      <c r="F1337" s="988">
        <f t="shared" si="234"/>
        <v>0</v>
      </c>
      <c r="G1337" s="988">
        <f t="shared" si="234"/>
        <v>0</v>
      </c>
      <c r="H1337" s="988">
        <f t="shared" si="234"/>
        <v>0</v>
      </c>
      <c r="I1337" s="988">
        <f t="shared" si="234"/>
        <v>0</v>
      </c>
      <c r="J1337" s="988">
        <f t="shared" si="234"/>
        <v>0</v>
      </c>
      <c r="K1337" s="988">
        <f t="shared" si="234"/>
        <v>0</v>
      </c>
      <c r="L1337" s="988">
        <f t="shared" si="234"/>
        <v>0</v>
      </c>
      <c r="M1337" s="988">
        <f t="shared" si="234"/>
        <v>0</v>
      </c>
      <c r="N1337" s="988">
        <f t="shared" si="234"/>
        <v>0</v>
      </c>
      <c r="O1337" s="988">
        <f t="shared" si="234"/>
        <v>0</v>
      </c>
      <c r="P1337" s="988">
        <f t="shared" si="234"/>
        <v>0</v>
      </c>
      <c r="Q1337" s="988"/>
      <c r="R1337" s="988">
        <f t="shared" si="226"/>
        <v>0</v>
      </c>
      <c r="S1337" s="546">
        <f t="shared" si="228"/>
        <v>0</v>
      </c>
      <c r="T1337" s="547">
        <f t="shared" si="229"/>
        <v>0</v>
      </c>
      <c r="U1337" s="546">
        <f t="shared" si="230"/>
        <v>0</v>
      </c>
      <c r="W1337" s="350">
        <f t="shared" si="223"/>
        <v>0</v>
      </c>
      <c r="X1337" s="285">
        <f t="shared" si="231"/>
        <v>0</v>
      </c>
    </row>
    <row r="1338" spans="1:24" ht="12" thickBot="1">
      <c r="A1338" s="541" t="s">
        <v>1502</v>
      </c>
      <c r="B1338" s="541" t="s">
        <v>176</v>
      </c>
      <c r="C1338" s="541" t="s">
        <v>200</v>
      </c>
      <c r="D1338" s="542" t="s">
        <v>207</v>
      </c>
      <c r="E1338" s="549">
        <f t="shared" si="224"/>
        <v>0</v>
      </c>
      <c r="F1338" s="988">
        <f t="shared" si="234"/>
        <v>0</v>
      </c>
      <c r="G1338" s="988">
        <f t="shared" si="234"/>
        <v>0</v>
      </c>
      <c r="H1338" s="988">
        <f t="shared" si="234"/>
        <v>0</v>
      </c>
      <c r="I1338" s="988">
        <f t="shared" si="234"/>
        <v>0</v>
      </c>
      <c r="J1338" s="988">
        <f t="shared" si="234"/>
        <v>0</v>
      </c>
      <c r="K1338" s="988">
        <f t="shared" si="234"/>
        <v>0</v>
      </c>
      <c r="L1338" s="988">
        <f t="shared" si="234"/>
        <v>0</v>
      </c>
      <c r="M1338" s="988">
        <f t="shared" si="234"/>
        <v>0</v>
      </c>
      <c r="N1338" s="988">
        <f t="shared" si="234"/>
        <v>0</v>
      </c>
      <c r="O1338" s="988">
        <f t="shared" si="234"/>
        <v>0</v>
      </c>
      <c r="P1338" s="988">
        <f t="shared" si="234"/>
        <v>0</v>
      </c>
      <c r="Q1338" s="988"/>
      <c r="R1338" s="988">
        <f t="shared" si="226"/>
        <v>0</v>
      </c>
      <c r="S1338" s="546">
        <f t="shared" si="228"/>
        <v>0</v>
      </c>
      <c r="T1338" s="547">
        <f t="shared" si="229"/>
        <v>0</v>
      </c>
      <c r="U1338" s="546">
        <f t="shared" si="230"/>
        <v>0</v>
      </c>
      <c r="W1338" s="350">
        <f t="shared" si="223"/>
        <v>0</v>
      </c>
      <c r="X1338" s="285">
        <f t="shared" si="231"/>
        <v>0</v>
      </c>
    </row>
    <row r="1339" spans="1:24" ht="12" thickBot="1">
      <c r="A1339" s="541" t="s">
        <v>1502</v>
      </c>
      <c r="B1339" s="541" t="s">
        <v>458</v>
      </c>
      <c r="C1339" s="541" t="s">
        <v>1367</v>
      </c>
      <c r="D1339" s="542" t="s">
        <v>206</v>
      </c>
      <c r="E1339" s="549">
        <f t="shared" si="224"/>
        <v>0</v>
      </c>
      <c r="F1339" s="988">
        <f t="shared" si="234"/>
        <v>0</v>
      </c>
      <c r="G1339" s="988">
        <f t="shared" si="234"/>
        <v>0</v>
      </c>
      <c r="H1339" s="988">
        <f t="shared" si="234"/>
        <v>0</v>
      </c>
      <c r="I1339" s="988">
        <f t="shared" si="234"/>
        <v>0</v>
      </c>
      <c r="J1339" s="988">
        <f t="shared" si="234"/>
        <v>0</v>
      </c>
      <c r="K1339" s="988">
        <f t="shared" si="234"/>
        <v>0</v>
      </c>
      <c r="L1339" s="988">
        <f t="shared" si="234"/>
        <v>0</v>
      </c>
      <c r="M1339" s="988">
        <f t="shared" si="234"/>
        <v>0</v>
      </c>
      <c r="N1339" s="988">
        <f t="shared" si="234"/>
        <v>0</v>
      </c>
      <c r="O1339" s="988">
        <f t="shared" si="234"/>
        <v>0</v>
      </c>
      <c r="P1339" s="988">
        <f t="shared" si="234"/>
        <v>0</v>
      </c>
      <c r="Q1339" s="988"/>
      <c r="R1339" s="988">
        <f t="shared" si="226"/>
        <v>0</v>
      </c>
      <c r="S1339" s="546">
        <f t="shared" si="228"/>
        <v>0</v>
      </c>
      <c r="T1339" s="547">
        <f t="shared" si="229"/>
        <v>0</v>
      </c>
      <c r="U1339" s="546">
        <f t="shared" si="230"/>
        <v>0</v>
      </c>
      <c r="W1339" s="350">
        <f t="shared" si="223"/>
        <v>0</v>
      </c>
      <c r="X1339" s="285">
        <f t="shared" si="231"/>
        <v>0</v>
      </c>
    </row>
    <row r="1340" spans="1:24" ht="12" thickBot="1">
      <c r="A1340" s="541" t="s">
        <v>1502</v>
      </c>
      <c r="B1340" s="541" t="s">
        <v>177</v>
      </c>
      <c r="C1340" s="541" t="s">
        <v>201</v>
      </c>
      <c r="D1340" s="542" t="s">
        <v>16</v>
      </c>
      <c r="E1340" s="549">
        <f t="shared" si="224"/>
        <v>0</v>
      </c>
      <c r="F1340" s="988">
        <f t="shared" si="234"/>
        <v>0</v>
      </c>
      <c r="G1340" s="988">
        <f t="shared" si="234"/>
        <v>0</v>
      </c>
      <c r="H1340" s="988">
        <f t="shared" si="234"/>
        <v>0</v>
      </c>
      <c r="I1340" s="988">
        <f t="shared" si="234"/>
        <v>0</v>
      </c>
      <c r="J1340" s="988">
        <f t="shared" si="234"/>
        <v>0</v>
      </c>
      <c r="K1340" s="988">
        <f t="shared" si="234"/>
        <v>0</v>
      </c>
      <c r="L1340" s="988">
        <f t="shared" si="234"/>
        <v>0</v>
      </c>
      <c r="M1340" s="988">
        <f t="shared" si="234"/>
        <v>0</v>
      </c>
      <c r="N1340" s="988">
        <f t="shared" si="234"/>
        <v>0</v>
      </c>
      <c r="O1340" s="988">
        <f t="shared" si="234"/>
        <v>0</v>
      </c>
      <c r="P1340" s="988">
        <f t="shared" si="234"/>
        <v>0</v>
      </c>
      <c r="Q1340" s="988"/>
      <c r="R1340" s="988">
        <f t="shared" si="226"/>
        <v>0</v>
      </c>
      <c r="S1340" s="546">
        <f t="shared" si="228"/>
        <v>0</v>
      </c>
      <c r="T1340" s="547">
        <f t="shared" si="229"/>
        <v>0</v>
      </c>
      <c r="U1340" s="546">
        <f t="shared" si="230"/>
        <v>0</v>
      </c>
      <c r="W1340" s="350">
        <f t="shared" si="223"/>
        <v>0</v>
      </c>
      <c r="X1340" s="285">
        <f t="shared" si="231"/>
        <v>0</v>
      </c>
    </row>
    <row r="1341" spans="1:24" ht="12" thickBot="1">
      <c r="A1341" s="541" t="s">
        <v>1502</v>
      </c>
      <c r="B1341" s="541" t="s">
        <v>178</v>
      </c>
      <c r="C1341" s="541" t="s">
        <v>202</v>
      </c>
      <c r="D1341" s="542" t="s">
        <v>14</v>
      </c>
      <c r="E1341" s="549">
        <f t="shared" si="224"/>
        <v>0</v>
      </c>
      <c r="F1341" s="988">
        <f t="shared" si="234"/>
        <v>0</v>
      </c>
      <c r="G1341" s="988">
        <f t="shared" si="234"/>
        <v>0</v>
      </c>
      <c r="H1341" s="988">
        <f t="shared" si="234"/>
        <v>0</v>
      </c>
      <c r="I1341" s="988">
        <f t="shared" si="234"/>
        <v>0</v>
      </c>
      <c r="J1341" s="988">
        <f t="shared" si="234"/>
        <v>0</v>
      </c>
      <c r="K1341" s="988">
        <f t="shared" si="234"/>
        <v>0</v>
      </c>
      <c r="L1341" s="988">
        <f t="shared" si="234"/>
        <v>0</v>
      </c>
      <c r="M1341" s="988">
        <f t="shared" si="234"/>
        <v>0</v>
      </c>
      <c r="N1341" s="988">
        <f t="shared" si="234"/>
        <v>0</v>
      </c>
      <c r="O1341" s="988">
        <f t="shared" si="234"/>
        <v>0</v>
      </c>
      <c r="P1341" s="988">
        <f t="shared" si="234"/>
        <v>0</v>
      </c>
      <c r="Q1341" s="988"/>
      <c r="R1341" s="988">
        <f t="shared" si="226"/>
        <v>0</v>
      </c>
      <c r="S1341" s="546">
        <f t="shared" si="228"/>
        <v>0</v>
      </c>
      <c r="T1341" s="547">
        <f t="shared" si="229"/>
        <v>0</v>
      </c>
      <c r="U1341" s="546">
        <f t="shared" si="230"/>
        <v>0</v>
      </c>
      <c r="W1341" s="350">
        <f t="shared" si="223"/>
        <v>0</v>
      </c>
      <c r="X1341" s="285">
        <f t="shared" si="231"/>
        <v>0</v>
      </c>
    </row>
    <row r="1342" spans="1:24" ht="12" thickBot="1">
      <c r="A1342" s="541" t="s">
        <v>1502</v>
      </c>
      <c r="B1342" s="541" t="s">
        <v>73</v>
      </c>
      <c r="C1342" s="541" t="s">
        <v>1511</v>
      </c>
      <c r="D1342" s="542"/>
      <c r="E1342" s="549">
        <f t="shared" si="224"/>
        <v>10338471</v>
      </c>
      <c r="F1342" s="988">
        <f t="shared" si="234"/>
        <v>0</v>
      </c>
      <c r="G1342" s="988">
        <f t="shared" si="234"/>
        <v>1795098</v>
      </c>
      <c r="H1342" s="988">
        <f t="shared" si="234"/>
        <v>298989</v>
      </c>
      <c r="I1342" s="988">
        <f t="shared" si="234"/>
        <v>0</v>
      </c>
      <c r="J1342" s="988">
        <f t="shared" si="234"/>
        <v>0</v>
      </c>
      <c r="K1342" s="988">
        <f t="shared" si="234"/>
        <v>0</v>
      </c>
      <c r="L1342" s="988">
        <f t="shared" si="234"/>
        <v>0</v>
      </c>
      <c r="M1342" s="988">
        <f t="shared" si="234"/>
        <v>24506</v>
      </c>
      <c r="N1342" s="988">
        <f t="shared" si="234"/>
        <v>64587</v>
      </c>
      <c r="O1342" s="988">
        <f t="shared" si="234"/>
        <v>0</v>
      </c>
      <c r="P1342" s="988">
        <f t="shared" si="234"/>
        <v>0</v>
      </c>
      <c r="Q1342" s="988"/>
      <c r="R1342" s="988">
        <f t="shared" si="226"/>
        <v>2183179</v>
      </c>
      <c r="S1342" s="546">
        <f t="shared" si="228"/>
        <v>2094087</v>
      </c>
      <c r="T1342" s="547">
        <f t="shared" si="229"/>
        <v>0</v>
      </c>
      <c r="U1342" s="546">
        <f t="shared" si="230"/>
        <v>64587</v>
      </c>
      <c r="W1342" s="350">
        <f t="shared" si="223"/>
        <v>2183180</v>
      </c>
      <c r="X1342" s="285">
        <f t="shared" si="231"/>
        <v>1</v>
      </c>
    </row>
    <row r="1343" spans="1:24" ht="12" thickBot="1">
      <c r="A1343" s="541" t="s">
        <v>1502</v>
      </c>
      <c r="B1343" s="541" t="s">
        <v>323</v>
      </c>
      <c r="C1343" s="541" t="s">
        <v>1056</v>
      </c>
      <c r="D1343" s="552" t="s">
        <v>1139</v>
      </c>
      <c r="E1343" s="543"/>
      <c r="F1343" s="545"/>
      <c r="G1343" s="544"/>
      <c r="H1343" s="545"/>
      <c r="I1343" s="545"/>
      <c r="J1343" s="545"/>
      <c r="K1343" s="545"/>
      <c r="L1343" s="545"/>
      <c r="M1343" s="544"/>
      <c r="N1343" s="544"/>
      <c r="O1343" s="545"/>
      <c r="P1343" s="545"/>
      <c r="Q1343" s="544"/>
      <c r="R1343" s="544"/>
      <c r="S1343" s="546">
        <f t="shared" si="228"/>
        <v>0</v>
      </c>
      <c r="T1343" s="547">
        <f t="shared" si="229"/>
        <v>0</v>
      </c>
      <c r="U1343" s="546">
        <f t="shared" si="230"/>
        <v>0</v>
      </c>
      <c r="W1343" s="350">
        <f t="shared" si="223"/>
        <v>0</v>
      </c>
      <c r="X1343" s="285">
        <f t="shared" si="231"/>
        <v>0</v>
      </c>
    </row>
    <row r="1344" spans="1:24" ht="12" thickBot="1">
      <c r="A1344" s="541" t="s">
        <v>1502</v>
      </c>
      <c r="B1344" s="541" t="s">
        <v>328</v>
      </c>
      <c r="C1344" s="541" t="s">
        <v>1057</v>
      </c>
      <c r="D1344" s="552" t="s">
        <v>1139</v>
      </c>
      <c r="E1344" s="549"/>
      <c r="F1344" s="551"/>
      <c r="G1344" s="550"/>
      <c r="H1344" s="551"/>
      <c r="I1344" s="551"/>
      <c r="J1344" s="551"/>
      <c r="K1344" s="551"/>
      <c r="L1344" s="551"/>
      <c r="M1344" s="550"/>
      <c r="N1344" s="550"/>
      <c r="O1344" s="551"/>
      <c r="P1344" s="551"/>
      <c r="Q1344" s="550"/>
      <c r="R1344" s="550"/>
      <c r="S1344" s="546">
        <f t="shared" si="228"/>
        <v>0</v>
      </c>
      <c r="T1344" s="547">
        <f t="shared" si="229"/>
        <v>0</v>
      </c>
      <c r="U1344" s="546">
        <f t="shared" si="230"/>
        <v>0</v>
      </c>
      <c r="W1344" s="350">
        <f t="shared" si="223"/>
        <v>0</v>
      </c>
      <c r="X1344" s="285">
        <f t="shared" si="231"/>
        <v>0</v>
      </c>
    </row>
    <row r="1345" spans="1:24" ht="12" thickBot="1">
      <c r="A1345" s="541" t="s">
        <v>1502</v>
      </c>
      <c r="B1345" s="541" t="s">
        <v>331</v>
      </c>
      <c r="C1345" s="541" t="s">
        <v>1058</v>
      </c>
      <c r="D1345" s="552" t="s">
        <v>1139</v>
      </c>
      <c r="E1345" s="543"/>
      <c r="F1345" s="545"/>
      <c r="G1345" s="544"/>
      <c r="H1345" s="545"/>
      <c r="I1345" s="545"/>
      <c r="J1345" s="545"/>
      <c r="K1345" s="545"/>
      <c r="L1345" s="545"/>
      <c r="M1345" s="544"/>
      <c r="N1345" s="544"/>
      <c r="O1345" s="545"/>
      <c r="P1345" s="545"/>
      <c r="Q1345" s="544"/>
      <c r="R1345" s="544"/>
      <c r="S1345" s="546">
        <f t="shared" si="228"/>
        <v>0</v>
      </c>
      <c r="T1345" s="547">
        <f t="shared" si="229"/>
        <v>0</v>
      </c>
      <c r="U1345" s="546">
        <f t="shared" si="230"/>
        <v>0</v>
      </c>
      <c r="W1345" s="350">
        <f t="shared" si="223"/>
        <v>0</v>
      </c>
      <c r="X1345" s="285">
        <f t="shared" si="231"/>
        <v>0</v>
      </c>
    </row>
    <row r="1346" spans="1:24" ht="12" thickBot="1">
      <c r="A1346" s="541" t="s">
        <v>1502</v>
      </c>
      <c r="B1346" s="541" t="s">
        <v>332</v>
      </c>
      <c r="C1346" s="541" t="s">
        <v>1059</v>
      </c>
      <c r="D1346" s="552" t="s">
        <v>1139</v>
      </c>
      <c r="E1346" s="549"/>
      <c r="F1346" s="551"/>
      <c r="G1346" s="550"/>
      <c r="H1346" s="551"/>
      <c r="I1346" s="551"/>
      <c r="J1346" s="551"/>
      <c r="K1346" s="551"/>
      <c r="L1346" s="551"/>
      <c r="M1346" s="550"/>
      <c r="N1346" s="550"/>
      <c r="O1346" s="551"/>
      <c r="P1346" s="551"/>
      <c r="Q1346" s="550"/>
      <c r="R1346" s="550"/>
      <c r="S1346" s="546">
        <f t="shared" si="228"/>
        <v>0</v>
      </c>
      <c r="T1346" s="547">
        <f t="shared" si="229"/>
        <v>0</v>
      </c>
      <c r="U1346" s="546">
        <f t="shared" si="230"/>
        <v>0</v>
      </c>
      <c r="W1346" s="350">
        <f t="shared" si="223"/>
        <v>0</v>
      </c>
      <c r="X1346" s="285">
        <f t="shared" si="231"/>
        <v>0</v>
      </c>
    </row>
    <row r="1347" spans="1:24" ht="12" thickBot="1">
      <c r="A1347" s="541" t="s">
        <v>1502</v>
      </c>
      <c r="B1347" s="541" t="s">
        <v>333</v>
      </c>
      <c r="C1347" s="541" t="s">
        <v>1060</v>
      </c>
      <c r="D1347" s="552" t="s">
        <v>1139</v>
      </c>
      <c r="E1347" s="543"/>
      <c r="F1347" s="545"/>
      <c r="G1347" s="544"/>
      <c r="H1347" s="545"/>
      <c r="I1347" s="545"/>
      <c r="J1347" s="545"/>
      <c r="K1347" s="545"/>
      <c r="L1347" s="545"/>
      <c r="M1347" s="544"/>
      <c r="N1347" s="544"/>
      <c r="O1347" s="545"/>
      <c r="P1347" s="545"/>
      <c r="Q1347" s="544"/>
      <c r="R1347" s="544"/>
      <c r="S1347" s="546">
        <f t="shared" si="228"/>
        <v>0</v>
      </c>
      <c r="T1347" s="547">
        <f t="shared" si="229"/>
        <v>0</v>
      </c>
      <c r="U1347" s="546">
        <f t="shared" si="230"/>
        <v>0</v>
      </c>
      <c r="W1347" s="350">
        <f t="shared" si="223"/>
        <v>0</v>
      </c>
      <c r="X1347" s="285">
        <f t="shared" si="231"/>
        <v>0</v>
      </c>
    </row>
    <row r="1348" spans="1:24" ht="12" thickBot="1">
      <c r="A1348" s="541" t="s">
        <v>1502</v>
      </c>
      <c r="B1348" s="541" t="s">
        <v>335</v>
      </c>
      <c r="C1348" s="541" t="s">
        <v>1061</v>
      </c>
      <c r="D1348" s="552" t="s">
        <v>1139</v>
      </c>
      <c r="E1348" s="549"/>
      <c r="F1348" s="551"/>
      <c r="G1348" s="550"/>
      <c r="H1348" s="551"/>
      <c r="I1348" s="551"/>
      <c r="J1348" s="551"/>
      <c r="K1348" s="551"/>
      <c r="L1348" s="551"/>
      <c r="M1348" s="550"/>
      <c r="N1348" s="550"/>
      <c r="O1348" s="551"/>
      <c r="P1348" s="551"/>
      <c r="Q1348" s="550"/>
      <c r="R1348" s="550"/>
      <c r="S1348" s="546">
        <f t="shared" si="228"/>
        <v>0</v>
      </c>
      <c r="T1348" s="547">
        <f t="shared" si="229"/>
        <v>0</v>
      </c>
      <c r="U1348" s="546">
        <f t="shared" si="230"/>
        <v>0</v>
      </c>
      <c r="W1348" s="350">
        <f t="shared" si="223"/>
        <v>0</v>
      </c>
      <c r="X1348" s="285">
        <f t="shared" si="231"/>
        <v>0</v>
      </c>
    </row>
    <row r="1349" spans="1:24" ht="12" thickBot="1">
      <c r="A1349" s="541" t="s">
        <v>1502</v>
      </c>
      <c r="B1349" s="541" t="s">
        <v>336</v>
      </c>
      <c r="C1349" s="541" t="s">
        <v>1062</v>
      </c>
      <c r="D1349" s="552" t="s">
        <v>1139</v>
      </c>
      <c r="E1349" s="543"/>
      <c r="F1349" s="545"/>
      <c r="G1349" s="544"/>
      <c r="H1349" s="545"/>
      <c r="I1349" s="545"/>
      <c r="J1349" s="545"/>
      <c r="K1349" s="545"/>
      <c r="L1349" s="545"/>
      <c r="M1349" s="544"/>
      <c r="N1349" s="544"/>
      <c r="O1349" s="545"/>
      <c r="P1349" s="545"/>
      <c r="Q1349" s="544"/>
      <c r="R1349" s="544"/>
      <c r="S1349" s="546">
        <f t="shared" si="228"/>
        <v>0</v>
      </c>
      <c r="T1349" s="547">
        <f t="shared" si="229"/>
        <v>0</v>
      </c>
      <c r="U1349" s="546">
        <f t="shared" si="230"/>
        <v>0</v>
      </c>
      <c r="W1349" s="350">
        <f t="shared" si="223"/>
        <v>0</v>
      </c>
      <c r="X1349" s="285">
        <f t="shared" si="231"/>
        <v>0</v>
      </c>
    </row>
    <row r="1350" spans="1:24" ht="12" thickBot="1">
      <c r="A1350" s="541" t="s">
        <v>1502</v>
      </c>
      <c r="B1350" s="541" t="s">
        <v>338</v>
      </c>
      <c r="C1350" s="541" t="s">
        <v>1063</v>
      </c>
      <c r="D1350" s="552" t="s">
        <v>1139</v>
      </c>
      <c r="E1350" s="549"/>
      <c r="F1350" s="551"/>
      <c r="G1350" s="550"/>
      <c r="H1350" s="551"/>
      <c r="I1350" s="551"/>
      <c r="J1350" s="551"/>
      <c r="K1350" s="551"/>
      <c r="L1350" s="551"/>
      <c r="M1350" s="550"/>
      <c r="N1350" s="550"/>
      <c r="O1350" s="551"/>
      <c r="P1350" s="551"/>
      <c r="Q1350" s="550"/>
      <c r="R1350" s="550"/>
      <c r="S1350" s="546">
        <f t="shared" si="228"/>
        <v>0</v>
      </c>
      <c r="T1350" s="547">
        <f t="shared" si="229"/>
        <v>0</v>
      </c>
      <c r="U1350" s="546">
        <f t="shared" si="230"/>
        <v>0</v>
      </c>
      <c r="W1350" s="350">
        <f t="shared" ref="W1350:W1413" si="235">SUM(F1350:Q1350)</f>
        <v>0</v>
      </c>
      <c r="X1350" s="285">
        <f t="shared" si="231"/>
        <v>0</v>
      </c>
    </row>
    <row r="1351" spans="1:24" ht="12" thickBot="1">
      <c r="A1351" s="541" t="s">
        <v>1502</v>
      </c>
      <c r="B1351" s="541" t="s">
        <v>339</v>
      </c>
      <c r="C1351" s="541" t="s">
        <v>1064</v>
      </c>
      <c r="D1351" s="552" t="s">
        <v>1139</v>
      </c>
      <c r="E1351" s="543"/>
      <c r="F1351" s="545"/>
      <c r="G1351" s="544"/>
      <c r="H1351" s="545"/>
      <c r="I1351" s="545"/>
      <c r="J1351" s="545"/>
      <c r="K1351" s="545"/>
      <c r="L1351" s="545"/>
      <c r="M1351" s="544"/>
      <c r="N1351" s="544"/>
      <c r="O1351" s="545"/>
      <c r="P1351" s="545"/>
      <c r="Q1351" s="544"/>
      <c r="R1351" s="544"/>
      <c r="S1351" s="546">
        <f t="shared" si="228"/>
        <v>0</v>
      </c>
      <c r="T1351" s="547">
        <f t="shared" si="229"/>
        <v>0</v>
      </c>
      <c r="U1351" s="546">
        <f t="shared" si="230"/>
        <v>0</v>
      </c>
      <c r="W1351" s="350">
        <f t="shared" si="235"/>
        <v>0</v>
      </c>
      <c r="X1351" s="285">
        <f t="shared" si="231"/>
        <v>0</v>
      </c>
    </row>
    <row r="1352" spans="1:24" ht="12" thickBot="1">
      <c r="A1352" s="541" t="s">
        <v>1502</v>
      </c>
      <c r="B1352" s="541" t="s">
        <v>325</v>
      </c>
      <c r="C1352" s="541" t="s">
        <v>1065</v>
      </c>
      <c r="D1352" s="552" t="s">
        <v>1139</v>
      </c>
      <c r="E1352" s="549"/>
      <c r="F1352" s="551"/>
      <c r="G1352" s="550"/>
      <c r="H1352" s="551"/>
      <c r="I1352" s="551"/>
      <c r="J1352" s="551"/>
      <c r="K1352" s="551"/>
      <c r="L1352" s="551"/>
      <c r="M1352" s="550"/>
      <c r="N1352" s="550"/>
      <c r="O1352" s="551"/>
      <c r="P1352" s="551"/>
      <c r="Q1352" s="550"/>
      <c r="R1352" s="550"/>
      <c r="S1352" s="546">
        <f t="shared" si="228"/>
        <v>0</v>
      </c>
      <c r="T1352" s="547">
        <f t="shared" si="229"/>
        <v>0</v>
      </c>
      <c r="U1352" s="546">
        <f t="shared" si="230"/>
        <v>0</v>
      </c>
      <c r="W1352" s="350">
        <f t="shared" si="235"/>
        <v>0</v>
      </c>
      <c r="X1352" s="285">
        <f t="shared" si="231"/>
        <v>0</v>
      </c>
    </row>
    <row r="1353" spans="1:24" ht="12" thickBot="1">
      <c r="A1353" s="541" t="s">
        <v>1502</v>
      </c>
      <c r="B1353" s="541" t="s">
        <v>334</v>
      </c>
      <c r="C1353" s="541" t="s">
        <v>1066</v>
      </c>
      <c r="D1353" s="552" t="s">
        <v>1139</v>
      </c>
      <c r="E1353" s="543"/>
      <c r="F1353" s="545"/>
      <c r="G1353" s="544"/>
      <c r="H1353" s="545"/>
      <c r="I1353" s="545"/>
      <c r="J1353" s="545"/>
      <c r="K1353" s="545"/>
      <c r="L1353" s="545"/>
      <c r="M1353" s="544"/>
      <c r="N1353" s="544"/>
      <c r="O1353" s="545"/>
      <c r="P1353" s="545"/>
      <c r="Q1353" s="544"/>
      <c r="R1353" s="544"/>
      <c r="S1353" s="546">
        <f t="shared" si="228"/>
        <v>0</v>
      </c>
      <c r="T1353" s="547">
        <f t="shared" si="229"/>
        <v>0</v>
      </c>
      <c r="U1353" s="546">
        <f t="shared" si="230"/>
        <v>0</v>
      </c>
      <c r="W1353" s="350">
        <f t="shared" si="235"/>
        <v>0</v>
      </c>
      <c r="X1353" s="285">
        <f t="shared" si="231"/>
        <v>0</v>
      </c>
    </row>
    <row r="1354" spans="1:24" ht="12" thickBot="1">
      <c r="A1354" s="541" t="s">
        <v>1502</v>
      </c>
      <c r="B1354" s="541" t="s">
        <v>326</v>
      </c>
      <c r="C1354" s="541" t="s">
        <v>1067</v>
      </c>
      <c r="D1354" s="552" t="s">
        <v>1139</v>
      </c>
      <c r="E1354" s="549"/>
      <c r="F1354" s="551"/>
      <c r="G1354" s="550"/>
      <c r="H1354" s="551"/>
      <c r="I1354" s="551"/>
      <c r="J1354" s="551"/>
      <c r="K1354" s="551"/>
      <c r="L1354" s="551"/>
      <c r="M1354" s="550"/>
      <c r="N1354" s="550"/>
      <c r="O1354" s="551"/>
      <c r="P1354" s="551"/>
      <c r="Q1354" s="550"/>
      <c r="R1354" s="550"/>
      <c r="S1354" s="546">
        <f t="shared" si="228"/>
        <v>0</v>
      </c>
      <c r="T1354" s="547">
        <f t="shared" si="229"/>
        <v>0</v>
      </c>
      <c r="U1354" s="546">
        <f t="shared" si="230"/>
        <v>0</v>
      </c>
      <c r="W1354" s="350">
        <f t="shared" si="235"/>
        <v>0</v>
      </c>
      <c r="X1354" s="285">
        <f t="shared" si="231"/>
        <v>0</v>
      </c>
    </row>
    <row r="1355" spans="1:24" ht="12" thickBot="1">
      <c r="A1355" s="541" t="s">
        <v>1502</v>
      </c>
      <c r="B1355" s="541" t="s">
        <v>330</v>
      </c>
      <c r="C1355" s="541" t="s">
        <v>1068</v>
      </c>
      <c r="D1355" s="552" t="s">
        <v>1139</v>
      </c>
      <c r="E1355" s="543"/>
      <c r="F1355" s="545"/>
      <c r="G1355" s="544"/>
      <c r="H1355" s="545"/>
      <c r="I1355" s="545"/>
      <c r="J1355" s="545"/>
      <c r="K1355" s="545"/>
      <c r="L1355" s="545"/>
      <c r="M1355" s="544"/>
      <c r="N1355" s="544"/>
      <c r="O1355" s="545"/>
      <c r="P1355" s="545"/>
      <c r="Q1355" s="544"/>
      <c r="R1355" s="544"/>
      <c r="S1355" s="546">
        <f t="shared" si="228"/>
        <v>0</v>
      </c>
      <c r="T1355" s="547">
        <f t="shared" si="229"/>
        <v>0</v>
      </c>
      <c r="U1355" s="546">
        <f t="shared" si="230"/>
        <v>0</v>
      </c>
      <c r="W1355" s="350">
        <f t="shared" si="235"/>
        <v>0</v>
      </c>
      <c r="X1355" s="285">
        <f t="shared" si="231"/>
        <v>0</v>
      </c>
    </row>
    <row r="1356" spans="1:24" ht="12" thickBot="1">
      <c r="A1356" s="541" t="s">
        <v>1502</v>
      </c>
      <c r="B1356" s="541" t="s">
        <v>337</v>
      </c>
      <c r="C1356" s="541" t="s">
        <v>1069</v>
      </c>
      <c r="D1356" s="552" t="s">
        <v>1139</v>
      </c>
      <c r="E1356" s="549"/>
      <c r="F1356" s="551"/>
      <c r="G1356" s="550"/>
      <c r="H1356" s="551"/>
      <c r="I1356" s="551"/>
      <c r="J1356" s="551"/>
      <c r="K1356" s="551"/>
      <c r="L1356" s="551"/>
      <c r="M1356" s="550"/>
      <c r="N1356" s="550"/>
      <c r="O1356" s="551"/>
      <c r="P1356" s="551"/>
      <c r="Q1356" s="550"/>
      <c r="R1356" s="550"/>
      <c r="S1356" s="546">
        <f t="shared" si="228"/>
        <v>0</v>
      </c>
      <c r="T1356" s="547">
        <f t="shared" si="229"/>
        <v>0</v>
      </c>
      <c r="U1356" s="546">
        <f t="shared" si="230"/>
        <v>0</v>
      </c>
      <c r="W1356" s="350">
        <f t="shared" si="235"/>
        <v>0</v>
      </c>
      <c r="X1356" s="285">
        <f t="shared" si="231"/>
        <v>0</v>
      </c>
    </row>
    <row r="1357" spans="1:24" ht="12" thickBot="1">
      <c r="A1357" s="541" t="s">
        <v>1502</v>
      </c>
      <c r="B1357" s="541" t="s">
        <v>329</v>
      </c>
      <c r="C1357" s="541" t="s">
        <v>1070</v>
      </c>
      <c r="D1357" s="552" t="s">
        <v>1139</v>
      </c>
      <c r="E1357" s="543"/>
      <c r="F1357" s="545"/>
      <c r="G1357" s="544"/>
      <c r="H1357" s="545"/>
      <c r="I1357" s="545"/>
      <c r="J1357" s="545"/>
      <c r="K1357" s="545"/>
      <c r="L1357" s="545"/>
      <c r="M1357" s="544"/>
      <c r="N1357" s="544"/>
      <c r="O1357" s="545"/>
      <c r="P1357" s="545"/>
      <c r="Q1357" s="544"/>
      <c r="R1357" s="544"/>
      <c r="S1357" s="546">
        <f t="shared" si="228"/>
        <v>0</v>
      </c>
      <c r="T1357" s="547">
        <f t="shared" si="229"/>
        <v>0</v>
      </c>
      <c r="U1357" s="546">
        <f t="shared" si="230"/>
        <v>0</v>
      </c>
      <c r="W1357" s="350">
        <f t="shared" si="235"/>
        <v>0</v>
      </c>
      <c r="X1357" s="285">
        <f t="shared" si="231"/>
        <v>0</v>
      </c>
    </row>
    <row r="1358" spans="1:24" ht="12" thickBot="1">
      <c r="A1358" s="541" t="s">
        <v>1502</v>
      </c>
      <c r="B1358" s="541" t="s">
        <v>327</v>
      </c>
      <c r="C1358" s="541" t="s">
        <v>1071</v>
      </c>
      <c r="D1358" s="552" t="s">
        <v>1139</v>
      </c>
      <c r="E1358" s="549"/>
      <c r="F1358" s="551"/>
      <c r="G1358" s="550"/>
      <c r="H1358" s="551"/>
      <c r="I1358" s="551"/>
      <c r="J1358" s="551"/>
      <c r="K1358" s="551"/>
      <c r="L1358" s="551"/>
      <c r="M1358" s="550"/>
      <c r="N1358" s="550"/>
      <c r="O1358" s="551"/>
      <c r="P1358" s="551"/>
      <c r="Q1358" s="550"/>
      <c r="R1358" s="550"/>
      <c r="S1358" s="546">
        <f t="shared" si="228"/>
        <v>0</v>
      </c>
      <c r="T1358" s="547">
        <f t="shared" si="229"/>
        <v>0</v>
      </c>
      <c r="U1358" s="546">
        <f t="shared" si="230"/>
        <v>0</v>
      </c>
      <c r="W1358" s="350">
        <f t="shared" si="235"/>
        <v>0</v>
      </c>
      <c r="X1358" s="285">
        <f t="shared" si="231"/>
        <v>0</v>
      </c>
    </row>
    <row r="1359" spans="1:24" ht="12" thickBot="1">
      <c r="A1359" s="541" t="s">
        <v>1502</v>
      </c>
      <c r="B1359" s="541" t="s">
        <v>453</v>
      </c>
      <c r="C1359" s="541" t="s">
        <v>1072</v>
      </c>
      <c r="D1359" s="552" t="s">
        <v>1139</v>
      </c>
      <c r="E1359" s="543"/>
      <c r="F1359" s="545"/>
      <c r="G1359" s="544"/>
      <c r="H1359" s="545"/>
      <c r="I1359" s="545"/>
      <c r="J1359" s="545"/>
      <c r="K1359" s="545"/>
      <c r="L1359" s="545"/>
      <c r="M1359" s="544"/>
      <c r="N1359" s="544"/>
      <c r="O1359" s="545"/>
      <c r="P1359" s="545"/>
      <c r="Q1359" s="545"/>
      <c r="R1359" s="544"/>
      <c r="S1359" s="546">
        <f t="shared" si="228"/>
        <v>0</v>
      </c>
      <c r="T1359" s="547">
        <f t="shared" si="229"/>
        <v>0</v>
      </c>
      <c r="U1359" s="546">
        <f t="shared" si="230"/>
        <v>0</v>
      </c>
      <c r="W1359" s="350">
        <f t="shared" si="235"/>
        <v>0</v>
      </c>
      <c r="X1359" s="285">
        <f t="shared" si="231"/>
        <v>0</v>
      </c>
    </row>
    <row r="1360" spans="1:24" ht="12" thickBot="1">
      <c r="A1360" s="541" t="s">
        <v>1502</v>
      </c>
      <c r="B1360" s="541" t="s">
        <v>366</v>
      </c>
      <c r="C1360" s="541" t="s">
        <v>1073</v>
      </c>
      <c r="D1360" s="552" t="s">
        <v>1139</v>
      </c>
      <c r="E1360" s="549"/>
      <c r="F1360" s="551"/>
      <c r="G1360" s="550"/>
      <c r="H1360" s="551"/>
      <c r="I1360" s="551"/>
      <c r="J1360" s="551"/>
      <c r="K1360" s="551"/>
      <c r="L1360" s="551"/>
      <c r="M1360" s="550"/>
      <c r="N1360" s="550"/>
      <c r="O1360" s="551"/>
      <c r="P1360" s="551"/>
      <c r="Q1360" s="550"/>
      <c r="R1360" s="550"/>
      <c r="S1360" s="546">
        <f t="shared" si="228"/>
        <v>0</v>
      </c>
      <c r="T1360" s="547">
        <f t="shared" si="229"/>
        <v>0</v>
      </c>
      <c r="U1360" s="546">
        <f t="shared" si="230"/>
        <v>0</v>
      </c>
      <c r="W1360" s="350">
        <f t="shared" si="235"/>
        <v>0</v>
      </c>
      <c r="X1360" s="285">
        <f t="shared" si="231"/>
        <v>0</v>
      </c>
    </row>
    <row r="1361" spans="1:24" ht="12" thickBot="1">
      <c r="A1361" s="541" t="s">
        <v>1502</v>
      </c>
      <c r="B1361" s="541" t="s">
        <v>386</v>
      </c>
      <c r="C1361" s="541" t="s">
        <v>1074</v>
      </c>
      <c r="D1361" s="552" t="s">
        <v>1140</v>
      </c>
      <c r="E1361" s="543"/>
      <c r="F1361" s="545"/>
      <c r="G1361" s="544"/>
      <c r="H1361" s="545"/>
      <c r="I1361" s="545"/>
      <c r="J1361" s="545"/>
      <c r="K1361" s="545"/>
      <c r="L1361" s="545"/>
      <c r="M1361" s="544"/>
      <c r="N1361" s="544"/>
      <c r="O1361" s="545"/>
      <c r="P1361" s="545"/>
      <c r="Q1361" s="544"/>
      <c r="R1361" s="544"/>
      <c r="S1361" s="546">
        <f t="shared" si="228"/>
        <v>0</v>
      </c>
      <c r="T1361" s="547">
        <f t="shared" si="229"/>
        <v>0</v>
      </c>
      <c r="U1361" s="546">
        <f t="shared" si="230"/>
        <v>0</v>
      </c>
      <c r="W1361" s="350">
        <f t="shared" si="235"/>
        <v>0</v>
      </c>
      <c r="X1361" s="285">
        <f t="shared" si="231"/>
        <v>0</v>
      </c>
    </row>
    <row r="1362" spans="1:24" ht="12" thickBot="1">
      <c r="A1362" s="541" t="s">
        <v>1502</v>
      </c>
      <c r="B1362" s="541" t="s">
        <v>342</v>
      </c>
      <c r="C1362" s="541" t="s">
        <v>251</v>
      </c>
      <c r="D1362" s="552" t="s">
        <v>1139</v>
      </c>
      <c r="E1362" s="549"/>
      <c r="F1362" s="551"/>
      <c r="G1362" s="550"/>
      <c r="H1362" s="551"/>
      <c r="I1362" s="551"/>
      <c r="J1362" s="551"/>
      <c r="K1362" s="551"/>
      <c r="L1362" s="551"/>
      <c r="M1362" s="550"/>
      <c r="N1362" s="550"/>
      <c r="O1362" s="551"/>
      <c r="P1362" s="551"/>
      <c r="Q1362" s="550"/>
      <c r="R1362" s="550"/>
      <c r="S1362" s="546">
        <f t="shared" si="228"/>
        <v>0</v>
      </c>
      <c r="T1362" s="547">
        <f t="shared" si="229"/>
        <v>0</v>
      </c>
      <c r="U1362" s="546">
        <f t="shared" si="230"/>
        <v>0</v>
      </c>
      <c r="W1362" s="350">
        <f t="shared" si="235"/>
        <v>0</v>
      </c>
      <c r="X1362" s="285">
        <f t="shared" si="231"/>
        <v>0</v>
      </c>
    </row>
    <row r="1363" spans="1:24" ht="12" thickBot="1">
      <c r="A1363" s="541" t="s">
        <v>1502</v>
      </c>
      <c r="B1363" s="541" t="s">
        <v>382</v>
      </c>
      <c r="C1363" s="541" t="s">
        <v>1075</v>
      </c>
      <c r="D1363" s="552" t="s">
        <v>1140</v>
      </c>
      <c r="E1363" s="543"/>
      <c r="F1363" s="545"/>
      <c r="G1363" s="544"/>
      <c r="H1363" s="545"/>
      <c r="I1363" s="545"/>
      <c r="J1363" s="545"/>
      <c r="K1363" s="545"/>
      <c r="L1363" s="545"/>
      <c r="M1363" s="544"/>
      <c r="N1363" s="544"/>
      <c r="O1363" s="545"/>
      <c r="P1363" s="545"/>
      <c r="Q1363" s="544"/>
      <c r="R1363" s="544"/>
      <c r="S1363" s="546">
        <f t="shared" si="228"/>
        <v>0</v>
      </c>
      <c r="T1363" s="547">
        <f t="shared" si="229"/>
        <v>0</v>
      </c>
      <c r="U1363" s="546">
        <f t="shared" si="230"/>
        <v>0</v>
      </c>
      <c r="W1363" s="350">
        <f t="shared" si="235"/>
        <v>0</v>
      </c>
      <c r="X1363" s="285">
        <f t="shared" si="231"/>
        <v>0</v>
      </c>
    </row>
    <row r="1364" spans="1:24" ht="12" thickBot="1">
      <c r="A1364" s="541" t="s">
        <v>1502</v>
      </c>
      <c r="B1364" s="541" t="s">
        <v>360</v>
      </c>
      <c r="C1364" s="541" t="s">
        <v>1076</v>
      </c>
      <c r="D1364" s="552" t="s">
        <v>1140</v>
      </c>
      <c r="E1364" s="549"/>
      <c r="F1364" s="551"/>
      <c r="G1364" s="550"/>
      <c r="H1364" s="551"/>
      <c r="I1364" s="551"/>
      <c r="J1364" s="551"/>
      <c r="K1364" s="551"/>
      <c r="L1364" s="551"/>
      <c r="M1364" s="550"/>
      <c r="N1364" s="550"/>
      <c r="O1364" s="551"/>
      <c r="P1364" s="551"/>
      <c r="Q1364" s="550"/>
      <c r="R1364" s="550"/>
      <c r="S1364" s="546">
        <f t="shared" si="228"/>
        <v>0</v>
      </c>
      <c r="T1364" s="547">
        <f t="shared" si="229"/>
        <v>0</v>
      </c>
      <c r="U1364" s="546">
        <f t="shared" si="230"/>
        <v>0</v>
      </c>
      <c r="W1364" s="350">
        <f t="shared" si="235"/>
        <v>0</v>
      </c>
      <c r="X1364" s="285">
        <f t="shared" si="231"/>
        <v>0</v>
      </c>
    </row>
    <row r="1365" spans="1:24" ht="12" thickBot="1">
      <c r="A1365" s="541" t="s">
        <v>1502</v>
      </c>
      <c r="B1365" s="541" t="s">
        <v>368</v>
      </c>
      <c r="C1365" s="541" t="s">
        <v>1077</v>
      </c>
      <c r="D1365" s="552" t="s">
        <v>1139</v>
      </c>
      <c r="E1365" s="543"/>
      <c r="F1365" s="545"/>
      <c r="G1365" s="544"/>
      <c r="H1365" s="545"/>
      <c r="I1365" s="545"/>
      <c r="J1365" s="545"/>
      <c r="K1365" s="545"/>
      <c r="L1365" s="545"/>
      <c r="M1365" s="544"/>
      <c r="N1365" s="544"/>
      <c r="O1365" s="545"/>
      <c r="P1365" s="545"/>
      <c r="Q1365" s="544"/>
      <c r="R1365" s="544"/>
      <c r="S1365" s="546">
        <f t="shared" si="228"/>
        <v>0</v>
      </c>
      <c r="T1365" s="547">
        <f t="shared" si="229"/>
        <v>0</v>
      </c>
      <c r="U1365" s="546">
        <f t="shared" si="230"/>
        <v>0</v>
      </c>
      <c r="W1365" s="350">
        <f t="shared" si="235"/>
        <v>0</v>
      </c>
      <c r="X1365" s="285">
        <f t="shared" si="231"/>
        <v>0</v>
      </c>
    </row>
    <row r="1366" spans="1:24" ht="12" thickBot="1">
      <c r="A1366" s="541" t="s">
        <v>1502</v>
      </c>
      <c r="B1366" s="541" t="s">
        <v>370</v>
      </c>
      <c r="C1366" s="541" t="s">
        <v>1078</v>
      </c>
      <c r="D1366" s="552" t="s">
        <v>1140</v>
      </c>
      <c r="E1366" s="549"/>
      <c r="F1366" s="551"/>
      <c r="G1366" s="550"/>
      <c r="H1366" s="551"/>
      <c r="I1366" s="551"/>
      <c r="J1366" s="551"/>
      <c r="K1366" s="551"/>
      <c r="L1366" s="551"/>
      <c r="M1366" s="550"/>
      <c r="N1366" s="550"/>
      <c r="O1366" s="551"/>
      <c r="P1366" s="551"/>
      <c r="Q1366" s="550"/>
      <c r="R1366" s="550"/>
      <c r="S1366" s="546">
        <f t="shared" si="228"/>
        <v>0</v>
      </c>
      <c r="T1366" s="547">
        <f t="shared" si="229"/>
        <v>0</v>
      </c>
      <c r="U1366" s="546">
        <f t="shared" si="230"/>
        <v>0</v>
      </c>
      <c r="W1366" s="350">
        <f t="shared" si="235"/>
        <v>0</v>
      </c>
      <c r="X1366" s="285">
        <f t="shared" si="231"/>
        <v>0</v>
      </c>
    </row>
    <row r="1367" spans="1:24" ht="12" thickBot="1">
      <c r="A1367" s="541" t="s">
        <v>1502</v>
      </c>
      <c r="B1367" s="541" t="s">
        <v>393</v>
      </c>
      <c r="C1367" s="541" t="s">
        <v>1079</v>
      </c>
      <c r="D1367" s="552" t="s">
        <v>1140</v>
      </c>
      <c r="E1367" s="543"/>
      <c r="F1367" s="545"/>
      <c r="G1367" s="544"/>
      <c r="H1367" s="545"/>
      <c r="I1367" s="545"/>
      <c r="J1367" s="545"/>
      <c r="K1367" s="545"/>
      <c r="L1367" s="545"/>
      <c r="M1367" s="544"/>
      <c r="N1367" s="544"/>
      <c r="O1367" s="545"/>
      <c r="P1367" s="545"/>
      <c r="Q1367" s="544"/>
      <c r="R1367" s="544"/>
      <c r="S1367" s="546">
        <f t="shared" si="228"/>
        <v>0</v>
      </c>
      <c r="T1367" s="547">
        <f t="shared" si="229"/>
        <v>0</v>
      </c>
      <c r="U1367" s="546">
        <f t="shared" si="230"/>
        <v>0</v>
      </c>
      <c r="W1367" s="350">
        <f t="shared" si="235"/>
        <v>0</v>
      </c>
      <c r="X1367" s="285">
        <f t="shared" si="231"/>
        <v>0</v>
      </c>
    </row>
    <row r="1368" spans="1:24" ht="12" thickBot="1">
      <c r="A1368" s="541" t="s">
        <v>1502</v>
      </c>
      <c r="B1368" s="541" t="s">
        <v>371</v>
      </c>
      <c r="C1368" s="541" t="s">
        <v>1080</v>
      </c>
      <c r="D1368" s="552" t="s">
        <v>1139</v>
      </c>
      <c r="E1368" s="549"/>
      <c r="F1368" s="551"/>
      <c r="G1368" s="550"/>
      <c r="H1368" s="551"/>
      <c r="I1368" s="551"/>
      <c r="J1368" s="551"/>
      <c r="K1368" s="551"/>
      <c r="L1368" s="551"/>
      <c r="M1368" s="550"/>
      <c r="N1368" s="550"/>
      <c r="O1368" s="551"/>
      <c r="P1368" s="551"/>
      <c r="Q1368" s="550"/>
      <c r="R1368" s="550"/>
      <c r="S1368" s="546">
        <f t="shared" si="228"/>
        <v>0</v>
      </c>
      <c r="T1368" s="547">
        <f t="shared" si="229"/>
        <v>0</v>
      </c>
      <c r="U1368" s="546">
        <f t="shared" si="230"/>
        <v>0</v>
      </c>
      <c r="W1368" s="350">
        <f t="shared" si="235"/>
        <v>0</v>
      </c>
      <c r="X1368" s="285">
        <f t="shared" si="231"/>
        <v>0</v>
      </c>
    </row>
    <row r="1369" spans="1:24" ht="12" thickBot="1">
      <c r="A1369" s="541" t="s">
        <v>1502</v>
      </c>
      <c r="B1369" s="541" t="s">
        <v>394</v>
      </c>
      <c r="C1369" s="541" t="s">
        <v>1081</v>
      </c>
      <c r="D1369" s="552" t="s">
        <v>1139</v>
      </c>
      <c r="E1369" s="543"/>
      <c r="F1369" s="545"/>
      <c r="G1369" s="544"/>
      <c r="H1369" s="545"/>
      <c r="I1369" s="545"/>
      <c r="J1369" s="545"/>
      <c r="K1369" s="545"/>
      <c r="L1369" s="545"/>
      <c r="M1369" s="544"/>
      <c r="N1369" s="544"/>
      <c r="O1369" s="545"/>
      <c r="P1369" s="545"/>
      <c r="Q1369" s="544"/>
      <c r="R1369" s="544"/>
      <c r="S1369" s="546">
        <f t="shared" si="228"/>
        <v>0</v>
      </c>
      <c r="T1369" s="547">
        <f t="shared" si="229"/>
        <v>0</v>
      </c>
      <c r="U1369" s="546">
        <f t="shared" si="230"/>
        <v>0</v>
      </c>
      <c r="W1369" s="350">
        <f t="shared" si="235"/>
        <v>0</v>
      </c>
      <c r="X1369" s="285">
        <f t="shared" si="231"/>
        <v>0</v>
      </c>
    </row>
    <row r="1370" spans="1:24" ht="12" thickBot="1">
      <c r="A1370" s="541" t="s">
        <v>1502</v>
      </c>
      <c r="B1370" s="541" t="s">
        <v>389</v>
      </c>
      <c r="C1370" s="541" t="s">
        <v>1082</v>
      </c>
      <c r="D1370" s="552" t="s">
        <v>1139</v>
      </c>
      <c r="E1370" s="549"/>
      <c r="F1370" s="551"/>
      <c r="G1370" s="550"/>
      <c r="H1370" s="551"/>
      <c r="I1370" s="551"/>
      <c r="J1370" s="551"/>
      <c r="K1370" s="551"/>
      <c r="L1370" s="551"/>
      <c r="M1370" s="550"/>
      <c r="N1370" s="550"/>
      <c r="O1370" s="551"/>
      <c r="P1370" s="551"/>
      <c r="Q1370" s="550"/>
      <c r="R1370" s="550"/>
      <c r="S1370" s="546">
        <f t="shared" si="228"/>
        <v>0</v>
      </c>
      <c r="T1370" s="547">
        <f t="shared" si="229"/>
        <v>0</v>
      </c>
      <c r="U1370" s="546">
        <f t="shared" si="230"/>
        <v>0</v>
      </c>
      <c r="W1370" s="350">
        <f t="shared" si="235"/>
        <v>0</v>
      </c>
      <c r="X1370" s="285">
        <f t="shared" si="231"/>
        <v>0</v>
      </c>
    </row>
    <row r="1371" spans="1:24" ht="12" thickBot="1">
      <c r="A1371" s="541" t="s">
        <v>1502</v>
      </c>
      <c r="B1371" s="541" t="s">
        <v>310</v>
      </c>
      <c r="C1371" s="541" t="s">
        <v>1083</v>
      </c>
      <c r="D1371" s="552" t="s">
        <v>1140</v>
      </c>
      <c r="E1371" s="543"/>
      <c r="F1371" s="545"/>
      <c r="G1371" s="544"/>
      <c r="H1371" s="545"/>
      <c r="I1371" s="545"/>
      <c r="J1371" s="545"/>
      <c r="K1371" s="545"/>
      <c r="L1371" s="545"/>
      <c r="M1371" s="544"/>
      <c r="N1371" s="544"/>
      <c r="O1371" s="545"/>
      <c r="P1371" s="545"/>
      <c r="Q1371" s="544"/>
      <c r="R1371" s="544"/>
      <c r="S1371" s="546">
        <f t="shared" si="228"/>
        <v>0</v>
      </c>
      <c r="T1371" s="547">
        <f t="shared" si="229"/>
        <v>0</v>
      </c>
      <c r="U1371" s="546">
        <f t="shared" si="230"/>
        <v>0</v>
      </c>
      <c r="W1371" s="350">
        <f t="shared" si="235"/>
        <v>0</v>
      </c>
      <c r="X1371" s="285">
        <f t="shared" si="231"/>
        <v>0</v>
      </c>
    </row>
    <row r="1372" spans="1:24" ht="12" thickBot="1">
      <c r="A1372" s="541" t="s">
        <v>1502</v>
      </c>
      <c r="B1372" s="541" t="s">
        <v>340</v>
      </c>
      <c r="C1372" s="541" t="s">
        <v>1084</v>
      </c>
      <c r="D1372" s="552" t="s">
        <v>1140</v>
      </c>
      <c r="E1372" s="549"/>
      <c r="F1372" s="551"/>
      <c r="G1372" s="550"/>
      <c r="H1372" s="551"/>
      <c r="I1372" s="551"/>
      <c r="J1372" s="551"/>
      <c r="K1372" s="551"/>
      <c r="L1372" s="551"/>
      <c r="M1372" s="550"/>
      <c r="N1372" s="550"/>
      <c r="O1372" s="551"/>
      <c r="P1372" s="551"/>
      <c r="Q1372" s="550"/>
      <c r="R1372" s="550"/>
      <c r="S1372" s="546">
        <f t="shared" ref="S1372:S1435" si="236">G1372+H1372+I1372</f>
        <v>0</v>
      </c>
      <c r="T1372" s="547">
        <f t="shared" ref="T1372:T1435" si="237">J1372+K1372</f>
        <v>0</v>
      </c>
      <c r="U1372" s="546">
        <f t="shared" ref="U1372:U1435" si="238">N1372+O1372</f>
        <v>0</v>
      </c>
      <c r="W1372" s="350">
        <f t="shared" si="235"/>
        <v>0</v>
      </c>
      <c r="X1372" s="285">
        <f t="shared" ref="X1372:X1435" si="239">W1372-R1372</f>
        <v>0</v>
      </c>
    </row>
    <row r="1373" spans="1:24" ht="12" thickBot="1">
      <c r="A1373" s="541" t="s">
        <v>1502</v>
      </c>
      <c r="B1373" s="541" t="s">
        <v>358</v>
      </c>
      <c r="C1373" s="541" t="s">
        <v>1085</v>
      </c>
      <c r="D1373" s="552" t="s">
        <v>1140</v>
      </c>
      <c r="E1373" s="543"/>
      <c r="F1373" s="545"/>
      <c r="G1373" s="544"/>
      <c r="H1373" s="545"/>
      <c r="I1373" s="545"/>
      <c r="J1373" s="545"/>
      <c r="K1373" s="545"/>
      <c r="L1373" s="545"/>
      <c r="M1373" s="544"/>
      <c r="N1373" s="544"/>
      <c r="O1373" s="545"/>
      <c r="P1373" s="545"/>
      <c r="Q1373" s="544"/>
      <c r="R1373" s="544"/>
      <c r="S1373" s="546">
        <f t="shared" si="236"/>
        <v>0</v>
      </c>
      <c r="T1373" s="547">
        <f t="shared" si="237"/>
        <v>0</v>
      </c>
      <c r="U1373" s="546">
        <f t="shared" si="238"/>
        <v>0</v>
      </c>
      <c r="W1373" s="350">
        <f t="shared" si="235"/>
        <v>0</v>
      </c>
      <c r="X1373" s="285">
        <f t="shared" si="239"/>
        <v>0</v>
      </c>
    </row>
    <row r="1374" spans="1:24" ht="12" thickBot="1">
      <c r="A1374" s="541" t="s">
        <v>1502</v>
      </c>
      <c r="B1374" s="541" t="s">
        <v>383</v>
      </c>
      <c r="C1374" s="541" t="s">
        <v>1086</v>
      </c>
      <c r="D1374" s="552" t="s">
        <v>1140</v>
      </c>
      <c r="E1374" s="549"/>
      <c r="F1374" s="551"/>
      <c r="G1374" s="550"/>
      <c r="H1374" s="551"/>
      <c r="I1374" s="551"/>
      <c r="J1374" s="551"/>
      <c r="K1374" s="551"/>
      <c r="L1374" s="551"/>
      <c r="M1374" s="550"/>
      <c r="N1374" s="550"/>
      <c r="O1374" s="551"/>
      <c r="P1374" s="551"/>
      <c r="Q1374" s="550"/>
      <c r="R1374" s="550"/>
      <c r="S1374" s="546">
        <f t="shared" si="236"/>
        <v>0</v>
      </c>
      <c r="T1374" s="547">
        <f t="shared" si="237"/>
        <v>0</v>
      </c>
      <c r="U1374" s="546">
        <f t="shared" si="238"/>
        <v>0</v>
      </c>
      <c r="W1374" s="350">
        <f t="shared" si="235"/>
        <v>0</v>
      </c>
      <c r="X1374" s="285">
        <f t="shared" si="239"/>
        <v>0</v>
      </c>
    </row>
    <row r="1375" spans="1:24" ht="12" thickBot="1">
      <c r="A1375" s="541" t="s">
        <v>1502</v>
      </c>
      <c r="B1375" s="541" t="s">
        <v>375</v>
      </c>
      <c r="C1375" s="541" t="s">
        <v>1087</v>
      </c>
      <c r="D1375" s="552" t="s">
        <v>1140</v>
      </c>
      <c r="E1375" s="543"/>
      <c r="F1375" s="545"/>
      <c r="G1375" s="544"/>
      <c r="H1375" s="545"/>
      <c r="I1375" s="545"/>
      <c r="J1375" s="545"/>
      <c r="K1375" s="545"/>
      <c r="L1375" s="545"/>
      <c r="M1375" s="544"/>
      <c r="N1375" s="544"/>
      <c r="O1375" s="545"/>
      <c r="P1375" s="545"/>
      <c r="Q1375" s="544"/>
      <c r="R1375" s="544"/>
      <c r="S1375" s="546">
        <f t="shared" si="236"/>
        <v>0</v>
      </c>
      <c r="T1375" s="547">
        <f t="shared" si="237"/>
        <v>0</v>
      </c>
      <c r="U1375" s="546">
        <f t="shared" si="238"/>
        <v>0</v>
      </c>
      <c r="W1375" s="350">
        <f t="shared" si="235"/>
        <v>0</v>
      </c>
      <c r="X1375" s="285">
        <f t="shared" si="239"/>
        <v>0</v>
      </c>
    </row>
    <row r="1376" spans="1:24" ht="12" thickBot="1">
      <c r="A1376" s="541" t="s">
        <v>1502</v>
      </c>
      <c r="B1376" s="541" t="s">
        <v>400</v>
      </c>
      <c r="C1376" s="541" t="s">
        <v>1088</v>
      </c>
      <c r="D1376" s="552" t="s">
        <v>1139</v>
      </c>
      <c r="E1376" s="549"/>
      <c r="F1376" s="551"/>
      <c r="G1376" s="550"/>
      <c r="H1376" s="551"/>
      <c r="I1376" s="551"/>
      <c r="J1376" s="551"/>
      <c r="K1376" s="551"/>
      <c r="L1376" s="551"/>
      <c r="M1376" s="550"/>
      <c r="N1376" s="550"/>
      <c r="O1376" s="551"/>
      <c r="P1376" s="551"/>
      <c r="Q1376" s="550"/>
      <c r="R1376" s="550"/>
      <c r="S1376" s="546">
        <f t="shared" si="236"/>
        <v>0</v>
      </c>
      <c r="T1376" s="547">
        <f t="shared" si="237"/>
        <v>0</v>
      </c>
      <c r="U1376" s="546">
        <f t="shared" si="238"/>
        <v>0</v>
      </c>
      <c r="W1376" s="350">
        <f t="shared" si="235"/>
        <v>0</v>
      </c>
      <c r="X1376" s="285">
        <f t="shared" si="239"/>
        <v>0</v>
      </c>
    </row>
    <row r="1377" spans="1:24" ht="12" thickBot="1">
      <c r="A1377" s="541" t="s">
        <v>1502</v>
      </c>
      <c r="B1377" s="541" t="s">
        <v>391</v>
      </c>
      <c r="C1377" s="541" t="s">
        <v>1089</v>
      </c>
      <c r="D1377" s="552" t="s">
        <v>1139</v>
      </c>
      <c r="E1377" s="543"/>
      <c r="F1377" s="545"/>
      <c r="G1377" s="544"/>
      <c r="H1377" s="545"/>
      <c r="I1377" s="545"/>
      <c r="J1377" s="545"/>
      <c r="K1377" s="545"/>
      <c r="L1377" s="545"/>
      <c r="M1377" s="544"/>
      <c r="N1377" s="544"/>
      <c r="O1377" s="545"/>
      <c r="P1377" s="545"/>
      <c r="Q1377" s="544"/>
      <c r="R1377" s="544"/>
      <c r="S1377" s="546">
        <f t="shared" si="236"/>
        <v>0</v>
      </c>
      <c r="T1377" s="547">
        <f t="shared" si="237"/>
        <v>0</v>
      </c>
      <c r="U1377" s="546">
        <f t="shared" si="238"/>
        <v>0</v>
      </c>
      <c r="W1377" s="350">
        <f t="shared" si="235"/>
        <v>0</v>
      </c>
      <c r="X1377" s="285">
        <f t="shared" si="239"/>
        <v>0</v>
      </c>
    </row>
    <row r="1378" spans="1:24" ht="12" thickBot="1">
      <c r="A1378" s="541" t="s">
        <v>1502</v>
      </c>
      <c r="B1378" s="541" t="s">
        <v>357</v>
      </c>
      <c r="C1378" s="541" t="s">
        <v>1090</v>
      </c>
      <c r="D1378" s="552" t="s">
        <v>1140</v>
      </c>
      <c r="E1378" s="549"/>
      <c r="F1378" s="551"/>
      <c r="G1378" s="550"/>
      <c r="H1378" s="551"/>
      <c r="I1378" s="551"/>
      <c r="J1378" s="551"/>
      <c r="K1378" s="551"/>
      <c r="L1378" s="551"/>
      <c r="M1378" s="550"/>
      <c r="N1378" s="550"/>
      <c r="O1378" s="551"/>
      <c r="P1378" s="551"/>
      <c r="Q1378" s="550"/>
      <c r="R1378" s="550"/>
      <c r="S1378" s="546">
        <f t="shared" si="236"/>
        <v>0</v>
      </c>
      <c r="T1378" s="547">
        <f t="shared" si="237"/>
        <v>0</v>
      </c>
      <c r="U1378" s="546">
        <f t="shared" si="238"/>
        <v>0</v>
      </c>
      <c r="W1378" s="350">
        <f t="shared" si="235"/>
        <v>0</v>
      </c>
      <c r="X1378" s="285">
        <f t="shared" si="239"/>
        <v>0</v>
      </c>
    </row>
    <row r="1379" spans="1:24" ht="12" thickBot="1">
      <c r="A1379" s="541" t="s">
        <v>1502</v>
      </c>
      <c r="B1379" s="541" t="s">
        <v>359</v>
      </c>
      <c r="C1379" s="541" t="s">
        <v>1091</v>
      </c>
      <c r="D1379" s="552" t="s">
        <v>1140</v>
      </c>
      <c r="E1379" s="543"/>
      <c r="F1379" s="545"/>
      <c r="G1379" s="544"/>
      <c r="H1379" s="545"/>
      <c r="I1379" s="545"/>
      <c r="J1379" s="545"/>
      <c r="K1379" s="545"/>
      <c r="L1379" s="545"/>
      <c r="M1379" s="544"/>
      <c r="N1379" s="544"/>
      <c r="O1379" s="545"/>
      <c r="P1379" s="545"/>
      <c r="Q1379" s="544"/>
      <c r="R1379" s="544"/>
      <c r="S1379" s="546">
        <f t="shared" si="236"/>
        <v>0</v>
      </c>
      <c r="T1379" s="547">
        <f t="shared" si="237"/>
        <v>0</v>
      </c>
      <c r="U1379" s="546">
        <f t="shared" si="238"/>
        <v>0</v>
      </c>
      <c r="W1379" s="350">
        <f t="shared" si="235"/>
        <v>0</v>
      </c>
      <c r="X1379" s="285">
        <f t="shared" si="239"/>
        <v>0</v>
      </c>
    </row>
    <row r="1380" spans="1:24" ht="12" thickBot="1">
      <c r="A1380" s="541" t="s">
        <v>1502</v>
      </c>
      <c r="B1380" s="541" t="s">
        <v>385</v>
      </c>
      <c r="C1380" s="541" t="s">
        <v>1092</v>
      </c>
      <c r="D1380" s="552" t="s">
        <v>1140</v>
      </c>
      <c r="E1380" s="549"/>
      <c r="F1380" s="551"/>
      <c r="G1380" s="550"/>
      <c r="H1380" s="551"/>
      <c r="I1380" s="551"/>
      <c r="J1380" s="551"/>
      <c r="K1380" s="551"/>
      <c r="L1380" s="551"/>
      <c r="M1380" s="550"/>
      <c r="N1380" s="550"/>
      <c r="O1380" s="551"/>
      <c r="P1380" s="551"/>
      <c r="Q1380" s="550"/>
      <c r="R1380" s="550"/>
      <c r="S1380" s="546">
        <f t="shared" si="236"/>
        <v>0</v>
      </c>
      <c r="T1380" s="547">
        <f t="shared" si="237"/>
        <v>0</v>
      </c>
      <c r="U1380" s="546">
        <f t="shared" si="238"/>
        <v>0</v>
      </c>
      <c r="W1380" s="350">
        <f t="shared" si="235"/>
        <v>0</v>
      </c>
      <c r="X1380" s="285">
        <f t="shared" si="239"/>
        <v>0</v>
      </c>
    </row>
    <row r="1381" spans="1:24" ht="12" thickBot="1">
      <c r="A1381" s="541" t="s">
        <v>1502</v>
      </c>
      <c r="B1381" s="541" t="s">
        <v>312</v>
      </c>
      <c r="C1381" s="541" t="s">
        <v>1093</v>
      </c>
      <c r="D1381" s="552" t="s">
        <v>1140</v>
      </c>
      <c r="E1381" s="543"/>
      <c r="F1381" s="545"/>
      <c r="G1381" s="544"/>
      <c r="H1381" s="545"/>
      <c r="I1381" s="545"/>
      <c r="J1381" s="545"/>
      <c r="K1381" s="545"/>
      <c r="L1381" s="545"/>
      <c r="M1381" s="544"/>
      <c r="N1381" s="544"/>
      <c r="O1381" s="545"/>
      <c r="P1381" s="545"/>
      <c r="Q1381" s="544"/>
      <c r="R1381" s="544"/>
      <c r="S1381" s="546">
        <f t="shared" si="236"/>
        <v>0</v>
      </c>
      <c r="T1381" s="547">
        <f t="shared" si="237"/>
        <v>0</v>
      </c>
      <c r="U1381" s="546">
        <f t="shared" si="238"/>
        <v>0</v>
      </c>
      <c r="W1381" s="350">
        <f t="shared" si="235"/>
        <v>0</v>
      </c>
      <c r="X1381" s="285">
        <f t="shared" si="239"/>
        <v>0</v>
      </c>
    </row>
    <row r="1382" spans="1:24" ht="12" thickBot="1">
      <c r="A1382" s="541" t="s">
        <v>1502</v>
      </c>
      <c r="B1382" s="541" t="s">
        <v>421</v>
      </c>
      <c r="C1382" s="541" t="s">
        <v>1094</v>
      </c>
      <c r="D1382" s="552" t="s">
        <v>1140</v>
      </c>
      <c r="E1382" s="549"/>
      <c r="F1382" s="551"/>
      <c r="G1382" s="550"/>
      <c r="H1382" s="551"/>
      <c r="I1382" s="551"/>
      <c r="J1382" s="551"/>
      <c r="K1382" s="551"/>
      <c r="L1382" s="551"/>
      <c r="M1382" s="550"/>
      <c r="N1382" s="550"/>
      <c r="O1382" s="551"/>
      <c r="P1382" s="551"/>
      <c r="Q1382" s="550"/>
      <c r="R1382" s="550"/>
      <c r="S1382" s="546">
        <f t="shared" si="236"/>
        <v>0</v>
      </c>
      <c r="T1382" s="547">
        <f t="shared" si="237"/>
        <v>0</v>
      </c>
      <c r="U1382" s="546">
        <f t="shared" si="238"/>
        <v>0</v>
      </c>
      <c r="W1382" s="350">
        <f t="shared" si="235"/>
        <v>0</v>
      </c>
      <c r="X1382" s="285">
        <f t="shared" si="239"/>
        <v>0</v>
      </c>
    </row>
    <row r="1383" spans="1:24" ht="12" thickBot="1">
      <c r="A1383" s="541" t="s">
        <v>1502</v>
      </c>
      <c r="B1383" s="541" t="s">
        <v>322</v>
      </c>
      <c r="C1383" s="541" t="s">
        <v>1095</v>
      </c>
      <c r="D1383" s="552" t="s">
        <v>1139</v>
      </c>
      <c r="E1383" s="543"/>
      <c r="F1383" s="545"/>
      <c r="G1383" s="544"/>
      <c r="H1383" s="545"/>
      <c r="I1383" s="545"/>
      <c r="J1383" s="545"/>
      <c r="K1383" s="545"/>
      <c r="L1383" s="545"/>
      <c r="M1383" s="544"/>
      <c r="N1383" s="544"/>
      <c r="O1383" s="545"/>
      <c r="P1383" s="545"/>
      <c r="Q1383" s="544"/>
      <c r="R1383" s="544"/>
      <c r="S1383" s="546">
        <f t="shared" si="236"/>
        <v>0</v>
      </c>
      <c r="T1383" s="547">
        <f t="shared" si="237"/>
        <v>0</v>
      </c>
      <c r="U1383" s="546">
        <f t="shared" si="238"/>
        <v>0</v>
      </c>
      <c r="W1383" s="350">
        <f t="shared" si="235"/>
        <v>0</v>
      </c>
      <c r="X1383" s="285">
        <f t="shared" si="239"/>
        <v>0</v>
      </c>
    </row>
    <row r="1384" spans="1:24" ht="12" thickBot="1">
      <c r="A1384" s="541" t="s">
        <v>1502</v>
      </c>
      <c r="B1384" s="541" t="s">
        <v>354</v>
      </c>
      <c r="C1384" s="541" t="s">
        <v>1096</v>
      </c>
      <c r="D1384" s="552" t="s">
        <v>1139</v>
      </c>
      <c r="E1384" s="549"/>
      <c r="F1384" s="551"/>
      <c r="G1384" s="550"/>
      <c r="H1384" s="551"/>
      <c r="I1384" s="551"/>
      <c r="J1384" s="551"/>
      <c r="K1384" s="551"/>
      <c r="L1384" s="551"/>
      <c r="M1384" s="550"/>
      <c r="N1384" s="550"/>
      <c r="O1384" s="551"/>
      <c r="P1384" s="551"/>
      <c r="Q1384" s="550"/>
      <c r="R1384" s="550"/>
      <c r="S1384" s="546">
        <f t="shared" si="236"/>
        <v>0</v>
      </c>
      <c r="T1384" s="547">
        <f t="shared" si="237"/>
        <v>0</v>
      </c>
      <c r="U1384" s="546">
        <f t="shared" si="238"/>
        <v>0</v>
      </c>
      <c r="W1384" s="350">
        <f t="shared" si="235"/>
        <v>0</v>
      </c>
      <c r="X1384" s="285">
        <f t="shared" si="239"/>
        <v>0</v>
      </c>
    </row>
    <row r="1385" spans="1:24" ht="12" thickBot="1">
      <c r="A1385" s="541" t="s">
        <v>1502</v>
      </c>
      <c r="B1385" s="541" t="s">
        <v>317</v>
      </c>
      <c r="C1385" s="541" t="s">
        <v>1097</v>
      </c>
      <c r="D1385" s="552" t="s">
        <v>1139</v>
      </c>
      <c r="E1385" s="543"/>
      <c r="F1385" s="545"/>
      <c r="G1385" s="544"/>
      <c r="H1385" s="545"/>
      <c r="I1385" s="545"/>
      <c r="J1385" s="545"/>
      <c r="K1385" s="545"/>
      <c r="L1385" s="545"/>
      <c r="M1385" s="544"/>
      <c r="N1385" s="544"/>
      <c r="O1385" s="545"/>
      <c r="P1385" s="545"/>
      <c r="Q1385" s="544"/>
      <c r="R1385" s="544"/>
      <c r="S1385" s="546">
        <f t="shared" si="236"/>
        <v>0</v>
      </c>
      <c r="T1385" s="547">
        <f t="shared" si="237"/>
        <v>0</v>
      </c>
      <c r="U1385" s="546">
        <f t="shared" si="238"/>
        <v>0</v>
      </c>
      <c r="W1385" s="350">
        <f t="shared" si="235"/>
        <v>0</v>
      </c>
      <c r="X1385" s="285">
        <f t="shared" si="239"/>
        <v>0</v>
      </c>
    </row>
    <row r="1386" spans="1:24" ht="12" thickBot="1">
      <c r="A1386" s="541" t="s">
        <v>1502</v>
      </c>
      <c r="B1386" s="541" t="s">
        <v>320</v>
      </c>
      <c r="C1386" s="541" t="s">
        <v>1098</v>
      </c>
      <c r="D1386" s="552" t="s">
        <v>1140</v>
      </c>
      <c r="E1386" s="549"/>
      <c r="F1386" s="551"/>
      <c r="G1386" s="550"/>
      <c r="H1386" s="551"/>
      <c r="I1386" s="551"/>
      <c r="J1386" s="551"/>
      <c r="K1386" s="551"/>
      <c r="L1386" s="551"/>
      <c r="M1386" s="550"/>
      <c r="N1386" s="550"/>
      <c r="O1386" s="551"/>
      <c r="P1386" s="551"/>
      <c r="Q1386" s="550"/>
      <c r="R1386" s="550"/>
      <c r="S1386" s="546">
        <f t="shared" si="236"/>
        <v>0</v>
      </c>
      <c r="T1386" s="547">
        <f t="shared" si="237"/>
        <v>0</v>
      </c>
      <c r="U1386" s="546">
        <f t="shared" si="238"/>
        <v>0</v>
      </c>
      <c r="W1386" s="350">
        <f t="shared" si="235"/>
        <v>0</v>
      </c>
      <c r="X1386" s="285">
        <f t="shared" si="239"/>
        <v>0</v>
      </c>
    </row>
    <row r="1387" spans="1:24" ht="12" thickBot="1">
      <c r="A1387" s="541" t="s">
        <v>1502</v>
      </c>
      <c r="B1387" s="541" t="s">
        <v>352</v>
      </c>
      <c r="C1387" s="541" t="s">
        <v>1099</v>
      </c>
      <c r="D1387" s="552" t="s">
        <v>1140</v>
      </c>
      <c r="E1387" s="543"/>
      <c r="F1387" s="545"/>
      <c r="G1387" s="544"/>
      <c r="H1387" s="545"/>
      <c r="I1387" s="545"/>
      <c r="J1387" s="545"/>
      <c r="K1387" s="545"/>
      <c r="L1387" s="545"/>
      <c r="M1387" s="544"/>
      <c r="N1387" s="544"/>
      <c r="O1387" s="545"/>
      <c r="P1387" s="545"/>
      <c r="Q1387" s="544"/>
      <c r="R1387" s="544"/>
      <c r="S1387" s="546">
        <f t="shared" si="236"/>
        <v>0</v>
      </c>
      <c r="T1387" s="547">
        <f t="shared" si="237"/>
        <v>0</v>
      </c>
      <c r="U1387" s="546">
        <f t="shared" si="238"/>
        <v>0</v>
      </c>
      <c r="W1387" s="350">
        <f t="shared" si="235"/>
        <v>0</v>
      </c>
      <c r="X1387" s="285">
        <f t="shared" si="239"/>
        <v>0</v>
      </c>
    </row>
    <row r="1388" spans="1:24" ht="12" thickBot="1">
      <c r="A1388" s="541" t="s">
        <v>1502</v>
      </c>
      <c r="B1388" s="541" t="s">
        <v>384</v>
      </c>
      <c r="C1388" s="541" t="s">
        <v>1100</v>
      </c>
      <c r="D1388" s="552" t="s">
        <v>1140</v>
      </c>
      <c r="E1388" s="549"/>
      <c r="F1388" s="551"/>
      <c r="G1388" s="550"/>
      <c r="H1388" s="551"/>
      <c r="I1388" s="551"/>
      <c r="J1388" s="551"/>
      <c r="K1388" s="551"/>
      <c r="L1388" s="551"/>
      <c r="M1388" s="550"/>
      <c r="N1388" s="550"/>
      <c r="O1388" s="551"/>
      <c r="P1388" s="551"/>
      <c r="Q1388" s="550"/>
      <c r="R1388" s="550"/>
      <c r="S1388" s="546">
        <f t="shared" si="236"/>
        <v>0</v>
      </c>
      <c r="T1388" s="547">
        <f t="shared" si="237"/>
        <v>0</v>
      </c>
      <c r="U1388" s="546">
        <f t="shared" si="238"/>
        <v>0</v>
      </c>
      <c r="W1388" s="350">
        <f t="shared" si="235"/>
        <v>0</v>
      </c>
      <c r="X1388" s="285">
        <f t="shared" si="239"/>
        <v>0</v>
      </c>
    </row>
    <row r="1389" spans="1:24" ht="12" thickBot="1">
      <c r="A1389" s="541" t="s">
        <v>1502</v>
      </c>
      <c r="B1389" s="541" t="s">
        <v>311</v>
      </c>
      <c r="C1389" s="541" t="s">
        <v>1101</v>
      </c>
      <c r="D1389" s="552" t="s">
        <v>1140</v>
      </c>
      <c r="E1389" s="543"/>
      <c r="F1389" s="545"/>
      <c r="G1389" s="544"/>
      <c r="H1389" s="545"/>
      <c r="I1389" s="545"/>
      <c r="J1389" s="545"/>
      <c r="K1389" s="545"/>
      <c r="L1389" s="545"/>
      <c r="M1389" s="544"/>
      <c r="N1389" s="544"/>
      <c r="O1389" s="545"/>
      <c r="P1389" s="545"/>
      <c r="Q1389" s="544"/>
      <c r="R1389" s="544"/>
      <c r="S1389" s="546">
        <f t="shared" si="236"/>
        <v>0</v>
      </c>
      <c r="T1389" s="547">
        <f t="shared" si="237"/>
        <v>0</v>
      </c>
      <c r="U1389" s="546">
        <f t="shared" si="238"/>
        <v>0</v>
      </c>
      <c r="W1389" s="350">
        <f t="shared" si="235"/>
        <v>0</v>
      </c>
      <c r="X1389" s="285">
        <f t="shared" si="239"/>
        <v>0</v>
      </c>
    </row>
    <row r="1390" spans="1:24" ht="12" thickBot="1">
      <c r="A1390" s="541" t="s">
        <v>1502</v>
      </c>
      <c r="B1390" s="541" t="s">
        <v>341</v>
      </c>
      <c r="C1390" s="541" t="s">
        <v>1102</v>
      </c>
      <c r="D1390" s="552" t="s">
        <v>1140</v>
      </c>
      <c r="E1390" s="549"/>
      <c r="F1390" s="551"/>
      <c r="G1390" s="550"/>
      <c r="H1390" s="551"/>
      <c r="I1390" s="551"/>
      <c r="J1390" s="551"/>
      <c r="K1390" s="551"/>
      <c r="L1390" s="551"/>
      <c r="M1390" s="550"/>
      <c r="N1390" s="550"/>
      <c r="O1390" s="551"/>
      <c r="P1390" s="551"/>
      <c r="Q1390" s="550"/>
      <c r="R1390" s="550"/>
      <c r="S1390" s="546">
        <f t="shared" si="236"/>
        <v>0</v>
      </c>
      <c r="T1390" s="547">
        <f t="shared" si="237"/>
        <v>0</v>
      </c>
      <c r="U1390" s="546">
        <f t="shared" si="238"/>
        <v>0</v>
      </c>
      <c r="W1390" s="350">
        <f t="shared" si="235"/>
        <v>0</v>
      </c>
      <c r="X1390" s="285">
        <f t="shared" si="239"/>
        <v>0</v>
      </c>
    </row>
    <row r="1391" spans="1:24" ht="12" thickBot="1">
      <c r="A1391" s="541" t="s">
        <v>1502</v>
      </c>
      <c r="B1391" s="541" t="s">
        <v>315</v>
      </c>
      <c r="C1391" s="541" t="s">
        <v>1103</v>
      </c>
      <c r="D1391" s="552" t="s">
        <v>1140</v>
      </c>
      <c r="E1391" s="543"/>
      <c r="F1391" s="545"/>
      <c r="G1391" s="544"/>
      <c r="H1391" s="545"/>
      <c r="I1391" s="545"/>
      <c r="J1391" s="545"/>
      <c r="K1391" s="545"/>
      <c r="L1391" s="545"/>
      <c r="M1391" s="544"/>
      <c r="N1391" s="544"/>
      <c r="O1391" s="545"/>
      <c r="P1391" s="545"/>
      <c r="Q1391" s="544"/>
      <c r="R1391" s="544"/>
      <c r="S1391" s="546">
        <f t="shared" si="236"/>
        <v>0</v>
      </c>
      <c r="T1391" s="547">
        <f t="shared" si="237"/>
        <v>0</v>
      </c>
      <c r="U1391" s="546">
        <f t="shared" si="238"/>
        <v>0</v>
      </c>
      <c r="W1391" s="350">
        <f t="shared" si="235"/>
        <v>0</v>
      </c>
      <c r="X1391" s="285">
        <f t="shared" si="239"/>
        <v>0</v>
      </c>
    </row>
    <row r="1392" spans="1:24" ht="12" thickBot="1">
      <c r="A1392" s="541" t="s">
        <v>1502</v>
      </c>
      <c r="B1392" s="541" t="s">
        <v>319</v>
      </c>
      <c r="C1392" s="541" t="s">
        <v>1104</v>
      </c>
      <c r="D1392" s="552" t="s">
        <v>1140</v>
      </c>
      <c r="E1392" s="549"/>
      <c r="F1392" s="551"/>
      <c r="G1392" s="550"/>
      <c r="H1392" s="551"/>
      <c r="I1392" s="551"/>
      <c r="J1392" s="551"/>
      <c r="K1392" s="551"/>
      <c r="L1392" s="551"/>
      <c r="M1392" s="550"/>
      <c r="N1392" s="550"/>
      <c r="O1392" s="551"/>
      <c r="P1392" s="551"/>
      <c r="Q1392" s="550"/>
      <c r="R1392" s="550"/>
      <c r="S1392" s="546">
        <f t="shared" si="236"/>
        <v>0</v>
      </c>
      <c r="T1392" s="547">
        <f t="shared" si="237"/>
        <v>0</v>
      </c>
      <c r="U1392" s="546">
        <f t="shared" si="238"/>
        <v>0</v>
      </c>
      <c r="W1392" s="350">
        <f t="shared" si="235"/>
        <v>0</v>
      </c>
      <c r="X1392" s="285">
        <f t="shared" si="239"/>
        <v>0</v>
      </c>
    </row>
    <row r="1393" spans="1:24" ht="12" thickBot="1">
      <c r="A1393" s="541" t="s">
        <v>1502</v>
      </c>
      <c r="B1393" s="541" t="s">
        <v>356</v>
      </c>
      <c r="C1393" s="541" t="s">
        <v>1105</v>
      </c>
      <c r="D1393" s="552" t="s">
        <v>1140</v>
      </c>
      <c r="E1393" s="543"/>
      <c r="F1393" s="545"/>
      <c r="G1393" s="544"/>
      <c r="H1393" s="545"/>
      <c r="I1393" s="545"/>
      <c r="J1393" s="545"/>
      <c r="K1393" s="545"/>
      <c r="L1393" s="545"/>
      <c r="M1393" s="544"/>
      <c r="N1393" s="544"/>
      <c r="O1393" s="545"/>
      <c r="P1393" s="545"/>
      <c r="Q1393" s="544"/>
      <c r="R1393" s="544"/>
      <c r="S1393" s="546">
        <f t="shared" si="236"/>
        <v>0</v>
      </c>
      <c r="T1393" s="547">
        <f t="shared" si="237"/>
        <v>0</v>
      </c>
      <c r="U1393" s="546">
        <f t="shared" si="238"/>
        <v>0</v>
      </c>
      <c r="W1393" s="350">
        <f t="shared" si="235"/>
        <v>0</v>
      </c>
      <c r="X1393" s="285">
        <f t="shared" si="239"/>
        <v>0</v>
      </c>
    </row>
    <row r="1394" spans="1:24" ht="12" thickBot="1">
      <c r="A1394" s="541" t="s">
        <v>1502</v>
      </c>
      <c r="B1394" s="541" t="s">
        <v>365</v>
      </c>
      <c r="C1394" s="541" t="s">
        <v>1106</v>
      </c>
      <c r="D1394" s="552" t="s">
        <v>1139</v>
      </c>
      <c r="E1394" s="549"/>
      <c r="F1394" s="551"/>
      <c r="G1394" s="550"/>
      <c r="H1394" s="551"/>
      <c r="I1394" s="551"/>
      <c r="J1394" s="551"/>
      <c r="K1394" s="551"/>
      <c r="L1394" s="551"/>
      <c r="M1394" s="550"/>
      <c r="N1394" s="550"/>
      <c r="O1394" s="551"/>
      <c r="P1394" s="551"/>
      <c r="Q1394" s="550"/>
      <c r="R1394" s="550"/>
      <c r="S1394" s="546">
        <f t="shared" si="236"/>
        <v>0</v>
      </c>
      <c r="T1394" s="547">
        <f t="shared" si="237"/>
        <v>0</v>
      </c>
      <c r="U1394" s="546">
        <f t="shared" si="238"/>
        <v>0</v>
      </c>
      <c r="W1394" s="350">
        <f t="shared" si="235"/>
        <v>0</v>
      </c>
      <c r="X1394" s="285">
        <f t="shared" si="239"/>
        <v>0</v>
      </c>
    </row>
    <row r="1395" spans="1:24" ht="12" thickBot="1">
      <c r="A1395" s="541" t="s">
        <v>1502</v>
      </c>
      <c r="B1395" s="541" t="s">
        <v>388</v>
      </c>
      <c r="C1395" s="541" t="s">
        <v>1107</v>
      </c>
      <c r="D1395" s="552" t="s">
        <v>1139</v>
      </c>
      <c r="E1395" s="543"/>
      <c r="F1395" s="545"/>
      <c r="G1395" s="544"/>
      <c r="H1395" s="545"/>
      <c r="I1395" s="545"/>
      <c r="J1395" s="545"/>
      <c r="K1395" s="545"/>
      <c r="L1395" s="545"/>
      <c r="M1395" s="544"/>
      <c r="N1395" s="544"/>
      <c r="O1395" s="545"/>
      <c r="P1395" s="545"/>
      <c r="Q1395" s="544"/>
      <c r="R1395" s="544"/>
      <c r="S1395" s="546">
        <f t="shared" si="236"/>
        <v>0</v>
      </c>
      <c r="T1395" s="547">
        <f t="shared" si="237"/>
        <v>0</v>
      </c>
      <c r="U1395" s="546">
        <f t="shared" si="238"/>
        <v>0</v>
      </c>
      <c r="W1395" s="350">
        <f t="shared" si="235"/>
        <v>0</v>
      </c>
      <c r="X1395" s="285">
        <f t="shared" si="239"/>
        <v>0</v>
      </c>
    </row>
    <row r="1396" spans="1:24" ht="12" thickBot="1">
      <c r="A1396" s="541" t="s">
        <v>1502</v>
      </c>
      <c r="B1396" s="541" t="s">
        <v>345</v>
      </c>
      <c r="C1396" s="541" t="s">
        <v>1108</v>
      </c>
      <c r="D1396" s="552" t="s">
        <v>1139</v>
      </c>
      <c r="E1396" s="549"/>
      <c r="F1396" s="551"/>
      <c r="G1396" s="550"/>
      <c r="H1396" s="551"/>
      <c r="I1396" s="551"/>
      <c r="J1396" s="551"/>
      <c r="K1396" s="551"/>
      <c r="L1396" s="551"/>
      <c r="M1396" s="550"/>
      <c r="N1396" s="550"/>
      <c r="O1396" s="551"/>
      <c r="P1396" s="551"/>
      <c r="Q1396" s="550"/>
      <c r="R1396" s="550"/>
      <c r="S1396" s="546">
        <f t="shared" si="236"/>
        <v>0</v>
      </c>
      <c r="T1396" s="547">
        <f t="shared" si="237"/>
        <v>0</v>
      </c>
      <c r="U1396" s="546">
        <f t="shared" si="238"/>
        <v>0</v>
      </c>
      <c r="W1396" s="350">
        <f t="shared" si="235"/>
        <v>0</v>
      </c>
      <c r="X1396" s="285">
        <f t="shared" si="239"/>
        <v>0</v>
      </c>
    </row>
    <row r="1397" spans="1:24" ht="12" thickBot="1">
      <c r="A1397" s="541" t="s">
        <v>1502</v>
      </c>
      <c r="B1397" s="541" t="s">
        <v>377</v>
      </c>
      <c r="C1397" s="541" t="s">
        <v>1109</v>
      </c>
      <c r="D1397" s="552" t="s">
        <v>1139</v>
      </c>
      <c r="E1397" s="543"/>
      <c r="F1397" s="545"/>
      <c r="G1397" s="544"/>
      <c r="H1397" s="545"/>
      <c r="I1397" s="545"/>
      <c r="J1397" s="545"/>
      <c r="K1397" s="545"/>
      <c r="L1397" s="545"/>
      <c r="M1397" s="544"/>
      <c r="N1397" s="544"/>
      <c r="O1397" s="545"/>
      <c r="P1397" s="545"/>
      <c r="Q1397" s="544"/>
      <c r="R1397" s="544"/>
      <c r="S1397" s="546">
        <f t="shared" si="236"/>
        <v>0</v>
      </c>
      <c r="T1397" s="547">
        <f t="shared" si="237"/>
        <v>0</v>
      </c>
      <c r="U1397" s="546">
        <f t="shared" si="238"/>
        <v>0</v>
      </c>
      <c r="W1397" s="350">
        <f t="shared" si="235"/>
        <v>0</v>
      </c>
      <c r="X1397" s="285">
        <f t="shared" si="239"/>
        <v>0</v>
      </c>
    </row>
    <row r="1398" spans="1:24" ht="12" thickBot="1">
      <c r="A1398" s="541" t="s">
        <v>1502</v>
      </c>
      <c r="B1398" s="541" t="s">
        <v>1395</v>
      </c>
      <c r="C1398" s="541" t="s">
        <v>1396</v>
      </c>
      <c r="D1398" s="552" t="s">
        <v>1139</v>
      </c>
      <c r="E1398" s="549"/>
      <c r="F1398" s="551"/>
      <c r="G1398" s="551"/>
      <c r="H1398" s="551"/>
      <c r="I1398" s="551"/>
      <c r="J1398" s="551"/>
      <c r="K1398" s="551"/>
      <c r="L1398" s="551"/>
      <c r="M1398" s="551"/>
      <c r="N1398" s="551"/>
      <c r="O1398" s="551"/>
      <c r="P1398" s="551"/>
      <c r="Q1398" s="551"/>
      <c r="R1398" s="551"/>
      <c r="S1398" s="546">
        <f t="shared" si="236"/>
        <v>0</v>
      </c>
      <c r="T1398" s="547">
        <f t="shared" si="237"/>
        <v>0</v>
      </c>
      <c r="U1398" s="546">
        <f t="shared" si="238"/>
        <v>0</v>
      </c>
      <c r="W1398" s="350">
        <f t="shared" si="235"/>
        <v>0</v>
      </c>
      <c r="X1398" s="285">
        <f t="shared" si="239"/>
        <v>0</v>
      </c>
    </row>
    <row r="1399" spans="1:24" ht="12" thickBot="1">
      <c r="A1399" s="541" t="s">
        <v>1502</v>
      </c>
      <c r="B1399" s="541" t="s">
        <v>363</v>
      </c>
      <c r="C1399" s="541" t="s">
        <v>1110</v>
      </c>
      <c r="D1399" s="552" t="s">
        <v>1140</v>
      </c>
      <c r="E1399" s="543"/>
      <c r="F1399" s="545"/>
      <c r="G1399" s="544"/>
      <c r="H1399" s="545"/>
      <c r="I1399" s="545"/>
      <c r="J1399" s="545"/>
      <c r="K1399" s="545"/>
      <c r="L1399" s="545"/>
      <c r="M1399" s="544"/>
      <c r="N1399" s="544"/>
      <c r="O1399" s="545"/>
      <c r="P1399" s="545"/>
      <c r="Q1399" s="544"/>
      <c r="R1399" s="544"/>
      <c r="S1399" s="546">
        <f t="shared" si="236"/>
        <v>0</v>
      </c>
      <c r="T1399" s="547">
        <f t="shared" si="237"/>
        <v>0</v>
      </c>
      <c r="U1399" s="546">
        <f t="shared" si="238"/>
        <v>0</v>
      </c>
      <c r="W1399" s="350">
        <f t="shared" si="235"/>
        <v>0</v>
      </c>
      <c r="X1399" s="285">
        <f t="shared" si="239"/>
        <v>0</v>
      </c>
    </row>
    <row r="1400" spans="1:24" ht="12" thickBot="1">
      <c r="A1400" s="541" t="s">
        <v>1502</v>
      </c>
      <c r="B1400" s="541" t="s">
        <v>373</v>
      </c>
      <c r="C1400" s="541" t="s">
        <v>1111</v>
      </c>
      <c r="D1400" s="552" t="s">
        <v>1139</v>
      </c>
      <c r="E1400" s="549"/>
      <c r="F1400" s="551"/>
      <c r="G1400" s="550"/>
      <c r="H1400" s="551"/>
      <c r="I1400" s="551"/>
      <c r="J1400" s="551"/>
      <c r="K1400" s="551"/>
      <c r="L1400" s="551"/>
      <c r="M1400" s="550"/>
      <c r="N1400" s="550"/>
      <c r="O1400" s="551"/>
      <c r="P1400" s="551"/>
      <c r="Q1400" s="550"/>
      <c r="R1400" s="550"/>
      <c r="S1400" s="546">
        <f t="shared" si="236"/>
        <v>0</v>
      </c>
      <c r="T1400" s="547">
        <f t="shared" si="237"/>
        <v>0</v>
      </c>
      <c r="U1400" s="546">
        <f t="shared" si="238"/>
        <v>0</v>
      </c>
      <c r="W1400" s="350">
        <f t="shared" si="235"/>
        <v>0</v>
      </c>
      <c r="X1400" s="285">
        <f t="shared" si="239"/>
        <v>0</v>
      </c>
    </row>
    <row r="1401" spans="1:24" ht="12" thickBot="1">
      <c r="A1401" s="541" t="s">
        <v>1502</v>
      </c>
      <c r="B1401" s="541" t="s">
        <v>396</v>
      </c>
      <c r="C1401" s="541" t="s">
        <v>1112</v>
      </c>
      <c r="D1401" s="552" t="s">
        <v>1139</v>
      </c>
      <c r="E1401" s="543"/>
      <c r="F1401" s="545"/>
      <c r="G1401" s="544"/>
      <c r="H1401" s="545"/>
      <c r="I1401" s="545"/>
      <c r="J1401" s="545"/>
      <c r="K1401" s="545"/>
      <c r="L1401" s="545"/>
      <c r="M1401" s="544"/>
      <c r="N1401" s="544"/>
      <c r="O1401" s="545"/>
      <c r="P1401" s="545"/>
      <c r="Q1401" s="544"/>
      <c r="R1401" s="544"/>
      <c r="S1401" s="546">
        <f t="shared" si="236"/>
        <v>0</v>
      </c>
      <c r="T1401" s="547">
        <f t="shared" si="237"/>
        <v>0</v>
      </c>
      <c r="U1401" s="546">
        <f t="shared" si="238"/>
        <v>0</v>
      </c>
      <c r="W1401" s="350">
        <f t="shared" si="235"/>
        <v>0</v>
      </c>
      <c r="X1401" s="285">
        <f t="shared" si="239"/>
        <v>0</v>
      </c>
    </row>
    <row r="1402" spans="1:24" ht="12" thickBot="1">
      <c r="A1402" s="541" t="s">
        <v>1502</v>
      </c>
      <c r="B1402" s="541" t="s">
        <v>351</v>
      </c>
      <c r="C1402" s="541" t="s">
        <v>1113</v>
      </c>
      <c r="D1402" s="552" t="s">
        <v>1140</v>
      </c>
      <c r="E1402" s="549"/>
      <c r="F1402" s="551"/>
      <c r="G1402" s="550"/>
      <c r="H1402" s="551"/>
      <c r="I1402" s="551"/>
      <c r="J1402" s="551"/>
      <c r="K1402" s="551"/>
      <c r="L1402" s="551"/>
      <c r="M1402" s="550"/>
      <c r="N1402" s="550"/>
      <c r="O1402" s="551"/>
      <c r="P1402" s="551"/>
      <c r="Q1402" s="550"/>
      <c r="R1402" s="550"/>
      <c r="S1402" s="546">
        <f t="shared" si="236"/>
        <v>0</v>
      </c>
      <c r="T1402" s="547">
        <f t="shared" si="237"/>
        <v>0</v>
      </c>
      <c r="U1402" s="546">
        <f t="shared" si="238"/>
        <v>0</v>
      </c>
      <c r="W1402" s="350">
        <f t="shared" si="235"/>
        <v>0</v>
      </c>
      <c r="X1402" s="285">
        <f t="shared" si="239"/>
        <v>0</v>
      </c>
    </row>
    <row r="1403" spans="1:24" ht="12" thickBot="1">
      <c r="A1403" s="541" t="s">
        <v>1502</v>
      </c>
      <c r="B1403" s="541" t="s">
        <v>314</v>
      </c>
      <c r="C1403" s="541" t="s">
        <v>1114</v>
      </c>
      <c r="D1403" s="552" t="s">
        <v>1140</v>
      </c>
      <c r="E1403" s="543"/>
      <c r="F1403" s="545"/>
      <c r="G1403" s="544"/>
      <c r="H1403" s="545"/>
      <c r="I1403" s="545"/>
      <c r="J1403" s="545"/>
      <c r="K1403" s="545"/>
      <c r="L1403" s="545"/>
      <c r="M1403" s="544"/>
      <c r="N1403" s="544"/>
      <c r="O1403" s="545"/>
      <c r="P1403" s="545"/>
      <c r="Q1403" s="544"/>
      <c r="R1403" s="544"/>
      <c r="S1403" s="546">
        <f t="shared" si="236"/>
        <v>0</v>
      </c>
      <c r="T1403" s="547">
        <f t="shared" si="237"/>
        <v>0</v>
      </c>
      <c r="U1403" s="546">
        <f t="shared" si="238"/>
        <v>0</v>
      </c>
      <c r="W1403" s="350">
        <f t="shared" si="235"/>
        <v>0</v>
      </c>
      <c r="X1403" s="285">
        <f t="shared" si="239"/>
        <v>0</v>
      </c>
    </row>
    <row r="1404" spans="1:24" ht="12" thickBot="1">
      <c r="A1404" s="541" t="s">
        <v>1502</v>
      </c>
      <c r="B1404" s="541" t="s">
        <v>355</v>
      </c>
      <c r="C1404" s="541" t="s">
        <v>1115</v>
      </c>
      <c r="D1404" s="552" t="s">
        <v>1140</v>
      </c>
      <c r="E1404" s="549"/>
      <c r="F1404" s="551"/>
      <c r="G1404" s="550"/>
      <c r="H1404" s="551"/>
      <c r="I1404" s="551"/>
      <c r="J1404" s="551"/>
      <c r="K1404" s="551"/>
      <c r="L1404" s="551"/>
      <c r="M1404" s="550"/>
      <c r="N1404" s="550"/>
      <c r="O1404" s="551"/>
      <c r="P1404" s="551"/>
      <c r="Q1404" s="550"/>
      <c r="R1404" s="550"/>
      <c r="S1404" s="546">
        <f t="shared" si="236"/>
        <v>0</v>
      </c>
      <c r="T1404" s="547">
        <f t="shared" si="237"/>
        <v>0</v>
      </c>
      <c r="U1404" s="546">
        <f t="shared" si="238"/>
        <v>0</v>
      </c>
      <c r="W1404" s="350">
        <f t="shared" si="235"/>
        <v>0</v>
      </c>
      <c r="X1404" s="285">
        <f t="shared" si="239"/>
        <v>0</v>
      </c>
    </row>
    <row r="1405" spans="1:24" ht="12" thickBot="1">
      <c r="A1405" s="541" t="s">
        <v>1502</v>
      </c>
      <c r="B1405" s="541" t="s">
        <v>364</v>
      </c>
      <c r="C1405" s="541" t="s">
        <v>1116</v>
      </c>
      <c r="D1405" s="552" t="s">
        <v>1139</v>
      </c>
      <c r="E1405" s="543"/>
      <c r="F1405" s="545"/>
      <c r="G1405" s="544"/>
      <c r="H1405" s="545"/>
      <c r="I1405" s="545"/>
      <c r="J1405" s="545"/>
      <c r="K1405" s="545"/>
      <c r="L1405" s="545"/>
      <c r="M1405" s="544"/>
      <c r="N1405" s="544"/>
      <c r="O1405" s="545"/>
      <c r="P1405" s="545"/>
      <c r="Q1405" s="544"/>
      <c r="R1405" s="544"/>
      <c r="S1405" s="546">
        <f t="shared" si="236"/>
        <v>0</v>
      </c>
      <c r="T1405" s="547">
        <f t="shared" si="237"/>
        <v>0</v>
      </c>
      <c r="U1405" s="546">
        <f t="shared" si="238"/>
        <v>0</v>
      </c>
      <c r="W1405" s="350">
        <f t="shared" si="235"/>
        <v>0</v>
      </c>
      <c r="X1405" s="285">
        <f t="shared" si="239"/>
        <v>0</v>
      </c>
    </row>
    <row r="1406" spans="1:24" ht="12" thickBot="1">
      <c r="A1406" s="541" t="s">
        <v>1502</v>
      </c>
      <c r="B1406" s="541" t="s">
        <v>387</v>
      </c>
      <c r="C1406" s="541" t="s">
        <v>1117</v>
      </c>
      <c r="D1406" s="552" t="s">
        <v>1139</v>
      </c>
      <c r="E1406" s="549"/>
      <c r="F1406" s="551"/>
      <c r="G1406" s="550"/>
      <c r="H1406" s="551"/>
      <c r="I1406" s="551"/>
      <c r="J1406" s="551"/>
      <c r="K1406" s="551"/>
      <c r="L1406" s="551"/>
      <c r="M1406" s="550"/>
      <c r="N1406" s="550"/>
      <c r="O1406" s="551"/>
      <c r="P1406" s="551"/>
      <c r="Q1406" s="550"/>
      <c r="R1406" s="550"/>
      <c r="S1406" s="546">
        <f t="shared" si="236"/>
        <v>0</v>
      </c>
      <c r="T1406" s="547">
        <f t="shared" si="237"/>
        <v>0</v>
      </c>
      <c r="U1406" s="546">
        <f t="shared" si="238"/>
        <v>0</v>
      </c>
      <c r="W1406" s="350">
        <f t="shared" si="235"/>
        <v>0</v>
      </c>
      <c r="X1406" s="285">
        <f t="shared" si="239"/>
        <v>0</v>
      </c>
    </row>
    <row r="1407" spans="1:24" ht="12" thickBot="1">
      <c r="A1407" s="541" t="s">
        <v>1502</v>
      </c>
      <c r="B1407" s="541" t="s">
        <v>344</v>
      </c>
      <c r="C1407" s="541" t="s">
        <v>1118</v>
      </c>
      <c r="D1407" s="552" t="s">
        <v>1139</v>
      </c>
      <c r="E1407" s="543"/>
      <c r="F1407" s="545"/>
      <c r="G1407" s="544"/>
      <c r="H1407" s="545"/>
      <c r="I1407" s="545"/>
      <c r="J1407" s="545"/>
      <c r="K1407" s="545"/>
      <c r="L1407" s="545"/>
      <c r="M1407" s="544"/>
      <c r="N1407" s="544"/>
      <c r="O1407" s="545"/>
      <c r="P1407" s="545"/>
      <c r="Q1407" s="544"/>
      <c r="R1407" s="544"/>
      <c r="S1407" s="546">
        <f t="shared" si="236"/>
        <v>0</v>
      </c>
      <c r="T1407" s="547">
        <f t="shared" si="237"/>
        <v>0</v>
      </c>
      <c r="U1407" s="546">
        <f t="shared" si="238"/>
        <v>0</v>
      </c>
      <c r="W1407" s="350">
        <f t="shared" si="235"/>
        <v>0</v>
      </c>
      <c r="X1407" s="285">
        <f t="shared" si="239"/>
        <v>0</v>
      </c>
    </row>
    <row r="1408" spans="1:24" ht="12" thickBot="1">
      <c r="A1408" s="541" t="s">
        <v>1502</v>
      </c>
      <c r="B1408" s="541" t="s">
        <v>376</v>
      </c>
      <c r="C1408" s="541" t="s">
        <v>1119</v>
      </c>
      <c r="D1408" s="552" t="s">
        <v>1139</v>
      </c>
      <c r="E1408" s="549"/>
      <c r="F1408" s="551"/>
      <c r="G1408" s="550"/>
      <c r="H1408" s="551"/>
      <c r="I1408" s="551"/>
      <c r="J1408" s="551"/>
      <c r="K1408" s="551"/>
      <c r="L1408" s="551"/>
      <c r="M1408" s="550"/>
      <c r="N1408" s="550"/>
      <c r="O1408" s="551"/>
      <c r="P1408" s="551"/>
      <c r="Q1408" s="550"/>
      <c r="R1408" s="550"/>
      <c r="S1408" s="546">
        <f t="shared" si="236"/>
        <v>0</v>
      </c>
      <c r="T1408" s="547">
        <f t="shared" si="237"/>
        <v>0</v>
      </c>
      <c r="U1408" s="546">
        <f t="shared" si="238"/>
        <v>0</v>
      </c>
      <c r="W1408" s="350">
        <f t="shared" si="235"/>
        <v>0</v>
      </c>
      <c r="X1408" s="285">
        <f t="shared" si="239"/>
        <v>0</v>
      </c>
    </row>
    <row r="1409" spans="1:24" ht="12" thickBot="1">
      <c r="A1409" s="541" t="s">
        <v>1502</v>
      </c>
      <c r="B1409" s="541" t="s">
        <v>374</v>
      </c>
      <c r="C1409" s="541" t="s">
        <v>1120</v>
      </c>
      <c r="D1409" s="552" t="s">
        <v>1139</v>
      </c>
      <c r="E1409" s="543"/>
      <c r="F1409" s="545"/>
      <c r="G1409" s="544"/>
      <c r="H1409" s="545"/>
      <c r="I1409" s="545"/>
      <c r="J1409" s="545"/>
      <c r="K1409" s="545"/>
      <c r="L1409" s="545"/>
      <c r="M1409" s="544"/>
      <c r="N1409" s="544"/>
      <c r="O1409" s="545"/>
      <c r="P1409" s="545"/>
      <c r="Q1409" s="544"/>
      <c r="R1409" s="544"/>
      <c r="S1409" s="546">
        <f t="shared" si="236"/>
        <v>0</v>
      </c>
      <c r="T1409" s="547">
        <f t="shared" si="237"/>
        <v>0</v>
      </c>
      <c r="U1409" s="546">
        <f t="shared" si="238"/>
        <v>0</v>
      </c>
      <c r="W1409" s="350">
        <f t="shared" si="235"/>
        <v>0</v>
      </c>
      <c r="X1409" s="285">
        <f t="shared" si="239"/>
        <v>0</v>
      </c>
    </row>
    <row r="1410" spans="1:24" ht="12" thickBot="1">
      <c r="A1410" s="541" t="s">
        <v>1502</v>
      </c>
      <c r="B1410" s="541" t="s">
        <v>398</v>
      </c>
      <c r="C1410" s="541" t="s">
        <v>1121</v>
      </c>
      <c r="D1410" s="552" t="s">
        <v>1139</v>
      </c>
      <c r="E1410" s="549"/>
      <c r="F1410" s="551"/>
      <c r="G1410" s="550"/>
      <c r="H1410" s="551"/>
      <c r="I1410" s="551"/>
      <c r="J1410" s="551"/>
      <c r="K1410" s="551"/>
      <c r="L1410" s="551"/>
      <c r="M1410" s="550"/>
      <c r="N1410" s="550"/>
      <c r="O1410" s="551"/>
      <c r="P1410" s="551"/>
      <c r="Q1410" s="550"/>
      <c r="R1410" s="550"/>
      <c r="S1410" s="546">
        <f t="shared" si="236"/>
        <v>0</v>
      </c>
      <c r="T1410" s="547">
        <f t="shared" si="237"/>
        <v>0</v>
      </c>
      <c r="U1410" s="546">
        <f t="shared" si="238"/>
        <v>0</v>
      </c>
      <c r="W1410" s="350">
        <f t="shared" si="235"/>
        <v>0</v>
      </c>
      <c r="X1410" s="285">
        <f t="shared" si="239"/>
        <v>0</v>
      </c>
    </row>
    <row r="1411" spans="1:24" ht="12" thickBot="1">
      <c r="A1411" s="541" t="s">
        <v>1502</v>
      </c>
      <c r="B1411" s="541" t="s">
        <v>348</v>
      </c>
      <c r="C1411" s="541" t="s">
        <v>1122</v>
      </c>
      <c r="D1411" s="552" t="s">
        <v>1139</v>
      </c>
      <c r="E1411" s="543"/>
      <c r="F1411" s="545"/>
      <c r="G1411" s="544"/>
      <c r="H1411" s="545"/>
      <c r="I1411" s="545"/>
      <c r="J1411" s="545"/>
      <c r="K1411" s="545"/>
      <c r="L1411" s="545"/>
      <c r="M1411" s="544"/>
      <c r="N1411" s="544"/>
      <c r="O1411" s="545"/>
      <c r="P1411" s="545"/>
      <c r="Q1411" s="544"/>
      <c r="R1411" s="544"/>
      <c r="S1411" s="546">
        <f t="shared" si="236"/>
        <v>0</v>
      </c>
      <c r="T1411" s="547">
        <f t="shared" si="237"/>
        <v>0</v>
      </c>
      <c r="U1411" s="546">
        <f t="shared" si="238"/>
        <v>0</v>
      </c>
      <c r="W1411" s="350">
        <f t="shared" si="235"/>
        <v>0</v>
      </c>
      <c r="X1411" s="285">
        <f t="shared" si="239"/>
        <v>0</v>
      </c>
    </row>
    <row r="1412" spans="1:24" ht="12" thickBot="1">
      <c r="A1412" s="541" t="s">
        <v>1502</v>
      </c>
      <c r="B1412" s="541" t="s">
        <v>380</v>
      </c>
      <c r="C1412" s="541" t="s">
        <v>1123</v>
      </c>
      <c r="D1412" s="552" t="s">
        <v>1139</v>
      </c>
      <c r="E1412" s="549"/>
      <c r="F1412" s="551"/>
      <c r="G1412" s="550"/>
      <c r="H1412" s="551"/>
      <c r="I1412" s="551"/>
      <c r="J1412" s="551"/>
      <c r="K1412" s="551"/>
      <c r="L1412" s="551"/>
      <c r="M1412" s="550"/>
      <c r="N1412" s="550"/>
      <c r="O1412" s="551"/>
      <c r="P1412" s="551"/>
      <c r="Q1412" s="550"/>
      <c r="R1412" s="550"/>
      <c r="S1412" s="546">
        <f t="shared" si="236"/>
        <v>0</v>
      </c>
      <c r="T1412" s="547">
        <f t="shared" si="237"/>
        <v>0</v>
      </c>
      <c r="U1412" s="546">
        <f t="shared" si="238"/>
        <v>0</v>
      </c>
      <c r="W1412" s="350">
        <f t="shared" si="235"/>
        <v>0</v>
      </c>
      <c r="X1412" s="285">
        <f t="shared" si="239"/>
        <v>0</v>
      </c>
    </row>
    <row r="1413" spans="1:24" ht="12" thickBot="1">
      <c r="A1413" s="541" t="s">
        <v>1502</v>
      </c>
      <c r="B1413" s="541" t="s">
        <v>399</v>
      </c>
      <c r="C1413" s="541" t="s">
        <v>1124</v>
      </c>
      <c r="D1413" s="552" t="s">
        <v>1139</v>
      </c>
      <c r="E1413" s="543"/>
      <c r="F1413" s="545"/>
      <c r="G1413" s="544"/>
      <c r="H1413" s="545"/>
      <c r="I1413" s="545"/>
      <c r="J1413" s="545"/>
      <c r="K1413" s="545"/>
      <c r="L1413" s="545"/>
      <c r="M1413" s="544"/>
      <c r="N1413" s="544"/>
      <c r="O1413" s="545"/>
      <c r="P1413" s="545"/>
      <c r="Q1413" s="544"/>
      <c r="R1413" s="544"/>
      <c r="S1413" s="546">
        <f t="shared" si="236"/>
        <v>0</v>
      </c>
      <c r="T1413" s="547">
        <f t="shared" si="237"/>
        <v>0</v>
      </c>
      <c r="U1413" s="546">
        <f t="shared" si="238"/>
        <v>0</v>
      </c>
      <c r="W1413" s="350">
        <f t="shared" si="235"/>
        <v>0</v>
      </c>
      <c r="X1413" s="285">
        <f t="shared" si="239"/>
        <v>0</v>
      </c>
    </row>
    <row r="1414" spans="1:24" ht="12" thickBot="1">
      <c r="A1414" s="541" t="s">
        <v>1502</v>
      </c>
      <c r="B1414" s="541" t="s">
        <v>349</v>
      </c>
      <c r="C1414" s="541" t="s">
        <v>1125</v>
      </c>
      <c r="D1414" s="552" t="s">
        <v>1139</v>
      </c>
      <c r="E1414" s="549"/>
      <c r="F1414" s="551"/>
      <c r="G1414" s="550"/>
      <c r="H1414" s="551"/>
      <c r="I1414" s="551"/>
      <c r="J1414" s="551"/>
      <c r="K1414" s="551"/>
      <c r="L1414" s="551"/>
      <c r="M1414" s="550"/>
      <c r="N1414" s="550"/>
      <c r="O1414" s="551"/>
      <c r="P1414" s="551"/>
      <c r="Q1414" s="550"/>
      <c r="R1414" s="550"/>
      <c r="S1414" s="546">
        <f t="shared" si="236"/>
        <v>0</v>
      </c>
      <c r="T1414" s="547">
        <f t="shared" si="237"/>
        <v>0</v>
      </c>
      <c r="U1414" s="546">
        <f t="shared" si="238"/>
        <v>0</v>
      </c>
      <c r="W1414" s="350">
        <f t="shared" ref="W1414:W1477" si="240">SUM(F1414:Q1414)</f>
        <v>0</v>
      </c>
      <c r="X1414" s="285">
        <f t="shared" si="239"/>
        <v>0</v>
      </c>
    </row>
    <row r="1415" spans="1:24" ht="12" thickBot="1">
      <c r="A1415" s="541" t="s">
        <v>1502</v>
      </c>
      <c r="B1415" s="541" t="s">
        <v>381</v>
      </c>
      <c r="C1415" s="541" t="s">
        <v>1126</v>
      </c>
      <c r="D1415" s="552" t="s">
        <v>1139</v>
      </c>
      <c r="E1415" s="543"/>
      <c r="F1415" s="545"/>
      <c r="G1415" s="544"/>
      <c r="H1415" s="545"/>
      <c r="I1415" s="545"/>
      <c r="J1415" s="545"/>
      <c r="K1415" s="545"/>
      <c r="L1415" s="545"/>
      <c r="M1415" s="544"/>
      <c r="N1415" s="544"/>
      <c r="O1415" s="545"/>
      <c r="P1415" s="545"/>
      <c r="Q1415" s="544"/>
      <c r="R1415" s="544"/>
      <c r="S1415" s="546">
        <f t="shared" si="236"/>
        <v>0</v>
      </c>
      <c r="T1415" s="547">
        <f t="shared" si="237"/>
        <v>0</v>
      </c>
      <c r="U1415" s="546">
        <f t="shared" si="238"/>
        <v>0</v>
      </c>
      <c r="W1415" s="350">
        <f t="shared" si="240"/>
        <v>0</v>
      </c>
      <c r="X1415" s="285">
        <f t="shared" si="239"/>
        <v>0</v>
      </c>
    </row>
    <row r="1416" spans="1:24" ht="12" thickBot="1">
      <c r="A1416" s="541" t="s">
        <v>1502</v>
      </c>
      <c r="B1416" s="541" t="s">
        <v>321</v>
      </c>
      <c r="C1416" s="541" t="s">
        <v>1127</v>
      </c>
      <c r="D1416" s="552" t="s">
        <v>1139</v>
      </c>
      <c r="E1416" s="549"/>
      <c r="F1416" s="551"/>
      <c r="G1416" s="550"/>
      <c r="H1416" s="551"/>
      <c r="I1416" s="551"/>
      <c r="J1416" s="551"/>
      <c r="K1416" s="551"/>
      <c r="L1416" s="551"/>
      <c r="M1416" s="550"/>
      <c r="N1416" s="550"/>
      <c r="O1416" s="551"/>
      <c r="P1416" s="551"/>
      <c r="Q1416" s="550"/>
      <c r="R1416" s="550"/>
      <c r="S1416" s="546">
        <f t="shared" si="236"/>
        <v>0</v>
      </c>
      <c r="T1416" s="547">
        <f t="shared" si="237"/>
        <v>0</v>
      </c>
      <c r="U1416" s="546">
        <f t="shared" si="238"/>
        <v>0</v>
      </c>
      <c r="W1416" s="350">
        <f t="shared" si="240"/>
        <v>0</v>
      </c>
      <c r="X1416" s="285">
        <f t="shared" si="239"/>
        <v>0</v>
      </c>
    </row>
    <row r="1417" spans="1:24" ht="12" thickBot="1">
      <c r="A1417" s="541" t="s">
        <v>1502</v>
      </c>
      <c r="B1417" s="541" t="s">
        <v>353</v>
      </c>
      <c r="C1417" s="541" t="s">
        <v>1128</v>
      </c>
      <c r="D1417" s="552" t="s">
        <v>1139</v>
      </c>
      <c r="E1417" s="543"/>
      <c r="F1417" s="545"/>
      <c r="G1417" s="544"/>
      <c r="H1417" s="545"/>
      <c r="I1417" s="545"/>
      <c r="J1417" s="545"/>
      <c r="K1417" s="545"/>
      <c r="L1417" s="545"/>
      <c r="M1417" s="544"/>
      <c r="N1417" s="544"/>
      <c r="O1417" s="545"/>
      <c r="P1417" s="545"/>
      <c r="Q1417" s="544"/>
      <c r="R1417" s="544"/>
      <c r="S1417" s="546">
        <f t="shared" si="236"/>
        <v>0</v>
      </c>
      <c r="T1417" s="547">
        <f t="shared" si="237"/>
        <v>0</v>
      </c>
      <c r="U1417" s="546">
        <f t="shared" si="238"/>
        <v>0</v>
      </c>
      <c r="W1417" s="350">
        <f t="shared" si="240"/>
        <v>0</v>
      </c>
      <c r="X1417" s="285">
        <f t="shared" si="239"/>
        <v>0</v>
      </c>
    </row>
    <row r="1418" spans="1:24" ht="12" thickBot="1">
      <c r="A1418" s="541" t="s">
        <v>1502</v>
      </c>
      <c r="B1418" s="541" t="s">
        <v>678</v>
      </c>
      <c r="C1418" s="541" t="s">
        <v>1129</v>
      </c>
      <c r="D1418" s="552" t="s">
        <v>1139</v>
      </c>
      <c r="E1418" s="549"/>
      <c r="F1418" s="551"/>
      <c r="G1418" s="550"/>
      <c r="H1418" s="551"/>
      <c r="I1418" s="551"/>
      <c r="J1418" s="551"/>
      <c r="K1418" s="551"/>
      <c r="L1418" s="551"/>
      <c r="M1418" s="550"/>
      <c r="N1418" s="550"/>
      <c r="O1418" s="551"/>
      <c r="P1418" s="551"/>
      <c r="Q1418" s="551"/>
      <c r="R1418" s="550"/>
      <c r="S1418" s="546">
        <f t="shared" si="236"/>
        <v>0</v>
      </c>
      <c r="T1418" s="547">
        <f t="shared" si="237"/>
        <v>0</v>
      </c>
      <c r="U1418" s="546">
        <f t="shared" si="238"/>
        <v>0</v>
      </c>
      <c r="W1418" s="350">
        <f t="shared" si="240"/>
        <v>0</v>
      </c>
      <c r="X1418" s="285">
        <f t="shared" si="239"/>
        <v>0</v>
      </c>
    </row>
    <row r="1419" spans="1:24" ht="12" thickBot="1">
      <c r="A1419" s="541" t="s">
        <v>1502</v>
      </c>
      <c r="B1419" s="541" t="s">
        <v>316</v>
      </c>
      <c r="C1419" s="541" t="s">
        <v>1130</v>
      </c>
      <c r="D1419" s="552" t="s">
        <v>1139</v>
      </c>
      <c r="E1419" s="543"/>
      <c r="F1419" s="545"/>
      <c r="G1419" s="544"/>
      <c r="H1419" s="545"/>
      <c r="I1419" s="545"/>
      <c r="J1419" s="545"/>
      <c r="K1419" s="545"/>
      <c r="L1419" s="545"/>
      <c r="M1419" s="544"/>
      <c r="N1419" s="544"/>
      <c r="O1419" s="545"/>
      <c r="P1419" s="545"/>
      <c r="Q1419" s="544"/>
      <c r="R1419" s="544"/>
      <c r="S1419" s="546">
        <f t="shared" si="236"/>
        <v>0</v>
      </c>
      <c r="T1419" s="547">
        <f t="shared" si="237"/>
        <v>0</v>
      </c>
      <c r="U1419" s="546">
        <f t="shared" si="238"/>
        <v>0</v>
      </c>
      <c r="W1419" s="350">
        <f t="shared" si="240"/>
        <v>0</v>
      </c>
      <c r="X1419" s="285">
        <f t="shared" si="239"/>
        <v>0</v>
      </c>
    </row>
    <row r="1420" spans="1:24" ht="12" thickBot="1">
      <c r="A1420" s="541" t="s">
        <v>1502</v>
      </c>
      <c r="B1420" s="541" t="s">
        <v>318</v>
      </c>
      <c r="C1420" s="541" t="s">
        <v>1131</v>
      </c>
      <c r="D1420" s="552" t="s">
        <v>1139</v>
      </c>
      <c r="E1420" s="549"/>
      <c r="F1420" s="551"/>
      <c r="G1420" s="550"/>
      <c r="H1420" s="551"/>
      <c r="I1420" s="551"/>
      <c r="J1420" s="551"/>
      <c r="K1420" s="551"/>
      <c r="L1420" s="551"/>
      <c r="M1420" s="550"/>
      <c r="N1420" s="550"/>
      <c r="O1420" s="551"/>
      <c r="P1420" s="551"/>
      <c r="Q1420" s="550"/>
      <c r="R1420" s="550"/>
      <c r="S1420" s="546">
        <f t="shared" si="236"/>
        <v>0</v>
      </c>
      <c r="T1420" s="547">
        <f t="shared" si="237"/>
        <v>0</v>
      </c>
      <c r="U1420" s="546">
        <f t="shared" si="238"/>
        <v>0</v>
      </c>
      <c r="W1420" s="350">
        <f t="shared" si="240"/>
        <v>0</v>
      </c>
      <c r="X1420" s="285">
        <f t="shared" si="239"/>
        <v>0</v>
      </c>
    </row>
    <row r="1421" spans="1:24" ht="12" thickBot="1">
      <c r="A1421" s="541" t="s">
        <v>1502</v>
      </c>
      <c r="B1421" s="541" t="s">
        <v>350</v>
      </c>
      <c r="C1421" s="541" t="s">
        <v>1132</v>
      </c>
      <c r="D1421" s="552" t="s">
        <v>1139</v>
      </c>
      <c r="E1421" s="543"/>
      <c r="F1421" s="545"/>
      <c r="G1421" s="544"/>
      <c r="H1421" s="545"/>
      <c r="I1421" s="545"/>
      <c r="J1421" s="545"/>
      <c r="K1421" s="545"/>
      <c r="L1421" s="545"/>
      <c r="M1421" s="544"/>
      <c r="N1421" s="544"/>
      <c r="O1421" s="545"/>
      <c r="P1421" s="545"/>
      <c r="Q1421" s="544"/>
      <c r="R1421" s="544"/>
      <c r="S1421" s="546">
        <f t="shared" si="236"/>
        <v>0</v>
      </c>
      <c r="T1421" s="547">
        <f t="shared" si="237"/>
        <v>0</v>
      </c>
      <c r="U1421" s="546">
        <f t="shared" si="238"/>
        <v>0</v>
      </c>
      <c r="W1421" s="350">
        <f t="shared" si="240"/>
        <v>0</v>
      </c>
      <c r="X1421" s="285">
        <f t="shared" si="239"/>
        <v>0</v>
      </c>
    </row>
    <row r="1422" spans="1:24" ht="12" thickBot="1">
      <c r="A1422" s="541" t="s">
        <v>1502</v>
      </c>
      <c r="B1422" s="541" t="s">
        <v>313</v>
      </c>
      <c r="C1422" s="541" t="s">
        <v>1133</v>
      </c>
      <c r="D1422" s="552" t="s">
        <v>1139</v>
      </c>
      <c r="E1422" s="549"/>
      <c r="F1422" s="551"/>
      <c r="G1422" s="550"/>
      <c r="H1422" s="551"/>
      <c r="I1422" s="551"/>
      <c r="J1422" s="551"/>
      <c r="K1422" s="551"/>
      <c r="L1422" s="551"/>
      <c r="M1422" s="550"/>
      <c r="N1422" s="550"/>
      <c r="O1422" s="551"/>
      <c r="P1422" s="551"/>
      <c r="Q1422" s="550"/>
      <c r="R1422" s="550"/>
      <c r="S1422" s="546">
        <f t="shared" si="236"/>
        <v>0</v>
      </c>
      <c r="T1422" s="547">
        <f t="shared" si="237"/>
        <v>0</v>
      </c>
      <c r="U1422" s="546">
        <f t="shared" si="238"/>
        <v>0</v>
      </c>
      <c r="W1422" s="350">
        <f t="shared" si="240"/>
        <v>0</v>
      </c>
      <c r="X1422" s="285">
        <f t="shared" si="239"/>
        <v>0</v>
      </c>
    </row>
    <row r="1423" spans="1:24" ht="12" thickBot="1">
      <c r="A1423" s="541" t="s">
        <v>1502</v>
      </c>
      <c r="B1423" s="541" t="s">
        <v>650</v>
      </c>
      <c r="C1423" s="541" t="s">
        <v>1151</v>
      </c>
      <c r="D1423" s="552" t="s">
        <v>1139</v>
      </c>
      <c r="E1423" s="543"/>
      <c r="F1423" s="545"/>
      <c r="G1423" s="544"/>
      <c r="H1423" s="545"/>
      <c r="I1423" s="545"/>
      <c r="J1423" s="545"/>
      <c r="K1423" s="545"/>
      <c r="L1423" s="545"/>
      <c r="M1423" s="544"/>
      <c r="N1423" s="544"/>
      <c r="O1423" s="545"/>
      <c r="P1423" s="545"/>
      <c r="Q1423" s="545"/>
      <c r="R1423" s="544"/>
      <c r="S1423" s="546">
        <f t="shared" si="236"/>
        <v>0</v>
      </c>
      <c r="T1423" s="547">
        <f t="shared" si="237"/>
        <v>0</v>
      </c>
      <c r="U1423" s="546">
        <f t="shared" si="238"/>
        <v>0</v>
      </c>
      <c r="W1423" s="350">
        <f t="shared" si="240"/>
        <v>0</v>
      </c>
      <c r="X1423" s="285">
        <f t="shared" si="239"/>
        <v>0</v>
      </c>
    </row>
    <row r="1424" spans="1:24" ht="12" thickBot="1">
      <c r="A1424" s="541" t="s">
        <v>1502</v>
      </c>
      <c r="B1424" s="541" t="s">
        <v>447</v>
      </c>
      <c r="C1424" s="541" t="s">
        <v>1134</v>
      </c>
      <c r="D1424" s="552" t="s">
        <v>1139</v>
      </c>
      <c r="E1424" s="549"/>
      <c r="F1424" s="551"/>
      <c r="G1424" s="550"/>
      <c r="H1424" s="551"/>
      <c r="I1424" s="551"/>
      <c r="J1424" s="551"/>
      <c r="K1424" s="551"/>
      <c r="L1424" s="551"/>
      <c r="M1424" s="550"/>
      <c r="N1424" s="550"/>
      <c r="O1424" s="551"/>
      <c r="P1424" s="551"/>
      <c r="Q1424" s="551"/>
      <c r="R1424" s="550"/>
      <c r="S1424" s="546">
        <f t="shared" si="236"/>
        <v>0</v>
      </c>
      <c r="T1424" s="547">
        <f t="shared" si="237"/>
        <v>0</v>
      </c>
      <c r="U1424" s="546">
        <f t="shared" si="238"/>
        <v>0</v>
      </c>
      <c r="W1424" s="350">
        <f t="shared" si="240"/>
        <v>0</v>
      </c>
      <c r="X1424" s="285">
        <f t="shared" si="239"/>
        <v>0</v>
      </c>
    </row>
    <row r="1425" spans="1:24" ht="12" thickBot="1">
      <c r="A1425" s="541" t="s">
        <v>1502</v>
      </c>
      <c r="B1425" s="541" t="s">
        <v>624</v>
      </c>
      <c r="C1425" s="541" t="s">
        <v>1135</v>
      </c>
      <c r="D1425" s="552" t="s">
        <v>1139</v>
      </c>
      <c r="E1425" s="543"/>
      <c r="F1425" s="545"/>
      <c r="G1425" s="544"/>
      <c r="H1425" s="545"/>
      <c r="I1425" s="545"/>
      <c r="J1425" s="545"/>
      <c r="K1425" s="545"/>
      <c r="L1425" s="545"/>
      <c r="M1425" s="544"/>
      <c r="N1425" s="544"/>
      <c r="O1425" s="545"/>
      <c r="P1425" s="545"/>
      <c r="Q1425" s="545"/>
      <c r="R1425" s="544"/>
      <c r="S1425" s="546">
        <f t="shared" si="236"/>
        <v>0</v>
      </c>
      <c r="T1425" s="547">
        <f t="shared" si="237"/>
        <v>0</v>
      </c>
      <c r="U1425" s="546">
        <f t="shared" si="238"/>
        <v>0</v>
      </c>
      <c r="W1425" s="350">
        <f t="shared" si="240"/>
        <v>0</v>
      </c>
      <c r="X1425" s="285">
        <f t="shared" si="239"/>
        <v>0</v>
      </c>
    </row>
    <row r="1426" spans="1:24" ht="12" thickBot="1">
      <c r="A1426" s="541" t="s">
        <v>1502</v>
      </c>
      <c r="B1426" s="541" t="s">
        <v>429</v>
      </c>
      <c r="C1426" s="541" t="s">
        <v>428</v>
      </c>
      <c r="D1426" s="552" t="s">
        <v>73</v>
      </c>
      <c r="E1426" s="551"/>
      <c r="F1426" s="551"/>
      <c r="G1426" s="551"/>
      <c r="H1426" s="551"/>
      <c r="I1426" s="551"/>
      <c r="J1426" s="551"/>
      <c r="K1426" s="551"/>
      <c r="L1426" s="551"/>
      <c r="M1426" s="551"/>
      <c r="N1426" s="551"/>
      <c r="O1426" s="551"/>
      <c r="P1426" s="551"/>
      <c r="Q1426" s="551"/>
      <c r="R1426" s="550"/>
      <c r="S1426" s="546">
        <f t="shared" si="236"/>
        <v>0</v>
      </c>
      <c r="T1426" s="547">
        <f t="shared" si="237"/>
        <v>0</v>
      </c>
      <c r="U1426" s="546">
        <f t="shared" si="238"/>
        <v>0</v>
      </c>
      <c r="W1426" s="350">
        <f t="shared" si="240"/>
        <v>0</v>
      </c>
      <c r="X1426" s="285">
        <f t="shared" si="239"/>
        <v>0</v>
      </c>
    </row>
    <row r="1427" spans="1:24" ht="12" thickBot="1">
      <c r="A1427" s="541" t="s">
        <v>1502</v>
      </c>
      <c r="B1427" s="541" t="s">
        <v>455</v>
      </c>
      <c r="C1427" s="541" t="s">
        <v>454</v>
      </c>
      <c r="D1427" s="552" t="s">
        <v>710</v>
      </c>
      <c r="E1427" s="545"/>
      <c r="F1427" s="545"/>
      <c r="G1427" s="545"/>
      <c r="H1427" s="545"/>
      <c r="I1427" s="545"/>
      <c r="J1427" s="545"/>
      <c r="K1427" s="545"/>
      <c r="L1427" s="545"/>
      <c r="M1427" s="545"/>
      <c r="N1427" s="545"/>
      <c r="O1427" s="545"/>
      <c r="P1427" s="545"/>
      <c r="Q1427" s="545"/>
      <c r="R1427" s="544"/>
      <c r="S1427" s="546">
        <f t="shared" si="236"/>
        <v>0</v>
      </c>
      <c r="T1427" s="547">
        <f t="shared" si="237"/>
        <v>0</v>
      </c>
      <c r="U1427" s="546">
        <f t="shared" si="238"/>
        <v>0</v>
      </c>
      <c r="W1427" s="350">
        <f t="shared" si="240"/>
        <v>0</v>
      </c>
      <c r="X1427" s="285">
        <f t="shared" si="239"/>
        <v>0</v>
      </c>
    </row>
    <row r="1428" spans="1:24" ht="12" thickBot="1">
      <c r="A1428" s="541" t="s">
        <v>1502</v>
      </c>
      <c r="B1428" s="541" t="s">
        <v>457</v>
      </c>
      <c r="C1428" s="541" t="s">
        <v>456</v>
      </c>
      <c r="D1428" s="552" t="s">
        <v>710</v>
      </c>
      <c r="E1428" s="551"/>
      <c r="F1428" s="551"/>
      <c r="G1428" s="551"/>
      <c r="H1428" s="551"/>
      <c r="I1428" s="551"/>
      <c r="J1428" s="551"/>
      <c r="K1428" s="551"/>
      <c r="L1428" s="551"/>
      <c r="M1428" s="551"/>
      <c r="N1428" s="551"/>
      <c r="O1428" s="551"/>
      <c r="P1428" s="551"/>
      <c r="Q1428" s="551"/>
      <c r="R1428" s="550"/>
      <c r="S1428" s="546">
        <f t="shared" si="236"/>
        <v>0</v>
      </c>
      <c r="T1428" s="547">
        <f t="shared" si="237"/>
        <v>0</v>
      </c>
      <c r="U1428" s="546">
        <f t="shared" si="238"/>
        <v>0</v>
      </c>
      <c r="W1428" s="350">
        <f t="shared" si="240"/>
        <v>0</v>
      </c>
      <c r="X1428" s="285">
        <f t="shared" si="239"/>
        <v>0</v>
      </c>
    </row>
    <row r="1429" spans="1:24" ht="12" thickBot="1">
      <c r="A1429" s="541" t="s">
        <v>1502</v>
      </c>
      <c r="B1429" s="541" t="s">
        <v>427</v>
      </c>
      <c r="C1429" s="541" t="s">
        <v>426</v>
      </c>
      <c r="D1429" s="552" t="s">
        <v>1157</v>
      </c>
      <c r="E1429" s="545"/>
      <c r="F1429" s="544"/>
      <c r="G1429" s="545"/>
      <c r="H1429" s="545"/>
      <c r="I1429" s="545"/>
      <c r="J1429" s="545"/>
      <c r="K1429" s="545"/>
      <c r="L1429" s="545"/>
      <c r="M1429" s="545"/>
      <c r="N1429" s="545"/>
      <c r="O1429" s="545"/>
      <c r="P1429" s="545"/>
      <c r="Q1429" s="545"/>
      <c r="R1429" s="544"/>
      <c r="S1429" s="546">
        <f t="shared" si="236"/>
        <v>0</v>
      </c>
      <c r="T1429" s="547">
        <f t="shared" si="237"/>
        <v>0</v>
      </c>
      <c r="U1429" s="546">
        <f t="shared" si="238"/>
        <v>0</v>
      </c>
      <c r="W1429" s="350">
        <f t="shared" si="240"/>
        <v>0</v>
      </c>
      <c r="X1429" s="285">
        <f t="shared" si="239"/>
        <v>0</v>
      </c>
    </row>
    <row r="1430" spans="1:24" ht="12" thickBot="1">
      <c r="A1430" s="541" t="s">
        <v>1502</v>
      </c>
      <c r="B1430" s="541" t="s">
        <v>673</v>
      </c>
      <c r="C1430" s="541" t="s">
        <v>674</v>
      </c>
      <c r="D1430" s="552" t="s">
        <v>710</v>
      </c>
      <c r="E1430" s="551"/>
      <c r="F1430" s="551"/>
      <c r="G1430" s="551"/>
      <c r="H1430" s="551"/>
      <c r="I1430" s="551"/>
      <c r="J1430" s="551"/>
      <c r="K1430" s="551"/>
      <c r="L1430" s="551"/>
      <c r="M1430" s="551"/>
      <c r="N1430" s="551"/>
      <c r="O1430" s="551"/>
      <c r="P1430" s="551"/>
      <c r="Q1430" s="551"/>
      <c r="R1430" s="550"/>
      <c r="S1430" s="546">
        <f t="shared" si="236"/>
        <v>0</v>
      </c>
      <c r="T1430" s="547">
        <f t="shared" si="237"/>
        <v>0</v>
      </c>
      <c r="U1430" s="546">
        <f t="shared" si="238"/>
        <v>0</v>
      </c>
      <c r="W1430" s="350">
        <f t="shared" si="240"/>
        <v>0</v>
      </c>
      <c r="X1430" s="285">
        <f t="shared" si="239"/>
        <v>0</v>
      </c>
    </row>
    <row r="1431" spans="1:24" ht="12" thickBot="1">
      <c r="A1431" s="541" t="s">
        <v>1502</v>
      </c>
      <c r="B1431" s="541" t="s">
        <v>1152</v>
      </c>
      <c r="C1431" s="541" t="s">
        <v>1153</v>
      </c>
      <c r="D1431" s="552" t="s">
        <v>710</v>
      </c>
      <c r="E1431" s="545"/>
      <c r="F1431" s="545"/>
      <c r="G1431" s="545"/>
      <c r="H1431" s="545"/>
      <c r="I1431" s="545"/>
      <c r="J1431" s="545"/>
      <c r="K1431" s="545"/>
      <c r="L1431" s="545"/>
      <c r="M1431" s="545"/>
      <c r="N1431" s="545"/>
      <c r="O1431" s="545"/>
      <c r="P1431" s="545"/>
      <c r="Q1431" s="545"/>
      <c r="R1431" s="544"/>
      <c r="S1431" s="546">
        <f t="shared" si="236"/>
        <v>0</v>
      </c>
      <c r="T1431" s="547">
        <f t="shared" si="237"/>
        <v>0</v>
      </c>
      <c r="U1431" s="546">
        <f t="shared" si="238"/>
        <v>0</v>
      </c>
      <c r="W1431" s="350">
        <f t="shared" si="240"/>
        <v>0</v>
      </c>
      <c r="X1431" s="285">
        <f t="shared" si="239"/>
        <v>0</v>
      </c>
    </row>
    <row r="1432" spans="1:24" ht="12" thickBot="1">
      <c r="A1432" s="541" t="s">
        <v>1502</v>
      </c>
      <c r="B1432" s="541" t="s">
        <v>434</v>
      </c>
      <c r="C1432" s="541" t="s">
        <v>1154</v>
      </c>
      <c r="D1432" s="552" t="s">
        <v>1158</v>
      </c>
      <c r="E1432" s="549"/>
      <c r="F1432" s="550"/>
      <c r="G1432" s="550"/>
      <c r="H1432" s="550"/>
      <c r="I1432" s="551"/>
      <c r="J1432" s="551"/>
      <c r="K1432" s="551"/>
      <c r="L1432" s="551"/>
      <c r="M1432" s="551"/>
      <c r="N1432" s="551"/>
      <c r="O1432" s="551"/>
      <c r="P1432" s="551"/>
      <c r="Q1432" s="551"/>
      <c r="R1432" s="550"/>
      <c r="S1432" s="546">
        <f t="shared" si="236"/>
        <v>0</v>
      </c>
      <c r="T1432" s="547">
        <f t="shared" si="237"/>
        <v>0</v>
      </c>
      <c r="U1432" s="546">
        <f t="shared" si="238"/>
        <v>0</v>
      </c>
      <c r="W1432" s="350">
        <f t="shared" si="240"/>
        <v>0</v>
      </c>
      <c r="X1432" s="285">
        <f t="shared" si="239"/>
        <v>0</v>
      </c>
    </row>
    <row r="1433" spans="1:24" ht="12" thickBot="1">
      <c r="A1433" s="541" t="s">
        <v>1502</v>
      </c>
      <c r="B1433" s="562" t="s">
        <v>8</v>
      </c>
      <c r="C1433" s="563"/>
      <c r="D1433" s="557"/>
      <c r="E1433" s="558"/>
      <c r="F1433" s="559"/>
      <c r="G1433" s="559"/>
      <c r="H1433" s="559"/>
      <c r="I1433" s="559"/>
      <c r="J1433" s="559"/>
      <c r="K1433" s="559"/>
      <c r="L1433" s="559"/>
      <c r="M1433" s="559"/>
      <c r="N1433" s="559"/>
      <c r="O1433" s="559"/>
      <c r="P1433" s="559"/>
      <c r="Q1433" s="559"/>
      <c r="R1433" s="559"/>
      <c r="S1433" s="546">
        <f t="shared" si="236"/>
        <v>0</v>
      </c>
      <c r="T1433" s="547">
        <f t="shared" si="237"/>
        <v>0</v>
      </c>
      <c r="U1433" s="546">
        <f t="shared" si="238"/>
        <v>0</v>
      </c>
      <c r="W1433" s="350">
        <f t="shared" si="240"/>
        <v>0</v>
      </c>
      <c r="X1433" s="285">
        <f t="shared" si="239"/>
        <v>0</v>
      </c>
    </row>
    <row r="1434" spans="1:24" ht="12" thickBot="1">
      <c r="A1434" s="541" t="s">
        <v>1503</v>
      </c>
      <c r="B1434" s="541" t="s">
        <v>424</v>
      </c>
      <c r="C1434" s="541" t="s">
        <v>444</v>
      </c>
      <c r="D1434" s="542" t="s">
        <v>724</v>
      </c>
      <c r="E1434" s="543"/>
      <c r="F1434" s="544"/>
      <c r="G1434" s="544"/>
      <c r="H1434" s="545"/>
      <c r="I1434" s="545"/>
      <c r="J1434" s="545"/>
      <c r="K1434" s="545"/>
      <c r="L1434" s="545"/>
      <c r="M1434" s="545"/>
      <c r="N1434" s="545"/>
      <c r="O1434" s="545"/>
      <c r="P1434" s="545"/>
      <c r="Q1434" s="545"/>
      <c r="R1434" s="544"/>
      <c r="S1434" s="546">
        <f t="shared" si="236"/>
        <v>0</v>
      </c>
      <c r="T1434" s="547">
        <f t="shared" si="237"/>
        <v>0</v>
      </c>
      <c r="U1434" s="546">
        <f t="shared" si="238"/>
        <v>0</v>
      </c>
      <c r="W1434" s="350">
        <f t="shared" si="240"/>
        <v>0</v>
      </c>
      <c r="X1434" s="285">
        <f t="shared" si="239"/>
        <v>0</v>
      </c>
    </row>
    <row r="1435" spans="1:24" ht="12" thickBot="1">
      <c r="A1435" s="541" t="s">
        <v>1503</v>
      </c>
      <c r="B1435" s="541" t="s">
        <v>425</v>
      </c>
      <c r="C1435" s="541" t="s">
        <v>445</v>
      </c>
      <c r="D1435" s="542" t="s">
        <v>724</v>
      </c>
      <c r="E1435" s="549"/>
      <c r="F1435" s="550"/>
      <c r="G1435" s="550"/>
      <c r="H1435" s="551"/>
      <c r="I1435" s="551"/>
      <c r="J1435" s="551"/>
      <c r="K1435" s="551"/>
      <c r="L1435" s="551"/>
      <c r="M1435" s="551"/>
      <c r="N1435" s="551"/>
      <c r="O1435" s="551"/>
      <c r="P1435" s="551"/>
      <c r="Q1435" s="551"/>
      <c r="R1435" s="550"/>
      <c r="S1435" s="546">
        <f t="shared" si="236"/>
        <v>0</v>
      </c>
      <c r="T1435" s="547">
        <f t="shared" si="237"/>
        <v>0</v>
      </c>
      <c r="U1435" s="546">
        <f t="shared" si="238"/>
        <v>0</v>
      </c>
      <c r="W1435" s="350">
        <f t="shared" si="240"/>
        <v>0</v>
      </c>
      <c r="X1435" s="285">
        <f t="shared" si="239"/>
        <v>0</v>
      </c>
    </row>
    <row r="1436" spans="1:24" ht="12" thickBot="1">
      <c r="A1436" s="541" t="s">
        <v>1503</v>
      </c>
      <c r="B1436" s="541" t="s">
        <v>433</v>
      </c>
      <c r="C1436" s="541" t="s">
        <v>432</v>
      </c>
      <c r="D1436" s="552" t="s">
        <v>1155</v>
      </c>
      <c r="E1436" s="543"/>
      <c r="F1436" s="545"/>
      <c r="G1436" s="544"/>
      <c r="H1436" s="545"/>
      <c r="I1436" s="545"/>
      <c r="J1436" s="545"/>
      <c r="K1436" s="545"/>
      <c r="L1436" s="545"/>
      <c r="M1436" s="545"/>
      <c r="N1436" s="545"/>
      <c r="O1436" s="545"/>
      <c r="P1436" s="545"/>
      <c r="Q1436" s="545"/>
      <c r="R1436" s="544"/>
      <c r="S1436" s="546">
        <f t="shared" ref="S1436:S1459" si="241">G1436+H1436+I1436</f>
        <v>0</v>
      </c>
      <c r="T1436" s="547">
        <f t="shared" ref="T1436:T1459" si="242">J1436+K1436</f>
        <v>0</v>
      </c>
      <c r="U1436" s="546">
        <f t="shared" ref="U1436:U1459" si="243">N1436+O1436</f>
        <v>0</v>
      </c>
      <c r="W1436" s="350">
        <f t="shared" si="240"/>
        <v>0</v>
      </c>
      <c r="X1436" s="285">
        <f t="shared" ref="X1436:X1459" si="244">W1436-R1436</f>
        <v>0</v>
      </c>
    </row>
    <row r="1437" spans="1:24" ht="12" thickBot="1">
      <c r="A1437" s="541" t="s">
        <v>1503</v>
      </c>
      <c r="B1437" s="541" t="s">
        <v>431</v>
      </c>
      <c r="C1437" s="541" t="s">
        <v>430</v>
      </c>
      <c r="D1437" s="553" t="s">
        <v>1155</v>
      </c>
      <c r="E1437" s="549"/>
      <c r="F1437" s="551"/>
      <c r="G1437" s="550"/>
      <c r="H1437" s="551"/>
      <c r="I1437" s="551"/>
      <c r="J1437" s="551"/>
      <c r="K1437" s="551"/>
      <c r="L1437" s="551"/>
      <c r="M1437" s="551"/>
      <c r="N1437" s="551"/>
      <c r="O1437" s="551"/>
      <c r="P1437" s="551"/>
      <c r="Q1437" s="551"/>
      <c r="R1437" s="550"/>
      <c r="S1437" s="546">
        <f t="shared" si="241"/>
        <v>0</v>
      </c>
      <c r="T1437" s="547">
        <f t="shared" si="242"/>
        <v>0</v>
      </c>
      <c r="U1437" s="546">
        <f t="shared" si="243"/>
        <v>0</v>
      </c>
      <c r="W1437" s="350">
        <f t="shared" si="240"/>
        <v>0</v>
      </c>
      <c r="X1437" s="285">
        <f t="shared" si="244"/>
        <v>0</v>
      </c>
    </row>
    <row r="1438" spans="1:24" ht="12" thickBot="1">
      <c r="A1438" s="541" t="s">
        <v>1503</v>
      </c>
      <c r="B1438" s="541" t="s">
        <v>1048</v>
      </c>
      <c r="C1438" s="541" t="s">
        <v>1049</v>
      </c>
      <c r="D1438" s="553" t="s">
        <v>1146</v>
      </c>
      <c r="E1438" s="545"/>
      <c r="F1438" s="545"/>
      <c r="G1438" s="545"/>
      <c r="H1438" s="545"/>
      <c r="I1438" s="545"/>
      <c r="J1438" s="545"/>
      <c r="K1438" s="545"/>
      <c r="L1438" s="545"/>
      <c r="M1438" s="545"/>
      <c r="N1438" s="545"/>
      <c r="O1438" s="545"/>
      <c r="P1438" s="545"/>
      <c r="Q1438" s="545"/>
      <c r="R1438" s="545"/>
      <c r="S1438" s="546">
        <f t="shared" si="241"/>
        <v>0</v>
      </c>
      <c r="T1438" s="547">
        <f t="shared" si="242"/>
        <v>0</v>
      </c>
      <c r="U1438" s="546">
        <f t="shared" si="243"/>
        <v>0</v>
      </c>
      <c r="W1438" s="350">
        <f t="shared" si="240"/>
        <v>0</v>
      </c>
      <c r="X1438" s="285">
        <f t="shared" si="244"/>
        <v>0</v>
      </c>
    </row>
    <row r="1439" spans="1:24" ht="12" thickBot="1">
      <c r="A1439" s="541" t="s">
        <v>1503</v>
      </c>
      <c r="B1439" s="541" t="s">
        <v>152</v>
      </c>
      <c r="C1439" s="541" t="s">
        <v>57</v>
      </c>
      <c r="D1439" s="553" t="s">
        <v>18</v>
      </c>
      <c r="E1439" s="549">
        <f t="shared" ref="E1439:E1485" si="245">ROUND(SUMIFS(E$1721:E$1888,$A$1721:$A$1888,$A1439,$B$1721:$B$1888,$B1439),0)</f>
        <v>136559534</v>
      </c>
      <c r="F1439" s="988">
        <f t="shared" ref="F1439:P1448" si="246">ROUND(SUMIFS(F$1721:F$1901,$A$1721:$A$1901,$A1439,$B$1721:$B$1901,$B1439),0)</f>
        <v>24000</v>
      </c>
      <c r="G1439" s="988">
        <f t="shared" si="246"/>
        <v>1013272</v>
      </c>
      <c r="H1439" s="988">
        <f t="shared" si="246"/>
        <v>3949302</v>
      </c>
      <c r="I1439" s="988">
        <f t="shared" si="246"/>
        <v>0</v>
      </c>
      <c r="J1439" s="988">
        <f t="shared" si="246"/>
        <v>210755</v>
      </c>
      <c r="K1439" s="988">
        <f t="shared" si="246"/>
        <v>2160218</v>
      </c>
      <c r="L1439" s="988">
        <f t="shared" si="246"/>
        <v>0</v>
      </c>
      <c r="M1439" s="988">
        <f t="shared" si="246"/>
        <v>442865</v>
      </c>
      <c r="N1439" s="988">
        <f t="shared" si="246"/>
        <v>0</v>
      </c>
      <c r="O1439" s="988">
        <f t="shared" si="246"/>
        <v>825623</v>
      </c>
      <c r="P1439" s="988">
        <f t="shared" si="246"/>
        <v>0</v>
      </c>
      <c r="Q1439" s="988"/>
      <c r="R1439" s="988">
        <f t="shared" ref="R1439:R1485" si="247">ROUND(SUMIFS(R$1721:R$1901,$A$1721:$A$1901,$A1439,$B$1721:$B$1901,$B1439),0)</f>
        <v>8626034</v>
      </c>
      <c r="S1439" s="546">
        <f t="shared" si="241"/>
        <v>4962574</v>
      </c>
      <c r="T1439" s="547">
        <f t="shared" si="242"/>
        <v>2370973</v>
      </c>
      <c r="U1439" s="546">
        <f t="shared" si="243"/>
        <v>825623</v>
      </c>
      <c r="W1439" s="350">
        <f t="shared" si="240"/>
        <v>8626035</v>
      </c>
      <c r="X1439" s="285">
        <f t="shared" si="244"/>
        <v>1</v>
      </c>
    </row>
    <row r="1440" spans="1:24" ht="12" thickBot="1">
      <c r="A1440" s="541" t="s">
        <v>1503</v>
      </c>
      <c r="B1440" s="541" t="s">
        <v>153</v>
      </c>
      <c r="C1440" s="541" t="s">
        <v>180</v>
      </c>
      <c r="D1440" s="542" t="s">
        <v>25</v>
      </c>
      <c r="E1440" s="549">
        <f t="shared" si="245"/>
        <v>19617060</v>
      </c>
      <c r="F1440" s="988">
        <f t="shared" si="246"/>
        <v>33660</v>
      </c>
      <c r="G1440" s="988">
        <f t="shared" si="246"/>
        <v>131434</v>
      </c>
      <c r="H1440" s="988">
        <f t="shared" si="246"/>
        <v>567325</v>
      </c>
      <c r="I1440" s="988">
        <f t="shared" si="246"/>
        <v>0</v>
      </c>
      <c r="J1440" s="988">
        <f t="shared" si="246"/>
        <v>58887</v>
      </c>
      <c r="K1440" s="988">
        <f t="shared" si="246"/>
        <v>659747</v>
      </c>
      <c r="L1440" s="988">
        <f t="shared" si="246"/>
        <v>36931</v>
      </c>
      <c r="M1440" s="988">
        <f t="shared" si="246"/>
        <v>63618</v>
      </c>
      <c r="N1440" s="988">
        <f t="shared" si="246"/>
        <v>0</v>
      </c>
      <c r="O1440" s="988">
        <f t="shared" si="246"/>
        <v>118602</v>
      </c>
      <c r="P1440" s="988">
        <f t="shared" si="246"/>
        <v>0</v>
      </c>
      <c r="Q1440" s="988"/>
      <c r="R1440" s="988">
        <f t="shared" si="247"/>
        <v>1670206</v>
      </c>
      <c r="S1440" s="546">
        <f t="shared" si="241"/>
        <v>698759</v>
      </c>
      <c r="T1440" s="547">
        <f t="shared" si="242"/>
        <v>718634</v>
      </c>
      <c r="U1440" s="546">
        <f t="shared" si="243"/>
        <v>118602</v>
      </c>
      <c r="W1440" s="350">
        <f t="shared" si="240"/>
        <v>1670204</v>
      </c>
      <c r="X1440" s="285">
        <f t="shared" si="244"/>
        <v>-2</v>
      </c>
    </row>
    <row r="1441" spans="1:24" ht="12" thickBot="1">
      <c r="A1441" s="541" t="s">
        <v>1503</v>
      </c>
      <c r="B1441" s="541" t="s">
        <v>154</v>
      </c>
      <c r="C1441" s="541" t="s">
        <v>181</v>
      </c>
      <c r="D1441" s="542" t="s">
        <v>24</v>
      </c>
      <c r="E1441" s="549">
        <f t="shared" si="245"/>
        <v>160821920</v>
      </c>
      <c r="F1441" s="988">
        <f t="shared" si="246"/>
        <v>420300</v>
      </c>
      <c r="G1441" s="988">
        <f t="shared" si="246"/>
        <v>1080723</v>
      </c>
      <c r="H1441" s="988">
        <f t="shared" si="246"/>
        <v>4650970</v>
      </c>
      <c r="I1441" s="988">
        <f t="shared" si="246"/>
        <v>0</v>
      </c>
      <c r="J1441" s="988">
        <f t="shared" si="246"/>
        <v>549028</v>
      </c>
      <c r="K1441" s="988">
        <f t="shared" si="246"/>
        <v>6161310</v>
      </c>
      <c r="L1441" s="988">
        <f t="shared" si="246"/>
        <v>302767</v>
      </c>
      <c r="M1441" s="988">
        <f t="shared" si="246"/>
        <v>521548</v>
      </c>
      <c r="N1441" s="988">
        <f t="shared" si="246"/>
        <v>0</v>
      </c>
      <c r="O1441" s="988">
        <f t="shared" si="246"/>
        <v>972311</v>
      </c>
      <c r="P1441" s="988">
        <f t="shared" si="246"/>
        <v>0</v>
      </c>
      <c r="Q1441" s="988"/>
      <c r="R1441" s="988">
        <f t="shared" si="247"/>
        <v>14658957</v>
      </c>
      <c r="S1441" s="546">
        <f t="shared" si="241"/>
        <v>5731693</v>
      </c>
      <c r="T1441" s="547">
        <f t="shared" si="242"/>
        <v>6710338</v>
      </c>
      <c r="U1441" s="546">
        <f t="shared" si="243"/>
        <v>972311</v>
      </c>
      <c r="W1441" s="350">
        <f t="shared" si="240"/>
        <v>14658957</v>
      </c>
      <c r="X1441" s="285">
        <f t="shared" si="244"/>
        <v>0</v>
      </c>
    </row>
    <row r="1442" spans="1:24" ht="12" thickBot="1">
      <c r="A1442" s="541" t="s">
        <v>1503</v>
      </c>
      <c r="B1442" s="541" t="s">
        <v>155</v>
      </c>
      <c r="C1442" s="541" t="s">
        <v>182</v>
      </c>
      <c r="D1442" s="554" t="s">
        <v>205</v>
      </c>
      <c r="E1442" s="549">
        <f t="shared" si="245"/>
        <v>250340516</v>
      </c>
      <c r="F1442" s="988">
        <f t="shared" si="246"/>
        <v>15600</v>
      </c>
      <c r="G1442" s="988">
        <f t="shared" si="246"/>
        <v>2185473</v>
      </c>
      <c r="H1442" s="988">
        <f t="shared" si="246"/>
        <v>7239848</v>
      </c>
      <c r="I1442" s="988">
        <f t="shared" si="246"/>
        <v>0</v>
      </c>
      <c r="J1442" s="988">
        <f t="shared" si="246"/>
        <v>386969</v>
      </c>
      <c r="K1442" s="988">
        <f t="shared" si="246"/>
        <v>3908841</v>
      </c>
      <c r="L1442" s="988">
        <f t="shared" si="246"/>
        <v>471296</v>
      </c>
      <c r="M1442" s="988">
        <f t="shared" si="246"/>
        <v>811858</v>
      </c>
      <c r="N1442" s="988">
        <f t="shared" si="246"/>
        <v>0</v>
      </c>
      <c r="O1442" s="988">
        <f t="shared" si="246"/>
        <v>1513530</v>
      </c>
      <c r="P1442" s="988">
        <f t="shared" si="246"/>
        <v>0</v>
      </c>
      <c r="Q1442" s="988"/>
      <c r="R1442" s="988">
        <f t="shared" si="247"/>
        <v>16533415</v>
      </c>
      <c r="S1442" s="546">
        <f t="shared" si="241"/>
        <v>9425321</v>
      </c>
      <c r="T1442" s="547">
        <f t="shared" si="242"/>
        <v>4295810</v>
      </c>
      <c r="U1442" s="546">
        <f t="shared" si="243"/>
        <v>1513530</v>
      </c>
      <c r="W1442" s="350">
        <f t="shared" si="240"/>
        <v>16533415</v>
      </c>
      <c r="X1442" s="285">
        <f t="shared" si="244"/>
        <v>0</v>
      </c>
    </row>
    <row r="1443" spans="1:24" ht="12" thickBot="1">
      <c r="A1443" s="541" t="s">
        <v>1503</v>
      </c>
      <c r="B1443" s="541" t="s">
        <v>156</v>
      </c>
      <c r="C1443" s="541" t="s">
        <v>183</v>
      </c>
      <c r="D1443" s="554" t="s">
        <v>25</v>
      </c>
      <c r="E1443" s="549">
        <f t="shared" si="245"/>
        <v>0</v>
      </c>
      <c r="F1443" s="988">
        <f t="shared" si="246"/>
        <v>0</v>
      </c>
      <c r="G1443" s="988">
        <f t="shared" si="246"/>
        <v>0</v>
      </c>
      <c r="H1443" s="988">
        <f t="shared" si="246"/>
        <v>0</v>
      </c>
      <c r="I1443" s="988">
        <f t="shared" si="246"/>
        <v>0</v>
      </c>
      <c r="J1443" s="988">
        <f t="shared" si="246"/>
        <v>0</v>
      </c>
      <c r="K1443" s="988">
        <f t="shared" si="246"/>
        <v>0</v>
      </c>
      <c r="L1443" s="988">
        <f t="shared" si="246"/>
        <v>0</v>
      </c>
      <c r="M1443" s="988">
        <f t="shared" si="246"/>
        <v>0</v>
      </c>
      <c r="N1443" s="988">
        <f t="shared" si="246"/>
        <v>0</v>
      </c>
      <c r="O1443" s="988">
        <f t="shared" si="246"/>
        <v>0</v>
      </c>
      <c r="P1443" s="988">
        <f t="shared" si="246"/>
        <v>0</v>
      </c>
      <c r="Q1443" s="988"/>
      <c r="R1443" s="988">
        <f t="shared" si="247"/>
        <v>0</v>
      </c>
      <c r="S1443" s="546">
        <f t="shared" si="241"/>
        <v>0</v>
      </c>
      <c r="T1443" s="547">
        <f t="shared" si="242"/>
        <v>0</v>
      </c>
      <c r="U1443" s="546">
        <f t="shared" si="243"/>
        <v>0</v>
      </c>
      <c r="W1443" s="350">
        <f t="shared" si="240"/>
        <v>0</v>
      </c>
      <c r="X1443" s="285">
        <f t="shared" si="244"/>
        <v>0</v>
      </c>
    </row>
    <row r="1444" spans="1:24" ht="12" thickBot="1">
      <c r="A1444" s="541" t="s">
        <v>1503</v>
      </c>
      <c r="B1444" s="541" t="s">
        <v>157</v>
      </c>
      <c r="C1444" s="541" t="s">
        <v>184</v>
      </c>
      <c r="D1444" s="554" t="s">
        <v>24</v>
      </c>
      <c r="E1444" s="549">
        <f t="shared" si="245"/>
        <v>0</v>
      </c>
      <c r="F1444" s="988">
        <f t="shared" si="246"/>
        <v>0</v>
      </c>
      <c r="G1444" s="988">
        <f t="shared" si="246"/>
        <v>0</v>
      </c>
      <c r="H1444" s="988">
        <f t="shared" si="246"/>
        <v>0</v>
      </c>
      <c r="I1444" s="988">
        <f t="shared" si="246"/>
        <v>0</v>
      </c>
      <c r="J1444" s="988">
        <f t="shared" si="246"/>
        <v>0</v>
      </c>
      <c r="K1444" s="988">
        <f t="shared" si="246"/>
        <v>0</v>
      </c>
      <c r="L1444" s="988">
        <f t="shared" si="246"/>
        <v>0</v>
      </c>
      <c r="M1444" s="988">
        <f t="shared" si="246"/>
        <v>0</v>
      </c>
      <c r="N1444" s="988">
        <f t="shared" si="246"/>
        <v>0</v>
      </c>
      <c r="O1444" s="988">
        <f t="shared" si="246"/>
        <v>0</v>
      </c>
      <c r="P1444" s="988">
        <f t="shared" si="246"/>
        <v>0</v>
      </c>
      <c r="Q1444" s="988"/>
      <c r="R1444" s="988">
        <f t="shared" si="247"/>
        <v>0</v>
      </c>
      <c r="S1444" s="546">
        <f t="shared" si="241"/>
        <v>0</v>
      </c>
      <c r="T1444" s="547">
        <f t="shared" si="242"/>
        <v>0</v>
      </c>
      <c r="U1444" s="546">
        <f t="shared" si="243"/>
        <v>0</v>
      </c>
      <c r="W1444" s="350">
        <f t="shared" si="240"/>
        <v>0</v>
      </c>
      <c r="X1444" s="285">
        <f t="shared" si="244"/>
        <v>0</v>
      </c>
    </row>
    <row r="1445" spans="1:24" ht="12" thickBot="1">
      <c r="A1445" s="541" t="s">
        <v>1503</v>
      </c>
      <c r="B1445" s="541" t="s">
        <v>158</v>
      </c>
      <c r="C1445" s="541" t="s">
        <v>185</v>
      </c>
      <c r="D1445" s="542" t="s">
        <v>205</v>
      </c>
      <c r="E1445" s="549">
        <f t="shared" si="245"/>
        <v>104851396</v>
      </c>
      <c r="F1445" s="988">
        <f t="shared" si="246"/>
        <v>60000</v>
      </c>
      <c r="G1445" s="988">
        <f t="shared" si="246"/>
        <v>915353</v>
      </c>
      <c r="H1445" s="988">
        <f t="shared" si="246"/>
        <v>3032302</v>
      </c>
      <c r="I1445" s="988">
        <f t="shared" si="246"/>
        <v>0</v>
      </c>
      <c r="J1445" s="988">
        <f t="shared" si="246"/>
        <v>202917</v>
      </c>
      <c r="K1445" s="988">
        <f t="shared" si="246"/>
        <v>2049490</v>
      </c>
      <c r="L1445" s="988">
        <f t="shared" si="246"/>
        <v>197395</v>
      </c>
      <c r="M1445" s="988">
        <f t="shared" si="246"/>
        <v>340035</v>
      </c>
      <c r="N1445" s="988">
        <f t="shared" si="246"/>
        <v>0</v>
      </c>
      <c r="O1445" s="988">
        <f t="shared" si="246"/>
        <v>633919</v>
      </c>
      <c r="P1445" s="988">
        <f t="shared" si="246"/>
        <v>0</v>
      </c>
      <c r="Q1445" s="988"/>
      <c r="R1445" s="988">
        <f t="shared" si="247"/>
        <v>7431412</v>
      </c>
      <c r="S1445" s="546">
        <f t="shared" si="241"/>
        <v>3947655</v>
      </c>
      <c r="T1445" s="547">
        <f t="shared" si="242"/>
        <v>2252407</v>
      </c>
      <c r="U1445" s="546">
        <f t="shared" si="243"/>
        <v>633919</v>
      </c>
      <c r="W1445" s="350">
        <f t="shared" si="240"/>
        <v>7431411</v>
      </c>
      <c r="X1445" s="285">
        <f t="shared" si="244"/>
        <v>-1</v>
      </c>
    </row>
    <row r="1446" spans="1:24" ht="12" thickBot="1">
      <c r="A1446" s="541" t="s">
        <v>1503</v>
      </c>
      <c r="B1446" s="541" t="s">
        <v>159</v>
      </c>
      <c r="C1446" s="541" t="s">
        <v>186</v>
      </c>
      <c r="D1446" s="542" t="s">
        <v>204</v>
      </c>
      <c r="E1446" s="549">
        <f t="shared" si="245"/>
        <v>126203044</v>
      </c>
      <c r="F1446" s="988">
        <f t="shared" si="246"/>
        <v>93000</v>
      </c>
      <c r="G1446" s="988">
        <f t="shared" si="246"/>
        <v>1111849</v>
      </c>
      <c r="H1446" s="988">
        <f t="shared" si="246"/>
        <v>3649792</v>
      </c>
      <c r="I1446" s="988">
        <f t="shared" si="246"/>
        <v>0</v>
      </c>
      <c r="J1446" s="988">
        <f t="shared" si="246"/>
        <v>278173</v>
      </c>
      <c r="K1446" s="988">
        <f t="shared" si="246"/>
        <v>2838848</v>
      </c>
      <c r="L1446" s="988">
        <f t="shared" si="246"/>
        <v>237593</v>
      </c>
      <c r="M1446" s="988">
        <f t="shared" si="246"/>
        <v>409278</v>
      </c>
      <c r="N1446" s="988">
        <f t="shared" si="246"/>
        <v>0</v>
      </c>
      <c r="O1446" s="988">
        <f t="shared" si="246"/>
        <v>763009</v>
      </c>
      <c r="P1446" s="988">
        <f t="shared" si="246"/>
        <v>0</v>
      </c>
      <c r="Q1446" s="988"/>
      <c r="R1446" s="988">
        <f t="shared" si="247"/>
        <v>9381541</v>
      </c>
      <c r="S1446" s="546">
        <f t="shared" si="241"/>
        <v>4761641</v>
      </c>
      <c r="T1446" s="547">
        <f t="shared" si="242"/>
        <v>3117021</v>
      </c>
      <c r="U1446" s="546">
        <f t="shared" si="243"/>
        <v>763009</v>
      </c>
      <c r="W1446" s="350">
        <f t="shared" si="240"/>
        <v>9381542</v>
      </c>
      <c r="X1446" s="285">
        <f t="shared" si="244"/>
        <v>1</v>
      </c>
    </row>
    <row r="1447" spans="1:24" ht="12" thickBot="1">
      <c r="A1447" s="541" t="s">
        <v>1503</v>
      </c>
      <c r="B1447" s="541" t="s">
        <v>160</v>
      </c>
      <c r="C1447" s="541" t="s">
        <v>187</v>
      </c>
      <c r="D1447" s="542" t="s">
        <v>24</v>
      </c>
      <c r="E1447" s="549">
        <f t="shared" si="245"/>
        <v>0</v>
      </c>
      <c r="F1447" s="988">
        <f t="shared" si="246"/>
        <v>0</v>
      </c>
      <c r="G1447" s="988">
        <f t="shared" si="246"/>
        <v>0</v>
      </c>
      <c r="H1447" s="988">
        <f t="shared" si="246"/>
        <v>0</v>
      </c>
      <c r="I1447" s="988">
        <f t="shared" si="246"/>
        <v>0</v>
      </c>
      <c r="J1447" s="988">
        <f t="shared" si="246"/>
        <v>0</v>
      </c>
      <c r="K1447" s="988">
        <f t="shared" si="246"/>
        <v>0</v>
      </c>
      <c r="L1447" s="988">
        <f t="shared" si="246"/>
        <v>0</v>
      </c>
      <c r="M1447" s="988">
        <f t="shared" si="246"/>
        <v>0</v>
      </c>
      <c r="N1447" s="988">
        <f t="shared" si="246"/>
        <v>0</v>
      </c>
      <c r="O1447" s="988">
        <f t="shared" si="246"/>
        <v>0</v>
      </c>
      <c r="P1447" s="988">
        <f t="shared" si="246"/>
        <v>0</v>
      </c>
      <c r="Q1447" s="988"/>
      <c r="R1447" s="988">
        <f t="shared" si="247"/>
        <v>0</v>
      </c>
      <c r="S1447" s="546">
        <f t="shared" si="241"/>
        <v>0</v>
      </c>
      <c r="T1447" s="547">
        <f t="shared" si="242"/>
        <v>0</v>
      </c>
      <c r="U1447" s="546">
        <f t="shared" si="243"/>
        <v>0</v>
      </c>
      <c r="W1447" s="350">
        <f t="shared" si="240"/>
        <v>0</v>
      </c>
      <c r="X1447" s="285">
        <f t="shared" si="244"/>
        <v>0</v>
      </c>
    </row>
    <row r="1448" spans="1:24" ht="12" thickBot="1">
      <c r="A1448" s="541" t="s">
        <v>1503</v>
      </c>
      <c r="B1448" s="541" t="s">
        <v>1050</v>
      </c>
      <c r="C1448" s="541" t="s">
        <v>1049</v>
      </c>
      <c r="D1448" s="542" t="s">
        <v>1146</v>
      </c>
      <c r="E1448" s="549">
        <f t="shared" si="245"/>
        <v>0</v>
      </c>
      <c r="F1448" s="988">
        <f t="shared" si="246"/>
        <v>0</v>
      </c>
      <c r="G1448" s="988">
        <f t="shared" si="246"/>
        <v>0</v>
      </c>
      <c r="H1448" s="988">
        <f t="shared" si="246"/>
        <v>0</v>
      </c>
      <c r="I1448" s="988">
        <f t="shared" si="246"/>
        <v>0</v>
      </c>
      <c r="J1448" s="988">
        <f t="shared" si="246"/>
        <v>0</v>
      </c>
      <c r="K1448" s="988">
        <f t="shared" si="246"/>
        <v>0</v>
      </c>
      <c r="L1448" s="988">
        <f t="shared" si="246"/>
        <v>0</v>
      </c>
      <c r="M1448" s="988">
        <f t="shared" si="246"/>
        <v>0</v>
      </c>
      <c r="N1448" s="988">
        <f t="shared" si="246"/>
        <v>0</v>
      </c>
      <c r="O1448" s="988">
        <f t="shared" si="246"/>
        <v>0</v>
      </c>
      <c r="P1448" s="988">
        <f t="shared" si="246"/>
        <v>0</v>
      </c>
      <c r="Q1448" s="988"/>
      <c r="R1448" s="988">
        <f t="shared" si="247"/>
        <v>0</v>
      </c>
      <c r="S1448" s="546">
        <f t="shared" si="241"/>
        <v>0</v>
      </c>
      <c r="T1448" s="547">
        <f t="shared" si="242"/>
        <v>0</v>
      </c>
      <c r="U1448" s="546">
        <f t="shared" si="243"/>
        <v>0</v>
      </c>
      <c r="W1448" s="350">
        <f t="shared" si="240"/>
        <v>0</v>
      </c>
      <c r="X1448" s="285">
        <f t="shared" si="244"/>
        <v>0</v>
      </c>
    </row>
    <row r="1449" spans="1:24" ht="12" thickBot="1">
      <c r="A1449" s="541" t="s">
        <v>1503</v>
      </c>
      <c r="B1449" s="541" t="s">
        <v>161</v>
      </c>
      <c r="C1449" s="541" t="s">
        <v>476</v>
      </c>
      <c r="D1449" s="541" t="s">
        <v>208</v>
      </c>
      <c r="E1449" s="549">
        <f t="shared" si="245"/>
        <v>55344548</v>
      </c>
      <c r="F1449" s="988">
        <f t="shared" ref="F1449:P1458" si="248">ROUND(SUMIFS(F$1721:F$1901,$A$1721:$A$1901,$A1449,$B$1721:$B$1901,$B1449),0)</f>
        <v>1270432</v>
      </c>
      <c r="G1449" s="988">
        <f t="shared" si="248"/>
        <v>3244297</v>
      </c>
      <c r="H1449" s="988">
        <f t="shared" si="248"/>
        <v>1600564</v>
      </c>
      <c r="I1449" s="988">
        <f t="shared" si="248"/>
        <v>260673</v>
      </c>
      <c r="J1449" s="988">
        <f t="shared" si="248"/>
        <v>0</v>
      </c>
      <c r="K1449" s="988">
        <f t="shared" si="248"/>
        <v>0</v>
      </c>
      <c r="L1449" s="988">
        <f t="shared" si="248"/>
        <v>104193</v>
      </c>
      <c r="M1449" s="988">
        <f t="shared" si="248"/>
        <v>179483</v>
      </c>
      <c r="N1449" s="988">
        <f t="shared" si="248"/>
        <v>0</v>
      </c>
      <c r="O1449" s="988">
        <f t="shared" si="248"/>
        <v>334607</v>
      </c>
      <c r="P1449" s="988">
        <f t="shared" si="248"/>
        <v>0</v>
      </c>
      <c r="Q1449" s="988"/>
      <c r="R1449" s="988">
        <f t="shared" si="247"/>
        <v>6994249</v>
      </c>
      <c r="S1449" s="546">
        <f t="shared" si="241"/>
        <v>5105534</v>
      </c>
      <c r="T1449" s="547">
        <f t="shared" si="242"/>
        <v>0</v>
      </c>
      <c r="U1449" s="546">
        <f t="shared" si="243"/>
        <v>334607</v>
      </c>
      <c r="W1449" s="350">
        <f t="shared" si="240"/>
        <v>6994249</v>
      </c>
      <c r="X1449" s="285">
        <f t="shared" si="244"/>
        <v>0</v>
      </c>
    </row>
    <row r="1450" spans="1:24" ht="12" thickBot="1">
      <c r="A1450" s="541" t="s">
        <v>1503</v>
      </c>
      <c r="B1450" s="541" t="s">
        <v>162</v>
      </c>
      <c r="C1450" s="541" t="s">
        <v>1391</v>
      </c>
      <c r="D1450" s="561" t="s">
        <v>208</v>
      </c>
      <c r="E1450" s="549">
        <f t="shared" si="245"/>
        <v>0</v>
      </c>
      <c r="F1450" s="988">
        <f t="shared" si="248"/>
        <v>0</v>
      </c>
      <c r="G1450" s="988">
        <f t="shared" si="248"/>
        <v>0</v>
      </c>
      <c r="H1450" s="988">
        <f t="shared" si="248"/>
        <v>0</v>
      </c>
      <c r="I1450" s="988">
        <f t="shared" si="248"/>
        <v>0</v>
      </c>
      <c r="J1450" s="988">
        <f t="shared" si="248"/>
        <v>0</v>
      </c>
      <c r="K1450" s="988">
        <f t="shared" si="248"/>
        <v>0</v>
      </c>
      <c r="L1450" s="988">
        <f t="shared" si="248"/>
        <v>0</v>
      </c>
      <c r="M1450" s="988">
        <f t="shared" si="248"/>
        <v>0</v>
      </c>
      <c r="N1450" s="988">
        <f t="shared" si="248"/>
        <v>0</v>
      </c>
      <c r="O1450" s="988">
        <f t="shared" si="248"/>
        <v>0</v>
      </c>
      <c r="P1450" s="988">
        <f t="shared" si="248"/>
        <v>0</v>
      </c>
      <c r="Q1450" s="988"/>
      <c r="R1450" s="988">
        <f t="shared" si="247"/>
        <v>0</v>
      </c>
      <c r="S1450" s="546">
        <f t="shared" si="241"/>
        <v>0</v>
      </c>
      <c r="T1450" s="547">
        <f t="shared" si="242"/>
        <v>0</v>
      </c>
      <c r="U1450" s="546">
        <f t="shared" si="243"/>
        <v>0</v>
      </c>
      <c r="W1450" s="350">
        <f t="shared" si="240"/>
        <v>0</v>
      </c>
      <c r="X1450" s="285">
        <f t="shared" si="244"/>
        <v>0</v>
      </c>
    </row>
    <row r="1451" spans="1:24" ht="12" thickBot="1">
      <c r="A1451" s="541" t="s">
        <v>1503</v>
      </c>
      <c r="B1451" s="541" t="s">
        <v>163</v>
      </c>
      <c r="C1451" s="541" t="s">
        <v>63</v>
      </c>
      <c r="D1451" s="542" t="s">
        <v>17</v>
      </c>
      <c r="E1451" s="549">
        <f t="shared" si="245"/>
        <v>80640903</v>
      </c>
      <c r="F1451" s="988">
        <f t="shared" si="248"/>
        <v>649894</v>
      </c>
      <c r="G1451" s="988">
        <f t="shared" si="248"/>
        <v>4727170</v>
      </c>
      <c r="H1451" s="988">
        <f t="shared" si="248"/>
        <v>2332135</v>
      </c>
      <c r="I1451" s="988">
        <f t="shared" si="248"/>
        <v>379819</v>
      </c>
      <c r="J1451" s="988">
        <f t="shared" si="248"/>
        <v>0</v>
      </c>
      <c r="K1451" s="988">
        <f t="shared" si="248"/>
        <v>0</v>
      </c>
      <c r="L1451" s="988">
        <f t="shared" si="248"/>
        <v>151816</v>
      </c>
      <c r="M1451" s="988">
        <f t="shared" si="248"/>
        <v>261520</v>
      </c>
      <c r="N1451" s="988">
        <f t="shared" si="248"/>
        <v>487546</v>
      </c>
      <c r="O1451" s="988">
        <f t="shared" si="248"/>
        <v>0</v>
      </c>
      <c r="P1451" s="988">
        <f t="shared" si="248"/>
        <v>0</v>
      </c>
      <c r="Q1451" s="988"/>
      <c r="R1451" s="988">
        <f t="shared" si="247"/>
        <v>8989899</v>
      </c>
      <c r="S1451" s="546">
        <f t="shared" si="241"/>
        <v>7439124</v>
      </c>
      <c r="T1451" s="547">
        <f t="shared" si="242"/>
        <v>0</v>
      </c>
      <c r="U1451" s="546">
        <f t="shared" si="243"/>
        <v>487546</v>
      </c>
      <c r="W1451" s="350">
        <f t="shared" si="240"/>
        <v>8989900</v>
      </c>
      <c r="X1451" s="285">
        <f t="shared" si="244"/>
        <v>1</v>
      </c>
    </row>
    <row r="1452" spans="1:24" ht="12" thickBot="1">
      <c r="A1452" s="541" t="s">
        <v>1503</v>
      </c>
      <c r="B1452" s="541" t="s">
        <v>164</v>
      </c>
      <c r="C1452" s="541" t="s">
        <v>188</v>
      </c>
      <c r="D1452" s="555" t="s">
        <v>203</v>
      </c>
      <c r="E1452" s="549">
        <f t="shared" si="245"/>
        <v>645706</v>
      </c>
      <c r="F1452" s="988">
        <f t="shared" si="248"/>
        <v>7480</v>
      </c>
      <c r="G1452" s="988">
        <f t="shared" si="248"/>
        <v>27333</v>
      </c>
      <c r="H1452" s="988">
        <f t="shared" si="248"/>
        <v>18674</v>
      </c>
      <c r="I1452" s="988">
        <f t="shared" si="248"/>
        <v>2034</v>
      </c>
      <c r="J1452" s="988">
        <f t="shared" si="248"/>
        <v>0</v>
      </c>
      <c r="K1452" s="988">
        <f t="shared" si="248"/>
        <v>0</v>
      </c>
      <c r="L1452" s="988">
        <f t="shared" si="248"/>
        <v>1216</v>
      </c>
      <c r="M1452" s="988">
        <f t="shared" si="248"/>
        <v>2094</v>
      </c>
      <c r="N1452" s="988">
        <f t="shared" si="248"/>
        <v>3904</v>
      </c>
      <c r="O1452" s="988">
        <f t="shared" si="248"/>
        <v>0</v>
      </c>
      <c r="P1452" s="988">
        <f t="shared" si="248"/>
        <v>0</v>
      </c>
      <c r="Q1452" s="988"/>
      <c r="R1452" s="988">
        <f t="shared" si="247"/>
        <v>62734</v>
      </c>
      <c r="S1452" s="546">
        <f t="shared" si="241"/>
        <v>48041</v>
      </c>
      <c r="T1452" s="547">
        <f t="shared" si="242"/>
        <v>0</v>
      </c>
      <c r="U1452" s="546">
        <f t="shared" si="243"/>
        <v>3904</v>
      </c>
      <c r="W1452" s="350">
        <f t="shared" si="240"/>
        <v>62735</v>
      </c>
      <c r="X1452" s="285">
        <f t="shared" si="244"/>
        <v>1</v>
      </c>
    </row>
    <row r="1453" spans="1:24" ht="12" thickBot="1">
      <c r="A1453" s="541" t="s">
        <v>1503</v>
      </c>
      <c r="B1453" s="541" t="s">
        <v>165</v>
      </c>
      <c r="C1453" s="541" t="s">
        <v>189</v>
      </c>
      <c r="D1453" s="554" t="s">
        <v>211</v>
      </c>
      <c r="E1453" s="549">
        <f t="shared" si="245"/>
        <v>0</v>
      </c>
      <c r="F1453" s="988">
        <f t="shared" si="248"/>
        <v>0</v>
      </c>
      <c r="G1453" s="988">
        <f t="shared" si="248"/>
        <v>0</v>
      </c>
      <c r="H1453" s="988">
        <f t="shared" si="248"/>
        <v>0</v>
      </c>
      <c r="I1453" s="988">
        <f t="shared" si="248"/>
        <v>0</v>
      </c>
      <c r="J1453" s="988">
        <f t="shared" si="248"/>
        <v>0</v>
      </c>
      <c r="K1453" s="988">
        <f t="shared" si="248"/>
        <v>0</v>
      </c>
      <c r="L1453" s="988">
        <f t="shared" si="248"/>
        <v>0</v>
      </c>
      <c r="M1453" s="988">
        <f t="shared" si="248"/>
        <v>0</v>
      </c>
      <c r="N1453" s="988">
        <f t="shared" si="248"/>
        <v>0</v>
      </c>
      <c r="O1453" s="988">
        <f t="shared" si="248"/>
        <v>0</v>
      </c>
      <c r="P1453" s="988">
        <f t="shared" si="248"/>
        <v>0</v>
      </c>
      <c r="Q1453" s="988"/>
      <c r="R1453" s="988">
        <f t="shared" si="247"/>
        <v>0</v>
      </c>
      <c r="S1453" s="546">
        <f t="shared" si="241"/>
        <v>0</v>
      </c>
      <c r="T1453" s="547">
        <f t="shared" si="242"/>
        <v>0</v>
      </c>
      <c r="U1453" s="546">
        <f t="shared" si="243"/>
        <v>0</v>
      </c>
      <c r="W1453" s="350">
        <f t="shared" si="240"/>
        <v>0</v>
      </c>
      <c r="X1453" s="285">
        <f t="shared" si="244"/>
        <v>0</v>
      </c>
    </row>
    <row r="1454" spans="1:24" ht="12" thickBot="1">
      <c r="A1454" s="541" t="s">
        <v>1503</v>
      </c>
      <c r="B1454" s="541" t="s">
        <v>166</v>
      </c>
      <c r="C1454" s="541" t="s">
        <v>190</v>
      </c>
      <c r="D1454" s="554" t="s">
        <v>212</v>
      </c>
      <c r="E1454" s="549">
        <f t="shared" si="245"/>
        <v>0</v>
      </c>
      <c r="F1454" s="988">
        <f t="shared" si="248"/>
        <v>0</v>
      </c>
      <c r="G1454" s="988">
        <f t="shared" si="248"/>
        <v>0</v>
      </c>
      <c r="H1454" s="988">
        <f t="shared" si="248"/>
        <v>0</v>
      </c>
      <c r="I1454" s="988">
        <f t="shared" si="248"/>
        <v>0</v>
      </c>
      <c r="J1454" s="988">
        <f t="shared" si="248"/>
        <v>0</v>
      </c>
      <c r="K1454" s="988">
        <f t="shared" si="248"/>
        <v>0</v>
      </c>
      <c r="L1454" s="988">
        <f t="shared" si="248"/>
        <v>0</v>
      </c>
      <c r="M1454" s="988">
        <f t="shared" si="248"/>
        <v>0</v>
      </c>
      <c r="N1454" s="988">
        <f t="shared" si="248"/>
        <v>0</v>
      </c>
      <c r="O1454" s="988">
        <f t="shared" si="248"/>
        <v>0</v>
      </c>
      <c r="P1454" s="988">
        <f t="shared" si="248"/>
        <v>0</v>
      </c>
      <c r="Q1454" s="988"/>
      <c r="R1454" s="988">
        <f t="shared" si="247"/>
        <v>0</v>
      </c>
      <c r="S1454" s="546">
        <f t="shared" si="241"/>
        <v>0</v>
      </c>
      <c r="T1454" s="547">
        <f t="shared" si="242"/>
        <v>0</v>
      </c>
      <c r="U1454" s="546">
        <f t="shared" si="243"/>
        <v>0</v>
      </c>
      <c r="W1454" s="350">
        <f t="shared" si="240"/>
        <v>0</v>
      </c>
      <c r="X1454" s="285">
        <f t="shared" si="244"/>
        <v>0</v>
      </c>
    </row>
    <row r="1455" spans="1:24" ht="12" thickBot="1">
      <c r="A1455" s="541" t="s">
        <v>1503</v>
      </c>
      <c r="B1455" s="541" t="s">
        <v>167</v>
      </c>
      <c r="C1455" s="541" t="s">
        <v>191</v>
      </c>
      <c r="D1455" s="554" t="s">
        <v>213</v>
      </c>
      <c r="E1455" s="549">
        <f t="shared" si="245"/>
        <v>11967848</v>
      </c>
      <c r="F1455" s="988">
        <f t="shared" si="248"/>
        <v>9100</v>
      </c>
      <c r="G1455" s="988">
        <f t="shared" si="248"/>
        <v>506599</v>
      </c>
      <c r="H1455" s="988">
        <f t="shared" si="248"/>
        <v>346110</v>
      </c>
      <c r="I1455" s="988">
        <f t="shared" si="248"/>
        <v>37699</v>
      </c>
      <c r="J1455" s="988">
        <f t="shared" si="248"/>
        <v>0</v>
      </c>
      <c r="K1455" s="988">
        <f t="shared" si="248"/>
        <v>0</v>
      </c>
      <c r="L1455" s="988">
        <f t="shared" si="248"/>
        <v>22531</v>
      </c>
      <c r="M1455" s="988">
        <f t="shared" si="248"/>
        <v>38812</v>
      </c>
      <c r="N1455" s="988">
        <f t="shared" si="248"/>
        <v>72356</v>
      </c>
      <c r="O1455" s="988">
        <f t="shared" si="248"/>
        <v>0</v>
      </c>
      <c r="P1455" s="988">
        <f t="shared" si="248"/>
        <v>0</v>
      </c>
      <c r="Q1455" s="988"/>
      <c r="R1455" s="988">
        <f t="shared" si="247"/>
        <v>1033207</v>
      </c>
      <c r="S1455" s="546">
        <f t="shared" si="241"/>
        <v>890408</v>
      </c>
      <c r="T1455" s="547">
        <f t="shared" si="242"/>
        <v>0</v>
      </c>
      <c r="U1455" s="546">
        <f t="shared" si="243"/>
        <v>72356</v>
      </c>
      <c r="W1455" s="350">
        <f t="shared" si="240"/>
        <v>1033207</v>
      </c>
      <c r="X1455" s="285">
        <f t="shared" si="244"/>
        <v>0</v>
      </c>
    </row>
    <row r="1456" spans="1:24" ht="12" thickBot="1">
      <c r="A1456" s="541" t="s">
        <v>1503</v>
      </c>
      <c r="B1456" s="541" t="s">
        <v>683</v>
      </c>
      <c r="C1456" s="541" t="s">
        <v>686</v>
      </c>
      <c r="D1456" s="554" t="s">
        <v>723</v>
      </c>
      <c r="E1456" s="549">
        <f t="shared" si="245"/>
        <v>0</v>
      </c>
      <c r="F1456" s="988">
        <f t="shared" si="248"/>
        <v>0</v>
      </c>
      <c r="G1456" s="988">
        <f t="shared" si="248"/>
        <v>0</v>
      </c>
      <c r="H1456" s="988">
        <f t="shared" si="248"/>
        <v>0</v>
      </c>
      <c r="I1456" s="988">
        <f t="shared" si="248"/>
        <v>0</v>
      </c>
      <c r="J1456" s="988">
        <f t="shared" si="248"/>
        <v>0</v>
      </c>
      <c r="K1456" s="988">
        <f t="shared" si="248"/>
        <v>0</v>
      </c>
      <c r="L1456" s="988">
        <f t="shared" si="248"/>
        <v>0</v>
      </c>
      <c r="M1456" s="988">
        <f t="shared" si="248"/>
        <v>0</v>
      </c>
      <c r="N1456" s="988">
        <f t="shared" si="248"/>
        <v>0</v>
      </c>
      <c r="O1456" s="988">
        <f t="shared" si="248"/>
        <v>0</v>
      </c>
      <c r="P1456" s="988">
        <f t="shared" si="248"/>
        <v>0</v>
      </c>
      <c r="Q1456" s="988"/>
      <c r="R1456" s="988">
        <f t="shared" si="247"/>
        <v>0</v>
      </c>
      <c r="S1456" s="546">
        <f t="shared" si="241"/>
        <v>0</v>
      </c>
      <c r="T1456" s="547">
        <f t="shared" si="242"/>
        <v>0</v>
      </c>
      <c r="U1456" s="546">
        <f t="shared" si="243"/>
        <v>0</v>
      </c>
      <c r="W1456" s="350">
        <f t="shared" si="240"/>
        <v>0</v>
      </c>
      <c r="X1456" s="285">
        <f t="shared" si="244"/>
        <v>0</v>
      </c>
    </row>
    <row r="1457" spans="1:24" ht="12" thickBot="1">
      <c r="A1457" s="541" t="s">
        <v>1503</v>
      </c>
      <c r="B1457" s="541" t="s">
        <v>684</v>
      </c>
      <c r="C1457" s="541" t="s">
        <v>687</v>
      </c>
      <c r="D1457" s="554" t="s">
        <v>707</v>
      </c>
      <c r="E1457" s="549">
        <f t="shared" si="245"/>
        <v>0</v>
      </c>
      <c r="F1457" s="988">
        <f t="shared" si="248"/>
        <v>0</v>
      </c>
      <c r="G1457" s="988">
        <f t="shared" si="248"/>
        <v>0</v>
      </c>
      <c r="H1457" s="988">
        <f t="shared" si="248"/>
        <v>0</v>
      </c>
      <c r="I1457" s="988">
        <f t="shared" si="248"/>
        <v>0</v>
      </c>
      <c r="J1457" s="988">
        <f t="shared" si="248"/>
        <v>0</v>
      </c>
      <c r="K1457" s="988">
        <f t="shared" si="248"/>
        <v>0</v>
      </c>
      <c r="L1457" s="988">
        <f t="shared" si="248"/>
        <v>0</v>
      </c>
      <c r="M1457" s="988">
        <f t="shared" si="248"/>
        <v>0</v>
      </c>
      <c r="N1457" s="988">
        <f t="shared" si="248"/>
        <v>0</v>
      </c>
      <c r="O1457" s="988">
        <f t="shared" si="248"/>
        <v>0</v>
      </c>
      <c r="P1457" s="988">
        <f t="shared" si="248"/>
        <v>0</v>
      </c>
      <c r="Q1457" s="988"/>
      <c r="R1457" s="988">
        <f t="shared" si="247"/>
        <v>0</v>
      </c>
      <c r="S1457" s="546">
        <f t="shared" si="241"/>
        <v>0</v>
      </c>
      <c r="T1457" s="547">
        <f t="shared" si="242"/>
        <v>0</v>
      </c>
      <c r="U1457" s="546">
        <f t="shared" si="243"/>
        <v>0</v>
      </c>
      <c r="W1457" s="350">
        <f t="shared" si="240"/>
        <v>0</v>
      </c>
      <c r="X1457" s="285">
        <f t="shared" si="244"/>
        <v>0</v>
      </c>
    </row>
    <row r="1458" spans="1:24" ht="12" thickBot="1">
      <c r="A1458" s="541" t="s">
        <v>1503</v>
      </c>
      <c r="B1458" s="541" t="s">
        <v>685</v>
      </c>
      <c r="C1458" s="541" t="s">
        <v>688</v>
      </c>
      <c r="D1458" s="542" t="s">
        <v>1145</v>
      </c>
      <c r="E1458" s="549">
        <f t="shared" si="245"/>
        <v>0</v>
      </c>
      <c r="F1458" s="988">
        <f t="shared" si="248"/>
        <v>0</v>
      </c>
      <c r="G1458" s="988">
        <f t="shared" si="248"/>
        <v>0</v>
      </c>
      <c r="H1458" s="988">
        <f t="shared" si="248"/>
        <v>0</v>
      </c>
      <c r="I1458" s="988">
        <f t="shared" si="248"/>
        <v>0</v>
      </c>
      <c r="J1458" s="988">
        <f t="shared" si="248"/>
        <v>0</v>
      </c>
      <c r="K1458" s="988">
        <f t="shared" si="248"/>
        <v>0</v>
      </c>
      <c r="L1458" s="988">
        <f t="shared" si="248"/>
        <v>0</v>
      </c>
      <c r="M1458" s="988">
        <f t="shared" si="248"/>
        <v>0</v>
      </c>
      <c r="N1458" s="988">
        <f t="shared" si="248"/>
        <v>0</v>
      </c>
      <c r="O1458" s="988">
        <f t="shared" si="248"/>
        <v>0</v>
      </c>
      <c r="P1458" s="988">
        <f t="shared" si="248"/>
        <v>0</v>
      </c>
      <c r="Q1458" s="988"/>
      <c r="R1458" s="988">
        <f t="shared" si="247"/>
        <v>0</v>
      </c>
      <c r="S1458" s="546">
        <f t="shared" si="241"/>
        <v>0</v>
      </c>
      <c r="T1458" s="547">
        <f t="shared" si="242"/>
        <v>0</v>
      </c>
      <c r="U1458" s="546">
        <f t="shared" si="243"/>
        <v>0</v>
      </c>
      <c r="W1458" s="350">
        <f t="shared" si="240"/>
        <v>0</v>
      </c>
      <c r="X1458" s="285">
        <f t="shared" si="244"/>
        <v>0</v>
      </c>
    </row>
    <row r="1459" spans="1:24" ht="12" thickBot="1">
      <c r="A1459" s="541" t="s">
        <v>1503</v>
      </c>
      <c r="B1459" s="541" t="s">
        <v>217</v>
      </c>
      <c r="C1459" s="541" t="s">
        <v>622</v>
      </c>
      <c r="D1459" s="542" t="s">
        <v>19</v>
      </c>
      <c r="E1459" s="549">
        <f t="shared" si="245"/>
        <v>0</v>
      </c>
      <c r="F1459" s="988">
        <f t="shared" ref="F1459:P1468" si="249">ROUND(SUMIFS(F$1721:F$1901,$A$1721:$A$1901,$A1459,$B$1721:$B$1901,$B1459),0)</f>
        <v>0</v>
      </c>
      <c r="G1459" s="988">
        <f t="shared" si="249"/>
        <v>0</v>
      </c>
      <c r="H1459" s="988">
        <f t="shared" si="249"/>
        <v>0</v>
      </c>
      <c r="I1459" s="988">
        <f t="shared" si="249"/>
        <v>0</v>
      </c>
      <c r="J1459" s="988">
        <f t="shared" si="249"/>
        <v>0</v>
      </c>
      <c r="K1459" s="988">
        <f t="shared" si="249"/>
        <v>0</v>
      </c>
      <c r="L1459" s="988">
        <f t="shared" si="249"/>
        <v>0</v>
      </c>
      <c r="M1459" s="988">
        <f t="shared" si="249"/>
        <v>0</v>
      </c>
      <c r="N1459" s="988">
        <f t="shared" si="249"/>
        <v>0</v>
      </c>
      <c r="O1459" s="988">
        <f t="shared" si="249"/>
        <v>0</v>
      </c>
      <c r="P1459" s="988">
        <f t="shared" si="249"/>
        <v>0</v>
      </c>
      <c r="Q1459" s="988"/>
      <c r="R1459" s="988">
        <f t="shared" si="247"/>
        <v>0</v>
      </c>
      <c r="S1459" s="546">
        <f t="shared" si="241"/>
        <v>0</v>
      </c>
      <c r="T1459" s="547">
        <f t="shared" si="242"/>
        <v>0</v>
      </c>
      <c r="U1459" s="546">
        <f t="shared" si="243"/>
        <v>0</v>
      </c>
      <c r="W1459" s="350">
        <f t="shared" si="240"/>
        <v>0</v>
      </c>
      <c r="X1459" s="285">
        <f t="shared" si="244"/>
        <v>0</v>
      </c>
    </row>
    <row r="1460" spans="1:24" ht="12" thickBot="1">
      <c r="A1460" s="541" t="s">
        <v>1503</v>
      </c>
      <c r="B1460" s="541" t="s">
        <v>216</v>
      </c>
      <c r="C1460" s="541" t="s">
        <v>622</v>
      </c>
      <c r="D1460" s="542" t="s">
        <v>19</v>
      </c>
      <c r="E1460" s="549">
        <f t="shared" si="245"/>
        <v>0</v>
      </c>
      <c r="F1460" s="988">
        <f t="shared" si="249"/>
        <v>0</v>
      </c>
      <c r="G1460" s="988">
        <f t="shared" si="249"/>
        <v>0</v>
      </c>
      <c r="H1460" s="988">
        <f t="shared" si="249"/>
        <v>0</v>
      </c>
      <c r="I1460" s="988">
        <f t="shared" si="249"/>
        <v>0</v>
      </c>
      <c r="J1460" s="988">
        <f t="shared" si="249"/>
        <v>0</v>
      </c>
      <c r="K1460" s="988">
        <f t="shared" si="249"/>
        <v>0</v>
      </c>
      <c r="L1460" s="988">
        <f t="shared" si="249"/>
        <v>0</v>
      </c>
      <c r="M1460" s="988">
        <f t="shared" si="249"/>
        <v>0</v>
      </c>
      <c r="N1460" s="988">
        <f t="shared" si="249"/>
        <v>0</v>
      </c>
      <c r="O1460" s="988">
        <f t="shared" si="249"/>
        <v>0</v>
      </c>
      <c r="P1460" s="988">
        <f t="shared" si="249"/>
        <v>0</v>
      </c>
      <c r="Q1460" s="988"/>
      <c r="R1460" s="988">
        <f t="shared" si="247"/>
        <v>0</v>
      </c>
      <c r="S1460" s="546"/>
      <c r="T1460" s="547"/>
      <c r="U1460" s="546"/>
      <c r="W1460" s="350">
        <f t="shared" si="240"/>
        <v>0</v>
      </c>
      <c r="X1460" s="285"/>
    </row>
    <row r="1461" spans="1:24" ht="12" thickBot="1">
      <c r="A1461" s="541" t="s">
        <v>1503</v>
      </c>
      <c r="B1461" s="541" t="s">
        <v>168</v>
      </c>
      <c r="C1461" s="541" t="s">
        <v>58</v>
      </c>
      <c r="D1461" s="542" t="s">
        <v>20</v>
      </c>
      <c r="E1461" s="549">
        <f t="shared" si="245"/>
        <v>0</v>
      </c>
      <c r="F1461" s="988">
        <f t="shared" si="249"/>
        <v>0</v>
      </c>
      <c r="G1461" s="988">
        <f t="shared" si="249"/>
        <v>0</v>
      </c>
      <c r="H1461" s="988">
        <f t="shared" si="249"/>
        <v>0</v>
      </c>
      <c r="I1461" s="988">
        <f t="shared" si="249"/>
        <v>0</v>
      </c>
      <c r="J1461" s="988">
        <f t="shared" si="249"/>
        <v>0</v>
      </c>
      <c r="K1461" s="988">
        <f t="shared" si="249"/>
        <v>0</v>
      </c>
      <c r="L1461" s="988">
        <f t="shared" si="249"/>
        <v>0</v>
      </c>
      <c r="M1461" s="988">
        <f t="shared" si="249"/>
        <v>0</v>
      </c>
      <c r="N1461" s="988">
        <f t="shared" si="249"/>
        <v>0</v>
      </c>
      <c r="O1461" s="988">
        <f t="shared" si="249"/>
        <v>0</v>
      </c>
      <c r="P1461" s="988">
        <f t="shared" si="249"/>
        <v>0</v>
      </c>
      <c r="Q1461" s="988"/>
      <c r="R1461" s="988">
        <f t="shared" si="247"/>
        <v>0</v>
      </c>
      <c r="S1461" s="546">
        <f t="shared" ref="S1461" si="250">G1461+H1461+I1461</f>
        <v>0</v>
      </c>
      <c r="T1461" s="547">
        <f t="shared" ref="T1461" si="251">J1461+K1461</f>
        <v>0</v>
      </c>
      <c r="U1461" s="546">
        <f t="shared" ref="U1461" si="252">N1461+O1461</f>
        <v>0</v>
      </c>
      <c r="W1461" s="350">
        <f t="shared" si="240"/>
        <v>0</v>
      </c>
      <c r="X1461" s="285"/>
    </row>
    <row r="1462" spans="1:24" ht="12" thickBot="1">
      <c r="A1462" s="541" t="s">
        <v>1503</v>
      </c>
      <c r="B1462" s="541" t="s">
        <v>623</v>
      </c>
      <c r="C1462" s="541" t="s">
        <v>643</v>
      </c>
      <c r="D1462" s="542" t="s">
        <v>20</v>
      </c>
      <c r="E1462" s="549">
        <f t="shared" si="245"/>
        <v>0</v>
      </c>
      <c r="F1462" s="988">
        <f t="shared" si="249"/>
        <v>0</v>
      </c>
      <c r="G1462" s="988">
        <f t="shared" si="249"/>
        <v>0</v>
      </c>
      <c r="H1462" s="988">
        <f t="shared" si="249"/>
        <v>0</v>
      </c>
      <c r="I1462" s="988">
        <f t="shared" si="249"/>
        <v>0</v>
      </c>
      <c r="J1462" s="988">
        <f t="shared" si="249"/>
        <v>0</v>
      </c>
      <c r="K1462" s="988">
        <f t="shared" si="249"/>
        <v>0</v>
      </c>
      <c r="L1462" s="988">
        <f t="shared" si="249"/>
        <v>0</v>
      </c>
      <c r="M1462" s="988">
        <f t="shared" si="249"/>
        <v>0</v>
      </c>
      <c r="N1462" s="988">
        <f t="shared" si="249"/>
        <v>0</v>
      </c>
      <c r="O1462" s="988">
        <f t="shared" si="249"/>
        <v>0</v>
      </c>
      <c r="P1462" s="988">
        <f t="shared" si="249"/>
        <v>0</v>
      </c>
      <c r="Q1462" s="988"/>
      <c r="R1462" s="988">
        <f t="shared" si="247"/>
        <v>0</v>
      </c>
      <c r="S1462" s="546">
        <f t="shared" ref="S1462:S1525" si="253">G1462+H1462+I1462</f>
        <v>0</v>
      </c>
      <c r="T1462" s="547">
        <f t="shared" ref="T1462:T1525" si="254">J1462+K1462</f>
        <v>0</v>
      </c>
      <c r="U1462" s="546">
        <f t="shared" ref="U1462:U1525" si="255">N1462+O1462</f>
        <v>0</v>
      </c>
      <c r="W1462" s="350">
        <f t="shared" si="240"/>
        <v>0</v>
      </c>
      <c r="X1462" s="285">
        <f t="shared" ref="X1462:X1525" si="256">W1462-R1462</f>
        <v>0</v>
      </c>
    </row>
    <row r="1463" spans="1:24" ht="12" thickBot="1">
      <c r="A1463" s="541" t="s">
        <v>1503</v>
      </c>
      <c r="B1463" s="541" t="s">
        <v>691</v>
      </c>
      <c r="C1463" s="541" t="s">
        <v>689</v>
      </c>
      <c r="D1463" s="542" t="s">
        <v>690</v>
      </c>
      <c r="E1463" s="549">
        <f t="shared" si="245"/>
        <v>0</v>
      </c>
      <c r="F1463" s="988">
        <f t="shared" si="249"/>
        <v>0</v>
      </c>
      <c r="G1463" s="988">
        <f t="shared" si="249"/>
        <v>0</v>
      </c>
      <c r="H1463" s="988">
        <f t="shared" si="249"/>
        <v>0</v>
      </c>
      <c r="I1463" s="988">
        <f t="shared" si="249"/>
        <v>0</v>
      </c>
      <c r="J1463" s="988">
        <f t="shared" si="249"/>
        <v>0</v>
      </c>
      <c r="K1463" s="988">
        <f t="shared" si="249"/>
        <v>0</v>
      </c>
      <c r="L1463" s="988">
        <f t="shared" si="249"/>
        <v>0</v>
      </c>
      <c r="M1463" s="988">
        <f t="shared" si="249"/>
        <v>0</v>
      </c>
      <c r="N1463" s="988">
        <f t="shared" si="249"/>
        <v>0</v>
      </c>
      <c r="O1463" s="988">
        <f t="shared" si="249"/>
        <v>0</v>
      </c>
      <c r="P1463" s="988">
        <f t="shared" si="249"/>
        <v>0</v>
      </c>
      <c r="Q1463" s="988"/>
      <c r="R1463" s="988">
        <f t="shared" si="247"/>
        <v>0</v>
      </c>
      <c r="S1463" s="546">
        <f t="shared" si="253"/>
        <v>0</v>
      </c>
      <c r="T1463" s="547">
        <f t="shared" si="254"/>
        <v>0</v>
      </c>
      <c r="U1463" s="546">
        <f t="shared" si="255"/>
        <v>0</v>
      </c>
      <c r="W1463" s="350">
        <f t="shared" si="240"/>
        <v>0</v>
      </c>
      <c r="X1463" s="285">
        <f t="shared" si="256"/>
        <v>0</v>
      </c>
    </row>
    <row r="1464" spans="1:24" ht="12" thickBot="1">
      <c r="A1464" s="541" t="s">
        <v>1503</v>
      </c>
      <c r="B1464" s="541" t="s">
        <v>1147</v>
      </c>
      <c r="C1464" s="541" t="s">
        <v>1148</v>
      </c>
      <c r="D1464" s="542" t="s">
        <v>1156</v>
      </c>
      <c r="E1464" s="549">
        <f t="shared" si="245"/>
        <v>0</v>
      </c>
      <c r="F1464" s="988">
        <f t="shared" si="249"/>
        <v>0</v>
      </c>
      <c r="G1464" s="988">
        <f t="shared" si="249"/>
        <v>0</v>
      </c>
      <c r="H1464" s="988">
        <f t="shared" si="249"/>
        <v>0</v>
      </c>
      <c r="I1464" s="988">
        <f t="shared" si="249"/>
        <v>0</v>
      </c>
      <c r="J1464" s="988">
        <f t="shared" si="249"/>
        <v>0</v>
      </c>
      <c r="K1464" s="988">
        <f t="shared" si="249"/>
        <v>0</v>
      </c>
      <c r="L1464" s="988">
        <f t="shared" si="249"/>
        <v>0</v>
      </c>
      <c r="M1464" s="988">
        <f t="shared" si="249"/>
        <v>0</v>
      </c>
      <c r="N1464" s="988">
        <f t="shared" si="249"/>
        <v>0</v>
      </c>
      <c r="O1464" s="988">
        <f t="shared" si="249"/>
        <v>0</v>
      </c>
      <c r="P1464" s="988">
        <f t="shared" si="249"/>
        <v>0</v>
      </c>
      <c r="Q1464" s="988"/>
      <c r="R1464" s="988">
        <f t="shared" si="247"/>
        <v>0</v>
      </c>
      <c r="S1464" s="546">
        <f t="shared" si="253"/>
        <v>0</v>
      </c>
      <c r="T1464" s="547">
        <f t="shared" si="254"/>
        <v>0</v>
      </c>
      <c r="U1464" s="546">
        <f t="shared" si="255"/>
        <v>0</v>
      </c>
      <c r="W1464" s="350">
        <f t="shared" si="240"/>
        <v>0</v>
      </c>
      <c r="X1464" s="285">
        <f t="shared" si="256"/>
        <v>0</v>
      </c>
    </row>
    <row r="1465" spans="1:24" ht="12" thickBot="1">
      <c r="A1465" s="541" t="s">
        <v>1503</v>
      </c>
      <c r="B1465" s="541" t="s">
        <v>169</v>
      </c>
      <c r="C1465" s="541" t="s">
        <v>1392</v>
      </c>
      <c r="D1465" s="542" t="s">
        <v>208</v>
      </c>
      <c r="E1465" s="549">
        <f t="shared" si="245"/>
        <v>0</v>
      </c>
      <c r="F1465" s="988">
        <f t="shared" si="249"/>
        <v>0</v>
      </c>
      <c r="G1465" s="988">
        <f t="shared" si="249"/>
        <v>0</v>
      </c>
      <c r="H1465" s="988">
        <f t="shared" si="249"/>
        <v>0</v>
      </c>
      <c r="I1465" s="988">
        <f t="shared" si="249"/>
        <v>0</v>
      </c>
      <c r="J1465" s="988">
        <f t="shared" si="249"/>
        <v>0</v>
      </c>
      <c r="K1465" s="988">
        <f t="shared" si="249"/>
        <v>0</v>
      </c>
      <c r="L1465" s="988">
        <f t="shared" si="249"/>
        <v>0</v>
      </c>
      <c r="M1465" s="988">
        <f t="shared" si="249"/>
        <v>0</v>
      </c>
      <c r="N1465" s="988">
        <f t="shared" si="249"/>
        <v>0</v>
      </c>
      <c r="O1465" s="988">
        <f t="shared" si="249"/>
        <v>0</v>
      </c>
      <c r="P1465" s="988">
        <f t="shared" si="249"/>
        <v>0</v>
      </c>
      <c r="Q1465" s="988"/>
      <c r="R1465" s="988">
        <f t="shared" si="247"/>
        <v>0</v>
      </c>
      <c r="S1465" s="546">
        <f t="shared" si="253"/>
        <v>0</v>
      </c>
      <c r="T1465" s="547">
        <f t="shared" si="254"/>
        <v>0</v>
      </c>
      <c r="U1465" s="546">
        <f t="shared" si="255"/>
        <v>0</v>
      </c>
      <c r="W1465" s="350">
        <f t="shared" si="240"/>
        <v>0</v>
      </c>
      <c r="X1465" s="285">
        <f t="shared" si="256"/>
        <v>0</v>
      </c>
    </row>
    <row r="1466" spans="1:24" ht="12" thickBot="1">
      <c r="A1466" s="541" t="s">
        <v>1503</v>
      </c>
      <c r="B1466" s="541" t="s">
        <v>170</v>
      </c>
      <c r="C1466" s="541" t="s">
        <v>1393</v>
      </c>
      <c r="D1466" s="542" t="s">
        <v>17</v>
      </c>
      <c r="E1466" s="549">
        <f t="shared" si="245"/>
        <v>0</v>
      </c>
      <c r="F1466" s="988">
        <f t="shared" si="249"/>
        <v>0</v>
      </c>
      <c r="G1466" s="988">
        <f t="shared" si="249"/>
        <v>0</v>
      </c>
      <c r="H1466" s="988">
        <f t="shared" si="249"/>
        <v>0</v>
      </c>
      <c r="I1466" s="988">
        <f t="shared" si="249"/>
        <v>0</v>
      </c>
      <c r="J1466" s="988">
        <f t="shared" si="249"/>
        <v>0</v>
      </c>
      <c r="K1466" s="988">
        <f t="shared" si="249"/>
        <v>0</v>
      </c>
      <c r="L1466" s="988">
        <f t="shared" si="249"/>
        <v>0</v>
      </c>
      <c r="M1466" s="988">
        <f t="shared" si="249"/>
        <v>0</v>
      </c>
      <c r="N1466" s="988">
        <f t="shared" si="249"/>
        <v>0</v>
      </c>
      <c r="O1466" s="988">
        <f t="shared" si="249"/>
        <v>0</v>
      </c>
      <c r="P1466" s="988">
        <f t="shared" si="249"/>
        <v>0</v>
      </c>
      <c r="Q1466" s="988"/>
      <c r="R1466" s="988">
        <f t="shared" si="247"/>
        <v>0</v>
      </c>
      <c r="S1466" s="546">
        <f t="shared" si="253"/>
        <v>0</v>
      </c>
      <c r="T1466" s="547">
        <f t="shared" si="254"/>
        <v>0</v>
      </c>
      <c r="U1466" s="546">
        <f t="shared" si="255"/>
        <v>0</v>
      </c>
      <c r="W1466" s="350">
        <f t="shared" si="240"/>
        <v>0</v>
      </c>
      <c r="X1466" s="285">
        <f t="shared" si="256"/>
        <v>0</v>
      </c>
    </row>
    <row r="1467" spans="1:24" ht="12" thickBot="1">
      <c r="A1467" s="541" t="s">
        <v>1503</v>
      </c>
      <c r="B1467" s="541" t="s">
        <v>713</v>
      </c>
      <c r="C1467" s="541" t="s">
        <v>711</v>
      </c>
      <c r="D1467" s="542" t="s">
        <v>712</v>
      </c>
      <c r="E1467" s="549">
        <f t="shared" si="245"/>
        <v>0</v>
      </c>
      <c r="F1467" s="988">
        <f t="shared" si="249"/>
        <v>0</v>
      </c>
      <c r="G1467" s="988">
        <f t="shared" si="249"/>
        <v>0</v>
      </c>
      <c r="H1467" s="988">
        <f t="shared" si="249"/>
        <v>0</v>
      </c>
      <c r="I1467" s="988">
        <f t="shared" si="249"/>
        <v>0</v>
      </c>
      <c r="J1467" s="988">
        <f t="shared" si="249"/>
        <v>0</v>
      </c>
      <c r="K1467" s="988">
        <f t="shared" si="249"/>
        <v>0</v>
      </c>
      <c r="L1467" s="988">
        <f t="shared" si="249"/>
        <v>0</v>
      </c>
      <c r="M1467" s="988">
        <f t="shared" si="249"/>
        <v>0</v>
      </c>
      <c r="N1467" s="988">
        <f t="shared" si="249"/>
        <v>0</v>
      </c>
      <c r="O1467" s="988">
        <f t="shared" si="249"/>
        <v>0</v>
      </c>
      <c r="P1467" s="988">
        <f t="shared" si="249"/>
        <v>0</v>
      </c>
      <c r="Q1467" s="988"/>
      <c r="R1467" s="988">
        <f t="shared" si="247"/>
        <v>0</v>
      </c>
      <c r="S1467" s="546">
        <f t="shared" si="253"/>
        <v>0</v>
      </c>
      <c r="T1467" s="547">
        <f t="shared" si="254"/>
        <v>0</v>
      </c>
      <c r="U1467" s="546">
        <f t="shared" si="255"/>
        <v>0</v>
      </c>
      <c r="W1467" s="350">
        <f t="shared" si="240"/>
        <v>0</v>
      </c>
      <c r="X1467" s="285">
        <f t="shared" si="256"/>
        <v>0</v>
      </c>
    </row>
    <row r="1468" spans="1:24" ht="12" thickBot="1">
      <c r="A1468" s="541" t="s">
        <v>1503</v>
      </c>
      <c r="B1468" s="541" t="s">
        <v>171</v>
      </c>
      <c r="C1468" s="541" t="s">
        <v>441</v>
      </c>
      <c r="D1468" s="542" t="s">
        <v>72</v>
      </c>
      <c r="E1468" s="549">
        <f t="shared" si="245"/>
        <v>0</v>
      </c>
      <c r="F1468" s="988">
        <f t="shared" si="249"/>
        <v>0</v>
      </c>
      <c r="G1468" s="988">
        <f t="shared" si="249"/>
        <v>0</v>
      </c>
      <c r="H1468" s="988">
        <f t="shared" si="249"/>
        <v>0</v>
      </c>
      <c r="I1468" s="988">
        <f t="shared" si="249"/>
        <v>0</v>
      </c>
      <c r="J1468" s="988">
        <f t="shared" si="249"/>
        <v>0</v>
      </c>
      <c r="K1468" s="988">
        <f t="shared" si="249"/>
        <v>0</v>
      </c>
      <c r="L1468" s="988">
        <f t="shared" si="249"/>
        <v>0</v>
      </c>
      <c r="M1468" s="988">
        <f t="shared" si="249"/>
        <v>0</v>
      </c>
      <c r="N1468" s="988">
        <f t="shared" si="249"/>
        <v>0</v>
      </c>
      <c r="O1468" s="988">
        <f t="shared" si="249"/>
        <v>0</v>
      </c>
      <c r="P1468" s="988">
        <f t="shared" si="249"/>
        <v>-989829</v>
      </c>
      <c r="Q1468" s="988"/>
      <c r="R1468" s="988">
        <f t="shared" si="247"/>
        <v>-989829</v>
      </c>
      <c r="S1468" s="546">
        <f t="shared" si="253"/>
        <v>0</v>
      </c>
      <c r="T1468" s="547">
        <f t="shared" si="254"/>
        <v>0</v>
      </c>
      <c r="U1468" s="546">
        <f t="shared" si="255"/>
        <v>0</v>
      </c>
      <c r="W1468" s="350">
        <f t="shared" si="240"/>
        <v>-989829</v>
      </c>
      <c r="X1468" s="285">
        <f t="shared" si="256"/>
        <v>0</v>
      </c>
    </row>
    <row r="1469" spans="1:24" ht="12" thickBot="1">
      <c r="A1469" s="541" t="s">
        <v>1503</v>
      </c>
      <c r="B1469" s="541" t="s">
        <v>172</v>
      </c>
      <c r="C1469" s="541" t="s">
        <v>442</v>
      </c>
      <c r="D1469" s="542" t="s">
        <v>72</v>
      </c>
      <c r="E1469" s="549">
        <f t="shared" si="245"/>
        <v>0</v>
      </c>
      <c r="F1469" s="988">
        <f t="shared" ref="F1469:P1478" si="257">ROUND(SUMIFS(F$1721:F$1901,$A$1721:$A$1901,$A1469,$B$1721:$B$1901,$B1469),0)</f>
        <v>0</v>
      </c>
      <c r="G1469" s="988">
        <f t="shared" si="257"/>
        <v>0</v>
      </c>
      <c r="H1469" s="988">
        <f t="shared" si="257"/>
        <v>0</v>
      </c>
      <c r="I1469" s="988">
        <f t="shared" si="257"/>
        <v>0</v>
      </c>
      <c r="J1469" s="988">
        <f t="shared" si="257"/>
        <v>0</v>
      </c>
      <c r="K1469" s="988">
        <f t="shared" si="257"/>
        <v>0</v>
      </c>
      <c r="L1469" s="988">
        <f t="shared" si="257"/>
        <v>0</v>
      </c>
      <c r="M1469" s="988">
        <f t="shared" si="257"/>
        <v>0</v>
      </c>
      <c r="N1469" s="988">
        <f t="shared" si="257"/>
        <v>0</v>
      </c>
      <c r="O1469" s="988">
        <f t="shared" si="257"/>
        <v>0</v>
      </c>
      <c r="P1469" s="988">
        <f t="shared" si="257"/>
        <v>0</v>
      </c>
      <c r="Q1469" s="988"/>
      <c r="R1469" s="988">
        <f t="shared" si="247"/>
        <v>0</v>
      </c>
      <c r="S1469" s="546">
        <f t="shared" si="253"/>
        <v>0</v>
      </c>
      <c r="T1469" s="547">
        <f t="shared" si="254"/>
        <v>0</v>
      </c>
      <c r="U1469" s="546">
        <f t="shared" si="255"/>
        <v>0</v>
      </c>
      <c r="W1469" s="350">
        <f t="shared" si="240"/>
        <v>0</v>
      </c>
      <c r="X1469" s="285">
        <f t="shared" si="256"/>
        <v>0</v>
      </c>
    </row>
    <row r="1470" spans="1:24" ht="12" thickBot="1">
      <c r="A1470" s="541" t="s">
        <v>1503</v>
      </c>
      <c r="B1470" s="541" t="s">
        <v>1397</v>
      </c>
      <c r="C1470" s="541" t="s">
        <v>1398</v>
      </c>
      <c r="D1470" s="542" t="s">
        <v>72</v>
      </c>
      <c r="E1470" s="549">
        <f t="shared" si="245"/>
        <v>0</v>
      </c>
      <c r="F1470" s="988">
        <f t="shared" si="257"/>
        <v>0</v>
      </c>
      <c r="G1470" s="988">
        <f t="shared" si="257"/>
        <v>0</v>
      </c>
      <c r="H1470" s="988">
        <f t="shared" si="257"/>
        <v>0</v>
      </c>
      <c r="I1470" s="988">
        <f t="shared" si="257"/>
        <v>0</v>
      </c>
      <c r="J1470" s="988">
        <f t="shared" si="257"/>
        <v>0</v>
      </c>
      <c r="K1470" s="988">
        <f t="shared" si="257"/>
        <v>0</v>
      </c>
      <c r="L1470" s="988">
        <f t="shared" si="257"/>
        <v>0</v>
      </c>
      <c r="M1470" s="988">
        <f t="shared" si="257"/>
        <v>0</v>
      </c>
      <c r="N1470" s="988">
        <f t="shared" si="257"/>
        <v>0</v>
      </c>
      <c r="O1470" s="988">
        <f t="shared" si="257"/>
        <v>0</v>
      </c>
      <c r="P1470" s="988">
        <f t="shared" si="257"/>
        <v>0</v>
      </c>
      <c r="Q1470" s="988"/>
      <c r="R1470" s="988">
        <f t="shared" si="247"/>
        <v>0</v>
      </c>
      <c r="S1470" s="546">
        <f t="shared" si="253"/>
        <v>0</v>
      </c>
      <c r="T1470" s="547">
        <f t="shared" si="254"/>
        <v>0</v>
      </c>
      <c r="U1470" s="546">
        <f t="shared" si="255"/>
        <v>0</v>
      </c>
      <c r="W1470" s="350">
        <f t="shared" si="240"/>
        <v>0</v>
      </c>
      <c r="X1470" s="285">
        <f t="shared" si="256"/>
        <v>0</v>
      </c>
    </row>
    <row r="1471" spans="1:24" ht="12" thickBot="1">
      <c r="A1471" s="541" t="s">
        <v>1503</v>
      </c>
      <c r="B1471" s="541" t="s">
        <v>1149</v>
      </c>
      <c r="C1471" s="541" t="s">
        <v>1150</v>
      </c>
      <c r="D1471" s="542" t="s">
        <v>72</v>
      </c>
      <c r="E1471" s="549">
        <f t="shared" si="245"/>
        <v>0</v>
      </c>
      <c r="F1471" s="988">
        <f t="shared" si="257"/>
        <v>0</v>
      </c>
      <c r="G1471" s="988">
        <f t="shared" si="257"/>
        <v>0</v>
      </c>
      <c r="H1471" s="988">
        <f t="shared" si="257"/>
        <v>0</v>
      </c>
      <c r="I1471" s="988">
        <f t="shared" si="257"/>
        <v>0</v>
      </c>
      <c r="J1471" s="988">
        <f t="shared" si="257"/>
        <v>0</v>
      </c>
      <c r="K1471" s="988">
        <f t="shared" si="257"/>
        <v>0</v>
      </c>
      <c r="L1471" s="988">
        <f t="shared" si="257"/>
        <v>0</v>
      </c>
      <c r="M1471" s="988">
        <f t="shared" si="257"/>
        <v>0</v>
      </c>
      <c r="N1471" s="988">
        <f t="shared" si="257"/>
        <v>0</v>
      </c>
      <c r="O1471" s="988">
        <f t="shared" si="257"/>
        <v>0</v>
      </c>
      <c r="P1471" s="988">
        <f t="shared" si="257"/>
        <v>0</v>
      </c>
      <c r="Q1471" s="988"/>
      <c r="R1471" s="988">
        <f t="shared" si="247"/>
        <v>0</v>
      </c>
      <c r="S1471" s="546">
        <f t="shared" si="253"/>
        <v>0</v>
      </c>
      <c r="T1471" s="547">
        <f t="shared" si="254"/>
        <v>0</v>
      </c>
      <c r="U1471" s="546">
        <f t="shared" si="255"/>
        <v>0</v>
      </c>
      <c r="W1471" s="350">
        <f t="shared" si="240"/>
        <v>0</v>
      </c>
      <c r="X1471" s="285">
        <f t="shared" si="256"/>
        <v>0</v>
      </c>
    </row>
    <row r="1472" spans="1:24" ht="12" thickBot="1">
      <c r="A1472" s="541" t="s">
        <v>1503</v>
      </c>
      <c r="B1472" s="541" t="s">
        <v>1051</v>
      </c>
      <c r="C1472" s="541" t="s">
        <v>1052</v>
      </c>
      <c r="D1472" s="542" t="s">
        <v>719</v>
      </c>
      <c r="E1472" s="549">
        <f t="shared" si="245"/>
        <v>0</v>
      </c>
      <c r="F1472" s="988">
        <f t="shared" si="257"/>
        <v>0</v>
      </c>
      <c r="G1472" s="988">
        <f t="shared" si="257"/>
        <v>0</v>
      </c>
      <c r="H1472" s="988">
        <f t="shared" si="257"/>
        <v>0</v>
      </c>
      <c r="I1472" s="988">
        <f t="shared" si="257"/>
        <v>0</v>
      </c>
      <c r="J1472" s="988">
        <f t="shared" si="257"/>
        <v>0</v>
      </c>
      <c r="K1472" s="988">
        <f t="shared" si="257"/>
        <v>0</v>
      </c>
      <c r="L1472" s="988">
        <f t="shared" si="257"/>
        <v>0</v>
      </c>
      <c r="M1472" s="988">
        <f t="shared" si="257"/>
        <v>0</v>
      </c>
      <c r="N1472" s="988">
        <f t="shared" si="257"/>
        <v>0</v>
      </c>
      <c r="O1472" s="988">
        <f t="shared" si="257"/>
        <v>0</v>
      </c>
      <c r="P1472" s="988">
        <f t="shared" si="257"/>
        <v>0</v>
      </c>
      <c r="Q1472" s="988"/>
      <c r="R1472" s="988">
        <f t="shared" si="247"/>
        <v>0</v>
      </c>
      <c r="S1472" s="546">
        <f t="shared" si="253"/>
        <v>0</v>
      </c>
      <c r="T1472" s="547">
        <f t="shared" si="254"/>
        <v>0</v>
      </c>
      <c r="U1472" s="546">
        <f t="shared" si="255"/>
        <v>0</v>
      </c>
      <c r="W1472" s="350">
        <f t="shared" si="240"/>
        <v>0</v>
      </c>
      <c r="X1472" s="285">
        <f t="shared" si="256"/>
        <v>0</v>
      </c>
    </row>
    <row r="1473" spans="1:24" ht="12" thickBot="1">
      <c r="A1473" s="541" t="s">
        <v>1503</v>
      </c>
      <c r="B1473" s="541" t="s">
        <v>1053</v>
      </c>
      <c r="C1473" s="541" t="s">
        <v>1054</v>
      </c>
      <c r="D1473" s="542" t="s">
        <v>719</v>
      </c>
      <c r="E1473" s="549">
        <f t="shared" si="245"/>
        <v>0</v>
      </c>
      <c r="F1473" s="988">
        <f t="shared" si="257"/>
        <v>0</v>
      </c>
      <c r="G1473" s="988">
        <f t="shared" si="257"/>
        <v>0</v>
      </c>
      <c r="H1473" s="988">
        <f t="shared" si="257"/>
        <v>0</v>
      </c>
      <c r="I1473" s="988">
        <f t="shared" si="257"/>
        <v>0</v>
      </c>
      <c r="J1473" s="988">
        <f t="shared" si="257"/>
        <v>0</v>
      </c>
      <c r="K1473" s="988">
        <f t="shared" si="257"/>
        <v>0</v>
      </c>
      <c r="L1473" s="988">
        <f t="shared" si="257"/>
        <v>0</v>
      </c>
      <c r="M1473" s="988">
        <f t="shared" si="257"/>
        <v>0</v>
      </c>
      <c r="N1473" s="988">
        <f t="shared" si="257"/>
        <v>0</v>
      </c>
      <c r="O1473" s="988">
        <f t="shared" si="257"/>
        <v>0</v>
      </c>
      <c r="P1473" s="988">
        <f t="shared" si="257"/>
        <v>0</v>
      </c>
      <c r="Q1473" s="988"/>
      <c r="R1473" s="988">
        <f t="shared" si="247"/>
        <v>0</v>
      </c>
      <c r="S1473" s="546">
        <f t="shared" si="253"/>
        <v>0</v>
      </c>
      <c r="T1473" s="547">
        <f t="shared" si="254"/>
        <v>0</v>
      </c>
      <c r="U1473" s="546">
        <f t="shared" si="255"/>
        <v>0</v>
      </c>
      <c r="W1473" s="350">
        <f t="shared" si="240"/>
        <v>0</v>
      </c>
      <c r="X1473" s="285">
        <f t="shared" si="256"/>
        <v>0</v>
      </c>
    </row>
    <row r="1474" spans="1:24" ht="12" thickBot="1">
      <c r="A1474" s="541" t="s">
        <v>1503</v>
      </c>
      <c r="B1474" s="541" t="s">
        <v>173</v>
      </c>
      <c r="C1474" s="541" t="s">
        <v>192</v>
      </c>
      <c r="D1474" s="542" t="s">
        <v>642</v>
      </c>
      <c r="E1474" s="549">
        <f t="shared" si="245"/>
        <v>44497248</v>
      </c>
      <c r="F1474" s="988">
        <f t="shared" si="257"/>
        <v>750</v>
      </c>
      <c r="G1474" s="988">
        <f t="shared" si="257"/>
        <v>164195</v>
      </c>
      <c r="H1474" s="988">
        <f t="shared" si="257"/>
        <v>1286860</v>
      </c>
      <c r="I1474" s="988">
        <f t="shared" si="257"/>
        <v>0</v>
      </c>
      <c r="J1474" s="988">
        <f t="shared" si="257"/>
        <v>51887</v>
      </c>
      <c r="K1474" s="988">
        <f t="shared" si="257"/>
        <v>668312</v>
      </c>
      <c r="L1474" s="988">
        <f t="shared" si="257"/>
        <v>0</v>
      </c>
      <c r="M1474" s="988">
        <f t="shared" si="257"/>
        <v>144305</v>
      </c>
      <c r="N1474" s="988">
        <f t="shared" si="257"/>
        <v>0</v>
      </c>
      <c r="O1474" s="988">
        <f t="shared" si="257"/>
        <v>269025</v>
      </c>
      <c r="P1474" s="988">
        <f t="shared" si="257"/>
        <v>0</v>
      </c>
      <c r="Q1474" s="988"/>
      <c r="R1474" s="988">
        <f t="shared" si="247"/>
        <v>2585335</v>
      </c>
      <c r="S1474" s="546">
        <f t="shared" si="253"/>
        <v>1451055</v>
      </c>
      <c r="T1474" s="547">
        <f t="shared" si="254"/>
        <v>720199</v>
      </c>
      <c r="U1474" s="546">
        <f t="shared" si="255"/>
        <v>269025</v>
      </c>
      <c r="W1474" s="350">
        <f t="shared" si="240"/>
        <v>2585334</v>
      </c>
      <c r="X1474" s="285">
        <f t="shared" si="256"/>
        <v>-1</v>
      </c>
    </row>
    <row r="1475" spans="1:24" ht="12" thickBot="1">
      <c r="A1475" s="541" t="s">
        <v>1503</v>
      </c>
      <c r="B1475" s="541" t="s">
        <v>193</v>
      </c>
      <c r="C1475" s="541" t="s">
        <v>194</v>
      </c>
      <c r="D1475" s="542" t="s">
        <v>443</v>
      </c>
      <c r="E1475" s="549">
        <f t="shared" si="245"/>
        <v>0</v>
      </c>
      <c r="F1475" s="988">
        <f t="shared" si="257"/>
        <v>0</v>
      </c>
      <c r="G1475" s="988">
        <f t="shared" si="257"/>
        <v>0</v>
      </c>
      <c r="H1475" s="988">
        <f t="shared" si="257"/>
        <v>0</v>
      </c>
      <c r="I1475" s="988">
        <f t="shared" si="257"/>
        <v>0</v>
      </c>
      <c r="J1475" s="988">
        <f t="shared" si="257"/>
        <v>0</v>
      </c>
      <c r="K1475" s="988">
        <f t="shared" si="257"/>
        <v>0</v>
      </c>
      <c r="L1475" s="988">
        <f t="shared" si="257"/>
        <v>0</v>
      </c>
      <c r="M1475" s="988">
        <f t="shared" si="257"/>
        <v>0</v>
      </c>
      <c r="N1475" s="988">
        <f t="shared" si="257"/>
        <v>0</v>
      </c>
      <c r="O1475" s="988">
        <f t="shared" si="257"/>
        <v>0</v>
      </c>
      <c r="P1475" s="988">
        <f t="shared" si="257"/>
        <v>0</v>
      </c>
      <c r="Q1475" s="988"/>
      <c r="R1475" s="988">
        <f t="shared" si="247"/>
        <v>0</v>
      </c>
      <c r="S1475" s="546">
        <f t="shared" si="253"/>
        <v>0</v>
      </c>
      <c r="T1475" s="547">
        <f t="shared" si="254"/>
        <v>0</v>
      </c>
      <c r="U1475" s="546">
        <f t="shared" si="255"/>
        <v>0</v>
      </c>
      <c r="W1475" s="350">
        <f t="shared" si="240"/>
        <v>0</v>
      </c>
      <c r="X1475" s="285">
        <f t="shared" si="256"/>
        <v>0</v>
      </c>
    </row>
    <row r="1476" spans="1:24" ht="12" thickBot="1">
      <c r="A1476" s="541" t="s">
        <v>1503</v>
      </c>
      <c r="B1476" s="541" t="s">
        <v>195</v>
      </c>
      <c r="C1476" s="541" t="s">
        <v>196</v>
      </c>
      <c r="D1476" s="542" t="s">
        <v>443</v>
      </c>
      <c r="E1476" s="549">
        <f t="shared" si="245"/>
        <v>0</v>
      </c>
      <c r="F1476" s="988">
        <f t="shared" si="257"/>
        <v>0</v>
      </c>
      <c r="G1476" s="988">
        <f t="shared" si="257"/>
        <v>0</v>
      </c>
      <c r="H1476" s="988">
        <f t="shared" si="257"/>
        <v>0</v>
      </c>
      <c r="I1476" s="988">
        <f t="shared" si="257"/>
        <v>0</v>
      </c>
      <c r="J1476" s="988">
        <f t="shared" si="257"/>
        <v>0</v>
      </c>
      <c r="K1476" s="988">
        <f t="shared" si="257"/>
        <v>0</v>
      </c>
      <c r="L1476" s="988">
        <f t="shared" si="257"/>
        <v>0</v>
      </c>
      <c r="M1476" s="988">
        <f t="shared" si="257"/>
        <v>0</v>
      </c>
      <c r="N1476" s="988">
        <f t="shared" si="257"/>
        <v>0</v>
      </c>
      <c r="O1476" s="988">
        <f t="shared" si="257"/>
        <v>0</v>
      </c>
      <c r="P1476" s="988">
        <f t="shared" si="257"/>
        <v>0</v>
      </c>
      <c r="Q1476" s="988"/>
      <c r="R1476" s="988">
        <f t="shared" si="247"/>
        <v>0</v>
      </c>
      <c r="S1476" s="546">
        <f t="shared" si="253"/>
        <v>0</v>
      </c>
      <c r="T1476" s="547">
        <f t="shared" si="254"/>
        <v>0</v>
      </c>
      <c r="U1476" s="546">
        <f t="shared" si="255"/>
        <v>0</v>
      </c>
      <c r="W1476" s="350">
        <f t="shared" si="240"/>
        <v>0</v>
      </c>
      <c r="X1476" s="285">
        <f t="shared" si="256"/>
        <v>0</v>
      </c>
    </row>
    <row r="1477" spans="1:24" ht="12" thickBot="1">
      <c r="A1477" s="541" t="s">
        <v>1503</v>
      </c>
      <c r="B1477" s="541" t="s">
        <v>197</v>
      </c>
      <c r="C1477" s="541" t="s">
        <v>198</v>
      </c>
      <c r="D1477" s="542" t="s">
        <v>443</v>
      </c>
      <c r="E1477" s="549">
        <f t="shared" si="245"/>
        <v>0</v>
      </c>
      <c r="F1477" s="988">
        <f t="shared" si="257"/>
        <v>0</v>
      </c>
      <c r="G1477" s="988">
        <f t="shared" si="257"/>
        <v>0</v>
      </c>
      <c r="H1477" s="988">
        <f t="shared" si="257"/>
        <v>0</v>
      </c>
      <c r="I1477" s="988">
        <f t="shared" si="257"/>
        <v>0</v>
      </c>
      <c r="J1477" s="988">
        <f t="shared" si="257"/>
        <v>0</v>
      </c>
      <c r="K1477" s="988">
        <f t="shared" si="257"/>
        <v>0</v>
      </c>
      <c r="L1477" s="988">
        <f t="shared" si="257"/>
        <v>0</v>
      </c>
      <c r="M1477" s="988">
        <f t="shared" si="257"/>
        <v>0</v>
      </c>
      <c r="N1477" s="988">
        <f t="shared" si="257"/>
        <v>0</v>
      </c>
      <c r="O1477" s="988">
        <f t="shared" si="257"/>
        <v>0</v>
      </c>
      <c r="P1477" s="988">
        <f t="shared" si="257"/>
        <v>0</v>
      </c>
      <c r="Q1477" s="988"/>
      <c r="R1477" s="988">
        <f t="shared" si="247"/>
        <v>0</v>
      </c>
      <c r="S1477" s="546">
        <f t="shared" si="253"/>
        <v>0</v>
      </c>
      <c r="T1477" s="547">
        <f t="shared" si="254"/>
        <v>0</v>
      </c>
      <c r="U1477" s="546">
        <f t="shared" si="255"/>
        <v>0</v>
      </c>
      <c r="W1477" s="350">
        <f t="shared" si="240"/>
        <v>0</v>
      </c>
      <c r="X1477" s="285">
        <f t="shared" si="256"/>
        <v>0</v>
      </c>
    </row>
    <row r="1478" spans="1:24" ht="12" thickBot="1">
      <c r="A1478" s="541" t="s">
        <v>1503</v>
      </c>
      <c r="B1478" s="541" t="s">
        <v>1055</v>
      </c>
      <c r="C1478" s="541" t="s">
        <v>1049</v>
      </c>
      <c r="D1478" s="542" t="s">
        <v>1146</v>
      </c>
      <c r="E1478" s="549">
        <f t="shared" si="245"/>
        <v>0</v>
      </c>
      <c r="F1478" s="988">
        <f t="shared" si="257"/>
        <v>0</v>
      </c>
      <c r="G1478" s="988">
        <f t="shared" si="257"/>
        <v>0</v>
      </c>
      <c r="H1478" s="988">
        <f t="shared" si="257"/>
        <v>0</v>
      </c>
      <c r="I1478" s="988">
        <f t="shared" si="257"/>
        <v>0</v>
      </c>
      <c r="J1478" s="988">
        <f t="shared" si="257"/>
        <v>0</v>
      </c>
      <c r="K1478" s="988">
        <f t="shared" si="257"/>
        <v>0</v>
      </c>
      <c r="L1478" s="988">
        <f t="shared" si="257"/>
        <v>0</v>
      </c>
      <c r="M1478" s="988">
        <f t="shared" si="257"/>
        <v>0</v>
      </c>
      <c r="N1478" s="988">
        <f t="shared" si="257"/>
        <v>0</v>
      </c>
      <c r="O1478" s="988">
        <f t="shared" si="257"/>
        <v>0</v>
      </c>
      <c r="P1478" s="988">
        <f t="shared" si="257"/>
        <v>0</v>
      </c>
      <c r="Q1478" s="988"/>
      <c r="R1478" s="988">
        <f t="shared" si="247"/>
        <v>0</v>
      </c>
      <c r="S1478" s="546">
        <f t="shared" si="253"/>
        <v>0</v>
      </c>
      <c r="T1478" s="547">
        <f t="shared" si="254"/>
        <v>0</v>
      </c>
      <c r="U1478" s="546">
        <f t="shared" si="255"/>
        <v>0</v>
      </c>
      <c r="W1478" s="350">
        <f t="shared" ref="W1478:W1541" si="258">SUM(F1478:Q1478)</f>
        <v>0</v>
      </c>
      <c r="X1478" s="285">
        <f t="shared" si="256"/>
        <v>0</v>
      </c>
    </row>
    <row r="1479" spans="1:24" ht="12" thickBot="1">
      <c r="A1479" s="541" t="s">
        <v>1503</v>
      </c>
      <c r="B1479" s="541" t="s">
        <v>174</v>
      </c>
      <c r="C1479" s="541" t="s">
        <v>106</v>
      </c>
      <c r="D1479" s="542" t="s">
        <v>14</v>
      </c>
      <c r="E1479" s="549">
        <f t="shared" si="245"/>
        <v>425779172</v>
      </c>
      <c r="F1479" s="988">
        <f t="shared" ref="F1479:P1485" si="259">ROUND(SUMIFS(F$1721:F$1901,$A$1721:$A$1901,$A1479,$B$1721:$B$1901,$B1479),0)</f>
        <v>4623394</v>
      </c>
      <c r="G1479" s="988">
        <f t="shared" si="259"/>
        <v>19317601</v>
      </c>
      <c r="H1479" s="988">
        <f t="shared" si="259"/>
        <v>12313534</v>
      </c>
      <c r="I1479" s="988">
        <f t="shared" si="259"/>
        <v>1341204</v>
      </c>
      <c r="J1479" s="988">
        <f t="shared" si="259"/>
        <v>0</v>
      </c>
      <c r="K1479" s="988">
        <f t="shared" si="259"/>
        <v>0</v>
      </c>
      <c r="L1479" s="988">
        <f t="shared" si="259"/>
        <v>801581</v>
      </c>
      <c r="M1479" s="988">
        <f t="shared" si="259"/>
        <v>1380809</v>
      </c>
      <c r="N1479" s="988">
        <f t="shared" si="259"/>
        <v>2574212</v>
      </c>
      <c r="O1479" s="988">
        <f t="shared" si="259"/>
        <v>0</v>
      </c>
      <c r="P1479" s="988">
        <f t="shared" si="259"/>
        <v>0</v>
      </c>
      <c r="Q1479" s="988"/>
      <c r="R1479" s="988">
        <f t="shared" si="247"/>
        <v>42352334</v>
      </c>
      <c r="S1479" s="546">
        <f t="shared" si="253"/>
        <v>32972339</v>
      </c>
      <c r="T1479" s="547">
        <f t="shared" si="254"/>
        <v>0</v>
      </c>
      <c r="U1479" s="546">
        <f t="shared" si="255"/>
        <v>2574212</v>
      </c>
      <c r="W1479" s="350">
        <f t="shared" si="258"/>
        <v>42352335</v>
      </c>
      <c r="X1479" s="285">
        <f t="shared" si="256"/>
        <v>1</v>
      </c>
    </row>
    <row r="1480" spans="1:24" ht="12" thickBot="1">
      <c r="A1480" s="541" t="s">
        <v>1503</v>
      </c>
      <c r="B1480" s="541" t="s">
        <v>175</v>
      </c>
      <c r="C1480" s="541" t="s">
        <v>199</v>
      </c>
      <c r="D1480" s="542" t="s">
        <v>14</v>
      </c>
      <c r="E1480" s="549">
        <f t="shared" si="245"/>
        <v>0</v>
      </c>
      <c r="F1480" s="988">
        <f t="shared" si="259"/>
        <v>0</v>
      </c>
      <c r="G1480" s="988">
        <f t="shared" si="259"/>
        <v>0</v>
      </c>
      <c r="H1480" s="988">
        <f t="shared" si="259"/>
        <v>0</v>
      </c>
      <c r="I1480" s="988">
        <f t="shared" si="259"/>
        <v>0</v>
      </c>
      <c r="J1480" s="988">
        <f t="shared" si="259"/>
        <v>0</v>
      </c>
      <c r="K1480" s="988">
        <f t="shared" si="259"/>
        <v>0</v>
      </c>
      <c r="L1480" s="988">
        <f t="shared" si="259"/>
        <v>0</v>
      </c>
      <c r="M1480" s="988">
        <f t="shared" si="259"/>
        <v>0</v>
      </c>
      <c r="N1480" s="988">
        <f t="shared" si="259"/>
        <v>0</v>
      </c>
      <c r="O1480" s="988">
        <f t="shared" si="259"/>
        <v>0</v>
      </c>
      <c r="P1480" s="988">
        <f t="shared" si="259"/>
        <v>0</v>
      </c>
      <c r="Q1480" s="988"/>
      <c r="R1480" s="988">
        <f t="shared" si="247"/>
        <v>0</v>
      </c>
      <c r="S1480" s="546">
        <f t="shared" si="253"/>
        <v>0</v>
      </c>
      <c r="T1480" s="547">
        <f t="shared" si="254"/>
        <v>0</v>
      </c>
      <c r="U1480" s="546">
        <f t="shared" si="255"/>
        <v>0</v>
      </c>
      <c r="W1480" s="350">
        <f t="shared" si="258"/>
        <v>0</v>
      </c>
      <c r="X1480" s="285">
        <f t="shared" si="256"/>
        <v>0</v>
      </c>
    </row>
    <row r="1481" spans="1:24" ht="12" thickBot="1">
      <c r="A1481" s="541" t="s">
        <v>1503</v>
      </c>
      <c r="B1481" s="541" t="s">
        <v>176</v>
      </c>
      <c r="C1481" s="541" t="s">
        <v>200</v>
      </c>
      <c r="D1481" s="542" t="s">
        <v>207</v>
      </c>
      <c r="E1481" s="549">
        <f t="shared" si="245"/>
        <v>0</v>
      </c>
      <c r="F1481" s="988">
        <f t="shared" si="259"/>
        <v>0</v>
      </c>
      <c r="G1481" s="988">
        <f t="shared" si="259"/>
        <v>0</v>
      </c>
      <c r="H1481" s="988">
        <f t="shared" si="259"/>
        <v>0</v>
      </c>
      <c r="I1481" s="988">
        <f t="shared" si="259"/>
        <v>0</v>
      </c>
      <c r="J1481" s="988">
        <f t="shared" si="259"/>
        <v>0</v>
      </c>
      <c r="K1481" s="988">
        <f t="shared" si="259"/>
        <v>0</v>
      </c>
      <c r="L1481" s="988">
        <f t="shared" si="259"/>
        <v>0</v>
      </c>
      <c r="M1481" s="988">
        <f t="shared" si="259"/>
        <v>0</v>
      </c>
      <c r="N1481" s="988">
        <f t="shared" si="259"/>
        <v>0</v>
      </c>
      <c r="O1481" s="988">
        <f t="shared" si="259"/>
        <v>0</v>
      </c>
      <c r="P1481" s="988">
        <f t="shared" si="259"/>
        <v>0</v>
      </c>
      <c r="Q1481" s="988"/>
      <c r="R1481" s="988">
        <f t="shared" si="247"/>
        <v>0</v>
      </c>
      <c r="S1481" s="546">
        <f t="shared" si="253"/>
        <v>0</v>
      </c>
      <c r="T1481" s="547">
        <f t="shared" si="254"/>
        <v>0</v>
      </c>
      <c r="U1481" s="546">
        <f t="shared" si="255"/>
        <v>0</v>
      </c>
      <c r="W1481" s="350">
        <f t="shared" si="258"/>
        <v>0</v>
      </c>
      <c r="X1481" s="285">
        <f t="shared" si="256"/>
        <v>0</v>
      </c>
    </row>
    <row r="1482" spans="1:24" ht="12" thickBot="1">
      <c r="A1482" s="541" t="s">
        <v>1503</v>
      </c>
      <c r="B1482" s="541" t="s">
        <v>458</v>
      </c>
      <c r="C1482" s="541" t="s">
        <v>1367</v>
      </c>
      <c r="D1482" s="542" t="s">
        <v>206</v>
      </c>
      <c r="E1482" s="549">
        <f t="shared" si="245"/>
        <v>0</v>
      </c>
      <c r="F1482" s="988">
        <f t="shared" si="259"/>
        <v>0</v>
      </c>
      <c r="G1482" s="988">
        <f t="shared" si="259"/>
        <v>0</v>
      </c>
      <c r="H1482" s="988">
        <f t="shared" si="259"/>
        <v>0</v>
      </c>
      <c r="I1482" s="988">
        <f t="shared" si="259"/>
        <v>0</v>
      </c>
      <c r="J1482" s="988">
        <f t="shared" si="259"/>
        <v>0</v>
      </c>
      <c r="K1482" s="988">
        <f t="shared" si="259"/>
        <v>0</v>
      </c>
      <c r="L1482" s="988">
        <f t="shared" si="259"/>
        <v>0</v>
      </c>
      <c r="M1482" s="988">
        <f t="shared" si="259"/>
        <v>0</v>
      </c>
      <c r="N1482" s="988">
        <f t="shared" si="259"/>
        <v>0</v>
      </c>
      <c r="O1482" s="988">
        <f t="shared" si="259"/>
        <v>0</v>
      </c>
      <c r="P1482" s="988">
        <f t="shared" si="259"/>
        <v>0</v>
      </c>
      <c r="Q1482" s="988"/>
      <c r="R1482" s="988">
        <f t="shared" si="247"/>
        <v>0</v>
      </c>
      <c r="S1482" s="546">
        <f t="shared" si="253"/>
        <v>0</v>
      </c>
      <c r="T1482" s="547">
        <f t="shared" si="254"/>
        <v>0</v>
      </c>
      <c r="U1482" s="546">
        <f t="shared" si="255"/>
        <v>0</v>
      </c>
      <c r="W1482" s="350">
        <f t="shared" si="258"/>
        <v>0</v>
      </c>
      <c r="X1482" s="285">
        <f t="shared" si="256"/>
        <v>0</v>
      </c>
    </row>
    <row r="1483" spans="1:24" ht="12" thickBot="1">
      <c r="A1483" s="541" t="s">
        <v>1503</v>
      </c>
      <c r="B1483" s="541" t="s">
        <v>177</v>
      </c>
      <c r="C1483" s="541" t="s">
        <v>201</v>
      </c>
      <c r="D1483" s="542" t="s">
        <v>16</v>
      </c>
      <c r="E1483" s="549">
        <f t="shared" si="245"/>
        <v>0</v>
      </c>
      <c r="F1483" s="988">
        <f t="shared" si="259"/>
        <v>0</v>
      </c>
      <c r="G1483" s="988">
        <f t="shared" si="259"/>
        <v>0</v>
      </c>
      <c r="H1483" s="988">
        <f t="shared" si="259"/>
        <v>0</v>
      </c>
      <c r="I1483" s="988">
        <f t="shared" si="259"/>
        <v>0</v>
      </c>
      <c r="J1483" s="988">
        <f t="shared" si="259"/>
        <v>0</v>
      </c>
      <c r="K1483" s="988">
        <f t="shared" si="259"/>
        <v>0</v>
      </c>
      <c r="L1483" s="988">
        <f t="shared" si="259"/>
        <v>0</v>
      </c>
      <c r="M1483" s="988">
        <f t="shared" si="259"/>
        <v>0</v>
      </c>
      <c r="N1483" s="988">
        <f t="shared" si="259"/>
        <v>0</v>
      </c>
      <c r="O1483" s="988">
        <f t="shared" si="259"/>
        <v>0</v>
      </c>
      <c r="P1483" s="988">
        <f t="shared" si="259"/>
        <v>0</v>
      </c>
      <c r="Q1483" s="988"/>
      <c r="R1483" s="988">
        <f t="shared" si="247"/>
        <v>0</v>
      </c>
      <c r="S1483" s="546">
        <f t="shared" si="253"/>
        <v>0</v>
      </c>
      <c r="T1483" s="547">
        <f t="shared" si="254"/>
        <v>0</v>
      </c>
      <c r="U1483" s="546">
        <f t="shared" si="255"/>
        <v>0</v>
      </c>
      <c r="W1483" s="350">
        <f t="shared" si="258"/>
        <v>0</v>
      </c>
      <c r="X1483" s="285">
        <f t="shared" si="256"/>
        <v>0</v>
      </c>
    </row>
    <row r="1484" spans="1:24" ht="12" thickBot="1">
      <c r="A1484" s="541" t="s">
        <v>1503</v>
      </c>
      <c r="B1484" s="541" t="s">
        <v>178</v>
      </c>
      <c r="C1484" s="541" t="s">
        <v>202</v>
      </c>
      <c r="D1484" s="542" t="s">
        <v>14</v>
      </c>
      <c r="E1484" s="549">
        <f t="shared" si="245"/>
        <v>0</v>
      </c>
      <c r="F1484" s="988">
        <f t="shared" si="259"/>
        <v>0</v>
      </c>
      <c r="G1484" s="988">
        <f t="shared" si="259"/>
        <v>0</v>
      </c>
      <c r="H1484" s="988">
        <f t="shared" si="259"/>
        <v>0</v>
      </c>
      <c r="I1484" s="988">
        <f t="shared" si="259"/>
        <v>0</v>
      </c>
      <c r="J1484" s="988">
        <f t="shared" si="259"/>
        <v>0</v>
      </c>
      <c r="K1484" s="988">
        <f t="shared" si="259"/>
        <v>0</v>
      </c>
      <c r="L1484" s="988">
        <f t="shared" si="259"/>
        <v>0</v>
      </c>
      <c r="M1484" s="988">
        <f t="shared" si="259"/>
        <v>0</v>
      </c>
      <c r="N1484" s="988">
        <f t="shared" si="259"/>
        <v>0</v>
      </c>
      <c r="O1484" s="988">
        <f t="shared" si="259"/>
        <v>0</v>
      </c>
      <c r="P1484" s="988">
        <f t="shared" si="259"/>
        <v>0</v>
      </c>
      <c r="Q1484" s="988"/>
      <c r="R1484" s="988">
        <f t="shared" si="247"/>
        <v>0</v>
      </c>
      <c r="S1484" s="546">
        <f t="shared" si="253"/>
        <v>0</v>
      </c>
      <c r="T1484" s="547">
        <f t="shared" si="254"/>
        <v>0</v>
      </c>
      <c r="U1484" s="546">
        <f t="shared" si="255"/>
        <v>0</v>
      </c>
      <c r="W1484" s="350">
        <f t="shared" si="258"/>
        <v>0</v>
      </c>
      <c r="X1484" s="285">
        <f t="shared" si="256"/>
        <v>0</v>
      </c>
    </row>
    <row r="1485" spans="1:24" ht="12" thickBot="1">
      <c r="A1485" s="541" t="s">
        <v>1503</v>
      </c>
      <c r="B1485" s="541" t="s">
        <v>73</v>
      </c>
      <c r="C1485" s="541" t="s">
        <v>1511</v>
      </c>
      <c r="D1485" s="542"/>
      <c r="E1485" s="549">
        <f t="shared" si="245"/>
        <v>10615610</v>
      </c>
      <c r="F1485" s="988">
        <f t="shared" si="259"/>
        <v>0</v>
      </c>
      <c r="G1485" s="988">
        <f t="shared" si="259"/>
        <v>1720327</v>
      </c>
      <c r="H1485" s="988">
        <f t="shared" si="259"/>
        <v>307003</v>
      </c>
      <c r="I1485" s="988">
        <f t="shared" si="259"/>
        <v>0</v>
      </c>
      <c r="J1485" s="988">
        <f t="shared" si="259"/>
        <v>0</v>
      </c>
      <c r="K1485" s="988">
        <f t="shared" si="259"/>
        <v>0</v>
      </c>
      <c r="L1485" s="988">
        <f t="shared" si="259"/>
        <v>0</v>
      </c>
      <c r="M1485" s="988">
        <f t="shared" si="259"/>
        <v>34427</v>
      </c>
      <c r="N1485" s="988">
        <f t="shared" si="259"/>
        <v>64181</v>
      </c>
      <c r="O1485" s="988">
        <f t="shared" si="259"/>
        <v>0</v>
      </c>
      <c r="P1485" s="988">
        <f t="shared" si="259"/>
        <v>0</v>
      </c>
      <c r="Q1485" s="988"/>
      <c r="R1485" s="988">
        <f t="shared" si="247"/>
        <v>2125938</v>
      </c>
      <c r="S1485" s="546">
        <f t="shared" si="253"/>
        <v>2027330</v>
      </c>
      <c r="T1485" s="547">
        <f t="shared" si="254"/>
        <v>0</v>
      </c>
      <c r="U1485" s="546">
        <f t="shared" si="255"/>
        <v>64181</v>
      </c>
      <c r="W1485" s="350">
        <f t="shared" si="258"/>
        <v>2125938</v>
      </c>
      <c r="X1485" s="285">
        <f t="shared" si="256"/>
        <v>0</v>
      </c>
    </row>
    <row r="1486" spans="1:24" ht="12" thickBot="1">
      <c r="A1486" s="541" t="s">
        <v>1503</v>
      </c>
      <c r="B1486" s="541" t="s">
        <v>323</v>
      </c>
      <c r="C1486" s="541" t="s">
        <v>1056</v>
      </c>
      <c r="D1486" s="552" t="s">
        <v>1139</v>
      </c>
      <c r="E1486" s="543"/>
      <c r="F1486" s="545"/>
      <c r="G1486" s="544"/>
      <c r="H1486" s="545"/>
      <c r="I1486" s="545"/>
      <c r="J1486" s="545"/>
      <c r="K1486" s="545"/>
      <c r="L1486" s="545"/>
      <c r="M1486" s="544"/>
      <c r="N1486" s="544"/>
      <c r="O1486" s="545"/>
      <c r="P1486" s="545"/>
      <c r="Q1486" s="544"/>
      <c r="R1486" s="544"/>
      <c r="S1486" s="546">
        <f t="shared" si="253"/>
        <v>0</v>
      </c>
      <c r="T1486" s="547">
        <f t="shared" si="254"/>
        <v>0</v>
      </c>
      <c r="U1486" s="546">
        <f t="shared" si="255"/>
        <v>0</v>
      </c>
      <c r="W1486" s="350">
        <f t="shared" si="258"/>
        <v>0</v>
      </c>
      <c r="X1486" s="285">
        <f t="shared" si="256"/>
        <v>0</v>
      </c>
    </row>
    <row r="1487" spans="1:24" ht="12" thickBot="1">
      <c r="A1487" s="541" t="s">
        <v>1503</v>
      </c>
      <c r="B1487" s="541" t="s">
        <v>328</v>
      </c>
      <c r="C1487" s="541" t="s">
        <v>1057</v>
      </c>
      <c r="D1487" s="552" t="s">
        <v>1139</v>
      </c>
      <c r="E1487" s="549"/>
      <c r="F1487" s="551"/>
      <c r="G1487" s="550"/>
      <c r="H1487" s="551"/>
      <c r="I1487" s="551"/>
      <c r="J1487" s="551"/>
      <c r="K1487" s="551"/>
      <c r="L1487" s="551"/>
      <c r="M1487" s="550"/>
      <c r="N1487" s="550"/>
      <c r="O1487" s="551"/>
      <c r="P1487" s="551"/>
      <c r="Q1487" s="550"/>
      <c r="R1487" s="550"/>
      <c r="S1487" s="546">
        <f t="shared" si="253"/>
        <v>0</v>
      </c>
      <c r="T1487" s="547">
        <f t="shared" si="254"/>
        <v>0</v>
      </c>
      <c r="U1487" s="546">
        <f t="shared" si="255"/>
        <v>0</v>
      </c>
      <c r="W1487" s="350">
        <f t="shared" si="258"/>
        <v>0</v>
      </c>
      <c r="X1487" s="285">
        <f t="shared" si="256"/>
        <v>0</v>
      </c>
    </row>
    <row r="1488" spans="1:24" ht="12" thickBot="1">
      <c r="A1488" s="541" t="s">
        <v>1503</v>
      </c>
      <c r="B1488" s="541" t="s">
        <v>331</v>
      </c>
      <c r="C1488" s="541" t="s">
        <v>1058</v>
      </c>
      <c r="D1488" s="552" t="s">
        <v>1139</v>
      </c>
      <c r="E1488" s="543"/>
      <c r="F1488" s="545"/>
      <c r="G1488" s="544"/>
      <c r="H1488" s="545"/>
      <c r="I1488" s="545"/>
      <c r="J1488" s="545"/>
      <c r="K1488" s="545"/>
      <c r="L1488" s="545"/>
      <c r="M1488" s="544"/>
      <c r="N1488" s="544"/>
      <c r="O1488" s="545"/>
      <c r="P1488" s="545"/>
      <c r="Q1488" s="544"/>
      <c r="R1488" s="544"/>
      <c r="S1488" s="546">
        <f t="shared" si="253"/>
        <v>0</v>
      </c>
      <c r="T1488" s="547">
        <f t="shared" si="254"/>
        <v>0</v>
      </c>
      <c r="U1488" s="546">
        <f t="shared" si="255"/>
        <v>0</v>
      </c>
      <c r="W1488" s="350">
        <f t="shared" si="258"/>
        <v>0</v>
      </c>
      <c r="X1488" s="285">
        <f t="shared" si="256"/>
        <v>0</v>
      </c>
    </row>
    <row r="1489" spans="1:24" ht="12" thickBot="1">
      <c r="A1489" s="541" t="s">
        <v>1503</v>
      </c>
      <c r="B1489" s="541" t="s">
        <v>332</v>
      </c>
      <c r="C1489" s="541" t="s">
        <v>1059</v>
      </c>
      <c r="D1489" s="552" t="s">
        <v>1139</v>
      </c>
      <c r="E1489" s="549"/>
      <c r="F1489" s="551"/>
      <c r="G1489" s="550"/>
      <c r="H1489" s="551"/>
      <c r="I1489" s="551"/>
      <c r="J1489" s="551"/>
      <c r="K1489" s="551"/>
      <c r="L1489" s="551"/>
      <c r="M1489" s="550"/>
      <c r="N1489" s="550"/>
      <c r="O1489" s="551"/>
      <c r="P1489" s="551"/>
      <c r="Q1489" s="550"/>
      <c r="R1489" s="550"/>
      <c r="S1489" s="546">
        <f t="shared" si="253"/>
        <v>0</v>
      </c>
      <c r="T1489" s="547">
        <f t="shared" si="254"/>
        <v>0</v>
      </c>
      <c r="U1489" s="546">
        <f t="shared" si="255"/>
        <v>0</v>
      </c>
      <c r="W1489" s="350">
        <f t="shared" si="258"/>
        <v>0</v>
      </c>
      <c r="X1489" s="285">
        <f t="shared" si="256"/>
        <v>0</v>
      </c>
    </row>
    <row r="1490" spans="1:24" ht="12" thickBot="1">
      <c r="A1490" s="541" t="s">
        <v>1503</v>
      </c>
      <c r="B1490" s="541" t="s">
        <v>333</v>
      </c>
      <c r="C1490" s="541" t="s">
        <v>1060</v>
      </c>
      <c r="D1490" s="552" t="s">
        <v>1139</v>
      </c>
      <c r="E1490" s="543"/>
      <c r="F1490" s="545"/>
      <c r="G1490" s="544"/>
      <c r="H1490" s="545"/>
      <c r="I1490" s="545"/>
      <c r="J1490" s="545"/>
      <c r="K1490" s="545"/>
      <c r="L1490" s="545"/>
      <c r="M1490" s="544"/>
      <c r="N1490" s="544"/>
      <c r="O1490" s="545"/>
      <c r="P1490" s="545"/>
      <c r="Q1490" s="544"/>
      <c r="R1490" s="544"/>
      <c r="S1490" s="546">
        <f t="shared" si="253"/>
        <v>0</v>
      </c>
      <c r="T1490" s="547">
        <f t="shared" si="254"/>
        <v>0</v>
      </c>
      <c r="U1490" s="546">
        <f t="shared" si="255"/>
        <v>0</v>
      </c>
      <c r="W1490" s="350">
        <f t="shared" si="258"/>
        <v>0</v>
      </c>
      <c r="X1490" s="285">
        <f t="shared" si="256"/>
        <v>0</v>
      </c>
    </row>
    <row r="1491" spans="1:24" ht="12" thickBot="1">
      <c r="A1491" s="541" t="s">
        <v>1503</v>
      </c>
      <c r="B1491" s="541" t="s">
        <v>335</v>
      </c>
      <c r="C1491" s="541" t="s">
        <v>1061</v>
      </c>
      <c r="D1491" s="552" t="s">
        <v>1139</v>
      </c>
      <c r="E1491" s="549"/>
      <c r="F1491" s="551"/>
      <c r="G1491" s="550"/>
      <c r="H1491" s="551"/>
      <c r="I1491" s="551"/>
      <c r="J1491" s="551"/>
      <c r="K1491" s="551"/>
      <c r="L1491" s="551"/>
      <c r="M1491" s="550"/>
      <c r="N1491" s="550"/>
      <c r="O1491" s="551"/>
      <c r="P1491" s="551"/>
      <c r="Q1491" s="550"/>
      <c r="R1491" s="550"/>
      <c r="S1491" s="546">
        <f t="shared" si="253"/>
        <v>0</v>
      </c>
      <c r="T1491" s="547">
        <f t="shared" si="254"/>
        <v>0</v>
      </c>
      <c r="U1491" s="546">
        <f t="shared" si="255"/>
        <v>0</v>
      </c>
      <c r="W1491" s="350">
        <f t="shared" si="258"/>
        <v>0</v>
      </c>
      <c r="X1491" s="285">
        <f t="shared" si="256"/>
        <v>0</v>
      </c>
    </row>
    <row r="1492" spans="1:24" ht="12" thickBot="1">
      <c r="A1492" s="541" t="s">
        <v>1503</v>
      </c>
      <c r="B1492" s="541" t="s">
        <v>336</v>
      </c>
      <c r="C1492" s="541" t="s">
        <v>1062</v>
      </c>
      <c r="D1492" s="552" t="s">
        <v>1139</v>
      </c>
      <c r="E1492" s="543"/>
      <c r="F1492" s="545"/>
      <c r="G1492" s="544"/>
      <c r="H1492" s="545"/>
      <c r="I1492" s="545"/>
      <c r="J1492" s="545"/>
      <c r="K1492" s="545"/>
      <c r="L1492" s="545"/>
      <c r="M1492" s="544"/>
      <c r="N1492" s="544"/>
      <c r="O1492" s="545"/>
      <c r="P1492" s="545"/>
      <c r="Q1492" s="544"/>
      <c r="R1492" s="544"/>
      <c r="S1492" s="546">
        <f t="shared" si="253"/>
        <v>0</v>
      </c>
      <c r="T1492" s="547">
        <f t="shared" si="254"/>
        <v>0</v>
      </c>
      <c r="U1492" s="546">
        <f t="shared" si="255"/>
        <v>0</v>
      </c>
      <c r="W1492" s="350">
        <f t="shared" si="258"/>
        <v>0</v>
      </c>
      <c r="X1492" s="285">
        <f t="shared" si="256"/>
        <v>0</v>
      </c>
    </row>
    <row r="1493" spans="1:24" ht="12" thickBot="1">
      <c r="A1493" s="541" t="s">
        <v>1503</v>
      </c>
      <c r="B1493" s="541" t="s">
        <v>338</v>
      </c>
      <c r="C1493" s="541" t="s">
        <v>1063</v>
      </c>
      <c r="D1493" s="552" t="s">
        <v>1139</v>
      </c>
      <c r="E1493" s="549"/>
      <c r="F1493" s="551"/>
      <c r="G1493" s="550"/>
      <c r="H1493" s="551"/>
      <c r="I1493" s="551"/>
      <c r="J1493" s="551"/>
      <c r="K1493" s="551"/>
      <c r="L1493" s="551"/>
      <c r="M1493" s="550"/>
      <c r="N1493" s="550"/>
      <c r="O1493" s="551"/>
      <c r="P1493" s="551"/>
      <c r="Q1493" s="550"/>
      <c r="R1493" s="550"/>
      <c r="S1493" s="546">
        <f t="shared" si="253"/>
        <v>0</v>
      </c>
      <c r="T1493" s="547">
        <f t="shared" si="254"/>
        <v>0</v>
      </c>
      <c r="U1493" s="546">
        <f t="shared" si="255"/>
        <v>0</v>
      </c>
      <c r="W1493" s="350">
        <f t="shared" si="258"/>
        <v>0</v>
      </c>
      <c r="X1493" s="285">
        <f t="shared" si="256"/>
        <v>0</v>
      </c>
    </row>
    <row r="1494" spans="1:24" ht="12" thickBot="1">
      <c r="A1494" s="541" t="s">
        <v>1503</v>
      </c>
      <c r="B1494" s="541" t="s">
        <v>339</v>
      </c>
      <c r="C1494" s="541" t="s">
        <v>1064</v>
      </c>
      <c r="D1494" s="552" t="s">
        <v>1139</v>
      </c>
      <c r="E1494" s="543"/>
      <c r="F1494" s="545"/>
      <c r="G1494" s="544"/>
      <c r="H1494" s="545"/>
      <c r="I1494" s="545"/>
      <c r="J1494" s="545"/>
      <c r="K1494" s="545"/>
      <c r="L1494" s="545"/>
      <c r="M1494" s="544"/>
      <c r="N1494" s="544"/>
      <c r="O1494" s="545"/>
      <c r="P1494" s="545"/>
      <c r="Q1494" s="544"/>
      <c r="R1494" s="544"/>
      <c r="S1494" s="546">
        <f t="shared" si="253"/>
        <v>0</v>
      </c>
      <c r="T1494" s="547">
        <f t="shared" si="254"/>
        <v>0</v>
      </c>
      <c r="U1494" s="546">
        <f t="shared" si="255"/>
        <v>0</v>
      </c>
      <c r="W1494" s="350">
        <f t="shared" si="258"/>
        <v>0</v>
      </c>
      <c r="X1494" s="285">
        <f t="shared" si="256"/>
        <v>0</v>
      </c>
    </row>
    <row r="1495" spans="1:24" ht="12" thickBot="1">
      <c r="A1495" s="541" t="s">
        <v>1503</v>
      </c>
      <c r="B1495" s="541" t="s">
        <v>325</v>
      </c>
      <c r="C1495" s="541" t="s">
        <v>1065</v>
      </c>
      <c r="D1495" s="552" t="s">
        <v>1139</v>
      </c>
      <c r="E1495" s="549"/>
      <c r="F1495" s="551"/>
      <c r="G1495" s="550"/>
      <c r="H1495" s="551"/>
      <c r="I1495" s="551"/>
      <c r="J1495" s="551"/>
      <c r="K1495" s="551"/>
      <c r="L1495" s="551"/>
      <c r="M1495" s="550"/>
      <c r="N1495" s="550"/>
      <c r="O1495" s="551"/>
      <c r="P1495" s="551"/>
      <c r="Q1495" s="550"/>
      <c r="R1495" s="550"/>
      <c r="S1495" s="546">
        <f t="shared" si="253"/>
        <v>0</v>
      </c>
      <c r="T1495" s="547">
        <f t="shared" si="254"/>
        <v>0</v>
      </c>
      <c r="U1495" s="546">
        <f t="shared" si="255"/>
        <v>0</v>
      </c>
      <c r="W1495" s="350">
        <f t="shared" si="258"/>
        <v>0</v>
      </c>
      <c r="X1495" s="285">
        <f t="shared" si="256"/>
        <v>0</v>
      </c>
    </row>
    <row r="1496" spans="1:24" ht="12" thickBot="1">
      <c r="A1496" s="541" t="s">
        <v>1503</v>
      </c>
      <c r="B1496" s="541" t="s">
        <v>334</v>
      </c>
      <c r="C1496" s="541" t="s">
        <v>1066</v>
      </c>
      <c r="D1496" s="552" t="s">
        <v>1139</v>
      </c>
      <c r="E1496" s="543"/>
      <c r="F1496" s="545"/>
      <c r="G1496" s="544"/>
      <c r="H1496" s="545"/>
      <c r="I1496" s="545"/>
      <c r="J1496" s="545"/>
      <c r="K1496" s="545"/>
      <c r="L1496" s="545"/>
      <c r="M1496" s="544"/>
      <c r="N1496" s="544"/>
      <c r="O1496" s="545"/>
      <c r="P1496" s="545"/>
      <c r="Q1496" s="544"/>
      <c r="R1496" s="544"/>
      <c r="S1496" s="546">
        <f t="shared" si="253"/>
        <v>0</v>
      </c>
      <c r="T1496" s="547">
        <f t="shared" si="254"/>
        <v>0</v>
      </c>
      <c r="U1496" s="546">
        <f t="shared" si="255"/>
        <v>0</v>
      </c>
      <c r="W1496" s="350">
        <f t="shared" si="258"/>
        <v>0</v>
      </c>
      <c r="X1496" s="285">
        <f t="shared" si="256"/>
        <v>0</v>
      </c>
    </row>
    <row r="1497" spans="1:24" ht="12" thickBot="1">
      <c r="A1497" s="541" t="s">
        <v>1503</v>
      </c>
      <c r="B1497" s="541" t="s">
        <v>326</v>
      </c>
      <c r="C1497" s="541" t="s">
        <v>1067</v>
      </c>
      <c r="D1497" s="552" t="s">
        <v>1139</v>
      </c>
      <c r="E1497" s="549"/>
      <c r="F1497" s="551"/>
      <c r="G1497" s="550"/>
      <c r="H1497" s="551"/>
      <c r="I1497" s="551"/>
      <c r="J1497" s="551"/>
      <c r="K1497" s="551"/>
      <c r="L1497" s="551"/>
      <c r="M1497" s="550"/>
      <c r="N1497" s="550"/>
      <c r="O1497" s="551"/>
      <c r="P1497" s="551"/>
      <c r="Q1497" s="550"/>
      <c r="R1497" s="550"/>
      <c r="S1497" s="546">
        <f t="shared" si="253"/>
        <v>0</v>
      </c>
      <c r="T1497" s="547">
        <f t="shared" si="254"/>
        <v>0</v>
      </c>
      <c r="U1497" s="546">
        <f t="shared" si="255"/>
        <v>0</v>
      </c>
      <c r="W1497" s="350">
        <f t="shared" si="258"/>
        <v>0</v>
      </c>
      <c r="X1497" s="285">
        <f t="shared" si="256"/>
        <v>0</v>
      </c>
    </row>
    <row r="1498" spans="1:24" ht="12" thickBot="1">
      <c r="A1498" s="541" t="s">
        <v>1503</v>
      </c>
      <c r="B1498" s="541" t="s">
        <v>330</v>
      </c>
      <c r="C1498" s="541" t="s">
        <v>1068</v>
      </c>
      <c r="D1498" s="552" t="s">
        <v>1139</v>
      </c>
      <c r="E1498" s="543"/>
      <c r="F1498" s="545"/>
      <c r="G1498" s="544"/>
      <c r="H1498" s="545"/>
      <c r="I1498" s="545"/>
      <c r="J1498" s="545"/>
      <c r="K1498" s="545"/>
      <c r="L1498" s="545"/>
      <c r="M1498" s="544"/>
      <c r="N1498" s="544"/>
      <c r="O1498" s="545"/>
      <c r="P1498" s="545"/>
      <c r="Q1498" s="544"/>
      <c r="R1498" s="544"/>
      <c r="S1498" s="546">
        <f t="shared" si="253"/>
        <v>0</v>
      </c>
      <c r="T1498" s="547">
        <f t="shared" si="254"/>
        <v>0</v>
      </c>
      <c r="U1498" s="546">
        <f t="shared" si="255"/>
        <v>0</v>
      </c>
      <c r="W1498" s="350">
        <f t="shared" si="258"/>
        <v>0</v>
      </c>
      <c r="X1498" s="285">
        <f t="shared" si="256"/>
        <v>0</v>
      </c>
    </row>
    <row r="1499" spans="1:24" ht="12" thickBot="1">
      <c r="A1499" s="541" t="s">
        <v>1503</v>
      </c>
      <c r="B1499" s="541" t="s">
        <v>337</v>
      </c>
      <c r="C1499" s="541" t="s">
        <v>1069</v>
      </c>
      <c r="D1499" s="552" t="s">
        <v>1139</v>
      </c>
      <c r="E1499" s="549"/>
      <c r="F1499" s="551"/>
      <c r="G1499" s="550"/>
      <c r="H1499" s="551"/>
      <c r="I1499" s="551"/>
      <c r="J1499" s="551"/>
      <c r="K1499" s="551"/>
      <c r="L1499" s="551"/>
      <c r="M1499" s="550"/>
      <c r="N1499" s="550"/>
      <c r="O1499" s="551"/>
      <c r="P1499" s="551"/>
      <c r="Q1499" s="550"/>
      <c r="R1499" s="550"/>
      <c r="S1499" s="546">
        <f t="shared" si="253"/>
        <v>0</v>
      </c>
      <c r="T1499" s="547">
        <f t="shared" si="254"/>
        <v>0</v>
      </c>
      <c r="U1499" s="546">
        <f t="shared" si="255"/>
        <v>0</v>
      </c>
      <c r="W1499" s="350">
        <f t="shared" si="258"/>
        <v>0</v>
      </c>
      <c r="X1499" s="285">
        <f t="shared" si="256"/>
        <v>0</v>
      </c>
    </row>
    <row r="1500" spans="1:24" ht="12" thickBot="1">
      <c r="A1500" s="541" t="s">
        <v>1503</v>
      </c>
      <c r="B1500" s="541" t="s">
        <v>329</v>
      </c>
      <c r="C1500" s="541" t="s">
        <v>1070</v>
      </c>
      <c r="D1500" s="552" t="s">
        <v>1139</v>
      </c>
      <c r="E1500" s="543"/>
      <c r="F1500" s="545"/>
      <c r="G1500" s="544"/>
      <c r="H1500" s="545"/>
      <c r="I1500" s="545"/>
      <c r="J1500" s="545"/>
      <c r="K1500" s="545"/>
      <c r="L1500" s="545"/>
      <c r="M1500" s="544"/>
      <c r="N1500" s="544"/>
      <c r="O1500" s="545"/>
      <c r="P1500" s="545"/>
      <c r="Q1500" s="544"/>
      <c r="R1500" s="544"/>
      <c r="S1500" s="546">
        <f t="shared" si="253"/>
        <v>0</v>
      </c>
      <c r="T1500" s="547">
        <f t="shared" si="254"/>
        <v>0</v>
      </c>
      <c r="U1500" s="546">
        <f t="shared" si="255"/>
        <v>0</v>
      </c>
      <c r="W1500" s="350">
        <f t="shared" si="258"/>
        <v>0</v>
      </c>
      <c r="X1500" s="285">
        <f t="shared" si="256"/>
        <v>0</v>
      </c>
    </row>
    <row r="1501" spans="1:24" ht="12" thickBot="1">
      <c r="A1501" s="541" t="s">
        <v>1503</v>
      </c>
      <c r="B1501" s="541" t="s">
        <v>327</v>
      </c>
      <c r="C1501" s="541" t="s">
        <v>1071</v>
      </c>
      <c r="D1501" s="552" t="s">
        <v>1139</v>
      </c>
      <c r="E1501" s="549"/>
      <c r="F1501" s="551"/>
      <c r="G1501" s="550"/>
      <c r="H1501" s="551"/>
      <c r="I1501" s="551"/>
      <c r="J1501" s="551"/>
      <c r="K1501" s="551"/>
      <c r="L1501" s="551"/>
      <c r="M1501" s="550"/>
      <c r="N1501" s="550"/>
      <c r="O1501" s="551"/>
      <c r="P1501" s="551"/>
      <c r="Q1501" s="550"/>
      <c r="R1501" s="550"/>
      <c r="S1501" s="546">
        <f t="shared" si="253"/>
        <v>0</v>
      </c>
      <c r="T1501" s="547">
        <f t="shared" si="254"/>
        <v>0</v>
      </c>
      <c r="U1501" s="546">
        <f t="shared" si="255"/>
        <v>0</v>
      </c>
      <c r="W1501" s="350">
        <f t="shared" si="258"/>
        <v>0</v>
      </c>
      <c r="X1501" s="285">
        <f t="shared" si="256"/>
        <v>0</v>
      </c>
    </row>
    <row r="1502" spans="1:24" ht="12" thickBot="1">
      <c r="A1502" s="541" t="s">
        <v>1503</v>
      </c>
      <c r="B1502" s="541" t="s">
        <v>453</v>
      </c>
      <c r="C1502" s="541" t="s">
        <v>1072</v>
      </c>
      <c r="D1502" s="552" t="s">
        <v>1139</v>
      </c>
      <c r="E1502" s="543"/>
      <c r="F1502" s="545"/>
      <c r="G1502" s="544"/>
      <c r="H1502" s="545"/>
      <c r="I1502" s="545"/>
      <c r="J1502" s="545"/>
      <c r="K1502" s="545"/>
      <c r="L1502" s="545"/>
      <c r="M1502" s="544"/>
      <c r="N1502" s="544"/>
      <c r="O1502" s="545"/>
      <c r="P1502" s="545"/>
      <c r="Q1502" s="545"/>
      <c r="R1502" s="544"/>
      <c r="S1502" s="546">
        <f t="shared" si="253"/>
        <v>0</v>
      </c>
      <c r="T1502" s="547">
        <f t="shared" si="254"/>
        <v>0</v>
      </c>
      <c r="U1502" s="546">
        <f t="shared" si="255"/>
        <v>0</v>
      </c>
      <c r="W1502" s="350">
        <f t="shared" si="258"/>
        <v>0</v>
      </c>
      <c r="X1502" s="285">
        <f t="shared" si="256"/>
        <v>0</v>
      </c>
    </row>
    <row r="1503" spans="1:24" ht="12" thickBot="1">
      <c r="A1503" s="541" t="s">
        <v>1503</v>
      </c>
      <c r="B1503" s="541" t="s">
        <v>366</v>
      </c>
      <c r="C1503" s="541" t="s">
        <v>1073</v>
      </c>
      <c r="D1503" s="552" t="s">
        <v>1139</v>
      </c>
      <c r="E1503" s="549"/>
      <c r="F1503" s="551"/>
      <c r="G1503" s="550"/>
      <c r="H1503" s="551"/>
      <c r="I1503" s="551"/>
      <c r="J1503" s="551"/>
      <c r="K1503" s="551"/>
      <c r="L1503" s="551"/>
      <c r="M1503" s="550"/>
      <c r="N1503" s="550"/>
      <c r="O1503" s="551"/>
      <c r="P1503" s="551"/>
      <c r="Q1503" s="550"/>
      <c r="R1503" s="550"/>
      <c r="S1503" s="546">
        <f t="shared" si="253"/>
        <v>0</v>
      </c>
      <c r="T1503" s="547">
        <f t="shared" si="254"/>
        <v>0</v>
      </c>
      <c r="U1503" s="546">
        <f t="shared" si="255"/>
        <v>0</v>
      </c>
      <c r="W1503" s="350">
        <f t="shared" si="258"/>
        <v>0</v>
      </c>
      <c r="X1503" s="285">
        <f t="shared" si="256"/>
        <v>0</v>
      </c>
    </row>
    <row r="1504" spans="1:24" ht="12" thickBot="1">
      <c r="A1504" s="541" t="s">
        <v>1503</v>
      </c>
      <c r="B1504" s="541" t="s">
        <v>386</v>
      </c>
      <c r="C1504" s="541" t="s">
        <v>1074</v>
      </c>
      <c r="D1504" s="552" t="s">
        <v>1140</v>
      </c>
      <c r="E1504" s="543"/>
      <c r="F1504" s="545"/>
      <c r="G1504" s="544"/>
      <c r="H1504" s="545"/>
      <c r="I1504" s="545"/>
      <c r="J1504" s="545"/>
      <c r="K1504" s="545"/>
      <c r="L1504" s="545"/>
      <c r="M1504" s="544"/>
      <c r="N1504" s="544"/>
      <c r="O1504" s="545"/>
      <c r="P1504" s="545"/>
      <c r="Q1504" s="544"/>
      <c r="R1504" s="544"/>
      <c r="S1504" s="546">
        <f t="shared" si="253"/>
        <v>0</v>
      </c>
      <c r="T1504" s="547">
        <f t="shared" si="254"/>
        <v>0</v>
      </c>
      <c r="U1504" s="546">
        <f t="shared" si="255"/>
        <v>0</v>
      </c>
      <c r="W1504" s="350">
        <f t="shared" si="258"/>
        <v>0</v>
      </c>
      <c r="X1504" s="285">
        <f t="shared" si="256"/>
        <v>0</v>
      </c>
    </row>
    <row r="1505" spans="1:24" ht="12" thickBot="1">
      <c r="A1505" s="541" t="s">
        <v>1503</v>
      </c>
      <c r="B1505" s="541" t="s">
        <v>342</v>
      </c>
      <c r="C1505" s="541" t="s">
        <v>251</v>
      </c>
      <c r="D1505" s="552" t="s">
        <v>1139</v>
      </c>
      <c r="E1505" s="549"/>
      <c r="F1505" s="551"/>
      <c r="G1505" s="550"/>
      <c r="H1505" s="551"/>
      <c r="I1505" s="551"/>
      <c r="J1505" s="551"/>
      <c r="K1505" s="551"/>
      <c r="L1505" s="551"/>
      <c r="M1505" s="550"/>
      <c r="N1505" s="550"/>
      <c r="O1505" s="551"/>
      <c r="P1505" s="551"/>
      <c r="Q1505" s="550"/>
      <c r="R1505" s="550"/>
      <c r="S1505" s="546">
        <f t="shared" si="253"/>
        <v>0</v>
      </c>
      <c r="T1505" s="547">
        <f t="shared" si="254"/>
        <v>0</v>
      </c>
      <c r="U1505" s="546">
        <f t="shared" si="255"/>
        <v>0</v>
      </c>
      <c r="W1505" s="350">
        <f t="shared" si="258"/>
        <v>0</v>
      </c>
      <c r="X1505" s="285">
        <f t="shared" si="256"/>
        <v>0</v>
      </c>
    </row>
    <row r="1506" spans="1:24" ht="12" thickBot="1">
      <c r="A1506" s="541" t="s">
        <v>1503</v>
      </c>
      <c r="B1506" s="541" t="s">
        <v>382</v>
      </c>
      <c r="C1506" s="541" t="s">
        <v>1075</v>
      </c>
      <c r="D1506" s="552" t="s">
        <v>1140</v>
      </c>
      <c r="E1506" s="543"/>
      <c r="F1506" s="545"/>
      <c r="G1506" s="544"/>
      <c r="H1506" s="545"/>
      <c r="I1506" s="545"/>
      <c r="J1506" s="545"/>
      <c r="K1506" s="545"/>
      <c r="L1506" s="545"/>
      <c r="M1506" s="544"/>
      <c r="N1506" s="544"/>
      <c r="O1506" s="545"/>
      <c r="P1506" s="545"/>
      <c r="Q1506" s="544"/>
      <c r="R1506" s="544"/>
      <c r="S1506" s="546">
        <f t="shared" si="253"/>
        <v>0</v>
      </c>
      <c r="T1506" s="547">
        <f t="shared" si="254"/>
        <v>0</v>
      </c>
      <c r="U1506" s="546">
        <f t="shared" si="255"/>
        <v>0</v>
      </c>
      <c r="W1506" s="350">
        <f t="shared" si="258"/>
        <v>0</v>
      </c>
      <c r="X1506" s="285">
        <f t="shared" si="256"/>
        <v>0</v>
      </c>
    </row>
    <row r="1507" spans="1:24" ht="12" thickBot="1">
      <c r="A1507" s="541" t="s">
        <v>1503</v>
      </c>
      <c r="B1507" s="541" t="s">
        <v>360</v>
      </c>
      <c r="C1507" s="541" t="s">
        <v>1076</v>
      </c>
      <c r="D1507" s="552" t="s">
        <v>1140</v>
      </c>
      <c r="E1507" s="549"/>
      <c r="F1507" s="551"/>
      <c r="G1507" s="550"/>
      <c r="H1507" s="551"/>
      <c r="I1507" s="551"/>
      <c r="J1507" s="551"/>
      <c r="K1507" s="551"/>
      <c r="L1507" s="551"/>
      <c r="M1507" s="550"/>
      <c r="N1507" s="550"/>
      <c r="O1507" s="551"/>
      <c r="P1507" s="551"/>
      <c r="Q1507" s="550"/>
      <c r="R1507" s="550"/>
      <c r="S1507" s="546">
        <f t="shared" si="253"/>
        <v>0</v>
      </c>
      <c r="T1507" s="547">
        <f t="shared" si="254"/>
        <v>0</v>
      </c>
      <c r="U1507" s="546">
        <f t="shared" si="255"/>
        <v>0</v>
      </c>
      <c r="W1507" s="350">
        <f t="shared" si="258"/>
        <v>0</v>
      </c>
      <c r="X1507" s="285">
        <f t="shared" si="256"/>
        <v>0</v>
      </c>
    </row>
    <row r="1508" spans="1:24" ht="12" thickBot="1">
      <c r="A1508" s="541" t="s">
        <v>1503</v>
      </c>
      <c r="B1508" s="541" t="s">
        <v>368</v>
      </c>
      <c r="C1508" s="541" t="s">
        <v>1077</v>
      </c>
      <c r="D1508" s="552" t="s">
        <v>1139</v>
      </c>
      <c r="E1508" s="543"/>
      <c r="F1508" s="545"/>
      <c r="G1508" s="544"/>
      <c r="H1508" s="545"/>
      <c r="I1508" s="545"/>
      <c r="J1508" s="545"/>
      <c r="K1508" s="545"/>
      <c r="L1508" s="545"/>
      <c r="M1508" s="544"/>
      <c r="N1508" s="544"/>
      <c r="O1508" s="545"/>
      <c r="P1508" s="545"/>
      <c r="Q1508" s="544"/>
      <c r="R1508" s="544"/>
      <c r="S1508" s="546">
        <f t="shared" si="253"/>
        <v>0</v>
      </c>
      <c r="T1508" s="547">
        <f t="shared" si="254"/>
        <v>0</v>
      </c>
      <c r="U1508" s="546">
        <f t="shared" si="255"/>
        <v>0</v>
      </c>
      <c r="W1508" s="350">
        <f t="shared" si="258"/>
        <v>0</v>
      </c>
      <c r="X1508" s="285">
        <f t="shared" si="256"/>
        <v>0</v>
      </c>
    </row>
    <row r="1509" spans="1:24" ht="12" thickBot="1">
      <c r="A1509" s="541" t="s">
        <v>1503</v>
      </c>
      <c r="B1509" s="541" t="s">
        <v>370</v>
      </c>
      <c r="C1509" s="541" t="s">
        <v>1078</v>
      </c>
      <c r="D1509" s="552" t="s">
        <v>1140</v>
      </c>
      <c r="E1509" s="549"/>
      <c r="F1509" s="551"/>
      <c r="G1509" s="550"/>
      <c r="H1509" s="551"/>
      <c r="I1509" s="551"/>
      <c r="J1509" s="551"/>
      <c r="K1509" s="551"/>
      <c r="L1509" s="551"/>
      <c r="M1509" s="550"/>
      <c r="N1509" s="550"/>
      <c r="O1509" s="551"/>
      <c r="P1509" s="551"/>
      <c r="Q1509" s="550"/>
      <c r="R1509" s="550"/>
      <c r="S1509" s="546">
        <f t="shared" si="253"/>
        <v>0</v>
      </c>
      <c r="T1509" s="547">
        <f t="shared" si="254"/>
        <v>0</v>
      </c>
      <c r="U1509" s="546">
        <f t="shared" si="255"/>
        <v>0</v>
      </c>
      <c r="W1509" s="350">
        <f t="shared" si="258"/>
        <v>0</v>
      </c>
      <c r="X1509" s="285">
        <f t="shared" si="256"/>
        <v>0</v>
      </c>
    </row>
    <row r="1510" spans="1:24" ht="12" thickBot="1">
      <c r="A1510" s="541" t="s">
        <v>1503</v>
      </c>
      <c r="B1510" s="541" t="s">
        <v>393</v>
      </c>
      <c r="C1510" s="541" t="s">
        <v>1079</v>
      </c>
      <c r="D1510" s="552" t="s">
        <v>1140</v>
      </c>
      <c r="E1510" s="543"/>
      <c r="F1510" s="545"/>
      <c r="G1510" s="544"/>
      <c r="H1510" s="545"/>
      <c r="I1510" s="545"/>
      <c r="J1510" s="545"/>
      <c r="K1510" s="545"/>
      <c r="L1510" s="545"/>
      <c r="M1510" s="544"/>
      <c r="N1510" s="544"/>
      <c r="O1510" s="545"/>
      <c r="P1510" s="545"/>
      <c r="Q1510" s="544"/>
      <c r="R1510" s="544"/>
      <c r="S1510" s="546">
        <f t="shared" si="253"/>
        <v>0</v>
      </c>
      <c r="T1510" s="547">
        <f t="shared" si="254"/>
        <v>0</v>
      </c>
      <c r="U1510" s="546">
        <f t="shared" si="255"/>
        <v>0</v>
      </c>
      <c r="W1510" s="350">
        <f t="shared" si="258"/>
        <v>0</v>
      </c>
      <c r="X1510" s="285">
        <f t="shared" si="256"/>
        <v>0</v>
      </c>
    </row>
    <row r="1511" spans="1:24" ht="12" thickBot="1">
      <c r="A1511" s="541" t="s">
        <v>1503</v>
      </c>
      <c r="B1511" s="541" t="s">
        <v>371</v>
      </c>
      <c r="C1511" s="541" t="s">
        <v>1080</v>
      </c>
      <c r="D1511" s="552" t="s">
        <v>1139</v>
      </c>
      <c r="E1511" s="549"/>
      <c r="F1511" s="551"/>
      <c r="G1511" s="550"/>
      <c r="H1511" s="551"/>
      <c r="I1511" s="551"/>
      <c r="J1511" s="551"/>
      <c r="K1511" s="551"/>
      <c r="L1511" s="551"/>
      <c r="M1511" s="550"/>
      <c r="N1511" s="550"/>
      <c r="O1511" s="551"/>
      <c r="P1511" s="551"/>
      <c r="Q1511" s="550"/>
      <c r="R1511" s="550"/>
      <c r="S1511" s="546">
        <f t="shared" si="253"/>
        <v>0</v>
      </c>
      <c r="T1511" s="547">
        <f t="shared" si="254"/>
        <v>0</v>
      </c>
      <c r="U1511" s="546">
        <f t="shared" si="255"/>
        <v>0</v>
      </c>
      <c r="W1511" s="350">
        <f t="shared" si="258"/>
        <v>0</v>
      </c>
      <c r="X1511" s="285">
        <f t="shared" si="256"/>
        <v>0</v>
      </c>
    </row>
    <row r="1512" spans="1:24" ht="12" thickBot="1">
      <c r="A1512" s="541" t="s">
        <v>1503</v>
      </c>
      <c r="B1512" s="541" t="s">
        <v>394</v>
      </c>
      <c r="C1512" s="541" t="s">
        <v>1081</v>
      </c>
      <c r="D1512" s="552" t="s">
        <v>1139</v>
      </c>
      <c r="E1512" s="543"/>
      <c r="F1512" s="545"/>
      <c r="G1512" s="544"/>
      <c r="H1512" s="545"/>
      <c r="I1512" s="545"/>
      <c r="J1512" s="545"/>
      <c r="K1512" s="545"/>
      <c r="L1512" s="545"/>
      <c r="M1512" s="544"/>
      <c r="N1512" s="544"/>
      <c r="O1512" s="545"/>
      <c r="P1512" s="545"/>
      <c r="Q1512" s="544"/>
      <c r="R1512" s="544"/>
      <c r="S1512" s="546">
        <f t="shared" si="253"/>
        <v>0</v>
      </c>
      <c r="T1512" s="547">
        <f t="shared" si="254"/>
        <v>0</v>
      </c>
      <c r="U1512" s="546">
        <f t="shared" si="255"/>
        <v>0</v>
      </c>
      <c r="W1512" s="350">
        <f t="shared" si="258"/>
        <v>0</v>
      </c>
      <c r="X1512" s="285">
        <f t="shared" si="256"/>
        <v>0</v>
      </c>
    </row>
    <row r="1513" spans="1:24" ht="12" thickBot="1">
      <c r="A1513" s="541" t="s">
        <v>1503</v>
      </c>
      <c r="B1513" s="541" t="s">
        <v>389</v>
      </c>
      <c r="C1513" s="541" t="s">
        <v>1082</v>
      </c>
      <c r="D1513" s="552" t="s">
        <v>1139</v>
      </c>
      <c r="E1513" s="549"/>
      <c r="F1513" s="551"/>
      <c r="G1513" s="550"/>
      <c r="H1513" s="551"/>
      <c r="I1513" s="551"/>
      <c r="J1513" s="551"/>
      <c r="K1513" s="551"/>
      <c r="L1513" s="551"/>
      <c r="M1513" s="550"/>
      <c r="N1513" s="550"/>
      <c r="O1513" s="551"/>
      <c r="P1513" s="551"/>
      <c r="Q1513" s="550"/>
      <c r="R1513" s="550"/>
      <c r="S1513" s="546">
        <f t="shared" si="253"/>
        <v>0</v>
      </c>
      <c r="T1513" s="547">
        <f t="shared" si="254"/>
        <v>0</v>
      </c>
      <c r="U1513" s="546">
        <f t="shared" si="255"/>
        <v>0</v>
      </c>
      <c r="W1513" s="350">
        <f t="shared" si="258"/>
        <v>0</v>
      </c>
      <c r="X1513" s="285">
        <f t="shared" si="256"/>
        <v>0</v>
      </c>
    </row>
    <row r="1514" spans="1:24" ht="12" thickBot="1">
      <c r="A1514" s="541" t="s">
        <v>1503</v>
      </c>
      <c r="B1514" s="541" t="s">
        <v>310</v>
      </c>
      <c r="C1514" s="541" t="s">
        <v>1083</v>
      </c>
      <c r="D1514" s="552" t="s">
        <v>1140</v>
      </c>
      <c r="E1514" s="543"/>
      <c r="F1514" s="545"/>
      <c r="G1514" s="544"/>
      <c r="H1514" s="545"/>
      <c r="I1514" s="545"/>
      <c r="J1514" s="545"/>
      <c r="K1514" s="545"/>
      <c r="L1514" s="545"/>
      <c r="M1514" s="544"/>
      <c r="N1514" s="544"/>
      <c r="O1514" s="545"/>
      <c r="P1514" s="545"/>
      <c r="Q1514" s="544"/>
      <c r="R1514" s="544"/>
      <c r="S1514" s="546">
        <f t="shared" si="253"/>
        <v>0</v>
      </c>
      <c r="T1514" s="547">
        <f t="shared" si="254"/>
        <v>0</v>
      </c>
      <c r="U1514" s="546">
        <f t="shared" si="255"/>
        <v>0</v>
      </c>
      <c r="W1514" s="350">
        <f t="shared" si="258"/>
        <v>0</v>
      </c>
      <c r="X1514" s="285">
        <f t="shared" si="256"/>
        <v>0</v>
      </c>
    </row>
    <row r="1515" spans="1:24" ht="12" thickBot="1">
      <c r="A1515" s="541" t="s">
        <v>1503</v>
      </c>
      <c r="B1515" s="541" t="s">
        <v>340</v>
      </c>
      <c r="C1515" s="541" t="s">
        <v>1084</v>
      </c>
      <c r="D1515" s="552" t="s">
        <v>1140</v>
      </c>
      <c r="E1515" s="549"/>
      <c r="F1515" s="551"/>
      <c r="G1515" s="550"/>
      <c r="H1515" s="551"/>
      <c r="I1515" s="551"/>
      <c r="J1515" s="551"/>
      <c r="K1515" s="551"/>
      <c r="L1515" s="551"/>
      <c r="M1515" s="550"/>
      <c r="N1515" s="550"/>
      <c r="O1515" s="551"/>
      <c r="P1515" s="551"/>
      <c r="Q1515" s="550"/>
      <c r="R1515" s="550"/>
      <c r="S1515" s="546">
        <f t="shared" si="253"/>
        <v>0</v>
      </c>
      <c r="T1515" s="547">
        <f t="shared" si="254"/>
        <v>0</v>
      </c>
      <c r="U1515" s="546">
        <f t="shared" si="255"/>
        <v>0</v>
      </c>
      <c r="W1515" s="350">
        <f t="shared" si="258"/>
        <v>0</v>
      </c>
      <c r="X1515" s="285">
        <f t="shared" si="256"/>
        <v>0</v>
      </c>
    </row>
    <row r="1516" spans="1:24" ht="12" thickBot="1">
      <c r="A1516" s="541" t="s">
        <v>1503</v>
      </c>
      <c r="B1516" s="541" t="s">
        <v>358</v>
      </c>
      <c r="C1516" s="541" t="s">
        <v>1085</v>
      </c>
      <c r="D1516" s="552" t="s">
        <v>1140</v>
      </c>
      <c r="E1516" s="543"/>
      <c r="F1516" s="545"/>
      <c r="G1516" s="544"/>
      <c r="H1516" s="545"/>
      <c r="I1516" s="545"/>
      <c r="J1516" s="545"/>
      <c r="K1516" s="545"/>
      <c r="L1516" s="545"/>
      <c r="M1516" s="544"/>
      <c r="N1516" s="544"/>
      <c r="O1516" s="545"/>
      <c r="P1516" s="545"/>
      <c r="Q1516" s="544"/>
      <c r="R1516" s="544"/>
      <c r="S1516" s="546">
        <f t="shared" si="253"/>
        <v>0</v>
      </c>
      <c r="T1516" s="547">
        <f t="shared" si="254"/>
        <v>0</v>
      </c>
      <c r="U1516" s="546">
        <f t="shared" si="255"/>
        <v>0</v>
      </c>
      <c r="W1516" s="350">
        <f t="shared" si="258"/>
        <v>0</v>
      </c>
      <c r="X1516" s="285">
        <f t="shared" si="256"/>
        <v>0</v>
      </c>
    </row>
    <row r="1517" spans="1:24" ht="12" thickBot="1">
      <c r="A1517" s="541" t="s">
        <v>1503</v>
      </c>
      <c r="B1517" s="541" t="s">
        <v>383</v>
      </c>
      <c r="C1517" s="541" t="s">
        <v>1086</v>
      </c>
      <c r="D1517" s="552" t="s">
        <v>1140</v>
      </c>
      <c r="E1517" s="549"/>
      <c r="F1517" s="551"/>
      <c r="G1517" s="550"/>
      <c r="H1517" s="551"/>
      <c r="I1517" s="551"/>
      <c r="J1517" s="551"/>
      <c r="K1517" s="551"/>
      <c r="L1517" s="551"/>
      <c r="M1517" s="550"/>
      <c r="N1517" s="550"/>
      <c r="O1517" s="551"/>
      <c r="P1517" s="551"/>
      <c r="Q1517" s="550"/>
      <c r="R1517" s="550"/>
      <c r="S1517" s="546">
        <f t="shared" si="253"/>
        <v>0</v>
      </c>
      <c r="T1517" s="547">
        <f t="shared" si="254"/>
        <v>0</v>
      </c>
      <c r="U1517" s="546">
        <f t="shared" si="255"/>
        <v>0</v>
      </c>
      <c r="W1517" s="350">
        <f t="shared" si="258"/>
        <v>0</v>
      </c>
      <c r="X1517" s="285">
        <f t="shared" si="256"/>
        <v>0</v>
      </c>
    </row>
    <row r="1518" spans="1:24" ht="12" thickBot="1">
      <c r="A1518" s="541" t="s">
        <v>1503</v>
      </c>
      <c r="B1518" s="541" t="s">
        <v>375</v>
      </c>
      <c r="C1518" s="541" t="s">
        <v>1087</v>
      </c>
      <c r="D1518" s="552" t="s">
        <v>1140</v>
      </c>
      <c r="E1518" s="543"/>
      <c r="F1518" s="545"/>
      <c r="G1518" s="544"/>
      <c r="H1518" s="545"/>
      <c r="I1518" s="545"/>
      <c r="J1518" s="545"/>
      <c r="K1518" s="545"/>
      <c r="L1518" s="545"/>
      <c r="M1518" s="544"/>
      <c r="N1518" s="544"/>
      <c r="O1518" s="545"/>
      <c r="P1518" s="545"/>
      <c r="Q1518" s="544"/>
      <c r="R1518" s="544"/>
      <c r="S1518" s="546">
        <f t="shared" si="253"/>
        <v>0</v>
      </c>
      <c r="T1518" s="547">
        <f t="shared" si="254"/>
        <v>0</v>
      </c>
      <c r="U1518" s="546">
        <f t="shared" si="255"/>
        <v>0</v>
      </c>
      <c r="W1518" s="350">
        <f t="shared" si="258"/>
        <v>0</v>
      </c>
      <c r="X1518" s="285">
        <f t="shared" si="256"/>
        <v>0</v>
      </c>
    </row>
    <row r="1519" spans="1:24" ht="12" thickBot="1">
      <c r="A1519" s="541" t="s">
        <v>1503</v>
      </c>
      <c r="B1519" s="541" t="s">
        <v>400</v>
      </c>
      <c r="C1519" s="541" t="s">
        <v>1088</v>
      </c>
      <c r="D1519" s="552" t="s">
        <v>1139</v>
      </c>
      <c r="E1519" s="549"/>
      <c r="F1519" s="551"/>
      <c r="G1519" s="550"/>
      <c r="H1519" s="551"/>
      <c r="I1519" s="551"/>
      <c r="J1519" s="551"/>
      <c r="K1519" s="551"/>
      <c r="L1519" s="551"/>
      <c r="M1519" s="550"/>
      <c r="N1519" s="550"/>
      <c r="O1519" s="551"/>
      <c r="P1519" s="551"/>
      <c r="Q1519" s="550"/>
      <c r="R1519" s="550"/>
      <c r="S1519" s="546">
        <f t="shared" si="253"/>
        <v>0</v>
      </c>
      <c r="T1519" s="547">
        <f t="shared" si="254"/>
        <v>0</v>
      </c>
      <c r="U1519" s="546">
        <f t="shared" si="255"/>
        <v>0</v>
      </c>
      <c r="W1519" s="350">
        <f t="shared" si="258"/>
        <v>0</v>
      </c>
      <c r="X1519" s="285">
        <f t="shared" si="256"/>
        <v>0</v>
      </c>
    </row>
    <row r="1520" spans="1:24" ht="12" thickBot="1">
      <c r="A1520" s="541" t="s">
        <v>1503</v>
      </c>
      <c r="B1520" s="541" t="s">
        <v>391</v>
      </c>
      <c r="C1520" s="541" t="s">
        <v>1089</v>
      </c>
      <c r="D1520" s="552" t="s">
        <v>1139</v>
      </c>
      <c r="E1520" s="543"/>
      <c r="F1520" s="545"/>
      <c r="G1520" s="544"/>
      <c r="H1520" s="545"/>
      <c r="I1520" s="545"/>
      <c r="J1520" s="545"/>
      <c r="K1520" s="545"/>
      <c r="L1520" s="545"/>
      <c r="M1520" s="544"/>
      <c r="N1520" s="544"/>
      <c r="O1520" s="545"/>
      <c r="P1520" s="545"/>
      <c r="Q1520" s="544"/>
      <c r="R1520" s="544"/>
      <c r="S1520" s="546">
        <f t="shared" si="253"/>
        <v>0</v>
      </c>
      <c r="T1520" s="547">
        <f t="shared" si="254"/>
        <v>0</v>
      </c>
      <c r="U1520" s="546">
        <f t="shared" si="255"/>
        <v>0</v>
      </c>
      <c r="W1520" s="350">
        <f t="shared" si="258"/>
        <v>0</v>
      </c>
      <c r="X1520" s="285">
        <f t="shared" si="256"/>
        <v>0</v>
      </c>
    </row>
    <row r="1521" spans="1:24" ht="12" thickBot="1">
      <c r="A1521" s="541" t="s">
        <v>1503</v>
      </c>
      <c r="B1521" s="541" t="s">
        <v>357</v>
      </c>
      <c r="C1521" s="541" t="s">
        <v>1090</v>
      </c>
      <c r="D1521" s="552" t="s">
        <v>1140</v>
      </c>
      <c r="E1521" s="549"/>
      <c r="F1521" s="551"/>
      <c r="G1521" s="550"/>
      <c r="H1521" s="551"/>
      <c r="I1521" s="551"/>
      <c r="J1521" s="551"/>
      <c r="K1521" s="551"/>
      <c r="L1521" s="551"/>
      <c r="M1521" s="550"/>
      <c r="N1521" s="550"/>
      <c r="O1521" s="551"/>
      <c r="P1521" s="551"/>
      <c r="Q1521" s="550"/>
      <c r="R1521" s="550"/>
      <c r="S1521" s="546">
        <f t="shared" si="253"/>
        <v>0</v>
      </c>
      <c r="T1521" s="547">
        <f t="shared" si="254"/>
        <v>0</v>
      </c>
      <c r="U1521" s="546">
        <f t="shared" si="255"/>
        <v>0</v>
      </c>
      <c r="W1521" s="350">
        <f t="shared" si="258"/>
        <v>0</v>
      </c>
      <c r="X1521" s="285">
        <f t="shared" si="256"/>
        <v>0</v>
      </c>
    </row>
    <row r="1522" spans="1:24" ht="12" thickBot="1">
      <c r="A1522" s="541" t="s">
        <v>1503</v>
      </c>
      <c r="B1522" s="541" t="s">
        <v>359</v>
      </c>
      <c r="C1522" s="541" t="s">
        <v>1091</v>
      </c>
      <c r="D1522" s="552" t="s">
        <v>1140</v>
      </c>
      <c r="E1522" s="543"/>
      <c r="F1522" s="545"/>
      <c r="G1522" s="544"/>
      <c r="H1522" s="545"/>
      <c r="I1522" s="545"/>
      <c r="J1522" s="545"/>
      <c r="K1522" s="545"/>
      <c r="L1522" s="545"/>
      <c r="M1522" s="544"/>
      <c r="N1522" s="544"/>
      <c r="O1522" s="545"/>
      <c r="P1522" s="545"/>
      <c r="Q1522" s="544"/>
      <c r="R1522" s="544"/>
      <c r="S1522" s="546">
        <f t="shared" si="253"/>
        <v>0</v>
      </c>
      <c r="T1522" s="547">
        <f t="shared" si="254"/>
        <v>0</v>
      </c>
      <c r="U1522" s="546">
        <f t="shared" si="255"/>
        <v>0</v>
      </c>
      <c r="W1522" s="350">
        <f t="shared" si="258"/>
        <v>0</v>
      </c>
      <c r="X1522" s="285">
        <f t="shared" si="256"/>
        <v>0</v>
      </c>
    </row>
    <row r="1523" spans="1:24" ht="12" thickBot="1">
      <c r="A1523" s="541" t="s">
        <v>1503</v>
      </c>
      <c r="B1523" s="541" t="s">
        <v>385</v>
      </c>
      <c r="C1523" s="541" t="s">
        <v>1092</v>
      </c>
      <c r="D1523" s="552" t="s">
        <v>1140</v>
      </c>
      <c r="E1523" s="549"/>
      <c r="F1523" s="551"/>
      <c r="G1523" s="550"/>
      <c r="H1523" s="551"/>
      <c r="I1523" s="551"/>
      <c r="J1523" s="551"/>
      <c r="K1523" s="551"/>
      <c r="L1523" s="551"/>
      <c r="M1523" s="550"/>
      <c r="N1523" s="550"/>
      <c r="O1523" s="551"/>
      <c r="P1523" s="551"/>
      <c r="Q1523" s="550"/>
      <c r="R1523" s="550"/>
      <c r="S1523" s="546">
        <f t="shared" si="253"/>
        <v>0</v>
      </c>
      <c r="T1523" s="547">
        <f t="shared" si="254"/>
        <v>0</v>
      </c>
      <c r="U1523" s="546">
        <f t="shared" si="255"/>
        <v>0</v>
      </c>
      <c r="W1523" s="350">
        <f t="shared" si="258"/>
        <v>0</v>
      </c>
      <c r="X1523" s="285">
        <f t="shared" si="256"/>
        <v>0</v>
      </c>
    </row>
    <row r="1524" spans="1:24" ht="12" thickBot="1">
      <c r="A1524" s="541" t="s">
        <v>1503</v>
      </c>
      <c r="B1524" s="541" t="s">
        <v>312</v>
      </c>
      <c r="C1524" s="541" t="s">
        <v>1093</v>
      </c>
      <c r="D1524" s="552" t="s">
        <v>1140</v>
      </c>
      <c r="E1524" s="543"/>
      <c r="F1524" s="545"/>
      <c r="G1524" s="544"/>
      <c r="H1524" s="545"/>
      <c r="I1524" s="545"/>
      <c r="J1524" s="545"/>
      <c r="K1524" s="545"/>
      <c r="L1524" s="545"/>
      <c r="M1524" s="544"/>
      <c r="N1524" s="544"/>
      <c r="O1524" s="545"/>
      <c r="P1524" s="545"/>
      <c r="Q1524" s="544"/>
      <c r="R1524" s="544"/>
      <c r="S1524" s="546">
        <f t="shared" si="253"/>
        <v>0</v>
      </c>
      <c r="T1524" s="547">
        <f t="shared" si="254"/>
        <v>0</v>
      </c>
      <c r="U1524" s="546">
        <f t="shared" si="255"/>
        <v>0</v>
      </c>
      <c r="W1524" s="350">
        <f t="shared" si="258"/>
        <v>0</v>
      </c>
      <c r="X1524" s="285">
        <f t="shared" si="256"/>
        <v>0</v>
      </c>
    </row>
    <row r="1525" spans="1:24" ht="12" thickBot="1">
      <c r="A1525" s="541" t="s">
        <v>1503</v>
      </c>
      <c r="B1525" s="541" t="s">
        <v>421</v>
      </c>
      <c r="C1525" s="541" t="s">
        <v>1094</v>
      </c>
      <c r="D1525" s="552" t="s">
        <v>1140</v>
      </c>
      <c r="E1525" s="549"/>
      <c r="F1525" s="551"/>
      <c r="G1525" s="550"/>
      <c r="H1525" s="551"/>
      <c r="I1525" s="551"/>
      <c r="J1525" s="551"/>
      <c r="K1525" s="551"/>
      <c r="L1525" s="551"/>
      <c r="M1525" s="550"/>
      <c r="N1525" s="550"/>
      <c r="O1525" s="551"/>
      <c r="P1525" s="551"/>
      <c r="Q1525" s="550"/>
      <c r="R1525" s="550"/>
      <c r="S1525" s="546">
        <f t="shared" si="253"/>
        <v>0</v>
      </c>
      <c r="T1525" s="547">
        <f t="shared" si="254"/>
        <v>0</v>
      </c>
      <c r="U1525" s="546">
        <f t="shared" si="255"/>
        <v>0</v>
      </c>
      <c r="W1525" s="350">
        <f t="shared" si="258"/>
        <v>0</v>
      </c>
      <c r="X1525" s="285">
        <f t="shared" si="256"/>
        <v>0</v>
      </c>
    </row>
    <row r="1526" spans="1:24" ht="12" thickBot="1">
      <c r="A1526" s="541" t="s">
        <v>1503</v>
      </c>
      <c r="B1526" s="541" t="s">
        <v>322</v>
      </c>
      <c r="C1526" s="541" t="s">
        <v>1095</v>
      </c>
      <c r="D1526" s="552" t="s">
        <v>1139</v>
      </c>
      <c r="E1526" s="543"/>
      <c r="F1526" s="545"/>
      <c r="G1526" s="544"/>
      <c r="H1526" s="545"/>
      <c r="I1526" s="545"/>
      <c r="J1526" s="545"/>
      <c r="K1526" s="545"/>
      <c r="L1526" s="545"/>
      <c r="M1526" s="544"/>
      <c r="N1526" s="544"/>
      <c r="O1526" s="545"/>
      <c r="P1526" s="545"/>
      <c r="Q1526" s="544"/>
      <c r="R1526" s="544"/>
      <c r="S1526" s="546">
        <f t="shared" ref="S1526:S1589" si="260">G1526+H1526+I1526</f>
        <v>0</v>
      </c>
      <c r="T1526" s="547">
        <f t="shared" ref="T1526:T1589" si="261">J1526+K1526</f>
        <v>0</v>
      </c>
      <c r="U1526" s="546">
        <f t="shared" ref="U1526:U1589" si="262">N1526+O1526</f>
        <v>0</v>
      </c>
      <c r="W1526" s="350">
        <f t="shared" si="258"/>
        <v>0</v>
      </c>
      <c r="X1526" s="285">
        <f t="shared" ref="X1526:X1589" si="263">W1526-R1526</f>
        <v>0</v>
      </c>
    </row>
    <row r="1527" spans="1:24" ht="12" thickBot="1">
      <c r="A1527" s="541" t="s">
        <v>1503</v>
      </c>
      <c r="B1527" s="541" t="s">
        <v>354</v>
      </c>
      <c r="C1527" s="541" t="s">
        <v>1096</v>
      </c>
      <c r="D1527" s="552" t="s">
        <v>1139</v>
      </c>
      <c r="E1527" s="549"/>
      <c r="F1527" s="551"/>
      <c r="G1527" s="550"/>
      <c r="H1527" s="551"/>
      <c r="I1527" s="551"/>
      <c r="J1527" s="551"/>
      <c r="K1527" s="551"/>
      <c r="L1527" s="551"/>
      <c r="M1527" s="550"/>
      <c r="N1527" s="550"/>
      <c r="O1527" s="551"/>
      <c r="P1527" s="551"/>
      <c r="Q1527" s="550"/>
      <c r="R1527" s="550"/>
      <c r="S1527" s="546">
        <f t="shared" si="260"/>
        <v>0</v>
      </c>
      <c r="T1527" s="547">
        <f t="shared" si="261"/>
        <v>0</v>
      </c>
      <c r="U1527" s="546">
        <f t="shared" si="262"/>
        <v>0</v>
      </c>
      <c r="W1527" s="350">
        <f t="shared" si="258"/>
        <v>0</v>
      </c>
      <c r="X1527" s="285">
        <f t="shared" si="263"/>
        <v>0</v>
      </c>
    </row>
    <row r="1528" spans="1:24" ht="12" thickBot="1">
      <c r="A1528" s="541" t="s">
        <v>1503</v>
      </c>
      <c r="B1528" s="541" t="s">
        <v>317</v>
      </c>
      <c r="C1528" s="541" t="s">
        <v>1097</v>
      </c>
      <c r="D1528" s="552" t="s">
        <v>1139</v>
      </c>
      <c r="E1528" s="543"/>
      <c r="F1528" s="545"/>
      <c r="G1528" s="544"/>
      <c r="H1528" s="545"/>
      <c r="I1528" s="545"/>
      <c r="J1528" s="545"/>
      <c r="K1528" s="545"/>
      <c r="L1528" s="545"/>
      <c r="M1528" s="544"/>
      <c r="N1528" s="544"/>
      <c r="O1528" s="545"/>
      <c r="P1528" s="545"/>
      <c r="Q1528" s="544"/>
      <c r="R1528" s="544"/>
      <c r="S1528" s="546">
        <f t="shared" si="260"/>
        <v>0</v>
      </c>
      <c r="T1528" s="547">
        <f t="shared" si="261"/>
        <v>0</v>
      </c>
      <c r="U1528" s="546">
        <f t="shared" si="262"/>
        <v>0</v>
      </c>
      <c r="W1528" s="350">
        <f t="shared" si="258"/>
        <v>0</v>
      </c>
      <c r="X1528" s="285">
        <f t="shared" si="263"/>
        <v>0</v>
      </c>
    </row>
    <row r="1529" spans="1:24" ht="12" thickBot="1">
      <c r="A1529" s="541" t="s">
        <v>1503</v>
      </c>
      <c r="B1529" s="541" t="s">
        <v>320</v>
      </c>
      <c r="C1529" s="541" t="s">
        <v>1098</v>
      </c>
      <c r="D1529" s="552" t="s">
        <v>1140</v>
      </c>
      <c r="E1529" s="549"/>
      <c r="F1529" s="551"/>
      <c r="G1529" s="550"/>
      <c r="H1529" s="551"/>
      <c r="I1529" s="551"/>
      <c r="J1529" s="551"/>
      <c r="K1529" s="551"/>
      <c r="L1529" s="551"/>
      <c r="M1529" s="550"/>
      <c r="N1529" s="550"/>
      <c r="O1529" s="551"/>
      <c r="P1529" s="551"/>
      <c r="Q1529" s="550"/>
      <c r="R1529" s="550"/>
      <c r="S1529" s="546">
        <f t="shared" si="260"/>
        <v>0</v>
      </c>
      <c r="T1529" s="547">
        <f t="shared" si="261"/>
        <v>0</v>
      </c>
      <c r="U1529" s="546">
        <f t="shared" si="262"/>
        <v>0</v>
      </c>
      <c r="W1529" s="350">
        <f t="shared" si="258"/>
        <v>0</v>
      </c>
      <c r="X1529" s="285">
        <f t="shared" si="263"/>
        <v>0</v>
      </c>
    </row>
    <row r="1530" spans="1:24" ht="12" thickBot="1">
      <c r="A1530" s="541" t="s">
        <v>1503</v>
      </c>
      <c r="B1530" s="541" t="s">
        <v>352</v>
      </c>
      <c r="C1530" s="541" t="s">
        <v>1099</v>
      </c>
      <c r="D1530" s="552" t="s">
        <v>1140</v>
      </c>
      <c r="E1530" s="543"/>
      <c r="F1530" s="545"/>
      <c r="G1530" s="544"/>
      <c r="H1530" s="545"/>
      <c r="I1530" s="545"/>
      <c r="J1530" s="545"/>
      <c r="K1530" s="545"/>
      <c r="L1530" s="545"/>
      <c r="M1530" s="544"/>
      <c r="N1530" s="544"/>
      <c r="O1530" s="545"/>
      <c r="P1530" s="545"/>
      <c r="Q1530" s="544"/>
      <c r="R1530" s="544"/>
      <c r="S1530" s="546">
        <f t="shared" si="260"/>
        <v>0</v>
      </c>
      <c r="T1530" s="547">
        <f t="shared" si="261"/>
        <v>0</v>
      </c>
      <c r="U1530" s="546">
        <f t="shared" si="262"/>
        <v>0</v>
      </c>
      <c r="W1530" s="350">
        <f t="shared" si="258"/>
        <v>0</v>
      </c>
      <c r="X1530" s="285">
        <f t="shared" si="263"/>
        <v>0</v>
      </c>
    </row>
    <row r="1531" spans="1:24" ht="12" thickBot="1">
      <c r="A1531" s="541" t="s">
        <v>1503</v>
      </c>
      <c r="B1531" s="541" t="s">
        <v>384</v>
      </c>
      <c r="C1531" s="541" t="s">
        <v>1100</v>
      </c>
      <c r="D1531" s="552" t="s">
        <v>1140</v>
      </c>
      <c r="E1531" s="549"/>
      <c r="F1531" s="551"/>
      <c r="G1531" s="550"/>
      <c r="H1531" s="551"/>
      <c r="I1531" s="551"/>
      <c r="J1531" s="551"/>
      <c r="K1531" s="551"/>
      <c r="L1531" s="551"/>
      <c r="M1531" s="550"/>
      <c r="N1531" s="550"/>
      <c r="O1531" s="551"/>
      <c r="P1531" s="551"/>
      <c r="Q1531" s="550"/>
      <c r="R1531" s="550"/>
      <c r="S1531" s="546">
        <f t="shared" si="260"/>
        <v>0</v>
      </c>
      <c r="T1531" s="547">
        <f t="shared" si="261"/>
        <v>0</v>
      </c>
      <c r="U1531" s="546">
        <f t="shared" si="262"/>
        <v>0</v>
      </c>
      <c r="W1531" s="350">
        <f t="shared" si="258"/>
        <v>0</v>
      </c>
      <c r="X1531" s="285">
        <f t="shared" si="263"/>
        <v>0</v>
      </c>
    </row>
    <row r="1532" spans="1:24" ht="12" thickBot="1">
      <c r="A1532" s="541" t="s">
        <v>1503</v>
      </c>
      <c r="B1532" s="541" t="s">
        <v>311</v>
      </c>
      <c r="C1532" s="541" t="s">
        <v>1101</v>
      </c>
      <c r="D1532" s="552" t="s">
        <v>1140</v>
      </c>
      <c r="E1532" s="543"/>
      <c r="F1532" s="545"/>
      <c r="G1532" s="544"/>
      <c r="H1532" s="545"/>
      <c r="I1532" s="545"/>
      <c r="J1532" s="545"/>
      <c r="K1532" s="545"/>
      <c r="L1532" s="545"/>
      <c r="M1532" s="544"/>
      <c r="N1532" s="544"/>
      <c r="O1532" s="545"/>
      <c r="P1532" s="545"/>
      <c r="Q1532" s="544"/>
      <c r="R1532" s="544"/>
      <c r="S1532" s="546">
        <f t="shared" si="260"/>
        <v>0</v>
      </c>
      <c r="T1532" s="547">
        <f t="shared" si="261"/>
        <v>0</v>
      </c>
      <c r="U1532" s="546">
        <f t="shared" si="262"/>
        <v>0</v>
      </c>
      <c r="W1532" s="350">
        <f t="shared" si="258"/>
        <v>0</v>
      </c>
      <c r="X1532" s="285">
        <f t="shared" si="263"/>
        <v>0</v>
      </c>
    </row>
    <row r="1533" spans="1:24" ht="12" thickBot="1">
      <c r="A1533" s="541" t="s">
        <v>1503</v>
      </c>
      <c r="B1533" s="541" t="s">
        <v>341</v>
      </c>
      <c r="C1533" s="541" t="s">
        <v>1102</v>
      </c>
      <c r="D1533" s="552" t="s">
        <v>1140</v>
      </c>
      <c r="E1533" s="549"/>
      <c r="F1533" s="551"/>
      <c r="G1533" s="550"/>
      <c r="H1533" s="551"/>
      <c r="I1533" s="551"/>
      <c r="J1533" s="551"/>
      <c r="K1533" s="551"/>
      <c r="L1533" s="551"/>
      <c r="M1533" s="550"/>
      <c r="N1533" s="550"/>
      <c r="O1533" s="551"/>
      <c r="P1533" s="551"/>
      <c r="Q1533" s="550"/>
      <c r="R1533" s="550"/>
      <c r="S1533" s="546">
        <f t="shared" si="260"/>
        <v>0</v>
      </c>
      <c r="T1533" s="547">
        <f t="shared" si="261"/>
        <v>0</v>
      </c>
      <c r="U1533" s="546">
        <f t="shared" si="262"/>
        <v>0</v>
      </c>
      <c r="W1533" s="350">
        <f t="shared" si="258"/>
        <v>0</v>
      </c>
      <c r="X1533" s="285">
        <f t="shared" si="263"/>
        <v>0</v>
      </c>
    </row>
    <row r="1534" spans="1:24" ht="12" thickBot="1">
      <c r="A1534" s="541" t="s">
        <v>1503</v>
      </c>
      <c r="B1534" s="541" t="s">
        <v>315</v>
      </c>
      <c r="C1534" s="541" t="s">
        <v>1103</v>
      </c>
      <c r="D1534" s="552" t="s">
        <v>1140</v>
      </c>
      <c r="E1534" s="543"/>
      <c r="F1534" s="545"/>
      <c r="G1534" s="544"/>
      <c r="H1534" s="545"/>
      <c r="I1534" s="545"/>
      <c r="J1534" s="545"/>
      <c r="K1534" s="545"/>
      <c r="L1534" s="545"/>
      <c r="M1534" s="544"/>
      <c r="N1534" s="544"/>
      <c r="O1534" s="545"/>
      <c r="P1534" s="545"/>
      <c r="Q1534" s="544"/>
      <c r="R1534" s="544"/>
      <c r="S1534" s="546">
        <f t="shared" si="260"/>
        <v>0</v>
      </c>
      <c r="T1534" s="547">
        <f t="shared" si="261"/>
        <v>0</v>
      </c>
      <c r="U1534" s="546">
        <f t="shared" si="262"/>
        <v>0</v>
      </c>
      <c r="W1534" s="350">
        <f t="shared" si="258"/>
        <v>0</v>
      </c>
      <c r="X1534" s="285">
        <f t="shared" si="263"/>
        <v>0</v>
      </c>
    </row>
    <row r="1535" spans="1:24" ht="12" thickBot="1">
      <c r="A1535" s="541" t="s">
        <v>1503</v>
      </c>
      <c r="B1535" s="541" t="s">
        <v>319</v>
      </c>
      <c r="C1535" s="541" t="s">
        <v>1104</v>
      </c>
      <c r="D1535" s="552" t="s">
        <v>1140</v>
      </c>
      <c r="E1535" s="549"/>
      <c r="F1535" s="551"/>
      <c r="G1535" s="550"/>
      <c r="H1535" s="551"/>
      <c r="I1535" s="551"/>
      <c r="J1535" s="551"/>
      <c r="K1535" s="551"/>
      <c r="L1535" s="551"/>
      <c r="M1535" s="550"/>
      <c r="N1535" s="550"/>
      <c r="O1535" s="551"/>
      <c r="P1535" s="551"/>
      <c r="Q1535" s="550"/>
      <c r="R1535" s="550"/>
      <c r="S1535" s="546">
        <f t="shared" si="260"/>
        <v>0</v>
      </c>
      <c r="T1535" s="547">
        <f t="shared" si="261"/>
        <v>0</v>
      </c>
      <c r="U1535" s="546">
        <f t="shared" si="262"/>
        <v>0</v>
      </c>
      <c r="W1535" s="350">
        <f t="shared" si="258"/>
        <v>0</v>
      </c>
      <c r="X1535" s="285">
        <f t="shared" si="263"/>
        <v>0</v>
      </c>
    </row>
    <row r="1536" spans="1:24" ht="12" thickBot="1">
      <c r="A1536" s="541" t="s">
        <v>1503</v>
      </c>
      <c r="B1536" s="541" t="s">
        <v>356</v>
      </c>
      <c r="C1536" s="541" t="s">
        <v>1105</v>
      </c>
      <c r="D1536" s="552" t="s">
        <v>1140</v>
      </c>
      <c r="E1536" s="543"/>
      <c r="F1536" s="545"/>
      <c r="G1536" s="544"/>
      <c r="H1536" s="545"/>
      <c r="I1536" s="545"/>
      <c r="J1536" s="545"/>
      <c r="K1536" s="545"/>
      <c r="L1536" s="545"/>
      <c r="M1536" s="544"/>
      <c r="N1536" s="544"/>
      <c r="O1536" s="545"/>
      <c r="P1536" s="545"/>
      <c r="Q1536" s="544"/>
      <c r="R1536" s="544"/>
      <c r="S1536" s="546">
        <f t="shared" si="260"/>
        <v>0</v>
      </c>
      <c r="T1536" s="547">
        <f t="shared" si="261"/>
        <v>0</v>
      </c>
      <c r="U1536" s="546">
        <f t="shared" si="262"/>
        <v>0</v>
      </c>
      <c r="W1536" s="350">
        <f t="shared" si="258"/>
        <v>0</v>
      </c>
      <c r="X1536" s="285">
        <f t="shared" si="263"/>
        <v>0</v>
      </c>
    </row>
    <row r="1537" spans="1:24" ht="12" thickBot="1">
      <c r="A1537" s="541" t="s">
        <v>1503</v>
      </c>
      <c r="B1537" s="541" t="s">
        <v>365</v>
      </c>
      <c r="C1537" s="541" t="s">
        <v>1106</v>
      </c>
      <c r="D1537" s="552" t="s">
        <v>1139</v>
      </c>
      <c r="E1537" s="549"/>
      <c r="F1537" s="551"/>
      <c r="G1537" s="550"/>
      <c r="H1537" s="551"/>
      <c r="I1537" s="551"/>
      <c r="J1537" s="551"/>
      <c r="K1537" s="551"/>
      <c r="L1537" s="551"/>
      <c r="M1537" s="550"/>
      <c r="N1537" s="550"/>
      <c r="O1537" s="551"/>
      <c r="P1537" s="551"/>
      <c r="Q1537" s="550"/>
      <c r="R1537" s="550"/>
      <c r="S1537" s="546">
        <f t="shared" si="260"/>
        <v>0</v>
      </c>
      <c r="T1537" s="547">
        <f t="shared" si="261"/>
        <v>0</v>
      </c>
      <c r="U1537" s="546">
        <f t="shared" si="262"/>
        <v>0</v>
      </c>
      <c r="W1537" s="350">
        <f t="shared" si="258"/>
        <v>0</v>
      </c>
      <c r="X1537" s="285">
        <f t="shared" si="263"/>
        <v>0</v>
      </c>
    </row>
    <row r="1538" spans="1:24" ht="12" thickBot="1">
      <c r="A1538" s="541" t="s">
        <v>1503</v>
      </c>
      <c r="B1538" s="541" t="s">
        <v>388</v>
      </c>
      <c r="C1538" s="541" t="s">
        <v>1107</v>
      </c>
      <c r="D1538" s="552" t="s">
        <v>1139</v>
      </c>
      <c r="E1538" s="543"/>
      <c r="F1538" s="545"/>
      <c r="G1538" s="544"/>
      <c r="H1538" s="545"/>
      <c r="I1538" s="545"/>
      <c r="J1538" s="545"/>
      <c r="K1538" s="545"/>
      <c r="L1538" s="545"/>
      <c r="M1538" s="544"/>
      <c r="N1538" s="544"/>
      <c r="O1538" s="545"/>
      <c r="P1538" s="545"/>
      <c r="Q1538" s="544"/>
      <c r="R1538" s="544"/>
      <c r="S1538" s="546">
        <f t="shared" si="260"/>
        <v>0</v>
      </c>
      <c r="T1538" s="547">
        <f t="shared" si="261"/>
        <v>0</v>
      </c>
      <c r="U1538" s="546">
        <f t="shared" si="262"/>
        <v>0</v>
      </c>
      <c r="W1538" s="350">
        <f t="shared" si="258"/>
        <v>0</v>
      </c>
      <c r="X1538" s="285">
        <f t="shared" si="263"/>
        <v>0</v>
      </c>
    </row>
    <row r="1539" spans="1:24" ht="12" thickBot="1">
      <c r="A1539" s="541" t="s">
        <v>1503</v>
      </c>
      <c r="B1539" s="541" t="s">
        <v>345</v>
      </c>
      <c r="C1539" s="541" t="s">
        <v>1108</v>
      </c>
      <c r="D1539" s="552" t="s">
        <v>1139</v>
      </c>
      <c r="E1539" s="549"/>
      <c r="F1539" s="551"/>
      <c r="G1539" s="550"/>
      <c r="H1539" s="551"/>
      <c r="I1539" s="551"/>
      <c r="J1539" s="551"/>
      <c r="K1539" s="551"/>
      <c r="L1539" s="551"/>
      <c r="M1539" s="550"/>
      <c r="N1539" s="550"/>
      <c r="O1539" s="551"/>
      <c r="P1539" s="551"/>
      <c r="Q1539" s="550"/>
      <c r="R1539" s="550"/>
      <c r="S1539" s="546">
        <f t="shared" si="260"/>
        <v>0</v>
      </c>
      <c r="T1539" s="547">
        <f t="shared" si="261"/>
        <v>0</v>
      </c>
      <c r="U1539" s="546">
        <f t="shared" si="262"/>
        <v>0</v>
      </c>
      <c r="W1539" s="350">
        <f t="shared" si="258"/>
        <v>0</v>
      </c>
      <c r="X1539" s="285">
        <f t="shared" si="263"/>
        <v>0</v>
      </c>
    </row>
    <row r="1540" spans="1:24" ht="12" thickBot="1">
      <c r="A1540" s="541" t="s">
        <v>1503</v>
      </c>
      <c r="B1540" s="541" t="s">
        <v>377</v>
      </c>
      <c r="C1540" s="541" t="s">
        <v>1109</v>
      </c>
      <c r="D1540" s="552" t="s">
        <v>1139</v>
      </c>
      <c r="E1540" s="543"/>
      <c r="F1540" s="545"/>
      <c r="G1540" s="544"/>
      <c r="H1540" s="545"/>
      <c r="I1540" s="545"/>
      <c r="J1540" s="545"/>
      <c r="K1540" s="545"/>
      <c r="L1540" s="545"/>
      <c r="M1540" s="544"/>
      <c r="N1540" s="544"/>
      <c r="O1540" s="545"/>
      <c r="P1540" s="545"/>
      <c r="Q1540" s="544"/>
      <c r="R1540" s="544"/>
      <c r="S1540" s="546">
        <f t="shared" si="260"/>
        <v>0</v>
      </c>
      <c r="T1540" s="547">
        <f t="shared" si="261"/>
        <v>0</v>
      </c>
      <c r="U1540" s="546">
        <f t="shared" si="262"/>
        <v>0</v>
      </c>
      <c r="W1540" s="350">
        <f t="shared" si="258"/>
        <v>0</v>
      </c>
      <c r="X1540" s="285">
        <f t="shared" si="263"/>
        <v>0</v>
      </c>
    </row>
    <row r="1541" spans="1:24" ht="12" thickBot="1">
      <c r="A1541" s="541" t="s">
        <v>1503</v>
      </c>
      <c r="B1541" s="541" t="s">
        <v>1395</v>
      </c>
      <c r="C1541" s="541" t="s">
        <v>1396</v>
      </c>
      <c r="D1541" s="552" t="s">
        <v>1139</v>
      </c>
      <c r="E1541" s="549"/>
      <c r="F1541" s="551"/>
      <c r="G1541" s="551"/>
      <c r="H1541" s="551"/>
      <c r="I1541" s="551"/>
      <c r="J1541" s="551"/>
      <c r="K1541" s="551"/>
      <c r="L1541" s="551"/>
      <c r="M1541" s="551"/>
      <c r="N1541" s="551"/>
      <c r="O1541" s="551"/>
      <c r="P1541" s="551"/>
      <c r="Q1541" s="551"/>
      <c r="R1541" s="551"/>
      <c r="S1541" s="546">
        <f t="shared" si="260"/>
        <v>0</v>
      </c>
      <c r="T1541" s="547">
        <f t="shared" si="261"/>
        <v>0</v>
      </c>
      <c r="U1541" s="546">
        <f t="shared" si="262"/>
        <v>0</v>
      </c>
      <c r="W1541" s="350">
        <f t="shared" si="258"/>
        <v>0</v>
      </c>
      <c r="X1541" s="285">
        <f t="shared" si="263"/>
        <v>0</v>
      </c>
    </row>
    <row r="1542" spans="1:24" ht="12" thickBot="1">
      <c r="A1542" s="541" t="s">
        <v>1503</v>
      </c>
      <c r="B1542" s="541" t="s">
        <v>363</v>
      </c>
      <c r="C1542" s="541" t="s">
        <v>1110</v>
      </c>
      <c r="D1542" s="552" t="s">
        <v>1140</v>
      </c>
      <c r="E1542" s="543"/>
      <c r="F1542" s="545"/>
      <c r="G1542" s="544"/>
      <c r="H1542" s="545"/>
      <c r="I1542" s="545"/>
      <c r="J1542" s="545"/>
      <c r="K1542" s="545"/>
      <c r="L1542" s="545"/>
      <c r="M1542" s="544"/>
      <c r="N1542" s="544"/>
      <c r="O1542" s="545"/>
      <c r="P1542" s="545"/>
      <c r="Q1542" s="544"/>
      <c r="R1542" s="544"/>
      <c r="S1542" s="546">
        <f t="shared" si="260"/>
        <v>0</v>
      </c>
      <c r="T1542" s="547">
        <f t="shared" si="261"/>
        <v>0</v>
      </c>
      <c r="U1542" s="546">
        <f t="shared" si="262"/>
        <v>0</v>
      </c>
      <c r="W1542" s="350">
        <f t="shared" ref="W1542:W1605" si="264">SUM(F1542:Q1542)</f>
        <v>0</v>
      </c>
      <c r="X1542" s="285">
        <f t="shared" si="263"/>
        <v>0</v>
      </c>
    </row>
    <row r="1543" spans="1:24" ht="12" thickBot="1">
      <c r="A1543" s="541" t="s">
        <v>1503</v>
      </c>
      <c r="B1543" s="541" t="s">
        <v>373</v>
      </c>
      <c r="C1543" s="541" t="s">
        <v>1111</v>
      </c>
      <c r="D1543" s="552" t="s">
        <v>1139</v>
      </c>
      <c r="E1543" s="549"/>
      <c r="F1543" s="551"/>
      <c r="G1543" s="550"/>
      <c r="H1543" s="551"/>
      <c r="I1543" s="551"/>
      <c r="J1543" s="551"/>
      <c r="K1543" s="551"/>
      <c r="L1543" s="551"/>
      <c r="M1543" s="550"/>
      <c r="N1543" s="550"/>
      <c r="O1543" s="551"/>
      <c r="P1543" s="551"/>
      <c r="Q1543" s="550"/>
      <c r="R1543" s="550"/>
      <c r="S1543" s="546">
        <f t="shared" si="260"/>
        <v>0</v>
      </c>
      <c r="T1543" s="547">
        <f t="shared" si="261"/>
        <v>0</v>
      </c>
      <c r="U1543" s="546">
        <f t="shared" si="262"/>
        <v>0</v>
      </c>
      <c r="W1543" s="350">
        <f t="shared" si="264"/>
        <v>0</v>
      </c>
      <c r="X1543" s="285">
        <f t="shared" si="263"/>
        <v>0</v>
      </c>
    </row>
    <row r="1544" spans="1:24" ht="12" thickBot="1">
      <c r="A1544" s="541" t="s">
        <v>1503</v>
      </c>
      <c r="B1544" s="541" t="s">
        <v>396</v>
      </c>
      <c r="C1544" s="541" t="s">
        <v>1112</v>
      </c>
      <c r="D1544" s="552" t="s">
        <v>1139</v>
      </c>
      <c r="E1544" s="543"/>
      <c r="F1544" s="545"/>
      <c r="G1544" s="544"/>
      <c r="H1544" s="545"/>
      <c r="I1544" s="545"/>
      <c r="J1544" s="545"/>
      <c r="K1544" s="545"/>
      <c r="L1544" s="545"/>
      <c r="M1544" s="544"/>
      <c r="N1544" s="544"/>
      <c r="O1544" s="545"/>
      <c r="P1544" s="545"/>
      <c r="Q1544" s="544"/>
      <c r="R1544" s="544"/>
      <c r="S1544" s="546">
        <f t="shared" si="260"/>
        <v>0</v>
      </c>
      <c r="T1544" s="547">
        <f t="shared" si="261"/>
        <v>0</v>
      </c>
      <c r="U1544" s="546">
        <f t="shared" si="262"/>
        <v>0</v>
      </c>
      <c r="W1544" s="350">
        <f t="shared" si="264"/>
        <v>0</v>
      </c>
      <c r="X1544" s="285">
        <f t="shared" si="263"/>
        <v>0</v>
      </c>
    </row>
    <row r="1545" spans="1:24" ht="12" thickBot="1">
      <c r="A1545" s="541" t="s">
        <v>1503</v>
      </c>
      <c r="B1545" s="541" t="s">
        <v>351</v>
      </c>
      <c r="C1545" s="541" t="s">
        <v>1113</v>
      </c>
      <c r="D1545" s="552" t="s">
        <v>1140</v>
      </c>
      <c r="E1545" s="549"/>
      <c r="F1545" s="551"/>
      <c r="G1545" s="550"/>
      <c r="H1545" s="551"/>
      <c r="I1545" s="551"/>
      <c r="J1545" s="551"/>
      <c r="K1545" s="551"/>
      <c r="L1545" s="551"/>
      <c r="M1545" s="550"/>
      <c r="N1545" s="550"/>
      <c r="O1545" s="551"/>
      <c r="P1545" s="551"/>
      <c r="Q1545" s="550"/>
      <c r="R1545" s="550"/>
      <c r="S1545" s="546">
        <f t="shared" si="260"/>
        <v>0</v>
      </c>
      <c r="T1545" s="547">
        <f t="shared" si="261"/>
        <v>0</v>
      </c>
      <c r="U1545" s="546">
        <f t="shared" si="262"/>
        <v>0</v>
      </c>
      <c r="W1545" s="350">
        <f t="shared" si="264"/>
        <v>0</v>
      </c>
      <c r="X1545" s="285">
        <f t="shared" si="263"/>
        <v>0</v>
      </c>
    </row>
    <row r="1546" spans="1:24" ht="12" thickBot="1">
      <c r="A1546" s="541" t="s">
        <v>1503</v>
      </c>
      <c r="B1546" s="541" t="s">
        <v>314</v>
      </c>
      <c r="C1546" s="541" t="s">
        <v>1114</v>
      </c>
      <c r="D1546" s="552" t="s">
        <v>1140</v>
      </c>
      <c r="E1546" s="543"/>
      <c r="F1546" s="545"/>
      <c r="G1546" s="544"/>
      <c r="H1546" s="545"/>
      <c r="I1546" s="545"/>
      <c r="J1546" s="545"/>
      <c r="K1546" s="545"/>
      <c r="L1546" s="545"/>
      <c r="M1546" s="544"/>
      <c r="N1546" s="544"/>
      <c r="O1546" s="545"/>
      <c r="P1546" s="545"/>
      <c r="Q1546" s="544"/>
      <c r="R1546" s="544"/>
      <c r="S1546" s="546">
        <f t="shared" si="260"/>
        <v>0</v>
      </c>
      <c r="T1546" s="547">
        <f t="shared" si="261"/>
        <v>0</v>
      </c>
      <c r="U1546" s="546">
        <f t="shared" si="262"/>
        <v>0</v>
      </c>
      <c r="W1546" s="350">
        <f t="shared" si="264"/>
        <v>0</v>
      </c>
      <c r="X1546" s="285">
        <f t="shared" si="263"/>
        <v>0</v>
      </c>
    </row>
    <row r="1547" spans="1:24" ht="12" thickBot="1">
      <c r="A1547" s="541" t="s">
        <v>1503</v>
      </c>
      <c r="B1547" s="541" t="s">
        <v>355</v>
      </c>
      <c r="C1547" s="541" t="s">
        <v>1115</v>
      </c>
      <c r="D1547" s="552" t="s">
        <v>1140</v>
      </c>
      <c r="E1547" s="549"/>
      <c r="F1547" s="551"/>
      <c r="G1547" s="550"/>
      <c r="H1547" s="551"/>
      <c r="I1547" s="551"/>
      <c r="J1547" s="551"/>
      <c r="K1547" s="551"/>
      <c r="L1547" s="551"/>
      <c r="M1547" s="550"/>
      <c r="N1547" s="550"/>
      <c r="O1547" s="551"/>
      <c r="P1547" s="551"/>
      <c r="Q1547" s="550"/>
      <c r="R1547" s="550"/>
      <c r="S1547" s="546">
        <f t="shared" si="260"/>
        <v>0</v>
      </c>
      <c r="T1547" s="547">
        <f t="shared" si="261"/>
        <v>0</v>
      </c>
      <c r="U1547" s="546">
        <f t="shared" si="262"/>
        <v>0</v>
      </c>
      <c r="W1547" s="350">
        <f t="shared" si="264"/>
        <v>0</v>
      </c>
      <c r="X1547" s="285">
        <f t="shared" si="263"/>
        <v>0</v>
      </c>
    </row>
    <row r="1548" spans="1:24" ht="12" thickBot="1">
      <c r="A1548" s="541" t="s">
        <v>1503</v>
      </c>
      <c r="B1548" s="541" t="s">
        <v>364</v>
      </c>
      <c r="C1548" s="541" t="s">
        <v>1116</v>
      </c>
      <c r="D1548" s="552" t="s">
        <v>1139</v>
      </c>
      <c r="E1548" s="543"/>
      <c r="F1548" s="545"/>
      <c r="G1548" s="544"/>
      <c r="H1548" s="545"/>
      <c r="I1548" s="545"/>
      <c r="J1548" s="545"/>
      <c r="K1548" s="545"/>
      <c r="L1548" s="545"/>
      <c r="M1548" s="544"/>
      <c r="N1548" s="544"/>
      <c r="O1548" s="545"/>
      <c r="P1548" s="545"/>
      <c r="Q1548" s="544"/>
      <c r="R1548" s="544"/>
      <c r="S1548" s="546">
        <f t="shared" si="260"/>
        <v>0</v>
      </c>
      <c r="T1548" s="547">
        <f t="shared" si="261"/>
        <v>0</v>
      </c>
      <c r="U1548" s="546">
        <f t="shared" si="262"/>
        <v>0</v>
      </c>
      <c r="W1548" s="350">
        <f t="shared" si="264"/>
        <v>0</v>
      </c>
      <c r="X1548" s="285">
        <f t="shared" si="263"/>
        <v>0</v>
      </c>
    </row>
    <row r="1549" spans="1:24" ht="12" thickBot="1">
      <c r="A1549" s="541" t="s">
        <v>1503</v>
      </c>
      <c r="B1549" s="541" t="s">
        <v>387</v>
      </c>
      <c r="C1549" s="541" t="s">
        <v>1117</v>
      </c>
      <c r="D1549" s="552" t="s">
        <v>1139</v>
      </c>
      <c r="E1549" s="549"/>
      <c r="F1549" s="551"/>
      <c r="G1549" s="550"/>
      <c r="H1549" s="551"/>
      <c r="I1549" s="551"/>
      <c r="J1549" s="551"/>
      <c r="K1549" s="551"/>
      <c r="L1549" s="551"/>
      <c r="M1549" s="550"/>
      <c r="N1549" s="550"/>
      <c r="O1549" s="551"/>
      <c r="P1549" s="551"/>
      <c r="Q1549" s="550"/>
      <c r="R1549" s="550"/>
      <c r="S1549" s="546">
        <f t="shared" si="260"/>
        <v>0</v>
      </c>
      <c r="T1549" s="547">
        <f t="shared" si="261"/>
        <v>0</v>
      </c>
      <c r="U1549" s="546">
        <f t="shared" si="262"/>
        <v>0</v>
      </c>
      <c r="W1549" s="350">
        <f t="shared" si="264"/>
        <v>0</v>
      </c>
      <c r="X1549" s="285">
        <f t="shared" si="263"/>
        <v>0</v>
      </c>
    </row>
    <row r="1550" spans="1:24" ht="12" thickBot="1">
      <c r="A1550" s="541" t="s">
        <v>1503</v>
      </c>
      <c r="B1550" s="541" t="s">
        <v>344</v>
      </c>
      <c r="C1550" s="541" t="s">
        <v>1118</v>
      </c>
      <c r="D1550" s="552" t="s">
        <v>1139</v>
      </c>
      <c r="E1550" s="543"/>
      <c r="F1550" s="545"/>
      <c r="G1550" s="544"/>
      <c r="H1550" s="545"/>
      <c r="I1550" s="545"/>
      <c r="J1550" s="545"/>
      <c r="K1550" s="545"/>
      <c r="L1550" s="545"/>
      <c r="M1550" s="544"/>
      <c r="N1550" s="544"/>
      <c r="O1550" s="545"/>
      <c r="P1550" s="545"/>
      <c r="Q1550" s="544"/>
      <c r="R1550" s="544"/>
      <c r="S1550" s="546">
        <f t="shared" si="260"/>
        <v>0</v>
      </c>
      <c r="T1550" s="547">
        <f t="shared" si="261"/>
        <v>0</v>
      </c>
      <c r="U1550" s="546">
        <f t="shared" si="262"/>
        <v>0</v>
      </c>
      <c r="W1550" s="350">
        <f t="shared" si="264"/>
        <v>0</v>
      </c>
      <c r="X1550" s="285">
        <f t="shared" si="263"/>
        <v>0</v>
      </c>
    </row>
    <row r="1551" spans="1:24" ht="12" thickBot="1">
      <c r="A1551" s="541" t="s">
        <v>1503</v>
      </c>
      <c r="B1551" s="541" t="s">
        <v>376</v>
      </c>
      <c r="C1551" s="541" t="s">
        <v>1119</v>
      </c>
      <c r="D1551" s="552" t="s">
        <v>1139</v>
      </c>
      <c r="E1551" s="549"/>
      <c r="F1551" s="551"/>
      <c r="G1551" s="550"/>
      <c r="H1551" s="551"/>
      <c r="I1551" s="551"/>
      <c r="J1551" s="551"/>
      <c r="K1551" s="551"/>
      <c r="L1551" s="551"/>
      <c r="M1551" s="550"/>
      <c r="N1551" s="550"/>
      <c r="O1551" s="551"/>
      <c r="P1551" s="551"/>
      <c r="Q1551" s="550"/>
      <c r="R1551" s="550"/>
      <c r="S1551" s="546">
        <f t="shared" si="260"/>
        <v>0</v>
      </c>
      <c r="T1551" s="547">
        <f t="shared" si="261"/>
        <v>0</v>
      </c>
      <c r="U1551" s="546">
        <f t="shared" si="262"/>
        <v>0</v>
      </c>
      <c r="W1551" s="350">
        <f t="shared" si="264"/>
        <v>0</v>
      </c>
      <c r="X1551" s="285">
        <f t="shared" si="263"/>
        <v>0</v>
      </c>
    </row>
    <row r="1552" spans="1:24" ht="12" thickBot="1">
      <c r="A1552" s="541" t="s">
        <v>1503</v>
      </c>
      <c r="B1552" s="541" t="s">
        <v>374</v>
      </c>
      <c r="C1552" s="541" t="s">
        <v>1120</v>
      </c>
      <c r="D1552" s="552" t="s">
        <v>1139</v>
      </c>
      <c r="E1552" s="543"/>
      <c r="F1552" s="545"/>
      <c r="G1552" s="544"/>
      <c r="H1552" s="545"/>
      <c r="I1552" s="545"/>
      <c r="J1552" s="545"/>
      <c r="K1552" s="545"/>
      <c r="L1552" s="545"/>
      <c r="M1552" s="544"/>
      <c r="N1552" s="544"/>
      <c r="O1552" s="545"/>
      <c r="P1552" s="545"/>
      <c r="Q1552" s="544"/>
      <c r="R1552" s="544"/>
      <c r="S1552" s="546">
        <f t="shared" si="260"/>
        <v>0</v>
      </c>
      <c r="T1552" s="547">
        <f t="shared" si="261"/>
        <v>0</v>
      </c>
      <c r="U1552" s="546">
        <f t="shared" si="262"/>
        <v>0</v>
      </c>
      <c r="W1552" s="350">
        <f t="shared" si="264"/>
        <v>0</v>
      </c>
      <c r="X1552" s="285">
        <f t="shared" si="263"/>
        <v>0</v>
      </c>
    </row>
    <row r="1553" spans="1:24" ht="12" thickBot="1">
      <c r="A1553" s="541" t="s">
        <v>1503</v>
      </c>
      <c r="B1553" s="541" t="s">
        <v>398</v>
      </c>
      <c r="C1553" s="541" t="s">
        <v>1121</v>
      </c>
      <c r="D1553" s="552" t="s">
        <v>1139</v>
      </c>
      <c r="E1553" s="549"/>
      <c r="F1553" s="551"/>
      <c r="G1553" s="550"/>
      <c r="H1553" s="551"/>
      <c r="I1553" s="551"/>
      <c r="J1553" s="551"/>
      <c r="K1553" s="551"/>
      <c r="L1553" s="551"/>
      <c r="M1553" s="550"/>
      <c r="N1553" s="550"/>
      <c r="O1553" s="551"/>
      <c r="P1553" s="551"/>
      <c r="Q1553" s="550"/>
      <c r="R1553" s="550"/>
      <c r="S1553" s="546">
        <f t="shared" si="260"/>
        <v>0</v>
      </c>
      <c r="T1553" s="547">
        <f t="shared" si="261"/>
        <v>0</v>
      </c>
      <c r="U1553" s="546">
        <f t="shared" si="262"/>
        <v>0</v>
      </c>
      <c r="W1553" s="350">
        <f t="shared" si="264"/>
        <v>0</v>
      </c>
      <c r="X1553" s="285">
        <f t="shared" si="263"/>
        <v>0</v>
      </c>
    </row>
    <row r="1554" spans="1:24" ht="12" thickBot="1">
      <c r="A1554" s="541" t="s">
        <v>1503</v>
      </c>
      <c r="B1554" s="541" t="s">
        <v>348</v>
      </c>
      <c r="C1554" s="541" t="s">
        <v>1122</v>
      </c>
      <c r="D1554" s="552" t="s">
        <v>1139</v>
      </c>
      <c r="E1554" s="543"/>
      <c r="F1554" s="545"/>
      <c r="G1554" s="544"/>
      <c r="H1554" s="545"/>
      <c r="I1554" s="545"/>
      <c r="J1554" s="545"/>
      <c r="K1554" s="545"/>
      <c r="L1554" s="545"/>
      <c r="M1554" s="544"/>
      <c r="N1554" s="544"/>
      <c r="O1554" s="545"/>
      <c r="P1554" s="545"/>
      <c r="Q1554" s="544"/>
      <c r="R1554" s="544"/>
      <c r="S1554" s="546">
        <f t="shared" si="260"/>
        <v>0</v>
      </c>
      <c r="T1554" s="547">
        <f t="shared" si="261"/>
        <v>0</v>
      </c>
      <c r="U1554" s="546">
        <f t="shared" si="262"/>
        <v>0</v>
      </c>
      <c r="W1554" s="350">
        <f t="shared" si="264"/>
        <v>0</v>
      </c>
      <c r="X1554" s="285">
        <f t="shared" si="263"/>
        <v>0</v>
      </c>
    </row>
    <row r="1555" spans="1:24" ht="12" thickBot="1">
      <c r="A1555" s="541" t="s">
        <v>1503</v>
      </c>
      <c r="B1555" s="541" t="s">
        <v>380</v>
      </c>
      <c r="C1555" s="541" t="s">
        <v>1123</v>
      </c>
      <c r="D1555" s="552" t="s">
        <v>1139</v>
      </c>
      <c r="E1555" s="549"/>
      <c r="F1555" s="551"/>
      <c r="G1555" s="550"/>
      <c r="H1555" s="551"/>
      <c r="I1555" s="551"/>
      <c r="J1555" s="551"/>
      <c r="K1555" s="551"/>
      <c r="L1555" s="551"/>
      <c r="M1555" s="550"/>
      <c r="N1555" s="550"/>
      <c r="O1555" s="551"/>
      <c r="P1555" s="551"/>
      <c r="Q1555" s="550"/>
      <c r="R1555" s="550"/>
      <c r="S1555" s="546">
        <f t="shared" si="260"/>
        <v>0</v>
      </c>
      <c r="T1555" s="547">
        <f t="shared" si="261"/>
        <v>0</v>
      </c>
      <c r="U1555" s="546">
        <f t="shared" si="262"/>
        <v>0</v>
      </c>
      <c r="W1555" s="350">
        <f t="shared" si="264"/>
        <v>0</v>
      </c>
      <c r="X1555" s="285">
        <f t="shared" si="263"/>
        <v>0</v>
      </c>
    </row>
    <row r="1556" spans="1:24" ht="12" thickBot="1">
      <c r="A1556" s="541" t="s">
        <v>1503</v>
      </c>
      <c r="B1556" s="541" t="s">
        <v>399</v>
      </c>
      <c r="C1556" s="541" t="s">
        <v>1124</v>
      </c>
      <c r="D1556" s="552" t="s">
        <v>1139</v>
      </c>
      <c r="E1556" s="543"/>
      <c r="F1556" s="545"/>
      <c r="G1556" s="544"/>
      <c r="H1556" s="545"/>
      <c r="I1556" s="545"/>
      <c r="J1556" s="545"/>
      <c r="K1556" s="545"/>
      <c r="L1556" s="545"/>
      <c r="M1556" s="544"/>
      <c r="N1556" s="544"/>
      <c r="O1556" s="545"/>
      <c r="P1556" s="545"/>
      <c r="Q1556" s="544"/>
      <c r="R1556" s="544"/>
      <c r="S1556" s="546">
        <f t="shared" si="260"/>
        <v>0</v>
      </c>
      <c r="T1556" s="547">
        <f t="shared" si="261"/>
        <v>0</v>
      </c>
      <c r="U1556" s="546">
        <f t="shared" si="262"/>
        <v>0</v>
      </c>
      <c r="W1556" s="350">
        <f t="shared" si="264"/>
        <v>0</v>
      </c>
      <c r="X1556" s="285">
        <f t="shared" si="263"/>
        <v>0</v>
      </c>
    </row>
    <row r="1557" spans="1:24" ht="12" thickBot="1">
      <c r="A1557" s="541" t="s">
        <v>1503</v>
      </c>
      <c r="B1557" s="541" t="s">
        <v>349</v>
      </c>
      <c r="C1557" s="541" t="s">
        <v>1125</v>
      </c>
      <c r="D1557" s="552" t="s">
        <v>1139</v>
      </c>
      <c r="E1557" s="549"/>
      <c r="F1557" s="551"/>
      <c r="G1557" s="550"/>
      <c r="H1557" s="551"/>
      <c r="I1557" s="551"/>
      <c r="J1557" s="551"/>
      <c r="K1557" s="551"/>
      <c r="L1557" s="551"/>
      <c r="M1557" s="550"/>
      <c r="N1557" s="550"/>
      <c r="O1557" s="551"/>
      <c r="P1557" s="551"/>
      <c r="Q1557" s="550"/>
      <c r="R1557" s="550"/>
      <c r="S1557" s="546">
        <f t="shared" si="260"/>
        <v>0</v>
      </c>
      <c r="T1557" s="547">
        <f t="shared" si="261"/>
        <v>0</v>
      </c>
      <c r="U1557" s="546">
        <f t="shared" si="262"/>
        <v>0</v>
      </c>
      <c r="W1557" s="350">
        <f t="shared" si="264"/>
        <v>0</v>
      </c>
      <c r="X1557" s="285">
        <f t="shared" si="263"/>
        <v>0</v>
      </c>
    </row>
    <row r="1558" spans="1:24" ht="12" thickBot="1">
      <c r="A1558" s="541" t="s">
        <v>1503</v>
      </c>
      <c r="B1558" s="541" t="s">
        <v>381</v>
      </c>
      <c r="C1558" s="541" t="s">
        <v>1126</v>
      </c>
      <c r="D1558" s="552" t="s">
        <v>1139</v>
      </c>
      <c r="E1558" s="543"/>
      <c r="F1558" s="545"/>
      <c r="G1558" s="544"/>
      <c r="H1558" s="545"/>
      <c r="I1558" s="545"/>
      <c r="J1558" s="545"/>
      <c r="K1558" s="545"/>
      <c r="L1558" s="545"/>
      <c r="M1558" s="544"/>
      <c r="N1558" s="544"/>
      <c r="O1558" s="545"/>
      <c r="P1558" s="545"/>
      <c r="Q1558" s="544"/>
      <c r="R1558" s="544"/>
      <c r="S1558" s="546">
        <f t="shared" si="260"/>
        <v>0</v>
      </c>
      <c r="T1558" s="547">
        <f t="shared" si="261"/>
        <v>0</v>
      </c>
      <c r="U1558" s="546">
        <f t="shared" si="262"/>
        <v>0</v>
      </c>
      <c r="W1558" s="350">
        <f t="shared" si="264"/>
        <v>0</v>
      </c>
      <c r="X1558" s="285">
        <f t="shared" si="263"/>
        <v>0</v>
      </c>
    </row>
    <row r="1559" spans="1:24" ht="12" thickBot="1">
      <c r="A1559" s="541" t="s">
        <v>1503</v>
      </c>
      <c r="B1559" s="541" t="s">
        <v>321</v>
      </c>
      <c r="C1559" s="541" t="s">
        <v>1127</v>
      </c>
      <c r="D1559" s="552" t="s">
        <v>1139</v>
      </c>
      <c r="E1559" s="549"/>
      <c r="F1559" s="551"/>
      <c r="G1559" s="550"/>
      <c r="H1559" s="551"/>
      <c r="I1559" s="551"/>
      <c r="J1559" s="551"/>
      <c r="K1559" s="551"/>
      <c r="L1559" s="551"/>
      <c r="M1559" s="550"/>
      <c r="N1559" s="550"/>
      <c r="O1559" s="551"/>
      <c r="P1559" s="551"/>
      <c r="Q1559" s="550"/>
      <c r="R1559" s="550"/>
      <c r="S1559" s="546">
        <f t="shared" si="260"/>
        <v>0</v>
      </c>
      <c r="T1559" s="547">
        <f t="shared" si="261"/>
        <v>0</v>
      </c>
      <c r="U1559" s="546">
        <f t="shared" si="262"/>
        <v>0</v>
      </c>
      <c r="W1559" s="350">
        <f t="shared" si="264"/>
        <v>0</v>
      </c>
      <c r="X1559" s="285">
        <f t="shared" si="263"/>
        <v>0</v>
      </c>
    </row>
    <row r="1560" spans="1:24" ht="12" thickBot="1">
      <c r="A1560" s="541" t="s">
        <v>1503</v>
      </c>
      <c r="B1560" s="541" t="s">
        <v>353</v>
      </c>
      <c r="C1560" s="541" t="s">
        <v>1128</v>
      </c>
      <c r="D1560" s="552" t="s">
        <v>1139</v>
      </c>
      <c r="E1560" s="543"/>
      <c r="F1560" s="545"/>
      <c r="G1560" s="544"/>
      <c r="H1560" s="545"/>
      <c r="I1560" s="545"/>
      <c r="J1560" s="545"/>
      <c r="K1560" s="545"/>
      <c r="L1560" s="545"/>
      <c r="M1560" s="544"/>
      <c r="N1560" s="544"/>
      <c r="O1560" s="545"/>
      <c r="P1560" s="545"/>
      <c r="Q1560" s="544"/>
      <c r="R1560" s="544"/>
      <c r="S1560" s="546">
        <f t="shared" si="260"/>
        <v>0</v>
      </c>
      <c r="T1560" s="547">
        <f t="shared" si="261"/>
        <v>0</v>
      </c>
      <c r="U1560" s="546">
        <f t="shared" si="262"/>
        <v>0</v>
      </c>
      <c r="W1560" s="350">
        <f t="shared" si="264"/>
        <v>0</v>
      </c>
      <c r="X1560" s="285">
        <f t="shared" si="263"/>
        <v>0</v>
      </c>
    </row>
    <row r="1561" spans="1:24" ht="12" thickBot="1">
      <c r="A1561" s="541" t="s">
        <v>1503</v>
      </c>
      <c r="B1561" s="541" t="s">
        <v>678</v>
      </c>
      <c r="C1561" s="541" t="s">
        <v>1129</v>
      </c>
      <c r="D1561" s="552" t="s">
        <v>1139</v>
      </c>
      <c r="E1561" s="549"/>
      <c r="F1561" s="551"/>
      <c r="G1561" s="550"/>
      <c r="H1561" s="551"/>
      <c r="I1561" s="551"/>
      <c r="J1561" s="551"/>
      <c r="K1561" s="551"/>
      <c r="L1561" s="551"/>
      <c r="M1561" s="550"/>
      <c r="N1561" s="550"/>
      <c r="O1561" s="551"/>
      <c r="P1561" s="551"/>
      <c r="Q1561" s="551"/>
      <c r="R1561" s="550"/>
      <c r="S1561" s="546">
        <f t="shared" si="260"/>
        <v>0</v>
      </c>
      <c r="T1561" s="547">
        <f t="shared" si="261"/>
        <v>0</v>
      </c>
      <c r="U1561" s="546">
        <f t="shared" si="262"/>
        <v>0</v>
      </c>
      <c r="W1561" s="350">
        <f t="shared" si="264"/>
        <v>0</v>
      </c>
      <c r="X1561" s="285">
        <f t="shared" si="263"/>
        <v>0</v>
      </c>
    </row>
    <row r="1562" spans="1:24" ht="12" thickBot="1">
      <c r="A1562" s="541" t="s">
        <v>1503</v>
      </c>
      <c r="B1562" s="541" t="s">
        <v>316</v>
      </c>
      <c r="C1562" s="541" t="s">
        <v>1130</v>
      </c>
      <c r="D1562" s="552" t="s">
        <v>1139</v>
      </c>
      <c r="E1562" s="543"/>
      <c r="F1562" s="545"/>
      <c r="G1562" s="544"/>
      <c r="H1562" s="545"/>
      <c r="I1562" s="545"/>
      <c r="J1562" s="545"/>
      <c r="K1562" s="545"/>
      <c r="L1562" s="545"/>
      <c r="M1562" s="544"/>
      <c r="N1562" s="544"/>
      <c r="O1562" s="545"/>
      <c r="P1562" s="545"/>
      <c r="Q1562" s="544"/>
      <c r="R1562" s="544"/>
      <c r="S1562" s="546">
        <f t="shared" si="260"/>
        <v>0</v>
      </c>
      <c r="T1562" s="547">
        <f t="shared" si="261"/>
        <v>0</v>
      </c>
      <c r="U1562" s="546">
        <f t="shared" si="262"/>
        <v>0</v>
      </c>
      <c r="W1562" s="350">
        <f t="shared" si="264"/>
        <v>0</v>
      </c>
      <c r="X1562" s="285">
        <f t="shared" si="263"/>
        <v>0</v>
      </c>
    </row>
    <row r="1563" spans="1:24" ht="12" thickBot="1">
      <c r="A1563" s="541" t="s">
        <v>1503</v>
      </c>
      <c r="B1563" s="541" t="s">
        <v>318</v>
      </c>
      <c r="C1563" s="541" t="s">
        <v>1131</v>
      </c>
      <c r="D1563" s="552" t="s">
        <v>1139</v>
      </c>
      <c r="E1563" s="549"/>
      <c r="F1563" s="551"/>
      <c r="G1563" s="550"/>
      <c r="H1563" s="551"/>
      <c r="I1563" s="551"/>
      <c r="J1563" s="551"/>
      <c r="K1563" s="551"/>
      <c r="L1563" s="551"/>
      <c r="M1563" s="550"/>
      <c r="N1563" s="550"/>
      <c r="O1563" s="551"/>
      <c r="P1563" s="551"/>
      <c r="Q1563" s="550"/>
      <c r="R1563" s="550"/>
      <c r="S1563" s="546">
        <f t="shared" si="260"/>
        <v>0</v>
      </c>
      <c r="T1563" s="547">
        <f t="shared" si="261"/>
        <v>0</v>
      </c>
      <c r="U1563" s="546">
        <f t="shared" si="262"/>
        <v>0</v>
      </c>
      <c r="W1563" s="350">
        <f t="shared" si="264"/>
        <v>0</v>
      </c>
      <c r="X1563" s="285">
        <f t="shared" si="263"/>
        <v>0</v>
      </c>
    </row>
    <row r="1564" spans="1:24" ht="12" thickBot="1">
      <c r="A1564" s="541" t="s">
        <v>1503</v>
      </c>
      <c r="B1564" s="541" t="s">
        <v>350</v>
      </c>
      <c r="C1564" s="541" t="s">
        <v>1132</v>
      </c>
      <c r="D1564" s="552" t="s">
        <v>1139</v>
      </c>
      <c r="E1564" s="543"/>
      <c r="F1564" s="545"/>
      <c r="G1564" s="544"/>
      <c r="H1564" s="545"/>
      <c r="I1564" s="545"/>
      <c r="J1564" s="545"/>
      <c r="K1564" s="545"/>
      <c r="L1564" s="545"/>
      <c r="M1564" s="544"/>
      <c r="N1564" s="544"/>
      <c r="O1564" s="545"/>
      <c r="P1564" s="545"/>
      <c r="Q1564" s="544"/>
      <c r="R1564" s="544"/>
      <c r="S1564" s="546">
        <f t="shared" si="260"/>
        <v>0</v>
      </c>
      <c r="T1564" s="547">
        <f t="shared" si="261"/>
        <v>0</v>
      </c>
      <c r="U1564" s="546">
        <f t="shared" si="262"/>
        <v>0</v>
      </c>
      <c r="W1564" s="350">
        <f t="shared" si="264"/>
        <v>0</v>
      </c>
      <c r="X1564" s="285">
        <f t="shared" si="263"/>
        <v>0</v>
      </c>
    </row>
    <row r="1565" spans="1:24" ht="12" thickBot="1">
      <c r="A1565" s="541" t="s">
        <v>1503</v>
      </c>
      <c r="B1565" s="541" t="s">
        <v>313</v>
      </c>
      <c r="C1565" s="541" t="s">
        <v>1133</v>
      </c>
      <c r="D1565" s="552" t="s">
        <v>1139</v>
      </c>
      <c r="E1565" s="549"/>
      <c r="F1565" s="551"/>
      <c r="G1565" s="550"/>
      <c r="H1565" s="551"/>
      <c r="I1565" s="551"/>
      <c r="J1565" s="551"/>
      <c r="K1565" s="551"/>
      <c r="L1565" s="551"/>
      <c r="M1565" s="550"/>
      <c r="N1565" s="550"/>
      <c r="O1565" s="551"/>
      <c r="P1565" s="551"/>
      <c r="Q1565" s="550"/>
      <c r="R1565" s="550"/>
      <c r="S1565" s="546">
        <f t="shared" si="260"/>
        <v>0</v>
      </c>
      <c r="T1565" s="547">
        <f t="shared" si="261"/>
        <v>0</v>
      </c>
      <c r="U1565" s="546">
        <f t="shared" si="262"/>
        <v>0</v>
      </c>
      <c r="W1565" s="350">
        <f t="shared" si="264"/>
        <v>0</v>
      </c>
      <c r="X1565" s="285">
        <f t="shared" si="263"/>
        <v>0</v>
      </c>
    </row>
    <row r="1566" spans="1:24" ht="12" thickBot="1">
      <c r="A1566" s="541" t="s">
        <v>1503</v>
      </c>
      <c r="B1566" s="541" t="s">
        <v>650</v>
      </c>
      <c r="C1566" s="541" t="s">
        <v>1151</v>
      </c>
      <c r="D1566" s="552" t="s">
        <v>1139</v>
      </c>
      <c r="E1566" s="543"/>
      <c r="F1566" s="545"/>
      <c r="G1566" s="544"/>
      <c r="H1566" s="545"/>
      <c r="I1566" s="545"/>
      <c r="J1566" s="545"/>
      <c r="K1566" s="545"/>
      <c r="L1566" s="545"/>
      <c r="M1566" s="544"/>
      <c r="N1566" s="544"/>
      <c r="O1566" s="545"/>
      <c r="P1566" s="545"/>
      <c r="Q1566" s="545"/>
      <c r="R1566" s="544"/>
      <c r="S1566" s="546">
        <f t="shared" si="260"/>
        <v>0</v>
      </c>
      <c r="T1566" s="547">
        <f t="shared" si="261"/>
        <v>0</v>
      </c>
      <c r="U1566" s="546">
        <f t="shared" si="262"/>
        <v>0</v>
      </c>
      <c r="W1566" s="350">
        <f t="shared" si="264"/>
        <v>0</v>
      </c>
      <c r="X1566" s="285">
        <f t="shared" si="263"/>
        <v>0</v>
      </c>
    </row>
    <row r="1567" spans="1:24" ht="12" thickBot="1">
      <c r="A1567" s="541" t="s">
        <v>1503</v>
      </c>
      <c r="B1567" s="541" t="s">
        <v>447</v>
      </c>
      <c r="C1567" s="541" t="s">
        <v>1134</v>
      </c>
      <c r="D1567" s="552" t="s">
        <v>1139</v>
      </c>
      <c r="E1567" s="549"/>
      <c r="F1567" s="551"/>
      <c r="G1567" s="550"/>
      <c r="H1567" s="551"/>
      <c r="I1567" s="551"/>
      <c r="J1567" s="551"/>
      <c r="K1567" s="551"/>
      <c r="L1567" s="551"/>
      <c r="M1567" s="550"/>
      <c r="N1567" s="550"/>
      <c r="O1567" s="551"/>
      <c r="P1567" s="551"/>
      <c r="Q1567" s="551"/>
      <c r="R1567" s="550"/>
      <c r="S1567" s="546">
        <f t="shared" si="260"/>
        <v>0</v>
      </c>
      <c r="T1567" s="547">
        <f t="shared" si="261"/>
        <v>0</v>
      </c>
      <c r="U1567" s="546">
        <f t="shared" si="262"/>
        <v>0</v>
      </c>
      <c r="W1567" s="350">
        <f t="shared" si="264"/>
        <v>0</v>
      </c>
      <c r="X1567" s="285">
        <f t="shared" si="263"/>
        <v>0</v>
      </c>
    </row>
    <row r="1568" spans="1:24" ht="12" thickBot="1">
      <c r="A1568" s="541" t="s">
        <v>1503</v>
      </c>
      <c r="B1568" s="541" t="s">
        <v>624</v>
      </c>
      <c r="C1568" s="541" t="s">
        <v>1135</v>
      </c>
      <c r="D1568" s="552" t="s">
        <v>1139</v>
      </c>
      <c r="E1568" s="543"/>
      <c r="F1568" s="545"/>
      <c r="G1568" s="544"/>
      <c r="H1568" s="545"/>
      <c r="I1568" s="545"/>
      <c r="J1568" s="545"/>
      <c r="K1568" s="545"/>
      <c r="L1568" s="545"/>
      <c r="M1568" s="544"/>
      <c r="N1568" s="544"/>
      <c r="O1568" s="545"/>
      <c r="P1568" s="545"/>
      <c r="Q1568" s="545"/>
      <c r="R1568" s="544"/>
      <c r="S1568" s="546">
        <f t="shared" si="260"/>
        <v>0</v>
      </c>
      <c r="T1568" s="547">
        <f t="shared" si="261"/>
        <v>0</v>
      </c>
      <c r="U1568" s="546">
        <f t="shared" si="262"/>
        <v>0</v>
      </c>
      <c r="W1568" s="350">
        <f t="shared" si="264"/>
        <v>0</v>
      </c>
      <c r="X1568" s="285">
        <f t="shared" si="263"/>
        <v>0</v>
      </c>
    </row>
    <row r="1569" spans="1:24" ht="12" thickBot="1">
      <c r="A1569" s="541" t="s">
        <v>1503</v>
      </c>
      <c r="B1569" s="541" t="s">
        <v>429</v>
      </c>
      <c r="C1569" s="541" t="s">
        <v>428</v>
      </c>
      <c r="D1569" s="552" t="s">
        <v>73</v>
      </c>
      <c r="E1569" s="551"/>
      <c r="F1569" s="551"/>
      <c r="G1569" s="551"/>
      <c r="H1569" s="551"/>
      <c r="I1569" s="551"/>
      <c r="J1569" s="551"/>
      <c r="K1569" s="551"/>
      <c r="L1569" s="551"/>
      <c r="M1569" s="551"/>
      <c r="N1569" s="551"/>
      <c r="O1569" s="551"/>
      <c r="P1569" s="551"/>
      <c r="Q1569" s="551"/>
      <c r="R1569" s="550"/>
      <c r="S1569" s="546">
        <f t="shared" si="260"/>
        <v>0</v>
      </c>
      <c r="T1569" s="547">
        <f t="shared" si="261"/>
        <v>0</v>
      </c>
      <c r="U1569" s="546">
        <f t="shared" si="262"/>
        <v>0</v>
      </c>
      <c r="W1569" s="350">
        <f t="shared" si="264"/>
        <v>0</v>
      </c>
      <c r="X1569" s="285">
        <f t="shared" si="263"/>
        <v>0</v>
      </c>
    </row>
    <row r="1570" spans="1:24" ht="12" thickBot="1">
      <c r="A1570" s="541" t="s">
        <v>1503</v>
      </c>
      <c r="B1570" s="541" t="s">
        <v>455</v>
      </c>
      <c r="C1570" s="541" t="s">
        <v>454</v>
      </c>
      <c r="D1570" s="552" t="s">
        <v>710</v>
      </c>
      <c r="E1570" s="545"/>
      <c r="F1570" s="545"/>
      <c r="G1570" s="545"/>
      <c r="H1570" s="545"/>
      <c r="I1570" s="545"/>
      <c r="J1570" s="545"/>
      <c r="K1570" s="545"/>
      <c r="L1570" s="545"/>
      <c r="M1570" s="545"/>
      <c r="N1570" s="545"/>
      <c r="O1570" s="545"/>
      <c r="P1570" s="545"/>
      <c r="Q1570" s="545"/>
      <c r="R1570" s="544"/>
      <c r="S1570" s="546">
        <f t="shared" si="260"/>
        <v>0</v>
      </c>
      <c r="T1570" s="547">
        <f t="shared" si="261"/>
        <v>0</v>
      </c>
      <c r="U1570" s="546">
        <f t="shared" si="262"/>
        <v>0</v>
      </c>
      <c r="W1570" s="350">
        <f t="shared" si="264"/>
        <v>0</v>
      </c>
      <c r="X1570" s="285">
        <f t="shared" si="263"/>
        <v>0</v>
      </c>
    </row>
    <row r="1571" spans="1:24" ht="12" thickBot="1">
      <c r="A1571" s="541" t="s">
        <v>1503</v>
      </c>
      <c r="B1571" s="541" t="s">
        <v>457</v>
      </c>
      <c r="C1571" s="541" t="s">
        <v>456</v>
      </c>
      <c r="D1571" s="552" t="s">
        <v>710</v>
      </c>
      <c r="E1571" s="551"/>
      <c r="F1571" s="551"/>
      <c r="G1571" s="551"/>
      <c r="H1571" s="551"/>
      <c r="I1571" s="551"/>
      <c r="J1571" s="551"/>
      <c r="K1571" s="551"/>
      <c r="L1571" s="551"/>
      <c r="M1571" s="551"/>
      <c r="N1571" s="551"/>
      <c r="O1571" s="551"/>
      <c r="P1571" s="551"/>
      <c r="Q1571" s="551"/>
      <c r="R1571" s="550"/>
      <c r="S1571" s="546">
        <f t="shared" si="260"/>
        <v>0</v>
      </c>
      <c r="T1571" s="547">
        <f t="shared" si="261"/>
        <v>0</v>
      </c>
      <c r="U1571" s="546">
        <f t="shared" si="262"/>
        <v>0</v>
      </c>
      <c r="W1571" s="350">
        <f t="shared" si="264"/>
        <v>0</v>
      </c>
      <c r="X1571" s="285">
        <f t="shared" si="263"/>
        <v>0</v>
      </c>
    </row>
    <row r="1572" spans="1:24" ht="12" thickBot="1">
      <c r="A1572" s="541" t="s">
        <v>1503</v>
      </c>
      <c r="B1572" s="541" t="s">
        <v>427</v>
      </c>
      <c r="C1572" s="541" t="s">
        <v>426</v>
      </c>
      <c r="D1572" s="552" t="s">
        <v>1157</v>
      </c>
      <c r="E1572" s="545"/>
      <c r="F1572" s="544"/>
      <c r="G1572" s="545"/>
      <c r="H1572" s="545"/>
      <c r="I1572" s="545"/>
      <c r="J1572" s="545"/>
      <c r="K1572" s="545"/>
      <c r="L1572" s="545"/>
      <c r="M1572" s="545"/>
      <c r="N1572" s="545"/>
      <c r="O1572" s="545"/>
      <c r="P1572" s="545"/>
      <c r="Q1572" s="545"/>
      <c r="R1572" s="544"/>
      <c r="S1572" s="546">
        <f t="shared" si="260"/>
        <v>0</v>
      </c>
      <c r="T1572" s="547">
        <f t="shared" si="261"/>
        <v>0</v>
      </c>
      <c r="U1572" s="546">
        <f t="shared" si="262"/>
        <v>0</v>
      </c>
      <c r="W1572" s="350">
        <f t="shared" si="264"/>
        <v>0</v>
      </c>
      <c r="X1572" s="285">
        <f t="shared" si="263"/>
        <v>0</v>
      </c>
    </row>
    <row r="1573" spans="1:24" ht="12" thickBot="1">
      <c r="A1573" s="541" t="s">
        <v>1503</v>
      </c>
      <c r="B1573" s="541" t="s">
        <v>673</v>
      </c>
      <c r="C1573" s="541" t="s">
        <v>674</v>
      </c>
      <c r="D1573" s="552" t="s">
        <v>710</v>
      </c>
      <c r="E1573" s="551"/>
      <c r="F1573" s="551"/>
      <c r="G1573" s="551"/>
      <c r="H1573" s="551"/>
      <c r="I1573" s="551"/>
      <c r="J1573" s="551"/>
      <c r="K1573" s="551"/>
      <c r="L1573" s="551"/>
      <c r="M1573" s="551"/>
      <c r="N1573" s="551"/>
      <c r="O1573" s="551"/>
      <c r="P1573" s="551"/>
      <c r="Q1573" s="551"/>
      <c r="R1573" s="550"/>
      <c r="S1573" s="546">
        <f t="shared" si="260"/>
        <v>0</v>
      </c>
      <c r="T1573" s="547">
        <f t="shared" si="261"/>
        <v>0</v>
      </c>
      <c r="U1573" s="546">
        <f t="shared" si="262"/>
        <v>0</v>
      </c>
      <c r="W1573" s="350">
        <f t="shared" si="264"/>
        <v>0</v>
      </c>
      <c r="X1573" s="285">
        <f t="shared" si="263"/>
        <v>0</v>
      </c>
    </row>
    <row r="1574" spans="1:24" ht="12" thickBot="1">
      <c r="A1574" s="541" t="s">
        <v>1503</v>
      </c>
      <c r="B1574" s="541" t="s">
        <v>1152</v>
      </c>
      <c r="C1574" s="541" t="s">
        <v>1153</v>
      </c>
      <c r="D1574" s="552" t="s">
        <v>710</v>
      </c>
      <c r="E1574" s="545"/>
      <c r="F1574" s="545"/>
      <c r="G1574" s="545"/>
      <c r="H1574" s="545"/>
      <c r="I1574" s="545"/>
      <c r="J1574" s="545"/>
      <c r="K1574" s="545"/>
      <c r="L1574" s="545"/>
      <c r="M1574" s="545"/>
      <c r="N1574" s="545"/>
      <c r="O1574" s="545"/>
      <c r="P1574" s="545"/>
      <c r="Q1574" s="545"/>
      <c r="R1574" s="544"/>
      <c r="S1574" s="546">
        <f t="shared" si="260"/>
        <v>0</v>
      </c>
      <c r="T1574" s="547">
        <f t="shared" si="261"/>
        <v>0</v>
      </c>
      <c r="U1574" s="546">
        <f t="shared" si="262"/>
        <v>0</v>
      </c>
      <c r="W1574" s="350">
        <f t="shared" si="264"/>
        <v>0</v>
      </c>
      <c r="X1574" s="285">
        <f t="shared" si="263"/>
        <v>0</v>
      </c>
    </row>
    <row r="1575" spans="1:24" ht="12" thickBot="1">
      <c r="A1575" s="541" t="s">
        <v>1503</v>
      </c>
      <c r="B1575" s="541" t="s">
        <v>434</v>
      </c>
      <c r="C1575" s="541" t="s">
        <v>1154</v>
      </c>
      <c r="D1575" s="552" t="s">
        <v>1158</v>
      </c>
      <c r="E1575" s="549"/>
      <c r="F1575" s="550"/>
      <c r="G1575" s="550"/>
      <c r="H1575" s="550"/>
      <c r="I1575" s="551"/>
      <c r="J1575" s="551"/>
      <c r="K1575" s="551"/>
      <c r="L1575" s="551"/>
      <c r="M1575" s="551"/>
      <c r="N1575" s="551"/>
      <c r="O1575" s="551"/>
      <c r="P1575" s="551"/>
      <c r="Q1575" s="551"/>
      <c r="R1575" s="550"/>
      <c r="S1575" s="546">
        <f t="shared" si="260"/>
        <v>0</v>
      </c>
      <c r="T1575" s="547">
        <f t="shared" si="261"/>
        <v>0</v>
      </c>
      <c r="U1575" s="546">
        <f t="shared" si="262"/>
        <v>0</v>
      </c>
      <c r="W1575" s="350">
        <f t="shared" si="264"/>
        <v>0</v>
      </c>
      <c r="X1575" s="285">
        <f t="shared" si="263"/>
        <v>0</v>
      </c>
    </row>
    <row r="1576" spans="1:24" ht="12" thickBot="1">
      <c r="A1576" s="541" t="s">
        <v>1503</v>
      </c>
      <c r="B1576" s="562" t="s">
        <v>8</v>
      </c>
      <c r="C1576" s="563"/>
      <c r="D1576" s="557"/>
      <c r="E1576" s="558"/>
      <c r="F1576" s="559"/>
      <c r="G1576" s="559"/>
      <c r="H1576" s="559"/>
      <c r="I1576" s="559"/>
      <c r="J1576" s="559"/>
      <c r="K1576" s="559"/>
      <c r="L1576" s="559"/>
      <c r="M1576" s="559"/>
      <c r="N1576" s="559"/>
      <c r="O1576" s="559"/>
      <c r="P1576" s="559"/>
      <c r="Q1576" s="559"/>
      <c r="R1576" s="559"/>
      <c r="S1576" s="546">
        <f t="shared" si="260"/>
        <v>0</v>
      </c>
      <c r="T1576" s="547">
        <f t="shared" si="261"/>
        <v>0</v>
      </c>
      <c r="U1576" s="546">
        <f t="shared" si="262"/>
        <v>0</v>
      </c>
      <c r="W1576" s="350">
        <f t="shared" si="264"/>
        <v>0</v>
      </c>
      <c r="X1576" s="285">
        <f t="shared" si="263"/>
        <v>0</v>
      </c>
    </row>
    <row r="1577" spans="1:24" ht="12" thickBot="1">
      <c r="A1577" s="541" t="s">
        <v>1504</v>
      </c>
      <c r="B1577" s="541" t="s">
        <v>424</v>
      </c>
      <c r="C1577" s="541" t="s">
        <v>444</v>
      </c>
      <c r="D1577" s="542" t="s">
        <v>724</v>
      </c>
      <c r="E1577" s="549">
        <f t="shared" ref="E1577:E1594" si="265">ROUND(SUMIFS(E$1721:E$1888,$A$1721:$A$1888,$A1577,$B$1721:$B$1888,$B1577),0)</f>
        <v>0</v>
      </c>
      <c r="F1577" s="988">
        <f t="shared" ref="F1577:P1586" si="266">ROUND(SUMIFS(F$1721:F$1901,$A$1721:$A$1901,$A1577,$B$1721:$B$1901,$B1577),0)</f>
        <v>0</v>
      </c>
      <c r="G1577" s="988">
        <f t="shared" si="266"/>
        <v>0</v>
      </c>
      <c r="H1577" s="988">
        <f t="shared" si="266"/>
        <v>0</v>
      </c>
      <c r="I1577" s="988">
        <f t="shared" si="266"/>
        <v>0</v>
      </c>
      <c r="J1577" s="988">
        <f t="shared" si="266"/>
        <v>0</v>
      </c>
      <c r="K1577" s="988">
        <f t="shared" si="266"/>
        <v>0</v>
      </c>
      <c r="L1577" s="988">
        <f t="shared" si="266"/>
        <v>0</v>
      </c>
      <c r="M1577" s="988">
        <f t="shared" si="266"/>
        <v>0</v>
      </c>
      <c r="N1577" s="988">
        <f t="shared" si="266"/>
        <v>0</v>
      </c>
      <c r="O1577" s="988">
        <f t="shared" si="266"/>
        <v>0</v>
      </c>
      <c r="P1577" s="988">
        <f t="shared" si="266"/>
        <v>0</v>
      </c>
      <c r="Q1577" s="988"/>
      <c r="R1577" s="988">
        <f t="shared" ref="R1577:R1608" si="267">ROUND(SUMIFS(R$1721:R$1901,$A$1721:$A$1901,$A1577,$B$1721:$B$1901,$B1577),0)</f>
        <v>0</v>
      </c>
      <c r="S1577" s="546">
        <f t="shared" si="260"/>
        <v>0</v>
      </c>
      <c r="T1577" s="547">
        <f t="shared" si="261"/>
        <v>0</v>
      </c>
      <c r="U1577" s="546">
        <f t="shared" si="262"/>
        <v>0</v>
      </c>
      <c r="W1577" s="350">
        <f t="shared" si="264"/>
        <v>0</v>
      </c>
      <c r="X1577" s="285">
        <f t="shared" si="263"/>
        <v>0</v>
      </c>
    </row>
    <row r="1578" spans="1:24" ht="12" thickBot="1">
      <c r="A1578" s="541" t="s">
        <v>1504</v>
      </c>
      <c r="B1578" s="541" t="s">
        <v>425</v>
      </c>
      <c r="C1578" s="541" t="s">
        <v>445</v>
      </c>
      <c r="D1578" s="542" t="s">
        <v>724</v>
      </c>
      <c r="E1578" s="549">
        <f t="shared" si="265"/>
        <v>0</v>
      </c>
      <c r="F1578" s="988">
        <f t="shared" si="266"/>
        <v>0</v>
      </c>
      <c r="G1578" s="988">
        <f t="shared" si="266"/>
        <v>0</v>
      </c>
      <c r="H1578" s="988">
        <f t="shared" si="266"/>
        <v>0</v>
      </c>
      <c r="I1578" s="988">
        <f t="shared" si="266"/>
        <v>0</v>
      </c>
      <c r="J1578" s="988">
        <f t="shared" si="266"/>
        <v>0</v>
      </c>
      <c r="K1578" s="988">
        <f t="shared" si="266"/>
        <v>0</v>
      </c>
      <c r="L1578" s="988">
        <f t="shared" si="266"/>
        <v>0</v>
      </c>
      <c r="M1578" s="988">
        <f t="shared" si="266"/>
        <v>0</v>
      </c>
      <c r="N1578" s="988">
        <f t="shared" si="266"/>
        <v>0</v>
      </c>
      <c r="O1578" s="988">
        <f t="shared" si="266"/>
        <v>0</v>
      </c>
      <c r="P1578" s="988">
        <f t="shared" si="266"/>
        <v>0</v>
      </c>
      <c r="Q1578" s="988"/>
      <c r="R1578" s="988">
        <f t="shared" si="267"/>
        <v>0</v>
      </c>
      <c r="S1578" s="546">
        <f t="shared" si="260"/>
        <v>0</v>
      </c>
      <c r="T1578" s="547">
        <f t="shared" si="261"/>
        <v>0</v>
      </c>
      <c r="U1578" s="546">
        <f t="shared" si="262"/>
        <v>0</v>
      </c>
      <c r="W1578" s="350">
        <f t="shared" si="264"/>
        <v>0</v>
      </c>
      <c r="X1578" s="285">
        <f t="shared" si="263"/>
        <v>0</v>
      </c>
    </row>
    <row r="1579" spans="1:24" ht="12" thickBot="1">
      <c r="A1579" s="541" t="s">
        <v>1504</v>
      </c>
      <c r="B1579" s="541" t="s">
        <v>433</v>
      </c>
      <c r="C1579" s="541" t="s">
        <v>432</v>
      </c>
      <c r="D1579" s="552" t="s">
        <v>1155</v>
      </c>
      <c r="E1579" s="549">
        <f t="shared" si="265"/>
        <v>0</v>
      </c>
      <c r="F1579" s="988">
        <f t="shared" si="266"/>
        <v>0</v>
      </c>
      <c r="G1579" s="988">
        <f t="shared" si="266"/>
        <v>0</v>
      </c>
      <c r="H1579" s="988">
        <f t="shared" si="266"/>
        <v>0</v>
      </c>
      <c r="I1579" s="988">
        <f t="shared" si="266"/>
        <v>0</v>
      </c>
      <c r="J1579" s="988">
        <f t="shared" si="266"/>
        <v>0</v>
      </c>
      <c r="K1579" s="988">
        <f t="shared" si="266"/>
        <v>0</v>
      </c>
      <c r="L1579" s="988">
        <f t="shared" si="266"/>
        <v>0</v>
      </c>
      <c r="M1579" s="988">
        <f t="shared" si="266"/>
        <v>0</v>
      </c>
      <c r="N1579" s="988">
        <f t="shared" si="266"/>
        <v>0</v>
      </c>
      <c r="O1579" s="988">
        <f t="shared" si="266"/>
        <v>0</v>
      </c>
      <c r="P1579" s="988">
        <f t="shared" si="266"/>
        <v>0</v>
      </c>
      <c r="Q1579" s="988"/>
      <c r="R1579" s="988">
        <f t="shared" si="267"/>
        <v>0</v>
      </c>
      <c r="S1579" s="546">
        <f t="shared" si="260"/>
        <v>0</v>
      </c>
      <c r="T1579" s="547">
        <f t="shared" si="261"/>
        <v>0</v>
      </c>
      <c r="U1579" s="546">
        <f t="shared" si="262"/>
        <v>0</v>
      </c>
      <c r="W1579" s="350">
        <f t="shared" si="264"/>
        <v>0</v>
      </c>
      <c r="X1579" s="285">
        <f t="shared" si="263"/>
        <v>0</v>
      </c>
    </row>
    <row r="1580" spans="1:24" ht="12" thickBot="1">
      <c r="A1580" s="541" t="s">
        <v>1504</v>
      </c>
      <c r="B1580" s="541" t="s">
        <v>431</v>
      </c>
      <c r="C1580" s="541" t="s">
        <v>430</v>
      </c>
      <c r="D1580" s="553" t="s">
        <v>1155</v>
      </c>
      <c r="E1580" s="549">
        <f t="shared" si="265"/>
        <v>0</v>
      </c>
      <c r="F1580" s="988">
        <f t="shared" si="266"/>
        <v>0</v>
      </c>
      <c r="G1580" s="988">
        <f t="shared" si="266"/>
        <v>0</v>
      </c>
      <c r="H1580" s="988">
        <f t="shared" si="266"/>
        <v>0</v>
      </c>
      <c r="I1580" s="988">
        <f t="shared" si="266"/>
        <v>0</v>
      </c>
      <c r="J1580" s="988">
        <f t="shared" si="266"/>
        <v>0</v>
      </c>
      <c r="K1580" s="988">
        <f t="shared" si="266"/>
        <v>0</v>
      </c>
      <c r="L1580" s="988">
        <f t="shared" si="266"/>
        <v>0</v>
      </c>
      <c r="M1580" s="988">
        <f t="shared" si="266"/>
        <v>0</v>
      </c>
      <c r="N1580" s="988">
        <f t="shared" si="266"/>
        <v>0</v>
      </c>
      <c r="O1580" s="988">
        <f t="shared" si="266"/>
        <v>0</v>
      </c>
      <c r="P1580" s="988">
        <f t="shared" si="266"/>
        <v>0</v>
      </c>
      <c r="Q1580" s="988"/>
      <c r="R1580" s="988">
        <f t="shared" si="267"/>
        <v>0</v>
      </c>
      <c r="S1580" s="546">
        <f t="shared" si="260"/>
        <v>0</v>
      </c>
      <c r="T1580" s="547">
        <f t="shared" si="261"/>
        <v>0</v>
      </c>
      <c r="U1580" s="546">
        <f t="shared" si="262"/>
        <v>0</v>
      </c>
      <c r="W1580" s="350">
        <f t="shared" si="264"/>
        <v>0</v>
      </c>
      <c r="X1580" s="285">
        <f t="shared" si="263"/>
        <v>0</v>
      </c>
    </row>
    <row r="1581" spans="1:24" ht="12" thickBot="1">
      <c r="A1581" s="541" t="s">
        <v>1504</v>
      </c>
      <c r="B1581" s="541" t="s">
        <v>1048</v>
      </c>
      <c r="C1581" s="541" t="s">
        <v>1049</v>
      </c>
      <c r="D1581" s="553" t="s">
        <v>1146</v>
      </c>
      <c r="E1581" s="549">
        <f t="shared" si="265"/>
        <v>0</v>
      </c>
      <c r="F1581" s="988">
        <f t="shared" si="266"/>
        <v>0</v>
      </c>
      <c r="G1581" s="988">
        <f t="shared" si="266"/>
        <v>0</v>
      </c>
      <c r="H1581" s="988">
        <f t="shared" si="266"/>
        <v>0</v>
      </c>
      <c r="I1581" s="988">
        <f t="shared" si="266"/>
        <v>0</v>
      </c>
      <c r="J1581" s="988">
        <f t="shared" si="266"/>
        <v>0</v>
      </c>
      <c r="K1581" s="988">
        <f t="shared" si="266"/>
        <v>0</v>
      </c>
      <c r="L1581" s="988">
        <f t="shared" si="266"/>
        <v>0</v>
      </c>
      <c r="M1581" s="988">
        <f t="shared" si="266"/>
        <v>0</v>
      </c>
      <c r="N1581" s="988">
        <f t="shared" si="266"/>
        <v>0</v>
      </c>
      <c r="O1581" s="988">
        <f t="shared" si="266"/>
        <v>0</v>
      </c>
      <c r="P1581" s="988">
        <f t="shared" si="266"/>
        <v>0</v>
      </c>
      <c r="Q1581" s="988"/>
      <c r="R1581" s="988">
        <f t="shared" si="267"/>
        <v>0</v>
      </c>
      <c r="S1581" s="546">
        <f t="shared" si="260"/>
        <v>0</v>
      </c>
      <c r="T1581" s="547">
        <f t="shared" si="261"/>
        <v>0</v>
      </c>
      <c r="U1581" s="546">
        <f t="shared" si="262"/>
        <v>0</v>
      </c>
      <c r="W1581" s="350">
        <f t="shared" si="264"/>
        <v>0</v>
      </c>
      <c r="X1581" s="285">
        <f t="shared" si="263"/>
        <v>0</v>
      </c>
    </row>
    <row r="1582" spans="1:24" ht="12" thickBot="1">
      <c r="A1582" s="541" t="s">
        <v>1504</v>
      </c>
      <c r="B1582" s="541" t="s">
        <v>152</v>
      </c>
      <c r="C1582" s="541" t="s">
        <v>57</v>
      </c>
      <c r="D1582" s="553" t="s">
        <v>18</v>
      </c>
      <c r="E1582" s="549">
        <f t="shared" si="265"/>
        <v>143877223</v>
      </c>
      <c r="F1582" s="988">
        <f t="shared" si="266"/>
        <v>24000</v>
      </c>
      <c r="G1582" s="988">
        <f t="shared" si="266"/>
        <v>1067569</v>
      </c>
      <c r="H1582" s="988">
        <f t="shared" si="266"/>
        <v>4160929</v>
      </c>
      <c r="I1582" s="988">
        <f t="shared" si="266"/>
        <v>0</v>
      </c>
      <c r="J1582" s="988">
        <f t="shared" si="266"/>
        <v>215096</v>
      </c>
      <c r="K1582" s="988">
        <f t="shared" si="266"/>
        <v>2211997</v>
      </c>
      <c r="L1582" s="988">
        <f t="shared" si="266"/>
        <v>0</v>
      </c>
      <c r="M1582" s="988">
        <f t="shared" si="266"/>
        <v>338882</v>
      </c>
      <c r="N1582" s="988">
        <f t="shared" si="266"/>
        <v>0</v>
      </c>
      <c r="O1582" s="988">
        <f t="shared" si="266"/>
        <v>727015</v>
      </c>
      <c r="P1582" s="988">
        <f t="shared" si="266"/>
        <v>0</v>
      </c>
      <c r="Q1582" s="988"/>
      <c r="R1582" s="988">
        <f t="shared" si="267"/>
        <v>8745489</v>
      </c>
      <c r="S1582" s="546">
        <f t="shared" si="260"/>
        <v>5228498</v>
      </c>
      <c r="T1582" s="547">
        <f t="shared" si="261"/>
        <v>2427093</v>
      </c>
      <c r="U1582" s="546">
        <f t="shared" si="262"/>
        <v>727015</v>
      </c>
      <c r="W1582" s="350">
        <f t="shared" si="264"/>
        <v>8745488</v>
      </c>
      <c r="X1582" s="285">
        <f t="shared" si="263"/>
        <v>-1</v>
      </c>
    </row>
    <row r="1583" spans="1:24" ht="12" thickBot="1">
      <c r="A1583" s="541" t="s">
        <v>1504</v>
      </c>
      <c r="B1583" s="541" t="s">
        <v>153</v>
      </c>
      <c r="C1583" s="541" t="s">
        <v>180</v>
      </c>
      <c r="D1583" s="542" t="s">
        <v>25</v>
      </c>
      <c r="E1583" s="549">
        <f t="shared" si="265"/>
        <v>20132212</v>
      </c>
      <c r="F1583" s="988">
        <f t="shared" si="266"/>
        <v>33320</v>
      </c>
      <c r="G1583" s="988">
        <f t="shared" si="266"/>
        <v>134886</v>
      </c>
      <c r="H1583" s="988">
        <f t="shared" si="266"/>
        <v>582224</v>
      </c>
      <c r="I1583" s="988">
        <f t="shared" si="266"/>
        <v>0</v>
      </c>
      <c r="J1583" s="988">
        <f t="shared" si="266"/>
        <v>58815</v>
      </c>
      <c r="K1583" s="988">
        <f t="shared" si="266"/>
        <v>658949</v>
      </c>
      <c r="L1583" s="988">
        <f t="shared" si="266"/>
        <v>31785</v>
      </c>
      <c r="M1583" s="988">
        <f t="shared" si="266"/>
        <v>47419</v>
      </c>
      <c r="N1583" s="988">
        <f t="shared" si="266"/>
        <v>0</v>
      </c>
      <c r="O1583" s="988">
        <f t="shared" si="266"/>
        <v>101729</v>
      </c>
      <c r="P1583" s="988">
        <f t="shared" si="266"/>
        <v>0</v>
      </c>
      <c r="Q1583" s="988"/>
      <c r="R1583" s="988">
        <f t="shared" si="267"/>
        <v>1649126</v>
      </c>
      <c r="S1583" s="546">
        <f t="shared" si="260"/>
        <v>717110</v>
      </c>
      <c r="T1583" s="547">
        <f t="shared" si="261"/>
        <v>717764</v>
      </c>
      <c r="U1583" s="546">
        <f t="shared" si="262"/>
        <v>101729</v>
      </c>
      <c r="W1583" s="350">
        <f t="shared" si="264"/>
        <v>1649127</v>
      </c>
      <c r="X1583" s="285">
        <f t="shared" si="263"/>
        <v>1</v>
      </c>
    </row>
    <row r="1584" spans="1:24" ht="12" thickBot="1">
      <c r="A1584" s="541" t="s">
        <v>1504</v>
      </c>
      <c r="B1584" s="541" t="s">
        <v>154</v>
      </c>
      <c r="C1584" s="541" t="s">
        <v>181</v>
      </c>
      <c r="D1584" s="542" t="s">
        <v>24</v>
      </c>
      <c r="E1584" s="549">
        <f t="shared" si="265"/>
        <v>177385987</v>
      </c>
      <c r="F1584" s="988">
        <f t="shared" si="266"/>
        <v>419400</v>
      </c>
      <c r="G1584" s="988">
        <f t="shared" si="266"/>
        <v>1192034</v>
      </c>
      <c r="H1584" s="988">
        <f t="shared" si="266"/>
        <v>5130003</v>
      </c>
      <c r="I1584" s="988">
        <f t="shared" si="266"/>
        <v>0</v>
      </c>
      <c r="J1584" s="988">
        <f t="shared" si="266"/>
        <v>591955</v>
      </c>
      <c r="K1584" s="988">
        <f t="shared" si="266"/>
        <v>6643049</v>
      </c>
      <c r="L1584" s="988">
        <f t="shared" si="266"/>
        <v>280059</v>
      </c>
      <c r="M1584" s="988">
        <f t="shared" si="266"/>
        <v>417807</v>
      </c>
      <c r="N1584" s="988">
        <f t="shared" si="266"/>
        <v>0</v>
      </c>
      <c r="O1584" s="988">
        <f t="shared" si="266"/>
        <v>896336</v>
      </c>
      <c r="P1584" s="988">
        <f t="shared" si="266"/>
        <v>0</v>
      </c>
      <c r="Q1584" s="988"/>
      <c r="R1584" s="988">
        <f t="shared" si="267"/>
        <v>15570642</v>
      </c>
      <c r="S1584" s="546">
        <f t="shared" si="260"/>
        <v>6322037</v>
      </c>
      <c r="T1584" s="547">
        <f t="shared" si="261"/>
        <v>7235004</v>
      </c>
      <c r="U1584" s="546">
        <f t="shared" si="262"/>
        <v>896336</v>
      </c>
      <c r="W1584" s="350">
        <f t="shared" si="264"/>
        <v>15570643</v>
      </c>
      <c r="X1584" s="285">
        <f t="shared" si="263"/>
        <v>1</v>
      </c>
    </row>
    <row r="1585" spans="1:24" ht="12" thickBot="1">
      <c r="A1585" s="541" t="s">
        <v>1504</v>
      </c>
      <c r="B1585" s="541" t="s">
        <v>155</v>
      </c>
      <c r="C1585" s="541" t="s">
        <v>182</v>
      </c>
      <c r="D1585" s="554" t="s">
        <v>205</v>
      </c>
      <c r="E1585" s="549">
        <f t="shared" si="265"/>
        <v>255284575</v>
      </c>
      <c r="F1585" s="988">
        <f t="shared" si="266"/>
        <v>15600</v>
      </c>
      <c r="G1585" s="988">
        <f t="shared" si="266"/>
        <v>2228634</v>
      </c>
      <c r="H1585" s="988">
        <f t="shared" si="266"/>
        <v>7382830</v>
      </c>
      <c r="I1585" s="988">
        <f t="shared" si="266"/>
        <v>0</v>
      </c>
      <c r="J1585" s="988">
        <f t="shared" si="266"/>
        <v>384521</v>
      </c>
      <c r="K1585" s="988">
        <f t="shared" si="266"/>
        <v>3872728</v>
      </c>
      <c r="L1585" s="988">
        <f t="shared" si="266"/>
        <v>403046</v>
      </c>
      <c r="M1585" s="988">
        <f t="shared" si="266"/>
        <v>601286</v>
      </c>
      <c r="N1585" s="988">
        <f t="shared" si="266"/>
        <v>0</v>
      </c>
      <c r="O1585" s="988">
        <f t="shared" si="266"/>
        <v>1289959</v>
      </c>
      <c r="P1585" s="988">
        <f t="shared" si="266"/>
        <v>0</v>
      </c>
      <c r="Q1585" s="988"/>
      <c r="R1585" s="988">
        <f t="shared" si="267"/>
        <v>16178604</v>
      </c>
      <c r="S1585" s="546">
        <f t="shared" si="260"/>
        <v>9611464</v>
      </c>
      <c r="T1585" s="547">
        <f t="shared" si="261"/>
        <v>4257249</v>
      </c>
      <c r="U1585" s="546">
        <f t="shared" si="262"/>
        <v>1289959</v>
      </c>
      <c r="W1585" s="350">
        <f t="shared" si="264"/>
        <v>16178604</v>
      </c>
      <c r="X1585" s="285">
        <f t="shared" si="263"/>
        <v>0</v>
      </c>
    </row>
    <row r="1586" spans="1:24" ht="12" thickBot="1">
      <c r="A1586" s="541" t="s">
        <v>1504</v>
      </c>
      <c r="B1586" s="541" t="s">
        <v>156</v>
      </c>
      <c r="C1586" s="541" t="s">
        <v>183</v>
      </c>
      <c r="D1586" s="554" t="s">
        <v>25</v>
      </c>
      <c r="E1586" s="549">
        <f t="shared" si="265"/>
        <v>0</v>
      </c>
      <c r="F1586" s="988">
        <f t="shared" si="266"/>
        <v>0</v>
      </c>
      <c r="G1586" s="988">
        <f t="shared" si="266"/>
        <v>0</v>
      </c>
      <c r="H1586" s="988">
        <f t="shared" si="266"/>
        <v>0</v>
      </c>
      <c r="I1586" s="988">
        <f t="shared" si="266"/>
        <v>0</v>
      </c>
      <c r="J1586" s="988">
        <f t="shared" si="266"/>
        <v>0</v>
      </c>
      <c r="K1586" s="988">
        <f t="shared" si="266"/>
        <v>0</v>
      </c>
      <c r="L1586" s="988">
        <f t="shared" si="266"/>
        <v>0</v>
      </c>
      <c r="M1586" s="988">
        <f t="shared" si="266"/>
        <v>0</v>
      </c>
      <c r="N1586" s="988">
        <f t="shared" si="266"/>
        <v>0</v>
      </c>
      <c r="O1586" s="988">
        <f t="shared" si="266"/>
        <v>0</v>
      </c>
      <c r="P1586" s="988">
        <f t="shared" si="266"/>
        <v>0</v>
      </c>
      <c r="Q1586" s="988"/>
      <c r="R1586" s="988">
        <f t="shared" si="267"/>
        <v>0</v>
      </c>
      <c r="S1586" s="546">
        <f t="shared" si="260"/>
        <v>0</v>
      </c>
      <c r="T1586" s="547">
        <f t="shared" si="261"/>
        <v>0</v>
      </c>
      <c r="U1586" s="546">
        <f t="shared" si="262"/>
        <v>0</v>
      </c>
      <c r="W1586" s="350">
        <f t="shared" si="264"/>
        <v>0</v>
      </c>
      <c r="X1586" s="285">
        <f t="shared" si="263"/>
        <v>0</v>
      </c>
    </row>
    <row r="1587" spans="1:24" ht="12" thickBot="1">
      <c r="A1587" s="541" t="s">
        <v>1504</v>
      </c>
      <c r="B1587" s="541" t="s">
        <v>157</v>
      </c>
      <c r="C1587" s="541" t="s">
        <v>184</v>
      </c>
      <c r="D1587" s="554" t="s">
        <v>24</v>
      </c>
      <c r="E1587" s="549">
        <f t="shared" si="265"/>
        <v>0</v>
      </c>
      <c r="F1587" s="988">
        <f t="shared" ref="F1587:P1596" si="268">ROUND(SUMIFS(F$1721:F$1901,$A$1721:$A$1901,$A1587,$B$1721:$B$1901,$B1587),0)</f>
        <v>0</v>
      </c>
      <c r="G1587" s="988">
        <f t="shared" si="268"/>
        <v>0</v>
      </c>
      <c r="H1587" s="988">
        <f t="shared" si="268"/>
        <v>0</v>
      </c>
      <c r="I1587" s="988">
        <f t="shared" si="268"/>
        <v>0</v>
      </c>
      <c r="J1587" s="988">
        <f t="shared" si="268"/>
        <v>0</v>
      </c>
      <c r="K1587" s="988">
        <f t="shared" si="268"/>
        <v>0</v>
      </c>
      <c r="L1587" s="988">
        <f t="shared" si="268"/>
        <v>0</v>
      </c>
      <c r="M1587" s="988">
        <f t="shared" si="268"/>
        <v>0</v>
      </c>
      <c r="N1587" s="988">
        <f t="shared" si="268"/>
        <v>0</v>
      </c>
      <c r="O1587" s="988">
        <f t="shared" si="268"/>
        <v>0</v>
      </c>
      <c r="P1587" s="988">
        <f t="shared" si="268"/>
        <v>0</v>
      </c>
      <c r="Q1587" s="988"/>
      <c r="R1587" s="988">
        <f t="shared" si="267"/>
        <v>0</v>
      </c>
      <c r="S1587" s="546">
        <f t="shared" si="260"/>
        <v>0</v>
      </c>
      <c r="T1587" s="547">
        <f t="shared" si="261"/>
        <v>0</v>
      </c>
      <c r="U1587" s="546">
        <f t="shared" si="262"/>
        <v>0</v>
      </c>
      <c r="W1587" s="350">
        <f t="shared" si="264"/>
        <v>0</v>
      </c>
      <c r="X1587" s="285">
        <f t="shared" si="263"/>
        <v>0</v>
      </c>
    </row>
    <row r="1588" spans="1:24" ht="12" thickBot="1">
      <c r="A1588" s="541" t="s">
        <v>1504</v>
      </c>
      <c r="B1588" s="541" t="s">
        <v>158</v>
      </c>
      <c r="C1588" s="541" t="s">
        <v>185</v>
      </c>
      <c r="D1588" s="542" t="s">
        <v>205</v>
      </c>
      <c r="E1588" s="549">
        <f t="shared" si="265"/>
        <v>106794413</v>
      </c>
      <c r="F1588" s="988">
        <f t="shared" si="268"/>
        <v>60600</v>
      </c>
      <c r="G1588" s="988">
        <f t="shared" si="268"/>
        <v>932315</v>
      </c>
      <c r="H1588" s="988">
        <f t="shared" si="268"/>
        <v>3088494</v>
      </c>
      <c r="I1588" s="988">
        <f t="shared" si="268"/>
        <v>0</v>
      </c>
      <c r="J1588" s="988">
        <f t="shared" si="268"/>
        <v>192501</v>
      </c>
      <c r="K1588" s="988">
        <f t="shared" si="268"/>
        <v>1945701</v>
      </c>
      <c r="L1588" s="988">
        <f t="shared" si="268"/>
        <v>168608</v>
      </c>
      <c r="M1588" s="988">
        <f t="shared" si="268"/>
        <v>251539</v>
      </c>
      <c r="N1588" s="988">
        <f t="shared" si="268"/>
        <v>0</v>
      </c>
      <c r="O1588" s="988">
        <f t="shared" si="268"/>
        <v>539635</v>
      </c>
      <c r="P1588" s="988">
        <f t="shared" si="268"/>
        <v>0</v>
      </c>
      <c r="Q1588" s="988"/>
      <c r="R1588" s="988">
        <f t="shared" si="267"/>
        <v>7179394</v>
      </c>
      <c r="S1588" s="546">
        <f t="shared" si="260"/>
        <v>4020809</v>
      </c>
      <c r="T1588" s="547">
        <f t="shared" si="261"/>
        <v>2138202</v>
      </c>
      <c r="U1588" s="546">
        <f t="shared" si="262"/>
        <v>539635</v>
      </c>
      <c r="W1588" s="350">
        <f t="shared" si="264"/>
        <v>7179393</v>
      </c>
      <c r="X1588" s="285">
        <f t="shared" si="263"/>
        <v>-1</v>
      </c>
    </row>
    <row r="1589" spans="1:24" ht="12" thickBot="1">
      <c r="A1589" s="541" t="s">
        <v>1504</v>
      </c>
      <c r="B1589" s="541" t="s">
        <v>159</v>
      </c>
      <c r="C1589" s="541" t="s">
        <v>186</v>
      </c>
      <c r="D1589" s="542" t="s">
        <v>204</v>
      </c>
      <c r="E1589" s="549">
        <f t="shared" si="265"/>
        <v>138941021</v>
      </c>
      <c r="F1589" s="988">
        <f t="shared" si="268"/>
        <v>93200</v>
      </c>
      <c r="G1589" s="988">
        <f t="shared" si="268"/>
        <v>1224070</v>
      </c>
      <c r="H1589" s="988">
        <f t="shared" si="268"/>
        <v>4018174</v>
      </c>
      <c r="I1589" s="988">
        <f t="shared" si="268"/>
        <v>0</v>
      </c>
      <c r="J1589" s="988">
        <f t="shared" si="268"/>
        <v>300616</v>
      </c>
      <c r="K1589" s="988">
        <f t="shared" si="268"/>
        <v>3067888</v>
      </c>
      <c r="L1589" s="988">
        <f t="shared" si="268"/>
        <v>219361</v>
      </c>
      <c r="M1589" s="988">
        <f t="shared" si="268"/>
        <v>327256</v>
      </c>
      <c r="N1589" s="988">
        <f t="shared" si="268"/>
        <v>0</v>
      </c>
      <c r="O1589" s="988">
        <f t="shared" si="268"/>
        <v>702073</v>
      </c>
      <c r="P1589" s="988">
        <f t="shared" si="268"/>
        <v>0</v>
      </c>
      <c r="Q1589" s="988"/>
      <c r="R1589" s="988">
        <f t="shared" si="267"/>
        <v>9952638</v>
      </c>
      <c r="S1589" s="546">
        <f t="shared" si="260"/>
        <v>5242244</v>
      </c>
      <c r="T1589" s="547">
        <f t="shared" si="261"/>
        <v>3368504</v>
      </c>
      <c r="U1589" s="546">
        <f t="shared" si="262"/>
        <v>702073</v>
      </c>
      <c r="W1589" s="350">
        <f t="shared" si="264"/>
        <v>9952638</v>
      </c>
      <c r="X1589" s="285">
        <f t="shared" si="263"/>
        <v>0</v>
      </c>
    </row>
    <row r="1590" spans="1:24" ht="12" thickBot="1">
      <c r="A1590" s="541" t="s">
        <v>1504</v>
      </c>
      <c r="B1590" s="541" t="s">
        <v>160</v>
      </c>
      <c r="C1590" s="541" t="s">
        <v>187</v>
      </c>
      <c r="D1590" s="542" t="s">
        <v>24</v>
      </c>
      <c r="E1590" s="549">
        <f t="shared" si="265"/>
        <v>0</v>
      </c>
      <c r="F1590" s="988">
        <f t="shared" si="268"/>
        <v>0</v>
      </c>
      <c r="G1590" s="988">
        <f t="shared" si="268"/>
        <v>0</v>
      </c>
      <c r="H1590" s="988">
        <f t="shared" si="268"/>
        <v>0</v>
      </c>
      <c r="I1590" s="988">
        <f t="shared" si="268"/>
        <v>0</v>
      </c>
      <c r="J1590" s="988">
        <f t="shared" si="268"/>
        <v>0</v>
      </c>
      <c r="K1590" s="988">
        <f t="shared" si="268"/>
        <v>0</v>
      </c>
      <c r="L1590" s="988">
        <f t="shared" si="268"/>
        <v>0</v>
      </c>
      <c r="M1590" s="988">
        <f t="shared" si="268"/>
        <v>0</v>
      </c>
      <c r="N1590" s="988">
        <f t="shared" si="268"/>
        <v>0</v>
      </c>
      <c r="O1590" s="988">
        <f t="shared" si="268"/>
        <v>0</v>
      </c>
      <c r="P1590" s="988">
        <f t="shared" si="268"/>
        <v>0</v>
      </c>
      <c r="Q1590" s="988"/>
      <c r="R1590" s="988">
        <f t="shared" si="267"/>
        <v>0</v>
      </c>
      <c r="S1590" s="546">
        <f t="shared" ref="S1590:S1615" si="269">G1590+H1590+I1590</f>
        <v>0</v>
      </c>
      <c r="T1590" s="547">
        <f t="shared" ref="T1590:T1615" si="270">J1590+K1590</f>
        <v>0</v>
      </c>
      <c r="U1590" s="546">
        <f t="shared" ref="U1590:U1615" si="271">N1590+O1590</f>
        <v>0</v>
      </c>
      <c r="W1590" s="350">
        <f t="shared" si="264"/>
        <v>0</v>
      </c>
      <c r="X1590" s="285">
        <f t="shared" ref="X1590:X1615" si="272">W1590-R1590</f>
        <v>0</v>
      </c>
    </row>
    <row r="1591" spans="1:24" ht="12" thickBot="1">
      <c r="A1591" s="541" t="s">
        <v>1504</v>
      </c>
      <c r="B1591" s="541" t="s">
        <v>1050</v>
      </c>
      <c r="C1591" s="541" t="s">
        <v>1049</v>
      </c>
      <c r="D1591" s="542" t="s">
        <v>1146</v>
      </c>
      <c r="E1591" s="549">
        <f t="shared" si="265"/>
        <v>0</v>
      </c>
      <c r="F1591" s="988">
        <f t="shared" si="268"/>
        <v>0</v>
      </c>
      <c r="G1591" s="988">
        <f t="shared" si="268"/>
        <v>0</v>
      </c>
      <c r="H1591" s="988">
        <f t="shared" si="268"/>
        <v>0</v>
      </c>
      <c r="I1591" s="988">
        <f t="shared" si="268"/>
        <v>0</v>
      </c>
      <c r="J1591" s="988">
        <f t="shared" si="268"/>
        <v>0</v>
      </c>
      <c r="K1591" s="988">
        <f t="shared" si="268"/>
        <v>0</v>
      </c>
      <c r="L1591" s="988">
        <f t="shared" si="268"/>
        <v>0</v>
      </c>
      <c r="M1591" s="988">
        <f t="shared" si="268"/>
        <v>0</v>
      </c>
      <c r="N1591" s="988">
        <f t="shared" si="268"/>
        <v>0</v>
      </c>
      <c r="O1591" s="988">
        <f t="shared" si="268"/>
        <v>0</v>
      </c>
      <c r="P1591" s="988">
        <f t="shared" si="268"/>
        <v>0</v>
      </c>
      <c r="Q1591" s="988"/>
      <c r="R1591" s="988">
        <f t="shared" si="267"/>
        <v>0</v>
      </c>
      <c r="S1591" s="546">
        <f t="shared" si="269"/>
        <v>0</v>
      </c>
      <c r="T1591" s="547">
        <f t="shared" si="270"/>
        <v>0</v>
      </c>
      <c r="U1591" s="546">
        <f t="shared" si="271"/>
        <v>0</v>
      </c>
      <c r="W1591" s="350">
        <f t="shared" si="264"/>
        <v>0</v>
      </c>
      <c r="X1591" s="285">
        <f t="shared" si="272"/>
        <v>0</v>
      </c>
    </row>
    <row r="1592" spans="1:24" ht="12" thickBot="1">
      <c r="A1592" s="541" t="s">
        <v>1504</v>
      </c>
      <c r="B1592" s="541" t="s">
        <v>161</v>
      </c>
      <c r="C1592" s="541" t="s">
        <v>476</v>
      </c>
      <c r="D1592" s="541" t="s">
        <v>208</v>
      </c>
      <c r="E1592" s="549">
        <f t="shared" si="265"/>
        <v>68970770</v>
      </c>
      <c r="F1592" s="988">
        <f t="shared" si="268"/>
        <v>1270587</v>
      </c>
      <c r="G1592" s="988">
        <f t="shared" si="268"/>
        <v>4043067</v>
      </c>
      <c r="H1592" s="988">
        <f t="shared" si="268"/>
        <v>1994635</v>
      </c>
      <c r="I1592" s="988">
        <f t="shared" si="268"/>
        <v>324852</v>
      </c>
      <c r="J1592" s="988">
        <f t="shared" si="268"/>
        <v>0</v>
      </c>
      <c r="K1592" s="988">
        <f t="shared" si="268"/>
        <v>0</v>
      </c>
      <c r="L1592" s="988">
        <f t="shared" si="268"/>
        <v>108892</v>
      </c>
      <c r="M1592" s="988">
        <f t="shared" si="268"/>
        <v>162451</v>
      </c>
      <c r="N1592" s="988">
        <f t="shared" si="268"/>
        <v>0</v>
      </c>
      <c r="O1592" s="988">
        <f t="shared" si="268"/>
        <v>348511</v>
      </c>
      <c r="P1592" s="988">
        <f t="shared" si="268"/>
        <v>0</v>
      </c>
      <c r="Q1592" s="988"/>
      <c r="R1592" s="988">
        <f t="shared" si="267"/>
        <v>8252994</v>
      </c>
      <c r="S1592" s="546">
        <f t="shared" si="269"/>
        <v>6362554</v>
      </c>
      <c r="T1592" s="547">
        <f t="shared" si="270"/>
        <v>0</v>
      </c>
      <c r="U1592" s="546">
        <f t="shared" si="271"/>
        <v>348511</v>
      </c>
      <c r="W1592" s="350">
        <f t="shared" si="264"/>
        <v>8252995</v>
      </c>
      <c r="X1592" s="285">
        <f t="shared" si="272"/>
        <v>1</v>
      </c>
    </row>
    <row r="1593" spans="1:24" ht="12" thickBot="1">
      <c r="A1593" s="541" t="s">
        <v>1504</v>
      </c>
      <c r="B1593" s="541" t="s">
        <v>162</v>
      </c>
      <c r="C1593" s="541" t="s">
        <v>1391</v>
      </c>
      <c r="D1593" s="561" t="s">
        <v>208</v>
      </c>
      <c r="E1593" s="549">
        <f t="shared" si="265"/>
        <v>0</v>
      </c>
      <c r="F1593" s="988">
        <f t="shared" si="268"/>
        <v>0</v>
      </c>
      <c r="G1593" s="988">
        <f t="shared" si="268"/>
        <v>0</v>
      </c>
      <c r="H1593" s="988">
        <f t="shared" si="268"/>
        <v>0</v>
      </c>
      <c r="I1593" s="988">
        <f t="shared" si="268"/>
        <v>0</v>
      </c>
      <c r="J1593" s="988">
        <f t="shared" si="268"/>
        <v>0</v>
      </c>
      <c r="K1593" s="988">
        <f t="shared" si="268"/>
        <v>0</v>
      </c>
      <c r="L1593" s="988">
        <f t="shared" si="268"/>
        <v>0</v>
      </c>
      <c r="M1593" s="988">
        <f t="shared" si="268"/>
        <v>0</v>
      </c>
      <c r="N1593" s="988">
        <f t="shared" si="268"/>
        <v>0</v>
      </c>
      <c r="O1593" s="988">
        <f t="shared" si="268"/>
        <v>0</v>
      </c>
      <c r="P1593" s="988">
        <f t="shared" si="268"/>
        <v>0</v>
      </c>
      <c r="Q1593" s="988"/>
      <c r="R1593" s="988">
        <f t="shared" si="267"/>
        <v>0</v>
      </c>
      <c r="S1593" s="546">
        <f t="shared" si="269"/>
        <v>0</v>
      </c>
      <c r="T1593" s="547">
        <f t="shared" si="270"/>
        <v>0</v>
      </c>
      <c r="U1593" s="546">
        <f t="shared" si="271"/>
        <v>0</v>
      </c>
      <c r="W1593" s="350">
        <f t="shared" si="264"/>
        <v>0</v>
      </c>
      <c r="X1593" s="285">
        <f t="shared" si="272"/>
        <v>0</v>
      </c>
    </row>
    <row r="1594" spans="1:24" ht="12" thickBot="1">
      <c r="A1594" s="541" t="s">
        <v>1504</v>
      </c>
      <c r="B1594" s="541" t="s">
        <v>163</v>
      </c>
      <c r="C1594" s="541" t="s">
        <v>63</v>
      </c>
      <c r="D1594" s="542" t="s">
        <v>17</v>
      </c>
      <c r="E1594" s="549">
        <f t="shared" si="265"/>
        <v>101080235</v>
      </c>
      <c r="F1594" s="988">
        <f t="shared" si="268"/>
        <v>649973</v>
      </c>
      <c r="G1594" s="988">
        <f t="shared" si="268"/>
        <v>5925323</v>
      </c>
      <c r="H1594" s="988">
        <f t="shared" si="268"/>
        <v>2923240</v>
      </c>
      <c r="I1594" s="988">
        <f t="shared" si="268"/>
        <v>476088</v>
      </c>
      <c r="J1594" s="988">
        <f t="shared" si="268"/>
        <v>0</v>
      </c>
      <c r="K1594" s="988">
        <f t="shared" si="268"/>
        <v>0</v>
      </c>
      <c r="L1594" s="988">
        <f t="shared" si="268"/>
        <v>159586</v>
      </c>
      <c r="M1594" s="988">
        <f t="shared" si="268"/>
        <v>238080</v>
      </c>
      <c r="N1594" s="988">
        <f t="shared" si="268"/>
        <v>510761</v>
      </c>
      <c r="O1594" s="988">
        <f t="shared" si="268"/>
        <v>0</v>
      </c>
      <c r="P1594" s="988">
        <f t="shared" si="268"/>
        <v>0</v>
      </c>
      <c r="Q1594" s="988"/>
      <c r="R1594" s="988">
        <f t="shared" si="267"/>
        <v>10883052</v>
      </c>
      <c r="S1594" s="546">
        <f t="shared" si="269"/>
        <v>9324651</v>
      </c>
      <c r="T1594" s="547">
        <f t="shared" si="270"/>
        <v>0</v>
      </c>
      <c r="U1594" s="546">
        <f t="shared" si="271"/>
        <v>510761</v>
      </c>
      <c r="W1594" s="350">
        <f t="shared" si="264"/>
        <v>10883051</v>
      </c>
      <c r="X1594" s="285">
        <f t="shared" si="272"/>
        <v>-1</v>
      </c>
    </row>
    <row r="1595" spans="1:24" ht="12" thickBot="1">
      <c r="A1595" s="541" t="s">
        <v>1504</v>
      </c>
      <c r="B1595" s="541" t="s">
        <v>164</v>
      </c>
      <c r="C1595" s="541" t="s">
        <v>188</v>
      </c>
      <c r="D1595" s="555" t="s">
        <v>203</v>
      </c>
      <c r="E1595" s="549">
        <f>ROUND(SUMIFS(E$1721:E$1901,$A$1721:$A$1901,$A1595,$B$1721:$B$1901,$B1595),0)</f>
        <v>744788</v>
      </c>
      <c r="F1595" s="988">
        <f t="shared" si="268"/>
        <v>7460</v>
      </c>
      <c r="G1595" s="988">
        <f t="shared" si="268"/>
        <v>31527</v>
      </c>
      <c r="H1595" s="988">
        <f t="shared" si="268"/>
        <v>21539</v>
      </c>
      <c r="I1595" s="988">
        <f t="shared" si="268"/>
        <v>2346</v>
      </c>
      <c r="J1595" s="988">
        <f t="shared" si="268"/>
        <v>0</v>
      </c>
      <c r="K1595" s="988">
        <f t="shared" si="268"/>
        <v>0</v>
      </c>
      <c r="L1595" s="988">
        <f t="shared" si="268"/>
        <v>1176</v>
      </c>
      <c r="M1595" s="988">
        <f t="shared" si="268"/>
        <v>1754</v>
      </c>
      <c r="N1595" s="988">
        <f t="shared" si="268"/>
        <v>3763</v>
      </c>
      <c r="O1595" s="988">
        <f t="shared" si="268"/>
        <v>0</v>
      </c>
      <c r="P1595" s="988">
        <f t="shared" si="268"/>
        <v>0</v>
      </c>
      <c r="Q1595" s="988"/>
      <c r="R1595" s="988">
        <f t="shared" si="267"/>
        <v>69566</v>
      </c>
      <c r="S1595" s="546">
        <f t="shared" si="269"/>
        <v>55412</v>
      </c>
      <c r="T1595" s="547">
        <f t="shared" si="270"/>
        <v>0</v>
      </c>
      <c r="U1595" s="546">
        <f t="shared" si="271"/>
        <v>3763</v>
      </c>
      <c r="W1595" s="350">
        <f t="shared" si="264"/>
        <v>69565</v>
      </c>
      <c r="X1595" s="285">
        <f t="shared" si="272"/>
        <v>-1</v>
      </c>
    </row>
    <row r="1596" spans="1:24" ht="12" thickBot="1">
      <c r="A1596" s="541" t="s">
        <v>1504</v>
      </c>
      <c r="B1596" s="541" t="s">
        <v>165</v>
      </c>
      <c r="C1596" s="541" t="s">
        <v>189</v>
      </c>
      <c r="D1596" s="554" t="s">
        <v>211</v>
      </c>
      <c r="E1596" s="549">
        <f t="shared" ref="E1596:E1628" si="273">ROUND(SUMIFS(E$1721:E$1888,$A$1721:$A$1888,$A1596,$B$1721:$B$1888,$B1596),0)</f>
        <v>0</v>
      </c>
      <c r="F1596" s="988">
        <f t="shared" si="268"/>
        <v>0</v>
      </c>
      <c r="G1596" s="988">
        <f t="shared" si="268"/>
        <v>0</v>
      </c>
      <c r="H1596" s="988">
        <f t="shared" si="268"/>
        <v>0</v>
      </c>
      <c r="I1596" s="988">
        <f t="shared" si="268"/>
        <v>0</v>
      </c>
      <c r="J1596" s="988">
        <f t="shared" si="268"/>
        <v>0</v>
      </c>
      <c r="K1596" s="988">
        <f t="shared" si="268"/>
        <v>0</v>
      </c>
      <c r="L1596" s="988">
        <f t="shared" si="268"/>
        <v>0</v>
      </c>
      <c r="M1596" s="988">
        <f t="shared" si="268"/>
        <v>0</v>
      </c>
      <c r="N1596" s="988">
        <f t="shared" si="268"/>
        <v>0</v>
      </c>
      <c r="O1596" s="988">
        <f t="shared" si="268"/>
        <v>0</v>
      </c>
      <c r="P1596" s="988">
        <f t="shared" si="268"/>
        <v>0</v>
      </c>
      <c r="Q1596" s="988"/>
      <c r="R1596" s="988">
        <f t="shared" si="267"/>
        <v>0</v>
      </c>
      <c r="S1596" s="546">
        <f t="shared" si="269"/>
        <v>0</v>
      </c>
      <c r="T1596" s="547">
        <f t="shared" si="270"/>
        <v>0</v>
      </c>
      <c r="U1596" s="546">
        <f t="shared" si="271"/>
        <v>0</v>
      </c>
      <c r="W1596" s="350">
        <f t="shared" si="264"/>
        <v>0</v>
      </c>
      <c r="X1596" s="285">
        <f t="shared" si="272"/>
        <v>0</v>
      </c>
    </row>
    <row r="1597" spans="1:24" ht="12" thickBot="1">
      <c r="A1597" s="541" t="s">
        <v>1504</v>
      </c>
      <c r="B1597" s="541" t="s">
        <v>166</v>
      </c>
      <c r="C1597" s="541" t="s">
        <v>190</v>
      </c>
      <c r="D1597" s="554" t="s">
        <v>212</v>
      </c>
      <c r="E1597" s="549">
        <f t="shared" si="273"/>
        <v>0</v>
      </c>
      <c r="F1597" s="988">
        <f t="shared" ref="F1597:P1606" si="274">ROUND(SUMIFS(F$1721:F$1901,$A$1721:$A$1901,$A1597,$B$1721:$B$1901,$B1597),0)</f>
        <v>0</v>
      </c>
      <c r="G1597" s="988">
        <f t="shared" si="274"/>
        <v>0</v>
      </c>
      <c r="H1597" s="988">
        <f t="shared" si="274"/>
        <v>0</v>
      </c>
      <c r="I1597" s="988">
        <f t="shared" si="274"/>
        <v>0</v>
      </c>
      <c r="J1597" s="988">
        <f t="shared" si="274"/>
        <v>0</v>
      </c>
      <c r="K1597" s="988">
        <f t="shared" si="274"/>
        <v>0</v>
      </c>
      <c r="L1597" s="988">
        <f t="shared" si="274"/>
        <v>0</v>
      </c>
      <c r="M1597" s="988">
        <f t="shared" si="274"/>
        <v>0</v>
      </c>
      <c r="N1597" s="988">
        <f t="shared" si="274"/>
        <v>0</v>
      </c>
      <c r="O1597" s="988">
        <f t="shared" si="274"/>
        <v>0</v>
      </c>
      <c r="P1597" s="988">
        <f t="shared" si="274"/>
        <v>0</v>
      </c>
      <c r="Q1597" s="988"/>
      <c r="R1597" s="988">
        <f t="shared" si="267"/>
        <v>0</v>
      </c>
      <c r="S1597" s="546">
        <f t="shared" si="269"/>
        <v>0</v>
      </c>
      <c r="T1597" s="547">
        <f t="shared" si="270"/>
        <v>0</v>
      </c>
      <c r="U1597" s="546">
        <f t="shared" si="271"/>
        <v>0</v>
      </c>
      <c r="W1597" s="350">
        <f t="shared" si="264"/>
        <v>0</v>
      </c>
      <c r="X1597" s="285">
        <f t="shared" si="272"/>
        <v>0</v>
      </c>
    </row>
    <row r="1598" spans="1:24" ht="12" thickBot="1">
      <c r="A1598" s="541" t="s">
        <v>1504</v>
      </c>
      <c r="B1598" s="541" t="s">
        <v>167</v>
      </c>
      <c r="C1598" s="541" t="s">
        <v>191</v>
      </c>
      <c r="D1598" s="554" t="s">
        <v>213</v>
      </c>
      <c r="E1598" s="549">
        <f t="shared" si="273"/>
        <v>13804282</v>
      </c>
      <c r="F1598" s="988">
        <f t="shared" si="274"/>
        <v>9100</v>
      </c>
      <c r="G1598" s="988">
        <f t="shared" si="274"/>
        <v>584335</v>
      </c>
      <c r="H1598" s="988">
        <f t="shared" si="274"/>
        <v>399220</v>
      </c>
      <c r="I1598" s="988">
        <f t="shared" si="274"/>
        <v>43483</v>
      </c>
      <c r="J1598" s="988">
        <f t="shared" si="274"/>
        <v>0</v>
      </c>
      <c r="K1598" s="988">
        <f t="shared" si="274"/>
        <v>0</v>
      </c>
      <c r="L1598" s="988">
        <f t="shared" si="274"/>
        <v>21794</v>
      </c>
      <c r="M1598" s="988">
        <f t="shared" si="274"/>
        <v>32514</v>
      </c>
      <c r="N1598" s="988">
        <f t="shared" si="274"/>
        <v>69753</v>
      </c>
      <c r="O1598" s="988">
        <f t="shared" si="274"/>
        <v>0</v>
      </c>
      <c r="P1598" s="988">
        <f t="shared" si="274"/>
        <v>0</v>
      </c>
      <c r="Q1598" s="988"/>
      <c r="R1598" s="988">
        <f t="shared" si="267"/>
        <v>1160200</v>
      </c>
      <c r="S1598" s="546">
        <f t="shared" si="269"/>
        <v>1027038</v>
      </c>
      <c r="T1598" s="547">
        <f t="shared" si="270"/>
        <v>0</v>
      </c>
      <c r="U1598" s="546">
        <f t="shared" si="271"/>
        <v>69753</v>
      </c>
      <c r="W1598" s="350">
        <f t="shared" si="264"/>
        <v>1160199</v>
      </c>
      <c r="X1598" s="285">
        <f t="shared" si="272"/>
        <v>-1</v>
      </c>
    </row>
    <row r="1599" spans="1:24" ht="12" thickBot="1">
      <c r="A1599" s="541" t="s">
        <v>1504</v>
      </c>
      <c r="B1599" s="541" t="s">
        <v>683</v>
      </c>
      <c r="C1599" s="541" t="s">
        <v>686</v>
      </c>
      <c r="D1599" s="554" t="s">
        <v>723</v>
      </c>
      <c r="E1599" s="549">
        <f t="shared" si="273"/>
        <v>0</v>
      </c>
      <c r="F1599" s="988">
        <f t="shared" si="274"/>
        <v>0</v>
      </c>
      <c r="G1599" s="988">
        <f t="shared" si="274"/>
        <v>0</v>
      </c>
      <c r="H1599" s="988">
        <f t="shared" si="274"/>
        <v>0</v>
      </c>
      <c r="I1599" s="988">
        <f t="shared" si="274"/>
        <v>0</v>
      </c>
      <c r="J1599" s="988">
        <f t="shared" si="274"/>
        <v>0</v>
      </c>
      <c r="K1599" s="988">
        <f t="shared" si="274"/>
        <v>0</v>
      </c>
      <c r="L1599" s="988">
        <f t="shared" si="274"/>
        <v>0</v>
      </c>
      <c r="M1599" s="988">
        <f t="shared" si="274"/>
        <v>0</v>
      </c>
      <c r="N1599" s="988">
        <f t="shared" si="274"/>
        <v>0</v>
      </c>
      <c r="O1599" s="988">
        <f t="shared" si="274"/>
        <v>0</v>
      </c>
      <c r="P1599" s="988">
        <f t="shared" si="274"/>
        <v>0</v>
      </c>
      <c r="Q1599" s="988"/>
      <c r="R1599" s="988">
        <f t="shared" si="267"/>
        <v>0</v>
      </c>
      <c r="S1599" s="546">
        <f t="shared" si="269"/>
        <v>0</v>
      </c>
      <c r="T1599" s="547">
        <f t="shared" si="270"/>
        <v>0</v>
      </c>
      <c r="U1599" s="546">
        <f t="shared" si="271"/>
        <v>0</v>
      </c>
      <c r="W1599" s="350">
        <f t="shared" si="264"/>
        <v>0</v>
      </c>
      <c r="X1599" s="285">
        <f t="shared" si="272"/>
        <v>0</v>
      </c>
    </row>
    <row r="1600" spans="1:24" ht="12" thickBot="1">
      <c r="A1600" s="541" t="s">
        <v>1504</v>
      </c>
      <c r="B1600" s="541" t="s">
        <v>684</v>
      </c>
      <c r="C1600" s="541" t="s">
        <v>687</v>
      </c>
      <c r="D1600" s="554" t="s">
        <v>707</v>
      </c>
      <c r="E1600" s="549">
        <f t="shared" si="273"/>
        <v>0</v>
      </c>
      <c r="F1600" s="988">
        <f t="shared" si="274"/>
        <v>0</v>
      </c>
      <c r="G1600" s="988">
        <f t="shared" si="274"/>
        <v>0</v>
      </c>
      <c r="H1600" s="988">
        <f t="shared" si="274"/>
        <v>0</v>
      </c>
      <c r="I1600" s="988">
        <f t="shared" si="274"/>
        <v>0</v>
      </c>
      <c r="J1600" s="988">
        <f t="shared" si="274"/>
        <v>0</v>
      </c>
      <c r="K1600" s="988">
        <f t="shared" si="274"/>
        <v>0</v>
      </c>
      <c r="L1600" s="988">
        <f t="shared" si="274"/>
        <v>0</v>
      </c>
      <c r="M1600" s="988">
        <f t="shared" si="274"/>
        <v>0</v>
      </c>
      <c r="N1600" s="988">
        <f t="shared" si="274"/>
        <v>0</v>
      </c>
      <c r="O1600" s="988">
        <f t="shared" si="274"/>
        <v>0</v>
      </c>
      <c r="P1600" s="988">
        <f t="shared" si="274"/>
        <v>0</v>
      </c>
      <c r="Q1600" s="988"/>
      <c r="R1600" s="988">
        <f t="shared" si="267"/>
        <v>0</v>
      </c>
      <c r="S1600" s="546">
        <f t="shared" si="269"/>
        <v>0</v>
      </c>
      <c r="T1600" s="547">
        <f t="shared" si="270"/>
        <v>0</v>
      </c>
      <c r="U1600" s="546">
        <f t="shared" si="271"/>
        <v>0</v>
      </c>
      <c r="W1600" s="350">
        <f t="shared" si="264"/>
        <v>0</v>
      </c>
      <c r="X1600" s="285">
        <f t="shared" si="272"/>
        <v>0</v>
      </c>
    </row>
    <row r="1601" spans="1:24" ht="12" thickBot="1">
      <c r="A1601" s="541" t="s">
        <v>1504</v>
      </c>
      <c r="B1601" s="541" t="s">
        <v>685</v>
      </c>
      <c r="C1601" s="541" t="s">
        <v>688</v>
      </c>
      <c r="D1601" s="542" t="s">
        <v>1145</v>
      </c>
      <c r="E1601" s="549">
        <f t="shared" si="273"/>
        <v>0</v>
      </c>
      <c r="F1601" s="988">
        <f t="shared" si="274"/>
        <v>0</v>
      </c>
      <c r="G1601" s="988">
        <f t="shared" si="274"/>
        <v>0</v>
      </c>
      <c r="H1601" s="988">
        <f t="shared" si="274"/>
        <v>0</v>
      </c>
      <c r="I1601" s="988">
        <f t="shared" si="274"/>
        <v>0</v>
      </c>
      <c r="J1601" s="988">
        <f t="shared" si="274"/>
        <v>0</v>
      </c>
      <c r="K1601" s="988">
        <f t="shared" si="274"/>
        <v>0</v>
      </c>
      <c r="L1601" s="988">
        <f t="shared" si="274"/>
        <v>0</v>
      </c>
      <c r="M1601" s="988">
        <f t="shared" si="274"/>
        <v>0</v>
      </c>
      <c r="N1601" s="988">
        <f t="shared" si="274"/>
        <v>0</v>
      </c>
      <c r="O1601" s="988">
        <f t="shared" si="274"/>
        <v>0</v>
      </c>
      <c r="P1601" s="988">
        <f t="shared" si="274"/>
        <v>0</v>
      </c>
      <c r="Q1601" s="988"/>
      <c r="R1601" s="988">
        <f t="shared" si="267"/>
        <v>0</v>
      </c>
      <c r="S1601" s="546">
        <f t="shared" si="269"/>
        <v>0</v>
      </c>
      <c r="T1601" s="547">
        <f t="shared" si="270"/>
        <v>0</v>
      </c>
      <c r="U1601" s="546">
        <f t="shared" si="271"/>
        <v>0</v>
      </c>
      <c r="W1601" s="350">
        <f t="shared" si="264"/>
        <v>0</v>
      </c>
      <c r="X1601" s="285">
        <f t="shared" si="272"/>
        <v>0</v>
      </c>
    </row>
    <row r="1602" spans="1:24" ht="12" thickBot="1">
      <c r="A1602" s="541" t="s">
        <v>1504</v>
      </c>
      <c r="B1602" s="541" t="s">
        <v>217</v>
      </c>
      <c r="C1602" s="541" t="s">
        <v>622</v>
      </c>
      <c r="D1602" s="542" t="s">
        <v>19</v>
      </c>
      <c r="E1602" s="549">
        <f t="shared" si="273"/>
        <v>0</v>
      </c>
      <c r="F1602" s="988">
        <f t="shared" si="274"/>
        <v>0</v>
      </c>
      <c r="G1602" s="988">
        <f t="shared" si="274"/>
        <v>0</v>
      </c>
      <c r="H1602" s="988">
        <f t="shared" si="274"/>
        <v>0</v>
      </c>
      <c r="I1602" s="988">
        <f t="shared" si="274"/>
        <v>0</v>
      </c>
      <c r="J1602" s="988">
        <f t="shared" si="274"/>
        <v>0</v>
      </c>
      <c r="K1602" s="988">
        <f t="shared" si="274"/>
        <v>0</v>
      </c>
      <c r="L1602" s="988">
        <f t="shared" si="274"/>
        <v>0</v>
      </c>
      <c r="M1602" s="988">
        <f t="shared" si="274"/>
        <v>0</v>
      </c>
      <c r="N1602" s="988">
        <f t="shared" si="274"/>
        <v>0</v>
      </c>
      <c r="O1602" s="988">
        <f t="shared" si="274"/>
        <v>0</v>
      </c>
      <c r="P1602" s="988">
        <f t="shared" si="274"/>
        <v>0</v>
      </c>
      <c r="Q1602" s="988"/>
      <c r="R1602" s="988">
        <f t="shared" si="267"/>
        <v>0</v>
      </c>
      <c r="S1602" s="546">
        <f t="shared" si="269"/>
        <v>0</v>
      </c>
      <c r="T1602" s="547">
        <f t="shared" si="270"/>
        <v>0</v>
      </c>
      <c r="U1602" s="546">
        <f t="shared" si="271"/>
        <v>0</v>
      </c>
      <c r="W1602" s="350">
        <f t="shared" si="264"/>
        <v>0</v>
      </c>
      <c r="X1602" s="285">
        <f t="shared" si="272"/>
        <v>0</v>
      </c>
    </row>
    <row r="1603" spans="1:24" ht="12" thickBot="1">
      <c r="A1603" s="541" t="s">
        <v>1504</v>
      </c>
      <c r="B1603" s="541" t="s">
        <v>216</v>
      </c>
      <c r="C1603" s="541" t="s">
        <v>622</v>
      </c>
      <c r="D1603" s="542" t="s">
        <v>19</v>
      </c>
      <c r="E1603" s="549">
        <f t="shared" si="273"/>
        <v>0</v>
      </c>
      <c r="F1603" s="988">
        <f t="shared" si="274"/>
        <v>0</v>
      </c>
      <c r="G1603" s="988">
        <f t="shared" si="274"/>
        <v>0</v>
      </c>
      <c r="H1603" s="988">
        <f t="shared" si="274"/>
        <v>0</v>
      </c>
      <c r="I1603" s="988">
        <f t="shared" si="274"/>
        <v>0</v>
      </c>
      <c r="J1603" s="988">
        <f t="shared" si="274"/>
        <v>0</v>
      </c>
      <c r="K1603" s="988">
        <f t="shared" si="274"/>
        <v>0</v>
      </c>
      <c r="L1603" s="988">
        <f t="shared" si="274"/>
        <v>0</v>
      </c>
      <c r="M1603" s="988">
        <f t="shared" si="274"/>
        <v>0</v>
      </c>
      <c r="N1603" s="988">
        <f t="shared" si="274"/>
        <v>0</v>
      </c>
      <c r="O1603" s="988">
        <f t="shared" si="274"/>
        <v>0</v>
      </c>
      <c r="P1603" s="988">
        <f t="shared" si="274"/>
        <v>0</v>
      </c>
      <c r="Q1603" s="988"/>
      <c r="R1603" s="988">
        <f t="shared" si="267"/>
        <v>0</v>
      </c>
      <c r="S1603" s="546">
        <f t="shared" si="269"/>
        <v>0</v>
      </c>
      <c r="T1603" s="547">
        <f t="shared" si="270"/>
        <v>0</v>
      </c>
      <c r="U1603" s="546">
        <f t="shared" si="271"/>
        <v>0</v>
      </c>
      <c r="W1603" s="350">
        <f t="shared" si="264"/>
        <v>0</v>
      </c>
      <c r="X1603" s="285">
        <f t="shared" si="272"/>
        <v>0</v>
      </c>
    </row>
    <row r="1604" spans="1:24" ht="12" thickBot="1">
      <c r="A1604" s="541" t="s">
        <v>1504</v>
      </c>
      <c r="B1604" s="541" t="s">
        <v>168</v>
      </c>
      <c r="C1604" s="541" t="s">
        <v>58</v>
      </c>
      <c r="D1604" s="542" t="s">
        <v>20</v>
      </c>
      <c r="E1604" s="549">
        <f t="shared" si="273"/>
        <v>0</v>
      </c>
      <c r="F1604" s="988">
        <f t="shared" si="274"/>
        <v>0</v>
      </c>
      <c r="G1604" s="988">
        <f t="shared" si="274"/>
        <v>0</v>
      </c>
      <c r="H1604" s="988">
        <f t="shared" si="274"/>
        <v>0</v>
      </c>
      <c r="I1604" s="988">
        <f t="shared" si="274"/>
        <v>0</v>
      </c>
      <c r="J1604" s="988">
        <f t="shared" si="274"/>
        <v>0</v>
      </c>
      <c r="K1604" s="988">
        <f t="shared" si="274"/>
        <v>0</v>
      </c>
      <c r="L1604" s="988">
        <f t="shared" si="274"/>
        <v>0</v>
      </c>
      <c r="M1604" s="988">
        <f t="shared" si="274"/>
        <v>0</v>
      </c>
      <c r="N1604" s="988">
        <f t="shared" si="274"/>
        <v>0</v>
      </c>
      <c r="O1604" s="988">
        <f t="shared" si="274"/>
        <v>0</v>
      </c>
      <c r="P1604" s="988">
        <f t="shared" si="274"/>
        <v>0</v>
      </c>
      <c r="Q1604" s="988"/>
      <c r="R1604" s="988">
        <f t="shared" si="267"/>
        <v>0</v>
      </c>
      <c r="S1604" s="546">
        <f t="shared" si="269"/>
        <v>0</v>
      </c>
      <c r="T1604" s="547">
        <f t="shared" si="270"/>
        <v>0</v>
      </c>
      <c r="U1604" s="546">
        <f t="shared" si="271"/>
        <v>0</v>
      </c>
      <c r="W1604" s="350">
        <f t="shared" si="264"/>
        <v>0</v>
      </c>
      <c r="X1604" s="285">
        <f t="shared" si="272"/>
        <v>0</v>
      </c>
    </row>
    <row r="1605" spans="1:24" ht="12" thickBot="1">
      <c r="A1605" s="541" t="s">
        <v>1504</v>
      </c>
      <c r="B1605" s="541" t="s">
        <v>623</v>
      </c>
      <c r="C1605" s="541" t="s">
        <v>643</v>
      </c>
      <c r="D1605" s="542" t="s">
        <v>20</v>
      </c>
      <c r="E1605" s="549">
        <f t="shared" si="273"/>
        <v>0</v>
      </c>
      <c r="F1605" s="988">
        <f t="shared" si="274"/>
        <v>0</v>
      </c>
      <c r="G1605" s="988">
        <f t="shared" si="274"/>
        <v>0</v>
      </c>
      <c r="H1605" s="988">
        <f t="shared" si="274"/>
        <v>0</v>
      </c>
      <c r="I1605" s="988">
        <f t="shared" si="274"/>
        <v>0</v>
      </c>
      <c r="J1605" s="988">
        <f t="shared" si="274"/>
        <v>0</v>
      </c>
      <c r="K1605" s="988">
        <f t="shared" si="274"/>
        <v>0</v>
      </c>
      <c r="L1605" s="988">
        <f t="shared" si="274"/>
        <v>0</v>
      </c>
      <c r="M1605" s="988">
        <f t="shared" si="274"/>
        <v>0</v>
      </c>
      <c r="N1605" s="988">
        <f t="shared" si="274"/>
        <v>0</v>
      </c>
      <c r="O1605" s="988">
        <f t="shared" si="274"/>
        <v>0</v>
      </c>
      <c r="P1605" s="988">
        <f t="shared" si="274"/>
        <v>0</v>
      </c>
      <c r="Q1605" s="988"/>
      <c r="R1605" s="988">
        <f t="shared" si="267"/>
        <v>0</v>
      </c>
      <c r="S1605" s="546">
        <f t="shared" si="269"/>
        <v>0</v>
      </c>
      <c r="T1605" s="547">
        <f t="shared" si="270"/>
        <v>0</v>
      </c>
      <c r="U1605" s="546">
        <f t="shared" si="271"/>
        <v>0</v>
      </c>
      <c r="W1605" s="350">
        <f t="shared" si="264"/>
        <v>0</v>
      </c>
      <c r="X1605" s="285">
        <f t="shared" si="272"/>
        <v>0</v>
      </c>
    </row>
    <row r="1606" spans="1:24" ht="12" thickBot="1">
      <c r="A1606" s="541" t="s">
        <v>1504</v>
      </c>
      <c r="B1606" s="541" t="s">
        <v>691</v>
      </c>
      <c r="C1606" s="541" t="s">
        <v>689</v>
      </c>
      <c r="D1606" s="542" t="s">
        <v>690</v>
      </c>
      <c r="E1606" s="549">
        <f t="shared" si="273"/>
        <v>0</v>
      </c>
      <c r="F1606" s="988">
        <f t="shared" si="274"/>
        <v>0</v>
      </c>
      <c r="G1606" s="988">
        <f t="shared" si="274"/>
        <v>0</v>
      </c>
      <c r="H1606" s="988">
        <f t="shared" si="274"/>
        <v>0</v>
      </c>
      <c r="I1606" s="988">
        <f t="shared" si="274"/>
        <v>0</v>
      </c>
      <c r="J1606" s="988">
        <f t="shared" si="274"/>
        <v>0</v>
      </c>
      <c r="K1606" s="988">
        <f t="shared" si="274"/>
        <v>0</v>
      </c>
      <c r="L1606" s="988">
        <f t="shared" si="274"/>
        <v>0</v>
      </c>
      <c r="M1606" s="988">
        <f t="shared" si="274"/>
        <v>0</v>
      </c>
      <c r="N1606" s="988">
        <f t="shared" si="274"/>
        <v>0</v>
      </c>
      <c r="O1606" s="988">
        <f t="shared" si="274"/>
        <v>0</v>
      </c>
      <c r="P1606" s="988">
        <f t="shared" si="274"/>
        <v>0</v>
      </c>
      <c r="Q1606" s="988"/>
      <c r="R1606" s="988">
        <f t="shared" si="267"/>
        <v>0</v>
      </c>
      <c r="S1606" s="546">
        <f t="shared" si="269"/>
        <v>0</v>
      </c>
      <c r="T1606" s="547">
        <f t="shared" si="270"/>
        <v>0</v>
      </c>
      <c r="U1606" s="546">
        <f t="shared" si="271"/>
        <v>0</v>
      </c>
      <c r="W1606" s="350">
        <f t="shared" ref="W1606:W1669" si="275">SUM(F1606:Q1606)</f>
        <v>0</v>
      </c>
      <c r="X1606" s="285">
        <f t="shared" si="272"/>
        <v>0</v>
      </c>
    </row>
    <row r="1607" spans="1:24" ht="12" thickBot="1">
      <c r="A1607" s="541" t="s">
        <v>1504</v>
      </c>
      <c r="B1607" s="541" t="s">
        <v>1147</v>
      </c>
      <c r="C1607" s="541" t="s">
        <v>1148</v>
      </c>
      <c r="D1607" s="542" t="s">
        <v>1156</v>
      </c>
      <c r="E1607" s="549">
        <f t="shared" si="273"/>
        <v>0</v>
      </c>
      <c r="F1607" s="988">
        <f t="shared" ref="F1607:P1616" si="276">ROUND(SUMIFS(F$1721:F$1901,$A$1721:$A$1901,$A1607,$B$1721:$B$1901,$B1607),0)</f>
        <v>0</v>
      </c>
      <c r="G1607" s="988">
        <f t="shared" si="276"/>
        <v>0</v>
      </c>
      <c r="H1607" s="988">
        <f t="shared" si="276"/>
        <v>0</v>
      </c>
      <c r="I1607" s="988">
        <f t="shared" si="276"/>
        <v>0</v>
      </c>
      <c r="J1607" s="988">
        <f t="shared" si="276"/>
        <v>0</v>
      </c>
      <c r="K1607" s="988">
        <f t="shared" si="276"/>
        <v>0</v>
      </c>
      <c r="L1607" s="988">
        <f t="shared" si="276"/>
        <v>0</v>
      </c>
      <c r="M1607" s="988">
        <f t="shared" si="276"/>
        <v>0</v>
      </c>
      <c r="N1607" s="988">
        <f t="shared" si="276"/>
        <v>0</v>
      </c>
      <c r="O1607" s="988">
        <f t="shared" si="276"/>
        <v>0</v>
      </c>
      <c r="P1607" s="988">
        <f t="shared" si="276"/>
        <v>0</v>
      </c>
      <c r="Q1607" s="988"/>
      <c r="R1607" s="988">
        <f t="shared" si="267"/>
        <v>0</v>
      </c>
      <c r="S1607" s="546">
        <f t="shared" si="269"/>
        <v>0</v>
      </c>
      <c r="T1607" s="547">
        <f t="shared" si="270"/>
        <v>0</v>
      </c>
      <c r="U1607" s="546">
        <f t="shared" si="271"/>
        <v>0</v>
      </c>
      <c r="W1607" s="350">
        <f t="shared" si="275"/>
        <v>0</v>
      </c>
      <c r="X1607" s="285">
        <f t="shared" si="272"/>
        <v>0</v>
      </c>
    </row>
    <row r="1608" spans="1:24" ht="12" thickBot="1">
      <c r="A1608" s="541" t="s">
        <v>1504</v>
      </c>
      <c r="B1608" s="541" t="s">
        <v>169</v>
      </c>
      <c r="C1608" s="541" t="s">
        <v>1392</v>
      </c>
      <c r="D1608" s="542" t="s">
        <v>208</v>
      </c>
      <c r="E1608" s="549">
        <f t="shared" si="273"/>
        <v>0</v>
      </c>
      <c r="F1608" s="988">
        <f t="shared" si="276"/>
        <v>0</v>
      </c>
      <c r="G1608" s="988">
        <f t="shared" si="276"/>
        <v>0</v>
      </c>
      <c r="H1608" s="988">
        <f t="shared" si="276"/>
        <v>0</v>
      </c>
      <c r="I1608" s="988">
        <f t="shared" si="276"/>
        <v>0</v>
      </c>
      <c r="J1608" s="988">
        <f t="shared" si="276"/>
        <v>0</v>
      </c>
      <c r="K1608" s="988">
        <f t="shared" si="276"/>
        <v>0</v>
      </c>
      <c r="L1608" s="988">
        <f t="shared" si="276"/>
        <v>0</v>
      </c>
      <c r="M1608" s="988">
        <f t="shared" si="276"/>
        <v>0</v>
      </c>
      <c r="N1608" s="988">
        <f t="shared" si="276"/>
        <v>0</v>
      </c>
      <c r="O1608" s="988">
        <f t="shared" si="276"/>
        <v>0</v>
      </c>
      <c r="P1608" s="988">
        <f t="shared" si="276"/>
        <v>0</v>
      </c>
      <c r="Q1608" s="988"/>
      <c r="R1608" s="988">
        <f t="shared" si="267"/>
        <v>0</v>
      </c>
      <c r="S1608" s="546">
        <f t="shared" si="269"/>
        <v>0</v>
      </c>
      <c r="T1608" s="547">
        <f t="shared" si="270"/>
        <v>0</v>
      </c>
      <c r="U1608" s="546">
        <f t="shared" si="271"/>
        <v>0</v>
      </c>
      <c r="W1608" s="350">
        <f t="shared" si="275"/>
        <v>0</v>
      </c>
      <c r="X1608" s="285">
        <f t="shared" si="272"/>
        <v>0</v>
      </c>
    </row>
    <row r="1609" spans="1:24" ht="12" thickBot="1">
      <c r="A1609" s="541" t="s">
        <v>1504</v>
      </c>
      <c r="B1609" s="541" t="s">
        <v>170</v>
      </c>
      <c r="C1609" s="541" t="s">
        <v>1393</v>
      </c>
      <c r="D1609" s="542" t="s">
        <v>17</v>
      </c>
      <c r="E1609" s="549">
        <f t="shared" si="273"/>
        <v>0</v>
      </c>
      <c r="F1609" s="988">
        <f t="shared" si="276"/>
        <v>0</v>
      </c>
      <c r="G1609" s="988">
        <f t="shared" si="276"/>
        <v>0</v>
      </c>
      <c r="H1609" s="988">
        <f t="shared" si="276"/>
        <v>0</v>
      </c>
      <c r="I1609" s="988">
        <f t="shared" si="276"/>
        <v>0</v>
      </c>
      <c r="J1609" s="988">
        <f t="shared" si="276"/>
        <v>0</v>
      </c>
      <c r="K1609" s="988">
        <f t="shared" si="276"/>
        <v>0</v>
      </c>
      <c r="L1609" s="988">
        <f t="shared" si="276"/>
        <v>0</v>
      </c>
      <c r="M1609" s="988">
        <f t="shared" si="276"/>
        <v>0</v>
      </c>
      <c r="N1609" s="988">
        <f t="shared" si="276"/>
        <v>0</v>
      </c>
      <c r="O1609" s="988">
        <f t="shared" si="276"/>
        <v>0</v>
      </c>
      <c r="P1609" s="988">
        <f t="shared" si="276"/>
        <v>0</v>
      </c>
      <c r="Q1609" s="988"/>
      <c r="R1609" s="988">
        <f t="shared" ref="R1609:R1628" si="277">ROUND(SUMIFS(R$1721:R$1901,$A$1721:$A$1901,$A1609,$B$1721:$B$1901,$B1609),0)</f>
        <v>0</v>
      </c>
      <c r="S1609" s="546">
        <f t="shared" si="269"/>
        <v>0</v>
      </c>
      <c r="T1609" s="547">
        <f t="shared" si="270"/>
        <v>0</v>
      </c>
      <c r="U1609" s="546">
        <f t="shared" si="271"/>
        <v>0</v>
      </c>
      <c r="W1609" s="350">
        <f t="shared" si="275"/>
        <v>0</v>
      </c>
      <c r="X1609" s="285">
        <f t="shared" si="272"/>
        <v>0</v>
      </c>
    </row>
    <row r="1610" spans="1:24" ht="12" thickBot="1">
      <c r="A1610" s="541" t="s">
        <v>1504</v>
      </c>
      <c r="B1610" s="541" t="s">
        <v>713</v>
      </c>
      <c r="C1610" s="541" t="s">
        <v>711</v>
      </c>
      <c r="D1610" s="542" t="s">
        <v>712</v>
      </c>
      <c r="E1610" s="549">
        <f t="shared" si="273"/>
        <v>0</v>
      </c>
      <c r="F1610" s="988">
        <f t="shared" si="276"/>
        <v>0</v>
      </c>
      <c r="G1610" s="988">
        <f t="shared" si="276"/>
        <v>0</v>
      </c>
      <c r="H1610" s="988">
        <f t="shared" si="276"/>
        <v>0</v>
      </c>
      <c r="I1610" s="988">
        <f t="shared" si="276"/>
        <v>0</v>
      </c>
      <c r="J1610" s="988">
        <f t="shared" si="276"/>
        <v>0</v>
      </c>
      <c r="K1610" s="988">
        <f t="shared" si="276"/>
        <v>0</v>
      </c>
      <c r="L1610" s="988">
        <f t="shared" si="276"/>
        <v>0</v>
      </c>
      <c r="M1610" s="988">
        <f t="shared" si="276"/>
        <v>0</v>
      </c>
      <c r="N1610" s="988">
        <f t="shared" si="276"/>
        <v>0</v>
      </c>
      <c r="O1610" s="988">
        <f t="shared" si="276"/>
        <v>0</v>
      </c>
      <c r="P1610" s="988">
        <f t="shared" si="276"/>
        <v>0</v>
      </c>
      <c r="Q1610" s="988"/>
      <c r="R1610" s="988">
        <f t="shared" si="277"/>
        <v>0</v>
      </c>
      <c r="S1610" s="546">
        <f t="shared" si="269"/>
        <v>0</v>
      </c>
      <c r="T1610" s="547">
        <f t="shared" si="270"/>
        <v>0</v>
      </c>
      <c r="U1610" s="546">
        <f t="shared" si="271"/>
        <v>0</v>
      </c>
      <c r="W1610" s="350">
        <f t="shared" si="275"/>
        <v>0</v>
      </c>
      <c r="X1610" s="285">
        <f t="shared" si="272"/>
        <v>0</v>
      </c>
    </row>
    <row r="1611" spans="1:24" ht="12" thickBot="1">
      <c r="A1611" s="541" t="s">
        <v>1504</v>
      </c>
      <c r="B1611" s="541" t="s">
        <v>171</v>
      </c>
      <c r="C1611" s="541" t="s">
        <v>441</v>
      </c>
      <c r="D1611" s="542" t="s">
        <v>72</v>
      </c>
      <c r="E1611" s="549">
        <f t="shared" si="273"/>
        <v>0</v>
      </c>
      <c r="F1611" s="988">
        <f t="shared" si="276"/>
        <v>0</v>
      </c>
      <c r="G1611" s="988">
        <f t="shared" si="276"/>
        <v>0</v>
      </c>
      <c r="H1611" s="988">
        <f t="shared" si="276"/>
        <v>0</v>
      </c>
      <c r="I1611" s="988">
        <f t="shared" si="276"/>
        <v>0</v>
      </c>
      <c r="J1611" s="988">
        <f t="shared" si="276"/>
        <v>0</v>
      </c>
      <c r="K1611" s="988">
        <f t="shared" si="276"/>
        <v>0</v>
      </c>
      <c r="L1611" s="988">
        <f t="shared" si="276"/>
        <v>0</v>
      </c>
      <c r="M1611" s="988">
        <f t="shared" si="276"/>
        <v>0</v>
      </c>
      <c r="N1611" s="988">
        <f t="shared" si="276"/>
        <v>0</v>
      </c>
      <c r="O1611" s="988">
        <f t="shared" si="276"/>
        <v>0</v>
      </c>
      <c r="P1611" s="988">
        <f t="shared" si="276"/>
        <v>-989829</v>
      </c>
      <c r="Q1611" s="988"/>
      <c r="R1611" s="988">
        <f t="shared" si="277"/>
        <v>-989829</v>
      </c>
      <c r="S1611" s="546">
        <f t="shared" si="269"/>
        <v>0</v>
      </c>
      <c r="T1611" s="547">
        <f t="shared" si="270"/>
        <v>0</v>
      </c>
      <c r="U1611" s="546">
        <f t="shared" si="271"/>
        <v>0</v>
      </c>
      <c r="W1611" s="350">
        <f t="shared" si="275"/>
        <v>-989829</v>
      </c>
      <c r="X1611" s="285">
        <f t="shared" si="272"/>
        <v>0</v>
      </c>
    </row>
    <row r="1612" spans="1:24" ht="12" thickBot="1">
      <c r="A1612" s="541" t="s">
        <v>1504</v>
      </c>
      <c r="B1612" s="541" t="s">
        <v>172</v>
      </c>
      <c r="C1612" s="541" t="s">
        <v>442</v>
      </c>
      <c r="D1612" s="542" t="s">
        <v>72</v>
      </c>
      <c r="E1612" s="549">
        <f t="shared" si="273"/>
        <v>0</v>
      </c>
      <c r="F1612" s="988">
        <f t="shared" si="276"/>
        <v>0</v>
      </c>
      <c r="G1612" s="988">
        <f t="shared" si="276"/>
        <v>0</v>
      </c>
      <c r="H1612" s="988">
        <f t="shared" si="276"/>
        <v>0</v>
      </c>
      <c r="I1612" s="988">
        <f t="shared" si="276"/>
        <v>0</v>
      </c>
      <c r="J1612" s="988">
        <f t="shared" si="276"/>
        <v>0</v>
      </c>
      <c r="K1612" s="988">
        <f t="shared" si="276"/>
        <v>0</v>
      </c>
      <c r="L1612" s="988">
        <f t="shared" si="276"/>
        <v>0</v>
      </c>
      <c r="M1612" s="988">
        <f t="shared" si="276"/>
        <v>0</v>
      </c>
      <c r="N1612" s="988">
        <f t="shared" si="276"/>
        <v>0</v>
      </c>
      <c r="O1612" s="988">
        <f t="shared" si="276"/>
        <v>0</v>
      </c>
      <c r="P1612" s="988">
        <f t="shared" si="276"/>
        <v>0</v>
      </c>
      <c r="Q1612" s="988"/>
      <c r="R1612" s="988">
        <f t="shared" si="277"/>
        <v>0</v>
      </c>
      <c r="S1612" s="546">
        <f t="shared" si="269"/>
        <v>0</v>
      </c>
      <c r="T1612" s="547">
        <f t="shared" si="270"/>
        <v>0</v>
      </c>
      <c r="U1612" s="546">
        <f t="shared" si="271"/>
        <v>0</v>
      </c>
      <c r="W1612" s="350">
        <f t="shared" si="275"/>
        <v>0</v>
      </c>
      <c r="X1612" s="285">
        <f t="shared" si="272"/>
        <v>0</v>
      </c>
    </row>
    <row r="1613" spans="1:24" ht="12" thickBot="1">
      <c r="A1613" s="541" t="s">
        <v>1504</v>
      </c>
      <c r="B1613" s="541" t="s">
        <v>1397</v>
      </c>
      <c r="C1613" s="541" t="s">
        <v>1398</v>
      </c>
      <c r="D1613" s="542" t="s">
        <v>72</v>
      </c>
      <c r="E1613" s="549">
        <f t="shared" si="273"/>
        <v>0</v>
      </c>
      <c r="F1613" s="988">
        <f t="shared" si="276"/>
        <v>0</v>
      </c>
      <c r="G1613" s="988">
        <f t="shared" si="276"/>
        <v>0</v>
      </c>
      <c r="H1613" s="988">
        <f t="shared" si="276"/>
        <v>0</v>
      </c>
      <c r="I1613" s="988">
        <f t="shared" si="276"/>
        <v>0</v>
      </c>
      <c r="J1613" s="988">
        <f t="shared" si="276"/>
        <v>0</v>
      </c>
      <c r="K1613" s="988">
        <f t="shared" si="276"/>
        <v>0</v>
      </c>
      <c r="L1613" s="988">
        <f t="shared" si="276"/>
        <v>0</v>
      </c>
      <c r="M1613" s="988">
        <f t="shared" si="276"/>
        <v>0</v>
      </c>
      <c r="N1613" s="988">
        <f t="shared" si="276"/>
        <v>0</v>
      </c>
      <c r="O1613" s="988">
        <f t="shared" si="276"/>
        <v>0</v>
      </c>
      <c r="P1613" s="988">
        <f t="shared" si="276"/>
        <v>0</v>
      </c>
      <c r="Q1613" s="988"/>
      <c r="R1613" s="988">
        <f t="shared" si="277"/>
        <v>0</v>
      </c>
      <c r="S1613" s="546">
        <f t="shared" si="269"/>
        <v>0</v>
      </c>
      <c r="T1613" s="547">
        <f t="shared" si="270"/>
        <v>0</v>
      </c>
      <c r="U1613" s="546">
        <f t="shared" si="271"/>
        <v>0</v>
      </c>
      <c r="W1613" s="350">
        <f t="shared" si="275"/>
        <v>0</v>
      </c>
      <c r="X1613" s="285">
        <f t="shared" si="272"/>
        <v>0</v>
      </c>
    </row>
    <row r="1614" spans="1:24" ht="12" thickBot="1">
      <c r="A1614" s="541" t="s">
        <v>1504</v>
      </c>
      <c r="B1614" s="541" t="s">
        <v>1149</v>
      </c>
      <c r="C1614" s="541" t="s">
        <v>1150</v>
      </c>
      <c r="D1614" s="542" t="s">
        <v>72</v>
      </c>
      <c r="E1614" s="549">
        <f t="shared" si="273"/>
        <v>0</v>
      </c>
      <c r="F1614" s="988">
        <f t="shared" si="276"/>
        <v>0</v>
      </c>
      <c r="G1614" s="988">
        <f t="shared" si="276"/>
        <v>0</v>
      </c>
      <c r="H1614" s="988">
        <f t="shared" si="276"/>
        <v>0</v>
      </c>
      <c r="I1614" s="988">
        <f t="shared" si="276"/>
        <v>0</v>
      </c>
      <c r="J1614" s="988">
        <f t="shared" si="276"/>
        <v>0</v>
      </c>
      <c r="K1614" s="988">
        <f t="shared" si="276"/>
        <v>0</v>
      </c>
      <c r="L1614" s="988">
        <f t="shared" si="276"/>
        <v>0</v>
      </c>
      <c r="M1614" s="988">
        <f t="shared" si="276"/>
        <v>0</v>
      </c>
      <c r="N1614" s="988">
        <f t="shared" si="276"/>
        <v>0</v>
      </c>
      <c r="O1614" s="988">
        <f t="shared" si="276"/>
        <v>0</v>
      </c>
      <c r="P1614" s="988">
        <f t="shared" si="276"/>
        <v>0</v>
      </c>
      <c r="Q1614" s="988"/>
      <c r="R1614" s="988">
        <f t="shared" si="277"/>
        <v>0</v>
      </c>
      <c r="S1614" s="546">
        <f t="shared" si="269"/>
        <v>0</v>
      </c>
      <c r="T1614" s="547">
        <f t="shared" si="270"/>
        <v>0</v>
      </c>
      <c r="U1614" s="546">
        <f t="shared" si="271"/>
        <v>0</v>
      </c>
      <c r="W1614" s="350">
        <f t="shared" si="275"/>
        <v>0</v>
      </c>
      <c r="X1614" s="285">
        <f t="shared" si="272"/>
        <v>0</v>
      </c>
    </row>
    <row r="1615" spans="1:24" ht="12" thickBot="1">
      <c r="A1615" s="541" t="s">
        <v>1504</v>
      </c>
      <c r="B1615" s="541" t="s">
        <v>1051</v>
      </c>
      <c r="C1615" s="541" t="s">
        <v>1052</v>
      </c>
      <c r="D1615" s="542" t="s">
        <v>719</v>
      </c>
      <c r="E1615" s="549">
        <f t="shared" si="273"/>
        <v>0</v>
      </c>
      <c r="F1615" s="988">
        <f t="shared" si="276"/>
        <v>0</v>
      </c>
      <c r="G1615" s="988">
        <f t="shared" si="276"/>
        <v>0</v>
      </c>
      <c r="H1615" s="988">
        <f t="shared" si="276"/>
        <v>0</v>
      </c>
      <c r="I1615" s="988">
        <f t="shared" si="276"/>
        <v>0</v>
      </c>
      <c r="J1615" s="988">
        <f t="shared" si="276"/>
        <v>0</v>
      </c>
      <c r="K1615" s="988">
        <f t="shared" si="276"/>
        <v>0</v>
      </c>
      <c r="L1615" s="988">
        <f t="shared" si="276"/>
        <v>0</v>
      </c>
      <c r="M1615" s="988">
        <f t="shared" si="276"/>
        <v>0</v>
      </c>
      <c r="N1615" s="988">
        <f t="shared" si="276"/>
        <v>0</v>
      </c>
      <c r="O1615" s="988">
        <f t="shared" si="276"/>
        <v>0</v>
      </c>
      <c r="P1615" s="988">
        <f t="shared" si="276"/>
        <v>0</v>
      </c>
      <c r="Q1615" s="988"/>
      <c r="R1615" s="988">
        <f t="shared" si="277"/>
        <v>0</v>
      </c>
      <c r="S1615" s="546">
        <f t="shared" si="269"/>
        <v>0</v>
      </c>
      <c r="T1615" s="547">
        <f t="shared" si="270"/>
        <v>0</v>
      </c>
      <c r="U1615" s="546">
        <f t="shared" si="271"/>
        <v>0</v>
      </c>
      <c r="W1615" s="350">
        <f t="shared" si="275"/>
        <v>0</v>
      </c>
      <c r="X1615" s="285">
        <f t="shared" si="272"/>
        <v>0</v>
      </c>
    </row>
    <row r="1616" spans="1:24" ht="12" thickBot="1">
      <c r="A1616" s="541" t="s">
        <v>1504</v>
      </c>
      <c r="B1616" s="541" t="s">
        <v>1053</v>
      </c>
      <c r="C1616" s="541" t="s">
        <v>1054</v>
      </c>
      <c r="D1616" s="542" t="s">
        <v>719</v>
      </c>
      <c r="E1616" s="549">
        <f t="shared" si="273"/>
        <v>0</v>
      </c>
      <c r="F1616" s="988">
        <f t="shared" si="276"/>
        <v>0</v>
      </c>
      <c r="G1616" s="988">
        <f t="shared" si="276"/>
        <v>0</v>
      </c>
      <c r="H1616" s="988">
        <f t="shared" si="276"/>
        <v>0</v>
      </c>
      <c r="I1616" s="988">
        <f t="shared" si="276"/>
        <v>0</v>
      </c>
      <c r="J1616" s="988">
        <f t="shared" si="276"/>
        <v>0</v>
      </c>
      <c r="K1616" s="988">
        <f t="shared" si="276"/>
        <v>0</v>
      </c>
      <c r="L1616" s="988">
        <f t="shared" si="276"/>
        <v>0</v>
      </c>
      <c r="M1616" s="988">
        <f t="shared" si="276"/>
        <v>0</v>
      </c>
      <c r="N1616" s="988">
        <f t="shared" si="276"/>
        <v>0</v>
      </c>
      <c r="O1616" s="988">
        <f t="shared" si="276"/>
        <v>0</v>
      </c>
      <c r="P1616" s="988">
        <f t="shared" si="276"/>
        <v>0</v>
      </c>
      <c r="Q1616" s="988"/>
      <c r="R1616" s="988">
        <f t="shared" si="277"/>
        <v>0</v>
      </c>
      <c r="S1616" s="546">
        <f t="shared" ref="S1616:S1617" si="278">G1616+H1616+I1616</f>
        <v>0</v>
      </c>
      <c r="T1616" s="547">
        <f t="shared" ref="T1616:T1617" si="279">J1616+K1616</f>
        <v>0</v>
      </c>
      <c r="U1616" s="546">
        <f t="shared" ref="U1616:U1617" si="280">N1616+O1616</f>
        <v>0</v>
      </c>
      <c r="W1616" s="350">
        <f t="shared" si="275"/>
        <v>0</v>
      </c>
      <c r="X1616" s="285"/>
    </row>
    <row r="1617" spans="1:24" ht="12" thickBot="1">
      <c r="A1617" s="541" t="s">
        <v>1504</v>
      </c>
      <c r="B1617" s="541" t="s">
        <v>173</v>
      </c>
      <c r="C1617" s="541" t="s">
        <v>192</v>
      </c>
      <c r="D1617" s="542" t="s">
        <v>642</v>
      </c>
      <c r="E1617" s="549">
        <f t="shared" si="273"/>
        <v>48145895</v>
      </c>
      <c r="F1617" s="988">
        <f t="shared" ref="F1617:P1628" si="281">ROUND(SUMIFS(F$1721:F$1901,$A$1721:$A$1901,$A1617,$B$1721:$B$1901,$B1617),0)</f>
        <v>750</v>
      </c>
      <c r="G1617" s="988">
        <f t="shared" si="281"/>
        <v>177658</v>
      </c>
      <c r="H1617" s="988">
        <f t="shared" si="281"/>
        <v>1392379</v>
      </c>
      <c r="I1617" s="988">
        <f t="shared" si="281"/>
        <v>0</v>
      </c>
      <c r="J1617" s="988">
        <f t="shared" si="281"/>
        <v>51887</v>
      </c>
      <c r="K1617" s="988">
        <f t="shared" si="281"/>
        <v>668312</v>
      </c>
      <c r="L1617" s="988">
        <f t="shared" si="281"/>
        <v>0</v>
      </c>
      <c r="M1617" s="988">
        <f t="shared" si="281"/>
        <v>113401</v>
      </c>
      <c r="N1617" s="988">
        <f t="shared" si="281"/>
        <v>0</v>
      </c>
      <c r="O1617" s="988">
        <f t="shared" si="281"/>
        <v>243282</v>
      </c>
      <c r="P1617" s="988">
        <f t="shared" si="281"/>
        <v>0</v>
      </c>
      <c r="Q1617" s="988"/>
      <c r="R1617" s="988">
        <f t="shared" si="277"/>
        <v>2647670</v>
      </c>
      <c r="S1617" s="546">
        <f t="shared" si="278"/>
        <v>1570037</v>
      </c>
      <c r="T1617" s="547">
        <f t="shared" si="279"/>
        <v>720199</v>
      </c>
      <c r="U1617" s="546">
        <f t="shared" si="280"/>
        <v>243282</v>
      </c>
      <c r="W1617" s="350">
        <f t="shared" si="275"/>
        <v>2647669</v>
      </c>
      <c r="X1617" s="285">
        <f t="shared" ref="X1617" si="282">W1617-R1617</f>
        <v>-1</v>
      </c>
    </row>
    <row r="1618" spans="1:24" ht="12" thickBot="1">
      <c r="A1618" s="541" t="s">
        <v>1504</v>
      </c>
      <c r="B1618" s="541" t="s">
        <v>193</v>
      </c>
      <c r="C1618" s="541" t="s">
        <v>194</v>
      </c>
      <c r="D1618" s="542" t="s">
        <v>443</v>
      </c>
      <c r="E1618" s="549">
        <f t="shared" si="273"/>
        <v>0</v>
      </c>
      <c r="F1618" s="988">
        <f t="shared" si="281"/>
        <v>0</v>
      </c>
      <c r="G1618" s="988">
        <f t="shared" si="281"/>
        <v>0</v>
      </c>
      <c r="H1618" s="988">
        <f t="shared" si="281"/>
        <v>0</v>
      </c>
      <c r="I1618" s="988">
        <f t="shared" si="281"/>
        <v>0</v>
      </c>
      <c r="J1618" s="988">
        <f t="shared" si="281"/>
        <v>0</v>
      </c>
      <c r="K1618" s="988">
        <f t="shared" si="281"/>
        <v>0</v>
      </c>
      <c r="L1618" s="988">
        <f t="shared" si="281"/>
        <v>0</v>
      </c>
      <c r="M1618" s="988">
        <f t="shared" si="281"/>
        <v>0</v>
      </c>
      <c r="N1618" s="988">
        <f t="shared" si="281"/>
        <v>0</v>
      </c>
      <c r="O1618" s="988">
        <f t="shared" si="281"/>
        <v>0</v>
      </c>
      <c r="P1618" s="988">
        <f t="shared" si="281"/>
        <v>0</v>
      </c>
      <c r="Q1618" s="988"/>
      <c r="R1618" s="988">
        <f t="shared" si="277"/>
        <v>0</v>
      </c>
      <c r="S1618" s="546">
        <f t="shared" ref="S1618:S1645" si="283">G1618+H1618+I1618</f>
        <v>0</v>
      </c>
      <c r="T1618" s="547">
        <f t="shared" ref="T1618:T1645" si="284">J1618+K1618</f>
        <v>0</v>
      </c>
      <c r="U1618" s="546">
        <f t="shared" ref="U1618:U1681" si="285">N1618+O1618</f>
        <v>0</v>
      </c>
      <c r="W1618" s="350">
        <f t="shared" si="275"/>
        <v>0</v>
      </c>
      <c r="X1618" s="285">
        <f t="shared" ref="X1618:X1645" si="286">W1618-R1618</f>
        <v>0</v>
      </c>
    </row>
    <row r="1619" spans="1:24" ht="12" thickBot="1">
      <c r="A1619" s="541" t="s">
        <v>1504</v>
      </c>
      <c r="B1619" s="541" t="s">
        <v>195</v>
      </c>
      <c r="C1619" s="541" t="s">
        <v>196</v>
      </c>
      <c r="D1619" s="542" t="s">
        <v>443</v>
      </c>
      <c r="E1619" s="549">
        <f t="shared" si="273"/>
        <v>0</v>
      </c>
      <c r="F1619" s="988">
        <f t="shared" si="281"/>
        <v>0</v>
      </c>
      <c r="G1619" s="988">
        <f t="shared" si="281"/>
        <v>0</v>
      </c>
      <c r="H1619" s="988">
        <f t="shared" si="281"/>
        <v>0</v>
      </c>
      <c r="I1619" s="988">
        <f t="shared" si="281"/>
        <v>0</v>
      </c>
      <c r="J1619" s="988">
        <f t="shared" si="281"/>
        <v>0</v>
      </c>
      <c r="K1619" s="988">
        <f t="shared" si="281"/>
        <v>0</v>
      </c>
      <c r="L1619" s="988">
        <f t="shared" si="281"/>
        <v>0</v>
      </c>
      <c r="M1619" s="988">
        <f t="shared" si="281"/>
        <v>0</v>
      </c>
      <c r="N1619" s="988">
        <f t="shared" si="281"/>
        <v>0</v>
      </c>
      <c r="O1619" s="988">
        <f t="shared" si="281"/>
        <v>0</v>
      </c>
      <c r="P1619" s="988">
        <f t="shared" si="281"/>
        <v>0</v>
      </c>
      <c r="Q1619" s="988"/>
      <c r="R1619" s="988">
        <f t="shared" si="277"/>
        <v>0</v>
      </c>
      <c r="S1619" s="546">
        <f t="shared" si="283"/>
        <v>0</v>
      </c>
      <c r="T1619" s="547">
        <f t="shared" si="284"/>
        <v>0</v>
      </c>
      <c r="U1619" s="546">
        <f t="shared" si="285"/>
        <v>0</v>
      </c>
      <c r="W1619" s="350">
        <f t="shared" si="275"/>
        <v>0</v>
      </c>
      <c r="X1619" s="285">
        <f t="shared" si="286"/>
        <v>0</v>
      </c>
    </row>
    <row r="1620" spans="1:24" ht="12" thickBot="1">
      <c r="A1620" s="541" t="s">
        <v>1504</v>
      </c>
      <c r="B1620" s="541" t="s">
        <v>197</v>
      </c>
      <c r="C1620" s="541" t="s">
        <v>198</v>
      </c>
      <c r="D1620" s="542" t="s">
        <v>443</v>
      </c>
      <c r="E1620" s="549">
        <f t="shared" si="273"/>
        <v>0</v>
      </c>
      <c r="F1620" s="988">
        <f t="shared" si="281"/>
        <v>0</v>
      </c>
      <c r="G1620" s="988">
        <f t="shared" si="281"/>
        <v>0</v>
      </c>
      <c r="H1620" s="988">
        <f t="shared" si="281"/>
        <v>0</v>
      </c>
      <c r="I1620" s="988">
        <f t="shared" si="281"/>
        <v>0</v>
      </c>
      <c r="J1620" s="988">
        <f t="shared" si="281"/>
        <v>0</v>
      </c>
      <c r="K1620" s="988">
        <f t="shared" si="281"/>
        <v>0</v>
      </c>
      <c r="L1620" s="988">
        <f t="shared" si="281"/>
        <v>0</v>
      </c>
      <c r="M1620" s="988">
        <f t="shared" si="281"/>
        <v>0</v>
      </c>
      <c r="N1620" s="988">
        <f t="shared" si="281"/>
        <v>0</v>
      </c>
      <c r="O1620" s="988">
        <f t="shared" si="281"/>
        <v>0</v>
      </c>
      <c r="P1620" s="988">
        <f t="shared" si="281"/>
        <v>0</v>
      </c>
      <c r="Q1620" s="988"/>
      <c r="R1620" s="988">
        <f t="shared" si="277"/>
        <v>0</v>
      </c>
      <c r="S1620" s="546">
        <f t="shared" si="283"/>
        <v>0</v>
      </c>
      <c r="T1620" s="547">
        <f t="shared" si="284"/>
        <v>0</v>
      </c>
      <c r="U1620" s="546">
        <f t="shared" si="285"/>
        <v>0</v>
      </c>
      <c r="W1620" s="350">
        <f t="shared" si="275"/>
        <v>0</v>
      </c>
      <c r="X1620" s="285">
        <f t="shared" si="286"/>
        <v>0</v>
      </c>
    </row>
    <row r="1621" spans="1:24" ht="12" thickBot="1">
      <c r="A1621" s="541" t="s">
        <v>1504</v>
      </c>
      <c r="B1621" s="541" t="s">
        <v>1055</v>
      </c>
      <c r="C1621" s="541" t="s">
        <v>1049</v>
      </c>
      <c r="D1621" s="542" t="s">
        <v>1146</v>
      </c>
      <c r="E1621" s="549">
        <f t="shared" si="273"/>
        <v>0</v>
      </c>
      <c r="F1621" s="988">
        <f t="shared" si="281"/>
        <v>0</v>
      </c>
      <c r="G1621" s="988">
        <f t="shared" si="281"/>
        <v>0</v>
      </c>
      <c r="H1621" s="988">
        <f t="shared" si="281"/>
        <v>0</v>
      </c>
      <c r="I1621" s="988">
        <f t="shared" si="281"/>
        <v>0</v>
      </c>
      <c r="J1621" s="988">
        <f t="shared" si="281"/>
        <v>0</v>
      </c>
      <c r="K1621" s="988">
        <f t="shared" si="281"/>
        <v>0</v>
      </c>
      <c r="L1621" s="988">
        <f t="shared" si="281"/>
        <v>0</v>
      </c>
      <c r="M1621" s="988">
        <f t="shared" si="281"/>
        <v>0</v>
      </c>
      <c r="N1621" s="988">
        <f t="shared" si="281"/>
        <v>0</v>
      </c>
      <c r="O1621" s="988">
        <f t="shared" si="281"/>
        <v>0</v>
      </c>
      <c r="P1621" s="988">
        <f t="shared" si="281"/>
        <v>0</v>
      </c>
      <c r="Q1621" s="988"/>
      <c r="R1621" s="988">
        <f t="shared" si="277"/>
        <v>0</v>
      </c>
      <c r="S1621" s="546">
        <f t="shared" si="283"/>
        <v>0</v>
      </c>
      <c r="T1621" s="547">
        <f t="shared" si="284"/>
        <v>0</v>
      </c>
      <c r="U1621" s="546">
        <f t="shared" si="285"/>
        <v>0</v>
      </c>
      <c r="W1621" s="350">
        <f t="shared" si="275"/>
        <v>0</v>
      </c>
      <c r="X1621" s="285">
        <f t="shared" si="286"/>
        <v>0</v>
      </c>
    </row>
    <row r="1622" spans="1:24" ht="12" thickBot="1">
      <c r="A1622" s="541" t="s">
        <v>1504</v>
      </c>
      <c r="B1622" s="541" t="s">
        <v>174</v>
      </c>
      <c r="C1622" s="541" t="s">
        <v>106</v>
      </c>
      <c r="D1622" s="542" t="s">
        <v>14</v>
      </c>
      <c r="E1622" s="549">
        <f t="shared" si="273"/>
        <v>619549834</v>
      </c>
      <c r="F1622" s="988">
        <f t="shared" si="281"/>
        <v>4625455</v>
      </c>
      <c r="G1622" s="988">
        <f t="shared" si="281"/>
        <v>28108976</v>
      </c>
      <c r="H1622" s="988">
        <f t="shared" si="281"/>
        <v>17917381</v>
      </c>
      <c r="I1622" s="988">
        <f t="shared" si="281"/>
        <v>1951582</v>
      </c>
      <c r="J1622" s="988">
        <f t="shared" si="281"/>
        <v>0</v>
      </c>
      <c r="K1622" s="988">
        <f t="shared" si="281"/>
        <v>0</v>
      </c>
      <c r="L1622" s="988">
        <f t="shared" si="281"/>
        <v>978151</v>
      </c>
      <c r="M1622" s="988">
        <f t="shared" si="281"/>
        <v>1459261</v>
      </c>
      <c r="N1622" s="988">
        <f t="shared" si="281"/>
        <v>3130601</v>
      </c>
      <c r="O1622" s="988">
        <f t="shared" si="281"/>
        <v>0</v>
      </c>
      <c r="P1622" s="988">
        <f t="shared" si="281"/>
        <v>0</v>
      </c>
      <c r="Q1622" s="988"/>
      <c r="R1622" s="988">
        <f t="shared" si="277"/>
        <v>58171407</v>
      </c>
      <c r="S1622" s="546">
        <f t="shared" si="283"/>
        <v>47977939</v>
      </c>
      <c r="T1622" s="547">
        <f t="shared" si="284"/>
        <v>0</v>
      </c>
      <c r="U1622" s="546">
        <f t="shared" si="285"/>
        <v>3130601</v>
      </c>
      <c r="W1622" s="350">
        <f t="shared" si="275"/>
        <v>58171407</v>
      </c>
      <c r="X1622" s="285">
        <f t="shared" si="286"/>
        <v>0</v>
      </c>
    </row>
    <row r="1623" spans="1:24" ht="12" thickBot="1">
      <c r="A1623" s="541" t="s">
        <v>1504</v>
      </c>
      <c r="B1623" s="541" t="s">
        <v>175</v>
      </c>
      <c r="C1623" s="541" t="s">
        <v>199</v>
      </c>
      <c r="D1623" s="542" t="s">
        <v>14</v>
      </c>
      <c r="E1623" s="549">
        <f t="shared" si="273"/>
        <v>0</v>
      </c>
      <c r="F1623" s="988">
        <f t="shared" si="281"/>
        <v>0</v>
      </c>
      <c r="G1623" s="988">
        <f t="shared" si="281"/>
        <v>0</v>
      </c>
      <c r="H1623" s="988">
        <f t="shared" si="281"/>
        <v>0</v>
      </c>
      <c r="I1623" s="988">
        <f t="shared" si="281"/>
        <v>0</v>
      </c>
      <c r="J1623" s="988">
        <f t="shared" si="281"/>
        <v>0</v>
      </c>
      <c r="K1623" s="988">
        <f t="shared" si="281"/>
        <v>0</v>
      </c>
      <c r="L1623" s="988">
        <f t="shared" si="281"/>
        <v>0</v>
      </c>
      <c r="M1623" s="988">
        <f t="shared" si="281"/>
        <v>0</v>
      </c>
      <c r="N1623" s="988">
        <f t="shared" si="281"/>
        <v>0</v>
      </c>
      <c r="O1623" s="988">
        <f t="shared" si="281"/>
        <v>0</v>
      </c>
      <c r="P1623" s="988">
        <f t="shared" si="281"/>
        <v>0</v>
      </c>
      <c r="Q1623" s="988"/>
      <c r="R1623" s="988">
        <f t="shared" si="277"/>
        <v>0</v>
      </c>
      <c r="S1623" s="546">
        <f t="shared" si="283"/>
        <v>0</v>
      </c>
      <c r="T1623" s="547">
        <f t="shared" si="284"/>
        <v>0</v>
      </c>
      <c r="U1623" s="546">
        <f t="shared" si="285"/>
        <v>0</v>
      </c>
      <c r="W1623" s="350">
        <f t="shared" si="275"/>
        <v>0</v>
      </c>
      <c r="X1623" s="285">
        <f t="shared" si="286"/>
        <v>0</v>
      </c>
    </row>
    <row r="1624" spans="1:24" ht="12" thickBot="1">
      <c r="A1624" s="541" t="s">
        <v>1504</v>
      </c>
      <c r="B1624" s="541" t="s">
        <v>176</v>
      </c>
      <c r="C1624" s="541" t="s">
        <v>200</v>
      </c>
      <c r="D1624" s="542" t="s">
        <v>207</v>
      </c>
      <c r="E1624" s="549">
        <f t="shared" si="273"/>
        <v>0</v>
      </c>
      <c r="F1624" s="988">
        <f t="shared" si="281"/>
        <v>0</v>
      </c>
      <c r="G1624" s="988">
        <f t="shared" si="281"/>
        <v>0</v>
      </c>
      <c r="H1624" s="988">
        <f t="shared" si="281"/>
        <v>0</v>
      </c>
      <c r="I1624" s="988">
        <f t="shared" si="281"/>
        <v>0</v>
      </c>
      <c r="J1624" s="988">
        <f t="shared" si="281"/>
        <v>0</v>
      </c>
      <c r="K1624" s="988">
        <f t="shared" si="281"/>
        <v>0</v>
      </c>
      <c r="L1624" s="988">
        <f t="shared" si="281"/>
        <v>0</v>
      </c>
      <c r="M1624" s="988">
        <f t="shared" si="281"/>
        <v>0</v>
      </c>
      <c r="N1624" s="988">
        <f t="shared" si="281"/>
        <v>0</v>
      </c>
      <c r="O1624" s="988">
        <f t="shared" si="281"/>
        <v>0</v>
      </c>
      <c r="P1624" s="988">
        <f t="shared" si="281"/>
        <v>0</v>
      </c>
      <c r="Q1624" s="988"/>
      <c r="R1624" s="988">
        <f t="shared" si="277"/>
        <v>0</v>
      </c>
      <c r="S1624" s="546">
        <f t="shared" si="283"/>
        <v>0</v>
      </c>
      <c r="T1624" s="547">
        <f t="shared" si="284"/>
        <v>0</v>
      </c>
      <c r="U1624" s="546">
        <f t="shared" si="285"/>
        <v>0</v>
      </c>
      <c r="W1624" s="350">
        <f t="shared" si="275"/>
        <v>0</v>
      </c>
      <c r="X1624" s="285">
        <f t="shared" si="286"/>
        <v>0</v>
      </c>
    </row>
    <row r="1625" spans="1:24" ht="12" thickBot="1">
      <c r="A1625" s="541" t="s">
        <v>1504</v>
      </c>
      <c r="B1625" s="541" t="s">
        <v>458</v>
      </c>
      <c r="C1625" s="541" t="s">
        <v>1367</v>
      </c>
      <c r="D1625" s="542" t="s">
        <v>206</v>
      </c>
      <c r="E1625" s="549">
        <f t="shared" si="273"/>
        <v>0</v>
      </c>
      <c r="F1625" s="988">
        <f t="shared" si="281"/>
        <v>0</v>
      </c>
      <c r="G1625" s="988">
        <f t="shared" si="281"/>
        <v>0</v>
      </c>
      <c r="H1625" s="988">
        <f t="shared" si="281"/>
        <v>0</v>
      </c>
      <c r="I1625" s="988">
        <f t="shared" si="281"/>
        <v>0</v>
      </c>
      <c r="J1625" s="988">
        <f t="shared" si="281"/>
        <v>0</v>
      </c>
      <c r="K1625" s="988">
        <f t="shared" si="281"/>
        <v>0</v>
      </c>
      <c r="L1625" s="988">
        <f t="shared" si="281"/>
        <v>0</v>
      </c>
      <c r="M1625" s="988">
        <f t="shared" si="281"/>
        <v>0</v>
      </c>
      <c r="N1625" s="988">
        <f t="shared" si="281"/>
        <v>0</v>
      </c>
      <c r="O1625" s="988">
        <f t="shared" si="281"/>
        <v>0</v>
      </c>
      <c r="P1625" s="988">
        <f t="shared" si="281"/>
        <v>0</v>
      </c>
      <c r="Q1625" s="988"/>
      <c r="R1625" s="988">
        <f t="shared" si="277"/>
        <v>0</v>
      </c>
      <c r="S1625" s="546">
        <f t="shared" si="283"/>
        <v>0</v>
      </c>
      <c r="T1625" s="547">
        <f t="shared" si="284"/>
        <v>0</v>
      </c>
      <c r="U1625" s="546">
        <f t="shared" si="285"/>
        <v>0</v>
      </c>
      <c r="W1625" s="350">
        <f t="shared" si="275"/>
        <v>0</v>
      </c>
      <c r="X1625" s="285">
        <f t="shared" si="286"/>
        <v>0</v>
      </c>
    </row>
    <row r="1626" spans="1:24" ht="12" thickBot="1">
      <c r="A1626" s="541" t="s">
        <v>1504</v>
      </c>
      <c r="B1626" s="541" t="s">
        <v>177</v>
      </c>
      <c r="C1626" s="541" t="s">
        <v>201</v>
      </c>
      <c r="D1626" s="542" t="s">
        <v>16</v>
      </c>
      <c r="E1626" s="549">
        <f t="shared" si="273"/>
        <v>0</v>
      </c>
      <c r="F1626" s="988">
        <f t="shared" si="281"/>
        <v>0</v>
      </c>
      <c r="G1626" s="988">
        <f t="shared" si="281"/>
        <v>0</v>
      </c>
      <c r="H1626" s="988">
        <f t="shared" si="281"/>
        <v>0</v>
      </c>
      <c r="I1626" s="988">
        <f t="shared" si="281"/>
        <v>0</v>
      </c>
      <c r="J1626" s="988">
        <f t="shared" si="281"/>
        <v>0</v>
      </c>
      <c r="K1626" s="988">
        <f t="shared" si="281"/>
        <v>0</v>
      </c>
      <c r="L1626" s="988">
        <f t="shared" si="281"/>
        <v>0</v>
      </c>
      <c r="M1626" s="988">
        <f t="shared" si="281"/>
        <v>0</v>
      </c>
      <c r="N1626" s="988">
        <f t="shared" si="281"/>
        <v>0</v>
      </c>
      <c r="O1626" s="988">
        <f t="shared" si="281"/>
        <v>0</v>
      </c>
      <c r="P1626" s="988">
        <f t="shared" si="281"/>
        <v>0</v>
      </c>
      <c r="Q1626" s="988"/>
      <c r="R1626" s="988">
        <f t="shared" si="277"/>
        <v>0</v>
      </c>
      <c r="S1626" s="546">
        <f t="shared" si="283"/>
        <v>0</v>
      </c>
      <c r="T1626" s="547">
        <f t="shared" si="284"/>
        <v>0</v>
      </c>
      <c r="U1626" s="546">
        <f t="shared" si="285"/>
        <v>0</v>
      </c>
      <c r="W1626" s="350">
        <f t="shared" si="275"/>
        <v>0</v>
      </c>
      <c r="X1626" s="285">
        <f t="shared" si="286"/>
        <v>0</v>
      </c>
    </row>
    <row r="1627" spans="1:24" ht="12" thickBot="1">
      <c r="A1627" s="541" t="s">
        <v>1504</v>
      </c>
      <c r="B1627" s="541" t="s">
        <v>178</v>
      </c>
      <c r="C1627" s="541" t="s">
        <v>202</v>
      </c>
      <c r="D1627" s="542" t="s">
        <v>14</v>
      </c>
      <c r="E1627" s="549">
        <f t="shared" si="273"/>
        <v>0</v>
      </c>
      <c r="F1627" s="988">
        <f t="shared" si="281"/>
        <v>0</v>
      </c>
      <c r="G1627" s="988">
        <f t="shared" si="281"/>
        <v>0</v>
      </c>
      <c r="H1627" s="988">
        <f t="shared" si="281"/>
        <v>0</v>
      </c>
      <c r="I1627" s="988">
        <f t="shared" si="281"/>
        <v>0</v>
      </c>
      <c r="J1627" s="988">
        <f t="shared" si="281"/>
        <v>0</v>
      </c>
      <c r="K1627" s="988">
        <f t="shared" si="281"/>
        <v>0</v>
      </c>
      <c r="L1627" s="988">
        <f t="shared" si="281"/>
        <v>0</v>
      </c>
      <c r="M1627" s="988">
        <f t="shared" si="281"/>
        <v>0</v>
      </c>
      <c r="N1627" s="988">
        <f t="shared" si="281"/>
        <v>0</v>
      </c>
      <c r="O1627" s="988">
        <f t="shared" si="281"/>
        <v>0</v>
      </c>
      <c r="P1627" s="988">
        <f t="shared" si="281"/>
        <v>0</v>
      </c>
      <c r="Q1627" s="988"/>
      <c r="R1627" s="988">
        <f t="shared" si="277"/>
        <v>0</v>
      </c>
      <c r="S1627" s="546">
        <f t="shared" si="283"/>
        <v>0</v>
      </c>
      <c r="T1627" s="547">
        <f t="shared" si="284"/>
        <v>0</v>
      </c>
      <c r="U1627" s="546">
        <f t="shared" si="285"/>
        <v>0</v>
      </c>
      <c r="W1627" s="350">
        <f t="shared" si="275"/>
        <v>0</v>
      </c>
      <c r="X1627" s="285">
        <f t="shared" si="286"/>
        <v>0</v>
      </c>
    </row>
    <row r="1628" spans="1:24" ht="12" thickBot="1">
      <c r="A1628" s="541" t="s">
        <v>1504</v>
      </c>
      <c r="B1628" s="541" t="s">
        <v>73</v>
      </c>
      <c r="C1628" s="541" t="s">
        <v>1511</v>
      </c>
      <c r="D1628" s="542"/>
      <c r="E1628" s="549">
        <f t="shared" si="273"/>
        <v>12296879</v>
      </c>
      <c r="F1628" s="988">
        <f t="shared" si="281"/>
        <v>0</v>
      </c>
      <c r="G1628" s="988">
        <f t="shared" si="281"/>
        <v>1695080</v>
      </c>
      <c r="H1628" s="988">
        <f t="shared" si="281"/>
        <v>355626</v>
      </c>
      <c r="I1628" s="988">
        <f t="shared" si="281"/>
        <v>0</v>
      </c>
      <c r="J1628" s="988">
        <f t="shared" si="281"/>
        <v>0</v>
      </c>
      <c r="K1628" s="988">
        <f t="shared" si="281"/>
        <v>0</v>
      </c>
      <c r="L1628" s="988">
        <f t="shared" si="281"/>
        <v>0</v>
      </c>
      <c r="M1628" s="988">
        <f t="shared" si="281"/>
        <v>28964</v>
      </c>
      <c r="N1628" s="988">
        <f t="shared" si="281"/>
        <v>62136</v>
      </c>
      <c r="O1628" s="988">
        <f t="shared" si="281"/>
        <v>0</v>
      </c>
      <c r="P1628" s="988">
        <f t="shared" si="281"/>
        <v>0</v>
      </c>
      <c r="Q1628" s="988"/>
      <c r="R1628" s="988">
        <f t="shared" si="277"/>
        <v>2141806</v>
      </c>
      <c r="S1628" s="546">
        <f t="shared" si="283"/>
        <v>2050706</v>
      </c>
      <c r="T1628" s="547">
        <f t="shared" si="284"/>
        <v>0</v>
      </c>
      <c r="U1628" s="546">
        <f t="shared" si="285"/>
        <v>62136</v>
      </c>
      <c r="W1628" s="350">
        <f t="shared" si="275"/>
        <v>2141806</v>
      </c>
      <c r="X1628" s="285">
        <f t="shared" si="286"/>
        <v>0</v>
      </c>
    </row>
    <row r="1629" spans="1:24" ht="12" thickBot="1">
      <c r="A1629" s="541" t="s">
        <v>1504</v>
      </c>
      <c r="B1629" s="541" t="s">
        <v>323</v>
      </c>
      <c r="C1629" s="541" t="s">
        <v>1056</v>
      </c>
      <c r="D1629" s="552" t="s">
        <v>1139</v>
      </c>
      <c r="E1629" s="543"/>
      <c r="F1629" s="545"/>
      <c r="G1629" s="544"/>
      <c r="H1629" s="545"/>
      <c r="I1629" s="545"/>
      <c r="J1629" s="545"/>
      <c r="K1629" s="545"/>
      <c r="L1629" s="545"/>
      <c r="M1629" s="544"/>
      <c r="N1629" s="544"/>
      <c r="O1629" s="545"/>
      <c r="P1629" s="545"/>
      <c r="Q1629" s="544"/>
      <c r="R1629" s="544"/>
      <c r="S1629" s="546">
        <f t="shared" si="283"/>
        <v>0</v>
      </c>
      <c r="T1629" s="547">
        <f t="shared" si="284"/>
        <v>0</v>
      </c>
      <c r="U1629" s="546">
        <f t="shared" si="285"/>
        <v>0</v>
      </c>
      <c r="W1629" s="350">
        <f t="shared" si="275"/>
        <v>0</v>
      </c>
      <c r="X1629" s="285">
        <f t="shared" si="286"/>
        <v>0</v>
      </c>
    </row>
    <row r="1630" spans="1:24" ht="12" thickBot="1">
      <c r="A1630" s="541" t="s">
        <v>1504</v>
      </c>
      <c r="B1630" s="541" t="s">
        <v>328</v>
      </c>
      <c r="C1630" s="541" t="s">
        <v>1057</v>
      </c>
      <c r="D1630" s="552" t="s">
        <v>1139</v>
      </c>
      <c r="E1630" s="549"/>
      <c r="F1630" s="551"/>
      <c r="G1630" s="550"/>
      <c r="H1630" s="551"/>
      <c r="I1630" s="551"/>
      <c r="J1630" s="551"/>
      <c r="K1630" s="551"/>
      <c r="L1630" s="551"/>
      <c r="M1630" s="550"/>
      <c r="N1630" s="550"/>
      <c r="O1630" s="551"/>
      <c r="P1630" s="551"/>
      <c r="Q1630" s="550"/>
      <c r="R1630" s="550"/>
      <c r="S1630" s="546">
        <f t="shared" si="283"/>
        <v>0</v>
      </c>
      <c r="T1630" s="547">
        <f t="shared" si="284"/>
        <v>0</v>
      </c>
      <c r="U1630" s="546">
        <f t="shared" si="285"/>
        <v>0</v>
      </c>
      <c r="W1630" s="350">
        <f t="shared" si="275"/>
        <v>0</v>
      </c>
      <c r="X1630" s="285">
        <f t="shared" si="286"/>
        <v>0</v>
      </c>
    </row>
    <row r="1631" spans="1:24" ht="12" thickBot="1">
      <c r="A1631" s="541" t="s">
        <v>1504</v>
      </c>
      <c r="B1631" s="541" t="s">
        <v>331</v>
      </c>
      <c r="C1631" s="541" t="s">
        <v>1058</v>
      </c>
      <c r="D1631" s="552" t="s">
        <v>1139</v>
      </c>
      <c r="E1631" s="543"/>
      <c r="F1631" s="545"/>
      <c r="G1631" s="544"/>
      <c r="H1631" s="545"/>
      <c r="I1631" s="545"/>
      <c r="J1631" s="545"/>
      <c r="K1631" s="545"/>
      <c r="L1631" s="545"/>
      <c r="M1631" s="544"/>
      <c r="N1631" s="544"/>
      <c r="O1631" s="545"/>
      <c r="P1631" s="545"/>
      <c r="Q1631" s="544"/>
      <c r="R1631" s="544"/>
      <c r="S1631" s="546">
        <f t="shared" si="283"/>
        <v>0</v>
      </c>
      <c r="T1631" s="547">
        <f t="shared" si="284"/>
        <v>0</v>
      </c>
      <c r="U1631" s="546">
        <f t="shared" si="285"/>
        <v>0</v>
      </c>
      <c r="W1631" s="350">
        <f t="shared" si="275"/>
        <v>0</v>
      </c>
      <c r="X1631" s="285">
        <f t="shared" si="286"/>
        <v>0</v>
      </c>
    </row>
    <row r="1632" spans="1:24" ht="12" thickBot="1">
      <c r="A1632" s="541" t="s">
        <v>1504</v>
      </c>
      <c r="B1632" s="541" t="s">
        <v>332</v>
      </c>
      <c r="C1632" s="541" t="s">
        <v>1059</v>
      </c>
      <c r="D1632" s="552" t="s">
        <v>1139</v>
      </c>
      <c r="E1632" s="549"/>
      <c r="F1632" s="551"/>
      <c r="G1632" s="550"/>
      <c r="H1632" s="551"/>
      <c r="I1632" s="551"/>
      <c r="J1632" s="551"/>
      <c r="K1632" s="551"/>
      <c r="L1632" s="551"/>
      <c r="M1632" s="550"/>
      <c r="N1632" s="550"/>
      <c r="O1632" s="551"/>
      <c r="P1632" s="551"/>
      <c r="Q1632" s="550"/>
      <c r="R1632" s="550"/>
      <c r="S1632" s="546">
        <f t="shared" si="283"/>
        <v>0</v>
      </c>
      <c r="T1632" s="547">
        <f t="shared" si="284"/>
        <v>0</v>
      </c>
      <c r="U1632" s="546">
        <f t="shared" si="285"/>
        <v>0</v>
      </c>
      <c r="W1632" s="350">
        <f t="shared" si="275"/>
        <v>0</v>
      </c>
      <c r="X1632" s="285">
        <f t="shared" si="286"/>
        <v>0</v>
      </c>
    </row>
    <row r="1633" spans="1:24" ht="12" thickBot="1">
      <c r="A1633" s="541" t="s">
        <v>1504</v>
      </c>
      <c r="B1633" s="541" t="s">
        <v>333</v>
      </c>
      <c r="C1633" s="541" t="s">
        <v>1060</v>
      </c>
      <c r="D1633" s="552" t="s">
        <v>1139</v>
      </c>
      <c r="E1633" s="543"/>
      <c r="F1633" s="545"/>
      <c r="G1633" s="544"/>
      <c r="H1633" s="545"/>
      <c r="I1633" s="545"/>
      <c r="J1633" s="545"/>
      <c r="K1633" s="545"/>
      <c r="L1633" s="545"/>
      <c r="M1633" s="544"/>
      <c r="N1633" s="544"/>
      <c r="O1633" s="545"/>
      <c r="P1633" s="545"/>
      <c r="Q1633" s="544"/>
      <c r="R1633" s="544"/>
      <c r="S1633" s="546">
        <f t="shared" si="283"/>
        <v>0</v>
      </c>
      <c r="T1633" s="547">
        <f t="shared" si="284"/>
        <v>0</v>
      </c>
      <c r="U1633" s="546">
        <f t="shared" si="285"/>
        <v>0</v>
      </c>
      <c r="W1633" s="350">
        <f t="shared" si="275"/>
        <v>0</v>
      </c>
      <c r="X1633" s="285">
        <f t="shared" si="286"/>
        <v>0</v>
      </c>
    </row>
    <row r="1634" spans="1:24" ht="12" thickBot="1">
      <c r="A1634" s="541" t="s">
        <v>1504</v>
      </c>
      <c r="B1634" s="541" t="s">
        <v>335</v>
      </c>
      <c r="C1634" s="541" t="s">
        <v>1061</v>
      </c>
      <c r="D1634" s="552" t="s">
        <v>1139</v>
      </c>
      <c r="E1634" s="549"/>
      <c r="F1634" s="551"/>
      <c r="G1634" s="550"/>
      <c r="H1634" s="551"/>
      <c r="I1634" s="551"/>
      <c r="J1634" s="551"/>
      <c r="K1634" s="551"/>
      <c r="L1634" s="551"/>
      <c r="M1634" s="550"/>
      <c r="N1634" s="550"/>
      <c r="O1634" s="551"/>
      <c r="P1634" s="551"/>
      <c r="Q1634" s="550"/>
      <c r="R1634" s="550"/>
      <c r="S1634" s="546">
        <f t="shared" si="283"/>
        <v>0</v>
      </c>
      <c r="T1634" s="547">
        <f t="shared" si="284"/>
        <v>0</v>
      </c>
      <c r="U1634" s="546">
        <f t="shared" si="285"/>
        <v>0</v>
      </c>
      <c r="W1634" s="350">
        <f t="shared" si="275"/>
        <v>0</v>
      </c>
      <c r="X1634" s="285">
        <f t="shared" si="286"/>
        <v>0</v>
      </c>
    </row>
    <row r="1635" spans="1:24" ht="12" thickBot="1">
      <c r="A1635" s="541" t="s">
        <v>1504</v>
      </c>
      <c r="B1635" s="541" t="s">
        <v>336</v>
      </c>
      <c r="C1635" s="541" t="s">
        <v>1062</v>
      </c>
      <c r="D1635" s="552" t="s">
        <v>1139</v>
      </c>
      <c r="E1635" s="543"/>
      <c r="F1635" s="545"/>
      <c r="G1635" s="544"/>
      <c r="H1635" s="545"/>
      <c r="I1635" s="545"/>
      <c r="J1635" s="545"/>
      <c r="K1635" s="545"/>
      <c r="L1635" s="545"/>
      <c r="M1635" s="544"/>
      <c r="N1635" s="544"/>
      <c r="O1635" s="545"/>
      <c r="P1635" s="545"/>
      <c r="Q1635" s="544"/>
      <c r="R1635" s="544"/>
      <c r="S1635" s="546">
        <f t="shared" si="283"/>
        <v>0</v>
      </c>
      <c r="T1635" s="547">
        <f t="shared" si="284"/>
        <v>0</v>
      </c>
      <c r="U1635" s="546">
        <f t="shared" si="285"/>
        <v>0</v>
      </c>
      <c r="W1635" s="350">
        <f t="shared" si="275"/>
        <v>0</v>
      </c>
      <c r="X1635" s="285">
        <f t="shared" si="286"/>
        <v>0</v>
      </c>
    </row>
    <row r="1636" spans="1:24" ht="12" thickBot="1">
      <c r="A1636" s="541" t="s">
        <v>1504</v>
      </c>
      <c r="B1636" s="541" t="s">
        <v>338</v>
      </c>
      <c r="C1636" s="541" t="s">
        <v>1063</v>
      </c>
      <c r="D1636" s="552" t="s">
        <v>1139</v>
      </c>
      <c r="E1636" s="549"/>
      <c r="F1636" s="551"/>
      <c r="G1636" s="550"/>
      <c r="H1636" s="551"/>
      <c r="I1636" s="551"/>
      <c r="J1636" s="551"/>
      <c r="K1636" s="551"/>
      <c r="L1636" s="551"/>
      <c r="M1636" s="550"/>
      <c r="N1636" s="550"/>
      <c r="O1636" s="551"/>
      <c r="P1636" s="551"/>
      <c r="Q1636" s="550"/>
      <c r="R1636" s="550"/>
      <c r="S1636" s="546">
        <f t="shared" si="283"/>
        <v>0</v>
      </c>
      <c r="T1636" s="547">
        <f t="shared" si="284"/>
        <v>0</v>
      </c>
      <c r="U1636" s="546">
        <f t="shared" si="285"/>
        <v>0</v>
      </c>
      <c r="W1636" s="350">
        <f t="shared" si="275"/>
        <v>0</v>
      </c>
      <c r="X1636" s="285">
        <f t="shared" si="286"/>
        <v>0</v>
      </c>
    </row>
    <row r="1637" spans="1:24" ht="12" thickBot="1">
      <c r="A1637" s="541" t="s">
        <v>1504</v>
      </c>
      <c r="B1637" s="541" t="s">
        <v>339</v>
      </c>
      <c r="C1637" s="541" t="s">
        <v>1064</v>
      </c>
      <c r="D1637" s="552" t="s">
        <v>1139</v>
      </c>
      <c r="E1637" s="543"/>
      <c r="F1637" s="545"/>
      <c r="G1637" s="544"/>
      <c r="H1637" s="545"/>
      <c r="I1637" s="545"/>
      <c r="J1637" s="545"/>
      <c r="K1637" s="545"/>
      <c r="L1637" s="545"/>
      <c r="M1637" s="544"/>
      <c r="N1637" s="544"/>
      <c r="O1637" s="545"/>
      <c r="P1637" s="545"/>
      <c r="Q1637" s="544"/>
      <c r="R1637" s="544"/>
      <c r="S1637" s="546">
        <f t="shared" si="283"/>
        <v>0</v>
      </c>
      <c r="T1637" s="547">
        <f t="shared" si="284"/>
        <v>0</v>
      </c>
      <c r="U1637" s="546">
        <f t="shared" si="285"/>
        <v>0</v>
      </c>
      <c r="W1637" s="350">
        <f t="shared" si="275"/>
        <v>0</v>
      </c>
      <c r="X1637" s="285">
        <f t="shared" si="286"/>
        <v>0</v>
      </c>
    </row>
    <row r="1638" spans="1:24" ht="12" thickBot="1">
      <c r="A1638" s="541" t="s">
        <v>1504</v>
      </c>
      <c r="B1638" s="541" t="s">
        <v>325</v>
      </c>
      <c r="C1638" s="541" t="s">
        <v>1065</v>
      </c>
      <c r="D1638" s="552" t="s">
        <v>1139</v>
      </c>
      <c r="E1638" s="549"/>
      <c r="F1638" s="551"/>
      <c r="G1638" s="550"/>
      <c r="H1638" s="551"/>
      <c r="I1638" s="551"/>
      <c r="J1638" s="551"/>
      <c r="K1638" s="551"/>
      <c r="L1638" s="551"/>
      <c r="M1638" s="550"/>
      <c r="N1638" s="550"/>
      <c r="O1638" s="551"/>
      <c r="P1638" s="551"/>
      <c r="Q1638" s="550"/>
      <c r="R1638" s="550"/>
      <c r="S1638" s="546">
        <f t="shared" si="283"/>
        <v>0</v>
      </c>
      <c r="T1638" s="547">
        <f t="shared" si="284"/>
        <v>0</v>
      </c>
      <c r="U1638" s="546">
        <f t="shared" si="285"/>
        <v>0</v>
      </c>
      <c r="W1638" s="350">
        <f t="shared" si="275"/>
        <v>0</v>
      </c>
      <c r="X1638" s="285">
        <f t="shared" si="286"/>
        <v>0</v>
      </c>
    </row>
    <row r="1639" spans="1:24" ht="12" thickBot="1">
      <c r="A1639" s="541" t="s">
        <v>1504</v>
      </c>
      <c r="B1639" s="541" t="s">
        <v>334</v>
      </c>
      <c r="C1639" s="541" t="s">
        <v>1066</v>
      </c>
      <c r="D1639" s="552" t="s">
        <v>1139</v>
      </c>
      <c r="E1639" s="543"/>
      <c r="F1639" s="545"/>
      <c r="G1639" s="544"/>
      <c r="H1639" s="545"/>
      <c r="I1639" s="545"/>
      <c r="J1639" s="545"/>
      <c r="K1639" s="545"/>
      <c r="L1639" s="545"/>
      <c r="M1639" s="544"/>
      <c r="N1639" s="544"/>
      <c r="O1639" s="545"/>
      <c r="P1639" s="545"/>
      <c r="Q1639" s="544"/>
      <c r="R1639" s="544"/>
      <c r="S1639" s="546">
        <f t="shared" si="283"/>
        <v>0</v>
      </c>
      <c r="T1639" s="547">
        <f t="shared" si="284"/>
        <v>0</v>
      </c>
      <c r="U1639" s="546">
        <f t="shared" si="285"/>
        <v>0</v>
      </c>
      <c r="W1639" s="350">
        <f t="shared" si="275"/>
        <v>0</v>
      </c>
      <c r="X1639" s="285">
        <f t="shared" si="286"/>
        <v>0</v>
      </c>
    </row>
    <row r="1640" spans="1:24" ht="12" thickBot="1">
      <c r="A1640" s="541" t="s">
        <v>1504</v>
      </c>
      <c r="B1640" s="541" t="s">
        <v>326</v>
      </c>
      <c r="C1640" s="541" t="s">
        <v>1067</v>
      </c>
      <c r="D1640" s="552" t="s">
        <v>1139</v>
      </c>
      <c r="E1640" s="549"/>
      <c r="F1640" s="551"/>
      <c r="G1640" s="550"/>
      <c r="H1640" s="551"/>
      <c r="I1640" s="551"/>
      <c r="J1640" s="551"/>
      <c r="K1640" s="551"/>
      <c r="L1640" s="551"/>
      <c r="M1640" s="550"/>
      <c r="N1640" s="550"/>
      <c r="O1640" s="551"/>
      <c r="P1640" s="551"/>
      <c r="Q1640" s="550"/>
      <c r="R1640" s="550"/>
      <c r="S1640" s="546">
        <f t="shared" si="283"/>
        <v>0</v>
      </c>
      <c r="T1640" s="547">
        <f t="shared" si="284"/>
        <v>0</v>
      </c>
      <c r="U1640" s="546">
        <f t="shared" si="285"/>
        <v>0</v>
      </c>
      <c r="W1640" s="350">
        <f t="shared" si="275"/>
        <v>0</v>
      </c>
      <c r="X1640" s="285">
        <f t="shared" si="286"/>
        <v>0</v>
      </c>
    </row>
    <row r="1641" spans="1:24" ht="12" thickBot="1">
      <c r="A1641" s="541" t="s">
        <v>1504</v>
      </c>
      <c r="B1641" s="541" t="s">
        <v>330</v>
      </c>
      <c r="C1641" s="541" t="s">
        <v>1068</v>
      </c>
      <c r="D1641" s="552" t="s">
        <v>1139</v>
      </c>
      <c r="E1641" s="543"/>
      <c r="F1641" s="545"/>
      <c r="G1641" s="544"/>
      <c r="H1641" s="545"/>
      <c r="I1641" s="545"/>
      <c r="J1641" s="545"/>
      <c r="K1641" s="545"/>
      <c r="L1641" s="545"/>
      <c r="M1641" s="544"/>
      <c r="N1641" s="544"/>
      <c r="O1641" s="545"/>
      <c r="P1641" s="545"/>
      <c r="Q1641" s="544"/>
      <c r="R1641" s="544"/>
      <c r="S1641" s="546">
        <f t="shared" si="283"/>
        <v>0</v>
      </c>
      <c r="T1641" s="547">
        <f t="shared" si="284"/>
        <v>0</v>
      </c>
      <c r="U1641" s="546">
        <f t="shared" si="285"/>
        <v>0</v>
      </c>
      <c r="W1641" s="350">
        <f t="shared" si="275"/>
        <v>0</v>
      </c>
      <c r="X1641" s="285">
        <f t="shared" si="286"/>
        <v>0</v>
      </c>
    </row>
    <row r="1642" spans="1:24" ht="12" thickBot="1">
      <c r="A1642" s="541" t="s">
        <v>1504</v>
      </c>
      <c r="B1642" s="541" t="s">
        <v>337</v>
      </c>
      <c r="C1642" s="541" t="s">
        <v>1069</v>
      </c>
      <c r="D1642" s="552" t="s">
        <v>1139</v>
      </c>
      <c r="E1642" s="549"/>
      <c r="F1642" s="551"/>
      <c r="G1642" s="550"/>
      <c r="H1642" s="551"/>
      <c r="I1642" s="551"/>
      <c r="J1642" s="551"/>
      <c r="K1642" s="551"/>
      <c r="L1642" s="551"/>
      <c r="M1642" s="550"/>
      <c r="N1642" s="550"/>
      <c r="O1642" s="551"/>
      <c r="P1642" s="551"/>
      <c r="Q1642" s="550"/>
      <c r="R1642" s="550"/>
      <c r="S1642" s="546">
        <f t="shared" si="283"/>
        <v>0</v>
      </c>
      <c r="T1642" s="547">
        <f t="shared" si="284"/>
        <v>0</v>
      </c>
      <c r="U1642" s="546">
        <f t="shared" si="285"/>
        <v>0</v>
      </c>
      <c r="W1642" s="350">
        <f t="shared" si="275"/>
        <v>0</v>
      </c>
      <c r="X1642" s="285">
        <f t="shared" si="286"/>
        <v>0</v>
      </c>
    </row>
    <row r="1643" spans="1:24" ht="12" thickBot="1">
      <c r="A1643" s="541" t="s">
        <v>1504</v>
      </c>
      <c r="B1643" s="541" t="s">
        <v>329</v>
      </c>
      <c r="C1643" s="541" t="s">
        <v>1070</v>
      </c>
      <c r="D1643" s="552" t="s">
        <v>1139</v>
      </c>
      <c r="E1643" s="543"/>
      <c r="F1643" s="545"/>
      <c r="G1643" s="544"/>
      <c r="H1643" s="545"/>
      <c r="I1643" s="545"/>
      <c r="J1643" s="545"/>
      <c r="K1643" s="545"/>
      <c r="L1643" s="545"/>
      <c r="M1643" s="544"/>
      <c r="N1643" s="544"/>
      <c r="O1643" s="545"/>
      <c r="P1643" s="545"/>
      <c r="Q1643" s="544"/>
      <c r="R1643" s="544"/>
      <c r="S1643" s="546">
        <f t="shared" si="283"/>
        <v>0</v>
      </c>
      <c r="T1643" s="547">
        <f t="shared" si="284"/>
        <v>0</v>
      </c>
      <c r="U1643" s="546">
        <f t="shared" si="285"/>
        <v>0</v>
      </c>
      <c r="W1643" s="350">
        <f t="shared" si="275"/>
        <v>0</v>
      </c>
      <c r="X1643" s="285">
        <f t="shared" si="286"/>
        <v>0</v>
      </c>
    </row>
    <row r="1644" spans="1:24" ht="12" thickBot="1">
      <c r="A1644" s="541" t="s">
        <v>1504</v>
      </c>
      <c r="B1644" s="541" t="s">
        <v>327</v>
      </c>
      <c r="C1644" s="541" t="s">
        <v>1071</v>
      </c>
      <c r="D1644" s="552" t="s">
        <v>1139</v>
      </c>
      <c r="E1644" s="549"/>
      <c r="F1644" s="551"/>
      <c r="G1644" s="550"/>
      <c r="H1644" s="551"/>
      <c r="I1644" s="551"/>
      <c r="J1644" s="551"/>
      <c r="K1644" s="551"/>
      <c r="L1644" s="551"/>
      <c r="M1644" s="550"/>
      <c r="N1644" s="550"/>
      <c r="O1644" s="551"/>
      <c r="P1644" s="551"/>
      <c r="Q1644" s="550"/>
      <c r="R1644" s="550"/>
      <c r="S1644" s="546">
        <f t="shared" si="283"/>
        <v>0</v>
      </c>
      <c r="T1644" s="547">
        <f t="shared" si="284"/>
        <v>0</v>
      </c>
      <c r="U1644" s="546">
        <f t="shared" si="285"/>
        <v>0</v>
      </c>
      <c r="W1644" s="350">
        <f t="shared" si="275"/>
        <v>0</v>
      </c>
      <c r="X1644" s="285">
        <f t="shared" si="286"/>
        <v>0</v>
      </c>
    </row>
    <row r="1645" spans="1:24" ht="12" thickBot="1">
      <c r="A1645" s="541" t="s">
        <v>1504</v>
      </c>
      <c r="B1645" s="541" t="s">
        <v>453</v>
      </c>
      <c r="C1645" s="541" t="s">
        <v>1072</v>
      </c>
      <c r="D1645" s="552" t="s">
        <v>1139</v>
      </c>
      <c r="E1645" s="543"/>
      <c r="F1645" s="545"/>
      <c r="G1645" s="544"/>
      <c r="H1645" s="545"/>
      <c r="I1645" s="545"/>
      <c r="J1645" s="545"/>
      <c r="K1645" s="545"/>
      <c r="L1645" s="545"/>
      <c r="M1645" s="544"/>
      <c r="N1645" s="544"/>
      <c r="O1645" s="545"/>
      <c r="P1645" s="545"/>
      <c r="Q1645" s="545"/>
      <c r="R1645" s="544"/>
      <c r="S1645" s="546">
        <f t="shared" si="283"/>
        <v>0</v>
      </c>
      <c r="T1645" s="547">
        <f t="shared" si="284"/>
        <v>0</v>
      </c>
      <c r="U1645" s="546">
        <f t="shared" si="285"/>
        <v>0</v>
      </c>
      <c r="W1645" s="350">
        <f t="shared" si="275"/>
        <v>0</v>
      </c>
      <c r="X1645" s="285">
        <f t="shared" si="286"/>
        <v>0</v>
      </c>
    </row>
    <row r="1646" spans="1:24" ht="12" thickBot="1">
      <c r="A1646" s="541" t="s">
        <v>1504</v>
      </c>
      <c r="B1646" s="541" t="s">
        <v>366</v>
      </c>
      <c r="C1646" s="541" t="s">
        <v>1073</v>
      </c>
      <c r="D1646" s="552" t="s">
        <v>1139</v>
      </c>
      <c r="E1646" s="549"/>
      <c r="F1646" s="551"/>
      <c r="G1646" s="550"/>
      <c r="H1646" s="551"/>
      <c r="I1646" s="551"/>
      <c r="J1646" s="551"/>
      <c r="K1646" s="551"/>
      <c r="L1646" s="551"/>
      <c r="M1646" s="550"/>
      <c r="N1646" s="550"/>
      <c r="O1646" s="551"/>
      <c r="P1646" s="551"/>
      <c r="Q1646" s="550"/>
      <c r="R1646" s="550"/>
      <c r="S1646" s="546">
        <f t="shared" ref="S1646:S1709" si="287">G1646+H1646+I1646</f>
        <v>0</v>
      </c>
      <c r="T1646" s="547">
        <f t="shared" ref="T1646:T1709" si="288">J1646+K1646</f>
        <v>0</v>
      </c>
      <c r="U1646" s="546">
        <f t="shared" si="285"/>
        <v>0</v>
      </c>
      <c r="W1646" s="350">
        <f t="shared" si="275"/>
        <v>0</v>
      </c>
      <c r="X1646" s="285">
        <f t="shared" ref="X1646:X1709" si="289">W1646-R1646</f>
        <v>0</v>
      </c>
    </row>
    <row r="1647" spans="1:24" ht="12" thickBot="1">
      <c r="A1647" s="541" t="s">
        <v>1504</v>
      </c>
      <c r="B1647" s="541" t="s">
        <v>386</v>
      </c>
      <c r="C1647" s="541" t="s">
        <v>1074</v>
      </c>
      <c r="D1647" s="552" t="s">
        <v>1140</v>
      </c>
      <c r="E1647" s="543"/>
      <c r="F1647" s="545"/>
      <c r="G1647" s="544"/>
      <c r="H1647" s="545"/>
      <c r="I1647" s="545"/>
      <c r="J1647" s="545"/>
      <c r="K1647" s="545"/>
      <c r="L1647" s="545"/>
      <c r="M1647" s="544"/>
      <c r="N1647" s="544"/>
      <c r="O1647" s="545"/>
      <c r="P1647" s="545"/>
      <c r="Q1647" s="544"/>
      <c r="R1647" s="544"/>
      <c r="S1647" s="546">
        <f t="shared" si="287"/>
        <v>0</v>
      </c>
      <c r="T1647" s="547">
        <f t="shared" si="288"/>
        <v>0</v>
      </c>
      <c r="U1647" s="546">
        <f t="shared" si="285"/>
        <v>0</v>
      </c>
      <c r="W1647" s="350">
        <f t="shared" si="275"/>
        <v>0</v>
      </c>
      <c r="X1647" s="285">
        <f t="shared" si="289"/>
        <v>0</v>
      </c>
    </row>
    <row r="1648" spans="1:24" ht="12" thickBot="1">
      <c r="A1648" s="541" t="s">
        <v>1504</v>
      </c>
      <c r="B1648" s="541" t="s">
        <v>342</v>
      </c>
      <c r="C1648" s="541" t="s">
        <v>251</v>
      </c>
      <c r="D1648" s="552" t="s">
        <v>1139</v>
      </c>
      <c r="E1648" s="549"/>
      <c r="F1648" s="551"/>
      <c r="G1648" s="550"/>
      <c r="H1648" s="551"/>
      <c r="I1648" s="551"/>
      <c r="J1648" s="551"/>
      <c r="K1648" s="551"/>
      <c r="L1648" s="551"/>
      <c r="M1648" s="550"/>
      <c r="N1648" s="550"/>
      <c r="O1648" s="551"/>
      <c r="P1648" s="551"/>
      <c r="Q1648" s="550"/>
      <c r="R1648" s="550"/>
      <c r="S1648" s="546">
        <f t="shared" si="287"/>
        <v>0</v>
      </c>
      <c r="T1648" s="547">
        <f t="shared" si="288"/>
        <v>0</v>
      </c>
      <c r="U1648" s="546">
        <f t="shared" si="285"/>
        <v>0</v>
      </c>
      <c r="W1648" s="350">
        <f t="shared" si="275"/>
        <v>0</v>
      </c>
      <c r="X1648" s="285">
        <f t="shared" si="289"/>
        <v>0</v>
      </c>
    </row>
    <row r="1649" spans="1:24" ht="12" thickBot="1">
      <c r="A1649" s="541" t="s">
        <v>1504</v>
      </c>
      <c r="B1649" s="541" t="s">
        <v>382</v>
      </c>
      <c r="C1649" s="541" t="s">
        <v>1075</v>
      </c>
      <c r="D1649" s="552" t="s">
        <v>1140</v>
      </c>
      <c r="E1649" s="543"/>
      <c r="F1649" s="545"/>
      <c r="G1649" s="544"/>
      <c r="H1649" s="545"/>
      <c r="I1649" s="545"/>
      <c r="J1649" s="545"/>
      <c r="K1649" s="545"/>
      <c r="L1649" s="545"/>
      <c r="M1649" s="544"/>
      <c r="N1649" s="544"/>
      <c r="O1649" s="545"/>
      <c r="P1649" s="545"/>
      <c r="Q1649" s="544"/>
      <c r="R1649" s="544"/>
      <c r="S1649" s="546">
        <f t="shared" si="287"/>
        <v>0</v>
      </c>
      <c r="T1649" s="547">
        <f t="shared" si="288"/>
        <v>0</v>
      </c>
      <c r="U1649" s="546">
        <f t="shared" si="285"/>
        <v>0</v>
      </c>
      <c r="W1649" s="350">
        <f t="shared" si="275"/>
        <v>0</v>
      </c>
      <c r="X1649" s="285">
        <f t="shared" si="289"/>
        <v>0</v>
      </c>
    </row>
    <row r="1650" spans="1:24" ht="12" thickBot="1">
      <c r="A1650" s="541" t="s">
        <v>1504</v>
      </c>
      <c r="B1650" s="541" t="s">
        <v>360</v>
      </c>
      <c r="C1650" s="541" t="s">
        <v>1076</v>
      </c>
      <c r="D1650" s="552" t="s">
        <v>1140</v>
      </c>
      <c r="E1650" s="549"/>
      <c r="F1650" s="551"/>
      <c r="G1650" s="550"/>
      <c r="H1650" s="551"/>
      <c r="I1650" s="551"/>
      <c r="J1650" s="551"/>
      <c r="K1650" s="551"/>
      <c r="L1650" s="551"/>
      <c r="M1650" s="550"/>
      <c r="N1650" s="550"/>
      <c r="O1650" s="551"/>
      <c r="P1650" s="551"/>
      <c r="Q1650" s="550"/>
      <c r="R1650" s="550"/>
      <c r="S1650" s="546">
        <f t="shared" si="287"/>
        <v>0</v>
      </c>
      <c r="T1650" s="547">
        <f t="shared" si="288"/>
        <v>0</v>
      </c>
      <c r="U1650" s="546">
        <f t="shared" si="285"/>
        <v>0</v>
      </c>
      <c r="W1650" s="350">
        <f t="shared" si="275"/>
        <v>0</v>
      </c>
      <c r="X1650" s="285">
        <f t="shared" si="289"/>
        <v>0</v>
      </c>
    </row>
    <row r="1651" spans="1:24" ht="12" thickBot="1">
      <c r="A1651" s="541" t="s">
        <v>1504</v>
      </c>
      <c r="B1651" s="541" t="s">
        <v>368</v>
      </c>
      <c r="C1651" s="541" t="s">
        <v>1077</v>
      </c>
      <c r="D1651" s="552" t="s">
        <v>1139</v>
      </c>
      <c r="E1651" s="543"/>
      <c r="F1651" s="545"/>
      <c r="G1651" s="544"/>
      <c r="H1651" s="545"/>
      <c r="I1651" s="545"/>
      <c r="J1651" s="545"/>
      <c r="K1651" s="545"/>
      <c r="L1651" s="545"/>
      <c r="M1651" s="544"/>
      <c r="N1651" s="544"/>
      <c r="O1651" s="545"/>
      <c r="P1651" s="545"/>
      <c r="Q1651" s="544"/>
      <c r="R1651" s="544"/>
      <c r="S1651" s="546">
        <f t="shared" si="287"/>
        <v>0</v>
      </c>
      <c r="T1651" s="547">
        <f t="shared" si="288"/>
        <v>0</v>
      </c>
      <c r="U1651" s="546">
        <f t="shared" si="285"/>
        <v>0</v>
      </c>
      <c r="W1651" s="350">
        <f t="shared" si="275"/>
        <v>0</v>
      </c>
      <c r="X1651" s="285">
        <f t="shared" si="289"/>
        <v>0</v>
      </c>
    </row>
    <row r="1652" spans="1:24" ht="12" thickBot="1">
      <c r="A1652" s="541" t="s">
        <v>1504</v>
      </c>
      <c r="B1652" s="541" t="s">
        <v>370</v>
      </c>
      <c r="C1652" s="541" t="s">
        <v>1078</v>
      </c>
      <c r="D1652" s="552" t="s">
        <v>1140</v>
      </c>
      <c r="E1652" s="549"/>
      <c r="F1652" s="551"/>
      <c r="G1652" s="550"/>
      <c r="H1652" s="551"/>
      <c r="I1652" s="551"/>
      <c r="J1652" s="551"/>
      <c r="K1652" s="551"/>
      <c r="L1652" s="551"/>
      <c r="M1652" s="550"/>
      <c r="N1652" s="550"/>
      <c r="O1652" s="551"/>
      <c r="P1652" s="551"/>
      <c r="Q1652" s="550"/>
      <c r="R1652" s="550"/>
      <c r="S1652" s="546">
        <f t="shared" si="287"/>
        <v>0</v>
      </c>
      <c r="T1652" s="547">
        <f t="shared" si="288"/>
        <v>0</v>
      </c>
      <c r="U1652" s="546">
        <f t="shared" si="285"/>
        <v>0</v>
      </c>
      <c r="W1652" s="350">
        <f t="shared" si="275"/>
        <v>0</v>
      </c>
      <c r="X1652" s="285">
        <f t="shared" si="289"/>
        <v>0</v>
      </c>
    </row>
    <row r="1653" spans="1:24" ht="12" thickBot="1">
      <c r="A1653" s="541" t="s">
        <v>1504</v>
      </c>
      <c r="B1653" s="541" t="s">
        <v>393</v>
      </c>
      <c r="C1653" s="541" t="s">
        <v>1079</v>
      </c>
      <c r="D1653" s="552" t="s">
        <v>1140</v>
      </c>
      <c r="E1653" s="543"/>
      <c r="F1653" s="545"/>
      <c r="G1653" s="544"/>
      <c r="H1653" s="545"/>
      <c r="I1653" s="545"/>
      <c r="J1653" s="545"/>
      <c r="K1653" s="545"/>
      <c r="L1653" s="545"/>
      <c r="M1653" s="544"/>
      <c r="N1653" s="544"/>
      <c r="O1653" s="545"/>
      <c r="P1653" s="545"/>
      <c r="Q1653" s="544"/>
      <c r="R1653" s="544"/>
      <c r="S1653" s="546">
        <f t="shared" si="287"/>
        <v>0</v>
      </c>
      <c r="T1653" s="547">
        <f t="shared" si="288"/>
        <v>0</v>
      </c>
      <c r="U1653" s="546">
        <f t="shared" si="285"/>
        <v>0</v>
      </c>
      <c r="W1653" s="350">
        <f t="shared" si="275"/>
        <v>0</v>
      </c>
      <c r="X1653" s="285">
        <f t="shared" si="289"/>
        <v>0</v>
      </c>
    </row>
    <row r="1654" spans="1:24" ht="12" thickBot="1">
      <c r="A1654" s="541" t="s">
        <v>1504</v>
      </c>
      <c r="B1654" s="541" t="s">
        <v>371</v>
      </c>
      <c r="C1654" s="541" t="s">
        <v>1080</v>
      </c>
      <c r="D1654" s="552" t="s">
        <v>1139</v>
      </c>
      <c r="E1654" s="549"/>
      <c r="F1654" s="551"/>
      <c r="G1654" s="550"/>
      <c r="H1654" s="551"/>
      <c r="I1654" s="551"/>
      <c r="J1654" s="551"/>
      <c r="K1654" s="551"/>
      <c r="L1654" s="551"/>
      <c r="M1654" s="550"/>
      <c r="N1654" s="550"/>
      <c r="O1654" s="551"/>
      <c r="P1654" s="551"/>
      <c r="Q1654" s="550"/>
      <c r="R1654" s="550"/>
      <c r="S1654" s="546">
        <f t="shared" si="287"/>
        <v>0</v>
      </c>
      <c r="T1654" s="547">
        <f t="shared" si="288"/>
        <v>0</v>
      </c>
      <c r="U1654" s="546">
        <f t="shared" si="285"/>
        <v>0</v>
      </c>
      <c r="W1654" s="350">
        <f t="shared" si="275"/>
        <v>0</v>
      </c>
      <c r="X1654" s="285">
        <f t="shared" si="289"/>
        <v>0</v>
      </c>
    </row>
    <row r="1655" spans="1:24" ht="12" thickBot="1">
      <c r="A1655" s="541" t="s">
        <v>1504</v>
      </c>
      <c r="B1655" s="541" t="s">
        <v>394</v>
      </c>
      <c r="C1655" s="541" t="s">
        <v>1081</v>
      </c>
      <c r="D1655" s="552" t="s">
        <v>1139</v>
      </c>
      <c r="E1655" s="543"/>
      <c r="F1655" s="545"/>
      <c r="G1655" s="544"/>
      <c r="H1655" s="545"/>
      <c r="I1655" s="545"/>
      <c r="J1655" s="545"/>
      <c r="K1655" s="545"/>
      <c r="L1655" s="545"/>
      <c r="M1655" s="544"/>
      <c r="N1655" s="544"/>
      <c r="O1655" s="545"/>
      <c r="P1655" s="545"/>
      <c r="Q1655" s="544"/>
      <c r="R1655" s="544"/>
      <c r="S1655" s="546">
        <f t="shared" si="287"/>
        <v>0</v>
      </c>
      <c r="T1655" s="547">
        <f t="shared" si="288"/>
        <v>0</v>
      </c>
      <c r="U1655" s="546">
        <f t="shared" si="285"/>
        <v>0</v>
      </c>
      <c r="W1655" s="350">
        <f t="shared" si="275"/>
        <v>0</v>
      </c>
      <c r="X1655" s="285">
        <f t="shared" si="289"/>
        <v>0</v>
      </c>
    </row>
    <row r="1656" spans="1:24" ht="12" thickBot="1">
      <c r="A1656" s="541" t="s">
        <v>1504</v>
      </c>
      <c r="B1656" s="541" t="s">
        <v>389</v>
      </c>
      <c r="C1656" s="541" t="s">
        <v>1082</v>
      </c>
      <c r="D1656" s="552" t="s">
        <v>1139</v>
      </c>
      <c r="E1656" s="549"/>
      <c r="F1656" s="551"/>
      <c r="G1656" s="550"/>
      <c r="H1656" s="551"/>
      <c r="I1656" s="551"/>
      <c r="J1656" s="551"/>
      <c r="K1656" s="551"/>
      <c r="L1656" s="551"/>
      <c r="M1656" s="550"/>
      <c r="N1656" s="550"/>
      <c r="O1656" s="551"/>
      <c r="P1656" s="551"/>
      <c r="Q1656" s="550"/>
      <c r="R1656" s="550"/>
      <c r="S1656" s="546">
        <f t="shared" si="287"/>
        <v>0</v>
      </c>
      <c r="T1656" s="547">
        <f t="shared" si="288"/>
        <v>0</v>
      </c>
      <c r="U1656" s="546">
        <f t="shared" si="285"/>
        <v>0</v>
      </c>
      <c r="W1656" s="350">
        <f t="shared" si="275"/>
        <v>0</v>
      </c>
      <c r="X1656" s="285">
        <f t="shared" si="289"/>
        <v>0</v>
      </c>
    </row>
    <row r="1657" spans="1:24" ht="12" thickBot="1">
      <c r="A1657" s="541" t="s">
        <v>1504</v>
      </c>
      <c r="B1657" s="541" t="s">
        <v>310</v>
      </c>
      <c r="C1657" s="541" t="s">
        <v>1083</v>
      </c>
      <c r="D1657" s="552" t="s">
        <v>1140</v>
      </c>
      <c r="E1657" s="543"/>
      <c r="F1657" s="545"/>
      <c r="G1657" s="544"/>
      <c r="H1657" s="545"/>
      <c r="I1657" s="545"/>
      <c r="J1657" s="545"/>
      <c r="K1657" s="545"/>
      <c r="L1657" s="545"/>
      <c r="M1657" s="544"/>
      <c r="N1657" s="544"/>
      <c r="O1657" s="545"/>
      <c r="P1657" s="545"/>
      <c r="Q1657" s="544"/>
      <c r="R1657" s="544"/>
      <c r="S1657" s="546">
        <f t="shared" si="287"/>
        <v>0</v>
      </c>
      <c r="T1657" s="547">
        <f t="shared" si="288"/>
        <v>0</v>
      </c>
      <c r="U1657" s="546">
        <f t="shared" si="285"/>
        <v>0</v>
      </c>
      <c r="W1657" s="350">
        <f t="shared" si="275"/>
        <v>0</v>
      </c>
      <c r="X1657" s="285">
        <f t="shared" si="289"/>
        <v>0</v>
      </c>
    </row>
    <row r="1658" spans="1:24" ht="12" thickBot="1">
      <c r="A1658" s="541" t="s">
        <v>1504</v>
      </c>
      <c r="B1658" s="541" t="s">
        <v>340</v>
      </c>
      <c r="C1658" s="541" t="s">
        <v>1084</v>
      </c>
      <c r="D1658" s="552" t="s">
        <v>1140</v>
      </c>
      <c r="E1658" s="549"/>
      <c r="F1658" s="551"/>
      <c r="G1658" s="550"/>
      <c r="H1658" s="551"/>
      <c r="I1658" s="551"/>
      <c r="J1658" s="551"/>
      <c r="K1658" s="551"/>
      <c r="L1658" s="551"/>
      <c r="M1658" s="550"/>
      <c r="N1658" s="550"/>
      <c r="O1658" s="551"/>
      <c r="P1658" s="551"/>
      <c r="Q1658" s="550"/>
      <c r="R1658" s="550"/>
      <c r="S1658" s="546">
        <f t="shared" si="287"/>
        <v>0</v>
      </c>
      <c r="T1658" s="547">
        <f t="shared" si="288"/>
        <v>0</v>
      </c>
      <c r="U1658" s="546">
        <f t="shared" si="285"/>
        <v>0</v>
      </c>
      <c r="W1658" s="350">
        <f t="shared" si="275"/>
        <v>0</v>
      </c>
      <c r="X1658" s="285">
        <f t="shared" si="289"/>
        <v>0</v>
      </c>
    </row>
    <row r="1659" spans="1:24" ht="12" thickBot="1">
      <c r="A1659" s="541" t="s">
        <v>1504</v>
      </c>
      <c r="B1659" s="541" t="s">
        <v>358</v>
      </c>
      <c r="C1659" s="541" t="s">
        <v>1085</v>
      </c>
      <c r="D1659" s="552" t="s">
        <v>1140</v>
      </c>
      <c r="E1659" s="543"/>
      <c r="F1659" s="545"/>
      <c r="G1659" s="544"/>
      <c r="H1659" s="545"/>
      <c r="I1659" s="545"/>
      <c r="J1659" s="545"/>
      <c r="K1659" s="545"/>
      <c r="L1659" s="545"/>
      <c r="M1659" s="544"/>
      <c r="N1659" s="544"/>
      <c r="O1659" s="545"/>
      <c r="P1659" s="545"/>
      <c r="Q1659" s="544"/>
      <c r="R1659" s="544"/>
      <c r="S1659" s="546">
        <f t="shared" si="287"/>
        <v>0</v>
      </c>
      <c r="T1659" s="547">
        <f t="shared" si="288"/>
        <v>0</v>
      </c>
      <c r="U1659" s="546">
        <f t="shared" si="285"/>
        <v>0</v>
      </c>
      <c r="W1659" s="350">
        <f t="shared" si="275"/>
        <v>0</v>
      </c>
      <c r="X1659" s="285">
        <f t="shared" si="289"/>
        <v>0</v>
      </c>
    </row>
    <row r="1660" spans="1:24" ht="12" thickBot="1">
      <c r="A1660" s="541" t="s">
        <v>1504</v>
      </c>
      <c r="B1660" s="541" t="s">
        <v>383</v>
      </c>
      <c r="C1660" s="541" t="s">
        <v>1086</v>
      </c>
      <c r="D1660" s="552" t="s">
        <v>1140</v>
      </c>
      <c r="E1660" s="549"/>
      <c r="F1660" s="551"/>
      <c r="G1660" s="550"/>
      <c r="H1660" s="551"/>
      <c r="I1660" s="551"/>
      <c r="J1660" s="551"/>
      <c r="K1660" s="551"/>
      <c r="L1660" s="551"/>
      <c r="M1660" s="550"/>
      <c r="N1660" s="550"/>
      <c r="O1660" s="551"/>
      <c r="P1660" s="551"/>
      <c r="Q1660" s="550"/>
      <c r="R1660" s="550"/>
      <c r="S1660" s="546">
        <f t="shared" si="287"/>
        <v>0</v>
      </c>
      <c r="T1660" s="547">
        <f t="shared" si="288"/>
        <v>0</v>
      </c>
      <c r="U1660" s="546">
        <f t="shared" si="285"/>
        <v>0</v>
      </c>
      <c r="W1660" s="350">
        <f t="shared" si="275"/>
        <v>0</v>
      </c>
      <c r="X1660" s="285">
        <f t="shared" si="289"/>
        <v>0</v>
      </c>
    </row>
    <row r="1661" spans="1:24" ht="12" thickBot="1">
      <c r="A1661" s="541" t="s">
        <v>1504</v>
      </c>
      <c r="B1661" s="541" t="s">
        <v>375</v>
      </c>
      <c r="C1661" s="541" t="s">
        <v>1087</v>
      </c>
      <c r="D1661" s="552" t="s">
        <v>1140</v>
      </c>
      <c r="E1661" s="543"/>
      <c r="F1661" s="545"/>
      <c r="G1661" s="544"/>
      <c r="H1661" s="545"/>
      <c r="I1661" s="545"/>
      <c r="J1661" s="545"/>
      <c r="K1661" s="545"/>
      <c r="L1661" s="545"/>
      <c r="M1661" s="544"/>
      <c r="N1661" s="544"/>
      <c r="O1661" s="545"/>
      <c r="P1661" s="545"/>
      <c r="Q1661" s="544"/>
      <c r="R1661" s="544"/>
      <c r="S1661" s="546">
        <f t="shared" si="287"/>
        <v>0</v>
      </c>
      <c r="T1661" s="547">
        <f t="shared" si="288"/>
        <v>0</v>
      </c>
      <c r="U1661" s="546">
        <f t="shared" si="285"/>
        <v>0</v>
      </c>
      <c r="W1661" s="350">
        <f t="shared" si="275"/>
        <v>0</v>
      </c>
      <c r="X1661" s="285">
        <f t="shared" si="289"/>
        <v>0</v>
      </c>
    </row>
    <row r="1662" spans="1:24" ht="12" thickBot="1">
      <c r="A1662" s="541" t="s">
        <v>1504</v>
      </c>
      <c r="B1662" s="541" t="s">
        <v>400</v>
      </c>
      <c r="C1662" s="541" t="s">
        <v>1088</v>
      </c>
      <c r="D1662" s="552" t="s">
        <v>1139</v>
      </c>
      <c r="E1662" s="549"/>
      <c r="F1662" s="551"/>
      <c r="G1662" s="550"/>
      <c r="H1662" s="551"/>
      <c r="I1662" s="551"/>
      <c r="J1662" s="551"/>
      <c r="K1662" s="551"/>
      <c r="L1662" s="551"/>
      <c r="M1662" s="550"/>
      <c r="N1662" s="550"/>
      <c r="O1662" s="551"/>
      <c r="P1662" s="551"/>
      <c r="Q1662" s="550"/>
      <c r="R1662" s="550"/>
      <c r="S1662" s="546">
        <f t="shared" si="287"/>
        <v>0</v>
      </c>
      <c r="T1662" s="547">
        <f t="shared" si="288"/>
        <v>0</v>
      </c>
      <c r="U1662" s="546">
        <f t="shared" si="285"/>
        <v>0</v>
      </c>
      <c r="W1662" s="350">
        <f t="shared" si="275"/>
        <v>0</v>
      </c>
      <c r="X1662" s="285">
        <f t="shared" si="289"/>
        <v>0</v>
      </c>
    </row>
    <row r="1663" spans="1:24" ht="12" thickBot="1">
      <c r="A1663" s="541" t="s">
        <v>1504</v>
      </c>
      <c r="B1663" s="541" t="s">
        <v>391</v>
      </c>
      <c r="C1663" s="541" t="s">
        <v>1089</v>
      </c>
      <c r="D1663" s="552" t="s">
        <v>1139</v>
      </c>
      <c r="E1663" s="543"/>
      <c r="F1663" s="545"/>
      <c r="G1663" s="544"/>
      <c r="H1663" s="545"/>
      <c r="I1663" s="545"/>
      <c r="J1663" s="545"/>
      <c r="K1663" s="545"/>
      <c r="L1663" s="545"/>
      <c r="M1663" s="544"/>
      <c r="N1663" s="544"/>
      <c r="O1663" s="545"/>
      <c r="P1663" s="545"/>
      <c r="Q1663" s="544"/>
      <c r="R1663" s="544"/>
      <c r="S1663" s="546">
        <f t="shared" si="287"/>
        <v>0</v>
      </c>
      <c r="T1663" s="547">
        <f t="shared" si="288"/>
        <v>0</v>
      </c>
      <c r="U1663" s="546">
        <f t="shared" si="285"/>
        <v>0</v>
      </c>
      <c r="W1663" s="350">
        <f t="shared" si="275"/>
        <v>0</v>
      </c>
      <c r="X1663" s="285">
        <f t="shared" si="289"/>
        <v>0</v>
      </c>
    </row>
    <row r="1664" spans="1:24" ht="12" thickBot="1">
      <c r="A1664" s="541" t="s">
        <v>1504</v>
      </c>
      <c r="B1664" s="541" t="s">
        <v>357</v>
      </c>
      <c r="C1664" s="541" t="s">
        <v>1090</v>
      </c>
      <c r="D1664" s="552" t="s">
        <v>1140</v>
      </c>
      <c r="E1664" s="549"/>
      <c r="F1664" s="551"/>
      <c r="G1664" s="550"/>
      <c r="H1664" s="551"/>
      <c r="I1664" s="551"/>
      <c r="J1664" s="551"/>
      <c r="K1664" s="551"/>
      <c r="L1664" s="551"/>
      <c r="M1664" s="550"/>
      <c r="N1664" s="550"/>
      <c r="O1664" s="551"/>
      <c r="P1664" s="551"/>
      <c r="Q1664" s="550"/>
      <c r="R1664" s="550"/>
      <c r="S1664" s="546">
        <f t="shared" si="287"/>
        <v>0</v>
      </c>
      <c r="T1664" s="547">
        <f t="shared" si="288"/>
        <v>0</v>
      </c>
      <c r="U1664" s="546">
        <f t="shared" si="285"/>
        <v>0</v>
      </c>
      <c r="W1664" s="350">
        <f t="shared" si="275"/>
        <v>0</v>
      </c>
      <c r="X1664" s="285">
        <f t="shared" si="289"/>
        <v>0</v>
      </c>
    </row>
    <row r="1665" spans="1:24" ht="12" thickBot="1">
      <c r="A1665" s="541" t="s">
        <v>1504</v>
      </c>
      <c r="B1665" s="541" t="s">
        <v>359</v>
      </c>
      <c r="C1665" s="541" t="s">
        <v>1091</v>
      </c>
      <c r="D1665" s="552" t="s">
        <v>1140</v>
      </c>
      <c r="E1665" s="543"/>
      <c r="F1665" s="545"/>
      <c r="G1665" s="544"/>
      <c r="H1665" s="545"/>
      <c r="I1665" s="545"/>
      <c r="J1665" s="545"/>
      <c r="K1665" s="545"/>
      <c r="L1665" s="545"/>
      <c r="M1665" s="544"/>
      <c r="N1665" s="544"/>
      <c r="O1665" s="545"/>
      <c r="P1665" s="545"/>
      <c r="Q1665" s="544"/>
      <c r="R1665" s="544"/>
      <c r="S1665" s="546">
        <f t="shared" si="287"/>
        <v>0</v>
      </c>
      <c r="T1665" s="547">
        <f t="shared" si="288"/>
        <v>0</v>
      </c>
      <c r="U1665" s="546">
        <f t="shared" si="285"/>
        <v>0</v>
      </c>
      <c r="W1665" s="350">
        <f t="shared" si="275"/>
        <v>0</v>
      </c>
      <c r="X1665" s="285">
        <f t="shared" si="289"/>
        <v>0</v>
      </c>
    </row>
    <row r="1666" spans="1:24" ht="12" thickBot="1">
      <c r="A1666" s="541" t="s">
        <v>1504</v>
      </c>
      <c r="B1666" s="541" t="s">
        <v>385</v>
      </c>
      <c r="C1666" s="541" t="s">
        <v>1092</v>
      </c>
      <c r="D1666" s="552" t="s">
        <v>1140</v>
      </c>
      <c r="E1666" s="549"/>
      <c r="F1666" s="551"/>
      <c r="G1666" s="550"/>
      <c r="H1666" s="551"/>
      <c r="I1666" s="551"/>
      <c r="J1666" s="551"/>
      <c r="K1666" s="551"/>
      <c r="L1666" s="551"/>
      <c r="M1666" s="550"/>
      <c r="N1666" s="550"/>
      <c r="O1666" s="551"/>
      <c r="P1666" s="551"/>
      <c r="Q1666" s="550"/>
      <c r="R1666" s="550"/>
      <c r="S1666" s="546">
        <f t="shared" si="287"/>
        <v>0</v>
      </c>
      <c r="T1666" s="547">
        <f t="shared" si="288"/>
        <v>0</v>
      </c>
      <c r="U1666" s="546">
        <f t="shared" si="285"/>
        <v>0</v>
      </c>
      <c r="W1666" s="350">
        <f t="shared" si="275"/>
        <v>0</v>
      </c>
      <c r="X1666" s="285">
        <f t="shared" si="289"/>
        <v>0</v>
      </c>
    </row>
    <row r="1667" spans="1:24" ht="12" thickBot="1">
      <c r="A1667" s="541" t="s">
        <v>1504</v>
      </c>
      <c r="B1667" s="541" t="s">
        <v>312</v>
      </c>
      <c r="C1667" s="541" t="s">
        <v>1093</v>
      </c>
      <c r="D1667" s="552" t="s">
        <v>1140</v>
      </c>
      <c r="E1667" s="543"/>
      <c r="F1667" s="545"/>
      <c r="G1667" s="544"/>
      <c r="H1667" s="545"/>
      <c r="I1667" s="545"/>
      <c r="J1667" s="545"/>
      <c r="K1667" s="545"/>
      <c r="L1667" s="545"/>
      <c r="M1667" s="544"/>
      <c r="N1667" s="544"/>
      <c r="O1667" s="545"/>
      <c r="P1667" s="545"/>
      <c r="Q1667" s="544"/>
      <c r="R1667" s="544"/>
      <c r="S1667" s="546">
        <f t="shared" si="287"/>
        <v>0</v>
      </c>
      <c r="T1667" s="547">
        <f t="shared" si="288"/>
        <v>0</v>
      </c>
      <c r="U1667" s="546">
        <f t="shared" si="285"/>
        <v>0</v>
      </c>
      <c r="W1667" s="350">
        <f t="shared" si="275"/>
        <v>0</v>
      </c>
      <c r="X1667" s="285">
        <f t="shared" si="289"/>
        <v>0</v>
      </c>
    </row>
    <row r="1668" spans="1:24" ht="12" thickBot="1">
      <c r="A1668" s="541" t="s">
        <v>1504</v>
      </c>
      <c r="B1668" s="541" t="s">
        <v>421</v>
      </c>
      <c r="C1668" s="541" t="s">
        <v>1094</v>
      </c>
      <c r="D1668" s="552" t="s">
        <v>1140</v>
      </c>
      <c r="E1668" s="549"/>
      <c r="F1668" s="551"/>
      <c r="G1668" s="550"/>
      <c r="H1668" s="551"/>
      <c r="I1668" s="551"/>
      <c r="J1668" s="551"/>
      <c r="K1668" s="551"/>
      <c r="L1668" s="551"/>
      <c r="M1668" s="550"/>
      <c r="N1668" s="550"/>
      <c r="O1668" s="551"/>
      <c r="P1668" s="551"/>
      <c r="Q1668" s="550"/>
      <c r="R1668" s="550"/>
      <c r="S1668" s="546">
        <f t="shared" si="287"/>
        <v>0</v>
      </c>
      <c r="T1668" s="547">
        <f t="shared" si="288"/>
        <v>0</v>
      </c>
      <c r="U1668" s="546">
        <f t="shared" si="285"/>
        <v>0</v>
      </c>
      <c r="W1668" s="350">
        <f t="shared" si="275"/>
        <v>0</v>
      </c>
      <c r="X1668" s="285">
        <f t="shared" si="289"/>
        <v>0</v>
      </c>
    </row>
    <row r="1669" spans="1:24" ht="12" thickBot="1">
      <c r="A1669" s="541" t="s">
        <v>1504</v>
      </c>
      <c r="B1669" s="541" t="s">
        <v>322</v>
      </c>
      <c r="C1669" s="541" t="s">
        <v>1095</v>
      </c>
      <c r="D1669" s="552" t="s">
        <v>1139</v>
      </c>
      <c r="E1669" s="543"/>
      <c r="F1669" s="545"/>
      <c r="G1669" s="544"/>
      <c r="H1669" s="545"/>
      <c r="I1669" s="545"/>
      <c r="J1669" s="545"/>
      <c r="K1669" s="545"/>
      <c r="L1669" s="545"/>
      <c r="M1669" s="544"/>
      <c r="N1669" s="544"/>
      <c r="O1669" s="545"/>
      <c r="P1669" s="545"/>
      <c r="Q1669" s="544"/>
      <c r="R1669" s="544"/>
      <c r="S1669" s="546">
        <f t="shared" si="287"/>
        <v>0</v>
      </c>
      <c r="T1669" s="547">
        <f t="shared" si="288"/>
        <v>0</v>
      </c>
      <c r="U1669" s="546">
        <f t="shared" si="285"/>
        <v>0</v>
      </c>
      <c r="W1669" s="350">
        <f t="shared" si="275"/>
        <v>0</v>
      </c>
      <c r="X1669" s="285">
        <f t="shared" si="289"/>
        <v>0</v>
      </c>
    </row>
    <row r="1670" spans="1:24" ht="12" thickBot="1">
      <c r="A1670" s="541" t="s">
        <v>1504</v>
      </c>
      <c r="B1670" s="541" t="s">
        <v>354</v>
      </c>
      <c r="C1670" s="541" t="s">
        <v>1096</v>
      </c>
      <c r="D1670" s="552" t="s">
        <v>1139</v>
      </c>
      <c r="E1670" s="549"/>
      <c r="F1670" s="551"/>
      <c r="G1670" s="550"/>
      <c r="H1670" s="551"/>
      <c r="I1670" s="551"/>
      <c r="J1670" s="551"/>
      <c r="K1670" s="551"/>
      <c r="L1670" s="551"/>
      <c r="M1670" s="550"/>
      <c r="N1670" s="550"/>
      <c r="O1670" s="551"/>
      <c r="P1670" s="551"/>
      <c r="Q1670" s="550"/>
      <c r="R1670" s="550"/>
      <c r="S1670" s="546">
        <f t="shared" si="287"/>
        <v>0</v>
      </c>
      <c r="T1670" s="547">
        <f t="shared" si="288"/>
        <v>0</v>
      </c>
      <c r="U1670" s="546">
        <f t="shared" si="285"/>
        <v>0</v>
      </c>
      <c r="W1670" s="350">
        <f t="shared" ref="W1670:W1719" si="290">SUM(F1670:Q1670)</f>
        <v>0</v>
      </c>
      <c r="X1670" s="285">
        <f t="shared" si="289"/>
        <v>0</v>
      </c>
    </row>
    <row r="1671" spans="1:24" ht="12" thickBot="1">
      <c r="A1671" s="541" t="s">
        <v>1504</v>
      </c>
      <c r="B1671" s="541" t="s">
        <v>317</v>
      </c>
      <c r="C1671" s="541" t="s">
        <v>1097</v>
      </c>
      <c r="D1671" s="552" t="s">
        <v>1139</v>
      </c>
      <c r="E1671" s="543"/>
      <c r="F1671" s="545"/>
      <c r="G1671" s="544"/>
      <c r="H1671" s="545"/>
      <c r="I1671" s="545"/>
      <c r="J1671" s="545"/>
      <c r="K1671" s="545"/>
      <c r="L1671" s="545"/>
      <c r="M1671" s="544"/>
      <c r="N1671" s="544"/>
      <c r="O1671" s="545"/>
      <c r="P1671" s="545"/>
      <c r="Q1671" s="544"/>
      <c r="R1671" s="544"/>
      <c r="S1671" s="546">
        <f t="shared" si="287"/>
        <v>0</v>
      </c>
      <c r="T1671" s="547">
        <f t="shared" si="288"/>
        <v>0</v>
      </c>
      <c r="U1671" s="546">
        <f t="shared" si="285"/>
        <v>0</v>
      </c>
      <c r="W1671" s="350">
        <f t="shared" si="290"/>
        <v>0</v>
      </c>
      <c r="X1671" s="285">
        <f t="shared" si="289"/>
        <v>0</v>
      </c>
    </row>
    <row r="1672" spans="1:24" ht="12" thickBot="1">
      <c r="A1672" s="541" t="s">
        <v>1504</v>
      </c>
      <c r="B1672" s="541" t="s">
        <v>320</v>
      </c>
      <c r="C1672" s="541" t="s">
        <v>1098</v>
      </c>
      <c r="D1672" s="552" t="s">
        <v>1140</v>
      </c>
      <c r="E1672" s="549"/>
      <c r="F1672" s="551"/>
      <c r="G1672" s="550"/>
      <c r="H1672" s="551"/>
      <c r="I1672" s="551"/>
      <c r="J1672" s="551"/>
      <c r="K1672" s="551"/>
      <c r="L1672" s="551"/>
      <c r="M1672" s="550"/>
      <c r="N1672" s="550"/>
      <c r="O1672" s="551"/>
      <c r="P1672" s="551"/>
      <c r="Q1672" s="550"/>
      <c r="R1672" s="550"/>
      <c r="S1672" s="546">
        <f t="shared" si="287"/>
        <v>0</v>
      </c>
      <c r="T1672" s="547">
        <f t="shared" si="288"/>
        <v>0</v>
      </c>
      <c r="U1672" s="546">
        <f t="shared" si="285"/>
        <v>0</v>
      </c>
      <c r="W1672" s="350">
        <f t="shared" si="290"/>
        <v>0</v>
      </c>
      <c r="X1672" s="285">
        <f t="shared" si="289"/>
        <v>0</v>
      </c>
    </row>
    <row r="1673" spans="1:24" ht="12" thickBot="1">
      <c r="A1673" s="541" t="s">
        <v>1504</v>
      </c>
      <c r="B1673" s="541" t="s">
        <v>352</v>
      </c>
      <c r="C1673" s="541" t="s">
        <v>1099</v>
      </c>
      <c r="D1673" s="552" t="s">
        <v>1140</v>
      </c>
      <c r="E1673" s="543"/>
      <c r="F1673" s="545"/>
      <c r="G1673" s="544"/>
      <c r="H1673" s="545"/>
      <c r="I1673" s="545"/>
      <c r="J1673" s="545"/>
      <c r="K1673" s="545"/>
      <c r="L1673" s="545"/>
      <c r="M1673" s="544"/>
      <c r="N1673" s="544"/>
      <c r="O1673" s="545"/>
      <c r="P1673" s="545"/>
      <c r="Q1673" s="544"/>
      <c r="R1673" s="544"/>
      <c r="S1673" s="546">
        <f t="shared" si="287"/>
        <v>0</v>
      </c>
      <c r="T1673" s="547">
        <f t="shared" si="288"/>
        <v>0</v>
      </c>
      <c r="U1673" s="546">
        <f t="shared" si="285"/>
        <v>0</v>
      </c>
      <c r="W1673" s="350">
        <f t="shared" si="290"/>
        <v>0</v>
      </c>
      <c r="X1673" s="285">
        <f t="shared" si="289"/>
        <v>0</v>
      </c>
    </row>
    <row r="1674" spans="1:24" ht="12" thickBot="1">
      <c r="A1674" s="541" t="s">
        <v>1504</v>
      </c>
      <c r="B1674" s="541" t="s">
        <v>384</v>
      </c>
      <c r="C1674" s="541" t="s">
        <v>1100</v>
      </c>
      <c r="D1674" s="552" t="s">
        <v>1140</v>
      </c>
      <c r="E1674" s="549"/>
      <c r="F1674" s="551"/>
      <c r="G1674" s="550"/>
      <c r="H1674" s="551"/>
      <c r="I1674" s="551"/>
      <c r="J1674" s="551"/>
      <c r="K1674" s="551"/>
      <c r="L1674" s="551"/>
      <c r="M1674" s="550"/>
      <c r="N1674" s="550"/>
      <c r="O1674" s="551"/>
      <c r="P1674" s="551"/>
      <c r="Q1674" s="550"/>
      <c r="R1674" s="550"/>
      <c r="S1674" s="546">
        <f t="shared" si="287"/>
        <v>0</v>
      </c>
      <c r="T1674" s="547">
        <f t="shared" si="288"/>
        <v>0</v>
      </c>
      <c r="U1674" s="546">
        <f t="shared" si="285"/>
        <v>0</v>
      </c>
      <c r="W1674" s="350">
        <f t="shared" si="290"/>
        <v>0</v>
      </c>
      <c r="X1674" s="285">
        <f t="shared" si="289"/>
        <v>0</v>
      </c>
    </row>
    <row r="1675" spans="1:24" ht="12" thickBot="1">
      <c r="A1675" s="541" t="s">
        <v>1504</v>
      </c>
      <c r="B1675" s="541" t="s">
        <v>311</v>
      </c>
      <c r="C1675" s="541" t="s">
        <v>1101</v>
      </c>
      <c r="D1675" s="552" t="s">
        <v>1140</v>
      </c>
      <c r="E1675" s="543"/>
      <c r="F1675" s="545"/>
      <c r="G1675" s="544"/>
      <c r="H1675" s="545"/>
      <c r="I1675" s="545"/>
      <c r="J1675" s="545"/>
      <c r="K1675" s="545"/>
      <c r="L1675" s="545"/>
      <c r="M1675" s="544"/>
      <c r="N1675" s="544"/>
      <c r="O1675" s="545"/>
      <c r="P1675" s="545"/>
      <c r="Q1675" s="544"/>
      <c r="R1675" s="544"/>
      <c r="S1675" s="546">
        <f t="shared" si="287"/>
        <v>0</v>
      </c>
      <c r="T1675" s="547">
        <f t="shared" si="288"/>
        <v>0</v>
      </c>
      <c r="U1675" s="546">
        <f t="shared" si="285"/>
        <v>0</v>
      </c>
      <c r="W1675" s="350">
        <f t="shared" si="290"/>
        <v>0</v>
      </c>
      <c r="X1675" s="285">
        <f t="shared" si="289"/>
        <v>0</v>
      </c>
    </row>
    <row r="1676" spans="1:24" ht="12" thickBot="1">
      <c r="A1676" s="541" t="s">
        <v>1504</v>
      </c>
      <c r="B1676" s="541" t="s">
        <v>341</v>
      </c>
      <c r="C1676" s="541" t="s">
        <v>1102</v>
      </c>
      <c r="D1676" s="552" t="s">
        <v>1140</v>
      </c>
      <c r="E1676" s="549"/>
      <c r="F1676" s="551"/>
      <c r="G1676" s="550"/>
      <c r="H1676" s="551"/>
      <c r="I1676" s="551"/>
      <c r="J1676" s="551"/>
      <c r="K1676" s="551"/>
      <c r="L1676" s="551"/>
      <c r="M1676" s="550"/>
      <c r="N1676" s="550"/>
      <c r="O1676" s="551"/>
      <c r="P1676" s="551"/>
      <c r="Q1676" s="550"/>
      <c r="R1676" s="550"/>
      <c r="S1676" s="546">
        <f t="shared" si="287"/>
        <v>0</v>
      </c>
      <c r="T1676" s="547">
        <f t="shared" si="288"/>
        <v>0</v>
      </c>
      <c r="U1676" s="546">
        <f t="shared" si="285"/>
        <v>0</v>
      </c>
      <c r="W1676" s="350">
        <f t="shared" si="290"/>
        <v>0</v>
      </c>
      <c r="X1676" s="285">
        <f t="shared" si="289"/>
        <v>0</v>
      </c>
    </row>
    <row r="1677" spans="1:24" ht="12" thickBot="1">
      <c r="A1677" s="541" t="s">
        <v>1504</v>
      </c>
      <c r="B1677" s="541" t="s">
        <v>315</v>
      </c>
      <c r="C1677" s="541" t="s">
        <v>1103</v>
      </c>
      <c r="D1677" s="552" t="s">
        <v>1140</v>
      </c>
      <c r="E1677" s="543"/>
      <c r="F1677" s="545"/>
      <c r="G1677" s="544"/>
      <c r="H1677" s="545"/>
      <c r="I1677" s="545"/>
      <c r="J1677" s="545"/>
      <c r="K1677" s="545"/>
      <c r="L1677" s="545"/>
      <c r="M1677" s="544"/>
      <c r="N1677" s="544"/>
      <c r="O1677" s="545"/>
      <c r="P1677" s="545"/>
      <c r="Q1677" s="544"/>
      <c r="R1677" s="544"/>
      <c r="S1677" s="546">
        <f t="shared" si="287"/>
        <v>0</v>
      </c>
      <c r="T1677" s="547">
        <f t="shared" si="288"/>
        <v>0</v>
      </c>
      <c r="U1677" s="546">
        <f t="shared" si="285"/>
        <v>0</v>
      </c>
      <c r="W1677" s="350">
        <f t="shared" si="290"/>
        <v>0</v>
      </c>
      <c r="X1677" s="285">
        <f t="shared" si="289"/>
        <v>0</v>
      </c>
    </row>
    <row r="1678" spans="1:24" ht="12" thickBot="1">
      <c r="A1678" s="541" t="s">
        <v>1504</v>
      </c>
      <c r="B1678" s="541" t="s">
        <v>319</v>
      </c>
      <c r="C1678" s="541" t="s">
        <v>1104</v>
      </c>
      <c r="D1678" s="552" t="s">
        <v>1140</v>
      </c>
      <c r="E1678" s="549"/>
      <c r="F1678" s="551"/>
      <c r="G1678" s="550"/>
      <c r="H1678" s="551"/>
      <c r="I1678" s="551"/>
      <c r="J1678" s="551"/>
      <c r="K1678" s="551"/>
      <c r="L1678" s="551"/>
      <c r="M1678" s="550"/>
      <c r="N1678" s="550"/>
      <c r="O1678" s="551"/>
      <c r="P1678" s="551"/>
      <c r="Q1678" s="550"/>
      <c r="R1678" s="550"/>
      <c r="S1678" s="546">
        <f t="shared" si="287"/>
        <v>0</v>
      </c>
      <c r="T1678" s="547">
        <f t="shared" si="288"/>
        <v>0</v>
      </c>
      <c r="U1678" s="546">
        <f t="shared" si="285"/>
        <v>0</v>
      </c>
      <c r="W1678" s="350">
        <f t="shared" si="290"/>
        <v>0</v>
      </c>
      <c r="X1678" s="285">
        <f t="shared" si="289"/>
        <v>0</v>
      </c>
    </row>
    <row r="1679" spans="1:24" ht="12" thickBot="1">
      <c r="A1679" s="541" t="s">
        <v>1504</v>
      </c>
      <c r="B1679" s="541" t="s">
        <v>356</v>
      </c>
      <c r="C1679" s="541" t="s">
        <v>1105</v>
      </c>
      <c r="D1679" s="552" t="s">
        <v>1140</v>
      </c>
      <c r="E1679" s="543"/>
      <c r="F1679" s="545"/>
      <c r="G1679" s="544"/>
      <c r="H1679" s="545"/>
      <c r="I1679" s="545"/>
      <c r="J1679" s="545"/>
      <c r="K1679" s="545"/>
      <c r="L1679" s="545"/>
      <c r="M1679" s="544"/>
      <c r="N1679" s="544"/>
      <c r="O1679" s="545"/>
      <c r="P1679" s="545"/>
      <c r="Q1679" s="544"/>
      <c r="R1679" s="544"/>
      <c r="S1679" s="546">
        <f t="shared" si="287"/>
        <v>0</v>
      </c>
      <c r="T1679" s="547">
        <f t="shared" si="288"/>
        <v>0</v>
      </c>
      <c r="U1679" s="546">
        <f t="shared" si="285"/>
        <v>0</v>
      </c>
      <c r="W1679" s="350">
        <f t="shared" si="290"/>
        <v>0</v>
      </c>
      <c r="X1679" s="285">
        <f t="shared" si="289"/>
        <v>0</v>
      </c>
    </row>
    <row r="1680" spans="1:24" ht="12" thickBot="1">
      <c r="A1680" s="541" t="s">
        <v>1504</v>
      </c>
      <c r="B1680" s="541" t="s">
        <v>365</v>
      </c>
      <c r="C1680" s="541" t="s">
        <v>1106</v>
      </c>
      <c r="D1680" s="552" t="s">
        <v>1139</v>
      </c>
      <c r="E1680" s="549"/>
      <c r="F1680" s="551"/>
      <c r="G1680" s="550"/>
      <c r="H1680" s="551"/>
      <c r="I1680" s="551"/>
      <c r="J1680" s="551"/>
      <c r="K1680" s="551"/>
      <c r="L1680" s="551"/>
      <c r="M1680" s="550"/>
      <c r="N1680" s="550"/>
      <c r="O1680" s="551"/>
      <c r="P1680" s="551"/>
      <c r="Q1680" s="550"/>
      <c r="R1680" s="550"/>
      <c r="S1680" s="546">
        <f t="shared" si="287"/>
        <v>0</v>
      </c>
      <c r="T1680" s="547">
        <f t="shared" si="288"/>
        <v>0</v>
      </c>
      <c r="U1680" s="546">
        <f t="shared" si="285"/>
        <v>0</v>
      </c>
      <c r="W1680" s="350">
        <f t="shared" si="290"/>
        <v>0</v>
      </c>
      <c r="X1680" s="285">
        <f t="shared" si="289"/>
        <v>0</v>
      </c>
    </row>
    <row r="1681" spans="1:24" ht="12" thickBot="1">
      <c r="A1681" s="541" t="s">
        <v>1504</v>
      </c>
      <c r="B1681" s="541" t="s">
        <v>388</v>
      </c>
      <c r="C1681" s="541" t="s">
        <v>1107</v>
      </c>
      <c r="D1681" s="552" t="s">
        <v>1139</v>
      </c>
      <c r="E1681" s="543"/>
      <c r="F1681" s="545"/>
      <c r="G1681" s="544"/>
      <c r="H1681" s="545"/>
      <c r="I1681" s="545"/>
      <c r="J1681" s="545"/>
      <c r="K1681" s="545"/>
      <c r="L1681" s="545"/>
      <c r="M1681" s="544"/>
      <c r="N1681" s="544"/>
      <c r="O1681" s="545"/>
      <c r="P1681" s="545"/>
      <c r="Q1681" s="544"/>
      <c r="R1681" s="544"/>
      <c r="S1681" s="546">
        <f t="shared" si="287"/>
        <v>0</v>
      </c>
      <c r="T1681" s="547">
        <f t="shared" si="288"/>
        <v>0</v>
      </c>
      <c r="U1681" s="546">
        <f t="shared" si="285"/>
        <v>0</v>
      </c>
      <c r="W1681" s="350">
        <f t="shared" si="290"/>
        <v>0</v>
      </c>
      <c r="X1681" s="285">
        <f t="shared" si="289"/>
        <v>0</v>
      </c>
    </row>
    <row r="1682" spans="1:24" ht="12" thickBot="1">
      <c r="A1682" s="541" t="s">
        <v>1504</v>
      </c>
      <c r="B1682" s="541" t="s">
        <v>345</v>
      </c>
      <c r="C1682" s="541" t="s">
        <v>1108</v>
      </c>
      <c r="D1682" s="552" t="s">
        <v>1139</v>
      </c>
      <c r="E1682" s="549"/>
      <c r="F1682" s="551"/>
      <c r="G1682" s="550"/>
      <c r="H1682" s="551"/>
      <c r="I1682" s="551"/>
      <c r="J1682" s="551"/>
      <c r="K1682" s="551"/>
      <c r="L1682" s="551"/>
      <c r="M1682" s="550"/>
      <c r="N1682" s="550"/>
      <c r="O1682" s="551"/>
      <c r="P1682" s="551"/>
      <c r="Q1682" s="550"/>
      <c r="R1682" s="550"/>
      <c r="S1682" s="546">
        <f t="shared" si="287"/>
        <v>0</v>
      </c>
      <c r="T1682" s="547">
        <f t="shared" si="288"/>
        <v>0</v>
      </c>
      <c r="U1682" s="546">
        <f t="shared" ref="U1682:U1719" si="291">N1682+O1682</f>
        <v>0</v>
      </c>
      <c r="W1682" s="350">
        <f t="shared" si="290"/>
        <v>0</v>
      </c>
      <c r="X1682" s="285">
        <f t="shared" si="289"/>
        <v>0</v>
      </c>
    </row>
    <row r="1683" spans="1:24" ht="12" thickBot="1">
      <c r="A1683" s="541" t="s">
        <v>1504</v>
      </c>
      <c r="B1683" s="541" t="s">
        <v>377</v>
      </c>
      <c r="C1683" s="541" t="s">
        <v>1109</v>
      </c>
      <c r="D1683" s="552" t="s">
        <v>1139</v>
      </c>
      <c r="E1683" s="543"/>
      <c r="F1683" s="545"/>
      <c r="G1683" s="544"/>
      <c r="H1683" s="545"/>
      <c r="I1683" s="545"/>
      <c r="J1683" s="545"/>
      <c r="K1683" s="545"/>
      <c r="L1683" s="545"/>
      <c r="M1683" s="544"/>
      <c r="N1683" s="544"/>
      <c r="O1683" s="545"/>
      <c r="P1683" s="545"/>
      <c r="Q1683" s="544"/>
      <c r="R1683" s="544"/>
      <c r="S1683" s="546">
        <f t="shared" si="287"/>
        <v>0</v>
      </c>
      <c r="T1683" s="547">
        <f t="shared" si="288"/>
        <v>0</v>
      </c>
      <c r="U1683" s="546">
        <f t="shared" si="291"/>
        <v>0</v>
      </c>
      <c r="W1683" s="350">
        <f t="shared" si="290"/>
        <v>0</v>
      </c>
      <c r="X1683" s="285">
        <f t="shared" si="289"/>
        <v>0</v>
      </c>
    </row>
    <row r="1684" spans="1:24" ht="12" thickBot="1">
      <c r="A1684" s="541" t="s">
        <v>1504</v>
      </c>
      <c r="B1684" s="541" t="s">
        <v>1395</v>
      </c>
      <c r="C1684" s="541" t="s">
        <v>1396</v>
      </c>
      <c r="D1684" s="552" t="s">
        <v>1139</v>
      </c>
      <c r="E1684" s="549"/>
      <c r="F1684" s="551"/>
      <c r="G1684" s="551"/>
      <c r="H1684" s="551"/>
      <c r="I1684" s="551"/>
      <c r="J1684" s="551"/>
      <c r="K1684" s="551"/>
      <c r="L1684" s="551"/>
      <c r="M1684" s="551"/>
      <c r="N1684" s="551"/>
      <c r="O1684" s="551"/>
      <c r="P1684" s="551"/>
      <c r="Q1684" s="551"/>
      <c r="R1684" s="551"/>
      <c r="S1684" s="546">
        <f t="shared" si="287"/>
        <v>0</v>
      </c>
      <c r="T1684" s="547">
        <f t="shared" si="288"/>
        <v>0</v>
      </c>
      <c r="U1684" s="546">
        <f t="shared" si="291"/>
        <v>0</v>
      </c>
      <c r="W1684" s="350">
        <f t="shared" si="290"/>
        <v>0</v>
      </c>
      <c r="X1684" s="285">
        <f t="shared" si="289"/>
        <v>0</v>
      </c>
    </row>
    <row r="1685" spans="1:24" ht="12" thickBot="1">
      <c r="A1685" s="541" t="s">
        <v>1504</v>
      </c>
      <c r="B1685" s="541" t="s">
        <v>363</v>
      </c>
      <c r="C1685" s="541" t="s">
        <v>1110</v>
      </c>
      <c r="D1685" s="552" t="s">
        <v>1140</v>
      </c>
      <c r="E1685" s="543"/>
      <c r="F1685" s="545"/>
      <c r="G1685" s="544"/>
      <c r="H1685" s="545"/>
      <c r="I1685" s="545"/>
      <c r="J1685" s="545"/>
      <c r="K1685" s="545"/>
      <c r="L1685" s="545"/>
      <c r="M1685" s="544"/>
      <c r="N1685" s="544"/>
      <c r="O1685" s="545"/>
      <c r="P1685" s="545"/>
      <c r="Q1685" s="544"/>
      <c r="R1685" s="544"/>
      <c r="S1685" s="546">
        <f t="shared" si="287"/>
        <v>0</v>
      </c>
      <c r="T1685" s="547">
        <f t="shared" si="288"/>
        <v>0</v>
      </c>
      <c r="U1685" s="546">
        <f t="shared" si="291"/>
        <v>0</v>
      </c>
      <c r="W1685" s="350">
        <f t="shared" si="290"/>
        <v>0</v>
      </c>
      <c r="X1685" s="285">
        <f t="shared" si="289"/>
        <v>0</v>
      </c>
    </row>
    <row r="1686" spans="1:24" ht="12" thickBot="1">
      <c r="A1686" s="541" t="s">
        <v>1504</v>
      </c>
      <c r="B1686" s="541" t="s">
        <v>373</v>
      </c>
      <c r="C1686" s="541" t="s">
        <v>1111</v>
      </c>
      <c r="D1686" s="552" t="s">
        <v>1139</v>
      </c>
      <c r="E1686" s="549"/>
      <c r="F1686" s="551"/>
      <c r="G1686" s="550"/>
      <c r="H1686" s="551"/>
      <c r="I1686" s="551"/>
      <c r="J1686" s="551"/>
      <c r="K1686" s="551"/>
      <c r="L1686" s="551"/>
      <c r="M1686" s="550"/>
      <c r="N1686" s="550"/>
      <c r="O1686" s="551"/>
      <c r="P1686" s="551"/>
      <c r="Q1686" s="550"/>
      <c r="R1686" s="550"/>
      <c r="S1686" s="546">
        <f t="shared" si="287"/>
        <v>0</v>
      </c>
      <c r="T1686" s="547">
        <f t="shared" si="288"/>
        <v>0</v>
      </c>
      <c r="U1686" s="546">
        <f t="shared" si="291"/>
        <v>0</v>
      </c>
      <c r="W1686" s="350">
        <f t="shared" si="290"/>
        <v>0</v>
      </c>
      <c r="X1686" s="285">
        <f t="shared" si="289"/>
        <v>0</v>
      </c>
    </row>
    <row r="1687" spans="1:24" ht="12" thickBot="1">
      <c r="A1687" s="541" t="s">
        <v>1504</v>
      </c>
      <c r="B1687" s="541" t="s">
        <v>396</v>
      </c>
      <c r="C1687" s="541" t="s">
        <v>1112</v>
      </c>
      <c r="D1687" s="552" t="s">
        <v>1139</v>
      </c>
      <c r="E1687" s="543"/>
      <c r="F1687" s="545"/>
      <c r="G1687" s="544"/>
      <c r="H1687" s="545"/>
      <c r="I1687" s="545"/>
      <c r="J1687" s="545"/>
      <c r="K1687" s="545"/>
      <c r="L1687" s="545"/>
      <c r="M1687" s="544"/>
      <c r="N1687" s="544"/>
      <c r="O1687" s="545"/>
      <c r="P1687" s="545"/>
      <c r="Q1687" s="544"/>
      <c r="R1687" s="544"/>
      <c r="S1687" s="546">
        <f t="shared" si="287"/>
        <v>0</v>
      </c>
      <c r="T1687" s="547">
        <f t="shared" si="288"/>
        <v>0</v>
      </c>
      <c r="U1687" s="546">
        <f t="shared" si="291"/>
        <v>0</v>
      </c>
      <c r="W1687" s="350">
        <f t="shared" si="290"/>
        <v>0</v>
      </c>
      <c r="X1687" s="285">
        <f t="shared" si="289"/>
        <v>0</v>
      </c>
    </row>
    <row r="1688" spans="1:24" ht="12" thickBot="1">
      <c r="A1688" s="541" t="s">
        <v>1504</v>
      </c>
      <c r="B1688" s="541" t="s">
        <v>351</v>
      </c>
      <c r="C1688" s="541" t="s">
        <v>1113</v>
      </c>
      <c r="D1688" s="552" t="s">
        <v>1140</v>
      </c>
      <c r="E1688" s="549"/>
      <c r="F1688" s="551"/>
      <c r="G1688" s="550"/>
      <c r="H1688" s="551"/>
      <c r="I1688" s="551"/>
      <c r="J1688" s="551"/>
      <c r="K1688" s="551"/>
      <c r="L1688" s="551"/>
      <c r="M1688" s="550"/>
      <c r="N1688" s="550"/>
      <c r="O1688" s="551"/>
      <c r="P1688" s="551"/>
      <c r="Q1688" s="550"/>
      <c r="R1688" s="550"/>
      <c r="S1688" s="546">
        <f t="shared" si="287"/>
        <v>0</v>
      </c>
      <c r="T1688" s="547">
        <f t="shared" si="288"/>
        <v>0</v>
      </c>
      <c r="U1688" s="546">
        <f t="shared" si="291"/>
        <v>0</v>
      </c>
      <c r="W1688" s="350">
        <f t="shared" si="290"/>
        <v>0</v>
      </c>
      <c r="X1688" s="285">
        <f t="shared" si="289"/>
        <v>0</v>
      </c>
    </row>
    <row r="1689" spans="1:24" ht="12" thickBot="1">
      <c r="A1689" s="541" t="s">
        <v>1504</v>
      </c>
      <c r="B1689" s="541" t="s">
        <v>314</v>
      </c>
      <c r="C1689" s="541" t="s">
        <v>1114</v>
      </c>
      <c r="D1689" s="552" t="s">
        <v>1140</v>
      </c>
      <c r="E1689" s="543"/>
      <c r="F1689" s="545"/>
      <c r="G1689" s="544"/>
      <c r="H1689" s="545"/>
      <c r="I1689" s="545"/>
      <c r="J1689" s="545"/>
      <c r="K1689" s="545"/>
      <c r="L1689" s="545"/>
      <c r="M1689" s="544"/>
      <c r="N1689" s="544"/>
      <c r="O1689" s="545"/>
      <c r="P1689" s="545"/>
      <c r="Q1689" s="544"/>
      <c r="R1689" s="544"/>
      <c r="S1689" s="546">
        <f t="shared" si="287"/>
        <v>0</v>
      </c>
      <c r="T1689" s="547">
        <f t="shared" si="288"/>
        <v>0</v>
      </c>
      <c r="U1689" s="546">
        <f t="shared" si="291"/>
        <v>0</v>
      </c>
      <c r="W1689" s="350">
        <f t="shared" si="290"/>
        <v>0</v>
      </c>
      <c r="X1689" s="285">
        <f t="shared" si="289"/>
        <v>0</v>
      </c>
    </row>
    <row r="1690" spans="1:24" ht="12" thickBot="1">
      <c r="A1690" s="541" t="s">
        <v>1504</v>
      </c>
      <c r="B1690" s="541" t="s">
        <v>355</v>
      </c>
      <c r="C1690" s="541" t="s">
        <v>1115</v>
      </c>
      <c r="D1690" s="552" t="s">
        <v>1140</v>
      </c>
      <c r="E1690" s="549"/>
      <c r="F1690" s="551"/>
      <c r="G1690" s="550"/>
      <c r="H1690" s="551"/>
      <c r="I1690" s="551"/>
      <c r="J1690" s="551"/>
      <c r="K1690" s="551"/>
      <c r="L1690" s="551"/>
      <c r="M1690" s="550"/>
      <c r="N1690" s="550"/>
      <c r="O1690" s="551"/>
      <c r="P1690" s="551"/>
      <c r="Q1690" s="550"/>
      <c r="R1690" s="550"/>
      <c r="S1690" s="546">
        <f t="shared" si="287"/>
        <v>0</v>
      </c>
      <c r="T1690" s="547">
        <f t="shared" si="288"/>
        <v>0</v>
      </c>
      <c r="U1690" s="546">
        <f t="shared" si="291"/>
        <v>0</v>
      </c>
      <c r="W1690" s="350">
        <f t="shared" si="290"/>
        <v>0</v>
      </c>
      <c r="X1690" s="285">
        <f t="shared" si="289"/>
        <v>0</v>
      </c>
    </row>
    <row r="1691" spans="1:24" ht="12" thickBot="1">
      <c r="A1691" s="541" t="s">
        <v>1504</v>
      </c>
      <c r="B1691" s="541" t="s">
        <v>364</v>
      </c>
      <c r="C1691" s="541" t="s">
        <v>1116</v>
      </c>
      <c r="D1691" s="552" t="s">
        <v>1139</v>
      </c>
      <c r="E1691" s="543"/>
      <c r="F1691" s="545"/>
      <c r="G1691" s="544"/>
      <c r="H1691" s="545"/>
      <c r="I1691" s="545"/>
      <c r="J1691" s="545"/>
      <c r="K1691" s="545"/>
      <c r="L1691" s="545"/>
      <c r="M1691" s="544"/>
      <c r="N1691" s="544"/>
      <c r="O1691" s="545"/>
      <c r="P1691" s="545"/>
      <c r="Q1691" s="544"/>
      <c r="R1691" s="544"/>
      <c r="S1691" s="546">
        <f t="shared" si="287"/>
        <v>0</v>
      </c>
      <c r="T1691" s="547">
        <f t="shared" si="288"/>
        <v>0</v>
      </c>
      <c r="U1691" s="546">
        <f t="shared" si="291"/>
        <v>0</v>
      </c>
      <c r="W1691" s="350">
        <f t="shared" si="290"/>
        <v>0</v>
      </c>
      <c r="X1691" s="285">
        <f t="shared" si="289"/>
        <v>0</v>
      </c>
    </row>
    <row r="1692" spans="1:24" ht="12" thickBot="1">
      <c r="A1692" s="541" t="s">
        <v>1504</v>
      </c>
      <c r="B1692" s="541" t="s">
        <v>387</v>
      </c>
      <c r="C1692" s="541" t="s">
        <v>1117</v>
      </c>
      <c r="D1692" s="552" t="s">
        <v>1139</v>
      </c>
      <c r="E1692" s="549"/>
      <c r="F1692" s="551"/>
      <c r="G1692" s="550"/>
      <c r="H1692" s="551"/>
      <c r="I1692" s="551"/>
      <c r="J1692" s="551"/>
      <c r="K1692" s="551"/>
      <c r="L1692" s="551"/>
      <c r="M1692" s="550"/>
      <c r="N1692" s="550"/>
      <c r="O1692" s="551"/>
      <c r="P1692" s="551"/>
      <c r="Q1692" s="550"/>
      <c r="R1692" s="550"/>
      <c r="S1692" s="546">
        <f t="shared" si="287"/>
        <v>0</v>
      </c>
      <c r="T1692" s="547">
        <f t="shared" si="288"/>
        <v>0</v>
      </c>
      <c r="U1692" s="546">
        <f t="shared" si="291"/>
        <v>0</v>
      </c>
      <c r="W1692" s="350">
        <f t="shared" si="290"/>
        <v>0</v>
      </c>
      <c r="X1692" s="285">
        <f t="shared" si="289"/>
        <v>0</v>
      </c>
    </row>
    <row r="1693" spans="1:24" ht="12" thickBot="1">
      <c r="A1693" s="541" t="s">
        <v>1504</v>
      </c>
      <c r="B1693" s="541" t="s">
        <v>344</v>
      </c>
      <c r="C1693" s="541" t="s">
        <v>1118</v>
      </c>
      <c r="D1693" s="552" t="s">
        <v>1139</v>
      </c>
      <c r="E1693" s="543"/>
      <c r="F1693" s="545"/>
      <c r="G1693" s="544"/>
      <c r="H1693" s="545"/>
      <c r="I1693" s="545"/>
      <c r="J1693" s="545"/>
      <c r="K1693" s="545"/>
      <c r="L1693" s="545"/>
      <c r="M1693" s="544"/>
      <c r="N1693" s="544"/>
      <c r="O1693" s="545"/>
      <c r="P1693" s="545"/>
      <c r="Q1693" s="544"/>
      <c r="R1693" s="544"/>
      <c r="S1693" s="546">
        <f t="shared" si="287"/>
        <v>0</v>
      </c>
      <c r="T1693" s="547">
        <f t="shared" si="288"/>
        <v>0</v>
      </c>
      <c r="U1693" s="546">
        <f t="shared" si="291"/>
        <v>0</v>
      </c>
      <c r="W1693" s="350">
        <f t="shared" si="290"/>
        <v>0</v>
      </c>
      <c r="X1693" s="285">
        <f t="shared" si="289"/>
        <v>0</v>
      </c>
    </row>
    <row r="1694" spans="1:24" ht="12" thickBot="1">
      <c r="A1694" s="541" t="s">
        <v>1504</v>
      </c>
      <c r="B1694" s="541" t="s">
        <v>376</v>
      </c>
      <c r="C1694" s="541" t="s">
        <v>1119</v>
      </c>
      <c r="D1694" s="552" t="s">
        <v>1139</v>
      </c>
      <c r="E1694" s="549"/>
      <c r="F1694" s="551"/>
      <c r="G1694" s="550"/>
      <c r="H1694" s="551"/>
      <c r="I1694" s="551"/>
      <c r="J1694" s="551"/>
      <c r="K1694" s="551"/>
      <c r="L1694" s="551"/>
      <c r="M1694" s="550"/>
      <c r="N1694" s="550"/>
      <c r="O1694" s="551"/>
      <c r="P1694" s="551"/>
      <c r="Q1694" s="550"/>
      <c r="R1694" s="550"/>
      <c r="S1694" s="546">
        <f t="shared" si="287"/>
        <v>0</v>
      </c>
      <c r="T1694" s="547">
        <f t="shared" si="288"/>
        <v>0</v>
      </c>
      <c r="U1694" s="546">
        <f t="shared" si="291"/>
        <v>0</v>
      </c>
      <c r="W1694" s="350">
        <f t="shared" si="290"/>
        <v>0</v>
      </c>
      <c r="X1694" s="285">
        <f t="shared" si="289"/>
        <v>0</v>
      </c>
    </row>
    <row r="1695" spans="1:24" ht="12" thickBot="1">
      <c r="A1695" s="541" t="s">
        <v>1504</v>
      </c>
      <c r="B1695" s="541" t="s">
        <v>374</v>
      </c>
      <c r="C1695" s="541" t="s">
        <v>1120</v>
      </c>
      <c r="D1695" s="552" t="s">
        <v>1139</v>
      </c>
      <c r="E1695" s="543"/>
      <c r="F1695" s="545"/>
      <c r="G1695" s="544"/>
      <c r="H1695" s="545"/>
      <c r="I1695" s="545"/>
      <c r="J1695" s="545"/>
      <c r="K1695" s="545"/>
      <c r="L1695" s="545"/>
      <c r="M1695" s="544"/>
      <c r="N1695" s="544"/>
      <c r="O1695" s="545"/>
      <c r="P1695" s="545"/>
      <c r="Q1695" s="544"/>
      <c r="R1695" s="544"/>
      <c r="S1695" s="546">
        <f t="shared" si="287"/>
        <v>0</v>
      </c>
      <c r="T1695" s="547">
        <f t="shared" si="288"/>
        <v>0</v>
      </c>
      <c r="U1695" s="546">
        <f t="shared" si="291"/>
        <v>0</v>
      </c>
      <c r="W1695" s="350">
        <f t="shared" si="290"/>
        <v>0</v>
      </c>
      <c r="X1695" s="285">
        <f t="shared" si="289"/>
        <v>0</v>
      </c>
    </row>
    <row r="1696" spans="1:24" ht="12" thickBot="1">
      <c r="A1696" s="541" t="s">
        <v>1504</v>
      </c>
      <c r="B1696" s="541" t="s">
        <v>398</v>
      </c>
      <c r="C1696" s="541" t="s">
        <v>1121</v>
      </c>
      <c r="D1696" s="552" t="s">
        <v>1139</v>
      </c>
      <c r="E1696" s="549"/>
      <c r="F1696" s="551"/>
      <c r="G1696" s="550"/>
      <c r="H1696" s="551"/>
      <c r="I1696" s="551"/>
      <c r="J1696" s="551"/>
      <c r="K1696" s="551"/>
      <c r="L1696" s="551"/>
      <c r="M1696" s="550"/>
      <c r="N1696" s="550"/>
      <c r="O1696" s="551"/>
      <c r="P1696" s="551"/>
      <c r="Q1696" s="550"/>
      <c r="R1696" s="550"/>
      <c r="S1696" s="546">
        <f t="shared" si="287"/>
        <v>0</v>
      </c>
      <c r="T1696" s="547">
        <f t="shared" si="288"/>
        <v>0</v>
      </c>
      <c r="U1696" s="546">
        <f t="shared" si="291"/>
        <v>0</v>
      </c>
      <c r="W1696" s="350">
        <f t="shared" si="290"/>
        <v>0</v>
      </c>
      <c r="X1696" s="285">
        <f t="shared" si="289"/>
        <v>0</v>
      </c>
    </row>
    <row r="1697" spans="1:24" ht="12" thickBot="1">
      <c r="A1697" s="541" t="s">
        <v>1504</v>
      </c>
      <c r="B1697" s="541" t="s">
        <v>348</v>
      </c>
      <c r="C1697" s="541" t="s">
        <v>1122</v>
      </c>
      <c r="D1697" s="552" t="s">
        <v>1139</v>
      </c>
      <c r="E1697" s="543"/>
      <c r="F1697" s="545"/>
      <c r="G1697" s="544"/>
      <c r="H1697" s="545"/>
      <c r="I1697" s="545"/>
      <c r="J1697" s="545"/>
      <c r="K1697" s="545"/>
      <c r="L1697" s="545"/>
      <c r="M1697" s="544"/>
      <c r="N1697" s="544"/>
      <c r="O1697" s="545"/>
      <c r="P1697" s="545"/>
      <c r="Q1697" s="544"/>
      <c r="R1697" s="544"/>
      <c r="S1697" s="546">
        <f t="shared" si="287"/>
        <v>0</v>
      </c>
      <c r="T1697" s="547">
        <f t="shared" si="288"/>
        <v>0</v>
      </c>
      <c r="U1697" s="546">
        <f t="shared" si="291"/>
        <v>0</v>
      </c>
      <c r="W1697" s="350">
        <f t="shared" si="290"/>
        <v>0</v>
      </c>
      <c r="X1697" s="285">
        <f t="shared" si="289"/>
        <v>0</v>
      </c>
    </row>
    <row r="1698" spans="1:24" ht="12" thickBot="1">
      <c r="A1698" s="541" t="s">
        <v>1504</v>
      </c>
      <c r="B1698" s="541" t="s">
        <v>380</v>
      </c>
      <c r="C1698" s="541" t="s">
        <v>1123</v>
      </c>
      <c r="D1698" s="552" t="s">
        <v>1139</v>
      </c>
      <c r="E1698" s="549"/>
      <c r="F1698" s="551"/>
      <c r="G1698" s="550"/>
      <c r="H1698" s="551"/>
      <c r="I1698" s="551"/>
      <c r="J1698" s="551"/>
      <c r="K1698" s="551"/>
      <c r="L1698" s="551"/>
      <c r="M1698" s="550"/>
      <c r="N1698" s="550"/>
      <c r="O1698" s="551"/>
      <c r="P1698" s="551"/>
      <c r="Q1698" s="550"/>
      <c r="R1698" s="550"/>
      <c r="S1698" s="546">
        <f t="shared" si="287"/>
        <v>0</v>
      </c>
      <c r="T1698" s="547">
        <f t="shared" si="288"/>
        <v>0</v>
      </c>
      <c r="U1698" s="546">
        <f t="shared" si="291"/>
        <v>0</v>
      </c>
      <c r="W1698" s="350">
        <f t="shared" si="290"/>
        <v>0</v>
      </c>
      <c r="X1698" s="285">
        <f t="shared" si="289"/>
        <v>0</v>
      </c>
    </row>
    <row r="1699" spans="1:24" ht="12" thickBot="1">
      <c r="A1699" s="541" t="s">
        <v>1504</v>
      </c>
      <c r="B1699" s="541" t="s">
        <v>399</v>
      </c>
      <c r="C1699" s="541" t="s">
        <v>1124</v>
      </c>
      <c r="D1699" s="552" t="s">
        <v>1139</v>
      </c>
      <c r="E1699" s="543"/>
      <c r="F1699" s="545"/>
      <c r="G1699" s="544"/>
      <c r="H1699" s="545"/>
      <c r="I1699" s="545"/>
      <c r="J1699" s="545"/>
      <c r="K1699" s="545"/>
      <c r="L1699" s="545"/>
      <c r="M1699" s="544"/>
      <c r="N1699" s="544"/>
      <c r="O1699" s="545"/>
      <c r="P1699" s="545"/>
      <c r="Q1699" s="544"/>
      <c r="R1699" s="544"/>
      <c r="S1699" s="546">
        <f t="shared" si="287"/>
        <v>0</v>
      </c>
      <c r="T1699" s="547">
        <f t="shared" si="288"/>
        <v>0</v>
      </c>
      <c r="U1699" s="546">
        <f t="shared" si="291"/>
        <v>0</v>
      </c>
      <c r="W1699" s="350">
        <f t="shared" si="290"/>
        <v>0</v>
      </c>
      <c r="X1699" s="285">
        <f t="shared" si="289"/>
        <v>0</v>
      </c>
    </row>
    <row r="1700" spans="1:24" ht="12" thickBot="1">
      <c r="A1700" s="541" t="s">
        <v>1504</v>
      </c>
      <c r="B1700" s="541" t="s">
        <v>349</v>
      </c>
      <c r="C1700" s="541" t="s">
        <v>1125</v>
      </c>
      <c r="D1700" s="552" t="s">
        <v>1139</v>
      </c>
      <c r="E1700" s="549"/>
      <c r="F1700" s="551"/>
      <c r="G1700" s="550"/>
      <c r="H1700" s="551"/>
      <c r="I1700" s="551"/>
      <c r="J1700" s="551"/>
      <c r="K1700" s="551"/>
      <c r="L1700" s="551"/>
      <c r="M1700" s="550"/>
      <c r="N1700" s="550"/>
      <c r="O1700" s="551"/>
      <c r="P1700" s="551"/>
      <c r="Q1700" s="550"/>
      <c r="R1700" s="550"/>
      <c r="S1700" s="546">
        <f t="shared" si="287"/>
        <v>0</v>
      </c>
      <c r="T1700" s="547">
        <f t="shared" si="288"/>
        <v>0</v>
      </c>
      <c r="U1700" s="546">
        <f t="shared" si="291"/>
        <v>0</v>
      </c>
      <c r="W1700" s="350">
        <f t="shared" si="290"/>
        <v>0</v>
      </c>
      <c r="X1700" s="285">
        <f t="shared" si="289"/>
        <v>0</v>
      </c>
    </row>
    <row r="1701" spans="1:24" ht="12" thickBot="1">
      <c r="A1701" s="541" t="s">
        <v>1504</v>
      </c>
      <c r="B1701" s="541" t="s">
        <v>381</v>
      </c>
      <c r="C1701" s="541" t="s">
        <v>1126</v>
      </c>
      <c r="D1701" s="552" t="s">
        <v>1139</v>
      </c>
      <c r="E1701" s="543"/>
      <c r="F1701" s="545"/>
      <c r="G1701" s="544"/>
      <c r="H1701" s="545"/>
      <c r="I1701" s="545"/>
      <c r="J1701" s="545"/>
      <c r="K1701" s="545"/>
      <c r="L1701" s="545"/>
      <c r="M1701" s="544"/>
      <c r="N1701" s="544"/>
      <c r="O1701" s="545"/>
      <c r="P1701" s="545"/>
      <c r="Q1701" s="544"/>
      <c r="R1701" s="544"/>
      <c r="S1701" s="546">
        <f t="shared" si="287"/>
        <v>0</v>
      </c>
      <c r="T1701" s="547">
        <f t="shared" si="288"/>
        <v>0</v>
      </c>
      <c r="U1701" s="546">
        <f t="shared" si="291"/>
        <v>0</v>
      </c>
      <c r="W1701" s="350">
        <f t="shared" si="290"/>
        <v>0</v>
      </c>
      <c r="X1701" s="285">
        <f t="shared" si="289"/>
        <v>0</v>
      </c>
    </row>
    <row r="1702" spans="1:24" ht="12" thickBot="1">
      <c r="A1702" s="541" t="s">
        <v>1504</v>
      </c>
      <c r="B1702" s="541" t="s">
        <v>321</v>
      </c>
      <c r="C1702" s="541" t="s">
        <v>1127</v>
      </c>
      <c r="D1702" s="552" t="s">
        <v>1139</v>
      </c>
      <c r="E1702" s="549"/>
      <c r="F1702" s="551"/>
      <c r="G1702" s="550"/>
      <c r="H1702" s="551"/>
      <c r="I1702" s="551"/>
      <c r="J1702" s="551"/>
      <c r="K1702" s="551"/>
      <c r="L1702" s="551"/>
      <c r="M1702" s="550"/>
      <c r="N1702" s="550"/>
      <c r="O1702" s="551"/>
      <c r="P1702" s="551"/>
      <c r="Q1702" s="550"/>
      <c r="R1702" s="550"/>
      <c r="S1702" s="546">
        <f t="shared" si="287"/>
        <v>0</v>
      </c>
      <c r="T1702" s="547">
        <f t="shared" si="288"/>
        <v>0</v>
      </c>
      <c r="U1702" s="546">
        <f t="shared" si="291"/>
        <v>0</v>
      </c>
      <c r="W1702" s="350">
        <f t="shared" si="290"/>
        <v>0</v>
      </c>
      <c r="X1702" s="285">
        <f t="shared" si="289"/>
        <v>0</v>
      </c>
    </row>
    <row r="1703" spans="1:24" ht="12" thickBot="1">
      <c r="A1703" s="541" t="s">
        <v>1504</v>
      </c>
      <c r="B1703" s="541" t="s">
        <v>353</v>
      </c>
      <c r="C1703" s="541" t="s">
        <v>1128</v>
      </c>
      <c r="D1703" s="552" t="s">
        <v>1139</v>
      </c>
      <c r="E1703" s="543"/>
      <c r="F1703" s="545"/>
      <c r="G1703" s="544"/>
      <c r="H1703" s="545"/>
      <c r="I1703" s="545"/>
      <c r="J1703" s="545"/>
      <c r="K1703" s="545"/>
      <c r="L1703" s="545"/>
      <c r="M1703" s="544"/>
      <c r="N1703" s="544"/>
      <c r="O1703" s="545"/>
      <c r="P1703" s="545"/>
      <c r="Q1703" s="544"/>
      <c r="R1703" s="544"/>
      <c r="S1703" s="546">
        <f t="shared" si="287"/>
        <v>0</v>
      </c>
      <c r="T1703" s="547">
        <f t="shared" si="288"/>
        <v>0</v>
      </c>
      <c r="U1703" s="546">
        <f t="shared" si="291"/>
        <v>0</v>
      </c>
      <c r="W1703" s="350">
        <f t="shared" si="290"/>
        <v>0</v>
      </c>
      <c r="X1703" s="285">
        <f t="shared" si="289"/>
        <v>0</v>
      </c>
    </row>
    <row r="1704" spans="1:24" ht="12" thickBot="1">
      <c r="A1704" s="541" t="s">
        <v>1504</v>
      </c>
      <c r="B1704" s="541" t="s">
        <v>678</v>
      </c>
      <c r="C1704" s="541" t="s">
        <v>1129</v>
      </c>
      <c r="D1704" s="552" t="s">
        <v>1139</v>
      </c>
      <c r="E1704" s="549"/>
      <c r="F1704" s="551"/>
      <c r="G1704" s="550"/>
      <c r="H1704" s="551"/>
      <c r="I1704" s="551"/>
      <c r="J1704" s="551"/>
      <c r="K1704" s="551"/>
      <c r="L1704" s="551"/>
      <c r="M1704" s="550"/>
      <c r="N1704" s="550"/>
      <c r="O1704" s="551"/>
      <c r="P1704" s="551"/>
      <c r="Q1704" s="551"/>
      <c r="R1704" s="550"/>
      <c r="S1704" s="546">
        <f t="shared" si="287"/>
        <v>0</v>
      </c>
      <c r="T1704" s="547">
        <f t="shared" si="288"/>
        <v>0</v>
      </c>
      <c r="U1704" s="546">
        <f t="shared" si="291"/>
        <v>0</v>
      </c>
      <c r="W1704" s="350">
        <f t="shared" si="290"/>
        <v>0</v>
      </c>
      <c r="X1704" s="285">
        <f t="shared" si="289"/>
        <v>0</v>
      </c>
    </row>
    <row r="1705" spans="1:24" ht="12" thickBot="1">
      <c r="A1705" s="541" t="s">
        <v>1504</v>
      </c>
      <c r="B1705" s="541" t="s">
        <v>316</v>
      </c>
      <c r="C1705" s="541" t="s">
        <v>1130</v>
      </c>
      <c r="D1705" s="552" t="s">
        <v>1139</v>
      </c>
      <c r="E1705" s="543"/>
      <c r="F1705" s="545"/>
      <c r="G1705" s="544"/>
      <c r="H1705" s="545"/>
      <c r="I1705" s="545"/>
      <c r="J1705" s="545"/>
      <c r="K1705" s="545"/>
      <c r="L1705" s="545"/>
      <c r="M1705" s="544"/>
      <c r="N1705" s="544"/>
      <c r="O1705" s="545"/>
      <c r="P1705" s="545"/>
      <c r="Q1705" s="544"/>
      <c r="R1705" s="544"/>
      <c r="S1705" s="546">
        <f t="shared" si="287"/>
        <v>0</v>
      </c>
      <c r="T1705" s="547">
        <f t="shared" si="288"/>
        <v>0</v>
      </c>
      <c r="U1705" s="546">
        <f t="shared" si="291"/>
        <v>0</v>
      </c>
      <c r="W1705" s="350">
        <f t="shared" si="290"/>
        <v>0</v>
      </c>
      <c r="X1705" s="285">
        <f t="shared" si="289"/>
        <v>0</v>
      </c>
    </row>
    <row r="1706" spans="1:24" ht="12" thickBot="1">
      <c r="A1706" s="541" t="s">
        <v>1504</v>
      </c>
      <c r="B1706" s="541" t="s">
        <v>318</v>
      </c>
      <c r="C1706" s="541" t="s">
        <v>1131</v>
      </c>
      <c r="D1706" s="552" t="s">
        <v>1139</v>
      </c>
      <c r="E1706" s="549"/>
      <c r="F1706" s="551"/>
      <c r="G1706" s="550"/>
      <c r="H1706" s="551"/>
      <c r="I1706" s="551"/>
      <c r="J1706" s="551"/>
      <c r="K1706" s="551"/>
      <c r="L1706" s="551"/>
      <c r="M1706" s="550"/>
      <c r="N1706" s="550"/>
      <c r="O1706" s="551"/>
      <c r="P1706" s="551"/>
      <c r="Q1706" s="550"/>
      <c r="R1706" s="550"/>
      <c r="S1706" s="546">
        <f t="shared" si="287"/>
        <v>0</v>
      </c>
      <c r="T1706" s="547">
        <f t="shared" si="288"/>
        <v>0</v>
      </c>
      <c r="U1706" s="546">
        <f t="shared" si="291"/>
        <v>0</v>
      </c>
      <c r="W1706" s="350">
        <f t="shared" si="290"/>
        <v>0</v>
      </c>
      <c r="X1706" s="285">
        <f t="shared" si="289"/>
        <v>0</v>
      </c>
    </row>
    <row r="1707" spans="1:24" ht="12" thickBot="1">
      <c r="A1707" s="541" t="s">
        <v>1504</v>
      </c>
      <c r="B1707" s="541" t="s">
        <v>350</v>
      </c>
      <c r="C1707" s="541" t="s">
        <v>1132</v>
      </c>
      <c r="D1707" s="552" t="s">
        <v>1139</v>
      </c>
      <c r="E1707" s="543"/>
      <c r="F1707" s="545"/>
      <c r="G1707" s="544"/>
      <c r="H1707" s="545"/>
      <c r="I1707" s="545"/>
      <c r="J1707" s="545"/>
      <c r="K1707" s="545"/>
      <c r="L1707" s="545"/>
      <c r="M1707" s="544"/>
      <c r="N1707" s="544"/>
      <c r="O1707" s="545"/>
      <c r="P1707" s="545"/>
      <c r="Q1707" s="544"/>
      <c r="R1707" s="544"/>
      <c r="S1707" s="546">
        <f t="shared" si="287"/>
        <v>0</v>
      </c>
      <c r="T1707" s="547">
        <f t="shared" si="288"/>
        <v>0</v>
      </c>
      <c r="U1707" s="546">
        <f t="shared" si="291"/>
        <v>0</v>
      </c>
      <c r="W1707" s="350">
        <f t="shared" si="290"/>
        <v>0</v>
      </c>
      <c r="X1707" s="285">
        <f t="shared" si="289"/>
        <v>0</v>
      </c>
    </row>
    <row r="1708" spans="1:24" ht="12" thickBot="1">
      <c r="A1708" s="541" t="s">
        <v>1504</v>
      </c>
      <c r="B1708" s="541" t="s">
        <v>313</v>
      </c>
      <c r="C1708" s="541" t="s">
        <v>1133</v>
      </c>
      <c r="D1708" s="552" t="s">
        <v>1139</v>
      </c>
      <c r="E1708" s="549"/>
      <c r="F1708" s="551"/>
      <c r="G1708" s="550"/>
      <c r="H1708" s="551"/>
      <c r="I1708" s="551"/>
      <c r="J1708" s="551"/>
      <c r="K1708" s="551"/>
      <c r="L1708" s="551"/>
      <c r="M1708" s="550"/>
      <c r="N1708" s="550"/>
      <c r="O1708" s="551"/>
      <c r="P1708" s="551"/>
      <c r="Q1708" s="550"/>
      <c r="R1708" s="550"/>
      <c r="S1708" s="546">
        <f t="shared" si="287"/>
        <v>0</v>
      </c>
      <c r="T1708" s="547">
        <f t="shared" si="288"/>
        <v>0</v>
      </c>
      <c r="U1708" s="546">
        <f t="shared" si="291"/>
        <v>0</v>
      </c>
      <c r="W1708" s="350">
        <f t="shared" si="290"/>
        <v>0</v>
      </c>
      <c r="X1708" s="285">
        <f t="shared" si="289"/>
        <v>0</v>
      </c>
    </row>
    <row r="1709" spans="1:24" ht="12" thickBot="1">
      <c r="A1709" s="541" t="s">
        <v>1504</v>
      </c>
      <c r="B1709" s="541" t="s">
        <v>650</v>
      </c>
      <c r="C1709" s="541" t="s">
        <v>1151</v>
      </c>
      <c r="D1709" s="552" t="s">
        <v>1139</v>
      </c>
      <c r="E1709" s="543"/>
      <c r="F1709" s="545"/>
      <c r="G1709" s="544"/>
      <c r="H1709" s="545"/>
      <c r="I1709" s="545"/>
      <c r="J1709" s="545"/>
      <c r="K1709" s="545"/>
      <c r="L1709" s="545"/>
      <c r="M1709" s="544"/>
      <c r="N1709" s="544"/>
      <c r="O1709" s="545"/>
      <c r="P1709" s="545"/>
      <c r="Q1709" s="545"/>
      <c r="R1709" s="544"/>
      <c r="S1709" s="546">
        <f t="shared" si="287"/>
        <v>0</v>
      </c>
      <c r="T1709" s="547">
        <f t="shared" si="288"/>
        <v>0</v>
      </c>
      <c r="U1709" s="546">
        <f t="shared" si="291"/>
        <v>0</v>
      </c>
      <c r="W1709" s="350">
        <f t="shared" si="290"/>
        <v>0</v>
      </c>
      <c r="X1709" s="285">
        <f t="shared" si="289"/>
        <v>0</v>
      </c>
    </row>
    <row r="1710" spans="1:24" ht="12" thickBot="1">
      <c r="A1710" s="541" t="s">
        <v>1504</v>
      </c>
      <c r="B1710" s="541" t="s">
        <v>447</v>
      </c>
      <c r="C1710" s="541" t="s">
        <v>1134</v>
      </c>
      <c r="D1710" s="552" t="s">
        <v>1139</v>
      </c>
      <c r="E1710" s="549"/>
      <c r="F1710" s="551"/>
      <c r="G1710" s="550"/>
      <c r="H1710" s="551"/>
      <c r="I1710" s="551"/>
      <c r="J1710" s="551"/>
      <c r="K1710" s="551"/>
      <c r="L1710" s="551"/>
      <c r="M1710" s="550"/>
      <c r="N1710" s="550"/>
      <c r="O1710" s="551"/>
      <c r="P1710" s="551"/>
      <c r="Q1710" s="551"/>
      <c r="R1710" s="550"/>
      <c r="S1710" s="546">
        <f t="shared" ref="S1710:S1719" si="292">G1710+H1710+I1710</f>
        <v>0</v>
      </c>
      <c r="T1710" s="547">
        <f t="shared" ref="T1710:T1719" si="293">J1710+K1710</f>
        <v>0</v>
      </c>
      <c r="U1710" s="546">
        <f t="shared" si="291"/>
        <v>0</v>
      </c>
      <c r="W1710" s="350">
        <f t="shared" si="290"/>
        <v>0</v>
      </c>
      <c r="X1710" s="285">
        <f t="shared" ref="X1710:X1719" si="294">W1710-R1710</f>
        <v>0</v>
      </c>
    </row>
    <row r="1711" spans="1:24" ht="12" thickBot="1">
      <c r="A1711" s="541" t="s">
        <v>1504</v>
      </c>
      <c r="B1711" s="541" t="s">
        <v>624</v>
      </c>
      <c r="C1711" s="541" t="s">
        <v>1135</v>
      </c>
      <c r="D1711" s="552" t="s">
        <v>1139</v>
      </c>
      <c r="E1711" s="543"/>
      <c r="F1711" s="545"/>
      <c r="G1711" s="544"/>
      <c r="H1711" s="545"/>
      <c r="I1711" s="545"/>
      <c r="J1711" s="545"/>
      <c r="K1711" s="545"/>
      <c r="L1711" s="545"/>
      <c r="M1711" s="544"/>
      <c r="N1711" s="544"/>
      <c r="O1711" s="545"/>
      <c r="P1711" s="545"/>
      <c r="Q1711" s="545"/>
      <c r="R1711" s="544"/>
      <c r="S1711" s="546">
        <f t="shared" si="292"/>
        <v>0</v>
      </c>
      <c r="T1711" s="547">
        <f t="shared" si="293"/>
        <v>0</v>
      </c>
      <c r="U1711" s="546">
        <f t="shared" si="291"/>
        <v>0</v>
      </c>
      <c r="W1711" s="350">
        <f t="shared" si="290"/>
        <v>0</v>
      </c>
      <c r="X1711" s="285">
        <f t="shared" si="294"/>
        <v>0</v>
      </c>
    </row>
    <row r="1712" spans="1:24" ht="12" thickBot="1">
      <c r="A1712" s="541" t="s">
        <v>1504</v>
      </c>
      <c r="B1712" s="541" t="s">
        <v>429</v>
      </c>
      <c r="C1712" s="541" t="s">
        <v>428</v>
      </c>
      <c r="D1712" s="552" t="s">
        <v>73</v>
      </c>
      <c r="E1712" s="551"/>
      <c r="F1712" s="551"/>
      <c r="G1712" s="551"/>
      <c r="H1712" s="551"/>
      <c r="I1712" s="551"/>
      <c r="J1712" s="551"/>
      <c r="K1712" s="551"/>
      <c r="L1712" s="551"/>
      <c r="M1712" s="551"/>
      <c r="N1712" s="551"/>
      <c r="O1712" s="551"/>
      <c r="P1712" s="551"/>
      <c r="Q1712" s="551"/>
      <c r="R1712" s="550"/>
      <c r="S1712" s="546">
        <f t="shared" si="292"/>
        <v>0</v>
      </c>
      <c r="T1712" s="547">
        <f t="shared" si="293"/>
        <v>0</v>
      </c>
      <c r="U1712" s="546">
        <f t="shared" si="291"/>
        <v>0</v>
      </c>
      <c r="W1712" s="350">
        <f t="shared" si="290"/>
        <v>0</v>
      </c>
      <c r="X1712" s="285">
        <f t="shared" si="294"/>
        <v>0</v>
      </c>
    </row>
    <row r="1713" spans="1:32" ht="12" thickBot="1">
      <c r="A1713" s="541" t="s">
        <v>1504</v>
      </c>
      <c r="B1713" s="541" t="s">
        <v>455</v>
      </c>
      <c r="C1713" s="541" t="s">
        <v>454</v>
      </c>
      <c r="D1713" s="552" t="s">
        <v>710</v>
      </c>
      <c r="E1713" s="545"/>
      <c r="F1713" s="545"/>
      <c r="G1713" s="545"/>
      <c r="H1713" s="545"/>
      <c r="I1713" s="545"/>
      <c r="J1713" s="545"/>
      <c r="K1713" s="545"/>
      <c r="L1713" s="545"/>
      <c r="M1713" s="545"/>
      <c r="N1713" s="545"/>
      <c r="O1713" s="545"/>
      <c r="P1713" s="545"/>
      <c r="Q1713" s="545"/>
      <c r="R1713" s="544"/>
      <c r="S1713" s="546">
        <f t="shared" si="292"/>
        <v>0</v>
      </c>
      <c r="T1713" s="547">
        <f t="shared" si="293"/>
        <v>0</v>
      </c>
      <c r="U1713" s="546">
        <f t="shared" si="291"/>
        <v>0</v>
      </c>
      <c r="W1713" s="350">
        <f t="shared" si="290"/>
        <v>0</v>
      </c>
      <c r="X1713" s="285">
        <f t="shared" si="294"/>
        <v>0</v>
      </c>
    </row>
    <row r="1714" spans="1:32" ht="12" thickBot="1">
      <c r="A1714" s="541" t="s">
        <v>1504</v>
      </c>
      <c r="B1714" s="541" t="s">
        <v>457</v>
      </c>
      <c r="C1714" s="541" t="s">
        <v>456</v>
      </c>
      <c r="D1714" s="552" t="s">
        <v>710</v>
      </c>
      <c r="E1714" s="551"/>
      <c r="F1714" s="551"/>
      <c r="G1714" s="551"/>
      <c r="H1714" s="551"/>
      <c r="I1714" s="551"/>
      <c r="J1714" s="551"/>
      <c r="K1714" s="551"/>
      <c r="L1714" s="551"/>
      <c r="M1714" s="551"/>
      <c r="N1714" s="551"/>
      <c r="O1714" s="551"/>
      <c r="P1714" s="551"/>
      <c r="Q1714" s="551"/>
      <c r="R1714" s="550"/>
      <c r="S1714" s="546">
        <f>G1714+H1714+I1714</f>
        <v>0</v>
      </c>
      <c r="T1714" s="547">
        <f>J1714+K1714</f>
        <v>0</v>
      </c>
      <c r="U1714" s="546">
        <f t="shared" si="291"/>
        <v>0</v>
      </c>
      <c r="W1714" s="350">
        <f t="shared" si="290"/>
        <v>0</v>
      </c>
      <c r="X1714" s="285">
        <f t="shared" si="294"/>
        <v>0</v>
      </c>
    </row>
    <row r="1715" spans="1:32" ht="12" thickBot="1">
      <c r="A1715" s="541" t="s">
        <v>1504</v>
      </c>
      <c r="B1715" s="541" t="s">
        <v>427</v>
      </c>
      <c r="C1715" s="541" t="s">
        <v>426</v>
      </c>
      <c r="D1715" s="552" t="s">
        <v>1157</v>
      </c>
      <c r="E1715" s="545"/>
      <c r="F1715" s="544"/>
      <c r="G1715" s="545"/>
      <c r="H1715" s="545"/>
      <c r="I1715" s="545"/>
      <c r="J1715" s="545"/>
      <c r="K1715" s="545"/>
      <c r="L1715" s="545"/>
      <c r="M1715" s="545"/>
      <c r="N1715" s="545"/>
      <c r="O1715" s="545"/>
      <c r="P1715" s="545"/>
      <c r="Q1715" s="545"/>
      <c r="R1715" s="544"/>
      <c r="S1715" s="546">
        <f t="shared" si="292"/>
        <v>0</v>
      </c>
      <c r="T1715" s="547">
        <f t="shared" si="293"/>
        <v>0</v>
      </c>
      <c r="U1715" s="546">
        <f t="shared" si="291"/>
        <v>0</v>
      </c>
      <c r="W1715" s="350">
        <f t="shared" si="290"/>
        <v>0</v>
      </c>
      <c r="X1715" s="285">
        <f t="shared" si="294"/>
        <v>0</v>
      </c>
    </row>
    <row r="1716" spans="1:32" ht="12" thickBot="1">
      <c r="A1716" s="541" t="s">
        <v>1504</v>
      </c>
      <c r="B1716" s="541" t="s">
        <v>673</v>
      </c>
      <c r="C1716" s="541" t="s">
        <v>674</v>
      </c>
      <c r="D1716" s="552" t="s">
        <v>710</v>
      </c>
      <c r="E1716" s="551"/>
      <c r="F1716" s="551"/>
      <c r="G1716" s="551"/>
      <c r="H1716" s="551"/>
      <c r="I1716" s="551"/>
      <c r="J1716" s="551"/>
      <c r="K1716" s="551"/>
      <c r="L1716" s="551"/>
      <c r="M1716" s="551"/>
      <c r="N1716" s="551"/>
      <c r="O1716" s="551"/>
      <c r="P1716" s="551"/>
      <c r="Q1716" s="551"/>
      <c r="R1716" s="550"/>
      <c r="S1716" s="546">
        <f t="shared" si="292"/>
        <v>0</v>
      </c>
      <c r="T1716" s="547">
        <f t="shared" si="293"/>
        <v>0</v>
      </c>
      <c r="U1716" s="546">
        <f t="shared" si="291"/>
        <v>0</v>
      </c>
      <c r="W1716" s="350">
        <f t="shared" si="290"/>
        <v>0</v>
      </c>
      <c r="X1716" s="285">
        <f t="shared" si="294"/>
        <v>0</v>
      </c>
    </row>
    <row r="1717" spans="1:32" ht="12" thickBot="1">
      <c r="A1717" s="541" t="s">
        <v>1504</v>
      </c>
      <c r="B1717" s="541" t="s">
        <v>1152</v>
      </c>
      <c r="C1717" s="541" t="s">
        <v>1153</v>
      </c>
      <c r="D1717" s="552" t="s">
        <v>710</v>
      </c>
      <c r="E1717" s="545"/>
      <c r="F1717" s="545"/>
      <c r="G1717" s="545"/>
      <c r="H1717" s="545"/>
      <c r="I1717" s="545"/>
      <c r="J1717" s="545"/>
      <c r="K1717" s="545"/>
      <c r="L1717" s="545"/>
      <c r="M1717" s="545"/>
      <c r="N1717" s="545"/>
      <c r="O1717" s="545"/>
      <c r="P1717" s="545"/>
      <c r="Q1717" s="545"/>
      <c r="R1717" s="544"/>
      <c r="S1717" s="546">
        <f t="shared" si="292"/>
        <v>0</v>
      </c>
      <c r="T1717" s="547">
        <f t="shared" si="293"/>
        <v>0</v>
      </c>
      <c r="U1717" s="546">
        <f t="shared" si="291"/>
        <v>0</v>
      </c>
      <c r="W1717" s="350">
        <f t="shared" si="290"/>
        <v>0</v>
      </c>
      <c r="X1717" s="285">
        <f t="shared" si="294"/>
        <v>0</v>
      </c>
    </row>
    <row r="1718" spans="1:32" ht="12" thickBot="1">
      <c r="A1718" s="541" t="s">
        <v>1504</v>
      </c>
      <c r="B1718" s="541" t="s">
        <v>434</v>
      </c>
      <c r="C1718" s="541" t="s">
        <v>1154</v>
      </c>
      <c r="D1718" s="552" t="s">
        <v>1158</v>
      </c>
      <c r="E1718" s="549"/>
      <c r="F1718" s="550"/>
      <c r="G1718" s="550"/>
      <c r="H1718" s="550"/>
      <c r="I1718" s="551"/>
      <c r="J1718" s="551"/>
      <c r="K1718" s="551"/>
      <c r="L1718" s="551"/>
      <c r="M1718" s="551"/>
      <c r="N1718" s="551"/>
      <c r="O1718" s="551"/>
      <c r="P1718" s="551"/>
      <c r="Q1718" s="551"/>
      <c r="R1718" s="550"/>
      <c r="S1718" s="546">
        <f t="shared" si="292"/>
        <v>0</v>
      </c>
      <c r="T1718" s="547">
        <f t="shared" si="293"/>
        <v>0</v>
      </c>
      <c r="U1718" s="546">
        <f t="shared" si="291"/>
        <v>0</v>
      </c>
      <c r="W1718" s="350">
        <f t="shared" si="290"/>
        <v>0</v>
      </c>
      <c r="X1718" s="285">
        <f t="shared" si="294"/>
        <v>0</v>
      </c>
    </row>
    <row r="1719" spans="1:32">
      <c r="A1719" s="971" t="s">
        <v>1504</v>
      </c>
      <c r="B1719" s="972" t="s">
        <v>8</v>
      </c>
      <c r="C1719" s="973"/>
      <c r="D1719" s="974"/>
      <c r="E1719" s="975"/>
      <c r="F1719" s="976"/>
      <c r="G1719" s="976"/>
      <c r="H1719" s="976"/>
      <c r="I1719" s="976"/>
      <c r="J1719" s="976"/>
      <c r="K1719" s="976"/>
      <c r="L1719" s="976"/>
      <c r="M1719" s="976"/>
      <c r="N1719" s="976"/>
      <c r="O1719" s="976"/>
      <c r="P1719" s="976"/>
      <c r="Q1719" s="976"/>
      <c r="R1719" s="976"/>
      <c r="S1719" s="977">
        <f t="shared" si="292"/>
        <v>0</v>
      </c>
      <c r="T1719" s="978">
        <f t="shared" si="293"/>
        <v>0</v>
      </c>
      <c r="U1719" s="977">
        <f t="shared" si="291"/>
        <v>0</v>
      </c>
      <c r="W1719" s="350">
        <f t="shared" si="290"/>
        <v>0</v>
      </c>
      <c r="X1719" s="285">
        <f t="shared" si="294"/>
        <v>0</v>
      </c>
    </row>
    <row r="1720" spans="1:32" ht="12" thickBot="1">
      <c r="A1720" s="979"/>
      <c r="B1720" s="979"/>
      <c r="C1720" s="979"/>
      <c r="D1720" s="979"/>
      <c r="E1720" s="980"/>
      <c r="F1720" s="583"/>
      <c r="G1720" s="583"/>
      <c r="H1720" s="981"/>
      <c r="I1720" s="981"/>
      <c r="J1720" s="981"/>
      <c r="K1720" s="981"/>
      <c r="L1720" s="981"/>
      <c r="M1720" s="981"/>
      <c r="N1720" s="981"/>
      <c r="O1720" s="981"/>
      <c r="P1720" s="981"/>
      <c r="Q1720" s="981"/>
      <c r="R1720" s="583"/>
      <c r="S1720" s="982"/>
      <c r="T1720" s="846"/>
      <c r="U1720" s="982"/>
      <c r="V1720" s="983"/>
      <c r="W1720" s="984"/>
      <c r="X1720" s="985"/>
      <c r="Y1720" s="983"/>
      <c r="Z1720" s="983"/>
      <c r="AA1720" s="983"/>
      <c r="AB1720" s="983"/>
      <c r="AC1720" s="983"/>
      <c r="AD1720" s="983"/>
      <c r="AE1720" s="983"/>
      <c r="AF1720" s="983"/>
    </row>
    <row r="1721" spans="1:32" ht="12" thickBot="1">
      <c r="A1721" s="596" t="s">
        <v>1499</v>
      </c>
      <c r="B1721" s="596" t="s">
        <v>164</v>
      </c>
      <c r="C1721" s="979"/>
      <c r="D1721" s="979"/>
      <c r="E1721" s="980">
        <v>629052.40947094711</v>
      </c>
      <c r="F1721" s="583">
        <v>7540</v>
      </c>
      <c r="G1721" s="583">
        <v>26627.788492905122</v>
      </c>
      <c r="H1721" s="981">
        <v>18192.195681899801</v>
      </c>
      <c r="I1721" s="981">
        <v>1981.5150898334798</v>
      </c>
      <c r="J1721" s="981"/>
      <c r="K1721" s="981"/>
      <c r="L1721" s="981">
        <v>926.143490506229</v>
      </c>
      <c r="M1721" s="981">
        <v>1234.22053462843</v>
      </c>
      <c r="N1721" s="981">
        <v>2698.7410407418602</v>
      </c>
      <c r="O1721" s="981"/>
      <c r="P1721" s="981"/>
      <c r="Q1721" s="981"/>
      <c r="R1721" s="583">
        <v>59200.604330515001</v>
      </c>
      <c r="S1721" s="982"/>
      <c r="T1721" s="846"/>
      <c r="U1721" s="982"/>
      <c r="V1721" s="983"/>
      <c r="W1721" s="984"/>
      <c r="X1721" s="985"/>
      <c r="Y1721" s="983"/>
      <c r="Z1721" s="983"/>
      <c r="AA1721" s="983"/>
      <c r="AB1721" s="983"/>
      <c r="AC1721" s="983"/>
      <c r="AD1721" s="983"/>
      <c r="AE1721" s="983"/>
      <c r="AF1721" s="983"/>
    </row>
    <row r="1722" spans="1:32" ht="12" thickBot="1">
      <c r="A1722" s="596" t="s">
        <v>1500</v>
      </c>
      <c r="B1722" s="596" t="s">
        <v>164</v>
      </c>
      <c r="E1722" s="548">
        <v>629510.62377048901</v>
      </c>
      <c r="F1722" s="548">
        <v>7520</v>
      </c>
      <c r="G1722" s="548">
        <v>26647.184704204763</v>
      </c>
      <c r="H1722" s="548">
        <v>18205.447239442499</v>
      </c>
      <c r="I1722" s="548">
        <v>1982.9584648770399</v>
      </c>
      <c r="L1722" s="548">
        <v>1158.77926132422</v>
      </c>
      <c r="M1722" s="548">
        <v>1350.2429466778001</v>
      </c>
      <c r="N1722" s="548">
        <v>2666.21815763422</v>
      </c>
      <c r="R1722" s="548">
        <v>59530.830774160597</v>
      </c>
      <c r="S1722" s="982"/>
      <c r="T1722" s="846"/>
      <c r="U1722" s="982"/>
      <c r="V1722" s="983"/>
      <c r="W1722" s="984"/>
      <c r="X1722" s="985"/>
      <c r="Y1722" s="983"/>
      <c r="Z1722" s="983"/>
      <c r="AA1722" s="983"/>
      <c r="AB1722" s="983"/>
      <c r="AC1722" s="983"/>
      <c r="AD1722" s="983"/>
      <c r="AE1722" s="983"/>
      <c r="AF1722" s="983"/>
    </row>
    <row r="1723" spans="1:32" ht="12" thickBot="1">
      <c r="A1723" s="541" t="s">
        <v>1501</v>
      </c>
      <c r="B1723" s="596" t="s">
        <v>164</v>
      </c>
      <c r="E1723" s="548">
        <v>520806.10027919296</v>
      </c>
      <c r="F1723" s="548">
        <v>7500</v>
      </c>
      <c r="G1723" s="548">
        <v>22045.722224818237</v>
      </c>
      <c r="H1723" s="548">
        <v>15061.7124200742</v>
      </c>
      <c r="I1723" s="548">
        <v>1640.53921587946</v>
      </c>
      <c r="L1723" s="548">
        <v>983.55681091432996</v>
      </c>
      <c r="M1723" s="548">
        <v>218.486510354133</v>
      </c>
      <c r="N1723" s="548">
        <v>2966.4118831239402</v>
      </c>
      <c r="R1723" s="548">
        <v>50416.429065164404</v>
      </c>
      <c r="S1723" s="982"/>
      <c r="T1723" s="846"/>
      <c r="U1723" s="982"/>
      <c r="V1723" s="983"/>
      <c r="W1723" s="984"/>
      <c r="X1723" s="985"/>
      <c r="Y1723" s="983"/>
      <c r="Z1723" s="983"/>
      <c r="AA1723" s="983"/>
      <c r="AB1723" s="983"/>
      <c r="AC1723" s="983"/>
      <c r="AD1723" s="983"/>
      <c r="AE1723" s="983"/>
      <c r="AF1723" s="983"/>
    </row>
    <row r="1724" spans="1:32" ht="12" thickBot="1">
      <c r="A1724" s="541" t="s">
        <v>1502</v>
      </c>
      <c r="B1724" s="596" t="s">
        <v>164</v>
      </c>
      <c r="E1724" s="548">
        <v>560790.31903920893</v>
      </c>
      <c r="F1724" s="548">
        <v>7500</v>
      </c>
      <c r="G1724" s="548">
        <v>23738.25420492969</v>
      </c>
      <c r="H1724" s="548">
        <v>16218.056026613902</v>
      </c>
      <c r="I1724" s="548">
        <v>1766.4895049735101</v>
      </c>
      <c r="L1724" s="548">
        <v>1067.8030489253201</v>
      </c>
      <c r="M1724" s="548">
        <v>1329.2609701899</v>
      </c>
      <c r="N1724" s="548">
        <v>3503.3983080337202</v>
      </c>
      <c r="R1724" s="548">
        <v>55123.262063666094</v>
      </c>
      <c r="S1724" s="982"/>
      <c r="T1724" s="846"/>
      <c r="U1724" s="982"/>
      <c r="V1724" s="983"/>
      <c r="W1724" s="984"/>
      <c r="X1724" s="985"/>
      <c r="Y1724" s="983"/>
      <c r="Z1724" s="983"/>
      <c r="AA1724" s="983"/>
      <c r="AB1724" s="983"/>
      <c r="AC1724" s="983"/>
      <c r="AD1724" s="983"/>
      <c r="AE1724" s="983"/>
      <c r="AF1724" s="983"/>
    </row>
    <row r="1725" spans="1:32" ht="12" thickBot="1">
      <c r="A1725" s="596" t="s">
        <v>1503</v>
      </c>
      <c r="B1725" s="596" t="s">
        <v>164</v>
      </c>
      <c r="E1725" s="548">
        <v>645706.04215429397</v>
      </c>
      <c r="F1725" s="548">
        <v>7480</v>
      </c>
      <c r="G1725" s="548">
        <v>27332.736764391178</v>
      </c>
      <c r="H1725" s="548">
        <v>18673.818739102098</v>
      </c>
      <c r="I1725" s="548">
        <v>2033.97403278602</v>
      </c>
      <c r="L1725" s="548">
        <v>1215.6197896797801</v>
      </c>
      <c r="M1725" s="548">
        <v>2094.03507154095</v>
      </c>
      <c r="N1725" s="548">
        <v>3903.8644317778003</v>
      </c>
      <c r="R1725" s="548">
        <v>62734.048829277999</v>
      </c>
      <c r="S1725" s="982"/>
      <c r="T1725" s="846"/>
      <c r="U1725" s="982"/>
      <c r="V1725" s="983"/>
      <c r="W1725" s="984"/>
      <c r="X1725" s="985"/>
      <c r="Y1725" s="983"/>
      <c r="Z1725" s="983"/>
      <c r="AA1725" s="983"/>
      <c r="AB1725" s="983"/>
      <c r="AC1725" s="983"/>
      <c r="AD1725" s="983"/>
      <c r="AE1725" s="983"/>
      <c r="AF1725" s="983"/>
    </row>
    <row r="1726" spans="1:32" ht="12" thickBot="1">
      <c r="A1726" s="596" t="s">
        <v>1504</v>
      </c>
      <c r="B1726" s="596" t="s">
        <v>164</v>
      </c>
      <c r="E1726" s="548">
        <v>744787.896955212</v>
      </c>
      <c r="F1726" s="548">
        <v>7460</v>
      </c>
      <c r="G1726" s="548">
        <v>31526.871678114087</v>
      </c>
      <c r="H1726" s="548">
        <v>21539.265979944703</v>
      </c>
      <c r="I1726" s="548">
        <v>2346.08187540891</v>
      </c>
      <c r="L1726" s="548">
        <v>1175.8784583905899</v>
      </c>
      <c r="M1726" s="548">
        <v>1754.2410867072201</v>
      </c>
      <c r="N1726" s="548">
        <v>3763.4322174478802</v>
      </c>
      <c r="R1726" s="548">
        <v>69565.771296013394</v>
      </c>
      <c r="S1726" s="982"/>
      <c r="T1726" s="846"/>
      <c r="U1726" s="982"/>
      <c r="V1726" s="983"/>
      <c r="W1726" s="984"/>
      <c r="X1726" s="985"/>
      <c r="Y1726" s="983"/>
      <c r="Z1726" s="983"/>
      <c r="AA1726" s="983"/>
      <c r="AB1726" s="983"/>
      <c r="AC1726" s="983"/>
      <c r="AD1726" s="983"/>
      <c r="AE1726" s="983"/>
      <c r="AF1726" s="983"/>
    </row>
    <row r="1727" spans="1:32" ht="12" thickBot="1">
      <c r="A1727" s="596" t="s">
        <v>1505</v>
      </c>
      <c r="B1727" s="596" t="s">
        <v>164</v>
      </c>
      <c r="E1727" s="548">
        <v>784372.615015627</v>
      </c>
      <c r="F1727" s="548">
        <v>7480</v>
      </c>
      <c r="G1727" s="548">
        <v>33202.492793611484</v>
      </c>
      <c r="H1727" s="548">
        <v>22684.056026251899</v>
      </c>
      <c r="I1727" s="548">
        <v>2470.7737372992196</v>
      </c>
      <c r="L1727" s="548">
        <v>648.76591997125104</v>
      </c>
      <c r="M1727" s="548">
        <v>2484.0014506729199</v>
      </c>
      <c r="N1727" s="548">
        <v>3601.6096643769902</v>
      </c>
      <c r="R1727" s="548">
        <v>72571.69959218381</v>
      </c>
      <c r="S1727" s="982"/>
      <c r="T1727" s="846"/>
      <c r="U1727" s="982"/>
      <c r="V1727" s="983"/>
      <c r="W1727" s="984"/>
      <c r="X1727" s="985"/>
      <c r="Y1727" s="983"/>
      <c r="Z1727" s="983"/>
      <c r="AA1727" s="983"/>
      <c r="AB1727" s="983"/>
      <c r="AC1727" s="983"/>
      <c r="AD1727" s="983"/>
      <c r="AE1727" s="983"/>
      <c r="AF1727" s="983"/>
    </row>
    <row r="1728" spans="1:32" ht="12" thickBot="1">
      <c r="A1728" s="596" t="s">
        <v>1506</v>
      </c>
      <c r="B1728" s="596" t="s">
        <v>164</v>
      </c>
      <c r="E1728" s="548">
        <v>719701.97688029706</v>
      </c>
      <c r="F1728" s="548">
        <v>7460</v>
      </c>
      <c r="G1728" s="548">
        <v>30464.984681342969</v>
      </c>
      <c r="H1728" s="548">
        <v>20813.781171378199</v>
      </c>
      <c r="I1728" s="548">
        <v>2267.0612271729296</v>
      </c>
      <c r="L1728" s="548">
        <v>690.53724985185204</v>
      </c>
      <c r="M1728" s="548">
        <v>3095.1418736949099</v>
      </c>
      <c r="N1728" s="548">
        <v>3904.4502753107699</v>
      </c>
      <c r="R1728" s="548">
        <v>68695.956478751701</v>
      </c>
      <c r="S1728" s="982"/>
      <c r="T1728" s="846"/>
      <c r="U1728" s="982"/>
      <c r="V1728" s="983"/>
      <c r="W1728" s="984"/>
      <c r="X1728" s="985"/>
      <c r="Y1728" s="983"/>
      <c r="Z1728" s="983"/>
      <c r="AA1728" s="983"/>
      <c r="AB1728" s="983"/>
      <c r="AC1728" s="983"/>
      <c r="AD1728" s="983"/>
      <c r="AE1728" s="983"/>
      <c r="AF1728" s="983"/>
    </row>
    <row r="1729" spans="1:32" ht="12" thickBot="1">
      <c r="A1729" s="596" t="s">
        <v>1507</v>
      </c>
      <c r="B1729" s="596" t="s">
        <v>164</v>
      </c>
      <c r="E1729" s="548">
        <v>688332.86361166695</v>
      </c>
      <c r="F1729" s="548">
        <v>7420</v>
      </c>
      <c r="G1729" s="548">
        <v>29137.130116681848</v>
      </c>
      <c r="H1729" s="548">
        <v>19906.586415649399</v>
      </c>
      <c r="I1729" s="548">
        <v>2168.2485203767501</v>
      </c>
      <c r="L1729" s="548">
        <v>845.84430496728305</v>
      </c>
      <c r="M1729" s="548">
        <v>1674.7167696766801</v>
      </c>
      <c r="N1729" s="548">
        <v>3966.8614515920904</v>
      </c>
      <c r="R1729" s="548">
        <v>65119.387578944101</v>
      </c>
      <c r="S1729" s="982"/>
      <c r="T1729" s="846"/>
      <c r="U1729" s="982"/>
      <c r="V1729" s="983"/>
      <c r="W1729" s="984"/>
      <c r="X1729" s="985"/>
      <c r="Y1729" s="983"/>
      <c r="Z1729" s="983"/>
      <c r="AA1729" s="983"/>
      <c r="AB1729" s="983"/>
      <c r="AC1729" s="983"/>
      <c r="AD1729" s="983"/>
      <c r="AE1729" s="983"/>
      <c r="AF1729" s="983"/>
    </row>
    <row r="1730" spans="1:32" ht="12" thickBot="1">
      <c r="A1730" s="596" t="s">
        <v>1508</v>
      </c>
      <c r="B1730" s="596" t="s">
        <v>164</v>
      </c>
      <c r="E1730" s="548">
        <v>567977.07263202197</v>
      </c>
      <c r="F1730" s="548">
        <v>7180</v>
      </c>
      <c r="G1730" s="548">
        <v>24042.469484513527</v>
      </c>
      <c r="H1730" s="548">
        <v>16425.896940518101</v>
      </c>
      <c r="I1730" s="548">
        <v>1789.12777879087</v>
      </c>
      <c r="L1730" s="548">
        <v>744.44986173158804</v>
      </c>
      <c r="M1730" s="548">
        <v>2201.1570983511997</v>
      </c>
      <c r="N1730" s="548">
        <v>4261.8318545806496</v>
      </c>
      <c r="R1730" s="548">
        <v>56644.933018485899</v>
      </c>
      <c r="S1730" s="982"/>
      <c r="T1730" s="846"/>
      <c r="U1730" s="982"/>
      <c r="V1730" s="983"/>
      <c r="W1730" s="984"/>
      <c r="X1730" s="985"/>
      <c r="Y1730" s="983"/>
      <c r="Z1730" s="983"/>
      <c r="AA1730" s="983"/>
      <c r="AB1730" s="983"/>
      <c r="AC1730" s="983"/>
      <c r="AD1730" s="983"/>
      <c r="AE1730" s="983"/>
      <c r="AF1730" s="983"/>
    </row>
    <row r="1731" spans="1:32" ht="12" thickBot="1">
      <c r="A1731" s="596" t="s">
        <v>1509</v>
      </c>
      <c r="B1731" s="596" t="s">
        <v>164</v>
      </c>
      <c r="E1731" s="548">
        <v>643622.31215637701</v>
      </c>
      <c r="F1731" s="548">
        <v>7640</v>
      </c>
      <c r="G1731" s="548">
        <v>27244.53247357942</v>
      </c>
      <c r="H1731" s="548">
        <v>18613.557267562399</v>
      </c>
      <c r="I1731" s="548">
        <v>2027.4102832925803</v>
      </c>
      <c r="L1731" s="548">
        <v>1176.9699583911299</v>
      </c>
      <c r="M1731" s="548">
        <v>580.83547845683199</v>
      </c>
      <c r="N1731" s="548">
        <v>4365.1814078869702</v>
      </c>
      <c r="R1731" s="548">
        <v>61648.486869169406</v>
      </c>
      <c r="S1731" s="982"/>
      <c r="T1731" s="846"/>
      <c r="U1731" s="982"/>
      <c r="V1731" s="983"/>
      <c r="W1731" s="984"/>
      <c r="X1731" s="985"/>
      <c r="Y1731" s="983"/>
      <c r="Z1731" s="983"/>
      <c r="AA1731" s="983"/>
      <c r="AB1731" s="983"/>
      <c r="AC1731" s="983"/>
      <c r="AD1731" s="983"/>
      <c r="AE1731" s="983"/>
      <c r="AF1731" s="983"/>
    </row>
    <row r="1732" spans="1:32" ht="12" thickBot="1">
      <c r="A1732" s="596" t="s">
        <v>1510</v>
      </c>
      <c r="B1732" s="596" t="s">
        <v>164</v>
      </c>
      <c r="E1732" s="548">
        <v>632031.64746796805</v>
      </c>
      <c r="F1732" s="548">
        <v>7640</v>
      </c>
      <c r="G1732" s="548">
        <v>26753.899637319002</v>
      </c>
      <c r="H1732" s="548">
        <v>18278.3552447736</v>
      </c>
      <c r="I1732" s="548">
        <v>1990.8996895241</v>
      </c>
      <c r="L1732" s="548">
        <v>907.897184628172</v>
      </c>
      <c r="M1732" s="548">
        <v>1304.4673421533</v>
      </c>
      <c r="N1732" s="548">
        <v>3732.68174604151</v>
      </c>
      <c r="R1732" s="548">
        <v>60608.200844439802</v>
      </c>
      <c r="S1732" s="982"/>
      <c r="T1732" s="846"/>
      <c r="U1732" s="982"/>
      <c r="V1732" s="983"/>
      <c r="W1732" s="984"/>
      <c r="X1732" s="985"/>
      <c r="Y1732" s="983"/>
      <c r="Z1732" s="983"/>
      <c r="AA1732" s="983"/>
      <c r="AB1732" s="983"/>
      <c r="AC1732" s="983"/>
      <c r="AD1732" s="983"/>
      <c r="AE1732" s="983"/>
      <c r="AF1732" s="983"/>
    </row>
    <row r="1733" spans="1:32" ht="12" thickBot="1">
      <c r="S1733" s="982"/>
      <c r="T1733" s="846"/>
      <c r="U1733" s="982"/>
      <c r="V1733" s="983"/>
      <c r="W1733" s="984"/>
      <c r="X1733" s="985"/>
      <c r="Y1733" s="983"/>
      <c r="Z1733" s="983"/>
      <c r="AA1733" s="983"/>
      <c r="AB1733" s="983"/>
      <c r="AC1733" s="983"/>
      <c r="AD1733" s="983"/>
      <c r="AE1733" s="983"/>
      <c r="AF1733" s="983"/>
    </row>
    <row r="1734" spans="1:32" ht="12" thickBot="1">
      <c r="A1734" s="596" t="s">
        <v>1499</v>
      </c>
      <c r="B1734" s="596" t="s">
        <v>161</v>
      </c>
      <c r="E1734" s="548">
        <v>71183679.616677299</v>
      </c>
      <c r="F1734" s="548">
        <v>1269812.1577268601</v>
      </c>
      <c r="G1734" s="548">
        <v>4172787.2991296197</v>
      </c>
      <c r="H1734" s="548">
        <v>2058632.0145143</v>
      </c>
      <c r="I1734" s="548">
        <v>335275.13099455001</v>
      </c>
      <c r="L1734" s="548">
        <v>104802.557807087</v>
      </c>
      <c r="M1734" s="548">
        <v>139664.60948334099</v>
      </c>
      <c r="O1734" s="548">
        <v>305390.00363119802</v>
      </c>
      <c r="R1734" s="548">
        <v>8386363.7732869703</v>
      </c>
      <c r="S1734" s="982"/>
      <c r="T1734" s="846"/>
      <c r="U1734" s="982"/>
      <c r="V1734" s="983"/>
      <c r="W1734" s="984"/>
      <c r="X1734" s="985"/>
      <c r="Y1734" s="983"/>
      <c r="Z1734" s="983"/>
      <c r="AA1734" s="983"/>
      <c r="AB1734" s="983"/>
      <c r="AC1734" s="983"/>
      <c r="AD1734" s="983"/>
      <c r="AE1734" s="983"/>
      <c r="AF1734" s="983"/>
    </row>
    <row r="1735" spans="1:32" ht="12" thickBot="1">
      <c r="A1735" s="596" t="s">
        <v>1500</v>
      </c>
      <c r="B1735" s="596" t="s">
        <v>161</v>
      </c>
      <c r="E1735" s="548">
        <v>73848581.160764292</v>
      </c>
      <c r="F1735" s="548">
        <v>1269967.12595261</v>
      </c>
      <c r="G1735" s="548">
        <v>4329003.8276440008</v>
      </c>
      <c r="H1735" s="548">
        <v>2135700.9671692997</v>
      </c>
      <c r="I1735" s="548">
        <v>347826.81726719899</v>
      </c>
      <c r="L1735" s="548">
        <v>135937.665062363</v>
      </c>
      <c r="M1735" s="548">
        <v>158398.47981793401</v>
      </c>
      <c r="O1735" s="548">
        <v>312776.97400408</v>
      </c>
      <c r="R1735" s="548">
        <v>8689611.8569175005</v>
      </c>
      <c r="S1735" s="982"/>
      <c r="T1735" s="846"/>
      <c r="U1735" s="982"/>
      <c r="V1735" s="983"/>
      <c r="W1735" s="984"/>
      <c r="X1735" s="985"/>
      <c r="Y1735" s="983"/>
      <c r="Z1735" s="983"/>
      <c r="AA1735" s="983"/>
      <c r="AB1735" s="983"/>
      <c r="AC1735" s="983"/>
      <c r="AD1735" s="983"/>
      <c r="AE1735" s="983"/>
      <c r="AF1735" s="983"/>
    </row>
    <row r="1736" spans="1:32" ht="12" thickBot="1">
      <c r="A1736" s="541" t="s">
        <v>1501</v>
      </c>
      <c r="B1736" s="596" t="s">
        <v>161</v>
      </c>
      <c r="E1736" s="548">
        <v>60603647.034676298</v>
      </c>
      <c r="F1736" s="548">
        <v>1270122.09417837</v>
      </c>
      <c r="G1736" s="548">
        <v>3552585.7891727253</v>
      </c>
      <c r="H1736" s="548">
        <v>1752657.4722428299</v>
      </c>
      <c r="I1736" s="548">
        <v>285443.17753332504</v>
      </c>
      <c r="L1736" s="548">
        <v>114451.673617589</v>
      </c>
      <c r="M1736" s="548">
        <v>25424.201729284199</v>
      </c>
      <c r="O1736" s="548">
        <v>345186.77609179</v>
      </c>
      <c r="R1736" s="548">
        <v>7345871.1845659204</v>
      </c>
      <c r="S1736" s="982"/>
      <c r="T1736" s="846"/>
      <c r="U1736" s="982"/>
      <c r="V1736" s="983"/>
      <c r="W1736" s="984"/>
      <c r="X1736" s="985"/>
      <c r="Y1736" s="983"/>
      <c r="Z1736" s="983"/>
      <c r="AA1736" s="983"/>
      <c r="AB1736" s="983"/>
      <c r="AC1736" s="983"/>
      <c r="AD1736" s="983"/>
      <c r="AE1736" s="983"/>
      <c r="AF1736" s="983"/>
    </row>
    <row r="1737" spans="1:32" ht="12" thickBot="1">
      <c r="A1737" s="541" t="s">
        <v>1502</v>
      </c>
      <c r="B1737" s="596" t="s">
        <v>161</v>
      </c>
      <c r="E1737" s="548">
        <v>56367336.9002221</v>
      </c>
      <c r="F1737" s="548">
        <v>1270277.0624041299</v>
      </c>
      <c r="G1737" s="548">
        <v>3304253.2890910143</v>
      </c>
      <c r="H1737" s="548">
        <v>1630143.3831544199</v>
      </c>
      <c r="I1737" s="548">
        <v>265490.15680004598</v>
      </c>
      <c r="L1737" s="548">
        <v>107329.267568275</v>
      </c>
      <c r="M1737" s="548">
        <v>133609.476467748</v>
      </c>
      <c r="O1737" s="548">
        <v>352140.94469914999</v>
      </c>
      <c r="R1737" s="548">
        <v>7063243.5801847996</v>
      </c>
      <c r="S1737" s="982"/>
      <c r="T1737" s="846"/>
      <c r="U1737" s="982"/>
      <c r="V1737" s="983"/>
      <c r="W1737" s="984"/>
      <c r="X1737" s="985"/>
      <c r="Y1737" s="983"/>
      <c r="Z1737" s="983"/>
      <c r="AA1737" s="983"/>
      <c r="AB1737" s="983"/>
      <c r="AC1737" s="983"/>
      <c r="AD1737" s="983"/>
      <c r="AE1737" s="983"/>
      <c r="AF1737" s="983"/>
    </row>
    <row r="1738" spans="1:32" ht="12" thickBot="1">
      <c r="A1738" s="596" t="s">
        <v>1503</v>
      </c>
      <c r="B1738" s="596" t="s">
        <v>161</v>
      </c>
      <c r="E1738" s="548">
        <v>55344548.255624704</v>
      </c>
      <c r="F1738" s="548">
        <v>1270432.03062988</v>
      </c>
      <c r="G1738" s="548">
        <v>3244297.4187447182</v>
      </c>
      <c r="H1738" s="548">
        <v>1600564.33555266</v>
      </c>
      <c r="I1738" s="548">
        <v>260672.82228399199</v>
      </c>
      <c r="L1738" s="548">
        <v>104192.811772309</v>
      </c>
      <c r="M1738" s="548">
        <v>179483.25940889301</v>
      </c>
      <c r="O1738" s="548">
        <v>334606.77045409399</v>
      </c>
      <c r="R1738" s="548">
        <v>6994249.44884656</v>
      </c>
      <c r="S1738" s="982"/>
      <c r="T1738" s="846"/>
      <c r="U1738" s="982"/>
      <c r="V1738" s="983"/>
      <c r="W1738" s="984"/>
      <c r="X1738" s="985"/>
      <c r="Y1738" s="983"/>
      <c r="Z1738" s="983"/>
      <c r="AA1738" s="983"/>
      <c r="AB1738" s="983"/>
      <c r="AC1738" s="983"/>
      <c r="AD1738" s="983"/>
      <c r="AE1738" s="983"/>
      <c r="AF1738" s="983"/>
    </row>
    <row r="1739" spans="1:32" ht="12" thickBot="1">
      <c r="A1739" s="596" t="s">
        <v>1504</v>
      </c>
      <c r="B1739" s="596" t="s">
        <v>161</v>
      </c>
      <c r="E1739" s="548">
        <v>68970769.734606698</v>
      </c>
      <c r="F1739" s="548">
        <v>1270586.9988556402</v>
      </c>
      <c r="G1739" s="548">
        <v>4043066.5218426422</v>
      </c>
      <c r="H1739" s="548">
        <v>1994634.6607248199</v>
      </c>
      <c r="I1739" s="548">
        <v>324852.32544999797</v>
      </c>
      <c r="L1739" s="548">
        <v>108891.729740902</v>
      </c>
      <c r="M1739" s="548">
        <v>162450.75751754001</v>
      </c>
      <c r="O1739" s="548">
        <v>348511.05656058702</v>
      </c>
      <c r="R1739" s="548">
        <v>8252994.0506921392</v>
      </c>
      <c r="S1739" s="982"/>
      <c r="T1739" s="846"/>
      <c r="U1739" s="982"/>
      <c r="V1739" s="983"/>
      <c r="W1739" s="984"/>
      <c r="X1739" s="985"/>
      <c r="Y1739" s="983"/>
      <c r="Z1739" s="983"/>
      <c r="AA1739" s="983"/>
      <c r="AB1739" s="983"/>
      <c r="AC1739" s="983"/>
      <c r="AD1739" s="983"/>
      <c r="AE1739" s="983"/>
      <c r="AF1739" s="983"/>
    </row>
    <row r="1740" spans="1:32" ht="12" thickBot="1">
      <c r="A1740" s="596" t="s">
        <v>1505</v>
      </c>
      <c r="B1740" s="596" t="s">
        <v>161</v>
      </c>
      <c r="E1740" s="548">
        <v>75764743.785580993</v>
      </c>
      <c r="F1740" s="548">
        <v>1270741.9670813899</v>
      </c>
      <c r="G1740" s="548">
        <v>4441329.280710754</v>
      </c>
      <c r="H1740" s="548">
        <v>2191116.3902789997</v>
      </c>
      <c r="I1740" s="548">
        <v>356851.94323008601</v>
      </c>
      <c r="L1740" s="548">
        <v>62666.113990299498</v>
      </c>
      <c r="M1740" s="548">
        <v>239936.64474058201</v>
      </c>
      <c r="O1740" s="548">
        <v>347889.54664328601</v>
      </c>
      <c r="R1740" s="548">
        <v>8910531.88667541</v>
      </c>
      <c r="S1740" s="982"/>
      <c r="T1740" s="846"/>
      <c r="U1740" s="982"/>
      <c r="V1740" s="983"/>
      <c r="W1740" s="984"/>
      <c r="X1740" s="985"/>
      <c r="Y1740" s="983"/>
      <c r="Z1740" s="983"/>
      <c r="AA1740" s="983"/>
      <c r="AB1740" s="983"/>
      <c r="AC1740" s="983"/>
      <c r="AD1740" s="983"/>
      <c r="AE1740" s="983"/>
      <c r="AF1740" s="983"/>
    </row>
    <row r="1741" spans="1:32" ht="12" thickBot="1">
      <c r="A1741" s="596" t="s">
        <v>1506</v>
      </c>
      <c r="B1741" s="596" t="s">
        <v>161</v>
      </c>
      <c r="E1741" s="548">
        <v>68222048.53189899</v>
      </c>
      <c r="F1741" s="548">
        <v>1270896.93530715</v>
      </c>
      <c r="G1741" s="548">
        <v>3999176.4849399161</v>
      </c>
      <c r="H1741" s="548">
        <v>1972981.64354251</v>
      </c>
      <c r="I1741" s="548">
        <v>321325.84858524398</v>
      </c>
      <c r="L1741" s="548">
        <v>65457.463347099503</v>
      </c>
      <c r="M1741" s="548">
        <v>293394.94110552798</v>
      </c>
      <c r="O1741" s="548">
        <v>370110.96916431095</v>
      </c>
      <c r="R1741" s="548">
        <v>8293344.2859917702</v>
      </c>
      <c r="S1741" s="982"/>
      <c r="T1741" s="846"/>
      <c r="U1741" s="982"/>
      <c r="V1741" s="983"/>
      <c r="W1741" s="984"/>
      <c r="X1741" s="985"/>
      <c r="Y1741" s="983"/>
      <c r="Z1741" s="983"/>
      <c r="AA1741" s="983"/>
      <c r="AB1741" s="983"/>
      <c r="AC1741" s="983"/>
      <c r="AD1741" s="983"/>
      <c r="AE1741" s="983"/>
      <c r="AF1741" s="983"/>
    </row>
    <row r="1742" spans="1:32" ht="12" thickBot="1">
      <c r="A1742" s="596" t="s">
        <v>1507</v>
      </c>
      <c r="B1742" s="596" t="s">
        <v>161</v>
      </c>
      <c r="E1742" s="548">
        <v>62577001.2794782</v>
      </c>
      <c r="F1742" s="548">
        <v>1271051.9035329001</v>
      </c>
      <c r="G1742" s="548">
        <v>3668263.8150030081</v>
      </c>
      <c r="H1742" s="548">
        <v>1809726.8770025</v>
      </c>
      <c r="I1742" s="548">
        <v>294737.67602634203</v>
      </c>
      <c r="L1742" s="548">
        <v>76896.517589545896</v>
      </c>
      <c r="M1742" s="548">
        <v>152250.10889200401</v>
      </c>
      <c r="O1742" s="548">
        <v>360631.18188097398</v>
      </c>
      <c r="R1742" s="548">
        <v>7633558.0799272899</v>
      </c>
      <c r="S1742" s="982"/>
      <c r="T1742" s="846"/>
      <c r="U1742" s="982"/>
      <c r="V1742" s="983"/>
      <c r="W1742" s="984"/>
      <c r="X1742" s="985"/>
      <c r="Y1742" s="983"/>
      <c r="Z1742" s="983"/>
      <c r="AA1742" s="983"/>
      <c r="AB1742" s="983"/>
      <c r="AC1742" s="983"/>
      <c r="AD1742" s="983"/>
      <c r="AE1742" s="983"/>
      <c r="AF1742" s="983"/>
    </row>
    <row r="1743" spans="1:32" ht="12" thickBot="1">
      <c r="A1743" s="596" t="s">
        <v>1508</v>
      </c>
      <c r="B1743" s="596" t="s">
        <v>161</v>
      </c>
      <c r="E1743" s="548">
        <v>53952630.970805407</v>
      </c>
      <c r="F1743" s="548">
        <v>1271206.8717586601</v>
      </c>
      <c r="G1743" s="548">
        <v>3162703.2275086073</v>
      </c>
      <c r="H1743" s="548">
        <v>1560310.08767569</v>
      </c>
      <c r="I1743" s="548">
        <v>254116.891872493</v>
      </c>
      <c r="L1743" s="548">
        <v>70715.9330924143</v>
      </c>
      <c r="M1743" s="548">
        <v>209089.807244828</v>
      </c>
      <c r="O1743" s="548">
        <v>404835.07590240904</v>
      </c>
      <c r="R1743" s="548">
        <v>6932977.8950551096</v>
      </c>
      <c r="S1743" s="982"/>
      <c r="T1743" s="846"/>
      <c r="U1743" s="982"/>
      <c r="V1743" s="983"/>
      <c r="W1743" s="984"/>
      <c r="X1743" s="985"/>
      <c r="Y1743" s="983"/>
      <c r="Z1743" s="983"/>
      <c r="AA1743" s="983"/>
      <c r="AB1743" s="983"/>
      <c r="AC1743" s="983"/>
      <c r="AD1743" s="983"/>
      <c r="AE1743" s="983"/>
      <c r="AF1743" s="983"/>
    </row>
    <row r="1744" spans="1:32" ht="12" thickBot="1">
      <c r="A1744" s="596" t="s">
        <v>1509</v>
      </c>
      <c r="B1744" s="596" t="s">
        <v>161</v>
      </c>
      <c r="E1744" s="548">
        <v>59224022.186338603</v>
      </c>
      <c r="F1744" s="548">
        <v>1271361.83998441</v>
      </c>
      <c r="G1744" s="548">
        <v>3471712.1805631658</v>
      </c>
      <c r="H1744" s="548">
        <v>1712758.7216289102</v>
      </c>
      <c r="I1744" s="548">
        <v>278945.14449765399</v>
      </c>
      <c r="L1744" s="548">
        <v>108300.929927169</v>
      </c>
      <c r="M1744" s="548">
        <v>53446.582899665205</v>
      </c>
      <c r="O1744" s="548">
        <v>401669.73031425697</v>
      </c>
      <c r="R1744" s="548">
        <v>7298195.1298152395</v>
      </c>
      <c r="S1744" s="982"/>
      <c r="T1744" s="846"/>
      <c r="U1744" s="982"/>
      <c r="V1744" s="983"/>
      <c r="W1744" s="984"/>
      <c r="X1744" s="985"/>
      <c r="Y1744" s="983"/>
      <c r="Z1744" s="983"/>
      <c r="AA1744" s="983"/>
      <c r="AB1744" s="983"/>
      <c r="AC1744" s="983"/>
      <c r="AD1744" s="983"/>
      <c r="AE1744" s="983"/>
      <c r="AF1744" s="983"/>
    </row>
    <row r="1745" spans="1:32" ht="12" thickBot="1">
      <c r="A1745" s="596" t="s">
        <v>1510</v>
      </c>
      <c r="B1745" s="596" t="s">
        <v>161</v>
      </c>
      <c r="E1745" s="548">
        <v>67544147.002267897</v>
      </c>
      <c r="F1745" s="548">
        <v>1271516.8082101699</v>
      </c>
      <c r="G1745" s="548">
        <v>3959437.8972729482</v>
      </c>
      <c r="H1745" s="548">
        <v>1953376.7313055801</v>
      </c>
      <c r="I1745" s="548">
        <v>318132.93238068203</v>
      </c>
      <c r="L1745" s="548">
        <v>97025.427677778396</v>
      </c>
      <c r="M1745" s="548">
        <v>139406.205798462</v>
      </c>
      <c r="O1745" s="548">
        <v>398905.34845422796</v>
      </c>
      <c r="R1745" s="548">
        <v>8137801.3510998599</v>
      </c>
      <c r="S1745" s="982"/>
      <c r="T1745" s="846"/>
      <c r="U1745" s="982"/>
      <c r="V1745" s="983"/>
      <c r="W1745" s="984"/>
      <c r="X1745" s="985"/>
      <c r="Y1745" s="983"/>
      <c r="Z1745" s="983"/>
      <c r="AA1745" s="983"/>
      <c r="AB1745" s="983"/>
      <c r="AC1745" s="983"/>
      <c r="AD1745" s="983"/>
      <c r="AE1745" s="983"/>
      <c r="AF1745" s="983"/>
    </row>
    <row r="1746" spans="1:32" ht="12" thickBot="1">
      <c r="S1746" s="982"/>
      <c r="T1746" s="846"/>
      <c r="U1746" s="982"/>
      <c r="V1746" s="983"/>
      <c r="W1746" s="984"/>
      <c r="X1746" s="985"/>
      <c r="Y1746" s="983"/>
      <c r="Z1746" s="983"/>
      <c r="AA1746" s="983"/>
      <c r="AB1746" s="983"/>
      <c r="AC1746" s="983"/>
      <c r="AD1746" s="983"/>
      <c r="AE1746" s="983"/>
      <c r="AF1746" s="983"/>
    </row>
    <row r="1747" spans="1:32" ht="12" thickBot="1">
      <c r="A1747" s="596" t="s">
        <v>1499</v>
      </c>
      <c r="B1747" s="596" t="s">
        <v>173</v>
      </c>
      <c r="E1747" s="548">
        <v>44549468.969999999</v>
      </c>
      <c r="F1747" s="548">
        <v>750</v>
      </c>
      <c r="G1747" s="548">
        <v>164387.5404993</v>
      </c>
      <c r="H1747" s="548">
        <v>1288370.6426124</v>
      </c>
      <c r="J1747" s="548">
        <v>51887.307999999997</v>
      </c>
      <c r="K1747" s="548">
        <v>668311.84000000008</v>
      </c>
      <c r="M1747" s="548">
        <v>87407.453785622391</v>
      </c>
      <c r="O1747" s="548">
        <v>191124.74325264798</v>
      </c>
      <c r="R1747" s="548">
        <v>2452239.5281499699</v>
      </c>
      <c r="S1747" s="982"/>
      <c r="T1747" s="846"/>
      <c r="U1747" s="982"/>
      <c r="V1747" s="983"/>
      <c r="W1747" s="984"/>
      <c r="X1747" s="985"/>
      <c r="Y1747" s="983"/>
      <c r="Z1747" s="983"/>
      <c r="AA1747" s="983"/>
      <c r="AB1747" s="983"/>
      <c r="AC1747" s="983"/>
      <c r="AD1747" s="983"/>
      <c r="AE1747" s="983"/>
      <c r="AF1747" s="983"/>
    </row>
    <row r="1748" spans="1:32" ht="12" thickBot="1">
      <c r="A1748" s="596" t="s">
        <v>1500</v>
      </c>
      <c r="B1748" s="596" t="s">
        <v>173</v>
      </c>
      <c r="E1748" s="548">
        <v>46590427.43</v>
      </c>
      <c r="F1748" s="548">
        <v>750</v>
      </c>
      <c r="G1748" s="548">
        <v>171918.67721669999</v>
      </c>
      <c r="H1748" s="548">
        <v>1347395.1612756001</v>
      </c>
      <c r="J1748" s="548">
        <v>51887.307999999997</v>
      </c>
      <c r="K1748" s="548">
        <v>668311.84000000008</v>
      </c>
      <c r="M1748" s="548">
        <v>99932.222975472803</v>
      </c>
      <c r="O1748" s="548">
        <v>197328.27198654899</v>
      </c>
      <c r="R1748" s="548">
        <v>2537523.4814543203</v>
      </c>
      <c r="S1748" s="982"/>
      <c r="T1748" s="846"/>
      <c r="U1748" s="982"/>
      <c r="V1748" s="983"/>
      <c r="W1748" s="984"/>
      <c r="X1748" s="985"/>
      <c r="Y1748" s="983"/>
      <c r="Z1748" s="983"/>
      <c r="AA1748" s="983"/>
      <c r="AB1748" s="983"/>
      <c r="AC1748" s="983"/>
      <c r="AD1748" s="983"/>
      <c r="AE1748" s="983"/>
      <c r="AF1748" s="983"/>
    </row>
    <row r="1749" spans="1:32" ht="12" thickBot="1">
      <c r="A1749" s="541" t="s">
        <v>1501</v>
      </c>
      <c r="B1749" s="596" t="s">
        <v>173</v>
      </c>
      <c r="E1749" s="548">
        <v>45641535.759999998</v>
      </c>
      <c r="F1749" s="548">
        <v>750</v>
      </c>
      <c r="G1749" s="548">
        <v>168417.26695439999</v>
      </c>
      <c r="H1749" s="548">
        <v>1319953.2141791999</v>
      </c>
      <c r="J1749" s="548">
        <v>51887.307999999997</v>
      </c>
      <c r="K1749" s="548">
        <v>668311.84000000008</v>
      </c>
      <c r="M1749" s="548">
        <v>19147.3561274723</v>
      </c>
      <c r="O1749" s="548">
        <v>259965.453495858</v>
      </c>
      <c r="R1749" s="548">
        <v>2488432.4387569302</v>
      </c>
      <c r="S1749" s="982"/>
      <c r="T1749" s="846"/>
      <c r="U1749" s="982"/>
      <c r="V1749" s="983"/>
      <c r="W1749" s="984"/>
      <c r="X1749" s="985"/>
      <c r="Y1749" s="983"/>
      <c r="Z1749" s="983"/>
      <c r="AA1749" s="983"/>
      <c r="AB1749" s="983"/>
      <c r="AC1749" s="983"/>
      <c r="AD1749" s="983"/>
      <c r="AE1749" s="983"/>
      <c r="AF1749" s="983"/>
    </row>
    <row r="1750" spans="1:32" ht="12" thickBot="1">
      <c r="A1750" s="541" t="s">
        <v>1502</v>
      </c>
      <c r="B1750" s="596" t="s">
        <v>173</v>
      </c>
      <c r="C1750" s="979"/>
      <c r="D1750" s="979"/>
      <c r="E1750" s="980">
        <v>45507524.259999998</v>
      </c>
      <c r="F1750" s="583">
        <v>750</v>
      </c>
      <c r="G1750" s="583">
        <v>167922.76451939999</v>
      </c>
      <c r="H1750" s="583">
        <v>1316077.6015991902</v>
      </c>
      <c r="I1750" s="583"/>
      <c r="J1750" s="583">
        <v>51887.307999999997</v>
      </c>
      <c r="K1750" s="981">
        <v>668311.84000000008</v>
      </c>
      <c r="L1750" s="583"/>
      <c r="M1750" s="583">
        <v>107868.08151828799</v>
      </c>
      <c r="N1750" s="583"/>
      <c r="O1750" s="583">
        <v>284296.96106102102</v>
      </c>
      <c r="P1750" s="981"/>
      <c r="Q1750" s="981"/>
      <c r="R1750" s="583">
        <v>2597114.5566978999</v>
      </c>
      <c r="S1750" s="982"/>
      <c r="T1750" s="846"/>
      <c r="U1750" s="982"/>
      <c r="V1750" s="983"/>
      <c r="W1750" s="984"/>
      <c r="X1750" s="985"/>
      <c r="Y1750" s="983"/>
      <c r="Z1750" s="983"/>
      <c r="AA1750" s="983"/>
      <c r="AB1750" s="983"/>
      <c r="AC1750" s="983"/>
      <c r="AD1750" s="983"/>
      <c r="AE1750" s="983"/>
      <c r="AF1750" s="983"/>
    </row>
    <row r="1751" spans="1:32" ht="12" thickBot="1">
      <c r="A1751" s="596" t="s">
        <v>1503</v>
      </c>
      <c r="B1751" s="596" t="s">
        <v>173</v>
      </c>
      <c r="C1751" s="979"/>
      <c r="D1751" s="979"/>
      <c r="E1751" s="981">
        <v>44497248.259999998</v>
      </c>
      <c r="F1751" s="981">
        <v>750</v>
      </c>
      <c r="G1751" s="981">
        <v>164194.84607940001</v>
      </c>
      <c r="H1751" s="981">
        <v>1286860.4196792</v>
      </c>
      <c r="I1751" s="981"/>
      <c r="J1751" s="981">
        <v>51887.307999999997</v>
      </c>
      <c r="K1751" s="981">
        <v>668311.84000000008</v>
      </c>
      <c r="L1751" s="981"/>
      <c r="M1751" s="981">
        <v>144305.291201285</v>
      </c>
      <c r="N1751" s="981"/>
      <c r="O1751" s="981">
        <v>269025.24284059805</v>
      </c>
      <c r="P1751" s="981"/>
      <c r="Q1751" s="981"/>
      <c r="R1751" s="981">
        <v>2585334.9478004803</v>
      </c>
      <c r="S1751" s="982"/>
      <c r="T1751" s="846"/>
      <c r="U1751" s="982"/>
      <c r="V1751" s="983"/>
      <c r="W1751" s="984"/>
      <c r="X1751" s="985"/>
      <c r="Y1751" s="983"/>
      <c r="Z1751" s="983"/>
      <c r="AA1751" s="983"/>
      <c r="AB1751" s="983"/>
      <c r="AC1751" s="983"/>
      <c r="AD1751" s="983"/>
      <c r="AE1751" s="983"/>
      <c r="AF1751" s="983"/>
    </row>
    <row r="1752" spans="1:32" ht="12" thickBot="1">
      <c r="A1752" s="596" t="s">
        <v>1504</v>
      </c>
      <c r="B1752" s="596" t="s">
        <v>173</v>
      </c>
      <c r="C1752" s="979"/>
      <c r="D1752" s="979"/>
      <c r="E1752" s="981">
        <v>48145895.399999999</v>
      </c>
      <c r="F1752" s="981">
        <v>750</v>
      </c>
      <c r="G1752" s="981">
        <v>177658.35402600002</v>
      </c>
      <c r="H1752" s="981">
        <v>1392379.2949680001</v>
      </c>
      <c r="I1752" s="981"/>
      <c r="J1752" s="981">
        <v>51887.307999999997</v>
      </c>
      <c r="K1752" s="981">
        <v>668311.84000000008</v>
      </c>
      <c r="L1752" s="981"/>
      <c r="M1752" s="981">
        <v>113400.752364894</v>
      </c>
      <c r="N1752" s="981"/>
      <c r="O1752" s="981">
        <v>243282.43601564798</v>
      </c>
      <c r="P1752" s="583"/>
      <c r="Q1752" s="981"/>
      <c r="R1752" s="583">
        <v>2647669.9853745401</v>
      </c>
      <c r="S1752" s="982"/>
      <c r="T1752" s="846"/>
      <c r="U1752" s="982"/>
      <c r="V1752" s="983"/>
      <c r="W1752" s="984"/>
      <c r="X1752" s="985"/>
      <c r="Y1752" s="983"/>
      <c r="Z1752" s="983"/>
      <c r="AA1752" s="983"/>
      <c r="AB1752" s="983"/>
      <c r="AC1752" s="983"/>
      <c r="AD1752" s="983"/>
      <c r="AE1752" s="983"/>
      <c r="AF1752" s="983"/>
    </row>
    <row r="1753" spans="1:32" ht="12" thickBot="1">
      <c r="A1753" s="596" t="s">
        <v>1505</v>
      </c>
      <c r="B1753" s="596" t="s">
        <v>173</v>
      </c>
      <c r="C1753" s="979"/>
      <c r="D1753" s="979"/>
      <c r="E1753" s="981">
        <v>48922696.089999996</v>
      </c>
      <c r="F1753" s="981">
        <v>750</v>
      </c>
      <c r="G1753" s="981">
        <v>180524.74857209902</v>
      </c>
      <c r="H1753" s="981">
        <v>1414844.3709227999</v>
      </c>
      <c r="I1753" s="981"/>
      <c r="J1753" s="981">
        <v>51887.307999999997</v>
      </c>
      <c r="K1753" s="981">
        <v>668311.84000000008</v>
      </c>
      <c r="L1753" s="981"/>
      <c r="M1753" s="981">
        <v>154931.528373118</v>
      </c>
      <c r="N1753" s="981"/>
      <c r="O1753" s="981">
        <v>224638.71337682</v>
      </c>
      <c r="P1753" s="583"/>
      <c r="Q1753" s="981"/>
      <c r="R1753" s="583">
        <v>2695888.5092448299</v>
      </c>
      <c r="S1753" s="982"/>
      <c r="T1753" s="846"/>
      <c r="U1753" s="982"/>
      <c r="V1753" s="983"/>
      <c r="W1753" s="984"/>
      <c r="X1753" s="985"/>
      <c r="Y1753" s="983"/>
      <c r="Z1753" s="983"/>
      <c r="AA1753" s="983"/>
      <c r="AB1753" s="983"/>
      <c r="AC1753" s="983"/>
      <c r="AD1753" s="983"/>
      <c r="AE1753" s="983"/>
      <c r="AF1753" s="983"/>
    </row>
    <row r="1754" spans="1:32" ht="12" thickBot="1">
      <c r="A1754" s="596" t="s">
        <v>1506</v>
      </c>
      <c r="B1754" s="596" t="s">
        <v>173</v>
      </c>
      <c r="C1754" s="979"/>
      <c r="D1754" s="979"/>
      <c r="E1754" s="981">
        <v>46508168.689999998</v>
      </c>
      <c r="F1754" s="981">
        <v>750</v>
      </c>
      <c r="G1754" s="981">
        <v>171615.14246609999</v>
      </c>
      <c r="H1754" s="981">
        <v>1345016.2385148001</v>
      </c>
      <c r="I1754" s="981"/>
      <c r="J1754" s="981">
        <v>51887.307999999997</v>
      </c>
      <c r="K1754" s="981">
        <v>668311.84000000008</v>
      </c>
      <c r="L1754" s="981"/>
      <c r="M1754" s="981">
        <v>200012.484341456</v>
      </c>
      <c r="N1754" s="981"/>
      <c r="O1754" s="981">
        <v>252311.14805742999</v>
      </c>
      <c r="P1754" s="583"/>
      <c r="Q1754" s="981"/>
      <c r="R1754" s="583">
        <v>2689904.1613797797</v>
      </c>
      <c r="S1754" s="982"/>
      <c r="T1754" s="846"/>
      <c r="U1754" s="982"/>
      <c r="V1754" s="983"/>
      <c r="W1754" s="984"/>
      <c r="X1754" s="985"/>
      <c r="Y1754" s="983"/>
      <c r="Z1754" s="983"/>
      <c r="AA1754" s="983"/>
      <c r="AB1754" s="983"/>
      <c r="AC1754" s="983"/>
      <c r="AD1754" s="983"/>
      <c r="AE1754" s="983"/>
      <c r="AF1754" s="983"/>
    </row>
    <row r="1755" spans="1:32" ht="12" thickBot="1">
      <c r="A1755" s="596" t="s">
        <v>1507</v>
      </c>
      <c r="B1755" s="596" t="s">
        <v>173</v>
      </c>
      <c r="C1755" s="979"/>
      <c r="D1755" s="979"/>
      <c r="E1755" s="981">
        <v>48339183.649999999</v>
      </c>
      <c r="F1755" s="981">
        <v>750</v>
      </c>
      <c r="G1755" s="981">
        <v>178371.58766850003</v>
      </c>
      <c r="H1755" s="981">
        <v>1397969.1911580001</v>
      </c>
      <c r="I1755" s="981"/>
      <c r="J1755" s="981">
        <v>51887.307999999997</v>
      </c>
      <c r="K1755" s="981">
        <v>668311.84000000008</v>
      </c>
      <c r="L1755" s="981"/>
      <c r="M1755" s="981">
        <v>117609.43835569501</v>
      </c>
      <c r="N1755" s="981"/>
      <c r="O1755" s="981">
        <v>278578.65628626599</v>
      </c>
      <c r="P1755" s="981"/>
      <c r="Q1755" s="981"/>
      <c r="R1755" s="981">
        <v>2693478.0214684601</v>
      </c>
      <c r="S1755" s="982"/>
      <c r="T1755" s="846"/>
      <c r="U1755" s="982"/>
      <c r="V1755" s="983"/>
      <c r="W1755" s="984"/>
      <c r="X1755" s="985"/>
      <c r="Y1755" s="983"/>
      <c r="Z1755" s="983"/>
      <c r="AA1755" s="983"/>
      <c r="AB1755" s="983"/>
      <c r="AC1755" s="983"/>
      <c r="AD1755" s="983"/>
      <c r="AE1755" s="983"/>
      <c r="AF1755" s="983"/>
    </row>
    <row r="1756" spans="1:32" ht="12" thickBot="1">
      <c r="A1756" s="596" t="s">
        <v>1508</v>
      </c>
      <c r="B1756" s="596" t="s">
        <v>173</v>
      </c>
      <c r="C1756" s="979"/>
      <c r="D1756" s="979"/>
      <c r="E1756" s="981">
        <v>47968040.840000004</v>
      </c>
      <c r="F1756" s="981">
        <v>750</v>
      </c>
      <c r="G1756" s="981">
        <v>177002.07069960001</v>
      </c>
      <c r="H1756" s="981">
        <v>1387235.7410927999</v>
      </c>
      <c r="I1756" s="981"/>
      <c r="J1756" s="981">
        <v>51887.307999999997</v>
      </c>
      <c r="K1756" s="981">
        <v>668311.84000000008</v>
      </c>
      <c r="L1756" s="981"/>
      <c r="M1756" s="981">
        <v>185896.929077932</v>
      </c>
      <c r="N1756" s="981"/>
      <c r="O1756" s="981">
        <v>359929.53642722801</v>
      </c>
      <c r="P1756" s="981"/>
      <c r="Q1756" s="981"/>
      <c r="R1756" s="981">
        <v>2831013.4252975597</v>
      </c>
      <c r="S1756" s="982"/>
      <c r="T1756" s="846"/>
      <c r="U1756" s="982"/>
      <c r="V1756" s="983"/>
      <c r="W1756" s="984"/>
      <c r="X1756" s="985"/>
      <c r="Y1756" s="983"/>
      <c r="Z1756" s="983"/>
      <c r="AA1756" s="983"/>
      <c r="AB1756" s="983"/>
      <c r="AC1756" s="983"/>
      <c r="AD1756" s="983"/>
      <c r="AE1756" s="983"/>
      <c r="AF1756" s="983"/>
    </row>
    <row r="1757" spans="1:32" ht="12" thickBot="1">
      <c r="A1757" s="596" t="s">
        <v>1509</v>
      </c>
      <c r="B1757" s="596" t="s">
        <v>173</v>
      </c>
      <c r="C1757" s="979"/>
      <c r="D1757" s="979"/>
      <c r="E1757" s="980">
        <v>48437686.859999999</v>
      </c>
      <c r="F1757" s="583">
        <v>750</v>
      </c>
      <c r="G1757" s="583">
        <v>178735.06451339999</v>
      </c>
      <c r="H1757" s="583">
        <v>1400817.9039912</v>
      </c>
      <c r="I1757" s="981"/>
      <c r="J1757" s="981">
        <v>51887.307999999997</v>
      </c>
      <c r="K1757" s="583">
        <v>668311.84000000008</v>
      </c>
      <c r="L1757" s="981"/>
      <c r="M1757" s="583">
        <v>43712.479339645201</v>
      </c>
      <c r="N1757" s="583"/>
      <c r="O1757" s="583">
        <v>328514.54358989099</v>
      </c>
      <c r="P1757" s="981"/>
      <c r="Q1757" s="981"/>
      <c r="R1757" s="583">
        <v>2672729.1394341299</v>
      </c>
      <c r="S1757" s="982"/>
      <c r="T1757" s="846"/>
      <c r="U1757" s="982"/>
      <c r="V1757" s="983"/>
      <c r="W1757" s="984"/>
      <c r="X1757" s="985"/>
      <c r="Y1757" s="983"/>
      <c r="Z1757" s="983"/>
      <c r="AA1757" s="983"/>
      <c r="AB1757" s="983"/>
      <c r="AC1757" s="983"/>
      <c r="AD1757" s="983"/>
      <c r="AE1757" s="983"/>
      <c r="AF1757" s="983"/>
    </row>
    <row r="1758" spans="1:32" ht="12" thickBot="1">
      <c r="A1758" s="596" t="s">
        <v>1510</v>
      </c>
      <c r="B1758" s="596" t="s">
        <v>173</v>
      </c>
      <c r="C1758" s="979"/>
      <c r="D1758" s="979"/>
      <c r="E1758" s="980">
        <v>45688667.159999996</v>
      </c>
      <c r="F1758" s="981">
        <v>750</v>
      </c>
      <c r="G1758" s="583">
        <v>168591.1818204</v>
      </c>
      <c r="H1758" s="981">
        <v>1321316.2542671901</v>
      </c>
      <c r="I1758" s="981"/>
      <c r="J1758" s="981">
        <v>51887.307999999997</v>
      </c>
      <c r="K1758" s="583">
        <v>668311.84000000008</v>
      </c>
      <c r="L1758" s="981"/>
      <c r="M1758" s="583">
        <v>94298.085318192709</v>
      </c>
      <c r="N1758" s="981"/>
      <c r="O1758" s="981">
        <v>269830.244406774</v>
      </c>
      <c r="P1758" s="981"/>
      <c r="Q1758" s="981"/>
      <c r="R1758" s="583">
        <v>2574984.91381256</v>
      </c>
      <c r="S1758" s="982"/>
      <c r="T1758" s="846"/>
      <c r="U1758" s="982"/>
      <c r="V1758" s="983"/>
      <c r="W1758" s="984"/>
      <c r="X1758" s="985"/>
      <c r="Y1758" s="983"/>
      <c r="Z1758" s="983"/>
      <c r="AA1758" s="983"/>
      <c r="AB1758" s="983"/>
      <c r="AC1758" s="983"/>
      <c r="AD1758" s="983"/>
      <c r="AE1758" s="983"/>
      <c r="AF1758" s="983"/>
    </row>
    <row r="1759" spans="1:32" ht="12" thickBot="1">
      <c r="A1759" s="979"/>
      <c r="B1759" s="979"/>
      <c r="C1759" s="979"/>
      <c r="D1759" s="979"/>
      <c r="E1759" s="980"/>
      <c r="F1759" s="981"/>
      <c r="G1759" s="583"/>
      <c r="H1759" s="981"/>
      <c r="I1759" s="981"/>
      <c r="J1759" s="981"/>
      <c r="K1759" s="583"/>
      <c r="L1759" s="981"/>
      <c r="M1759" s="583"/>
      <c r="N1759" s="981"/>
      <c r="O1759" s="981"/>
      <c r="P1759" s="981"/>
      <c r="Q1759" s="981"/>
      <c r="R1759" s="583"/>
      <c r="S1759" s="982"/>
      <c r="T1759" s="846"/>
      <c r="U1759" s="982"/>
      <c r="V1759" s="983"/>
      <c r="W1759" s="984"/>
      <c r="X1759" s="985"/>
      <c r="Y1759" s="983"/>
      <c r="Z1759" s="983"/>
      <c r="AA1759" s="983"/>
      <c r="AB1759" s="983"/>
      <c r="AC1759" s="983"/>
      <c r="AD1759" s="983"/>
      <c r="AE1759" s="983"/>
      <c r="AF1759" s="983"/>
    </row>
    <row r="1760" spans="1:32" ht="12" thickBot="1">
      <c r="A1760" s="596" t="s">
        <v>1499</v>
      </c>
      <c r="B1760" s="596" t="s">
        <v>153</v>
      </c>
      <c r="C1760" s="979"/>
      <c r="D1760" s="979"/>
      <c r="E1760" s="980">
        <v>22656623.395319998</v>
      </c>
      <c r="F1760" s="981">
        <v>34680.000034680001</v>
      </c>
      <c r="G1760" s="583">
        <v>151799.37674864399</v>
      </c>
      <c r="H1760" s="981">
        <v>655229.54859265499</v>
      </c>
      <c r="I1760" s="981"/>
      <c r="J1760" s="981">
        <v>66494.659440494608</v>
      </c>
      <c r="K1760" s="583">
        <v>874281.6333842813</v>
      </c>
      <c r="L1760" s="981">
        <v>33356.9730574188</v>
      </c>
      <c r="M1760" s="583">
        <v>44453.004898852399</v>
      </c>
      <c r="N1760" s="981"/>
      <c r="O1760" s="981">
        <v>97200.739526626407</v>
      </c>
      <c r="P1760" s="981"/>
      <c r="Q1760" s="981"/>
      <c r="R1760" s="583">
        <v>1957495.93568365</v>
      </c>
      <c r="S1760" s="982"/>
      <c r="T1760" s="846"/>
      <c r="U1760" s="982"/>
      <c r="V1760" s="983"/>
      <c r="W1760" s="984"/>
      <c r="X1760" s="985"/>
      <c r="Y1760" s="983"/>
      <c r="Z1760" s="983"/>
      <c r="AA1760" s="983"/>
      <c r="AB1760" s="983"/>
      <c r="AC1760" s="983"/>
      <c r="AD1760" s="983"/>
      <c r="AE1760" s="983"/>
      <c r="AF1760" s="983"/>
    </row>
    <row r="1761" spans="1:32" ht="12" thickBot="1">
      <c r="A1761" s="596" t="s">
        <v>1500</v>
      </c>
      <c r="B1761" s="596" t="s">
        <v>153</v>
      </c>
      <c r="C1761" s="979"/>
      <c r="D1761" s="979"/>
      <c r="E1761" s="981">
        <v>22727623.723248202</v>
      </c>
      <c r="F1761" s="981">
        <v>34340.000034340002</v>
      </c>
      <c r="G1761" s="981">
        <v>152275.078945763</v>
      </c>
      <c r="H1761" s="981">
        <v>657282.87807633798</v>
      </c>
      <c r="I1761" s="981"/>
      <c r="J1761" s="981">
        <v>67161.243962361201</v>
      </c>
      <c r="K1761" s="981">
        <v>883045.98543104576</v>
      </c>
      <c r="L1761" s="981">
        <v>41836.147056482703</v>
      </c>
      <c r="M1761" s="981">
        <v>48748.6826564683</v>
      </c>
      <c r="N1761" s="981"/>
      <c r="O1761" s="981">
        <v>96260.1753848964</v>
      </c>
      <c r="P1761" s="981"/>
      <c r="Q1761" s="981"/>
      <c r="R1761" s="981">
        <v>1980950.1915476902</v>
      </c>
      <c r="S1761" s="982"/>
      <c r="T1761" s="846"/>
      <c r="U1761" s="982"/>
      <c r="V1761" s="983"/>
      <c r="W1761" s="984"/>
      <c r="X1761" s="985"/>
      <c r="Y1761" s="983"/>
      <c r="Z1761" s="983"/>
      <c r="AA1761" s="983"/>
      <c r="AB1761" s="983"/>
      <c r="AC1761" s="983"/>
      <c r="AD1761" s="983"/>
      <c r="AE1761" s="983"/>
      <c r="AF1761" s="983"/>
    </row>
    <row r="1762" spans="1:32" ht="12" thickBot="1">
      <c r="A1762" s="541" t="s">
        <v>1501</v>
      </c>
      <c r="B1762" s="596" t="s">
        <v>153</v>
      </c>
      <c r="C1762" s="979"/>
      <c r="D1762" s="979"/>
      <c r="E1762" s="980">
        <v>17906266.6575372</v>
      </c>
      <c r="F1762" s="583">
        <v>34170.000034169905</v>
      </c>
      <c r="G1762" s="583">
        <v>119971.986605499</v>
      </c>
      <c r="H1762" s="583">
        <v>517849.23173597699</v>
      </c>
      <c r="I1762" s="583"/>
      <c r="J1762" s="981">
        <v>65088.124970688099</v>
      </c>
      <c r="K1762" s="981">
        <v>855788.30979978782</v>
      </c>
      <c r="L1762" s="583">
        <v>33816.482793937299</v>
      </c>
      <c r="M1762" s="583">
        <v>7511.9659953648697</v>
      </c>
      <c r="N1762" s="583"/>
      <c r="O1762" s="981">
        <v>101990.668248373</v>
      </c>
      <c r="P1762" s="981"/>
      <c r="Q1762" s="981"/>
      <c r="R1762" s="583">
        <v>1736186.77018379</v>
      </c>
      <c r="S1762" s="982"/>
      <c r="T1762" s="846"/>
      <c r="U1762" s="982"/>
      <c r="V1762" s="983"/>
      <c r="W1762" s="984"/>
      <c r="X1762" s="985"/>
      <c r="Y1762" s="983"/>
      <c r="Z1762" s="983"/>
      <c r="AA1762" s="983"/>
      <c r="AB1762" s="983"/>
      <c r="AC1762" s="983"/>
      <c r="AD1762" s="983"/>
      <c r="AE1762" s="983"/>
      <c r="AF1762" s="983"/>
    </row>
    <row r="1763" spans="1:32" ht="12" thickBot="1">
      <c r="A1763" s="541" t="s">
        <v>1502</v>
      </c>
      <c r="B1763" s="596" t="s">
        <v>153</v>
      </c>
      <c r="C1763" s="979"/>
      <c r="D1763" s="979"/>
      <c r="E1763" s="980">
        <v>18810648.795849502</v>
      </c>
      <c r="F1763" s="583">
        <v>33830.000033829994</v>
      </c>
      <c r="G1763" s="583">
        <v>126031.34693219099</v>
      </c>
      <c r="H1763" s="583">
        <v>544003.96317596908</v>
      </c>
      <c r="I1763" s="583"/>
      <c r="J1763" s="981">
        <v>60468.184212468106</v>
      </c>
      <c r="K1763" s="981">
        <v>677467.61941746692</v>
      </c>
      <c r="L1763" s="583">
        <v>35817.430248946897</v>
      </c>
      <c r="M1763" s="583">
        <v>44587.540867523901</v>
      </c>
      <c r="N1763" s="583"/>
      <c r="O1763" s="981">
        <v>117514.85881086999</v>
      </c>
      <c r="P1763" s="981"/>
      <c r="Q1763" s="981"/>
      <c r="R1763" s="583">
        <v>1639720.94369926</v>
      </c>
      <c r="S1763" s="982"/>
      <c r="T1763" s="846"/>
      <c r="U1763" s="982"/>
      <c r="V1763" s="983"/>
      <c r="W1763" s="984"/>
      <c r="X1763" s="985"/>
      <c r="Y1763" s="983"/>
      <c r="Z1763" s="983"/>
      <c r="AA1763" s="983"/>
      <c r="AB1763" s="983"/>
      <c r="AC1763" s="983"/>
      <c r="AD1763" s="983"/>
      <c r="AE1763" s="983"/>
      <c r="AF1763" s="983"/>
    </row>
    <row r="1764" spans="1:32" ht="12" thickBot="1">
      <c r="A1764" s="596" t="s">
        <v>1503</v>
      </c>
      <c r="B1764" s="596" t="s">
        <v>153</v>
      </c>
      <c r="C1764" s="979"/>
      <c r="D1764" s="979"/>
      <c r="E1764" s="980">
        <v>19617060.045165598</v>
      </c>
      <c r="F1764" s="583">
        <v>33660.000033659999</v>
      </c>
      <c r="G1764" s="583">
        <v>131434.30230260902</v>
      </c>
      <c r="H1764" s="583">
        <v>567325.37650619098</v>
      </c>
      <c r="I1764" s="583"/>
      <c r="J1764" s="981">
        <v>58886.5514916865</v>
      </c>
      <c r="K1764" s="981">
        <v>659747.47504574747</v>
      </c>
      <c r="L1764" s="583">
        <v>36931.490259373706</v>
      </c>
      <c r="M1764" s="583">
        <v>63618.440982910601</v>
      </c>
      <c r="N1764" s="583"/>
      <c r="O1764" s="981">
        <v>118602.48776806699</v>
      </c>
      <c r="P1764" s="981"/>
      <c r="Q1764" s="981"/>
      <c r="R1764" s="583">
        <v>1670206.1243902398</v>
      </c>
      <c r="S1764" s="982"/>
      <c r="T1764" s="846"/>
      <c r="U1764" s="982"/>
      <c r="V1764" s="983"/>
      <c r="W1764" s="984"/>
      <c r="X1764" s="985"/>
      <c r="Y1764" s="983"/>
      <c r="Z1764" s="983"/>
      <c r="AA1764" s="983"/>
      <c r="AB1764" s="983"/>
      <c r="AC1764" s="983"/>
      <c r="AD1764" s="983"/>
      <c r="AE1764" s="983"/>
      <c r="AF1764" s="983"/>
    </row>
    <row r="1765" spans="1:32" ht="12" thickBot="1">
      <c r="A1765" s="596" t="s">
        <v>1504</v>
      </c>
      <c r="B1765" s="596" t="s">
        <v>153</v>
      </c>
      <c r="C1765" s="979"/>
      <c r="D1765" s="979"/>
      <c r="E1765" s="980">
        <v>20132212.338516898</v>
      </c>
      <c r="F1765" s="583">
        <v>33320.000033320001</v>
      </c>
      <c r="G1765" s="583">
        <v>134885.82266806302</v>
      </c>
      <c r="H1765" s="583">
        <v>582223.58082990895</v>
      </c>
      <c r="I1765" s="583"/>
      <c r="J1765" s="981">
        <v>58815.2657244152</v>
      </c>
      <c r="K1765" s="981">
        <v>658948.81043094886</v>
      </c>
      <c r="L1765" s="583">
        <v>31784.9348860067</v>
      </c>
      <c r="M1765" s="583">
        <v>47418.539150434401</v>
      </c>
      <c r="N1765" s="583"/>
      <c r="O1765" s="981">
        <v>101728.58183251599</v>
      </c>
      <c r="P1765" s="981"/>
      <c r="Q1765" s="981"/>
      <c r="R1765" s="583">
        <v>1649125.53555561</v>
      </c>
      <c r="S1765" s="982"/>
      <c r="T1765" s="846"/>
      <c r="U1765" s="982"/>
      <c r="V1765" s="983"/>
      <c r="W1765" s="984"/>
      <c r="X1765" s="985"/>
      <c r="Y1765" s="983"/>
      <c r="Z1765" s="983"/>
      <c r="AA1765" s="983"/>
      <c r="AB1765" s="983"/>
      <c r="AC1765" s="983"/>
      <c r="AD1765" s="983"/>
      <c r="AE1765" s="983"/>
      <c r="AF1765" s="983"/>
    </row>
    <row r="1766" spans="1:32" ht="12" thickBot="1">
      <c r="A1766" s="596" t="s">
        <v>1505</v>
      </c>
      <c r="B1766" s="596" t="s">
        <v>153</v>
      </c>
      <c r="C1766" s="979"/>
      <c r="D1766" s="979"/>
      <c r="E1766" s="980">
        <v>18906206.807405099</v>
      </c>
      <c r="F1766" s="583">
        <v>33150.000033149998</v>
      </c>
      <c r="G1766" s="583">
        <v>126671.58560961401</v>
      </c>
      <c r="H1766" s="583">
        <v>546767.50087015505</v>
      </c>
      <c r="I1766" s="583"/>
      <c r="J1766" s="981">
        <v>58899.989046099894</v>
      </c>
      <c r="K1766" s="981">
        <v>659898.02542389801</v>
      </c>
      <c r="L1766" s="583">
        <v>15637.596746450001</v>
      </c>
      <c r="M1766" s="583">
        <v>59873.387006736499</v>
      </c>
      <c r="N1766" s="583"/>
      <c r="O1766" s="981">
        <v>86811.772683960502</v>
      </c>
      <c r="P1766" s="981"/>
      <c r="Q1766" s="981"/>
      <c r="R1766" s="583">
        <v>1587709.8574200599</v>
      </c>
      <c r="S1766" s="982"/>
      <c r="T1766" s="846"/>
      <c r="U1766" s="982"/>
      <c r="V1766" s="983"/>
      <c r="W1766" s="984"/>
      <c r="X1766" s="985"/>
      <c r="Y1766" s="983"/>
      <c r="Z1766" s="983"/>
      <c r="AA1766" s="983"/>
      <c r="AB1766" s="983"/>
      <c r="AC1766" s="983"/>
      <c r="AD1766" s="983"/>
      <c r="AE1766" s="983"/>
      <c r="AF1766" s="983"/>
    </row>
    <row r="1767" spans="1:32" ht="12" thickBot="1">
      <c r="A1767" s="596" t="s">
        <v>1506</v>
      </c>
      <c r="B1767" s="596" t="s">
        <v>153</v>
      </c>
      <c r="C1767" s="979"/>
      <c r="D1767" s="979"/>
      <c r="E1767" s="981">
        <v>17683176.4559463</v>
      </c>
      <c r="F1767" s="981">
        <v>33150.000033149998</v>
      </c>
      <c r="G1767" s="981">
        <v>118477.28225484</v>
      </c>
      <c r="H1767" s="981">
        <v>511397.46310596901</v>
      </c>
      <c r="I1767" s="981"/>
      <c r="J1767" s="981">
        <v>58982.255508182199</v>
      </c>
      <c r="K1767" s="981">
        <v>660819.71448981983</v>
      </c>
      <c r="L1767" s="981">
        <v>16966.5951057477</v>
      </c>
      <c r="M1767" s="981">
        <v>76048.061096042802</v>
      </c>
      <c r="N1767" s="981"/>
      <c r="O1767" s="981">
        <v>95932.879719284305</v>
      </c>
      <c r="P1767" s="981"/>
      <c r="Q1767" s="981"/>
      <c r="R1767" s="981">
        <v>1571774.25131303</v>
      </c>
      <c r="S1767" s="982"/>
      <c r="T1767" s="846"/>
      <c r="U1767" s="982"/>
      <c r="V1767" s="983"/>
      <c r="W1767" s="984"/>
      <c r="X1767" s="985"/>
      <c r="Y1767" s="983"/>
      <c r="Z1767" s="983"/>
      <c r="AA1767" s="983"/>
      <c r="AB1767" s="983"/>
      <c r="AC1767" s="983"/>
      <c r="AD1767" s="983"/>
      <c r="AE1767" s="983"/>
      <c r="AF1767" s="983"/>
    </row>
    <row r="1768" spans="1:32" ht="12" thickBot="1">
      <c r="A1768" s="596" t="s">
        <v>1507</v>
      </c>
      <c r="B1768" s="596" t="s">
        <v>153</v>
      </c>
      <c r="C1768" s="979"/>
      <c r="D1768" s="986"/>
      <c r="E1768" s="980">
        <v>18258219.165038202</v>
      </c>
      <c r="F1768" s="981">
        <v>33150.000033149998</v>
      </c>
      <c r="G1768" s="583">
        <v>122330.068405756</v>
      </c>
      <c r="H1768" s="981">
        <v>528027.69825290504</v>
      </c>
      <c r="I1768" s="981"/>
      <c r="J1768" s="981">
        <v>59087.4663002874</v>
      </c>
      <c r="K1768" s="981">
        <v>661998.46503099764</v>
      </c>
      <c r="L1768" s="981">
        <v>22436.253615089299</v>
      </c>
      <c r="M1768" s="583">
        <v>44422.324483656099</v>
      </c>
      <c r="N1768" s="583"/>
      <c r="O1768" s="981">
        <v>105222.09472969599</v>
      </c>
      <c r="P1768" s="981"/>
      <c r="Q1768" s="583"/>
      <c r="R1768" s="583">
        <v>1576674.37085153</v>
      </c>
      <c r="S1768" s="982"/>
      <c r="T1768" s="846"/>
      <c r="U1768" s="982"/>
      <c r="V1768" s="983"/>
      <c r="W1768" s="984"/>
      <c r="X1768" s="985"/>
      <c r="Y1768" s="983"/>
      <c r="Z1768" s="983"/>
      <c r="AA1768" s="983"/>
      <c r="AB1768" s="983"/>
      <c r="AC1768" s="983"/>
      <c r="AD1768" s="983"/>
      <c r="AE1768" s="983"/>
      <c r="AF1768" s="983"/>
    </row>
    <row r="1769" spans="1:32" ht="12" thickBot="1">
      <c r="A1769" s="596" t="s">
        <v>1508</v>
      </c>
      <c r="B1769" s="596" t="s">
        <v>153</v>
      </c>
      <c r="C1769" s="979"/>
      <c r="D1769" s="986"/>
      <c r="E1769" s="980">
        <v>17125530.883924302</v>
      </c>
      <c r="F1769" s="981">
        <v>33150.000033149998</v>
      </c>
      <c r="G1769" s="583">
        <v>114741.05692229299</v>
      </c>
      <c r="H1769" s="981">
        <v>495270.353163091</v>
      </c>
      <c r="I1769" s="981"/>
      <c r="J1769" s="981">
        <v>59481.004757481001</v>
      </c>
      <c r="K1769" s="981">
        <v>666407.55330140691</v>
      </c>
      <c r="L1769" s="981">
        <v>22446.5030596002</v>
      </c>
      <c r="M1769" s="583">
        <v>66368.847766158098</v>
      </c>
      <c r="N1769" s="583"/>
      <c r="O1769" s="981">
        <v>128501.90010222301</v>
      </c>
      <c r="P1769" s="981"/>
      <c r="Q1769" s="583"/>
      <c r="R1769" s="583">
        <v>1586367.2191053999</v>
      </c>
      <c r="S1769" s="982"/>
      <c r="T1769" s="846"/>
      <c r="U1769" s="982"/>
      <c r="V1769" s="983"/>
      <c r="W1769" s="984"/>
      <c r="X1769" s="985"/>
      <c r="Y1769" s="983"/>
      <c r="Z1769" s="983"/>
      <c r="AA1769" s="983"/>
      <c r="AB1769" s="983"/>
      <c r="AC1769" s="983"/>
      <c r="AD1769" s="983"/>
      <c r="AE1769" s="983"/>
      <c r="AF1769" s="983"/>
    </row>
    <row r="1770" spans="1:32" ht="12" thickBot="1">
      <c r="A1770" s="596" t="s">
        <v>1509</v>
      </c>
      <c r="B1770" s="596" t="s">
        <v>153</v>
      </c>
      <c r="C1770" s="979"/>
      <c r="D1770" s="986"/>
      <c r="E1770" s="980">
        <v>21507848.6452065</v>
      </c>
      <c r="F1770" s="981">
        <v>33150.000033149998</v>
      </c>
      <c r="G1770" s="583">
        <v>144102.58592288301</v>
      </c>
      <c r="H1770" s="981">
        <v>622006.98281937302</v>
      </c>
      <c r="I1770" s="981"/>
      <c r="J1770" s="981">
        <v>60364.4973759645</v>
      </c>
      <c r="K1770" s="981">
        <v>793681.35438768053</v>
      </c>
      <c r="L1770" s="981">
        <v>39330.662170830998</v>
      </c>
      <c r="M1770" s="583">
        <v>19409.708648168198</v>
      </c>
      <c r="N1770" s="583"/>
      <c r="O1770" s="981">
        <v>145870.737009023</v>
      </c>
      <c r="P1770" s="981"/>
      <c r="Q1770" s="583"/>
      <c r="R1770" s="583">
        <v>1857916.52836707</v>
      </c>
      <c r="S1770" s="982"/>
      <c r="T1770" s="846"/>
      <c r="U1770" s="982"/>
      <c r="V1770" s="983"/>
      <c r="W1770" s="984"/>
      <c r="X1770" s="985"/>
      <c r="Y1770" s="983"/>
      <c r="Z1770" s="983"/>
      <c r="AA1770" s="983"/>
      <c r="AB1770" s="983"/>
      <c r="AC1770" s="983"/>
      <c r="AD1770" s="983"/>
      <c r="AE1770" s="983"/>
      <c r="AF1770" s="983"/>
    </row>
    <row r="1771" spans="1:32" ht="12" thickBot="1">
      <c r="A1771" s="596" t="s">
        <v>1510</v>
      </c>
      <c r="B1771" s="596" t="s">
        <v>153</v>
      </c>
      <c r="C1771" s="979"/>
      <c r="D1771" s="986"/>
      <c r="E1771" s="980">
        <v>22620251.449200802</v>
      </c>
      <c r="F1771" s="981">
        <v>33150.000033149998</v>
      </c>
      <c r="G1771" s="583">
        <v>151555.68470964499</v>
      </c>
      <c r="H1771" s="981">
        <v>654177.67191088793</v>
      </c>
      <c r="I1771" s="981"/>
      <c r="J1771" s="981">
        <v>63536.703511136599</v>
      </c>
      <c r="K1771" s="981">
        <v>835389.99060938938</v>
      </c>
      <c r="L1771" s="981">
        <v>32493.408658546003</v>
      </c>
      <c r="M1771" s="583">
        <v>46686.553442363802</v>
      </c>
      <c r="N1771" s="583"/>
      <c r="O1771" s="981">
        <v>133591.72758762797</v>
      </c>
      <c r="P1771" s="981"/>
      <c r="Q1771" s="583"/>
      <c r="R1771" s="583">
        <v>1950581.7404627402</v>
      </c>
      <c r="S1771" s="982"/>
      <c r="T1771" s="846"/>
      <c r="U1771" s="982"/>
      <c r="V1771" s="983"/>
      <c r="W1771" s="984"/>
      <c r="X1771" s="985"/>
      <c r="Y1771" s="983"/>
      <c r="Z1771" s="983"/>
      <c r="AA1771" s="983"/>
      <c r="AB1771" s="983"/>
      <c r="AC1771" s="983"/>
      <c r="AD1771" s="983"/>
      <c r="AE1771" s="983"/>
      <c r="AF1771" s="983"/>
    </row>
    <row r="1772" spans="1:32" ht="12" thickBot="1">
      <c r="A1772" s="979"/>
      <c r="B1772" s="979"/>
      <c r="C1772" s="979"/>
      <c r="D1772" s="986"/>
      <c r="E1772" s="980"/>
      <c r="F1772" s="981"/>
      <c r="G1772" s="583"/>
      <c r="H1772" s="981"/>
      <c r="I1772" s="981"/>
      <c r="J1772" s="981"/>
      <c r="K1772" s="981"/>
      <c r="L1772" s="981"/>
      <c r="M1772" s="583"/>
      <c r="N1772" s="583"/>
      <c r="O1772" s="981"/>
      <c r="P1772" s="981"/>
      <c r="Q1772" s="583"/>
      <c r="R1772" s="583"/>
      <c r="S1772" s="982"/>
      <c r="T1772" s="846"/>
      <c r="U1772" s="982"/>
      <c r="V1772" s="983"/>
      <c r="W1772" s="984"/>
      <c r="X1772" s="985"/>
      <c r="Y1772" s="983"/>
      <c r="Z1772" s="983"/>
      <c r="AA1772" s="983"/>
      <c r="AB1772" s="983"/>
      <c r="AC1772" s="983"/>
      <c r="AD1772" s="983"/>
      <c r="AE1772" s="983"/>
      <c r="AF1772" s="983"/>
    </row>
    <row r="1773" spans="1:32" ht="12" thickBot="1">
      <c r="A1773" s="596" t="s">
        <v>1499</v>
      </c>
      <c r="B1773" s="596" t="s">
        <v>154</v>
      </c>
      <c r="C1773" s="979"/>
      <c r="D1773" s="986"/>
      <c r="E1773" s="980">
        <v>209548841.884619</v>
      </c>
      <c r="F1773" s="981">
        <v>423900</v>
      </c>
      <c r="G1773" s="583">
        <v>1408168.21746464</v>
      </c>
      <c r="H1773" s="981">
        <v>6060152.5073031802</v>
      </c>
      <c r="I1773" s="981"/>
      <c r="J1773" s="981">
        <v>733920.98017007904</v>
      </c>
      <c r="K1773" s="981">
        <v>9663292.9055726212</v>
      </c>
      <c r="L1773" s="981">
        <v>308515.30481820996</v>
      </c>
      <c r="M1773" s="583">
        <v>411141.392621195</v>
      </c>
      <c r="N1773" s="583"/>
      <c r="O1773" s="981">
        <v>898999.91021346895</v>
      </c>
      <c r="P1773" s="981"/>
      <c r="Q1773" s="583"/>
      <c r="R1773" s="583">
        <v>19908091.218163401</v>
      </c>
      <c r="S1773" s="982"/>
      <c r="T1773" s="846"/>
      <c r="U1773" s="982"/>
      <c r="V1773" s="983"/>
      <c r="W1773" s="984"/>
      <c r="X1773" s="985"/>
      <c r="Y1773" s="983"/>
      <c r="Z1773" s="983"/>
      <c r="AA1773" s="983"/>
      <c r="AB1773" s="983"/>
      <c r="AC1773" s="983"/>
      <c r="AD1773" s="983"/>
      <c r="AE1773" s="983"/>
      <c r="AF1773" s="983"/>
    </row>
    <row r="1774" spans="1:32" ht="12" thickBot="1">
      <c r="A1774" s="596" t="s">
        <v>1500</v>
      </c>
      <c r="B1774" s="596" t="s">
        <v>154</v>
      </c>
      <c r="C1774" s="979"/>
      <c r="D1774" s="986"/>
      <c r="E1774" s="980">
        <v>209413424.81336302</v>
      </c>
      <c r="F1774" s="981">
        <v>422999.99999999895</v>
      </c>
      <c r="G1774" s="583">
        <v>1407258.2147458</v>
      </c>
      <c r="H1774" s="981">
        <v>6056236.2456024699</v>
      </c>
      <c r="I1774" s="981"/>
      <c r="J1774" s="981">
        <v>737861.70781813806</v>
      </c>
      <c r="K1774" s="981">
        <v>9715179.1529387627</v>
      </c>
      <c r="L1774" s="981">
        <v>385480.283498879</v>
      </c>
      <c r="M1774" s="583">
        <v>449172.72102619201</v>
      </c>
      <c r="N1774" s="583"/>
      <c r="O1774" s="981">
        <v>886945.91418575204</v>
      </c>
      <c r="P1774" s="981"/>
      <c r="Q1774" s="583"/>
      <c r="R1774" s="583">
        <v>20061134.239816003</v>
      </c>
      <c r="S1774" s="982"/>
      <c r="T1774" s="846"/>
      <c r="U1774" s="982"/>
      <c r="V1774" s="983"/>
      <c r="W1774" s="984"/>
      <c r="X1774" s="985"/>
      <c r="Y1774" s="983"/>
      <c r="Z1774" s="983"/>
      <c r="AA1774" s="983"/>
      <c r="AB1774" s="983"/>
      <c r="AC1774" s="983"/>
      <c r="AD1774" s="983"/>
      <c r="AE1774" s="983"/>
      <c r="AF1774" s="983"/>
    </row>
    <row r="1775" spans="1:32" ht="12" thickBot="1">
      <c r="A1775" s="541" t="s">
        <v>1501</v>
      </c>
      <c r="B1775" s="596" t="s">
        <v>154</v>
      </c>
      <c r="C1775" s="979"/>
      <c r="D1775" s="986"/>
      <c r="E1775" s="980">
        <v>178051435.83113301</v>
      </c>
      <c r="F1775" s="981">
        <v>422100</v>
      </c>
      <c r="G1775" s="583">
        <v>1196505.64878521</v>
      </c>
      <c r="H1775" s="981">
        <v>5149247.5242363801</v>
      </c>
      <c r="I1775" s="981"/>
      <c r="J1775" s="981">
        <v>738878.69143712102</v>
      </c>
      <c r="K1775" s="981">
        <v>9728569.4372553788</v>
      </c>
      <c r="L1775" s="981">
        <v>336255.09054311499</v>
      </c>
      <c r="M1775" s="583">
        <v>74695.432441042503</v>
      </c>
      <c r="N1775" s="583"/>
      <c r="O1775" s="981">
        <v>1014146.90567873</v>
      </c>
      <c r="P1775" s="981"/>
      <c r="Q1775" s="583"/>
      <c r="R1775" s="583">
        <v>18660398.730377</v>
      </c>
      <c r="S1775" s="982"/>
      <c r="T1775" s="846"/>
      <c r="U1775" s="982"/>
      <c r="V1775" s="983"/>
      <c r="W1775" s="984"/>
      <c r="X1775" s="985"/>
      <c r="Y1775" s="983"/>
      <c r="Z1775" s="983"/>
      <c r="AA1775" s="983"/>
      <c r="AB1775" s="983"/>
      <c r="AC1775" s="983"/>
      <c r="AD1775" s="983"/>
      <c r="AE1775" s="983"/>
      <c r="AF1775" s="983"/>
    </row>
    <row r="1776" spans="1:32" ht="12" thickBot="1">
      <c r="A1776" s="541" t="s">
        <v>1502</v>
      </c>
      <c r="B1776" s="596" t="s">
        <v>154</v>
      </c>
      <c r="C1776" s="979"/>
      <c r="D1776" s="986"/>
      <c r="E1776" s="980">
        <v>169242347.34318098</v>
      </c>
      <c r="F1776" s="981">
        <v>421200</v>
      </c>
      <c r="G1776" s="583">
        <v>1137308.5741461799</v>
      </c>
      <c r="H1776" s="981">
        <v>4894488.6851648102</v>
      </c>
      <c r="I1776" s="981"/>
      <c r="J1776" s="981">
        <v>610300.15135369904</v>
      </c>
      <c r="K1776" s="981">
        <v>6848923.9207470706</v>
      </c>
      <c r="L1776" s="981">
        <v>322255.01825699699</v>
      </c>
      <c r="M1776" s="583">
        <v>401161.074271121</v>
      </c>
      <c r="N1776" s="583"/>
      <c r="O1776" s="981">
        <v>1057299.5524344998</v>
      </c>
      <c r="P1776" s="981"/>
      <c r="Q1776" s="583"/>
      <c r="R1776" s="583">
        <v>15692936.9763743</v>
      </c>
      <c r="S1776" s="982"/>
      <c r="T1776" s="846"/>
      <c r="U1776" s="982"/>
      <c r="V1776" s="983"/>
      <c r="W1776" s="984"/>
      <c r="X1776" s="985"/>
      <c r="Y1776" s="983"/>
      <c r="Z1776" s="983"/>
      <c r="AA1776" s="983"/>
      <c r="AB1776" s="983"/>
      <c r="AC1776" s="983"/>
      <c r="AD1776" s="983"/>
      <c r="AE1776" s="983"/>
      <c r="AF1776" s="983"/>
    </row>
    <row r="1777" spans="1:32" ht="12" thickBot="1">
      <c r="A1777" s="596" t="s">
        <v>1503</v>
      </c>
      <c r="B1777" s="596" t="s">
        <v>154</v>
      </c>
      <c r="C1777" s="979"/>
      <c r="D1777" s="986"/>
      <c r="E1777" s="980">
        <v>160821919.58614102</v>
      </c>
      <c r="F1777" s="981">
        <v>420300</v>
      </c>
      <c r="G1777" s="583">
        <v>1080723.29961886</v>
      </c>
      <c r="H1777" s="981">
        <v>4650969.9144311994</v>
      </c>
      <c r="I1777" s="981"/>
      <c r="J1777" s="981">
        <v>549027.63024297205</v>
      </c>
      <c r="K1777" s="981">
        <v>6161310.0727266883</v>
      </c>
      <c r="L1777" s="981">
        <v>302766.73176381597</v>
      </c>
      <c r="M1777" s="583">
        <v>521548.06971040706</v>
      </c>
      <c r="N1777" s="583"/>
      <c r="O1777" s="981">
        <v>972310.820614164</v>
      </c>
      <c r="P1777" s="981"/>
      <c r="Q1777" s="583"/>
      <c r="R1777" s="583">
        <v>14658956.539108099</v>
      </c>
      <c r="S1777" s="982"/>
      <c r="T1777" s="846"/>
      <c r="U1777" s="982"/>
      <c r="V1777" s="983"/>
      <c r="W1777" s="984"/>
      <c r="X1777" s="985"/>
      <c r="Y1777" s="983"/>
      <c r="Z1777" s="983"/>
      <c r="AA1777" s="983"/>
      <c r="AB1777" s="983"/>
      <c r="AC1777" s="983"/>
      <c r="AD1777" s="983"/>
      <c r="AE1777" s="983"/>
      <c r="AF1777" s="983"/>
    </row>
    <row r="1778" spans="1:32" ht="12" thickBot="1">
      <c r="A1778" s="596" t="s">
        <v>1504</v>
      </c>
      <c r="B1778" s="596" t="s">
        <v>154</v>
      </c>
      <c r="C1778" s="979"/>
      <c r="D1778" s="986"/>
      <c r="E1778" s="980">
        <v>177385987.13143602</v>
      </c>
      <c r="F1778" s="981">
        <v>419400</v>
      </c>
      <c r="G1778" s="583">
        <v>1192033.83352325</v>
      </c>
      <c r="H1778" s="981">
        <v>5130002.7478411207</v>
      </c>
      <c r="I1778" s="981"/>
      <c r="J1778" s="981">
        <v>591954.81777204503</v>
      </c>
      <c r="K1778" s="981">
        <v>6643048.5105529455</v>
      </c>
      <c r="L1778" s="981">
        <v>280058.7414765</v>
      </c>
      <c r="M1778" s="583">
        <v>417807.255064453</v>
      </c>
      <c r="N1778" s="583"/>
      <c r="O1778" s="981">
        <v>896335.91204072197</v>
      </c>
      <c r="P1778" s="981"/>
      <c r="Q1778" s="583"/>
      <c r="R1778" s="583">
        <v>15570641.818271</v>
      </c>
      <c r="S1778" s="982"/>
      <c r="T1778" s="846"/>
      <c r="U1778" s="982"/>
      <c r="V1778" s="983"/>
      <c r="W1778" s="984"/>
      <c r="X1778" s="985"/>
      <c r="Y1778" s="983"/>
      <c r="Z1778" s="983"/>
      <c r="AA1778" s="983"/>
      <c r="AB1778" s="983"/>
      <c r="AC1778" s="983"/>
      <c r="AD1778" s="983"/>
      <c r="AE1778" s="983"/>
      <c r="AF1778" s="983"/>
    </row>
    <row r="1779" spans="1:32" ht="12" thickBot="1">
      <c r="A1779" s="596" t="s">
        <v>1505</v>
      </c>
      <c r="B1779" s="596" t="s">
        <v>154</v>
      </c>
      <c r="C1779" s="979"/>
      <c r="D1779" s="986"/>
      <c r="E1779" s="980">
        <v>174767460.48924002</v>
      </c>
      <c r="F1779" s="981">
        <v>418500</v>
      </c>
      <c r="G1779" s="583">
        <v>1174437.3344876899</v>
      </c>
      <c r="H1779" s="981">
        <v>5054274.9573488301</v>
      </c>
      <c r="I1779" s="981"/>
      <c r="J1779" s="981">
        <v>613797.93525420199</v>
      </c>
      <c r="K1779" s="981">
        <v>6888176.828963818</v>
      </c>
      <c r="L1779" s="981">
        <v>144552.69104860601</v>
      </c>
      <c r="M1779" s="583">
        <v>553464.79093618994</v>
      </c>
      <c r="N1779" s="583"/>
      <c r="O1779" s="981">
        <v>802481.06915886106</v>
      </c>
      <c r="P1779" s="981"/>
      <c r="Q1779" s="583"/>
      <c r="R1779" s="583">
        <v>15649685.607198199</v>
      </c>
      <c r="S1779" s="982"/>
      <c r="T1779" s="846"/>
      <c r="U1779" s="982"/>
      <c r="V1779" s="983"/>
      <c r="W1779" s="984"/>
      <c r="X1779" s="985"/>
      <c r="Y1779" s="983"/>
      <c r="Z1779" s="983"/>
      <c r="AA1779" s="983"/>
      <c r="AB1779" s="983"/>
      <c r="AC1779" s="983"/>
      <c r="AD1779" s="983"/>
      <c r="AE1779" s="983"/>
      <c r="AF1779" s="983"/>
    </row>
    <row r="1780" spans="1:32" ht="12" thickBot="1">
      <c r="A1780" s="596" t="s">
        <v>1506</v>
      </c>
      <c r="B1780" s="596" t="s">
        <v>154</v>
      </c>
      <c r="C1780" s="979"/>
      <c r="D1780" s="986"/>
      <c r="E1780" s="980">
        <v>153360985.72579899</v>
      </c>
      <c r="F1780" s="981">
        <v>417600</v>
      </c>
      <c r="G1780" s="583">
        <v>1030585.82407736</v>
      </c>
      <c r="H1780" s="981">
        <v>4435199.7071900992</v>
      </c>
      <c r="I1780" s="981"/>
      <c r="J1780" s="981">
        <v>569124.50231487502</v>
      </c>
      <c r="K1780" s="981">
        <v>6386841.6370891556</v>
      </c>
      <c r="L1780" s="981">
        <v>147146.286545877</v>
      </c>
      <c r="M1780" s="583">
        <v>659542.4550153719</v>
      </c>
      <c r="N1780" s="583"/>
      <c r="O1780" s="981">
        <v>831997.63537487003</v>
      </c>
      <c r="P1780" s="981"/>
      <c r="Q1780" s="583"/>
      <c r="R1780" s="583">
        <v>14478038.047607601</v>
      </c>
      <c r="S1780" s="982"/>
      <c r="T1780" s="846"/>
      <c r="U1780" s="982"/>
      <c r="V1780" s="983"/>
      <c r="W1780" s="984"/>
      <c r="X1780" s="985"/>
      <c r="Y1780" s="983"/>
      <c r="Z1780" s="983"/>
      <c r="AA1780" s="983"/>
      <c r="AB1780" s="983"/>
      <c r="AC1780" s="983"/>
      <c r="AD1780" s="983"/>
      <c r="AE1780" s="983"/>
      <c r="AF1780" s="983"/>
    </row>
    <row r="1781" spans="1:32" ht="12" thickBot="1">
      <c r="A1781" s="596" t="s">
        <v>1507</v>
      </c>
      <c r="B1781" s="596" t="s">
        <v>154</v>
      </c>
      <c r="C1781" s="979"/>
      <c r="D1781" s="986"/>
      <c r="E1781" s="980">
        <v>154898629.74974599</v>
      </c>
      <c r="F1781" s="981">
        <v>416700</v>
      </c>
      <c r="G1781" s="583">
        <v>1040918.7919182901</v>
      </c>
      <c r="H1781" s="981">
        <v>4479668.3723626602</v>
      </c>
      <c r="I1781" s="981"/>
      <c r="J1781" s="981">
        <v>561507.31383849203</v>
      </c>
      <c r="K1781" s="981">
        <v>6301359.8552986383</v>
      </c>
      <c r="L1781" s="981">
        <v>190344.135442842</v>
      </c>
      <c r="M1781" s="583">
        <v>376869.02159620001</v>
      </c>
      <c r="N1781" s="583"/>
      <c r="O1781" s="981">
        <v>892680.61390333693</v>
      </c>
      <c r="P1781" s="981"/>
      <c r="Q1781" s="583"/>
      <c r="R1781" s="583">
        <v>14260048.1043604</v>
      </c>
      <c r="S1781" s="982"/>
      <c r="T1781" s="846"/>
      <c r="U1781" s="982"/>
      <c r="V1781" s="983"/>
      <c r="W1781" s="984"/>
      <c r="X1781" s="985"/>
      <c r="Y1781" s="983"/>
      <c r="Z1781" s="983"/>
      <c r="AA1781" s="983"/>
      <c r="AB1781" s="983"/>
      <c r="AC1781" s="983"/>
      <c r="AD1781" s="983"/>
      <c r="AE1781" s="983"/>
      <c r="AF1781" s="983"/>
    </row>
    <row r="1782" spans="1:32" ht="12" thickBot="1">
      <c r="A1782" s="596" t="s">
        <v>1508</v>
      </c>
      <c r="B1782" s="596" t="s">
        <v>154</v>
      </c>
      <c r="C1782" s="979"/>
      <c r="D1782" s="986"/>
      <c r="E1782" s="980">
        <v>148653380.77598199</v>
      </c>
      <c r="F1782" s="981">
        <v>415800</v>
      </c>
      <c r="G1782" s="583">
        <v>998950.71881460294</v>
      </c>
      <c r="H1782" s="981">
        <v>4299055.7720414102</v>
      </c>
      <c r="I1782" s="981"/>
      <c r="J1782" s="981">
        <v>569764.21828223497</v>
      </c>
      <c r="K1782" s="981">
        <v>6394020.6718339752</v>
      </c>
      <c r="L1782" s="981">
        <v>194840.59145519399</v>
      </c>
      <c r="M1782" s="583">
        <v>576096.21947002201</v>
      </c>
      <c r="N1782" s="583"/>
      <c r="O1782" s="981">
        <v>1115424.8014737</v>
      </c>
      <c r="P1782" s="981"/>
      <c r="Q1782" s="583"/>
      <c r="R1782" s="583">
        <v>14563952.993371099</v>
      </c>
      <c r="S1782" s="982"/>
      <c r="T1782" s="846"/>
      <c r="U1782" s="982"/>
      <c r="V1782" s="983"/>
      <c r="W1782" s="984"/>
      <c r="X1782" s="985"/>
      <c r="Y1782" s="983"/>
      <c r="Z1782" s="983"/>
      <c r="AA1782" s="983"/>
      <c r="AB1782" s="983"/>
      <c r="AC1782" s="983"/>
      <c r="AD1782" s="983"/>
      <c r="AE1782" s="983"/>
      <c r="AF1782" s="983"/>
    </row>
    <row r="1783" spans="1:32" ht="12" thickBot="1">
      <c r="A1783" s="596" t="s">
        <v>1509</v>
      </c>
      <c r="B1783" s="596" t="s">
        <v>154</v>
      </c>
      <c r="C1783" s="979"/>
      <c r="D1783" s="986"/>
      <c r="E1783" s="980">
        <v>175977352.770872</v>
      </c>
      <c r="F1783" s="981">
        <v>415350</v>
      </c>
      <c r="G1783" s="583">
        <v>1182567.81062026</v>
      </c>
      <c r="H1783" s="981">
        <v>5089265.0421336303</v>
      </c>
      <c r="I1783" s="981"/>
      <c r="J1783" s="981">
        <v>593299.83810669999</v>
      </c>
      <c r="K1783" s="981">
        <v>7811781.2017382188</v>
      </c>
      <c r="L1783" s="981">
        <v>321803.72503648303</v>
      </c>
      <c r="M1783" s="583">
        <v>158810.35813034698</v>
      </c>
      <c r="N1783" s="583"/>
      <c r="O1783" s="981">
        <v>1193515.2868627398</v>
      </c>
      <c r="P1783" s="981"/>
      <c r="Q1783" s="981"/>
      <c r="R1783" s="583">
        <v>16766393.262628298</v>
      </c>
      <c r="S1783" s="982"/>
      <c r="T1783" s="846"/>
      <c r="U1783" s="982"/>
      <c r="V1783" s="983"/>
      <c r="W1783" s="984"/>
      <c r="X1783" s="985"/>
      <c r="Y1783" s="983"/>
      <c r="Z1783" s="983"/>
      <c r="AA1783" s="983"/>
      <c r="AB1783" s="983"/>
      <c r="AC1783" s="983"/>
      <c r="AD1783" s="983"/>
      <c r="AE1783" s="983"/>
      <c r="AF1783" s="983"/>
    </row>
    <row r="1784" spans="1:32" ht="12" thickBot="1">
      <c r="A1784" s="596" t="s">
        <v>1510</v>
      </c>
      <c r="B1784" s="596" t="s">
        <v>154</v>
      </c>
      <c r="C1784" s="979"/>
      <c r="D1784" s="986"/>
      <c r="E1784" s="980">
        <v>197280181.39884803</v>
      </c>
      <c r="F1784" s="981">
        <v>414900</v>
      </c>
      <c r="G1784" s="583">
        <v>1325722.81900026</v>
      </c>
      <c r="H1784" s="981">
        <v>5705342.8460547002</v>
      </c>
      <c r="I1784" s="981"/>
      <c r="J1784" s="981">
        <v>666057.53917794197</v>
      </c>
      <c r="K1784" s="981">
        <v>8769757.5991762392</v>
      </c>
      <c r="L1784" s="981">
        <v>283387.89994535397</v>
      </c>
      <c r="M1784" s="583">
        <v>407171.942923825</v>
      </c>
      <c r="N1784" s="583"/>
      <c r="O1784" s="981">
        <v>1165106.4229351901</v>
      </c>
      <c r="P1784" s="981"/>
      <c r="Q1784" s="583"/>
      <c r="R1784" s="583">
        <v>18737447.069213498</v>
      </c>
      <c r="S1784" s="982"/>
      <c r="T1784" s="846"/>
      <c r="U1784" s="982"/>
      <c r="V1784" s="983"/>
      <c r="W1784" s="984"/>
      <c r="X1784" s="985"/>
      <c r="Y1784" s="983"/>
      <c r="Z1784" s="983"/>
      <c r="AA1784" s="983"/>
      <c r="AB1784" s="983"/>
      <c r="AC1784" s="983"/>
      <c r="AD1784" s="983"/>
      <c r="AE1784" s="983"/>
      <c r="AF1784" s="983"/>
    </row>
    <row r="1785" spans="1:32" ht="12" thickBot="1">
      <c r="A1785" s="979"/>
      <c r="B1785" s="979"/>
      <c r="C1785" s="979"/>
      <c r="D1785" s="986"/>
      <c r="E1785" s="980"/>
      <c r="F1785" s="981"/>
      <c r="G1785" s="583"/>
      <c r="H1785" s="981"/>
      <c r="I1785" s="981"/>
      <c r="J1785" s="981"/>
      <c r="K1785" s="981"/>
      <c r="L1785" s="981"/>
      <c r="M1785" s="583"/>
      <c r="N1785" s="583"/>
      <c r="O1785" s="981"/>
      <c r="P1785" s="981"/>
      <c r="Q1785" s="583"/>
      <c r="R1785" s="583"/>
      <c r="S1785" s="982"/>
      <c r="T1785" s="846"/>
      <c r="U1785" s="982"/>
      <c r="V1785" s="983"/>
      <c r="W1785" s="984"/>
      <c r="X1785" s="985"/>
      <c r="Y1785" s="983"/>
      <c r="Z1785" s="983"/>
      <c r="AA1785" s="983"/>
      <c r="AB1785" s="983"/>
      <c r="AC1785" s="983"/>
      <c r="AD1785" s="983"/>
      <c r="AE1785" s="983"/>
      <c r="AF1785" s="983"/>
    </row>
    <row r="1786" spans="1:32" ht="12" thickBot="1">
      <c r="A1786" s="596" t="s">
        <v>1499</v>
      </c>
      <c r="B1786" s="596" t="s">
        <v>174</v>
      </c>
      <c r="C1786" s="979"/>
      <c r="D1786" s="986"/>
      <c r="E1786" s="980">
        <v>564336687.39701009</v>
      </c>
      <c r="F1786" s="981">
        <v>4615148.3940676395</v>
      </c>
      <c r="G1786" s="583">
        <v>25603955.50720232</v>
      </c>
      <c r="H1786" s="981">
        <v>16320616.999521501</v>
      </c>
      <c r="I1786" s="981">
        <v>1777660.5653005799</v>
      </c>
      <c r="J1786" s="981"/>
      <c r="K1786" s="981"/>
      <c r="L1786" s="981">
        <v>830863.59994417708</v>
      </c>
      <c r="M1786" s="583">
        <v>1107246.2604751298</v>
      </c>
      <c r="N1786" s="583">
        <v>2421099.6669665603</v>
      </c>
      <c r="O1786" s="981"/>
      <c r="P1786" s="981"/>
      <c r="Q1786" s="583"/>
      <c r="R1786" s="583">
        <v>52676590.993478</v>
      </c>
      <c r="S1786" s="982"/>
      <c r="T1786" s="846"/>
      <c r="U1786" s="982"/>
      <c r="V1786" s="983"/>
      <c r="W1786" s="984"/>
      <c r="X1786" s="985"/>
      <c r="Y1786" s="983"/>
      <c r="Z1786" s="983"/>
      <c r="AA1786" s="983"/>
      <c r="AB1786" s="983"/>
      <c r="AC1786" s="983"/>
      <c r="AD1786" s="983"/>
      <c r="AE1786" s="983"/>
      <c r="AF1786" s="983"/>
    </row>
    <row r="1787" spans="1:32" ht="12" thickBot="1">
      <c r="A1787" s="596" t="s">
        <v>1500</v>
      </c>
      <c r="B1787" s="596" t="s">
        <v>174</v>
      </c>
      <c r="C1787" s="979"/>
      <c r="D1787" s="986"/>
      <c r="E1787" s="980">
        <v>576729203.00572801</v>
      </c>
      <c r="F1787" s="981">
        <v>4617209.6882930296</v>
      </c>
      <c r="G1787" s="583">
        <v>26166203.940369859</v>
      </c>
      <c r="H1787" s="981">
        <v>16679008.550925599</v>
      </c>
      <c r="I1787" s="981">
        <v>1816696.9894680402</v>
      </c>
      <c r="J1787" s="981"/>
      <c r="K1787" s="981"/>
      <c r="L1787" s="981">
        <v>1061621.2254532699</v>
      </c>
      <c r="M1787" s="583">
        <v>1237031.6069288498</v>
      </c>
      <c r="N1787" s="583">
        <v>2442668.6620183401</v>
      </c>
      <c r="O1787" s="981"/>
      <c r="P1787" s="981"/>
      <c r="Q1787" s="583"/>
      <c r="R1787" s="583">
        <v>54020440.663457096</v>
      </c>
      <c r="S1787" s="982"/>
      <c r="T1787" s="846"/>
      <c r="U1787" s="982"/>
      <c r="V1787" s="983"/>
      <c r="W1787" s="984"/>
      <c r="X1787" s="985"/>
      <c r="Y1787" s="983"/>
      <c r="Z1787" s="983"/>
      <c r="AA1787" s="983"/>
      <c r="AB1787" s="983"/>
      <c r="AC1787" s="983"/>
      <c r="AD1787" s="983"/>
      <c r="AE1787" s="983"/>
      <c r="AF1787" s="983"/>
    </row>
    <row r="1788" spans="1:32" ht="12" thickBot="1">
      <c r="A1788" s="541" t="s">
        <v>1501</v>
      </c>
      <c r="B1788" s="596" t="s">
        <v>174</v>
      </c>
      <c r="C1788" s="979"/>
      <c r="D1788" s="986"/>
      <c r="E1788" s="980">
        <v>450435840.11688101</v>
      </c>
      <c r="F1788" s="981">
        <v>4619270.9803684205</v>
      </c>
      <c r="G1788" s="583">
        <v>20436274.066102829</v>
      </c>
      <c r="H1788" s="981">
        <v>13026604.496180199</v>
      </c>
      <c r="I1788" s="981">
        <v>1418872.8963681699</v>
      </c>
      <c r="J1788" s="981"/>
      <c r="K1788" s="981"/>
      <c r="L1788" s="981">
        <v>850660.61666593002</v>
      </c>
      <c r="M1788" s="583">
        <v>188965.05780714098</v>
      </c>
      <c r="N1788" s="583">
        <v>2565596.3476451798</v>
      </c>
      <c r="O1788" s="981"/>
      <c r="P1788" s="981"/>
      <c r="Q1788" s="583"/>
      <c r="R1788" s="583">
        <v>43106244.461137995</v>
      </c>
      <c r="S1788" s="982"/>
      <c r="T1788" s="846"/>
      <c r="U1788" s="982"/>
      <c r="V1788" s="983"/>
      <c r="W1788" s="984"/>
      <c r="X1788" s="985"/>
      <c r="Y1788" s="983"/>
      <c r="Z1788" s="983"/>
      <c r="AA1788" s="983"/>
      <c r="AB1788" s="983"/>
      <c r="AC1788" s="983"/>
      <c r="AD1788" s="983"/>
      <c r="AE1788" s="983"/>
      <c r="AF1788" s="983"/>
    </row>
    <row r="1789" spans="1:32" ht="12" thickBot="1">
      <c r="A1789" s="541" t="s">
        <v>1502</v>
      </c>
      <c r="B1789" s="596" t="s">
        <v>174</v>
      </c>
      <c r="C1789" s="979"/>
      <c r="D1789" s="986"/>
      <c r="E1789" s="980">
        <v>372875402.86231697</v>
      </c>
      <c r="F1789" s="981">
        <v>4621332.2724438105</v>
      </c>
      <c r="G1789" s="583">
        <v>16917357.027863301</v>
      </c>
      <c r="H1789" s="981">
        <v>10783556.6507782</v>
      </c>
      <c r="I1789" s="981">
        <v>1174557.5190162999</v>
      </c>
      <c r="J1789" s="981"/>
      <c r="K1789" s="981"/>
      <c r="L1789" s="981">
        <v>709993.51901758206</v>
      </c>
      <c r="M1789" s="583">
        <v>883839.65083045699</v>
      </c>
      <c r="N1789" s="583">
        <v>2329446.51707495</v>
      </c>
      <c r="O1789" s="981"/>
      <c r="P1789" s="981"/>
      <c r="Q1789" s="583"/>
      <c r="R1789" s="583">
        <v>37420083.1570246</v>
      </c>
      <c r="S1789" s="982"/>
      <c r="T1789" s="846"/>
      <c r="U1789" s="982"/>
      <c r="V1789" s="983"/>
      <c r="W1789" s="984"/>
      <c r="X1789" s="985"/>
      <c r="Y1789" s="983"/>
      <c r="Z1789" s="983"/>
      <c r="AA1789" s="983"/>
      <c r="AB1789" s="983"/>
      <c r="AC1789" s="983"/>
      <c r="AD1789" s="983"/>
      <c r="AE1789" s="983"/>
      <c r="AF1789" s="983"/>
    </row>
    <row r="1790" spans="1:32" ht="12" thickBot="1">
      <c r="A1790" s="596" t="s">
        <v>1503</v>
      </c>
      <c r="B1790" s="596" t="s">
        <v>174</v>
      </c>
      <c r="C1790" s="979"/>
      <c r="D1790" s="986"/>
      <c r="E1790" s="980">
        <v>425779172.29953504</v>
      </c>
      <c r="F1790" s="981">
        <v>4623393.5655941898</v>
      </c>
      <c r="G1790" s="583">
        <v>19317601.047229871</v>
      </c>
      <c r="H1790" s="981">
        <v>12313533.6629025</v>
      </c>
      <c r="I1790" s="981">
        <v>1341204.39274353</v>
      </c>
      <c r="J1790" s="981"/>
      <c r="K1790" s="981"/>
      <c r="L1790" s="981">
        <v>801580.83414235292</v>
      </c>
      <c r="M1790" s="583">
        <v>1380808.6982618899</v>
      </c>
      <c r="N1790" s="583">
        <v>2574211.8828350101</v>
      </c>
      <c r="O1790" s="981"/>
      <c r="P1790" s="981"/>
      <c r="Q1790" s="583"/>
      <c r="R1790" s="583">
        <v>42352334.083709404</v>
      </c>
      <c r="S1790" s="982"/>
      <c r="T1790" s="846"/>
      <c r="U1790" s="982"/>
      <c r="V1790" s="983"/>
      <c r="W1790" s="984"/>
      <c r="X1790" s="985"/>
      <c r="Y1790" s="983"/>
      <c r="Z1790" s="983"/>
      <c r="AA1790" s="983"/>
      <c r="AB1790" s="983"/>
      <c r="AC1790" s="983"/>
      <c r="AD1790" s="983"/>
      <c r="AE1790" s="983"/>
      <c r="AF1790" s="983"/>
    </row>
    <row r="1791" spans="1:32" ht="12" thickBot="1">
      <c r="A1791" s="596" t="s">
        <v>1504</v>
      </c>
      <c r="B1791" s="596" t="s">
        <v>174</v>
      </c>
      <c r="C1791" s="979"/>
      <c r="D1791" s="986"/>
      <c r="E1791" s="980">
        <v>619549833.63585305</v>
      </c>
      <c r="F1791" s="981">
        <v>4625454.8587445794</v>
      </c>
      <c r="G1791" s="583">
        <v>28108975.952058669</v>
      </c>
      <c r="H1791" s="981">
        <v>17917381.188748799</v>
      </c>
      <c r="I1791" s="981">
        <v>1951581.97595293</v>
      </c>
      <c r="J1791" s="981"/>
      <c r="K1791" s="981"/>
      <c r="L1791" s="981">
        <v>978151.37202166999</v>
      </c>
      <c r="M1791" s="583">
        <v>1459260.7880307601</v>
      </c>
      <c r="N1791" s="583">
        <v>3130601.0929442602</v>
      </c>
      <c r="O1791" s="981"/>
      <c r="P1791" s="981"/>
      <c r="Q1791" s="583"/>
      <c r="R1791" s="583">
        <v>58171407.2285017</v>
      </c>
      <c r="S1791" s="982"/>
      <c r="T1791" s="846"/>
      <c r="U1791" s="982"/>
      <c r="V1791" s="983"/>
      <c r="W1791" s="984"/>
      <c r="X1791" s="985"/>
      <c r="Y1791" s="983"/>
      <c r="Z1791" s="983"/>
      <c r="AA1791" s="983"/>
      <c r="AB1791" s="983"/>
      <c r="AC1791" s="983"/>
      <c r="AD1791" s="983"/>
      <c r="AE1791" s="983"/>
      <c r="AF1791" s="983"/>
    </row>
    <row r="1792" spans="1:32" ht="12" thickBot="1">
      <c r="A1792" s="596" t="s">
        <v>1505</v>
      </c>
      <c r="B1792" s="596" t="s">
        <v>174</v>
      </c>
      <c r="C1792" s="979"/>
      <c r="D1792" s="986"/>
      <c r="E1792" s="980">
        <v>742967901.42267692</v>
      </c>
      <c r="F1792" s="981">
        <v>4625457.6064445805</v>
      </c>
      <c r="G1792" s="583">
        <v>33708453.687546872</v>
      </c>
      <c r="H1792" s="981">
        <v>21486631.709143799</v>
      </c>
      <c r="I1792" s="981">
        <v>2340348.8894814299</v>
      </c>
      <c r="J1792" s="981"/>
      <c r="K1792" s="981"/>
      <c r="L1792" s="981">
        <v>614519.48327644006</v>
      </c>
      <c r="M1792" s="583">
        <v>2352878.35093603</v>
      </c>
      <c r="N1792" s="583">
        <v>3411491.3280501203</v>
      </c>
      <c r="O1792" s="981"/>
      <c r="P1792" s="981"/>
      <c r="Q1792" s="583"/>
      <c r="R1792" s="583">
        <v>68539781.054879308</v>
      </c>
      <c r="S1792" s="982"/>
      <c r="T1792" s="846"/>
      <c r="U1792" s="982"/>
      <c r="V1792" s="983"/>
      <c r="W1792" s="984"/>
      <c r="X1792" s="985"/>
      <c r="Y1792" s="983"/>
      <c r="Z1792" s="983"/>
      <c r="AA1792" s="983"/>
      <c r="AB1792" s="983"/>
      <c r="AC1792" s="983"/>
      <c r="AD1792" s="983"/>
      <c r="AE1792" s="983"/>
      <c r="AF1792" s="983"/>
    </row>
    <row r="1793" spans="1:32" ht="12" thickBot="1">
      <c r="A1793" s="596" t="s">
        <v>1506</v>
      </c>
      <c r="B1793" s="596" t="s">
        <v>174</v>
      </c>
      <c r="C1793" s="979"/>
      <c r="D1793" s="986"/>
      <c r="E1793" s="980">
        <v>640541923.45062101</v>
      </c>
      <c r="F1793" s="981">
        <v>4627416.85521995</v>
      </c>
      <c r="G1793" s="583">
        <v>29061387.06695465</v>
      </c>
      <c r="H1793" s="981">
        <v>18524472.4261919</v>
      </c>
      <c r="I1793" s="981">
        <v>2017707.0588694501</v>
      </c>
      <c r="J1793" s="981"/>
      <c r="K1793" s="981"/>
      <c r="L1793" s="981">
        <v>614585.02608500503</v>
      </c>
      <c r="M1793" s="583">
        <v>2754707.07711956</v>
      </c>
      <c r="N1793" s="583">
        <v>3474999.61054134</v>
      </c>
      <c r="O1793" s="981"/>
      <c r="P1793" s="981"/>
      <c r="Q1793" s="583"/>
      <c r="R1793" s="583">
        <v>61075275.120981902</v>
      </c>
      <c r="S1793" s="982"/>
      <c r="T1793" s="846"/>
      <c r="U1793" s="982"/>
      <c r="V1793" s="983"/>
      <c r="W1793" s="984"/>
      <c r="X1793" s="985"/>
      <c r="Y1793" s="983"/>
      <c r="Z1793" s="983"/>
      <c r="AA1793" s="983"/>
      <c r="AB1793" s="983"/>
      <c r="AC1793" s="983"/>
      <c r="AD1793" s="983"/>
      <c r="AE1793" s="983"/>
      <c r="AF1793" s="983"/>
    </row>
    <row r="1794" spans="1:32" ht="12" thickBot="1">
      <c r="A1794" s="596" t="s">
        <v>1507</v>
      </c>
      <c r="B1794" s="596" t="s">
        <v>174</v>
      </c>
      <c r="C1794" s="979"/>
      <c r="D1794" s="986"/>
      <c r="E1794" s="980">
        <v>556780634.99169505</v>
      </c>
      <c r="F1794" s="981">
        <v>4633289.1029210491</v>
      </c>
      <c r="G1794" s="583">
        <v>25261137.409573171</v>
      </c>
      <c r="H1794" s="981">
        <v>16102095.9639598</v>
      </c>
      <c r="I1794" s="981">
        <v>1753859.0002238299</v>
      </c>
      <c r="J1794" s="981"/>
      <c r="K1794" s="981"/>
      <c r="L1794" s="981">
        <v>684188.93549950595</v>
      </c>
      <c r="M1794" s="583">
        <v>1354649.6408137099</v>
      </c>
      <c r="N1794" s="583">
        <v>3208726.11886155</v>
      </c>
      <c r="O1794" s="981"/>
      <c r="P1794" s="981"/>
      <c r="Q1794" s="583"/>
      <c r="R1794" s="583">
        <v>52997946.1718527</v>
      </c>
      <c r="S1794" s="982"/>
      <c r="T1794" s="846"/>
      <c r="U1794" s="982"/>
      <c r="V1794" s="983"/>
      <c r="W1794" s="984"/>
      <c r="X1794" s="985"/>
      <c r="Y1794" s="983"/>
      <c r="Z1794" s="983"/>
      <c r="AA1794" s="983"/>
      <c r="AB1794" s="983"/>
      <c r="AC1794" s="983"/>
      <c r="AD1794" s="983"/>
      <c r="AE1794" s="983"/>
      <c r="AF1794" s="983"/>
    </row>
    <row r="1795" spans="1:32" ht="12" thickBot="1">
      <c r="A1795" s="596" t="s">
        <v>1508</v>
      </c>
      <c r="B1795" s="596" t="s">
        <v>174</v>
      </c>
      <c r="C1795" s="979"/>
      <c r="D1795" s="986"/>
      <c r="E1795" s="980">
        <v>411416354.389431</v>
      </c>
      <c r="F1795" s="981">
        <v>4635248.35062142</v>
      </c>
      <c r="G1795" s="583">
        <v>18665959.998648502</v>
      </c>
      <c r="H1795" s="981">
        <v>11898160.968942299</v>
      </c>
      <c r="I1795" s="981">
        <v>1295961.5163266999</v>
      </c>
      <c r="J1795" s="981"/>
      <c r="K1795" s="981"/>
      <c r="L1795" s="981">
        <v>539245.09086259606</v>
      </c>
      <c r="M1795" s="583">
        <v>1594416.52221194</v>
      </c>
      <c r="N1795" s="583">
        <v>3087074.1252055699</v>
      </c>
      <c r="O1795" s="981"/>
      <c r="P1795" s="981"/>
      <c r="Q1795" s="583"/>
      <c r="R1795" s="583">
        <v>41716066.572819099</v>
      </c>
      <c r="S1795" s="982"/>
      <c r="T1795" s="846"/>
      <c r="U1795" s="982"/>
      <c r="V1795" s="983"/>
      <c r="W1795" s="984"/>
      <c r="X1795" s="985"/>
      <c r="Y1795" s="983"/>
      <c r="Z1795" s="983"/>
      <c r="AA1795" s="983"/>
      <c r="AB1795" s="983"/>
      <c r="AC1795" s="983"/>
      <c r="AD1795" s="983"/>
      <c r="AE1795" s="983"/>
      <c r="AF1795" s="983"/>
    </row>
    <row r="1796" spans="1:32" ht="12" thickBot="1">
      <c r="A1796" s="596" t="s">
        <v>1509</v>
      </c>
      <c r="B1796" s="596" t="s">
        <v>174</v>
      </c>
      <c r="C1796" s="979"/>
      <c r="D1796" s="986"/>
      <c r="E1796" s="980">
        <v>369801140.96015501</v>
      </c>
      <c r="F1796" s="981">
        <v>4635251.0993964197</v>
      </c>
      <c r="G1796" s="583">
        <v>16777877.765362222</v>
      </c>
      <c r="H1796" s="981">
        <v>10694648.996567599</v>
      </c>
      <c r="I1796" s="981">
        <v>1164873.5940244801</v>
      </c>
      <c r="J1796" s="981"/>
      <c r="K1796" s="981"/>
      <c r="L1796" s="981">
        <v>676242.611960785</v>
      </c>
      <c r="M1796" s="583">
        <v>333726.19094548497</v>
      </c>
      <c r="N1796" s="583">
        <v>2508068.83889142</v>
      </c>
      <c r="O1796" s="981"/>
      <c r="P1796" s="981"/>
      <c r="Q1796" s="583"/>
      <c r="R1796" s="583">
        <v>36790689.0971485</v>
      </c>
      <c r="S1796" s="982"/>
      <c r="T1796" s="846"/>
      <c r="U1796" s="982"/>
      <c r="V1796" s="983"/>
      <c r="W1796" s="984"/>
      <c r="X1796" s="985"/>
      <c r="Y1796" s="983"/>
      <c r="Z1796" s="983"/>
      <c r="AA1796" s="983"/>
      <c r="AB1796" s="983"/>
      <c r="AC1796" s="983"/>
      <c r="AD1796" s="983"/>
      <c r="AE1796" s="983"/>
      <c r="AF1796" s="983"/>
    </row>
    <row r="1797" spans="1:32" ht="12" thickBot="1">
      <c r="A1797" s="596" t="s">
        <v>1510</v>
      </c>
      <c r="B1797" s="596" t="s">
        <v>174</v>
      </c>
      <c r="C1797" s="979"/>
      <c r="D1797" s="986"/>
      <c r="E1797" s="980">
        <v>466274257.528023</v>
      </c>
      <c r="F1797" s="981">
        <v>4637210.3470967906</v>
      </c>
      <c r="G1797" s="583">
        <v>21154863.064046428</v>
      </c>
      <c r="H1797" s="981">
        <v>13484651.527710401</v>
      </c>
      <c r="I1797" s="981">
        <v>1468763.9112132699</v>
      </c>
      <c r="J1797" s="981"/>
      <c r="K1797" s="981"/>
      <c r="L1797" s="981">
        <v>669790.962794689</v>
      </c>
      <c r="M1797" s="583">
        <v>962356.14762141299</v>
      </c>
      <c r="N1797" s="583">
        <v>2753744.0833801301</v>
      </c>
      <c r="O1797" s="981"/>
      <c r="P1797" s="981"/>
      <c r="Q1797" s="583"/>
      <c r="R1797" s="583">
        <v>45131380.043863103</v>
      </c>
      <c r="S1797" s="982"/>
      <c r="T1797" s="846"/>
      <c r="U1797" s="982"/>
      <c r="V1797" s="983"/>
      <c r="W1797" s="984"/>
      <c r="X1797" s="985"/>
      <c r="Y1797" s="983"/>
      <c r="Z1797" s="983"/>
      <c r="AA1797" s="983"/>
      <c r="AB1797" s="983"/>
      <c r="AC1797" s="983"/>
      <c r="AD1797" s="983"/>
      <c r="AE1797" s="983"/>
      <c r="AF1797" s="983"/>
    </row>
    <row r="1798" spans="1:32" ht="12" thickBot="1">
      <c r="A1798" s="979"/>
      <c r="B1798" s="979"/>
      <c r="C1798" s="979"/>
      <c r="D1798" s="986"/>
      <c r="E1798" s="980"/>
      <c r="F1798" s="981"/>
      <c r="G1798" s="583"/>
      <c r="H1798" s="981"/>
      <c r="I1798" s="981"/>
      <c r="J1798" s="981"/>
      <c r="K1798" s="981"/>
      <c r="L1798" s="981"/>
      <c r="M1798" s="583"/>
      <c r="N1798" s="583"/>
      <c r="O1798" s="981"/>
      <c r="P1798" s="981"/>
      <c r="Q1798" s="583"/>
      <c r="R1798" s="583"/>
      <c r="S1798" s="982"/>
      <c r="T1798" s="846"/>
      <c r="U1798" s="982"/>
      <c r="V1798" s="983"/>
      <c r="W1798" s="984"/>
      <c r="X1798" s="985"/>
      <c r="Y1798" s="983"/>
      <c r="Z1798" s="983"/>
      <c r="AA1798" s="983"/>
      <c r="AB1798" s="983"/>
      <c r="AC1798" s="983"/>
      <c r="AD1798" s="983"/>
      <c r="AE1798" s="983"/>
      <c r="AF1798" s="983"/>
    </row>
    <row r="1799" spans="1:32" ht="12" thickBot="1">
      <c r="A1799" s="596" t="s">
        <v>1499</v>
      </c>
      <c r="B1799" s="596" t="s">
        <v>152</v>
      </c>
      <c r="C1799" s="979"/>
      <c r="D1799" s="986"/>
      <c r="E1799" s="980">
        <v>124179787.97582</v>
      </c>
      <c r="F1799" s="981">
        <v>23999.999999999902</v>
      </c>
      <c r="G1799" s="583">
        <v>921414.02678058599</v>
      </c>
      <c r="H1799" s="981">
        <v>3591279.4682607199</v>
      </c>
      <c r="I1799" s="981"/>
      <c r="J1799" s="981">
        <v>209231.52950400001</v>
      </c>
      <c r="K1799" s="981">
        <v>2140250.555288</v>
      </c>
      <c r="L1799" s="981"/>
      <c r="M1799" s="583">
        <v>243644.63437070799</v>
      </c>
      <c r="N1799" s="583"/>
      <c r="O1799" s="583">
        <v>532752.25592541997</v>
      </c>
      <c r="P1799" s="981"/>
      <c r="Q1799" s="583"/>
      <c r="R1799" s="583">
        <v>7662572.4701294303</v>
      </c>
      <c r="S1799" s="982"/>
      <c r="T1799" s="846"/>
      <c r="U1799" s="982"/>
      <c r="V1799" s="983"/>
      <c r="W1799" s="984"/>
      <c r="X1799" s="985"/>
      <c r="Y1799" s="983"/>
      <c r="Z1799" s="983"/>
      <c r="AA1799" s="983"/>
      <c r="AB1799" s="983"/>
      <c r="AC1799" s="983"/>
      <c r="AD1799" s="983"/>
      <c r="AE1799" s="983"/>
      <c r="AF1799" s="983"/>
    </row>
    <row r="1800" spans="1:32" ht="12" thickBot="1">
      <c r="A1800" s="596" t="s">
        <v>1500</v>
      </c>
      <c r="B1800" s="596" t="s">
        <v>152</v>
      </c>
      <c r="C1800" s="979"/>
      <c r="D1800" s="986"/>
      <c r="E1800" s="980">
        <v>138340918.56165901</v>
      </c>
      <c r="F1800" s="981">
        <v>23999.999999999902</v>
      </c>
      <c r="G1800" s="583">
        <v>1026489.61572751</v>
      </c>
      <c r="H1800" s="981">
        <v>4000819.3648031801</v>
      </c>
      <c r="I1800" s="981"/>
      <c r="J1800" s="981">
        <v>203448.84216</v>
      </c>
      <c r="K1800" s="981">
        <v>2086249.7211429998</v>
      </c>
      <c r="L1800" s="981"/>
      <c r="M1800" s="583">
        <v>296728.66901911196</v>
      </c>
      <c r="N1800" s="583"/>
      <c r="O1800" s="583">
        <v>585926.67873285909</v>
      </c>
      <c r="P1800" s="981"/>
      <c r="Q1800" s="583"/>
      <c r="R1800" s="583">
        <v>8223662.8915856602</v>
      </c>
      <c r="S1800" s="982"/>
      <c r="T1800" s="846"/>
      <c r="U1800" s="982"/>
      <c r="V1800" s="983"/>
      <c r="W1800" s="984"/>
      <c r="X1800" s="985"/>
      <c r="Y1800" s="983"/>
      <c r="Z1800" s="983"/>
      <c r="AA1800" s="983"/>
      <c r="AB1800" s="983"/>
      <c r="AC1800" s="983"/>
      <c r="AD1800" s="983"/>
      <c r="AE1800" s="983"/>
      <c r="AF1800" s="983"/>
    </row>
    <row r="1801" spans="1:32" ht="12" thickBot="1">
      <c r="A1801" s="541" t="s">
        <v>1501</v>
      </c>
      <c r="B1801" s="596" t="s">
        <v>152</v>
      </c>
      <c r="C1801" s="979"/>
      <c r="D1801" s="986"/>
      <c r="E1801" s="980">
        <v>118627727.28137201</v>
      </c>
      <c r="F1801" s="981">
        <v>23999.999999999902</v>
      </c>
      <c r="G1801" s="583">
        <v>880217.73642778199</v>
      </c>
      <c r="H1801" s="981">
        <v>3430713.8729772801</v>
      </c>
      <c r="I1801" s="981"/>
      <c r="J1801" s="981">
        <v>209558.22784800001</v>
      </c>
      <c r="K1801" s="981">
        <v>2143663.4806520003</v>
      </c>
      <c r="L1801" s="981"/>
      <c r="M1801" s="583">
        <v>49766.233826858901</v>
      </c>
      <c r="N1801" s="583"/>
      <c r="O1801" s="583">
        <v>675680.83339807799</v>
      </c>
      <c r="P1801" s="981"/>
      <c r="Q1801" s="583"/>
      <c r="R1801" s="583">
        <v>7413600.3851300003</v>
      </c>
      <c r="S1801" s="982"/>
      <c r="T1801" s="846"/>
      <c r="U1801" s="982"/>
      <c r="V1801" s="983"/>
      <c r="W1801" s="984"/>
      <c r="X1801" s="985"/>
      <c r="Y1801" s="983"/>
      <c r="Z1801" s="983"/>
      <c r="AA1801" s="983"/>
      <c r="AB1801" s="983"/>
      <c r="AC1801" s="983"/>
      <c r="AD1801" s="983"/>
      <c r="AE1801" s="983"/>
      <c r="AF1801" s="983"/>
    </row>
    <row r="1802" spans="1:32" ht="12" thickBot="1">
      <c r="A1802" s="541" t="s">
        <v>1502</v>
      </c>
      <c r="B1802" s="596" t="s">
        <v>152</v>
      </c>
      <c r="C1802" s="979"/>
      <c r="D1802" s="986"/>
      <c r="E1802" s="980">
        <v>127037667.272962</v>
      </c>
      <c r="F1802" s="981">
        <v>23999.999999999902</v>
      </c>
      <c r="G1802" s="583">
        <v>942619.49116538011</v>
      </c>
      <c r="H1802" s="981">
        <v>3673929.33753407</v>
      </c>
      <c r="I1802" s="981"/>
      <c r="J1802" s="981">
        <v>206687.035176</v>
      </c>
      <c r="K1802" s="981">
        <v>2122371.017637</v>
      </c>
      <c r="L1802" s="981"/>
      <c r="M1802" s="583">
        <v>301121.84022583498</v>
      </c>
      <c r="N1802" s="583"/>
      <c r="O1802" s="583">
        <v>793636.29055359901</v>
      </c>
      <c r="P1802" s="981"/>
      <c r="Q1802" s="583"/>
      <c r="R1802" s="583">
        <v>8064365.0122918794</v>
      </c>
      <c r="S1802" s="982"/>
      <c r="T1802" s="846"/>
      <c r="U1802" s="982"/>
      <c r="V1802" s="983"/>
      <c r="W1802" s="984"/>
      <c r="X1802" s="985"/>
      <c r="Y1802" s="983"/>
      <c r="Z1802" s="983"/>
      <c r="AA1802" s="983"/>
      <c r="AB1802" s="983"/>
      <c r="AC1802" s="983"/>
      <c r="AD1802" s="983"/>
      <c r="AE1802" s="983"/>
      <c r="AF1802" s="983"/>
    </row>
    <row r="1803" spans="1:32" ht="12" thickBot="1">
      <c r="A1803" s="596" t="s">
        <v>1503</v>
      </c>
      <c r="B1803" s="596" t="s">
        <v>152</v>
      </c>
      <c r="C1803" s="979"/>
      <c r="D1803" s="986"/>
      <c r="E1803" s="980">
        <v>136559534.16343999</v>
      </c>
      <c r="F1803" s="981">
        <v>23999.999999999902</v>
      </c>
      <c r="G1803" s="583">
        <v>1013271.7434927201</v>
      </c>
      <c r="H1803" s="981">
        <v>3949301.7280066903</v>
      </c>
      <c r="I1803" s="981"/>
      <c r="J1803" s="981">
        <v>210754.54682399999</v>
      </c>
      <c r="K1803" s="981">
        <v>2160218.1642330005</v>
      </c>
      <c r="L1803" s="981"/>
      <c r="M1803" s="583">
        <v>442864.76387533703</v>
      </c>
      <c r="N1803" s="583"/>
      <c r="O1803" s="583">
        <v>825623.230134513</v>
      </c>
      <c r="P1803" s="981"/>
      <c r="Q1803" s="583"/>
      <c r="R1803" s="583">
        <v>8626034.1765662804</v>
      </c>
      <c r="S1803" s="982"/>
      <c r="T1803" s="846"/>
      <c r="U1803" s="982"/>
      <c r="V1803" s="983"/>
      <c r="W1803" s="984"/>
      <c r="X1803" s="985"/>
      <c r="Y1803" s="983"/>
      <c r="Z1803" s="983"/>
      <c r="AA1803" s="983"/>
      <c r="AB1803" s="983"/>
      <c r="AC1803" s="983"/>
      <c r="AD1803" s="983"/>
      <c r="AE1803" s="983"/>
      <c r="AF1803" s="983"/>
    </row>
    <row r="1804" spans="1:32" ht="12" thickBot="1">
      <c r="A1804" s="596" t="s">
        <v>1504</v>
      </c>
      <c r="B1804" s="596" t="s">
        <v>152</v>
      </c>
      <c r="C1804" s="979"/>
      <c r="D1804" s="986"/>
      <c r="E1804" s="980">
        <v>143877223.156122</v>
      </c>
      <c r="F1804" s="981">
        <v>23999.999999999902</v>
      </c>
      <c r="G1804" s="583">
        <v>1067568.9958184301</v>
      </c>
      <c r="H1804" s="981">
        <v>4160929.2936750697</v>
      </c>
      <c r="I1804" s="981"/>
      <c r="J1804" s="981">
        <v>215095.62772799897</v>
      </c>
      <c r="K1804" s="981">
        <v>2211997.4070200007</v>
      </c>
      <c r="L1804" s="981"/>
      <c r="M1804" s="583">
        <v>338882.16676672501</v>
      </c>
      <c r="N1804" s="583"/>
      <c r="O1804" s="583">
        <v>727015.27400793997</v>
      </c>
      <c r="P1804" s="981"/>
      <c r="Q1804" s="583"/>
      <c r="R1804" s="583">
        <v>8745488.765016159</v>
      </c>
      <c r="S1804" s="982"/>
      <c r="T1804" s="846"/>
      <c r="U1804" s="982"/>
      <c r="V1804" s="983"/>
      <c r="W1804" s="984"/>
      <c r="X1804" s="985"/>
      <c r="Y1804" s="983"/>
      <c r="Z1804" s="983"/>
      <c r="AA1804" s="983"/>
      <c r="AB1804" s="983"/>
      <c r="AC1804" s="983"/>
      <c r="AD1804" s="983"/>
      <c r="AE1804" s="983"/>
      <c r="AF1804" s="983"/>
    </row>
    <row r="1805" spans="1:32" ht="12" thickBot="1">
      <c r="A1805" s="596" t="s">
        <v>1505</v>
      </c>
      <c r="B1805" s="596" t="s">
        <v>152</v>
      </c>
      <c r="C1805" s="979"/>
      <c r="D1805" s="986"/>
      <c r="E1805" s="980">
        <v>138414539.46158499</v>
      </c>
      <c r="F1805" s="981">
        <v>23999.999999999902</v>
      </c>
      <c r="G1805" s="583">
        <v>1027035.88280496</v>
      </c>
      <c r="H1805" s="981">
        <v>4002948.4812290496</v>
      </c>
      <c r="I1805" s="981"/>
      <c r="J1805" s="981">
        <v>213107.55655199901</v>
      </c>
      <c r="K1805" s="981">
        <v>2178001.0506880009</v>
      </c>
      <c r="L1805" s="981"/>
      <c r="M1805" s="583">
        <v>438340.03155496798</v>
      </c>
      <c r="N1805" s="583"/>
      <c r="O1805" s="583">
        <v>635559.086933707</v>
      </c>
      <c r="P1805" s="981"/>
      <c r="Q1805" s="583"/>
      <c r="R1805" s="583">
        <v>8518992.0897626914</v>
      </c>
      <c r="S1805" s="982"/>
      <c r="T1805" s="846"/>
      <c r="U1805" s="982"/>
      <c r="V1805" s="983"/>
      <c r="W1805" s="984"/>
      <c r="X1805" s="985"/>
      <c r="Y1805" s="983"/>
      <c r="Z1805" s="983"/>
      <c r="AA1805" s="983"/>
      <c r="AB1805" s="983"/>
      <c r="AC1805" s="983"/>
      <c r="AD1805" s="983"/>
      <c r="AE1805" s="983"/>
      <c r="AF1805" s="983"/>
    </row>
    <row r="1806" spans="1:32" ht="12" thickBot="1">
      <c r="A1806" s="596" t="s">
        <v>1506</v>
      </c>
      <c r="B1806" s="596" t="s">
        <v>152</v>
      </c>
      <c r="C1806" s="979"/>
      <c r="D1806" s="986"/>
      <c r="E1806" s="980">
        <v>130048831.769951</v>
      </c>
      <c r="F1806" s="981">
        <v>23999.999999999902</v>
      </c>
      <c r="G1806" s="583">
        <v>964962.33173303702</v>
      </c>
      <c r="H1806" s="981">
        <v>3761012.2147869803</v>
      </c>
      <c r="I1806" s="981"/>
      <c r="J1806" s="981">
        <v>216675.59435999999</v>
      </c>
      <c r="K1806" s="981">
        <v>2213823.6611199901</v>
      </c>
      <c r="L1806" s="981"/>
      <c r="M1806" s="583">
        <v>559286.47935787006</v>
      </c>
      <c r="N1806" s="583"/>
      <c r="O1806" s="583">
        <v>705527.02829727402</v>
      </c>
      <c r="P1806" s="981"/>
      <c r="Q1806" s="583"/>
      <c r="R1806" s="583">
        <v>8445287.3096551709</v>
      </c>
      <c r="S1806" s="982"/>
      <c r="T1806" s="846"/>
      <c r="U1806" s="982"/>
      <c r="V1806" s="983"/>
      <c r="W1806" s="984"/>
      <c r="X1806" s="985"/>
      <c r="Y1806" s="983"/>
      <c r="Z1806" s="983"/>
      <c r="AA1806" s="983"/>
      <c r="AB1806" s="983"/>
      <c r="AC1806" s="983"/>
      <c r="AD1806" s="983"/>
      <c r="AE1806" s="983"/>
      <c r="AF1806" s="983"/>
    </row>
    <row r="1807" spans="1:32" ht="12" thickBot="1">
      <c r="A1807" s="596" t="s">
        <v>1507</v>
      </c>
      <c r="B1807" s="596" t="s">
        <v>152</v>
      </c>
      <c r="C1807" s="979"/>
      <c r="D1807" s="986"/>
      <c r="E1807" s="980">
        <v>134527236.36547199</v>
      </c>
      <c r="F1807" s="981">
        <v>23999.999999999902</v>
      </c>
      <c r="G1807" s="583">
        <v>998192.09383180703</v>
      </c>
      <c r="H1807" s="981">
        <v>3890527.67568947</v>
      </c>
      <c r="I1807" s="981"/>
      <c r="J1807" s="981">
        <v>209936.34278399902</v>
      </c>
      <c r="K1807" s="981">
        <v>2152432.9421150009</v>
      </c>
      <c r="L1807" s="981"/>
      <c r="M1807" s="583">
        <v>327305.33529577201</v>
      </c>
      <c r="N1807" s="583"/>
      <c r="O1807" s="583">
        <v>775280.298731282</v>
      </c>
      <c r="P1807" s="981"/>
      <c r="Q1807" s="583"/>
      <c r="R1807" s="583">
        <v>8377674.6884473301</v>
      </c>
      <c r="S1807" s="982"/>
      <c r="T1807" s="846"/>
      <c r="U1807" s="982"/>
      <c r="V1807" s="983"/>
      <c r="W1807" s="984"/>
      <c r="X1807" s="985"/>
      <c r="Y1807" s="983"/>
      <c r="Z1807" s="983"/>
      <c r="AA1807" s="983"/>
      <c r="AB1807" s="983"/>
      <c r="AC1807" s="983"/>
      <c r="AD1807" s="983"/>
      <c r="AE1807" s="983"/>
      <c r="AF1807" s="983"/>
    </row>
    <row r="1808" spans="1:32" ht="12" thickBot="1">
      <c r="A1808" s="596" t="s">
        <v>1508</v>
      </c>
      <c r="B1808" s="596" t="s">
        <v>152</v>
      </c>
      <c r="C1808" s="979"/>
      <c r="D1808" s="986"/>
      <c r="E1808" s="980">
        <v>125338352.674661</v>
      </c>
      <c r="F1808" s="981">
        <v>23999.999999999902</v>
      </c>
      <c r="G1808" s="583">
        <v>930010.57684598898</v>
      </c>
      <c r="H1808" s="981">
        <v>3624785.1593512101</v>
      </c>
      <c r="I1808" s="981"/>
      <c r="J1808" s="981">
        <v>212856.453287999</v>
      </c>
      <c r="K1808" s="981">
        <v>2175170.2856380008</v>
      </c>
      <c r="L1808" s="981"/>
      <c r="M1808" s="583">
        <v>485740.38984883402</v>
      </c>
      <c r="N1808" s="583"/>
      <c r="O1808" s="583">
        <v>940479.83583945199</v>
      </c>
      <c r="P1808" s="981"/>
      <c r="Q1808" s="583"/>
      <c r="R1808" s="583">
        <v>8393042.7008114886</v>
      </c>
      <c r="S1808" s="982"/>
      <c r="T1808" s="846"/>
      <c r="U1808" s="982"/>
      <c r="V1808" s="983"/>
      <c r="W1808" s="984"/>
      <c r="X1808" s="985"/>
      <c r="Y1808" s="983"/>
      <c r="Z1808" s="983"/>
      <c r="AA1808" s="983"/>
      <c r="AB1808" s="983"/>
      <c r="AC1808" s="983"/>
      <c r="AD1808" s="983"/>
      <c r="AE1808" s="983"/>
      <c r="AF1808" s="983"/>
    </row>
    <row r="1809" spans="1:32" ht="12" thickBot="1">
      <c r="A1809" s="596" t="s">
        <v>1509</v>
      </c>
      <c r="B1809" s="596" t="s">
        <v>152</v>
      </c>
      <c r="C1809" s="979"/>
      <c r="D1809" s="986"/>
      <c r="E1809" s="980">
        <v>145721919.254278</v>
      </c>
      <c r="F1809" s="981">
        <v>23999.999999999902</v>
      </c>
      <c r="G1809" s="583">
        <v>1081256.6408667401</v>
      </c>
      <c r="H1809" s="981">
        <v>4214277.9048337201</v>
      </c>
      <c r="I1809" s="981"/>
      <c r="J1809" s="981">
        <v>214030.94570399902</v>
      </c>
      <c r="K1809" s="981">
        <v>2196845.088070001</v>
      </c>
      <c r="L1809" s="981"/>
      <c r="M1809" s="583">
        <v>131506.41159118398</v>
      </c>
      <c r="N1809" s="583"/>
      <c r="O1809" s="583">
        <v>988316.59598499199</v>
      </c>
      <c r="P1809" s="981"/>
      <c r="Q1809" s="583"/>
      <c r="R1809" s="583">
        <v>8850233.5870506391</v>
      </c>
      <c r="S1809" s="982"/>
      <c r="T1809" s="846"/>
      <c r="U1809" s="982"/>
      <c r="V1809" s="983"/>
      <c r="W1809" s="984"/>
      <c r="X1809" s="985"/>
      <c r="Y1809" s="983"/>
      <c r="Z1809" s="983"/>
      <c r="AA1809" s="983"/>
      <c r="AB1809" s="983"/>
      <c r="AC1809" s="983"/>
      <c r="AD1809" s="983"/>
      <c r="AE1809" s="983"/>
      <c r="AF1809" s="983"/>
    </row>
    <row r="1810" spans="1:32" ht="12" thickBot="1">
      <c r="A1810" s="596" t="s">
        <v>1510</v>
      </c>
      <c r="B1810" s="596" t="s">
        <v>152</v>
      </c>
      <c r="C1810" s="979"/>
      <c r="D1810" s="986"/>
      <c r="E1810" s="980">
        <v>142956520.45704299</v>
      </c>
      <c r="F1810" s="981">
        <v>23999.999999999902</v>
      </c>
      <c r="G1810" s="583">
        <v>1060737.3817912601</v>
      </c>
      <c r="H1810" s="981">
        <v>4134302.5716176899</v>
      </c>
      <c r="I1810" s="981"/>
      <c r="J1810" s="981">
        <v>219366.61060799999</v>
      </c>
      <c r="K1810" s="981">
        <v>2244684.7848359998</v>
      </c>
      <c r="L1810" s="981"/>
      <c r="M1810" s="583">
        <v>295051.858607342</v>
      </c>
      <c r="N1810" s="583"/>
      <c r="O1810" s="583">
        <v>844279.23273360997</v>
      </c>
      <c r="P1810" s="981"/>
      <c r="Q1810" s="583"/>
      <c r="R1810" s="583">
        <v>8822422.4401939102</v>
      </c>
      <c r="S1810" s="982"/>
      <c r="T1810" s="846"/>
      <c r="U1810" s="982"/>
      <c r="V1810" s="983"/>
      <c r="W1810" s="984"/>
      <c r="X1810" s="985"/>
      <c r="Y1810" s="983"/>
      <c r="Z1810" s="983"/>
      <c r="AA1810" s="983"/>
      <c r="AB1810" s="983"/>
      <c r="AC1810" s="983"/>
      <c r="AD1810" s="983"/>
      <c r="AE1810" s="983"/>
      <c r="AF1810" s="983"/>
    </row>
    <row r="1811" spans="1:32" ht="12" thickBot="1">
      <c r="A1811" s="979"/>
      <c r="B1811" s="979"/>
      <c r="C1811" s="979"/>
      <c r="D1811" s="986"/>
      <c r="E1811" s="980"/>
      <c r="F1811" s="981"/>
      <c r="G1811" s="583"/>
      <c r="H1811" s="981"/>
      <c r="I1811" s="981"/>
      <c r="J1811" s="981"/>
      <c r="K1811" s="981"/>
      <c r="L1811" s="981"/>
      <c r="M1811" s="583"/>
      <c r="N1811" s="583"/>
      <c r="O1811" s="981"/>
      <c r="P1811" s="981"/>
      <c r="Q1811" s="583"/>
      <c r="R1811" s="583"/>
      <c r="S1811" s="982"/>
      <c r="T1811" s="846"/>
      <c r="U1811" s="982"/>
      <c r="V1811" s="983"/>
      <c r="W1811" s="984"/>
      <c r="X1811" s="985"/>
      <c r="Y1811" s="983"/>
      <c r="Z1811" s="983"/>
      <c r="AA1811" s="983"/>
      <c r="AB1811" s="983"/>
      <c r="AC1811" s="983"/>
      <c r="AD1811" s="983"/>
      <c r="AE1811" s="983"/>
      <c r="AF1811" s="983"/>
    </row>
    <row r="1812" spans="1:32" ht="12.75" thickBot="1">
      <c r="A1812" s="596" t="s">
        <v>1499</v>
      </c>
      <c r="B1812" s="541" t="s">
        <v>158</v>
      </c>
      <c r="C1812" s="831"/>
      <c r="D1812" s="831"/>
      <c r="E1812" s="602">
        <v>116315819.11502801</v>
      </c>
      <c r="F1812" s="602">
        <v>58199.999986934599</v>
      </c>
      <c r="G1812" s="602">
        <v>1015437.10087419</v>
      </c>
      <c r="H1812" s="602">
        <v>3363853.48880661</v>
      </c>
      <c r="I1812" s="602"/>
      <c r="J1812" s="602">
        <v>225142.08788889498</v>
      </c>
      <c r="K1812" s="602">
        <v>2271633.2912404751</v>
      </c>
      <c r="L1812" s="602">
        <v>171249.86264162499</v>
      </c>
      <c r="M1812" s="602">
        <v>228215.28109976</v>
      </c>
      <c r="N1812" s="602"/>
      <c r="O1812" s="602">
        <v>499014.501823842</v>
      </c>
      <c r="P1812" s="602"/>
      <c r="Q1812" s="602"/>
      <c r="R1812" s="602">
        <v>7832745.6143623404</v>
      </c>
      <c r="S1812" s="982"/>
      <c r="T1812" s="846"/>
      <c r="U1812" s="982"/>
      <c r="V1812" s="983"/>
      <c r="W1812" s="984"/>
      <c r="X1812" s="985"/>
      <c r="Y1812" s="983"/>
      <c r="Z1812" s="983"/>
      <c r="AA1812" s="983"/>
      <c r="AB1812" s="983"/>
      <c r="AC1812" s="983"/>
      <c r="AD1812" s="983"/>
      <c r="AE1812" s="983"/>
      <c r="AF1812" s="983"/>
    </row>
    <row r="1813" spans="1:32" ht="12.75" thickBot="1">
      <c r="A1813" s="596" t="s">
        <v>1500</v>
      </c>
      <c r="B1813" s="541" t="s">
        <v>158</v>
      </c>
      <c r="C1813" s="831"/>
      <c r="D1813" s="831"/>
      <c r="E1813" s="602">
        <v>116583613.426892</v>
      </c>
      <c r="F1813" s="602">
        <v>58799.999986800001</v>
      </c>
      <c r="G1813" s="602">
        <v>1017774.94521676</v>
      </c>
      <c r="H1813" s="602">
        <v>3371598.10030571</v>
      </c>
      <c r="I1813" s="602"/>
      <c r="J1813" s="602">
        <v>222399.24310994701</v>
      </c>
      <c r="K1813" s="602">
        <v>2239776.2314043529</v>
      </c>
      <c r="L1813" s="602">
        <v>214602.69032501001</v>
      </c>
      <c r="M1813" s="602">
        <v>250061.231349868</v>
      </c>
      <c r="N1813" s="602"/>
      <c r="O1813" s="602">
        <v>493776.17352922697</v>
      </c>
      <c r="P1813" s="602"/>
      <c r="Q1813" s="602"/>
      <c r="R1813" s="602">
        <v>7868788.6152276993</v>
      </c>
      <c r="S1813" s="982"/>
      <c r="T1813" s="846"/>
      <c r="U1813" s="982"/>
      <c r="V1813" s="983"/>
      <c r="W1813" s="984"/>
      <c r="X1813" s="985"/>
      <c r="Y1813" s="983"/>
      <c r="Z1813" s="983"/>
      <c r="AA1813" s="983"/>
      <c r="AB1813" s="983"/>
      <c r="AC1813" s="983"/>
      <c r="AD1813" s="983"/>
      <c r="AE1813" s="983"/>
      <c r="AF1813" s="983"/>
    </row>
    <row r="1814" spans="1:32" ht="12.75" thickBot="1">
      <c r="A1814" s="541" t="s">
        <v>1501</v>
      </c>
      <c r="B1814" s="541" t="s">
        <v>158</v>
      </c>
      <c r="C1814" s="831"/>
      <c r="D1814" s="831"/>
      <c r="E1814" s="602">
        <v>98398739.703974202</v>
      </c>
      <c r="F1814" s="602">
        <v>59099.999986732597</v>
      </c>
      <c r="G1814" s="602">
        <v>859020.997615695</v>
      </c>
      <c r="H1814" s="602">
        <v>2845691.55223893</v>
      </c>
      <c r="I1814" s="602"/>
      <c r="J1814" s="602">
        <v>204794.81193088501</v>
      </c>
      <c r="K1814" s="602">
        <v>2061455.1516045053</v>
      </c>
      <c r="L1814" s="602">
        <v>185828.75770723101</v>
      </c>
      <c r="M1814" s="602">
        <v>41279.849160063597</v>
      </c>
      <c r="N1814" s="602"/>
      <c r="O1814" s="602">
        <v>560460.39127769705</v>
      </c>
      <c r="P1814" s="602"/>
      <c r="Q1814" s="602"/>
      <c r="R1814" s="602">
        <v>6817631.5115217501</v>
      </c>
      <c r="S1814" s="982"/>
      <c r="T1814" s="846"/>
      <c r="U1814" s="982"/>
      <c r="V1814" s="983"/>
      <c r="W1814" s="984"/>
      <c r="X1814" s="985"/>
      <c r="Y1814" s="983"/>
      <c r="Z1814" s="983"/>
      <c r="AA1814" s="983"/>
      <c r="AB1814" s="983"/>
      <c r="AC1814" s="983"/>
      <c r="AD1814" s="983"/>
      <c r="AE1814" s="983"/>
      <c r="AF1814" s="983"/>
    </row>
    <row r="1815" spans="1:32" ht="12.75" thickBot="1">
      <c r="A1815" s="541" t="s">
        <v>1502</v>
      </c>
      <c r="B1815" s="541" t="s">
        <v>158</v>
      </c>
      <c r="C1815" s="831"/>
      <c r="D1815" s="831"/>
      <c r="E1815" s="602">
        <v>101809828.067338</v>
      </c>
      <c r="F1815" s="602">
        <v>59699.999986597904</v>
      </c>
      <c r="G1815" s="602">
        <v>888799.79902786494</v>
      </c>
      <c r="H1815" s="602">
        <v>2944340.2277074303</v>
      </c>
      <c r="I1815" s="602"/>
      <c r="J1815" s="602">
        <v>205125.262258428</v>
      </c>
      <c r="K1815" s="602">
        <v>2067627.1595128619</v>
      </c>
      <c r="L1815" s="602">
        <v>193856.49347000499</v>
      </c>
      <c r="M1815" s="602">
        <v>241323.407764098</v>
      </c>
      <c r="N1815" s="602"/>
      <c r="O1815" s="602">
        <v>636031.627656147</v>
      </c>
      <c r="P1815" s="602"/>
      <c r="Q1815" s="602"/>
      <c r="R1815" s="602">
        <v>7236803.9773834301</v>
      </c>
      <c r="S1815" s="982"/>
      <c r="T1815" s="846"/>
      <c r="U1815" s="982"/>
      <c r="V1815" s="983"/>
      <c r="W1815" s="984"/>
      <c r="X1815" s="985"/>
      <c r="Y1815" s="983"/>
      <c r="Z1815" s="983"/>
      <c r="AA1815" s="983"/>
      <c r="AB1815" s="983"/>
      <c r="AC1815" s="983"/>
      <c r="AD1815" s="983"/>
      <c r="AE1815" s="983"/>
      <c r="AF1815" s="983"/>
    </row>
    <row r="1816" spans="1:32" ht="12.75" thickBot="1">
      <c r="A1816" s="596" t="s">
        <v>1503</v>
      </c>
      <c r="B1816" s="541" t="s">
        <v>158</v>
      </c>
      <c r="C1816" s="831"/>
      <c r="D1816" s="831"/>
      <c r="E1816" s="602">
        <v>104851396.35147199</v>
      </c>
      <c r="F1816" s="602">
        <v>59999.999986530594</v>
      </c>
      <c r="G1816" s="602">
        <v>915352.69014835404</v>
      </c>
      <c r="H1816" s="602">
        <v>3032302.3824845799</v>
      </c>
      <c r="I1816" s="602"/>
      <c r="J1816" s="602">
        <v>202917.03860401901</v>
      </c>
      <c r="K1816" s="602">
        <v>2049489.7634056311</v>
      </c>
      <c r="L1816" s="602">
        <v>197395.44631665701</v>
      </c>
      <c r="M1816" s="602">
        <v>340034.76338472805</v>
      </c>
      <c r="N1816" s="602"/>
      <c r="O1816" s="602">
        <v>633919.47746547393</v>
      </c>
      <c r="P1816" s="602"/>
      <c r="Q1816" s="602"/>
      <c r="R1816" s="602">
        <v>7431411.5617959797</v>
      </c>
      <c r="S1816" s="982"/>
      <c r="T1816" s="846"/>
      <c r="U1816" s="982"/>
      <c r="V1816" s="983"/>
      <c r="W1816" s="984"/>
      <c r="X1816" s="985"/>
      <c r="Y1816" s="983"/>
      <c r="Z1816" s="983"/>
      <c r="AA1816" s="983"/>
      <c r="AB1816" s="983"/>
      <c r="AC1816" s="983"/>
      <c r="AD1816" s="983"/>
      <c r="AE1816" s="983"/>
      <c r="AF1816" s="983"/>
    </row>
    <row r="1817" spans="1:32" ht="12.75" thickBot="1">
      <c r="A1817" s="596" t="s">
        <v>1504</v>
      </c>
      <c r="B1817" s="541" t="s">
        <v>158</v>
      </c>
      <c r="C1817" s="831"/>
      <c r="D1817" s="831"/>
      <c r="E1817" s="602">
        <v>106794413.48855299</v>
      </c>
      <c r="F1817" s="602">
        <v>60599.999986395902</v>
      </c>
      <c r="G1817" s="602">
        <v>932315.22975507297</v>
      </c>
      <c r="H1817" s="602">
        <v>3088494.4380889703</v>
      </c>
      <c r="I1817" s="602"/>
      <c r="J1817" s="602">
        <v>192501.27098349002</v>
      </c>
      <c r="K1817" s="602">
        <v>1945701.34088351</v>
      </c>
      <c r="L1817" s="602">
        <v>168608.070580931</v>
      </c>
      <c r="M1817" s="602">
        <v>251538.92636857199</v>
      </c>
      <c r="N1817" s="602"/>
      <c r="O1817" s="602">
        <v>539634.89204020007</v>
      </c>
      <c r="P1817" s="602"/>
      <c r="Q1817" s="602"/>
      <c r="R1817" s="602">
        <v>7179394.1686871406</v>
      </c>
      <c r="S1817" s="982"/>
      <c r="T1817" s="846"/>
      <c r="U1817" s="982"/>
      <c r="V1817" s="983"/>
      <c r="W1817" s="984"/>
      <c r="X1817" s="985"/>
      <c r="Y1817" s="983"/>
      <c r="Z1817" s="983"/>
      <c r="AA1817" s="983"/>
      <c r="AB1817" s="983"/>
      <c r="AC1817" s="983"/>
      <c r="AD1817" s="983"/>
      <c r="AE1817" s="983"/>
      <c r="AF1817" s="983"/>
    </row>
    <row r="1818" spans="1:32" ht="12.75" thickBot="1">
      <c r="A1818" s="596" t="s">
        <v>1505</v>
      </c>
      <c r="B1818" s="541" t="s">
        <v>158</v>
      </c>
      <c r="C1818" s="831"/>
      <c r="D1818" s="831"/>
      <c r="E1818" s="602">
        <v>102170247.416012</v>
      </c>
      <c r="F1818" s="602">
        <v>60899.999986328505</v>
      </c>
      <c r="G1818" s="602">
        <v>891946.259941792</v>
      </c>
      <c r="H1818" s="602">
        <v>2954763.55527109</v>
      </c>
      <c r="I1818" s="602"/>
      <c r="J1818" s="602">
        <v>193738.38184582701</v>
      </c>
      <c r="K1818" s="602">
        <v>1953825.3260254327</v>
      </c>
      <c r="L1818" s="602">
        <v>84506.487464786405</v>
      </c>
      <c r="M1818" s="602">
        <v>323559.28539388301</v>
      </c>
      <c r="N1818" s="602"/>
      <c r="O1818" s="602">
        <v>469135.89722656005</v>
      </c>
      <c r="P1818" s="602"/>
      <c r="Q1818" s="602"/>
      <c r="R1818" s="602">
        <v>6932375.1931557097</v>
      </c>
      <c r="S1818" s="982"/>
      <c r="T1818" s="846"/>
      <c r="U1818" s="982"/>
      <c r="V1818" s="983"/>
      <c r="W1818" s="984"/>
      <c r="X1818" s="985"/>
      <c r="Y1818" s="983"/>
      <c r="Z1818" s="983"/>
      <c r="AA1818" s="983"/>
      <c r="AB1818" s="983"/>
      <c r="AC1818" s="983"/>
      <c r="AD1818" s="983"/>
      <c r="AE1818" s="983"/>
      <c r="AF1818" s="983"/>
    </row>
    <row r="1819" spans="1:32" ht="12.75" thickBot="1">
      <c r="A1819" s="596" t="s">
        <v>1506</v>
      </c>
      <c r="B1819" s="541" t="s">
        <v>158</v>
      </c>
      <c r="C1819" s="831"/>
      <c r="D1819" s="831"/>
      <c r="E1819" s="602">
        <v>97557302.92809169</v>
      </c>
      <c r="F1819" s="602">
        <v>61499.999986193798</v>
      </c>
      <c r="G1819" s="602">
        <v>851675.25456223998</v>
      </c>
      <c r="H1819" s="602">
        <v>2821357.20068041</v>
      </c>
      <c r="I1819" s="602"/>
      <c r="J1819" s="602">
        <v>197502.34675116901</v>
      </c>
      <c r="K1819" s="602">
        <v>1991711.082624801</v>
      </c>
      <c r="L1819" s="602">
        <v>93603.955291251201</v>
      </c>
      <c r="M1819" s="602">
        <v>419553.79181582702</v>
      </c>
      <c r="N1819" s="602"/>
      <c r="O1819" s="602">
        <v>529257.457270424</v>
      </c>
      <c r="P1819" s="602"/>
      <c r="Q1819" s="602"/>
      <c r="R1819" s="602">
        <v>6966161.0889823195</v>
      </c>
      <c r="S1819" s="982"/>
      <c r="T1819" s="846"/>
      <c r="U1819" s="982"/>
      <c r="V1819" s="983"/>
      <c r="W1819" s="984"/>
      <c r="X1819" s="985"/>
      <c r="Y1819" s="983"/>
      <c r="Z1819" s="983"/>
      <c r="AA1819" s="983"/>
      <c r="AB1819" s="983"/>
      <c r="AC1819" s="983"/>
      <c r="AD1819" s="983"/>
      <c r="AE1819" s="983"/>
      <c r="AF1819" s="983"/>
    </row>
    <row r="1820" spans="1:32" ht="12.75" thickBot="1">
      <c r="A1820" s="596" t="s">
        <v>1507</v>
      </c>
      <c r="B1820" s="541" t="s">
        <v>158</v>
      </c>
      <c r="C1820" s="831"/>
      <c r="D1820" s="831"/>
      <c r="E1820" s="602">
        <v>99726210.749602899</v>
      </c>
      <c r="F1820" s="602">
        <v>61799.999986126502</v>
      </c>
      <c r="G1820" s="602">
        <v>870609.81984403299</v>
      </c>
      <c r="H1820" s="602">
        <v>2884082.01487851</v>
      </c>
      <c r="I1820" s="602"/>
      <c r="J1820" s="602">
        <v>195532.52840758101</v>
      </c>
      <c r="K1820" s="602">
        <v>1971509.429303929</v>
      </c>
      <c r="L1820" s="602">
        <v>122546.59319318399</v>
      </c>
      <c r="M1820" s="602">
        <v>242634.292720467</v>
      </c>
      <c r="N1820" s="602"/>
      <c r="O1820" s="602">
        <v>574722.03064698097</v>
      </c>
      <c r="P1820" s="602"/>
      <c r="Q1820" s="602"/>
      <c r="R1820" s="602">
        <v>6923436.7089808201</v>
      </c>
      <c r="S1820" s="982"/>
      <c r="T1820" s="846"/>
      <c r="U1820" s="982"/>
      <c r="V1820" s="983"/>
      <c r="W1820" s="984"/>
      <c r="X1820" s="985"/>
      <c r="Y1820" s="983"/>
      <c r="Z1820" s="983"/>
      <c r="AA1820" s="983"/>
      <c r="AB1820" s="983"/>
      <c r="AC1820" s="983"/>
      <c r="AD1820" s="983"/>
      <c r="AE1820" s="983"/>
      <c r="AF1820" s="983"/>
    </row>
    <row r="1821" spans="1:32" ht="12.75" thickBot="1">
      <c r="A1821" s="596" t="s">
        <v>1508</v>
      </c>
      <c r="B1821" s="541" t="s">
        <v>158</v>
      </c>
      <c r="C1821" s="831"/>
      <c r="D1821" s="831"/>
      <c r="E1821" s="602">
        <v>95454012.470414206</v>
      </c>
      <c r="F1821" s="602">
        <v>62399.999985991795</v>
      </c>
      <c r="G1821" s="602">
        <v>833313.52886671596</v>
      </c>
      <c r="H1821" s="602">
        <v>2760530.0406443798</v>
      </c>
      <c r="I1821" s="602"/>
      <c r="J1821" s="602">
        <v>209276.05030138599</v>
      </c>
      <c r="K1821" s="602">
        <v>2111102.1532560941</v>
      </c>
      <c r="L1821" s="602">
        <v>125111.962805166</v>
      </c>
      <c r="M1821" s="602">
        <v>369925.63122610602</v>
      </c>
      <c r="N1821" s="602"/>
      <c r="O1821" s="602">
        <v>716241.85305365594</v>
      </c>
      <c r="P1821" s="602"/>
      <c r="Q1821" s="602"/>
      <c r="R1821" s="602">
        <v>7187901.2201394998</v>
      </c>
      <c r="S1821" s="982"/>
      <c r="T1821" s="846"/>
      <c r="U1821" s="982"/>
      <c r="V1821" s="983"/>
      <c r="W1821" s="984"/>
      <c r="X1821" s="985"/>
      <c r="Y1821" s="983"/>
      <c r="Z1821" s="983"/>
      <c r="AA1821" s="983"/>
      <c r="AB1821" s="983"/>
      <c r="AC1821" s="983"/>
      <c r="AD1821" s="983"/>
      <c r="AE1821" s="983"/>
      <c r="AF1821" s="983"/>
    </row>
    <row r="1822" spans="1:32" ht="12.75" thickBot="1">
      <c r="A1822" s="596" t="s">
        <v>1509</v>
      </c>
      <c r="B1822" s="541" t="s">
        <v>158</v>
      </c>
      <c r="C1822" s="831"/>
      <c r="D1822" s="831"/>
      <c r="E1822" s="602">
        <v>111982946.96260899</v>
      </c>
      <c r="F1822" s="602">
        <v>62699.999985924398</v>
      </c>
      <c r="G1822" s="602">
        <v>977611.12698357902</v>
      </c>
      <c r="H1822" s="602">
        <v>3238546.82615866</v>
      </c>
      <c r="I1822" s="602"/>
      <c r="J1822" s="602">
        <v>205224.806403664</v>
      </c>
      <c r="K1822" s="602">
        <v>2073181.2399521458</v>
      </c>
      <c r="L1822" s="602">
        <v>204779.35885335799</v>
      </c>
      <c r="M1822" s="602">
        <v>101058.753479369</v>
      </c>
      <c r="N1822" s="602"/>
      <c r="O1822" s="602">
        <v>759491.8150736941</v>
      </c>
      <c r="P1822" s="602"/>
      <c r="Q1822" s="602"/>
      <c r="R1822" s="602">
        <v>7622593.9268904002</v>
      </c>
      <c r="S1822" s="982"/>
      <c r="T1822" s="846"/>
      <c r="U1822" s="982"/>
      <c r="V1822" s="983"/>
      <c r="W1822" s="984"/>
      <c r="X1822" s="985"/>
      <c r="Y1822" s="983"/>
      <c r="Z1822" s="983"/>
      <c r="AA1822" s="983"/>
      <c r="AB1822" s="983"/>
      <c r="AC1822" s="983"/>
      <c r="AD1822" s="983"/>
      <c r="AE1822" s="983"/>
      <c r="AF1822" s="983"/>
    </row>
    <row r="1823" spans="1:32" ht="12.75" thickBot="1">
      <c r="A1823" s="596" t="s">
        <v>1510</v>
      </c>
      <c r="B1823" s="541" t="s">
        <v>158</v>
      </c>
      <c r="C1823" s="831"/>
      <c r="D1823" s="831"/>
      <c r="E1823" s="602">
        <v>116178633.82918</v>
      </c>
      <c r="F1823" s="602">
        <v>63299.9999857898</v>
      </c>
      <c r="G1823" s="602">
        <v>1014239.47332874</v>
      </c>
      <c r="H1823" s="602">
        <v>3359886.09033988</v>
      </c>
      <c r="I1823" s="602"/>
      <c r="J1823" s="602">
        <v>210749.87621302198</v>
      </c>
      <c r="K1823" s="602">
        <v>2127108.7929137978</v>
      </c>
      <c r="L1823" s="602">
        <v>166887.615501572</v>
      </c>
      <c r="M1823" s="602">
        <v>239784.24861048299</v>
      </c>
      <c r="N1823" s="602"/>
      <c r="O1823" s="602">
        <v>686133.15094510198</v>
      </c>
      <c r="P1823" s="602"/>
      <c r="Q1823" s="602"/>
      <c r="R1823" s="602">
        <v>7868089.2478384003</v>
      </c>
      <c r="S1823" s="982"/>
      <c r="T1823" s="846"/>
      <c r="U1823" s="982"/>
      <c r="V1823" s="983"/>
      <c r="W1823" s="984"/>
      <c r="X1823" s="985"/>
      <c r="Y1823" s="983"/>
      <c r="Z1823" s="983"/>
      <c r="AA1823" s="983"/>
      <c r="AB1823" s="983"/>
      <c r="AC1823" s="983"/>
      <c r="AD1823" s="983"/>
      <c r="AE1823" s="983"/>
      <c r="AF1823" s="983"/>
    </row>
    <row r="1824" spans="1:32" ht="12.75" thickBot="1">
      <c r="A1824" s="831"/>
      <c r="B1824" s="831"/>
      <c r="C1824" s="831"/>
      <c r="D1824" s="831"/>
      <c r="E1824" s="602"/>
      <c r="F1824" s="602"/>
      <c r="G1824" s="602"/>
      <c r="H1824" s="602"/>
      <c r="I1824" s="602"/>
      <c r="J1824" s="602"/>
      <c r="K1824" s="602"/>
      <c r="L1824" s="602"/>
      <c r="M1824" s="602"/>
      <c r="N1824" s="602"/>
      <c r="O1824" s="602"/>
      <c r="P1824" s="602"/>
      <c r="Q1824" s="602"/>
      <c r="R1824" s="602"/>
      <c r="S1824" s="982"/>
      <c r="T1824" s="846"/>
      <c r="U1824" s="982"/>
      <c r="V1824" s="983"/>
      <c r="W1824" s="984"/>
      <c r="X1824" s="985"/>
      <c r="Y1824" s="983"/>
      <c r="Z1824" s="983"/>
      <c r="AA1824" s="983"/>
      <c r="AB1824" s="983"/>
      <c r="AC1824" s="983"/>
      <c r="AD1824" s="983"/>
      <c r="AE1824" s="983"/>
      <c r="AF1824" s="983"/>
    </row>
    <row r="1825" spans="1:32" ht="12.75" thickBot="1">
      <c r="A1825" s="596" t="s">
        <v>1499</v>
      </c>
      <c r="B1825" s="596" t="s">
        <v>159</v>
      </c>
      <c r="C1825" s="831"/>
      <c r="D1825" s="831"/>
      <c r="E1825" s="602">
        <v>149714838.977099</v>
      </c>
      <c r="F1825" s="602">
        <v>92200</v>
      </c>
      <c r="G1825" s="602">
        <v>1318987.7313882401</v>
      </c>
      <c r="H1825" s="602">
        <v>4329753.1432177005</v>
      </c>
      <c r="I1825" s="602"/>
      <c r="J1825" s="602">
        <v>339513.72569399897</v>
      </c>
      <c r="K1825" s="602">
        <v>3466402.5011849911</v>
      </c>
      <c r="L1825" s="602">
        <v>220422.688893988</v>
      </c>
      <c r="M1825" s="602">
        <v>293745.20440917095</v>
      </c>
      <c r="N1825" s="602"/>
      <c r="O1825" s="602">
        <v>642301.935852002</v>
      </c>
      <c r="P1825" s="602"/>
      <c r="Q1825" s="602"/>
      <c r="R1825" s="602">
        <v>10703326.9306401</v>
      </c>
      <c r="S1825" s="982"/>
      <c r="T1825" s="846"/>
      <c r="U1825" s="982"/>
      <c r="V1825" s="983"/>
      <c r="W1825" s="984"/>
      <c r="X1825" s="985"/>
      <c r="Y1825" s="983"/>
      <c r="Z1825" s="983"/>
      <c r="AA1825" s="983"/>
      <c r="AB1825" s="983"/>
      <c r="AC1825" s="983"/>
      <c r="AD1825" s="983"/>
      <c r="AE1825" s="983"/>
      <c r="AF1825" s="983"/>
    </row>
    <row r="1826" spans="1:32" ht="12.75" thickBot="1">
      <c r="A1826" s="596" t="s">
        <v>1500</v>
      </c>
      <c r="B1826" s="596" t="s">
        <v>159</v>
      </c>
      <c r="C1826" s="831"/>
      <c r="D1826" s="831"/>
      <c r="E1826" s="602">
        <v>151711801.62118801</v>
      </c>
      <c r="F1826" s="602">
        <v>92400</v>
      </c>
      <c r="G1826" s="602">
        <v>1336580.97228266</v>
      </c>
      <c r="H1826" s="602">
        <v>4387505.3028847501</v>
      </c>
      <c r="I1826" s="602"/>
      <c r="J1826" s="602">
        <v>345858.363939</v>
      </c>
      <c r="K1826" s="602">
        <v>3531180.6477820002</v>
      </c>
      <c r="L1826" s="602">
        <v>279265.32576019102</v>
      </c>
      <c r="M1826" s="602">
        <v>325407.995245328</v>
      </c>
      <c r="N1826" s="602"/>
      <c r="O1826" s="602">
        <v>642557.48026468093</v>
      </c>
      <c r="P1826" s="602"/>
      <c r="Q1826" s="602"/>
      <c r="R1826" s="602">
        <v>10940756.0881586</v>
      </c>
      <c r="S1826" s="982"/>
      <c r="T1826" s="846"/>
      <c r="U1826" s="982"/>
      <c r="V1826" s="983"/>
      <c r="W1826" s="984"/>
      <c r="X1826" s="985"/>
      <c r="Y1826" s="983"/>
      <c r="Z1826" s="983"/>
      <c r="AA1826" s="983"/>
      <c r="AB1826" s="983"/>
      <c r="AC1826" s="983"/>
      <c r="AD1826" s="983"/>
      <c r="AE1826" s="983"/>
      <c r="AF1826" s="983"/>
    </row>
    <row r="1827" spans="1:32" ht="12.75" thickBot="1">
      <c r="A1827" s="541" t="s">
        <v>1501</v>
      </c>
      <c r="B1827" s="596" t="s">
        <v>159</v>
      </c>
      <c r="C1827" s="831"/>
      <c r="D1827" s="831"/>
      <c r="E1827" s="602">
        <v>133838239.06568499</v>
      </c>
      <c r="F1827" s="602">
        <v>92600</v>
      </c>
      <c r="G1827" s="602">
        <v>1179114.8861686799</v>
      </c>
      <c r="H1827" s="602">
        <v>3870601.8737796098</v>
      </c>
      <c r="I1827" s="602"/>
      <c r="J1827" s="602">
        <v>351087.64023299998</v>
      </c>
      <c r="K1827" s="602">
        <v>3584571.0559729999</v>
      </c>
      <c r="L1827" s="602">
        <v>252757.23829514699</v>
      </c>
      <c r="M1827" s="602">
        <v>56147.287425642295</v>
      </c>
      <c r="N1827" s="602"/>
      <c r="O1827" s="602">
        <v>762316.99776173197</v>
      </c>
      <c r="P1827" s="602"/>
      <c r="Q1827" s="602"/>
      <c r="R1827" s="602">
        <v>10149196.9796368</v>
      </c>
      <c r="S1827" s="982"/>
      <c r="T1827" s="846"/>
      <c r="U1827" s="982"/>
      <c r="V1827" s="983"/>
      <c r="W1827" s="984"/>
      <c r="X1827" s="985"/>
      <c r="Y1827" s="983"/>
      <c r="Z1827" s="983"/>
      <c r="AA1827" s="983"/>
      <c r="AB1827" s="983"/>
      <c r="AC1827" s="983"/>
      <c r="AD1827" s="983"/>
      <c r="AE1827" s="983"/>
      <c r="AF1827" s="983"/>
    </row>
    <row r="1828" spans="1:32" ht="12.75" thickBot="1">
      <c r="A1828" s="541" t="s">
        <v>1502</v>
      </c>
      <c r="B1828" s="596" t="s">
        <v>159</v>
      </c>
      <c r="C1828" s="831"/>
      <c r="D1828" s="831"/>
      <c r="E1828" s="602">
        <v>129968345.700509</v>
      </c>
      <c r="F1828" s="602">
        <v>92800</v>
      </c>
      <c r="G1828" s="602">
        <v>1145021.1256214799</v>
      </c>
      <c r="H1828" s="602">
        <v>3758684.5576587203</v>
      </c>
      <c r="I1828" s="602"/>
      <c r="J1828" s="602">
        <v>300370.89931200002</v>
      </c>
      <c r="K1828" s="602">
        <v>3065389.4259030004</v>
      </c>
      <c r="L1828" s="602">
        <v>247473.23748483</v>
      </c>
      <c r="M1828" s="602">
        <v>308068.53013408696</v>
      </c>
      <c r="N1828" s="602"/>
      <c r="O1828" s="602">
        <v>811944.97652030503</v>
      </c>
      <c r="P1828" s="602"/>
      <c r="Q1828" s="602"/>
      <c r="R1828" s="602">
        <v>9729752.7526344284</v>
      </c>
      <c r="S1828" s="982"/>
      <c r="T1828" s="846"/>
      <c r="U1828" s="982"/>
      <c r="V1828" s="983"/>
      <c r="W1828" s="984"/>
      <c r="X1828" s="985"/>
      <c r="Y1828" s="983"/>
      <c r="Z1828" s="983"/>
      <c r="AA1828" s="983"/>
      <c r="AB1828" s="983"/>
      <c r="AC1828" s="983"/>
      <c r="AD1828" s="983"/>
      <c r="AE1828" s="983"/>
      <c r="AF1828" s="983"/>
    </row>
    <row r="1829" spans="1:32" ht="12.75" thickBot="1">
      <c r="A1829" s="596" t="s">
        <v>1503</v>
      </c>
      <c r="B1829" s="596" t="s">
        <v>159</v>
      </c>
      <c r="C1829" s="831"/>
      <c r="D1829" s="831"/>
      <c r="E1829" s="602">
        <v>126203043.786155</v>
      </c>
      <c r="F1829" s="602">
        <v>93000</v>
      </c>
      <c r="G1829" s="602">
        <v>1111848.8157560301</v>
      </c>
      <c r="H1829" s="602">
        <v>3649792.0262956298</v>
      </c>
      <c r="I1829" s="602"/>
      <c r="J1829" s="602">
        <v>278172.590157</v>
      </c>
      <c r="K1829" s="602">
        <v>2838847.9656380001</v>
      </c>
      <c r="L1829" s="602">
        <v>237592.50731560701</v>
      </c>
      <c r="M1829" s="602">
        <v>409278.49914757401</v>
      </c>
      <c r="N1829" s="602"/>
      <c r="O1829" s="602">
        <v>763009.08099779394</v>
      </c>
      <c r="P1829" s="602"/>
      <c r="Q1829" s="602"/>
      <c r="R1829" s="602">
        <v>9381541.4853076395</v>
      </c>
      <c r="S1829" s="982"/>
      <c r="T1829" s="846"/>
      <c r="U1829" s="982"/>
      <c r="V1829" s="983"/>
      <c r="W1829" s="984"/>
      <c r="X1829" s="985"/>
      <c r="Y1829" s="983"/>
      <c r="Z1829" s="983"/>
      <c r="AA1829" s="983"/>
      <c r="AB1829" s="983"/>
      <c r="AC1829" s="983"/>
      <c r="AD1829" s="983"/>
      <c r="AE1829" s="983"/>
      <c r="AF1829" s="983"/>
    </row>
    <row r="1830" spans="1:32" ht="12.75" thickBot="1">
      <c r="A1830" s="596" t="s">
        <v>1504</v>
      </c>
      <c r="B1830" s="596" t="s">
        <v>159</v>
      </c>
      <c r="C1830" s="831"/>
      <c r="D1830" s="831"/>
      <c r="E1830" s="602">
        <v>138941020.67399901</v>
      </c>
      <c r="F1830" s="602">
        <v>93200</v>
      </c>
      <c r="G1830" s="602">
        <v>1224070.39213793</v>
      </c>
      <c r="H1830" s="602">
        <v>4018174.3178920499</v>
      </c>
      <c r="I1830" s="602"/>
      <c r="J1830" s="602">
        <v>300615.68987999996</v>
      </c>
      <c r="K1830" s="602">
        <v>3067887.5987729998</v>
      </c>
      <c r="L1830" s="602">
        <v>219361.45024008301</v>
      </c>
      <c r="M1830" s="602">
        <v>327255.64968468301</v>
      </c>
      <c r="N1830" s="602"/>
      <c r="O1830" s="602">
        <v>702072.51711162599</v>
      </c>
      <c r="P1830" s="602"/>
      <c r="Q1830" s="602"/>
      <c r="R1830" s="602">
        <v>9952637.6157193705</v>
      </c>
      <c r="S1830" s="982"/>
      <c r="T1830" s="846"/>
      <c r="U1830" s="982"/>
      <c r="V1830" s="983"/>
      <c r="W1830" s="984"/>
      <c r="X1830" s="985"/>
      <c r="Y1830" s="983"/>
      <c r="Z1830" s="983"/>
      <c r="AA1830" s="983"/>
      <c r="AB1830" s="983"/>
      <c r="AC1830" s="983"/>
      <c r="AD1830" s="983"/>
      <c r="AE1830" s="983"/>
      <c r="AF1830" s="983"/>
    </row>
    <row r="1831" spans="1:32" ht="12.75" thickBot="1">
      <c r="A1831" s="596" t="s">
        <v>1505</v>
      </c>
      <c r="B1831" s="596" t="s">
        <v>159</v>
      </c>
      <c r="C1831" s="831"/>
      <c r="D1831" s="831"/>
      <c r="E1831" s="602">
        <v>133726084.016324</v>
      </c>
      <c r="F1831" s="602">
        <v>93400</v>
      </c>
      <c r="G1831" s="602">
        <v>1178126.8001838101</v>
      </c>
      <c r="H1831" s="602">
        <v>3867358.3497520899</v>
      </c>
      <c r="I1831" s="602"/>
      <c r="J1831" s="602">
        <v>302167.74291000003</v>
      </c>
      <c r="K1831" s="602">
        <v>3083726.8393379999</v>
      </c>
      <c r="L1831" s="602">
        <v>110606.7757341</v>
      </c>
      <c r="M1831" s="602">
        <v>423492.33046941599</v>
      </c>
      <c r="N1831" s="602"/>
      <c r="O1831" s="602">
        <v>614031.07063201896</v>
      </c>
      <c r="P1831" s="602"/>
      <c r="Q1831" s="602"/>
      <c r="R1831" s="602">
        <v>9672909.9090194404</v>
      </c>
      <c r="S1831" s="982"/>
      <c r="T1831" s="846"/>
      <c r="U1831" s="982"/>
      <c r="V1831" s="983"/>
      <c r="W1831" s="984"/>
      <c r="X1831" s="985"/>
      <c r="Y1831" s="983"/>
      <c r="Z1831" s="983"/>
      <c r="AA1831" s="983"/>
      <c r="AB1831" s="983"/>
      <c r="AC1831" s="983"/>
      <c r="AD1831" s="983"/>
      <c r="AE1831" s="983"/>
      <c r="AF1831" s="983"/>
    </row>
    <row r="1832" spans="1:32" ht="12.75" thickBot="1">
      <c r="A1832" s="596" t="s">
        <v>1506</v>
      </c>
      <c r="B1832" s="596" t="s">
        <v>159</v>
      </c>
      <c r="C1832" s="831"/>
      <c r="D1832" s="831"/>
      <c r="E1832" s="602">
        <v>120135692.217243</v>
      </c>
      <c r="F1832" s="602">
        <v>93600</v>
      </c>
      <c r="G1832" s="602">
        <v>1058395.4484339098</v>
      </c>
      <c r="H1832" s="602">
        <v>3474324.2189226598</v>
      </c>
      <c r="I1832" s="602"/>
      <c r="J1832" s="602">
        <v>283915.77337199997</v>
      </c>
      <c r="K1832" s="602">
        <v>2897459.1465000003</v>
      </c>
      <c r="L1832" s="602">
        <v>115267.392862172</v>
      </c>
      <c r="M1832" s="602">
        <v>516654.14776088303</v>
      </c>
      <c r="N1832" s="602"/>
      <c r="O1832" s="602">
        <v>651747.32267031097</v>
      </c>
      <c r="P1832" s="602"/>
      <c r="Q1832" s="602"/>
      <c r="R1832" s="602">
        <v>9091363.4505219404</v>
      </c>
      <c r="S1832" s="982"/>
      <c r="T1832" s="846"/>
      <c r="U1832" s="982"/>
      <c r="V1832" s="983"/>
      <c r="W1832" s="984"/>
      <c r="X1832" s="985"/>
      <c r="Y1832" s="983"/>
      <c r="Z1832" s="983"/>
      <c r="AA1832" s="983"/>
      <c r="AB1832" s="983"/>
      <c r="AC1832" s="983"/>
      <c r="AD1832" s="983"/>
      <c r="AE1832" s="983"/>
      <c r="AF1832" s="983"/>
    </row>
    <row r="1833" spans="1:32" ht="12.75" thickBot="1">
      <c r="A1833" s="596" t="s">
        <v>1507</v>
      </c>
      <c r="B1833" s="596" t="s">
        <v>159</v>
      </c>
      <c r="C1833" s="831"/>
      <c r="D1833" s="831"/>
      <c r="E1833" s="602">
        <v>121409593.430307</v>
      </c>
      <c r="F1833" s="602">
        <v>93800</v>
      </c>
      <c r="G1833" s="602">
        <v>1069618.5181210001</v>
      </c>
      <c r="H1833" s="602">
        <v>3511165.4420044702</v>
      </c>
      <c r="I1833" s="602"/>
      <c r="J1833" s="602">
        <v>281325.66240899899</v>
      </c>
      <c r="K1833" s="602">
        <v>2871026.1638660007</v>
      </c>
      <c r="L1833" s="602">
        <v>149191.79164653999</v>
      </c>
      <c r="M1833" s="602">
        <v>295390.05453046702</v>
      </c>
      <c r="N1833" s="602"/>
      <c r="O1833" s="602">
        <v>699683.33853061998</v>
      </c>
      <c r="P1833" s="602"/>
      <c r="Q1833" s="602"/>
      <c r="R1833" s="602">
        <v>8971200.9711081106</v>
      </c>
      <c r="S1833" s="982"/>
      <c r="T1833" s="846"/>
      <c r="U1833" s="982"/>
      <c r="V1833" s="983"/>
      <c r="W1833" s="984"/>
      <c r="X1833" s="985"/>
      <c r="Y1833" s="983"/>
      <c r="Z1833" s="983"/>
      <c r="AA1833" s="983"/>
      <c r="AB1833" s="983"/>
      <c r="AC1833" s="983"/>
      <c r="AD1833" s="983"/>
      <c r="AE1833" s="983"/>
      <c r="AF1833" s="983"/>
    </row>
    <row r="1834" spans="1:32" ht="12.75" thickBot="1">
      <c r="A1834" s="596" t="s">
        <v>1508</v>
      </c>
      <c r="B1834" s="596" t="s">
        <v>159</v>
      </c>
      <c r="C1834" s="831"/>
      <c r="D1834" s="831"/>
      <c r="E1834" s="602">
        <v>117607496.999897</v>
      </c>
      <c r="F1834" s="602">
        <v>94000</v>
      </c>
      <c r="G1834" s="602">
        <v>1036122.0485690901</v>
      </c>
      <c r="H1834" s="602">
        <v>3401208.8132370198</v>
      </c>
      <c r="I1834" s="602"/>
      <c r="J1834" s="602">
        <v>285485.23109700001</v>
      </c>
      <c r="K1834" s="602">
        <v>2913476.0080490001</v>
      </c>
      <c r="L1834" s="602">
        <v>154148.62518032399</v>
      </c>
      <c r="M1834" s="602">
        <v>455779.97654204199</v>
      </c>
      <c r="N1834" s="602"/>
      <c r="O1834" s="602">
        <v>882471.144000542</v>
      </c>
      <c r="P1834" s="602"/>
      <c r="Q1834" s="602"/>
      <c r="R1834" s="602">
        <v>9222691.8466750197</v>
      </c>
      <c r="S1834" s="982"/>
      <c r="T1834" s="846"/>
      <c r="U1834" s="982"/>
      <c r="V1834" s="983"/>
      <c r="W1834" s="984"/>
      <c r="X1834" s="985"/>
      <c r="Y1834" s="983"/>
      <c r="Z1834" s="983"/>
      <c r="AA1834" s="983"/>
      <c r="AB1834" s="983"/>
      <c r="AC1834" s="983"/>
      <c r="AD1834" s="983"/>
      <c r="AE1834" s="983"/>
      <c r="AF1834" s="983"/>
    </row>
    <row r="1835" spans="1:32" ht="12.75" thickBot="1">
      <c r="A1835" s="596" t="s">
        <v>1509</v>
      </c>
      <c r="B1835" s="596" t="s">
        <v>159</v>
      </c>
      <c r="C1835" s="831"/>
      <c r="D1835" s="831"/>
      <c r="E1835" s="602">
        <v>135748325.57448402</v>
      </c>
      <c r="F1835" s="602">
        <v>94200</v>
      </c>
      <c r="G1835" s="602">
        <v>1195942.7483111999</v>
      </c>
      <c r="H1835" s="602">
        <v>3925841.5756140701</v>
      </c>
      <c r="I1835" s="602"/>
      <c r="J1835" s="602">
        <v>297294.90737099899</v>
      </c>
      <c r="K1835" s="602">
        <v>3035352.4246890009</v>
      </c>
      <c r="L1835" s="602">
        <v>248238.28833368298</v>
      </c>
      <c r="M1835" s="602">
        <v>122505.76486480099</v>
      </c>
      <c r="N1835" s="602"/>
      <c r="O1835" s="602">
        <v>920673.59343743895</v>
      </c>
      <c r="P1835" s="602"/>
      <c r="Q1835" s="602"/>
      <c r="R1835" s="602">
        <v>9840049.3026212007</v>
      </c>
      <c r="S1835" s="982"/>
      <c r="T1835" s="846"/>
      <c r="U1835" s="982"/>
      <c r="V1835" s="983"/>
      <c r="W1835" s="984"/>
      <c r="X1835" s="985"/>
      <c r="Y1835" s="983"/>
      <c r="Z1835" s="983"/>
      <c r="AA1835" s="983"/>
      <c r="AB1835" s="983"/>
      <c r="AC1835" s="983"/>
      <c r="AD1835" s="983"/>
      <c r="AE1835" s="983"/>
      <c r="AF1835" s="983"/>
    </row>
    <row r="1836" spans="1:32" ht="12.75" thickBot="1">
      <c r="A1836" s="596" t="s">
        <v>1510</v>
      </c>
      <c r="B1836" s="596" t="s">
        <v>159</v>
      </c>
      <c r="C1836" s="831"/>
      <c r="D1836" s="831"/>
      <c r="E1836" s="602">
        <v>150027765.49022701</v>
      </c>
      <c r="F1836" s="602">
        <v>94400</v>
      </c>
      <c r="G1836" s="602">
        <v>1321744.6139688999</v>
      </c>
      <c r="H1836" s="602">
        <v>4338802.9779773597</v>
      </c>
      <c r="I1836" s="602"/>
      <c r="J1836" s="602">
        <v>329215.88274299901</v>
      </c>
      <c r="K1836" s="602">
        <v>3361262.5146139911</v>
      </c>
      <c r="L1836" s="602">
        <v>215511.021402668</v>
      </c>
      <c r="M1836" s="602">
        <v>309646.39394604805</v>
      </c>
      <c r="N1836" s="602"/>
      <c r="O1836" s="602">
        <v>886040.91881830699</v>
      </c>
      <c r="P1836" s="602"/>
      <c r="Q1836" s="602"/>
      <c r="R1836" s="602">
        <v>10856624.323470199</v>
      </c>
      <c r="S1836" s="982"/>
      <c r="T1836" s="846"/>
      <c r="U1836" s="982"/>
      <c r="V1836" s="983"/>
      <c r="W1836" s="984"/>
      <c r="X1836" s="985"/>
      <c r="Y1836" s="983"/>
      <c r="Z1836" s="983"/>
      <c r="AA1836" s="983"/>
      <c r="AB1836" s="983"/>
      <c r="AC1836" s="983"/>
      <c r="AD1836" s="983"/>
      <c r="AE1836" s="983"/>
      <c r="AF1836" s="983"/>
    </row>
    <row r="1837" spans="1:32" ht="12" thickBot="1">
      <c r="A1837" s="979"/>
      <c r="B1837" s="979"/>
      <c r="C1837" s="979"/>
      <c r="D1837" s="986"/>
      <c r="E1837" s="980"/>
      <c r="F1837" s="981"/>
      <c r="G1837" s="583"/>
      <c r="H1837" s="981"/>
      <c r="I1837" s="981"/>
      <c r="J1837" s="981"/>
      <c r="K1837" s="981"/>
      <c r="L1837" s="981"/>
      <c r="M1837" s="583"/>
      <c r="N1837" s="583"/>
      <c r="O1837" s="981"/>
      <c r="P1837" s="981"/>
      <c r="Q1837" s="583"/>
      <c r="R1837" s="583"/>
      <c r="S1837" s="982"/>
      <c r="T1837" s="846"/>
      <c r="U1837" s="982"/>
      <c r="V1837" s="983"/>
      <c r="W1837" s="984"/>
      <c r="X1837" s="985"/>
      <c r="Y1837" s="983"/>
      <c r="Z1837" s="983"/>
      <c r="AA1837" s="983"/>
      <c r="AB1837" s="983"/>
      <c r="AC1837" s="983"/>
      <c r="AD1837" s="983"/>
      <c r="AE1837" s="983"/>
      <c r="AF1837" s="983"/>
    </row>
    <row r="1838" spans="1:32" ht="12.75" thickBot="1">
      <c r="A1838" s="596" t="s">
        <v>1499</v>
      </c>
      <c r="B1838" s="596" t="s">
        <v>155</v>
      </c>
      <c r="C1838" s="831"/>
      <c r="D1838" s="831"/>
      <c r="E1838" s="602">
        <v>279512046.19999999</v>
      </c>
      <c r="F1838" s="602">
        <v>15600.000015599999</v>
      </c>
      <c r="G1838" s="602">
        <v>2440140.1633260003</v>
      </c>
      <c r="H1838" s="602">
        <v>8083488.376104</v>
      </c>
      <c r="I1838" s="602"/>
      <c r="J1838" s="602">
        <v>428425.92672061303</v>
      </c>
      <c r="K1838" s="602">
        <v>4339524.9309612876</v>
      </c>
      <c r="L1838" s="602">
        <v>411520.97696266999</v>
      </c>
      <c r="M1838" s="602">
        <v>548411.39132777508</v>
      </c>
      <c r="N1838" s="602"/>
      <c r="O1838" s="602">
        <v>1199153.8687469398</v>
      </c>
      <c r="P1838" s="602"/>
      <c r="Q1838" s="602"/>
      <c r="R1838" s="602">
        <v>17466265.634164799</v>
      </c>
      <c r="S1838" s="983"/>
      <c r="T1838" s="987"/>
      <c r="U1838" s="983"/>
      <c r="V1838" s="983"/>
      <c r="W1838" s="983"/>
      <c r="X1838" s="983"/>
      <c r="Y1838" s="983"/>
      <c r="Z1838" s="983"/>
      <c r="AA1838" s="983"/>
      <c r="AB1838" s="983"/>
      <c r="AC1838" s="983"/>
      <c r="AD1838" s="983"/>
      <c r="AE1838" s="983"/>
      <c r="AF1838" s="983"/>
    </row>
    <row r="1839" spans="1:32" ht="12.75" thickBot="1">
      <c r="A1839" s="596" t="s">
        <v>1500</v>
      </c>
      <c r="B1839" s="596" t="s">
        <v>155</v>
      </c>
      <c r="C1839" s="831"/>
      <c r="D1839" s="831"/>
      <c r="E1839" s="602">
        <v>280193456</v>
      </c>
      <c r="F1839" s="602">
        <v>15600.000015599999</v>
      </c>
      <c r="G1839" s="602">
        <v>2446088.8708799998</v>
      </c>
      <c r="H1839" s="602">
        <v>8103194.7475200007</v>
      </c>
      <c r="I1839" s="602"/>
      <c r="J1839" s="602">
        <v>430991.684513024</v>
      </c>
      <c r="K1839" s="602">
        <v>4369322.9285652358</v>
      </c>
      <c r="L1839" s="602">
        <v>515769.47824463504</v>
      </c>
      <c r="M1839" s="602">
        <v>600989.44065987703</v>
      </c>
      <c r="N1839" s="602"/>
      <c r="O1839" s="602">
        <v>1186726.4059229798</v>
      </c>
      <c r="P1839" s="602"/>
      <c r="Q1839" s="602"/>
      <c r="R1839" s="602">
        <v>17668683.556321301</v>
      </c>
      <c r="S1839" s="983"/>
      <c r="T1839" s="987"/>
      <c r="U1839" s="983"/>
      <c r="V1839" s="983"/>
      <c r="W1839" s="983"/>
      <c r="X1839" s="983"/>
      <c r="Y1839" s="983"/>
      <c r="Z1839" s="983"/>
      <c r="AA1839" s="983"/>
      <c r="AB1839" s="983"/>
      <c r="AC1839" s="983"/>
      <c r="AD1839" s="983"/>
      <c r="AE1839" s="983"/>
      <c r="AF1839" s="983"/>
    </row>
    <row r="1840" spans="1:32" ht="12.75" thickBot="1">
      <c r="A1840" s="541" t="s">
        <v>1501</v>
      </c>
      <c r="B1840" s="596" t="s">
        <v>155</v>
      </c>
      <c r="C1840" s="831"/>
      <c r="D1840" s="831"/>
      <c r="E1840" s="602">
        <v>233921558.299999</v>
      </c>
      <c r="F1840" s="602">
        <v>15600.000015599999</v>
      </c>
      <c r="G1840" s="602">
        <v>2042135.2039589998</v>
      </c>
      <c r="H1840" s="602">
        <v>6765011.4660359994</v>
      </c>
      <c r="I1840" s="602"/>
      <c r="J1840" s="602">
        <v>409887.223752647</v>
      </c>
      <c r="K1840" s="602">
        <v>4160192.972433913</v>
      </c>
      <c r="L1840" s="602">
        <v>441767.37131596502</v>
      </c>
      <c r="M1840" s="602">
        <v>98133.844711437996</v>
      </c>
      <c r="N1840" s="602"/>
      <c r="O1840" s="602">
        <v>1332372.43167466</v>
      </c>
      <c r="P1840" s="602"/>
      <c r="Q1840" s="602"/>
      <c r="R1840" s="602">
        <v>15265100.5138992</v>
      </c>
      <c r="S1840" s="983"/>
      <c r="T1840" s="987"/>
      <c r="U1840" s="983"/>
      <c r="V1840" s="983"/>
      <c r="W1840" s="983"/>
      <c r="X1840" s="983"/>
      <c r="Y1840" s="983"/>
      <c r="Z1840" s="983"/>
      <c r="AA1840" s="983"/>
      <c r="AB1840" s="983"/>
      <c r="AC1840" s="983"/>
      <c r="AD1840" s="983"/>
      <c r="AE1840" s="983"/>
      <c r="AF1840" s="983"/>
    </row>
    <row r="1841" spans="1:32" ht="12.75" thickBot="1">
      <c r="A1841" s="541" t="s">
        <v>1502</v>
      </c>
      <c r="B1841" s="596" t="s">
        <v>155</v>
      </c>
      <c r="C1841" s="831"/>
      <c r="D1841" s="831"/>
      <c r="E1841" s="602">
        <v>242601163.90000001</v>
      </c>
      <c r="F1841" s="602">
        <v>15600.000015599999</v>
      </c>
      <c r="G1841" s="602">
        <v>2117908.1608470003</v>
      </c>
      <c r="H1841" s="602">
        <v>7016025.6599880001</v>
      </c>
      <c r="I1841" s="602"/>
      <c r="J1841" s="602">
        <v>407256.13659193303</v>
      </c>
      <c r="K1841" s="602">
        <v>4110119.9421070465</v>
      </c>
      <c r="L1841" s="602">
        <v>461937.82897157897</v>
      </c>
      <c r="M1841" s="602">
        <v>575046.05116474291</v>
      </c>
      <c r="N1841" s="602"/>
      <c r="O1841" s="602">
        <v>1515590.5483362002</v>
      </c>
      <c r="P1841" s="602"/>
      <c r="Q1841" s="602"/>
      <c r="R1841" s="602">
        <v>16219484.3280221</v>
      </c>
      <c r="S1841" s="983"/>
      <c r="T1841" s="987"/>
      <c r="U1841" s="983"/>
      <c r="V1841" s="983"/>
      <c r="W1841" s="983"/>
      <c r="X1841" s="983"/>
      <c r="Y1841" s="983"/>
      <c r="Z1841" s="983"/>
      <c r="AA1841" s="983"/>
      <c r="AB1841" s="983"/>
      <c r="AC1841" s="983"/>
      <c r="AD1841" s="983"/>
      <c r="AE1841" s="983"/>
      <c r="AF1841" s="983"/>
    </row>
    <row r="1842" spans="1:32" ht="12.75" thickBot="1">
      <c r="A1842" s="596" t="s">
        <v>1503</v>
      </c>
      <c r="B1842" s="596" t="s">
        <v>155</v>
      </c>
      <c r="C1842" s="831"/>
      <c r="D1842" s="831"/>
      <c r="E1842" s="602">
        <v>250340515.79999998</v>
      </c>
      <c r="F1842" s="602">
        <v>15600.000015599999</v>
      </c>
      <c r="G1842" s="602">
        <v>2185472.7029340002</v>
      </c>
      <c r="H1842" s="602">
        <v>7239847.7169360006</v>
      </c>
      <c r="I1842" s="602"/>
      <c r="J1842" s="602">
        <v>386969.143181569</v>
      </c>
      <c r="K1842" s="602">
        <v>3908840.6152066207</v>
      </c>
      <c r="L1842" s="602">
        <v>471296.32572403201</v>
      </c>
      <c r="M1842" s="602">
        <v>811858.31584271893</v>
      </c>
      <c r="N1842" s="602"/>
      <c r="O1842" s="602">
        <v>1513529.95273815</v>
      </c>
      <c r="P1842" s="602"/>
      <c r="Q1842" s="602"/>
      <c r="R1842" s="602">
        <v>16533414.772578701</v>
      </c>
      <c r="S1842" s="983"/>
      <c r="T1842" s="987"/>
      <c r="U1842" s="983"/>
      <c r="V1842" s="983"/>
      <c r="W1842" s="983"/>
      <c r="X1842" s="983"/>
      <c r="Y1842" s="983"/>
      <c r="Z1842" s="983"/>
      <c r="AA1842" s="983"/>
      <c r="AB1842" s="983"/>
      <c r="AC1842" s="983"/>
      <c r="AD1842" s="983"/>
      <c r="AE1842" s="983"/>
      <c r="AF1842" s="983"/>
    </row>
    <row r="1843" spans="1:32" ht="12.75" thickBot="1">
      <c r="A1843" s="596" t="s">
        <v>1504</v>
      </c>
      <c r="B1843" s="596" t="s">
        <v>155</v>
      </c>
      <c r="C1843" s="831"/>
      <c r="D1843" s="831"/>
      <c r="E1843" s="602">
        <v>255284574.80000001</v>
      </c>
      <c r="F1843" s="602">
        <v>15600.000015599999</v>
      </c>
      <c r="G1843" s="602">
        <v>2228634.338004</v>
      </c>
      <c r="H1843" s="602">
        <v>7382829.9032160006</v>
      </c>
      <c r="I1843" s="602"/>
      <c r="J1843" s="602">
        <v>384520.57835948502</v>
      </c>
      <c r="K1843" s="602">
        <v>3872727.9670715951</v>
      </c>
      <c r="L1843" s="602">
        <v>403045.79799686698</v>
      </c>
      <c r="M1843" s="602">
        <v>601286.20745252701</v>
      </c>
      <c r="N1843" s="602"/>
      <c r="O1843" s="602">
        <v>1289959.4600656801</v>
      </c>
      <c r="P1843" s="602"/>
      <c r="Q1843" s="602"/>
      <c r="R1843" s="602">
        <v>16178604.252181699</v>
      </c>
      <c r="S1843" s="983"/>
      <c r="T1843" s="987"/>
      <c r="U1843" s="983"/>
      <c r="V1843" s="983"/>
      <c r="W1843" s="983"/>
      <c r="X1843" s="983"/>
      <c r="Y1843" s="983"/>
      <c r="Z1843" s="983"/>
      <c r="AA1843" s="983"/>
      <c r="AB1843" s="983"/>
      <c r="AC1843" s="983"/>
      <c r="AD1843" s="983"/>
      <c r="AE1843" s="983"/>
      <c r="AF1843" s="983"/>
    </row>
    <row r="1844" spans="1:32" ht="12.75" thickBot="1">
      <c r="A1844" s="596" t="s">
        <v>1505</v>
      </c>
      <c r="B1844" s="596" t="s">
        <v>155</v>
      </c>
      <c r="C1844" s="831"/>
      <c r="D1844" s="831"/>
      <c r="E1844" s="602">
        <v>243518260.59999999</v>
      </c>
      <c r="F1844" s="602">
        <v>15600.000015599999</v>
      </c>
      <c r="G1844" s="602">
        <v>2125914.4150379999</v>
      </c>
      <c r="H1844" s="602">
        <v>7042548.0965520004</v>
      </c>
      <c r="I1844" s="602"/>
      <c r="J1844" s="602">
        <v>369182.0568966</v>
      </c>
      <c r="K1844" s="602">
        <v>3711867.95658461</v>
      </c>
      <c r="L1844" s="602">
        <v>201417.47091057</v>
      </c>
      <c r="M1844" s="602">
        <v>771189.22947570798</v>
      </c>
      <c r="N1844" s="602"/>
      <c r="O1844" s="602">
        <v>1118164.6376215699</v>
      </c>
      <c r="P1844" s="602"/>
      <c r="Q1844" s="602"/>
      <c r="R1844" s="602">
        <v>15355883.8630946</v>
      </c>
      <c r="S1844" s="983"/>
      <c r="T1844" s="987"/>
      <c r="U1844" s="983"/>
      <c r="V1844" s="983"/>
      <c r="W1844" s="983"/>
      <c r="X1844" s="983"/>
      <c r="Y1844" s="983"/>
      <c r="Z1844" s="983"/>
      <c r="AA1844" s="983"/>
      <c r="AB1844" s="983"/>
      <c r="AC1844" s="983"/>
      <c r="AD1844" s="983"/>
      <c r="AE1844" s="983"/>
      <c r="AF1844" s="983"/>
    </row>
    <row r="1845" spans="1:32" ht="12.75" thickBot="1">
      <c r="A1845" s="596" t="s">
        <v>1506</v>
      </c>
      <c r="B1845" s="596" t="s">
        <v>155</v>
      </c>
      <c r="C1845" s="831"/>
      <c r="D1845" s="831"/>
      <c r="E1845" s="602">
        <v>231780499.90000001</v>
      </c>
      <c r="F1845" s="602">
        <v>15600.000015599999</v>
      </c>
      <c r="G1845" s="602">
        <v>2023443.764127</v>
      </c>
      <c r="H1845" s="602">
        <v>6703092.0571079999</v>
      </c>
      <c r="I1845" s="602"/>
      <c r="J1845" s="602">
        <v>386566.39881254401</v>
      </c>
      <c r="K1845" s="602">
        <v>3891662.1466467665</v>
      </c>
      <c r="L1845" s="602">
        <v>222387.98018037598</v>
      </c>
      <c r="M1845" s="602">
        <v>996792.49716129096</v>
      </c>
      <c r="N1845" s="602"/>
      <c r="O1845" s="602">
        <v>1257430.80569131</v>
      </c>
      <c r="P1845" s="602"/>
      <c r="Q1845" s="602"/>
      <c r="R1845" s="602">
        <v>15496975.649742801</v>
      </c>
      <c r="S1845" s="983"/>
      <c r="T1845" s="987"/>
      <c r="U1845" s="983"/>
      <c r="V1845" s="983"/>
      <c r="W1845" s="983"/>
      <c r="X1845" s="983"/>
      <c r="Y1845" s="983"/>
      <c r="Z1845" s="983"/>
      <c r="AA1845" s="983"/>
      <c r="AB1845" s="983"/>
      <c r="AC1845" s="983"/>
      <c r="AD1845" s="983"/>
      <c r="AE1845" s="983"/>
      <c r="AF1845" s="983"/>
    </row>
    <row r="1846" spans="1:32" ht="12.75" thickBot="1">
      <c r="A1846" s="596" t="s">
        <v>1507</v>
      </c>
      <c r="B1846" s="596" t="s">
        <v>155</v>
      </c>
      <c r="C1846" s="831"/>
      <c r="D1846" s="831"/>
      <c r="E1846" s="602">
        <v>237299343.90000001</v>
      </c>
      <c r="F1846" s="602">
        <v>15600.000015599999</v>
      </c>
      <c r="G1846" s="602">
        <v>2071623.2722469999</v>
      </c>
      <c r="H1846" s="602">
        <v>6862697.0255879993</v>
      </c>
      <c r="I1846" s="602"/>
      <c r="J1846" s="602">
        <v>386940.079392543</v>
      </c>
      <c r="K1846" s="602">
        <v>3895673.067496757</v>
      </c>
      <c r="L1846" s="602">
        <v>291600.63280594104</v>
      </c>
      <c r="M1846" s="602">
        <v>577350.307781916</v>
      </c>
      <c r="N1846" s="602"/>
      <c r="O1846" s="602">
        <v>1367555.8288265399</v>
      </c>
      <c r="P1846" s="602"/>
      <c r="Q1846" s="602"/>
      <c r="R1846" s="602">
        <v>15469040.214154299</v>
      </c>
      <c r="S1846" s="983"/>
      <c r="T1846" s="987"/>
      <c r="U1846" s="983"/>
      <c r="V1846" s="983"/>
      <c r="W1846" s="983"/>
      <c r="X1846" s="983"/>
      <c r="Y1846" s="983"/>
      <c r="Z1846" s="983"/>
      <c r="AA1846" s="983"/>
      <c r="AB1846" s="983"/>
      <c r="AC1846" s="983"/>
      <c r="AD1846" s="983"/>
      <c r="AE1846" s="983"/>
      <c r="AF1846" s="983"/>
    </row>
    <row r="1847" spans="1:32" ht="12.75" thickBot="1">
      <c r="A1847" s="596" t="s">
        <v>1508</v>
      </c>
      <c r="B1847" s="596" t="s">
        <v>155</v>
      </c>
      <c r="C1847" s="831"/>
      <c r="D1847" s="831"/>
      <c r="E1847" s="602">
        <v>226428621.09999999</v>
      </c>
      <c r="F1847" s="602">
        <v>15600.000015599999</v>
      </c>
      <c r="G1847" s="602">
        <v>1976721.8622030001</v>
      </c>
      <c r="H1847" s="602">
        <v>6548315.7222119998</v>
      </c>
      <c r="I1847" s="602"/>
      <c r="J1847" s="602">
        <v>386148.17849090201</v>
      </c>
      <c r="K1847" s="602">
        <v>3902222.1416552081</v>
      </c>
      <c r="L1847" s="602">
        <v>296780.91562540497</v>
      </c>
      <c r="M1847" s="602">
        <v>877508.95347679604</v>
      </c>
      <c r="N1847" s="602"/>
      <c r="O1847" s="602">
        <v>1699013.49313434</v>
      </c>
      <c r="P1847" s="602"/>
      <c r="Q1847" s="602"/>
      <c r="R1847" s="602">
        <v>15702311.2668132</v>
      </c>
      <c r="S1847" s="983"/>
      <c r="T1847" s="987"/>
      <c r="U1847" s="983"/>
      <c r="V1847" s="983"/>
      <c r="W1847" s="983"/>
      <c r="X1847" s="983"/>
      <c r="Y1847" s="983"/>
      <c r="Z1847" s="983"/>
      <c r="AA1847" s="983"/>
      <c r="AB1847" s="983"/>
      <c r="AC1847" s="983"/>
      <c r="AD1847" s="983"/>
      <c r="AE1847" s="983"/>
      <c r="AF1847" s="983"/>
    </row>
    <row r="1848" spans="1:32" ht="12.75" thickBot="1">
      <c r="A1848" s="596" t="s">
        <v>1509</v>
      </c>
      <c r="B1848" s="596" t="s">
        <v>155</v>
      </c>
      <c r="C1848" s="831"/>
      <c r="D1848" s="831"/>
      <c r="E1848" s="602">
        <v>268486937.09999996</v>
      </c>
      <c r="F1848" s="602">
        <v>15600.000015599999</v>
      </c>
      <c r="G1848" s="602">
        <v>2343890.9608829999</v>
      </c>
      <c r="H1848" s="602">
        <v>7764642.2209319901</v>
      </c>
      <c r="I1848" s="602"/>
      <c r="J1848" s="602">
        <v>388196.29430244205</v>
      </c>
      <c r="K1848" s="602">
        <v>3927659.9681250183</v>
      </c>
      <c r="L1848" s="602">
        <v>490972.81622886501</v>
      </c>
      <c r="M1848" s="602">
        <v>242295.420193572</v>
      </c>
      <c r="N1848" s="602"/>
      <c r="O1848" s="602">
        <v>1820934.6754353701</v>
      </c>
      <c r="P1848" s="602"/>
      <c r="Q1848" s="602"/>
      <c r="R1848" s="602">
        <v>16994192.356115799</v>
      </c>
      <c r="S1848" s="983"/>
      <c r="T1848" s="987"/>
      <c r="U1848" s="983"/>
      <c r="V1848" s="983"/>
      <c r="W1848" s="983"/>
      <c r="X1848" s="983"/>
      <c r="Y1848" s="983"/>
      <c r="Z1848" s="983"/>
      <c r="AA1848" s="983"/>
      <c r="AB1848" s="983"/>
      <c r="AC1848" s="983"/>
      <c r="AD1848" s="983"/>
      <c r="AE1848" s="983"/>
      <c r="AF1848" s="983"/>
    </row>
    <row r="1849" spans="1:32" ht="12.75" thickBot="1">
      <c r="A1849" s="596" t="s">
        <v>1510</v>
      </c>
      <c r="B1849" s="596" t="s">
        <v>155</v>
      </c>
      <c r="C1849" s="831"/>
      <c r="D1849" s="831"/>
      <c r="E1849" s="602">
        <v>279162974.60000002</v>
      </c>
      <c r="F1849" s="602">
        <v>15600.000015599999</v>
      </c>
      <c r="G1849" s="602">
        <v>2437092.7682579998</v>
      </c>
      <c r="H1849" s="602">
        <v>8073393.2254320001</v>
      </c>
      <c r="I1849" s="602"/>
      <c r="J1849" s="602">
        <v>419159.620212098</v>
      </c>
      <c r="K1849" s="602">
        <v>4235464.6060728626</v>
      </c>
      <c r="L1849" s="602">
        <v>401010.423619034</v>
      </c>
      <c r="M1849" s="602">
        <v>576172.07138749992</v>
      </c>
      <c r="N1849" s="602"/>
      <c r="O1849" s="602">
        <v>1648693.6115218501</v>
      </c>
      <c r="P1849" s="602"/>
      <c r="Q1849" s="602"/>
      <c r="R1849" s="602">
        <v>17806586.326518901</v>
      </c>
      <c r="S1849" s="983"/>
      <c r="T1849" s="987"/>
      <c r="U1849" s="983"/>
      <c r="V1849" s="983"/>
      <c r="W1849" s="983"/>
      <c r="X1849" s="983"/>
      <c r="Y1849" s="983"/>
      <c r="Z1849" s="983"/>
      <c r="AA1849" s="983"/>
      <c r="AB1849" s="983"/>
      <c r="AC1849" s="983"/>
      <c r="AD1849" s="983"/>
      <c r="AE1849" s="983"/>
      <c r="AF1849" s="983"/>
    </row>
    <row r="1850" spans="1:32" ht="12" thickBot="1">
      <c r="A1850" s="979"/>
      <c r="B1850" s="979"/>
      <c r="C1850" s="979"/>
      <c r="D1850" s="986"/>
      <c r="E1850" s="980"/>
      <c r="F1850" s="981"/>
      <c r="G1850" s="583"/>
      <c r="H1850" s="981"/>
      <c r="I1850" s="981"/>
      <c r="J1850" s="981"/>
      <c r="K1850" s="981"/>
      <c r="L1850" s="981"/>
      <c r="M1850" s="583"/>
      <c r="N1850" s="583"/>
      <c r="O1850" s="981"/>
      <c r="P1850" s="981"/>
      <c r="Q1850" s="981"/>
      <c r="R1850" s="583"/>
      <c r="S1850" s="982"/>
      <c r="T1850" s="846"/>
      <c r="U1850" s="982"/>
      <c r="V1850" s="983"/>
      <c r="W1850" s="984"/>
      <c r="X1850" s="985"/>
      <c r="Y1850" s="983"/>
      <c r="Z1850" s="983"/>
      <c r="AA1850" s="983"/>
      <c r="AB1850" s="983"/>
      <c r="AC1850" s="983"/>
      <c r="AD1850" s="983"/>
      <c r="AE1850" s="983"/>
      <c r="AF1850" s="983"/>
    </row>
    <row r="1851" spans="1:32" ht="12.75" thickBot="1">
      <c r="A1851" s="596" t="s">
        <v>1499</v>
      </c>
      <c r="B1851" s="541" t="s">
        <v>163</v>
      </c>
      <c r="C1851" s="831"/>
      <c r="D1851" s="831"/>
      <c r="E1851" s="602">
        <v>104399599.54882699</v>
      </c>
      <c r="F1851" s="602">
        <v>649578.723977988</v>
      </c>
      <c r="G1851" s="602">
        <v>6119904.5255522812</v>
      </c>
      <c r="H1851" s="602">
        <v>3019236.4189521</v>
      </c>
      <c r="I1851" s="602">
        <v>491722.11387497798</v>
      </c>
      <c r="J1851" s="602"/>
      <c r="K1851" s="602"/>
      <c r="L1851" s="602">
        <v>153705.80905162101</v>
      </c>
      <c r="M1851" s="602">
        <v>204835.284994007</v>
      </c>
      <c r="N1851" s="602">
        <v>447891.90804689098</v>
      </c>
      <c r="O1851" s="602"/>
      <c r="P1851" s="602"/>
      <c r="Q1851" s="602"/>
      <c r="R1851" s="602">
        <v>11086874.784449799</v>
      </c>
      <c r="S1851" s="983"/>
      <c r="T1851" s="987"/>
      <c r="U1851" s="983"/>
      <c r="V1851" s="983"/>
      <c r="W1851" s="983"/>
      <c r="X1851" s="983"/>
      <c r="Y1851" s="983"/>
      <c r="Z1851" s="983"/>
      <c r="AA1851" s="983"/>
      <c r="AB1851" s="983"/>
      <c r="AC1851" s="983"/>
      <c r="AD1851" s="983"/>
      <c r="AE1851" s="983"/>
      <c r="AF1851" s="983"/>
    </row>
    <row r="1852" spans="1:32" ht="12.75" thickBot="1">
      <c r="A1852" s="596" t="s">
        <v>1500</v>
      </c>
      <c r="B1852" s="541" t="s">
        <v>163</v>
      </c>
      <c r="C1852" s="831"/>
      <c r="D1852" s="831"/>
      <c r="E1852" s="602">
        <v>108396951.864958</v>
      </c>
      <c r="F1852" s="602">
        <v>649657.52958291792</v>
      </c>
      <c r="G1852" s="602">
        <v>6354229.3183238562</v>
      </c>
      <c r="H1852" s="602">
        <v>3134839.8479345902</v>
      </c>
      <c r="I1852" s="602">
        <v>510549.64328395401</v>
      </c>
      <c r="J1852" s="602"/>
      <c r="K1852" s="602"/>
      <c r="L1852" s="602">
        <v>199532.994470429</v>
      </c>
      <c r="M1852" s="602">
        <v>232501.588011952</v>
      </c>
      <c r="N1852" s="602">
        <v>459102.53200099204</v>
      </c>
      <c r="O1852" s="602"/>
      <c r="P1852" s="602"/>
      <c r="Q1852" s="602"/>
      <c r="R1852" s="602">
        <v>11540413.453608701</v>
      </c>
      <c r="S1852" s="983"/>
      <c r="T1852" s="987"/>
      <c r="U1852" s="983"/>
      <c r="V1852" s="983"/>
      <c r="W1852" s="983"/>
      <c r="X1852" s="983"/>
      <c r="Y1852" s="983"/>
      <c r="Z1852" s="983"/>
      <c r="AA1852" s="983"/>
      <c r="AB1852" s="983"/>
      <c r="AC1852" s="983"/>
      <c r="AD1852" s="983"/>
      <c r="AE1852" s="983"/>
      <c r="AF1852" s="983"/>
    </row>
    <row r="1853" spans="1:32" ht="12.75" thickBot="1">
      <c r="A1853" s="541" t="s">
        <v>1501</v>
      </c>
      <c r="B1853" s="541" t="s">
        <v>163</v>
      </c>
      <c r="C1853" s="831"/>
      <c r="D1853" s="831"/>
      <c r="E1853" s="602">
        <v>88529550.675826401</v>
      </c>
      <c r="F1853" s="602">
        <v>649736.33518784505</v>
      </c>
      <c r="G1853" s="602">
        <v>5189602.2606169479</v>
      </c>
      <c r="H1853" s="602">
        <v>2560274.6055449001</v>
      </c>
      <c r="I1853" s="602">
        <v>416974.18368314195</v>
      </c>
      <c r="J1853" s="602"/>
      <c r="K1853" s="602"/>
      <c r="L1853" s="602">
        <v>167190.519634305</v>
      </c>
      <c r="M1853" s="602">
        <v>37139.566107254897</v>
      </c>
      <c r="N1853" s="602">
        <v>504247.37919085799</v>
      </c>
      <c r="O1853" s="602"/>
      <c r="P1853" s="602"/>
      <c r="Q1853" s="602"/>
      <c r="R1853" s="602">
        <v>9525164.8499652501</v>
      </c>
      <c r="S1853" s="983"/>
      <c r="T1853" s="987"/>
      <c r="U1853" s="983"/>
      <c r="V1853" s="983"/>
      <c r="W1853" s="983"/>
      <c r="X1853" s="983"/>
      <c r="Y1853" s="983"/>
      <c r="Z1853" s="983"/>
      <c r="AA1853" s="983"/>
      <c r="AB1853" s="983"/>
      <c r="AC1853" s="983"/>
      <c r="AD1853" s="983"/>
      <c r="AE1853" s="983"/>
      <c r="AF1853" s="983"/>
    </row>
    <row r="1854" spans="1:32" ht="12.75" thickBot="1">
      <c r="A1854" s="541" t="s">
        <v>1502</v>
      </c>
      <c r="B1854" s="541" t="s">
        <v>163</v>
      </c>
      <c r="C1854" s="831"/>
      <c r="D1854" s="831"/>
      <c r="E1854" s="602">
        <v>82175085.474145204</v>
      </c>
      <c r="F1854" s="602">
        <v>649815.14079277206</v>
      </c>
      <c r="G1854" s="602">
        <v>4817103.5104943858</v>
      </c>
      <c r="H1854" s="602">
        <v>2376503.4719122802</v>
      </c>
      <c r="I1854" s="602">
        <v>387044.652583224</v>
      </c>
      <c r="J1854" s="602"/>
      <c r="K1854" s="602"/>
      <c r="L1854" s="602">
        <v>156469.90298499799</v>
      </c>
      <c r="M1854" s="602">
        <v>194782.48845298501</v>
      </c>
      <c r="N1854" s="602">
        <v>513368.44741878996</v>
      </c>
      <c r="O1854" s="602"/>
      <c r="P1854" s="602"/>
      <c r="Q1854" s="602"/>
      <c r="R1854" s="602">
        <v>9095087.6146394406</v>
      </c>
      <c r="S1854" s="983"/>
      <c r="T1854" s="987"/>
      <c r="U1854" s="983"/>
      <c r="V1854" s="983"/>
      <c r="W1854" s="983"/>
      <c r="X1854" s="983"/>
      <c r="Y1854" s="983"/>
      <c r="Z1854" s="983"/>
      <c r="AA1854" s="983"/>
      <c r="AB1854" s="983"/>
      <c r="AC1854" s="983"/>
      <c r="AD1854" s="983"/>
      <c r="AE1854" s="983"/>
      <c r="AF1854" s="983"/>
    </row>
    <row r="1855" spans="1:32" ht="12.75" thickBot="1">
      <c r="A1855" s="596" t="s">
        <v>1503</v>
      </c>
      <c r="B1855" s="541" t="s">
        <v>163</v>
      </c>
      <c r="C1855" s="831"/>
      <c r="D1855" s="831"/>
      <c r="E1855" s="602">
        <v>80640902.507249191</v>
      </c>
      <c r="F1855" s="602">
        <v>649893.94639770291</v>
      </c>
      <c r="G1855" s="602">
        <v>4727169.7049749466</v>
      </c>
      <c r="H1855" s="602">
        <v>2332134.9005096401</v>
      </c>
      <c r="I1855" s="602">
        <v>379818.65080914402</v>
      </c>
      <c r="J1855" s="602"/>
      <c r="K1855" s="602"/>
      <c r="L1855" s="602">
        <v>151816.26087684403</v>
      </c>
      <c r="M1855" s="602">
        <v>261519.74277258501</v>
      </c>
      <c r="N1855" s="602">
        <v>487545.61749832</v>
      </c>
      <c r="O1855" s="602"/>
      <c r="P1855" s="602"/>
      <c r="Q1855" s="602"/>
      <c r="R1855" s="602">
        <v>8989898.8238391895</v>
      </c>
      <c r="S1855" s="983"/>
      <c r="T1855" s="987"/>
      <c r="U1855" s="983"/>
      <c r="V1855" s="983"/>
      <c r="W1855" s="983"/>
      <c r="X1855" s="983"/>
      <c r="Y1855" s="983"/>
      <c r="Z1855" s="983"/>
      <c r="AA1855" s="983"/>
      <c r="AB1855" s="983"/>
      <c r="AC1855" s="983"/>
      <c r="AD1855" s="983"/>
      <c r="AE1855" s="983"/>
      <c r="AF1855" s="983"/>
    </row>
    <row r="1856" spans="1:32" ht="12.75" thickBot="1">
      <c r="A1856" s="596" t="s">
        <v>1504</v>
      </c>
      <c r="B1856" s="541" t="s">
        <v>163</v>
      </c>
      <c r="C1856" s="831"/>
      <c r="D1856" s="831"/>
      <c r="E1856" s="602">
        <v>101080234.725722</v>
      </c>
      <c r="F1856" s="602">
        <v>649972.75200263003</v>
      </c>
      <c r="G1856" s="602">
        <v>5925323.3596218284</v>
      </c>
      <c r="H1856" s="602">
        <v>2923240.3882678798</v>
      </c>
      <c r="I1856" s="602">
        <v>476087.90555815102</v>
      </c>
      <c r="J1856" s="602"/>
      <c r="K1856" s="602"/>
      <c r="L1856" s="602">
        <v>159586.46893826802</v>
      </c>
      <c r="M1856" s="602">
        <v>238079.997721197</v>
      </c>
      <c r="N1856" s="602">
        <v>510761.00117783301</v>
      </c>
      <c r="O1856" s="602"/>
      <c r="P1856" s="602"/>
      <c r="Q1856" s="602"/>
      <c r="R1856" s="602">
        <v>10883051.8732877</v>
      </c>
      <c r="S1856" s="983"/>
      <c r="T1856" s="987"/>
      <c r="U1856" s="983"/>
      <c r="V1856" s="983"/>
      <c r="W1856" s="983"/>
      <c r="X1856" s="983"/>
      <c r="Y1856" s="983"/>
      <c r="Z1856" s="983"/>
      <c r="AA1856" s="983"/>
      <c r="AB1856" s="983"/>
      <c r="AC1856" s="983"/>
      <c r="AD1856" s="983"/>
      <c r="AE1856" s="983"/>
      <c r="AF1856" s="983"/>
    </row>
    <row r="1857" spans="1:32" ht="12.75" thickBot="1">
      <c r="A1857" s="596" t="s">
        <v>1505</v>
      </c>
      <c r="B1857" s="541" t="s">
        <v>163</v>
      </c>
      <c r="C1857" s="831"/>
      <c r="D1857" s="831"/>
      <c r="E1857" s="602">
        <v>111271195.802183</v>
      </c>
      <c r="F1857" s="602">
        <v>650051.55760755704</v>
      </c>
      <c r="G1857" s="602">
        <v>6522717.4979239963</v>
      </c>
      <c r="H1857" s="602">
        <v>3217962.9825991401</v>
      </c>
      <c r="I1857" s="602">
        <v>524087.33222828404</v>
      </c>
      <c r="J1857" s="602"/>
      <c r="K1857" s="602"/>
      <c r="L1857" s="602">
        <v>92034.0133362083</v>
      </c>
      <c r="M1857" s="602">
        <v>352380.75182574801</v>
      </c>
      <c r="N1857" s="602">
        <v>510924.790713077</v>
      </c>
      <c r="O1857" s="602"/>
      <c r="P1857" s="602"/>
      <c r="Q1857" s="602"/>
      <c r="R1857" s="602">
        <v>11870158.926233999</v>
      </c>
      <c r="S1857" s="983"/>
      <c r="T1857" s="987"/>
      <c r="U1857" s="983"/>
      <c r="V1857" s="983"/>
      <c r="W1857" s="983"/>
      <c r="X1857" s="983"/>
      <c r="Y1857" s="983"/>
      <c r="Z1857" s="983"/>
      <c r="AA1857" s="983"/>
      <c r="AB1857" s="983"/>
      <c r="AC1857" s="983"/>
      <c r="AD1857" s="983"/>
      <c r="AE1857" s="983"/>
      <c r="AF1857" s="983"/>
    </row>
    <row r="1858" spans="1:32" ht="12.75" thickBot="1">
      <c r="A1858" s="596" t="s">
        <v>1506</v>
      </c>
      <c r="B1858" s="541" t="s">
        <v>163</v>
      </c>
      <c r="C1858" s="831"/>
      <c r="D1858" s="831"/>
      <c r="E1858" s="602">
        <v>99957152.921660393</v>
      </c>
      <c r="F1858" s="602">
        <v>650130.36321248708</v>
      </c>
      <c r="G1858" s="602">
        <v>5859488.3042677306</v>
      </c>
      <c r="H1858" s="602">
        <v>2890760.8624944203</v>
      </c>
      <c r="I1858" s="602">
        <v>470798.19026102003</v>
      </c>
      <c r="J1858" s="602"/>
      <c r="K1858" s="602"/>
      <c r="L1858" s="602">
        <v>95906.555350513794</v>
      </c>
      <c r="M1858" s="602">
        <v>429874.55852801399</v>
      </c>
      <c r="N1858" s="602">
        <v>542276.86706656008</v>
      </c>
      <c r="O1858" s="602"/>
      <c r="P1858" s="602"/>
      <c r="Q1858" s="602"/>
      <c r="R1858" s="602">
        <v>10939235.7011807</v>
      </c>
      <c r="S1858" s="983"/>
      <c r="T1858" s="987"/>
      <c r="U1858" s="983"/>
      <c r="V1858" s="983"/>
      <c r="W1858" s="983"/>
      <c r="X1858" s="983"/>
      <c r="Y1858" s="983"/>
      <c r="Z1858" s="983"/>
      <c r="AA1858" s="983"/>
      <c r="AB1858" s="983"/>
      <c r="AC1858" s="983"/>
      <c r="AD1858" s="983"/>
      <c r="AE1858" s="983"/>
      <c r="AF1858" s="983"/>
    </row>
    <row r="1859" spans="1:32" ht="12.75" thickBot="1">
      <c r="A1859" s="596" t="s">
        <v>1507</v>
      </c>
      <c r="B1859" s="541" t="s">
        <v>163</v>
      </c>
      <c r="C1859" s="831"/>
      <c r="D1859" s="831"/>
      <c r="E1859" s="602">
        <v>91489582.043029398</v>
      </c>
      <c r="F1859" s="602">
        <v>650209.16881741397</v>
      </c>
      <c r="G1859" s="602">
        <v>5363119.2993623819</v>
      </c>
      <c r="H1859" s="602">
        <v>2645878.7126844102</v>
      </c>
      <c r="I1859" s="602">
        <v>430915.93142266799</v>
      </c>
      <c r="J1859" s="602"/>
      <c r="K1859" s="602"/>
      <c r="L1859" s="602">
        <v>112425.17396146199</v>
      </c>
      <c r="M1859" s="602">
        <v>222594.540226126</v>
      </c>
      <c r="N1859" s="602">
        <v>527254.34947925899</v>
      </c>
      <c r="O1859" s="602"/>
      <c r="P1859" s="602"/>
      <c r="Q1859" s="602"/>
      <c r="R1859" s="602">
        <v>9952397.1759537198</v>
      </c>
      <c r="S1859" s="983"/>
      <c r="T1859" s="987"/>
      <c r="U1859" s="983"/>
      <c r="V1859" s="983"/>
      <c r="W1859" s="983"/>
      <c r="X1859" s="983"/>
      <c r="Y1859" s="983"/>
      <c r="Z1859" s="983"/>
      <c r="AA1859" s="983"/>
      <c r="AB1859" s="983"/>
      <c r="AC1859" s="983"/>
      <c r="AD1859" s="983"/>
      <c r="AE1859" s="983"/>
      <c r="AF1859" s="983"/>
    </row>
    <row r="1860" spans="1:32" ht="12.75" thickBot="1">
      <c r="A1860" s="596" t="s">
        <v>1508</v>
      </c>
      <c r="B1860" s="541" t="s">
        <v>163</v>
      </c>
      <c r="C1860" s="831"/>
      <c r="D1860" s="831"/>
      <c r="E1860" s="602">
        <v>78553026.580020204</v>
      </c>
      <c r="F1860" s="602">
        <v>650287.97442234098</v>
      </c>
      <c r="G1860" s="602">
        <v>4604778.4181207856</v>
      </c>
      <c r="H1860" s="602">
        <v>2271753.5286941803</v>
      </c>
      <c r="I1860" s="602">
        <v>369984.755191895</v>
      </c>
      <c r="J1860" s="602"/>
      <c r="K1860" s="602"/>
      <c r="L1860" s="602">
        <v>102959.771782866</v>
      </c>
      <c r="M1860" s="602">
        <v>304426.99254095496</v>
      </c>
      <c r="N1860" s="602">
        <v>589424.83259239898</v>
      </c>
      <c r="O1860" s="602"/>
      <c r="P1860" s="602"/>
      <c r="Q1860" s="602"/>
      <c r="R1860" s="602">
        <v>8893616.2733454295</v>
      </c>
      <c r="S1860" s="983"/>
      <c r="T1860" s="987"/>
      <c r="U1860" s="983"/>
      <c r="V1860" s="983"/>
      <c r="W1860" s="983"/>
      <c r="X1860" s="983"/>
      <c r="Y1860" s="983"/>
      <c r="Z1860" s="983"/>
      <c r="AA1860" s="983"/>
      <c r="AB1860" s="983"/>
      <c r="AC1860" s="983"/>
      <c r="AD1860" s="983"/>
      <c r="AE1860" s="983"/>
      <c r="AF1860" s="983"/>
    </row>
    <row r="1861" spans="1:32" ht="12.75" thickBot="1">
      <c r="A1861" s="596" t="s">
        <v>1509</v>
      </c>
      <c r="B1861" s="541" t="s">
        <v>163</v>
      </c>
      <c r="C1861" s="831"/>
      <c r="D1861" s="831"/>
      <c r="E1861" s="602">
        <v>86460113.40331991</v>
      </c>
      <c r="F1861" s="602">
        <v>650366.78002726799</v>
      </c>
      <c r="G1861" s="602">
        <v>5068291.8477026122</v>
      </c>
      <c r="H1861" s="602">
        <v>2500426.4796240102</v>
      </c>
      <c r="I1861" s="602">
        <v>407227.13412963704</v>
      </c>
      <c r="J1861" s="602"/>
      <c r="K1861" s="602"/>
      <c r="L1861" s="602">
        <v>158106.63203060901</v>
      </c>
      <c r="M1861" s="602">
        <v>78025.730910099097</v>
      </c>
      <c r="N1861" s="602">
        <v>586390.60893879191</v>
      </c>
      <c r="O1861" s="602"/>
      <c r="P1861" s="602"/>
      <c r="Q1861" s="602"/>
      <c r="R1861" s="602">
        <v>9448835.2133630309</v>
      </c>
      <c r="S1861" s="983"/>
      <c r="T1861" s="987"/>
      <c r="U1861" s="983"/>
      <c r="V1861" s="983"/>
      <c r="W1861" s="983"/>
      <c r="X1861" s="983"/>
      <c r="Y1861" s="983"/>
      <c r="Z1861" s="983"/>
      <c r="AA1861" s="983"/>
      <c r="AB1861" s="983"/>
      <c r="AC1861" s="983"/>
      <c r="AD1861" s="983"/>
      <c r="AE1861" s="983"/>
      <c r="AF1861" s="983"/>
    </row>
    <row r="1862" spans="1:32" ht="12.75" thickBot="1">
      <c r="A1862" s="596" t="s">
        <v>1510</v>
      </c>
      <c r="B1862" s="541" t="s">
        <v>163</v>
      </c>
      <c r="C1862" s="831"/>
      <c r="D1862" s="831"/>
      <c r="E1862" s="602">
        <v>98940300.627214</v>
      </c>
      <c r="F1862" s="602">
        <v>650445.58563219907</v>
      </c>
      <c r="G1862" s="602">
        <v>5799880.4227672815</v>
      </c>
      <c r="H1862" s="602">
        <v>2861353.4941390296</v>
      </c>
      <c r="I1862" s="602">
        <v>466008.81595417799</v>
      </c>
      <c r="J1862" s="602"/>
      <c r="K1862" s="602"/>
      <c r="L1862" s="602">
        <v>142125.193802522</v>
      </c>
      <c r="M1862" s="602">
        <v>204205.58291358699</v>
      </c>
      <c r="N1862" s="602">
        <v>584326.20514905208</v>
      </c>
      <c r="O1862" s="602"/>
      <c r="P1862" s="602"/>
      <c r="Q1862" s="602"/>
      <c r="R1862" s="602">
        <v>10708345.3003578</v>
      </c>
      <c r="S1862" s="983"/>
      <c r="T1862" s="987"/>
      <c r="U1862" s="983"/>
      <c r="V1862" s="983"/>
      <c r="W1862" s="983"/>
      <c r="X1862" s="983"/>
      <c r="Y1862" s="983"/>
      <c r="Z1862" s="983"/>
      <c r="AA1862" s="983"/>
      <c r="AB1862" s="983"/>
      <c r="AC1862" s="983"/>
      <c r="AD1862" s="983"/>
      <c r="AE1862" s="983"/>
      <c r="AF1862" s="983"/>
    </row>
    <row r="1863" spans="1:32" ht="12" thickBot="1">
      <c r="A1863" s="979"/>
      <c r="B1863" s="979"/>
      <c r="C1863" s="979"/>
      <c r="D1863" s="986"/>
      <c r="E1863" s="980"/>
      <c r="F1863" s="981"/>
      <c r="G1863" s="583"/>
      <c r="H1863" s="981"/>
      <c r="I1863" s="981"/>
      <c r="J1863" s="981"/>
      <c r="K1863" s="981"/>
      <c r="L1863" s="981"/>
      <c r="M1863" s="583"/>
      <c r="N1863" s="583"/>
      <c r="O1863" s="981"/>
      <c r="P1863" s="981"/>
      <c r="Q1863" s="583"/>
      <c r="R1863" s="583"/>
      <c r="S1863" s="982"/>
      <c r="T1863" s="846"/>
      <c r="U1863" s="982"/>
      <c r="V1863" s="983"/>
      <c r="W1863" s="984"/>
      <c r="X1863" s="985"/>
      <c r="Y1863" s="983"/>
      <c r="Z1863" s="983"/>
      <c r="AA1863" s="983"/>
      <c r="AB1863" s="983"/>
      <c r="AC1863" s="983"/>
      <c r="AD1863" s="983"/>
      <c r="AE1863" s="983"/>
      <c r="AF1863" s="983"/>
    </row>
    <row r="1864" spans="1:32" ht="12.75" thickBot="1">
      <c r="A1864" s="596" t="s">
        <v>1499</v>
      </c>
      <c r="B1864" s="596" t="s">
        <v>167</v>
      </c>
      <c r="C1864" s="831"/>
      <c r="D1864" s="831"/>
      <c r="E1864" s="602">
        <v>11659181.0783408</v>
      </c>
      <c r="F1864" s="602">
        <v>9170</v>
      </c>
      <c r="G1864" s="602">
        <v>493533.13504616654</v>
      </c>
      <c r="H1864" s="602">
        <v>337183.516785616</v>
      </c>
      <c r="I1864" s="602">
        <v>36726.420396773501</v>
      </c>
      <c r="J1864" s="602"/>
      <c r="K1864" s="602"/>
      <c r="L1864" s="600">
        <v>17165.620062436799</v>
      </c>
      <c r="M1864" s="600">
        <v>22875.678539951801</v>
      </c>
      <c r="N1864" s="600">
        <v>50019.855267738996</v>
      </c>
      <c r="O1864" s="602"/>
      <c r="P1864" s="602"/>
      <c r="Q1864" s="602"/>
      <c r="R1864" s="602">
        <v>966674.22609868401</v>
      </c>
      <c r="S1864" s="983"/>
      <c r="T1864" s="987"/>
      <c r="U1864" s="983"/>
      <c r="V1864" s="983"/>
      <c r="W1864" s="983"/>
      <c r="X1864" s="983"/>
      <c r="Y1864" s="983"/>
      <c r="Z1864" s="983"/>
      <c r="AA1864" s="983"/>
      <c r="AB1864" s="983"/>
      <c r="AC1864" s="983"/>
      <c r="AD1864" s="983"/>
      <c r="AE1864" s="983"/>
      <c r="AF1864" s="983"/>
    </row>
    <row r="1865" spans="1:32" ht="12.75" thickBot="1">
      <c r="A1865" s="596" t="s">
        <v>1500</v>
      </c>
      <c r="B1865" s="596" t="s">
        <v>167</v>
      </c>
      <c r="C1865" s="831"/>
      <c r="D1865" s="831"/>
      <c r="E1865" s="602">
        <v>11667673.848332301</v>
      </c>
      <c r="F1865" s="602">
        <v>9135</v>
      </c>
      <c r="G1865" s="602">
        <v>493892.6339999073</v>
      </c>
      <c r="H1865" s="602">
        <v>337429.12769376999</v>
      </c>
      <c r="I1865" s="602">
        <v>36753.172622246799</v>
      </c>
      <c r="J1865" s="602"/>
      <c r="K1865" s="602"/>
      <c r="L1865" s="600">
        <v>21477.4111394055</v>
      </c>
      <c r="M1865" s="600">
        <v>25026.097611327197</v>
      </c>
      <c r="N1865" s="600">
        <v>49417.059374552206</v>
      </c>
      <c r="O1865" s="602"/>
      <c r="P1865" s="602"/>
      <c r="Q1865" s="602"/>
      <c r="R1865" s="602">
        <v>973130.50244120997</v>
      </c>
      <c r="S1865" s="983"/>
      <c r="T1865" s="987"/>
      <c r="U1865" s="983"/>
      <c r="V1865" s="983"/>
      <c r="W1865" s="983"/>
      <c r="X1865" s="983"/>
      <c r="Y1865" s="983"/>
      <c r="Z1865" s="983"/>
      <c r="AA1865" s="983"/>
      <c r="AB1865" s="983"/>
      <c r="AC1865" s="983"/>
      <c r="AD1865" s="983"/>
      <c r="AE1865" s="983"/>
      <c r="AF1865" s="983"/>
    </row>
    <row r="1866" spans="1:32" ht="12.75" thickBot="1">
      <c r="A1866" s="541" t="s">
        <v>1501</v>
      </c>
      <c r="B1866" s="596" t="s">
        <v>167</v>
      </c>
      <c r="C1866" s="831"/>
      <c r="D1866" s="831"/>
      <c r="E1866" s="602">
        <v>9652888.2753471099</v>
      </c>
      <c r="F1866" s="602">
        <v>9100</v>
      </c>
      <c r="G1866" s="602">
        <v>408606.76069544262</v>
      </c>
      <c r="H1866" s="602">
        <v>279161.52892303804</v>
      </c>
      <c r="I1866" s="602">
        <v>30406.598067343399</v>
      </c>
      <c r="J1866" s="602"/>
      <c r="K1866" s="602"/>
      <c r="L1866" s="600">
        <v>18229.7480830641</v>
      </c>
      <c r="M1866" s="600">
        <v>4049.5414185592599</v>
      </c>
      <c r="N1866" s="600">
        <v>54981.004391283102</v>
      </c>
      <c r="O1866" s="602"/>
      <c r="P1866" s="602"/>
      <c r="Q1866" s="602"/>
      <c r="R1866" s="602">
        <v>804535.18157873105</v>
      </c>
      <c r="S1866" s="983"/>
      <c r="T1866" s="987"/>
      <c r="U1866" s="983"/>
      <c r="V1866" s="983"/>
      <c r="W1866" s="983"/>
      <c r="X1866" s="983"/>
      <c r="Y1866" s="983"/>
      <c r="Z1866" s="983"/>
      <c r="AA1866" s="983"/>
      <c r="AB1866" s="983"/>
      <c r="AC1866" s="983"/>
      <c r="AD1866" s="983"/>
      <c r="AE1866" s="983"/>
      <c r="AF1866" s="983"/>
    </row>
    <row r="1867" spans="1:32" ht="12.75" thickBot="1">
      <c r="A1867" s="541" t="s">
        <v>1502</v>
      </c>
      <c r="B1867" s="596" t="s">
        <v>167</v>
      </c>
      <c r="C1867" s="831"/>
      <c r="D1867" s="831"/>
      <c r="E1867" s="602">
        <v>10393976.359606</v>
      </c>
      <c r="F1867" s="602">
        <v>9100</v>
      </c>
      <c r="G1867" s="602">
        <v>439977.01930212311</v>
      </c>
      <c r="H1867" s="602">
        <v>300593.79631980602</v>
      </c>
      <c r="I1867" s="602">
        <v>32741.025532758897</v>
      </c>
      <c r="J1867" s="602"/>
      <c r="K1867" s="602"/>
      <c r="L1867" s="600">
        <v>19791.211207533401</v>
      </c>
      <c r="M1867" s="600">
        <v>24637.206868285499</v>
      </c>
      <c r="N1867" s="600">
        <v>64933.787113825405</v>
      </c>
      <c r="O1867" s="602"/>
      <c r="P1867" s="602"/>
      <c r="Q1867" s="602"/>
      <c r="R1867" s="602">
        <v>891774.04634433193</v>
      </c>
      <c r="S1867" s="983"/>
      <c r="T1867" s="987"/>
      <c r="U1867" s="983"/>
      <c r="V1867" s="983"/>
      <c r="W1867" s="983"/>
      <c r="X1867" s="983"/>
      <c r="Y1867" s="983"/>
      <c r="Z1867" s="983"/>
      <c r="AA1867" s="983"/>
      <c r="AB1867" s="983"/>
      <c r="AC1867" s="983"/>
      <c r="AD1867" s="983"/>
      <c r="AE1867" s="983"/>
      <c r="AF1867" s="983"/>
    </row>
    <row r="1868" spans="1:32" ht="12.75" thickBot="1">
      <c r="A1868" s="596" t="s">
        <v>1503</v>
      </c>
      <c r="B1868" s="596" t="s">
        <v>167</v>
      </c>
      <c r="C1868" s="831"/>
      <c r="D1868" s="831"/>
      <c r="E1868" s="602">
        <v>11967848.068032101</v>
      </c>
      <c r="F1868" s="602">
        <v>9100</v>
      </c>
      <c r="G1868" s="602">
        <v>506599.00871980086</v>
      </c>
      <c r="H1868" s="602">
        <v>346110.16612748901</v>
      </c>
      <c r="I1868" s="602">
        <v>37698.721414301195</v>
      </c>
      <c r="J1868" s="602"/>
      <c r="K1868" s="602"/>
      <c r="L1868" s="600">
        <v>22530.922744415799</v>
      </c>
      <c r="M1868" s="600">
        <v>38811.923614220301</v>
      </c>
      <c r="N1868" s="600">
        <v>72356.232321808202</v>
      </c>
      <c r="O1868" s="602"/>
      <c r="P1868" s="602"/>
      <c r="Q1868" s="602"/>
      <c r="R1868" s="602">
        <v>1033206.97494203</v>
      </c>
      <c r="S1868" s="983"/>
      <c r="T1868" s="987"/>
      <c r="U1868" s="983"/>
      <c r="V1868" s="983"/>
      <c r="W1868" s="983"/>
      <c r="X1868" s="983"/>
      <c r="Y1868" s="983"/>
      <c r="Z1868" s="983"/>
      <c r="AA1868" s="983"/>
      <c r="AB1868" s="983"/>
      <c r="AC1868" s="983"/>
      <c r="AD1868" s="983"/>
      <c r="AE1868" s="983"/>
      <c r="AF1868" s="983"/>
    </row>
    <row r="1869" spans="1:32" ht="12.75" thickBot="1">
      <c r="A1869" s="596" t="s">
        <v>1504</v>
      </c>
      <c r="B1869" s="596" t="s">
        <v>167</v>
      </c>
      <c r="C1869" s="831"/>
      <c r="D1869" s="831"/>
      <c r="E1869" s="602">
        <v>13804282.1561957</v>
      </c>
      <c r="F1869" s="602">
        <v>9100</v>
      </c>
      <c r="G1869" s="602">
        <v>584335.26367176452</v>
      </c>
      <c r="H1869" s="602">
        <v>399219.83995718003</v>
      </c>
      <c r="I1869" s="602">
        <v>43483.488792016498</v>
      </c>
      <c r="J1869" s="602"/>
      <c r="K1869" s="602"/>
      <c r="L1869" s="600">
        <v>21794.336464616699</v>
      </c>
      <c r="M1869" s="600">
        <v>32514.0070480416</v>
      </c>
      <c r="N1869" s="600">
        <v>69753.389411605895</v>
      </c>
      <c r="O1869" s="602"/>
      <c r="P1869" s="602"/>
      <c r="Q1869" s="602"/>
      <c r="R1869" s="602">
        <v>1160200.32534522</v>
      </c>
      <c r="S1869" s="983"/>
      <c r="T1869" s="987"/>
      <c r="U1869" s="983"/>
      <c r="V1869" s="983"/>
      <c r="W1869" s="983"/>
      <c r="X1869" s="983"/>
      <c r="Y1869" s="983"/>
      <c r="Z1869" s="983"/>
      <c r="AA1869" s="983"/>
      <c r="AB1869" s="983"/>
      <c r="AC1869" s="983"/>
      <c r="AD1869" s="983"/>
      <c r="AE1869" s="983"/>
      <c r="AF1869" s="983"/>
    </row>
    <row r="1870" spans="1:32" ht="12.75" thickBot="1">
      <c r="A1870" s="596" t="s">
        <v>1505</v>
      </c>
      <c r="B1870" s="596" t="s">
        <v>167</v>
      </c>
      <c r="C1870" s="831"/>
      <c r="D1870" s="831"/>
      <c r="E1870" s="602">
        <v>14537965.695462</v>
      </c>
      <c r="F1870" s="602">
        <v>9100</v>
      </c>
      <c r="G1870" s="602">
        <v>615392.08788890752</v>
      </c>
      <c r="H1870" s="602">
        <v>420437.96791276202</v>
      </c>
      <c r="I1870" s="602">
        <v>45794.591940705403</v>
      </c>
      <c r="J1870" s="602"/>
      <c r="K1870" s="602"/>
      <c r="L1870" s="600">
        <v>12024.561424469101</v>
      </c>
      <c r="M1870" s="600">
        <v>46039.761187533899</v>
      </c>
      <c r="N1870" s="600">
        <v>66754.086956636107</v>
      </c>
      <c r="O1870" s="602"/>
      <c r="P1870" s="602"/>
      <c r="Q1870" s="602"/>
      <c r="R1870" s="602">
        <v>1215543.0573110101</v>
      </c>
      <c r="S1870" s="983"/>
      <c r="T1870" s="987"/>
      <c r="U1870" s="983"/>
      <c r="V1870" s="983"/>
      <c r="W1870" s="983"/>
      <c r="X1870" s="983"/>
      <c r="Y1870" s="983"/>
      <c r="Z1870" s="983"/>
      <c r="AA1870" s="983"/>
      <c r="AB1870" s="983"/>
      <c r="AC1870" s="983"/>
      <c r="AD1870" s="983"/>
      <c r="AE1870" s="983"/>
      <c r="AF1870" s="983"/>
    </row>
    <row r="1871" spans="1:32" ht="12.75" thickBot="1">
      <c r="A1871" s="596" t="s">
        <v>1506</v>
      </c>
      <c r="B1871" s="596" t="s">
        <v>167</v>
      </c>
      <c r="C1871" s="831"/>
      <c r="D1871" s="831"/>
      <c r="E1871" s="602">
        <v>13339326.8066606</v>
      </c>
      <c r="F1871" s="602">
        <v>9100</v>
      </c>
      <c r="G1871" s="602">
        <v>564653.7037259459</v>
      </c>
      <c r="H1871" s="602">
        <v>385773.331248626</v>
      </c>
      <c r="I1871" s="602">
        <v>42018.879440981102</v>
      </c>
      <c r="J1871" s="602"/>
      <c r="K1871" s="602"/>
      <c r="L1871" s="600">
        <v>12798.772747401501</v>
      </c>
      <c r="M1871" s="600">
        <v>57366.952283727602</v>
      </c>
      <c r="N1871" s="600">
        <v>72367.090678964596</v>
      </c>
      <c r="O1871" s="602"/>
      <c r="P1871" s="602"/>
      <c r="Q1871" s="602"/>
      <c r="R1871" s="602">
        <v>1144078.7301256401</v>
      </c>
      <c r="S1871" s="983"/>
      <c r="T1871" s="987"/>
      <c r="U1871" s="983"/>
      <c r="V1871" s="983"/>
      <c r="W1871" s="983"/>
      <c r="X1871" s="983"/>
      <c r="Y1871" s="983"/>
      <c r="Z1871" s="983"/>
      <c r="AA1871" s="983"/>
      <c r="AB1871" s="983"/>
      <c r="AC1871" s="983"/>
      <c r="AD1871" s="983"/>
      <c r="AE1871" s="983"/>
      <c r="AF1871" s="983"/>
    </row>
    <row r="1872" spans="1:32" ht="12.75" thickBot="1">
      <c r="A1872" s="596" t="s">
        <v>1507</v>
      </c>
      <c r="B1872" s="596" t="s">
        <v>167</v>
      </c>
      <c r="C1872" s="831"/>
      <c r="D1872" s="831"/>
      <c r="E1872" s="602">
        <v>12757915.517242</v>
      </c>
      <c r="F1872" s="602">
        <v>8995</v>
      </c>
      <c r="G1872" s="602">
        <v>540042.5638448575</v>
      </c>
      <c r="H1872" s="602">
        <v>368958.91675864102</v>
      </c>
      <c r="I1872" s="602">
        <v>40187.433879312499</v>
      </c>
      <c r="J1872" s="602"/>
      <c r="K1872" s="602"/>
      <c r="L1872" s="600">
        <v>15677.313628310101</v>
      </c>
      <c r="M1872" s="600">
        <v>31040.062435399799</v>
      </c>
      <c r="N1872" s="600">
        <v>73523.8515308895</v>
      </c>
      <c r="O1872" s="602"/>
      <c r="P1872" s="602"/>
      <c r="Q1872" s="602"/>
      <c r="R1872" s="602">
        <v>1078425.1420774101</v>
      </c>
      <c r="S1872" s="983"/>
      <c r="T1872" s="987"/>
      <c r="U1872" s="983"/>
      <c r="V1872" s="983"/>
      <c r="W1872" s="983"/>
      <c r="X1872" s="983"/>
      <c r="Y1872" s="983"/>
      <c r="Z1872" s="983"/>
      <c r="AA1872" s="983"/>
      <c r="AB1872" s="983"/>
      <c r="AC1872" s="983"/>
      <c r="AD1872" s="983"/>
      <c r="AE1872" s="983"/>
      <c r="AF1872" s="983"/>
    </row>
    <row r="1873" spans="1:32" ht="12.75" thickBot="1">
      <c r="A1873" s="596" t="s">
        <v>1508</v>
      </c>
      <c r="B1873" s="596" t="s">
        <v>167</v>
      </c>
      <c r="C1873" s="831"/>
      <c r="D1873" s="831"/>
      <c r="E1873" s="602">
        <v>10527179.3494728</v>
      </c>
      <c r="F1873" s="602">
        <v>8715</v>
      </c>
      <c r="G1873" s="602">
        <v>445615.50186318369</v>
      </c>
      <c r="H1873" s="602">
        <v>304446.02678675397</v>
      </c>
      <c r="I1873" s="602">
        <v>33160.614950839306</v>
      </c>
      <c r="J1873" s="602"/>
      <c r="K1873" s="602"/>
      <c r="L1873" s="600">
        <v>13798.016836880301</v>
      </c>
      <c r="M1873" s="600">
        <v>40797.378392984596</v>
      </c>
      <c r="N1873" s="600">
        <v>78990.984763805493</v>
      </c>
      <c r="O1873" s="602"/>
      <c r="P1873" s="602"/>
      <c r="Q1873" s="602"/>
      <c r="R1873" s="602">
        <v>925523.52359444799</v>
      </c>
      <c r="S1873" s="983"/>
      <c r="T1873" s="987"/>
      <c r="U1873" s="983"/>
      <c r="V1873" s="983"/>
      <c r="W1873" s="983"/>
      <c r="X1873" s="983"/>
      <c r="Y1873" s="983"/>
      <c r="Z1873" s="983"/>
      <c r="AA1873" s="983"/>
      <c r="AB1873" s="983"/>
      <c r="AC1873" s="983"/>
      <c r="AD1873" s="983"/>
      <c r="AE1873" s="983"/>
      <c r="AF1873" s="983"/>
    </row>
    <row r="1874" spans="1:32" ht="12.75" thickBot="1">
      <c r="A1874" s="596" t="s">
        <v>1509</v>
      </c>
      <c r="B1874" s="596" t="s">
        <v>167</v>
      </c>
      <c r="C1874" s="831"/>
      <c r="D1874" s="831"/>
      <c r="E1874" s="602">
        <v>11929227.1480707</v>
      </c>
      <c r="F1874" s="602">
        <v>9309.9999999999891</v>
      </c>
      <c r="G1874" s="602">
        <v>504964.18517783505</v>
      </c>
      <c r="H1874" s="602">
        <v>344993.24912220601</v>
      </c>
      <c r="I1874" s="602">
        <v>37577.065516422896</v>
      </c>
      <c r="J1874" s="602"/>
      <c r="K1874" s="602"/>
      <c r="L1874" s="600">
        <v>21814.566889489601</v>
      </c>
      <c r="M1874" s="600">
        <v>10765.5036615424</v>
      </c>
      <c r="N1874" s="600">
        <v>80906.518580367498</v>
      </c>
      <c r="O1874" s="602"/>
      <c r="P1874" s="602"/>
      <c r="Q1874" s="602"/>
      <c r="R1874" s="602">
        <v>1010331.0889478601</v>
      </c>
      <c r="S1874" s="983"/>
      <c r="T1874" s="987"/>
      <c r="U1874" s="983"/>
      <c r="V1874" s="983"/>
      <c r="W1874" s="983"/>
      <c r="X1874" s="983"/>
      <c r="Y1874" s="983"/>
      <c r="Z1874" s="983"/>
      <c r="AA1874" s="983"/>
      <c r="AB1874" s="983"/>
      <c r="AC1874" s="983"/>
      <c r="AD1874" s="983"/>
      <c r="AE1874" s="983"/>
      <c r="AF1874" s="983"/>
    </row>
    <row r="1875" spans="1:32" ht="12.75" thickBot="1">
      <c r="A1875" s="596" t="s">
        <v>1510</v>
      </c>
      <c r="B1875" s="596" t="s">
        <v>167</v>
      </c>
      <c r="C1875" s="831"/>
      <c r="D1875" s="831"/>
      <c r="E1875" s="602">
        <v>11714399.8082856</v>
      </c>
      <c r="F1875" s="602">
        <v>9274.9999999999891</v>
      </c>
      <c r="G1875" s="602">
        <v>495870.54388472938</v>
      </c>
      <c r="H1875" s="602">
        <v>338780.44245561899</v>
      </c>
      <c r="I1875" s="602">
        <v>36900.3593960996</v>
      </c>
      <c r="J1875" s="602"/>
      <c r="K1875" s="602"/>
      <c r="L1875" s="600">
        <v>16827.433639057301</v>
      </c>
      <c r="M1875" s="600">
        <v>24177.669020300102</v>
      </c>
      <c r="N1875" s="600">
        <v>69183.444381930109</v>
      </c>
      <c r="O1875" s="602"/>
      <c r="P1875" s="602"/>
      <c r="Q1875" s="602"/>
      <c r="R1875" s="602">
        <v>991014.89277773607</v>
      </c>
      <c r="S1875" s="983"/>
      <c r="T1875" s="987"/>
      <c r="U1875" s="983"/>
      <c r="V1875" s="983"/>
      <c r="W1875" s="983"/>
      <c r="X1875" s="983"/>
      <c r="Y1875" s="983"/>
      <c r="Z1875" s="983"/>
      <c r="AA1875" s="983"/>
      <c r="AB1875" s="983"/>
      <c r="AC1875" s="983"/>
      <c r="AD1875" s="983"/>
      <c r="AE1875" s="983"/>
      <c r="AF1875" s="983"/>
    </row>
    <row r="1876" spans="1:32" ht="12.75" thickBot="1">
      <c r="A1876" s="831"/>
      <c r="B1876" s="831"/>
      <c r="C1876" s="831"/>
      <c r="D1876" s="831"/>
      <c r="E1876" s="602"/>
      <c r="F1876" s="602"/>
      <c r="G1876" s="602"/>
      <c r="H1876" s="602"/>
      <c r="I1876" s="602"/>
      <c r="J1876" s="602"/>
      <c r="K1876" s="602"/>
      <c r="L1876" s="602"/>
      <c r="M1876" s="602"/>
      <c r="N1876" s="602"/>
      <c r="O1876" s="602"/>
      <c r="P1876" s="602"/>
      <c r="Q1876" s="602"/>
      <c r="R1876" s="602"/>
      <c r="S1876" s="983"/>
      <c r="T1876" s="987"/>
      <c r="U1876" s="983"/>
      <c r="V1876" s="983"/>
      <c r="W1876" s="983"/>
      <c r="X1876" s="983"/>
      <c r="Y1876" s="983"/>
      <c r="Z1876" s="983"/>
      <c r="AA1876" s="983"/>
      <c r="AB1876" s="983"/>
      <c r="AC1876" s="983"/>
      <c r="AD1876" s="983"/>
      <c r="AE1876" s="983"/>
      <c r="AF1876" s="983"/>
    </row>
    <row r="1877" spans="1:32" ht="12.75" thickBot="1">
      <c r="A1877" s="596" t="s">
        <v>1499</v>
      </c>
      <c r="B1877" s="596" t="s">
        <v>73</v>
      </c>
      <c r="C1877" s="831"/>
      <c r="D1877" s="831"/>
      <c r="E1877" s="602">
        <v>8653918.0756539106</v>
      </c>
      <c r="F1877" s="602"/>
      <c r="G1877" s="602">
        <v>1900253.2928063099</v>
      </c>
      <c r="H1877" s="602">
        <v>250271.31074791099</v>
      </c>
      <c r="I1877" s="602"/>
      <c r="J1877" s="602"/>
      <c r="K1877" s="602"/>
      <c r="L1877" s="602"/>
      <c r="M1877" s="602">
        <v>16979.258378403098</v>
      </c>
      <c r="N1877" s="602">
        <v>37126.769601959</v>
      </c>
      <c r="O1877" s="602"/>
      <c r="P1877" s="602"/>
      <c r="Q1877" s="602"/>
      <c r="R1877" s="602">
        <v>2204630.6315345801</v>
      </c>
      <c r="S1877" s="983"/>
      <c r="T1877" s="987"/>
      <c r="U1877" s="983"/>
      <c r="V1877" s="983"/>
      <c r="W1877" s="983"/>
      <c r="X1877" s="983"/>
      <c r="Y1877" s="983"/>
      <c r="Z1877" s="983"/>
      <c r="AA1877" s="983"/>
      <c r="AB1877" s="983"/>
      <c r="AC1877" s="983"/>
      <c r="AD1877" s="983"/>
      <c r="AE1877" s="983"/>
      <c r="AF1877" s="983"/>
    </row>
    <row r="1878" spans="1:32" ht="12.75" thickBot="1">
      <c r="A1878" s="596" t="s">
        <v>1500</v>
      </c>
      <c r="B1878" s="596" t="s">
        <v>73</v>
      </c>
      <c r="C1878" s="831"/>
      <c r="D1878" s="831"/>
      <c r="E1878" s="602">
        <v>9030465.8850304596</v>
      </c>
      <c r="F1878" s="602"/>
      <c r="G1878" s="602">
        <v>1877334.52237309</v>
      </c>
      <c r="H1878" s="602">
        <v>261161.07339508101</v>
      </c>
      <c r="I1878" s="602"/>
      <c r="J1878" s="602"/>
      <c r="K1878" s="602"/>
      <c r="L1878" s="602"/>
      <c r="M1878" s="602">
        <v>19369.5267499129</v>
      </c>
      <c r="N1878" s="602">
        <v>38247.475428377904</v>
      </c>
      <c r="O1878" s="602"/>
      <c r="P1878" s="602"/>
      <c r="Q1878" s="602"/>
      <c r="R1878" s="602">
        <v>2196112.5979464701</v>
      </c>
      <c r="S1878" s="983"/>
      <c r="T1878" s="987"/>
      <c r="U1878" s="983"/>
      <c r="V1878" s="983"/>
      <c r="W1878" s="983"/>
      <c r="X1878" s="983"/>
      <c r="Y1878" s="983"/>
      <c r="Z1878" s="983"/>
      <c r="AA1878" s="983"/>
      <c r="AB1878" s="983"/>
      <c r="AC1878" s="983"/>
      <c r="AD1878" s="983"/>
      <c r="AE1878" s="983"/>
      <c r="AF1878" s="983"/>
    </row>
    <row r="1879" spans="1:32" ht="12.75" thickBot="1">
      <c r="A1879" s="541" t="s">
        <v>1501</v>
      </c>
      <c r="B1879" s="596" t="s">
        <v>73</v>
      </c>
      <c r="C1879" s="831"/>
      <c r="D1879" s="831"/>
      <c r="E1879" s="602">
        <v>8710078.3197100703</v>
      </c>
      <c r="F1879" s="602"/>
      <c r="G1879" s="602">
        <v>1786438.8053882001</v>
      </c>
      <c r="H1879" s="602">
        <v>251895.465006015</v>
      </c>
      <c r="I1879" s="602"/>
      <c r="J1879" s="602"/>
      <c r="K1879" s="602"/>
      <c r="L1879" s="602"/>
      <c r="M1879" s="602">
        <v>3654.0175239200703</v>
      </c>
      <c r="N1879" s="602">
        <v>49610.939304814405</v>
      </c>
      <c r="O1879" s="602"/>
      <c r="P1879" s="602"/>
      <c r="Q1879" s="602"/>
      <c r="R1879" s="602">
        <v>2091599.22722295</v>
      </c>
      <c r="S1879" s="983"/>
      <c r="T1879" s="987"/>
      <c r="U1879" s="983"/>
      <c r="V1879" s="983"/>
      <c r="W1879" s="983"/>
      <c r="X1879" s="983"/>
      <c r="Y1879" s="983"/>
      <c r="Z1879" s="983"/>
      <c r="AA1879" s="983"/>
      <c r="AB1879" s="983"/>
      <c r="AC1879" s="983"/>
      <c r="AD1879" s="983"/>
      <c r="AE1879" s="983"/>
      <c r="AF1879" s="983"/>
    </row>
    <row r="1880" spans="1:32" ht="12.75" thickBot="1">
      <c r="A1880" s="541" t="s">
        <v>1502</v>
      </c>
      <c r="B1880" s="596" t="s">
        <v>73</v>
      </c>
      <c r="C1880" s="831"/>
      <c r="D1880" s="831"/>
      <c r="E1880" s="602">
        <v>10338470.8403384</v>
      </c>
      <c r="F1880" s="602"/>
      <c r="G1880" s="602">
        <v>1795097.63972632</v>
      </c>
      <c r="H1880" s="602">
        <v>298988.576702588</v>
      </c>
      <c r="I1880" s="602"/>
      <c r="J1880" s="602"/>
      <c r="K1880" s="602"/>
      <c r="L1880" s="602"/>
      <c r="M1880" s="602">
        <v>24505.640188391801</v>
      </c>
      <c r="N1880" s="602">
        <v>64587.030160849397</v>
      </c>
      <c r="O1880" s="602"/>
      <c r="P1880" s="602"/>
      <c r="Q1880" s="602"/>
      <c r="R1880" s="602">
        <v>2183178.8867781502</v>
      </c>
      <c r="S1880" s="983"/>
      <c r="T1880" s="987"/>
      <c r="U1880" s="983"/>
      <c r="V1880" s="983"/>
      <c r="W1880" s="983"/>
      <c r="X1880" s="983"/>
      <c r="Y1880" s="983"/>
      <c r="Z1880" s="983"/>
      <c r="AA1880" s="983"/>
      <c r="AB1880" s="983"/>
      <c r="AC1880" s="983"/>
      <c r="AD1880" s="983"/>
      <c r="AE1880" s="983"/>
      <c r="AF1880" s="983"/>
    </row>
    <row r="1881" spans="1:32" ht="12.75" thickBot="1">
      <c r="A1881" s="596" t="s">
        <v>1503</v>
      </c>
      <c r="B1881" s="596" t="s">
        <v>73</v>
      </c>
      <c r="C1881" s="831"/>
      <c r="D1881" s="831"/>
      <c r="E1881" s="602">
        <v>10615609.5406156</v>
      </c>
      <c r="F1881" s="602"/>
      <c r="G1881" s="602">
        <v>1720327.4659578102</v>
      </c>
      <c r="H1881" s="602">
        <v>307003.42791460297</v>
      </c>
      <c r="I1881" s="602"/>
      <c r="J1881" s="602"/>
      <c r="K1881" s="602"/>
      <c r="L1881" s="602"/>
      <c r="M1881" s="602">
        <v>34426.592338626499</v>
      </c>
      <c r="N1881" s="602">
        <v>64180.7537823034</v>
      </c>
      <c r="O1881" s="602"/>
      <c r="P1881" s="602"/>
      <c r="Q1881" s="602"/>
      <c r="R1881" s="602">
        <v>2125938.2399933501</v>
      </c>
      <c r="S1881" s="983"/>
      <c r="T1881" s="987"/>
      <c r="U1881" s="983"/>
      <c r="V1881" s="983"/>
      <c r="W1881" s="983"/>
      <c r="X1881" s="983"/>
      <c r="Y1881" s="983"/>
      <c r="Z1881" s="983"/>
      <c r="AA1881" s="983"/>
      <c r="AB1881" s="983"/>
      <c r="AC1881" s="983"/>
      <c r="AD1881" s="983"/>
      <c r="AE1881" s="983"/>
      <c r="AF1881" s="983"/>
    </row>
    <row r="1882" spans="1:32" ht="12.75" thickBot="1">
      <c r="A1882" s="596" t="s">
        <v>1504</v>
      </c>
      <c r="B1882" s="596" t="s">
        <v>73</v>
      </c>
      <c r="C1882" s="831"/>
      <c r="D1882" s="831"/>
      <c r="E1882" s="602">
        <v>12296878.6722968</v>
      </c>
      <c r="F1882" s="602"/>
      <c r="G1882" s="602">
        <v>1695080.4562128999</v>
      </c>
      <c r="H1882" s="602">
        <v>355625.73120282503</v>
      </c>
      <c r="I1882" s="602"/>
      <c r="J1882" s="602"/>
      <c r="K1882" s="602"/>
      <c r="L1882" s="602"/>
      <c r="M1882" s="602">
        <v>28963.5343073978</v>
      </c>
      <c r="N1882" s="602">
        <v>62136.441205022398</v>
      </c>
      <c r="O1882" s="602"/>
      <c r="P1882" s="602"/>
      <c r="Q1882" s="602"/>
      <c r="R1882" s="602">
        <v>2141806.16292815</v>
      </c>
      <c r="S1882" s="983"/>
      <c r="T1882" s="987"/>
      <c r="U1882" s="983"/>
      <c r="V1882" s="983"/>
      <c r="W1882" s="983"/>
      <c r="X1882" s="983"/>
      <c r="Y1882" s="983"/>
      <c r="Z1882" s="983"/>
      <c r="AA1882" s="983"/>
      <c r="AB1882" s="983"/>
      <c r="AC1882" s="983"/>
      <c r="AD1882" s="983"/>
      <c r="AE1882" s="983"/>
      <c r="AF1882" s="983"/>
    </row>
    <row r="1883" spans="1:32" ht="12.75" thickBot="1">
      <c r="A1883" s="596" t="s">
        <v>1505</v>
      </c>
      <c r="B1883" s="596" t="s">
        <v>73</v>
      </c>
      <c r="C1883" s="831"/>
      <c r="D1883" s="831"/>
      <c r="E1883" s="602">
        <v>12912241.7229122</v>
      </c>
      <c r="F1883" s="602"/>
      <c r="G1883" s="602">
        <v>1760340.11755052</v>
      </c>
      <c r="H1883" s="602">
        <v>373422.03062662203</v>
      </c>
      <c r="I1883" s="602"/>
      <c r="J1883" s="602"/>
      <c r="K1883" s="602"/>
      <c r="L1883" s="602"/>
      <c r="M1883" s="602">
        <v>40891.3143538476</v>
      </c>
      <c r="N1883" s="602">
        <v>59289.2379052346</v>
      </c>
      <c r="O1883" s="602"/>
      <c r="P1883" s="602"/>
      <c r="Q1883" s="602"/>
      <c r="R1883" s="602">
        <v>2233942.70043622</v>
      </c>
      <c r="S1883" s="983"/>
      <c r="T1883" s="987"/>
      <c r="U1883" s="983"/>
      <c r="V1883" s="983"/>
      <c r="W1883" s="983"/>
      <c r="X1883" s="983"/>
      <c r="Y1883" s="983"/>
      <c r="Z1883" s="983"/>
      <c r="AA1883" s="983"/>
      <c r="AB1883" s="983"/>
      <c r="AC1883" s="983"/>
      <c r="AD1883" s="983"/>
      <c r="AE1883" s="983"/>
      <c r="AF1883" s="983"/>
    </row>
    <row r="1884" spans="1:32" ht="12.75" thickBot="1">
      <c r="A1884" s="596" t="s">
        <v>1506</v>
      </c>
      <c r="B1884" s="596" t="s">
        <v>73</v>
      </c>
      <c r="C1884" s="831"/>
      <c r="D1884" s="831"/>
      <c r="E1884" s="602">
        <v>9323849.2623238396</v>
      </c>
      <c r="F1884" s="602"/>
      <c r="G1884" s="602">
        <v>1837022.0770600899</v>
      </c>
      <c r="H1884" s="602">
        <v>269645.72066640499</v>
      </c>
      <c r="I1884" s="602"/>
      <c r="J1884" s="602"/>
      <c r="K1884" s="602"/>
      <c r="L1884" s="602"/>
      <c r="M1884" s="602">
        <v>40098.036691425899</v>
      </c>
      <c r="N1884" s="602">
        <v>50582.750900642997</v>
      </c>
      <c r="O1884" s="602"/>
      <c r="P1884" s="602"/>
      <c r="Q1884" s="602"/>
      <c r="R1884" s="602">
        <v>2197348.5853185598</v>
      </c>
      <c r="S1884" s="983"/>
      <c r="T1884" s="987"/>
      <c r="U1884" s="983"/>
      <c r="V1884" s="983"/>
      <c r="W1884" s="983"/>
      <c r="X1884" s="983"/>
      <c r="Y1884" s="983"/>
      <c r="Z1884" s="983"/>
      <c r="AA1884" s="983"/>
      <c r="AB1884" s="983"/>
      <c r="AC1884" s="983"/>
      <c r="AD1884" s="983"/>
      <c r="AE1884" s="983"/>
      <c r="AF1884" s="983"/>
    </row>
    <row r="1885" spans="1:32" ht="12.75" thickBot="1">
      <c r="A1885" s="596" t="s">
        <v>1507</v>
      </c>
      <c r="B1885" s="596" t="s">
        <v>73</v>
      </c>
      <c r="C1885" s="831"/>
      <c r="D1885" s="831"/>
      <c r="E1885" s="602">
        <v>9079099.2810790986</v>
      </c>
      <c r="F1885" s="602"/>
      <c r="G1885" s="602">
        <v>1873617.4022391599</v>
      </c>
      <c r="H1885" s="602">
        <v>262567.55120880698</v>
      </c>
      <c r="I1885" s="602"/>
      <c r="J1885" s="602"/>
      <c r="K1885" s="602"/>
      <c r="L1885" s="602"/>
      <c r="M1885" s="602">
        <v>22089.486966818298</v>
      </c>
      <c r="N1885" s="602">
        <v>52322.838058780901</v>
      </c>
      <c r="O1885" s="602"/>
      <c r="P1885" s="602"/>
      <c r="Q1885" s="602"/>
      <c r="R1885" s="602">
        <v>2210597.27847357</v>
      </c>
      <c r="S1885" s="983"/>
      <c r="T1885" s="987"/>
      <c r="U1885" s="983"/>
      <c r="V1885" s="983"/>
      <c r="W1885" s="983"/>
      <c r="X1885" s="983"/>
      <c r="Y1885" s="983"/>
      <c r="Z1885" s="983"/>
      <c r="AA1885" s="983"/>
      <c r="AB1885" s="983"/>
      <c r="AC1885" s="983"/>
      <c r="AD1885" s="983"/>
      <c r="AE1885" s="983"/>
      <c r="AF1885" s="983"/>
    </row>
    <row r="1886" spans="1:32" ht="12.75" thickBot="1">
      <c r="A1886" s="596" t="s">
        <v>1508</v>
      </c>
      <c r="B1886" s="596" t="s">
        <v>73</v>
      </c>
      <c r="C1886" s="831"/>
      <c r="D1886" s="831"/>
      <c r="E1886" s="602">
        <v>8978324.8159783203</v>
      </c>
      <c r="F1886" s="602"/>
      <c r="G1886" s="602">
        <v>1871965.4609792898</v>
      </c>
      <c r="H1886" s="602">
        <v>259653.15367809302</v>
      </c>
      <c r="I1886" s="602"/>
      <c r="J1886" s="602"/>
      <c r="K1886" s="602"/>
      <c r="L1886" s="602"/>
      <c r="M1886" s="602">
        <v>34794.896400329104</v>
      </c>
      <c r="N1886" s="602">
        <v>67369.111439994202</v>
      </c>
      <c r="O1886" s="602"/>
      <c r="P1886" s="602"/>
      <c r="Q1886" s="602"/>
      <c r="R1886" s="602">
        <v>2233782.6224977099</v>
      </c>
      <c r="S1886" s="983"/>
      <c r="T1886" s="987"/>
      <c r="U1886" s="983"/>
      <c r="V1886" s="983"/>
      <c r="W1886" s="983"/>
      <c r="X1886" s="983"/>
      <c r="Y1886" s="983"/>
      <c r="Z1886" s="983"/>
      <c r="AA1886" s="983"/>
      <c r="AB1886" s="983"/>
      <c r="AC1886" s="983"/>
      <c r="AD1886" s="983"/>
      <c r="AE1886" s="983"/>
      <c r="AF1886" s="983"/>
    </row>
    <row r="1887" spans="1:32" ht="12.75" thickBot="1">
      <c r="A1887" s="596" t="s">
        <v>1509</v>
      </c>
      <c r="B1887" s="596" t="s">
        <v>73</v>
      </c>
      <c r="C1887" s="831"/>
      <c r="D1887" s="831"/>
      <c r="E1887" s="602">
        <v>9612592.2516125906</v>
      </c>
      <c r="F1887" s="602"/>
      <c r="G1887" s="602">
        <v>1851639.0400960199</v>
      </c>
      <c r="H1887" s="602">
        <v>277996.16791663598</v>
      </c>
      <c r="I1887" s="602"/>
      <c r="J1887" s="602"/>
      <c r="K1887" s="602"/>
      <c r="L1887" s="602"/>
      <c r="M1887" s="602">
        <v>8674.8618160385995</v>
      </c>
      <c r="N1887" s="602">
        <v>65194.6152049226</v>
      </c>
      <c r="O1887" s="602"/>
      <c r="P1887" s="602"/>
      <c r="Q1887" s="602"/>
      <c r="R1887" s="602">
        <v>2203504.6850336199</v>
      </c>
      <c r="S1887" s="983"/>
      <c r="T1887" s="987"/>
      <c r="U1887" s="983"/>
      <c r="V1887" s="983"/>
      <c r="W1887" s="983"/>
      <c r="X1887" s="983"/>
      <c r="Y1887" s="983"/>
      <c r="Z1887" s="983"/>
      <c r="AA1887" s="983"/>
      <c r="AB1887" s="983"/>
      <c r="AC1887" s="983"/>
      <c r="AD1887" s="983"/>
      <c r="AE1887" s="983"/>
      <c r="AF1887" s="983"/>
    </row>
    <row r="1888" spans="1:32" ht="12.75" thickBot="1">
      <c r="A1888" s="596" t="s">
        <v>1510</v>
      </c>
      <c r="B1888" s="596" t="s">
        <v>73</v>
      </c>
      <c r="C1888" s="831"/>
      <c r="D1888" s="831"/>
      <c r="E1888" s="602">
        <v>9184134.7201841306</v>
      </c>
      <c r="F1888" s="602"/>
      <c r="G1888" s="602">
        <v>1877355.61214352</v>
      </c>
      <c r="H1888" s="602">
        <v>265605.17610772501</v>
      </c>
      <c r="I1888" s="602"/>
      <c r="J1888" s="602"/>
      <c r="K1888" s="602"/>
      <c r="L1888" s="602"/>
      <c r="M1888" s="602">
        <v>18955.385946909701</v>
      </c>
      <c r="N1888" s="602">
        <v>54240.087755977103</v>
      </c>
      <c r="O1888" s="602"/>
      <c r="P1888" s="602"/>
      <c r="Q1888" s="602"/>
      <c r="R1888" s="602">
        <v>2216156.2619541301</v>
      </c>
      <c r="S1888" s="983"/>
      <c r="T1888" s="987"/>
      <c r="U1888" s="983"/>
      <c r="V1888" s="983"/>
      <c r="W1888" s="983"/>
      <c r="X1888" s="983"/>
      <c r="Y1888" s="983"/>
      <c r="Z1888" s="983"/>
      <c r="AA1888" s="983"/>
      <c r="AB1888" s="983"/>
      <c r="AC1888" s="983"/>
      <c r="AD1888" s="983"/>
      <c r="AE1888" s="983"/>
      <c r="AF1888" s="983"/>
    </row>
    <row r="1889" spans="1:32" ht="12.75" thickBot="1">
      <c r="A1889" s="831"/>
      <c r="B1889" s="831"/>
      <c r="C1889" s="831"/>
      <c r="D1889" s="831"/>
      <c r="E1889" s="602"/>
      <c r="F1889" s="602"/>
      <c r="G1889" s="602"/>
      <c r="H1889" s="602"/>
      <c r="I1889" s="602"/>
      <c r="J1889" s="602"/>
      <c r="K1889" s="602"/>
      <c r="L1889" s="602"/>
      <c r="M1889" s="602"/>
      <c r="N1889" s="602"/>
      <c r="O1889" s="602"/>
      <c r="P1889" s="602"/>
      <c r="Q1889" s="602"/>
      <c r="R1889" s="602"/>
      <c r="S1889" s="983"/>
      <c r="T1889" s="987"/>
      <c r="U1889" s="983"/>
      <c r="V1889" s="983"/>
      <c r="W1889" s="983"/>
      <c r="X1889" s="983"/>
      <c r="Y1889" s="983"/>
      <c r="Z1889" s="983"/>
      <c r="AA1889" s="983"/>
      <c r="AB1889" s="983"/>
      <c r="AC1889" s="983"/>
      <c r="AD1889" s="983"/>
      <c r="AE1889" s="983"/>
      <c r="AF1889" s="983"/>
    </row>
    <row r="1890" spans="1:32" ht="12.75" thickBot="1">
      <c r="A1890" s="596" t="s">
        <v>1505</v>
      </c>
      <c r="B1890" s="596" t="s">
        <v>171</v>
      </c>
      <c r="C1890" s="831"/>
      <c r="D1890" s="831"/>
      <c r="E1890" s="602"/>
      <c r="F1890" s="602"/>
      <c r="G1890" s="602"/>
      <c r="H1890" s="602"/>
      <c r="I1890" s="602"/>
      <c r="J1890" s="602"/>
      <c r="K1890" s="602"/>
      <c r="L1890" s="602"/>
      <c r="M1890" s="602"/>
      <c r="N1890" s="602"/>
      <c r="O1890" s="602"/>
      <c r="P1890" s="602">
        <v>-989828.98148148006</v>
      </c>
      <c r="Q1890" s="602"/>
      <c r="R1890" s="602">
        <v>-989828.98148148006</v>
      </c>
      <c r="S1890" s="983"/>
      <c r="T1890" s="987"/>
      <c r="U1890" s="983"/>
      <c r="V1890" s="983"/>
      <c r="W1890" s="983"/>
      <c r="X1890" s="983"/>
      <c r="Y1890" s="983"/>
      <c r="Z1890" s="983"/>
      <c r="AA1890" s="983"/>
      <c r="AB1890" s="983"/>
      <c r="AC1890" s="983"/>
      <c r="AD1890" s="983"/>
      <c r="AE1890" s="983"/>
      <c r="AF1890" s="983"/>
    </row>
    <row r="1891" spans="1:32" ht="12.75" thickBot="1">
      <c r="A1891" s="596" t="s">
        <v>1506</v>
      </c>
      <c r="B1891" s="596" t="s">
        <v>171</v>
      </c>
      <c r="C1891" s="831"/>
      <c r="D1891" s="831"/>
      <c r="E1891" s="602"/>
      <c r="F1891" s="602"/>
      <c r="G1891" s="602"/>
      <c r="H1891" s="602"/>
      <c r="I1891" s="602"/>
      <c r="J1891" s="602"/>
      <c r="K1891" s="602"/>
      <c r="L1891" s="602"/>
      <c r="M1891" s="602"/>
      <c r="N1891" s="602"/>
      <c r="O1891" s="602"/>
      <c r="P1891" s="602">
        <v>-989828.98148148006</v>
      </c>
      <c r="Q1891" s="602"/>
      <c r="R1891" s="602">
        <v>-989828.98148148006</v>
      </c>
      <c r="S1891" s="983"/>
      <c r="T1891" s="987"/>
      <c r="U1891" s="983"/>
      <c r="V1891" s="983"/>
      <c r="W1891" s="983"/>
      <c r="X1891" s="983"/>
      <c r="Y1891" s="983"/>
      <c r="Z1891" s="983"/>
      <c r="AA1891" s="983"/>
      <c r="AB1891" s="983"/>
      <c r="AC1891" s="983"/>
      <c r="AD1891" s="983"/>
      <c r="AE1891" s="983"/>
      <c r="AF1891" s="983"/>
    </row>
    <row r="1892" spans="1:32" ht="12.75" thickBot="1">
      <c r="A1892" s="596" t="s">
        <v>1507</v>
      </c>
      <c r="B1892" s="596" t="s">
        <v>171</v>
      </c>
      <c r="C1892" s="831"/>
      <c r="D1892" s="831"/>
      <c r="E1892" s="602"/>
      <c r="F1892" s="602"/>
      <c r="G1892" s="602"/>
      <c r="H1892" s="602"/>
      <c r="I1892" s="602"/>
      <c r="J1892" s="602"/>
      <c r="K1892" s="602"/>
      <c r="L1892" s="602"/>
      <c r="M1892" s="602"/>
      <c r="N1892" s="602"/>
      <c r="O1892" s="602"/>
      <c r="P1892" s="602">
        <v>-989828.98148148006</v>
      </c>
      <c r="Q1892" s="602"/>
      <c r="R1892" s="602">
        <v>-989828.98148148006</v>
      </c>
      <c r="S1892" s="983"/>
      <c r="T1892" s="987"/>
      <c r="U1892" s="983"/>
      <c r="V1892" s="983"/>
      <c r="W1892" s="983"/>
      <c r="X1892" s="983"/>
      <c r="Y1892" s="983"/>
      <c r="Z1892" s="983"/>
      <c r="AA1892" s="983"/>
      <c r="AB1892" s="983"/>
      <c r="AC1892" s="983"/>
      <c r="AD1892" s="983"/>
      <c r="AE1892" s="983"/>
      <c r="AF1892" s="983"/>
    </row>
    <row r="1893" spans="1:32" ht="12.75" thickBot="1">
      <c r="A1893" s="596" t="s">
        <v>1508</v>
      </c>
      <c r="B1893" s="596" t="s">
        <v>171</v>
      </c>
      <c r="C1893" s="831"/>
      <c r="D1893" s="831"/>
      <c r="E1893" s="602"/>
      <c r="F1893" s="602"/>
      <c r="G1893" s="602"/>
      <c r="H1893" s="602"/>
      <c r="I1893" s="602"/>
      <c r="J1893" s="602"/>
      <c r="K1893" s="602"/>
      <c r="L1893" s="602"/>
      <c r="M1893" s="602"/>
      <c r="N1893" s="602"/>
      <c r="O1893" s="602"/>
      <c r="P1893" s="602">
        <v>-989828.98148148006</v>
      </c>
      <c r="Q1893" s="602"/>
      <c r="R1893" s="602">
        <v>-989828.98148148006</v>
      </c>
    </row>
    <row r="1894" spans="1:32" ht="12.75" thickBot="1">
      <c r="A1894" s="596" t="s">
        <v>1509</v>
      </c>
      <c r="B1894" s="596" t="s">
        <v>171</v>
      </c>
      <c r="C1894" s="831"/>
      <c r="D1894" s="831"/>
      <c r="E1894" s="602"/>
      <c r="F1894" s="602"/>
      <c r="G1894" s="602"/>
      <c r="H1894" s="602"/>
      <c r="I1894" s="602"/>
      <c r="J1894" s="602"/>
      <c r="K1894" s="602"/>
      <c r="L1894" s="602"/>
      <c r="M1894" s="602"/>
      <c r="N1894" s="602"/>
      <c r="O1894" s="602"/>
      <c r="P1894" s="602">
        <v>-989828.98148148006</v>
      </c>
      <c r="Q1894" s="602"/>
      <c r="R1894" s="602">
        <v>-989828.98148148006</v>
      </c>
    </row>
    <row r="1895" spans="1:32" ht="12.75" thickBot="1">
      <c r="A1895" s="596" t="s">
        <v>1510</v>
      </c>
      <c r="B1895" s="596" t="s">
        <v>171</v>
      </c>
      <c r="C1895" s="831"/>
      <c r="D1895" s="831"/>
      <c r="E1895" s="602"/>
      <c r="F1895" s="602"/>
      <c r="G1895" s="602"/>
      <c r="H1895" s="602"/>
      <c r="I1895" s="602"/>
      <c r="J1895" s="602"/>
      <c r="K1895" s="602"/>
      <c r="L1895" s="602"/>
      <c r="M1895" s="602"/>
      <c r="N1895" s="602"/>
      <c r="O1895" s="602"/>
      <c r="P1895" s="602">
        <v>-989828.98148148006</v>
      </c>
      <c r="Q1895" s="602"/>
      <c r="R1895" s="602">
        <v>-989828.98148148006</v>
      </c>
    </row>
    <row r="1896" spans="1:32" ht="12.75" thickBot="1">
      <c r="A1896" s="596" t="s">
        <v>1499</v>
      </c>
      <c r="B1896" s="596" t="s">
        <v>171</v>
      </c>
      <c r="C1896" s="831"/>
      <c r="D1896" s="831"/>
      <c r="E1896" s="602"/>
      <c r="F1896" s="602"/>
      <c r="G1896" s="602"/>
      <c r="H1896" s="602"/>
      <c r="I1896" s="602"/>
      <c r="J1896" s="602"/>
      <c r="K1896" s="602"/>
      <c r="L1896" s="602"/>
      <c r="M1896" s="602"/>
      <c r="N1896" s="602"/>
      <c r="O1896" s="602"/>
      <c r="P1896" s="602">
        <v>-989828.98148148006</v>
      </c>
      <c r="Q1896" s="602"/>
      <c r="R1896" s="602">
        <v>-989828.98148148006</v>
      </c>
    </row>
    <row r="1897" spans="1:32" ht="12.75" thickBot="1">
      <c r="A1897" s="596" t="s">
        <v>1500</v>
      </c>
      <c r="B1897" s="596" t="s">
        <v>171</v>
      </c>
      <c r="C1897" s="831"/>
      <c r="D1897" s="831"/>
      <c r="E1897" s="602"/>
      <c r="F1897" s="602"/>
      <c r="G1897" s="602"/>
      <c r="H1897" s="602"/>
      <c r="I1897" s="602"/>
      <c r="J1897" s="602"/>
      <c r="K1897" s="602"/>
      <c r="L1897" s="602"/>
      <c r="M1897" s="602"/>
      <c r="N1897" s="602"/>
      <c r="O1897" s="602"/>
      <c r="P1897" s="602">
        <v>-989828.98148148006</v>
      </c>
      <c r="Q1897" s="602"/>
      <c r="R1897" s="602">
        <v>-989828.98148148006</v>
      </c>
    </row>
    <row r="1898" spans="1:32" ht="12.75" thickBot="1">
      <c r="A1898" s="541" t="s">
        <v>1501</v>
      </c>
      <c r="B1898" s="596" t="s">
        <v>171</v>
      </c>
      <c r="C1898" s="831"/>
      <c r="D1898" s="831"/>
      <c r="E1898" s="602"/>
      <c r="F1898" s="602"/>
      <c r="G1898" s="602"/>
      <c r="H1898" s="602"/>
      <c r="I1898" s="602"/>
      <c r="J1898" s="602"/>
      <c r="K1898" s="602"/>
      <c r="L1898" s="602"/>
      <c r="M1898" s="602"/>
      <c r="N1898" s="602"/>
      <c r="O1898" s="602"/>
      <c r="P1898" s="602">
        <v>-989828.98148148006</v>
      </c>
      <c r="Q1898" s="602"/>
      <c r="R1898" s="602">
        <v>-989828.98148148006</v>
      </c>
    </row>
    <row r="1899" spans="1:32" ht="12.75" thickBot="1">
      <c r="A1899" s="541" t="s">
        <v>1502</v>
      </c>
      <c r="B1899" s="596" t="s">
        <v>171</v>
      </c>
      <c r="C1899" s="831"/>
      <c r="D1899" s="831"/>
      <c r="E1899" s="602"/>
      <c r="F1899" s="602"/>
      <c r="G1899" s="602"/>
      <c r="H1899" s="602"/>
      <c r="I1899" s="602"/>
      <c r="J1899" s="602"/>
      <c r="K1899" s="602"/>
      <c r="L1899" s="602"/>
      <c r="M1899" s="602"/>
      <c r="N1899" s="602"/>
      <c r="O1899" s="602"/>
      <c r="P1899" s="602">
        <v>-989828.98148148006</v>
      </c>
      <c r="Q1899" s="602"/>
      <c r="R1899" s="602">
        <v>-989828.98148148006</v>
      </c>
    </row>
    <row r="1900" spans="1:32" ht="12.75" thickBot="1">
      <c r="A1900" s="596" t="s">
        <v>1503</v>
      </c>
      <c r="B1900" s="596" t="s">
        <v>171</v>
      </c>
      <c r="C1900" s="831"/>
      <c r="D1900" s="831"/>
      <c r="E1900" s="602"/>
      <c r="F1900" s="602"/>
      <c r="G1900" s="602"/>
      <c r="H1900" s="602"/>
      <c r="I1900" s="602"/>
      <c r="J1900" s="602"/>
      <c r="K1900" s="602"/>
      <c r="L1900" s="602"/>
      <c r="M1900" s="602"/>
      <c r="N1900" s="602"/>
      <c r="O1900" s="602"/>
      <c r="P1900" s="602">
        <v>-989828.98148148006</v>
      </c>
      <c r="Q1900" s="602"/>
      <c r="R1900" s="602">
        <v>-989828.98148148006</v>
      </c>
    </row>
    <row r="1901" spans="1:32" ht="12.75" thickBot="1">
      <c r="A1901" s="596" t="s">
        <v>1504</v>
      </c>
      <c r="B1901" s="596" t="s">
        <v>171</v>
      </c>
      <c r="C1901" s="831"/>
      <c r="D1901" s="831"/>
      <c r="E1901" s="602"/>
      <c r="F1901" s="602"/>
      <c r="G1901" s="602"/>
      <c r="H1901" s="602"/>
      <c r="I1901" s="602"/>
      <c r="J1901" s="602"/>
      <c r="K1901" s="602"/>
      <c r="L1901" s="602"/>
      <c r="M1901" s="602"/>
      <c r="N1901" s="602"/>
      <c r="O1901" s="602"/>
      <c r="P1901" s="602">
        <v>-989828.98148148006</v>
      </c>
      <c r="Q1901" s="602"/>
      <c r="R1901" s="602">
        <v>-989828.98148148006</v>
      </c>
    </row>
    <row r="1902" spans="1:32">
      <c r="A1902" s="979"/>
      <c r="B1902" s="979"/>
      <c r="C1902" s="979"/>
      <c r="D1902" s="979"/>
      <c r="E1902" s="980"/>
      <c r="F1902" s="583"/>
      <c r="G1902" s="583"/>
      <c r="H1902" s="583"/>
      <c r="I1902" s="583"/>
      <c r="J1902" s="981"/>
      <c r="K1902" s="981"/>
      <c r="L1902" s="583"/>
      <c r="M1902" s="583"/>
      <c r="N1902" s="583"/>
      <c r="O1902" s="583"/>
      <c r="P1902" s="981"/>
      <c r="Q1902" s="981"/>
      <c r="R1902" s="583"/>
    </row>
  </sheetData>
  <autoFilter ref="A2:X1875"/>
  <sortState ref="B312:D713">
    <sortCondition ref="B312:B713"/>
  </sortState>
  <conditionalFormatting sqref="E1890:O1895 Q1890:Q1895">
    <cfRule type="expression" dxfId="2" priority="3">
      <formula>"abs(e1867)&lt;&gt;0"</formula>
    </cfRule>
  </conditionalFormatting>
  <conditionalFormatting sqref="P1890:P1895">
    <cfRule type="expression" dxfId="1" priority="2">
      <formula>"abs(e1867)&lt;&gt;0"</formula>
    </cfRule>
  </conditionalFormatting>
  <conditionalFormatting sqref="R1890:R1895">
    <cfRule type="expression" dxfId="0" priority="1">
      <formula>"abs(e1867)&lt;&gt;0"</formula>
    </cfRule>
  </conditionalFormatting>
  <pageMargins left="0.25" right="0.25" top="0.5" bottom="0.5" header="0.25" footer="0.25"/>
  <pageSetup paperSize="5" scale="1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AE113"/>
  <sheetViews>
    <sheetView workbookViewId="0"/>
  </sheetViews>
  <sheetFormatPr defaultRowHeight="12"/>
  <cols>
    <col min="1" max="15" width="9.33203125" style="174"/>
    <col min="16" max="16" width="9.5" style="174" bestFit="1" customWidth="1"/>
    <col min="17" max="17" width="9.33203125" style="174"/>
    <col min="18" max="21" width="10.1640625" style="174" bestFit="1" customWidth="1"/>
    <col min="22" max="22" width="12.1640625" style="174" bestFit="1" customWidth="1"/>
    <col min="23" max="23" width="20.33203125" style="174" customWidth="1"/>
    <col min="24" max="24" width="19.5" style="174" bestFit="1" customWidth="1"/>
    <col min="25" max="25" width="15.33203125" style="174" bestFit="1" customWidth="1"/>
    <col min="26" max="26" width="15.83203125" style="174" bestFit="1" customWidth="1"/>
    <col min="27" max="29" width="13" style="174" bestFit="1" customWidth="1"/>
    <col min="30" max="30" width="12.83203125" style="174" bestFit="1" customWidth="1"/>
    <col min="31" max="16384" width="9.33203125" style="174"/>
  </cols>
  <sheetData>
    <row r="1" spans="2:21">
      <c r="F1" s="175">
        <v>37742</v>
      </c>
      <c r="G1" s="175">
        <v>37925</v>
      </c>
      <c r="H1" s="175">
        <v>38169</v>
      </c>
      <c r="I1" s="175">
        <v>38534</v>
      </c>
      <c r="J1" s="175">
        <v>39146</v>
      </c>
      <c r="K1" s="175">
        <v>39419</v>
      </c>
      <c r="L1" s="175">
        <v>39570</v>
      </c>
      <c r="M1" s="175">
        <v>39850</v>
      </c>
      <c r="N1" s="175">
        <v>39993</v>
      </c>
      <c r="O1" s="175">
        <v>40206</v>
      </c>
      <c r="P1" s="176">
        <v>40391</v>
      </c>
      <c r="Q1" s="176">
        <v>40725</v>
      </c>
      <c r="R1" s="176">
        <v>40878</v>
      </c>
      <c r="S1" s="176">
        <v>41275</v>
      </c>
      <c r="T1" s="176">
        <v>41456</v>
      </c>
      <c r="U1" s="176">
        <v>41640</v>
      </c>
    </row>
    <row r="2" spans="2:21">
      <c r="B2" s="174">
        <v>0</v>
      </c>
      <c r="C2" s="177" t="s">
        <v>569</v>
      </c>
      <c r="F2" s="173">
        <v>34.9</v>
      </c>
      <c r="G2" s="173">
        <v>35.840000000000003</v>
      </c>
      <c r="H2" s="173">
        <v>38.28</v>
      </c>
      <c r="I2" s="173">
        <v>38.44</v>
      </c>
      <c r="J2" s="173">
        <v>39.520000000000003</v>
      </c>
      <c r="K2" s="173">
        <v>39.909999999999997</v>
      </c>
      <c r="L2" s="173">
        <v>40.81</v>
      </c>
      <c r="M2" s="173">
        <v>40.19</v>
      </c>
      <c r="N2" s="173">
        <v>40.270000000000003</v>
      </c>
      <c r="O2" s="173">
        <v>44.78</v>
      </c>
      <c r="P2" s="173">
        <v>49.34</v>
      </c>
      <c r="Q2" s="173">
        <v>49.29</v>
      </c>
      <c r="R2" s="173">
        <v>51</v>
      </c>
      <c r="S2" s="173">
        <v>53.01</v>
      </c>
      <c r="T2" s="173">
        <v>53.15</v>
      </c>
      <c r="U2" s="173">
        <v>55.33</v>
      </c>
    </row>
    <row r="3" spans="2:21">
      <c r="B3" s="174">
        <v>1</v>
      </c>
      <c r="C3" s="177" t="s">
        <v>570</v>
      </c>
      <c r="F3" s="173">
        <v>14.84</v>
      </c>
      <c r="G3" s="173">
        <v>15.24</v>
      </c>
      <c r="H3" s="173">
        <v>16.28</v>
      </c>
      <c r="I3" s="173">
        <v>16.28</v>
      </c>
      <c r="J3" s="173">
        <v>16.28</v>
      </c>
      <c r="K3" s="173">
        <v>16.28</v>
      </c>
      <c r="L3" s="173">
        <v>16.28</v>
      </c>
      <c r="M3" s="173">
        <v>16.13</v>
      </c>
      <c r="N3" s="173">
        <v>16.13</v>
      </c>
      <c r="O3" s="173">
        <f>N3</f>
        <v>16.13</v>
      </c>
      <c r="P3" s="173">
        <v>17.78</v>
      </c>
      <c r="Q3" s="173">
        <v>17.78</v>
      </c>
      <c r="R3" s="173">
        <v>17.78</v>
      </c>
      <c r="S3" s="173">
        <v>0</v>
      </c>
      <c r="T3" s="173">
        <v>0</v>
      </c>
      <c r="U3" s="173">
        <v>0</v>
      </c>
    </row>
    <row r="4" spans="2:21">
      <c r="B4" s="174">
        <v>2</v>
      </c>
      <c r="C4" s="177" t="s">
        <v>571</v>
      </c>
      <c r="F4" s="173">
        <v>16.52</v>
      </c>
      <c r="G4" s="173">
        <v>16.96</v>
      </c>
      <c r="H4" s="173">
        <v>18.12</v>
      </c>
      <c r="I4" s="173">
        <v>18.12</v>
      </c>
      <c r="J4" s="173">
        <v>18.12</v>
      </c>
      <c r="K4" s="173">
        <v>18.12</v>
      </c>
      <c r="L4" s="173">
        <v>18.12</v>
      </c>
      <c r="M4" s="173">
        <v>17.96</v>
      </c>
      <c r="N4" s="173">
        <v>17.96</v>
      </c>
      <c r="O4" s="173">
        <f t="shared" ref="O4:O14" si="0">N4</f>
        <v>17.96</v>
      </c>
      <c r="P4" s="173">
        <v>19.79</v>
      </c>
      <c r="Q4" s="173">
        <v>19.79</v>
      </c>
      <c r="R4" s="173">
        <v>19.79</v>
      </c>
      <c r="S4" s="173">
        <v>20.57</v>
      </c>
      <c r="T4" s="173">
        <v>20.57</v>
      </c>
      <c r="U4" s="173">
        <v>20.57</v>
      </c>
    </row>
    <row r="5" spans="2:21">
      <c r="B5" s="174">
        <v>3</v>
      </c>
      <c r="C5" s="177" t="s">
        <v>572</v>
      </c>
      <c r="F5" s="173">
        <v>2.57</v>
      </c>
      <c r="G5" s="173">
        <v>2.64</v>
      </c>
      <c r="H5" s="173">
        <v>2.82</v>
      </c>
      <c r="I5" s="173">
        <v>2.82</v>
      </c>
      <c r="J5" s="173">
        <v>2.82</v>
      </c>
      <c r="K5" s="173">
        <v>2.82</v>
      </c>
      <c r="L5" s="173">
        <v>2.82</v>
      </c>
      <c r="M5" s="173">
        <v>2.8</v>
      </c>
      <c r="N5" s="173">
        <v>2.8</v>
      </c>
      <c r="O5" s="173">
        <f t="shared" si="0"/>
        <v>2.8</v>
      </c>
      <c r="P5" s="173">
        <v>3.09</v>
      </c>
      <c r="Q5" s="173">
        <v>3.09</v>
      </c>
      <c r="R5" s="173">
        <v>3.09</v>
      </c>
      <c r="S5" s="173">
        <v>3.21</v>
      </c>
      <c r="T5" s="173">
        <v>3.21</v>
      </c>
      <c r="U5" s="173">
        <v>3.21</v>
      </c>
    </row>
    <row r="6" spans="2:21">
      <c r="B6" s="174">
        <v>4</v>
      </c>
      <c r="C6" s="177" t="s">
        <v>573</v>
      </c>
      <c r="F6" s="173"/>
      <c r="G6" s="173">
        <v>3.67</v>
      </c>
      <c r="H6" s="173">
        <v>3.9</v>
      </c>
      <c r="I6" s="173">
        <v>3.9</v>
      </c>
      <c r="J6" s="173">
        <v>3.9</v>
      </c>
      <c r="K6" s="173">
        <v>3.9</v>
      </c>
      <c r="L6" s="173">
        <v>3.9</v>
      </c>
      <c r="M6" s="173">
        <v>3.87</v>
      </c>
      <c r="N6" s="173">
        <v>3.87</v>
      </c>
      <c r="O6" s="173">
        <f t="shared" si="0"/>
        <v>3.87</v>
      </c>
      <c r="P6" s="173">
        <v>4.26</v>
      </c>
      <c r="Q6" s="173">
        <v>4.26</v>
      </c>
      <c r="R6" s="173">
        <v>4.26</v>
      </c>
      <c r="S6" s="173">
        <v>4.43</v>
      </c>
      <c r="T6" s="173">
        <v>4.43</v>
      </c>
      <c r="U6" s="173">
        <v>4.43</v>
      </c>
    </row>
    <row r="7" spans="2:21">
      <c r="B7" s="174">
        <v>5</v>
      </c>
      <c r="C7" s="177" t="s">
        <v>574</v>
      </c>
      <c r="F7" s="173">
        <v>2.37</v>
      </c>
      <c r="G7" s="173">
        <v>2.4300000000000002</v>
      </c>
      <c r="H7" s="173">
        <v>2.6</v>
      </c>
      <c r="I7" s="173">
        <v>2.6</v>
      </c>
      <c r="J7" s="173">
        <v>2.6</v>
      </c>
      <c r="K7" s="173">
        <v>2.6</v>
      </c>
      <c r="L7" s="173">
        <v>2.6</v>
      </c>
      <c r="M7" s="173">
        <v>2.58</v>
      </c>
      <c r="N7" s="173">
        <v>2.58</v>
      </c>
      <c r="O7" s="173">
        <f t="shared" si="0"/>
        <v>2.58</v>
      </c>
      <c r="P7" s="173">
        <v>2.84</v>
      </c>
      <c r="Q7" s="173">
        <v>2.84</v>
      </c>
      <c r="R7" s="173">
        <v>2.84</v>
      </c>
      <c r="S7" s="173">
        <v>2.95</v>
      </c>
      <c r="T7" s="173">
        <v>2.95</v>
      </c>
      <c r="U7" s="173">
        <v>2.95</v>
      </c>
    </row>
    <row r="8" spans="2:21">
      <c r="B8" s="174">
        <v>6</v>
      </c>
      <c r="C8" s="177" t="s">
        <v>575</v>
      </c>
      <c r="F8" s="173">
        <v>1.0900000000000001</v>
      </c>
      <c r="G8" s="173">
        <v>1.1200000000000001</v>
      </c>
      <c r="H8" s="173">
        <v>1.2</v>
      </c>
      <c r="I8" s="173">
        <v>1.2</v>
      </c>
      <c r="J8" s="173">
        <v>1.2</v>
      </c>
      <c r="K8" s="173">
        <v>1.2</v>
      </c>
      <c r="L8" s="173">
        <v>1.2</v>
      </c>
      <c r="M8" s="173">
        <v>1.19</v>
      </c>
      <c r="N8" s="173">
        <v>1.19</v>
      </c>
      <c r="O8" s="173">
        <f t="shared" si="0"/>
        <v>1.19</v>
      </c>
      <c r="P8" s="173">
        <v>1.31</v>
      </c>
      <c r="Q8" s="173">
        <v>1.31</v>
      </c>
      <c r="R8" s="173">
        <v>1.31</v>
      </c>
      <c r="S8" s="173">
        <v>1.36</v>
      </c>
      <c r="T8" s="173">
        <v>1.36</v>
      </c>
      <c r="U8" s="173">
        <v>1.36</v>
      </c>
    </row>
    <row r="9" spans="2:21">
      <c r="B9" s="174">
        <v>7</v>
      </c>
      <c r="C9" s="177" t="s">
        <v>576</v>
      </c>
      <c r="F9" s="173"/>
      <c r="G9" s="173"/>
      <c r="H9" s="173"/>
      <c r="I9" s="173"/>
      <c r="J9" s="173"/>
      <c r="K9" s="173"/>
      <c r="L9" s="173"/>
      <c r="M9" s="173">
        <v>3.19</v>
      </c>
      <c r="N9" s="173">
        <v>3.19</v>
      </c>
      <c r="O9" s="173">
        <f t="shared" si="0"/>
        <v>3.19</v>
      </c>
      <c r="P9" s="173">
        <v>3.52</v>
      </c>
      <c r="Q9" s="173">
        <v>3.52</v>
      </c>
      <c r="R9" s="173">
        <v>3.52</v>
      </c>
      <c r="S9" s="173">
        <v>3.66</v>
      </c>
      <c r="T9" s="173">
        <v>3.66</v>
      </c>
      <c r="U9" s="173">
        <v>3.66</v>
      </c>
    </row>
    <row r="10" spans="2:21">
      <c r="B10" s="174">
        <v>8</v>
      </c>
      <c r="C10" s="177" t="s">
        <v>577</v>
      </c>
      <c r="F10" s="173">
        <v>15.41</v>
      </c>
      <c r="G10" s="173">
        <v>15.82</v>
      </c>
      <c r="H10" s="173">
        <v>16.899999999999999</v>
      </c>
      <c r="I10" s="173">
        <v>16.899999999999999</v>
      </c>
      <c r="J10" s="173">
        <v>16.899999999999999</v>
      </c>
      <c r="K10" s="173">
        <v>16.899999999999999</v>
      </c>
      <c r="L10" s="173">
        <v>16.899999999999999</v>
      </c>
      <c r="M10" s="173">
        <v>16.75</v>
      </c>
      <c r="N10" s="173">
        <v>16.75</v>
      </c>
      <c r="O10" s="173">
        <f t="shared" si="0"/>
        <v>16.75</v>
      </c>
      <c r="P10" s="173">
        <v>18.46</v>
      </c>
      <c r="Q10" s="173">
        <v>18.46</v>
      </c>
      <c r="R10" s="173">
        <v>18.46</v>
      </c>
      <c r="S10" s="173">
        <v>19.190000000000001</v>
      </c>
      <c r="T10" s="173">
        <v>19.190000000000001</v>
      </c>
      <c r="U10" s="173">
        <v>19.190000000000001</v>
      </c>
    </row>
    <row r="11" spans="2:21">
      <c r="B11" s="174">
        <v>9</v>
      </c>
      <c r="C11" s="177" t="s">
        <v>578</v>
      </c>
      <c r="F11" s="173">
        <v>14.87</v>
      </c>
      <c r="G11" s="173">
        <v>15.27</v>
      </c>
      <c r="H11" s="173">
        <v>16.309999999999999</v>
      </c>
      <c r="I11" s="173">
        <v>16.309999999999999</v>
      </c>
      <c r="J11" s="173">
        <v>16.309999999999999</v>
      </c>
      <c r="K11" s="173">
        <v>16.309999999999999</v>
      </c>
      <c r="L11" s="173">
        <v>16.309999999999999</v>
      </c>
      <c r="M11" s="173">
        <v>16.16</v>
      </c>
      <c r="N11" s="173">
        <v>16.16</v>
      </c>
      <c r="O11" s="173">
        <f t="shared" si="0"/>
        <v>16.16</v>
      </c>
      <c r="P11" s="173">
        <v>17.809999999999999</v>
      </c>
      <c r="Q11" s="173">
        <v>17.809999999999999</v>
      </c>
      <c r="R11" s="173">
        <v>17.809999999999999</v>
      </c>
      <c r="S11" s="173">
        <v>0</v>
      </c>
      <c r="T11" s="173">
        <v>0</v>
      </c>
      <c r="U11" s="173">
        <v>0</v>
      </c>
    </row>
    <row r="12" spans="2:21">
      <c r="B12" s="174">
        <v>10</v>
      </c>
      <c r="C12" s="177" t="s">
        <v>579</v>
      </c>
      <c r="F12" s="173">
        <v>2.1</v>
      </c>
      <c r="G12" s="173">
        <v>2.16</v>
      </c>
      <c r="H12" s="173">
        <v>2.31</v>
      </c>
      <c r="I12" s="173">
        <v>2.31</v>
      </c>
      <c r="J12" s="173">
        <v>2.31</v>
      </c>
      <c r="K12" s="173">
        <v>2.31</v>
      </c>
      <c r="L12" s="173">
        <v>2.31</v>
      </c>
      <c r="M12" s="173">
        <v>2.29</v>
      </c>
      <c r="N12" s="173">
        <v>2.29</v>
      </c>
      <c r="O12" s="173">
        <f t="shared" si="0"/>
        <v>2.29</v>
      </c>
      <c r="P12" s="173">
        <v>2.52</v>
      </c>
      <c r="Q12" s="173">
        <v>2.52</v>
      </c>
      <c r="R12" s="173">
        <v>2.52</v>
      </c>
      <c r="S12" s="173">
        <v>2.62</v>
      </c>
      <c r="T12" s="173">
        <v>2.62</v>
      </c>
      <c r="U12" s="173">
        <v>2.62</v>
      </c>
    </row>
    <row r="13" spans="2:21">
      <c r="B13" s="174">
        <v>11</v>
      </c>
      <c r="C13" s="174" t="s">
        <v>580</v>
      </c>
      <c r="F13" s="173">
        <v>3.56</v>
      </c>
      <c r="G13" s="173">
        <v>3.66</v>
      </c>
      <c r="H13" s="173">
        <v>3.91</v>
      </c>
      <c r="I13" s="173">
        <v>3.91</v>
      </c>
      <c r="J13" s="173">
        <v>3.91</v>
      </c>
      <c r="K13" s="173">
        <v>3.91</v>
      </c>
      <c r="L13" s="173">
        <v>3.91</v>
      </c>
      <c r="M13" s="173">
        <v>3.88</v>
      </c>
      <c r="N13" s="173">
        <v>3.88</v>
      </c>
      <c r="O13" s="173">
        <f t="shared" si="0"/>
        <v>3.88</v>
      </c>
      <c r="P13" s="173">
        <v>4.28</v>
      </c>
      <c r="Q13" s="173">
        <v>4.28</v>
      </c>
      <c r="R13" s="173">
        <v>4.28</v>
      </c>
      <c r="S13" s="173">
        <v>4.45</v>
      </c>
      <c r="T13" s="173">
        <v>4.45</v>
      </c>
      <c r="U13" s="173">
        <v>4.45</v>
      </c>
    </row>
    <row r="14" spans="2:21">
      <c r="B14" s="174">
        <v>12</v>
      </c>
      <c r="C14" s="177" t="s">
        <v>581</v>
      </c>
      <c r="F14" s="173"/>
      <c r="G14" s="173"/>
      <c r="H14" s="173"/>
      <c r="I14" s="173"/>
      <c r="J14" s="173"/>
      <c r="K14" s="173"/>
      <c r="L14" s="173"/>
      <c r="M14" s="173">
        <v>4.3099999999999996</v>
      </c>
      <c r="N14" s="173">
        <v>4.3099999999999996</v>
      </c>
      <c r="O14" s="173">
        <f t="shared" si="0"/>
        <v>4.3099999999999996</v>
      </c>
      <c r="P14" s="173">
        <v>4.75</v>
      </c>
      <c r="Q14" s="173">
        <v>4.75</v>
      </c>
      <c r="R14" s="173">
        <v>4.75</v>
      </c>
      <c r="S14" s="173">
        <v>4.9400000000000004</v>
      </c>
      <c r="T14" s="173">
        <v>4.9400000000000004</v>
      </c>
      <c r="U14" s="173">
        <v>4.9400000000000004</v>
      </c>
    </row>
    <row r="15" spans="2:21">
      <c r="C15" s="177"/>
      <c r="F15" s="173"/>
      <c r="G15" s="173"/>
      <c r="H15" s="173"/>
      <c r="I15" s="173"/>
      <c r="J15" s="173"/>
      <c r="K15" s="173"/>
      <c r="L15" s="173"/>
      <c r="M15" s="173"/>
      <c r="N15" s="173"/>
      <c r="O15" s="173"/>
      <c r="P15" s="173"/>
      <c r="Q15" s="173"/>
      <c r="R15" s="173"/>
      <c r="S15" s="173"/>
      <c r="T15" s="173"/>
      <c r="U15" s="173"/>
    </row>
    <row r="16" spans="2:21">
      <c r="C16" s="174">
        <v>1</v>
      </c>
      <c r="D16" s="174">
        <f>C16+1</f>
        <v>2</v>
      </c>
      <c r="E16" s="174">
        <f t="shared" ref="E16:U16" si="1">D16+1</f>
        <v>3</v>
      </c>
      <c r="F16" s="174">
        <f t="shared" si="1"/>
        <v>4</v>
      </c>
      <c r="G16" s="174">
        <f t="shared" si="1"/>
        <v>5</v>
      </c>
      <c r="H16" s="174">
        <f t="shared" si="1"/>
        <v>6</v>
      </c>
      <c r="I16" s="174">
        <f t="shared" si="1"/>
        <v>7</v>
      </c>
      <c r="J16" s="174">
        <f t="shared" si="1"/>
        <v>8</v>
      </c>
      <c r="K16" s="174">
        <f t="shared" si="1"/>
        <v>9</v>
      </c>
      <c r="L16" s="174">
        <f t="shared" si="1"/>
        <v>10</v>
      </c>
      <c r="M16" s="174">
        <f t="shared" si="1"/>
        <v>11</v>
      </c>
      <c r="N16" s="174">
        <f t="shared" si="1"/>
        <v>12</v>
      </c>
      <c r="O16" s="174">
        <f t="shared" si="1"/>
        <v>13</v>
      </c>
      <c r="P16" s="174">
        <f t="shared" si="1"/>
        <v>14</v>
      </c>
      <c r="Q16" s="174">
        <f t="shared" si="1"/>
        <v>15</v>
      </c>
      <c r="R16" s="174">
        <f t="shared" si="1"/>
        <v>16</v>
      </c>
      <c r="S16" s="174">
        <f t="shared" si="1"/>
        <v>17</v>
      </c>
      <c r="T16" s="174">
        <f t="shared" si="1"/>
        <v>18</v>
      </c>
      <c r="U16" s="174">
        <f t="shared" si="1"/>
        <v>19</v>
      </c>
    </row>
    <row r="17" spans="2:21">
      <c r="B17" s="174">
        <v>360</v>
      </c>
      <c r="C17" s="177" t="s">
        <v>582</v>
      </c>
      <c r="F17" s="173">
        <f>F$2</f>
        <v>34.9</v>
      </c>
      <c r="G17" s="173">
        <f t="shared" ref="G17:U17" si="2">G$2</f>
        <v>35.840000000000003</v>
      </c>
      <c r="H17" s="173">
        <f t="shared" si="2"/>
        <v>38.28</v>
      </c>
      <c r="I17" s="173">
        <f t="shared" si="2"/>
        <v>38.44</v>
      </c>
      <c r="J17" s="173">
        <f t="shared" si="2"/>
        <v>39.520000000000003</v>
      </c>
      <c r="K17" s="173">
        <f t="shared" si="2"/>
        <v>39.909999999999997</v>
      </c>
      <c r="L17" s="173">
        <f t="shared" si="2"/>
        <v>40.81</v>
      </c>
      <c r="M17" s="173">
        <f t="shared" si="2"/>
        <v>40.19</v>
      </c>
      <c r="N17" s="173">
        <f t="shared" si="2"/>
        <v>40.270000000000003</v>
      </c>
      <c r="O17" s="173">
        <f t="shared" si="2"/>
        <v>44.78</v>
      </c>
      <c r="P17" s="173">
        <f t="shared" si="2"/>
        <v>49.34</v>
      </c>
      <c r="Q17" s="173">
        <f t="shared" si="2"/>
        <v>49.29</v>
      </c>
      <c r="R17" s="173">
        <f t="shared" si="2"/>
        <v>51</v>
      </c>
      <c r="S17" s="173">
        <f t="shared" si="2"/>
        <v>53.01</v>
      </c>
      <c r="T17" s="173">
        <f t="shared" si="2"/>
        <v>53.15</v>
      </c>
      <c r="U17" s="173">
        <f t="shared" si="2"/>
        <v>55.33</v>
      </c>
    </row>
    <row r="18" spans="2:21">
      <c r="B18" s="174">
        <v>361</v>
      </c>
      <c r="C18" s="177" t="s">
        <v>583</v>
      </c>
      <c r="F18" s="178">
        <f>F$2+F$4+F$7+F$7+F$8</f>
        <v>57.25</v>
      </c>
      <c r="G18" s="178">
        <f t="shared" ref="G18:U18" si="3">G$2+G$4+G$7+G$7+G$8</f>
        <v>58.78</v>
      </c>
      <c r="H18" s="178">
        <f t="shared" si="3"/>
        <v>62.800000000000011</v>
      </c>
      <c r="I18" s="178">
        <f t="shared" si="3"/>
        <v>62.960000000000008</v>
      </c>
      <c r="J18" s="178">
        <f t="shared" si="3"/>
        <v>64.040000000000006</v>
      </c>
      <c r="K18" s="178">
        <f t="shared" si="3"/>
        <v>64.430000000000007</v>
      </c>
      <c r="L18" s="178">
        <f t="shared" si="3"/>
        <v>65.330000000000013</v>
      </c>
      <c r="M18" s="178">
        <f t="shared" si="3"/>
        <v>64.5</v>
      </c>
      <c r="N18" s="178">
        <f t="shared" si="3"/>
        <v>64.58</v>
      </c>
      <c r="O18" s="178">
        <f t="shared" si="3"/>
        <v>69.09</v>
      </c>
      <c r="P18" s="178">
        <f t="shared" si="3"/>
        <v>76.12</v>
      </c>
      <c r="Q18" s="178">
        <f t="shared" si="3"/>
        <v>76.070000000000007</v>
      </c>
      <c r="R18" s="178">
        <f t="shared" si="3"/>
        <v>77.78</v>
      </c>
      <c r="S18" s="178">
        <f t="shared" si="3"/>
        <v>80.84</v>
      </c>
      <c r="T18" s="178">
        <f t="shared" si="3"/>
        <v>80.98</v>
      </c>
      <c r="U18" s="178">
        <f t="shared" si="3"/>
        <v>83.160000000000011</v>
      </c>
    </row>
    <row r="19" spans="2:21">
      <c r="B19" s="174">
        <v>362</v>
      </c>
      <c r="C19" s="177" t="s">
        <v>584</v>
      </c>
      <c r="F19" s="178">
        <f>F$2+F$13</f>
        <v>38.46</v>
      </c>
      <c r="G19" s="178">
        <f t="shared" ref="G19:U19" si="4">G$2+G$13</f>
        <v>39.5</v>
      </c>
      <c r="H19" s="178">
        <f t="shared" si="4"/>
        <v>42.19</v>
      </c>
      <c r="I19" s="178">
        <f t="shared" si="4"/>
        <v>42.349999999999994</v>
      </c>
      <c r="J19" s="178">
        <f t="shared" si="4"/>
        <v>43.430000000000007</v>
      </c>
      <c r="K19" s="178">
        <f t="shared" si="4"/>
        <v>43.819999999999993</v>
      </c>
      <c r="L19" s="178">
        <f t="shared" si="4"/>
        <v>44.72</v>
      </c>
      <c r="M19" s="178">
        <f t="shared" si="4"/>
        <v>44.07</v>
      </c>
      <c r="N19" s="178">
        <f t="shared" si="4"/>
        <v>44.150000000000006</v>
      </c>
      <c r="O19" s="178">
        <f t="shared" si="4"/>
        <v>48.660000000000004</v>
      </c>
      <c r="P19" s="178">
        <f t="shared" si="4"/>
        <v>53.620000000000005</v>
      </c>
      <c r="Q19" s="178">
        <f t="shared" si="4"/>
        <v>53.57</v>
      </c>
      <c r="R19" s="178">
        <f t="shared" si="4"/>
        <v>55.28</v>
      </c>
      <c r="S19" s="178">
        <f t="shared" si="4"/>
        <v>57.46</v>
      </c>
      <c r="T19" s="178">
        <f t="shared" si="4"/>
        <v>57.6</v>
      </c>
      <c r="U19" s="178">
        <f t="shared" si="4"/>
        <v>59.78</v>
      </c>
    </row>
    <row r="20" spans="2:21">
      <c r="B20" s="174">
        <v>363</v>
      </c>
      <c r="C20" s="177" t="s">
        <v>585</v>
      </c>
      <c r="F20" s="178">
        <f>F$2+F$5+F$5</f>
        <v>40.04</v>
      </c>
      <c r="G20" s="178">
        <f t="shared" ref="G20:U20" si="5">G$2+G$5+G$5</f>
        <v>41.120000000000005</v>
      </c>
      <c r="H20" s="178">
        <f t="shared" si="5"/>
        <v>43.92</v>
      </c>
      <c r="I20" s="178">
        <f t="shared" si="5"/>
        <v>44.08</v>
      </c>
      <c r="J20" s="178">
        <f t="shared" si="5"/>
        <v>45.160000000000004</v>
      </c>
      <c r="K20" s="178">
        <f t="shared" si="5"/>
        <v>45.55</v>
      </c>
      <c r="L20" s="178">
        <f t="shared" si="5"/>
        <v>46.45</v>
      </c>
      <c r="M20" s="178">
        <f t="shared" si="5"/>
        <v>45.789999999999992</v>
      </c>
      <c r="N20" s="178">
        <f t="shared" si="5"/>
        <v>45.87</v>
      </c>
      <c r="O20" s="178">
        <f t="shared" si="5"/>
        <v>50.379999999999995</v>
      </c>
      <c r="P20" s="178">
        <f t="shared" si="5"/>
        <v>55.52000000000001</v>
      </c>
      <c r="Q20" s="178">
        <f t="shared" si="5"/>
        <v>55.47</v>
      </c>
      <c r="R20" s="178">
        <f t="shared" si="5"/>
        <v>57.180000000000007</v>
      </c>
      <c r="S20" s="178">
        <f t="shared" si="5"/>
        <v>59.43</v>
      </c>
      <c r="T20" s="178">
        <f t="shared" si="5"/>
        <v>59.57</v>
      </c>
      <c r="U20" s="178">
        <f t="shared" si="5"/>
        <v>61.75</v>
      </c>
    </row>
    <row r="21" spans="2:21">
      <c r="B21" s="174">
        <v>364</v>
      </c>
      <c r="C21" s="177" t="s">
        <v>586</v>
      </c>
      <c r="F21" s="178">
        <f>F$2+F$5+F$5+F$8</f>
        <v>41.13</v>
      </c>
      <c r="G21" s="178">
        <f t="shared" ref="G21:U21" si="6">G$2+G$5+G$5+G$8</f>
        <v>42.24</v>
      </c>
      <c r="H21" s="178">
        <f t="shared" si="6"/>
        <v>45.120000000000005</v>
      </c>
      <c r="I21" s="178">
        <f t="shared" si="6"/>
        <v>45.28</v>
      </c>
      <c r="J21" s="178">
        <f t="shared" si="6"/>
        <v>46.360000000000007</v>
      </c>
      <c r="K21" s="178">
        <f t="shared" si="6"/>
        <v>46.75</v>
      </c>
      <c r="L21" s="178">
        <f t="shared" si="6"/>
        <v>47.650000000000006</v>
      </c>
      <c r="M21" s="178">
        <f t="shared" si="6"/>
        <v>46.97999999999999</v>
      </c>
      <c r="N21" s="178">
        <f t="shared" si="6"/>
        <v>47.059999999999995</v>
      </c>
      <c r="O21" s="178">
        <f t="shared" si="6"/>
        <v>51.569999999999993</v>
      </c>
      <c r="P21" s="178">
        <f t="shared" si="6"/>
        <v>56.830000000000013</v>
      </c>
      <c r="Q21" s="178">
        <f t="shared" si="6"/>
        <v>56.78</v>
      </c>
      <c r="R21" s="178">
        <f t="shared" si="6"/>
        <v>58.490000000000009</v>
      </c>
      <c r="S21" s="178">
        <f t="shared" si="6"/>
        <v>60.79</v>
      </c>
      <c r="T21" s="178">
        <f t="shared" si="6"/>
        <v>60.93</v>
      </c>
      <c r="U21" s="178">
        <f t="shared" si="6"/>
        <v>63.11</v>
      </c>
    </row>
    <row r="22" spans="2:21">
      <c r="B22" s="174">
        <v>365</v>
      </c>
      <c r="C22" s="177" t="s">
        <v>587</v>
      </c>
      <c r="F22" s="178">
        <f>F$2+F$5+F$5+F$10</f>
        <v>55.45</v>
      </c>
      <c r="G22" s="178">
        <f t="shared" ref="G22:U22" si="7">G$2+G$5+G$5+G$10</f>
        <v>56.940000000000005</v>
      </c>
      <c r="H22" s="178">
        <f t="shared" si="7"/>
        <v>60.82</v>
      </c>
      <c r="I22" s="178">
        <f t="shared" si="7"/>
        <v>60.98</v>
      </c>
      <c r="J22" s="178">
        <f t="shared" si="7"/>
        <v>62.06</v>
      </c>
      <c r="K22" s="178">
        <f t="shared" si="7"/>
        <v>62.449999999999996</v>
      </c>
      <c r="L22" s="178">
        <f t="shared" si="7"/>
        <v>63.35</v>
      </c>
      <c r="M22" s="178">
        <f t="shared" si="7"/>
        <v>62.539999999999992</v>
      </c>
      <c r="N22" s="178">
        <f t="shared" si="7"/>
        <v>62.62</v>
      </c>
      <c r="O22" s="178">
        <f t="shared" si="7"/>
        <v>67.13</v>
      </c>
      <c r="P22" s="178">
        <f t="shared" si="7"/>
        <v>73.980000000000018</v>
      </c>
      <c r="Q22" s="178">
        <f t="shared" si="7"/>
        <v>73.930000000000007</v>
      </c>
      <c r="R22" s="178">
        <f t="shared" si="7"/>
        <v>75.640000000000015</v>
      </c>
      <c r="S22" s="178">
        <f t="shared" si="7"/>
        <v>78.62</v>
      </c>
      <c r="T22" s="178">
        <f t="shared" si="7"/>
        <v>78.760000000000005</v>
      </c>
      <c r="U22" s="178">
        <f t="shared" si="7"/>
        <v>80.94</v>
      </c>
    </row>
    <row r="23" spans="2:21">
      <c r="B23" s="174">
        <v>366</v>
      </c>
      <c r="C23" s="177" t="s">
        <v>588</v>
      </c>
      <c r="F23" s="178">
        <f>F$2+F$10+F$13</f>
        <v>53.870000000000005</v>
      </c>
      <c r="G23" s="178">
        <f t="shared" ref="G23:U23" si="8">G$2+G$10+G$13</f>
        <v>55.320000000000007</v>
      </c>
      <c r="H23" s="178">
        <f t="shared" si="8"/>
        <v>59.09</v>
      </c>
      <c r="I23" s="178">
        <f t="shared" si="8"/>
        <v>59.25</v>
      </c>
      <c r="J23" s="178">
        <f t="shared" si="8"/>
        <v>60.33</v>
      </c>
      <c r="K23" s="178">
        <f t="shared" si="8"/>
        <v>60.72</v>
      </c>
      <c r="L23" s="178">
        <f t="shared" si="8"/>
        <v>61.620000000000005</v>
      </c>
      <c r="M23" s="178">
        <f t="shared" si="8"/>
        <v>60.82</v>
      </c>
      <c r="N23" s="178">
        <f t="shared" si="8"/>
        <v>60.900000000000006</v>
      </c>
      <c r="O23" s="178">
        <f t="shared" si="8"/>
        <v>65.41</v>
      </c>
      <c r="P23" s="178">
        <f t="shared" si="8"/>
        <v>72.080000000000013</v>
      </c>
      <c r="Q23" s="178">
        <f t="shared" si="8"/>
        <v>72.03</v>
      </c>
      <c r="R23" s="178">
        <f t="shared" si="8"/>
        <v>73.740000000000009</v>
      </c>
      <c r="S23" s="178">
        <f t="shared" si="8"/>
        <v>76.650000000000006</v>
      </c>
      <c r="T23" s="178">
        <f t="shared" si="8"/>
        <v>76.790000000000006</v>
      </c>
      <c r="U23" s="178">
        <f t="shared" si="8"/>
        <v>78.97</v>
      </c>
    </row>
    <row r="24" spans="2:21">
      <c r="B24" s="174">
        <v>367</v>
      </c>
      <c r="C24" s="177" t="s">
        <v>589</v>
      </c>
      <c r="F24" s="178">
        <f>F$2+F$7+F$7</f>
        <v>39.639999999999993</v>
      </c>
      <c r="G24" s="178">
        <f t="shared" ref="G24:U24" si="9">G$2+G$7+G$7</f>
        <v>40.700000000000003</v>
      </c>
      <c r="H24" s="178">
        <f t="shared" si="9"/>
        <v>43.480000000000004</v>
      </c>
      <c r="I24" s="178">
        <f t="shared" si="9"/>
        <v>43.64</v>
      </c>
      <c r="J24" s="178">
        <f t="shared" si="9"/>
        <v>44.720000000000006</v>
      </c>
      <c r="K24" s="178">
        <f t="shared" si="9"/>
        <v>45.11</v>
      </c>
      <c r="L24" s="178">
        <f t="shared" si="9"/>
        <v>46.010000000000005</v>
      </c>
      <c r="M24" s="178">
        <f t="shared" si="9"/>
        <v>45.349999999999994</v>
      </c>
      <c r="N24" s="178">
        <f t="shared" si="9"/>
        <v>45.43</v>
      </c>
      <c r="O24" s="178">
        <f t="shared" si="9"/>
        <v>49.94</v>
      </c>
      <c r="P24" s="178">
        <f t="shared" si="9"/>
        <v>55.02000000000001</v>
      </c>
      <c r="Q24" s="178">
        <f t="shared" si="9"/>
        <v>54.97</v>
      </c>
      <c r="R24" s="178">
        <f t="shared" si="9"/>
        <v>56.680000000000007</v>
      </c>
      <c r="S24" s="178">
        <f t="shared" si="9"/>
        <v>58.910000000000004</v>
      </c>
      <c r="T24" s="178">
        <f t="shared" si="9"/>
        <v>59.050000000000004</v>
      </c>
      <c r="U24" s="178">
        <f t="shared" si="9"/>
        <v>61.230000000000004</v>
      </c>
    </row>
    <row r="25" spans="2:21">
      <c r="B25" s="174">
        <v>368</v>
      </c>
      <c r="C25" s="174" t="s">
        <v>590</v>
      </c>
      <c r="F25" s="178">
        <f>F$2+F$8</f>
        <v>35.99</v>
      </c>
      <c r="G25" s="178">
        <f t="shared" ref="G25:U25" si="10">G$2+G$8</f>
        <v>36.96</v>
      </c>
      <c r="H25" s="178">
        <f t="shared" si="10"/>
        <v>39.480000000000004</v>
      </c>
      <c r="I25" s="178">
        <f t="shared" si="10"/>
        <v>39.64</v>
      </c>
      <c r="J25" s="178">
        <f t="shared" si="10"/>
        <v>40.720000000000006</v>
      </c>
      <c r="K25" s="178">
        <f t="shared" si="10"/>
        <v>41.11</v>
      </c>
      <c r="L25" s="178">
        <f t="shared" si="10"/>
        <v>42.010000000000005</v>
      </c>
      <c r="M25" s="178">
        <f t="shared" si="10"/>
        <v>41.379999999999995</v>
      </c>
      <c r="N25" s="178">
        <f t="shared" si="10"/>
        <v>41.46</v>
      </c>
      <c r="O25" s="178">
        <f t="shared" si="10"/>
        <v>45.97</v>
      </c>
      <c r="P25" s="178">
        <f t="shared" si="10"/>
        <v>50.650000000000006</v>
      </c>
      <c r="Q25" s="178">
        <f t="shared" si="10"/>
        <v>50.6</v>
      </c>
      <c r="R25" s="178">
        <f t="shared" si="10"/>
        <v>52.31</v>
      </c>
      <c r="S25" s="178">
        <f t="shared" si="10"/>
        <v>54.37</v>
      </c>
      <c r="T25" s="178">
        <f t="shared" si="10"/>
        <v>54.51</v>
      </c>
      <c r="U25" s="178">
        <f t="shared" si="10"/>
        <v>56.69</v>
      </c>
    </row>
    <row r="26" spans="2:21">
      <c r="B26" s="174">
        <v>370</v>
      </c>
      <c r="C26" s="174" t="s">
        <v>591</v>
      </c>
      <c r="F26" s="178">
        <f>F$2+F$10</f>
        <v>50.31</v>
      </c>
      <c r="G26" s="178">
        <f t="shared" ref="G26:U26" si="11">G$2+G$10</f>
        <v>51.660000000000004</v>
      </c>
      <c r="H26" s="178">
        <f t="shared" si="11"/>
        <v>55.18</v>
      </c>
      <c r="I26" s="178">
        <f t="shared" si="11"/>
        <v>55.339999999999996</v>
      </c>
      <c r="J26" s="178">
        <f t="shared" si="11"/>
        <v>56.42</v>
      </c>
      <c r="K26" s="178">
        <f t="shared" si="11"/>
        <v>56.809999999999995</v>
      </c>
      <c r="L26" s="178">
        <f t="shared" si="11"/>
        <v>57.71</v>
      </c>
      <c r="M26" s="178">
        <f t="shared" si="11"/>
        <v>56.94</v>
      </c>
      <c r="N26" s="178">
        <f t="shared" si="11"/>
        <v>57.02</v>
      </c>
      <c r="O26" s="178">
        <f t="shared" si="11"/>
        <v>61.53</v>
      </c>
      <c r="P26" s="178">
        <f t="shared" si="11"/>
        <v>67.800000000000011</v>
      </c>
      <c r="Q26" s="178">
        <f t="shared" si="11"/>
        <v>67.75</v>
      </c>
      <c r="R26" s="178">
        <f t="shared" si="11"/>
        <v>69.460000000000008</v>
      </c>
      <c r="S26" s="178">
        <f t="shared" si="11"/>
        <v>72.2</v>
      </c>
      <c r="T26" s="178">
        <f t="shared" si="11"/>
        <v>72.34</v>
      </c>
      <c r="U26" s="178">
        <f t="shared" si="11"/>
        <v>74.52</v>
      </c>
    </row>
    <row r="27" spans="2:21">
      <c r="B27" s="174">
        <v>371</v>
      </c>
      <c r="C27" s="177" t="s">
        <v>592</v>
      </c>
      <c r="F27" s="178">
        <f>F$2+F$4+F$7+F$7+F$8+F$10</f>
        <v>72.66</v>
      </c>
      <c r="G27" s="178">
        <f t="shared" ref="G27:U27" si="12">G$2+G$4+G$7+G$7+G$8+G$10</f>
        <v>74.599999999999994</v>
      </c>
      <c r="H27" s="178">
        <f t="shared" si="12"/>
        <v>79.700000000000017</v>
      </c>
      <c r="I27" s="178">
        <f t="shared" si="12"/>
        <v>79.860000000000014</v>
      </c>
      <c r="J27" s="178">
        <f t="shared" si="12"/>
        <v>80.94</v>
      </c>
      <c r="K27" s="178">
        <f t="shared" si="12"/>
        <v>81.330000000000013</v>
      </c>
      <c r="L27" s="178">
        <f t="shared" si="12"/>
        <v>82.230000000000018</v>
      </c>
      <c r="M27" s="178">
        <f t="shared" si="12"/>
        <v>81.25</v>
      </c>
      <c r="N27" s="178">
        <f t="shared" si="12"/>
        <v>81.33</v>
      </c>
      <c r="O27" s="178">
        <f t="shared" si="12"/>
        <v>85.84</v>
      </c>
      <c r="P27" s="178">
        <f t="shared" si="12"/>
        <v>94.580000000000013</v>
      </c>
      <c r="Q27" s="178">
        <f t="shared" si="12"/>
        <v>94.53</v>
      </c>
      <c r="R27" s="178">
        <f t="shared" si="12"/>
        <v>96.240000000000009</v>
      </c>
      <c r="S27" s="178">
        <f t="shared" si="12"/>
        <v>100.03</v>
      </c>
      <c r="T27" s="178">
        <f t="shared" si="12"/>
        <v>100.17</v>
      </c>
      <c r="U27" s="178">
        <f t="shared" si="12"/>
        <v>102.35000000000001</v>
      </c>
    </row>
    <row r="28" spans="2:21">
      <c r="B28" s="174">
        <v>372</v>
      </c>
      <c r="C28" s="177" t="s">
        <v>593</v>
      </c>
      <c r="F28" s="178">
        <f>F$2+F$5+F$5+F$8+F$10</f>
        <v>56.540000000000006</v>
      </c>
      <c r="G28" s="178">
        <f t="shared" ref="G28:U28" si="13">G$2+G$5+G$5+G$8+G$10</f>
        <v>58.06</v>
      </c>
      <c r="H28" s="178">
        <f t="shared" si="13"/>
        <v>62.02</v>
      </c>
      <c r="I28" s="178">
        <f t="shared" si="13"/>
        <v>62.18</v>
      </c>
      <c r="J28" s="178">
        <f t="shared" si="13"/>
        <v>63.260000000000005</v>
      </c>
      <c r="K28" s="178">
        <f t="shared" si="13"/>
        <v>63.65</v>
      </c>
      <c r="L28" s="178">
        <f t="shared" si="13"/>
        <v>64.550000000000011</v>
      </c>
      <c r="M28" s="178">
        <f t="shared" si="13"/>
        <v>63.72999999999999</v>
      </c>
      <c r="N28" s="178">
        <f t="shared" si="13"/>
        <v>63.809999999999995</v>
      </c>
      <c r="O28" s="178">
        <f t="shared" si="13"/>
        <v>68.319999999999993</v>
      </c>
      <c r="P28" s="178">
        <f t="shared" si="13"/>
        <v>75.29000000000002</v>
      </c>
      <c r="Q28" s="178">
        <f t="shared" si="13"/>
        <v>75.240000000000009</v>
      </c>
      <c r="R28" s="178">
        <f t="shared" si="13"/>
        <v>76.950000000000017</v>
      </c>
      <c r="S28" s="178">
        <f t="shared" si="13"/>
        <v>79.98</v>
      </c>
      <c r="T28" s="178">
        <f t="shared" si="13"/>
        <v>80.12</v>
      </c>
      <c r="U28" s="178">
        <f t="shared" si="13"/>
        <v>82.3</v>
      </c>
    </row>
    <row r="29" spans="2:21">
      <c r="B29" s="174">
        <v>373</v>
      </c>
      <c r="C29" s="174" t="s">
        <v>591</v>
      </c>
      <c r="F29" s="178">
        <f>F$2+F$10</f>
        <v>50.31</v>
      </c>
      <c r="G29" s="178">
        <f t="shared" ref="G29:U29" si="14">G$2+G$10</f>
        <v>51.660000000000004</v>
      </c>
      <c r="H29" s="178">
        <f t="shared" si="14"/>
        <v>55.18</v>
      </c>
      <c r="I29" s="178">
        <f t="shared" si="14"/>
        <v>55.339999999999996</v>
      </c>
      <c r="J29" s="178">
        <f t="shared" si="14"/>
        <v>56.42</v>
      </c>
      <c r="K29" s="178">
        <f t="shared" si="14"/>
        <v>56.809999999999995</v>
      </c>
      <c r="L29" s="178">
        <f t="shared" si="14"/>
        <v>57.71</v>
      </c>
      <c r="M29" s="178">
        <f t="shared" si="14"/>
        <v>56.94</v>
      </c>
      <c r="N29" s="178">
        <f t="shared" si="14"/>
        <v>57.02</v>
      </c>
      <c r="O29" s="178">
        <f t="shared" si="14"/>
        <v>61.53</v>
      </c>
      <c r="P29" s="178">
        <f t="shared" si="14"/>
        <v>67.800000000000011</v>
      </c>
      <c r="Q29" s="178">
        <f t="shared" si="14"/>
        <v>67.75</v>
      </c>
      <c r="R29" s="178">
        <f t="shared" si="14"/>
        <v>69.460000000000008</v>
      </c>
      <c r="S29" s="178">
        <f t="shared" si="14"/>
        <v>72.2</v>
      </c>
      <c r="T29" s="178">
        <f t="shared" si="14"/>
        <v>72.34</v>
      </c>
      <c r="U29" s="178">
        <f t="shared" si="14"/>
        <v>74.52</v>
      </c>
    </row>
    <row r="30" spans="2:21">
      <c r="B30" s="174">
        <v>374</v>
      </c>
      <c r="C30" s="174" t="s">
        <v>594</v>
      </c>
      <c r="F30" s="178">
        <f>F$2+F$8+F$10</f>
        <v>51.400000000000006</v>
      </c>
      <c r="G30" s="178">
        <f t="shared" ref="G30:U30" si="15">G$2+G$8+G$10</f>
        <v>52.78</v>
      </c>
      <c r="H30" s="178">
        <f t="shared" si="15"/>
        <v>56.38</v>
      </c>
      <c r="I30" s="178">
        <f t="shared" si="15"/>
        <v>56.54</v>
      </c>
      <c r="J30" s="178">
        <f t="shared" si="15"/>
        <v>57.620000000000005</v>
      </c>
      <c r="K30" s="178">
        <f t="shared" si="15"/>
        <v>58.01</v>
      </c>
      <c r="L30" s="178">
        <f t="shared" si="15"/>
        <v>58.910000000000004</v>
      </c>
      <c r="M30" s="178">
        <f t="shared" si="15"/>
        <v>58.129999999999995</v>
      </c>
      <c r="N30" s="178">
        <f t="shared" si="15"/>
        <v>58.21</v>
      </c>
      <c r="O30" s="178">
        <f t="shared" si="15"/>
        <v>62.72</v>
      </c>
      <c r="P30" s="178">
        <f t="shared" si="15"/>
        <v>69.110000000000014</v>
      </c>
      <c r="Q30" s="178">
        <f t="shared" si="15"/>
        <v>69.06</v>
      </c>
      <c r="R30" s="178">
        <f t="shared" si="15"/>
        <v>70.77000000000001</v>
      </c>
      <c r="S30" s="178">
        <f t="shared" si="15"/>
        <v>73.56</v>
      </c>
      <c r="T30" s="178">
        <f t="shared" si="15"/>
        <v>73.7</v>
      </c>
      <c r="U30" s="178">
        <f t="shared" si="15"/>
        <v>75.88</v>
      </c>
    </row>
    <row r="31" spans="2:21">
      <c r="B31" s="174">
        <v>375</v>
      </c>
      <c r="C31" s="174" t="s">
        <v>588</v>
      </c>
      <c r="F31" s="178">
        <f>F$2+F$13+F$10</f>
        <v>53.870000000000005</v>
      </c>
      <c r="G31" s="178">
        <f t="shared" ref="G31:U31" si="16">G$2+G$13+G$10</f>
        <v>55.32</v>
      </c>
      <c r="H31" s="178">
        <f t="shared" si="16"/>
        <v>59.089999999999996</v>
      </c>
      <c r="I31" s="178">
        <f t="shared" si="16"/>
        <v>59.249999999999993</v>
      </c>
      <c r="J31" s="178">
        <f t="shared" si="16"/>
        <v>60.330000000000005</v>
      </c>
      <c r="K31" s="178">
        <f t="shared" si="16"/>
        <v>60.719999999999992</v>
      </c>
      <c r="L31" s="178">
        <f t="shared" si="16"/>
        <v>61.62</v>
      </c>
      <c r="M31" s="178">
        <f t="shared" si="16"/>
        <v>60.82</v>
      </c>
      <c r="N31" s="178">
        <f t="shared" si="16"/>
        <v>60.900000000000006</v>
      </c>
      <c r="O31" s="178">
        <f t="shared" si="16"/>
        <v>65.41</v>
      </c>
      <c r="P31" s="178">
        <f t="shared" si="16"/>
        <v>72.080000000000013</v>
      </c>
      <c r="Q31" s="178">
        <f t="shared" si="16"/>
        <v>72.03</v>
      </c>
      <c r="R31" s="178">
        <f t="shared" si="16"/>
        <v>73.740000000000009</v>
      </c>
      <c r="S31" s="178">
        <f t="shared" si="16"/>
        <v>76.650000000000006</v>
      </c>
      <c r="T31" s="178">
        <f t="shared" si="16"/>
        <v>76.790000000000006</v>
      </c>
      <c r="U31" s="178">
        <f t="shared" si="16"/>
        <v>78.97</v>
      </c>
    </row>
    <row r="32" spans="2:21">
      <c r="B32" s="174">
        <v>376</v>
      </c>
      <c r="C32" s="177" t="s">
        <v>595</v>
      </c>
      <c r="F32" s="178">
        <f>F$2+F$4+F$8</f>
        <v>52.510000000000005</v>
      </c>
      <c r="G32" s="178">
        <f t="shared" ref="G32:U32" si="17">G$2+G$4+G$8</f>
        <v>53.92</v>
      </c>
      <c r="H32" s="178">
        <f t="shared" si="17"/>
        <v>57.600000000000009</v>
      </c>
      <c r="I32" s="178">
        <f t="shared" si="17"/>
        <v>57.760000000000005</v>
      </c>
      <c r="J32" s="178">
        <f t="shared" si="17"/>
        <v>58.84</v>
      </c>
      <c r="K32" s="178">
        <f t="shared" si="17"/>
        <v>59.230000000000004</v>
      </c>
      <c r="L32" s="178">
        <f t="shared" si="17"/>
        <v>60.13000000000001</v>
      </c>
      <c r="M32" s="178">
        <f t="shared" si="17"/>
        <v>59.339999999999996</v>
      </c>
      <c r="N32" s="178">
        <f t="shared" si="17"/>
        <v>59.42</v>
      </c>
      <c r="O32" s="178">
        <f t="shared" si="17"/>
        <v>63.93</v>
      </c>
      <c r="P32" s="178">
        <f t="shared" si="17"/>
        <v>70.44</v>
      </c>
      <c r="Q32" s="178">
        <f t="shared" si="17"/>
        <v>70.39</v>
      </c>
      <c r="R32" s="178">
        <f t="shared" si="17"/>
        <v>72.099999999999994</v>
      </c>
      <c r="S32" s="178">
        <f t="shared" si="17"/>
        <v>74.94</v>
      </c>
      <c r="T32" s="178">
        <f t="shared" si="17"/>
        <v>75.08</v>
      </c>
      <c r="U32" s="178">
        <f t="shared" si="17"/>
        <v>77.260000000000005</v>
      </c>
    </row>
    <row r="33" spans="2:31">
      <c r="B33" s="174">
        <v>377</v>
      </c>
      <c r="C33" s="177" t="s">
        <v>596</v>
      </c>
      <c r="F33" s="178">
        <f>F$2+F$6 + F$6</f>
        <v>34.9</v>
      </c>
      <c r="G33" s="178">
        <f t="shared" ref="G33:U33" si="18">G$2+G$6 + G$6</f>
        <v>43.180000000000007</v>
      </c>
      <c r="H33" s="178">
        <f t="shared" si="18"/>
        <v>46.08</v>
      </c>
      <c r="I33" s="178">
        <f t="shared" si="18"/>
        <v>46.239999999999995</v>
      </c>
      <c r="J33" s="178">
        <f t="shared" si="18"/>
        <v>47.32</v>
      </c>
      <c r="K33" s="178">
        <f t="shared" si="18"/>
        <v>47.709999999999994</v>
      </c>
      <c r="L33" s="178">
        <f t="shared" si="18"/>
        <v>48.61</v>
      </c>
      <c r="M33" s="178">
        <f t="shared" si="18"/>
        <v>47.929999999999993</v>
      </c>
      <c r="N33" s="178">
        <f t="shared" si="18"/>
        <v>48.01</v>
      </c>
      <c r="O33" s="178">
        <f t="shared" si="18"/>
        <v>52.519999999999996</v>
      </c>
      <c r="P33" s="178">
        <f t="shared" si="18"/>
        <v>57.86</v>
      </c>
      <c r="Q33" s="178">
        <f t="shared" si="18"/>
        <v>57.809999999999995</v>
      </c>
      <c r="R33" s="178">
        <f t="shared" si="18"/>
        <v>59.519999999999996</v>
      </c>
      <c r="S33" s="178">
        <f t="shared" si="18"/>
        <v>61.87</v>
      </c>
      <c r="T33" s="178">
        <f t="shared" si="18"/>
        <v>62.01</v>
      </c>
      <c r="U33" s="178">
        <f t="shared" si="18"/>
        <v>64.19</v>
      </c>
      <c r="Y33" s="174">
        <f>MiscData!$C$25</f>
        <v>20140101</v>
      </c>
    </row>
    <row r="34" spans="2:31">
      <c r="B34" s="174">
        <v>378</v>
      </c>
      <c r="C34" s="177" t="s">
        <v>612</v>
      </c>
      <c r="F34" s="178"/>
      <c r="G34" s="178"/>
      <c r="H34" s="178"/>
      <c r="I34" s="178"/>
      <c r="J34" s="178"/>
      <c r="K34" s="178"/>
      <c r="L34" s="178"/>
      <c r="M34" s="178"/>
      <c r="N34" s="178"/>
      <c r="O34" s="178"/>
      <c r="P34" s="178">
        <f t="shared" ref="P34:U34" si="19">P$2+P$4</f>
        <v>69.13</v>
      </c>
      <c r="Q34" s="178">
        <f t="shared" si="19"/>
        <v>69.08</v>
      </c>
      <c r="R34" s="178">
        <f t="shared" si="19"/>
        <v>70.789999999999992</v>
      </c>
      <c r="S34" s="178">
        <f t="shared" si="19"/>
        <v>73.58</v>
      </c>
      <c r="T34" s="178">
        <f t="shared" si="19"/>
        <v>73.72</v>
      </c>
      <c r="U34" s="178">
        <f t="shared" si="19"/>
        <v>75.900000000000006</v>
      </c>
    </row>
    <row r="35" spans="2:31">
      <c r="B35" s="174">
        <v>379</v>
      </c>
      <c r="C35" s="177" t="s">
        <v>613</v>
      </c>
      <c r="F35" s="178"/>
      <c r="G35" s="178"/>
      <c r="H35" s="178"/>
      <c r="I35" s="178"/>
      <c r="J35" s="178"/>
      <c r="K35" s="178"/>
      <c r="L35" s="178"/>
      <c r="M35" s="178"/>
      <c r="N35" s="178"/>
      <c r="O35" s="178"/>
      <c r="P35" s="178">
        <f t="shared" ref="P35:U35" si="20">P$2+P$4+P$14</f>
        <v>73.88</v>
      </c>
      <c r="Q35" s="178">
        <f t="shared" si="20"/>
        <v>73.83</v>
      </c>
      <c r="R35" s="178">
        <f t="shared" si="20"/>
        <v>75.539999999999992</v>
      </c>
      <c r="S35" s="178">
        <f t="shared" si="20"/>
        <v>78.52</v>
      </c>
      <c r="T35" s="178">
        <f t="shared" si="20"/>
        <v>78.66</v>
      </c>
      <c r="U35" s="178">
        <f t="shared" si="20"/>
        <v>80.84</v>
      </c>
    </row>
    <row r="36" spans="2:31">
      <c r="B36" s="174">
        <v>380</v>
      </c>
      <c r="C36" s="177" t="s">
        <v>614</v>
      </c>
      <c r="F36" s="178"/>
      <c r="G36" s="178"/>
      <c r="H36" s="178"/>
      <c r="I36" s="178"/>
      <c r="J36" s="178"/>
      <c r="K36" s="178"/>
      <c r="L36" s="178"/>
      <c r="M36" s="178"/>
      <c r="N36" s="178"/>
      <c r="O36" s="178"/>
      <c r="P36" s="178">
        <f t="shared" ref="P36:U36" si="21">P$2+P$4+P$6+P$6</f>
        <v>77.650000000000006</v>
      </c>
      <c r="Q36" s="178">
        <f t="shared" si="21"/>
        <v>77.600000000000009</v>
      </c>
      <c r="R36" s="178">
        <f t="shared" si="21"/>
        <v>79.31</v>
      </c>
      <c r="S36" s="178">
        <f t="shared" si="21"/>
        <v>82.44</v>
      </c>
      <c r="T36" s="178">
        <f t="shared" si="21"/>
        <v>82.580000000000013</v>
      </c>
      <c r="U36" s="178">
        <f t="shared" si="21"/>
        <v>84.760000000000019</v>
      </c>
    </row>
    <row r="37" spans="2:31">
      <c r="B37" s="174">
        <v>381</v>
      </c>
      <c r="C37" s="177" t="s">
        <v>615</v>
      </c>
      <c r="F37" s="178"/>
      <c r="G37" s="178"/>
      <c r="H37" s="178"/>
      <c r="I37" s="178"/>
      <c r="J37" s="178"/>
      <c r="K37" s="178"/>
      <c r="L37" s="178"/>
      <c r="M37" s="178"/>
      <c r="N37" s="178"/>
      <c r="O37" s="178"/>
      <c r="P37" s="178">
        <f t="shared" ref="P37:U37" si="22">P$2+P$4+P$6+P$6+P$8</f>
        <v>78.960000000000008</v>
      </c>
      <c r="Q37" s="178">
        <f t="shared" si="22"/>
        <v>78.910000000000011</v>
      </c>
      <c r="R37" s="178">
        <f t="shared" si="22"/>
        <v>80.62</v>
      </c>
      <c r="S37" s="178">
        <f t="shared" si="22"/>
        <v>83.8</v>
      </c>
      <c r="T37" s="178">
        <f t="shared" si="22"/>
        <v>83.940000000000012</v>
      </c>
      <c r="U37" s="178">
        <f t="shared" si="22"/>
        <v>86.120000000000019</v>
      </c>
    </row>
    <row r="38" spans="2:31">
      <c r="B38" s="174">
        <v>382</v>
      </c>
      <c r="C38" s="177" t="s">
        <v>620</v>
      </c>
      <c r="F38" s="178"/>
      <c r="G38" s="178"/>
      <c r="H38" s="178"/>
      <c r="I38" s="178"/>
      <c r="J38" s="178"/>
      <c r="K38" s="178"/>
      <c r="L38" s="178"/>
      <c r="M38" s="178"/>
      <c r="N38" s="178"/>
      <c r="O38" s="178"/>
      <c r="P38" s="178">
        <f t="shared" ref="P38:U38" si="23">P$2+P$4+P$9+P$9</f>
        <v>76.169999999999987</v>
      </c>
      <c r="Q38" s="178">
        <f t="shared" si="23"/>
        <v>76.11999999999999</v>
      </c>
      <c r="R38" s="178">
        <f t="shared" si="23"/>
        <v>77.829999999999984</v>
      </c>
      <c r="S38" s="178">
        <f t="shared" si="23"/>
        <v>80.899999999999991</v>
      </c>
      <c r="T38" s="178">
        <f t="shared" si="23"/>
        <v>81.039999999999992</v>
      </c>
      <c r="U38" s="178">
        <f t="shared" si="23"/>
        <v>83.22</v>
      </c>
    </row>
    <row r="39" spans="2:31">
      <c r="B39" s="174">
        <v>395</v>
      </c>
      <c r="C39" s="174" t="s">
        <v>597</v>
      </c>
      <c r="F39" s="178">
        <f>F$2</f>
        <v>34.9</v>
      </c>
      <c r="G39" s="178">
        <f t="shared" ref="G39:U39" si="24">G$2</f>
        <v>35.840000000000003</v>
      </c>
      <c r="H39" s="178">
        <f t="shared" si="24"/>
        <v>38.28</v>
      </c>
      <c r="I39" s="178">
        <f t="shared" si="24"/>
        <v>38.44</v>
      </c>
      <c r="J39" s="178">
        <f t="shared" si="24"/>
        <v>39.520000000000003</v>
      </c>
      <c r="K39" s="178">
        <f t="shared" si="24"/>
        <v>39.909999999999997</v>
      </c>
      <c r="L39" s="178">
        <f t="shared" si="24"/>
        <v>40.81</v>
      </c>
      <c r="M39" s="178">
        <f t="shared" si="24"/>
        <v>40.19</v>
      </c>
      <c r="N39" s="178">
        <f t="shared" si="24"/>
        <v>40.270000000000003</v>
      </c>
      <c r="O39" s="178">
        <f t="shared" si="24"/>
        <v>44.78</v>
      </c>
      <c r="P39" s="178">
        <f t="shared" si="24"/>
        <v>49.34</v>
      </c>
      <c r="Q39" s="178">
        <f t="shared" si="24"/>
        <v>49.29</v>
      </c>
      <c r="R39" s="178">
        <f t="shared" si="24"/>
        <v>51</v>
      </c>
      <c r="S39" s="178">
        <f t="shared" si="24"/>
        <v>53.01</v>
      </c>
      <c r="T39" s="178">
        <f t="shared" si="24"/>
        <v>53.15</v>
      </c>
      <c r="U39" s="178">
        <f t="shared" si="24"/>
        <v>55.33</v>
      </c>
      <c r="W39" s="1315" t="s">
        <v>600</v>
      </c>
      <c r="X39" s="1315"/>
      <c r="Y39" s="1315"/>
      <c r="AA39" s="1315" t="s">
        <v>601</v>
      </c>
      <c r="AB39" s="1315"/>
      <c r="AC39" s="1315"/>
      <c r="AD39" s="1315"/>
    </row>
    <row r="40" spans="2:31">
      <c r="W40" s="174" t="s">
        <v>599</v>
      </c>
      <c r="X40" s="174" t="s">
        <v>485</v>
      </c>
      <c r="Y40" s="174" t="s">
        <v>599</v>
      </c>
      <c r="AA40" s="174" t="s">
        <v>598</v>
      </c>
      <c r="AB40" s="174" t="s">
        <v>451</v>
      </c>
      <c r="AC40" s="174" t="s">
        <v>857</v>
      </c>
    </row>
    <row r="41" spans="2:31">
      <c r="B41" s="174">
        <v>0</v>
      </c>
      <c r="C41" s="174" t="str">
        <f>$C$2</f>
        <v>Pole &amp; Fixture SL</v>
      </c>
      <c r="F41" s="179">
        <f>VLOOKUP($C41,$C$2:R$15,F$16,FALSE)</f>
        <v>34.9</v>
      </c>
      <c r="G41" s="179">
        <f>VLOOKUP($C41,$C$2:V$14,G$16,FALSE)</f>
        <v>35.840000000000003</v>
      </c>
      <c r="H41" s="179">
        <f>VLOOKUP($C41,$C$2:W$14,H$16,FALSE)</f>
        <v>38.28</v>
      </c>
      <c r="I41" s="179">
        <f>VLOOKUP($C41,$C$2:X$14,I$16,FALSE)</f>
        <v>38.44</v>
      </c>
      <c r="J41" s="179">
        <f>VLOOKUP($C41,$C$2:Y$14,J$16,FALSE)</f>
        <v>39.520000000000003</v>
      </c>
      <c r="K41" s="179">
        <f>VLOOKUP($C41,$C$2:Z$14,K$16,FALSE)</f>
        <v>39.909999999999997</v>
      </c>
      <c r="L41" s="179">
        <f>VLOOKUP($C41,$C$2:AA$14,L$16,FALSE)</f>
        <v>40.81</v>
      </c>
      <c r="M41" s="179">
        <f>VLOOKUP($C41,$C$2:AB$14,M$16,FALSE)</f>
        <v>40.19</v>
      </c>
      <c r="N41" s="179">
        <f>VLOOKUP($C41,$C$2:AC$14,N$16,FALSE)</f>
        <v>40.270000000000003</v>
      </c>
      <c r="O41" s="179">
        <f>VLOOKUP($C41,$C$2:AD$14,O$16,FALSE)</f>
        <v>44.78</v>
      </c>
      <c r="P41" s="179">
        <f>VLOOKUP($C41,$C$2:AE$14,P$16,FALSE)</f>
        <v>49.34</v>
      </c>
      <c r="Q41" s="179">
        <f>VLOOKUP($C41,$C$2:AF$14,Q$16,FALSE)</f>
        <v>49.29</v>
      </c>
      <c r="R41" s="179">
        <f>VLOOKUP($C41,$C$2:AG$14,R$16,FALSE)</f>
        <v>51</v>
      </c>
      <c r="S41" s="179">
        <f>VLOOKUP($C41,$C$2:AG$14,S$16,FALSE)</f>
        <v>53.01</v>
      </c>
      <c r="T41" s="179">
        <f>VLOOKUP($C41,$C$2:AH$14,T$16,FALSE)</f>
        <v>53.15</v>
      </c>
      <c r="U41" s="179">
        <f>VLOOKUP($C41,$C$2:AI$14,U$16,FALSE)</f>
        <v>55.33</v>
      </c>
      <c r="V41" s="174" t="s">
        <v>323</v>
      </c>
      <c r="W41" s="174">
        <f>SUMIF(_12MonLights_TariffRateCategory,W$33&amp;$V41,_12MonLights_Count)+SUMIF(_12MonLights_TariffRateCategory,W$33&amp;$V41,_12MonLights_Count_Adj)</f>
        <v>0</v>
      </c>
      <c r="X41" s="174">
        <f t="shared" ref="X41:X42" si="25">SUMIF(_12MonLights_TariffRateCategory,X$33&amp;$V41,_12MonLights_Count)+SUMIF(_12MonLights_TariffRateCategory,X$33&amp;$V41,_12MonLights_Count_Adj)</f>
        <v>0</v>
      </c>
      <c r="Y41" s="174">
        <f>SUMIF(_12MonLights_TariffRateCategory,Y$33&amp;$V41,_12MonLights_Count)-SUMIF(_12MonLights_TariffRateCategory,Y$33&amp;$V41,_12MonLights_Count_Adj)</f>
        <v>2105</v>
      </c>
      <c r="AA41" s="178">
        <f>ROUND(W41*S41,2)</f>
        <v>0</v>
      </c>
      <c r="AB41" s="178">
        <f>ROUND(X41*Q41,2)</f>
        <v>0</v>
      </c>
      <c r="AC41" s="178">
        <f>ROUND(Y41*U41,2)</f>
        <v>116469.65</v>
      </c>
      <c r="AD41" s="284">
        <f>SUM(AA41:AC41)</f>
        <v>116469.65</v>
      </c>
      <c r="AE41" s="178"/>
    </row>
    <row r="42" spans="2:31">
      <c r="B42" s="174">
        <v>0</v>
      </c>
      <c r="C42" s="174" t="str">
        <f>$C$2</f>
        <v>Pole &amp; Fixture SL</v>
      </c>
      <c r="F42" s="179">
        <f>VLOOKUP($C42,$C$2:R$14,F$16,FALSE)</f>
        <v>34.9</v>
      </c>
      <c r="G42" s="179">
        <f>VLOOKUP($C42,$C$2:V$14,G$16,FALSE)</f>
        <v>35.840000000000003</v>
      </c>
      <c r="H42" s="179">
        <f>VLOOKUP($C42,$C$2:W$14,H$16,FALSE)</f>
        <v>38.28</v>
      </c>
      <c r="I42" s="179">
        <f>VLOOKUP($C42,$C$2:X$14,I$16,FALSE)</f>
        <v>38.44</v>
      </c>
      <c r="J42" s="179">
        <f>VLOOKUP($C42,$C$2:Y$14,J$16,FALSE)</f>
        <v>39.520000000000003</v>
      </c>
      <c r="K42" s="179">
        <f>VLOOKUP($C42,$C$2:Z$14,K$16,FALSE)</f>
        <v>39.909999999999997</v>
      </c>
      <c r="L42" s="179">
        <f>VLOOKUP($C42,$C$2:AA$14,L$16,FALSE)</f>
        <v>40.81</v>
      </c>
      <c r="M42" s="179">
        <f>VLOOKUP($C42,$C$2:AB$14,M$16,FALSE)</f>
        <v>40.19</v>
      </c>
      <c r="N42" s="179">
        <f>VLOOKUP($C42,$C$2:AC$14,N$16,FALSE)</f>
        <v>40.270000000000003</v>
      </c>
      <c r="O42" s="179">
        <f>VLOOKUP($C42,$C$2:AD$14,O$16,FALSE)</f>
        <v>44.78</v>
      </c>
      <c r="P42" s="179">
        <f>VLOOKUP($C42,$C$2:AE$14,P$16,FALSE)</f>
        <v>49.34</v>
      </c>
      <c r="Q42" s="179">
        <f>VLOOKUP($C42,$C$2:AF$14,Q$16,FALSE)</f>
        <v>49.29</v>
      </c>
      <c r="R42" s="179">
        <f>VLOOKUP($C42,$C$2:AG$14,R$16,FALSE)</f>
        <v>51</v>
      </c>
      <c r="S42" s="179">
        <f>VLOOKUP($C42,$C$2:AG$14,S$16,FALSE)</f>
        <v>53.01</v>
      </c>
      <c r="T42" s="179">
        <f>VLOOKUP($C42,$C$2:AH$14,T$16,FALSE)</f>
        <v>53.15</v>
      </c>
      <c r="U42" s="179">
        <f>VLOOKUP($C42,$C$2:AI$14,U$16,FALSE)</f>
        <v>55.33</v>
      </c>
      <c r="V42" s="174" t="s">
        <v>328</v>
      </c>
      <c r="W42" s="174">
        <f>SUMIF(_12MonLights_TariffRateCategory,W$33&amp;$V42,_12MonLights_Count)+SUMIF(_12MonLights_TariffRateCategory,W$33&amp;$V42,_12MonLights_Count_Adj)</f>
        <v>0</v>
      </c>
      <c r="X42" s="174">
        <f t="shared" si="25"/>
        <v>0</v>
      </c>
      <c r="Y42" s="174">
        <f>SUMIF(_12MonLights_TariffRateCategory,Y$33&amp;$V42,_12MonLights_Count)-SUMIF(_12MonLights_TariffRateCategory,Y$33&amp;$V42,_12MonLights_Count_Adj)</f>
        <v>305</v>
      </c>
      <c r="AA42" s="178">
        <f t="shared" ref="AA42:AA105" si="26">ROUND(W42*S42,2)</f>
        <v>0</v>
      </c>
      <c r="AB42" s="178">
        <f>ROUND(X42*Q42,2)</f>
        <v>0</v>
      </c>
      <c r="AC42" s="178">
        <f t="shared" ref="AC42:AC105" si="27">ROUND(Y42*U42,2)</f>
        <v>16875.650000000001</v>
      </c>
      <c r="AD42" s="284">
        <f>SUM(AA42:AC46)</f>
        <v>25363.8</v>
      </c>
      <c r="AE42" s="178"/>
    </row>
    <row r="43" spans="2:31">
      <c r="B43" s="174">
        <v>2</v>
      </c>
      <c r="C43" s="174" t="str">
        <f>VLOOKUP(B43,$B$3:$C$14,2,FALSE)</f>
        <v>Twin Crossarm Bracket (incl.extra fixture)</v>
      </c>
      <c r="F43" s="179">
        <f>VLOOKUP($C43,$C$2:R$14,F$16,FALSE)</f>
        <v>16.52</v>
      </c>
      <c r="G43" s="179">
        <f>VLOOKUP($C43,$C$2:V$14,G$16,FALSE)</f>
        <v>16.96</v>
      </c>
      <c r="H43" s="179">
        <f>VLOOKUP($C43,$C$2:W$14,H$16,FALSE)</f>
        <v>18.12</v>
      </c>
      <c r="I43" s="179">
        <f>VLOOKUP($C43,$C$2:X$14,I$16,FALSE)</f>
        <v>18.12</v>
      </c>
      <c r="J43" s="179">
        <f>VLOOKUP($C43,$C$2:Y$14,J$16,FALSE)</f>
        <v>18.12</v>
      </c>
      <c r="K43" s="179">
        <f>VLOOKUP($C43,$C$2:Z$14,K$16,FALSE)</f>
        <v>18.12</v>
      </c>
      <c r="L43" s="179">
        <f>VLOOKUP($C43,$C$2:AA$14,L$16,FALSE)</f>
        <v>18.12</v>
      </c>
      <c r="M43" s="179">
        <f>VLOOKUP($C43,$C$2:AB$14,M$16,FALSE)</f>
        <v>17.96</v>
      </c>
      <c r="N43" s="179">
        <f>VLOOKUP($C43,$C$2:AC$14,N$16,FALSE)</f>
        <v>17.96</v>
      </c>
      <c r="O43" s="179">
        <f>VLOOKUP($C43,$C$2:AD$14,O$16,FALSE)</f>
        <v>17.96</v>
      </c>
      <c r="P43" s="179">
        <f>VLOOKUP($C43,$C$2:AE$14,P$16,FALSE)</f>
        <v>19.79</v>
      </c>
      <c r="Q43" s="179">
        <f>VLOOKUP($C43,$C$2:AF$14,Q$16,FALSE)</f>
        <v>19.79</v>
      </c>
      <c r="R43" s="179">
        <f>VLOOKUP($C43,$C$2:AG$14,R$16,FALSE)</f>
        <v>19.79</v>
      </c>
      <c r="S43" s="179">
        <f>VLOOKUP($C43,$C$2:AG$14,S$16,FALSE)</f>
        <v>20.57</v>
      </c>
      <c r="T43" s="179">
        <f>VLOOKUP($C43,$C$2:AH$14,T$16,FALSE)</f>
        <v>20.57</v>
      </c>
      <c r="U43" s="179">
        <f>VLOOKUP($C43,$C$2:AI$14,U$16,FALSE)</f>
        <v>20.57</v>
      </c>
      <c r="W43" s="174">
        <f t="shared" ref="W43:X46" si="28">W42</f>
        <v>0</v>
      </c>
      <c r="X43" s="174">
        <f t="shared" si="28"/>
        <v>0</v>
      </c>
      <c r="Y43" s="174">
        <f>SUMIF(_12MonLights_TariffRateCategory,Y$33&amp;$V42,_12MonLights_Count)-SUMIF(_12MonLights_TariffRateCategory,Y$33&amp;$V42,_12MonLights_Count_Adj)</f>
        <v>305</v>
      </c>
      <c r="AA43" s="178">
        <f t="shared" si="26"/>
        <v>0</v>
      </c>
      <c r="AB43" s="178">
        <f t="shared" ref="AB43:AB104" si="29">X43*Q43</f>
        <v>0</v>
      </c>
      <c r="AC43" s="178">
        <f t="shared" si="27"/>
        <v>6273.85</v>
      </c>
      <c r="AD43" s="178"/>
      <c r="AE43" s="178"/>
    </row>
    <row r="44" spans="2:31">
      <c r="B44" s="174">
        <v>5</v>
      </c>
      <c r="C44" s="174" t="str">
        <f>VLOOKUP(B44,$B$3:$C$14,2,FALSE)</f>
        <v>18" Banner Arm (each)</v>
      </c>
      <c r="F44" s="179">
        <f>VLOOKUP($C44,$C$2:R$14,F$16,FALSE)</f>
        <v>2.37</v>
      </c>
      <c r="G44" s="179">
        <f>VLOOKUP($C44,$C$2:V$14,G$16,FALSE)</f>
        <v>2.4300000000000002</v>
      </c>
      <c r="H44" s="179">
        <f>VLOOKUP($C44,$C$2:W$14,H$16,FALSE)</f>
        <v>2.6</v>
      </c>
      <c r="I44" s="179">
        <f>VLOOKUP($C44,$C$2:X$14,I$16,FALSE)</f>
        <v>2.6</v>
      </c>
      <c r="J44" s="179">
        <f>VLOOKUP($C44,$C$2:Y$14,J$16,FALSE)</f>
        <v>2.6</v>
      </c>
      <c r="K44" s="179">
        <f>VLOOKUP($C44,$C$2:Z$14,K$16,FALSE)</f>
        <v>2.6</v>
      </c>
      <c r="L44" s="179">
        <f>VLOOKUP($C44,$C$2:AA$14,L$16,FALSE)</f>
        <v>2.6</v>
      </c>
      <c r="M44" s="179">
        <f>VLOOKUP($C44,$C$2:AB$14,M$16,FALSE)</f>
        <v>2.58</v>
      </c>
      <c r="N44" s="179">
        <f>VLOOKUP($C44,$C$2:AC$14,N$16,FALSE)</f>
        <v>2.58</v>
      </c>
      <c r="O44" s="179">
        <f>VLOOKUP($C44,$C$2:AD$14,O$16,FALSE)</f>
        <v>2.58</v>
      </c>
      <c r="P44" s="179">
        <f>VLOOKUP($C44,$C$2:AE$14,P$16,FALSE)</f>
        <v>2.84</v>
      </c>
      <c r="Q44" s="179">
        <f>VLOOKUP($C44,$C$2:AF$14,Q$16,FALSE)</f>
        <v>2.84</v>
      </c>
      <c r="R44" s="179">
        <f>VLOOKUP($C44,$C$2:AG$14,R$16,FALSE)</f>
        <v>2.84</v>
      </c>
      <c r="S44" s="179">
        <f>VLOOKUP($C44,$C$2:AG$14,S$16,FALSE)</f>
        <v>2.95</v>
      </c>
      <c r="T44" s="179">
        <f>VLOOKUP($C44,$C$2:AH$14,T$16,FALSE)</f>
        <v>2.95</v>
      </c>
      <c r="U44" s="179">
        <f>VLOOKUP($C44,$C$2:AI$14,U$16,FALSE)</f>
        <v>2.95</v>
      </c>
      <c r="W44" s="174">
        <f t="shared" si="28"/>
        <v>0</v>
      </c>
      <c r="X44" s="174">
        <f t="shared" si="28"/>
        <v>0</v>
      </c>
      <c r="Y44" s="174">
        <f>SUMIF(_12MonLights_TariffRateCategory,Y$33&amp;$V$42,_12MonLights_Count)-SUMIF(_12MonLights_TariffRateCategory,Y$33&amp;$V$42,_12MonLights_Count_Adj)</f>
        <v>305</v>
      </c>
      <c r="AA44" s="178">
        <f t="shared" si="26"/>
        <v>0</v>
      </c>
      <c r="AB44" s="178">
        <f t="shared" si="29"/>
        <v>0</v>
      </c>
      <c r="AC44" s="178">
        <f t="shared" si="27"/>
        <v>899.75</v>
      </c>
      <c r="AD44" s="178"/>
      <c r="AE44" s="178"/>
    </row>
    <row r="45" spans="2:31">
      <c r="B45" s="174">
        <v>5</v>
      </c>
      <c r="C45" s="174" t="str">
        <f>VLOOKUP(B45,$B$3:$C$14,2,FALSE)</f>
        <v>18" Banner Arm (each)</v>
      </c>
      <c r="F45" s="179">
        <f>VLOOKUP($C45,$C$2:R$14,F$16,FALSE)</f>
        <v>2.37</v>
      </c>
      <c r="G45" s="179">
        <f>VLOOKUP($C45,$C$2:V$14,G$16,FALSE)</f>
        <v>2.4300000000000002</v>
      </c>
      <c r="H45" s="179">
        <f>VLOOKUP($C45,$C$2:W$14,H$16,FALSE)</f>
        <v>2.6</v>
      </c>
      <c r="I45" s="179">
        <f>VLOOKUP($C45,$C$2:X$14,I$16,FALSE)</f>
        <v>2.6</v>
      </c>
      <c r="J45" s="179">
        <f>VLOOKUP($C45,$C$2:Y$14,J$16,FALSE)</f>
        <v>2.6</v>
      </c>
      <c r="K45" s="179">
        <f>VLOOKUP($C45,$C$2:Z$14,K$16,FALSE)</f>
        <v>2.6</v>
      </c>
      <c r="L45" s="179">
        <f>VLOOKUP($C45,$C$2:AA$14,L$16,FALSE)</f>
        <v>2.6</v>
      </c>
      <c r="M45" s="179">
        <f>VLOOKUP($C45,$C$2:AB$14,M$16,FALSE)</f>
        <v>2.58</v>
      </c>
      <c r="N45" s="179">
        <f>VLOOKUP($C45,$C$2:AC$14,N$16,FALSE)</f>
        <v>2.58</v>
      </c>
      <c r="O45" s="179">
        <f>VLOOKUP($C45,$C$2:AD$14,O$16,FALSE)</f>
        <v>2.58</v>
      </c>
      <c r="P45" s="179">
        <f>VLOOKUP($C45,$C$2:AE$14,P$16,FALSE)</f>
        <v>2.84</v>
      </c>
      <c r="Q45" s="179">
        <f>VLOOKUP($C45,$C$2:AF$14,Q$16,FALSE)</f>
        <v>2.84</v>
      </c>
      <c r="R45" s="179">
        <f>VLOOKUP($C45,$C$2:AG$14,R$16,FALSE)</f>
        <v>2.84</v>
      </c>
      <c r="S45" s="179">
        <f>VLOOKUP($C45,$C$2:AG$14,S$16,FALSE)</f>
        <v>2.95</v>
      </c>
      <c r="T45" s="179">
        <f>VLOOKUP($C45,$C$2:AH$14,T$16,FALSE)</f>
        <v>2.95</v>
      </c>
      <c r="U45" s="179">
        <f>VLOOKUP($C45,$C$2:AI$14,U$16,FALSE)</f>
        <v>2.95</v>
      </c>
      <c r="W45" s="174">
        <f t="shared" si="28"/>
        <v>0</v>
      </c>
      <c r="X45" s="174">
        <f t="shared" si="28"/>
        <v>0</v>
      </c>
      <c r="Y45" s="174">
        <f>SUMIF(_12MonLights_TariffRateCategory,Y$33&amp;$V$42,_12MonLights_Count)-SUMIF(_12MonLights_TariffRateCategory,Y$33&amp;$V$42,_12MonLights_Count_Adj)</f>
        <v>305</v>
      </c>
      <c r="AA45" s="178">
        <f t="shared" si="26"/>
        <v>0</v>
      </c>
      <c r="AB45" s="178">
        <f t="shared" si="29"/>
        <v>0</v>
      </c>
      <c r="AC45" s="178">
        <f t="shared" si="27"/>
        <v>899.75</v>
      </c>
      <c r="AD45" s="178"/>
      <c r="AE45" s="178"/>
    </row>
    <row r="46" spans="2:31">
      <c r="B46" s="174">
        <v>6</v>
      </c>
      <c r="C46" s="174" t="str">
        <f>VLOOKUP(B46,$B$3:$C$14,2,FALSE)</f>
        <v>Flagpole Holder</v>
      </c>
      <c r="F46" s="179">
        <f>VLOOKUP($C46,$C$2:R$14,F$16,FALSE)</f>
        <v>1.0900000000000001</v>
      </c>
      <c r="G46" s="179">
        <f>VLOOKUP($C46,$C$2:V$14,G$16,FALSE)</f>
        <v>1.1200000000000001</v>
      </c>
      <c r="H46" s="179">
        <f>VLOOKUP($C46,$C$2:W$14,H$16,FALSE)</f>
        <v>1.2</v>
      </c>
      <c r="I46" s="179">
        <f>VLOOKUP($C46,$C$2:X$14,I$16,FALSE)</f>
        <v>1.2</v>
      </c>
      <c r="J46" s="179">
        <f>VLOOKUP($C46,$C$2:Y$14,J$16,FALSE)</f>
        <v>1.2</v>
      </c>
      <c r="K46" s="179">
        <f>VLOOKUP($C46,$C$2:Z$14,K$16,FALSE)</f>
        <v>1.2</v>
      </c>
      <c r="L46" s="179">
        <f>VLOOKUP($C46,$C$2:AA$14,L$16,FALSE)</f>
        <v>1.2</v>
      </c>
      <c r="M46" s="179">
        <f>VLOOKUP($C46,$C$2:AB$14,M$16,FALSE)</f>
        <v>1.19</v>
      </c>
      <c r="N46" s="179">
        <f>VLOOKUP($C46,$C$2:AC$14,N$16,FALSE)</f>
        <v>1.19</v>
      </c>
      <c r="O46" s="179">
        <f>VLOOKUP($C46,$C$2:AD$14,O$16,FALSE)</f>
        <v>1.19</v>
      </c>
      <c r="P46" s="179">
        <f>VLOOKUP($C46,$C$2:AE$14,P$16,FALSE)</f>
        <v>1.31</v>
      </c>
      <c r="Q46" s="179">
        <f>VLOOKUP($C46,$C$2:AF$14,Q$16,FALSE)</f>
        <v>1.31</v>
      </c>
      <c r="R46" s="179">
        <f>VLOOKUP($C46,$C$2:AG$14,R$16,FALSE)</f>
        <v>1.31</v>
      </c>
      <c r="S46" s="179">
        <f>VLOOKUP($C46,$C$2:AG$14,S$16,FALSE)</f>
        <v>1.36</v>
      </c>
      <c r="T46" s="179">
        <f>VLOOKUP($C46,$C$2:AH$14,T$16,FALSE)</f>
        <v>1.36</v>
      </c>
      <c r="U46" s="179">
        <f>VLOOKUP($C46,$C$2:AI$14,U$16,FALSE)</f>
        <v>1.36</v>
      </c>
      <c r="W46" s="174">
        <f t="shared" si="28"/>
        <v>0</v>
      </c>
      <c r="X46" s="174">
        <f t="shared" si="28"/>
        <v>0</v>
      </c>
      <c r="Y46" s="174">
        <f>SUMIF(_12MonLights_TariffRateCategory,Y$33&amp;$V$42,_12MonLights_Count)-SUMIF(_12MonLights_TariffRateCategory,Y$33&amp;$V$42,_12MonLights_Count_Adj)</f>
        <v>305</v>
      </c>
      <c r="AA46" s="178">
        <f t="shared" si="26"/>
        <v>0</v>
      </c>
      <c r="AB46" s="178">
        <f t="shared" si="29"/>
        <v>0</v>
      </c>
      <c r="AC46" s="178">
        <f t="shared" si="27"/>
        <v>414.8</v>
      </c>
      <c r="AD46" s="178"/>
      <c r="AE46" s="178"/>
    </row>
    <row r="47" spans="2:31">
      <c r="B47" s="174">
        <v>0</v>
      </c>
      <c r="C47" s="174" t="str">
        <f>$C$2</f>
        <v>Pole &amp; Fixture SL</v>
      </c>
      <c r="F47" s="179">
        <f>VLOOKUP($C47,$C$2:R$14,F$16,FALSE)</f>
        <v>34.9</v>
      </c>
      <c r="G47" s="179">
        <f>VLOOKUP($C47,$C$2:V$14,G$16,FALSE)</f>
        <v>35.840000000000003</v>
      </c>
      <c r="H47" s="179">
        <f>VLOOKUP($C47,$C$2:W$14,H$16,FALSE)</f>
        <v>38.28</v>
      </c>
      <c r="I47" s="179">
        <f>VLOOKUP($C47,$C$2:X$14,I$16,FALSE)</f>
        <v>38.44</v>
      </c>
      <c r="J47" s="179">
        <f>VLOOKUP($C47,$C$2:Y$14,J$16,FALSE)</f>
        <v>39.520000000000003</v>
      </c>
      <c r="K47" s="179">
        <f>VLOOKUP($C47,$C$2:Z$14,K$16,FALSE)</f>
        <v>39.909999999999997</v>
      </c>
      <c r="L47" s="179">
        <f>VLOOKUP($C47,$C$2:AA$14,L$16,FALSE)</f>
        <v>40.81</v>
      </c>
      <c r="M47" s="179">
        <f>VLOOKUP($C47,$C$2:AB$14,M$16,FALSE)</f>
        <v>40.19</v>
      </c>
      <c r="N47" s="179">
        <f>VLOOKUP($C47,$C$2:AC$14,N$16,FALSE)</f>
        <v>40.270000000000003</v>
      </c>
      <c r="O47" s="179">
        <f>VLOOKUP($C47,$C$2:AD$14,O$16,FALSE)</f>
        <v>44.78</v>
      </c>
      <c r="P47" s="179">
        <f>VLOOKUP($C47,$C$2:AE$14,P$16,FALSE)</f>
        <v>49.34</v>
      </c>
      <c r="Q47" s="179">
        <f>VLOOKUP($C47,$C$2:AF$14,Q$16,FALSE)</f>
        <v>49.29</v>
      </c>
      <c r="R47" s="179">
        <f>VLOOKUP($C47,$C$2:AG$14,R$16,FALSE)</f>
        <v>51</v>
      </c>
      <c r="S47" s="179">
        <f>VLOOKUP($C47,$C$2:AG$14,S$16,FALSE)</f>
        <v>53.01</v>
      </c>
      <c r="T47" s="179">
        <f>VLOOKUP($C47,$C$2:AH$14,T$16,FALSE)</f>
        <v>53.15</v>
      </c>
      <c r="U47" s="179">
        <f>VLOOKUP($C47,$C$2:AI$14,U$16,FALSE)</f>
        <v>55.33</v>
      </c>
      <c r="V47" s="177" t="s">
        <v>331</v>
      </c>
      <c r="W47" s="174">
        <f>SUMIF(_12MonLights_TariffRateCategory,W$33&amp;$V47,_12MonLights_Count)+SUMIF(_12MonLights_TariffRateCategory,W$33&amp;$V47,_12MonLights_Count_Adj)</f>
        <v>0</v>
      </c>
      <c r="X47" s="174">
        <f>SUMIF(_12MonLights_TariffRateCategory,X$33&amp;$V47,_12MonLights_Count)+SUMIF(_12MonLights_TariffRateCategory,X$33&amp;$V47,_12MonLights_Count_Adj)</f>
        <v>0</v>
      </c>
      <c r="Y47" s="174">
        <f>SUMIF(_12MonLights_TariffRateCategory,Y$33&amp;$V$47,_12MonLights_Count)-SUMIF(_12MonLights_TariffRateCategory,Y$33&amp;$V$47,_12MonLights_Count_Adj)</f>
        <v>517</v>
      </c>
      <c r="AA47" s="178">
        <f t="shared" si="26"/>
        <v>0</v>
      </c>
      <c r="AB47" s="178">
        <f>ROUND(X47*Q47,2)</f>
        <v>0</v>
      </c>
      <c r="AC47" s="178">
        <f t="shared" si="27"/>
        <v>28605.61</v>
      </c>
      <c r="AD47" s="284">
        <f>SUM(AA47:AC48)</f>
        <v>30906.260000000002</v>
      </c>
      <c r="AE47" s="178"/>
    </row>
    <row r="48" spans="2:31">
      <c r="B48" s="174">
        <v>11</v>
      </c>
      <c r="C48" s="174" t="str">
        <f>VLOOKUP(B48,$B$3:$C$14,2,FALSE)</f>
        <v>Planter</v>
      </c>
      <c r="F48" s="179">
        <f>VLOOKUP($C48,$C$2:R$14,F$16,FALSE)</f>
        <v>3.56</v>
      </c>
      <c r="G48" s="179">
        <f>VLOOKUP($C48,$C$2:V$14,G$16,FALSE)</f>
        <v>3.66</v>
      </c>
      <c r="H48" s="179">
        <f>VLOOKUP($C48,$C$2:W$14,H$16,FALSE)</f>
        <v>3.91</v>
      </c>
      <c r="I48" s="179">
        <f>VLOOKUP($C48,$C$2:X$14,I$16,FALSE)</f>
        <v>3.91</v>
      </c>
      <c r="J48" s="179">
        <f>VLOOKUP($C48,$C$2:Y$14,J$16,FALSE)</f>
        <v>3.91</v>
      </c>
      <c r="K48" s="179">
        <f>VLOOKUP($C48,$C$2:Z$14,K$16,FALSE)</f>
        <v>3.91</v>
      </c>
      <c r="L48" s="179">
        <f>VLOOKUP($C48,$C$2:AA$14,L$16,FALSE)</f>
        <v>3.91</v>
      </c>
      <c r="M48" s="179">
        <f>VLOOKUP($C48,$C$2:AB$14,M$16,FALSE)</f>
        <v>3.88</v>
      </c>
      <c r="N48" s="179">
        <f>VLOOKUP($C48,$C$2:AC$14,N$16,FALSE)</f>
        <v>3.88</v>
      </c>
      <c r="O48" s="179">
        <f>VLOOKUP($C48,$C$2:AD$14,O$16,FALSE)</f>
        <v>3.88</v>
      </c>
      <c r="P48" s="179">
        <f>VLOOKUP($C48,$C$2:AE$14,P$16,FALSE)</f>
        <v>4.28</v>
      </c>
      <c r="Q48" s="179">
        <f>VLOOKUP($C48,$C$2:AF$14,Q$16,FALSE)</f>
        <v>4.28</v>
      </c>
      <c r="R48" s="179">
        <f>VLOOKUP($C48,$C$2:AG$14,R$16,FALSE)</f>
        <v>4.28</v>
      </c>
      <c r="S48" s="179">
        <f>VLOOKUP($C48,$C$2:AG$14,S$16,FALSE)</f>
        <v>4.45</v>
      </c>
      <c r="T48" s="179">
        <f>VLOOKUP($C48,$C$2:AH$14,T$16,FALSE)</f>
        <v>4.45</v>
      </c>
      <c r="U48" s="179">
        <f>VLOOKUP($C48,$C$2:AI$14,U$16,FALSE)</f>
        <v>4.45</v>
      </c>
      <c r="W48" s="174">
        <f>W47</f>
        <v>0</v>
      </c>
      <c r="X48" s="174">
        <f>X47</f>
        <v>0</v>
      </c>
      <c r="Y48" s="174">
        <f>SUMIF(_12MonLights_TariffRateCategory,Y$33&amp;$V$47,_12MonLights_Count)-SUMIF(_12MonLights_TariffRateCategory,Y$33&amp;$V$47,_12MonLights_Count_Adj)</f>
        <v>517</v>
      </c>
      <c r="AA48" s="178">
        <f t="shared" si="26"/>
        <v>0</v>
      </c>
      <c r="AB48" s="178">
        <f t="shared" si="29"/>
        <v>0</v>
      </c>
      <c r="AC48" s="178">
        <f t="shared" si="27"/>
        <v>2300.65</v>
      </c>
      <c r="AD48" s="178"/>
      <c r="AE48" s="178"/>
    </row>
    <row r="49" spans="2:31">
      <c r="B49" s="174">
        <v>0</v>
      </c>
      <c r="C49" s="174" t="str">
        <f>$C$2</f>
        <v>Pole &amp; Fixture SL</v>
      </c>
      <c r="F49" s="179">
        <f>VLOOKUP($C49,$C$2:R$14,F$16,FALSE)</f>
        <v>34.9</v>
      </c>
      <c r="G49" s="179">
        <f>VLOOKUP($C49,$C$2:V$14,G$16,FALSE)</f>
        <v>35.840000000000003</v>
      </c>
      <c r="H49" s="179">
        <f>VLOOKUP($C49,$C$2:W$14,H$16,FALSE)</f>
        <v>38.28</v>
      </c>
      <c r="I49" s="179">
        <f>VLOOKUP($C49,$C$2:X$14,I$16,FALSE)</f>
        <v>38.44</v>
      </c>
      <c r="J49" s="179">
        <f>VLOOKUP($C49,$C$2:Y$14,J$16,FALSE)</f>
        <v>39.520000000000003</v>
      </c>
      <c r="K49" s="179">
        <f>VLOOKUP($C49,$C$2:Z$14,K$16,FALSE)</f>
        <v>39.909999999999997</v>
      </c>
      <c r="L49" s="179">
        <f>VLOOKUP($C49,$C$2:AA$14,L$16,FALSE)</f>
        <v>40.81</v>
      </c>
      <c r="M49" s="179">
        <f>VLOOKUP($C49,$C$2:AB$14,M$16,FALSE)</f>
        <v>40.19</v>
      </c>
      <c r="N49" s="179">
        <f>VLOOKUP($C49,$C$2:AC$14,N$16,FALSE)</f>
        <v>40.270000000000003</v>
      </c>
      <c r="O49" s="179">
        <f>VLOOKUP($C49,$C$2:AD$14,O$16,FALSE)</f>
        <v>44.78</v>
      </c>
      <c r="P49" s="179">
        <f>VLOOKUP($C49,$C$2:AE$14,P$16,FALSE)</f>
        <v>49.34</v>
      </c>
      <c r="Q49" s="179">
        <f>VLOOKUP($C49,$C$2:AF$14,Q$16,FALSE)</f>
        <v>49.29</v>
      </c>
      <c r="R49" s="179">
        <f>VLOOKUP($C49,$C$2:AG$14,R$16,FALSE)</f>
        <v>51</v>
      </c>
      <c r="S49" s="179">
        <f>VLOOKUP($C49,$C$2:AG$14,S$16,FALSE)</f>
        <v>53.01</v>
      </c>
      <c r="T49" s="179">
        <f>VLOOKUP($C49,$C$2:AH$14,T$16,FALSE)</f>
        <v>53.15</v>
      </c>
      <c r="U49" s="179">
        <f>VLOOKUP($C49,$C$2:AI$14,U$16,FALSE)</f>
        <v>55.33</v>
      </c>
      <c r="V49" s="177" t="s">
        <v>332</v>
      </c>
      <c r="W49" s="174">
        <f>SUMIF(_12MonLights_TariffRateCategory,W$33&amp;$V49,_12MonLights_Count)+SUMIF(_12MonLights_TariffRateCategory,W$33&amp;$V49,_12MonLights_Count_Adj)</f>
        <v>0</v>
      </c>
      <c r="X49" s="174">
        <f>SUMIF(_12MonLights_TariffRateCategory,X$33&amp;$V49,_12MonLights_Count)+SUMIF(_12MonLights_TariffRateCategory,X$33&amp;$V49,_12MonLights_Count_Adj)</f>
        <v>0</v>
      </c>
      <c r="Y49" s="174">
        <f>SUMIF(_12MonLights_TariffRateCategory,Y$33&amp;$V$49,_12MonLights_Count)-SUMIF(_12MonLights_TariffRateCategory,Y$33&amp;$V$49,_12MonLights_Count_Adj)</f>
        <v>60</v>
      </c>
      <c r="AA49" s="178">
        <f t="shared" si="26"/>
        <v>0</v>
      </c>
      <c r="AB49" s="178">
        <f>ROUND(X49*Q49,2)</f>
        <v>0</v>
      </c>
      <c r="AC49" s="178">
        <f t="shared" si="27"/>
        <v>3319.8</v>
      </c>
      <c r="AD49" s="284">
        <f>SUM(AA49:AC51)</f>
        <v>3705</v>
      </c>
      <c r="AE49" s="178"/>
    </row>
    <row r="50" spans="2:31">
      <c r="B50" s="174">
        <v>3</v>
      </c>
      <c r="C50" s="174" t="str">
        <f t="shared" ref="C50:C94" si="30">VLOOKUP(B50,$B$3:$C$14,2,FALSE)</f>
        <v>24" Banner Arm (each)</v>
      </c>
      <c r="F50" s="179">
        <f>VLOOKUP($C50,$C$2:R$14,F$16,FALSE)</f>
        <v>2.57</v>
      </c>
      <c r="G50" s="179">
        <f>VLOOKUP($C50,$C$2:V$14,G$16,FALSE)</f>
        <v>2.64</v>
      </c>
      <c r="H50" s="179">
        <f>VLOOKUP($C50,$C$2:W$14,H$16,FALSE)</f>
        <v>2.82</v>
      </c>
      <c r="I50" s="179">
        <f>VLOOKUP($C50,$C$2:X$14,I$16,FALSE)</f>
        <v>2.82</v>
      </c>
      <c r="J50" s="179">
        <f>VLOOKUP($C50,$C$2:Y$14,J$16,FALSE)</f>
        <v>2.82</v>
      </c>
      <c r="K50" s="179">
        <f>VLOOKUP($C50,$C$2:Z$14,K$16,FALSE)</f>
        <v>2.82</v>
      </c>
      <c r="L50" s="179">
        <f>VLOOKUP($C50,$C$2:AA$14,L$16,FALSE)</f>
        <v>2.82</v>
      </c>
      <c r="M50" s="179">
        <f>VLOOKUP($C50,$C$2:AB$14,M$16,FALSE)</f>
        <v>2.8</v>
      </c>
      <c r="N50" s="179">
        <f>VLOOKUP($C50,$C$2:AC$14,N$16,FALSE)</f>
        <v>2.8</v>
      </c>
      <c r="O50" s="179">
        <f>VLOOKUP($C50,$C$2:AD$14,O$16,FALSE)</f>
        <v>2.8</v>
      </c>
      <c r="P50" s="179">
        <f>VLOOKUP($C50,$C$2:AE$14,P$16,FALSE)</f>
        <v>3.09</v>
      </c>
      <c r="Q50" s="179">
        <f>VLOOKUP($C50,$C$2:AF$14,Q$16,FALSE)</f>
        <v>3.09</v>
      </c>
      <c r="R50" s="179">
        <f>VLOOKUP($C50,$C$2:AG$14,R$16,FALSE)</f>
        <v>3.09</v>
      </c>
      <c r="S50" s="179">
        <f>VLOOKUP($C50,$C$2:AG$14,S$16,FALSE)</f>
        <v>3.21</v>
      </c>
      <c r="T50" s="179">
        <f>VLOOKUP($C50,$C$2:AH$14,T$16,FALSE)</f>
        <v>3.21</v>
      </c>
      <c r="U50" s="179">
        <f>VLOOKUP($C50,$C$2:AI$14,U$16,FALSE)</f>
        <v>3.21</v>
      </c>
      <c r="W50" s="174">
        <f t="shared" ref="W50:X51" si="31">W49</f>
        <v>0</v>
      </c>
      <c r="X50" s="174">
        <f t="shared" si="31"/>
        <v>0</v>
      </c>
      <c r="Y50" s="174">
        <f>SUMIF(_12MonLights_TariffRateCategory,Y$33&amp;$V$49,_12MonLights_Count)-SUMIF(_12MonLights_TariffRateCategory,Y$33&amp;$V$49,_12MonLights_Count_Adj)</f>
        <v>60</v>
      </c>
      <c r="AA50" s="178">
        <f t="shared" si="26"/>
        <v>0</v>
      </c>
      <c r="AB50" s="178">
        <f t="shared" si="29"/>
        <v>0</v>
      </c>
      <c r="AC50" s="178">
        <f t="shared" si="27"/>
        <v>192.6</v>
      </c>
      <c r="AD50" s="178"/>
      <c r="AE50" s="178"/>
    </row>
    <row r="51" spans="2:31">
      <c r="B51" s="174">
        <v>3</v>
      </c>
      <c r="C51" s="174" t="str">
        <f t="shared" si="30"/>
        <v>24" Banner Arm (each)</v>
      </c>
      <c r="F51" s="179">
        <f>VLOOKUP($C51,$C$2:R$14,F$16,FALSE)</f>
        <v>2.57</v>
      </c>
      <c r="G51" s="179">
        <f>VLOOKUP($C51,$C$2:V$14,G$16,FALSE)</f>
        <v>2.64</v>
      </c>
      <c r="H51" s="179">
        <f>VLOOKUP($C51,$C$2:W$14,H$16,FALSE)</f>
        <v>2.82</v>
      </c>
      <c r="I51" s="179">
        <f>VLOOKUP($C51,$C$2:X$14,I$16,FALSE)</f>
        <v>2.82</v>
      </c>
      <c r="J51" s="179">
        <f>VLOOKUP($C51,$C$2:Y$14,J$16,FALSE)</f>
        <v>2.82</v>
      </c>
      <c r="K51" s="179">
        <f>VLOOKUP($C51,$C$2:Z$14,K$16,FALSE)</f>
        <v>2.82</v>
      </c>
      <c r="L51" s="179">
        <f>VLOOKUP($C51,$C$2:AA$14,L$16,FALSE)</f>
        <v>2.82</v>
      </c>
      <c r="M51" s="179">
        <f>VLOOKUP($C51,$C$2:AB$14,M$16,FALSE)</f>
        <v>2.8</v>
      </c>
      <c r="N51" s="179">
        <f>VLOOKUP($C51,$C$2:AC$14,N$16,FALSE)</f>
        <v>2.8</v>
      </c>
      <c r="O51" s="179">
        <f>VLOOKUP($C51,$C$2:AD$14,O$16,FALSE)</f>
        <v>2.8</v>
      </c>
      <c r="P51" s="179">
        <f>VLOOKUP($C51,$C$2:AE$14,P$16,FALSE)</f>
        <v>3.09</v>
      </c>
      <c r="Q51" s="179">
        <f>VLOOKUP($C51,$C$2:AF$14,Q$16,FALSE)</f>
        <v>3.09</v>
      </c>
      <c r="R51" s="179">
        <f>VLOOKUP($C51,$C$2:AG$14,R$16,FALSE)</f>
        <v>3.09</v>
      </c>
      <c r="S51" s="179">
        <f>VLOOKUP($C51,$C$2:AG$14,S$16,FALSE)</f>
        <v>3.21</v>
      </c>
      <c r="T51" s="179">
        <f>VLOOKUP($C51,$C$2:AH$14,T$16,FALSE)</f>
        <v>3.21</v>
      </c>
      <c r="U51" s="179">
        <f>VLOOKUP($C51,$C$2:AI$14,U$16,FALSE)</f>
        <v>3.21</v>
      </c>
      <c r="W51" s="174">
        <f t="shared" si="31"/>
        <v>0</v>
      </c>
      <c r="X51" s="174">
        <f t="shared" si="31"/>
        <v>0</v>
      </c>
      <c r="Y51" s="174">
        <f>SUMIF(_12MonLights_TariffRateCategory,Y$33&amp;$V$49,_12MonLights_Count)-SUMIF(_12MonLights_TariffRateCategory,Y$33&amp;$V$49,_12MonLights_Count_Adj)</f>
        <v>60</v>
      </c>
      <c r="AA51" s="178">
        <f t="shared" si="26"/>
        <v>0</v>
      </c>
      <c r="AB51" s="178">
        <f t="shared" si="29"/>
        <v>0</v>
      </c>
      <c r="AC51" s="178">
        <f t="shared" si="27"/>
        <v>192.6</v>
      </c>
      <c r="AD51" s="178"/>
      <c r="AE51" s="178"/>
    </row>
    <row r="52" spans="2:31">
      <c r="B52" s="174">
        <v>0</v>
      </c>
      <c r="C52" s="174" t="str">
        <f>$C$2</f>
        <v>Pole &amp; Fixture SL</v>
      </c>
      <c r="F52" s="179">
        <f>VLOOKUP($C52,$C$2:R$14,F$16,FALSE)</f>
        <v>34.9</v>
      </c>
      <c r="G52" s="179">
        <f>VLOOKUP($C52,$C$2:V$14,G$16,FALSE)</f>
        <v>35.840000000000003</v>
      </c>
      <c r="H52" s="179">
        <f>VLOOKUP($C52,$C$2:W$14,H$16,FALSE)</f>
        <v>38.28</v>
      </c>
      <c r="I52" s="179">
        <f>VLOOKUP($C52,$C$2:X$14,I$16,FALSE)</f>
        <v>38.44</v>
      </c>
      <c r="J52" s="179">
        <f>VLOOKUP($C52,$C$2:Y$14,J$16,FALSE)</f>
        <v>39.520000000000003</v>
      </c>
      <c r="K52" s="179">
        <f>VLOOKUP($C52,$C$2:Z$14,K$16,FALSE)</f>
        <v>39.909999999999997</v>
      </c>
      <c r="L52" s="179">
        <f>VLOOKUP($C52,$C$2:AA$14,L$16,FALSE)</f>
        <v>40.81</v>
      </c>
      <c r="M52" s="179">
        <f>VLOOKUP($C52,$C$2:AB$14,M$16,FALSE)</f>
        <v>40.19</v>
      </c>
      <c r="N52" s="179">
        <f>VLOOKUP($C52,$C$2:AC$14,N$16,FALSE)</f>
        <v>40.270000000000003</v>
      </c>
      <c r="O52" s="179">
        <f>VLOOKUP($C52,$C$2:AD$14,O$16,FALSE)</f>
        <v>44.78</v>
      </c>
      <c r="P52" s="179">
        <f>VLOOKUP($C52,$C$2:AE$14,P$16,FALSE)</f>
        <v>49.34</v>
      </c>
      <c r="Q52" s="179">
        <f>VLOOKUP($C52,$C$2:AF$14,Q$16,FALSE)</f>
        <v>49.29</v>
      </c>
      <c r="R52" s="179">
        <f>VLOOKUP($C52,$C$2:AG$14,R$16,FALSE)</f>
        <v>51</v>
      </c>
      <c r="S52" s="179">
        <f>VLOOKUP($C52,$C$2:AG$14,S$16,FALSE)</f>
        <v>53.01</v>
      </c>
      <c r="T52" s="179">
        <f>VLOOKUP($C52,$C$2:AH$14,T$16,FALSE)</f>
        <v>53.15</v>
      </c>
      <c r="U52" s="179">
        <f>VLOOKUP($C52,$C$2:AI$14,U$16,FALSE)</f>
        <v>55.33</v>
      </c>
      <c r="V52" s="177" t="s">
        <v>333</v>
      </c>
      <c r="W52" s="174">
        <f>SUMIF(_12MonLights_TariffRateCategory,W$33&amp;$V52,_12MonLights_Count)+SUMIF(_12MonLights_TariffRateCategory,W$33&amp;$V52,_12MonLights_Count_Adj)</f>
        <v>0</v>
      </c>
      <c r="X52" s="174">
        <f>SUMIF(_12MonLights_TariffRateCategory,X$33&amp;$V52,_12MonLights_Count)+SUMIF(_12MonLights_TariffRateCategory,X$33&amp;$V52,_12MonLights_Count_Adj)</f>
        <v>0</v>
      </c>
      <c r="Y52" s="174">
        <f>SUMIF(_12MonLights_TariffRateCategory,Y$33&amp;$V$52,_12MonLights_Count)-SUMIF(_12MonLights_TariffRateCategory,Y$33&amp;$V$52,_12MonLights_Count_Adj)</f>
        <v>12</v>
      </c>
      <c r="AA52" s="178">
        <f t="shared" si="26"/>
        <v>0</v>
      </c>
      <c r="AB52" s="178">
        <f>ROUND(X52*Q52,2)</f>
        <v>0</v>
      </c>
      <c r="AC52" s="178">
        <f t="shared" si="27"/>
        <v>663.96</v>
      </c>
      <c r="AD52" s="284">
        <f>SUM(AA52:AC55)</f>
        <v>757.32</v>
      </c>
      <c r="AE52" s="178"/>
    </row>
    <row r="53" spans="2:31">
      <c r="B53" s="174">
        <v>3</v>
      </c>
      <c r="C53" s="174" t="str">
        <f t="shared" si="30"/>
        <v>24" Banner Arm (each)</v>
      </c>
      <c r="F53" s="179">
        <f>VLOOKUP($C53,$C$2:R$14,F$16,FALSE)</f>
        <v>2.57</v>
      </c>
      <c r="G53" s="179">
        <f>VLOOKUP($C53,$C$2:V$14,G$16,FALSE)</f>
        <v>2.64</v>
      </c>
      <c r="H53" s="179">
        <f>VLOOKUP($C53,$C$2:W$14,H$16,FALSE)</f>
        <v>2.82</v>
      </c>
      <c r="I53" s="179">
        <f>VLOOKUP($C53,$C$2:X$14,I$16,FALSE)</f>
        <v>2.82</v>
      </c>
      <c r="J53" s="179">
        <f>VLOOKUP($C53,$C$2:Y$14,J$16,FALSE)</f>
        <v>2.82</v>
      </c>
      <c r="K53" s="179">
        <f>VLOOKUP($C53,$C$2:Z$14,K$16,FALSE)</f>
        <v>2.82</v>
      </c>
      <c r="L53" s="179">
        <f>VLOOKUP($C53,$C$2:AA$14,L$16,FALSE)</f>
        <v>2.82</v>
      </c>
      <c r="M53" s="179">
        <f>VLOOKUP($C53,$C$2:AB$14,M$16,FALSE)</f>
        <v>2.8</v>
      </c>
      <c r="N53" s="179">
        <f>VLOOKUP($C53,$C$2:AC$14,N$16,FALSE)</f>
        <v>2.8</v>
      </c>
      <c r="O53" s="179">
        <f>VLOOKUP($C53,$C$2:AD$14,O$16,FALSE)</f>
        <v>2.8</v>
      </c>
      <c r="P53" s="179">
        <f>VLOOKUP($C53,$C$2:AE$14,P$16,FALSE)</f>
        <v>3.09</v>
      </c>
      <c r="Q53" s="179">
        <f>VLOOKUP($C53,$C$2:AF$14,Q$16,FALSE)</f>
        <v>3.09</v>
      </c>
      <c r="R53" s="179">
        <f>VLOOKUP($C53,$C$2:AG$14,R$16,FALSE)</f>
        <v>3.09</v>
      </c>
      <c r="S53" s="179">
        <f>VLOOKUP($C53,$C$2:AG$14,S$16,FALSE)</f>
        <v>3.21</v>
      </c>
      <c r="T53" s="179">
        <f>VLOOKUP($C53,$C$2:AH$14,T$16,FALSE)</f>
        <v>3.21</v>
      </c>
      <c r="U53" s="179">
        <f>VLOOKUP($C53,$C$2:AI$14,U$16,FALSE)</f>
        <v>3.21</v>
      </c>
      <c r="W53" s="174">
        <f t="shared" ref="W53:X55" si="32">W52</f>
        <v>0</v>
      </c>
      <c r="X53" s="174">
        <f t="shared" si="32"/>
        <v>0</v>
      </c>
      <c r="Y53" s="174">
        <f>SUMIF(_12MonLights_TariffRateCategory,Y$33&amp;$V$52,_12MonLights_Count)-SUMIF(_12MonLights_TariffRateCategory,Y$33&amp;$V$52,_12MonLights_Count_Adj)</f>
        <v>12</v>
      </c>
      <c r="AA53" s="178">
        <f t="shared" si="26"/>
        <v>0</v>
      </c>
      <c r="AB53" s="178">
        <f t="shared" si="29"/>
        <v>0</v>
      </c>
      <c r="AC53" s="178">
        <f t="shared" si="27"/>
        <v>38.520000000000003</v>
      </c>
      <c r="AD53" s="178"/>
      <c r="AE53" s="178"/>
    </row>
    <row r="54" spans="2:31">
      <c r="B54" s="174">
        <v>3</v>
      </c>
      <c r="C54" s="174" t="str">
        <f t="shared" si="30"/>
        <v>24" Banner Arm (each)</v>
      </c>
      <c r="F54" s="179">
        <f>VLOOKUP($C54,$C$2:R$14,F$16,FALSE)</f>
        <v>2.57</v>
      </c>
      <c r="G54" s="179">
        <f>VLOOKUP($C54,$C$2:V$14,G$16,FALSE)</f>
        <v>2.64</v>
      </c>
      <c r="H54" s="179">
        <f>VLOOKUP($C54,$C$2:W$14,H$16,FALSE)</f>
        <v>2.82</v>
      </c>
      <c r="I54" s="179">
        <f>VLOOKUP($C54,$C$2:X$14,I$16,FALSE)</f>
        <v>2.82</v>
      </c>
      <c r="J54" s="179">
        <f>VLOOKUP($C54,$C$2:Y$14,J$16,FALSE)</f>
        <v>2.82</v>
      </c>
      <c r="K54" s="179">
        <f>VLOOKUP($C54,$C$2:Z$14,K$16,FALSE)</f>
        <v>2.82</v>
      </c>
      <c r="L54" s="179">
        <f>VLOOKUP($C54,$C$2:AA$14,L$16,FALSE)</f>
        <v>2.82</v>
      </c>
      <c r="M54" s="179">
        <f>VLOOKUP($C54,$C$2:AB$14,M$16,FALSE)</f>
        <v>2.8</v>
      </c>
      <c r="N54" s="179">
        <f>VLOOKUP($C54,$C$2:AC$14,N$16,FALSE)</f>
        <v>2.8</v>
      </c>
      <c r="O54" s="179">
        <f>VLOOKUP($C54,$C$2:AD$14,O$16,FALSE)</f>
        <v>2.8</v>
      </c>
      <c r="P54" s="179">
        <f>VLOOKUP($C54,$C$2:AE$14,P$16,FALSE)</f>
        <v>3.09</v>
      </c>
      <c r="Q54" s="179">
        <f>VLOOKUP($C54,$C$2:AF$14,Q$16,FALSE)</f>
        <v>3.09</v>
      </c>
      <c r="R54" s="179">
        <f>VLOOKUP($C54,$C$2:AG$14,R$16,FALSE)</f>
        <v>3.09</v>
      </c>
      <c r="S54" s="179">
        <f>VLOOKUP($C54,$C$2:AG$14,S$16,FALSE)</f>
        <v>3.21</v>
      </c>
      <c r="T54" s="179">
        <f>VLOOKUP($C54,$C$2:AH$14,T$16,FALSE)</f>
        <v>3.21</v>
      </c>
      <c r="U54" s="179">
        <f>VLOOKUP($C54,$C$2:AI$14,U$16,FALSE)</f>
        <v>3.21</v>
      </c>
      <c r="W54" s="174">
        <f t="shared" si="32"/>
        <v>0</v>
      </c>
      <c r="X54" s="174">
        <f t="shared" si="32"/>
        <v>0</v>
      </c>
      <c r="Y54" s="174">
        <f>SUMIF(_12MonLights_TariffRateCategory,Y$33&amp;$V$52,_12MonLights_Count)-SUMIF(_12MonLights_TariffRateCategory,Y$33&amp;$V$52,_12MonLights_Count_Adj)</f>
        <v>12</v>
      </c>
      <c r="AA54" s="178">
        <f t="shared" si="26"/>
        <v>0</v>
      </c>
      <c r="AB54" s="178">
        <f t="shared" si="29"/>
        <v>0</v>
      </c>
      <c r="AC54" s="178">
        <f t="shared" si="27"/>
        <v>38.520000000000003</v>
      </c>
      <c r="AD54" s="178"/>
      <c r="AE54" s="178"/>
    </row>
    <row r="55" spans="2:31">
      <c r="B55" s="174">
        <v>6</v>
      </c>
      <c r="C55" s="174" t="str">
        <f t="shared" si="30"/>
        <v>Flagpole Holder</v>
      </c>
      <c r="F55" s="179">
        <f>VLOOKUP($C55,$C$2:R$14,F$16,FALSE)</f>
        <v>1.0900000000000001</v>
      </c>
      <c r="G55" s="179">
        <f>VLOOKUP($C55,$C$2:V$14,G$16,FALSE)</f>
        <v>1.1200000000000001</v>
      </c>
      <c r="H55" s="179">
        <f>VLOOKUP($C55,$C$2:W$14,H$16,FALSE)</f>
        <v>1.2</v>
      </c>
      <c r="I55" s="179">
        <f>VLOOKUP($C55,$C$2:X$14,I$16,FALSE)</f>
        <v>1.2</v>
      </c>
      <c r="J55" s="179">
        <f>VLOOKUP($C55,$C$2:Y$14,J$16,FALSE)</f>
        <v>1.2</v>
      </c>
      <c r="K55" s="179">
        <f>VLOOKUP($C55,$C$2:Z$14,K$16,FALSE)</f>
        <v>1.2</v>
      </c>
      <c r="L55" s="179">
        <f>VLOOKUP($C55,$C$2:AA$14,L$16,FALSE)</f>
        <v>1.2</v>
      </c>
      <c r="M55" s="179">
        <f>VLOOKUP($C55,$C$2:AB$14,M$16,FALSE)</f>
        <v>1.19</v>
      </c>
      <c r="N55" s="179">
        <f>VLOOKUP($C55,$C$2:AC$14,N$16,FALSE)</f>
        <v>1.19</v>
      </c>
      <c r="O55" s="179">
        <f>VLOOKUP($C55,$C$2:AD$14,O$16,FALSE)</f>
        <v>1.19</v>
      </c>
      <c r="P55" s="179">
        <f>VLOOKUP($C55,$C$2:AE$14,P$16,FALSE)</f>
        <v>1.31</v>
      </c>
      <c r="Q55" s="179">
        <f>VLOOKUP($C55,$C$2:AF$14,Q$16,FALSE)</f>
        <v>1.31</v>
      </c>
      <c r="R55" s="179">
        <f>VLOOKUP($C55,$C$2:AG$14,R$16,FALSE)</f>
        <v>1.31</v>
      </c>
      <c r="S55" s="179">
        <f>VLOOKUP($C55,$C$2:AG$14,S$16,FALSE)</f>
        <v>1.36</v>
      </c>
      <c r="T55" s="179">
        <f>VLOOKUP($C55,$C$2:AH$14,T$16,FALSE)</f>
        <v>1.36</v>
      </c>
      <c r="U55" s="179">
        <f>VLOOKUP($C55,$C$2:AI$14,U$16,FALSE)</f>
        <v>1.36</v>
      </c>
      <c r="W55" s="174">
        <f t="shared" si="32"/>
        <v>0</v>
      </c>
      <c r="X55" s="174">
        <f t="shared" si="32"/>
        <v>0</v>
      </c>
      <c r="Y55" s="174">
        <f>SUMIF(_12MonLights_TariffRateCategory,Y$33&amp;$V$52,_12MonLights_Count)-SUMIF(_12MonLights_TariffRateCategory,Y$33&amp;$V$52,_12MonLights_Count_Adj)</f>
        <v>12</v>
      </c>
      <c r="AA55" s="178">
        <f t="shared" si="26"/>
        <v>0</v>
      </c>
      <c r="AB55" s="178">
        <f t="shared" si="29"/>
        <v>0</v>
      </c>
      <c r="AC55" s="178">
        <f t="shared" si="27"/>
        <v>16.32</v>
      </c>
      <c r="AD55" s="178"/>
      <c r="AE55" s="178"/>
    </row>
    <row r="56" spans="2:31">
      <c r="B56" s="174">
        <v>0</v>
      </c>
      <c r="C56" s="174" t="str">
        <f>$C$2</f>
        <v>Pole &amp; Fixture SL</v>
      </c>
      <c r="F56" s="179">
        <f>VLOOKUP($C56,$C$2:R$14,F$16,FALSE)</f>
        <v>34.9</v>
      </c>
      <c r="G56" s="179">
        <f>VLOOKUP($C56,$C$2:V$14,G$16,FALSE)</f>
        <v>35.840000000000003</v>
      </c>
      <c r="H56" s="179">
        <f>VLOOKUP($C56,$C$2:W$14,H$16,FALSE)</f>
        <v>38.28</v>
      </c>
      <c r="I56" s="179">
        <f>VLOOKUP($C56,$C$2:X$14,I$16,FALSE)</f>
        <v>38.44</v>
      </c>
      <c r="J56" s="179">
        <f>VLOOKUP($C56,$C$2:Y$14,J$16,FALSE)</f>
        <v>39.520000000000003</v>
      </c>
      <c r="K56" s="179">
        <f>VLOOKUP($C56,$C$2:Z$14,K$16,FALSE)</f>
        <v>39.909999999999997</v>
      </c>
      <c r="L56" s="179">
        <f>VLOOKUP($C56,$C$2:AA$14,L$16,FALSE)</f>
        <v>40.81</v>
      </c>
      <c r="M56" s="179">
        <f>VLOOKUP($C56,$C$2:AB$14,M$16,FALSE)</f>
        <v>40.19</v>
      </c>
      <c r="N56" s="179">
        <f>VLOOKUP($C56,$C$2:AC$14,N$16,FALSE)</f>
        <v>40.270000000000003</v>
      </c>
      <c r="O56" s="179">
        <f>VLOOKUP($C56,$C$2:AD$14,O$16,FALSE)</f>
        <v>44.78</v>
      </c>
      <c r="P56" s="179">
        <f>VLOOKUP($C56,$C$2:AE$14,P$16,FALSE)</f>
        <v>49.34</v>
      </c>
      <c r="Q56" s="179">
        <f>VLOOKUP($C56,$C$2:AF$14,Q$16,FALSE)</f>
        <v>49.29</v>
      </c>
      <c r="R56" s="179">
        <f>VLOOKUP($C56,$C$2:AG$14,R$16,FALSE)</f>
        <v>51</v>
      </c>
      <c r="S56" s="179">
        <f>VLOOKUP($C56,$C$2:AG$14,S$16,FALSE)</f>
        <v>53.01</v>
      </c>
      <c r="T56" s="179">
        <f>VLOOKUP($C56,$C$2:AH$14,T$16,FALSE)</f>
        <v>53.15</v>
      </c>
      <c r="U56" s="179">
        <f>VLOOKUP($C56,$C$2:AI$14,U$16,FALSE)</f>
        <v>55.33</v>
      </c>
      <c r="V56" s="177" t="s">
        <v>335</v>
      </c>
      <c r="W56" s="174">
        <f>SUMIF(_12MonLights_TariffRateCategory,W$33&amp;$V56,_12MonLights_Count)+SUMIF(_12MonLights_TariffRateCategory,W$33&amp;$V56,_12MonLights_Count_Adj)</f>
        <v>0</v>
      </c>
      <c r="X56" s="174">
        <f>SUMIF(_12MonLights_TariffRateCategory,X$33&amp;$V56,_12MonLights_Count)+SUMIF(_12MonLights_TariffRateCategory,X$33&amp;$V56,_12MonLights_Count_Adj)</f>
        <v>0</v>
      </c>
      <c r="Y56" s="174">
        <f>SUMIF(_12MonLights_TariffRateCategory,Y$33&amp;$V$56,_12MonLights_Count)-SUMIF(_12MonLights_TariffRateCategory,Y$33&amp;$V$56,_12MonLights_Count_Adj)</f>
        <v>60</v>
      </c>
      <c r="AA56" s="178">
        <f t="shared" si="26"/>
        <v>0</v>
      </c>
      <c r="AB56" s="178">
        <f>ROUND(X56*Q56,2)</f>
        <v>0</v>
      </c>
      <c r="AC56" s="178">
        <f t="shared" si="27"/>
        <v>3319.8</v>
      </c>
      <c r="AD56" s="284">
        <f>SUM(AA56:AC59)</f>
        <v>4856.3999999999996</v>
      </c>
      <c r="AE56" s="178"/>
    </row>
    <row r="57" spans="2:31">
      <c r="B57" s="174">
        <v>3</v>
      </c>
      <c r="C57" s="174" t="str">
        <f t="shared" si="30"/>
        <v>24" Banner Arm (each)</v>
      </c>
      <c r="F57" s="179">
        <f>VLOOKUP($C57,$C$2:R$14,F$16,FALSE)</f>
        <v>2.57</v>
      </c>
      <c r="G57" s="179">
        <f>VLOOKUP($C57,$C$2:V$14,G$16,FALSE)</f>
        <v>2.64</v>
      </c>
      <c r="H57" s="179">
        <f>VLOOKUP($C57,$C$2:W$14,H$16,FALSE)</f>
        <v>2.82</v>
      </c>
      <c r="I57" s="179">
        <f>VLOOKUP($C57,$C$2:X$14,I$16,FALSE)</f>
        <v>2.82</v>
      </c>
      <c r="J57" s="179">
        <f>VLOOKUP($C57,$C$2:Y$14,J$16,FALSE)</f>
        <v>2.82</v>
      </c>
      <c r="K57" s="179">
        <f>VLOOKUP($C57,$C$2:Z$14,K$16,FALSE)</f>
        <v>2.82</v>
      </c>
      <c r="L57" s="179">
        <f>VLOOKUP($C57,$C$2:AA$14,L$16,FALSE)</f>
        <v>2.82</v>
      </c>
      <c r="M57" s="179">
        <f>VLOOKUP($C57,$C$2:AB$14,M$16,FALSE)</f>
        <v>2.8</v>
      </c>
      <c r="N57" s="179">
        <f>VLOOKUP($C57,$C$2:AC$14,N$16,FALSE)</f>
        <v>2.8</v>
      </c>
      <c r="O57" s="179">
        <f>VLOOKUP($C57,$C$2:AD$14,O$16,FALSE)</f>
        <v>2.8</v>
      </c>
      <c r="P57" s="179">
        <f>VLOOKUP($C57,$C$2:AE$14,P$16,FALSE)</f>
        <v>3.09</v>
      </c>
      <c r="Q57" s="179">
        <f>VLOOKUP($C57,$C$2:AF$14,Q$16,FALSE)</f>
        <v>3.09</v>
      </c>
      <c r="R57" s="179">
        <f>VLOOKUP($C57,$C$2:AG$14,R$16,FALSE)</f>
        <v>3.09</v>
      </c>
      <c r="S57" s="179">
        <f>VLOOKUP($C57,$C$2:AG$14,S$16,FALSE)</f>
        <v>3.21</v>
      </c>
      <c r="T57" s="179">
        <f>VLOOKUP($C57,$C$2:AH$14,T$16,FALSE)</f>
        <v>3.21</v>
      </c>
      <c r="U57" s="179">
        <f>VLOOKUP($C57,$C$2:AI$14,U$16,FALSE)</f>
        <v>3.21</v>
      </c>
      <c r="W57" s="174">
        <f t="shared" ref="W57:X59" si="33">W56</f>
        <v>0</v>
      </c>
      <c r="X57" s="174">
        <f t="shared" si="33"/>
        <v>0</v>
      </c>
      <c r="Y57" s="174">
        <f>SUMIF(_12MonLights_TariffRateCategory,Y$33&amp;$V$56,_12MonLights_Count)-SUMIF(_12MonLights_TariffRateCategory,Y$33&amp;$V$56,_12MonLights_Count_Adj)</f>
        <v>60</v>
      </c>
      <c r="AA57" s="178">
        <f t="shared" si="26"/>
        <v>0</v>
      </c>
      <c r="AB57" s="178">
        <f t="shared" si="29"/>
        <v>0</v>
      </c>
      <c r="AC57" s="178">
        <f t="shared" si="27"/>
        <v>192.6</v>
      </c>
      <c r="AD57" s="178"/>
      <c r="AE57" s="178"/>
    </row>
    <row r="58" spans="2:31">
      <c r="B58" s="174">
        <v>3</v>
      </c>
      <c r="C58" s="174" t="str">
        <f t="shared" si="30"/>
        <v>24" Banner Arm (each)</v>
      </c>
      <c r="F58" s="179">
        <f>VLOOKUP($C58,$C$2:R$14,F$16,FALSE)</f>
        <v>2.57</v>
      </c>
      <c r="G58" s="179">
        <f>VLOOKUP($C58,$C$2:V$14,G$16,FALSE)</f>
        <v>2.64</v>
      </c>
      <c r="H58" s="179">
        <f>VLOOKUP($C58,$C$2:W$14,H$16,FALSE)</f>
        <v>2.82</v>
      </c>
      <c r="I58" s="179">
        <f>VLOOKUP($C58,$C$2:X$14,I$16,FALSE)</f>
        <v>2.82</v>
      </c>
      <c r="J58" s="179">
        <f>VLOOKUP($C58,$C$2:Y$14,J$16,FALSE)</f>
        <v>2.82</v>
      </c>
      <c r="K58" s="179">
        <f>VLOOKUP($C58,$C$2:Z$14,K$16,FALSE)</f>
        <v>2.82</v>
      </c>
      <c r="L58" s="179">
        <f>VLOOKUP($C58,$C$2:AA$14,L$16,FALSE)</f>
        <v>2.82</v>
      </c>
      <c r="M58" s="179">
        <f>VLOOKUP($C58,$C$2:AB$14,M$16,FALSE)</f>
        <v>2.8</v>
      </c>
      <c r="N58" s="179">
        <f>VLOOKUP($C58,$C$2:AC$14,N$16,FALSE)</f>
        <v>2.8</v>
      </c>
      <c r="O58" s="179">
        <f>VLOOKUP($C58,$C$2:AD$14,O$16,FALSE)</f>
        <v>2.8</v>
      </c>
      <c r="P58" s="179">
        <f>VLOOKUP($C58,$C$2:AE$14,P$16,FALSE)</f>
        <v>3.09</v>
      </c>
      <c r="Q58" s="179">
        <f>VLOOKUP($C58,$C$2:AF$14,Q$16,FALSE)</f>
        <v>3.09</v>
      </c>
      <c r="R58" s="179">
        <f>VLOOKUP($C58,$C$2:AG$14,R$16,FALSE)</f>
        <v>3.09</v>
      </c>
      <c r="S58" s="179">
        <f>VLOOKUP($C58,$C$2:AG$14,S$16,FALSE)</f>
        <v>3.21</v>
      </c>
      <c r="T58" s="179">
        <f>VLOOKUP($C58,$C$2:AH$14,T$16,FALSE)</f>
        <v>3.21</v>
      </c>
      <c r="U58" s="179">
        <f>VLOOKUP($C58,$C$2:AI$14,U$16,FALSE)</f>
        <v>3.21</v>
      </c>
      <c r="W58" s="174">
        <f t="shared" si="33"/>
        <v>0</v>
      </c>
      <c r="X58" s="174">
        <f t="shared" si="33"/>
        <v>0</v>
      </c>
      <c r="Y58" s="174">
        <f>SUMIF(_12MonLights_TariffRateCategory,Y$33&amp;$V$56,_12MonLights_Count)-SUMIF(_12MonLights_TariffRateCategory,Y$33&amp;$V$56,_12MonLights_Count_Adj)</f>
        <v>60</v>
      </c>
      <c r="AA58" s="178">
        <f t="shared" si="26"/>
        <v>0</v>
      </c>
      <c r="AB58" s="178">
        <f t="shared" si="29"/>
        <v>0</v>
      </c>
      <c r="AC58" s="178">
        <f t="shared" si="27"/>
        <v>192.6</v>
      </c>
      <c r="AD58" s="178"/>
      <c r="AE58" s="178"/>
    </row>
    <row r="59" spans="2:31">
      <c r="B59" s="174">
        <v>8</v>
      </c>
      <c r="C59" s="174" t="str">
        <f t="shared" si="30"/>
        <v>Post-Mounted Receptacle</v>
      </c>
      <c r="F59" s="179">
        <f>VLOOKUP($C59,$C$2:R$14,F$16,FALSE)</f>
        <v>15.41</v>
      </c>
      <c r="G59" s="179">
        <f>VLOOKUP($C59,$C$2:V$14,G$16,FALSE)</f>
        <v>15.82</v>
      </c>
      <c r="H59" s="179">
        <f>VLOOKUP($C59,$C$2:W$14,H$16,FALSE)</f>
        <v>16.899999999999999</v>
      </c>
      <c r="I59" s="179">
        <f>VLOOKUP($C59,$C$2:X$14,I$16,FALSE)</f>
        <v>16.899999999999999</v>
      </c>
      <c r="J59" s="179">
        <f>VLOOKUP($C59,$C$2:Y$14,J$16,FALSE)</f>
        <v>16.899999999999999</v>
      </c>
      <c r="K59" s="179">
        <f>VLOOKUP($C59,$C$2:Z$14,K$16,FALSE)</f>
        <v>16.899999999999999</v>
      </c>
      <c r="L59" s="179">
        <f>VLOOKUP($C59,$C$2:AA$14,L$16,FALSE)</f>
        <v>16.899999999999999</v>
      </c>
      <c r="M59" s="179">
        <f>VLOOKUP($C59,$C$2:AB$14,M$16,FALSE)</f>
        <v>16.75</v>
      </c>
      <c r="N59" s="179">
        <f>VLOOKUP($C59,$C$2:AC$14,N$16,FALSE)</f>
        <v>16.75</v>
      </c>
      <c r="O59" s="179">
        <f>VLOOKUP($C59,$C$2:AD$14,O$16,FALSE)</f>
        <v>16.75</v>
      </c>
      <c r="P59" s="179">
        <f>VLOOKUP($C59,$C$2:AE$14,P$16,FALSE)</f>
        <v>18.46</v>
      </c>
      <c r="Q59" s="179">
        <f>VLOOKUP($C59,$C$2:AF$14,Q$16,FALSE)</f>
        <v>18.46</v>
      </c>
      <c r="R59" s="179">
        <f>VLOOKUP($C59,$C$2:AG$14,R$16,FALSE)</f>
        <v>18.46</v>
      </c>
      <c r="S59" s="179">
        <f>VLOOKUP($C59,$C$2:AG$14,S$16,FALSE)</f>
        <v>19.190000000000001</v>
      </c>
      <c r="T59" s="179">
        <f>VLOOKUP($C59,$C$2:AH$14,T$16,FALSE)</f>
        <v>19.190000000000001</v>
      </c>
      <c r="U59" s="179">
        <f>VLOOKUP($C59,$C$2:AI$14,U$16,FALSE)</f>
        <v>19.190000000000001</v>
      </c>
      <c r="W59" s="174">
        <f t="shared" si="33"/>
        <v>0</v>
      </c>
      <c r="X59" s="174">
        <f t="shared" si="33"/>
        <v>0</v>
      </c>
      <c r="Y59" s="174">
        <f>SUMIF(_12MonLights_TariffRateCategory,Y$33&amp;$V$56,_12MonLights_Count)-SUMIF(_12MonLights_TariffRateCategory,Y$33&amp;$V$56,_12MonLights_Count_Adj)</f>
        <v>60</v>
      </c>
      <c r="AA59" s="178">
        <f t="shared" si="26"/>
        <v>0</v>
      </c>
      <c r="AB59" s="178">
        <f t="shared" si="29"/>
        <v>0</v>
      </c>
      <c r="AC59" s="178">
        <f t="shared" si="27"/>
        <v>1151.4000000000001</v>
      </c>
      <c r="AD59" s="178"/>
      <c r="AE59" s="178"/>
    </row>
    <row r="60" spans="2:31">
      <c r="B60" s="174">
        <v>0</v>
      </c>
      <c r="C60" s="174" t="str">
        <f>$C$2</f>
        <v>Pole &amp; Fixture SL</v>
      </c>
      <c r="F60" s="179">
        <f>VLOOKUP($C60,$C$2:R$14,F$16,FALSE)</f>
        <v>34.9</v>
      </c>
      <c r="G60" s="179">
        <f>VLOOKUP($C60,$C$2:V$14,G$16,FALSE)</f>
        <v>35.840000000000003</v>
      </c>
      <c r="H60" s="179">
        <f>VLOOKUP($C60,$C$2:W$14,H$16,FALSE)</f>
        <v>38.28</v>
      </c>
      <c r="I60" s="179">
        <f>VLOOKUP($C60,$C$2:X$14,I$16,FALSE)</f>
        <v>38.44</v>
      </c>
      <c r="J60" s="179">
        <f>VLOOKUP($C60,$C$2:Y$14,J$16,FALSE)</f>
        <v>39.520000000000003</v>
      </c>
      <c r="K60" s="179">
        <f>VLOOKUP($C60,$C$2:Z$14,K$16,FALSE)</f>
        <v>39.909999999999997</v>
      </c>
      <c r="L60" s="179">
        <f>VLOOKUP($C60,$C$2:AA$14,L$16,FALSE)</f>
        <v>40.81</v>
      </c>
      <c r="M60" s="179">
        <f>VLOOKUP($C60,$C$2:AB$14,M$16,FALSE)</f>
        <v>40.19</v>
      </c>
      <c r="N60" s="179">
        <f>VLOOKUP($C60,$C$2:AC$14,N$16,FALSE)</f>
        <v>40.270000000000003</v>
      </c>
      <c r="O60" s="179">
        <f>VLOOKUP($C60,$C$2:AD$14,O$16,FALSE)</f>
        <v>44.78</v>
      </c>
      <c r="P60" s="179">
        <f>VLOOKUP($C60,$C$2:AE$14,P$16,FALSE)</f>
        <v>49.34</v>
      </c>
      <c r="Q60" s="179">
        <f>VLOOKUP($C60,$C$2:AF$14,Q$16,FALSE)</f>
        <v>49.29</v>
      </c>
      <c r="R60" s="179">
        <f>VLOOKUP($C60,$C$2:AG$14,R$16,FALSE)</f>
        <v>51</v>
      </c>
      <c r="S60" s="179">
        <f>VLOOKUP($C60,$C$2:AG$14,S$16,FALSE)</f>
        <v>53.01</v>
      </c>
      <c r="T60" s="179">
        <f>VLOOKUP($C60,$C$2:AH$14,T$16,FALSE)</f>
        <v>53.15</v>
      </c>
      <c r="U60" s="179">
        <f>VLOOKUP($C60,$C$2:AI$14,U$16,FALSE)</f>
        <v>55.33</v>
      </c>
      <c r="V60" s="177" t="s">
        <v>336</v>
      </c>
      <c r="W60" s="174">
        <f>SUMIF(_12MonLights_TariffRateCategory,W$33&amp;$V60,_12MonLights_Count)+SUMIF(_12MonLights_TariffRateCategory,W$33&amp;$V60,_12MonLights_Count_Adj)</f>
        <v>0</v>
      </c>
      <c r="X60" s="174">
        <f>SUMIF(_12MonLights_TariffRateCategory,X$33&amp;$V60,_12MonLights_Count)+SUMIF(_12MonLights_TariffRateCategory,X$33&amp;$V60,_12MonLights_Count_Adj)</f>
        <v>0</v>
      </c>
      <c r="Y60" s="174">
        <f>SUMIF(_12MonLights_TariffRateCategory,Y$33&amp;$V$60,_12MonLights_Count)-SUMIF(_12MonLights_TariffRateCategory,Y$33&amp;$V$60,_12MonLights_Count_Adj)</f>
        <v>113</v>
      </c>
      <c r="AA60" s="178">
        <f t="shared" si="26"/>
        <v>0</v>
      </c>
      <c r="AB60" s="178">
        <f>ROUND(X60*Q60,2)</f>
        <v>0</v>
      </c>
      <c r="AC60" s="178">
        <f t="shared" si="27"/>
        <v>6252.29</v>
      </c>
      <c r="AD60" s="284">
        <f>SUM(AA60:AC62)</f>
        <v>8923.61</v>
      </c>
      <c r="AE60" s="178"/>
    </row>
    <row r="61" spans="2:31">
      <c r="B61" s="174">
        <v>8</v>
      </c>
      <c r="C61" s="174" t="str">
        <f t="shared" si="30"/>
        <v>Post-Mounted Receptacle</v>
      </c>
      <c r="F61" s="179">
        <f>VLOOKUP($C61,$C$2:R$14,F$16,FALSE)</f>
        <v>15.41</v>
      </c>
      <c r="G61" s="179">
        <f>VLOOKUP($C61,$C$2:V$14,G$16,FALSE)</f>
        <v>15.82</v>
      </c>
      <c r="H61" s="179">
        <f>VLOOKUP($C61,$C$2:W$14,H$16,FALSE)</f>
        <v>16.899999999999999</v>
      </c>
      <c r="I61" s="179">
        <f>VLOOKUP($C61,$C$2:X$14,I$16,FALSE)</f>
        <v>16.899999999999999</v>
      </c>
      <c r="J61" s="179">
        <f>VLOOKUP($C61,$C$2:Y$14,J$16,FALSE)</f>
        <v>16.899999999999999</v>
      </c>
      <c r="K61" s="179">
        <f>VLOOKUP($C61,$C$2:Z$14,K$16,FALSE)</f>
        <v>16.899999999999999</v>
      </c>
      <c r="L61" s="179">
        <f>VLOOKUP($C61,$C$2:AA$14,L$16,FALSE)</f>
        <v>16.899999999999999</v>
      </c>
      <c r="M61" s="179">
        <f>VLOOKUP($C61,$C$2:AB$14,M$16,FALSE)</f>
        <v>16.75</v>
      </c>
      <c r="N61" s="179">
        <f>VLOOKUP($C61,$C$2:AC$14,N$16,FALSE)</f>
        <v>16.75</v>
      </c>
      <c r="O61" s="179">
        <f>VLOOKUP($C61,$C$2:AD$14,O$16,FALSE)</f>
        <v>16.75</v>
      </c>
      <c r="P61" s="179">
        <f>VLOOKUP($C61,$C$2:AE$14,P$16,FALSE)</f>
        <v>18.46</v>
      </c>
      <c r="Q61" s="179">
        <f>VLOOKUP($C61,$C$2:AF$14,Q$16,FALSE)</f>
        <v>18.46</v>
      </c>
      <c r="R61" s="179">
        <f>VLOOKUP($C61,$C$2:AG$14,R$16,FALSE)</f>
        <v>18.46</v>
      </c>
      <c r="S61" s="179">
        <f>VLOOKUP($C61,$C$2:AG$14,S$16,FALSE)</f>
        <v>19.190000000000001</v>
      </c>
      <c r="T61" s="179">
        <f>VLOOKUP($C61,$C$2:AH$14,T$16,FALSE)</f>
        <v>19.190000000000001</v>
      </c>
      <c r="U61" s="179">
        <f>VLOOKUP($C61,$C$2:AI$14,U$16,FALSE)</f>
        <v>19.190000000000001</v>
      </c>
      <c r="W61" s="174">
        <f t="shared" ref="W61:X62" si="34">W60</f>
        <v>0</v>
      </c>
      <c r="X61" s="174">
        <f t="shared" si="34"/>
        <v>0</v>
      </c>
      <c r="Y61" s="174">
        <f>SUMIF(_12MonLights_TariffRateCategory,Y$33&amp;$V$60,_12MonLights_Count)-SUMIF(_12MonLights_TariffRateCategory,Y$33&amp;$V$60,_12MonLights_Count_Adj)</f>
        <v>113</v>
      </c>
      <c r="AA61" s="178">
        <f t="shared" si="26"/>
        <v>0</v>
      </c>
      <c r="AB61" s="178">
        <f t="shared" si="29"/>
        <v>0</v>
      </c>
      <c r="AC61" s="178">
        <f t="shared" si="27"/>
        <v>2168.4699999999998</v>
      </c>
      <c r="AD61" s="178"/>
      <c r="AE61" s="178"/>
    </row>
    <row r="62" spans="2:31">
      <c r="B62" s="174">
        <v>11</v>
      </c>
      <c r="C62" s="174" t="str">
        <f t="shared" si="30"/>
        <v>Planter</v>
      </c>
      <c r="F62" s="179">
        <f>VLOOKUP($C62,$C$2:R$14,F$16,FALSE)</f>
        <v>3.56</v>
      </c>
      <c r="G62" s="179">
        <f>VLOOKUP($C62,$C$2:V$14,G$16,FALSE)</f>
        <v>3.66</v>
      </c>
      <c r="H62" s="179">
        <f>VLOOKUP($C62,$C$2:W$14,H$16,FALSE)</f>
        <v>3.91</v>
      </c>
      <c r="I62" s="179">
        <f>VLOOKUP($C62,$C$2:X$14,I$16,FALSE)</f>
        <v>3.91</v>
      </c>
      <c r="J62" s="179">
        <f>VLOOKUP($C62,$C$2:Y$14,J$16,FALSE)</f>
        <v>3.91</v>
      </c>
      <c r="K62" s="179">
        <f>VLOOKUP($C62,$C$2:Z$14,K$16,FALSE)</f>
        <v>3.91</v>
      </c>
      <c r="L62" s="179">
        <f>VLOOKUP($C62,$C$2:AA$14,L$16,FALSE)</f>
        <v>3.91</v>
      </c>
      <c r="M62" s="179">
        <f>VLOOKUP($C62,$C$2:AB$14,M$16,FALSE)</f>
        <v>3.88</v>
      </c>
      <c r="N62" s="179">
        <f>VLOOKUP($C62,$C$2:AC$14,N$16,FALSE)</f>
        <v>3.88</v>
      </c>
      <c r="O62" s="179">
        <f>VLOOKUP($C62,$C$2:AD$14,O$16,FALSE)</f>
        <v>3.88</v>
      </c>
      <c r="P62" s="179">
        <f>VLOOKUP($C62,$C$2:AE$14,P$16,FALSE)</f>
        <v>4.28</v>
      </c>
      <c r="Q62" s="179">
        <f>VLOOKUP($C62,$C$2:AF$14,Q$16,FALSE)</f>
        <v>4.28</v>
      </c>
      <c r="R62" s="179">
        <f>VLOOKUP($C62,$C$2:AG$14,R$16,FALSE)</f>
        <v>4.28</v>
      </c>
      <c r="S62" s="179">
        <f>VLOOKUP($C62,$C$2:AG$14,S$16,FALSE)</f>
        <v>4.45</v>
      </c>
      <c r="T62" s="179">
        <f>VLOOKUP($C62,$C$2:AH$14,T$16,FALSE)</f>
        <v>4.45</v>
      </c>
      <c r="U62" s="179">
        <f>VLOOKUP($C62,$C$2:AI$14,U$16,FALSE)</f>
        <v>4.45</v>
      </c>
      <c r="W62" s="174">
        <f t="shared" si="34"/>
        <v>0</v>
      </c>
      <c r="X62" s="174">
        <f t="shared" si="34"/>
        <v>0</v>
      </c>
      <c r="Y62" s="174">
        <f>SUMIF(_12MonLights_TariffRateCategory,Y$33&amp;$V$60,_12MonLights_Count)-SUMIF(_12MonLights_TariffRateCategory,Y$33&amp;$V$60,_12MonLights_Count_Adj)</f>
        <v>113</v>
      </c>
      <c r="AA62" s="178">
        <f t="shared" si="26"/>
        <v>0</v>
      </c>
      <c r="AB62" s="178">
        <f t="shared" si="29"/>
        <v>0</v>
      </c>
      <c r="AC62" s="178">
        <f t="shared" si="27"/>
        <v>502.85</v>
      </c>
      <c r="AD62" s="178"/>
      <c r="AE62" s="178"/>
    </row>
    <row r="63" spans="2:31">
      <c r="B63" s="174">
        <v>0</v>
      </c>
      <c r="C63" s="174" t="str">
        <f>$C$2</f>
        <v>Pole &amp; Fixture SL</v>
      </c>
      <c r="F63" s="179">
        <f>VLOOKUP($C63,$C$2:R$14,F$16,FALSE)</f>
        <v>34.9</v>
      </c>
      <c r="G63" s="179">
        <f>VLOOKUP($C63,$C$2:V$14,G$16,FALSE)</f>
        <v>35.840000000000003</v>
      </c>
      <c r="H63" s="179">
        <f>VLOOKUP($C63,$C$2:W$14,H$16,FALSE)</f>
        <v>38.28</v>
      </c>
      <c r="I63" s="179">
        <f>VLOOKUP($C63,$C$2:X$14,I$16,FALSE)</f>
        <v>38.44</v>
      </c>
      <c r="J63" s="179">
        <f>VLOOKUP($C63,$C$2:Y$14,J$16,FALSE)</f>
        <v>39.520000000000003</v>
      </c>
      <c r="K63" s="179">
        <f>VLOOKUP($C63,$C$2:Z$14,K$16,FALSE)</f>
        <v>39.909999999999997</v>
      </c>
      <c r="L63" s="179">
        <f>VLOOKUP($C63,$C$2:AA$14,L$16,FALSE)</f>
        <v>40.81</v>
      </c>
      <c r="M63" s="179">
        <f>VLOOKUP($C63,$C$2:AB$14,M$16,FALSE)</f>
        <v>40.19</v>
      </c>
      <c r="N63" s="179">
        <f>VLOOKUP($C63,$C$2:AC$14,N$16,FALSE)</f>
        <v>40.270000000000003</v>
      </c>
      <c r="O63" s="179">
        <f>VLOOKUP($C63,$C$2:AD$14,O$16,FALSE)</f>
        <v>44.78</v>
      </c>
      <c r="P63" s="179">
        <f>VLOOKUP($C63,$C$2:AE$14,P$16,FALSE)</f>
        <v>49.34</v>
      </c>
      <c r="Q63" s="179">
        <f>VLOOKUP($C63,$C$2:AF$14,Q$16,FALSE)</f>
        <v>49.29</v>
      </c>
      <c r="R63" s="179">
        <f>VLOOKUP($C63,$C$2:AG$14,R$16,FALSE)</f>
        <v>51</v>
      </c>
      <c r="S63" s="179">
        <f>VLOOKUP($C63,$C$2:AG$14,S$16,FALSE)</f>
        <v>53.01</v>
      </c>
      <c r="T63" s="179">
        <f>VLOOKUP($C63,$C$2:AH$14,T$16,FALSE)</f>
        <v>53.15</v>
      </c>
      <c r="U63" s="179">
        <f>VLOOKUP($C63,$C$2:AI$14,U$16,FALSE)</f>
        <v>55.33</v>
      </c>
      <c r="V63" s="177" t="s">
        <v>338</v>
      </c>
      <c r="W63" s="174">
        <f>SUMIF(_12MonLights_TariffRateCategory,W$33&amp;$V63,_12MonLights_Count)+SUMIF(_12MonLights_TariffRateCategory,W$33&amp;$V63,_12MonLights_Count_Adj)</f>
        <v>0</v>
      </c>
      <c r="X63" s="174">
        <f>SUMIF(_12MonLights_TariffRateCategory,X$33&amp;$V63,_12MonLights_Count)+SUMIF(_12MonLights_TariffRateCategory,X$33&amp;$V63,_12MonLights_Count_Adj)</f>
        <v>0</v>
      </c>
      <c r="Y63" s="174">
        <f>SUMIF(_12MonLights_TariffRateCategory,Y$33&amp;$V$63,_12MonLights_Count)-SUMIF(_12MonLights_TariffRateCategory,Y$33&amp;$V$63,_12MonLights_Count_Adj)</f>
        <v>295</v>
      </c>
      <c r="AA63" s="178">
        <f t="shared" si="26"/>
        <v>0</v>
      </c>
      <c r="AB63" s="178">
        <f>ROUND(X63*Q63,2)</f>
        <v>0</v>
      </c>
      <c r="AC63" s="178">
        <f t="shared" si="27"/>
        <v>16322.35</v>
      </c>
      <c r="AD63" s="284">
        <f>SUM(AA63:AC65)</f>
        <v>18062.849999999999</v>
      </c>
      <c r="AE63" s="178"/>
    </row>
    <row r="64" spans="2:31">
      <c r="B64" s="174">
        <v>5</v>
      </c>
      <c r="C64" s="174" t="str">
        <f t="shared" si="30"/>
        <v>18" Banner Arm (each)</v>
      </c>
      <c r="F64" s="179">
        <f>VLOOKUP($C64,$C$2:R$14,F$16,FALSE)</f>
        <v>2.37</v>
      </c>
      <c r="G64" s="179">
        <f>VLOOKUP($C64,$C$2:V$14,G$16,FALSE)</f>
        <v>2.4300000000000002</v>
      </c>
      <c r="H64" s="179">
        <f>VLOOKUP($C64,$C$2:W$14,H$16,FALSE)</f>
        <v>2.6</v>
      </c>
      <c r="I64" s="179">
        <f>VLOOKUP($C64,$C$2:X$14,I$16,FALSE)</f>
        <v>2.6</v>
      </c>
      <c r="J64" s="179">
        <f>VLOOKUP($C64,$C$2:Y$14,J$16,FALSE)</f>
        <v>2.6</v>
      </c>
      <c r="K64" s="179">
        <f>VLOOKUP($C64,$C$2:Z$14,K$16,FALSE)</f>
        <v>2.6</v>
      </c>
      <c r="L64" s="179">
        <f>VLOOKUP($C64,$C$2:AA$14,L$16,FALSE)</f>
        <v>2.6</v>
      </c>
      <c r="M64" s="179">
        <f>VLOOKUP($C64,$C$2:AB$14,M$16,FALSE)</f>
        <v>2.58</v>
      </c>
      <c r="N64" s="179">
        <f>VLOOKUP($C64,$C$2:AC$14,N$16,FALSE)</f>
        <v>2.58</v>
      </c>
      <c r="O64" s="179">
        <f>VLOOKUP($C64,$C$2:AD$14,O$16,FALSE)</f>
        <v>2.58</v>
      </c>
      <c r="P64" s="179">
        <f>VLOOKUP($C64,$C$2:AE$14,P$16,FALSE)</f>
        <v>2.84</v>
      </c>
      <c r="Q64" s="179">
        <f>VLOOKUP($C64,$C$2:AF$14,Q$16,FALSE)</f>
        <v>2.84</v>
      </c>
      <c r="R64" s="179">
        <f>VLOOKUP($C64,$C$2:AG$14,R$16,FALSE)</f>
        <v>2.84</v>
      </c>
      <c r="S64" s="179">
        <f>VLOOKUP($C64,$C$2:AG$14,S$16,FALSE)</f>
        <v>2.95</v>
      </c>
      <c r="T64" s="179">
        <f>VLOOKUP($C64,$C$2:AH$14,T$16,FALSE)</f>
        <v>2.95</v>
      </c>
      <c r="U64" s="179">
        <f>VLOOKUP($C64,$C$2:AI$14,U$16,FALSE)</f>
        <v>2.95</v>
      </c>
      <c r="W64" s="174">
        <f t="shared" ref="W64:X65" si="35">W63</f>
        <v>0</v>
      </c>
      <c r="X64" s="174">
        <f t="shared" si="35"/>
        <v>0</v>
      </c>
      <c r="Y64" s="174">
        <f>SUMIF(_12MonLights_TariffRateCategory,Y$33&amp;$V$63,_12MonLights_Count)-SUMIF(_12MonLights_TariffRateCategory,Y$33&amp;$V$63,_12MonLights_Count_Adj)</f>
        <v>295</v>
      </c>
      <c r="AA64" s="178">
        <f t="shared" si="26"/>
        <v>0</v>
      </c>
      <c r="AB64" s="178">
        <f t="shared" si="29"/>
        <v>0</v>
      </c>
      <c r="AC64" s="178">
        <f t="shared" si="27"/>
        <v>870.25</v>
      </c>
      <c r="AD64" s="178"/>
      <c r="AE64" s="178"/>
    </row>
    <row r="65" spans="2:31">
      <c r="B65" s="174">
        <v>5</v>
      </c>
      <c r="C65" s="174" t="str">
        <f t="shared" si="30"/>
        <v>18" Banner Arm (each)</v>
      </c>
      <c r="F65" s="179">
        <f>VLOOKUP($C65,$C$2:R$14,F$16,FALSE)</f>
        <v>2.37</v>
      </c>
      <c r="G65" s="179">
        <f>VLOOKUP($C65,$C$2:V$14,G$16,FALSE)</f>
        <v>2.4300000000000002</v>
      </c>
      <c r="H65" s="179">
        <f>VLOOKUP($C65,$C$2:W$14,H$16,FALSE)</f>
        <v>2.6</v>
      </c>
      <c r="I65" s="179">
        <f>VLOOKUP($C65,$C$2:X$14,I$16,FALSE)</f>
        <v>2.6</v>
      </c>
      <c r="J65" s="179">
        <f>VLOOKUP($C65,$C$2:Y$14,J$16,FALSE)</f>
        <v>2.6</v>
      </c>
      <c r="K65" s="179">
        <f>VLOOKUP($C65,$C$2:Z$14,K$16,FALSE)</f>
        <v>2.6</v>
      </c>
      <c r="L65" s="179">
        <f>VLOOKUP($C65,$C$2:AA$14,L$16,FALSE)</f>
        <v>2.6</v>
      </c>
      <c r="M65" s="179">
        <f>VLOOKUP($C65,$C$2:AB$14,M$16,FALSE)</f>
        <v>2.58</v>
      </c>
      <c r="N65" s="179">
        <f>VLOOKUP($C65,$C$2:AC$14,N$16,FALSE)</f>
        <v>2.58</v>
      </c>
      <c r="O65" s="179">
        <f>VLOOKUP($C65,$C$2:AD$14,O$16,FALSE)</f>
        <v>2.58</v>
      </c>
      <c r="P65" s="179">
        <f>VLOOKUP($C65,$C$2:AE$14,P$16,FALSE)</f>
        <v>2.84</v>
      </c>
      <c r="Q65" s="179">
        <f>VLOOKUP($C65,$C$2:AF$14,Q$16,FALSE)</f>
        <v>2.84</v>
      </c>
      <c r="R65" s="179">
        <f>VLOOKUP($C65,$C$2:AG$14,R$16,FALSE)</f>
        <v>2.84</v>
      </c>
      <c r="S65" s="179">
        <f>VLOOKUP($C65,$C$2:AG$14,S$16,FALSE)</f>
        <v>2.95</v>
      </c>
      <c r="T65" s="179">
        <f>VLOOKUP($C65,$C$2:AH$14,T$16,FALSE)</f>
        <v>2.95</v>
      </c>
      <c r="U65" s="179">
        <f>VLOOKUP($C65,$C$2:AI$14,U$16,FALSE)</f>
        <v>2.95</v>
      </c>
      <c r="W65" s="174">
        <f t="shared" si="35"/>
        <v>0</v>
      </c>
      <c r="X65" s="174">
        <f t="shared" si="35"/>
        <v>0</v>
      </c>
      <c r="Y65" s="174">
        <f>SUMIF(_12MonLights_TariffRateCategory,Y$33&amp;$V$63,_12MonLights_Count)-SUMIF(_12MonLights_TariffRateCategory,Y$33&amp;$V$63,_12MonLights_Count_Adj)</f>
        <v>295</v>
      </c>
      <c r="AA65" s="178">
        <f t="shared" si="26"/>
        <v>0</v>
      </c>
      <c r="AB65" s="178">
        <f t="shared" si="29"/>
        <v>0</v>
      </c>
      <c r="AC65" s="178">
        <f t="shared" si="27"/>
        <v>870.25</v>
      </c>
      <c r="AD65" s="178"/>
      <c r="AE65" s="178"/>
    </row>
    <row r="66" spans="2:31">
      <c r="B66" s="174">
        <v>0</v>
      </c>
      <c r="C66" s="174" t="str">
        <f>$C$2</f>
        <v>Pole &amp; Fixture SL</v>
      </c>
      <c r="F66" s="179">
        <f>VLOOKUP($C66,$C$2:R$14,F$16,FALSE)</f>
        <v>34.9</v>
      </c>
      <c r="G66" s="179">
        <f>VLOOKUP($C66,$C$2:V$14,G$16,FALSE)</f>
        <v>35.840000000000003</v>
      </c>
      <c r="H66" s="179">
        <f>VLOOKUP($C66,$C$2:W$14,H$16,FALSE)</f>
        <v>38.28</v>
      </c>
      <c r="I66" s="179">
        <f>VLOOKUP($C66,$C$2:X$14,I$16,FALSE)</f>
        <v>38.44</v>
      </c>
      <c r="J66" s="179">
        <f>VLOOKUP($C66,$C$2:Y$14,J$16,FALSE)</f>
        <v>39.520000000000003</v>
      </c>
      <c r="K66" s="179">
        <f>VLOOKUP($C66,$C$2:Z$14,K$16,FALSE)</f>
        <v>39.909999999999997</v>
      </c>
      <c r="L66" s="179">
        <f>VLOOKUP($C66,$C$2:AA$14,L$16,FALSE)</f>
        <v>40.81</v>
      </c>
      <c r="M66" s="179">
        <f>VLOOKUP($C66,$C$2:AB$14,M$16,FALSE)</f>
        <v>40.19</v>
      </c>
      <c r="N66" s="179">
        <f>VLOOKUP($C66,$C$2:AC$14,N$16,FALSE)</f>
        <v>40.270000000000003</v>
      </c>
      <c r="O66" s="179">
        <f>VLOOKUP($C66,$C$2:AD$14,O$16,FALSE)</f>
        <v>44.78</v>
      </c>
      <c r="P66" s="179">
        <f>VLOOKUP($C66,$C$2:AE$14,P$16,FALSE)</f>
        <v>49.34</v>
      </c>
      <c r="Q66" s="179">
        <f>VLOOKUP($C66,$C$2:AF$14,Q$16,FALSE)</f>
        <v>49.29</v>
      </c>
      <c r="R66" s="179">
        <f>VLOOKUP($C66,$C$2:AG$14,R$16,FALSE)</f>
        <v>51</v>
      </c>
      <c r="S66" s="179">
        <f>VLOOKUP($C66,$C$2:AG$14,S$16,FALSE)</f>
        <v>53.01</v>
      </c>
      <c r="T66" s="179">
        <f>VLOOKUP($C66,$C$2:AH$14,T$16,FALSE)</f>
        <v>53.15</v>
      </c>
      <c r="U66" s="179">
        <f>VLOOKUP($C66,$C$2:AI$14,U$16,FALSE)</f>
        <v>55.33</v>
      </c>
      <c r="V66" s="177" t="s">
        <v>339</v>
      </c>
      <c r="W66" s="174">
        <f>SUMIF(_12MonLights_TariffRateCategory,W$33&amp;$V66,_12MonLights_Count)+SUMIF(_12MonLights_TariffRateCategory,W$33&amp;$V66,_12MonLights_Count_Adj)</f>
        <v>0</v>
      </c>
      <c r="X66" s="174">
        <f>SUMIF(_12MonLights_TariffRateCategory,X$33&amp;$V66,_12MonLights_Count)+SUMIF(_12MonLights_TariffRateCategory,X$33&amp;$V66,_12MonLights_Count_Adj)</f>
        <v>0</v>
      </c>
      <c r="Y66" s="174">
        <f>SUMIF(_12MonLights_TariffRateCategory,Y$33&amp;$V$66,_12MonLights_Count)-SUMIF(_12MonLights_TariffRateCategory,Y$33&amp;$V$66,_12MonLights_Count_Adj)</f>
        <v>12</v>
      </c>
      <c r="AA66" s="178">
        <f t="shared" si="26"/>
        <v>0</v>
      </c>
      <c r="AB66" s="178">
        <f>ROUND(X66*Q66,2)</f>
        <v>0</v>
      </c>
      <c r="AC66" s="178">
        <f t="shared" si="27"/>
        <v>663.96</v>
      </c>
      <c r="AD66" s="284">
        <f>SUM(AA66:AC67)</f>
        <v>680.28000000000009</v>
      </c>
      <c r="AE66" s="178"/>
    </row>
    <row r="67" spans="2:31">
      <c r="B67" s="174">
        <v>6</v>
      </c>
      <c r="C67" s="174" t="str">
        <f t="shared" si="30"/>
        <v>Flagpole Holder</v>
      </c>
      <c r="F67" s="179">
        <f>VLOOKUP($C67,$C$2:R$14,F$16,FALSE)</f>
        <v>1.0900000000000001</v>
      </c>
      <c r="G67" s="179">
        <f>VLOOKUP($C67,$C$2:V$14,G$16,FALSE)</f>
        <v>1.1200000000000001</v>
      </c>
      <c r="H67" s="179">
        <f>VLOOKUP($C67,$C$2:W$14,H$16,FALSE)</f>
        <v>1.2</v>
      </c>
      <c r="I67" s="179">
        <f>VLOOKUP($C67,$C$2:X$14,I$16,FALSE)</f>
        <v>1.2</v>
      </c>
      <c r="J67" s="179">
        <f>VLOOKUP($C67,$C$2:Y$14,J$16,FALSE)</f>
        <v>1.2</v>
      </c>
      <c r="K67" s="179">
        <f>VLOOKUP($C67,$C$2:Z$14,K$16,FALSE)</f>
        <v>1.2</v>
      </c>
      <c r="L67" s="179">
        <f>VLOOKUP($C67,$C$2:AA$14,L$16,FALSE)</f>
        <v>1.2</v>
      </c>
      <c r="M67" s="179">
        <f>VLOOKUP($C67,$C$2:AB$14,M$16,FALSE)</f>
        <v>1.19</v>
      </c>
      <c r="N67" s="179">
        <f>VLOOKUP($C67,$C$2:AC$14,N$16,FALSE)</f>
        <v>1.19</v>
      </c>
      <c r="O67" s="179">
        <f>VLOOKUP($C67,$C$2:AD$14,O$16,FALSE)</f>
        <v>1.19</v>
      </c>
      <c r="P67" s="179">
        <f>VLOOKUP($C67,$C$2:AE$14,P$16,FALSE)</f>
        <v>1.31</v>
      </c>
      <c r="Q67" s="179">
        <f>VLOOKUP($C67,$C$2:AF$14,Q$16,FALSE)</f>
        <v>1.31</v>
      </c>
      <c r="R67" s="179">
        <f>VLOOKUP($C67,$C$2:AG$14,R$16,FALSE)</f>
        <v>1.31</v>
      </c>
      <c r="S67" s="179">
        <f>VLOOKUP($C67,$C$2:AG$14,S$16,FALSE)</f>
        <v>1.36</v>
      </c>
      <c r="T67" s="179">
        <f>VLOOKUP($C67,$C$2:AH$14,T$16,FALSE)</f>
        <v>1.36</v>
      </c>
      <c r="U67" s="179">
        <f>VLOOKUP($C67,$C$2:AI$14,U$16,FALSE)</f>
        <v>1.36</v>
      </c>
      <c r="W67" s="174">
        <f>W66</f>
        <v>0</v>
      </c>
      <c r="X67" s="174">
        <f>X66</f>
        <v>0</v>
      </c>
      <c r="Y67" s="174">
        <f>SUMIF(_12MonLights_TariffRateCategory,Y$33&amp;$V$66,_12MonLights_Count)-SUMIF(_12MonLights_TariffRateCategory,Y$33&amp;$V$66,_12MonLights_Count_Adj)</f>
        <v>12</v>
      </c>
      <c r="AA67" s="178">
        <f t="shared" si="26"/>
        <v>0</v>
      </c>
      <c r="AB67" s="178">
        <f t="shared" si="29"/>
        <v>0</v>
      </c>
      <c r="AC67" s="178">
        <f t="shared" si="27"/>
        <v>16.32</v>
      </c>
      <c r="AD67" s="178"/>
      <c r="AE67" s="178"/>
    </row>
    <row r="68" spans="2:31">
      <c r="B68" s="174">
        <v>0</v>
      </c>
      <c r="C68" s="174" t="str">
        <f>$C$2</f>
        <v>Pole &amp; Fixture SL</v>
      </c>
      <c r="F68" s="179">
        <f>VLOOKUP($C68,$C$2:R$14,F$16,FALSE)</f>
        <v>34.9</v>
      </c>
      <c r="G68" s="179">
        <f>VLOOKUP($C68,$C$2:V$14,G$16,FALSE)</f>
        <v>35.840000000000003</v>
      </c>
      <c r="H68" s="179">
        <f>VLOOKUP($C68,$C$2:W$14,H$16,FALSE)</f>
        <v>38.28</v>
      </c>
      <c r="I68" s="179">
        <f>VLOOKUP($C68,$C$2:X$14,I$16,FALSE)</f>
        <v>38.44</v>
      </c>
      <c r="J68" s="179">
        <f>VLOOKUP($C68,$C$2:Y$14,J$16,FALSE)</f>
        <v>39.520000000000003</v>
      </c>
      <c r="K68" s="179">
        <f>VLOOKUP($C68,$C$2:Z$14,K$16,FALSE)</f>
        <v>39.909999999999997</v>
      </c>
      <c r="L68" s="179">
        <f>VLOOKUP($C68,$C$2:AA$14,L$16,FALSE)</f>
        <v>40.81</v>
      </c>
      <c r="M68" s="179">
        <f>VLOOKUP($C68,$C$2:AB$14,M$16,FALSE)</f>
        <v>40.19</v>
      </c>
      <c r="N68" s="179">
        <f>VLOOKUP($C68,$C$2:AC$14,N$16,FALSE)</f>
        <v>40.270000000000003</v>
      </c>
      <c r="O68" s="179">
        <f>VLOOKUP($C68,$C$2:AD$14,O$16,FALSE)</f>
        <v>44.78</v>
      </c>
      <c r="P68" s="179">
        <f>VLOOKUP($C68,$C$2:AE$14,P$16,FALSE)</f>
        <v>49.34</v>
      </c>
      <c r="Q68" s="179">
        <f>VLOOKUP($C68,$C$2:AF$14,Q$16,FALSE)</f>
        <v>49.29</v>
      </c>
      <c r="R68" s="179">
        <f>VLOOKUP($C68,$C$2:AG$14,R$16,FALSE)</f>
        <v>51</v>
      </c>
      <c r="S68" s="179">
        <f>VLOOKUP($C68,$C$2:AG$14,S$16,FALSE)</f>
        <v>53.01</v>
      </c>
      <c r="T68" s="179">
        <f>VLOOKUP($C68,$C$2:AH$14,T$16,FALSE)</f>
        <v>53.15</v>
      </c>
      <c r="U68" s="179">
        <f>VLOOKUP($C68,$C$2:AI$14,U$16,FALSE)</f>
        <v>55.33</v>
      </c>
      <c r="V68" s="177" t="s">
        <v>325</v>
      </c>
      <c r="W68" s="174">
        <f>SUMIF(_12MonLights_TariffRateCategory,W$33&amp;$V68,_12MonLights_Count)+SUMIF(_12MonLights_TariffRateCategory,W$33&amp;$V68,_12MonLights_Count_Adj)</f>
        <v>0</v>
      </c>
      <c r="X68" s="174">
        <f>SUMIF(_12MonLights_TariffRateCategory,X$33&amp;$V68,_12MonLights_Count)+SUMIF(_12MonLights_TariffRateCategory,X$33&amp;$V68,_12MonLights_Count_Adj)</f>
        <v>0</v>
      </c>
      <c r="Y68" s="174">
        <f>SUMIF(_12MonLights_TariffRateCategory,Y$33&amp;$V$68,_12MonLights_Count)-SUMIF(_12MonLights_TariffRateCategory,Y$33&amp;$V$68,_12MonLights_Count_Adj)</f>
        <v>185</v>
      </c>
      <c r="AA68" s="178">
        <f t="shared" si="26"/>
        <v>0</v>
      </c>
      <c r="AB68" s="178">
        <f>ROUND(X68*Q68,2)</f>
        <v>0</v>
      </c>
      <c r="AC68" s="178">
        <f t="shared" si="27"/>
        <v>10236.049999999999</v>
      </c>
      <c r="AD68" s="284">
        <f>SUM(AA68:AC69)</f>
        <v>13786.199999999999</v>
      </c>
      <c r="AE68" s="178"/>
    </row>
    <row r="69" spans="2:31">
      <c r="B69" s="174">
        <v>8</v>
      </c>
      <c r="C69" s="174" t="str">
        <f t="shared" si="30"/>
        <v>Post-Mounted Receptacle</v>
      </c>
      <c r="F69" s="179">
        <f>VLOOKUP($C69,$C$2:R$14,F$16,FALSE)</f>
        <v>15.41</v>
      </c>
      <c r="G69" s="179">
        <f>VLOOKUP($C69,$C$2:V$14,G$16,FALSE)</f>
        <v>15.82</v>
      </c>
      <c r="H69" s="179">
        <f>VLOOKUP($C69,$C$2:W$14,H$16,FALSE)</f>
        <v>16.899999999999999</v>
      </c>
      <c r="I69" s="179">
        <f>VLOOKUP($C69,$C$2:X$14,I$16,FALSE)</f>
        <v>16.899999999999999</v>
      </c>
      <c r="J69" s="179">
        <f>VLOOKUP($C69,$C$2:Y$14,J$16,FALSE)</f>
        <v>16.899999999999999</v>
      </c>
      <c r="K69" s="179">
        <f>VLOOKUP($C69,$C$2:Z$14,K$16,FALSE)</f>
        <v>16.899999999999999</v>
      </c>
      <c r="L69" s="179">
        <f>VLOOKUP($C69,$C$2:AA$14,L$16,FALSE)</f>
        <v>16.899999999999999</v>
      </c>
      <c r="M69" s="179">
        <f>VLOOKUP($C69,$C$2:AB$14,M$16,FALSE)</f>
        <v>16.75</v>
      </c>
      <c r="N69" s="179">
        <f>VLOOKUP($C69,$C$2:AC$14,N$16,FALSE)</f>
        <v>16.75</v>
      </c>
      <c r="O69" s="179">
        <f>VLOOKUP($C69,$C$2:AD$14,O$16,FALSE)</f>
        <v>16.75</v>
      </c>
      <c r="P69" s="179">
        <f>VLOOKUP($C69,$C$2:AE$14,P$16,FALSE)</f>
        <v>18.46</v>
      </c>
      <c r="Q69" s="179">
        <f>VLOOKUP($C69,$C$2:AF$14,Q$16,FALSE)</f>
        <v>18.46</v>
      </c>
      <c r="R69" s="179">
        <f>VLOOKUP($C69,$C$2:AG$14,R$16,FALSE)</f>
        <v>18.46</v>
      </c>
      <c r="S69" s="179">
        <f>VLOOKUP($C69,$C$2:AG$14,S$16,FALSE)</f>
        <v>19.190000000000001</v>
      </c>
      <c r="T69" s="179">
        <f>VLOOKUP($C69,$C$2:AH$14,T$16,FALSE)</f>
        <v>19.190000000000001</v>
      </c>
      <c r="U69" s="179">
        <f>VLOOKUP($C69,$C$2:AI$14,U$16,FALSE)</f>
        <v>19.190000000000001</v>
      </c>
      <c r="W69" s="174">
        <f>W68</f>
        <v>0</v>
      </c>
      <c r="X69" s="174">
        <f>X68</f>
        <v>0</v>
      </c>
      <c r="Y69" s="174">
        <f>SUMIF(_12MonLights_TariffRateCategory,Y$33&amp;$V$68,_12MonLights_Count)-SUMIF(_12MonLights_TariffRateCategory,Y$33&amp;$V$68,_12MonLights_Count_Adj)</f>
        <v>185</v>
      </c>
      <c r="AA69" s="178">
        <f t="shared" si="26"/>
        <v>0</v>
      </c>
      <c r="AB69" s="178">
        <f t="shared" si="29"/>
        <v>0</v>
      </c>
      <c r="AC69" s="178">
        <f t="shared" si="27"/>
        <v>3550.15</v>
      </c>
      <c r="AD69" s="178"/>
      <c r="AE69" s="178"/>
    </row>
    <row r="70" spans="2:31">
      <c r="B70" s="174">
        <v>0</v>
      </c>
      <c r="C70" s="174" t="str">
        <f>$C$2</f>
        <v>Pole &amp; Fixture SL</v>
      </c>
      <c r="F70" s="179">
        <f>VLOOKUP($C70,$C$2:R$14,F$16,FALSE)</f>
        <v>34.9</v>
      </c>
      <c r="G70" s="179">
        <f>VLOOKUP($C70,$C$2:V$14,G$16,FALSE)</f>
        <v>35.840000000000003</v>
      </c>
      <c r="H70" s="179">
        <f>VLOOKUP($C70,$C$2:W$14,H$16,FALSE)</f>
        <v>38.28</v>
      </c>
      <c r="I70" s="179">
        <f>VLOOKUP($C70,$C$2:X$14,I$16,FALSE)</f>
        <v>38.44</v>
      </c>
      <c r="J70" s="179">
        <f>VLOOKUP($C70,$C$2:Y$14,J$16,FALSE)</f>
        <v>39.520000000000003</v>
      </c>
      <c r="K70" s="179">
        <f>VLOOKUP($C70,$C$2:Z$14,K$16,FALSE)</f>
        <v>39.909999999999997</v>
      </c>
      <c r="L70" s="179">
        <f>VLOOKUP($C70,$C$2:AA$14,L$16,FALSE)</f>
        <v>40.81</v>
      </c>
      <c r="M70" s="179">
        <f>VLOOKUP($C70,$C$2:AB$14,M$16,FALSE)</f>
        <v>40.19</v>
      </c>
      <c r="N70" s="179">
        <f>VLOOKUP($C70,$C$2:AC$14,N$16,FALSE)</f>
        <v>40.270000000000003</v>
      </c>
      <c r="O70" s="179">
        <f>VLOOKUP($C70,$C$2:AD$14,O$16,FALSE)</f>
        <v>44.78</v>
      </c>
      <c r="P70" s="179">
        <f>VLOOKUP($C70,$C$2:AE$14,P$16,FALSE)</f>
        <v>49.34</v>
      </c>
      <c r="Q70" s="179">
        <f>VLOOKUP($C70,$C$2:AF$14,Q$16,FALSE)</f>
        <v>49.29</v>
      </c>
      <c r="R70" s="179">
        <f>VLOOKUP($C70,$C$2:AG$14,R$16,FALSE)</f>
        <v>51</v>
      </c>
      <c r="S70" s="179">
        <f>VLOOKUP($C70,$C$2:AG$14,S$16,FALSE)</f>
        <v>53.01</v>
      </c>
      <c r="T70" s="179">
        <f>VLOOKUP($C70,$C$2:AH$14,T$16,FALSE)</f>
        <v>53.15</v>
      </c>
      <c r="U70" s="179">
        <f>VLOOKUP($C70,$C$2:AI$14,U$16,FALSE)</f>
        <v>55.33</v>
      </c>
      <c r="V70" s="177" t="s">
        <v>603</v>
      </c>
      <c r="W70" s="174">
        <f>SUMIF(_12MonLights_TariffRateCategory,W$33&amp;$V70,_12MonLights_Count)+SUMIF(_12MonLights_TariffRateCategory,W$33&amp;$V70,_12MonLights_Count_Adj)</f>
        <v>0</v>
      </c>
      <c r="X70" s="174">
        <f>SUMIF(_12MonLights_TariffRateCategory,X$33&amp;$V70,_12MonLights_Count)+SUMIF(_12MonLights_TariffRateCategory,X$33&amp;$V70,_12MonLights_Count_Adj)</f>
        <v>0</v>
      </c>
      <c r="Y70" s="174">
        <f t="shared" ref="Y70:Y75" si="36">SUMIF(_12MonLights_TariffRateCategory,Y$33&amp;$V$70,_12MonLights_Count)-SUMIF(_12MonLights_TariffRateCategory,Y$33&amp;$V$70,_12MonLights_Count_Adj)</f>
        <v>0</v>
      </c>
      <c r="AA70" s="178">
        <f t="shared" si="26"/>
        <v>0</v>
      </c>
      <c r="AB70" s="178">
        <f>ROUND(X70*Q70,2)</f>
        <v>0</v>
      </c>
      <c r="AC70" s="178">
        <f t="shared" si="27"/>
        <v>0</v>
      </c>
      <c r="AD70" s="178">
        <f>SUM(AA70:AC75)</f>
        <v>0</v>
      </c>
      <c r="AE70" s="178"/>
    </row>
    <row r="71" spans="2:31">
      <c r="B71" s="174">
        <v>2</v>
      </c>
      <c r="C71" s="174" t="str">
        <f t="shared" si="30"/>
        <v>Twin Crossarm Bracket (incl.extra fixture)</v>
      </c>
      <c r="F71" s="179">
        <f>VLOOKUP($C71,$C$2:R$14,F$16,FALSE)</f>
        <v>16.52</v>
      </c>
      <c r="G71" s="179">
        <f>VLOOKUP($C71,$C$2:V$14,G$16,FALSE)</f>
        <v>16.96</v>
      </c>
      <c r="H71" s="179">
        <f>VLOOKUP($C71,$C$2:W$14,H$16,FALSE)</f>
        <v>18.12</v>
      </c>
      <c r="I71" s="179">
        <f>VLOOKUP($C71,$C$2:X$14,I$16,FALSE)</f>
        <v>18.12</v>
      </c>
      <c r="J71" s="179">
        <f>VLOOKUP($C71,$C$2:Y$14,J$16,FALSE)</f>
        <v>18.12</v>
      </c>
      <c r="K71" s="179">
        <f>VLOOKUP($C71,$C$2:Z$14,K$16,FALSE)</f>
        <v>18.12</v>
      </c>
      <c r="L71" s="179">
        <f>VLOOKUP($C71,$C$2:AA$14,L$16,FALSE)</f>
        <v>18.12</v>
      </c>
      <c r="M71" s="179">
        <f>VLOOKUP($C71,$C$2:AB$14,M$16,FALSE)</f>
        <v>17.96</v>
      </c>
      <c r="N71" s="179">
        <f>VLOOKUP($C71,$C$2:AC$14,N$16,FALSE)</f>
        <v>17.96</v>
      </c>
      <c r="O71" s="179">
        <f>VLOOKUP($C71,$C$2:AD$14,O$16,FALSE)</f>
        <v>17.96</v>
      </c>
      <c r="P71" s="179">
        <f>VLOOKUP($C71,$C$2:AE$14,P$16,FALSE)</f>
        <v>19.79</v>
      </c>
      <c r="Q71" s="179">
        <f>VLOOKUP($C71,$C$2:AF$14,Q$16,FALSE)</f>
        <v>19.79</v>
      </c>
      <c r="R71" s="179">
        <f>VLOOKUP($C71,$C$2:AG$14,R$16,FALSE)</f>
        <v>19.79</v>
      </c>
      <c r="S71" s="179">
        <f>VLOOKUP($C71,$C$2:AG$14,S$16,FALSE)</f>
        <v>20.57</v>
      </c>
      <c r="T71" s="179">
        <f>VLOOKUP($C71,$C$2:AH$14,T$16,FALSE)</f>
        <v>20.57</v>
      </c>
      <c r="U71" s="179">
        <f>VLOOKUP($C71,$C$2:AI$14,U$16,FALSE)</f>
        <v>20.57</v>
      </c>
      <c r="W71" s="174">
        <f t="shared" ref="W71:X75" si="37">W70</f>
        <v>0</v>
      </c>
      <c r="X71" s="174">
        <f t="shared" si="37"/>
        <v>0</v>
      </c>
      <c r="Y71" s="174">
        <f t="shared" si="36"/>
        <v>0</v>
      </c>
      <c r="AA71" s="178">
        <f t="shared" si="26"/>
        <v>0</v>
      </c>
      <c r="AB71" s="178">
        <f t="shared" si="29"/>
        <v>0</v>
      </c>
      <c r="AC71" s="178">
        <f t="shared" si="27"/>
        <v>0</v>
      </c>
      <c r="AD71" s="178"/>
      <c r="AE71" s="178"/>
    </row>
    <row r="72" spans="2:31">
      <c r="B72" s="174">
        <v>5</v>
      </c>
      <c r="C72" s="174" t="str">
        <f t="shared" si="30"/>
        <v>18" Banner Arm (each)</v>
      </c>
      <c r="F72" s="179">
        <f>VLOOKUP($C72,$C$2:R$14,F$16,FALSE)</f>
        <v>2.37</v>
      </c>
      <c r="G72" s="179">
        <f>VLOOKUP($C72,$C$2:V$14,G$16,FALSE)</f>
        <v>2.4300000000000002</v>
      </c>
      <c r="H72" s="179">
        <f>VLOOKUP($C72,$C$2:W$14,H$16,FALSE)</f>
        <v>2.6</v>
      </c>
      <c r="I72" s="179">
        <f>VLOOKUP($C72,$C$2:X$14,I$16,FALSE)</f>
        <v>2.6</v>
      </c>
      <c r="J72" s="179">
        <f>VLOOKUP($C72,$C$2:Y$14,J$16,FALSE)</f>
        <v>2.6</v>
      </c>
      <c r="K72" s="179">
        <f>VLOOKUP($C72,$C$2:Z$14,K$16,FALSE)</f>
        <v>2.6</v>
      </c>
      <c r="L72" s="179">
        <f>VLOOKUP($C72,$C$2:AA$14,L$16,FALSE)</f>
        <v>2.6</v>
      </c>
      <c r="M72" s="179">
        <f>VLOOKUP($C72,$C$2:AB$14,M$16,FALSE)</f>
        <v>2.58</v>
      </c>
      <c r="N72" s="179">
        <f>VLOOKUP($C72,$C$2:AC$14,N$16,FALSE)</f>
        <v>2.58</v>
      </c>
      <c r="O72" s="179">
        <f>VLOOKUP($C72,$C$2:AD$14,O$16,FALSE)</f>
        <v>2.58</v>
      </c>
      <c r="P72" s="179">
        <f>VLOOKUP($C72,$C$2:AE$14,P$16,FALSE)</f>
        <v>2.84</v>
      </c>
      <c r="Q72" s="179">
        <f>VLOOKUP($C72,$C$2:AF$14,Q$16,FALSE)</f>
        <v>2.84</v>
      </c>
      <c r="R72" s="179">
        <f>VLOOKUP($C72,$C$2:AG$14,R$16,FALSE)</f>
        <v>2.84</v>
      </c>
      <c r="S72" s="179">
        <f>VLOOKUP($C72,$C$2:AG$14,S$16,FALSE)</f>
        <v>2.95</v>
      </c>
      <c r="T72" s="179">
        <f>VLOOKUP($C72,$C$2:AH$14,T$16,FALSE)</f>
        <v>2.95</v>
      </c>
      <c r="U72" s="179">
        <f>VLOOKUP($C72,$C$2:AI$14,U$16,FALSE)</f>
        <v>2.95</v>
      </c>
      <c r="W72" s="174">
        <f t="shared" si="37"/>
        <v>0</v>
      </c>
      <c r="X72" s="174">
        <f t="shared" si="37"/>
        <v>0</v>
      </c>
      <c r="Y72" s="174">
        <f t="shared" si="36"/>
        <v>0</v>
      </c>
      <c r="AA72" s="178">
        <f t="shared" si="26"/>
        <v>0</v>
      </c>
      <c r="AB72" s="178">
        <f t="shared" si="29"/>
        <v>0</v>
      </c>
      <c r="AC72" s="178">
        <f t="shared" si="27"/>
        <v>0</v>
      </c>
      <c r="AD72" s="178"/>
      <c r="AE72" s="178"/>
    </row>
    <row r="73" spans="2:31">
      <c r="B73" s="174">
        <v>5</v>
      </c>
      <c r="C73" s="174" t="str">
        <f t="shared" si="30"/>
        <v>18" Banner Arm (each)</v>
      </c>
      <c r="F73" s="179">
        <f>VLOOKUP($C73,$C$2:R$14,F$16,FALSE)</f>
        <v>2.37</v>
      </c>
      <c r="G73" s="179">
        <f>VLOOKUP($C73,$C$2:V$14,G$16,FALSE)</f>
        <v>2.4300000000000002</v>
      </c>
      <c r="H73" s="179">
        <f>VLOOKUP($C73,$C$2:W$14,H$16,FALSE)</f>
        <v>2.6</v>
      </c>
      <c r="I73" s="179">
        <f>VLOOKUP($C73,$C$2:X$14,I$16,FALSE)</f>
        <v>2.6</v>
      </c>
      <c r="J73" s="179">
        <f>VLOOKUP($C73,$C$2:Y$14,J$16,FALSE)</f>
        <v>2.6</v>
      </c>
      <c r="K73" s="179">
        <f>VLOOKUP($C73,$C$2:Z$14,K$16,FALSE)</f>
        <v>2.6</v>
      </c>
      <c r="L73" s="179">
        <f>VLOOKUP($C73,$C$2:AA$14,L$16,FALSE)</f>
        <v>2.6</v>
      </c>
      <c r="M73" s="179">
        <f>VLOOKUP($C73,$C$2:AB$14,M$16,FALSE)</f>
        <v>2.58</v>
      </c>
      <c r="N73" s="179">
        <f>VLOOKUP($C73,$C$2:AC$14,N$16,FALSE)</f>
        <v>2.58</v>
      </c>
      <c r="O73" s="179">
        <f>VLOOKUP($C73,$C$2:AD$14,O$16,FALSE)</f>
        <v>2.58</v>
      </c>
      <c r="P73" s="179">
        <f>VLOOKUP($C73,$C$2:AE$14,P$16,FALSE)</f>
        <v>2.84</v>
      </c>
      <c r="Q73" s="179">
        <f>VLOOKUP($C73,$C$2:AF$14,Q$16,FALSE)</f>
        <v>2.84</v>
      </c>
      <c r="R73" s="179">
        <f>VLOOKUP($C73,$C$2:AG$14,R$16,FALSE)</f>
        <v>2.84</v>
      </c>
      <c r="S73" s="179">
        <f>VLOOKUP($C73,$C$2:AG$14,S$16,FALSE)</f>
        <v>2.95</v>
      </c>
      <c r="T73" s="179">
        <f>VLOOKUP($C73,$C$2:AH$14,T$16,FALSE)</f>
        <v>2.95</v>
      </c>
      <c r="U73" s="179">
        <f>VLOOKUP($C73,$C$2:AI$14,U$16,FALSE)</f>
        <v>2.95</v>
      </c>
      <c r="W73" s="174">
        <f t="shared" si="37"/>
        <v>0</v>
      </c>
      <c r="X73" s="174">
        <f t="shared" si="37"/>
        <v>0</v>
      </c>
      <c r="Y73" s="174">
        <f t="shared" si="36"/>
        <v>0</v>
      </c>
      <c r="AA73" s="178">
        <f t="shared" si="26"/>
        <v>0</v>
      </c>
      <c r="AB73" s="178">
        <f t="shared" si="29"/>
        <v>0</v>
      </c>
      <c r="AC73" s="178">
        <f t="shared" si="27"/>
        <v>0</v>
      </c>
      <c r="AD73" s="178"/>
      <c r="AE73" s="178"/>
    </row>
    <row r="74" spans="2:31">
      <c r="B74" s="174">
        <v>6</v>
      </c>
      <c r="C74" s="174" t="str">
        <f t="shared" si="30"/>
        <v>Flagpole Holder</v>
      </c>
      <c r="F74" s="179">
        <f>VLOOKUP($C74,$C$2:R$14,F$16,FALSE)</f>
        <v>1.0900000000000001</v>
      </c>
      <c r="G74" s="179">
        <f>VLOOKUP($C74,$C$2:V$14,G$16,FALSE)</f>
        <v>1.1200000000000001</v>
      </c>
      <c r="H74" s="179">
        <f>VLOOKUP($C74,$C$2:W$14,H$16,FALSE)</f>
        <v>1.2</v>
      </c>
      <c r="I74" s="179">
        <f>VLOOKUP($C74,$C$2:X$14,I$16,FALSE)</f>
        <v>1.2</v>
      </c>
      <c r="J74" s="179">
        <f>VLOOKUP($C74,$C$2:Y$14,J$16,FALSE)</f>
        <v>1.2</v>
      </c>
      <c r="K74" s="179">
        <f>VLOOKUP($C74,$C$2:Z$14,K$16,FALSE)</f>
        <v>1.2</v>
      </c>
      <c r="L74" s="179">
        <f>VLOOKUP($C74,$C$2:AA$14,L$16,FALSE)</f>
        <v>1.2</v>
      </c>
      <c r="M74" s="179">
        <f>VLOOKUP($C74,$C$2:AB$14,M$16,FALSE)</f>
        <v>1.19</v>
      </c>
      <c r="N74" s="179">
        <f>VLOOKUP($C74,$C$2:AC$14,N$16,FALSE)</f>
        <v>1.19</v>
      </c>
      <c r="O74" s="179">
        <f>VLOOKUP($C74,$C$2:AD$14,O$16,FALSE)</f>
        <v>1.19</v>
      </c>
      <c r="P74" s="179">
        <f>VLOOKUP($C74,$C$2:AE$14,P$16,FALSE)</f>
        <v>1.31</v>
      </c>
      <c r="Q74" s="179">
        <f>VLOOKUP($C74,$C$2:AF$14,Q$16,FALSE)</f>
        <v>1.31</v>
      </c>
      <c r="R74" s="179">
        <f>VLOOKUP($C74,$C$2:AG$14,R$16,FALSE)</f>
        <v>1.31</v>
      </c>
      <c r="S74" s="179">
        <f>VLOOKUP($C74,$C$2:AG$14,S$16,FALSE)</f>
        <v>1.36</v>
      </c>
      <c r="T74" s="179">
        <f>VLOOKUP($C74,$C$2:AH$14,T$16,FALSE)</f>
        <v>1.36</v>
      </c>
      <c r="U74" s="179">
        <f>VLOOKUP($C74,$C$2:AI$14,U$16,FALSE)</f>
        <v>1.36</v>
      </c>
      <c r="W74" s="174">
        <f t="shared" si="37"/>
        <v>0</v>
      </c>
      <c r="X74" s="174">
        <f t="shared" si="37"/>
        <v>0</v>
      </c>
      <c r="Y74" s="174">
        <f t="shared" si="36"/>
        <v>0</v>
      </c>
      <c r="AA74" s="178">
        <f t="shared" si="26"/>
        <v>0</v>
      </c>
      <c r="AB74" s="178">
        <f t="shared" si="29"/>
        <v>0</v>
      </c>
      <c r="AC74" s="178">
        <f t="shared" si="27"/>
        <v>0</v>
      </c>
      <c r="AD74" s="178"/>
      <c r="AE74" s="178"/>
    </row>
    <row r="75" spans="2:31">
      <c r="B75" s="174">
        <v>8</v>
      </c>
      <c r="C75" s="174" t="str">
        <f t="shared" si="30"/>
        <v>Post-Mounted Receptacle</v>
      </c>
      <c r="F75" s="179">
        <f>VLOOKUP($C75,$C$2:R$14,F$16,FALSE)</f>
        <v>15.41</v>
      </c>
      <c r="G75" s="179">
        <f>VLOOKUP($C75,$C$2:V$14,G$16,FALSE)</f>
        <v>15.82</v>
      </c>
      <c r="H75" s="179">
        <f>VLOOKUP($C75,$C$2:W$14,H$16,FALSE)</f>
        <v>16.899999999999999</v>
      </c>
      <c r="I75" s="179">
        <f>VLOOKUP($C75,$C$2:X$14,I$16,FALSE)</f>
        <v>16.899999999999999</v>
      </c>
      <c r="J75" s="179">
        <f>VLOOKUP($C75,$C$2:Y$14,J$16,FALSE)</f>
        <v>16.899999999999999</v>
      </c>
      <c r="K75" s="179">
        <f>VLOOKUP($C75,$C$2:Z$14,K$16,FALSE)</f>
        <v>16.899999999999999</v>
      </c>
      <c r="L75" s="179">
        <f>VLOOKUP($C75,$C$2:AA$14,L$16,FALSE)</f>
        <v>16.899999999999999</v>
      </c>
      <c r="M75" s="179">
        <f>VLOOKUP($C75,$C$2:AB$14,M$16,FALSE)</f>
        <v>16.75</v>
      </c>
      <c r="N75" s="179">
        <f>VLOOKUP($C75,$C$2:AC$14,N$16,FALSE)</f>
        <v>16.75</v>
      </c>
      <c r="O75" s="179">
        <f>VLOOKUP($C75,$C$2:AD$14,O$16,FALSE)</f>
        <v>16.75</v>
      </c>
      <c r="P75" s="179">
        <f>VLOOKUP($C75,$C$2:AE$14,P$16,FALSE)</f>
        <v>18.46</v>
      </c>
      <c r="Q75" s="179">
        <f>VLOOKUP($C75,$C$2:AF$14,Q$16,FALSE)</f>
        <v>18.46</v>
      </c>
      <c r="R75" s="179">
        <f>VLOOKUP($C75,$C$2:AG$14,R$16,FALSE)</f>
        <v>18.46</v>
      </c>
      <c r="S75" s="179">
        <f>VLOOKUP($C75,$C$2:AG$14,S$16,FALSE)</f>
        <v>19.190000000000001</v>
      </c>
      <c r="T75" s="179">
        <f>VLOOKUP($C75,$C$2:AH$14,T$16,FALSE)</f>
        <v>19.190000000000001</v>
      </c>
      <c r="U75" s="179">
        <f>VLOOKUP($C75,$C$2:AI$14,U$16,FALSE)</f>
        <v>19.190000000000001</v>
      </c>
      <c r="W75" s="174">
        <f t="shared" si="37"/>
        <v>0</v>
      </c>
      <c r="X75" s="174">
        <f t="shared" si="37"/>
        <v>0</v>
      </c>
      <c r="Y75" s="174">
        <f t="shared" si="36"/>
        <v>0</v>
      </c>
      <c r="AA75" s="178">
        <f t="shared" si="26"/>
        <v>0</v>
      </c>
      <c r="AB75" s="178">
        <f t="shared" si="29"/>
        <v>0</v>
      </c>
      <c r="AC75" s="178">
        <f t="shared" si="27"/>
        <v>0</v>
      </c>
      <c r="AD75" s="178"/>
      <c r="AE75" s="178"/>
    </row>
    <row r="76" spans="2:31">
      <c r="B76" s="174">
        <v>0</v>
      </c>
      <c r="C76" s="174" t="str">
        <f>$C$2</f>
        <v>Pole &amp; Fixture SL</v>
      </c>
      <c r="F76" s="179">
        <f>VLOOKUP($C76,$C$2:R$14,F$16,FALSE)</f>
        <v>34.9</v>
      </c>
      <c r="G76" s="179">
        <f>VLOOKUP($C76,$C$2:V$14,G$16,FALSE)</f>
        <v>35.840000000000003</v>
      </c>
      <c r="H76" s="179">
        <f>VLOOKUP($C76,$C$2:W$14,H$16,FALSE)</f>
        <v>38.28</v>
      </c>
      <c r="I76" s="179">
        <f>VLOOKUP($C76,$C$2:X$14,I$16,FALSE)</f>
        <v>38.44</v>
      </c>
      <c r="J76" s="179">
        <f>VLOOKUP($C76,$C$2:Y$14,J$16,FALSE)</f>
        <v>39.520000000000003</v>
      </c>
      <c r="K76" s="179">
        <f>VLOOKUP($C76,$C$2:Z$14,K$16,FALSE)</f>
        <v>39.909999999999997</v>
      </c>
      <c r="L76" s="179">
        <f>VLOOKUP($C76,$C$2:AA$14,L$16,FALSE)</f>
        <v>40.81</v>
      </c>
      <c r="M76" s="179">
        <f>VLOOKUP($C76,$C$2:AB$14,M$16,FALSE)</f>
        <v>40.19</v>
      </c>
      <c r="N76" s="179">
        <f>VLOOKUP($C76,$C$2:AC$14,N$16,FALSE)</f>
        <v>40.270000000000003</v>
      </c>
      <c r="O76" s="179">
        <f>VLOOKUP($C76,$C$2:AD$14,O$16,FALSE)</f>
        <v>44.78</v>
      </c>
      <c r="P76" s="179">
        <f>VLOOKUP($C76,$C$2:AE$14,P$16,FALSE)</f>
        <v>49.34</v>
      </c>
      <c r="Q76" s="179">
        <f>VLOOKUP($C76,$C$2:AF$14,Q$16,FALSE)</f>
        <v>49.29</v>
      </c>
      <c r="R76" s="179">
        <f>VLOOKUP($C76,$C$2:AG$14,R$16,FALSE)</f>
        <v>51</v>
      </c>
      <c r="S76" s="179">
        <f>VLOOKUP($C76,$C$2:AG$14,S$16,FALSE)</f>
        <v>53.01</v>
      </c>
      <c r="T76" s="179">
        <f>VLOOKUP($C76,$C$2:AH$14,T$16,FALSE)</f>
        <v>53.15</v>
      </c>
      <c r="U76" s="179">
        <f>VLOOKUP($C76,$C$2:AI$14,U$16,FALSE)</f>
        <v>55.33</v>
      </c>
      <c r="V76" s="177" t="s">
        <v>334</v>
      </c>
      <c r="W76" s="174">
        <f>SUMIF(_12MonLights_TariffRateCategory,W$33&amp;$V76,_12MonLights_Count)+SUMIF(_12MonLights_TariffRateCategory,W$33&amp;$V76,_12MonLights_Count_Adj)</f>
        <v>0</v>
      </c>
      <c r="X76" s="174">
        <f>SUMIF(_12MonLights_TariffRateCategory,X$33&amp;$V76,_12MonLights_Count)+SUMIF(_12MonLights_TariffRateCategory,X$33&amp;$V76,_12MonLights_Count_Adj)</f>
        <v>0</v>
      </c>
      <c r="Y76" s="174">
        <f>SUMIF(_12MonLights_TariffRateCategory,Y$33&amp;$V$76,_12MonLights_Count)-SUMIF(_12MonLights_TariffRateCategory,Y$33&amp;$V$76,_12MonLights_Count_Adj)</f>
        <v>12</v>
      </c>
      <c r="AA76" s="178">
        <f t="shared" si="26"/>
        <v>0</v>
      </c>
      <c r="AB76" s="178">
        <f>ROUND(X76*Q76,2)</f>
        <v>0</v>
      </c>
      <c r="AC76" s="178">
        <f t="shared" si="27"/>
        <v>663.96</v>
      </c>
      <c r="AD76" s="284">
        <f>SUM(AA76:AC80)</f>
        <v>987.6</v>
      </c>
      <c r="AE76" s="178"/>
    </row>
    <row r="77" spans="2:31">
      <c r="B77" s="174">
        <v>3</v>
      </c>
      <c r="C77" s="174" t="str">
        <f t="shared" si="30"/>
        <v>24" Banner Arm (each)</v>
      </c>
      <c r="F77" s="179">
        <f>VLOOKUP($C77,$C$2:R$14,F$16,FALSE)</f>
        <v>2.57</v>
      </c>
      <c r="G77" s="179">
        <f>VLOOKUP($C77,$C$2:V$14,G$16,FALSE)</f>
        <v>2.64</v>
      </c>
      <c r="H77" s="179">
        <f>VLOOKUP($C77,$C$2:W$14,H$16,FALSE)</f>
        <v>2.82</v>
      </c>
      <c r="I77" s="179">
        <f>VLOOKUP($C77,$C$2:X$14,I$16,FALSE)</f>
        <v>2.82</v>
      </c>
      <c r="J77" s="179">
        <f>VLOOKUP($C77,$C$2:Y$14,J$16,FALSE)</f>
        <v>2.82</v>
      </c>
      <c r="K77" s="179">
        <f>VLOOKUP($C77,$C$2:Z$14,K$16,FALSE)</f>
        <v>2.82</v>
      </c>
      <c r="L77" s="179">
        <f>VLOOKUP($C77,$C$2:AA$14,L$16,FALSE)</f>
        <v>2.82</v>
      </c>
      <c r="M77" s="179">
        <f>VLOOKUP($C77,$C$2:AB$14,M$16,FALSE)</f>
        <v>2.8</v>
      </c>
      <c r="N77" s="179">
        <f>VLOOKUP($C77,$C$2:AC$14,N$16,FALSE)</f>
        <v>2.8</v>
      </c>
      <c r="O77" s="179">
        <f>VLOOKUP($C77,$C$2:AD$14,O$16,FALSE)</f>
        <v>2.8</v>
      </c>
      <c r="P77" s="179">
        <f>VLOOKUP($C77,$C$2:AE$14,P$16,FALSE)</f>
        <v>3.09</v>
      </c>
      <c r="Q77" s="179">
        <f>VLOOKUP($C77,$C$2:AF$14,Q$16,FALSE)</f>
        <v>3.09</v>
      </c>
      <c r="R77" s="179">
        <f>VLOOKUP($C77,$C$2:AG$14,R$16,FALSE)</f>
        <v>3.09</v>
      </c>
      <c r="S77" s="179">
        <f>VLOOKUP($C77,$C$2:AG$14,S$16,FALSE)</f>
        <v>3.21</v>
      </c>
      <c r="T77" s="179">
        <f>VLOOKUP($C77,$C$2:AH$14,T$16,FALSE)</f>
        <v>3.21</v>
      </c>
      <c r="U77" s="179">
        <f>VLOOKUP($C77,$C$2:AI$14,U$16,FALSE)</f>
        <v>3.21</v>
      </c>
      <c r="W77" s="174">
        <f t="shared" ref="W77:X80" si="38">W76</f>
        <v>0</v>
      </c>
      <c r="X77" s="174">
        <f t="shared" si="38"/>
        <v>0</v>
      </c>
      <c r="Y77" s="174">
        <f>SUMIF(_12MonLights_TariffRateCategory,Y$33&amp;$V$76,_12MonLights_Count)-SUMIF(_12MonLights_TariffRateCategory,Y$33&amp;$V$76,_12MonLights_Count_Adj)</f>
        <v>12</v>
      </c>
      <c r="AA77" s="178">
        <f t="shared" si="26"/>
        <v>0</v>
      </c>
      <c r="AB77" s="178">
        <f t="shared" si="29"/>
        <v>0</v>
      </c>
      <c r="AC77" s="178">
        <f t="shared" si="27"/>
        <v>38.520000000000003</v>
      </c>
      <c r="AD77" s="178"/>
      <c r="AE77" s="178"/>
    </row>
    <row r="78" spans="2:31">
      <c r="B78" s="174">
        <v>3</v>
      </c>
      <c r="C78" s="174" t="str">
        <f t="shared" si="30"/>
        <v>24" Banner Arm (each)</v>
      </c>
      <c r="F78" s="179">
        <f>VLOOKUP($C78,$C$2:R$14,F$16,FALSE)</f>
        <v>2.57</v>
      </c>
      <c r="G78" s="179">
        <f>VLOOKUP($C78,$C$2:V$14,G$16,FALSE)</f>
        <v>2.64</v>
      </c>
      <c r="H78" s="179">
        <f>VLOOKUP($C78,$C$2:W$14,H$16,FALSE)</f>
        <v>2.82</v>
      </c>
      <c r="I78" s="179">
        <f>VLOOKUP($C78,$C$2:X$14,I$16,FALSE)</f>
        <v>2.82</v>
      </c>
      <c r="J78" s="179">
        <f>VLOOKUP($C78,$C$2:Y$14,J$16,FALSE)</f>
        <v>2.82</v>
      </c>
      <c r="K78" s="179">
        <f>VLOOKUP($C78,$C$2:Z$14,K$16,FALSE)</f>
        <v>2.82</v>
      </c>
      <c r="L78" s="179">
        <f>VLOOKUP($C78,$C$2:AA$14,L$16,FALSE)</f>
        <v>2.82</v>
      </c>
      <c r="M78" s="179">
        <f>VLOOKUP($C78,$C$2:AB$14,M$16,FALSE)</f>
        <v>2.8</v>
      </c>
      <c r="N78" s="179">
        <f>VLOOKUP($C78,$C$2:AC$14,N$16,FALSE)</f>
        <v>2.8</v>
      </c>
      <c r="O78" s="179">
        <f>VLOOKUP($C78,$C$2:AD$14,O$16,FALSE)</f>
        <v>2.8</v>
      </c>
      <c r="P78" s="179">
        <f>VLOOKUP($C78,$C$2:AE$14,P$16,FALSE)</f>
        <v>3.09</v>
      </c>
      <c r="Q78" s="179">
        <f>VLOOKUP($C78,$C$2:AF$14,Q$16,FALSE)</f>
        <v>3.09</v>
      </c>
      <c r="R78" s="179">
        <f>VLOOKUP($C78,$C$2:AG$14,R$16,FALSE)</f>
        <v>3.09</v>
      </c>
      <c r="S78" s="179">
        <f>VLOOKUP($C78,$C$2:AG$14,S$16,FALSE)</f>
        <v>3.21</v>
      </c>
      <c r="T78" s="179">
        <f>VLOOKUP($C78,$C$2:AH$14,T$16,FALSE)</f>
        <v>3.21</v>
      </c>
      <c r="U78" s="179">
        <f>VLOOKUP($C78,$C$2:AI$14,U$16,FALSE)</f>
        <v>3.21</v>
      </c>
      <c r="W78" s="174">
        <f t="shared" si="38"/>
        <v>0</v>
      </c>
      <c r="X78" s="174">
        <f t="shared" si="38"/>
        <v>0</v>
      </c>
      <c r="Y78" s="174">
        <f>SUMIF(_12MonLights_TariffRateCategory,Y$33&amp;$V$76,_12MonLights_Count)-SUMIF(_12MonLights_TariffRateCategory,Y$33&amp;$V$76,_12MonLights_Count_Adj)</f>
        <v>12</v>
      </c>
      <c r="AA78" s="178">
        <f t="shared" si="26"/>
        <v>0</v>
      </c>
      <c r="AB78" s="178">
        <f t="shared" si="29"/>
        <v>0</v>
      </c>
      <c r="AC78" s="178">
        <f t="shared" si="27"/>
        <v>38.520000000000003</v>
      </c>
      <c r="AD78" s="178"/>
      <c r="AE78" s="178"/>
    </row>
    <row r="79" spans="2:31">
      <c r="B79" s="174">
        <v>6</v>
      </c>
      <c r="C79" s="174" t="str">
        <f t="shared" si="30"/>
        <v>Flagpole Holder</v>
      </c>
      <c r="F79" s="179">
        <f>VLOOKUP($C79,$C$2:R$14,F$16,FALSE)</f>
        <v>1.0900000000000001</v>
      </c>
      <c r="G79" s="179">
        <f>VLOOKUP($C79,$C$2:V$14,G$16,FALSE)</f>
        <v>1.1200000000000001</v>
      </c>
      <c r="H79" s="179">
        <f>VLOOKUP($C79,$C$2:W$14,H$16,FALSE)</f>
        <v>1.2</v>
      </c>
      <c r="I79" s="179">
        <f>VLOOKUP($C79,$C$2:X$14,I$16,FALSE)</f>
        <v>1.2</v>
      </c>
      <c r="J79" s="179">
        <f>VLOOKUP($C79,$C$2:Y$14,J$16,FALSE)</f>
        <v>1.2</v>
      </c>
      <c r="K79" s="179">
        <f>VLOOKUP($C79,$C$2:Z$14,K$16,FALSE)</f>
        <v>1.2</v>
      </c>
      <c r="L79" s="179">
        <f>VLOOKUP($C79,$C$2:AA$14,L$16,FALSE)</f>
        <v>1.2</v>
      </c>
      <c r="M79" s="179">
        <f>VLOOKUP($C79,$C$2:AB$14,M$16,FALSE)</f>
        <v>1.19</v>
      </c>
      <c r="N79" s="179">
        <f>VLOOKUP($C79,$C$2:AC$14,N$16,FALSE)</f>
        <v>1.19</v>
      </c>
      <c r="O79" s="179">
        <f>VLOOKUP($C79,$C$2:AD$14,O$16,FALSE)</f>
        <v>1.19</v>
      </c>
      <c r="P79" s="179">
        <f>VLOOKUP($C79,$C$2:AE$14,P$16,FALSE)</f>
        <v>1.31</v>
      </c>
      <c r="Q79" s="179">
        <f>VLOOKUP($C79,$C$2:AF$14,Q$16,FALSE)</f>
        <v>1.31</v>
      </c>
      <c r="R79" s="179">
        <f>VLOOKUP($C79,$C$2:AG$14,R$16,FALSE)</f>
        <v>1.31</v>
      </c>
      <c r="S79" s="179">
        <f>VLOOKUP($C79,$C$2:AG$14,S$16,FALSE)</f>
        <v>1.36</v>
      </c>
      <c r="T79" s="179">
        <f>VLOOKUP($C79,$C$2:AH$14,T$16,FALSE)</f>
        <v>1.36</v>
      </c>
      <c r="U79" s="179">
        <f>VLOOKUP($C79,$C$2:AI$14,U$16,FALSE)</f>
        <v>1.36</v>
      </c>
      <c r="W79" s="174">
        <f t="shared" si="38"/>
        <v>0</v>
      </c>
      <c r="X79" s="174">
        <f t="shared" si="38"/>
        <v>0</v>
      </c>
      <c r="Y79" s="174">
        <f>SUMIF(_12MonLights_TariffRateCategory,Y$33&amp;$V$76,_12MonLights_Count)-SUMIF(_12MonLights_TariffRateCategory,Y$33&amp;$V$76,_12MonLights_Count_Adj)</f>
        <v>12</v>
      </c>
      <c r="AA79" s="178">
        <f t="shared" si="26"/>
        <v>0</v>
      </c>
      <c r="AB79" s="178">
        <f t="shared" si="29"/>
        <v>0</v>
      </c>
      <c r="AC79" s="178">
        <f t="shared" si="27"/>
        <v>16.32</v>
      </c>
      <c r="AD79" s="178"/>
      <c r="AE79" s="178"/>
    </row>
    <row r="80" spans="2:31">
      <c r="B80" s="174">
        <v>8</v>
      </c>
      <c r="C80" s="174" t="str">
        <f t="shared" si="30"/>
        <v>Post-Mounted Receptacle</v>
      </c>
      <c r="F80" s="179">
        <f>VLOOKUP($C80,$C$2:R$14,F$16,FALSE)</f>
        <v>15.41</v>
      </c>
      <c r="G80" s="179">
        <f>VLOOKUP($C80,$C$2:V$14,G$16,FALSE)</f>
        <v>15.82</v>
      </c>
      <c r="H80" s="179">
        <f>VLOOKUP($C80,$C$2:W$14,H$16,FALSE)</f>
        <v>16.899999999999999</v>
      </c>
      <c r="I80" s="179">
        <f>VLOOKUP($C80,$C$2:X$14,I$16,FALSE)</f>
        <v>16.899999999999999</v>
      </c>
      <c r="J80" s="179">
        <f>VLOOKUP($C80,$C$2:Y$14,J$16,FALSE)</f>
        <v>16.899999999999999</v>
      </c>
      <c r="K80" s="179">
        <f>VLOOKUP($C80,$C$2:Z$14,K$16,FALSE)</f>
        <v>16.899999999999999</v>
      </c>
      <c r="L80" s="179">
        <f>VLOOKUP($C80,$C$2:AA$14,L$16,FALSE)</f>
        <v>16.899999999999999</v>
      </c>
      <c r="M80" s="179">
        <f>VLOOKUP($C80,$C$2:AB$14,M$16,FALSE)</f>
        <v>16.75</v>
      </c>
      <c r="N80" s="179">
        <f>VLOOKUP($C80,$C$2:AC$14,N$16,FALSE)</f>
        <v>16.75</v>
      </c>
      <c r="O80" s="179">
        <f>VLOOKUP($C80,$C$2:AD$14,O$16,FALSE)</f>
        <v>16.75</v>
      </c>
      <c r="P80" s="179">
        <f>VLOOKUP($C80,$C$2:AE$14,P$16,FALSE)</f>
        <v>18.46</v>
      </c>
      <c r="Q80" s="179">
        <f>VLOOKUP($C80,$C$2:AF$14,Q$16,FALSE)</f>
        <v>18.46</v>
      </c>
      <c r="R80" s="179">
        <f>VLOOKUP($C80,$C$2:AG$14,R$16,FALSE)</f>
        <v>18.46</v>
      </c>
      <c r="S80" s="179">
        <f>VLOOKUP($C80,$C$2:AG$14,S$16,FALSE)</f>
        <v>19.190000000000001</v>
      </c>
      <c r="T80" s="179">
        <f>VLOOKUP($C80,$C$2:AH$14,T$16,FALSE)</f>
        <v>19.190000000000001</v>
      </c>
      <c r="U80" s="179">
        <f>VLOOKUP($C80,$C$2:AI$14,U$16,FALSE)</f>
        <v>19.190000000000001</v>
      </c>
      <c r="W80" s="174">
        <f t="shared" si="38"/>
        <v>0</v>
      </c>
      <c r="X80" s="174">
        <f t="shared" si="38"/>
        <v>0</v>
      </c>
      <c r="Y80" s="174">
        <f>SUMIF(_12MonLights_TariffRateCategory,Y$33&amp;$V$76,_12MonLights_Count)-SUMIF(_12MonLights_TariffRateCategory,Y$33&amp;$V$76,_12MonLights_Count_Adj)</f>
        <v>12</v>
      </c>
      <c r="AA80" s="178">
        <f t="shared" si="26"/>
        <v>0</v>
      </c>
      <c r="AB80" s="178">
        <f t="shared" si="29"/>
        <v>0</v>
      </c>
      <c r="AC80" s="178">
        <f t="shared" si="27"/>
        <v>230.28</v>
      </c>
      <c r="AD80" s="178"/>
      <c r="AE80" s="178"/>
    </row>
    <row r="81" spans="2:31">
      <c r="B81" s="174">
        <v>0</v>
      </c>
      <c r="C81" s="174" t="str">
        <f>$C$2</f>
        <v>Pole &amp; Fixture SL</v>
      </c>
      <c r="F81" s="179">
        <f>VLOOKUP($C81,$C$2:R$14,F$16,FALSE)</f>
        <v>34.9</v>
      </c>
      <c r="G81" s="179">
        <f>VLOOKUP($C81,$C$2:V$14,G$16,FALSE)</f>
        <v>35.840000000000003</v>
      </c>
      <c r="H81" s="179">
        <f>VLOOKUP($C81,$C$2:W$14,H$16,FALSE)</f>
        <v>38.28</v>
      </c>
      <c r="I81" s="179">
        <f>VLOOKUP($C81,$C$2:X$14,I$16,FALSE)</f>
        <v>38.44</v>
      </c>
      <c r="J81" s="179">
        <f>VLOOKUP($C81,$C$2:Y$14,J$16,FALSE)</f>
        <v>39.520000000000003</v>
      </c>
      <c r="K81" s="179">
        <f>VLOOKUP($C81,$C$2:Z$14,K$16,FALSE)</f>
        <v>39.909999999999997</v>
      </c>
      <c r="L81" s="179">
        <f>VLOOKUP($C81,$C$2:AA$14,L$16,FALSE)</f>
        <v>40.81</v>
      </c>
      <c r="M81" s="179">
        <f>VLOOKUP($C81,$C$2:AB$14,M$16,FALSE)</f>
        <v>40.19</v>
      </c>
      <c r="N81" s="179">
        <f>VLOOKUP($C81,$C$2:AC$14,N$16,FALSE)</f>
        <v>40.270000000000003</v>
      </c>
      <c r="O81" s="179">
        <f>VLOOKUP($C81,$C$2:AD$14,O$16,FALSE)</f>
        <v>44.78</v>
      </c>
      <c r="P81" s="179">
        <f>VLOOKUP($C81,$C$2:AE$14,P$16,FALSE)</f>
        <v>49.34</v>
      </c>
      <c r="Q81" s="179">
        <f>VLOOKUP($C81,$C$2:AF$14,Q$16,FALSE)</f>
        <v>49.29</v>
      </c>
      <c r="R81" s="179">
        <f>VLOOKUP($C81,$C$2:AG$14,R$16,FALSE)</f>
        <v>51</v>
      </c>
      <c r="S81" s="179">
        <f>VLOOKUP($C81,$C$2:AG$14,S$16,FALSE)</f>
        <v>53.01</v>
      </c>
      <c r="T81" s="179">
        <f>VLOOKUP($C81,$C$2:AH$14,T$16,FALSE)</f>
        <v>53.15</v>
      </c>
      <c r="U81" s="179">
        <f>VLOOKUP($C81,$C$2:AI$14,U$16,FALSE)</f>
        <v>55.33</v>
      </c>
      <c r="V81" s="177" t="s">
        <v>326</v>
      </c>
      <c r="W81" s="174">
        <f>SUMIF(_12MonLights_TariffRateCategory,W$33&amp;$V81,_12MonLights_Count)+SUMIF(_12MonLights_TariffRateCategory,W$33&amp;$V81,_12MonLights_Count_Adj)</f>
        <v>0</v>
      </c>
      <c r="X81" s="174">
        <f>SUMIF(_12MonLights_TariffRateCategory,X$33&amp;$V81,_12MonLights_Count)+SUMIF(_12MonLights_TariffRateCategory,X$33&amp;$V81,_12MonLights_Count_Adj)</f>
        <v>0</v>
      </c>
      <c r="Y81" s="174">
        <f>SUMIF(_12MonLights_TariffRateCategory,Y$33&amp;$V$81,_12MonLights_Count)-SUMIF(_12MonLights_TariffRateCategory,Y$33&amp;$V$81,_12MonLights_Count_Adj)</f>
        <v>235</v>
      </c>
      <c r="AA81" s="178">
        <f t="shared" si="26"/>
        <v>0</v>
      </c>
      <c r="AB81" s="178">
        <f>ROUND(X81*Q81,2)</f>
        <v>0</v>
      </c>
      <c r="AC81" s="178">
        <f t="shared" si="27"/>
        <v>13002.55</v>
      </c>
      <c r="AD81" s="284">
        <f>SUM(AA81:AC82)</f>
        <v>17512.199999999997</v>
      </c>
      <c r="AE81" s="178"/>
    </row>
    <row r="82" spans="2:31">
      <c r="B82" s="174">
        <v>8</v>
      </c>
      <c r="C82" s="174" t="str">
        <f t="shared" si="30"/>
        <v>Post-Mounted Receptacle</v>
      </c>
      <c r="F82" s="179">
        <f>VLOOKUP($C82,$C$2:R$14,F$16,FALSE)</f>
        <v>15.41</v>
      </c>
      <c r="G82" s="179">
        <f>VLOOKUP($C82,$C$2:V$14,G$16,FALSE)</f>
        <v>15.82</v>
      </c>
      <c r="H82" s="179">
        <f>VLOOKUP($C82,$C$2:W$14,H$16,FALSE)</f>
        <v>16.899999999999999</v>
      </c>
      <c r="I82" s="179">
        <f>VLOOKUP($C82,$C$2:X$14,I$16,FALSE)</f>
        <v>16.899999999999999</v>
      </c>
      <c r="J82" s="179">
        <f>VLOOKUP($C82,$C$2:Y$14,J$16,FALSE)</f>
        <v>16.899999999999999</v>
      </c>
      <c r="K82" s="179">
        <f>VLOOKUP($C82,$C$2:Z$14,K$16,FALSE)</f>
        <v>16.899999999999999</v>
      </c>
      <c r="L82" s="179">
        <f>VLOOKUP($C82,$C$2:AA$14,L$16,FALSE)</f>
        <v>16.899999999999999</v>
      </c>
      <c r="M82" s="179">
        <f>VLOOKUP($C82,$C$2:AB$14,M$16,FALSE)</f>
        <v>16.75</v>
      </c>
      <c r="N82" s="179">
        <f>VLOOKUP($C82,$C$2:AC$14,N$16,FALSE)</f>
        <v>16.75</v>
      </c>
      <c r="O82" s="179">
        <f>VLOOKUP($C82,$C$2:AD$14,O$16,FALSE)</f>
        <v>16.75</v>
      </c>
      <c r="P82" s="179">
        <f>VLOOKUP($C82,$C$2:AE$14,P$16,FALSE)</f>
        <v>18.46</v>
      </c>
      <c r="Q82" s="179">
        <f>VLOOKUP($C82,$C$2:AF$14,Q$16,FALSE)</f>
        <v>18.46</v>
      </c>
      <c r="R82" s="179">
        <f>VLOOKUP($C82,$C$2:AG$14,R$16,FALSE)</f>
        <v>18.46</v>
      </c>
      <c r="S82" s="179">
        <f>VLOOKUP($C82,$C$2:AG$14,S$16,FALSE)</f>
        <v>19.190000000000001</v>
      </c>
      <c r="T82" s="179">
        <f>VLOOKUP($C82,$C$2:AH$14,T$16,FALSE)</f>
        <v>19.190000000000001</v>
      </c>
      <c r="U82" s="179">
        <f>VLOOKUP($C82,$C$2:AI$14,U$16,FALSE)</f>
        <v>19.190000000000001</v>
      </c>
      <c r="V82" s="177"/>
      <c r="W82" s="174">
        <f>W81</f>
        <v>0</v>
      </c>
      <c r="X82" s="174">
        <f>X81</f>
        <v>0</v>
      </c>
      <c r="Y82" s="174">
        <f>SUMIF(_12MonLights_TariffRateCategory,Y$33&amp;$V$81,_12MonLights_Count)-SUMIF(_12MonLights_TariffRateCategory,Y$33&amp;$V$81,_12MonLights_Count_Adj)</f>
        <v>235</v>
      </c>
      <c r="AA82" s="178">
        <f t="shared" si="26"/>
        <v>0</v>
      </c>
      <c r="AB82" s="178">
        <f t="shared" si="29"/>
        <v>0</v>
      </c>
      <c r="AC82" s="178">
        <f t="shared" si="27"/>
        <v>4509.6499999999996</v>
      </c>
      <c r="AD82" s="178"/>
      <c r="AE82" s="178"/>
    </row>
    <row r="83" spans="2:31">
      <c r="B83" s="174">
        <v>0</v>
      </c>
      <c r="C83" s="174" t="str">
        <f>$C$2</f>
        <v>Pole &amp; Fixture SL</v>
      </c>
      <c r="F83" s="179">
        <f>VLOOKUP($C83,$C$2:R$14,F$16,FALSE)</f>
        <v>34.9</v>
      </c>
      <c r="G83" s="179">
        <f>VLOOKUP($C83,$C$2:V$14,G$16,FALSE)</f>
        <v>35.840000000000003</v>
      </c>
      <c r="H83" s="179">
        <f>VLOOKUP($C83,$C$2:W$14,H$16,FALSE)</f>
        <v>38.28</v>
      </c>
      <c r="I83" s="179">
        <f>VLOOKUP($C83,$C$2:X$14,I$16,FALSE)</f>
        <v>38.44</v>
      </c>
      <c r="J83" s="179">
        <f>VLOOKUP($C83,$C$2:Y$14,J$16,FALSE)</f>
        <v>39.520000000000003</v>
      </c>
      <c r="K83" s="179">
        <f>VLOOKUP($C83,$C$2:Z$14,K$16,FALSE)</f>
        <v>39.909999999999997</v>
      </c>
      <c r="L83" s="179">
        <f>VLOOKUP($C83,$C$2:AA$14,L$16,FALSE)</f>
        <v>40.81</v>
      </c>
      <c r="M83" s="179">
        <f>VLOOKUP($C83,$C$2:AB$14,M$16,FALSE)</f>
        <v>40.19</v>
      </c>
      <c r="N83" s="179">
        <f>VLOOKUP($C83,$C$2:AC$14,N$16,FALSE)</f>
        <v>40.270000000000003</v>
      </c>
      <c r="O83" s="179">
        <f>VLOOKUP($C83,$C$2:AD$14,O$16,FALSE)</f>
        <v>44.78</v>
      </c>
      <c r="P83" s="179">
        <f>VLOOKUP($C83,$C$2:AE$14,P$16,FALSE)</f>
        <v>49.34</v>
      </c>
      <c r="Q83" s="179">
        <f>VLOOKUP($C83,$C$2:AF$14,Q$16,FALSE)</f>
        <v>49.29</v>
      </c>
      <c r="R83" s="179">
        <f>VLOOKUP($C83,$C$2:AG$14,R$16,FALSE)</f>
        <v>51</v>
      </c>
      <c r="S83" s="179">
        <f>VLOOKUP($C83,$C$2:AG$14,S$16,FALSE)</f>
        <v>53.01</v>
      </c>
      <c r="T83" s="179">
        <f>VLOOKUP($C83,$C$2:AH$14,T$16,FALSE)</f>
        <v>53.15</v>
      </c>
      <c r="U83" s="179">
        <f>VLOOKUP($C83,$C$2:AI$14,U$16,FALSE)</f>
        <v>55.33</v>
      </c>
      <c r="V83" s="177" t="s">
        <v>330</v>
      </c>
      <c r="W83" s="174">
        <f>SUMIF(_12MonLights_TariffRateCategory,W$33&amp;$V83,_12MonLights_Count)+SUMIF(_12MonLights_TariffRateCategory,W$33&amp;$V83,_12MonLights_Count_Adj)</f>
        <v>0</v>
      </c>
      <c r="X83" s="174">
        <f>SUMIF(_12MonLights_TariffRateCategory,X$33&amp;$V83,_12MonLights_Count)+SUMIF(_12MonLights_TariffRateCategory,X$33&amp;$V83,_12MonLights_Count_Adj)</f>
        <v>0</v>
      </c>
      <c r="Y83" s="174">
        <f>SUMIF(_12MonLights_TariffRateCategory,Y$33&amp;$V$83,_12MonLights_Count)-SUMIF(_12MonLights_TariffRateCategory,Y$33&amp;$V$83,_12MonLights_Count_Adj)</f>
        <v>48</v>
      </c>
      <c r="AA83" s="178">
        <f t="shared" si="26"/>
        <v>0</v>
      </c>
      <c r="AB83" s="178">
        <f>ROUND(X83*Q83,2)</f>
        <v>0</v>
      </c>
      <c r="AC83" s="178">
        <f t="shared" si="27"/>
        <v>2655.84</v>
      </c>
      <c r="AD83" s="284">
        <f>SUM(AA83:AC85)</f>
        <v>3642.2400000000002</v>
      </c>
      <c r="AE83" s="178"/>
    </row>
    <row r="84" spans="2:31">
      <c r="B84" s="174">
        <v>6</v>
      </c>
      <c r="C84" s="174" t="str">
        <f t="shared" si="30"/>
        <v>Flagpole Holder</v>
      </c>
      <c r="F84" s="179">
        <f>VLOOKUP($C84,$C$2:R$14,F$16,FALSE)</f>
        <v>1.0900000000000001</v>
      </c>
      <c r="G84" s="179">
        <f>VLOOKUP($C84,$C$2:V$14,G$16,FALSE)</f>
        <v>1.1200000000000001</v>
      </c>
      <c r="H84" s="179">
        <f>VLOOKUP($C84,$C$2:W$14,H$16,FALSE)</f>
        <v>1.2</v>
      </c>
      <c r="I84" s="179">
        <f>VLOOKUP($C84,$C$2:X$14,I$16,FALSE)</f>
        <v>1.2</v>
      </c>
      <c r="J84" s="179">
        <f>VLOOKUP($C84,$C$2:Y$14,J$16,FALSE)</f>
        <v>1.2</v>
      </c>
      <c r="K84" s="179">
        <f>VLOOKUP($C84,$C$2:Z$14,K$16,FALSE)</f>
        <v>1.2</v>
      </c>
      <c r="L84" s="179">
        <f>VLOOKUP($C84,$C$2:AA$14,L$16,FALSE)</f>
        <v>1.2</v>
      </c>
      <c r="M84" s="179">
        <f>VLOOKUP($C84,$C$2:AB$14,M$16,FALSE)</f>
        <v>1.19</v>
      </c>
      <c r="N84" s="179">
        <f>VLOOKUP($C84,$C$2:AC$14,N$16,FALSE)</f>
        <v>1.19</v>
      </c>
      <c r="O84" s="179">
        <f>VLOOKUP($C84,$C$2:AD$14,O$16,FALSE)</f>
        <v>1.19</v>
      </c>
      <c r="P84" s="179">
        <f>VLOOKUP($C84,$C$2:AE$14,P$16,FALSE)</f>
        <v>1.31</v>
      </c>
      <c r="Q84" s="179">
        <f>VLOOKUP($C84,$C$2:AF$14,Q$16,FALSE)</f>
        <v>1.31</v>
      </c>
      <c r="R84" s="179">
        <f>VLOOKUP($C84,$C$2:AG$14,R$16,FALSE)</f>
        <v>1.31</v>
      </c>
      <c r="S84" s="179">
        <f>VLOOKUP($C84,$C$2:AG$14,S$16,FALSE)</f>
        <v>1.36</v>
      </c>
      <c r="T84" s="179">
        <f>VLOOKUP($C84,$C$2:AH$14,T$16,FALSE)</f>
        <v>1.36</v>
      </c>
      <c r="U84" s="179">
        <f>VLOOKUP($C84,$C$2:AI$14,U$16,FALSE)</f>
        <v>1.36</v>
      </c>
      <c r="V84" s="177"/>
      <c r="W84" s="174">
        <f t="shared" ref="W84:X85" si="39">W83</f>
        <v>0</v>
      </c>
      <c r="X84" s="174">
        <f t="shared" si="39"/>
        <v>0</v>
      </c>
      <c r="Y84" s="174">
        <f>SUMIF(_12MonLights_TariffRateCategory,Y$33&amp;$V$83,_12MonLights_Count)-SUMIF(_12MonLights_TariffRateCategory,Y$33&amp;$V$83,_12MonLights_Count_Adj)</f>
        <v>48</v>
      </c>
      <c r="AA84" s="178">
        <f t="shared" si="26"/>
        <v>0</v>
      </c>
      <c r="AB84" s="178">
        <f t="shared" si="29"/>
        <v>0</v>
      </c>
      <c r="AC84" s="178">
        <f t="shared" si="27"/>
        <v>65.28</v>
      </c>
      <c r="AD84" s="178"/>
      <c r="AE84" s="178"/>
    </row>
    <row r="85" spans="2:31">
      <c r="B85" s="174">
        <v>8</v>
      </c>
      <c r="C85" s="174" t="str">
        <f t="shared" si="30"/>
        <v>Post-Mounted Receptacle</v>
      </c>
      <c r="F85" s="179">
        <f>VLOOKUP($C85,$C$2:R$14,F$16,FALSE)</f>
        <v>15.41</v>
      </c>
      <c r="G85" s="179">
        <f>VLOOKUP($C85,$C$2:V$14,G$16,FALSE)</f>
        <v>15.82</v>
      </c>
      <c r="H85" s="179">
        <f>VLOOKUP($C85,$C$2:W$14,H$16,FALSE)</f>
        <v>16.899999999999999</v>
      </c>
      <c r="I85" s="179">
        <f>VLOOKUP($C85,$C$2:X$14,I$16,FALSE)</f>
        <v>16.899999999999999</v>
      </c>
      <c r="J85" s="179">
        <f>VLOOKUP($C85,$C$2:Y$14,J$16,FALSE)</f>
        <v>16.899999999999999</v>
      </c>
      <c r="K85" s="179">
        <f>VLOOKUP($C85,$C$2:Z$14,K$16,FALSE)</f>
        <v>16.899999999999999</v>
      </c>
      <c r="L85" s="179">
        <f>VLOOKUP($C85,$C$2:AA$14,L$16,FALSE)</f>
        <v>16.899999999999999</v>
      </c>
      <c r="M85" s="179">
        <f>VLOOKUP($C85,$C$2:AB$14,M$16,FALSE)</f>
        <v>16.75</v>
      </c>
      <c r="N85" s="179">
        <f>VLOOKUP($C85,$C$2:AC$14,N$16,FALSE)</f>
        <v>16.75</v>
      </c>
      <c r="O85" s="179">
        <f>VLOOKUP($C85,$C$2:AD$14,O$16,FALSE)</f>
        <v>16.75</v>
      </c>
      <c r="P85" s="179">
        <f>VLOOKUP($C85,$C$2:AE$14,P$16,FALSE)</f>
        <v>18.46</v>
      </c>
      <c r="Q85" s="179">
        <f>VLOOKUP($C85,$C$2:AF$14,Q$16,FALSE)</f>
        <v>18.46</v>
      </c>
      <c r="R85" s="179">
        <f>VLOOKUP($C85,$C$2:AG$14,R$16,FALSE)</f>
        <v>18.46</v>
      </c>
      <c r="S85" s="179">
        <f>VLOOKUP($C85,$C$2:AG$14,S$16,FALSE)</f>
        <v>19.190000000000001</v>
      </c>
      <c r="T85" s="179">
        <f>VLOOKUP($C85,$C$2:AH$14,T$16,FALSE)</f>
        <v>19.190000000000001</v>
      </c>
      <c r="U85" s="179">
        <f>VLOOKUP($C85,$C$2:AI$14,U$16,FALSE)</f>
        <v>19.190000000000001</v>
      </c>
      <c r="V85" s="177"/>
      <c r="W85" s="174">
        <f t="shared" si="39"/>
        <v>0</v>
      </c>
      <c r="X85" s="174">
        <f t="shared" si="39"/>
        <v>0</v>
      </c>
      <c r="Y85" s="174">
        <f>SUMIF(_12MonLights_TariffRateCategory,Y$33&amp;$V$83,_12MonLights_Count)-SUMIF(_12MonLights_TariffRateCategory,Y$33&amp;$V$83,_12MonLights_Count_Adj)</f>
        <v>48</v>
      </c>
      <c r="AA85" s="178">
        <f t="shared" si="26"/>
        <v>0</v>
      </c>
      <c r="AB85" s="178">
        <f t="shared" si="29"/>
        <v>0</v>
      </c>
      <c r="AC85" s="178">
        <f t="shared" si="27"/>
        <v>921.12</v>
      </c>
      <c r="AD85" s="178"/>
      <c r="AE85" s="178"/>
    </row>
    <row r="86" spans="2:31">
      <c r="B86" s="174">
        <v>0</v>
      </c>
      <c r="C86" s="174" t="str">
        <f>$C$2</f>
        <v>Pole &amp; Fixture SL</v>
      </c>
      <c r="F86" s="179">
        <f>VLOOKUP($C86,$C$2:R$14,F$16,FALSE)</f>
        <v>34.9</v>
      </c>
      <c r="G86" s="179">
        <f>VLOOKUP($C86,$C$2:V$14,G$16,FALSE)</f>
        <v>35.840000000000003</v>
      </c>
      <c r="H86" s="179">
        <f>VLOOKUP($C86,$C$2:W$14,H$16,FALSE)</f>
        <v>38.28</v>
      </c>
      <c r="I86" s="179">
        <f>VLOOKUP($C86,$C$2:X$14,I$16,FALSE)</f>
        <v>38.44</v>
      </c>
      <c r="J86" s="179">
        <f>VLOOKUP($C86,$C$2:Y$14,J$16,FALSE)</f>
        <v>39.520000000000003</v>
      </c>
      <c r="K86" s="179">
        <f>VLOOKUP($C86,$C$2:Z$14,K$16,FALSE)</f>
        <v>39.909999999999997</v>
      </c>
      <c r="L86" s="179">
        <f>VLOOKUP($C86,$C$2:AA$14,L$16,FALSE)</f>
        <v>40.81</v>
      </c>
      <c r="M86" s="179">
        <f>VLOOKUP($C86,$C$2:AB$14,M$16,FALSE)</f>
        <v>40.19</v>
      </c>
      <c r="N86" s="179">
        <f>VLOOKUP($C86,$C$2:AC$14,N$16,FALSE)</f>
        <v>40.270000000000003</v>
      </c>
      <c r="O86" s="179">
        <f>VLOOKUP($C86,$C$2:AD$14,O$16,FALSE)</f>
        <v>44.78</v>
      </c>
      <c r="P86" s="179">
        <f>VLOOKUP($C86,$C$2:AE$14,P$16,FALSE)</f>
        <v>49.34</v>
      </c>
      <c r="Q86" s="179">
        <f>VLOOKUP($C86,$C$2:AF$14,Q$16,FALSE)</f>
        <v>49.29</v>
      </c>
      <c r="R86" s="179">
        <f>VLOOKUP($C86,$C$2:AG$14,R$16,FALSE)</f>
        <v>51</v>
      </c>
      <c r="S86" s="179">
        <f>VLOOKUP($C86,$C$2:AG$14,S$16,FALSE)</f>
        <v>53.01</v>
      </c>
      <c r="T86" s="179">
        <f>VLOOKUP($C86,$C$2:AH$14,T$16,FALSE)</f>
        <v>53.15</v>
      </c>
      <c r="U86" s="179">
        <f>VLOOKUP($C86,$C$2:AI$14,U$16,FALSE)</f>
        <v>55.33</v>
      </c>
      <c r="V86" s="177" t="s">
        <v>337</v>
      </c>
      <c r="W86" s="174">
        <f>SUMIF(_12MonLights_TariffRateCategory,W$33&amp;$V86,_12MonLights_Count)+SUMIF(_12MonLights_TariffRateCategory,W$33&amp;$V86,_12MonLights_Count_Adj)</f>
        <v>0</v>
      </c>
      <c r="X86" s="174">
        <f>SUMIF(_12MonLights_TariffRateCategory,X$33&amp;$V86,_12MonLights_Count)+SUMIF(_12MonLights_TariffRateCategory,X$33&amp;$V86,_12MonLights_Count_Adj)</f>
        <v>0</v>
      </c>
      <c r="Y86" s="174">
        <f>SUMIF(_12MonLights_TariffRateCategory,Y$33&amp;$V$86,_12MonLights_Count)-SUMIF(_12MonLights_TariffRateCategory,Y$33&amp;$V$86,_12MonLights_Count_Adj)</f>
        <v>36</v>
      </c>
      <c r="AA86" s="178">
        <f t="shared" si="26"/>
        <v>0</v>
      </c>
      <c r="AB86" s="178">
        <f>ROUND(X86*Q86,2)</f>
        <v>0</v>
      </c>
      <c r="AC86" s="178">
        <f t="shared" si="27"/>
        <v>1991.88</v>
      </c>
      <c r="AD86" s="178">
        <f>SUM(AA86:AC88)</f>
        <v>2842.92</v>
      </c>
      <c r="AE86" s="178"/>
    </row>
    <row r="87" spans="2:31">
      <c r="B87" s="174">
        <v>8</v>
      </c>
      <c r="C87" s="174" t="str">
        <f t="shared" si="30"/>
        <v>Post-Mounted Receptacle</v>
      </c>
      <c r="F87" s="179">
        <f>VLOOKUP($C87,$C$2:R$14,F$16,FALSE)</f>
        <v>15.41</v>
      </c>
      <c r="G87" s="179">
        <f>VLOOKUP($C87,$C$2:V$14,G$16,FALSE)</f>
        <v>15.82</v>
      </c>
      <c r="H87" s="179">
        <f>VLOOKUP($C87,$C$2:W$14,H$16,FALSE)</f>
        <v>16.899999999999999</v>
      </c>
      <c r="I87" s="179">
        <f>VLOOKUP($C87,$C$2:X$14,I$16,FALSE)</f>
        <v>16.899999999999999</v>
      </c>
      <c r="J87" s="179">
        <f>VLOOKUP($C87,$C$2:Y$14,J$16,FALSE)</f>
        <v>16.899999999999999</v>
      </c>
      <c r="K87" s="179">
        <f>VLOOKUP($C87,$C$2:Z$14,K$16,FALSE)</f>
        <v>16.899999999999999</v>
      </c>
      <c r="L87" s="179">
        <f>VLOOKUP($C87,$C$2:AA$14,L$16,FALSE)</f>
        <v>16.899999999999999</v>
      </c>
      <c r="M87" s="179">
        <f>VLOOKUP($C87,$C$2:AB$14,M$16,FALSE)</f>
        <v>16.75</v>
      </c>
      <c r="N87" s="179">
        <f>VLOOKUP($C87,$C$2:AC$14,N$16,FALSE)</f>
        <v>16.75</v>
      </c>
      <c r="O87" s="179">
        <f>VLOOKUP($C87,$C$2:AD$14,O$16,FALSE)</f>
        <v>16.75</v>
      </c>
      <c r="P87" s="179">
        <f>VLOOKUP($C87,$C$2:AE$14,P$16,FALSE)</f>
        <v>18.46</v>
      </c>
      <c r="Q87" s="179">
        <f>VLOOKUP($C87,$C$2:AF$14,Q$16,FALSE)</f>
        <v>18.46</v>
      </c>
      <c r="R87" s="179">
        <f>VLOOKUP($C87,$C$2:AG$14,R$16,FALSE)</f>
        <v>18.46</v>
      </c>
      <c r="S87" s="179">
        <f>VLOOKUP($C87,$C$2:AG$14,S$16,FALSE)</f>
        <v>19.190000000000001</v>
      </c>
      <c r="T87" s="179">
        <f>VLOOKUP($C87,$C$2:AH$14,T$16,FALSE)</f>
        <v>19.190000000000001</v>
      </c>
      <c r="U87" s="179">
        <f>VLOOKUP($C87,$C$2:AI$14,U$16,FALSE)</f>
        <v>19.190000000000001</v>
      </c>
      <c r="V87" s="177"/>
      <c r="W87" s="174">
        <f t="shared" ref="W87:X88" si="40">W86</f>
        <v>0</v>
      </c>
      <c r="X87" s="174">
        <f t="shared" si="40"/>
        <v>0</v>
      </c>
      <c r="Y87" s="174">
        <f>SUMIF(_12MonLights_TariffRateCategory,Y$33&amp;$V$86,_12MonLights_Count)-SUMIF(_12MonLights_TariffRateCategory,Y$33&amp;$V$86,_12MonLights_Count_Adj)</f>
        <v>36</v>
      </c>
      <c r="AA87" s="178">
        <f t="shared" si="26"/>
        <v>0</v>
      </c>
      <c r="AB87" s="178">
        <f t="shared" si="29"/>
        <v>0</v>
      </c>
      <c r="AC87" s="178">
        <f t="shared" si="27"/>
        <v>690.84</v>
      </c>
      <c r="AD87" s="178"/>
      <c r="AE87" s="178"/>
    </row>
    <row r="88" spans="2:31">
      <c r="B88" s="174">
        <v>11</v>
      </c>
      <c r="C88" s="174" t="str">
        <f t="shared" si="30"/>
        <v>Planter</v>
      </c>
      <c r="F88" s="179">
        <f>VLOOKUP($C88,$C$2:R$14,F$16,FALSE)</f>
        <v>3.56</v>
      </c>
      <c r="G88" s="179">
        <f>VLOOKUP($C88,$C$2:V$14,G$16,FALSE)</f>
        <v>3.66</v>
      </c>
      <c r="H88" s="179">
        <f>VLOOKUP($C88,$C$2:W$14,H$16,FALSE)</f>
        <v>3.91</v>
      </c>
      <c r="I88" s="179">
        <f>VLOOKUP($C88,$C$2:X$14,I$16,FALSE)</f>
        <v>3.91</v>
      </c>
      <c r="J88" s="179">
        <f>VLOOKUP($C88,$C$2:Y$14,J$16,FALSE)</f>
        <v>3.91</v>
      </c>
      <c r="K88" s="179">
        <f>VLOOKUP($C88,$C$2:Z$14,K$16,FALSE)</f>
        <v>3.91</v>
      </c>
      <c r="L88" s="179">
        <f>VLOOKUP($C88,$C$2:AA$14,L$16,FALSE)</f>
        <v>3.91</v>
      </c>
      <c r="M88" s="179">
        <f>VLOOKUP($C88,$C$2:AB$14,M$16,FALSE)</f>
        <v>3.88</v>
      </c>
      <c r="N88" s="179">
        <f>VLOOKUP($C88,$C$2:AC$14,N$16,FALSE)</f>
        <v>3.88</v>
      </c>
      <c r="O88" s="179">
        <f>VLOOKUP($C88,$C$2:AD$14,O$16,FALSE)</f>
        <v>3.88</v>
      </c>
      <c r="P88" s="179">
        <f>VLOOKUP($C88,$C$2:AE$14,P$16,FALSE)</f>
        <v>4.28</v>
      </c>
      <c r="Q88" s="179">
        <f>VLOOKUP($C88,$C$2:AF$14,Q$16,FALSE)</f>
        <v>4.28</v>
      </c>
      <c r="R88" s="179">
        <f>VLOOKUP($C88,$C$2:AG$14,R$16,FALSE)</f>
        <v>4.28</v>
      </c>
      <c r="S88" s="179">
        <f>VLOOKUP($C88,$C$2:AG$14,S$16,FALSE)</f>
        <v>4.45</v>
      </c>
      <c r="T88" s="179">
        <f>VLOOKUP($C88,$C$2:AH$14,T$16,FALSE)</f>
        <v>4.45</v>
      </c>
      <c r="U88" s="179">
        <f>VLOOKUP($C88,$C$2:AI$14,U$16,FALSE)</f>
        <v>4.45</v>
      </c>
      <c r="V88" s="177"/>
      <c r="W88" s="174">
        <f t="shared" si="40"/>
        <v>0</v>
      </c>
      <c r="X88" s="174">
        <f t="shared" si="40"/>
        <v>0</v>
      </c>
      <c r="Y88" s="174">
        <f>SUMIF(_12MonLights_TariffRateCategory,Y$33&amp;$V$86,_12MonLights_Count)-SUMIF(_12MonLights_TariffRateCategory,Y$33&amp;$V$86,_12MonLights_Count_Adj)</f>
        <v>36</v>
      </c>
      <c r="AA88" s="178">
        <f t="shared" si="26"/>
        <v>0</v>
      </c>
      <c r="AB88" s="178">
        <f t="shared" si="29"/>
        <v>0</v>
      </c>
      <c r="AC88" s="178">
        <f t="shared" si="27"/>
        <v>160.19999999999999</v>
      </c>
      <c r="AD88" s="178"/>
      <c r="AE88" s="178"/>
    </row>
    <row r="89" spans="2:31">
      <c r="B89" s="174">
        <v>0</v>
      </c>
      <c r="C89" s="174" t="str">
        <f>$C$2</f>
        <v>Pole &amp; Fixture SL</v>
      </c>
      <c r="F89" s="179">
        <f>VLOOKUP($C89,$C$2:R$14,F$16,FALSE)</f>
        <v>34.9</v>
      </c>
      <c r="G89" s="179">
        <f>VLOOKUP($C89,$C$2:V$14,G$16,FALSE)</f>
        <v>35.840000000000003</v>
      </c>
      <c r="H89" s="179">
        <f>VLOOKUP($C89,$C$2:W$14,H$16,FALSE)</f>
        <v>38.28</v>
      </c>
      <c r="I89" s="179">
        <f>VLOOKUP($C89,$C$2:X$14,I$16,FALSE)</f>
        <v>38.44</v>
      </c>
      <c r="J89" s="179">
        <f>VLOOKUP($C89,$C$2:Y$14,J$16,FALSE)</f>
        <v>39.520000000000003</v>
      </c>
      <c r="K89" s="179">
        <f>VLOOKUP($C89,$C$2:Z$14,K$16,FALSE)</f>
        <v>39.909999999999997</v>
      </c>
      <c r="L89" s="179">
        <f>VLOOKUP($C89,$C$2:AA$14,L$16,FALSE)</f>
        <v>40.81</v>
      </c>
      <c r="M89" s="179">
        <f>VLOOKUP($C89,$C$2:AB$14,M$16,FALSE)</f>
        <v>40.19</v>
      </c>
      <c r="N89" s="179">
        <f>VLOOKUP($C89,$C$2:AC$14,N$16,FALSE)</f>
        <v>40.270000000000003</v>
      </c>
      <c r="O89" s="179">
        <f>VLOOKUP($C89,$C$2:AD$14,O$16,FALSE)</f>
        <v>44.78</v>
      </c>
      <c r="P89" s="179">
        <f>VLOOKUP($C89,$C$2:AE$14,P$16,FALSE)</f>
        <v>49.34</v>
      </c>
      <c r="Q89" s="179">
        <f>VLOOKUP($C89,$C$2:AF$14,Q$16,FALSE)</f>
        <v>49.29</v>
      </c>
      <c r="R89" s="179">
        <f>VLOOKUP($C89,$C$2:AG$14,R$16,FALSE)</f>
        <v>51</v>
      </c>
      <c r="S89" s="179">
        <f>VLOOKUP($C89,$C$2:AG$14,S$16,FALSE)</f>
        <v>53.01</v>
      </c>
      <c r="T89" s="179">
        <f>VLOOKUP($C89,$C$2:AH$14,T$16,FALSE)</f>
        <v>53.15</v>
      </c>
      <c r="U89" s="179">
        <f>VLOOKUP($C89,$C$2:AI$14,U$16,FALSE)</f>
        <v>55.33</v>
      </c>
      <c r="V89" s="177" t="s">
        <v>329</v>
      </c>
      <c r="W89" s="174">
        <f>SUMIF(_12MonLights_TariffRateCategory,W$33&amp;$V89,_12MonLights_Count)+SUMIF(_12MonLights_TariffRateCategory,W$33&amp;$V89,_12MonLights_Count_Adj)</f>
        <v>0</v>
      </c>
      <c r="X89" s="174">
        <f>SUMIF(_12MonLights_TariffRateCategory,X$33&amp;$V89,_12MonLights_Count)+SUMIF(_12MonLights_TariffRateCategory,X$33&amp;$V89,_12MonLights_Count_Adj)</f>
        <v>0</v>
      </c>
      <c r="Y89" s="174">
        <f>SUMIF(_12MonLights_TariffRateCategory,Y$33&amp;$V$89,_12MonLights_Count)-SUMIF(_12MonLights_TariffRateCategory,Y$33&amp;$V$89,_12MonLights_Count_Adj)</f>
        <v>24</v>
      </c>
      <c r="AA89" s="178">
        <f t="shared" si="26"/>
        <v>0</v>
      </c>
      <c r="AB89" s="178">
        <f>ROUND(X89*Q89,2)</f>
        <v>0</v>
      </c>
      <c r="AC89" s="178">
        <f t="shared" si="27"/>
        <v>1327.92</v>
      </c>
      <c r="AD89" s="178">
        <f>SUM(AA89:AC91)</f>
        <v>1854.2400000000002</v>
      </c>
      <c r="AE89" s="178"/>
    </row>
    <row r="90" spans="2:31">
      <c r="B90" s="174">
        <v>2</v>
      </c>
      <c r="C90" s="174" t="str">
        <f t="shared" si="30"/>
        <v>Twin Crossarm Bracket (incl.extra fixture)</v>
      </c>
      <c r="F90" s="179">
        <f>VLOOKUP($C90,$C$2:R$14,F$16,FALSE)</f>
        <v>16.52</v>
      </c>
      <c r="G90" s="179">
        <f>VLOOKUP($C90,$C$2:V$14,G$16,FALSE)</f>
        <v>16.96</v>
      </c>
      <c r="H90" s="179">
        <f>VLOOKUP($C90,$C$2:W$14,H$16,FALSE)</f>
        <v>18.12</v>
      </c>
      <c r="I90" s="179">
        <f>VLOOKUP($C90,$C$2:X$14,I$16,FALSE)</f>
        <v>18.12</v>
      </c>
      <c r="J90" s="179">
        <f>VLOOKUP($C90,$C$2:Y$14,J$16,FALSE)</f>
        <v>18.12</v>
      </c>
      <c r="K90" s="179">
        <f>VLOOKUP($C90,$C$2:Z$14,K$16,FALSE)</f>
        <v>18.12</v>
      </c>
      <c r="L90" s="179">
        <f>VLOOKUP($C90,$C$2:AA$14,L$16,FALSE)</f>
        <v>18.12</v>
      </c>
      <c r="M90" s="179">
        <f>VLOOKUP($C90,$C$2:AB$14,M$16,FALSE)</f>
        <v>17.96</v>
      </c>
      <c r="N90" s="179">
        <f>VLOOKUP($C90,$C$2:AC$14,N$16,FALSE)</f>
        <v>17.96</v>
      </c>
      <c r="O90" s="179">
        <f>VLOOKUP($C90,$C$2:AD$14,O$16,FALSE)</f>
        <v>17.96</v>
      </c>
      <c r="P90" s="179">
        <f>VLOOKUP($C90,$C$2:AE$14,P$16,FALSE)</f>
        <v>19.79</v>
      </c>
      <c r="Q90" s="179">
        <f>VLOOKUP($C90,$C$2:AF$14,Q$16,FALSE)</f>
        <v>19.79</v>
      </c>
      <c r="R90" s="179">
        <f>VLOOKUP($C90,$C$2:AG$14,R$16,FALSE)</f>
        <v>19.79</v>
      </c>
      <c r="S90" s="179">
        <f>VLOOKUP($C90,$C$2:AG$14,S$16,FALSE)</f>
        <v>20.57</v>
      </c>
      <c r="T90" s="179">
        <f>VLOOKUP($C90,$C$2:AH$14,T$16,FALSE)</f>
        <v>20.57</v>
      </c>
      <c r="U90" s="179">
        <f>VLOOKUP($C90,$C$2:AI$14,U$16,FALSE)</f>
        <v>20.57</v>
      </c>
      <c r="V90" s="177"/>
      <c r="W90" s="174">
        <f t="shared" ref="W90:X91" si="41">W89</f>
        <v>0</v>
      </c>
      <c r="X90" s="174">
        <f t="shared" si="41"/>
        <v>0</v>
      </c>
      <c r="Y90" s="174">
        <f>SUMIF(_12MonLights_TariffRateCategory,Y$33&amp;$V$89,_12MonLights_Count)-SUMIF(_12MonLights_TariffRateCategory,Y$33&amp;$V$89,_12MonLights_Count_Adj)</f>
        <v>24</v>
      </c>
      <c r="AA90" s="178">
        <f t="shared" si="26"/>
        <v>0</v>
      </c>
      <c r="AB90" s="178">
        <f t="shared" si="29"/>
        <v>0</v>
      </c>
      <c r="AC90" s="178">
        <f t="shared" si="27"/>
        <v>493.68</v>
      </c>
      <c r="AD90" s="178"/>
      <c r="AE90" s="178"/>
    </row>
    <row r="91" spans="2:31">
      <c r="B91" s="174">
        <v>6</v>
      </c>
      <c r="C91" s="174" t="str">
        <f t="shared" si="30"/>
        <v>Flagpole Holder</v>
      </c>
      <c r="F91" s="179">
        <f>VLOOKUP($C91,$C$2:R$14,F$16,FALSE)</f>
        <v>1.0900000000000001</v>
      </c>
      <c r="G91" s="179">
        <f>VLOOKUP($C91,$C$2:V$14,G$16,FALSE)</f>
        <v>1.1200000000000001</v>
      </c>
      <c r="H91" s="179">
        <f>VLOOKUP($C91,$C$2:W$14,H$16,FALSE)</f>
        <v>1.2</v>
      </c>
      <c r="I91" s="179">
        <f>VLOOKUP($C91,$C$2:X$14,I$16,FALSE)</f>
        <v>1.2</v>
      </c>
      <c r="J91" s="179">
        <f>VLOOKUP($C91,$C$2:Y$14,J$16,FALSE)</f>
        <v>1.2</v>
      </c>
      <c r="K91" s="179">
        <f>VLOOKUP($C91,$C$2:Z$14,K$16,FALSE)</f>
        <v>1.2</v>
      </c>
      <c r="L91" s="179">
        <f>VLOOKUP($C91,$C$2:AA$14,L$16,FALSE)</f>
        <v>1.2</v>
      </c>
      <c r="M91" s="179">
        <f>VLOOKUP($C91,$C$2:AB$14,M$16,FALSE)</f>
        <v>1.19</v>
      </c>
      <c r="N91" s="179">
        <f>VLOOKUP($C91,$C$2:AC$14,N$16,FALSE)</f>
        <v>1.19</v>
      </c>
      <c r="O91" s="179">
        <f>VLOOKUP($C91,$C$2:AD$14,O$16,FALSE)</f>
        <v>1.19</v>
      </c>
      <c r="P91" s="179">
        <f>VLOOKUP($C91,$C$2:AE$14,P$16,FALSE)</f>
        <v>1.31</v>
      </c>
      <c r="Q91" s="179">
        <f>VLOOKUP($C91,$C$2:AF$14,Q$16,FALSE)</f>
        <v>1.31</v>
      </c>
      <c r="R91" s="179">
        <f>VLOOKUP($C91,$C$2:AG$14,R$16,FALSE)</f>
        <v>1.31</v>
      </c>
      <c r="S91" s="179">
        <f>VLOOKUP($C91,$C$2:AG$14,S$16,FALSE)</f>
        <v>1.36</v>
      </c>
      <c r="T91" s="179">
        <f>VLOOKUP($C91,$C$2:AH$14,T$16,FALSE)</f>
        <v>1.36</v>
      </c>
      <c r="U91" s="179">
        <f>VLOOKUP($C91,$C$2:AI$14,U$16,FALSE)</f>
        <v>1.36</v>
      </c>
      <c r="V91" s="177"/>
      <c r="W91" s="174">
        <f t="shared" si="41"/>
        <v>0</v>
      </c>
      <c r="X91" s="174">
        <f t="shared" si="41"/>
        <v>0</v>
      </c>
      <c r="Y91" s="174">
        <f>SUMIF(_12MonLights_TariffRateCategory,Y$33&amp;$V$89,_12MonLights_Count)-SUMIF(_12MonLights_TariffRateCategory,Y$33&amp;$V$89,_12MonLights_Count_Adj)</f>
        <v>24</v>
      </c>
      <c r="AA91" s="178">
        <f t="shared" si="26"/>
        <v>0</v>
      </c>
      <c r="AB91" s="178">
        <f t="shared" si="29"/>
        <v>0</v>
      </c>
      <c r="AC91" s="178">
        <f t="shared" si="27"/>
        <v>32.64</v>
      </c>
      <c r="AD91" s="178"/>
      <c r="AE91" s="178"/>
    </row>
    <row r="92" spans="2:31">
      <c r="B92" s="174">
        <v>0</v>
      </c>
      <c r="C92" s="174" t="str">
        <f>$C$2</f>
        <v>Pole &amp; Fixture SL</v>
      </c>
      <c r="F92" s="179">
        <f>VLOOKUP($C92,$C$2:R$14,F$16,FALSE)</f>
        <v>34.9</v>
      </c>
      <c r="G92" s="179">
        <f>VLOOKUP($C92,$C$2:V$14,G$16,FALSE)</f>
        <v>35.840000000000003</v>
      </c>
      <c r="H92" s="179">
        <f>VLOOKUP($C92,$C$2:W$14,H$16,FALSE)</f>
        <v>38.28</v>
      </c>
      <c r="I92" s="179">
        <f>VLOOKUP($C92,$C$2:X$14,I$16,FALSE)</f>
        <v>38.44</v>
      </c>
      <c r="J92" s="179">
        <f>VLOOKUP($C92,$C$2:Y$14,J$16,FALSE)</f>
        <v>39.520000000000003</v>
      </c>
      <c r="K92" s="179">
        <f>VLOOKUP($C92,$C$2:Z$14,K$16,FALSE)</f>
        <v>39.909999999999997</v>
      </c>
      <c r="L92" s="179">
        <f>VLOOKUP($C92,$C$2:AA$14,L$16,FALSE)</f>
        <v>40.81</v>
      </c>
      <c r="M92" s="179">
        <f>VLOOKUP($C92,$C$2:AB$14,M$16,FALSE)</f>
        <v>40.19</v>
      </c>
      <c r="N92" s="179">
        <f>VLOOKUP($C92,$C$2:AC$14,N$16,FALSE)</f>
        <v>40.270000000000003</v>
      </c>
      <c r="O92" s="179">
        <f>VLOOKUP($C92,$C$2:AD$14,O$16,FALSE)</f>
        <v>44.78</v>
      </c>
      <c r="P92" s="179">
        <f>VLOOKUP($C92,$C$2:AE$14,P$16,FALSE)</f>
        <v>49.34</v>
      </c>
      <c r="Q92" s="179">
        <f>VLOOKUP($C92,$C$2:AF$14,Q$16,FALSE)</f>
        <v>49.29</v>
      </c>
      <c r="R92" s="179">
        <f>VLOOKUP($C92,$C$2:AG$14,R$16,FALSE)</f>
        <v>51</v>
      </c>
      <c r="S92" s="179">
        <f>VLOOKUP($C92,$C$2:AG$14,S$16,FALSE)</f>
        <v>53.01</v>
      </c>
      <c r="T92" s="179">
        <f>VLOOKUP($C92,$C$2:AH$14,T$16,FALSE)</f>
        <v>53.15</v>
      </c>
      <c r="U92" s="179">
        <f>VLOOKUP($C92,$C$2:AI$14,U$16,FALSE)</f>
        <v>55.33</v>
      </c>
      <c r="V92" s="177" t="s">
        <v>327</v>
      </c>
      <c r="W92" s="174">
        <f>SUMIF(_12MonLights_TariffRateCategory,W$33&amp;$V92,_12MonLights_Count)+SUMIF(_12MonLights_TariffRateCategory,W$33&amp;$V92,_12MonLights_Count_Adj)</f>
        <v>0</v>
      </c>
      <c r="X92" s="174">
        <f>SUMIF(_12MonLights_TariffRateCategory,X$33&amp;$V92,_12MonLights_Count)+SUMIF(_12MonLights_TariffRateCategory,X$33&amp;$V92,_12MonLights_Count_Adj)</f>
        <v>0</v>
      </c>
      <c r="Y92" s="174">
        <f>SUMIF(_12MonLights_TariffRateCategory,Y$33&amp;$V$92,_12MonLights_Count)-SUMIF(_12MonLights_TariffRateCategory,Y$33&amp;$V$92,_12MonLights_Count_Adj)</f>
        <v>605</v>
      </c>
      <c r="AA92" s="178">
        <f t="shared" si="26"/>
        <v>0</v>
      </c>
      <c r="AB92" s="178">
        <f>ROUND(X92*Q92,2)</f>
        <v>0</v>
      </c>
      <c r="AC92" s="178">
        <f t="shared" si="27"/>
        <v>33474.65</v>
      </c>
      <c r="AD92" s="178">
        <f>SUM(AA92:AC94)</f>
        <v>38834.950000000004</v>
      </c>
      <c r="AE92" s="178"/>
    </row>
    <row r="93" spans="2:31">
      <c r="B93" s="174">
        <v>4</v>
      </c>
      <c r="C93" s="174" t="str">
        <f t="shared" si="30"/>
        <v>24" Clamp Banner Arm</v>
      </c>
      <c r="F93" s="179">
        <f>VLOOKUP($C93,$C$2:R$14,F$16,FALSE)</f>
        <v>0</v>
      </c>
      <c r="G93" s="179">
        <f>VLOOKUP($C93,$C$2:V$14,G$16,FALSE)</f>
        <v>3.67</v>
      </c>
      <c r="H93" s="179">
        <f>VLOOKUP($C93,$C$2:W$14,H$16,FALSE)</f>
        <v>3.9</v>
      </c>
      <c r="I93" s="179">
        <f>VLOOKUP($C93,$C$2:X$14,I$16,FALSE)</f>
        <v>3.9</v>
      </c>
      <c r="J93" s="179">
        <f>VLOOKUP($C93,$C$2:Y$14,J$16,FALSE)</f>
        <v>3.9</v>
      </c>
      <c r="K93" s="179">
        <f>VLOOKUP($C93,$C$2:Z$14,K$16,FALSE)</f>
        <v>3.9</v>
      </c>
      <c r="L93" s="179">
        <f>VLOOKUP($C93,$C$2:AA$14,L$16,FALSE)</f>
        <v>3.9</v>
      </c>
      <c r="M93" s="179">
        <f>VLOOKUP($C93,$C$2:AB$14,M$16,FALSE)</f>
        <v>3.87</v>
      </c>
      <c r="N93" s="179">
        <f>VLOOKUP($C93,$C$2:AC$14,N$16,FALSE)</f>
        <v>3.87</v>
      </c>
      <c r="O93" s="179">
        <f>VLOOKUP($C93,$C$2:AD$14,O$16,FALSE)</f>
        <v>3.87</v>
      </c>
      <c r="P93" s="179">
        <f>VLOOKUP($C93,$C$2:AE$14,P$16,FALSE)</f>
        <v>4.26</v>
      </c>
      <c r="Q93" s="179">
        <f>VLOOKUP($C93,$C$2:AF$14,Q$16,FALSE)</f>
        <v>4.26</v>
      </c>
      <c r="R93" s="179">
        <f>VLOOKUP($C93,$C$2:AG$14,R$16,FALSE)</f>
        <v>4.26</v>
      </c>
      <c r="S93" s="179">
        <f>VLOOKUP($C93,$C$2:AG$14,S$16,FALSE)</f>
        <v>4.43</v>
      </c>
      <c r="T93" s="179">
        <f>VLOOKUP($C93,$C$2:AH$14,T$16,FALSE)</f>
        <v>4.43</v>
      </c>
      <c r="U93" s="179">
        <f>VLOOKUP($C93,$C$2:AI$14,U$16,FALSE)</f>
        <v>4.43</v>
      </c>
      <c r="V93" s="177"/>
      <c r="W93" s="174">
        <f t="shared" ref="W93:X94" si="42">W92</f>
        <v>0</v>
      </c>
      <c r="X93" s="174">
        <f t="shared" si="42"/>
        <v>0</v>
      </c>
      <c r="Y93" s="174">
        <f>SUMIF(_12MonLights_TariffRateCategory,Y$33&amp;$V$92,_12MonLights_Count)-SUMIF(_12MonLights_TariffRateCategory,Y$33&amp;$V$92,_12MonLights_Count_Adj)</f>
        <v>605</v>
      </c>
      <c r="AA93" s="178">
        <f t="shared" si="26"/>
        <v>0</v>
      </c>
      <c r="AB93" s="178">
        <f t="shared" si="29"/>
        <v>0</v>
      </c>
      <c r="AC93" s="178">
        <f t="shared" si="27"/>
        <v>2680.15</v>
      </c>
      <c r="AD93" s="178"/>
      <c r="AE93" s="178"/>
    </row>
    <row r="94" spans="2:31">
      <c r="B94" s="174">
        <v>4</v>
      </c>
      <c r="C94" s="174" t="str">
        <f t="shared" si="30"/>
        <v>24" Clamp Banner Arm</v>
      </c>
      <c r="F94" s="179">
        <f>VLOOKUP($C94,$C$2:R$14,F$16,FALSE)</f>
        <v>0</v>
      </c>
      <c r="G94" s="179">
        <f>VLOOKUP($C94,$C$2:V$14,G$16,FALSE)</f>
        <v>3.67</v>
      </c>
      <c r="H94" s="179">
        <f>VLOOKUP($C94,$C$2:W$14,H$16,FALSE)</f>
        <v>3.9</v>
      </c>
      <c r="I94" s="179">
        <f>VLOOKUP($C94,$C$2:X$14,I$16,FALSE)</f>
        <v>3.9</v>
      </c>
      <c r="J94" s="179">
        <f>VLOOKUP($C94,$C$2:Y$14,J$16,FALSE)</f>
        <v>3.9</v>
      </c>
      <c r="K94" s="179">
        <f>VLOOKUP($C94,$C$2:Z$14,K$16,FALSE)</f>
        <v>3.9</v>
      </c>
      <c r="L94" s="179">
        <f>VLOOKUP($C94,$C$2:AA$14,L$16,FALSE)</f>
        <v>3.9</v>
      </c>
      <c r="M94" s="179">
        <f>VLOOKUP($C94,$C$2:AB$14,M$16,FALSE)</f>
        <v>3.87</v>
      </c>
      <c r="N94" s="179">
        <f>VLOOKUP($C94,$C$2:AC$14,N$16,FALSE)</f>
        <v>3.87</v>
      </c>
      <c r="O94" s="179">
        <f>VLOOKUP($C94,$C$2:AD$14,O$16,FALSE)</f>
        <v>3.87</v>
      </c>
      <c r="P94" s="179">
        <f>VLOOKUP($C94,$C$2:AE$14,P$16,FALSE)</f>
        <v>4.26</v>
      </c>
      <c r="Q94" s="179">
        <f>VLOOKUP($C94,$C$2:AF$14,Q$16,FALSE)</f>
        <v>4.26</v>
      </c>
      <c r="R94" s="179">
        <f>VLOOKUP($C94,$C$2:AG$14,R$16,FALSE)</f>
        <v>4.26</v>
      </c>
      <c r="S94" s="179">
        <f>VLOOKUP($C94,$C$2:AG$14,S$16,FALSE)</f>
        <v>4.43</v>
      </c>
      <c r="T94" s="179">
        <f>VLOOKUP($C94,$C$2:AH$14,T$16,FALSE)</f>
        <v>4.43</v>
      </c>
      <c r="U94" s="179">
        <f>VLOOKUP($C94,$C$2:AI$14,U$16,FALSE)</f>
        <v>4.43</v>
      </c>
      <c r="V94" s="177"/>
      <c r="W94" s="174">
        <f t="shared" si="42"/>
        <v>0</v>
      </c>
      <c r="X94" s="174">
        <f t="shared" si="42"/>
        <v>0</v>
      </c>
      <c r="Y94" s="174">
        <f>SUMIF(_12MonLights_TariffRateCategory,Y$33&amp;$V$92,_12MonLights_Count)-SUMIF(_12MonLights_TariffRateCategory,Y$33&amp;$V$92,_12MonLights_Count_Adj)</f>
        <v>605</v>
      </c>
      <c r="AA94" s="178">
        <f t="shared" si="26"/>
        <v>0</v>
      </c>
      <c r="AB94" s="178">
        <f t="shared" si="29"/>
        <v>0</v>
      </c>
      <c r="AC94" s="178">
        <f t="shared" si="27"/>
        <v>2680.15</v>
      </c>
      <c r="AD94" s="178"/>
      <c r="AE94" s="178"/>
    </row>
    <row r="95" spans="2:31">
      <c r="B95" s="174">
        <v>0</v>
      </c>
      <c r="C95" s="174" t="str">
        <f>$C$2</f>
        <v>Pole &amp; Fixture SL</v>
      </c>
      <c r="F95" s="179">
        <f>VLOOKUP($C95,$C$2:R$15,F$16,FALSE)</f>
        <v>34.9</v>
      </c>
      <c r="G95" s="179">
        <f>VLOOKUP($C95,$C$2:V$15,G$16,FALSE)</f>
        <v>35.840000000000003</v>
      </c>
      <c r="H95" s="179">
        <f>VLOOKUP($C95,$C$2:W$15,H$16,FALSE)</f>
        <v>38.28</v>
      </c>
      <c r="I95" s="179">
        <f>VLOOKUP($C95,$C$2:X$15,I$16,FALSE)</f>
        <v>38.44</v>
      </c>
      <c r="J95" s="179">
        <f>VLOOKUP($C95,$C$2:Y$15,J$16,FALSE)</f>
        <v>39.520000000000003</v>
      </c>
      <c r="K95" s="179">
        <f>VLOOKUP($C95,$C$2:Z$15,K$16,FALSE)</f>
        <v>39.909999999999997</v>
      </c>
      <c r="L95" s="179">
        <f>VLOOKUP($C95,$C$2:AA$15,L$16,FALSE)</f>
        <v>40.81</v>
      </c>
      <c r="M95" s="179">
        <f>VLOOKUP($C95,$C$2:AB$15,M$16,FALSE)</f>
        <v>40.19</v>
      </c>
      <c r="N95" s="179">
        <f>VLOOKUP($C95,$C$2:AC$15,N$16,FALSE)</f>
        <v>40.270000000000003</v>
      </c>
      <c r="O95" s="179">
        <f>VLOOKUP($C95,$C$2:AD$15,O$16,FALSE)</f>
        <v>44.78</v>
      </c>
      <c r="P95" s="179">
        <f>VLOOKUP($C95,$C$2:AE$15,P$16,FALSE)</f>
        <v>49.34</v>
      </c>
      <c r="Q95" s="179">
        <f>VLOOKUP($C95,$C$2:AF$15,Q$16,FALSE)</f>
        <v>49.29</v>
      </c>
      <c r="R95" s="179">
        <f>VLOOKUP($C95,$C$2:AG$15,R$16,FALSE)</f>
        <v>51</v>
      </c>
      <c r="S95" s="179">
        <f>VLOOKUP($C95,$C$2:AG$15,S$16,FALSE)</f>
        <v>53.01</v>
      </c>
      <c r="T95" s="179">
        <f>VLOOKUP($C95,$C$2:AH$15,T$16,FALSE)</f>
        <v>53.15</v>
      </c>
      <c r="U95" s="179">
        <f>VLOOKUP($C95,$C$2:AI$15,U$16,FALSE)</f>
        <v>55.33</v>
      </c>
      <c r="V95" s="177" t="s">
        <v>324</v>
      </c>
      <c r="W95" s="174">
        <f>SUMIF(_12MonLights_TariffRateCategory,W$33&amp;$V95,_12MonLights_Count)+SUMIF(_12MonLights_TariffRateCategory,W$33&amp;$V95,_12MonLights_Count_Adj)</f>
        <v>0</v>
      </c>
      <c r="X95" s="174">
        <f t="shared" ref="X95:X96" si="43">SUMIF(_12MonLights_TariffRateCategory,X$33&amp;$V95,_12MonLights_Count)+SUMIF(_12MonLights_TariffRateCategory,X$33&amp;$V95,_12MonLights_Count_Adj)</f>
        <v>0</v>
      </c>
      <c r="Y95" s="174">
        <f>SUMIF(_12MonLights_TariffRateCategory,Y$33&amp;$V95,_12MonLights_Count)-SUMIF(_12MonLights_TariffRateCategory,Y$33&amp;$V95,_12MonLights_Count_Adj)</f>
        <v>0</v>
      </c>
      <c r="AA95" s="178">
        <f t="shared" si="26"/>
        <v>0</v>
      </c>
      <c r="AB95" s="178">
        <f t="shared" ref="AB95:AB96" si="44">ROUND(X95*Q95,2)</f>
        <v>0</v>
      </c>
      <c r="AC95" s="178">
        <f t="shared" si="27"/>
        <v>0</v>
      </c>
      <c r="AD95" s="178">
        <f>SUM(AA95:AC95)</f>
        <v>0</v>
      </c>
      <c r="AE95" s="178"/>
    </row>
    <row r="96" spans="2:31">
      <c r="B96" s="174">
        <v>0</v>
      </c>
      <c r="C96" s="174" t="str">
        <f>$C$2</f>
        <v>Pole &amp; Fixture SL</v>
      </c>
      <c r="F96" s="179">
        <f>VLOOKUP($C96,$C$2:R$15,F$16,FALSE)</f>
        <v>34.9</v>
      </c>
      <c r="G96" s="179">
        <f>VLOOKUP($C96,$C$2:V$15,G$16,FALSE)</f>
        <v>35.840000000000003</v>
      </c>
      <c r="H96" s="179">
        <f>VLOOKUP($C96,$C$2:W$15,H$16,FALSE)</f>
        <v>38.28</v>
      </c>
      <c r="I96" s="179">
        <f>VLOOKUP($C96,$C$2:X$15,I$16,FALSE)</f>
        <v>38.44</v>
      </c>
      <c r="J96" s="179">
        <f>VLOOKUP($C96,$C$2:Y$15,J$16,FALSE)</f>
        <v>39.520000000000003</v>
      </c>
      <c r="K96" s="179">
        <f>VLOOKUP($C96,$C$2:Z$15,K$16,FALSE)</f>
        <v>39.909999999999997</v>
      </c>
      <c r="L96" s="179">
        <f>VLOOKUP($C96,$C$2:AA$15,L$16,FALSE)</f>
        <v>40.81</v>
      </c>
      <c r="M96" s="179">
        <f>VLOOKUP($C96,$C$2:AB$15,M$16,FALSE)</f>
        <v>40.19</v>
      </c>
      <c r="N96" s="179">
        <f>VLOOKUP($C96,$C$2:AC$15,N$16,FALSE)</f>
        <v>40.270000000000003</v>
      </c>
      <c r="O96" s="179">
        <f>VLOOKUP($C96,$C$2:AD$15,O$16,FALSE)</f>
        <v>44.78</v>
      </c>
      <c r="P96" s="179">
        <f>VLOOKUP($C96,$C$2:AE$14,P$16,FALSE)</f>
        <v>49.34</v>
      </c>
      <c r="Q96" s="179">
        <f>VLOOKUP($C96,$C$2:AF$14,Q$16,FALSE)</f>
        <v>49.29</v>
      </c>
      <c r="R96" s="179">
        <f>VLOOKUP($C96,$C$2:AG$14,R$16,FALSE)</f>
        <v>51</v>
      </c>
      <c r="S96" s="179">
        <f>VLOOKUP($C96,$C$2:AG$14,S$16,FALSE)</f>
        <v>53.01</v>
      </c>
      <c r="T96" s="179">
        <f>VLOOKUP($C96,$C$2:AH$14,T$16,FALSE)</f>
        <v>53.15</v>
      </c>
      <c r="U96" s="179">
        <f>VLOOKUP($C96,$C$2:AI$14,U$16,FALSE)</f>
        <v>55.33</v>
      </c>
      <c r="V96" s="174" t="s">
        <v>453</v>
      </c>
      <c r="W96" s="174">
        <f>SUMIF(_12MonLights_TariffRateCategory,W$33&amp;$V96,_12MonLights_Count)+SUMIF(_12MonLights_TariffRateCategory,W$33&amp;$V96,_12MonLights_Count_Adj)</f>
        <v>0</v>
      </c>
      <c r="X96" s="174">
        <f t="shared" si="43"/>
        <v>0</v>
      </c>
      <c r="Y96" s="174">
        <f>SUMIF(_12MonLights_TariffRateCategory,Y$33&amp;$V$96,_12MonLights_Count)-SUMIF(_12MonLights_TariffRateCategory,Y$33&amp;$V$96,_12MonLights_Count_Adj)</f>
        <v>24</v>
      </c>
      <c r="AA96" s="178">
        <f t="shared" si="26"/>
        <v>0</v>
      </c>
      <c r="AB96" s="178">
        <f t="shared" si="44"/>
        <v>0</v>
      </c>
      <c r="AC96" s="178">
        <f t="shared" si="27"/>
        <v>1327.92</v>
      </c>
      <c r="AD96" s="178">
        <f t="shared" ref="AD96:AD113" si="45">SUM(AA96:AC96)</f>
        <v>1327.92</v>
      </c>
    </row>
    <row r="97" spans="2:30">
      <c r="B97" s="174">
        <v>2</v>
      </c>
      <c r="C97" s="174" t="str">
        <f>VLOOKUP(B97,$B$3:$C$14,2,FALSE)</f>
        <v>Twin Crossarm Bracket (incl.extra fixture)</v>
      </c>
      <c r="F97" s="179">
        <f>VLOOKUP($C97,$C$2:R$14,F$16,FALSE)</f>
        <v>16.52</v>
      </c>
      <c r="G97" s="179">
        <f>VLOOKUP($C97,$C$2:V$14,G$16,FALSE)</f>
        <v>16.96</v>
      </c>
      <c r="H97" s="179">
        <f>VLOOKUP($C97,$C$2:W$14,H$16,FALSE)</f>
        <v>18.12</v>
      </c>
      <c r="I97" s="179">
        <f>VLOOKUP($C97,$C$2:X$14,I$16,FALSE)</f>
        <v>18.12</v>
      </c>
      <c r="J97" s="179">
        <f>VLOOKUP($C97,$C$2:Y$14,J$16,FALSE)</f>
        <v>18.12</v>
      </c>
      <c r="K97" s="179">
        <f>VLOOKUP($C97,$C$2:Z$14,K$16,FALSE)</f>
        <v>18.12</v>
      </c>
      <c r="L97" s="179">
        <f>VLOOKUP($C97,$C$2:AA$14,L$16,FALSE)</f>
        <v>18.12</v>
      </c>
      <c r="M97" s="179">
        <f>VLOOKUP($C97,$C$2:AB$14,M$16,FALSE)</f>
        <v>17.96</v>
      </c>
      <c r="N97" s="179">
        <f>VLOOKUP($C97,$C$2:AC$14,N$16,FALSE)</f>
        <v>17.96</v>
      </c>
      <c r="O97" s="179">
        <f>VLOOKUP($C97,$C$2:AD$14,O$16,FALSE)</f>
        <v>17.96</v>
      </c>
      <c r="P97" s="179">
        <f>VLOOKUP($C97,$C$2:AE$14,P$16,FALSE)</f>
        <v>19.79</v>
      </c>
      <c r="Q97" s="179">
        <f>VLOOKUP($C97,$C$2:AF$14,Q$16,FALSE)</f>
        <v>19.79</v>
      </c>
      <c r="R97" s="179">
        <f>VLOOKUP($C97,$C$2:AG$14,R$16,FALSE)</f>
        <v>19.79</v>
      </c>
      <c r="S97" s="179">
        <f>VLOOKUP($C97,$C$2:AG$14,S$16,FALSE)</f>
        <v>20.57</v>
      </c>
      <c r="T97" s="179">
        <f>VLOOKUP($C97,$C$2:AH$14,T$16,FALSE)</f>
        <v>20.57</v>
      </c>
      <c r="U97" s="179">
        <f>VLOOKUP($C97,$C$2:AI$14,U$16,FALSE)</f>
        <v>20.57</v>
      </c>
      <c r="W97" s="174">
        <f>W96</f>
        <v>0</v>
      </c>
      <c r="X97" s="174">
        <f>X96</f>
        <v>0</v>
      </c>
      <c r="Y97" s="174">
        <f>SUMIF(_12MonLights_TariffRateCategory,Y$33&amp;$V$96,_12MonLights_Count)-SUMIF(_12MonLights_TariffRateCategory,Y$33&amp;$V$96,_12MonLights_Count_Adj)</f>
        <v>24</v>
      </c>
      <c r="AA97" s="178">
        <f t="shared" si="26"/>
        <v>0</v>
      </c>
      <c r="AB97" s="178">
        <f t="shared" si="29"/>
        <v>0</v>
      </c>
      <c r="AC97" s="178">
        <f t="shared" si="27"/>
        <v>493.68</v>
      </c>
      <c r="AD97" s="178">
        <f t="shared" si="45"/>
        <v>493.68</v>
      </c>
    </row>
    <row r="98" spans="2:30">
      <c r="B98" s="174">
        <v>0</v>
      </c>
      <c r="C98" s="174" t="str">
        <f>$C$2</f>
        <v>Pole &amp; Fixture SL</v>
      </c>
      <c r="F98" s="179">
        <f>VLOOKUP($C98,$C$2:R$15,F$16,FALSE)</f>
        <v>34.9</v>
      </c>
      <c r="G98" s="179">
        <f>VLOOKUP($C98,$C$2:V$15,G$16,FALSE)</f>
        <v>35.840000000000003</v>
      </c>
      <c r="H98" s="179">
        <f>VLOOKUP($C98,$C$2:W$15,H$16,FALSE)</f>
        <v>38.28</v>
      </c>
      <c r="I98" s="179">
        <f>VLOOKUP($C98,$C$2:X$15,I$16,FALSE)</f>
        <v>38.44</v>
      </c>
      <c r="J98" s="179">
        <f>VLOOKUP($C98,$C$2:Y$15,J$16,FALSE)</f>
        <v>39.520000000000003</v>
      </c>
      <c r="K98" s="179">
        <f>VLOOKUP($C98,$C$2:Z$15,K$16,FALSE)</f>
        <v>39.909999999999997</v>
      </c>
      <c r="L98" s="179">
        <f>VLOOKUP($C98,$C$2:AA$15,L$16,FALSE)</f>
        <v>40.81</v>
      </c>
      <c r="M98" s="179">
        <f>VLOOKUP($C98,$C$2:AB$15,M$16,FALSE)</f>
        <v>40.19</v>
      </c>
      <c r="N98" s="179">
        <f>VLOOKUP($C98,$C$2:AC$15,N$16,FALSE)</f>
        <v>40.270000000000003</v>
      </c>
      <c r="O98" s="179">
        <f>VLOOKUP($C98,$C$2:AD$15,O$16,FALSE)</f>
        <v>44.78</v>
      </c>
      <c r="P98" s="179">
        <f>VLOOKUP($C98,$C$2:AE$14,P$16,FALSE)</f>
        <v>49.34</v>
      </c>
      <c r="Q98" s="179">
        <f>VLOOKUP($C98,$C$2:AF$14,Q$16,FALSE)</f>
        <v>49.29</v>
      </c>
      <c r="R98" s="179">
        <f>VLOOKUP($C98,$C$2:AG$14,R$16,FALSE)</f>
        <v>51</v>
      </c>
      <c r="S98" s="179">
        <f>VLOOKUP($C98,$C$2:AG$14,S$16,FALSE)</f>
        <v>53.01</v>
      </c>
      <c r="T98" s="179">
        <f>VLOOKUP($C98,$C$2:AH$14,T$16,FALSE)</f>
        <v>53.15</v>
      </c>
      <c r="U98" s="179">
        <f>VLOOKUP($C98,$C$2:AI$14,U$16,FALSE)</f>
        <v>55.33</v>
      </c>
      <c r="V98" s="177" t="s">
        <v>616</v>
      </c>
      <c r="W98" s="174">
        <f>SUMIF(_12MonLights_TariffRateCategory,W$33&amp;$V98,_12MonLights_Count)+SUMIF(_12MonLights_TariffRateCategory,W$33&amp;$V98,_12MonLights_Count_Adj)</f>
        <v>0</v>
      </c>
      <c r="X98" s="174">
        <f>SUMIF(_12MonLights_TariffRateCategory,X$33&amp;$V98,_12MonLights_Count)+SUMIF(_12MonLights_TariffRateCategory,X$33&amp;$V98,_12MonLights_Count_Adj)</f>
        <v>0</v>
      </c>
      <c r="Y98" s="174">
        <f>SUMIF(_12MonLights_TariffRateCategory,Y$33&amp;$V$98,_12MonLights_Count)-SUMIF(_12MonLights_TariffRateCategory,Y$33&amp;$V$98,_12MonLights_Count_Adj)</f>
        <v>0</v>
      </c>
      <c r="AA98" s="178">
        <f t="shared" si="26"/>
        <v>0</v>
      </c>
      <c r="AB98" s="178">
        <f>ROUND(X98*Q98,2)</f>
        <v>0</v>
      </c>
      <c r="AC98" s="178">
        <f t="shared" si="27"/>
        <v>0</v>
      </c>
      <c r="AD98" s="178">
        <f t="shared" si="45"/>
        <v>0</v>
      </c>
    </row>
    <row r="99" spans="2:30">
      <c r="B99" s="174">
        <v>2</v>
      </c>
      <c r="C99" s="174" t="str">
        <f>VLOOKUP(B99,$B$3:$C$14,2,FALSE)</f>
        <v>Twin Crossarm Bracket (incl.extra fixture)</v>
      </c>
      <c r="F99" s="179">
        <f>VLOOKUP($C99,$C$2:R$14,F$16,FALSE)</f>
        <v>16.52</v>
      </c>
      <c r="G99" s="179">
        <f>VLOOKUP($C99,$C$2:V$14,G$16,FALSE)</f>
        <v>16.96</v>
      </c>
      <c r="H99" s="179">
        <f>VLOOKUP($C99,$C$2:W$14,H$16,FALSE)</f>
        <v>18.12</v>
      </c>
      <c r="I99" s="179">
        <f>VLOOKUP($C99,$C$2:X$14,I$16,FALSE)</f>
        <v>18.12</v>
      </c>
      <c r="J99" s="179">
        <f>VLOOKUP($C99,$C$2:Y$14,J$16,FALSE)</f>
        <v>18.12</v>
      </c>
      <c r="K99" s="179">
        <f>VLOOKUP($C99,$C$2:Z$14,K$16,FALSE)</f>
        <v>18.12</v>
      </c>
      <c r="L99" s="179">
        <f>VLOOKUP($C99,$C$2:AA$14,L$16,FALSE)</f>
        <v>18.12</v>
      </c>
      <c r="M99" s="179">
        <f>VLOOKUP($C99,$C$2:AB$14,M$16,FALSE)</f>
        <v>17.96</v>
      </c>
      <c r="N99" s="179">
        <f>VLOOKUP($C99,$C$2:AC$14,N$16,FALSE)</f>
        <v>17.96</v>
      </c>
      <c r="O99" s="179">
        <f>VLOOKUP($C99,$C$2:AD$14,O$16,FALSE)</f>
        <v>17.96</v>
      </c>
      <c r="P99" s="179">
        <f>VLOOKUP($C99,$C$2:AE$14,P$16,FALSE)</f>
        <v>19.79</v>
      </c>
      <c r="Q99" s="179">
        <f>VLOOKUP($C99,$C$2:AF$14,Q$16,FALSE)</f>
        <v>19.79</v>
      </c>
      <c r="R99" s="179">
        <f>VLOOKUP($C99,$C$2:AG$14,R$16,FALSE)</f>
        <v>19.79</v>
      </c>
      <c r="S99" s="179">
        <f>VLOOKUP($C99,$C$2:AG$14,S$16,FALSE)</f>
        <v>20.57</v>
      </c>
      <c r="T99" s="179">
        <f>VLOOKUP($C99,$C$2:AH$14,T$16,FALSE)</f>
        <v>20.57</v>
      </c>
      <c r="U99" s="179">
        <f>VLOOKUP($C99,$C$2:AI$14,U$16,FALSE)</f>
        <v>20.57</v>
      </c>
      <c r="W99" s="174">
        <f t="shared" ref="W99:X100" si="46">W98</f>
        <v>0</v>
      </c>
      <c r="X99" s="174">
        <f t="shared" si="46"/>
        <v>0</v>
      </c>
      <c r="Y99" s="174">
        <f>SUMIF(_12MonLights_TariffRateCategory,Y$33&amp;$V$98,_12MonLights_Count)-SUMIF(_12MonLights_TariffRateCategory,Y$33&amp;$V$98,_12MonLights_Count_Adj)</f>
        <v>0</v>
      </c>
      <c r="AA99" s="178">
        <f t="shared" si="26"/>
        <v>0</v>
      </c>
      <c r="AB99" s="178">
        <f t="shared" si="29"/>
        <v>0</v>
      </c>
      <c r="AC99" s="178">
        <f t="shared" si="27"/>
        <v>0</v>
      </c>
      <c r="AD99" s="178">
        <f t="shared" si="45"/>
        <v>0</v>
      </c>
    </row>
    <row r="100" spans="2:30">
      <c r="B100" s="174">
        <v>12</v>
      </c>
      <c r="C100" s="174" t="str">
        <f>VLOOKUP(B100,$B$3:$C$14,2,FALSE)</f>
        <v>Clamp On Planter</v>
      </c>
      <c r="F100" s="179">
        <f>VLOOKUP($C100,$C$2:R$14,F$16,FALSE)</f>
        <v>0</v>
      </c>
      <c r="G100" s="179">
        <f>VLOOKUP($C100,$C$2:V$14,G$16,FALSE)</f>
        <v>0</v>
      </c>
      <c r="H100" s="179">
        <f>VLOOKUP($C100,$C$2:W$14,H$16,FALSE)</f>
        <v>0</v>
      </c>
      <c r="I100" s="179">
        <f>VLOOKUP($C100,$C$2:X$14,I$16,FALSE)</f>
        <v>0</v>
      </c>
      <c r="J100" s="179">
        <f>VLOOKUP($C100,$C$2:Y$14,J$16,FALSE)</f>
        <v>0</v>
      </c>
      <c r="K100" s="179">
        <f>VLOOKUP($C100,$C$2:Z$14,K$16,FALSE)</f>
        <v>0</v>
      </c>
      <c r="L100" s="179">
        <f>VLOOKUP($C100,$C$2:AA$14,L$16,FALSE)</f>
        <v>0</v>
      </c>
      <c r="M100" s="179">
        <f>VLOOKUP($C100,$C$2:AB$14,M$16,FALSE)</f>
        <v>4.3099999999999996</v>
      </c>
      <c r="N100" s="179">
        <f>VLOOKUP($C100,$C$2:AC$14,N$16,FALSE)</f>
        <v>4.3099999999999996</v>
      </c>
      <c r="O100" s="179">
        <f>VLOOKUP($C100,$C$2:AD$14,O$16,FALSE)</f>
        <v>4.3099999999999996</v>
      </c>
      <c r="P100" s="179">
        <f>VLOOKUP($C100,$C$2:AE$14,P$16,FALSE)</f>
        <v>4.75</v>
      </c>
      <c r="Q100" s="179">
        <f>VLOOKUP($C100,$C$2:AF$14,Q$16,FALSE)</f>
        <v>4.75</v>
      </c>
      <c r="R100" s="179">
        <f>VLOOKUP($C100,$C$2:AG$14,R$16,FALSE)</f>
        <v>4.75</v>
      </c>
      <c r="S100" s="179">
        <f>VLOOKUP($C100,$C$2:AG$14,S$16,FALSE)</f>
        <v>4.9400000000000004</v>
      </c>
      <c r="T100" s="179">
        <f>VLOOKUP($C100,$C$2:AH$14,T$16,FALSE)</f>
        <v>4.9400000000000004</v>
      </c>
      <c r="U100" s="179">
        <f>VLOOKUP($C100,$C$2:AI$14,U$16,FALSE)</f>
        <v>4.9400000000000004</v>
      </c>
      <c r="W100" s="174">
        <f t="shared" si="46"/>
        <v>0</v>
      </c>
      <c r="X100" s="174">
        <f t="shared" si="46"/>
        <v>0</v>
      </c>
      <c r="Y100" s="174">
        <f>SUMIF(_12MonLights_TariffRateCategory,Y$33&amp;$V$98,_12MonLights_Count)-SUMIF(_12MonLights_TariffRateCategory,Y$33&amp;$V$98,_12MonLights_Count_Adj)</f>
        <v>0</v>
      </c>
      <c r="AA100" s="178">
        <f t="shared" si="26"/>
        <v>0</v>
      </c>
      <c r="AB100" s="178">
        <f t="shared" si="29"/>
        <v>0</v>
      </c>
      <c r="AC100" s="178">
        <f t="shared" si="27"/>
        <v>0</v>
      </c>
      <c r="AD100" s="178">
        <f t="shared" si="45"/>
        <v>0</v>
      </c>
    </row>
    <row r="101" spans="2:30">
      <c r="B101" s="174">
        <v>0</v>
      </c>
      <c r="C101" s="174" t="str">
        <f>$C$2</f>
        <v>Pole &amp; Fixture SL</v>
      </c>
      <c r="F101" s="179">
        <f>VLOOKUP($C101,$C$2:R$14,F$16,FALSE)</f>
        <v>34.9</v>
      </c>
      <c r="G101" s="179">
        <f>VLOOKUP($C101,$C$2:V$14,G$16,FALSE)</f>
        <v>35.840000000000003</v>
      </c>
      <c r="H101" s="179">
        <f>VLOOKUP($C101,$C$2:W$14,H$16,FALSE)</f>
        <v>38.28</v>
      </c>
      <c r="I101" s="179">
        <f>VLOOKUP($C101,$C$2:X$14,I$16,FALSE)</f>
        <v>38.44</v>
      </c>
      <c r="J101" s="179">
        <f>VLOOKUP($C101,$C$2:Y$14,J$16,FALSE)</f>
        <v>39.520000000000003</v>
      </c>
      <c r="K101" s="179">
        <f>VLOOKUP($C101,$C$2:Z$14,K$16,FALSE)</f>
        <v>39.909999999999997</v>
      </c>
      <c r="L101" s="179">
        <f>VLOOKUP($C101,$C$2:AA$14,L$16,FALSE)</f>
        <v>40.81</v>
      </c>
      <c r="M101" s="179">
        <f>VLOOKUP($C101,$C$2:AB$14,M$16,FALSE)</f>
        <v>40.19</v>
      </c>
      <c r="N101" s="179">
        <f>VLOOKUP($C101,$C$2:AC$14,N$16,FALSE)</f>
        <v>40.270000000000003</v>
      </c>
      <c r="O101" s="179">
        <f>VLOOKUP($C101,$C$2:AD$14,O$16,FALSE)</f>
        <v>44.78</v>
      </c>
      <c r="P101" s="179">
        <f>VLOOKUP($C101,$C$2:AE$14,P$16,FALSE)</f>
        <v>49.34</v>
      </c>
      <c r="Q101" s="179">
        <f>VLOOKUP($C101,$C$2:AF$14,Q$16,FALSE)</f>
        <v>49.29</v>
      </c>
      <c r="R101" s="179">
        <f>VLOOKUP($C101,$C$2:AG$14,R$16,FALSE)</f>
        <v>51</v>
      </c>
      <c r="S101" s="179">
        <f>VLOOKUP($C101,$C$2:AG$14,S$16,FALSE)</f>
        <v>53.01</v>
      </c>
      <c r="T101" s="179">
        <f>VLOOKUP($C101,$C$2:AH$14,T$16,FALSE)</f>
        <v>53.15</v>
      </c>
      <c r="U101" s="179">
        <f>VLOOKUP($C101,$C$2:AI$14,U$16,FALSE)</f>
        <v>55.33</v>
      </c>
      <c r="V101" s="177" t="s">
        <v>617</v>
      </c>
      <c r="W101" s="174">
        <f>SUMIF(_12MonLights_TariffRateCategory,W$33&amp;$V101,_12MonLights_Count)+SUMIF(_12MonLights_TariffRateCategory,W$33&amp;$V101,_12MonLights_Count_Adj)</f>
        <v>0</v>
      </c>
      <c r="X101" s="174">
        <f>SUMIF(_12MonLights_TariffRateCategory,X$33&amp;$V101,_12MonLights_Count)+SUMIF(_12MonLights_TariffRateCategory,X$33&amp;$V101,_12MonLights_Count_Adj)</f>
        <v>0</v>
      </c>
      <c r="Y101" s="174">
        <f>SUMIF(_12MonLights_TariffRateCategory,Y$33&amp;$V$101,_12MonLights_Count)-SUMIF(_12MonLights_TariffRateCategory,Y$33&amp;$V$101,_12MonLights_Count_Adj)</f>
        <v>0</v>
      </c>
      <c r="AA101" s="178">
        <f t="shared" si="26"/>
        <v>0</v>
      </c>
      <c r="AB101" s="178">
        <f>ROUND(X101*Q101,2)</f>
        <v>0</v>
      </c>
      <c r="AC101" s="178">
        <f t="shared" si="27"/>
        <v>0</v>
      </c>
      <c r="AD101" s="178">
        <f t="shared" si="45"/>
        <v>0</v>
      </c>
    </row>
    <row r="102" spans="2:30">
      <c r="B102" s="174">
        <v>2</v>
      </c>
      <c r="C102" s="174" t="str">
        <f>VLOOKUP(B102,$B$3:$C$14,2,FALSE)</f>
        <v>Twin Crossarm Bracket (incl.extra fixture)</v>
      </c>
      <c r="F102" s="179">
        <f>VLOOKUP($C102,$C$2:R$14,F$16,FALSE)</f>
        <v>16.52</v>
      </c>
      <c r="G102" s="179">
        <f>VLOOKUP($C102,$C$2:V$14,G$16,FALSE)</f>
        <v>16.96</v>
      </c>
      <c r="H102" s="179">
        <f>VLOOKUP($C102,$C$2:W$14,H$16,FALSE)</f>
        <v>18.12</v>
      </c>
      <c r="I102" s="179">
        <f>VLOOKUP($C102,$C$2:X$14,I$16,FALSE)</f>
        <v>18.12</v>
      </c>
      <c r="J102" s="179">
        <f>VLOOKUP($C102,$C$2:Y$14,J$16,FALSE)</f>
        <v>18.12</v>
      </c>
      <c r="K102" s="179">
        <f>VLOOKUP($C102,$C$2:Z$14,K$16,FALSE)</f>
        <v>18.12</v>
      </c>
      <c r="L102" s="179">
        <f>VLOOKUP($C102,$C$2:AA$14,L$16,FALSE)</f>
        <v>18.12</v>
      </c>
      <c r="M102" s="179">
        <f>VLOOKUP($C102,$C$2:AB$14,M$16,FALSE)</f>
        <v>17.96</v>
      </c>
      <c r="N102" s="179">
        <f>VLOOKUP($C102,$C$2:AC$14,N$16,FALSE)</f>
        <v>17.96</v>
      </c>
      <c r="O102" s="179">
        <f>VLOOKUP($C102,$C$2:AD$14,O$16,FALSE)</f>
        <v>17.96</v>
      </c>
      <c r="P102" s="179">
        <f>VLOOKUP($C102,$C$2:AE$14,P$16,FALSE)</f>
        <v>19.79</v>
      </c>
      <c r="Q102" s="179">
        <f>VLOOKUP($C102,$C$2:AF$14,Q$16,FALSE)</f>
        <v>19.79</v>
      </c>
      <c r="R102" s="179">
        <f>VLOOKUP($C102,$C$2:AG$14,R$16,FALSE)</f>
        <v>19.79</v>
      </c>
      <c r="S102" s="179">
        <f>VLOOKUP($C102,$C$2:AG$14,S$16,FALSE)</f>
        <v>20.57</v>
      </c>
      <c r="T102" s="179">
        <f>VLOOKUP($C102,$C$2:AH$14,T$16,FALSE)</f>
        <v>20.57</v>
      </c>
      <c r="U102" s="179">
        <f>VLOOKUP($C102,$C$2:AI$14,U$16,FALSE)</f>
        <v>20.57</v>
      </c>
      <c r="W102" s="174">
        <f t="shared" ref="W102:X104" si="47">W101</f>
        <v>0</v>
      </c>
      <c r="X102" s="174">
        <f t="shared" si="47"/>
        <v>0</v>
      </c>
      <c r="Y102" s="174">
        <f>SUMIF(_12MonLights_TariffRateCategory,Y$33&amp;$V$101,_12MonLights_Count)-SUMIF(_12MonLights_TariffRateCategory,Y$33&amp;$V$101,_12MonLights_Count_Adj)</f>
        <v>0</v>
      </c>
      <c r="AA102" s="178">
        <f t="shared" si="26"/>
        <v>0</v>
      </c>
      <c r="AB102" s="178">
        <f t="shared" si="29"/>
        <v>0</v>
      </c>
      <c r="AC102" s="178">
        <f t="shared" si="27"/>
        <v>0</v>
      </c>
      <c r="AD102" s="178">
        <f t="shared" si="45"/>
        <v>0</v>
      </c>
    </row>
    <row r="103" spans="2:30">
      <c r="B103" s="174">
        <v>4</v>
      </c>
      <c r="C103" s="174" t="str">
        <f>VLOOKUP(B103,$B$3:$C$14,2,FALSE)</f>
        <v>24" Clamp Banner Arm</v>
      </c>
      <c r="F103" s="179">
        <f>VLOOKUP($C103,$C$2:R$14,F$16,FALSE)</f>
        <v>0</v>
      </c>
      <c r="G103" s="179">
        <f>VLOOKUP($C103,$C$2:V$14,G$16,FALSE)</f>
        <v>3.67</v>
      </c>
      <c r="H103" s="179">
        <f>VLOOKUP($C103,$C$2:W$14,H$16,FALSE)</f>
        <v>3.9</v>
      </c>
      <c r="I103" s="179">
        <f>VLOOKUP($C103,$C$2:X$14,I$16,FALSE)</f>
        <v>3.9</v>
      </c>
      <c r="J103" s="179">
        <f>VLOOKUP($C103,$C$2:Y$14,J$16,FALSE)</f>
        <v>3.9</v>
      </c>
      <c r="K103" s="179">
        <f>VLOOKUP($C103,$C$2:Z$14,K$16,FALSE)</f>
        <v>3.9</v>
      </c>
      <c r="L103" s="179">
        <f>VLOOKUP($C103,$C$2:AA$14,L$16,FALSE)</f>
        <v>3.9</v>
      </c>
      <c r="M103" s="179">
        <f>VLOOKUP($C103,$C$2:AB$14,M$16,FALSE)</f>
        <v>3.87</v>
      </c>
      <c r="N103" s="179">
        <f>VLOOKUP($C103,$C$2:AC$14,N$16,FALSE)</f>
        <v>3.87</v>
      </c>
      <c r="O103" s="179">
        <f>VLOOKUP($C103,$C$2:AD$14,O$16,FALSE)</f>
        <v>3.87</v>
      </c>
      <c r="P103" s="179">
        <f>VLOOKUP($C103,$C$2:AE$14,P$16,FALSE)</f>
        <v>4.26</v>
      </c>
      <c r="Q103" s="179">
        <f>VLOOKUP($C103,$C$2:AF$14,Q$16,FALSE)</f>
        <v>4.26</v>
      </c>
      <c r="R103" s="179">
        <f>VLOOKUP($C103,$C$2:AG$14,R$16,FALSE)</f>
        <v>4.26</v>
      </c>
      <c r="S103" s="179">
        <f>VLOOKUP($C103,$C$2:AG$14,S$16,FALSE)</f>
        <v>4.43</v>
      </c>
      <c r="T103" s="179">
        <f>VLOOKUP($C103,$C$2:AH$14,T$16,FALSE)</f>
        <v>4.43</v>
      </c>
      <c r="U103" s="179">
        <f>VLOOKUP($C103,$C$2:AI$14,U$16,FALSE)</f>
        <v>4.43</v>
      </c>
      <c r="W103" s="174">
        <f t="shared" si="47"/>
        <v>0</v>
      </c>
      <c r="X103" s="174">
        <f t="shared" si="47"/>
        <v>0</v>
      </c>
      <c r="Y103" s="174">
        <f>SUMIF(_12MonLights_TariffRateCategory,Y$33&amp;$V$101,_12MonLights_Count)-SUMIF(_12MonLights_TariffRateCategory,Y$33&amp;$V$101,_12MonLights_Count_Adj)</f>
        <v>0</v>
      </c>
      <c r="AA103" s="178">
        <f t="shared" si="26"/>
        <v>0</v>
      </c>
      <c r="AB103" s="178">
        <f t="shared" si="29"/>
        <v>0</v>
      </c>
      <c r="AC103" s="178">
        <f t="shared" si="27"/>
        <v>0</v>
      </c>
      <c r="AD103" s="178">
        <f t="shared" si="45"/>
        <v>0</v>
      </c>
    </row>
    <row r="104" spans="2:30">
      <c r="B104" s="174">
        <v>4</v>
      </c>
      <c r="C104" s="174" t="str">
        <f>VLOOKUP(B104,$B$3:$C$14,2,FALSE)</f>
        <v>24" Clamp Banner Arm</v>
      </c>
      <c r="F104" s="179">
        <f>VLOOKUP($C104,$C$2:R$14,F$16,FALSE)</f>
        <v>0</v>
      </c>
      <c r="G104" s="179">
        <f>VLOOKUP($C104,$C$2:V$14,G$16,FALSE)</f>
        <v>3.67</v>
      </c>
      <c r="H104" s="179">
        <f>VLOOKUP($C104,$C$2:W$14,H$16,FALSE)</f>
        <v>3.9</v>
      </c>
      <c r="I104" s="179">
        <f>VLOOKUP($C104,$C$2:X$14,I$16,FALSE)</f>
        <v>3.9</v>
      </c>
      <c r="J104" s="179">
        <f>VLOOKUP($C104,$C$2:Y$14,J$16,FALSE)</f>
        <v>3.9</v>
      </c>
      <c r="K104" s="179">
        <f>VLOOKUP($C104,$C$2:Z$14,K$16,FALSE)</f>
        <v>3.9</v>
      </c>
      <c r="L104" s="179">
        <f>VLOOKUP($C104,$C$2:AA$14,L$16,FALSE)</f>
        <v>3.9</v>
      </c>
      <c r="M104" s="179">
        <f>VLOOKUP($C104,$C$2:AB$14,M$16,FALSE)</f>
        <v>3.87</v>
      </c>
      <c r="N104" s="179">
        <f>VLOOKUP($C104,$C$2:AC$14,N$16,FALSE)</f>
        <v>3.87</v>
      </c>
      <c r="O104" s="179">
        <f>VLOOKUP($C104,$C$2:AD$14,O$16,FALSE)</f>
        <v>3.87</v>
      </c>
      <c r="P104" s="179">
        <f>VLOOKUP($C104,$C$2:AE$14,P$16,FALSE)</f>
        <v>4.26</v>
      </c>
      <c r="Q104" s="179">
        <f>VLOOKUP($C104,$C$2:AF$14,Q$16,FALSE)</f>
        <v>4.26</v>
      </c>
      <c r="R104" s="179">
        <f>VLOOKUP($C104,$C$2:AG$14,R$16,FALSE)</f>
        <v>4.26</v>
      </c>
      <c r="S104" s="179">
        <f>VLOOKUP($C104,$C$2:AG$14,S$16,FALSE)</f>
        <v>4.43</v>
      </c>
      <c r="T104" s="179">
        <f>VLOOKUP($C104,$C$2:AH$14,T$16,FALSE)</f>
        <v>4.43</v>
      </c>
      <c r="U104" s="179">
        <f>VLOOKUP($C104,$C$2:AI$14,U$16,FALSE)</f>
        <v>4.43</v>
      </c>
      <c r="W104" s="174">
        <f t="shared" si="47"/>
        <v>0</v>
      </c>
      <c r="X104" s="174">
        <f t="shared" si="47"/>
        <v>0</v>
      </c>
      <c r="Y104" s="174">
        <f>SUMIF(_12MonLights_TariffRateCategory,Y$33&amp;$V$101,_12MonLights_Count)-SUMIF(_12MonLights_TariffRateCategory,Y$33&amp;$V$101,_12MonLights_Count_Adj)</f>
        <v>0</v>
      </c>
      <c r="AA104" s="178">
        <f t="shared" si="26"/>
        <v>0</v>
      </c>
      <c r="AB104" s="178">
        <f t="shared" si="29"/>
        <v>0</v>
      </c>
      <c r="AC104" s="178">
        <f t="shared" si="27"/>
        <v>0</v>
      </c>
      <c r="AD104" s="178">
        <f t="shared" si="45"/>
        <v>0</v>
      </c>
    </row>
    <row r="105" spans="2:30">
      <c r="B105" s="174">
        <v>0</v>
      </c>
      <c r="C105" s="174" t="str">
        <f>$C$2</f>
        <v>Pole &amp; Fixture SL</v>
      </c>
      <c r="F105" s="179">
        <f>VLOOKUP($C105,$C$2:R$14,F$16,FALSE)</f>
        <v>34.9</v>
      </c>
      <c r="G105" s="179">
        <f>VLOOKUP($C105,$C$2:V$14,G$16,FALSE)</f>
        <v>35.840000000000003</v>
      </c>
      <c r="H105" s="179">
        <f>VLOOKUP($C105,$C$2:W$14,H$16,FALSE)</f>
        <v>38.28</v>
      </c>
      <c r="I105" s="179">
        <f>VLOOKUP($C105,$C$2:X$14,I$16,FALSE)</f>
        <v>38.44</v>
      </c>
      <c r="J105" s="179">
        <f>VLOOKUP($C105,$C$2:Y$14,J$16,FALSE)</f>
        <v>39.520000000000003</v>
      </c>
      <c r="K105" s="179">
        <f>VLOOKUP($C105,$C$2:Z$14,K$16,FALSE)</f>
        <v>39.909999999999997</v>
      </c>
      <c r="L105" s="179">
        <f>VLOOKUP($C105,$C$2:AA$14,L$16,FALSE)</f>
        <v>40.81</v>
      </c>
      <c r="M105" s="179">
        <f>VLOOKUP($C105,$C$2:AB$14,M$16,FALSE)</f>
        <v>40.19</v>
      </c>
      <c r="N105" s="179">
        <f>VLOOKUP($C105,$C$2:AC$14,N$16,FALSE)</f>
        <v>40.270000000000003</v>
      </c>
      <c r="O105" s="179">
        <f>VLOOKUP($C105,$C$2:AD$14,O$16,FALSE)</f>
        <v>44.78</v>
      </c>
      <c r="P105" s="179">
        <f>VLOOKUP($C105,$C$2:AE$14,P$16,FALSE)</f>
        <v>49.34</v>
      </c>
      <c r="Q105" s="179">
        <f>VLOOKUP($C105,$C$2:AF$14,Q$16,FALSE)</f>
        <v>49.29</v>
      </c>
      <c r="R105" s="179">
        <f>VLOOKUP($C105,$C$2:AG$14,R$16,FALSE)</f>
        <v>51</v>
      </c>
      <c r="S105" s="179">
        <f>VLOOKUP($C105,$C$2:AG$14,S$16,FALSE)</f>
        <v>53.01</v>
      </c>
      <c r="T105" s="179">
        <f>VLOOKUP($C105,$C$2:AH$14,T$16,FALSE)</f>
        <v>53.15</v>
      </c>
      <c r="U105" s="179">
        <f>VLOOKUP($C105,$C$2:AI$14,U$16,FALSE)</f>
        <v>55.33</v>
      </c>
      <c r="V105" s="177" t="s">
        <v>618</v>
      </c>
      <c r="W105" s="174">
        <f>SUMIF(_12MonLights_TariffRateCategory,W$33&amp;$V105,_12MonLights_Count)+SUMIF(_12MonLights_TariffRateCategory,W$33&amp;$V105,_12MonLights_Count_Adj)</f>
        <v>0</v>
      </c>
      <c r="X105" s="174">
        <f>SUMIF(_12MonLights_TariffRateCategory,X$33&amp;$V105,_12MonLights_Count)+SUMIF(_12MonLights_TariffRateCategory,X$33&amp;$V105,_12MonLights_Count_Adj)</f>
        <v>0</v>
      </c>
      <c r="Y105" s="174">
        <f>SUMIF(_12MonLights_TariffRateCategory,Y$33&amp;$V$105,_12MonLights_Count)-SUMIF(_12MonLights_TariffRateCategory,Y$33&amp;$V$105,_12MonLights_Count_Adj)</f>
        <v>0</v>
      </c>
      <c r="AA105" s="178">
        <f t="shared" si="26"/>
        <v>0</v>
      </c>
      <c r="AB105" s="178">
        <f>ROUND(X105*Q105,2)</f>
        <v>0</v>
      </c>
      <c r="AC105" s="178">
        <f t="shared" si="27"/>
        <v>0</v>
      </c>
      <c r="AD105" s="178">
        <f t="shared" si="45"/>
        <v>0</v>
      </c>
    </row>
    <row r="106" spans="2:30">
      <c r="B106" s="174">
        <v>2</v>
      </c>
      <c r="C106" s="174" t="str">
        <f t="shared" ref="C106:C113" si="48">VLOOKUP(B106,$B$3:$C$14,2,FALSE)</f>
        <v>Twin Crossarm Bracket (incl.extra fixture)</v>
      </c>
      <c r="F106" s="179">
        <f>VLOOKUP($C106,$C$2:R$14,F$16,FALSE)</f>
        <v>16.52</v>
      </c>
      <c r="G106" s="179">
        <f>VLOOKUP($C106,$C$2:V$14,G$16,FALSE)</f>
        <v>16.96</v>
      </c>
      <c r="H106" s="179">
        <f>VLOOKUP($C106,$C$2:W$14,H$16,FALSE)</f>
        <v>18.12</v>
      </c>
      <c r="I106" s="179">
        <f>VLOOKUP($C106,$C$2:X$14,I$16,FALSE)</f>
        <v>18.12</v>
      </c>
      <c r="J106" s="179">
        <f>VLOOKUP($C106,$C$2:Y$14,J$16,FALSE)</f>
        <v>18.12</v>
      </c>
      <c r="K106" s="179">
        <f>VLOOKUP($C106,$C$2:Z$14,K$16,FALSE)</f>
        <v>18.12</v>
      </c>
      <c r="L106" s="179">
        <f>VLOOKUP($C106,$C$2:AA$14,L$16,FALSE)</f>
        <v>18.12</v>
      </c>
      <c r="M106" s="179">
        <f>VLOOKUP($C106,$C$2:AB$14,M$16,FALSE)</f>
        <v>17.96</v>
      </c>
      <c r="N106" s="179">
        <f>VLOOKUP($C106,$C$2:AC$14,N$16,FALSE)</f>
        <v>17.96</v>
      </c>
      <c r="O106" s="179">
        <f>VLOOKUP($C106,$C$2:AD$14,O$16,FALSE)</f>
        <v>17.96</v>
      </c>
      <c r="P106" s="179">
        <f>VLOOKUP($C106,$C$2:AE$14,P$16,FALSE)</f>
        <v>19.79</v>
      </c>
      <c r="Q106" s="179">
        <f>VLOOKUP($C106,$C$2:AF$14,Q$16,FALSE)</f>
        <v>19.79</v>
      </c>
      <c r="R106" s="179">
        <f>VLOOKUP($C106,$C$2:AG$14,R$16,FALSE)</f>
        <v>19.79</v>
      </c>
      <c r="S106" s="179">
        <f>VLOOKUP($C106,$C$2:AG$14,S$16,FALSE)</f>
        <v>20.57</v>
      </c>
      <c r="T106" s="179">
        <f>VLOOKUP($C106,$C$2:AH$14,T$16,FALSE)</f>
        <v>20.57</v>
      </c>
      <c r="U106" s="179">
        <f>VLOOKUP($C106,$C$2:AI$14,U$16,FALSE)</f>
        <v>20.57</v>
      </c>
      <c r="W106" s="174">
        <f t="shared" ref="W106:X109" si="49">W105</f>
        <v>0</v>
      </c>
      <c r="X106" s="174">
        <f t="shared" si="49"/>
        <v>0</v>
      </c>
      <c r="Y106" s="174">
        <f>SUMIF(_12MonLights_TariffRateCategory,Y$33&amp;$V$105,_12MonLights_Count)-SUMIF(_12MonLights_TariffRateCategory,Y$33&amp;$V$105,_12MonLights_Count_Adj)</f>
        <v>0</v>
      </c>
      <c r="AA106" s="178">
        <f t="shared" ref="AA106:AA113" si="50">ROUND(W106*S106,2)</f>
        <v>0</v>
      </c>
      <c r="AB106" s="178">
        <f t="shared" ref="AB106:AB113" si="51">X106*Q106</f>
        <v>0</v>
      </c>
      <c r="AC106" s="178">
        <f t="shared" ref="AC106:AC113" si="52">ROUND(Y106*U106,2)</f>
        <v>0</v>
      </c>
      <c r="AD106" s="178">
        <f t="shared" si="45"/>
        <v>0</v>
      </c>
    </row>
    <row r="107" spans="2:30">
      <c r="B107" s="174">
        <v>4</v>
      </c>
      <c r="C107" s="174" t="str">
        <f t="shared" si="48"/>
        <v>24" Clamp Banner Arm</v>
      </c>
      <c r="F107" s="179">
        <f>VLOOKUP($C107,$C$2:R$14,F$16,FALSE)</f>
        <v>0</v>
      </c>
      <c r="G107" s="179">
        <f>VLOOKUP($C107,$C$2:V$14,G$16,FALSE)</f>
        <v>3.67</v>
      </c>
      <c r="H107" s="179">
        <f>VLOOKUP($C107,$C$2:W$14,H$16,FALSE)</f>
        <v>3.9</v>
      </c>
      <c r="I107" s="179">
        <f>VLOOKUP($C107,$C$2:X$14,I$16,FALSE)</f>
        <v>3.9</v>
      </c>
      <c r="J107" s="179">
        <f>VLOOKUP($C107,$C$2:Y$14,J$16,FALSE)</f>
        <v>3.9</v>
      </c>
      <c r="K107" s="179">
        <f>VLOOKUP($C107,$C$2:Z$14,K$16,FALSE)</f>
        <v>3.9</v>
      </c>
      <c r="L107" s="179">
        <f>VLOOKUP($C107,$C$2:AA$14,L$16,FALSE)</f>
        <v>3.9</v>
      </c>
      <c r="M107" s="179">
        <f>VLOOKUP($C107,$C$2:AB$14,M$16,FALSE)</f>
        <v>3.87</v>
      </c>
      <c r="N107" s="179">
        <f>VLOOKUP($C107,$C$2:AC$14,N$16,FALSE)</f>
        <v>3.87</v>
      </c>
      <c r="O107" s="179">
        <f>VLOOKUP($C107,$C$2:AD$14,O$16,FALSE)</f>
        <v>3.87</v>
      </c>
      <c r="P107" s="179">
        <f>VLOOKUP($C107,$C$2:AE$14,P$16,FALSE)</f>
        <v>4.26</v>
      </c>
      <c r="Q107" s="179">
        <f>VLOOKUP($C107,$C$2:AF$14,Q$16,FALSE)</f>
        <v>4.26</v>
      </c>
      <c r="R107" s="179">
        <f>VLOOKUP($C107,$C$2:AG$14,R$16,FALSE)</f>
        <v>4.26</v>
      </c>
      <c r="S107" s="179">
        <f>VLOOKUP($C107,$C$2:AG$14,S$16,FALSE)</f>
        <v>4.43</v>
      </c>
      <c r="T107" s="179">
        <f>VLOOKUP($C107,$C$2:AH$14,T$16,FALSE)</f>
        <v>4.43</v>
      </c>
      <c r="U107" s="179">
        <f>VLOOKUP($C107,$C$2:AI$14,U$16,FALSE)</f>
        <v>4.43</v>
      </c>
      <c r="W107" s="174">
        <f t="shared" si="49"/>
        <v>0</v>
      </c>
      <c r="X107" s="174">
        <f t="shared" si="49"/>
        <v>0</v>
      </c>
      <c r="Y107" s="174">
        <f>SUMIF(_12MonLights_TariffRateCategory,Y$33&amp;$V$105,_12MonLights_Count)-SUMIF(_12MonLights_TariffRateCategory,Y$33&amp;$V$105,_12MonLights_Count_Adj)</f>
        <v>0</v>
      </c>
      <c r="AA107" s="178">
        <f t="shared" si="50"/>
        <v>0</v>
      </c>
      <c r="AB107" s="178">
        <f t="shared" si="51"/>
        <v>0</v>
      </c>
      <c r="AC107" s="178">
        <f t="shared" si="52"/>
        <v>0</v>
      </c>
      <c r="AD107" s="178">
        <f t="shared" si="45"/>
        <v>0</v>
      </c>
    </row>
    <row r="108" spans="2:30">
      <c r="B108" s="174">
        <v>4</v>
      </c>
      <c r="C108" s="174" t="str">
        <f t="shared" si="48"/>
        <v>24" Clamp Banner Arm</v>
      </c>
      <c r="F108" s="179">
        <f>VLOOKUP($C108,$C$2:R$14,F$16,FALSE)</f>
        <v>0</v>
      </c>
      <c r="G108" s="179">
        <f>VLOOKUP($C108,$C$2:V$14,G$16,FALSE)</f>
        <v>3.67</v>
      </c>
      <c r="H108" s="179">
        <f>VLOOKUP($C108,$C$2:W$14,H$16,FALSE)</f>
        <v>3.9</v>
      </c>
      <c r="I108" s="179">
        <f>VLOOKUP($C108,$C$2:X$14,I$16,FALSE)</f>
        <v>3.9</v>
      </c>
      <c r="J108" s="179">
        <f>VLOOKUP($C108,$C$2:Y$14,J$16,FALSE)</f>
        <v>3.9</v>
      </c>
      <c r="K108" s="179">
        <f>VLOOKUP($C108,$C$2:Z$14,K$16,FALSE)</f>
        <v>3.9</v>
      </c>
      <c r="L108" s="179">
        <f>VLOOKUP($C108,$C$2:AA$14,L$16,FALSE)</f>
        <v>3.9</v>
      </c>
      <c r="M108" s="179">
        <f>VLOOKUP($C108,$C$2:AB$14,M$16,FALSE)</f>
        <v>3.87</v>
      </c>
      <c r="N108" s="179">
        <f>VLOOKUP($C108,$C$2:AC$14,N$16,FALSE)</f>
        <v>3.87</v>
      </c>
      <c r="O108" s="179">
        <f>VLOOKUP($C108,$C$2:AD$14,O$16,FALSE)</f>
        <v>3.87</v>
      </c>
      <c r="P108" s="179">
        <f>VLOOKUP($C108,$C$2:AE$14,P$16,FALSE)</f>
        <v>4.26</v>
      </c>
      <c r="Q108" s="179">
        <f>VLOOKUP($C108,$C$2:AF$14,Q$16,FALSE)</f>
        <v>4.26</v>
      </c>
      <c r="R108" s="179">
        <f>VLOOKUP($C108,$C$2:AG$14,R$16,FALSE)</f>
        <v>4.26</v>
      </c>
      <c r="S108" s="179">
        <f>VLOOKUP($C108,$C$2:AG$14,S$16,FALSE)</f>
        <v>4.43</v>
      </c>
      <c r="T108" s="179">
        <f>VLOOKUP($C108,$C$2:AH$14,T$16,FALSE)</f>
        <v>4.43</v>
      </c>
      <c r="U108" s="179">
        <f>VLOOKUP($C108,$C$2:AI$14,U$16,FALSE)</f>
        <v>4.43</v>
      </c>
      <c r="W108" s="174">
        <f t="shared" si="49"/>
        <v>0</v>
      </c>
      <c r="X108" s="174">
        <f t="shared" si="49"/>
        <v>0</v>
      </c>
      <c r="Y108" s="174">
        <f>SUMIF(_12MonLights_TariffRateCategory,Y$33&amp;$V$105,_12MonLights_Count)-SUMIF(_12MonLights_TariffRateCategory,Y$33&amp;$V$105,_12MonLights_Count_Adj)</f>
        <v>0</v>
      </c>
      <c r="AA108" s="178">
        <f t="shared" si="50"/>
        <v>0</v>
      </c>
      <c r="AB108" s="178">
        <f t="shared" si="51"/>
        <v>0</v>
      </c>
      <c r="AC108" s="178">
        <f t="shared" si="52"/>
        <v>0</v>
      </c>
      <c r="AD108" s="178">
        <f t="shared" si="45"/>
        <v>0</v>
      </c>
    </row>
    <row r="109" spans="2:30">
      <c r="B109" s="174">
        <v>6</v>
      </c>
      <c r="C109" s="174" t="str">
        <f t="shared" si="48"/>
        <v>Flagpole Holder</v>
      </c>
      <c r="F109" s="179">
        <f>VLOOKUP($C109,$C$2:R$14,F$16,FALSE)</f>
        <v>1.0900000000000001</v>
      </c>
      <c r="G109" s="179">
        <f>VLOOKUP($C109,$C$2:V$14,G$16,FALSE)</f>
        <v>1.1200000000000001</v>
      </c>
      <c r="H109" s="179">
        <f>VLOOKUP($C109,$C$2:W$14,H$16,FALSE)</f>
        <v>1.2</v>
      </c>
      <c r="I109" s="179">
        <f>VLOOKUP($C109,$C$2:X$14,I$16,FALSE)</f>
        <v>1.2</v>
      </c>
      <c r="J109" s="179">
        <f>VLOOKUP($C109,$C$2:Y$14,J$16,FALSE)</f>
        <v>1.2</v>
      </c>
      <c r="K109" s="179">
        <f>VLOOKUP($C109,$C$2:Z$14,K$16,FALSE)</f>
        <v>1.2</v>
      </c>
      <c r="L109" s="179">
        <f>VLOOKUP($C109,$C$2:AA$14,L$16,FALSE)</f>
        <v>1.2</v>
      </c>
      <c r="M109" s="179">
        <f>VLOOKUP($C109,$C$2:AB$14,M$16,FALSE)</f>
        <v>1.19</v>
      </c>
      <c r="N109" s="179">
        <f>VLOOKUP($C109,$C$2:AC$14,N$16,FALSE)</f>
        <v>1.19</v>
      </c>
      <c r="O109" s="179">
        <f>VLOOKUP($C109,$C$2:AD$14,O$16,FALSE)</f>
        <v>1.19</v>
      </c>
      <c r="P109" s="179">
        <f>VLOOKUP($C109,$C$2:AE$14,P$16,FALSE)</f>
        <v>1.31</v>
      </c>
      <c r="Q109" s="179">
        <f>VLOOKUP($C109,$C$2:AF$14,Q$16,FALSE)</f>
        <v>1.31</v>
      </c>
      <c r="R109" s="179">
        <f>VLOOKUP($C109,$C$2:AG$14,R$16,FALSE)</f>
        <v>1.31</v>
      </c>
      <c r="S109" s="179">
        <f>VLOOKUP($C109,$C$2:AG$14,S$16,FALSE)</f>
        <v>1.36</v>
      </c>
      <c r="T109" s="179">
        <f>VLOOKUP($C109,$C$2:AH$14,T$16,FALSE)</f>
        <v>1.36</v>
      </c>
      <c r="U109" s="179">
        <f>VLOOKUP($C109,$C$2:AI$14,U$16,FALSE)</f>
        <v>1.36</v>
      </c>
      <c r="W109" s="174">
        <f t="shared" si="49"/>
        <v>0</v>
      </c>
      <c r="X109" s="174">
        <f t="shared" si="49"/>
        <v>0</v>
      </c>
      <c r="Y109" s="174">
        <f>SUMIF(_12MonLights_TariffRateCategory,Y$33&amp;$V$105,_12MonLights_Count)-SUMIF(_12MonLights_TariffRateCategory,Y$33&amp;$V$105,_12MonLights_Count_Adj)</f>
        <v>0</v>
      </c>
      <c r="AA109" s="178">
        <f t="shared" si="50"/>
        <v>0</v>
      </c>
      <c r="AB109" s="178">
        <f t="shared" si="51"/>
        <v>0</v>
      </c>
      <c r="AC109" s="178">
        <f t="shared" si="52"/>
        <v>0</v>
      </c>
      <c r="AD109" s="178">
        <f t="shared" si="45"/>
        <v>0</v>
      </c>
    </row>
    <row r="110" spans="2:30">
      <c r="B110" s="174">
        <v>0</v>
      </c>
      <c r="C110" s="174" t="str">
        <f>$C$2</f>
        <v>Pole &amp; Fixture SL</v>
      </c>
      <c r="F110" s="179">
        <f>VLOOKUP($C110,$C$2:R$14,F$16,FALSE)</f>
        <v>34.9</v>
      </c>
      <c r="G110" s="179">
        <f>VLOOKUP($C110,$C$2:V$14,G$16,FALSE)</f>
        <v>35.840000000000003</v>
      </c>
      <c r="H110" s="179">
        <f>VLOOKUP($C110,$C$2:W$14,H$16,FALSE)</f>
        <v>38.28</v>
      </c>
      <c r="I110" s="179">
        <f>VLOOKUP($C110,$C$2:X$14,I$16,FALSE)</f>
        <v>38.44</v>
      </c>
      <c r="J110" s="179">
        <f>VLOOKUP($C110,$C$2:Y$14,J$16,FALSE)</f>
        <v>39.520000000000003</v>
      </c>
      <c r="K110" s="179">
        <f>VLOOKUP($C110,$C$2:Z$14,K$16,FALSE)</f>
        <v>39.909999999999997</v>
      </c>
      <c r="L110" s="179">
        <f>VLOOKUP($C110,$C$2:AA$14,L$16,FALSE)</f>
        <v>40.81</v>
      </c>
      <c r="M110" s="179">
        <f>VLOOKUP($C110,$C$2:AB$14,M$16,FALSE)</f>
        <v>40.19</v>
      </c>
      <c r="N110" s="179">
        <f>VLOOKUP($C110,$C$2:AC$14,N$16,FALSE)</f>
        <v>40.270000000000003</v>
      </c>
      <c r="O110" s="179">
        <f>VLOOKUP($C110,$C$2:AD$14,O$16,FALSE)</f>
        <v>44.78</v>
      </c>
      <c r="P110" s="179">
        <f>VLOOKUP($C110,$C$2:AE$14,P$16,FALSE)</f>
        <v>49.34</v>
      </c>
      <c r="Q110" s="179">
        <f>VLOOKUP($C110,$C$2:AF$14,Q$16,FALSE)</f>
        <v>49.29</v>
      </c>
      <c r="R110" s="179">
        <f>VLOOKUP($C110,$C$2:AG$14,R$16,FALSE)</f>
        <v>51</v>
      </c>
      <c r="S110" s="179">
        <f>VLOOKUP($C110,$C$2:AG$14,S$16,FALSE)</f>
        <v>53.01</v>
      </c>
      <c r="T110" s="179">
        <f>VLOOKUP($C110,$C$2:AH$14,T$16,FALSE)</f>
        <v>53.15</v>
      </c>
      <c r="U110" s="179">
        <f>VLOOKUP($C110,$C$2:AI$14,U$16,FALSE)</f>
        <v>55.33</v>
      </c>
      <c r="V110" s="174" t="s">
        <v>619</v>
      </c>
      <c r="W110" s="174">
        <f>SUMIF(_12MonLights_TariffRateCategory,W$33&amp;$V110,_12MonLights_Count)+SUMIF(_12MonLights_TariffRateCategory,W$33&amp;$V110,_12MonLights_Count_Adj)</f>
        <v>0</v>
      </c>
      <c r="X110" s="174">
        <f>SUMIF(_12MonLights_TariffRateCategory,X$33&amp;$V110,_12MonLights_Count)+SUMIF(_12MonLights_TariffRateCategory,X$33&amp;$V110,_12MonLights_Count_Adj)</f>
        <v>0</v>
      </c>
      <c r="Y110" s="174">
        <f>SUMIF(_12MonLights_TariffRateCategory,Y$33&amp;$V$110,_12MonLights_Count)-SUMIF(_12MonLights_TariffRateCategory,Y$33&amp;$V$110,_12MonLights_Count_Adj)</f>
        <v>0</v>
      </c>
      <c r="AA110" s="178">
        <f t="shared" si="50"/>
        <v>0</v>
      </c>
      <c r="AB110" s="178">
        <f>ROUND(X110*Q110,2)</f>
        <v>0</v>
      </c>
      <c r="AC110" s="178">
        <f t="shared" si="52"/>
        <v>0</v>
      </c>
      <c r="AD110" s="178">
        <f t="shared" si="45"/>
        <v>0</v>
      </c>
    </row>
    <row r="111" spans="2:30">
      <c r="B111" s="174">
        <v>2</v>
      </c>
      <c r="C111" s="174" t="str">
        <f t="shared" si="48"/>
        <v>Twin Crossarm Bracket (incl.extra fixture)</v>
      </c>
      <c r="F111" s="179">
        <f>VLOOKUP($C111,$C$2:R$14,F$16,FALSE)</f>
        <v>16.52</v>
      </c>
      <c r="G111" s="179">
        <f>VLOOKUP($C111,$C$2:V$14,G$16,FALSE)</f>
        <v>16.96</v>
      </c>
      <c r="H111" s="179">
        <f>VLOOKUP($C111,$C$2:W$14,H$16,FALSE)</f>
        <v>18.12</v>
      </c>
      <c r="I111" s="179">
        <f>VLOOKUP($C111,$C$2:X$14,I$16,FALSE)</f>
        <v>18.12</v>
      </c>
      <c r="J111" s="179">
        <f>VLOOKUP($C111,$C$2:Y$14,J$16,FALSE)</f>
        <v>18.12</v>
      </c>
      <c r="K111" s="179">
        <f>VLOOKUP($C111,$C$2:Z$14,K$16,FALSE)</f>
        <v>18.12</v>
      </c>
      <c r="L111" s="179">
        <f>VLOOKUP($C111,$C$2:AA$14,L$16,FALSE)</f>
        <v>18.12</v>
      </c>
      <c r="M111" s="179">
        <f>VLOOKUP($C111,$C$2:AB$14,M$16,FALSE)</f>
        <v>17.96</v>
      </c>
      <c r="N111" s="179">
        <f>VLOOKUP($C111,$C$2:AC$14,N$16,FALSE)</f>
        <v>17.96</v>
      </c>
      <c r="O111" s="179">
        <f>VLOOKUP($C111,$C$2:AD$14,O$16,FALSE)</f>
        <v>17.96</v>
      </c>
      <c r="P111" s="179">
        <f>VLOOKUP($C111,$C$2:AE$14,P$16,FALSE)</f>
        <v>19.79</v>
      </c>
      <c r="Q111" s="179">
        <f>VLOOKUP($C111,$C$2:AF$14,Q$16,FALSE)</f>
        <v>19.79</v>
      </c>
      <c r="R111" s="179">
        <f>VLOOKUP($C111,$C$2:AG$14,R$16,FALSE)</f>
        <v>19.79</v>
      </c>
      <c r="S111" s="179">
        <f>VLOOKUP($C111,$C$2:AG$14,S$16,FALSE)</f>
        <v>20.57</v>
      </c>
      <c r="T111" s="179">
        <f>VLOOKUP($C111,$C$2:AH$14,T$16,FALSE)</f>
        <v>20.57</v>
      </c>
      <c r="U111" s="179">
        <f>VLOOKUP($C111,$C$2:AI$14,U$16,FALSE)</f>
        <v>20.57</v>
      </c>
      <c r="W111" s="174">
        <f t="shared" ref="W111:X113" si="53">W110</f>
        <v>0</v>
      </c>
      <c r="X111" s="174">
        <f t="shared" si="53"/>
        <v>0</v>
      </c>
      <c r="Y111" s="174">
        <f>SUMIF(_12MonLights_TariffRateCategory,Y$33&amp;$V$110,_12MonLights_Count)-SUMIF(_12MonLights_TariffRateCategory,Y$33&amp;$V$110,_12MonLights_Count_Adj)</f>
        <v>0</v>
      </c>
      <c r="AA111" s="178">
        <f t="shared" si="50"/>
        <v>0</v>
      </c>
      <c r="AB111" s="178">
        <f t="shared" si="51"/>
        <v>0</v>
      </c>
      <c r="AC111" s="178">
        <f t="shared" si="52"/>
        <v>0</v>
      </c>
      <c r="AD111" s="178">
        <f t="shared" si="45"/>
        <v>0</v>
      </c>
    </row>
    <row r="112" spans="2:30">
      <c r="B112" s="174">
        <v>5</v>
      </c>
      <c r="C112" s="174" t="str">
        <f t="shared" si="48"/>
        <v>18" Banner Arm (each)</v>
      </c>
      <c r="F112" s="179">
        <f>VLOOKUP($C112,$C$2:R$14,F$16,FALSE)</f>
        <v>2.37</v>
      </c>
      <c r="G112" s="179">
        <f>VLOOKUP($C112,$C$2:V$14,G$16,FALSE)</f>
        <v>2.4300000000000002</v>
      </c>
      <c r="H112" s="179">
        <f>VLOOKUP($C112,$C$2:W$14,H$16,FALSE)</f>
        <v>2.6</v>
      </c>
      <c r="I112" s="179">
        <f>VLOOKUP($C112,$C$2:X$14,I$16,FALSE)</f>
        <v>2.6</v>
      </c>
      <c r="J112" s="179">
        <f>VLOOKUP($C112,$C$2:Y$14,J$16,FALSE)</f>
        <v>2.6</v>
      </c>
      <c r="K112" s="179">
        <f>VLOOKUP($C112,$C$2:Z$14,K$16,FALSE)</f>
        <v>2.6</v>
      </c>
      <c r="L112" s="179">
        <f>VLOOKUP($C112,$C$2:AA$14,L$16,FALSE)</f>
        <v>2.6</v>
      </c>
      <c r="M112" s="179">
        <f>VLOOKUP($C112,$C$2:AB$14,M$16,FALSE)</f>
        <v>2.58</v>
      </c>
      <c r="N112" s="179">
        <f>VLOOKUP($C112,$C$2:AC$14,N$16,FALSE)</f>
        <v>2.58</v>
      </c>
      <c r="O112" s="179">
        <f>VLOOKUP($C112,$C$2:AD$14,O$16,FALSE)</f>
        <v>2.58</v>
      </c>
      <c r="P112" s="179">
        <f>VLOOKUP($C112,$C$2:AE$14,P$16,FALSE)</f>
        <v>2.84</v>
      </c>
      <c r="Q112" s="179">
        <f>VLOOKUP($C112,$C$2:AF$14,Q$16,FALSE)</f>
        <v>2.84</v>
      </c>
      <c r="R112" s="179">
        <f>VLOOKUP($C112,$C$2:AG$14,R$16,FALSE)</f>
        <v>2.84</v>
      </c>
      <c r="S112" s="179">
        <f>VLOOKUP($C112,$C$2:AG$14,S$16,FALSE)</f>
        <v>2.95</v>
      </c>
      <c r="T112" s="179">
        <f>VLOOKUP($C112,$C$2:AH$14,T$16,FALSE)</f>
        <v>2.95</v>
      </c>
      <c r="U112" s="179">
        <f>VLOOKUP($C112,$C$2:AI$14,U$16,FALSE)</f>
        <v>2.95</v>
      </c>
      <c r="W112" s="174">
        <f t="shared" si="53"/>
        <v>0</v>
      </c>
      <c r="X112" s="174">
        <f t="shared" si="53"/>
        <v>0</v>
      </c>
      <c r="Y112" s="174">
        <f>SUMIF(_12MonLights_TariffRateCategory,Y$33&amp;$V$110,_12MonLights_Count)-SUMIF(_12MonLights_TariffRateCategory,Y$33&amp;$V$110,_12MonLights_Count_Adj)</f>
        <v>0</v>
      </c>
      <c r="AA112" s="178">
        <f t="shared" si="50"/>
        <v>0</v>
      </c>
      <c r="AB112" s="178">
        <f t="shared" si="51"/>
        <v>0</v>
      </c>
      <c r="AC112" s="178">
        <f t="shared" si="52"/>
        <v>0</v>
      </c>
      <c r="AD112" s="178">
        <f t="shared" si="45"/>
        <v>0</v>
      </c>
    </row>
    <row r="113" spans="2:30">
      <c r="B113" s="174">
        <v>5</v>
      </c>
      <c r="C113" s="174" t="str">
        <f t="shared" si="48"/>
        <v>18" Banner Arm (each)</v>
      </c>
      <c r="F113" s="179">
        <f>VLOOKUP($C113,$C$2:R$14,F$16,FALSE)</f>
        <v>2.37</v>
      </c>
      <c r="G113" s="179">
        <f>VLOOKUP($C113,$C$2:V$14,G$16,FALSE)</f>
        <v>2.4300000000000002</v>
      </c>
      <c r="H113" s="179">
        <f>VLOOKUP($C113,$C$2:W$14,H$16,FALSE)</f>
        <v>2.6</v>
      </c>
      <c r="I113" s="179">
        <f>VLOOKUP($C113,$C$2:X$14,I$16,FALSE)</f>
        <v>2.6</v>
      </c>
      <c r="J113" s="179">
        <f>VLOOKUP($C113,$C$2:Y$14,J$16,FALSE)</f>
        <v>2.6</v>
      </c>
      <c r="K113" s="179">
        <f>VLOOKUP($C113,$C$2:Z$14,K$16,FALSE)</f>
        <v>2.6</v>
      </c>
      <c r="L113" s="179">
        <f>VLOOKUP($C113,$C$2:AA$14,L$16,FALSE)</f>
        <v>2.6</v>
      </c>
      <c r="M113" s="179">
        <f>VLOOKUP($C113,$C$2:AB$14,M$16,FALSE)</f>
        <v>2.58</v>
      </c>
      <c r="N113" s="179">
        <f>VLOOKUP($C113,$C$2:AC$14,N$16,FALSE)</f>
        <v>2.58</v>
      </c>
      <c r="O113" s="179">
        <f>VLOOKUP($C113,$C$2:AD$14,O$16,FALSE)</f>
        <v>2.58</v>
      </c>
      <c r="P113" s="179">
        <f>VLOOKUP($C113,$C$2:AE$14,P$16,FALSE)</f>
        <v>2.84</v>
      </c>
      <c r="Q113" s="179">
        <f>VLOOKUP($C113,$C$2:AF$14,Q$16,FALSE)</f>
        <v>2.84</v>
      </c>
      <c r="R113" s="179">
        <f>VLOOKUP($C113,$C$2:AG$14,R$16,FALSE)</f>
        <v>2.84</v>
      </c>
      <c r="S113" s="179">
        <f>VLOOKUP($C113,$C$2:AG$14,S$16,FALSE)</f>
        <v>2.95</v>
      </c>
      <c r="T113" s="179">
        <f>VLOOKUP($C113,$C$2:AH$14,T$16,FALSE)</f>
        <v>2.95</v>
      </c>
      <c r="U113" s="179">
        <f>VLOOKUP($C113,$C$2:AI$14,U$16,FALSE)</f>
        <v>2.95</v>
      </c>
      <c r="W113" s="174">
        <f t="shared" si="53"/>
        <v>0</v>
      </c>
      <c r="X113" s="174">
        <f t="shared" si="53"/>
        <v>0</v>
      </c>
      <c r="Y113" s="174">
        <f>SUMIF(_12MonLights_TariffRateCategory,Y$33&amp;$V$110,_12MonLights_Count)-SUMIF(_12MonLights_TariffRateCategory,Y$33&amp;$V$110,_12MonLights_Count_Adj)</f>
        <v>0</v>
      </c>
      <c r="AA113" s="178">
        <f t="shared" si="50"/>
        <v>0</v>
      </c>
      <c r="AB113" s="178">
        <f t="shared" si="51"/>
        <v>0</v>
      </c>
      <c r="AC113" s="178">
        <f t="shared" si="52"/>
        <v>0</v>
      </c>
      <c r="AD113" s="178">
        <f t="shared" si="45"/>
        <v>0</v>
      </c>
    </row>
  </sheetData>
  <autoFilter ref="B40:B113"/>
  <mergeCells count="2">
    <mergeCell ref="W39:Y39"/>
    <mergeCell ref="AA39:AD39"/>
  </mergeCells>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I115"/>
  <sheetViews>
    <sheetView workbookViewId="0"/>
  </sheetViews>
  <sheetFormatPr defaultRowHeight="12"/>
  <cols>
    <col min="1" max="1" width="17.6640625" customWidth="1"/>
    <col min="2" max="2" width="16.83203125" bestFit="1" customWidth="1"/>
    <col min="3" max="4" width="10.1640625" bestFit="1" customWidth="1"/>
    <col min="6" max="6" width="23.83203125" bestFit="1" customWidth="1"/>
    <col min="11" max="11" width="10.1640625" bestFit="1" customWidth="1"/>
    <col min="23" max="23" width="11.6640625" bestFit="1" customWidth="1"/>
    <col min="27" max="27" width="11.6640625" bestFit="1" customWidth="1"/>
    <col min="34" max="34" width="10" bestFit="1" customWidth="1"/>
    <col min="35" max="35" width="9.5" bestFit="1" customWidth="1"/>
  </cols>
  <sheetData>
    <row r="1" spans="1:35">
      <c r="A1" t="s">
        <v>74</v>
      </c>
      <c r="C1" t="s">
        <v>75</v>
      </c>
      <c r="D1" s="4">
        <f>EOMONTH(F1,-12)+1</f>
        <v>42186</v>
      </c>
      <c r="E1" t="s">
        <v>29</v>
      </c>
      <c r="F1" s="226">
        <v>42551</v>
      </c>
    </row>
    <row r="2" spans="1:35">
      <c r="F2" s="4"/>
      <c r="J2" s="15"/>
    </row>
    <row r="3" spans="1:35" ht="36">
      <c r="A3" s="15" t="s">
        <v>93</v>
      </c>
      <c r="C3" s="41"/>
      <c r="D3" s="41"/>
      <c r="E3" s="41"/>
      <c r="F3" s="191"/>
      <c r="G3" s="41"/>
      <c r="H3" s="41"/>
      <c r="I3" s="191"/>
      <c r="J3" s="41"/>
      <c r="K3" s="41"/>
      <c r="L3" s="191"/>
      <c r="M3" s="41"/>
      <c r="N3" s="41"/>
      <c r="O3" s="191"/>
      <c r="P3" s="41"/>
      <c r="Q3" s="41"/>
      <c r="R3" s="2"/>
      <c r="S3" s="2"/>
      <c r="T3" s="2" t="s">
        <v>1463</v>
      </c>
      <c r="U3" s="2" t="s">
        <v>1464</v>
      </c>
      <c r="V3" s="2"/>
      <c r="W3" s="2" t="s">
        <v>651</v>
      </c>
      <c r="X3" s="2" t="s">
        <v>652</v>
      </c>
      <c r="Y3" s="2"/>
      <c r="Z3" s="2"/>
    </row>
    <row r="4" spans="1:35" ht="24">
      <c r="B4" t="s">
        <v>1386</v>
      </c>
      <c r="C4" s="40" t="s">
        <v>672</v>
      </c>
      <c r="D4" s="432" t="s">
        <v>1387</v>
      </c>
      <c r="E4" s="192" t="s">
        <v>694</v>
      </c>
      <c r="F4" s="40"/>
      <c r="G4" s="40"/>
      <c r="H4" s="192"/>
      <c r="I4" s="40"/>
      <c r="J4" s="40"/>
      <c r="K4" s="192"/>
      <c r="L4" s="40"/>
      <c r="M4" s="40"/>
      <c r="N4" s="192"/>
      <c r="O4" s="40"/>
      <c r="P4" s="40"/>
      <c r="Q4" s="192"/>
      <c r="T4">
        <v>20140101</v>
      </c>
      <c r="U4" t="s">
        <v>14</v>
      </c>
      <c r="V4">
        <v>1</v>
      </c>
      <c r="W4" s="229" t="s">
        <v>152</v>
      </c>
      <c r="X4">
        <f>ROW()</f>
        <v>4</v>
      </c>
      <c r="Y4" s="228" t="s">
        <v>18</v>
      </c>
      <c r="AB4">
        <v>1</v>
      </c>
      <c r="AC4" s="15" t="s">
        <v>416</v>
      </c>
      <c r="AE4" s="228" t="s">
        <v>1139</v>
      </c>
    </row>
    <row r="5" spans="1:35" ht="12.75" thickBot="1">
      <c r="A5" s="60">
        <f>IF(A64=MONTH($F$1),$F$1,IF(A64&lt;MONTH($F$1),EOMONTH(A6,-1),IF(A64=MONTH($F$1)+1,EOMONTH(A4,-11),EOMONTH(A4,1))))</f>
        <v>42400</v>
      </c>
      <c r="B5" s="1" t="str">
        <f>TEXT(A5,"mmm yyyy")</f>
        <v>Jan 2016</v>
      </c>
      <c r="C5" s="41"/>
      <c r="D5" s="41">
        <v>2.8920000000000001E-2</v>
      </c>
      <c r="E5" s="41">
        <f>C5+D5-0.02892</f>
        <v>0</v>
      </c>
      <c r="F5" s="41"/>
      <c r="G5" s="41"/>
      <c r="H5" s="41"/>
      <c r="I5" s="41"/>
      <c r="J5" s="41"/>
      <c r="K5" s="41"/>
      <c r="L5" s="41"/>
      <c r="M5" s="41"/>
      <c r="N5" s="41"/>
      <c r="O5" s="41"/>
      <c r="P5" s="41"/>
      <c r="Q5" s="41"/>
      <c r="U5" s="15" t="s">
        <v>828</v>
      </c>
      <c r="V5">
        <f>V4+1</f>
        <v>2</v>
      </c>
      <c r="W5" s="230" t="s">
        <v>153</v>
      </c>
      <c r="X5">
        <f>ROW()</f>
        <v>5</v>
      </c>
      <c r="Y5" s="228" t="s">
        <v>25</v>
      </c>
      <c r="AB5">
        <f>AB4+1</f>
        <v>2</v>
      </c>
      <c r="AC5" s="15" t="s">
        <v>417</v>
      </c>
      <c r="AE5" s="228" t="s">
        <v>1139</v>
      </c>
    </row>
    <row r="6" spans="1:35" ht="12.75" thickBot="1">
      <c r="A6" s="60">
        <f t="shared" ref="A6:A16" si="0">IF(A65=MONTH($F$1),$F$1,IF(A65&lt;MONTH($F$1),EOMONTH(A7,-1),IF(A65=MONTH($F$1)+1,EOMONTH(A5,-11),EOMONTH(A5,1))))</f>
        <v>42429</v>
      </c>
      <c r="B6" s="1" t="str">
        <f t="shared" ref="B6:B18" si="1">TEXT(A6,"mmm yyyy")</f>
        <v>Feb 2016</v>
      </c>
      <c r="C6" s="41"/>
      <c r="D6" s="41">
        <v>2.8920000000000001E-2</v>
      </c>
      <c r="E6" s="41">
        <f t="shared" ref="E6:E18" si="2">C6+D6-0.02892</f>
        <v>0</v>
      </c>
      <c r="F6" s="41"/>
      <c r="G6" s="41"/>
      <c r="H6" s="41"/>
      <c r="I6" s="41"/>
      <c r="J6" s="41"/>
      <c r="K6" s="41"/>
      <c r="L6" s="41"/>
      <c r="M6" s="41"/>
      <c r="N6" s="41"/>
      <c r="O6" s="41"/>
      <c r="P6" s="41"/>
      <c r="Q6" s="41"/>
      <c r="U6" t="s">
        <v>208</v>
      </c>
      <c r="V6">
        <f t="shared" ref="V6:V42" si="3">V5+1</f>
        <v>3</v>
      </c>
      <c r="W6" s="231" t="s">
        <v>154</v>
      </c>
      <c r="X6">
        <f>ROW()</f>
        <v>6</v>
      </c>
      <c r="Y6" s="228" t="s">
        <v>24</v>
      </c>
      <c r="AB6">
        <f>AB5+1</f>
        <v>3</v>
      </c>
      <c r="AC6" t="s">
        <v>323</v>
      </c>
      <c r="AE6" s="228" t="s">
        <v>1139</v>
      </c>
      <c r="AF6" s="28" t="s">
        <v>323</v>
      </c>
      <c r="AG6" t="str">
        <f>IF(AC6=AF6,"","err")</f>
        <v/>
      </c>
      <c r="AI6" s="30"/>
    </row>
    <row r="7" spans="1:35" ht="12.75" thickBot="1">
      <c r="A7" s="60">
        <f t="shared" si="0"/>
        <v>42460</v>
      </c>
      <c r="B7" s="1" t="str">
        <f t="shared" si="1"/>
        <v>Mar 2016</v>
      </c>
      <c r="C7" s="41"/>
      <c r="D7" s="41">
        <v>2.8920000000000001E-2</v>
      </c>
      <c r="E7" s="41">
        <f t="shared" si="2"/>
        <v>0</v>
      </c>
      <c r="F7" s="41"/>
      <c r="G7" s="41"/>
      <c r="H7" s="41"/>
      <c r="I7" s="41"/>
      <c r="J7" s="41"/>
      <c r="K7" s="41"/>
      <c r="L7" s="41"/>
      <c r="M7" s="41"/>
      <c r="N7" s="41"/>
      <c r="O7" s="41"/>
      <c r="P7" s="41"/>
      <c r="Q7" s="41"/>
      <c r="U7" t="s">
        <v>17</v>
      </c>
      <c r="V7">
        <f t="shared" si="3"/>
        <v>4</v>
      </c>
      <c r="W7" s="229" t="s">
        <v>155</v>
      </c>
      <c r="X7">
        <f>ROW()</f>
        <v>7</v>
      </c>
      <c r="Y7" s="228" t="s">
        <v>205</v>
      </c>
      <c r="AB7">
        <f>AB6+1</f>
        <v>4</v>
      </c>
      <c r="AC7" t="s">
        <v>328</v>
      </c>
      <c r="AE7" s="228" t="s">
        <v>1139</v>
      </c>
      <c r="AF7" s="28" t="s">
        <v>328</v>
      </c>
      <c r="AG7" t="str">
        <f t="shared" ref="AG7:AG23" si="4">IF(AC7=AF7,"","err")</f>
        <v/>
      </c>
      <c r="AI7" s="30"/>
    </row>
    <row r="8" spans="1:35" ht="12.75" thickBot="1">
      <c r="A8" s="60">
        <f t="shared" si="0"/>
        <v>42490</v>
      </c>
      <c r="B8" s="1" t="str">
        <f t="shared" si="1"/>
        <v>Apr 2016</v>
      </c>
      <c r="C8" s="414">
        <v>1.7099999999999999E-3</v>
      </c>
      <c r="D8" s="41">
        <v>2.8920000000000001E-2</v>
      </c>
      <c r="E8" s="41">
        <f t="shared" si="2"/>
        <v>1.7099999999999997E-3</v>
      </c>
      <c r="F8" s="41"/>
      <c r="G8" s="41"/>
      <c r="H8" s="41"/>
      <c r="I8" s="41"/>
      <c r="J8" s="41"/>
      <c r="K8" s="41"/>
      <c r="L8" s="41"/>
      <c r="M8" s="41"/>
      <c r="N8" s="41"/>
      <c r="O8" s="41"/>
      <c r="P8" s="41"/>
      <c r="Q8" s="41"/>
      <c r="U8" t="s">
        <v>203</v>
      </c>
      <c r="V8">
        <f t="shared" si="3"/>
        <v>5</v>
      </c>
      <c r="W8" s="230" t="s">
        <v>156</v>
      </c>
      <c r="X8">
        <f>ROW()</f>
        <v>8</v>
      </c>
      <c r="Y8" s="232" t="s">
        <v>25</v>
      </c>
      <c r="AB8">
        <f>AB7+1</f>
        <v>5</v>
      </c>
      <c r="AC8" t="s">
        <v>331</v>
      </c>
      <c r="AE8" s="228" t="s">
        <v>1139</v>
      </c>
      <c r="AF8" s="28" t="s">
        <v>331</v>
      </c>
      <c r="AG8" t="str">
        <f t="shared" si="4"/>
        <v/>
      </c>
      <c r="AI8" s="30"/>
    </row>
    <row r="9" spans="1:35" ht="12.75" thickBot="1">
      <c r="A9" s="60">
        <f t="shared" si="0"/>
        <v>42521</v>
      </c>
      <c r="B9" s="1" t="str">
        <f t="shared" si="1"/>
        <v>May 2016</v>
      </c>
      <c r="C9" s="41">
        <v>2.3700000000000001E-3</v>
      </c>
      <c r="D9" s="41">
        <v>2.8920000000000001E-2</v>
      </c>
      <c r="E9" s="41">
        <f t="shared" si="2"/>
        <v>2.3699999999999971E-3</v>
      </c>
      <c r="F9" s="41"/>
      <c r="G9" s="41"/>
      <c r="H9" s="41"/>
      <c r="I9" s="41"/>
      <c r="J9" s="41"/>
      <c r="K9" s="41"/>
      <c r="L9" s="41"/>
      <c r="M9" s="41"/>
      <c r="N9" s="41"/>
      <c r="O9" s="41"/>
      <c r="P9" s="41"/>
      <c r="Q9" s="41"/>
      <c r="U9" t="s">
        <v>212</v>
      </c>
      <c r="V9">
        <f t="shared" si="3"/>
        <v>6</v>
      </c>
      <c r="W9" s="229" t="s">
        <v>157</v>
      </c>
      <c r="X9">
        <f>ROW()</f>
        <v>9</v>
      </c>
      <c r="Y9" s="232" t="s">
        <v>24</v>
      </c>
      <c r="AB9">
        <f t="shared" ref="AB9:AB67" si="5">AB8+1</f>
        <v>6</v>
      </c>
      <c r="AC9" t="s">
        <v>332</v>
      </c>
      <c r="AE9" s="228" t="s">
        <v>1139</v>
      </c>
      <c r="AF9" s="28" t="s">
        <v>332</v>
      </c>
      <c r="AG9" t="str">
        <f t="shared" si="4"/>
        <v/>
      </c>
      <c r="AI9" s="30"/>
    </row>
    <row r="10" spans="1:35" ht="12.75" thickBot="1">
      <c r="A10" s="60">
        <f t="shared" si="0"/>
        <v>42551</v>
      </c>
      <c r="B10" s="1" t="str">
        <f t="shared" si="1"/>
        <v>Jun 2016</v>
      </c>
      <c r="C10" s="41">
        <v>4.4900000000000001E-3</v>
      </c>
      <c r="D10" s="41">
        <v>2.8920000000000001E-2</v>
      </c>
      <c r="E10" s="41">
        <f t="shared" si="2"/>
        <v>4.4900000000000009E-3</v>
      </c>
      <c r="F10" s="41"/>
      <c r="G10" s="41"/>
      <c r="H10" s="41"/>
      <c r="I10" s="41"/>
      <c r="J10" s="41"/>
      <c r="K10" s="41"/>
      <c r="L10" s="41"/>
      <c r="M10" s="41"/>
      <c r="N10" s="41"/>
      <c r="O10" s="41"/>
      <c r="P10" s="41"/>
      <c r="Q10" s="41"/>
      <c r="U10" t="s">
        <v>25</v>
      </c>
      <c r="V10">
        <f t="shared" si="3"/>
        <v>7</v>
      </c>
      <c r="W10" s="229" t="s">
        <v>158</v>
      </c>
      <c r="X10">
        <f>ROW()</f>
        <v>10</v>
      </c>
      <c r="Y10" s="228" t="s">
        <v>205</v>
      </c>
      <c r="AB10">
        <f t="shared" si="5"/>
        <v>7</v>
      </c>
      <c r="AC10" t="s">
        <v>333</v>
      </c>
      <c r="AE10" s="228" t="s">
        <v>1139</v>
      </c>
      <c r="AF10" s="28" t="s">
        <v>333</v>
      </c>
      <c r="AG10" t="str">
        <f t="shared" si="4"/>
        <v/>
      </c>
      <c r="AI10" s="30"/>
    </row>
    <row r="11" spans="1:35" ht="12.75" thickBot="1">
      <c r="A11" s="60">
        <f t="shared" si="0"/>
        <v>42216</v>
      </c>
      <c r="B11" s="1" t="str">
        <f t="shared" si="1"/>
        <v>Jul 2015</v>
      </c>
      <c r="C11" s="41">
        <v>2.8300000000000001E-3</v>
      </c>
      <c r="D11" s="41">
        <v>2.8920000000000001E-2</v>
      </c>
      <c r="E11" s="41">
        <f t="shared" si="2"/>
        <v>2.8299999999999992E-3</v>
      </c>
      <c r="F11" s="41"/>
      <c r="G11" s="41"/>
      <c r="H11" s="41"/>
      <c r="I11" s="41"/>
      <c r="J11" s="41"/>
      <c r="K11" s="41"/>
      <c r="L11" s="41"/>
      <c r="M11" s="41"/>
      <c r="N11" s="41"/>
      <c r="O11" s="41"/>
      <c r="P11" s="41"/>
      <c r="Q11" s="41"/>
      <c r="U11" t="s">
        <v>24</v>
      </c>
      <c r="V11">
        <f t="shared" si="3"/>
        <v>8</v>
      </c>
      <c r="W11" s="229" t="s">
        <v>159</v>
      </c>
      <c r="X11">
        <f>ROW()</f>
        <v>11</v>
      </c>
      <c r="Y11" s="228" t="s">
        <v>204</v>
      </c>
      <c r="AB11">
        <f t="shared" si="5"/>
        <v>8</v>
      </c>
      <c r="AC11" t="s">
        <v>335</v>
      </c>
      <c r="AE11" s="228" t="s">
        <v>1139</v>
      </c>
      <c r="AF11" s="28" t="s">
        <v>335</v>
      </c>
      <c r="AG11" t="str">
        <f t="shared" si="4"/>
        <v/>
      </c>
      <c r="AI11" s="30"/>
    </row>
    <row r="12" spans="1:35" ht="12.75" thickBot="1">
      <c r="A12" s="60">
        <f t="shared" si="0"/>
        <v>42247</v>
      </c>
      <c r="B12" s="1" t="str">
        <f t="shared" si="1"/>
        <v>Aug 2015</v>
      </c>
      <c r="C12" s="41">
        <v>-4.0999999999999999E-4</v>
      </c>
      <c r="D12" s="41">
        <v>2.8920000000000001E-2</v>
      </c>
      <c r="E12" s="41">
        <f t="shared" si="2"/>
        <v>-4.1000000000000064E-4</v>
      </c>
      <c r="F12" s="41"/>
      <c r="G12" s="41"/>
      <c r="H12" s="41"/>
      <c r="I12" s="41"/>
      <c r="J12" s="41"/>
      <c r="K12" s="41"/>
      <c r="L12" s="41"/>
      <c r="M12" s="41"/>
      <c r="N12" s="41"/>
      <c r="O12" s="41"/>
      <c r="P12" s="41"/>
      <c r="Q12" s="41"/>
      <c r="U12" t="s">
        <v>204</v>
      </c>
      <c r="V12">
        <f t="shared" si="3"/>
        <v>9</v>
      </c>
      <c r="W12" s="229" t="s">
        <v>160</v>
      </c>
      <c r="X12">
        <f>ROW()</f>
        <v>12</v>
      </c>
      <c r="Y12" s="232" t="s">
        <v>24</v>
      </c>
      <c r="AB12">
        <f t="shared" si="5"/>
        <v>9</v>
      </c>
      <c r="AC12" t="s">
        <v>336</v>
      </c>
      <c r="AE12" s="228" t="s">
        <v>1139</v>
      </c>
      <c r="AF12" s="28" t="s">
        <v>336</v>
      </c>
      <c r="AG12" t="str">
        <f t="shared" si="4"/>
        <v/>
      </c>
      <c r="AI12" s="30"/>
    </row>
    <row r="13" spans="1:35" ht="12.75" thickBot="1">
      <c r="A13" s="60">
        <f t="shared" si="0"/>
        <v>42277</v>
      </c>
      <c r="B13" s="1" t="str">
        <f t="shared" si="1"/>
        <v>Sep 2015</v>
      </c>
      <c r="C13" s="41"/>
      <c r="D13" s="41">
        <v>2.8920000000000001E-2</v>
      </c>
      <c r="E13" s="41">
        <f t="shared" si="2"/>
        <v>0</v>
      </c>
      <c r="F13" s="41"/>
      <c r="G13" s="41"/>
      <c r="H13" s="41"/>
      <c r="I13" s="41"/>
      <c r="J13" s="41"/>
      <c r="K13" s="41"/>
      <c r="L13" s="41"/>
      <c r="M13" s="41"/>
      <c r="N13" s="41"/>
      <c r="O13" s="41"/>
      <c r="P13" s="41"/>
      <c r="Q13" s="41"/>
      <c r="U13" t="s">
        <v>205</v>
      </c>
      <c r="V13">
        <f t="shared" si="3"/>
        <v>10</v>
      </c>
      <c r="W13" s="230" t="s">
        <v>161</v>
      </c>
      <c r="X13">
        <f>ROW()</f>
        <v>13</v>
      </c>
      <c r="Y13" s="228" t="s">
        <v>208</v>
      </c>
      <c r="AB13">
        <f t="shared" si="5"/>
        <v>10</v>
      </c>
      <c r="AC13" t="s">
        <v>338</v>
      </c>
      <c r="AE13" s="228" t="s">
        <v>1139</v>
      </c>
      <c r="AF13" s="28" t="s">
        <v>338</v>
      </c>
      <c r="AG13" t="str">
        <f t="shared" si="4"/>
        <v/>
      </c>
      <c r="AI13" s="30"/>
    </row>
    <row r="14" spans="1:35" ht="12.75" thickBot="1">
      <c r="A14" s="60">
        <f t="shared" si="0"/>
        <v>42308</v>
      </c>
      <c r="B14" s="1" t="str">
        <f t="shared" si="1"/>
        <v>Oct 2015</v>
      </c>
      <c r="C14" s="41"/>
      <c r="D14" s="41">
        <v>2.8920000000000001E-2</v>
      </c>
      <c r="E14" s="41">
        <f t="shared" si="2"/>
        <v>0</v>
      </c>
      <c r="F14" s="41"/>
      <c r="G14" s="41"/>
      <c r="H14" s="41"/>
      <c r="I14" s="41"/>
      <c r="J14" s="41"/>
      <c r="K14" s="41"/>
      <c r="L14" s="41"/>
      <c r="M14" s="41"/>
      <c r="N14" s="41"/>
      <c r="O14" s="41"/>
      <c r="P14" s="41"/>
      <c r="Q14" s="41"/>
      <c r="U14" t="s">
        <v>18</v>
      </c>
      <c r="V14">
        <f t="shared" si="3"/>
        <v>11</v>
      </c>
      <c r="W14" s="229" t="s">
        <v>162</v>
      </c>
      <c r="X14">
        <f>ROW()</f>
        <v>14</v>
      </c>
      <c r="Y14" s="228" t="s">
        <v>208</v>
      </c>
      <c r="AB14">
        <f t="shared" si="5"/>
        <v>11</v>
      </c>
      <c r="AC14" t="s">
        <v>339</v>
      </c>
      <c r="AE14" s="228" t="s">
        <v>1139</v>
      </c>
      <c r="AF14" s="28" t="s">
        <v>339</v>
      </c>
      <c r="AG14" t="str">
        <f t="shared" si="4"/>
        <v/>
      </c>
      <c r="AI14" s="30"/>
    </row>
    <row r="15" spans="1:35" ht="12.75" thickBot="1">
      <c r="A15" s="60">
        <f t="shared" si="0"/>
        <v>42338</v>
      </c>
      <c r="B15" s="1" t="str">
        <f t="shared" si="1"/>
        <v>Nov 2015</v>
      </c>
      <c r="C15" s="41"/>
      <c r="D15" s="41">
        <v>2.8920000000000001E-2</v>
      </c>
      <c r="E15" s="41">
        <f t="shared" si="2"/>
        <v>0</v>
      </c>
      <c r="F15" s="41"/>
      <c r="G15" s="41"/>
      <c r="H15" s="41"/>
      <c r="I15" s="41"/>
      <c r="J15" s="41"/>
      <c r="K15" s="41"/>
      <c r="L15" s="41"/>
      <c r="M15" s="41"/>
      <c r="N15" s="41"/>
      <c r="O15" s="41"/>
      <c r="P15" s="41"/>
      <c r="Q15" s="41"/>
      <c r="U15" s="15" t="s">
        <v>642</v>
      </c>
      <c r="V15">
        <f t="shared" si="3"/>
        <v>12</v>
      </c>
      <c r="W15" s="229" t="s">
        <v>163</v>
      </c>
      <c r="X15">
        <f>ROW()</f>
        <v>15</v>
      </c>
      <c r="Y15" s="228" t="s">
        <v>17</v>
      </c>
      <c r="AB15">
        <f t="shared" si="5"/>
        <v>12</v>
      </c>
      <c r="AC15" t="s">
        <v>325</v>
      </c>
      <c r="AE15" s="228" t="s">
        <v>1139</v>
      </c>
      <c r="AF15" s="28" t="s">
        <v>325</v>
      </c>
      <c r="AG15" t="str">
        <f t="shared" si="4"/>
        <v/>
      </c>
      <c r="AI15" s="30"/>
    </row>
    <row r="16" spans="1:35" ht="12.75" thickBot="1">
      <c r="A16" s="60">
        <f t="shared" si="0"/>
        <v>42369</v>
      </c>
      <c r="B16" s="1" t="str">
        <f t="shared" si="1"/>
        <v>Dec 2015</v>
      </c>
      <c r="C16" s="41"/>
      <c r="D16" s="41">
        <v>2.8920000000000001E-2</v>
      </c>
      <c r="E16" s="41">
        <f t="shared" si="2"/>
        <v>0</v>
      </c>
      <c r="F16" s="41"/>
      <c r="G16" s="41"/>
      <c r="H16" s="41"/>
      <c r="I16" s="41"/>
      <c r="J16" s="41"/>
      <c r="K16" s="41"/>
      <c r="L16" s="41"/>
      <c r="M16" s="41"/>
      <c r="N16" s="41"/>
      <c r="O16" s="41"/>
      <c r="P16" s="41"/>
      <c r="Q16" s="41"/>
      <c r="U16" t="s">
        <v>19</v>
      </c>
      <c r="V16">
        <f t="shared" si="3"/>
        <v>13</v>
      </c>
      <c r="W16" s="229" t="s">
        <v>164</v>
      </c>
      <c r="X16">
        <f>ROW()</f>
        <v>16</v>
      </c>
      <c r="Y16" s="228" t="s">
        <v>203</v>
      </c>
      <c r="AB16">
        <f t="shared" si="5"/>
        <v>13</v>
      </c>
      <c r="AC16" t="s">
        <v>334</v>
      </c>
      <c r="AE16" s="228" t="s">
        <v>1139</v>
      </c>
      <c r="AF16" s="28" t="s">
        <v>334</v>
      </c>
      <c r="AG16" t="str">
        <f t="shared" si="4"/>
        <v/>
      </c>
      <c r="AI16" s="30"/>
    </row>
    <row r="17" spans="1:35" ht="12.75" thickBot="1">
      <c r="C17" s="41"/>
      <c r="D17" s="41"/>
      <c r="E17" s="41"/>
      <c r="F17" s="41"/>
      <c r="G17" s="41"/>
      <c r="H17" s="41"/>
      <c r="I17" s="41"/>
      <c r="J17" s="41"/>
      <c r="K17" s="41"/>
      <c r="L17" s="41"/>
      <c r="M17" s="41"/>
      <c r="N17" s="41"/>
      <c r="O17" s="41"/>
      <c r="P17" s="41"/>
      <c r="Q17" s="41"/>
      <c r="U17" t="s">
        <v>20</v>
      </c>
      <c r="V17">
        <f t="shared" si="3"/>
        <v>14</v>
      </c>
      <c r="W17" s="229" t="s">
        <v>165</v>
      </c>
      <c r="X17">
        <f>ROW()</f>
        <v>17</v>
      </c>
      <c r="Y17" s="228" t="s">
        <v>203</v>
      </c>
      <c r="AB17">
        <f t="shared" si="5"/>
        <v>14</v>
      </c>
      <c r="AC17" t="s">
        <v>326</v>
      </c>
      <c r="AE17" s="228" t="s">
        <v>1139</v>
      </c>
      <c r="AF17" s="28" t="s">
        <v>326</v>
      </c>
      <c r="AG17" t="str">
        <f t="shared" si="4"/>
        <v/>
      </c>
      <c r="AI17" s="30"/>
    </row>
    <row r="18" spans="1:35" ht="12.75" thickBot="1">
      <c r="A18" s="4">
        <f>EOMONTH(MIN(A5:A16),-1)</f>
        <v>42185</v>
      </c>
      <c r="B18" s="1" t="str">
        <f t="shared" si="1"/>
        <v>Jun 2015</v>
      </c>
      <c r="C18" s="193">
        <v>2.8300000000000001E-3</v>
      </c>
      <c r="D18" s="193">
        <v>2.6679999999999999E-2</v>
      </c>
      <c r="E18" s="41">
        <f t="shared" si="2"/>
        <v>5.8999999999999678E-4</v>
      </c>
      <c r="F18" s="193"/>
      <c r="G18" s="193"/>
      <c r="H18" s="193"/>
      <c r="I18" s="193"/>
      <c r="J18" s="193"/>
      <c r="K18" s="193"/>
      <c r="L18" s="193"/>
      <c r="M18" s="193"/>
      <c r="N18" s="193"/>
      <c r="O18" s="193"/>
      <c r="P18" s="193"/>
      <c r="Q18" s="193"/>
      <c r="V18">
        <f t="shared" si="3"/>
        <v>15</v>
      </c>
      <c r="W18" s="229" t="s">
        <v>166</v>
      </c>
      <c r="X18">
        <f>ROW()</f>
        <v>18</v>
      </c>
      <c r="Y18" s="228" t="s">
        <v>212</v>
      </c>
      <c r="AB18">
        <f t="shared" si="5"/>
        <v>15</v>
      </c>
      <c r="AC18" t="s">
        <v>330</v>
      </c>
      <c r="AE18" s="228" t="s">
        <v>1139</v>
      </c>
      <c r="AF18" s="28" t="s">
        <v>330</v>
      </c>
      <c r="AG18" t="str">
        <f t="shared" si="4"/>
        <v/>
      </c>
      <c r="AI18" s="30"/>
    </row>
    <row r="19" spans="1:35" ht="12.75" thickBot="1">
      <c r="B19">
        <v>1</v>
      </c>
      <c r="C19" s="41"/>
      <c r="D19" s="41"/>
      <c r="E19" s="41"/>
      <c r="F19" s="41"/>
      <c r="G19" s="41"/>
      <c r="H19" s="41"/>
      <c r="I19" s="41"/>
      <c r="J19" s="41"/>
      <c r="K19" s="41"/>
      <c r="L19" s="41"/>
      <c r="M19" s="41"/>
      <c r="N19" s="41"/>
      <c r="O19" s="41"/>
      <c r="P19" s="41"/>
      <c r="Q19" s="41"/>
      <c r="V19">
        <f t="shared" si="3"/>
        <v>16</v>
      </c>
      <c r="W19" s="230" t="s">
        <v>167</v>
      </c>
      <c r="X19">
        <f>ROW()</f>
        <v>19</v>
      </c>
      <c r="Y19" s="228" t="s">
        <v>212</v>
      </c>
      <c r="AB19">
        <f t="shared" si="5"/>
        <v>16</v>
      </c>
      <c r="AC19" t="s">
        <v>337</v>
      </c>
      <c r="AE19" s="228" t="s">
        <v>1139</v>
      </c>
      <c r="AF19" s="28" t="s">
        <v>337</v>
      </c>
      <c r="AG19" t="str">
        <f t="shared" si="4"/>
        <v/>
      </c>
      <c r="AI19" s="30"/>
    </row>
    <row r="20" spans="1:35" ht="12.75" thickBot="1">
      <c r="V20">
        <f t="shared" si="3"/>
        <v>17</v>
      </c>
      <c r="W20" s="230" t="s">
        <v>683</v>
      </c>
      <c r="X20">
        <f>ROW()</f>
        <v>20</v>
      </c>
      <c r="Y20" s="228" t="s">
        <v>212</v>
      </c>
      <c r="AB20">
        <f t="shared" si="5"/>
        <v>17</v>
      </c>
      <c r="AC20" t="s">
        <v>329</v>
      </c>
      <c r="AE20" s="228" t="s">
        <v>1139</v>
      </c>
      <c r="AF20" s="28" t="s">
        <v>329</v>
      </c>
      <c r="AG20" t="str">
        <f t="shared" si="4"/>
        <v/>
      </c>
      <c r="AI20" s="30"/>
    </row>
    <row r="21" spans="1:35" ht="12.75" thickBot="1">
      <c r="A21" t="s">
        <v>30</v>
      </c>
      <c r="V21">
        <f t="shared" si="3"/>
        <v>18</v>
      </c>
      <c r="W21" s="230" t="s">
        <v>684</v>
      </c>
      <c r="X21">
        <f>ROW()</f>
        <v>21</v>
      </c>
      <c r="Y21" s="228" t="s">
        <v>203</v>
      </c>
      <c r="AB21">
        <f t="shared" si="5"/>
        <v>18</v>
      </c>
      <c r="AC21" t="s">
        <v>327</v>
      </c>
      <c r="AE21" s="228" t="s">
        <v>1139</v>
      </c>
      <c r="AF21" s="28" t="s">
        <v>327</v>
      </c>
      <c r="AG21" t="str">
        <f t="shared" si="4"/>
        <v/>
      </c>
      <c r="AI21" s="30"/>
    </row>
    <row r="22" spans="1:35" ht="12.75" thickBot="1">
      <c r="A22" t="s">
        <v>31</v>
      </c>
      <c r="B22" t="s">
        <v>32</v>
      </c>
      <c r="K22" s="4"/>
      <c r="V22">
        <f t="shared" si="3"/>
        <v>19</v>
      </c>
      <c r="W22" s="230" t="s">
        <v>685</v>
      </c>
      <c r="X22">
        <f>ROW()</f>
        <v>22</v>
      </c>
      <c r="Y22" s="228" t="s">
        <v>212</v>
      </c>
      <c r="AB22">
        <f t="shared" si="5"/>
        <v>19</v>
      </c>
      <c r="AC22" t="s">
        <v>453</v>
      </c>
      <c r="AE22" s="228" t="s">
        <v>1139</v>
      </c>
      <c r="AF22" s="28" t="s">
        <v>453</v>
      </c>
      <c r="AG22" t="str">
        <f t="shared" si="4"/>
        <v/>
      </c>
      <c r="AI22" s="30"/>
    </row>
    <row r="23" spans="1:35" ht="12.75" thickBot="1">
      <c r="A23" s="4">
        <f>D1</f>
        <v>42186</v>
      </c>
      <c r="B23" s="227">
        <v>41851</v>
      </c>
      <c r="C23" s="232">
        <v>20140101</v>
      </c>
      <c r="D23" s="15" t="s">
        <v>1454</v>
      </c>
      <c r="K23" s="4"/>
      <c r="V23">
        <f t="shared" si="3"/>
        <v>20</v>
      </c>
      <c r="W23" s="229" t="s">
        <v>217</v>
      </c>
      <c r="X23">
        <f>ROW()</f>
        <v>23</v>
      </c>
      <c r="Y23" s="228" t="s">
        <v>19</v>
      </c>
      <c r="AB23">
        <f t="shared" si="5"/>
        <v>20</v>
      </c>
      <c r="AC23" t="s">
        <v>366</v>
      </c>
      <c r="AE23" s="228" t="s">
        <v>1139</v>
      </c>
      <c r="AF23" s="28" t="s">
        <v>366</v>
      </c>
      <c r="AG23" t="str">
        <f t="shared" si="4"/>
        <v/>
      </c>
      <c r="AI23" s="30"/>
    </row>
    <row r="24" spans="1:35" ht="12.75" thickBot="1">
      <c r="A24" s="4">
        <f>B23+1</f>
        <v>41852</v>
      </c>
      <c r="B24" s="227">
        <v>41882</v>
      </c>
      <c r="C24" s="232">
        <v>20140101</v>
      </c>
      <c r="D24" s="52"/>
      <c r="K24" s="4"/>
      <c r="V24">
        <f t="shared" si="3"/>
        <v>21</v>
      </c>
      <c r="W24" s="230" t="s">
        <v>216</v>
      </c>
      <c r="X24">
        <f>ROW()</f>
        <v>24</v>
      </c>
      <c r="Y24" s="228" t="s">
        <v>19</v>
      </c>
      <c r="AB24">
        <f t="shared" si="5"/>
        <v>21</v>
      </c>
      <c r="AC24" t="s">
        <v>386</v>
      </c>
      <c r="AE24" s="228" t="s">
        <v>1140</v>
      </c>
      <c r="AF24" s="28" t="s">
        <v>386</v>
      </c>
      <c r="AG24" t="str">
        <f t="shared" ref="AG24:AG70" si="6">IF(AC23=AF23,"","err")</f>
        <v/>
      </c>
      <c r="AI24" s="30"/>
    </row>
    <row r="25" spans="1:35" ht="12.75" thickBot="1">
      <c r="A25" s="4">
        <f>B24+1</f>
        <v>41883</v>
      </c>
      <c r="B25" s="72">
        <f>F1</f>
        <v>42551</v>
      </c>
      <c r="C25" s="232">
        <v>20140101</v>
      </c>
      <c r="D25" s="15" t="s">
        <v>1455</v>
      </c>
      <c r="K25" s="4"/>
      <c r="V25">
        <f t="shared" si="3"/>
        <v>22</v>
      </c>
      <c r="W25" s="229" t="s">
        <v>168</v>
      </c>
      <c r="X25">
        <f>ROW()</f>
        <v>25</v>
      </c>
      <c r="Y25" s="228" t="s">
        <v>20</v>
      </c>
      <c r="AB25">
        <f t="shared" si="5"/>
        <v>22</v>
      </c>
      <c r="AC25" t="s">
        <v>342</v>
      </c>
      <c r="AE25" s="228" t="s">
        <v>1140</v>
      </c>
      <c r="AF25" s="28" t="s">
        <v>342</v>
      </c>
      <c r="AG25" t="str">
        <f t="shared" si="6"/>
        <v/>
      </c>
      <c r="AI25" s="30"/>
    </row>
    <row r="26" spans="1:35" ht="12.75" thickBot="1">
      <c r="K26" s="4"/>
      <c r="V26">
        <f t="shared" si="3"/>
        <v>23</v>
      </c>
      <c r="W26" s="230" t="s">
        <v>623</v>
      </c>
      <c r="X26">
        <f>ROW()</f>
        <v>26</v>
      </c>
      <c r="Y26" s="228" t="s">
        <v>20</v>
      </c>
      <c r="AB26">
        <f t="shared" si="5"/>
        <v>23</v>
      </c>
      <c r="AC26" t="s">
        <v>378</v>
      </c>
      <c r="AE26" s="228" t="s">
        <v>1139</v>
      </c>
      <c r="AF26" s="28" t="s">
        <v>378</v>
      </c>
      <c r="AG26" t="str">
        <f t="shared" si="6"/>
        <v/>
      </c>
      <c r="AI26" s="30"/>
    </row>
    <row r="27" spans="1:35" ht="12.75" thickBot="1">
      <c r="K27" s="4"/>
      <c r="V27">
        <f t="shared" si="3"/>
        <v>24</v>
      </c>
      <c r="W27" s="229" t="s">
        <v>691</v>
      </c>
      <c r="X27">
        <f>ROW()</f>
        <v>27</v>
      </c>
      <c r="Y27" s="228" t="s">
        <v>690</v>
      </c>
      <c r="AB27">
        <f t="shared" si="5"/>
        <v>24</v>
      </c>
      <c r="AC27" t="s">
        <v>382</v>
      </c>
      <c r="AE27" s="228" t="s">
        <v>1140</v>
      </c>
      <c r="AF27" s="28" t="s">
        <v>382</v>
      </c>
      <c r="AG27" t="str">
        <f t="shared" si="6"/>
        <v/>
      </c>
      <c r="AI27" s="30"/>
    </row>
    <row r="28" spans="1:35" ht="12.75" thickBot="1">
      <c r="K28" s="4"/>
      <c r="V28">
        <f t="shared" si="3"/>
        <v>25</v>
      </c>
      <c r="W28" s="230" t="s">
        <v>1147</v>
      </c>
      <c r="X28">
        <f>ROW()</f>
        <v>28</v>
      </c>
      <c r="Y28" s="228" t="s">
        <v>1156</v>
      </c>
      <c r="AB28">
        <f t="shared" si="5"/>
        <v>25</v>
      </c>
      <c r="AC28" t="s">
        <v>360</v>
      </c>
      <c r="AE28" s="311" t="s">
        <v>1140</v>
      </c>
      <c r="AF28" s="28" t="s">
        <v>360</v>
      </c>
      <c r="AG28" t="str">
        <f t="shared" si="6"/>
        <v/>
      </c>
      <c r="AI28" s="30"/>
    </row>
    <row r="29" spans="1:35" ht="12.75" thickBot="1">
      <c r="A29" t="s">
        <v>52</v>
      </c>
      <c r="K29" s="4"/>
      <c r="V29">
        <f t="shared" si="3"/>
        <v>26</v>
      </c>
      <c r="W29" s="230" t="s">
        <v>169</v>
      </c>
      <c r="X29">
        <f>ROW()</f>
        <v>29</v>
      </c>
      <c r="Y29" s="228" t="s">
        <v>208</v>
      </c>
      <c r="AB29">
        <f t="shared" si="5"/>
        <v>26</v>
      </c>
      <c r="AC29" t="s">
        <v>368</v>
      </c>
      <c r="AE29" s="311" t="s">
        <v>1139</v>
      </c>
      <c r="AF29" s="28" t="s">
        <v>368</v>
      </c>
      <c r="AG29" t="str">
        <f t="shared" si="6"/>
        <v/>
      </c>
      <c r="AI29" s="30"/>
    </row>
    <row r="30" spans="1:35" ht="12.75" thickBot="1">
      <c r="K30" s="4"/>
      <c r="V30">
        <f t="shared" si="3"/>
        <v>27</v>
      </c>
      <c r="W30" s="229" t="s">
        <v>170</v>
      </c>
      <c r="X30">
        <f>ROW()</f>
        <v>30</v>
      </c>
      <c r="Y30" s="228" t="s">
        <v>17</v>
      </c>
      <c r="AB30">
        <f t="shared" si="5"/>
        <v>27</v>
      </c>
      <c r="AC30" t="s">
        <v>370</v>
      </c>
      <c r="AE30" s="311" t="s">
        <v>1140</v>
      </c>
      <c r="AF30" s="28" t="s">
        <v>370</v>
      </c>
      <c r="AG30" t="str">
        <f t="shared" si="6"/>
        <v/>
      </c>
      <c r="AI30" s="30"/>
    </row>
    <row r="31" spans="1:35" ht="12.75" thickBot="1">
      <c r="A31" s="21" t="s">
        <v>67</v>
      </c>
      <c r="B31" s="5"/>
      <c r="C31" s="5"/>
      <c r="D31" s="5"/>
      <c r="E31" s="5"/>
      <c r="F31" s="5"/>
      <c r="K31" s="4"/>
      <c r="V31">
        <f t="shared" si="3"/>
        <v>28</v>
      </c>
      <c r="W31" s="230" t="s">
        <v>171</v>
      </c>
      <c r="X31">
        <f>ROW()</f>
        <v>31</v>
      </c>
      <c r="Y31" s="232" t="s">
        <v>1471</v>
      </c>
      <c r="AB31">
        <f t="shared" si="5"/>
        <v>28</v>
      </c>
      <c r="AC31" t="s">
        <v>393</v>
      </c>
      <c r="AE31" s="311" t="s">
        <v>1140</v>
      </c>
      <c r="AF31" s="28" t="s">
        <v>393</v>
      </c>
      <c r="AG31" t="str">
        <f t="shared" si="6"/>
        <v/>
      </c>
      <c r="AI31" s="30"/>
    </row>
    <row r="32" spans="1:35" ht="12.75" thickBot="1">
      <c r="A32" s="8" t="s">
        <v>53</v>
      </c>
      <c r="B32" s="8"/>
      <c r="C32" s="8"/>
      <c r="D32" s="8"/>
      <c r="K32" s="4"/>
      <c r="V32">
        <f t="shared" si="3"/>
        <v>29</v>
      </c>
      <c r="W32" s="230" t="s">
        <v>172</v>
      </c>
      <c r="X32">
        <f>ROW()</f>
        <v>32</v>
      </c>
      <c r="Y32" s="232" t="s">
        <v>1471</v>
      </c>
      <c r="AB32">
        <f t="shared" si="5"/>
        <v>29</v>
      </c>
      <c r="AC32" t="s">
        <v>371</v>
      </c>
      <c r="AE32" s="310" t="s">
        <v>1139</v>
      </c>
      <c r="AF32" s="28" t="s">
        <v>371</v>
      </c>
      <c r="AG32" t="str">
        <f t="shared" si="6"/>
        <v/>
      </c>
      <c r="AI32" s="30"/>
    </row>
    <row r="33" spans="1:35" ht="12.75" thickBot="1">
      <c r="A33" s="10" t="s">
        <v>54</v>
      </c>
      <c r="B33" s="10"/>
      <c r="C33" s="10"/>
      <c r="K33" s="4"/>
      <c r="V33">
        <f t="shared" si="3"/>
        <v>30</v>
      </c>
      <c r="W33" s="230" t="s">
        <v>1399</v>
      </c>
      <c r="X33">
        <f>ROW()</f>
        <v>33</v>
      </c>
      <c r="Y33" s="232" t="s">
        <v>1472</v>
      </c>
      <c r="AB33">
        <f t="shared" si="5"/>
        <v>30</v>
      </c>
      <c r="AC33" t="s">
        <v>394</v>
      </c>
      <c r="AE33" s="311" t="s">
        <v>1139</v>
      </c>
      <c r="AF33" s="28" t="s">
        <v>394</v>
      </c>
      <c r="AG33" t="str">
        <f t="shared" si="6"/>
        <v/>
      </c>
      <c r="AI33" s="30"/>
    </row>
    <row r="34" spans="1:35" ht="12.75" thickBot="1">
      <c r="A34" s="12" t="s">
        <v>55</v>
      </c>
      <c r="B34" s="12"/>
      <c r="C34" s="12"/>
      <c r="D34" s="12"/>
      <c r="V34">
        <f t="shared" si="3"/>
        <v>31</v>
      </c>
      <c r="W34" s="230" t="s">
        <v>1397</v>
      </c>
      <c r="X34">
        <f>ROW()</f>
        <v>34</v>
      </c>
      <c r="Y34" s="232" t="s">
        <v>1472</v>
      </c>
      <c r="AB34">
        <f t="shared" si="5"/>
        <v>31</v>
      </c>
      <c r="AC34" t="s">
        <v>389</v>
      </c>
      <c r="AE34" s="311" t="s">
        <v>1139</v>
      </c>
      <c r="AF34" s="28" t="s">
        <v>389</v>
      </c>
      <c r="AG34" t="str">
        <f t="shared" si="6"/>
        <v/>
      </c>
      <c r="AI34" s="30"/>
    </row>
    <row r="35" spans="1:35" ht="12.75" thickBot="1">
      <c r="A35" s="6" t="s">
        <v>56</v>
      </c>
      <c r="B35" s="6"/>
      <c r="C35" s="6"/>
      <c r="D35" s="6"/>
      <c r="E35" s="6"/>
      <c r="F35" s="17"/>
      <c r="G35" s="17"/>
      <c r="H35" s="17"/>
      <c r="V35">
        <f t="shared" si="3"/>
        <v>32</v>
      </c>
      <c r="W35" s="230" t="s">
        <v>1149</v>
      </c>
      <c r="X35">
        <f>ROW()</f>
        <v>35</v>
      </c>
      <c r="Y35" s="232" t="s">
        <v>1472</v>
      </c>
      <c r="AB35">
        <f t="shared" si="5"/>
        <v>32</v>
      </c>
      <c r="AC35" t="s">
        <v>310</v>
      </c>
      <c r="AE35" s="311" t="s">
        <v>1140</v>
      </c>
      <c r="AF35" s="28" t="s">
        <v>310</v>
      </c>
      <c r="AG35" t="str">
        <f t="shared" si="6"/>
        <v/>
      </c>
      <c r="AI35" s="30"/>
    </row>
    <row r="36" spans="1:35" ht="12.75" thickBot="1">
      <c r="A36" s="18" t="s">
        <v>66</v>
      </c>
      <c r="B36" s="18"/>
      <c r="C36" s="18"/>
      <c r="D36" s="18"/>
      <c r="E36" s="18"/>
      <c r="V36">
        <f t="shared" si="3"/>
        <v>33</v>
      </c>
      <c r="W36" t="s">
        <v>173</v>
      </c>
      <c r="X36">
        <f>ROW()</f>
        <v>36</v>
      </c>
      <c r="Y36" s="228" t="s">
        <v>27</v>
      </c>
      <c r="AB36">
        <f t="shared" si="5"/>
        <v>33</v>
      </c>
      <c r="AC36" t="s">
        <v>340</v>
      </c>
      <c r="AE36" s="311" t="s">
        <v>1140</v>
      </c>
      <c r="AF36" s="28" t="s">
        <v>340</v>
      </c>
      <c r="AG36" t="str">
        <f t="shared" si="6"/>
        <v/>
      </c>
      <c r="AI36" s="30"/>
    </row>
    <row r="37" spans="1:35" ht="12.75" thickBot="1">
      <c r="A37" s="27" t="s">
        <v>70</v>
      </c>
      <c r="B37" s="20"/>
      <c r="C37" s="20"/>
      <c r="D37" s="20"/>
      <c r="V37">
        <f t="shared" si="3"/>
        <v>34</v>
      </c>
      <c r="W37" t="s">
        <v>174</v>
      </c>
      <c r="X37">
        <f>ROW()</f>
        <v>37</v>
      </c>
      <c r="Y37" s="228" t="s">
        <v>14</v>
      </c>
      <c r="AB37">
        <f t="shared" si="5"/>
        <v>34</v>
      </c>
      <c r="AC37" t="s">
        <v>358</v>
      </c>
      <c r="AE37" s="311" t="s">
        <v>1140</v>
      </c>
      <c r="AF37" s="28" t="s">
        <v>358</v>
      </c>
      <c r="AG37" t="str">
        <f t="shared" si="6"/>
        <v/>
      </c>
      <c r="AI37" s="30"/>
    </row>
    <row r="38" spans="1:35" ht="12.75" thickBot="1">
      <c r="A38" s="19" t="s">
        <v>65</v>
      </c>
      <c r="B38" s="19"/>
      <c r="C38" s="19"/>
      <c r="D38" s="19"/>
      <c r="E38" s="19"/>
      <c r="F38" s="19"/>
      <c r="V38">
        <f t="shared" si="3"/>
        <v>35</v>
      </c>
      <c r="W38" t="s">
        <v>175</v>
      </c>
      <c r="X38">
        <f>ROW()</f>
        <v>38</v>
      </c>
      <c r="Y38" s="228" t="s">
        <v>14</v>
      </c>
      <c r="AB38">
        <f t="shared" si="5"/>
        <v>35</v>
      </c>
      <c r="AC38" t="s">
        <v>383</v>
      </c>
      <c r="AE38" s="311" t="s">
        <v>1140</v>
      </c>
      <c r="AF38" s="28" t="s">
        <v>383</v>
      </c>
      <c r="AG38" t="str">
        <f t="shared" si="6"/>
        <v/>
      </c>
      <c r="AI38" s="30"/>
    </row>
    <row r="39" spans="1:35" ht="12.75" thickBot="1">
      <c r="V39">
        <f t="shared" si="3"/>
        <v>36</v>
      </c>
      <c r="W39" t="s">
        <v>176</v>
      </c>
      <c r="X39">
        <f>ROW()</f>
        <v>39</v>
      </c>
      <c r="Y39" s="228" t="s">
        <v>14</v>
      </c>
      <c r="AB39">
        <f t="shared" si="5"/>
        <v>36</v>
      </c>
      <c r="AC39" t="s">
        <v>375</v>
      </c>
      <c r="AE39" s="311" t="s">
        <v>1140</v>
      </c>
      <c r="AF39" s="28" t="s">
        <v>375</v>
      </c>
      <c r="AG39" t="str">
        <f t="shared" si="6"/>
        <v/>
      </c>
      <c r="AI39" s="30"/>
    </row>
    <row r="40" spans="1:35" ht="12.75" thickBot="1">
      <c r="V40">
        <f t="shared" si="3"/>
        <v>37</v>
      </c>
      <c r="W40" t="s">
        <v>458</v>
      </c>
      <c r="X40">
        <f>ROW()</f>
        <v>40</v>
      </c>
      <c r="Y40" s="228" t="s">
        <v>206</v>
      </c>
      <c r="AB40">
        <f t="shared" si="5"/>
        <v>37</v>
      </c>
      <c r="AC40" t="s">
        <v>400</v>
      </c>
      <c r="AE40" s="311" t="s">
        <v>1139</v>
      </c>
      <c r="AF40" s="28" t="s">
        <v>400</v>
      </c>
      <c r="AG40" t="str">
        <f t="shared" si="6"/>
        <v/>
      </c>
      <c r="AI40" s="30"/>
    </row>
    <row r="41" spans="1:35" ht="12.75" thickBot="1">
      <c r="A41" s="32" t="s">
        <v>77</v>
      </c>
      <c r="B41" s="32" t="s">
        <v>78</v>
      </c>
      <c r="C41" s="32" t="s">
        <v>100</v>
      </c>
      <c r="V41">
        <f t="shared" si="3"/>
        <v>38</v>
      </c>
      <c r="W41" t="s">
        <v>177</v>
      </c>
      <c r="X41">
        <f>ROW()</f>
        <v>41</v>
      </c>
      <c r="Y41" s="232" t="s">
        <v>16</v>
      </c>
      <c r="AB41">
        <f t="shared" si="5"/>
        <v>38</v>
      </c>
      <c r="AC41" t="s">
        <v>346</v>
      </c>
      <c r="AD41" s="32"/>
      <c r="AE41" s="311" t="s">
        <v>1139</v>
      </c>
      <c r="AF41" s="28" t="s">
        <v>346</v>
      </c>
      <c r="AG41" t="str">
        <f t="shared" si="6"/>
        <v/>
      </c>
      <c r="AI41" s="30"/>
    </row>
    <row r="42" spans="1:35" ht="12.75" thickBot="1">
      <c r="V42">
        <f t="shared" si="3"/>
        <v>39</v>
      </c>
      <c r="W42" t="s">
        <v>178</v>
      </c>
      <c r="X42">
        <f>ROW()</f>
        <v>42</v>
      </c>
      <c r="Y42" s="228" t="s">
        <v>14</v>
      </c>
      <c r="AB42">
        <f t="shared" si="5"/>
        <v>39</v>
      </c>
      <c r="AC42" t="s">
        <v>391</v>
      </c>
      <c r="AE42" s="311" t="s">
        <v>1139</v>
      </c>
      <c r="AF42" s="28" t="s">
        <v>391</v>
      </c>
      <c r="AG42" t="str">
        <f t="shared" si="6"/>
        <v/>
      </c>
      <c r="AI42" s="30"/>
    </row>
    <row r="43" spans="1:35" ht="12.75" thickBot="1">
      <c r="A43" t="s">
        <v>76</v>
      </c>
      <c r="B43">
        <v>20</v>
      </c>
      <c r="C43" t="s">
        <v>101</v>
      </c>
      <c r="AB43">
        <f t="shared" si="5"/>
        <v>40</v>
      </c>
      <c r="AC43" t="s">
        <v>357</v>
      </c>
      <c r="AE43" s="311" t="s">
        <v>1140</v>
      </c>
      <c r="AF43" s="28" t="s">
        <v>357</v>
      </c>
      <c r="AG43" t="str">
        <f t="shared" si="6"/>
        <v/>
      </c>
      <c r="AI43" s="30"/>
    </row>
    <row r="44" spans="1:35" ht="12.75" thickBot="1">
      <c r="A44" s="15" t="s">
        <v>102</v>
      </c>
      <c r="B44" s="32">
        <v>5</v>
      </c>
      <c r="C44" s="32" t="s">
        <v>101</v>
      </c>
      <c r="AB44">
        <f t="shared" si="5"/>
        <v>41</v>
      </c>
      <c r="AC44" t="s">
        <v>359</v>
      </c>
      <c r="AE44" s="311" t="s">
        <v>1140</v>
      </c>
      <c r="AF44" s="28" t="s">
        <v>359</v>
      </c>
      <c r="AG44" t="str">
        <f t="shared" si="6"/>
        <v/>
      </c>
      <c r="AI44" s="30"/>
    </row>
    <row r="45" spans="1:35" ht="12.75" thickBot="1">
      <c r="A45" s="15" t="s">
        <v>131</v>
      </c>
      <c r="B45" s="32">
        <v>1</v>
      </c>
      <c r="C45" s="32" t="s">
        <v>133</v>
      </c>
      <c r="AB45">
        <f t="shared" si="5"/>
        <v>42</v>
      </c>
      <c r="AC45" t="s">
        <v>385</v>
      </c>
      <c r="AE45" s="311" t="s">
        <v>1140</v>
      </c>
      <c r="AF45" s="28" t="s">
        <v>385</v>
      </c>
      <c r="AG45" t="str">
        <f t="shared" si="6"/>
        <v/>
      </c>
      <c r="AI45" s="30"/>
    </row>
    <row r="46" spans="1:35" ht="12.75" thickBot="1">
      <c r="A46" s="32" t="s">
        <v>132</v>
      </c>
      <c r="B46" s="32">
        <v>1</v>
      </c>
      <c r="C46" s="32" t="s">
        <v>133</v>
      </c>
      <c r="AB46">
        <f t="shared" si="5"/>
        <v>43</v>
      </c>
      <c r="AC46" t="s">
        <v>312</v>
      </c>
      <c r="AE46" s="311" t="s">
        <v>1140</v>
      </c>
      <c r="AF46" s="28" t="s">
        <v>312</v>
      </c>
      <c r="AG46" t="str">
        <f t="shared" si="6"/>
        <v/>
      </c>
      <c r="AI46" s="30"/>
    </row>
    <row r="47" spans="1:35" ht="12.75" thickBot="1">
      <c r="A47" s="15" t="s">
        <v>134</v>
      </c>
      <c r="B47" s="32">
        <v>3</v>
      </c>
      <c r="C47" s="32" t="s">
        <v>133</v>
      </c>
      <c r="AB47">
        <f t="shared" si="5"/>
        <v>44</v>
      </c>
      <c r="AC47" t="s">
        <v>421</v>
      </c>
      <c r="AE47" s="311" t="s">
        <v>1140</v>
      </c>
      <c r="AF47" s="28" t="s">
        <v>421</v>
      </c>
      <c r="AG47" t="str">
        <f t="shared" si="6"/>
        <v/>
      </c>
      <c r="AI47" s="30"/>
    </row>
    <row r="48" spans="1:35" ht="12.75" thickBot="1">
      <c r="AB48">
        <f t="shared" si="5"/>
        <v>45</v>
      </c>
      <c r="AC48" t="s">
        <v>322</v>
      </c>
      <c r="AE48" s="311" t="s">
        <v>1139</v>
      </c>
      <c r="AF48" s="28" t="s">
        <v>322</v>
      </c>
      <c r="AG48" t="str">
        <f t="shared" si="6"/>
        <v/>
      </c>
      <c r="AI48" s="30"/>
    </row>
    <row r="49" spans="1:35" ht="12.75" thickBot="1">
      <c r="AB49">
        <f t="shared" si="5"/>
        <v>46</v>
      </c>
      <c r="AC49" t="s">
        <v>354</v>
      </c>
      <c r="AE49" s="311" t="s">
        <v>1139</v>
      </c>
      <c r="AF49" s="28" t="s">
        <v>354</v>
      </c>
      <c r="AG49" t="str">
        <f t="shared" si="6"/>
        <v/>
      </c>
      <c r="AI49" s="30"/>
    </row>
    <row r="50" spans="1:35" ht="12.75" thickBot="1">
      <c r="AB50">
        <f t="shared" si="5"/>
        <v>47</v>
      </c>
      <c r="AC50" t="s">
        <v>317</v>
      </c>
      <c r="AE50" s="310" t="s">
        <v>1139</v>
      </c>
      <c r="AF50" s="28" t="s">
        <v>317</v>
      </c>
      <c r="AG50" t="str">
        <f t="shared" si="6"/>
        <v/>
      </c>
      <c r="AI50" s="30"/>
    </row>
    <row r="51" spans="1:35" ht="12.75" thickBot="1">
      <c r="AB51">
        <f t="shared" si="5"/>
        <v>48</v>
      </c>
      <c r="AC51" t="s">
        <v>320</v>
      </c>
      <c r="AE51" s="311" t="s">
        <v>1140</v>
      </c>
      <c r="AF51" s="28" t="s">
        <v>320</v>
      </c>
      <c r="AG51" t="str">
        <f t="shared" si="6"/>
        <v/>
      </c>
      <c r="AI51" s="30"/>
    </row>
    <row r="52" spans="1:35" ht="12.75" thickBot="1">
      <c r="AB52">
        <f t="shared" si="5"/>
        <v>49</v>
      </c>
      <c r="AC52" t="s">
        <v>352</v>
      </c>
      <c r="AE52" s="311" t="s">
        <v>1140</v>
      </c>
      <c r="AF52" s="28" t="s">
        <v>352</v>
      </c>
      <c r="AG52" t="str">
        <f t="shared" si="6"/>
        <v/>
      </c>
      <c r="AI52" s="30"/>
    </row>
    <row r="53" spans="1:35" ht="12.75" thickBot="1">
      <c r="AB53">
        <f t="shared" si="5"/>
        <v>50</v>
      </c>
      <c r="AC53" t="s">
        <v>384</v>
      </c>
      <c r="AE53" s="311" t="s">
        <v>1140</v>
      </c>
      <c r="AF53" s="28" t="s">
        <v>384</v>
      </c>
      <c r="AG53" t="str">
        <f t="shared" si="6"/>
        <v/>
      </c>
      <c r="AI53" s="30"/>
    </row>
    <row r="54" spans="1:35" ht="12.75" thickBot="1">
      <c r="AB54">
        <f t="shared" si="5"/>
        <v>51</v>
      </c>
      <c r="AC54" t="s">
        <v>311</v>
      </c>
      <c r="AE54" s="311" t="s">
        <v>1140</v>
      </c>
      <c r="AF54" s="28" t="s">
        <v>311</v>
      </c>
      <c r="AG54" t="str">
        <f t="shared" si="6"/>
        <v/>
      </c>
      <c r="AI54" s="30"/>
    </row>
    <row r="55" spans="1:35" ht="12.75" thickBot="1">
      <c r="AB55">
        <f t="shared" si="5"/>
        <v>52</v>
      </c>
      <c r="AC55" t="s">
        <v>341</v>
      </c>
      <c r="AE55" s="311" t="s">
        <v>1140</v>
      </c>
      <c r="AF55" s="28" t="s">
        <v>341</v>
      </c>
      <c r="AG55" t="str">
        <f t="shared" si="6"/>
        <v/>
      </c>
      <c r="AI55" s="30"/>
    </row>
    <row r="56" spans="1:35" ht="12.75" thickBot="1">
      <c r="AB56">
        <f t="shared" si="5"/>
        <v>53</v>
      </c>
      <c r="AC56" t="s">
        <v>315</v>
      </c>
      <c r="AE56" s="311" t="s">
        <v>1140</v>
      </c>
      <c r="AF56" s="28" t="s">
        <v>315</v>
      </c>
      <c r="AG56" t="str">
        <f t="shared" si="6"/>
        <v/>
      </c>
      <c r="AI56" s="30"/>
    </row>
    <row r="57" spans="1:35" ht="12.75" thickBot="1">
      <c r="AB57">
        <f t="shared" si="5"/>
        <v>54</v>
      </c>
      <c r="AC57" t="s">
        <v>319</v>
      </c>
      <c r="AE57" s="311" t="s">
        <v>1140</v>
      </c>
      <c r="AF57" s="28" t="s">
        <v>319</v>
      </c>
      <c r="AG57" t="str">
        <f t="shared" si="6"/>
        <v/>
      </c>
      <c r="AI57" s="30"/>
    </row>
    <row r="58" spans="1:35" ht="12.75" thickBot="1">
      <c r="AB58">
        <f t="shared" si="5"/>
        <v>55</v>
      </c>
      <c r="AC58" t="s">
        <v>356</v>
      </c>
      <c r="AE58" s="311" t="s">
        <v>1140</v>
      </c>
      <c r="AF58" s="28" t="s">
        <v>356</v>
      </c>
      <c r="AG58" t="str">
        <f t="shared" si="6"/>
        <v/>
      </c>
      <c r="AI58" s="30"/>
    </row>
    <row r="59" spans="1:35" ht="12.75" thickBot="1">
      <c r="AB59">
        <f t="shared" si="5"/>
        <v>56</v>
      </c>
      <c r="AC59" t="s">
        <v>365</v>
      </c>
      <c r="AE59" s="311" t="s">
        <v>1139</v>
      </c>
      <c r="AF59" s="28" t="s">
        <v>365</v>
      </c>
      <c r="AG59" t="str">
        <f t="shared" si="6"/>
        <v/>
      </c>
      <c r="AI59" s="30"/>
    </row>
    <row r="60" spans="1:35" ht="12.75" thickBot="1">
      <c r="AB60">
        <f t="shared" si="5"/>
        <v>57</v>
      </c>
      <c r="AC60" t="s">
        <v>388</v>
      </c>
      <c r="AE60" s="311" t="s">
        <v>1139</v>
      </c>
      <c r="AF60" s="28" t="s">
        <v>388</v>
      </c>
      <c r="AG60" t="str">
        <f t="shared" si="6"/>
        <v/>
      </c>
      <c r="AI60" s="30"/>
    </row>
    <row r="61" spans="1:35" ht="12.75" thickBot="1">
      <c r="AB61">
        <f t="shared" si="5"/>
        <v>58</v>
      </c>
      <c r="AC61" t="s">
        <v>345</v>
      </c>
      <c r="AE61" s="311" t="s">
        <v>1139</v>
      </c>
      <c r="AF61" s="28" t="s">
        <v>345</v>
      </c>
      <c r="AG61" t="str">
        <f t="shared" si="6"/>
        <v/>
      </c>
      <c r="AI61" s="30"/>
    </row>
    <row r="62" spans="1:35" ht="12.75" thickBot="1">
      <c r="AB62">
        <f t="shared" si="5"/>
        <v>59</v>
      </c>
      <c r="AC62" t="s">
        <v>377</v>
      </c>
      <c r="AE62" s="311" t="s">
        <v>1139</v>
      </c>
      <c r="AF62" s="28" t="s">
        <v>377</v>
      </c>
      <c r="AG62" t="str">
        <f t="shared" si="6"/>
        <v/>
      </c>
      <c r="AI62" s="30"/>
    </row>
    <row r="63" spans="1:35" ht="12.75" thickBot="1">
      <c r="AB63">
        <f t="shared" si="5"/>
        <v>60</v>
      </c>
      <c r="AC63" t="s">
        <v>363</v>
      </c>
      <c r="AE63" s="311" t="s">
        <v>1140</v>
      </c>
      <c r="AF63" s="28" t="s">
        <v>363</v>
      </c>
      <c r="AG63" t="str">
        <f t="shared" si="6"/>
        <v/>
      </c>
      <c r="AI63" s="30"/>
    </row>
    <row r="64" spans="1:35" ht="12.75" thickBot="1">
      <c r="A64">
        <v>1</v>
      </c>
      <c r="AB64">
        <f t="shared" si="5"/>
        <v>61</v>
      </c>
      <c r="AC64" t="s">
        <v>373</v>
      </c>
      <c r="AE64" s="311" t="s">
        <v>1139</v>
      </c>
      <c r="AF64" s="28" t="s">
        <v>373</v>
      </c>
      <c r="AG64" t="str">
        <f t="shared" si="6"/>
        <v/>
      </c>
      <c r="AI64" s="30"/>
    </row>
    <row r="65" spans="1:35" ht="12.75" thickBot="1">
      <c r="A65">
        <v>2</v>
      </c>
      <c r="AB65">
        <f t="shared" si="5"/>
        <v>62</v>
      </c>
      <c r="AC65" t="s">
        <v>396</v>
      </c>
      <c r="AE65" s="311" t="s">
        <v>1139</v>
      </c>
      <c r="AF65" s="28" t="s">
        <v>396</v>
      </c>
      <c r="AG65" t="str">
        <f t="shared" si="6"/>
        <v/>
      </c>
      <c r="AI65" s="30"/>
    </row>
    <row r="66" spans="1:35" ht="12.75" thickBot="1">
      <c r="A66">
        <v>3</v>
      </c>
      <c r="AB66">
        <f t="shared" si="5"/>
        <v>63</v>
      </c>
      <c r="AC66" t="s">
        <v>351</v>
      </c>
      <c r="AE66" s="311" t="s">
        <v>1140</v>
      </c>
      <c r="AF66" s="28" t="s">
        <v>351</v>
      </c>
      <c r="AG66" t="str">
        <f t="shared" si="6"/>
        <v/>
      </c>
      <c r="AI66" s="30"/>
    </row>
    <row r="67" spans="1:35" ht="12.75" thickBot="1">
      <c r="A67">
        <v>4</v>
      </c>
      <c r="AB67">
        <f t="shared" si="5"/>
        <v>64</v>
      </c>
      <c r="AC67" t="s">
        <v>314</v>
      </c>
      <c r="AE67" s="311" t="s">
        <v>1140</v>
      </c>
      <c r="AF67" s="28" t="s">
        <v>314</v>
      </c>
      <c r="AG67" t="str">
        <f t="shared" si="6"/>
        <v/>
      </c>
      <c r="AI67" s="30"/>
    </row>
    <row r="68" spans="1:35" ht="12.75" thickBot="1">
      <c r="A68">
        <v>5</v>
      </c>
      <c r="AB68">
        <f t="shared" ref="AB68:AB91" si="7">AB67+1</f>
        <v>65</v>
      </c>
      <c r="AC68" t="s">
        <v>355</v>
      </c>
      <c r="AE68" s="311" t="s">
        <v>1140</v>
      </c>
      <c r="AF68" s="28" t="s">
        <v>355</v>
      </c>
      <c r="AG68" t="str">
        <f t="shared" si="6"/>
        <v/>
      </c>
      <c r="AI68" s="30"/>
    </row>
    <row r="69" spans="1:35" ht="12.75" thickBot="1">
      <c r="A69">
        <v>6</v>
      </c>
      <c r="AB69">
        <f t="shared" si="7"/>
        <v>66</v>
      </c>
      <c r="AC69" t="s">
        <v>364</v>
      </c>
      <c r="AE69" s="311" t="s">
        <v>1139</v>
      </c>
      <c r="AF69" s="28" t="s">
        <v>364</v>
      </c>
      <c r="AG69" t="str">
        <f t="shared" si="6"/>
        <v/>
      </c>
      <c r="AI69" s="30"/>
    </row>
    <row r="70" spans="1:35" ht="12.75" thickBot="1">
      <c r="A70">
        <v>7</v>
      </c>
      <c r="AB70">
        <f t="shared" si="7"/>
        <v>67</v>
      </c>
      <c r="AC70" t="s">
        <v>387</v>
      </c>
      <c r="AE70" s="311" t="s">
        <v>1139</v>
      </c>
      <c r="AF70" s="28" t="s">
        <v>387</v>
      </c>
      <c r="AG70" t="str">
        <f t="shared" si="6"/>
        <v/>
      </c>
      <c r="AI70" s="30"/>
    </row>
    <row r="71" spans="1:35" ht="12.75" thickBot="1">
      <c r="A71">
        <v>8</v>
      </c>
      <c r="AB71">
        <f t="shared" si="7"/>
        <v>68</v>
      </c>
      <c r="AC71" t="s">
        <v>344</v>
      </c>
      <c r="AE71" s="311" t="s">
        <v>1139</v>
      </c>
      <c r="AF71" s="28" t="s">
        <v>344</v>
      </c>
      <c r="AG71" t="str">
        <f t="shared" ref="AG71:AG89" si="8">IF(AC70=AF70,"","err")</f>
        <v/>
      </c>
      <c r="AI71" s="30"/>
    </row>
    <row r="72" spans="1:35" ht="12.75" thickBot="1">
      <c r="A72">
        <v>9</v>
      </c>
      <c r="AB72">
        <f t="shared" si="7"/>
        <v>69</v>
      </c>
      <c r="AC72" t="s">
        <v>376</v>
      </c>
      <c r="AE72" s="311" t="s">
        <v>1139</v>
      </c>
      <c r="AF72" s="28" t="s">
        <v>376</v>
      </c>
      <c r="AG72" t="str">
        <f t="shared" si="8"/>
        <v/>
      </c>
      <c r="AI72" s="30"/>
    </row>
    <row r="73" spans="1:35" ht="12.75" thickBot="1">
      <c r="A73">
        <v>10</v>
      </c>
      <c r="AB73">
        <f t="shared" si="7"/>
        <v>70</v>
      </c>
      <c r="AC73" t="s">
        <v>374</v>
      </c>
      <c r="AE73" s="311" t="s">
        <v>1139</v>
      </c>
      <c r="AF73" s="28" t="s">
        <v>374</v>
      </c>
      <c r="AG73" t="str">
        <f t="shared" si="8"/>
        <v/>
      </c>
      <c r="AI73" s="30"/>
    </row>
    <row r="74" spans="1:35" ht="12.75" thickBot="1">
      <c r="A74">
        <v>11</v>
      </c>
      <c r="AB74">
        <f t="shared" si="7"/>
        <v>71</v>
      </c>
      <c r="AC74" t="s">
        <v>398</v>
      </c>
      <c r="AE74" s="311" t="s">
        <v>1139</v>
      </c>
      <c r="AF74" s="28" t="s">
        <v>398</v>
      </c>
      <c r="AG74" t="str">
        <f t="shared" si="8"/>
        <v/>
      </c>
      <c r="AI74" s="30"/>
    </row>
    <row r="75" spans="1:35" ht="12.75" thickBot="1">
      <c r="A75">
        <v>12</v>
      </c>
      <c r="AB75">
        <f t="shared" si="7"/>
        <v>72</v>
      </c>
      <c r="AC75" t="s">
        <v>348</v>
      </c>
      <c r="AE75" s="311" t="s">
        <v>1139</v>
      </c>
      <c r="AF75" s="28" t="s">
        <v>348</v>
      </c>
      <c r="AG75" t="str">
        <f t="shared" si="8"/>
        <v/>
      </c>
      <c r="AI75" s="30"/>
    </row>
    <row r="76" spans="1:35" ht="12.75" thickBot="1">
      <c r="AB76">
        <f t="shared" si="7"/>
        <v>73</v>
      </c>
      <c r="AC76" t="s">
        <v>380</v>
      </c>
      <c r="AE76" s="311" t="s">
        <v>1139</v>
      </c>
      <c r="AF76" s="28" t="s">
        <v>380</v>
      </c>
      <c r="AG76" t="str">
        <f t="shared" si="8"/>
        <v/>
      </c>
      <c r="AI76" s="30"/>
    </row>
    <row r="77" spans="1:35" ht="12.75" thickBot="1">
      <c r="AB77">
        <f t="shared" si="7"/>
        <v>74</v>
      </c>
      <c r="AC77" t="s">
        <v>379</v>
      </c>
      <c r="AE77" s="311" t="s">
        <v>1139</v>
      </c>
      <c r="AF77" s="28" t="s">
        <v>379</v>
      </c>
      <c r="AG77" t="str">
        <f t="shared" si="8"/>
        <v/>
      </c>
      <c r="AI77" s="30"/>
    </row>
    <row r="78" spans="1:35" ht="12.75" thickBot="1">
      <c r="AB78">
        <f t="shared" si="7"/>
        <v>75</v>
      </c>
      <c r="AC78" t="s">
        <v>399</v>
      </c>
      <c r="AE78" s="311" t="s">
        <v>1139</v>
      </c>
      <c r="AF78" s="28" t="s">
        <v>399</v>
      </c>
      <c r="AG78" t="str">
        <f t="shared" si="8"/>
        <v/>
      </c>
      <c r="AI78" s="30"/>
    </row>
    <row r="79" spans="1:35" ht="12.75" thickBot="1">
      <c r="AB79">
        <f t="shared" si="7"/>
        <v>76</v>
      </c>
      <c r="AC79" t="s">
        <v>349</v>
      </c>
      <c r="AE79" s="311" t="s">
        <v>1139</v>
      </c>
      <c r="AF79" s="28" t="s">
        <v>349</v>
      </c>
      <c r="AG79" t="str">
        <f t="shared" si="8"/>
        <v/>
      </c>
      <c r="AI79" s="30"/>
    </row>
    <row r="80" spans="1:35" ht="12.75" thickBot="1">
      <c r="AB80">
        <f t="shared" si="7"/>
        <v>77</v>
      </c>
      <c r="AC80" t="s">
        <v>381</v>
      </c>
      <c r="AE80" s="311" t="s">
        <v>1139</v>
      </c>
      <c r="AF80" s="28" t="s">
        <v>381</v>
      </c>
      <c r="AG80" t="str">
        <f t="shared" si="8"/>
        <v/>
      </c>
      <c r="AI80" s="30"/>
    </row>
    <row r="81" spans="28:35" ht="12.75" thickBot="1">
      <c r="AB81">
        <f t="shared" si="7"/>
        <v>78</v>
      </c>
      <c r="AC81" t="s">
        <v>321</v>
      </c>
      <c r="AE81" s="311" t="s">
        <v>1139</v>
      </c>
      <c r="AF81" s="28" t="s">
        <v>321</v>
      </c>
      <c r="AG81" t="str">
        <f t="shared" si="8"/>
        <v/>
      </c>
      <c r="AI81" s="30"/>
    </row>
    <row r="82" spans="28:35" ht="12.75" thickBot="1">
      <c r="AB82">
        <f t="shared" si="7"/>
        <v>79</v>
      </c>
      <c r="AC82" t="s">
        <v>353</v>
      </c>
      <c r="AE82" s="311" t="s">
        <v>1139</v>
      </c>
      <c r="AF82" s="28" t="s">
        <v>353</v>
      </c>
      <c r="AG82" t="str">
        <f t="shared" si="8"/>
        <v/>
      </c>
      <c r="AI82" s="30"/>
    </row>
    <row r="83" spans="28:35" ht="12.75" thickBot="1">
      <c r="AB83">
        <f t="shared" si="7"/>
        <v>80</v>
      </c>
      <c r="AC83" t="s">
        <v>678</v>
      </c>
      <c r="AE83" s="311" t="s">
        <v>1139</v>
      </c>
      <c r="AF83" s="28" t="s">
        <v>678</v>
      </c>
      <c r="AG83" t="str">
        <f t="shared" si="8"/>
        <v/>
      </c>
      <c r="AI83" s="30"/>
    </row>
    <row r="84" spans="28:35" ht="12.75" thickBot="1">
      <c r="AB84">
        <f t="shared" si="7"/>
        <v>81</v>
      </c>
      <c r="AC84" t="s">
        <v>316</v>
      </c>
      <c r="AE84" s="311" t="s">
        <v>1139</v>
      </c>
      <c r="AF84" s="28" t="s">
        <v>316</v>
      </c>
      <c r="AG84" t="str">
        <f t="shared" si="8"/>
        <v/>
      </c>
      <c r="AI84" s="30"/>
    </row>
    <row r="85" spans="28:35" ht="12.75" thickBot="1">
      <c r="AB85">
        <f t="shared" si="7"/>
        <v>82</v>
      </c>
      <c r="AC85" t="s">
        <v>318</v>
      </c>
      <c r="AE85" s="311" t="s">
        <v>1139</v>
      </c>
      <c r="AF85" s="28" t="s">
        <v>318</v>
      </c>
      <c r="AG85" t="str">
        <f t="shared" si="8"/>
        <v/>
      </c>
      <c r="AI85" s="30"/>
    </row>
    <row r="86" spans="28:35" ht="12.75" thickBot="1">
      <c r="AB86">
        <f t="shared" si="7"/>
        <v>83</v>
      </c>
      <c r="AC86" t="s">
        <v>350</v>
      </c>
      <c r="AE86" s="311" t="s">
        <v>1139</v>
      </c>
      <c r="AF86" s="28" t="s">
        <v>350</v>
      </c>
      <c r="AG86" t="str">
        <f t="shared" si="8"/>
        <v/>
      </c>
      <c r="AI86" s="30"/>
    </row>
    <row r="87" spans="28:35" ht="12.75" thickBot="1">
      <c r="AB87">
        <f t="shared" si="7"/>
        <v>84</v>
      </c>
      <c r="AC87" t="s">
        <v>313</v>
      </c>
      <c r="AE87" s="311" t="s">
        <v>1139</v>
      </c>
      <c r="AF87" s="28" t="s">
        <v>313</v>
      </c>
      <c r="AG87" t="str">
        <f t="shared" si="8"/>
        <v/>
      </c>
      <c r="AI87" s="30"/>
    </row>
    <row r="88" spans="28:35" ht="12.75" thickBot="1">
      <c r="AB88">
        <f t="shared" si="7"/>
        <v>85</v>
      </c>
      <c r="AC88" t="s">
        <v>650</v>
      </c>
      <c r="AE88" s="311" t="s">
        <v>1139</v>
      </c>
      <c r="AF88" s="28" t="s">
        <v>650</v>
      </c>
      <c r="AG88" t="str">
        <f t="shared" si="8"/>
        <v/>
      </c>
      <c r="AI88" s="30"/>
    </row>
    <row r="89" spans="28:35" ht="12.75" thickBot="1">
      <c r="AB89">
        <f t="shared" si="7"/>
        <v>86</v>
      </c>
      <c r="AC89" t="s">
        <v>447</v>
      </c>
      <c r="AE89" s="311" t="s">
        <v>1139</v>
      </c>
      <c r="AF89" s="28" t="s">
        <v>447</v>
      </c>
      <c r="AG89" t="str">
        <f t="shared" si="8"/>
        <v/>
      </c>
      <c r="AI89" s="30"/>
    </row>
    <row r="90" spans="28:35" ht="12.75" thickBot="1">
      <c r="AB90">
        <f t="shared" si="7"/>
        <v>87</v>
      </c>
      <c r="AC90" t="s">
        <v>624</v>
      </c>
      <c r="AE90" s="311" t="s">
        <v>1139</v>
      </c>
      <c r="AF90" s="28" t="s">
        <v>447</v>
      </c>
      <c r="AG90" t="str">
        <f>IF(AC90=AF90,"","err")</f>
        <v>err</v>
      </c>
      <c r="AI90" s="30"/>
    </row>
    <row r="91" spans="28:35" ht="12.75" thickBot="1">
      <c r="AB91">
        <f t="shared" si="7"/>
        <v>88</v>
      </c>
      <c r="AC91" t="s">
        <v>73</v>
      </c>
      <c r="AE91" s="311" t="s">
        <v>73</v>
      </c>
      <c r="AF91" s="28" t="s">
        <v>73</v>
      </c>
      <c r="AG91" t="str">
        <f>IF(AC91=AF91,"","err")</f>
        <v/>
      </c>
      <c r="AI91" s="30"/>
    </row>
    <row r="92" spans="28:35">
      <c r="AC92" s="234"/>
      <c r="AE92" s="311"/>
      <c r="AI92" s="30"/>
    </row>
    <row r="93" spans="28:35">
      <c r="AC93" s="234"/>
      <c r="AE93" s="311"/>
      <c r="AI93" s="30"/>
    </row>
    <row r="94" spans="28:35">
      <c r="AC94" s="234"/>
      <c r="AE94" s="311"/>
      <c r="AI94" s="30"/>
    </row>
    <row r="95" spans="28:35">
      <c r="AC95" s="234"/>
      <c r="AE95" s="311"/>
      <c r="AI95" s="30"/>
    </row>
    <row r="96" spans="28:35">
      <c r="AC96" s="234"/>
      <c r="AE96" s="311"/>
      <c r="AI96" s="30"/>
    </row>
    <row r="97" spans="29:35">
      <c r="AC97" s="234"/>
      <c r="AE97" s="311"/>
      <c r="AI97" s="30"/>
    </row>
    <row r="98" spans="29:35">
      <c r="AC98" s="234"/>
      <c r="AE98" s="311"/>
      <c r="AI98" s="30"/>
    </row>
    <row r="99" spans="29:35">
      <c r="AC99" s="234"/>
      <c r="AE99" s="311"/>
      <c r="AI99" s="30"/>
    </row>
    <row r="100" spans="29:35">
      <c r="AC100" s="234"/>
      <c r="AE100" s="311"/>
      <c r="AI100" s="30"/>
    </row>
    <row r="101" spans="29:35">
      <c r="AC101" s="234"/>
      <c r="AE101" s="311"/>
      <c r="AI101" s="30"/>
    </row>
    <row r="102" spans="29:35">
      <c r="AC102" s="234"/>
      <c r="AE102" s="311"/>
      <c r="AI102" s="30"/>
    </row>
    <row r="103" spans="29:35">
      <c r="AC103" s="234"/>
      <c r="AE103" s="311"/>
      <c r="AI103" s="30"/>
    </row>
    <row r="104" spans="29:35">
      <c r="AC104" s="234"/>
      <c r="AE104" s="311"/>
      <c r="AI104" s="30"/>
    </row>
    <row r="105" spans="29:35">
      <c r="AC105" s="234"/>
      <c r="AE105" s="311"/>
      <c r="AI105" s="30"/>
    </row>
    <row r="106" spans="29:35">
      <c r="AC106" s="234"/>
      <c r="AE106" s="311"/>
      <c r="AI106" s="30"/>
    </row>
    <row r="107" spans="29:35">
      <c r="AC107" s="234"/>
      <c r="AE107" s="311"/>
      <c r="AI107" s="30"/>
    </row>
    <row r="108" spans="29:35">
      <c r="AC108" s="233"/>
      <c r="AE108" s="311"/>
      <c r="AI108" s="30"/>
    </row>
    <row r="109" spans="29:35">
      <c r="AC109" s="234"/>
      <c r="AE109" s="311"/>
      <c r="AI109" s="30"/>
    </row>
    <row r="110" spans="29:35">
      <c r="AC110" s="234"/>
      <c r="AE110" s="311"/>
      <c r="AI110" s="30"/>
    </row>
    <row r="111" spans="29:35">
      <c r="AC111" s="234"/>
      <c r="AE111" s="311"/>
      <c r="AI111" s="30"/>
    </row>
    <row r="112" spans="29:35">
      <c r="AC112" s="234"/>
      <c r="AE112" s="311"/>
      <c r="AI112" s="30"/>
    </row>
    <row r="113" spans="29:35">
      <c r="AC113" s="233"/>
      <c r="AE113" s="311"/>
      <c r="AI113" s="30"/>
    </row>
    <row r="114" spans="29:35">
      <c r="AC114" s="233"/>
      <c r="AE114" s="311"/>
    </row>
    <row r="115" spans="29:35">
      <c r="AC115" s="233"/>
      <c r="AE115" s="311"/>
    </row>
  </sheetData>
  <sortState ref="AG6:AH313">
    <sortCondition ref="AH4:AH31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P45"/>
  <sheetViews>
    <sheetView view="pageBreakPreview" topLeftCell="E1" zoomScale="110" zoomScaleNormal="100" zoomScaleSheetLayoutView="110" workbookViewId="0">
      <selection activeCell="H9" sqref="H9"/>
    </sheetView>
  </sheetViews>
  <sheetFormatPr defaultRowHeight="12.75"/>
  <cols>
    <col min="1" max="1" width="43" style="925" customWidth="1"/>
    <col min="2" max="2" width="14.83203125" style="925" customWidth="1"/>
    <col min="3" max="3" width="16" style="925" customWidth="1"/>
    <col min="4" max="4" width="16.5" style="925" customWidth="1"/>
    <col min="5" max="5" width="16.33203125" style="925" customWidth="1"/>
    <col min="6" max="7" width="15.1640625" style="1195" customWidth="1"/>
    <col min="8" max="8" width="17" style="925" customWidth="1"/>
    <col min="9" max="9" width="15.6640625" style="1195" customWidth="1"/>
    <col min="10" max="10" width="15.6640625" style="925" customWidth="1"/>
    <col min="11" max="11" width="11.5" style="925" customWidth="1"/>
    <col min="12" max="12" width="18.6640625" style="925" bestFit="1" customWidth="1"/>
    <col min="13" max="13" width="18.5" style="925" bestFit="1" customWidth="1"/>
    <col min="14" max="14" width="15.83203125" style="925" bestFit="1" customWidth="1"/>
    <col min="15" max="15" width="14.1640625" style="925" bestFit="1" customWidth="1"/>
    <col min="16" max="16" width="15.83203125" style="925" bestFit="1" customWidth="1"/>
    <col min="17" max="16384" width="9.33203125" style="925"/>
  </cols>
  <sheetData>
    <row r="1" spans="1:16">
      <c r="A1" s="1161" t="s">
        <v>1462</v>
      </c>
      <c r="K1" s="920" t="s">
        <v>1466</v>
      </c>
    </row>
    <row r="2" spans="1:16">
      <c r="A2" s="869" t="s">
        <v>1465</v>
      </c>
      <c r="K2" s="920" t="s">
        <v>1733</v>
      </c>
    </row>
    <row r="3" spans="1:16">
      <c r="A3" s="869" t="s">
        <v>1461</v>
      </c>
      <c r="K3" s="920" t="s">
        <v>1751</v>
      </c>
    </row>
    <row r="4" spans="1:16">
      <c r="A4" s="858"/>
    </row>
    <row r="5" spans="1:16">
      <c r="A5" s="1162"/>
      <c r="B5" s="1163"/>
      <c r="C5" s="1163"/>
      <c r="D5" s="1163"/>
      <c r="E5" s="1163"/>
      <c r="F5" s="1197"/>
      <c r="G5" s="1197"/>
      <c r="H5" s="1163"/>
      <c r="I5" s="1197"/>
      <c r="J5" s="1163"/>
    </row>
    <row r="6" spans="1:16" ht="67.5" customHeight="1">
      <c r="B6" s="1164" t="s">
        <v>94</v>
      </c>
      <c r="C6" s="1164" t="s">
        <v>1758</v>
      </c>
      <c r="D6" s="1164" t="s">
        <v>1782</v>
      </c>
      <c r="E6" s="1164" t="s">
        <v>1759</v>
      </c>
      <c r="F6" s="1198" t="s">
        <v>1760</v>
      </c>
      <c r="G6" s="1198" t="s">
        <v>1791</v>
      </c>
      <c r="H6" s="1164" t="s">
        <v>1761</v>
      </c>
      <c r="I6" s="1198" t="s">
        <v>1762</v>
      </c>
      <c r="J6" s="1164" t="s">
        <v>1763</v>
      </c>
      <c r="K6" s="1209" t="s">
        <v>1794</v>
      </c>
      <c r="L6" s="925" t="s">
        <v>1872</v>
      </c>
    </row>
    <row r="7" spans="1:16">
      <c r="B7" s="1165"/>
      <c r="C7" s="1165"/>
      <c r="D7" s="1165"/>
      <c r="E7" s="1166"/>
      <c r="H7" s="1166"/>
      <c r="I7" s="1201"/>
      <c r="J7" s="1166"/>
    </row>
    <row r="8" spans="1:16">
      <c r="B8" s="1165"/>
      <c r="C8" s="1165"/>
      <c r="D8" s="1165"/>
      <c r="E8" s="1166"/>
      <c r="H8" s="1167"/>
      <c r="I8" s="1201"/>
      <c r="J8" s="1166"/>
    </row>
    <row r="9" spans="1:16">
      <c r="A9" s="870" t="s">
        <v>755</v>
      </c>
      <c r="B9" s="924">
        <f>'Settlement Exhibit 1 pgs 2-14'!$C$10</f>
        <v>5164164</v>
      </c>
      <c r="C9" s="924">
        <f>'Settlement Exhibit 1 pgs 2-14'!$E$11</f>
        <v>6197389895</v>
      </c>
      <c r="D9" s="924">
        <f>ROUND(C9/B9,0)</f>
        <v>1200</v>
      </c>
      <c r="E9" s="922">
        <f>'Settlement Exhibit 1 pgs 2-14'!$G$29</f>
        <v>593989578.92972851</v>
      </c>
      <c r="F9" s="1195">
        <f>ROUND(E9/B9,2)</f>
        <v>115.02</v>
      </c>
      <c r="G9" s="922">
        <f>'Settlement Exhibit 1 pgs 2-14'!$J$31</f>
        <v>47348098</v>
      </c>
      <c r="H9" s="922">
        <f>'Settlement Exhibit 1 pgs 2-14'!$J$29</f>
        <v>641337676.92972851</v>
      </c>
      <c r="I9" s="1195">
        <f>ROUND(H9/B9,2)</f>
        <v>124.19</v>
      </c>
      <c r="J9" s="1195">
        <f>I9-F9</f>
        <v>9.1700000000000017</v>
      </c>
      <c r="K9" s="1210">
        <f>J9/F9</f>
        <v>7.9725265171274581E-2</v>
      </c>
      <c r="L9" s="1210">
        <v>1.5E-3</v>
      </c>
      <c r="M9" s="1273">
        <f>L9*I9</f>
        <v>0.18628500000000001</v>
      </c>
      <c r="N9" s="1273">
        <f>I9-M9</f>
        <v>124.003715</v>
      </c>
      <c r="O9" s="1273">
        <f>N9-F9</f>
        <v>8.9837150000000037</v>
      </c>
      <c r="P9" s="1210">
        <f>O9/F9</f>
        <v>7.8105677273517679E-2</v>
      </c>
    </row>
    <row r="10" spans="1:16">
      <c r="A10" s="870" t="s">
        <v>1697</v>
      </c>
      <c r="B10" s="924">
        <f>'Settlement Exhibit 1 pgs 2-14'!$C$44</f>
        <v>85</v>
      </c>
      <c r="C10" s="924">
        <f>SUM('Settlement Exhibit 1 pgs 2-14'!E45:E47)</f>
        <v>98454</v>
      </c>
      <c r="D10" s="924">
        <f>ROUND(C10/B10,0)</f>
        <v>1158</v>
      </c>
      <c r="E10" s="922">
        <f>'Settlement Exhibit 1 pgs 2-14'!$G$64</f>
        <v>8665.0702714500603</v>
      </c>
      <c r="F10" s="1195">
        <f>ROUND(E10/B10,2)</f>
        <v>101.94</v>
      </c>
      <c r="G10" s="922">
        <f>'Settlement Exhibit 1 pgs 2-14'!$J$66</f>
        <v>1160</v>
      </c>
      <c r="H10" s="922">
        <f>'Settlement Exhibit 1 pgs 2-14'!$J$64</f>
        <v>9825.0702714500603</v>
      </c>
      <c r="I10" s="1195">
        <f>ROUND(H10/B10,2)</f>
        <v>115.59</v>
      </c>
      <c r="J10" s="1195">
        <f>I10-F10</f>
        <v>13.650000000000006</v>
      </c>
      <c r="K10" s="1210">
        <f>J10/F10</f>
        <v>0.13390229546792237</v>
      </c>
      <c r="L10" s="1210">
        <v>1.5E-3</v>
      </c>
      <c r="M10" s="1273">
        <f>L10*I10</f>
        <v>0.17338500000000001</v>
      </c>
      <c r="N10" s="1273">
        <f>I10-M10</f>
        <v>115.41661500000001</v>
      </c>
      <c r="O10" s="1273">
        <f>N10-F10</f>
        <v>13.47661500000001</v>
      </c>
      <c r="P10" s="1210">
        <f>O10/F10</f>
        <v>0.13220144202472053</v>
      </c>
    </row>
    <row r="11" spans="1:16">
      <c r="A11" s="870" t="s">
        <v>1705</v>
      </c>
      <c r="B11" s="924">
        <v>0</v>
      </c>
      <c r="C11" s="924">
        <v>0</v>
      </c>
      <c r="D11" s="924">
        <v>0</v>
      </c>
      <c r="E11" s="922">
        <v>0</v>
      </c>
      <c r="F11" s="1195">
        <v>0</v>
      </c>
      <c r="G11" s="1195">
        <v>0</v>
      </c>
      <c r="H11" s="922">
        <v>0</v>
      </c>
      <c r="I11" s="1195">
        <v>0</v>
      </c>
      <c r="J11" s="1195">
        <v>0</v>
      </c>
      <c r="K11" s="1210">
        <v>0</v>
      </c>
    </row>
    <row r="12" spans="1:16">
      <c r="B12" s="924"/>
      <c r="C12" s="924"/>
      <c r="D12" s="924"/>
      <c r="E12" s="926"/>
      <c r="H12" s="926"/>
      <c r="J12" s="926"/>
    </row>
    <row r="13" spans="1:16" hidden="1">
      <c r="A13" s="1168" t="s">
        <v>108</v>
      </c>
      <c r="B13" s="924">
        <f>'Settlement Exhibit 1 pgs 2-14'!C112</f>
        <v>762399</v>
      </c>
      <c r="C13" s="924">
        <f>'Settlement Exhibit 1 pgs 2-14'!E114</f>
        <v>773603156</v>
      </c>
      <c r="D13" s="924"/>
      <c r="E13" s="922"/>
      <c r="H13" s="922"/>
      <c r="J13" s="1195"/>
      <c r="L13" s="1169"/>
      <c r="M13" s="1169"/>
    </row>
    <row r="14" spans="1:16" ht="15" hidden="1">
      <c r="A14" s="1168" t="s">
        <v>63</v>
      </c>
      <c r="B14" s="924">
        <f>'Settlement Exhibit 1 pgs 2-14'!C113</f>
        <v>222861</v>
      </c>
      <c r="C14" s="924">
        <f>'Settlement Exhibit 1 pgs 2-14'!E115</f>
        <v>1131893696</v>
      </c>
      <c r="D14" s="924"/>
      <c r="E14" s="923"/>
      <c r="F14" s="1199"/>
      <c r="G14" s="1199"/>
      <c r="H14" s="923"/>
      <c r="I14" s="1199"/>
      <c r="J14" s="1199"/>
      <c r="L14" s="1169"/>
      <c r="M14" s="1169"/>
    </row>
    <row r="15" spans="1:16">
      <c r="A15" s="925" t="s">
        <v>107</v>
      </c>
      <c r="B15" s="924">
        <f t="shared" ref="B15:C15" si="0">SUM(B13:B14)</f>
        <v>985260</v>
      </c>
      <c r="C15" s="924">
        <f t="shared" si="0"/>
        <v>1905496852</v>
      </c>
      <c r="D15" s="924">
        <f>ROUND(C15/B15,0)</f>
        <v>1934</v>
      </c>
      <c r="E15" s="922">
        <f>'Settlement Exhibit 1 pgs 2-14'!$G$131</f>
        <v>216871822</v>
      </c>
      <c r="F15" s="1195">
        <f>ROUND(E15/B15,2)</f>
        <v>220.12</v>
      </c>
      <c r="G15" s="922">
        <f>'Settlement Exhibit 1 pgs 2-14'!$J$133</f>
        <v>17292976</v>
      </c>
      <c r="H15" s="922">
        <f>'Settlement Exhibit 1 pgs 2-14'!$J$131</f>
        <v>234164798</v>
      </c>
      <c r="I15" s="1195">
        <f>ROUND(H15/B15,2)</f>
        <v>237.67</v>
      </c>
      <c r="J15" s="1195">
        <f>I15-F15</f>
        <v>17.549999999999983</v>
      </c>
      <c r="K15" s="1210">
        <f>J15/F15</f>
        <v>7.9729238597128757E-2</v>
      </c>
      <c r="L15" s="1210">
        <v>1.5E-3</v>
      </c>
      <c r="M15" s="1273">
        <f>L15*I15</f>
        <v>0.35650500000000002</v>
      </c>
      <c r="N15" s="1273">
        <f>I15-M15</f>
        <v>237.31349499999999</v>
      </c>
      <c r="O15" s="1273">
        <f>N15-F15</f>
        <v>17.193494999999984</v>
      </c>
      <c r="P15" s="1210">
        <f>O15/F15</f>
        <v>7.8109644739233069E-2</v>
      </c>
    </row>
    <row r="16" spans="1:16" ht="12" customHeight="1">
      <c r="B16" s="924"/>
      <c r="C16" s="924"/>
      <c r="D16" s="924"/>
      <c r="E16" s="924"/>
      <c r="H16" s="924"/>
      <c r="J16" s="924"/>
    </row>
    <row r="17" spans="1:16" hidden="1">
      <c r="A17" s="1168" t="s">
        <v>446</v>
      </c>
      <c r="B17" s="924">
        <f>'Settlement Exhibit 1 pgs 2-14'!$C$147</f>
        <v>4491</v>
      </c>
      <c r="C17" s="924">
        <f>'Settlement Exhibit 1 pgs 2-14'!$E$149</f>
        <v>7766692</v>
      </c>
      <c r="D17" s="924"/>
      <c r="E17" s="922"/>
      <c r="H17" s="922"/>
      <c r="J17" s="1195"/>
      <c r="L17" s="1169"/>
      <c r="M17" s="1169"/>
    </row>
    <row r="18" spans="1:16" ht="15" hidden="1">
      <c r="A18" s="1168" t="s">
        <v>474</v>
      </c>
      <c r="B18" s="1171">
        <f>'Settlement Exhibit 1 pgs 2-14'!$C$148</f>
        <v>3120</v>
      </c>
      <c r="C18" s="1171">
        <f>'Settlement Exhibit 1 pgs 2-14'!$E$150</f>
        <v>143951864</v>
      </c>
      <c r="D18" s="1171"/>
      <c r="E18" s="923"/>
      <c r="F18" s="1199"/>
      <c r="G18" s="1199"/>
      <c r="H18" s="923"/>
      <c r="I18" s="1199"/>
      <c r="J18" s="1199"/>
      <c r="L18" s="1169"/>
      <c r="M18" s="1169"/>
    </row>
    <row r="19" spans="1:16">
      <c r="A19" s="925" t="s">
        <v>473</v>
      </c>
      <c r="B19" s="924">
        <f t="shared" ref="B19:C19" si="1">SUM(B17:B18)</f>
        <v>7611</v>
      </c>
      <c r="C19" s="924">
        <f t="shared" si="1"/>
        <v>151718556</v>
      </c>
      <c r="D19" s="924">
        <f>ROUND(C19/B19,0)</f>
        <v>19934</v>
      </c>
      <c r="E19" s="922">
        <f>'Settlement Exhibit 1 pgs 2-14'!$G$167</f>
        <v>12936297</v>
      </c>
      <c r="F19" s="1195">
        <f>ROUND(E19/B19,2)</f>
        <v>1699.68</v>
      </c>
      <c r="G19" s="922">
        <f>'Settlement Exhibit 1 pgs 2-14'!$J$169</f>
        <v>1030294</v>
      </c>
      <c r="H19" s="922">
        <f>'Settlement Exhibit 1 pgs 2-14'!$J$167</f>
        <v>13966591</v>
      </c>
      <c r="I19" s="1195">
        <f>ROUND(H19/B19,2)</f>
        <v>1835.05</v>
      </c>
      <c r="J19" s="1195">
        <f>I19-F19</f>
        <v>135.36999999999989</v>
      </c>
      <c r="K19" s="1210">
        <f>J19/F19</f>
        <v>7.9644403652452164E-2</v>
      </c>
      <c r="L19" s="1210">
        <v>1.5E-3</v>
      </c>
      <c r="M19" s="1273">
        <f>L19*I19</f>
        <v>2.7525749999999998</v>
      </c>
      <c r="N19" s="1273">
        <f>I19-M19</f>
        <v>1832.297425</v>
      </c>
      <c r="O19" s="1273">
        <f>N19-F19</f>
        <v>132.61742499999991</v>
      </c>
      <c r="P19" s="1210">
        <f>O19/F19</f>
        <v>7.8024937046973497E-2</v>
      </c>
    </row>
    <row r="20" spans="1:16">
      <c r="B20" s="924"/>
      <c r="C20" s="924"/>
      <c r="D20" s="924"/>
      <c r="E20" s="924"/>
      <c r="H20" s="924"/>
      <c r="J20" s="924"/>
    </row>
    <row r="21" spans="1:16">
      <c r="A21" s="1168" t="s">
        <v>80</v>
      </c>
      <c r="B21" s="924">
        <f>'Settlement Exhibit 1 pgs 2-14'!$C$182</f>
        <v>55875</v>
      </c>
      <c r="C21" s="924">
        <f>'Settlement Exhibit 1 pgs 2-14'!$E$183</f>
        <v>2109401951</v>
      </c>
      <c r="D21" s="924">
        <f t="shared" ref="D21:D23" si="2">ROUND(C21/B21,0)</f>
        <v>37752</v>
      </c>
      <c r="E21" s="922">
        <f>'Settlement Exhibit 1 pgs 2-14'!$G$206</f>
        <v>199011748</v>
      </c>
      <c r="F21" s="1195">
        <f t="shared" ref="F21:F22" si="3">ROUND(E21/B21,2)</f>
        <v>3561.73</v>
      </c>
      <c r="G21" s="922">
        <f>'Settlement Exhibit 1 pgs 2-14'!$J$208</f>
        <v>15866702</v>
      </c>
      <c r="H21" s="922">
        <f>'Settlement Exhibit 1 pgs 2-14'!$J$206</f>
        <v>214878450</v>
      </c>
      <c r="I21" s="1195">
        <f t="shared" ref="I21:I23" si="4">ROUND(H21/B21,2)</f>
        <v>3845.7</v>
      </c>
      <c r="J21" s="1195">
        <f>I21-F21</f>
        <v>283.9699999999998</v>
      </c>
      <c r="K21" s="1210">
        <f>J21/F21</f>
        <v>7.9728109654577911E-2</v>
      </c>
      <c r="L21" s="1210">
        <v>1.5E-3</v>
      </c>
      <c r="M21" s="1273">
        <f>L21*I21</f>
        <v>5.7685500000000003</v>
      </c>
      <c r="N21" s="1273">
        <f>I21-M21</f>
        <v>3839.93145</v>
      </c>
      <c r="O21" s="1273">
        <f>N21-F21</f>
        <v>278.20145000000002</v>
      </c>
      <c r="P21" s="1210">
        <f>O21/F21</f>
        <v>7.8108517490096105E-2</v>
      </c>
    </row>
    <row r="22" spans="1:16" ht="15">
      <c r="A22" s="1168" t="s">
        <v>81</v>
      </c>
      <c r="B22" s="1171">
        <f>'Settlement Exhibit 1 pgs 2-14'!$C$221</f>
        <v>2370</v>
      </c>
      <c r="C22" s="1171">
        <f>'Settlement Exhibit 1 pgs 2-14'!$E$222</f>
        <v>237951668</v>
      </c>
      <c r="D22" s="924">
        <f t="shared" si="2"/>
        <v>100402</v>
      </c>
      <c r="E22" s="923">
        <f>'Settlement Exhibit 1 pgs 2-14'!$G$245</f>
        <v>20774460</v>
      </c>
      <c r="F22" s="1195">
        <f t="shared" si="3"/>
        <v>8765.59</v>
      </c>
      <c r="G22" s="923">
        <f>'Settlement Exhibit 1 pgs 2-14'!$J$247</f>
        <v>1657629</v>
      </c>
      <c r="H22" s="923">
        <f>'Settlement Exhibit 1 pgs 2-14'!$J$245</f>
        <v>22432089</v>
      </c>
      <c r="I22" s="1199">
        <f t="shared" si="4"/>
        <v>9465.02</v>
      </c>
      <c r="J22" s="1195">
        <f>I22-F22</f>
        <v>699.43000000000029</v>
      </c>
      <c r="K22" s="1210">
        <f>J22/F22</f>
        <v>7.9792689368314088E-2</v>
      </c>
      <c r="L22" s="1210">
        <v>1.5E-3</v>
      </c>
      <c r="M22" s="1273">
        <f>L22*I22</f>
        <v>14.19753</v>
      </c>
      <c r="N22" s="1273">
        <f>I22-M22</f>
        <v>9450.822470000001</v>
      </c>
      <c r="O22" s="1273">
        <f>N22-F22</f>
        <v>685.23247000000083</v>
      </c>
      <c r="P22" s="1210">
        <f>O22/F22</f>
        <v>7.817300033426168E-2</v>
      </c>
    </row>
    <row r="23" spans="1:16">
      <c r="A23" s="1170" t="s">
        <v>110</v>
      </c>
      <c r="B23" s="924">
        <f t="shared" ref="B23:H23" si="5">SUM(B21:B22)</f>
        <v>58245</v>
      </c>
      <c r="C23" s="924">
        <f t="shared" si="5"/>
        <v>2347353619</v>
      </c>
      <c r="D23" s="924">
        <f t="shared" si="2"/>
        <v>40301</v>
      </c>
      <c r="E23" s="922">
        <f t="shared" si="5"/>
        <v>219786208</v>
      </c>
      <c r="F23" s="1195">
        <f>ROUND(E23/B23,2)</f>
        <v>3773.48</v>
      </c>
      <c r="G23" s="922">
        <f>'Sch M-2.3 pg 1-2'!W29</f>
        <v>17524331</v>
      </c>
      <c r="H23" s="922">
        <f t="shared" si="5"/>
        <v>237310539</v>
      </c>
      <c r="I23" s="1195">
        <f t="shared" si="4"/>
        <v>4074.35</v>
      </c>
      <c r="J23" s="1195">
        <f>I23-F23</f>
        <v>300.86999999999989</v>
      </c>
      <c r="K23" s="1210">
        <f>J23/F23</f>
        <v>7.9732766570910649E-2</v>
      </c>
      <c r="L23" s="1210">
        <v>1.5E-3</v>
      </c>
      <c r="M23" s="1273">
        <f>L23*I23</f>
        <v>6.1115250000000003</v>
      </c>
      <c r="N23" s="1273">
        <f>I23-M23</f>
        <v>4068.2384750000001</v>
      </c>
      <c r="O23" s="1273">
        <f>N23-F23</f>
        <v>294.75847500000009</v>
      </c>
      <c r="P23" s="1210">
        <f>O23/F23</f>
        <v>7.8113167421054328E-2</v>
      </c>
    </row>
    <row r="24" spans="1:16">
      <c r="B24" s="924"/>
      <c r="C24" s="924"/>
      <c r="D24" s="924"/>
      <c r="E24" s="924"/>
      <c r="H24" s="924"/>
      <c r="J24" s="924"/>
    </row>
    <row r="25" spans="1:16">
      <c r="A25" s="1168" t="s">
        <v>80</v>
      </c>
      <c r="B25" s="924">
        <f>'Settlement Exhibit 1 pgs 2-14'!$C$260</f>
        <v>5598</v>
      </c>
      <c r="C25" s="924">
        <f>'Settlement Exhibit 1 pgs 2-14'!$E$261</f>
        <v>1609032248</v>
      </c>
      <c r="D25" s="924">
        <f t="shared" ref="D25:D27" si="6">ROUND(C25/B25,0)</f>
        <v>287430</v>
      </c>
      <c r="E25" s="922">
        <f>'Settlement Exhibit 1 pgs 2-14'!$G$285</f>
        <v>118607258</v>
      </c>
      <c r="F25" s="1195">
        <f t="shared" ref="F25:F26" si="7">ROUND(E25/B25,2)</f>
        <v>21187.43</v>
      </c>
      <c r="G25" s="922">
        <f>'Settlement Exhibit 1 pgs 2-14'!$J$287</f>
        <v>9454593</v>
      </c>
      <c r="H25" s="922">
        <f>'Settlement Exhibit 1 pgs 2-14'!$J$285</f>
        <v>128061851</v>
      </c>
      <c r="I25" s="1195">
        <f t="shared" ref="I25:I27" si="8">ROUND(H25/B25,2)</f>
        <v>22876.36</v>
      </c>
      <c r="J25" s="1195">
        <f>I25-F25</f>
        <v>1688.9300000000003</v>
      </c>
      <c r="K25" s="1210">
        <f>J25/F25</f>
        <v>7.971377368562399E-2</v>
      </c>
      <c r="L25" s="1210">
        <v>1.5E-3</v>
      </c>
      <c r="M25" s="1273">
        <f t="shared" ref="M25:M27" si="9">L25*I25</f>
        <v>34.314540000000001</v>
      </c>
      <c r="N25" s="1273">
        <f t="shared" ref="N25:N27" si="10">I25-M25</f>
        <v>22842.045460000001</v>
      </c>
      <c r="O25" s="1273">
        <f t="shared" ref="O25:O27" si="11">N25-F25</f>
        <v>1654.6154600000009</v>
      </c>
      <c r="P25" s="1210">
        <f t="shared" ref="P25:P27" si="12">O25/F25</f>
        <v>7.8094203025095579E-2</v>
      </c>
    </row>
    <row r="26" spans="1:16" ht="15">
      <c r="A26" s="1168" t="s">
        <v>81</v>
      </c>
      <c r="B26" s="1171">
        <f>'Settlement Exhibit 1 pgs 2-14'!$C$300</f>
        <v>3054</v>
      </c>
      <c r="C26" s="1171">
        <f>'Settlement Exhibit 1 pgs 2-14'!$E$301</f>
        <v>4296353118</v>
      </c>
      <c r="D26" s="924">
        <f t="shared" si="6"/>
        <v>1406795</v>
      </c>
      <c r="E26" s="923">
        <f>'Settlement Exhibit 1 pgs 2-14'!$G$326</f>
        <v>284176010</v>
      </c>
      <c r="F26" s="1195">
        <f t="shared" si="7"/>
        <v>93050.43</v>
      </c>
      <c r="G26" s="923">
        <f>'Settlement Exhibit 1 pgs 2-14'!$J$328</f>
        <v>22686892.561087012</v>
      </c>
      <c r="H26" s="923">
        <f>'Settlement Exhibit 1 pgs 2-14'!$J$326</f>
        <v>306862902.56108701</v>
      </c>
      <c r="I26" s="1199">
        <f t="shared" si="8"/>
        <v>100479.01</v>
      </c>
      <c r="J26" s="1195">
        <f>I26-F26</f>
        <v>7428.5800000000017</v>
      </c>
      <c r="K26" s="1210">
        <f>J26/F26</f>
        <v>7.9833913717540075E-2</v>
      </c>
      <c r="L26" s="1210">
        <v>1.5E-3</v>
      </c>
      <c r="M26" s="1273">
        <f t="shared" si="9"/>
        <v>150.718515</v>
      </c>
      <c r="N26" s="1273">
        <f t="shared" si="10"/>
        <v>100328.29148499999</v>
      </c>
      <c r="O26" s="1273">
        <f t="shared" si="11"/>
        <v>7277.8614850000013</v>
      </c>
      <c r="P26" s="1210">
        <f t="shared" si="12"/>
        <v>7.8214162846963753E-2</v>
      </c>
    </row>
    <row r="27" spans="1:16">
      <c r="A27" s="1170" t="s">
        <v>819</v>
      </c>
      <c r="B27" s="924">
        <f t="shared" ref="B27:H27" si="13">SUM(B25:B26)</f>
        <v>8652</v>
      </c>
      <c r="C27" s="924">
        <f t="shared" si="13"/>
        <v>5905385366</v>
      </c>
      <c r="D27" s="924">
        <f t="shared" si="6"/>
        <v>682546</v>
      </c>
      <c r="E27" s="922">
        <f t="shared" si="13"/>
        <v>402783268</v>
      </c>
      <c r="F27" s="1195">
        <f>ROUND(E27/B27,2)</f>
        <v>46553.78</v>
      </c>
      <c r="G27" s="922">
        <f>G25+G26</f>
        <v>32141485.561087012</v>
      </c>
      <c r="H27" s="922">
        <f t="shared" si="13"/>
        <v>434924753.56108701</v>
      </c>
      <c r="I27" s="1195">
        <f t="shared" si="8"/>
        <v>50268.7</v>
      </c>
      <c r="J27" s="1195">
        <f>I27-F27</f>
        <v>3714.9199999999983</v>
      </c>
      <c r="K27" s="1210">
        <f>J27/F27</f>
        <v>7.979846104870536E-2</v>
      </c>
      <c r="L27" s="1210">
        <v>1.5E-3</v>
      </c>
      <c r="M27" s="1273">
        <f t="shared" si="9"/>
        <v>75.403049999999993</v>
      </c>
      <c r="N27" s="1273">
        <f t="shared" si="10"/>
        <v>50193.296949999996</v>
      </c>
      <c r="O27" s="1273">
        <f t="shared" si="11"/>
        <v>3639.5169499999975</v>
      </c>
      <c r="P27" s="1210">
        <f t="shared" si="12"/>
        <v>7.817876335713228E-2</v>
      </c>
    </row>
    <row r="28" spans="1:16">
      <c r="B28" s="924"/>
      <c r="C28" s="924"/>
      <c r="D28" s="924"/>
      <c r="E28" s="924"/>
      <c r="H28" s="924"/>
      <c r="J28" s="924"/>
    </row>
    <row r="29" spans="1:16">
      <c r="A29" s="925" t="s">
        <v>83</v>
      </c>
      <c r="B29" s="924">
        <f>'Settlement Exhibit 1 pgs 2-14'!$C$341</f>
        <v>384</v>
      </c>
      <c r="C29" s="924">
        <f>'Settlement Exhibit 1 pgs 2-14'!$E$342</f>
        <v>1605630259</v>
      </c>
      <c r="D29" s="924">
        <f>ROUND(C29/B29,0)</f>
        <v>4181329</v>
      </c>
      <c r="E29" s="922">
        <f>'Settlement Exhibit 1 pgs 2-14'!$G$365</f>
        <v>99821566</v>
      </c>
      <c r="F29" s="1195">
        <f>ROUND(E29/B29,2)</f>
        <v>259951.99</v>
      </c>
      <c r="G29" s="922">
        <f>'Settlement Exhibit 1 pgs 2-14'!$J$367</f>
        <v>7960164.9432088435</v>
      </c>
      <c r="H29" s="922">
        <f>'Settlement Exhibit 1 pgs 2-14'!$J$365</f>
        <v>107781730.94320884</v>
      </c>
      <c r="I29" s="1195">
        <f t="shared" ref="I29" si="14">ROUND(H29/B29,2)</f>
        <v>280681.59000000003</v>
      </c>
      <c r="J29" s="1195">
        <f>I29-F29</f>
        <v>20729.600000000035</v>
      </c>
      <c r="K29" s="1210">
        <f>J29/F29</f>
        <v>7.974395579737642E-2</v>
      </c>
      <c r="L29" s="1210">
        <v>1.5E-3</v>
      </c>
      <c r="M29" s="1273">
        <f>L29*I29</f>
        <v>421.02238500000004</v>
      </c>
      <c r="N29" s="1273">
        <f>I29-M29</f>
        <v>280260.56761500001</v>
      </c>
      <c r="O29" s="1273">
        <f>N29-F29</f>
        <v>20308.577615000017</v>
      </c>
      <c r="P29" s="1210">
        <f>O29/F29</f>
        <v>7.8124339863680281E-2</v>
      </c>
    </row>
    <row r="30" spans="1:16">
      <c r="B30" s="924"/>
      <c r="C30" s="924"/>
      <c r="D30" s="924"/>
      <c r="E30" s="924"/>
      <c r="H30" s="924"/>
      <c r="J30" s="924"/>
    </row>
    <row r="31" spans="1:16">
      <c r="A31" s="925" t="s">
        <v>112</v>
      </c>
      <c r="B31" s="924">
        <f>'Settlement Exhibit 1 pgs 2-14'!$C$387</f>
        <v>12</v>
      </c>
      <c r="C31" s="924">
        <f>'Settlement Exhibit 1 pgs 2-14'!$E$388</f>
        <v>560796543</v>
      </c>
      <c r="D31" s="924">
        <f>ROUND(C31/B31,0)</f>
        <v>46733045</v>
      </c>
      <c r="E31" s="922">
        <f>'Settlement Exhibit 1 pgs 2-14'!$G$409</f>
        <v>31466313</v>
      </c>
      <c r="F31" s="1195">
        <f>ROUND(E31/B31,2)</f>
        <v>2622192.75</v>
      </c>
      <c r="G31" s="922">
        <f>'Settlement Exhibit 1 pgs 2-14'!$J$411</f>
        <v>2504624</v>
      </c>
      <c r="H31" s="922">
        <f>'Settlement Exhibit 1 pgs 2-14'!$J$409</f>
        <v>33970937</v>
      </c>
      <c r="I31" s="1195">
        <f t="shared" ref="I31" si="15">ROUND(H31/B31,2)</f>
        <v>2830911.42</v>
      </c>
      <c r="J31" s="1195">
        <f>I31-F31</f>
        <v>208718.66999999993</v>
      </c>
      <c r="K31" s="1210">
        <f>J31/F31</f>
        <v>7.9596997589136007E-2</v>
      </c>
      <c r="L31" s="1210">
        <v>1.5E-3</v>
      </c>
      <c r="M31" s="1273">
        <f>L31*I31</f>
        <v>4246.3671299999996</v>
      </c>
      <c r="N31" s="1273">
        <f>I31-M31</f>
        <v>2826665.0528699998</v>
      </c>
      <c r="O31" s="1273">
        <f>N31-F31</f>
        <v>204472.30286999978</v>
      </c>
      <c r="P31" s="1210">
        <f>O31/F31</f>
        <v>7.7977602092752257E-2</v>
      </c>
    </row>
    <row r="32" spans="1:16">
      <c r="B32" s="924"/>
      <c r="C32" s="924"/>
      <c r="D32" s="924"/>
      <c r="E32" s="924"/>
      <c r="H32" s="924"/>
      <c r="J32" s="924"/>
    </row>
    <row r="33" spans="1:16">
      <c r="A33" s="1173" t="s">
        <v>1473</v>
      </c>
      <c r="B33" s="924">
        <v>12</v>
      </c>
      <c r="C33" s="924">
        <v>0</v>
      </c>
      <c r="D33" s="924">
        <v>0</v>
      </c>
      <c r="E33" s="924">
        <f>'Sch M-2.3 pg 1-2'!$C$39</f>
        <v>-10961923</v>
      </c>
      <c r="F33" s="1195">
        <f t="shared" ref="F33:F35" si="16">ROUND(E33/B33,2)</f>
        <v>-913493.58</v>
      </c>
      <c r="G33" s="1195">
        <v>0</v>
      </c>
      <c r="H33" s="924">
        <f>E33</f>
        <v>-10961923</v>
      </c>
      <c r="I33" s="1195">
        <f t="shared" ref="I33:I35" si="17">ROUND(H33/B33,2)</f>
        <v>-913493.58</v>
      </c>
      <c r="J33" s="1195">
        <f>I33-F33</f>
        <v>0</v>
      </c>
      <c r="K33" s="1210">
        <v>0</v>
      </c>
      <c r="L33" s="1210"/>
      <c r="M33" s="1273"/>
      <c r="N33" s="1273"/>
      <c r="O33" s="1273"/>
      <c r="P33" s="1210"/>
    </row>
    <row r="34" spans="1:16" ht="15">
      <c r="A34" s="1173" t="s">
        <v>1474</v>
      </c>
      <c r="B34" s="1171">
        <v>48</v>
      </c>
      <c r="C34" s="1171">
        <v>0</v>
      </c>
      <c r="D34" s="1171">
        <v>0</v>
      </c>
      <c r="E34" s="923">
        <f>'Sch M-2.3 pg 1-2'!$C$40+'Sch M-2.3 pg 1-2'!$C$41</f>
        <v>-916025</v>
      </c>
      <c r="F34" s="1195">
        <f t="shared" si="16"/>
        <v>-19083.849999999999</v>
      </c>
      <c r="G34" s="1199">
        <v>0</v>
      </c>
      <c r="H34" s="923">
        <f>E34</f>
        <v>-916025</v>
      </c>
      <c r="I34" s="1199">
        <f t="shared" si="17"/>
        <v>-19083.849999999999</v>
      </c>
      <c r="J34" s="1195">
        <f>I34-F34</f>
        <v>0</v>
      </c>
      <c r="K34" s="1210">
        <v>0</v>
      </c>
      <c r="L34" s="1210"/>
      <c r="M34" s="1273"/>
      <c r="N34" s="1273"/>
      <c r="O34" s="1273"/>
      <c r="P34" s="1210"/>
    </row>
    <row r="35" spans="1:16">
      <c r="A35" s="925" t="s">
        <v>852</v>
      </c>
      <c r="B35" s="924">
        <f>B33+B34</f>
        <v>60</v>
      </c>
      <c r="C35" s="924">
        <f>C33+C34</f>
        <v>0</v>
      </c>
      <c r="D35" s="924">
        <v>0</v>
      </c>
      <c r="E35" s="922">
        <f>E33+E34</f>
        <v>-11877948</v>
      </c>
      <c r="F35" s="1195">
        <f t="shared" si="16"/>
        <v>-197965.8</v>
      </c>
      <c r="G35" s="1195">
        <v>0</v>
      </c>
      <c r="H35" s="922">
        <f>H33+H34</f>
        <v>-11877948</v>
      </c>
      <c r="I35" s="1195">
        <f t="shared" si="17"/>
        <v>-197965.8</v>
      </c>
      <c r="J35" s="1195">
        <f>I35-F35</f>
        <v>0</v>
      </c>
      <c r="K35" s="1210">
        <v>0</v>
      </c>
      <c r="L35" s="1210"/>
      <c r="M35" s="1273"/>
      <c r="N35" s="1273"/>
      <c r="O35" s="1273"/>
      <c r="P35" s="1210"/>
    </row>
    <row r="36" spans="1:16">
      <c r="B36" s="924"/>
      <c r="C36" s="924"/>
      <c r="D36" s="924"/>
      <c r="E36" s="924"/>
      <c r="H36" s="924"/>
      <c r="J36" s="924"/>
    </row>
    <row r="37" spans="1:16">
      <c r="B37" s="924"/>
      <c r="C37" s="924"/>
      <c r="D37" s="924"/>
      <c r="E37" s="924"/>
      <c r="H37" s="924"/>
      <c r="J37" s="924"/>
    </row>
    <row r="38" spans="1:16">
      <c r="A38" s="925" t="s">
        <v>86</v>
      </c>
      <c r="B38" s="924">
        <f>'Settlement Exhibit 1 pgs 2-14'!$C$424+'Settlement Exhibit 1 pgs 2-14'!$C$433</f>
        <v>36</v>
      </c>
      <c r="C38" s="924">
        <f>'Settlement Exhibit 1 pgs 2-14'!$E$425+'Settlement Exhibit 1 pgs 2-14'!$E$433</f>
        <v>443699</v>
      </c>
      <c r="D38" s="924">
        <f>ROUND(C38/B38,0)</f>
        <v>12325</v>
      </c>
      <c r="E38" s="922">
        <f>'Settlement Exhibit 1 pgs 2-14'!$G$442</f>
        <v>29633</v>
      </c>
      <c r="F38" s="1195">
        <f>ROUND(E38/B38,2)</f>
        <v>823.14</v>
      </c>
      <c r="G38" s="922">
        <f>'Settlement Exhibit 1 pgs 2-14'!$J$444</f>
        <v>2360</v>
      </c>
      <c r="H38" s="922">
        <f>'Settlement Exhibit 1 pgs 2-14'!$J$442</f>
        <v>31993</v>
      </c>
      <c r="I38" s="1195">
        <f t="shared" ref="I38" si="18">ROUND(H38/B38,2)</f>
        <v>888.69</v>
      </c>
      <c r="J38" s="1195">
        <f>I38-F38</f>
        <v>65.550000000000068</v>
      </c>
      <c r="K38" s="1210">
        <f>J38/F38</f>
        <v>7.9634084116918233E-2</v>
      </c>
      <c r="L38" s="1210">
        <v>1.5E-3</v>
      </c>
      <c r="M38" s="1273">
        <f>L38*I38</f>
        <v>1.3330350000000002</v>
      </c>
      <c r="N38" s="1273">
        <f>I38-M38</f>
        <v>887.35696500000006</v>
      </c>
      <c r="O38" s="1273">
        <f>N38-F38</f>
        <v>64.216965000000073</v>
      </c>
      <c r="P38" s="1210">
        <f>O38/F38</f>
        <v>7.8014632990742849E-2</v>
      </c>
    </row>
    <row r="39" spans="1:16">
      <c r="A39" s="925" t="s">
        <v>84</v>
      </c>
      <c r="B39" s="924">
        <f>'Settlement Exhibit 1 pgs 2-14'!$C$457</f>
        <v>8964</v>
      </c>
      <c r="C39" s="924">
        <f>'Settlement Exhibit 1 pgs 2-14'!$E$458</f>
        <v>1241367</v>
      </c>
      <c r="D39" s="924">
        <f>ROUND(C39/B39,0)</f>
        <v>138</v>
      </c>
      <c r="E39" s="922">
        <f>'Settlement Exhibit 1 pgs 2-14'!$G$475</f>
        <v>138147</v>
      </c>
      <c r="F39" s="1195">
        <f>ROUND(E39/B39,2)</f>
        <v>15.41</v>
      </c>
      <c r="G39" s="922">
        <f>'Settlement Exhibit 1 pgs 2-14'!$J$477</f>
        <v>11018</v>
      </c>
      <c r="H39" s="922">
        <f>'Settlement Exhibit 1 pgs 2-14'!$J$475</f>
        <v>149165</v>
      </c>
      <c r="I39" s="1195">
        <f t="shared" ref="I39" si="19">ROUND(H39/B39,2)</f>
        <v>16.64</v>
      </c>
      <c r="J39" s="1195">
        <f>I39-F39</f>
        <v>1.2300000000000004</v>
      </c>
      <c r="K39" s="1210">
        <f>J39/F39</f>
        <v>7.9818299805321249E-2</v>
      </c>
      <c r="L39" s="1210">
        <v>1.5E-3</v>
      </c>
      <c r="M39" s="1273">
        <f>L39*I39</f>
        <v>2.4960000000000003E-2</v>
      </c>
      <c r="N39" s="1273">
        <f>I39-M39</f>
        <v>16.61504</v>
      </c>
      <c r="O39" s="1273">
        <f>N39-F39</f>
        <v>1.2050400000000003</v>
      </c>
      <c r="P39" s="1210">
        <f>O39/F39</f>
        <v>7.8198572355613255E-2</v>
      </c>
    </row>
    <row r="40" spans="1:16">
      <c r="B40" s="924"/>
      <c r="C40" s="924"/>
      <c r="D40" s="924"/>
      <c r="E40" s="922"/>
      <c r="H40" s="922"/>
      <c r="J40" s="922"/>
      <c r="K40" s="1210"/>
      <c r="M40" s="1169"/>
    </row>
    <row r="41" spans="1:16">
      <c r="A41" s="925" t="s">
        <v>1772</v>
      </c>
      <c r="B41" s="924">
        <f>'12MonLights'!$E$1071+'Settlement Exhibit 1 pgs 15-20'!$F$195</f>
        <v>2019781</v>
      </c>
      <c r="C41" s="924">
        <f>'12MonLights'!$G$1071-'Settlement Exhibit 1 pgs 2-14'!$E$433</f>
        <v>118456496</v>
      </c>
      <c r="D41" s="924">
        <f>ROUND(C41/B41,0)</f>
        <v>59</v>
      </c>
      <c r="E41" s="922">
        <f>'Settlement Exhibit 1 pgs 15-20'!$H$204</f>
        <v>25800467</v>
      </c>
      <c r="F41" s="1195">
        <f>ROUND(E41/B41,2)</f>
        <v>12.77</v>
      </c>
      <c r="G41" s="922">
        <f>'Settlement Exhibit 1 pgs 15-20'!$J$205</f>
        <v>2059620</v>
      </c>
      <c r="H41" s="922">
        <f>'Settlement Exhibit 1 pgs 15-20'!$J$204</f>
        <v>27860087</v>
      </c>
      <c r="I41" s="1195">
        <f t="shared" ref="I41" si="20">ROUND(H41/B41,2)</f>
        <v>13.79</v>
      </c>
      <c r="J41" s="1195">
        <f>I41-F41</f>
        <v>1.0199999999999996</v>
      </c>
      <c r="K41" s="1210">
        <f>J41/F41</f>
        <v>7.9874706342991361E-2</v>
      </c>
      <c r="L41" s="1210">
        <v>1.5E-3</v>
      </c>
      <c r="M41" s="1273">
        <f>L41*I41</f>
        <v>2.0684999999999999E-2</v>
      </c>
      <c r="N41" s="1273">
        <f>I41-M41</f>
        <v>13.769314999999999</v>
      </c>
      <c r="O41" s="1273">
        <f>N41-F41</f>
        <v>0.99931499999999929</v>
      </c>
      <c r="P41" s="1210">
        <f>O41/F41</f>
        <v>7.8254894283476845E-2</v>
      </c>
    </row>
    <row r="42" spans="1:16">
      <c r="B42" s="924"/>
      <c r="C42" s="924"/>
      <c r="D42" s="924"/>
      <c r="P42" s="1174"/>
    </row>
    <row r="43" spans="1:16" ht="15">
      <c r="B43" s="1194"/>
      <c r="C43" s="1194"/>
      <c r="D43" s="1194"/>
      <c r="E43" s="1175"/>
      <c r="F43" s="1200"/>
      <c r="G43" s="1200"/>
      <c r="H43" s="1175"/>
      <c r="I43" s="1200"/>
      <c r="J43" s="1200"/>
    </row>
    <row r="45" spans="1:16">
      <c r="B45" s="1169"/>
    </row>
  </sheetData>
  <printOptions horizontalCentered="1"/>
  <pageMargins left="0.5" right="0.22" top="1.56" bottom="0.4" header="0.85" footer="0.3"/>
  <pageSetup scale="67" orientation="landscape" r:id="rId1"/>
  <headerFooter scaleWithDoc="0">
    <oddHeader>&amp;C&amp;"Calibri,Bold"Kentucky Utilities Company
Case No. 2014-00371
Forecast Period Revenues at Current and Proposed Rates
for the Twelve Months Ended June 30, 2016</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L108"/>
  <sheetViews>
    <sheetView workbookViewId="0"/>
  </sheetViews>
  <sheetFormatPr defaultRowHeight="12"/>
  <cols>
    <col min="1" max="1" width="36.83203125" style="439" bestFit="1" customWidth="1"/>
    <col min="2" max="2" width="26.33203125" style="439" customWidth="1"/>
    <col min="3" max="3" width="18.6640625" style="439" customWidth="1"/>
    <col min="4" max="4" width="15.1640625" style="439" customWidth="1"/>
    <col min="5" max="5" width="14.1640625" style="439" customWidth="1"/>
    <col min="6" max="6" width="15.1640625" style="439" bestFit="1" customWidth="1"/>
    <col min="7" max="7" width="17.1640625" style="439" bestFit="1" customWidth="1"/>
    <col min="8" max="8" width="15.1640625" style="439" bestFit="1" customWidth="1"/>
    <col min="9" max="9" width="16.6640625" style="439" bestFit="1" customWidth="1"/>
    <col min="10" max="10" width="13.33203125" style="439" bestFit="1" customWidth="1"/>
    <col min="11" max="11" width="9.33203125" style="439"/>
    <col min="12" max="12" width="15.1640625" style="439" bestFit="1" customWidth="1"/>
    <col min="13" max="16384" width="9.33203125" style="439"/>
  </cols>
  <sheetData>
    <row r="1" spans="1:12">
      <c r="A1" s="1135"/>
      <c r="B1" s="1135"/>
      <c r="C1" s="782">
        <v>-1</v>
      </c>
      <c r="D1" s="782">
        <f t="shared" ref="D1:F1" si="0">C1-1</f>
        <v>-2</v>
      </c>
      <c r="E1" s="782">
        <f t="shared" si="0"/>
        <v>-3</v>
      </c>
      <c r="F1" s="782">
        <f t="shared" si="0"/>
        <v>-4</v>
      </c>
      <c r="G1" s="782"/>
      <c r="H1" s="782"/>
      <c r="I1" s="782"/>
      <c r="L1" s="735" t="s">
        <v>1475</v>
      </c>
    </row>
    <row r="2" spans="1:12" ht="48.75" customHeight="1">
      <c r="B2" s="628" t="s">
        <v>103</v>
      </c>
      <c r="C2" s="479" t="s">
        <v>807</v>
      </c>
      <c r="D2" s="479" t="s">
        <v>808</v>
      </c>
      <c r="E2" s="481" t="s">
        <v>856</v>
      </c>
      <c r="F2" s="481" t="s">
        <v>1019</v>
      </c>
      <c r="G2" s="481"/>
      <c r="H2" s="479"/>
      <c r="I2" s="479"/>
      <c r="J2" s="479"/>
      <c r="L2" s="1136" t="s">
        <v>1476</v>
      </c>
    </row>
    <row r="3" spans="1:12">
      <c r="C3" s="479"/>
      <c r="D3" s="479"/>
      <c r="E3" s="783"/>
      <c r="G3" s="783"/>
      <c r="H3" s="783"/>
      <c r="I3" s="783"/>
      <c r="L3" s="734">
        <v>20140101</v>
      </c>
    </row>
    <row r="4" spans="1:12">
      <c r="A4" s="439" t="s">
        <v>104</v>
      </c>
      <c r="C4" s="479"/>
      <c r="D4" s="479"/>
      <c r="E4" s="783"/>
      <c r="G4" s="783"/>
      <c r="H4" s="783"/>
      <c r="I4" s="783"/>
      <c r="L4" s="734"/>
    </row>
    <row r="5" spans="1:12">
      <c r="A5" s="762" t="s">
        <v>106</v>
      </c>
      <c r="B5" s="439" t="s">
        <v>14</v>
      </c>
      <c r="C5" s="602">
        <f>ROUND(SUMIF(_12MonResults_Rate,'ECR in Base Rates'!$B5,_12MonResults_KWH_Total),0)</f>
        <v>6197389895</v>
      </c>
      <c r="D5" s="602">
        <v>0</v>
      </c>
      <c r="E5" s="795">
        <f>SUMIF(_Rates_Tariff_Category,$L$3&amp;L5,_Rates_ECR_Energy)</f>
        <v>3.15E-3</v>
      </c>
      <c r="F5" s="756">
        <f>ROUND(C5*E5,0)</f>
        <v>19521778</v>
      </c>
      <c r="H5" s="756"/>
      <c r="I5" s="756"/>
      <c r="L5" s="1137" t="s">
        <v>174</v>
      </c>
    </row>
    <row r="6" spans="1:12" ht="14.25">
      <c r="A6" s="439" t="s">
        <v>471</v>
      </c>
      <c r="B6" s="439" t="s">
        <v>828</v>
      </c>
      <c r="C6" s="603">
        <f>ROUND(SUMIF(_12MonResults_Rate,'ECR in Base Rates'!$B6,_12MonResults_KWH_Total),0)</f>
        <v>98454</v>
      </c>
      <c r="D6" s="602">
        <v>0</v>
      </c>
      <c r="E6" s="795">
        <f>SUMIF(_Rates_Tariff_Category,$L$3&amp;L6,_Rates_ECR_Energy)</f>
        <v>3.15E-3</v>
      </c>
      <c r="F6" s="787">
        <f>ROUND(C6*E6,0)</f>
        <v>310</v>
      </c>
      <c r="G6" s="795"/>
      <c r="H6" s="756"/>
      <c r="I6" s="756"/>
      <c r="L6" s="1138" t="s">
        <v>458</v>
      </c>
    </row>
    <row r="7" spans="1:12">
      <c r="A7" s="439" t="s">
        <v>105</v>
      </c>
      <c r="C7" s="602">
        <f>SUM(C5:C6)</f>
        <v>6197488349</v>
      </c>
      <c r="D7" s="755"/>
      <c r="E7" s="756"/>
      <c r="F7" s="756">
        <f>SUM(F5:F6)</f>
        <v>19522088</v>
      </c>
      <c r="G7" s="756"/>
      <c r="H7" s="756"/>
      <c r="I7" s="756"/>
      <c r="L7" s="1139"/>
    </row>
    <row r="8" spans="1:12">
      <c r="C8" s="760"/>
      <c r="D8" s="760"/>
      <c r="E8" s="760"/>
      <c r="F8" s="760"/>
      <c r="G8" s="760"/>
      <c r="H8" s="760"/>
      <c r="I8" s="760"/>
      <c r="L8" s="734"/>
    </row>
    <row r="9" spans="1:12">
      <c r="C9" s="760"/>
      <c r="D9" s="760"/>
      <c r="E9" s="760"/>
      <c r="F9" s="760"/>
      <c r="G9" s="760"/>
      <c r="L9" s="734"/>
    </row>
    <row r="10" spans="1:12">
      <c r="A10" s="439" t="s">
        <v>107</v>
      </c>
      <c r="C10" s="760"/>
      <c r="D10" s="760"/>
      <c r="E10" s="760"/>
      <c r="F10" s="760"/>
      <c r="G10" s="760"/>
      <c r="L10" s="734"/>
    </row>
    <row r="11" spans="1:12">
      <c r="A11" s="762" t="s">
        <v>108</v>
      </c>
      <c r="B11" s="439" t="s">
        <v>208</v>
      </c>
      <c r="C11" s="602">
        <f>ROUND(SUMIF(_12MonResults_RateClass,'ECR in Base Rates'!$B11,_12MonResults_KWH_Total),0)</f>
        <v>773603156</v>
      </c>
      <c r="D11" s="602">
        <v>0</v>
      </c>
      <c r="E11" s="795">
        <f>SUMIF(_Rates_Tariff_Category,$L$3&amp;L11,_Rates_ECR_Energy)</f>
        <v>4.7099999999999998E-3</v>
      </c>
      <c r="F11" s="756">
        <f>ROUND(C11*E11,0)</f>
        <v>3643671</v>
      </c>
      <c r="G11" s="795"/>
      <c r="H11" s="756"/>
      <c r="I11" s="756"/>
      <c r="L11" s="1137" t="s">
        <v>161</v>
      </c>
    </row>
    <row r="12" spans="1:12" ht="14.25">
      <c r="A12" s="762" t="s">
        <v>63</v>
      </c>
      <c r="B12" s="439" t="s">
        <v>17</v>
      </c>
      <c r="C12" s="603">
        <f>ROUND(SUMIF(_12MonResults_RateClass,'ECR in Base Rates'!$B12,_12MonResults_KWH_Total),0)</f>
        <v>1131893696</v>
      </c>
      <c r="D12" s="602">
        <v>0</v>
      </c>
      <c r="E12" s="795">
        <f>SUMIF(_Rates_Tariff_Category,$L$3&amp;L12,_Rates_ECR_Energy)</f>
        <v>4.7099999999999998E-3</v>
      </c>
      <c r="F12" s="787">
        <f>ROUND(C12*E12,0)</f>
        <v>5331219</v>
      </c>
      <c r="G12" s="795"/>
      <c r="H12" s="756"/>
      <c r="I12" s="756"/>
      <c r="L12" s="1137" t="s">
        <v>163</v>
      </c>
    </row>
    <row r="13" spans="1:12">
      <c r="A13" s="439" t="s">
        <v>109</v>
      </c>
      <c r="C13" s="602">
        <f>SUM(C11:C12)</f>
        <v>1905496852</v>
      </c>
      <c r="D13" s="755"/>
      <c r="E13" s="756"/>
      <c r="F13" s="756">
        <f>SUM(F11:F12)</f>
        <v>8974890</v>
      </c>
      <c r="G13" s="756"/>
      <c r="H13" s="756"/>
      <c r="I13" s="756"/>
      <c r="L13" s="1139"/>
    </row>
    <row r="14" spans="1:12">
      <c r="C14" s="602"/>
      <c r="D14" s="602"/>
      <c r="E14" s="602"/>
      <c r="F14" s="602"/>
      <c r="G14" s="602"/>
      <c r="H14" s="602"/>
      <c r="I14" s="602"/>
      <c r="L14" s="734"/>
    </row>
    <row r="15" spans="1:12">
      <c r="A15" s="439" t="s">
        <v>473</v>
      </c>
      <c r="C15" s="760"/>
      <c r="D15" s="760"/>
      <c r="E15" s="760"/>
      <c r="F15" s="760"/>
      <c r="G15" s="760"/>
      <c r="L15" s="734"/>
    </row>
    <row r="16" spans="1:12">
      <c r="A16" s="762" t="s">
        <v>446</v>
      </c>
      <c r="B16" s="439" t="s">
        <v>203</v>
      </c>
      <c r="C16" s="602">
        <f>ROUND(SUMIF(_12MonResults_RateClass,'ECR in Base Rates'!$B16,_12MonResults_KWH_Total),0)</f>
        <v>7766692</v>
      </c>
      <c r="D16" s="602">
        <v>0</v>
      </c>
      <c r="E16" s="795">
        <f>SUMIF(_Rates_Tariff_Category,$L$3&amp;L16,_Rates_ECR_Energy)</f>
        <v>3.15E-3</v>
      </c>
      <c r="F16" s="756">
        <f>ROUND(C16*E16,0)</f>
        <v>24465</v>
      </c>
      <c r="G16" s="795"/>
      <c r="H16" s="756"/>
      <c r="I16" s="756"/>
      <c r="L16" s="1137" t="s">
        <v>164</v>
      </c>
    </row>
    <row r="17" spans="1:12" ht="14.25">
      <c r="A17" s="762" t="s">
        <v>474</v>
      </c>
      <c r="B17" s="439" t="s">
        <v>212</v>
      </c>
      <c r="C17" s="603">
        <f>ROUND(SUMIF(_12MonResults_RateClass,'ECR in Base Rates'!$B17,_12MonResults_KWH_Total),0)</f>
        <v>143951864</v>
      </c>
      <c r="D17" s="602">
        <v>0</v>
      </c>
      <c r="E17" s="795">
        <f>SUMIF(_Rates_Tariff_Category,$L$3&amp;L17,_Rates_ECR_Energy)</f>
        <v>3.15E-3</v>
      </c>
      <c r="F17" s="787">
        <f>ROUND(C17*E17,0)</f>
        <v>453448</v>
      </c>
      <c r="G17" s="795"/>
      <c r="H17" s="756"/>
      <c r="I17" s="756"/>
      <c r="L17" s="1138" t="s">
        <v>166</v>
      </c>
    </row>
    <row r="18" spans="1:12">
      <c r="A18" s="439" t="s">
        <v>475</v>
      </c>
      <c r="C18" s="602">
        <f>SUM(C16:C17)</f>
        <v>151718556</v>
      </c>
      <c r="D18" s="755"/>
      <c r="E18" s="756"/>
      <c r="F18" s="756">
        <f>SUM(F16:F17)</f>
        <v>477913</v>
      </c>
      <c r="G18" s="756"/>
      <c r="H18" s="756"/>
      <c r="I18" s="756"/>
      <c r="L18" s="1139"/>
    </row>
    <row r="19" spans="1:12">
      <c r="C19" s="602"/>
      <c r="D19" s="602"/>
      <c r="E19" s="602"/>
      <c r="F19" s="602"/>
      <c r="G19" s="602"/>
      <c r="H19" s="602"/>
      <c r="I19" s="602"/>
      <c r="L19" s="734"/>
    </row>
    <row r="20" spans="1:12">
      <c r="A20" s="447" t="s">
        <v>110</v>
      </c>
      <c r="C20" s="602"/>
      <c r="D20" s="602"/>
      <c r="E20" s="602"/>
      <c r="F20" s="602"/>
      <c r="G20" s="602"/>
      <c r="H20" s="602"/>
      <c r="I20" s="602"/>
      <c r="L20" s="734"/>
    </row>
    <row r="21" spans="1:12">
      <c r="A21" s="762" t="s">
        <v>807</v>
      </c>
      <c r="B21" s="760" t="s">
        <v>24</v>
      </c>
      <c r="C21" s="602">
        <f>ROUND(SUMIF(_12MonResults_RateClass,'ECR in Base Rates'!$B21,_12MonResults_KWH_Total),0)</f>
        <v>2109401951</v>
      </c>
      <c r="D21" s="602">
        <v>0</v>
      </c>
      <c r="E21" s="795">
        <f>SUMIF(_Rates_Tariff_Category,$L$3&amp;L21,_Rates_ECR_Energy)</f>
        <v>0</v>
      </c>
      <c r="F21" s="756">
        <f>ROUND(C21*E21,0)</f>
        <v>0</v>
      </c>
      <c r="G21" s="756"/>
      <c r="H21" s="756"/>
      <c r="I21" s="756"/>
      <c r="L21" s="1137" t="s">
        <v>154</v>
      </c>
    </row>
    <row r="22" spans="1:12">
      <c r="A22" s="762" t="s">
        <v>809</v>
      </c>
      <c r="B22" s="760"/>
      <c r="C22" s="602">
        <f>ROUND(SUMIF(_12MonResults_RateClass,'ECR in Base Rates'!$B22,_12MonResults_Revenue_Total),0)</f>
        <v>0</v>
      </c>
      <c r="D22" s="602">
        <f>ROUND(SUMIF(_12MonResults_RateClass,'ECR in Base Rates'!$B21,_12MonResults_Demand_Measured_kW_P),2)</f>
        <v>3212980</v>
      </c>
      <c r="E22" s="601">
        <f>SUMIF(_Rates_Tariff_Category,$L$3&amp;L22,_Rates_ECR_Demand)</f>
        <v>1.08</v>
      </c>
      <c r="F22" s="756">
        <f>ROUND(D22*E22,0)</f>
        <v>3470018</v>
      </c>
      <c r="G22" s="601"/>
      <c r="H22" s="602"/>
      <c r="I22" s="602"/>
      <c r="J22" s="602"/>
      <c r="K22" s="602"/>
      <c r="L22" s="1137" t="s">
        <v>154</v>
      </c>
    </row>
    <row r="23" spans="1:12" ht="14.25">
      <c r="A23" s="762" t="s">
        <v>810</v>
      </c>
      <c r="B23" s="760"/>
      <c r="C23" s="1140"/>
      <c r="D23" s="602">
        <f>ROUND(SUMIF(_12MonResults_RateClass,'ECR in Base Rates'!$B21,_12MonResults_Demand_Measured_kW_I),2)</f>
        <v>3764329</v>
      </c>
      <c r="E23" s="601">
        <f>SUMIF(_Rates_Tariff_Category,$L$3&amp;L23,_Rates_ECR_Demand)</f>
        <v>1.08</v>
      </c>
      <c r="F23" s="787">
        <f>ROUND(D23*E23,0)</f>
        <v>4065475</v>
      </c>
      <c r="G23" s="601"/>
      <c r="H23" s="602"/>
      <c r="I23" s="602"/>
      <c r="L23" s="1137" t="s">
        <v>154</v>
      </c>
    </row>
    <row r="24" spans="1:12">
      <c r="A24" s="762" t="s">
        <v>80</v>
      </c>
      <c r="C24" s="602">
        <f t="shared" ref="C24:F24" si="1">SUM(C21:C23)</f>
        <v>2109401951</v>
      </c>
      <c r="D24" s="602"/>
      <c r="E24" s="602"/>
      <c r="F24" s="602">
        <f t="shared" si="1"/>
        <v>7535493</v>
      </c>
      <c r="G24" s="602"/>
      <c r="H24" s="602"/>
      <c r="I24" s="602"/>
      <c r="L24" s="1137"/>
    </row>
    <row r="25" spans="1:12">
      <c r="A25" s="762"/>
      <c r="C25" s="602"/>
      <c r="D25" s="602"/>
      <c r="E25" s="602"/>
      <c r="F25" s="602"/>
      <c r="G25" s="602"/>
      <c r="H25" s="602"/>
      <c r="I25" s="602"/>
      <c r="J25" s="602"/>
      <c r="L25" s="1137"/>
    </row>
    <row r="26" spans="1:12">
      <c r="A26" s="762" t="s">
        <v>807</v>
      </c>
      <c r="B26" s="760" t="s">
        <v>25</v>
      </c>
      <c r="C26" s="602">
        <f>ROUND(SUMIF(_12MonResults_RateClass,'ECR in Base Rates'!$B26,_12MonResults_KWH_Total),0)</f>
        <v>237951668</v>
      </c>
      <c r="D26" s="602">
        <v>0</v>
      </c>
      <c r="E26" s="795">
        <f>SUMIF(_Rates_Tariff_Category,$L$3&amp;L26,_Rates_ECR_Energy)</f>
        <v>0</v>
      </c>
      <c r="F26" s="756">
        <f>ROUND(C26*E26,0)</f>
        <v>0</v>
      </c>
      <c r="G26" s="602"/>
      <c r="H26" s="602"/>
      <c r="I26" s="602"/>
      <c r="L26" s="1138" t="s">
        <v>153</v>
      </c>
    </row>
    <row r="27" spans="1:12">
      <c r="A27" s="762" t="s">
        <v>809</v>
      </c>
      <c r="B27" s="760"/>
      <c r="C27" s="602"/>
      <c r="D27" s="602">
        <f>ROUND(SUMIF(_12MonResults_RateClass,'ECR in Base Rates'!$B26,_12MonResults_Demand_Measured_kW_P),2)</f>
        <v>298745</v>
      </c>
      <c r="E27" s="601">
        <f>SUMIF(_Rates_Tariff_Category,$L$3&amp;L27,_Rates_ECR_Demand)</f>
        <v>1.08</v>
      </c>
      <c r="F27" s="756">
        <f>ROUND(D27*E27,0)</f>
        <v>322645</v>
      </c>
      <c r="G27" s="601"/>
      <c r="H27" s="602"/>
      <c r="I27" s="602"/>
      <c r="J27" s="602"/>
      <c r="K27" s="602"/>
      <c r="L27" s="1138" t="s">
        <v>153</v>
      </c>
    </row>
    <row r="28" spans="1:12" ht="14.25">
      <c r="A28" s="762" t="s">
        <v>810</v>
      </c>
      <c r="B28" s="1141"/>
      <c r="C28" s="1140"/>
      <c r="D28" s="602">
        <f>ROUND(SUMIF(_12MonResults_RateClass,'ECR in Base Rates'!$B26,_12MonResults_Demand_Measured_kW_I),2)</f>
        <v>383909</v>
      </c>
      <c r="E28" s="601">
        <f>SUMIF(_Rates_Tariff_Category,$L$3&amp;L28,_Rates_ECR_Demand)</f>
        <v>1.08</v>
      </c>
      <c r="F28" s="787">
        <f>ROUND(D28*E28,0)</f>
        <v>414622</v>
      </c>
      <c r="G28" s="601"/>
      <c r="H28" s="602"/>
      <c r="I28" s="602"/>
      <c r="J28" s="602"/>
      <c r="K28" s="602"/>
      <c r="L28" s="1138" t="s">
        <v>153</v>
      </c>
    </row>
    <row r="29" spans="1:12" ht="14.25">
      <c r="A29" s="762" t="s">
        <v>81</v>
      </c>
      <c r="C29" s="602"/>
      <c r="D29" s="603"/>
      <c r="E29" s="603"/>
      <c r="F29" s="787">
        <f>SUM(F26:F28)</f>
        <v>737267</v>
      </c>
      <c r="G29" s="603"/>
      <c r="H29" s="602"/>
      <c r="I29" s="603"/>
      <c r="J29" s="602"/>
      <c r="K29" s="602"/>
      <c r="L29" s="1138"/>
    </row>
    <row r="30" spans="1:12">
      <c r="A30" s="820" t="s">
        <v>111</v>
      </c>
      <c r="C30" s="756"/>
      <c r="D30" s="756"/>
      <c r="E30" s="756"/>
      <c r="F30" s="756">
        <f>F29+F24</f>
        <v>8272760</v>
      </c>
      <c r="G30" s="756"/>
      <c r="H30" s="756"/>
      <c r="I30" s="756"/>
      <c r="L30" s="1138"/>
    </row>
    <row r="31" spans="1:12">
      <c r="C31" s="602"/>
      <c r="D31" s="602"/>
      <c r="E31" s="602"/>
      <c r="F31" s="602"/>
      <c r="G31" s="602"/>
      <c r="H31" s="602"/>
      <c r="I31" s="602"/>
      <c r="L31" s="1138"/>
    </row>
    <row r="32" spans="1:12">
      <c r="A32" s="447" t="s">
        <v>819</v>
      </c>
      <c r="C32" s="602"/>
      <c r="D32" s="602"/>
      <c r="E32" s="602"/>
      <c r="F32" s="602"/>
      <c r="G32" s="602"/>
      <c r="H32" s="602"/>
      <c r="I32" s="602"/>
      <c r="L32" s="1138"/>
    </row>
    <row r="33" spans="1:12" ht="14.25">
      <c r="A33" s="439" t="s">
        <v>807</v>
      </c>
      <c r="B33" s="1141" t="s">
        <v>204</v>
      </c>
      <c r="C33" s="602">
        <f>ROUND(SUMIF(_12MonResults_RateClass,'ECR in Base Rates'!$B33,_12MonResults_KWH_Total),0)</f>
        <v>1609032248</v>
      </c>
      <c r="D33" s="1142"/>
      <c r="E33" s="795">
        <f>SUMIF(_Rates_Tariff_Category,$L$3&amp;L33,_Rates_ECR_Energy)</f>
        <v>0</v>
      </c>
      <c r="F33" s="756">
        <f>ROUND(C33*E33,0)</f>
        <v>0</v>
      </c>
      <c r="G33" s="756"/>
      <c r="H33" s="787"/>
      <c r="I33" s="787"/>
      <c r="L33" s="1138" t="s">
        <v>159</v>
      </c>
    </row>
    <row r="34" spans="1:12">
      <c r="A34" s="439" t="s">
        <v>21</v>
      </c>
      <c r="B34" s="1141"/>
      <c r="C34" s="1142"/>
      <c r="D34" s="602">
        <f>ROUND(SUMIF(_12MonResults_RateClass,'ECR in Base Rates'!$B33,_12MonResults_Demand_Measured_kW_B),0)</f>
        <v>3966999</v>
      </c>
      <c r="E34" s="795">
        <f>SUMIF(_Rates_Tariff_Category,$L$3&amp;L34,_Rates_ECR_Demand)</f>
        <v>0.33</v>
      </c>
      <c r="F34" s="756">
        <f t="shared" ref="F34:F35" si="2">ROUND(D34*E34,0)</f>
        <v>1309110</v>
      </c>
      <c r="G34" s="601"/>
      <c r="H34" s="602"/>
      <c r="I34" s="602"/>
      <c r="L34" s="1138" t="s">
        <v>159</v>
      </c>
    </row>
    <row r="35" spans="1:12">
      <c r="A35" s="439" t="s">
        <v>22</v>
      </c>
      <c r="B35" s="1141"/>
      <c r="C35" s="1142"/>
      <c r="D35" s="602">
        <f>ROUND(SUMIF(_12MonResults_RateClass,'ECR in Base Rates'!$B33,_12MonResults_Demand_Measured_kW_I),0)</f>
        <v>3653519</v>
      </c>
      <c r="E35" s="795">
        <f>SUMIF(_Rates_Tariff_Category,$L$3&amp;L35,_Rates_ECR_Demand)</f>
        <v>0.33</v>
      </c>
      <c r="F35" s="756">
        <f t="shared" si="2"/>
        <v>1205661</v>
      </c>
      <c r="G35" s="601"/>
      <c r="H35" s="602"/>
      <c r="I35" s="602"/>
      <c r="L35" s="1138" t="s">
        <v>159</v>
      </c>
    </row>
    <row r="36" spans="1:12" ht="14.25">
      <c r="A36" s="439" t="s">
        <v>23</v>
      </c>
      <c r="B36" s="1141"/>
      <c r="C36" s="1142"/>
      <c r="D36" s="602">
        <f>ROUND(SUMIF(_12MonResults_RateClass,'ECR in Base Rates'!$B33,_12MonResults_Demand_Measured_kW_P),0)</f>
        <v>3576526</v>
      </c>
      <c r="E36" s="795">
        <f>SUMIF(_Rates_Tariff_Category,$L$3&amp;L36,_Rates_ECR_Demand)</f>
        <v>0.33</v>
      </c>
      <c r="F36" s="787">
        <f>ROUND(D36*E36,0)</f>
        <v>1180254</v>
      </c>
      <c r="G36" s="601"/>
      <c r="H36" s="602"/>
      <c r="I36" s="602"/>
      <c r="L36" s="1138" t="s">
        <v>159</v>
      </c>
    </row>
    <row r="37" spans="1:12">
      <c r="A37" s="762" t="s">
        <v>80</v>
      </c>
      <c r="C37" s="602"/>
      <c r="D37" s="602"/>
      <c r="E37" s="602"/>
      <c r="F37" s="602">
        <f>SUM(F33:F36)</f>
        <v>3695025</v>
      </c>
      <c r="G37" s="602"/>
      <c r="H37" s="602"/>
      <c r="I37" s="602"/>
      <c r="L37" s="1138"/>
    </row>
    <row r="38" spans="1:12" ht="14.25">
      <c r="A38" s="439" t="s">
        <v>807</v>
      </c>
      <c r="B38" s="1141" t="s">
        <v>205</v>
      </c>
      <c r="C38" s="602">
        <f>ROUND(SUMIF(_12MonResults_RateClass,'ECR in Base Rates'!$B38,_12MonResults_KWH_Total),0)</f>
        <v>4296353118</v>
      </c>
      <c r="D38" s="1140"/>
      <c r="E38" s="795">
        <f>SUMIF(_Rates_Tariff_Category,$L$3&amp;L38,_Rates_ECR_Energy)</f>
        <v>0</v>
      </c>
      <c r="F38" s="756">
        <f>ROUND(C38*E38,0)</f>
        <v>0</v>
      </c>
      <c r="G38" s="756"/>
      <c r="H38" s="603"/>
      <c r="I38" s="603"/>
      <c r="L38" s="1138"/>
    </row>
    <row r="39" spans="1:12">
      <c r="A39" s="439" t="s">
        <v>21</v>
      </c>
      <c r="B39" s="1141"/>
      <c r="C39" s="1142"/>
      <c r="D39" s="602">
        <f>ROUND(SUMIF(_12MonResults_RateClass,'ECR in Base Rates'!$B38,_12MonResults_Demand_Measured_kW_B),0)</f>
        <v>9617736</v>
      </c>
      <c r="E39" s="795">
        <f>SUMIF(_Rates_Tariff_Category,$L$3&amp;L39,_Rates_ECR_Demand)</f>
        <v>0.26</v>
      </c>
      <c r="F39" s="756">
        <f t="shared" ref="F39:F40" si="3">ROUND(D39*E39,0)</f>
        <v>2500611</v>
      </c>
      <c r="G39" s="601"/>
      <c r="H39" s="602"/>
      <c r="I39" s="602"/>
      <c r="J39" s="602"/>
      <c r="L39" s="1138" t="s">
        <v>155</v>
      </c>
    </row>
    <row r="40" spans="1:12">
      <c r="A40" s="439" t="s">
        <v>22</v>
      </c>
      <c r="B40" s="1141"/>
      <c r="C40" s="1142"/>
      <c r="D40" s="602">
        <f>ROUND(SUMIF(_12MonResults_RateClass,'ECR in Base Rates'!$B38,_12MonResults_Demand_Measured_kW_I),0)</f>
        <v>9207139</v>
      </c>
      <c r="E40" s="795">
        <f>SUMIF(_Rates_Tariff_Category,$L$3&amp;L40,_Rates_ECR_Demand)</f>
        <v>0.26</v>
      </c>
      <c r="F40" s="756">
        <f t="shared" si="3"/>
        <v>2393856</v>
      </c>
      <c r="G40" s="601"/>
      <c r="H40" s="602"/>
      <c r="I40" s="602"/>
      <c r="J40" s="602"/>
      <c r="L40" s="1138" t="s">
        <v>155</v>
      </c>
    </row>
    <row r="41" spans="1:12" ht="14.25">
      <c r="A41" s="439" t="s">
        <v>23</v>
      </c>
      <c r="B41" s="1141"/>
      <c r="C41" s="1142"/>
      <c r="D41" s="602">
        <f>ROUND(SUMIF(_12MonResults_RateClass,'ECR in Base Rates'!$B38,_12MonResults_Demand_Measured_kW_P),0)</f>
        <v>9056459</v>
      </c>
      <c r="E41" s="795">
        <f>SUMIF(_Rates_Tariff_Category,$L$3&amp;L41,_Rates_ECR_Demand)</f>
        <v>0.26</v>
      </c>
      <c r="F41" s="787">
        <f>ROUND(D41*E41,0)</f>
        <v>2354679</v>
      </c>
      <c r="G41" s="601"/>
      <c r="H41" s="602"/>
      <c r="I41" s="602"/>
      <c r="J41" s="602"/>
      <c r="L41" s="1138" t="s">
        <v>155</v>
      </c>
    </row>
    <row r="42" spans="1:12" ht="14.25">
      <c r="A42" s="1143" t="s">
        <v>81</v>
      </c>
      <c r="C42" s="603"/>
      <c r="D42" s="603"/>
      <c r="E42" s="602"/>
      <c r="F42" s="603">
        <f>SUM(F38:F41)</f>
        <v>7249146</v>
      </c>
      <c r="G42" s="602"/>
      <c r="H42" s="602"/>
      <c r="I42" s="603"/>
      <c r="J42" s="602"/>
      <c r="L42" s="1138"/>
    </row>
    <row r="43" spans="1:12">
      <c r="A43" s="447" t="s">
        <v>1008</v>
      </c>
      <c r="C43" s="756"/>
      <c r="D43" s="756"/>
      <c r="E43" s="756"/>
      <c r="F43" s="756">
        <f>F37+F42</f>
        <v>10944171</v>
      </c>
      <c r="G43" s="756"/>
      <c r="H43" s="602"/>
      <c r="I43" s="756"/>
      <c r="J43" s="602"/>
      <c r="K43" s="602"/>
      <c r="L43" s="1138"/>
    </row>
    <row r="44" spans="1:12">
      <c r="C44" s="602"/>
      <c r="D44" s="602"/>
      <c r="E44" s="602"/>
      <c r="F44" s="602"/>
      <c r="G44" s="602"/>
      <c r="H44" s="602"/>
      <c r="I44" s="602"/>
      <c r="J44" s="602"/>
      <c r="K44" s="602"/>
      <c r="L44" s="1138"/>
    </row>
    <row r="45" spans="1:12" ht="14.25">
      <c r="B45" s="760"/>
      <c r="C45" s="1140"/>
      <c r="D45" s="1140"/>
      <c r="E45" s="1140"/>
      <c r="F45" s="1140"/>
      <c r="G45" s="1140"/>
      <c r="H45" s="603"/>
      <c r="I45" s="603"/>
      <c r="L45" s="1138"/>
    </row>
    <row r="46" spans="1:12" ht="14.25">
      <c r="A46" s="439" t="s">
        <v>807</v>
      </c>
      <c r="B46" s="760" t="s">
        <v>18</v>
      </c>
      <c r="C46" s="602">
        <f>ROUND(SUMIF(_12MonResults_RateClass,'ECR in Base Rates'!$B46,_12MonResults_KWH_Total),0)</f>
        <v>1605630259</v>
      </c>
      <c r="D46" s="1140"/>
      <c r="E46" s="795">
        <f>SUMIF(_Rates_Tariff_Category,$L$3&amp;L46,_Rates_ECR_Energy)</f>
        <v>0</v>
      </c>
      <c r="F46" s="756">
        <f>ROUND(C46*E46,0)</f>
        <v>0</v>
      </c>
      <c r="G46" s="756"/>
      <c r="H46" s="603"/>
      <c r="I46" s="603"/>
      <c r="L46" s="1138"/>
    </row>
    <row r="47" spans="1:12">
      <c r="A47" s="439" t="s">
        <v>21</v>
      </c>
      <c r="B47" s="1141"/>
      <c r="C47" s="1142"/>
      <c r="D47" s="602">
        <f>ROUND(SUMIF(_12MonResults_RateClass,'ECR in Base Rates'!$B46,_12MonResults_Demand_Measured_kW_B),0)</f>
        <v>3651687</v>
      </c>
      <c r="E47" s="795">
        <f>SUMIF(_Rates_Tariff_Category,$L$3&amp;L47,_Rates_ECR_Demand)</f>
        <v>0.24</v>
      </c>
      <c r="F47" s="756">
        <f t="shared" ref="F47:F48" si="4">ROUND(D47*E47,0)</f>
        <v>876405</v>
      </c>
      <c r="G47" s="601"/>
      <c r="H47" s="602"/>
      <c r="I47" s="602"/>
      <c r="L47" s="1138" t="s">
        <v>152</v>
      </c>
    </row>
    <row r="48" spans="1:12">
      <c r="A48" s="439" t="s">
        <v>22</v>
      </c>
      <c r="B48" s="1141"/>
      <c r="C48" s="1142"/>
      <c r="D48" s="602">
        <f>ROUND(SUMIF(_12MonResults_RateClass,'ECR in Base Rates'!$B46,_12MonResults_Demand_Measured_kW_I),0)</f>
        <v>3507121</v>
      </c>
      <c r="E48" s="795">
        <f>SUMIF(_Rates_Tariff_Category,$L$3&amp;L48,_Rates_ECR_Demand)</f>
        <v>0.24</v>
      </c>
      <c r="F48" s="756">
        <f t="shared" si="4"/>
        <v>841709</v>
      </c>
      <c r="G48" s="601"/>
      <c r="H48" s="602"/>
      <c r="I48" s="602"/>
      <c r="L48" s="1138" t="s">
        <v>152</v>
      </c>
    </row>
    <row r="49" spans="1:12" ht="14.25">
      <c r="A49" s="439" t="s">
        <v>23</v>
      </c>
      <c r="B49" s="1141"/>
      <c r="C49" s="1142"/>
      <c r="D49" s="602">
        <f>ROUND(SUMIF(_12MonResults_RateClass,'ECR in Base Rates'!$B46,_12MonResults_Demand_Measured_kW_P),0)</f>
        <v>3427646</v>
      </c>
      <c r="E49" s="795">
        <f>SUMIF(_Rates_Tariff_Category,$L$3&amp;L49,_Rates_ECR_Demand)</f>
        <v>0.24</v>
      </c>
      <c r="F49" s="787">
        <f>ROUND(D49*E49,0)</f>
        <v>822635</v>
      </c>
      <c r="G49" s="601"/>
      <c r="H49" s="602"/>
      <c r="I49" s="602"/>
      <c r="L49" s="1138" t="s">
        <v>152</v>
      </c>
    </row>
    <row r="50" spans="1:12">
      <c r="A50" s="439" t="s">
        <v>83</v>
      </c>
      <c r="C50" s="756"/>
      <c r="D50" s="756"/>
      <c r="E50" s="756"/>
      <c r="F50" s="756">
        <f>SUM(F46:F49)</f>
        <v>2540749</v>
      </c>
      <c r="G50" s="756"/>
      <c r="H50" s="756"/>
      <c r="I50" s="756"/>
      <c r="L50" s="1138"/>
    </row>
    <row r="51" spans="1:12">
      <c r="C51" s="602"/>
      <c r="D51" s="602"/>
      <c r="E51" s="602"/>
      <c r="F51" s="602"/>
      <c r="G51" s="602"/>
      <c r="H51" s="602"/>
      <c r="I51" s="602"/>
      <c r="L51" s="1138"/>
    </row>
    <row r="52" spans="1:12">
      <c r="B52" s="447"/>
      <c r="C52" s="602"/>
      <c r="D52" s="602"/>
      <c r="E52" s="602"/>
      <c r="F52" s="602"/>
      <c r="G52" s="602"/>
      <c r="H52" s="602"/>
      <c r="I52" s="602"/>
      <c r="L52" s="1138"/>
    </row>
    <row r="53" spans="1:12" ht="14.25">
      <c r="B53" s="760"/>
      <c r="C53" s="1140"/>
      <c r="D53" s="1140"/>
      <c r="E53" s="1140"/>
      <c r="F53" s="1140"/>
      <c r="G53" s="1140"/>
      <c r="H53" s="603"/>
      <c r="I53" s="603"/>
      <c r="L53" s="1138"/>
    </row>
    <row r="54" spans="1:12" ht="14.25">
      <c r="A54" s="439" t="s">
        <v>807</v>
      </c>
      <c r="B54" s="760" t="s">
        <v>27</v>
      </c>
      <c r="C54" s="602">
        <f>ROUND(SUMIF(_12MonResults_RateClass,'ECR in Base Rates'!$B54,_12MonResults_KWH_Total),0)</f>
        <v>560796543</v>
      </c>
      <c r="D54" s="1140"/>
      <c r="E54" s="795">
        <f>SUMIF(_Rates_Tariff_Category,$L$3&amp;L54,_Rates_ECR_Energy)</f>
        <v>0</v>
      </c>
      <c r="F54" s="756">
        <f>ROUND(C54*E54,0)</f>
        <v>0</v>
      </c>
      <c r="G54" s="756"/>
      <c r="H54" s="603"/>
      <c r="I54" s="603"/>
      <c r="L54" s="1138"/>
    </row>
    <row r="55" spans="1:12">
      <c r="A55" s="439" t="s">
        <v>21</v>
      </c>
      <c r="B55" s="1141"/>
      <c r="C55" s="1142"/>
      <c r="D55" s="602">
        <f>ROUND(SUMIF(_12MonResults_RateClass,'ECR in Base Rates'!$B54,_12MonResults_Demand_Measured_kW_B),0)</f>
        <v>2221896</v>
      </c>
      <c r="E55" s="795">
        <f>SUMIF(_Rates_Tariff_Category,$L$3&amp;L55,_Rates_ECR_Demand)</f>
        <v>0.11</v>
      </c>
      <c r="F55" s="756">
        <f t="shared" ref="F55:F56" si="5">ROUND(D55*E55,0)</f>
        <v>244409</v>
      </c>
      <c r="G55" s="601"/>
      <c r="H55" s="602"/>
      <c r="I55" s="602"/>
      <c r="L55" s="1138" t="s">
        <v>173</v>
      </c>
    </row>
    <row r="56" spans="1:12">
      <c r="A56" s="439" t="s">
        <v>22</v>
      </c>
      <c r="B56" s="1141"/>
      <c r="C56" s="1142"/>
      <c r="D56" s="602">
        <f>ROUND(SUMIF(_12MonResults_RateClass,'ECR in Base Rates'!$B54,_12MonResults_Demand_Measured_kW_I),0)</f>
        <v>2221896</v>
      </c>
      <c r="E56" s="795">
        <f>SUMIF(_Rates_Tariff_Category,$L$3&amp;L56,_Rates_ECR_Demand)</f>
        <v>0.11</v>
      </c>
      <c r="F56" s="756">
        <f t="shared" si="5"/>
        <v>244409</v>
      </c>
      <c r="G56" s="601"/>
      <c r="H56" s="602"/>
      <c r="I56" s="602"/>
      <c r="L56" s="1138" t="s">
        <v>173</v>
      </c>
    </row>
    <row r="57" spans="1:12" ht="14.25">
      <c r="A57" s="439" t="s">
        <v>23</v>
      </c>
      <c r="B57" s="1141"/>
      <c r="C57" s="1142"/>
      <c r="D57" s="602">
        <f>ROUND(SUMIF(_12MonResults_RateClass,'ECR in Base Rates'!$B54,_12MonResults_Demand_Measured_kW_P),0)</f>
        <v>1216656</v>
      </c>
      <c r="E57" s="795">
        <f>SUMIF(_Rates_Tariff_Category,$L$3&amp;L57,_Rates_ECR_Demand)</f>
        <v>0.11</v>
      </c>
      <c r="F57" s="787">
        <f>ROUND(D57*E57,0)</f>
        <v>133832</v>
      </c>
      <c r="G57" s="601"/>
      <c r="H57" s="602"/>
      <c r="I57" s="602"/>
      <c r="L57" s="1138" t="s">
        <v>173</v>
      </c>
    </row>
    <row r="58" spans="1:12">
      <c r="A58" s="439" t="s">
        <v>112</v>
      </c>
      <c r="C58" s="756"/>
      <c r="D58" s="756"/>
      <c r="E58" s="756"/>
      <c r="F58" s="756">
        <f>SUM(F54:F57)</f>
        <v>622650</v>
      </c>
      <c r="G58" s="756"/>
      <c r="H58" s="756"/>
      <c r="I58" s="756"/>
      <c r="L58" s="1138"/>
    </row>
    <row r="59" spans="1:12">
      <c r="C59" s="602"/>
      <c r="D59" s="602"/>
      <c r="E59" s="602"/>
      <c r="F59" s="602"/>
      <c r="G59" s="602"/>
      <c r="H59" s="602"/>
      <c r="I59" s="602"/>
      <c r="L59" s="1138"/>
    </row>
    <row r="60" spans="1:12">
      <c r="C60" s="602"/>
      <c r="D60" s="602"/>
      <c r="E60" s="602"/>
      <c r="F60" s="602"/>
      <c r="G60" s="602"/>
      <c r="H60" s="602"/>
      <c r="I60" s="602"/>
      <c r="L60" s="1138"/>
    </row>
    <row r="61" spans="1:12">
      <c r="B61" s="760" t="s">
        <v>19</v>
      </c>
      <c r="C61" s="602">
        <f>ROUND(SUMIF(_12MonResults_RateClass,'ECR in Base Rates'!$B61,_12MonResults_KWH_Total),0)</f>
        <v>164531</v>
      </c>
      <c r="D61" s="602">
        <v>0</v>
      </c>
      <c r="E61" s="795">
        <f>SUMIF(_Rates_Tariff_Category,$L$3&amp;L61,_Rates_ECR_Energy)</f>
        <v>3.15E-3</v>
      </c>
      <c r="F61" s="756">
        <f>ROUND(C61*E61,0)</f>
        <v>518</v>
      </c>
      <c r="G61" s="795"/>
      <c r="H61" s="756"/>
      <c r="I61" s="756"/>
      <c r="L61" s="1138" t="s">
        <v>217</v>
      </c>
    </row>
    <row r="62" spans="1:12">
      <c r="A62" s="439" t="s">
        <v>86</v>
      </c>
      <c r="C62" s="756"/>
      <c r="D62" s="756"/>
      <c r="E62" s="756"/>
      <c r="F62" s="756">
        <f t="shared" ref="F62" si="6">F61</f>
        <v>518</v>
      </c>
      <c r="G62" s="756"/>
      <c r="H62" s="756"/>
      <c r="I62" s="756"/>
      <c r="L62" s="1138"/>
    </row>
    <row r="63" spans="1:12">
      <c r="B63" s="760" t="s">
        <v>20</v>
      </c>
      <c r="C63" s="602">
        <f>ROUND(SUMIF(_12MonResults_RateClass,'ECR in Base Rates'!$B63,_12MonResults_KWH_Total),0)</f>
        <v>1241367</v>
      </c>
      <c r="D63" s="602">
        <v>0</v>
      </c>
      <c r="E63" s="795">
        <f>SUMIF(_Rates_Tariff_Category,$L$3&amp;L63,_Rates_ECR_Energy)</f>
        <v>3.15E-3</v>
      </c>
      <c r="F63" s="756">
        <f>ROUND(C63*E63,0)</f>
        <v>3910</v>
      </c>
      <c r="G63" s="795"/>
      <c r="H63" s="756"/>
      <c r="I63" s="756"/>
      <c r="L63" s="1138" t="s">
        <v>168</v>
      </c>
    </row>
    <row r="64" spans="1:12">
      <c r="A64" s="439" t="s">
        <v>84</v>
      </c>
      <c r="C64" s="756"/>
      <c r="D64" s="756"/>
      <c r="E64" s="756"/>
      <c r="F64" s="756">
        <f t="shared" ref="F64" si="7">F63</f>
        <v>3910</v>
      </c>
      <c r="G64" s="756"/>
      <c r="H64" s="756"/>
      <c r="I64" s="756"/>
      <c r="L64" s="1138"/>
    </row>
    <row r="65" spans="1:12">
      <c r="C65" s="602"/>
      <c r="D65" s="602"/>
      <c r="E65" s="602"/>
      <c r="F65" s="602"/>
      <c r="G65" s="602"/>
      <c r="H65" s="602"/>
      <c r="I65" s="602"/>
    </row>
    <row r="66" spans="1:12">
      <c r="B66" s="439" t="s">
        <v>708</v>
      </c>
      <c r="C66" s="602">
        <f>ROUND(SUMIF(_12MonLights_RateClass,'ECR in Base Rates'!$B66,_12MonLights_Count)+SUMIF(_12MonLights_RateClass,$B66,_12MonLights_Count_Adj),0)</f>
        <v>0</v>
      </c>
      <c r="D66" s="602">
        <v>0</v>
      </c>
      <c r="E66" s="602"/>
      <c r="F66" s="602"/>
      <c r="G66" s="602"/>
      <c r="H66" s="602"/>
      <c r="I66" s="602"/>
      <c r="L66" s="756"/>
    </row>
    <row r="67" spans="1:12">
      <c r="B67" s="439" t="s">
        <v>1139</v>
      </c>
      <c r="C67" s="602">
        <f>ROUND(SUMIF(_12MonLights_RateClass,'ECR in Base Rates'!$B67,_12MonLights_Count)+SUMIF(_12MonLights_RateClass,$B67,_12MonLights_Count_Adj),0)</f>
        <v>1703604</v>
      </c>
      <c r="D67" s="602">
        <v>0</v>
      </c>
      <c r="E67" s="602"/>
      <c r="F67" s="756">
        <f>SUMIF(_12MonLights_RateClass,B67,_12MonLights_Revenue_BaseECR)</f>
        <v>799806.9700000016</v>
      </c>
      <c r="G67" s="602"/>
      <c r="H67" s="602"/>
      <c r="I67" s="602"/>
      <c r="L67" s="756"/>
    </row>
    <row r="68" spans="1:12" ht="14.25">
      <c r="B68" s="760" t="s">
        <v>1140</v>
      </c>
      <c r="C68" s="1140">
        <f>ROUND(SUMIF(_12MonLights_RateClass,'ECR in Base Rates'!$B68,_12MonLights_Count)+SUMIF(_12MonLights_RateClass,$B68,_12MonLights_Count_Adj),0)</f>
        <v>320777</v>
      </c>
      <c r="D68" s="1140">
        <v>0</v>
      </c>
      <c r="E68" s="1140"/>
      <c r="F68" s="787">
        <f>SUMIF(_12MonLights_RateClass,B68,_12MonLights_Revenue_BaseECR)</f>
        <v>132545.27000000011</v>
      </c>
      <c r="G68" s="602"/>
      <c r="H68" s="603"/>
      <c r="I68" s="603"/>
      <c r="L68" s="759"/>
    </row>
    <row r="69" spans="1:12">
      <c r="A69" s="439" t="s">
        <v>85</v>
      </c>
      <c r="C69" s="602">
        <f>SUM(C66:C68)</f>
        <v>2024381</v>
      </c>
      <c r="D69" s="756"/>
      <c r="E69" s="756"/>
      <c r="F69" s="756">
        <f>SUM(F66:F68)</f>
        <v>932352.24000000174</v>
      </c>
      <c r="G69" s="602"/>
      <c r="H69" s="756"/>
      <c r="I69" s="756"/>
    </row>
    <row r="70" spans="1:12">
      <c r="G70" s="602"/>
    </row>
    <row r="71" spans="1:12" ht="14.25">
      <c r="C71" s="1144"/>
      <c r="D71" s="1144"/>
      <c r="E71" s="1144"/>
      <c r="F71" s="1144">
        <f>SUM(F6,F5,F18,F13,F30,F43,F50,F58,F62,F64,F69)</f>
        <v>52292001.240000002</v>
      </c>
      <c r="G71" s="602"/>
      <c r="H71" s="1144"/>
      <c r="I71" s="1144"/>
    </row>
    <row r="72" spans="1:12">
      <c r="G72" s="602"/>
    </row>
    <row r="76" spans="1:12">
      <c r="B76" s="760"/>
      <c r="C76" s="602"/>
      <c r="D76" s="602"/>
      <c r="E76" s="602"/>
      <c r="F76" s="602"/>
      <c r="G76" s="602"/>
      <c r="H76" s="602"/>
      <c r="I76" s="602"/>
      <c r="J76" s="760"/>
    </row>
    <row r="77" spans="1:12">
      <c r="B77" s="760"/>
      <c r="C77" s="602"/>
      <c r="D77" s="602"/>
      <c r="E77" s="602"/>
      <c r="F77" s="602"/>
      <c r="G77" s="602"/>
      <c r="H77" s="602"/>
      <c r="I77" s="602"/>
      <c r="J77" s="760"/>
    </row>
    <row r="78" spans="1:12">
      <c r="B78" s="760"/>
      <c r="C78" s="602"/>
      <c r="D78" s="602"/>
      <c r="E78" s="602"/>
      <c r="F78" s="602"/>
      <c r="G78" s="602"/>
      <c r="H78" s="602"/>
      <c r="I78" s="602"/>
    </row>
    <row r="79" spans="1:12">
      <c r="C79" s="602"/>
      <c r="D79" s="602"/>
      <c r="E79" s="602"/>
      <c r="F79" s="602"/>
      <c r="G79" s="602"/>
      <c r="H79" s="602"/>
      <c r="I79" s="602"/>
    </row>
    <row r="80" spans="1:12">
      <c r="B80" s="760"/>
      <c r="C80" s="602"/>
      <c r="D80" s="602"/>
      <c r="E80" s="602"/>
      <c r="F80" s="602"/>
      <c r="G80" s="602"/>
      <c r="H80" s="602"/>
      <c r="I80" s="602"/>
    </row>
    <row r="81" spans="2:6">
      <c r="B81" s="760"/>
      <c r="C81" s="760"/>
      <c r="D81" s="760"/>
      <c r="E81" s="760"/>
      <c r="F81" s="760"/>
    </row>
    <row r="82" spans="2:6">
      <c r="B82" s="760"/>
      <c r="C82" s="760"/>
      <c r="D82" s="760"/>
      <c r="E82" s="760"/>
      <c r="F82" s="760"/>
    </row>
    <row r="83" spans="2:6">
      <c r="B83" s="760"/>
      <c r="C83" s="760"/>
      <c r="D83" s="760"/>
      <c r="E83" s="760"/>
      <c r="F83" s="760"/>
    </row>
    <row r="84" spans="2:6">
      <c r="B84" s="760"/>
      <c r="C84" s="760"/>
      <c r="D84" s="760"/>
      <c r="E84" s="760"/>
      <c r="F84" s="760"/>
    </row>
    <row r="85" spans="2:6">
      <c r="B85" s="760"/>
      <c r="C85" s="760"/>
      <c r="D85" s="760"/>
      <c r="E85" s="760"/>
      <c r="F85" s="760"/>
    </row>
    <row r="86" spans="2:6">
      <c r="B86" s="760"/>
      <c r="C86" s="760"/>
      <c r="D86" s="760"/>
      <c r="E86" s="760"/>
      <c r="F86" s="760"/>
    </row>
    <row r="87" spans="2:6">
      <c r="B87" s="760"/>
      <c r="C87" s="760"/>
      <c r="D87" s="760"/>
      <c r="E87" s="760"/>
      <c r="F87" s="760"/>
    </row>
    <row r="88" spans="2:6">
      <c r="B88" s="760"/>
      <c r="C88" s="760"/>
      <c r="D88" s="760"/>
      <c r="E88" s="760"/>
      <c r="F88" s="760"/>
    </row>
    <row r="89" spans="2:6">
      <c r="B89" s="760"/>
      <c r="C89" s="760"/>
      <c r="D89" s="760"/>
      <c r="E89" s="760"/>
      <c r="F89" s="760"/>
    </row>
    <row r="90" spans="2:6">
      <c r="B90" s="760"/>
      <c r="C90" s="760"/>
      <c r="D90" s="760"/>
      <c r="E90" s="760"/>
      <c r="F90" s="760"/>
    </row>
    <row r="91" spans="2:6">
      <c r="B91" s="760"/>
      <c r="C91" s="760"/>
      <c r="D91" s="760"/>
      <c r="E91" s="760"/>
      <c r="F91" s="760"/>
    </row>
    <row r="92" spans="2:6">
      <c r="B92" s="760"/>
      <c r="C92" s="760"/>
      <c r="D92" s="760"/>
      <c r="E92" s="760"/>
      <c r="F92" s="760"/>
    </row>
    <row r="93" spans="2:6">
      <c r="B93" s="760"/>
      <c r="C93" s="760"/>
      <c r="D93" s="760"/>
      <c r="E93" s="760"/>
      <c r="F93" s="760"/>
    </row>
    <row r="94" spans="2:6">
      <c r="B94" s="760"/>
      <c r="C94" s="760"/>
      <c r="D94" s="760"/>
      <c r="E94" s="760"/>
      <c r="F94" s="760"/>
    </row>
    <row r="95" spans="2:6">
      <c r="B95" s="760"/>
      <c r="C95" s="760"/>
      <c r="D95" s="760"/>
      <c r="E95" s="760"/>
      <c r="F95" s="760"/>
    </row>
    <row r="96" spans="2:6">
      <c r="B96" s="760"/>
      <c r="C96" s="760"/>
      <c r="D96" s="760"/>
      <c r="E96" s="760"/>
      <c r="F96" s="760"/>
    </row>
    <row r="97" spans="1:6">
      <c r="B97" s="760"/>
      <c r="C97" s="760"/>
      <c r="D97" s="760"/>
      <c r="E97" s="760"/>
      <c r="F97" s="760"/>
    </row>
    <row r="98" spans="1:6">
      <c r="B98" s="760"/>
      <c r="C98" s="760"/>
      <c r="D98" s="760"/>
      <c r="E98" s="760"/>
      <c r="F98" s="760"/>
    </row>
    <row r="99" spans="1:6">
      <c r="B99" s="760"/>
      <c r="C99" s="760"/>
      <c r="D99" s="760"/>
      <c r="E99" s="760"/>
      <c r="F99" s="760"/>
    </row>
    <row r="100" spans="1:6">
      <c r="A100" s="447"/>
      <c r="B100" s="760"/>
      <c r="C100" s="760"/>
      <c r="D100" s="760"/>
      <c r="E100" s="760"/>
      <c r="F100" s="760"/>
    </row>
    <row r="101" spans="1:6">
      <c r="B101" s="760"/>
      <c r="C101" s="760"/>
      <c r="D101" s="760"/>
      <c r="E101" s="760"/>
      <c r="F101" s="760"/>
    </row>
    <row r="102" spans="1:6">
      <c r="B102" s="760"/>
      <c r="C102" s="760"/>
      <c r="D102" s="760"/>
      <c r="E102" s="760"/>
      <c r="F102" s="760"/>
    </row>
    <row r="103" spans="1:6">
      <c r="B103" s="760"/>
      <c r="C103" s="760"/>
      <c r="D103" s="760"/>
      <c r="E103" s="760"/>
      <c r="F103" s="760"/>
    </row>
    <row r="104" spans="1:6">
      <c r="B104" s="760"/>
      <c r="C104" s="760"/>
      <c r="D104" s="760"/>
      <c r="E104" s="760"/>
      <c r="F104" s="760"/>
    </row>
    <row r="105" spans="1:6">
      <c r="B105" s="760"/>
      <c r="C105" s="760"/>
      <c r="D105" s="760"/>
      <c r="E105" s="760"/>
      <c r="F105" s="760"/>
    </row>
    <row r="106" spans="1:6">
      <c r="B106" s="760"/>
      <c r="C106" s="760"/>
      <c r="D106" s="760"/>
      <c r="E106" s="760"/>
      <c r="F106" s="760"/>
    </row>
    <row r="108" spans="1:6">
      <c r="B108" s="760"/>
    </row>
  </sheetData>
  <printOptions headings="1" gridLines="1"/>
  <pageMargins left="0.7" right="0.7" top="0.75" bottom="0.75" header="0.3" footer="0.3"/>
  <pageSetup scale="55" orientation="landscape" r:id="rId1"/>
  <headerFooter>
    <oddHeader>&amp;CLouisville Gas and Electric Company
Adjustment to Reflect Year End Number of Customers
Twelve Months Ended August 31, 2010</oddHeader>
    <oddFooter>&amp;RSeelye Exhibit 20</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00"/>
  <sheetViews>
    <sheetView workbookViewId="0"/>
  </sheetViews>
  <sheetFormatPr defaultRowHeight="12"/>
  <cols>
    <col min="1" max="1" width="14.5" style="439" customWidth="1"/>
    <col min="2" max="2" width="12.83203125" style="439" customWidth="1"/>
    <col min="3" max="3" width="18" style="439" customWidth="1"/>
    <col min="4" max="4" width="14.1640625" style="439" bestFit="1" customWidth="1"/>
    <col min="5" max="5" width="15.1640625" style="439" bestFit="1" customWidth="1"/>
    <col min="6" max="6" width="14.83203125" style="439" customWidth="1"/>
    <col min="7" max="7" width="14.1640625" style="439" bestFit="1" customWidth="1"/>
    <col min="8" max="8" width="14.1640625" style="439" customWidth="1"/>
    <col min="9" max="9" width="17.33203125" style="439" customWidth="1"/>
    <col min="10" max="10" width="16.5" style="439" customWidth="1"/>
    <col min="11" max="13" width="15.1640625" style="439" bestFit="1" customWidth="1"/>
    <col min="14" max="14" width="14.1640625" style="439" bestFit="1" customWidth="1"/>
    <col min="15" max="16" width="15.1640625" style="439" bestFit="1" customWidth="1"/>
    <col min="17" max="17" width="17.5" style="439" bestFit="1" customWidth="1"/>
    <col min="18" max="18" width="14.83203125" style="439" bestFit="1" customWidth="1"/>
    <col min="19" max="19" width="11.33203125" style="439" customWidth="1"/>
    <col min="20" max="16384" width="9.33203125" style="439"/>
  </cols>
  <sheetData>
    <row r="1" spans="1:19">
      <c r="H1" s="439" t="s">
        <v>1550</v>
      </c>
    </row>
    <row r="2" spans="1:19">
      <c r="A2" s="439" t="s">
        <v>1551</v>
      </c>
      <c r="H2" s="447" t="s">
        <v>1552</v>
      </c>
    </row>
    <row r="4" spans="1:19">
      <c r="A4" s="439" t="s">
        <v>1553</v>
      </c>
    </row>
    <row r="6" spans="1:19">
      <c r="A6" s="1045"/>
      <c r="B6" s="1046"/>
      <c r="C6" s="1047">
        <v>-1</v>
      </c>
      <c r="D6" s="1048">
        <f>C6-1</f>
        <v>-2</v>
      </c>
      <c r="E6" s="1048">
        <f>D6-1</f>
        <v>-3</v>
      </c>
      <c r="F6" s="1048">
        <f>E6-1</f>
        <v>-4</v>
      </c>
      <c r="G6" s="1048">
        <f>F6-1</f>
        <v>-5</v>
      </c>
      <c r="H6" s="1048"/>
      <c r="I6" s="1048">
        <f>G6-1</f>
        <v>-6</v>
      </c>
      <c r="J6" s="1048">
        <f>I6-1</f>
        <v>-7</v>
      </c>
      <c r="K6" s="1049">
        <f>J6-1</f>
        <v>-8</v>
      </c>
    </row>
    <row r="7" spans="1:19" ht="36">
      <c r="A7" s="1316" t="s">
        <v>1554</v>
      </c>
      <c r="B7" s="1317"/>
      <c r="C7" s="1050" t="s">
        <v>924</v>
      </c>
      <c r="D7" s="1050" t="s">
        <v>1627</v>
      </c>
      <c r="E7" s="1051" t="s">
        <v>1555</v>
      </c>
      <c r="F7" s="1052" t="s">
        <v>1556</v>
      </c>
      <c r="G7" s="511" t="s">
        <v>1557</v>
      </c>
      <c r="H7" s="1053" t="s">
        <v>1558</v>
      </c>
      <c r="I7" s="1131" t="s">
        <v>1479</v>
      </c>
      <c r="J7" s="1089" t="s">
        <v>1559</v>
      </c>
      <c r="K7" s="1090" t="s">
        <v>1560</v>
      </c>
      <c r="N7" s="1039"/>
      <c r="O7" s="1039"/>
      <c r="P7" s="1039"/>
    </row>
    <row r="8" spans="1:19" ht="15">
      <c r="A8" s="1056"/>
      <c r="B8" s="1057"/>
      <c r="C8" s="1058" t="s">
        <v>1561</v>
      </c>
      <c r="D8" s="1058"/>
      <c r="E8" s="1058" t="s">
        <v>1562</v>
      </c>
      <c r="F8" s="1059" t="s">
        <v>1563</v>
      </c>
      <c r="G8" s="1058" t="s">
        <v>1564</v>
      </c>
      <c r="H8" s="1060"/>
      <c r="I8" s="1059" t="s">
        <v>1565</v>
      </c>
      <c r="J8" s="1061" t="s">
        <v>1566</v>
      </c>
      <c r="K8" s="1062" t="s">
        <v>1567</v>
      </c>
      <c r="N8" s="1039"/>
      <c r="O8" s="1039"/>
      <c r="P8" s="1039"/>
    </row>
    <row r="9" spans="1:19" ht="12.75">
      <c r="A9" s="1063"/>
      <c r="B9" s="511" t="s">
        <v>1568</v>
      </c>
      <c r="C9" s="1064">
        <v>4267631.0999999996</v>
      </c>
      <c r="D9" s="1065">
        <v>1097</v>
      </c>
      <c r="E9" s="1066">
        <f>C9+D9</f>
        <v>4268728.0999999996</v>
      </c>
      <c r="F9" s="1067">
        <f>E9+E11</f>
        <v>4305473.8</v>
      </c>
      <c r="G9" s="511">
        <f>E11/F9</f>
        <v>8.5346472204754793E-3</v>
      </c>
      <c r="H9" s="1063"/>
      <c r="I9" s="1068">
        <f>SUMIF(_12MonResults_RateClass,MiscData!$U$11,_12MonResults_Demand_Measured_kW_I)</f>
        <v>3764329</v>
      </c>
      <c r="J9" s="1065">
        <f>I9*(1-G9)</f>
        <v>3732201.7799631949</v>
      </c>
      <c r="K9" s="1067">
        <f>I9-J9</f>
        <v>32127.220036805142</v>
      </c>
      <c r="N9" s="755"/>
      <c r="O9" s="600"/>
      <c r="P9" s="527"/>
      <c r="Q9" s="527"/>
      <c r="S9" s="487"/>
    </row>
    <row r="10" spans="1:19" ht="12.75">
      <c r="A10" s="1063"/>
      <c r="B10" s="511" t="s">
        <v>1569</v>
      </c>
      <c r="C10" s="1064">
        <v>2999741.9</v>
      </c>
      <c r="D10" s="1065">
        <v>515.4</v>
      </c>
      <c r="E10" s="1066">
        <f>C10+D10</f>
        <v>3000257.3</v>
      </c>
      <c r="F10" s="1067">
        <f>E10+E12</f>
        <v>3029942.6999999997</v>
      </c>
      <c r="G10" s="511">
        <f>E12/F10</f>
        <v>9.7973469927335605E-3</v>
      </c>
      <c r="H10" s="1069"/>
      <c r="I10" s="1070">
        <f>SUMIF(_12MonResults_RateClass,MiscData!$U$11,_12MonResults_Demand_Measured_kW_P)</f>
        <v>3212980</v>
      </c>
      <c r="J10" s="1065">
        <f>I10*(1-G10)</f>
        <v>3181501.3200592869</v>
      </c>
      <c r="K10" s="1067">
        <f>I10-J10</f>
        <v>31478.679940713104</v>
      </c>
      <c r="N10" s="755"/>
      <c r="O10" s="600"/>
      <c r="P10" s="527"/>
      <c r="Q10" s="527"/>
      <c r="S10" s="487"/>
    </row>
    <row r="11" spans="1:19">
      <c r="A11" s="1063"/>
      <c r="B11" s="511" t="s">
        <v>1570</v>
      </c>
      <c r="C11" s="1065">
        <v>36745.699999999997</v>
      </c>
      <c r="D11" s="1065"/>
      <c r="E11" s="1066">
        <f t="shared" ref="E11:E12" si="0">C11+D11</f>
        <v>36745.699999999997</v>
      </c>
      <c r="F11" s="1055"/>
      <c r="G11" s="511"/>
      <c r="H11" s="511"/>
      <c r="I11" s="511"/>
      <c r="J11" s="511"/>
      <c r="K11" s="1055"/>
      <c r="N11" s="600"/>
      <c r="O11" s="600"/>
      <c r="P11" s="527"/>
      <c r="Q11" s="601"/>
      <c r="R11" s="601"/>
      <c r="S11" s="487"/>
    </row>
    <row r="12" spans="1:19">
      <c r="A12" s="1069"/>
      <c r="B12" s="1071" t="s">
        <v>1571</v>
      </c>
      <c r="C12" s="1072">
        <v>29685.4</v>
      </c>
      <c r="D12" s="1072"/>
      <c r="E12" s="1073">
        <f t="shared" si="0"/>
        <v>29685.4</v>
      </c>
      <c r="F12" s="1074"/>
      <c r="G12" s="511"/>
      <c r="H12" s="511"/>
      <c r="I12" s="511"/>
      <c r="J12" s="511"/>
      <c r="K12" s="1055"/>
      <c r="N12" s="600"/>
      <c r="O12" s="600"/>
      <c r="P12" s="527"/>
      <c r="Q12" s="601"/>
      <c r="R12" s="601"/>
      <c r="S12" s="487"/>
    </row>
    <row r="13" spans="1:19">
      <c r="A13" s="1063"/>
      <c r="B13" s="511"/>
      <c r="C13" s="511"/>
      <c r="D13" s="511"/>
      <c r="E13" s="511"/>
      <c r="F13" s="511"/>
      <c r="G13" s="511"/>
      <c r="H13" s="511"/>
      <c r="I13" s="511"/>
      <c r="J13" s="511"/>
      <c r="K13" s="1055"/>
      <c r="Q13" s="601"/>
      <c r="R13" s="601"/>
      <c r="S13" s="487"/>
    </row>
    <row r="14" spans="1:19">
      <c r="A14" s="1075" t="s">
        <v>1572</v>
      </c>
      <c r="B14" s="511"/>
      <c r="C14" s="1065"/>
      <c r="D14" s="1065"/>
      <c r="E14" s="1066"/>
      <c r="F14" s="511"/>
      <c r="G14" s="511"/>
      <c r="H14" s="807"/>
      <c r="I14" s="807"/>
      <c r="J14" s="807"/>
      <c r="K14" s="1076"/>
      <c r="L14" s="601"/>
      <c r="Q14" s="601"/>
      <c r="R14" s="601"/>
    </row>
    <row r="15" spans="1:19" ht="36">
      <c r="A15" s="1077"/>
      <c r="B15" s="1078" t="s">
        <v>1573</v>
      </c>
      <c r="C15" s="1079" t="s">
        <v>450</v>
      </c>
      <c r="D15" s="1080" t="s">
        <v>1574</v>
      </c>
      <c r="E15" s="1079" t="s">
        <v>1575</v>
      </c>
      <c r="F15" s="1079" t="s">
        <v>1576</v>
      </c>
      <c r="G15" s="511"/>
      <c r="H15" s="807"/>
      <c r="I15" s="807"/>
      <c r="J15" s="807"/>
      <c r="K15" s="1076"/>
      <c r="N15" s="601"/>
      <c r="O15" s="601"/>
      <c r="P15" s="601"/>
      <c r="Q15" s="601"/>
      <c r="R15" s="601"/>
      <c r="S15" s="487"/>
    </row>
    <row r="16" spans="1:19">
      <c r="A16" s="1063"/>
      <c r="B16" s="511"/>
      <c r="C16" s="1058" t="s">
        <v>1577</v>
      </c>
      <c r="D16" s="1058" t="s">
        <v>1578</v>
      </c>
      <c r="E16" s="511"/>
      <c r="F16" s="511"/>
      <c r="G16" s="511"/>
      <c r="H16" s="511"/>
      <c r="I16" s="511"/>
      <c r="J16" s="511"/>
      <c r="K16" s="1055"/>
      <c r="N16" s="601"/>
      <c r="O16" s="601"/>
      <c r="P16" s="601"/>
      <c r="Q16" s="601"/>
      <c r="R16" s="601"/>
      <c r="S16" s="487"/>
    </row>
    <row r="17" spans="1:20">
      <c r="A17" s="1063" t="s">
        <v>810</v>
      </c>
      <c r="B17" s="807">
        <f>Rates!$P$194</f>
        <v>13.2</v>
      </c>
      <c r="C17" s="807">
        <f>B17*J9</f>
        <v>49265063.495514169</v>
      </c>
      <c r="D17" s="807">
        <f>B17*K9</f>
        <v>424079.30448582786</v>
      </c>
      <c r="E17" s="507">
        <f>C17+D17</f>
        <v>49689142.799999997</v>
      </c>
      <c r="F17" s="807"/>
      <c r="G17" s="511"/>
      <c r="H17" s="511"/>
      <c r="I17" s="511"/>
      <c r="J17" s="511"/>
      <c r="K17" s="1055"/>
      <c r="N17" s="601"/>
      <c r="O17" s="601"/>
      <c r="P17" s="601"/>
      <c r="Q17" s="601"/>
      <c r="R17" s="601"/>
      <c r="S17" s="487"/>
    </row>
    <row r="18" spans="1:20" ht="14.25">
      <c r="A18" s="1063" t="s">
        <v>809</v>
      </c>
      <c r="B18" s="807">
        <f>Rates!$Q$194</f>
        <v>15.3</v>
      </c>
      <c r="C18" s="807">
        <f>B18*J10</f>
        <v>48676970.196907088</v>
      </c>
      <c r="D18" s="807">
        <f>B18*K10</f>
        <v>481623.8030929105</v>
      </c>
      <c r="E18" s="1081">
        <f>C18+D18</f>
        <v>49158594</v>
      </c>
      <c r="F18" s="511"/>
      <c r="G18" s="511"/>
      <c r="H18" s="511"/>
      <c r="I18" s="511"/>
      <c r="J18" s="511"/>
      <c r="K18" s="1055"/>
      <c r="N18" s="601"/>
      <c r="O18" s="601"/>
      <c r="P18" s="601"/>
      <c r="Q18" s="601"/>
      <c r="R18" s="601"/>
      <c r="S18" s="487"/>
    </row>
    <row r="19" spans="1:20">
      <c r="A19" s="1069"/>
      <c r="B19" s="1082"/>
      <c r="C19" s="1082"/>
      <c r="D19" s="1082"/>
      <c r="E19" s="1083">
        <f>SUM(E17:E18)</f>
        <v>98847736.799999997</v>
      </c>
      <c r="F19" s="1082">
        <f>SUMIF(_SBR_Rate_Category,MiscData!$W$6,_SBR_Demand_Revenue)+SUMIF(_SBR_Rate_Category,MiscData!$W$9,_SBR_Demand_Revenue)</f>
        <v>98847760</v>
      </c>
      <c r="G19" s="1071"/>
      <c r="H19" s="1071"/>
      <c r="I19" s="1071"/>
      <c r="J19" s="1071"/>
      <c r="K19" s="1074"/>
      <c r="N19" s="601"/>
      <c r="O19" s="601"/>
      <c r="P19" s="601"/>
      <c r="Q19" s="601"/>
      <c r="R19" s="601"/>
      <c r="S19" s="487"/>
    </row>
    <row r="20" spans="1:20">
      <c r="A20" s="511"/>
      <c r="B20" s="511"/>
      <c r="C20" s="807"/>
      <c r="D20" s="807"/>
      <c r="E20" s="807"/>
      <c r="F20" s="507"/>
      <c r="G20" s="511"/>
      <c r="H20" s="511"/>
      <c r="I20" s="511"/>
      <c r="J20" s="511"/>
      <c r="K20" s="511"/>
      <c r="N20" s="601"/>
      <c r="O20" s="601"/>
      <c r="P20" s="601"/>
      <c r="Q20" s="601"/>
      <c r="R20" s="601"/>
      <c r="S20" s="487"/>
    </row>
    <row r="21" spans="1:20">
      <c r="A21" s="511"/>
      <c r="B21" s="511"/>
      <c r="C21" s="807"/>
      <c r="D21" s="807"/>
      <c r="E21" s="807"/>
      <c r="F21" s="507"/>
      <c r="G21" s="511"/>
      <c r="H21" s="511"/>
      <c r="I21" s="511"/>
      <c r="J21" s="511"/>
      <c r="K21" s="511"/>
      <c r="N21" s="601"/>
      <c r="O21" s="601"/>
      <c r="P21" s="601"/>
      <c r="Q21" s="601"/>
      <c r="R21" s="601"/>
      <c r="S21" s="487"/>
    </row>
    <row r="22" spans="1:20">
      <c r="A22" s="511"/>
      <c r="B22" s="511"/>
      <c r="C22" s="807"/>
      <c r="D22" s="807"/>
      <c r="E22" s="807"/>
      <c r="F22" s="507"/>
      <c r="G22" s="511"/>
      <c r="H22" s="511"/>
      <c r="I22" s="511"/>
      <c r="J22" s="511"/>
      <c r="K22" s="511"/>
      <c r="N22" s="601"/>
      <c r="O22" s="601"/>
      <c r="P22" s="601"/>
      <c r="Q22" s="601"/>
      <c r="R22" s="601"/>
      <c r="S22" s="487"/>
    </row>
    <row r="23" spans="1:20">
      <c r="A23" s="1084"/>
      <c r="B23" s="1085"/>
      <c r="C23" s="1047">
        <v>-1</v>
      </c>
      <c r="D23" s="1048">
        <f>C23-1</f>
        <v>-2</v>
      </c>
      <c r="E23" s="1048">
        <f>D23-1</f>
        <v>-3</v>
      </c>
      <c r="F23" s="1048">
        <f>E23-1</f>
        <v>-4</v>
      </c>
      <c r="G23" s="1048">
        <f>F23-1</f>
        <v>-5</v>
      </c>
      <c r="H23" s="1048"/>
      <c r="I23" s="1048">
        <f>G23-1</f>
        <v>-6</v>
      </c>
      <c r="J23" s="1048">
        <f>I23-1</f>
        <v>-7</v>
      </c>
      <c r="K23" s="1049">
        <f>J23-1</f>
        <v>-8</v>
      </c>
      <c r="M23" s="601"/>
      <c r="N23" s="601"/>
      <c r="O23" s="487"/>
      <c r="P23" s="601"/>
      <c r="Q23" s="601"/>
      <c r="R23" s="1086"/>
      <c r="S23" s="487"/>
    </row>
    <row r="24" spans="1:20" ht="48.75" customHeight="1">
      <c r="A24" s="1316" t="s">
        <v>1579</v>
      </c>
      <c r="B24" s="1317"/>
      <c r="C24" s="1050" t="s">
        <v>926</v>
      </c>
      <c r="D24" s="1051"/>
      <c r="E24" s="1051" t="s">
        <v>1580</v>
      </c>
      <c r="F24" s="1052" t="s">
        <v>1556</v>
      </c>
      <c r="G24" s="1087" t="s">
        <v>1557</v>
      </c>
      <c r="H24" s="1088" t="s">
        <v>1581</v>
      </c>
      <c r="I24" s="1131" t="s">
        <v>1479</v>
      </c>
      <c r="J24" s="1089" t="s">
        <v>1559</v>
      </c>
      <c r="K24" s="1090" t="s">
        <v>1560</v>
      </c>
      <c r="L24" s="1063"/>
      <c r="O24" s="1039"/>
      <c r="P24" s="1039"/>
      <c r="Q24" s="1039"/>
    </row>
    <row r="25" spans="1:20">
      <c r="A25" s="1091"/>
      <c r="B25" s="1092"/>
      <c r="C25" s="1058" t="s">
        <v>1561</v>
      </c>
      <c r="D25" s="1058"/>
      <c r="E25" s="1058" t="s">
        <v>1562</v>
      </c>
      <c r="F25" s="1059" t="s">
        <v>1563</v>
      </c>
      <c r="G25" s="1058" t="s">
        <v>1564</v>
      </c>
      <c r="H25" s="1060"/>
      <c r="I25" s="1059" t="s">
        <v>1565</v>
      </c>
      <c r="J25" s="1061" t="s">
        <v>1566</v>
      </c>
      <c r="K25" s="1061" t="s">
        <v>1567</v>
      </c>
      <c r="L25" s="1063"/>
      <c r="O25" s="1039"/>
      <c r="P25" s="1039"/>
      <c r="Q25" s="1039"/>
    </row>
    <row r="26" spans="1:20" ht="12.75">
      <c r="A26" s="1093"/>
      <c r="B26" s="511" t="s">
        <v>1568</v>
      </c>
      <c r="C26" s="1064">
        <v>513141.43</v>
      </c>
      <c r="D26" s="1065"/>
      <c r="E26" s="1066">
        <f>C26+D26</f>
        <v>513141.43</v>
      </c>
      <c r="F26" s="1067">
        <f>E26+E28</f>
        <v>519464.33</v>
      </c>
      <c r="G26" s="511">
        <f>E28/F26</f>
        <v>1.2171961836147632E-2</v>
      </c>
      <c r="H26" s="1063"/>
      <c r="I26" s="1068">
        <f>SUMIF(_12MonResults_RateClass,MiscData!$U$10,_12MonResults_Demand_Measured_kW_I)</f>
        <v>383909</v>
      </c>
      <c r="J26" s="1065">
        <f>I26*(1-G26)</f>
        <v>379236.0743034464</v>
      </c>
      <c r="K26" s="1066">
        <f>I26-J26</f>
        <v>4672.9256965536042</v>
      </c>
      <c r="L26" s="1063"/>
      <c r="O26" s="755"/>
      <c r="P26" s="600"/>
      <c r="Q26" s="527"/>
      <c r="R26" s="527"/>
      <c r="T26" s="487"/>
    </row>
    <row r="27" spans="1:20" ht="12.75">
      <c r="A27" s="1063"/>
      <c r="B27" s="511" t="s">
        <v>1569</v>
      </c>
      <c r="C27" s="1064">
        <v>337130.11</v>
      </c>
      <c r="D27" s="1065"/>
      <c r="E27" s="1066">
        <f t="shared" ref="E27:E29" si="1">C27+D27</f>
        <v>337130.11</v>
      </c>
      <c r="F27" s="1067">
        <f>E27+E29</f>
        <v>341984.01</v>
      </c>
      <c r="G27" s="511">
        <f>E29/F27</f>
        <v>1.4193353660014688E-2</v>
      </c>
      <c r="H27" s="1069"/>
      <c r="I27" s="1070">
        <f>SUMIF(_12MonResults_RateClass,MiscData!$U$10,_12MonResults_Demand_Measured_kW_P)</f>
        <v>298745</v>
      </c>
      <c r="J27" s="1065">
        <f>I27*(1-G27)</f>
        <v>294504.80656083889</v>
      </c>
      <c r="K27" s="1066">
        <f>I27-J27</f>
        <v>4240.1934391611139</v>
      </c>
      <c r="L27" s="1063"/>
      <c r="O27" s="755"/>
      <c r="P27" s="600"/>
      <c r="Q27" s="527"/>
      <c r="R27" s="527"/>
      <c r="T27" s="487"/>
    </row>
    <row r="28" spans="1:20">
      <c r="A28" s="1063"/>
      <c r="B28" s="511" t="s">
        <v>1570</v>
      </c>
      <c r="C28" s="1065">
        <v>6322.9</v>
      </c>
      <c r="D28" s="1065"/>
      <c r="E28" s="1066">
        <f t="shared" si="1"/>
        <v>6322.9</v>
      </c>
      <c r="F28" s="1055"/>
      <c r="G28" s="511"/>
      <c r="H28" s="511"/>
      <c r="I28" s="511"/>
      <c r="J28" s="511"/>
      <c r="K28" s="511"/>
      <c r="L28" s="1063"/>
      <c r="O28" s="600"/>
      <c r="P28" s="600"/>
      <c r="Q28" s="527"/>
      <c r="R28" s="601"/>
      <c r="S28" s="601"/>
      <c r="T28" s="487"/>
    </row>
    <row r="29" spans="1:20">
      <c r="A29" s="1069"/>
      <c r="B29" s="1071" t="s">
        <v>1571</v>
      </c>
      <c r="C29" s="1072">
        <v>4853.8999999999996</v>
      </c>
      <c r="D29" s="1072"/>
      <c r="E29" s="1073">
        <f t="shared" si="1"/>
        <v>4853.8999999999996</v>
      </c>
      <c r="F29" s="1074"/>
      <c r="G29" s="511"/>
      <c r="H29" s="511"/>
      <c r="I29" s="511"/>
      <c r="J29" s="511"/>
      <c r="K29" s="511"/>
      <c r="L29" s="1063"/>
      <c r="O29" s="600"/>
      <c r="P29" s="600"/>
      <c r="Q29" s="527"/>
      <c r="R29" s="601"/>
      <c r="S29" s="601"/>
      <c r="T29" s="487"/>
    </row>
    <row r="30" spans="1:20">
      <c r="A30" s="1063"/>
      <c r="B30" s="511"/>
      <c r="C30" s="511"/>
      <c r="D30" s="511"/>
      <c r="E30" s="511"/>
      <c r="F30" s="511"/>
      <c r="G30" s="511"/>
      <c r="H30" s="511"/>
      <c r="I30" s="511"/>
      <c r="J30" s="511"/>
      <c r="K30" s="511"/>
      <c r="L30" s="1063"/>
      <c r="R30" s="601"/>
      <c r="S30" s="601"/>
      <c r="T30" s="487"/>
    </row>
    <row r="31" spans="1:20">
      <c r="A31" s="1075" t="s">
        <v>1572</v>
      </c>
      <c r="B31" s="511"/>
      <c r="C31" s="1065"/>
      <c r="D31" s="1065"/>
      <c r="E31" s="1066"/>
      <c r="F31" s="511"/>
      <c r="G31" s="511"/>
      <c r="H31" s="511"/>
      <c r="I31" s="511"/>
      <c r="J31" s="511"/>
      <c r="K31" s="511"/>
      <c r="L31" s="1063"/>
      <c r="R31" s="601"/>
      <c r="S31" s="601"/>
      <c r="T31" s="487"/>
    </row>
    <row r="32" spans="1:20" ht="36">
      <c r="A32" s="1077"/>
      <c r="B32" s="1078" t="s">
        <v>1573</v>
      </c>
      <c r="C32" s="1079" t="s">
        <v>450</v>
      </c>
      <c r="D32" s="1080" t="s">
        <v>1574</v>
      </c>
      <c r="E32" s="1079" t="s">
        <v>1575</v>
      </c>
      <c r="F32" s="1079" t="s">
        <v>1576</v>
      </c>
      <c r="G32" s="511"/>
      <c r="H32" s="511"/>
      <c r="I32" s="807"/>
      <c r="J32" s="807"/>
      <c r="K32" s="807"/>
      <c r="L32" s="1094"/>
      <c r="M32" s="601"/>
      <c r="R32" s="601"/>
      <c r="S32" s="601"/>
    </row>
    <row r="33" spans="1:20">
      <c r="A33" s="1063"/>
      <c r="B33" s="511"/>
      <c r="C33" s="1058" t="s">
        <v>1577</v>
      </c>
      <c r="D33" s="1058" t="s">
        <v>1578</v>
      </c>
      <c r="E33" s="511"/>
      <c r="F33" s="511"/>
      <c r="G33" s="511"/>
      <c r="H33" s="511"/>
      <c r="I33" s="807"/>
      <c r="J33" s="807"/>
      <c r="K33" s="807"/>
      <c r="L33" s="1094"/>
      <c r="O33" s="601"/>
      <c r="P33" s="601"/>
      <c r="Q33" s="601"/>
      <c r="R33" s="601"/>
      <c r="S33" s="601"/>
      <c r="T33" s="487"/>
    </row>
    <row r="34" spans="1:20">
      <c r="A34" s="1063" t="s">
        <v>810</v>
      </c>
      <c r="B34" s="807">
        <f>Rates!$P$192</f>
        <v>13.18</v>
      </c>
      <c r="C34" s="807">
        <f>B34*J26</f>
        <v>4998331.459319423</v>
      </c>
      <c r="D34" s="807">
        <f>B34*K26</f>
        <v>61589.160680576504</v>
      </c>
      <c r="E34" s="507">
        <f>C34+D34</f>
        <v>5059920.6199999992</v>
      </c>
      <c r="F34" s="807"/>
      <c r="G34" s="511"/>
      <c r="H34" s="511"/>
      <c r="I34" s="511"/>
      <c r="J34" s="511"/>
      <c r="K34" s="511"/>
      <c r="L34" s="1063"/>
      <c r="O34" s="601"/>
      <c r="P34" s="601"/>
      <c r="Q34" s="601"/>
      <c r="R34" s="601"/>
      <c r="S34" s="601"/>
      <c r="T34" s="487"/>
    </row>
    <row r="35" spans="1:20" ht="14.25">
      <c r="A35" s="1063" t="s">
        <v>809</v>
      </c>
      <c r="B35" s="807">
        <f>Rates!$Q$192</f>
        <v>15.28</v>
      </c>
      <c r="C35" s="807">
        <f>B35*J27</f>
        <v>4500033.4442496179</v>
      </c>
      <c r="D35" s="807">
        <f>B35*K27</f>
        <v>64790.155750381819</v>
      </c>
      <c r="E35" s="1081">
        <f t="shared" ref="E35" si="2">C35+D35</f>
        <v>4564823.5999999996</v>
      </c>
      <c r="F35" s="511"/>
      <c r="G35" s="511"/>
      <c r="H35" s="511"/>
      <c r="I35" s="807"/>
      <c r="J35" s="511"/>
      <c r="K35" s="511"/>
      <c r="L35" s="1063"/>
      <c r="N35" s="601"/>
      <c r="O35" s="601"/>
      <c r="P35" s="601"/>
      <c r="Q35" s="601"/>
      <c r="R35" s="601"/>
      <c r="S35" s="487"/>
    </row>
    <row r="36" spans="1:20">
      <c r="A36" s="1069"/>
      <c r="B36" s="1082"/>
      <c r="C36" s="1082"/>
      <c r="D36" s="1082"/>
      <c r="E36" s="1083">
        <f>SUM(E34:E35)</f>
        <v>9624744.2199999988</v>
      </c>
      <c r="F36" s="1082">
        <f>SUMIF(_SBR_Rate_Category,MiscData!$W$5,_SBR_Demand_Revenue)+SUMIF(_SBR_Rate_Category,MiscData!$W$8,_SBR_Demand_Revenue)</f>
        <v>9624740</v>
      </c>
      <c r="G36" s="1071"/>
      <c r="H36" s="1071"/>
      <c r="I36" s="1082"/>
      <c r="J36" s="1071"/>
      <c r="K36" s="1071"/>
      <c r="L36" s="1063"/>
      <c r="M36" s="601"/>
      <c r="N36" s="601"/>
      <c r="O36" s="487"/>
      <c r="P36" s="601"/>
      <c r="Q36" s="601"/>
      <c r="R36" s="1086"/>
      <c r="S36" s="487"/>
    </row>
    <row r="37" spans="1:20">
      <c r="A37" s="1063"/>
      <c r="B37" s="807"/>
      <c r="C37" s="807"/>
      <c r="D37" s="807"/>
      <c r="E37" s="507"/>
      <c r="F37" s="807"/>
      <c r="I37" s="601"/>
      <c r="M37" s="601"/>
      <c r="N37" s="601"/>
      <c r="O37" s="487"/>
      <c r="P37" s="601"/>
      <c r="Q37" s="601"/>
      <c r="R37" s="1086"/>
      <c r="S37" s="487"/>
    </row>
    <row r="38" spans="1:20">
      <c r="A38" s="1063"/>
      <c r="B38" s="807"/>
      <c r="C38" s="807"/>
      <c r="D38" s="807"/>
      <c r="E38" s="507"/>
      <c r="F38" s="807"/>
      <c r="I38" s="601"/>
      <c r="M38" s="601"/>
      <c r="N38" s="601"/>
      <c r="O38" s="487"/>
      <c r="P38" s="601"/>
      <c r="Q38" s="601"/>
      <c r="R38" s="1086"/>
      <c r="S38" s="487"/>
    </row>
    <row r="39" spans="1:20">
      <c r="A39" s="1045"/>
      <c r="B39" s="1046"/>
      <c r="C39" s="1047">
        <v>-1</v>
      </c>
      <c r="D39" s="1048">
        <f>C39-1</f>
        <v>-2</v>
      </c>
      <c r="E39" s="1048">
        <f>D39-1</f>
        <v>-3</v>
      </c>
      <c r="F39" s="1048">
        <f>E39-1</f>
        <v>-4</v>
      </c>
      <c r="G39" s="1048">
        <f>F39-1</f>
        <v>-5</v>
      </c>
      <c r="H39" s="1048"/>
      <c r="I39" s="1048">
        <f>G39-1</f>
        <v>-6</v>
      </c>
      <c r="J39" s="1048">
        <f>I39-1</f>
        <v>-7</v>
      </c>
      <c r="K39" s="1049">
        <f>J39-1</f>
        <v>-8</v>
      </c>
      <c r="L39" s="1095"/>
      <c r="M39" s="1096"/>
      <c r="N39" s="601"/>
      <c r="O39" s="601"/>
      <c r="P39" s="487"/>
      <c r="Q39" s="601"/>
      <c r="R39" s="601"/>
      <c r="S39" s="1086"/>
      <c r="T39" s="487"/>
    </row>
    <row r="40" spans="1:20" ht="36">
      <c r="A40" s="1316" t="s">
        <v>1582</v>
      </c>
      <c r="B40" s="1317"/>
      <c r="C40" s="1050" t="s">
        <v>1626</v>
      </c>
      <c r="D40" s="1051"/>
      <c r="E40" s="1051" t="s">
        <v>1583</v>
      </c>
      <c r="F40" s="1052" t="s">
        <v>1556</v>
      </c>
      <c r="G40" s="511" t="s">
        <v>1557</v>
      </c>
      <c r="H40" s="1053" t="s">
        <v>1584</v>
      </c>
      <c r="I40" s="1131" t="s">
        <v>1479</v>
      </c>
      <c r="J40" s="1054" t="s">
        <v>1559</v>
      </c>
      <c r="K40" s="1090" t="s">
        <v>1560</v>
      </c>
      <c r="L40" s="1063"/>
      <c r="M40" s="511"/>
      <c r="N40" s="601"/>
      <c r="O40" s="601"/>
      <c r="Q40" s="601"/>
      <c r="R40" s="601"/>
      <c r="S40" s="601"/>
    </row>
    <row r="41" spans="1:20" ht="15">
      <c r="A41" s="1056"/>
      <c r="B41" s="511"/>
      <c r="C41" s="1058" t="s">
        <v>1561</v>
      </c>
      <c r="D41" s="1058"/>
      <c r="E41" s="1097" t="s">
        <v>1562</v>
      </c>
      <c r="F41" s="1098" t="s">
        <v>1563</v>
      </c>
      <c r="G41" s="1097" t="s">
        <v>1585</v>
      </c>
      <c r="H41" s="1099"/>
      <c r="I41" s="1059" t="s">
        <v>1565</v>
      </c>
      <c r="J41" s="1080" t="s">
        <v>1566</v>
      </c>
      <c r="K41" s="1100" t="s">
        <v>1567</v>
      </c>
      <c r="L41" s="1063"/>
      <c r="M41" s="511"/>
      <c r="N41" s="601"/>
      <c r="O41" s="601"/>
      <c r="Q41" s="601"/>
      <c r="R41" s="601"/>
      <c r="S41" s="601"/>
    </row>
    <row r="42" spans="1:20" ht="12.75">
      <c r="A42" s="1063"/>
      <c r="B42" s="511" t="s">
        <v>1586</v>
      </c>
      <c r="C42" s="1065">
        <v>2910726.5</v>
      </c>
      <c r="D42" s="1065"/>
      <c r="E42" s="1066">
        <f t="shared" ref="E42:E47" si="3">C42+D42</f>
        <v>2910726.5</v>
      </c>
      <c r="F42" s="1067">
        <f>E42+E45</f>
        <v>2996062.9</v>
      </c>
      <c r="G42" s="511">
        <f>E45/F42</f>
        <v>2.848284660512301E-2</v>
      </c>
      <c r="H42" s="1063"/>
      <c r="I42" s="1068">
        <f>SUMIF(_12MonResults_RateClass,MiscData!$U$12,_12MonResults_Demand_Measured_kW_B)</f>
        <v>3966999</v>
      </c>
      <c r="J42" s="1065">
        <f>I42*(1-G42)</f>
        <v>3854007.5760003235</v>
      </c>
      <c r="K42" s="1067">
        <f>I42-J42</f>
        <v>112991.42399967648</v>
      </c>
      <c r="L42" s="1063"/>
      <c r="M42" s="511"/>
      <c r="N42" s="601"/>
      <c r="O42" s="601"/>
      <c r="P42" s="487"/>
      <c r="Q42" s="601"/>
      <c r="R42" s="601"/>
      <c r="S42" s="1086"/>
      <c r="T42" s="487"/>
    </row>
    <row r="43" spans="1:20" ht="12.75">
      <c r="A43" s="1063"/>
      <c r="B43" s="511" t="s">
        <v>1587</v>
      </c>
      <c r="C43" s="1065">
        <v>2681106.0499999998</v>
      </c>
      <c r="D43" s="1065"/>
      <c r="E43" s="1066">
        <f t="shared" si="3"/>
        <v>2681106.0499999998</v>
      </c>
      <c r="F43" s="1067">
        <f t="shared" ref="F43:F44" si="4">E43+E46</f>
        <v>2780307.3499999996</v>
      </c>
      <c r="G43" s="511">
        <f>E46/F43</f>
        <v>3.5679976172418498E-2</v>
      </c>
      <c r="H43" s="1063"/>
      <c r="I43" s="1068">
        <f>SUMIF(_12MonResults_RateClass,MiscData!$U$12,_12MonResults_Demand_Measured_kW_I)</f>
        <v>3653519</v>
      </c>
      <c r="J43" s="1065">
        <f>I43*(1-G43)</f>
        <v>3523161.5291345217</v>
      </c>
      <c r="K43" s="1067">
        <f t="shared" ref="K43:K44" si="5">I43-J43</f>
        <v>130357.47086547827</v>
      </c>
      <c r="L43" s="1063"/>
      <c r="M43" s="511"/>
      <c r="N43" s="601"/>
      <c r="O43" s="601"/>
      <c r="P43" s="487"/>
      <c r="Q43" s="601"/>
      <c r="R43" s="601"/>
      <c r="S43" s="1086"/>
      <c r="T43" s="487"/>
    </row>
    <row r="44" spans="1:20" ht="12.75">
      <c r="A44" s="1063"/>
      <c r="B44" s="511" t="s">
        <v>1588</v>
      </c>
      <c r="C44" s="1065">
        <v>2624069.2999999998</v>
      </c>
      <c r="D44" s="1065"/>
      <c r="E44" s="1066">
        <f t="shared" si="3"/>
        <v>2624069.2999999998</v>
      </c>
      <c r="F44" s="1067">
        <f t="shared" si="4"/>
        <v>2722876.5</v>
      </c>
      <c r="G44" s="511">
        <f>E47/F44</f>
        <v>3.6287800787145504E-2</v>
      </c>
      <c r="H44" s="1069"/>
      <c r="I44" s="1070">
        <f>SUMIF(_12MonResults_RateClass,MiscData!$U$12,_12MonResults_Demand_Measured_kW_P)</f>
        <v>3576526</v>
      </c>
      <c r="J44" s="1065">
        <f>I44*(1-G44)</f>
        <v>3446741.7370019536</v>
      </c>
      <c r="K44" s="1067">
        <f t="shared" si="5"/>
        <v>129784.26299804635</v>
      </c>
      <c r="L44" s="1063"/>
      <c r="M44" s="511"/>
      <c r="N44" s="601"/>
      <c r="O44" s="601"/>
      <c r="Q44" s="601"/>
      <c r="R44" s="601"/>
      <c r="S44" s="601"/>
    </row>
    <row r="45" spans="1:20">
      <c r="A45" s="1063"/>
      <c r="B45" s="511" t="s">
        <v>1589</v>
      </c>
      <c r="C45" s="1065">
        <v>85336.4</v>
      </c>
      <c r="D45" s="1065"/>
      <c r="E45" s="1066">
        <f t="shared" si="3"/>
        <v>85336.4</v>
      </c>
      <c r="F45" s="1055"/>
      <c r="G45" s="1065"/>
      <c r="H45" s="1065"/>
      <c r="I45" s="511"/>
      <c r="J45" s="511"/>
      <c r="K45" s="1055"/>
      <c r="L45" s="1063"/>
      <c r="M45" s="511"/>
      <c r="N45" s="601"/>
      <c r="O45" s="601"/>
      <c r="P45" s="487"/>
      <c r="Q45" s="601"/>
      <c r="R45" s="601"/>
      <c r="S45" s="1086"/>
      <c r="T45" s="487"/>
    </row>
    <row r="46" spans="1:20">
      <c r="A46" s="1063"/>
      <c r="B46" s="511" t="s">
        <v>1590</v>
      </c>
      <c r="C46" s="1065">
        <v>99201.3</v>
      </c>
      <c r="D46" s="1065"/>
      <c r="E46" s="1066">
        <f t="shared" si="3"/>
        <v>99201.3</v>
      </c>
      <c r="F46" s="1067"/>
      <c r="G46" s="511"/>
      <c r="H46" s="511"/>
      <c r="I46" s="511"/>
      <c r="J46" s="511"/>
      <c r="K46" s="1055"/>
    </row>
    <row r="47" spans="1:20">
      <c r="A47" s="1069"/>
      <c r="B47" s="1071" t="s">
        <v>1591</v>
      </c>
      <c r="C47" s="1072">
        <v>98807.2</v>
      </c>
      <c r="D47" s="1072"/>
      <c r="E47" s="1073">
        <f t="shared" si="3"/>
        <v>98807.2</v>
      </c>
      <c r="F47" s="1074"/>
      <c r="G47" s="511"/>
      <c r="H47" s="511"/>
      <c r="I47" s="511"/>
      <c r="J47" s="511"/>
      <c r="K47" s="1055"/>
      <c r="O47" s="435"/>
      <c r="P47" s="435"/>
      <c r="Q47" s="435"/>
      <c r="R47" s="435"/>
    </row>
    <row r="48" spans="1:20">
      <c r="A48" s="1063"/>
      <c r="B48" s="511"/>
      <c r="C48" s="1065"/>
      <c r="D48" s="1065"/>
      <c r="E48" s="1066"/>
      <c r="F48" s="511"/>
      <c r="G48" s="511"/>
      <c r="H48" s="511"/>
      <c r="I48" s="511"/>
      <c r="J48" s="511"/>
      <c r="K48" s="1055"/>
      <c r="O48" s="435"/>
      <c r="P48" s="435"/>
      <c r="Q48" s="435"/>
      <c r="R48" s="435"/>
    </row>
    <row r="49" spans="1:18">
      <c r="A49" s="1075" t="s">
        <v>1572</v>
      </c>
      <c r="B49" s="511"/>
      <c r="C49" s="1065"/>
      <c r="D49" s="1065"/>
      <c r="E49" s="1066"/>
      <c r="F49" s="511"/>
      <c r="G49" s="511"/>
      <c r="H49" s="511"/>
      <c r="I49" s="511"/>
      <c r="J49" s="511"/>
      <c r="K49" s="1055"/>
      <c r="O49" s="435"/>
      <c r="P49" s="435"/>
      <c r="Q49" s="435"/>
      <c r="R49" s="435"/>
    </row>
    <row r="50" spans="1:18" ht="36">
      <c r="A50" s="1077"/>
      <c r="B50" s="1078" t="s">
        <v>1573</v>
      </c>
      <c r="C50" s="1079" t="s">
        <v>450</v>
      </c>
      <c r="D50" s="1080" t="s">
        <v>1574</v>
      </c>
      <c r="E50" s="1079" t="s">
        <v>1575</v>
      </c>
      <c r="F50" s="1079" t="s">
        <v>1576</v>
      </c>
      <c r="G50" s="511"/>
      <c r="H50" s="511"/>
      <c r="I50" s="511"/>
      <c r="J50" s="511"/>
      <c r="K50" s="1055"/>
      <c r="O50" s="490"/>
      <c r="P50" s="490"/>
      <c r="Q50" s="490"/>
      <c r="R50" s="435"/>
    </row>
    <row r="51" spans="1:18">
      <c r="A51" s="1063"/>
      <c r="B51" s="511"/>
      <c r="C51" s="1058" t="s">
        <v>1577</v>
      </c>
      <c r="D51" s="1058" t="s">
        <v>1578</v>
      </c>
      <c r="E51" s="511"/>
      <c r="F51" s="511"/>
      <c r="G51" s="511"/>
      <c r="H51" s="511"/>
      <c r="I51" s="511"/>
      <c r="J51" s="511"/>
      <c r="K51" s="1055"/>
    </row>
    <row r="52" spans="1:18">
      <c r="A52" s="1063" t="s">
        <v>21</v>
      </c>
      <c r="B52" s="807">
        <f>Rates!$O$199</f>
        <v>3.62</v>
      </c>
      <c r="C52" s="807">
        <f>B52*J42</f>
        <v>13951507.425121171</v>
      </c>
      <c r="D52" s="807">
        <f>B52*K42</f>
        <v>409028.9548788289</v>
      </c>
      <c r="E52" s="507">
        <f>C52+D52</f>
        <v>14360536.380000001</v>
      </c>
      <c r="F52" s="807"/>
      <c r="G52" s="511"/>
      <c r="H52" s="511"/>
      <c r="I52" s="511"/>
      <c r="J52" s="511"/>
      <c r="K52" s="1055"/>
    </row>
    <row r="53" spans="1:18">
      <c r="A53" s="1063" t="s">
        <v>22</v>
      </c>
      <c r="B53" s="807">
        <f>Rates!$P$199</f>
        <v>2.95</v>
      </c>
      <c r="C53" s="807">
        <f>B53*J43</f>
        <v>10393326.51094684</v>
      </c>
      <c r="D53" s="807">
        <f>B53*K43</f>
        <v>384554.53905316093</v>
      </c>
      <c r="E53" s="507">
        <f>C53+D53</f>
        <v>10777881.050000001</v>
      </c>
      <c r="F53" s="511"/>
      <c r="G53" s="511"/>
      <c r="H53" s="511"/>
      <c r="I53" s="511"/>
      <c r="J53" s="511"/>
      <c r="K53" s="1055"/>
    </row>
    <row r="54" spans="1:18" ht="14.25">
      <c r="A54" s="1063" t="s">
        <v>23</v>
      </c>
      <c r="B54" s="807">
        <f>Rates!$Q$199</f>
        <v>4.55</v>
      </c>
      <c r="C54" s="807">
        <f>B54*J44</f>
        <v>15682674.903358888</v>
      </c>
      <c r="D54" s="807">
        <f>B54*K44</f>
        <v>590518.39664111088</v>
      </c>
      <c r="E54" s="1081">
        <f>C54+D54</f>
        <v>16273193.299999999</v>
      </c>
      <c r="F54" s="511"/>
      <c r="G54" s="511"/>
      <c r="H54" s="511"/>
      <c r="I54" s="511"/>
      <c r="J54" s="511"/>
      <c r="K54" s="1055"/>
    </row>
    <row r="55" spans="1:18">
      <c r="A55" s="1069"/>
      <c r="B55" s="1082"/>
      <c r="C55" s="1082"/>
      <c r="D55" s="1082"/>
      <c r="E55" s="1083">
        <f>SUM(E52:E54)</f>
        <v>41411610.729999997</v>
      </c>
      <c r="F55" s="1082">
        <f>SUMIF(_SBR_Rate_Category,MiscData!$W$11,_SBR_Demand_Revenue)</f>
        <v>41411609</v>
      </c>
      <c r="G55" s="1071"/>
      <c r="H55" s="1071"/>
      <c r="I55" s="1071"/>
      <c r="J55" s="1071"/>
      <c r="K55" s="1074"/>
    </row>
    <row r="56" spans="1:18">
      <c r="A56" s="511"/>
      <c r="B56" s="511"/>
      <c r="C56" s="511"/>
      <c r="D56" s="511"/>
      <c r="E56" s="511"/>
      <c r="F56" s="511"/>
      <c r="G56" s="511"/>
      <c r="H56" s="807"/>
      <c r="I56" s="807"/>
      <c r="J56" s="807"/>
      <c r="K56" s="507"/>
      <c r="L56" s="511"/>
    </row>
    <row r="58" spans="1:18">
      <c r="A58" s="1101"/>
      <c r="B58" s="511"/>
      <c r="C58" s="511"/>
      <c r="D58" s="511"/>
      <c r="E58" s="511"/>
      <c r="F58" s="511"/>
      <c r="G58" s="511"/>
      <c r="H58" s="511"/>
      <c r="I58" s="511"/>
      <c r="J58" s="511"/>
      <c r="K58" s="511"/>
    </row>
    <row r="59" spans="1:18">
      <c r="A59" s="511"/>
      <c r="B59" s="1101"/>
      <c r="C59" s="511"/>
      <c r="D59" s="511"/>
      <c r="E59" s="511"/>
      <c r="F59" s="511"/>
      <c r="G59" s="511"/>
      <c r="H59" s="511"/>
      <c r="I59" s="511"/>
      <c r="J59" s="511"/>
      <c r="K59" s="511"/>
    </row>
    <row r="60" spans="1:18">
      <c r="A60" s="511"/>
      <c r="B60" s="1101"/>
      <c r="C60" s="511"/>
      <c r="D60" s="507"/>
      <c r="E60" s="511"/>
      <c r="F60" s="511"/>
      <c r="G60" s="511"/>
      <c r="H60" s="511"/>
      <c r="I60" s="511"/>
      <c r="J60" s="511"/>
      <c r="K60" s="511"/>
    </row>
    <row r="61" spans="1:18">
      <c r="A61" s="511"/>
      <c r="B61" s="1101"/>
      <c r="C61" s="511"/>
      <c r="D61" s="511"/>
      <c r="E61" s="511"/>
      <c r="F61" s="511"/>
      <c r="G61" s="511"/>
      <c r="H61" s="511"/>
      <c r="I61" s="511"/>
      <c r="J61" s="511"/>
      <c r="K61" s="511"/>
    </row>
    <row r="62" spans="1:18">
      <c r="A62" s="511"/>
      <c r="B62" s="1101"/>
      <c r="C62" s="511"/>
      <c r="D62" s="511"/>
      <c r="E62" s="511"/>
      <c r="F62" s="511"/>
      <c r="G62" s="511"/>
      <c r="H62" s="511"/>
      <c r="I62" s="511"/>
      <c r="J62" s="511"/>
      <c r="K62" s="511"/>
    </row>
    <row r="63" spans="1:18">
      <c r="A63" s="511"/>
      <c r="B63" s="511"/>
      <c r="C63" s="511"/>
      <c r="D63" s="511"/>
      <c r="E63" s="511"/>
      <c r="F63" s="511"/>
      <c r="G63" s="511"/>
      <c r="H63" s="511"/>
      <c r="I63" s="511"/>
      <c r="J63" s="511"/>
      <c r="K63" s="511"/>
    </row>
    <row r="64" spans="1:18">
      <c r="A64" s="1101"/>
      <c r="B64" s="511"/>
      <c r="C64" s="511"/>
      <c r="D64" s="511"/>
      <c r="E64" s="511"/>
      <c r="F64" s="511"/>
      <c r="G64" s="511"/>
      <c r="H64" s="511"/>
      <c r="I64" s="511"/>
      <c r="J64" s="511"/>
      <c r="K64" s="511"/>
    </row>
    <row r="65" spans="1:11">
      <c r="A65" s="511"/>
      <c r="B65" s="511"/>
      <c r="C65" s="511"/>
      <c r="D65" s="511"/>
      <c r="E65" s="511"/>
      <c r="F65" s="511"/>
      <c r="G65" s="511"/>
      <c r="H65" s="511"/>
      <c r="I65" s="511"/>
      <c r="J65" s="511"/>
      <c r="K65" s="511"/>
    </row>
    <row r="66" spans="1:11">
      <c r="A66" s="1102"/>
      <c r="B66" s="1102"/>
      <c r="C66" s="1102"/>
      <c r="D66" s="1102"/>
      <c r="E66" s="511"/>
      <c r="F66" s="1103"/>
      <c r="G66" s="1104"/>
      <c r="H66" s="1104"/>
      <c r="I66" s="1104"/>
      <c r="J66" s="1104"/>
      <c r="K66" s="1104"/>
    </row>
    <row r="67" spans="1:11">
      <c r="A67" s="511"/>
      <c r="B67" s="511"/>
      <c r="C67" s="1079"/>
      <c r="D67" s="1079"/>
      <c r="E67" s="1080"/>
      <c r="F67" s="1079"/>
      <c r="G67" s="1079"/>
      <c r="H67" s="1080"/>
      <c r="I67" s="511"/>
      <c r="J67" s="1079"/>
      <c r="K67" s="1079"/>
    </row>
    <row r="68" spans="1:11">
      <c r="A68" s="511"/>
      <c r="B68" s="511"/>
      <c r="C68" s="1105"/>
      <c r="D68" s="1065"/>
      <c r="E68" s="1066"/>
      <c r="F68" s="1106"/>
      <c r="G68" s="1106"/>
      <c r="H68" s="511"/>
      <c r="I68" s="807"/>
      <c r="J68" s="807"/>
      <c r="K68" s="807"/>
    </row>
    <row r="69" spans="1:11">
      <c r="A69" s="511"/>
      <c r="B69" s="511"/>
      <c r="C69" s="1105"/>
      <c r="D69" s="1065"/>
      <c r="E69" s="1066"/>
      <c r="F69" s="1106"/>
      <c r="G69" s="1106"/>
      <c r="H69" s="511"/>
      <c r="I69" s="807"/>
      <c r="J69" s="807"/>
      <c r="K69" s="807"/>
    </row>
    <row r="70" spans="1:11">
      <c r="A70" s="511"/>
      <c r="B70" s="511"/>
      <c r="C70" s="1105"/>
      <c r="D70" s="1065"/>
      <c r="E70" s="1066"/>
      <c r="F70" s="1106"/>
      <c r="G70" s="1106"/>
      <c r="H70" s="511"/>
      <c r="I70" s="807"/>
      <c r="J70" s="807"/>
      <c r="K70" s="807"/>
    </row>
    <row r="71" spans="1:11">
      <c r="A71" s="511"/>
      <c r="B71" s="511"/>
      <c r="C71" s="1105"/>
      <c r="D71" s="1065"/>
      <c r="E71" s="1066"/>
      <c r="F71" s="1106"/>
      <c r="G71" s="1106"/>
      <c r="H71" s="511"/>
      <c r="I71" s="807"/>
      <c r="J71" s="807"/>
      <c r="K71" s="807"/>
    </row>
    <row r="72" spans="1:11">
      <c r="A72" s="511"/>
      <c r="B72" s="511"/>
      <c r="C72" s="1105"/>
      <c r="D72" s="1065"/>
      <c r="E72" s="1066"/>
      <c r="F72" s="1106"/>
      <c r="G72" s="1106"/>
      <c r="H72" s="511"/>
      <c r="I72" s="807"/>
      <c r="J72" s="807"/>
      <c r="K72" s="807"/>
    </row>
    <row r="73" spans="1:11">
      <c r="A73" s="511"/>
      <c r="B73" s="511"/>
      <c r="C73" s="1105"/>
      <c r="D73" s="1065"/>
      <c r="E73" s="1066"/>
      <c r="F73" s="1106"/>
      <c r="G73" s="1106"/>
      <c r="H73" s="511"/>
      <c r="I73" s="807"/>
      <c r="J73" s="807"/>
      <c r="K73" s="807"/>
    </row>
    <row r="74" spans="1:11">
      <c r="A74" s="511"/>
      <c r="B74" s="511"/>
      <c r="C74" s="1105"/>
      <c r="D74" s="1065"/>
      <c r="E74" s="1066"/>
      <c r="F74" s="1106"/>
      <c r="G74" s="1106"/>
      <c r="H74" s="511"/>
      <c r="I74" s="807"/>
      <c r="J74" s="807"/>
      <c r="K74" s="807"/>
    </row>
    <row r="75" spans="1:11">
      <c r="A75" s="511"/>
      <c r="B75" s="511"/>
      <c r="C75" s="1105"/>
      <c r="D75" s="1065"/>
      <c r="E75" s="1066"/>
      <c r="F75" s="1106"/>
      <c r="G75" s="1106"/>
      <c r="H75" s="511"/>
      <c r="I75" s="807"/>
      <c r="J75" s="807"/>
      <c r="K75" s="807"/>
    </row>
    <row r="76" spans="1:11">
      <c r="A76" s="511"/>
      <c r="B76" s="511"/>
      <c r="C76" s="1105"/>
      <c r="D76" s="1065"/>
      <c r="E76" s="1066"/>
      <c r="F76" s="1106"/>
      <c r="G76" s="1106"/>
      <c r="H76" s="511"/>
      <c r="I76" s="807"/>
      <c r="J76" s="807"/>
      <c r="K76" s="807"/>
    </row>
    <row r="77" spans="1:11">
      <c r="A77" s="511"/>
      <c r="B77" s="511"/>
      <c r="C77" s="1105"/>
      <c r="D77" s="1065"/>
      <c r="E77" s="1066"/>
      <c r="F77" s="1106"/>
      <c r="G77" s="1106"/>
      <c r="H77" s="511"/>
      <c r="I77" s="807"/>
      <c r="J77" s="807"/>
      <c r="K77" s="807"/>
    </row>
    <row r="78" spans="1:11">
      <c r="A78" s="511"/>
      <c r="B78" s="511"/>
      <c r="C78" s="1105"/>
      <c r="D78" s="1065"/>
      <c r="E78" s="1066"/>
      <c r="F78" s="1106"/>
      <c r="G78" s="1106"/>
      <c r="H78" s="511"/>
      <c r="I78" s="807"/>
      <c r="J78" s="807"/>
      <c r="K78" s="807"/>
    </row>
    <row r="79" spans="1:11" ht="14.25">
      <c r="A79" s="511"/>
      <c r="B79" s="511"/>
      <c r="C79" s="1105"/>
      <c r="D79" s="1107"/>
      <c r="E79" s="1108"/>
      <c r="F79" s="1106"/>
      <c r="G79" s="1106"/>
      <c r="H79" s="511"/>
      <c r="I79" s="807"/>
      <c r="J79" s="807"/>
      <c r="K79" s="807"/>
    </row>
    <row r="80" spans="1:11">
      <c r="A80" s="511"/>
      <c r="B80" s="511"/>
      <c r="C80" s="511"/>
      <c r="D80" s="1066"/>
      <c r="E80" s="1066"/>
      <c r="F80" s="511"/>
      <c r="G80" s="511"/>
      <c r="H80" s="511"/>
      <c r="I80" s="511"/>
      <c r="J80" s="511"/>
      <c r="K80" s="511"/>
    </row>
    <row r="81" spans="1:11">
      <c r="A81" s="511"/>
      <c r="B81" s="511"/>
      <c r="C81" s="1105"/>
      <c r="D81" s="511"/>
      <c r="E81" s="511"/>
      <c r="F81" s="511"/>
      <c r="G81" s="511"/>
      <c r="H81" s="511"/>
      <c r="I81" s="511"/>
      <c r="J81" s="511"/>
      <c r="K81" s="511"/>
    </row>
    <row r="82" spans="1:11">
      <c r="A82" s="511"/>
      <c r="B82" s="511"/>
      <c r="C82" s="1105"/>
      <c r="D82" s="511"/>
      <c r="E82" s="511"/>
      <c r="F82" s="511"/>
      <c r="G82" s="511"/>
      <c r="H82" s="511"/>
      <c r="I82" s="511"/>
      <c r="J82" s="511"/>
      <c r="K82" s="511"/>
    </row>
    <row r="83" spans="1:11">
      <c r="A83" s="1102"/>
      <c r="B83" s="1102"/>
      <c r="C83" s="1102"/>
      <c r="D83" s="1102"/>
      <c r="E83" s="1080"/>
      <c r="F83" s="1079"/>
      <c r="G83" s="1080"/>
      <c r="H83" s="511"/>
      <c r="I83" s="511"/>
      <c r="J83" s="511"/>
      <c r="K83" s="511"/>
    </row>
    <row r="84" spans="1:11">
      <c r="A84" s="1109"/>
      <c r="B84" s="1102"/>
      <c r="C84" s="1102"/>
      <c r="D84" s="1102"/>
      <c r="E84" s="1106"/>
      <c r="F84" s="1106"/>
      <c r="G84" s="511"/>
      <c r="H84" s="511"/>
      <c r="I84" s="511"/>
      <c r="J84" s="511"/>
      <c r="K84" s="511"/>
    </row>
    <row r="85" spans="1:11">
      <c r="A85" s="511"/>
      <c r="B85" s="511"/>
      <c r="C85" s="511"/>
      <c r="D85" s="511"/>
      <c r="E85" s="511"/>
      <c r="F85" s="511"/>
      <c r="G85" s="511"/>
      <c r="H85" s="511"/>
      <c r="I85" s="511"/>
      <c r="J85" s="511"/>
      <c r="K85" s="511"/>
    </row>
    <row r="86" spans="1:11">
      <c r="A86" s="511"/>
      <c r="B86" s="511"/>
      <c r="C86" s="511"/>
      <c r="D86" s="511"/>
      <c r="E86" s="1079"/>
      <c r="F86" s="511"/>
      <c r="G86" s="511"/>
      <c r="H86" s="511"/>
      <c r="I86" s="511"/>
      <c r="J86" s="511"/>
      <c r="K86" s="511"/>
    </row>
    <row r="87" spans="1:11">
      <c r="A87" s="511"/>
      <c r="B87" s="511"/>
      <c r="C87" s="511"/>
      <c r="D87" s="511"/>
      <c r="E87" s="1065"/>
      <c r="F87" s="507"/>
      <c r="G87" s="807"/>
      <c r="H87" s="1101"/>
      <c r="I87" s="511"/>
      <c r="J87" s="511"/>
      <c r="K87" s="511"/>
    </row>
    <row r="88" spans="1:11">
      <c r="A88" s="511"/>
      <c r="B88" s="511"/>
      <c r="C88" s="511"/>
      <c r="D88" s="511"/>
      <c r="E88" s="1065"/>
      <c r="F88" s="507"/>
      <c r="G88" s="807"/>
      <c r="H88" s="1101"/>
      <c r="I88" s="511"/>
      <c r="J88" s="511"/>
      <c r="K88" s="511"/>
    </row>
    <row r="89" spans="1:11">
      <c r="A89" s="511"/>
      <c r="B89" s="511"/>
      <c r="C89" s="511"/>
      <c r="D89" s="511"/>
      <c r="E89" s="511"/>
      <c r="F89" s="511"/>
      <c r="G89" s="511"/>
      <c r="H89" s="511"/>
      <c r="I89" s="511"/>
      <c r="J89" s="511"/>
      <c r="K89" s="511"/>
    </row>
    <row r="90" spans="1:11">
      <c r="A90" s="511"/>
      <c r="B90" s="511"/>
      <c r="C90" s="511"/>
      <c r="D90" s="511"/>
      <c r="E90" s="511"/>
      <c r="F90" s="1065"/>
      <c r="G90" s="507"/>
      <c r="H90" s="807"/>
      <c r="I90" s="507"/>
      <c r="J90" s="511"/>
      <c r="K90" s="511"/>
    </row>
    <row r="91" spans="1:11">
      <c r="A91" s="511"/>
      <c r="B91" s="511"/>
      <c r="C91" s="511"/>
      <c r="D91" s="511"/>
      <c r="E91" s="511"/>
      <c r="F91" s="1110"/>
      <c r="G91" s="507"/>
      <c r="H91" s="807"/>
      <c r="I91" s="507"/>
      <c r="J91" s="511"/>
      <c r="K91" s="511"/>
    </row>
    <row r="92" spans="1:11">
      <c r="A92" s="511"/>
      <c r="B92" s="1101"/>
      <c r="C92" s="511"/>
      <c r="D92" s="511"/>
      <c r="E92" s="507"/>
      <c r="F92" s="1111"/>
      <c r="G92" s="507"/>
      <c r="H92" s="807"/>
      <c r="I92" s="511"/>
      <c r="J92" s="511"/>
      <c r="K92" s="511"/>
    </row>
    <row r="93" spans="1:11" ht="14.25">
      <c r="A93" s="511"/>
      <c r="B93" s="511"/>
      <c r="C93" s="511"/>
      <c r="D93" s="511"/>
      <c r="E93" s="507"/>
      <c r="F93" s="1111"/>
      <c r="G93" s="1081"/>
      <c r="H93" s="807"/>
      <c r="I93" s="511"/>
      <c r="J93" s="511"/>
      <c r="K93" s="511"/>
    </row>
    <row r="94" spans="1:11">
      <c r="A94" s="511"/>
      <c r="B94" s="511"/>
      <c r="C94" s="511"/>
      <c r="D94" s="511"/>
      <c r="E94" s="511"/>
      <c r="F94" s="511"/>
      <c r="G94" s="507"/>
      <c r="H94" s="511"/>
      <c r="I94" s="511"/>
      <c r="J94" s="511"/>
      <c r="K94" s="511"/>
    </row>
    <row r="95" spans="1:11">
      <c r="A95" s="511"/>
      <c r="B95" s="1101"/>
      <c r="C95" s="511"/>
      <c r="D95" s="511"/>
      <c r="E95" s="1101"/>
      <c r="F95" s="1065"/>
      <c r="G95" s="507"/>
      <c r="H95" s="1101"/>
      <c r="I95" s="511"/>
      <c r="J95" s="511"/>
      <c r="K95" s="511"/>
    </row>
    <row r="96" spans="1:11">
      <c r="A96" s="511"/>
      <c r="B96" s="511"/>
      <c r="C96" s="511"/>
      <c r="D96" s="511"/>
      <c r="E96" s="511"/>
      <c r="F96" s="511"/>
      <c r="G96" s="511"/>
      <c r="H96" s="1101"/>
      <c r="I96" s="511"/>
      <c r="J96" s="511"/>
      <c r="K96" s="511"/>
    </row>
    <row r="97" spans="1:11">
      <c r="A97" s="511"/>
      <c r="B97" s="511"/>
      <c r="C97" s="511"/>
      <c r="D97" s="511"/>
      <c r="E97" s="511"/>
      <c r="F97" s="511"/>
      <c r="G97" s="511"/>
      <c r="H97" s="511"/>
      <c r="I97" s="511"/>
      <c r="J97" s="511"/>
      <c r="K97" s="511"/>
    </row>
    <row r="98" spans="1:11">
      <c r="A98" s="511"/>
      <c r="B98" s="1101"/>
      <c r="C98" s="511"/>
      <c r="D98" s="511"/>
      <c r="E98" s="1101"/>
      <c r="F98" s="1065"/>
      <c r="G98" s="507"/>
      <c r="H98" s="1101"/>
      <c r="I98" s="511"/>
      <c r="J98" s="511"/>
      <c r="K98" s="511"/>
    </row>
    <row r="99" spans="1:11">
      <c r="A99" s="511"/>
      <c r="B99" s="1101"/>
      <c r="C99" s="511"/>
      <c r="D99" s="511"/>
      <c r="E99" s="511"/>
      <c r="F99" s="1066"/>
      <c r="G99" s="511"/>
      <c r="H99" s="1101"/>
      <c r="I99" s="511"/>
      <c r="J99" s="511"/>
      <c r="K99" s="511"/>
    </row>
    <row r="100" spans="1:11">
      <c r="A100" s="511"/>
      <c r="B100" s="511"/>
      <c r="C100" s="511"/>
      <c r="D100" s="511"/>
      <c r="E100" s="511"/>
      <c r="F100" s="511"/>
      <c r="G100" s="511"/>
      <c r="H100" s="511"/>
      <c r="I100" s="511"/>
      <c r="J100" s="511"/>
      <c r="K100" s="511"/>
    </row>
  </sheetData>
  <mergeCells count="3">
    <mergeCell ref="A7:B7"/>
    <mergeCell ref="A24:B24"/>
    <mergeCell ref="A40:B40"/>
  </mergeCells>
  <pageMargins left="0.7" right="0.7" top="0.75" bottom="0.75" header="0.3" footer="0.3"/>
  <pageSetup scale="9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1"/>
  <sheetViews>
    <sheetView topLeftCell="A79" workbookViewId="0"/>
  </sheetViews>
  <sheetFormatPr defaultRowHeight="12"/>
  <cols>
    <col min="1" max="1" width="14.5" style="439" customWidth="1"/>
    <col min="2" max="2" width="18.1640625" style="439" customWidth="1"/>
    <col min="3" max="3" width="18" style="439" customWidth="1"/>
    <col min="4" max="4" width="14.1640625" style="439" bestFit="1" customWidth="1"/>
    <col min="5" max="5" width="15.1640625" style="439" bestFit="1" customWidth="1"/>
    <col min="6" max="6" width="14.83203125" style="439" customWidth="1"/>
    <col min="7" max="7" width="16.1640625" style="439" bestFit="1" customWidth="1"/>
    <col min="8" max="8" width="16.33203125" style="439" customWidth="1"/>
    <col min="9" max="9" width="21.1640625" style="439" bestFit="1" customWidth="1"/>
    <col min="10" max="10" width="17.33203125" style="439" customWidth="1"/>
    <col min="11" max="11" width="16.5" style="439" customWidth="1"/>
    <col min="12" max="17" width="15.1640625" style="439" bestFit="1" customWidth="1"/>
    <col min="18" max="18" width="17.5" style="439" bestFit="1" customWidth="1"/>
    <col min="19" max="19" width="14.83203125" style="439" bestFit="1" customWidth="1"/>
    <col min="20" max="20" width="11.33203125" style="439" customWidth="1"/>
    <col min="21" max="16384" width="9.33203125" style="439"/>
  </cols>
  <sheetData>
    <row r="1" spans="1:20">
      <c r="A1" s="439" t="s">
        <v>1592</v>
      </c>
    </row>
    <row r="2" spans="1:20">
      <c r="I2" s="447"/>
    </row>
    <row r="3" spans="1:20" ht="12.75" thickBot="1">
      <c r="B3" s="439" t="s">
        <v>94</v>
      </c>
      <c r="K3" s="439" t="s">
        <v>875</v>
      </c>
    </row>
    <row r="4" spans="1:20" ht="12.75" thickBot="1">
      <c r="B4" s="1112" t="s">
        <v>174</v>
      </c>
      <c r="C4" s="1112" t="s">
        <v>175</v>
      </c>
      <c r="D4" s="1112" t="s">
        <v>176</v>
      </c>
      <c r="E4" s="1119" t="s">
        <v>458</v>
      </c>
      <c r="F4" s="1112" t="s">
        <v>177</v>
      </c>
      <c r="G4" s="1112" t="s">
        <v>178</v>
      </c>
      <c r="H4" s="1113" t="s">
        <v>1593</v>
      </c>
      <c r="K4" s="1112" t="s">
        <v>174</v>
      </c>
      <c r="L4" s="1112" t="s">
        <v>175</v>
      </c>
      <c r="M4" s="1112" t="s">
        <v>176</v>
      </c>
      <c r="N4" s="1119" t="s">
        <v>458</v>
      </c>
      <c r="O4" s="1112" t="s">
        <v>177</v>
      </c>
      <c r="P4" s="1112" t="s">
        <v>178</v>
      </c>
      <c r="Q4" s="1113" t="s">
        <v>1593</v>
      </c>
    </row>
    <row r="5" spans="1:20">
      <c r="A5" s="439" t="s">
        <v>1594</v>
      </c>
      <c r="B5" s="602">
        <v>227598</v>
      </c>
      <c r="C5" s="602">
        <v>194284</v>
      </c>
      <c r="D5" s="602">
        <v>249</v>
      </c>
      <c r="E5" s="602">
        <v>4</v>
      </c>
      <c r="F5" s="602">
        <v>49</v>
      </c>
      <c r="G5" s="602">
        <v>44</v>
      </c>
      <c r="H5" s="602">
        <f>SUM(B5:G5)</f>
        <v>422228</v>
      </c>
      <c r="J5" s="439" t="s">
        <v>1594</v>
      </c>
      <c r="K5" s="602">
        <v>276888574</v>
      </c>
      <c r="L5" s="602">
        <v>232143736</v>
      </c>
      <c r="M5" s="602">
        <v>629782</v>
      </c>
      <c r="N5" s="602">
        <v>3976</v>
      </c>
      <c r="O5" s="602">
        <v>79034</v>
      </c>
      <c r="P5" s="602">
        <v>45503</v>
      </c>
      <c r="Q5" s="602">
        <f>SUM(K5:P5)</f>
        <v>509790605</v>
      </c>
    </row>
    <row r="6" spans="1:20">
      <c r="A6" s="439" t="s">
        <v>1595</v>
      </c>
      <c r="B6" s="602">
        <v>227859</v>
      </c>
      <c r="C6" s="602">
        <v>194205</v>
      </c>
      <c r="D6" s="602">
        <v>247</v>
      </c>
      <c r="E6" s="602">
        <v>5</v>
      </c>
      <c r="F6" s="602">
        <v>49</v>
      </c>
      <c r="G6" s="602">
        <v>43</v>
      </c>
      <c r="H6" s="602">
        <f t="shared" ref="H6:H16" si="0">SUM(B6:G6)</f>
        <v>422408</v>
      </c>
      <c r="J6" s="439" t="s">
        <v>1595</v>
      </c>
      <c r="K6" s="602">
        <v>193779231</v>
      </c>
      <c r="L6" s="602">
        <v>177433222</v>
      </c>
      <c r="M6" s="602">
        <v>495053</v>
      </c>
      <c r="N6" s="602">
        <v>4207</v>
      </c>
      <c r="O6" s="602">
        <v>61971</v>
      </c>
      <c r="P6" s="602">
        <v>30613</v>
      </c>
      <c r="Q6" s="602">
        <f t="shared" ref="Q6:Q16" si="1">SUM(K6:P6)</f>
        <v>371804297</v>
      </c>
    </row>
    <row r="7" spans="1:20">
      <c r="A7" s="439" t="s">
        <v>1596</v>
      </c>
      <c r="B7" s="602">
        <v>227754</v>
      </c>
      <c r="C7" s="602">
        <v>193939</v>
      </c>
      <c r="D7" s="602">
        <v>244</v>
      </c>
      <c r="E7" s="602">
        <v>5</v>
      </c>
      <c r="F7" s="602">
        <v>49</v>
      </c>
      <c r="G7" s="602">
        <v>45</v>
      </c>
      <c r="H7" s="602">
        <f t="shared" si="0"/>
        <v>422036</v>
      </c>
      <c r="J7" s="439" t="s">
        <v>1596</v>
      </c>
      <c r="K7" s="602">
        <v>184629102</v>
      </c>
      <c r="L7" s="602">
        <v>209890195</v>
      </c>
      <c r="M7" s="602">
        <v>408371</v>
      </c>
      <c r="N7" s="602">
        <v>5099</v>
      </c>
      <c r="O7" s="602">
        <v>60350</v>
      </c>
      <c r="P7" s="602">
        <v>53563</v>
      </c>
      <c r="Q7" s="602">
        <f t="shared" si="1"/>
        <v>395046680</v>
      </c>
    </row>
    <row r="8" spans="1:20">
      <c r="A8" s="439" t="s">
        <v>1597</v>
      </c>
      <c r="B8" s="602">
        <v>228584</v>
      </c>
      <c r="C8" s="602">
        <v>194659</v>
      </c>
      <c r="D8" s="602">
        <v>247</v>
      </c>
      <c r="E8" s="602">
        <v>5</v>
      </c>
      <c r="F8" s="602">
        <v>49</v>
      </c>
      <c r="G8" s="602">
        <v>47</v>
      </c>
      <c r="H8" s="602">
        <f t="shared" si="0"/>
        <v>423591</v>
      </c>
      <c r="J8" s="439" t="s">
        <v>1597</v>
      </c>
      <c r="K8" s="602">
        <v>266420875</v>
      </c>
      <c r="L8" s="602">
        <v>362334982</v>
      </c>
      <c r="M8" s="602">
        <v>552176</v>
      </c>
      <c r="N8" s="602">
        <v>7541</v>
      </c>
      <c r="O8" s="602">
        <v>106637</v>
      </c>
      <c r="P8" s="602">
        <v>95364</v>
      </c>
      <c r="Q8" s="602">
        <f t="shared" si="1"/>
        <v>629517575</v>
      </c>
    </row>
    <row r="9" spans="1:20">
      <c r="A9" s="439" t="s">
        <v>1598</v>
      </c>
      <c r="B9" s="602">
        <v>228777</v>
      </c>
      <c r="C9" s="602">
        <v>194984</v>
      </c>
      <c r="D9" s="602">
        <v>245</v>
      </c>
      <c r="E9" s="602">
        <v>5</v>
      </c>
      <c r="F9" s="602">
        <v>49</v>
      </c>
      <c r="G9" s="602">
        <v>49</v>
      </c>
      <c r="H9" s="602">
        <f t="shared" si="0"/>
        <v>424109</v>
      </c>
      <c r="J9" s="439" t="s">
        <v>1598</v>
      </c>
      <c r="K9" s="602">
        <v>337925366</v>
      </c>
      <c r="L9" s="602">
        <v>497911107</v>
      </c>
      <c r="M9" s="602">
        <v>655791</v>
      </c>
      <c r="N9" s="602">
        <v>9587</v>
      </c>
      <c r="O9" s="602">
        <v>145647</v>
      </c>
      <c r="P9" s="602">
        <v>146603</v>
      </c>
      <c r="Q9" s="602">
        <f t="shared" si="1"/>
        <v>836794101</v>
      </c>
      <c r="R9" s="527"/>
      <c r="T9" s="487"/>
    </row>
    <row r="10" spans="1:20">
      <c r="A10" s="439" t="s">
        <v>1599</v>
      </c>
      <c r="B10" s="602">
        <v>228624</v>
      </c>
      <c r="C10" s="602">
        <v>194630</v>
      </c>
      <c r="D10" s="602">
        <v>246</v>
      </c>
      <c r="E10" s="602">
        <v>4</v>
      </c>
      <c r="F10" s="602">
        <v>49</v>
      </c>
      <c r="G10" s="602">
        <v>50</v>
      </c>
      <c r="H10" s="602">
        <f t="shared" si="0"/>
        <v>423603</v>
      </c>
      <c r="J10" s="439" t="s">
        <v>1599</v>
      </c>
      <c r="K10" s="602">
        <v>319499553</v>
      </c>
      <c r="L10" s="602">
        <v>505670283</v>
      </c>
      <c r="M10" s="602">
        <v>659576</v>
      </c>
      <c r="N10" s="602">
        <v>8179</v>
      </c>
      <c r="O10" s="602">
        <v>163314</v>
      </c>
      <c r="P10" s="602">
        <v>121425</v>
      </c>
      <c r="Q10" s="602">
        <f t="shared" si="1"/>
        <v>826122330</v>
      </c>
      <c r="R10" s="527"/>
      <c r="T10" s="487"/>
    </row>
    <row r="11" spans="1:20">
      <c r="A11" s="439" t="s">
        <v>1600</v>
      </c>
      <c r="B11" s="602">
        <v>229375</v>
      </c>
      <c r="C11" s="602">
        <v>195391</v>
      </c>
      <c r="D11" s="602">
        <v>247</v>
      </c>
      <c r="E11" s="602">
        <v>5</v>
      </c>
      <c r="F11" s="602">
        <v>49</v>
      </c>
      <c r="G11" s="602">
        <v>52</v>
      </c>
      <c r="H11" s="602">
        <f t="shared" si="0"/>
        <v>425119</v>
      </c>
      <c r="J11" s="439" t="s">
        <v>1600</v>
      </c>
      <c r="K11" s="602">
        <v>267454258</v>
      </c>
      <c r="L11" s="602">
        <v>389789599</v>
      </c>
      <c r="M11" s="602">
        <v>547519</v>
      </c>
      <c r="N11" s="602">
        <v>8611</v>
      </c>
      <c r="O11" s="602">
        <v>132111</v>
      </c>
      <c r="P11" s="602">
        <v>123913</v>
      </c>
      <c r="Q11" s="602">
        <f t="shared" si="1"/>
        <v>658056011</v>
      </c>
      <c r="R11" s="601"/>
      <c r="S11" s="601"/>
      <c r="T11" s="487"/>
    </row>
    <row r="12" spans="1:20">
      <c r="A12" s="439" t="s">
        <v>1601</v>
      </c>
      <c r="B12" s="602">
        <v>228749</v>
      </c>
      <c r="C12" s="602">
        <v>194803</v>
      </c>
      <c r="D12" s="602">
        <v>247</v>
      </c>
      <c r="E12" s="602">
        <v>5</v>
      </c>
      <c r="F12" s="602">
        <v>49</v>
      </c>
      <c r="G12" s="602">
        <v>52</v>
      </c>
      <c r="H12" s="602">
        <f t="shared" si="0"/>
        <v>423905</v>
      </c>
      <c r="J12" s="439" t="s">
        <v>1601</v>
      </c>
      <c r="K12" s="602">
        <v>189776294</v>
      </c>
      <c r="L12" s="602">
        <v>235356677</v>
      </c>
      <c r="M12" s="602">
        <v>458458</v>
      </c>
      <c r="N12" s="602">
        <v>5321</v>
      </c>
      <c r="O12" s="602">
        <v>79474</v>
      </c>
      <c r="P12" s="602">
        <v>52164</v>
      </c>
      <c r="Q12" s="602">
        <f t="shared" si="1"/>
        <v>425728388</v>
      </c>
      <c r="R12" s="601"/>
      <c r="S12" s="601"/>
      <c r="T12" s="487"/>
    </row>
    <row r="13" spans="1:20">
      <c r="A13" s="439" t="s">
        <v>1602</v>
      </c>
      <c r="B13" s="602">
        <v>228849</v>
      </c>
      <c r="C13" s="602">
        <v>194797</v>
      </c>
      <c r="D13" s="602">
        <v>243</v>
      </c>
      <c r="E13" s="602">
        <v>5</v>
      </c>
      <c r="F13" s="602">
        <v>50</v>
      </c>
      <c r="G13" s="602">
        <v>52</v>
      </c>
      <c r="H13" s="602">
        <f t="shared" si="0"/>
        <v>423996</v>
      </c>
      <c r="J13" s="439" t="s">
        <v>1602</v>
      </c>
      <c r="K13" s="602">
        <v>175043396</v>
      </c>
      <c r="L13" s="602">
        <v>176531151</v>
      </c>
      <c r="M13" s="602">
        <v>403406</v>
      </c>
      <c r="N13" s="602">
        <v>3953</v>
      </c>
      <c r="O13" s="602">
        <v>61280</v>
      </c>
      <c r="P13" s="602">
        <v>33790</v>
      </c>
      <c r="Q13" s="602">
        <f t="shared" si="1"/>
        <v>352076976</v>
      </c>
      <c r="R13" s="601"/>
      <c r="S13" s="601"/>
      <c r="T13" s="487"/>
    </row>
    <row r="14" spans="1:20">
      <c r="A14" s="439" t="s">
        <v>1603</v>
      </c>
      <c r="B14" s="602">
        <v>229309</v>
      </c>
      <c r="C14" s="602">
        <v>195153</v>
      </c>
      <c r="D14" s="602">
        <v>244</v>
      </c>
      <c r="E14" s="602">
        <v>5</v>
      </c>
      <c r="F14" s="602">
        <v>50</v>
      </c>
      <c r="G14" s="602">
        <v>52</v>
      </c>
      <c r="H14" s="602">
        <f t="shared" si="0"/>
        <v>424813</v>
      </c>
      <c r="J14" s="439" t="s">
        <v>1603</v>
      </c>
      <c r="K14" s="602">
        <v>234384000</v>
      </c>
      <c r="L14" s="602">
        <v>204298851</v>
      </c>
      <c r="M14" s="602">
        <v>545440</v>
      </c>
      <c r="N14" s="602">
        <v>5189</v>
      </c>
      <c r="O14" s="602">
        <v>70898</v>
      </c>
      <c r="P14" s="602">
        <v>41147</v>
      </c>
      <c r="Q14" s="602">
        <f t="shared" si="1"/>
        <v>439345525</v>
      </c>
      <c r="R14" s="601"/>
      <c r="S14" s="601"/>
    </row>
    <row r="15" spans="1:20">
      <c r="A15" s="439" t="s">
        <v>1604</v>
      </c>
      <c r="B15" s="602">
        <v>229471</v>
      </c>
      <c r="C15" s="602">
        <v>194960</v>
      </c>
      <c r="D15" s="602">
        <v>244</v>
      </c>
      <c r="E15" s="602">
        <v>6</v>
      </c>
      <c r="F15" s="602">
        <v>50</v>
      </c>
      <c r="G15" s="602">
        <v>55</v>
      </c>
      <c r="H15" s="602">
        <f t="shared" si="0"/>
        <v>424786</v>
      </c>
      <c r="J15" s="439" t="s">
        <v>1604</v>
      </c>
      <c r="K15" s="602">
        <v>284511549</v>
      </c>
      <c r="L15" s="602">
        <v>233586553</v>
      </c>
      <c r="M15" s="602">
        <v>660157</v>
      </c>
      <c r="N15" s="602">
        <v>6177</v>
      </c>
      <c r="O15" s="602">
        <v>78022</v>
      </c>
      <c r="P15" s="602">
        <v>49459</v>
      </c>
      <c r="Q15" s="602">
        <f t="shared" si="1"/>
        <v>518891917</v>
      </c>
      <c r="R15" s="601"/>
      <c r="S15" s="601"/>
      <c r="T15" s="487"/>
    </row>
    <row r="16" spans="1:20" ht="14.25">
      <c r="A16" s="439" t="s">
        <v>1605</v>
      </c>
      <c r="B16" s="603">
        <v>229620</v>
      </c>
      <c r="C16" s="603">
        <v>194680</v>
      </c>
      <c r="D16" s="603">
        <v>244</v>
      </c>
      <c r="E16" s="603">
        <v>7</v>
      </c>
      <c r="F16" s="603">
        <v>50</v>
      </c>
      <c r="G16" s="603">
        <v>57</v>
      </c>
      <c r="H16" s="603">
        <f t="shared" si="0"/>
        <v>424658</v>
      </c>
      <c r="J16" s="439" t="s">
        <v>1605</v>
      </c>
      <c r="K16" s="603">
        <v>248055650</v>
      </c>
      <c r="L16" s="603">
        <v>207118409</v>
      </c>
      <c r="M16" s="603">
        <v>511256</v>
      </c>
      <c r="N16" s="603">
        <v>7241</v>
      </c>
      <c r="O16" s="603">
        <v>70043</v>
      </c>
      <c r="P16" s="603">
        <v>47697</v>
      </c>
      <c r="Q16" s="603">
        <f t="shared" si="1"/>
        <v>455810296</v>
      </c>
      <c r="R16" s="601"/>
      <c r="S16" s="601"/>
      <c r="T16" s="487"/>
    </row>
    <row r="17" spans="1:21">
      <c r="B17" s="462">
        <f>SUM(B5:B16)</f>
        <v>2744569</v>
      </c>
      <c r="C17" s="462">
        <f t="shared" ref="C17:G17" si="2">SUM(C5:C16)</f>
        <v>2336485</v>
      </c>
      <c r="D17" s="462">
        <f t="shared" si="2"/>
        <v>2947</v>
      </c>
      <c r="E17" s="462">
        <f t="shared" si="2"/>
        <v>61</v>
      </c>
      <c r="F17" s="462">
        <f t="shared" si="2"/>
        <v>592</v>
      </c>
      <c r="G17" s="462">
        <f t="shared" si="2"/>
        <v>598</v>
      </c>
      <c r="H17" s="462">
        <f t="shared" ref="H17" si="3">SUM(H5:H16)</f>
        <v>5085252</v>
      </c>
      <c r="K17" s="462">
        <f>SUM(K5:K16)</f>
        <v>2978367848</v>
      </c>
      <c r="L17" s="462">
        <f t="shared" ref="L17:P17" si="4">SUM(L5:L16)</f>
        <v>3432064765</v>
      </c>
      <c r="M17" s="462">
        <f t="shared" si="4"/>
        <v>6526985</v>
      </c>
      <c r="N17" s="462">
        <f t="shared" si="4"/>
        <v>75081</v>
      </c>
      <c r="O17" s="462">
        <f t="shared" si="4"/>
        <v>1108781</v>
      </c>
      <c r="P17" s="462">
        <f t="shared" si="4"/>
        <v>841241</v>
      </c>
      <c r="Q17" s="462">
        <f t="shared" ref="Q17" si="5">SUM(Q5:Q16)</f>
        <v>6418984701</v>
      </c>
      <c r="R17" s="601"/>
      <c r="S17" s="601"/>
      <c r="T17" s="487"/>
    </row>
    <row r="18" spans="1:21">
      <c r="A18" s="439" t="s">
        <v>1606</v>
      </c>
      <c r="B18" s="462"/>
      <c r="C18" s="462"/>
      <c r="D18" s="462"/>
      <c r="E18" s="462"/>
      <c r="F18" s="462"/>
      <c r="G18" s="462"/>
      <c r="H18" s="462"/>
      <c r="J18" s="439" t="s">
        <v>1606</v>
      </c>
      <c r="K18" s="462"/>
      <c r="L18" s="462"/>
      <c r="M18" s="462"/>
      <c r="N18" s="462"/>
      <c r="O18" s="462"/>
      <c r="P18" s="462"/>
      <c r="Q18" s="462"/>
      <c r="R18" s="601"/>
      <c r="S18" s="601"/>
      <c r="T18" s="487"/>
    </row>
    <row r="19" spans="1:21">
      <c r="A19" s="439" t="s">
        <v>1607</v>
      </c>
      <c r="B19" s="462">
        <f>B16*12</f>
        <v>2755440</v>
      </c>
      <c r="C19" s="462">
        <f t="shared" ref="C19:G19" si="6">C16*12</f>
        <v>2336160</v>
      </c>
      <c r="D19" s="462">
        <f t="shared" si="6"/>
        <v>2928</v>
      </c>
      <c r="E19" s="462">
        <f t="shared" si="6"/>
        <v>84</v>
      </c>
      <c r="F19" s="462">
        <f t="shared" si="6"/>
        <v>600</v>
      </c>
      <c r="G19" s="462">
        <f t="shared" si="6"/>
        <v>684</v>
      </c>
      <c r="H19" s="462">
        <f>SUM(B19:G19)</f>
        <v>5095896</v>
      </c>
      <c r="J19" s="439" t="s">
        <v>1607</v>
      </c>
      <c r="K19" s="462">
        <f>K16*12</f>
        <v>2976667800</v>
      </c>
      <c r="L19" s="462">
        <f t="shared" ref="L19:P19" si="7">L16*12</f>
        <v>2485420908</v>
      </c>
      <c r="M19" s="462">
        <f t="shared" si="7"/>
        <v>6135072</v>
      </c>
      <c r="N19" s="462">
        <f t="shared" si="7"/>
        <v>86892</v>
      </c>
      <c r="O19" s="462">
        <f t="shared" si="7"/>
        <v>840516</v>
      </c>
      <c r="P19" s="462">
        <f t="shared" si="7"/>
        <v>572364</v>
      </c>
      <c r="Q19" s="462">
        <f>SUM(K19:P19)</f>
        <v>5469723552</v>
      </c>
      <c r="R19" s="601"/>
      <c r="S19" s="601"/>
      <c r="T19" s="487"/>
    </row>
    <row r="20" spans="1:21">
      <c r="E20" s="447" t="s">
        <v>1648</v>
      </c>
      <c r="G20" s="462">
        <f>E19</f>
        <v>84</v>
      </c>
      <c r="N20" s="447" t="s">
        <v>1648</v>
      </c>
      <c r="P20" s="602">
        <f>N19</f>
        <v>86892</v>
      </c>
      <c r="Q20" s="601"/>
      <c r="R20" s="601"/>
      <c r="S20" s="601"/>
      <c r="T20" s="487"/>
    </row>
    <row r="21" spans="1:21">
      <c r="E21" s="439" t="s">
        <v>1608</v>
      </c>
      <c r="G21" s="1114">
        <f>G20/H19</f>
        <v>1.6483852888677476E-5</v>
      </c>
      <c r="N21" s="439" t="s">
        <v>1608</v>
      </c>
      <c r="P21" s="1114">
        <f>P20/Q19</f>
        <v>1.5885994817458006E-5</v>
      </c>
      <c r="Q21" s="601"/>
      <c r="R21" s="601"/>
      <c r="S21" s="601"/>
      <c r="T21" s="487"/>
    </row>
    <row r="22" spans="1:21">
      <c r="Q22" s="601"/>
      <c r="R22" s="601"/>
      <c r="S22" s="601"/>
      <c r="T22" s="487"/>
    </row>
    <row r="23" spans="1:21" ht="12.75" thickBot="1">
      <c r="B23" s="439" t="s">
        <v>1492</v>
      </c>
      <c r="K23" s="439" t="s">
        <v>1609</v>
      </c>
      <c r="Q23" s="601"/>
      <c r="R23" s="601"/>
      <c r="S23" s="601"/>
      <c r="T23" s="487"/>
    </row>
    <row r="24" spans="1:21" ht="12.75" thickBot="1">
      <c r="B24" s="1112" t="s">
        <v>174</v>
      </c>
      <c r="C24" s="1112" t="s">
        <v>175</v>
      </c>
      <c r="D24" s="1112" t="s">
        <v>176</v>
      </c>
      <c r="E24" s="1119" t="s">
        <v>458</v>
      </c>
      <c r="F24" s="1112" t="s">
        <v>177</v>
      </c>
      <c r="G24" s="1112" t="s">
        <v>178</v>
      </c>
      <c r="H24" s="1113" t="s">
        <v>1593</v>
      </c>
      <c r="K24" s="1112" t="s">
        <v>174</v>
      </c>
      <c r="L24" s="1112" t="s">
        <v>175</v>
      </c>
      <c r="M24" s="1112" t="s">
        <v>176</v>
      </c>
      <c r="N24" s="1112" t="s">
        <v>458</v>
      </c>
      <c r="O24" s="1112" t="s">
        <v>177</v>
      </c>
      <c r="P24" s="1112" t="s">
        <v>178</v>
      </c>
      <c r="Q24" s="1113" t="s">
        <v>1593</v>
      </c>
      <c r="R24" s="601"/>
      <c r="S24" s="601"/>
      <c r="T24" s="487"/>
    </row>
    <row r="25" spans="1:21">
      <c r="A25" s="439" t="s">
        <v>1594</v>
      </c>
      <c r="B25" s="756">
        <v>2439281.6800000002</v>
      </c>
      <c r="C25" s="756">
        <v>2078140.43</v>
      </c>
      <c r="D25" s="756">
        <v>2698.25</v>
      </c>
      <c r="E25" s="756">
        <v>42.31</v>
      </c>
      <c r="F25" s="756">
        <v>526.75</v>
      </c>
      <c r="G25" s="756">
        <v>475.62</v>
      </c>
      <c r="H25" s="756">
        <f>SUM(B25:G25)</f>
        <v>4521165.04</v>
      </c>
      <c r="J25" s="439" t="s">
        <v>1594</v>
      </c>
      <c r="K25" s="756">
        <v>20652775.66</v>
      </c>
      <c r="L25" s="756">
        <v>17315592.199999999</v>
      </c>
      <c r="M25" s="756">
        <v>46974.22</v>
      </c>
      <c r="N25" s="756">
        <v>261.11</v>
      </c>
      <c r="O25" s="756">
        <v>5895.13</v>
      </c>
      <c r="P25" s="756">
        <v>3394.07</v>
      </c>
      <c r="Q25" s="756">
        <f>SUM(K25:P25)</f>
        <v>38024892.390000001</v>
      </c>
      <c r="R25" s="601"/>
      <c r="S25" s="601"/>
      <c r="T25" s="487"/>
    </row>
    <row r="26" spans="1:21">
      <c r="A26" s="439" t="s">
        <v>1595</v>
      </c>
      <c r="B26" s="756">
        <v>2445100.1800000002</v>
      </c>
      <c r="C26" s="756">
        <v>2078968.45</v>
      </c>
      <c r="D26" s="756">
        <v>2704.36</v>
      </c>
      <c r="E26" s="756">
        <v>47.89</v>
      </c>
      <c r="F26" s="756">
        <v>526.75</v>
      </c>
      <c r="G26" s="756">
        <v>451.5</v>
      </c>
      <c r="H26" s="756">
        <f t="shared" ref="H26:H36" si="8">SUM(B26:G26)</f>
        <v>4527799.13</v>
      </c>
      <c r="J26" s="439" t="s">
        <v>1595</v>
      </c>
      <c r="K26" s="756">
        <v>14453087.1</v>
      </c>
      <c r="L26" s="756">
        <v>13234721.369999999</v>
      </c>
      <c r="M26" s="756">
        <v>36925.99</v>
      </c>
      <c r="N26" s="756">
        <v>285.83</v>
      </c>
      <c r="O26" s="756">
        <v>4622.47</v>
      </c>
      <c r="P26" s="756">
        <v>2283.41</v>
      </c>
      <c r="Q26" s="756">
        <f t="shared" ref="Q26:Q36" si="9">SUM(K26:P26)</f>
        <v>27731926.169999994</v>
      </c>
      <c r="R26" s="601"/>
      <c r="S26" s="1086"/>
      <c r="T26" s="487"/>
    </row>
    <row r="27" spans="1:21">
      <c r="A27" s="439" t="s">
        <v>1596</v>
      </c>
      <c r="B27" s="756">
        <v>2441248.75</v>
      </c>
      <c r="C27" s="756">
        <v>2074262.16</v>
      </c>
      <c r="D27" s="756">
        <v>2644.5</v>
      </c>
      <c r="E27" s="756">
        <v>53.75</v>
      </c>
      <c r="F27" s="756">
        <v>526.75</v>
      </c>
      <c r="G27" s="756">
        <v>496.09</v>
      </c>
      <c r="H27" s="756">
        <f t="shared" si="8"/>
        <v>4519232</v>
      </c>
      <c r="J27" s="439" t="s">
        <v>1596</v>
      </c>
      <c r="K27" s="756">
        <v>13769661.390000001</v>
      </c>
      <c r="L27" s="756">
        <v>15655704.310000001</v>
      </c>
      <c r="M27" s="756">
        <v>30460.36</v>
      </c>
      <c r="N27" s="756">
        <v>357.39</v>
      </c>
      <c r="O27" s="756">
        <v>4501.53</v>
      </c>
      <c r="P27" s="756">
        <v>3995.28</v>
      </c>
      <c r="Q27" s="756">
        <f t="shared" si="9"/>
        <v>29464680.260000005</v>
      </c>
      <c r="R27" s="1039"/>
    </row>
    <row r="28" spans="1:21">
      <c r="A28" s="439" t="s">
        <v>1597</v>
      </c>
      <c r="B28" s="756">
        <v>2452909.56</v>
      </c>
      <c r="C28" s="756">
        <v>2084930.02</v>
      </c>
      <c r="D28" s="756">
        <v>2671.38</v>
      </c>
      <c r="E28" s="756">
        <v>53.75</v>
      </c>
      <c r="F28" s="756">
        <v>526.75</v>
      </c>
      <c r="G28" s="756">
        <v>490.21</v>
      </c>
      <c r="H28" s="756">
        <f t="shared" si="8"/>
        <v>4541581.67</v>
      </c>
      <c r="J28" s="439" t="s">
        <v>1597</v>
      </c>
      <c r="K28" s="756">
        <v>19870771.550000001</v>
      </c>
      <c r="L28" s="756">
        <v>27026565.170000002</v>
      </c>
      <c r="M28" s="756">
        <v>41186.82</v>
      </c>
      <c r="N28" s="756">
        <v>534.75</v>
      </c>
      <c r="O28" s="756">
        <v>7954.08</v>
      </c>
      <c r="P28" s="756">
        <v>7113.22</v>
      </c>
      <c r="Q28" s="756">
        <f t="shared" si="9"/>
        <v>46954125.589999996</v>
      </c>
      <c r="R28" s="1039"/>
    </row>
    <row r="29" spans="1:21">
      <c r="A29" s="439" t="s">
        <v>1598</v>
      </c>
      <c r="B29" s="756">
        <v>2458606.65</v>
      </c>
      <c r="C29" s="756">
        <v>2091114.19</v>
      </c>
      <c r="D29" s="756">
        <v>2655.25</v>
      </c>
      <c r="E29" s="756">
        <v>53.75</v>
      </c>
      <c r="F29" s="756">
        <v>526.75</v>
      </c>
      <c r="G29" s="756">
        <v>508.49</v>
      </c>
      <c r="H29" s="756">
        <f t="shared" si="8"/>
        <v>4553465.08</v>
      </c>
      <c r="J29" s="439" t="s">
        <v>1598</v>
      </c>
      <c r="K29" s="756">
        <v>26165304.309999999</v>
      </c>
      <c r="L29" s="756">
        <v>38556562.439999998</v>
      </c>
      <c r="M29" s="756">
        <v>50750</v>
      </c>
      <c r="N29" s="756">
        <v>721.72</v>
      </c>
      <c r="O29" s="756">
        <v>11262.73</v>
      </c>
      <c r="P29" s="756">
        <v>11340.81</v>
      </c>
      <c r="Q29" s="756">
        <f t="shared" si="9"/>
        <v>64795942.009999998</v>
      </c>
      <c r="R29" s="527"/>
      <c r="S29" s="527"/>
      <c r="U29" s="487"/>
    </row>
    <row r="30" spans="1:21">
      <c r="A30" s="439" t="s">
        <v>1599</v>
      </c>
      <c r="B30" s="756">
        <v>2451287.08</v>
      </c>
      <c r="C30" s="756">
        <v>2083061.88</v>
      </c>
      <c r="D30" s="756">
        <v>2666</v>
      </c>
      <c r="E30" s="756">
        <v>43</v>
      </c>
      <c r="F30" s="756">
        <v>526.75</v>
      </c>
      <c r="G30" s="756">
        <v>536.16999999999996</v>
      </c>
      <c r="H30" s="756">
        <f t="shared" si="8"/>
        <v>4538120.88</v>
      </c>
      <c r="J30" s="439" t="s">
        <v>1599</v>
      </c>
      <c r="K30" s="756">
        <v>24741990.190000001</v>
      </c>
      <c r="L30" s="756">
        <v>39158969.530000001</v>
      </c>
      <c r="M30" s="756">
        <v>51077.59</v>
      </c>
      <c r="N30" s="756">
        <v>622.87</v>
      </c>
      <c r="O30" s="756">
        <v>12647.04</v>
      </c>
      <c r="P30" s="756">
        <v>9403.1299999999992</v>
      </c>
      <c r="Q30" s="756">
        <f t="shared" si="9"/>
        <v>63974710.350000001</v>
      </c>
      <c r="R30" s="527"/>
      <c r="S30" s="527"/>
      <c r="U30" s="487"/>
    </row>
    <row r="31" spans="1:21">
      <c r="A31" s="439" t="s">
        <v>1600</v>
      </c>
      <c r="B31" s="756">
        <v>2455490.5699999998</v>
      </c>
      <c r="C31" s="756">
        <v>2086374.15</v>
      </c>
      <c r="D31" s="756">
        <v>2662.8</v>
      </c>
      <c r="E31" s="756">
        <v>64.5</v>
      </c>
      <c r="F31" s="756">
        <v>526.75</v>
      </c>
      <c r="G31" s="756">
        <v>568.71</v>
      </c>
      <c r="H31" s="756">
        <f t="shared" si="8"/>
        <v>4545687.4799999995</v>
      </c>
      <c r="J31" s="439" t="s">
        <v>1600</v>
      </c>
      <c r="K31" s="756">
        <v>20710420.390000001</v>
      </c>
      <c r="L31" s="756">
        <v>30185240.59</v>
      </c>
      <c r="M31" s="756">
        <v>42399.82</v>
      </c>
      <c r="N31" s="756">
        <v>639.87</v>
      </c>
      <c r="O31" s="756">
        <v>10230.67</v>
      </c>
      <c r="P31" s="756">
        <v>9595.81</v>
      </c>
      <c r="Q31" s="756">
        <f t="shared" si="9"/>
        <v>50958527.150000006</v>
      </c>
      <c r="R31" s="527"/>
      <c r="S31" s="601"/>
      <c r="T31" s="601"/>
      <c r="U31" s="487"/>
    </row>
    <row r="32" spans="1:21">
      <c r="A32" s="439" t="s">
        <v>1601</v>
      </c>
      <c r="B32" s="756">
        <v>2451908.06</v>
      </c>
      <c r="C32" s="756">
        <v>2083162.31</v>
      </c>
      <c r="D32" s="756">
        <v>2699.33</v>
      </c>
      <c r="E32" s="756">
        <v>53.75</v>
      </c>
      <c r="F32" s="756">
        <v>526.75</v>
      </c>
      <c r="G32" s="756">
        <v>559</v>
      </c>
      <c r="H32" s="756">
        <f t="shared" si="8"/>
        <v>4538909.2</v>
      </c>
      <c r="J32" s="439" t="s">
        <v>1601</v>
      </c>
      <c r="K32" s="756">
        <v>14695926.32</v>
      </c>
      <c r="L32" s="756">
        <v>18225953.920000002</v>
      </c>
      <c r="M32" s="756">
        <v>35503.03</v>
      </c>
      <c r="N32" s="756">
        <v>390.35</v>
      </c>
      <c r="O32" s="756">
        <v>6154.47</v>
      </c>
      <c r="P32" s="756">
        <v>4039.57</v>
      </c>
      <c r="Q32" s="756">
        <f t="shared" si="9"/>
        <v>32967967.660000004</v>
      </c>
      <c r="R32" s="527"/>
      <c r="S32" s="601"/>
      <c r="T32" s="601"/>
      <c r="U32" s="487"/>
    </row>
    <row r="33" spans="1:21">
      <c r="A33" s="439" t="s">
        <v>1602</v>
      </c>
      <c r="B33" s="756">
        <v>2451000.14</v>
      </c>
      <c r="C33" s="756">
        <v>2079789.08</v>
      </c>
      <c r="D33" s="756">
        <v>2612.25</v>
      </c>
      <c r="E33" s="756">
        <v>53.75</v>
      </c>
      <c r="F33" s="756">
        <v>548.25</v>
      </c>
      <c r="G33" s="756">
        <v>561.51</v>
      </c>
      <c r="H33" s="756">
        <f t="shared" si="8"/>
        <v>4534564.9800000004</v>
      </c>
      <c r="J33" s="439" t="s">
        <v>1602</v>
      </c>
      <c r="K33" s="756">
        <v>13554974.51</v>
      </c>
      <c r="L33" s="756">
        <v>13670628.050000001</v>
      </c>
      <c r="M33" s="756">
        <v>31239.8</v>
      </c>
      <c r="N33" s="756">
        <v>279.77</v>
      </c>
      <c r="O33" s="756">
        <v>4745.5</v>
      </c>
      <c r="P33" s="756">
        <v>2616.66</v>
      </c>
      <c r="Q33" s="756">
        <f t="shared" si="9"/>
        <v>27264484.290000003</v>
      </c>
      <c r="S33" s="601"/>
      <c r="T33" s="601"/>
      <c r="U33" s="487"/>
    </row>
    <row r="34" spans="1:21">
      <c r="A34" s="439" t="s">
        <v>1603</v>
      </c>
      <c r="B34" s="756">
        <v>2451933.9900000002</v>
      </c>
      <c r="C34" s="756">
        <v>2080114.31</v>
      </c>
      <c r="D34" s="756">
        <v>2637.56</v>
      </c>
      <c r="E34" s="756">
        <v>53.75</v>
      </c>
      <c r="F34" s="756">
        <v>537.5</v>
      </c>
      <c r="G34" s="756">
        <v>559</v>
      </c>
      <c r="H34" s="756">
        <f t="shared" si="8"/>
        <v>4535836.1100000003</v>
      </c>
      <c r="J34" s="439" t="s">
        <v>1603</v>
      </c>
      <c r="K34" s="756">
        <v>18150690.890000001</v>
      </c>
      <c r="L34" s="756">
        <v>15820902.779999999</v>
      </c>
      <c r="M34" s="756">
        <v>42238.83</v>
      </c>
      <c r="N34" s="756">
        <v>365.13</v>
      </c>
      <c r="O34" s="756">
        <v>5490.36</v>
      </c>
      <c r="P34" s="756">
        <v>3186.42</v>
      </c>
      <c r="Q34" s="756">
        <f t="shared" si="9"/>
        <v>34022874.410000004</v>
      </c>
      <c r="S34" s="601"/>
      <c r="T34" s="601"/>
      <c r="U34" s="487"/>
    </row>
    <row r="35" spans="1:21">
      <c r="A35" s="439" t="s">
        <v>1604</v>
      </c>
      <c r="B35" s="756">
        <v>2460225.0099999998</v>
      </c>
      <c r="C35" s="756">
        <v>2084033.16</v>
      </c>
      <c r="D35" s="756">
        <v>2652.02</v>
      </c>
      <c r="E35" s="756">
        <v>61.99</v>
      </c>
      <c r="F35" s="756">
        <v>537.5</v>
      </c>
      <c r="G35" s="756">
        <v>585.42999999999995</v>
      </c>
      <c r="H35" s="756">
        <f t="shared" si="8"/>
        <v>4548095.1099999994</v>
      </c>
      <c r="J35" s="439" t="s">
        <v>1604</v>
      </c>
      <c r="K35" s="756">
        <v>22032562.280000001</v>
      </c>
      <c r="L35" s="756">
        <v>18088941.699999999</v>
      </c>
      <c r="M35" s="756">
        <v>51122.6</v>
      </c>
      <c r="N35" s="756">
        <v>447.68</v>
      </c>
      <c r="O35" s="756">
        <v>6042.04</v>
      </c>
      <c r="P35" s="756">
        <v>3830.11</v>
      </c>
      <c r="Q35" s="756">
        <f t="shared" si="9"/>
        <v>40182946.410000004</v>
      </c>
      <c r="S35" s="601"/>
      <c r="T35" s="601"/>
    </row>
    <row r="36" spans="1:21" ht="14.25">
      <c r="A36" s="439" t="s">
        <v>1605</v>
      </c>
      <c r="B36" s="787">
        <v>2449598.9</v>
      </c>
      <c r="C36" s="787">
        <v>2069374.3</v>
      </c>
      <c r="D36" s="787">
        <v>2637.7</v>
      </c>
      <c r="E36" s="787">
        <v>75.25</v>
      </c>
      <c r="F36" s="787">
        <v>543.24</v>
      </c>
      <c r="G36" s="787">
        <v>610.70000000000005</v>
      </c>
      <c r="H36" s="787">
        <f t="shared" si="8"/>
        <v>4522840.0900000008</v>
      </c>
      <c r="J36" s="439" t="s">
        <v>1605</v>
      </c>
      <c r="K36" s="787">
        <v>19209064.210000001</v>
      </c>
      <c r="L36" s="787">
        <v>16039249.02</v>
      </c>
      <c r="M36" s="787">
        <v>39591.730000000003</v>
      </c>
      <c r="N36" s="787">
        <v>534.83000000000004</v>
      </c>
      <c r="O36" s="787">
        <v>5424.13</v>
      </c>
      <c r="P36" s="787">
        <v>3693.65</v>
      </c>
      <c r="Q36" s="787">
        <f t="shared" si="9"/>
        <v>35297557.57</v>
      </c>
      <c r="R36" s="601"/>
      <c r="S36" s="601"/>
      <c r="T36" s="601"/>
      <c r="U36" s="487"/>
    </row>
    <row r="37" spans="1:21">
      <c r="B37" s="601">
        <f>SUM(B25:B36)</f>
        <v>29408590.569999993</v>
      </c>
      <c r="C37" s="601">
        <f t="shared" ref="C37:H37" si="10">SUM(C25:C36)</f>
        <v>24973324.440000001</v>
      </c>
      <c r="D37" s="601">
        <f t="shared" si="10"/>
        <v>31941.400000000005</v>
      </c>
      <c r="E37" s="601">
        <f t="shared" si="10"/>
        <v>657.44</v>
      </c>
      <c r="F37" s="601">
        <f t="shared" si="10"/>
        <v>6380.49</v>
      </c>
      <c r="G37" s="601">
        <f t="shared" si="10"/>
        <v>6402.43</v>
      </c>
      <c r="H37" s="601">
        <f t="shared" si="10"/>
        <v>54427296.770000011</v>
      </c>
      <c r="K37" s="756">
        <f>SUM(K25:K36)</f>
        <v>228007228.80000001</v>
      </c>
      <c r="L37" s="756">
        <f t="shared" ref="L37:Q37" si="11">SUM(L25:L36)</f>
        <v>262979031.08000004</v>
      </c>
      <c r="M37" s="756">
        <f t="shared" si="11"/>
        <v>499470.78999999992</v>
      </c>
      <c r="N37" s="756">
        <f t="shared" si="11"/>
        <v>5441.3</v>
      </c>
      <c r="O37" s="756">
        <f t="shared" si="11"/>
        <v>84970.15</v>
      </c>
      <c r="P37" s="756">
        <f t="shared" si="11"/>
        <v>64492.139999999992</v>
      </c>
      <c r="Q37" s="756">
        <f t="shared" si="11"/>
        <v>491640634.26000005</v>
      </c>
      <c r="R37" s="601"/>
      <c r="S37" s="601"/>
      <c r="T37" s="601"/>
      <c r="U37" s="487"/>
    </row>
    <row r="38" spans="1:21">
      <c r="E38" s="447" t="s">
        <v>1648</v>
      </c>
      <c r="G38" s="756">
        <f>E37</f>
        <v>657.44</v>
      </c>
      <c r="N38" s="447" t="s">
        <v>1690</v>
      </c>
      <c r="P38" s="756">
        <f>N37</f>
        <v>5441.3</v>
      </c>
      <c r="Q38" s="601"/>
      <c r="R38" s="601"/>
      <c r="S38" s="601"/>
      <c r="T38" s="487"/>
    </row>
    <row r="39" spans="1:21">
      <c r="E39" s="439" t="s">
        <v>1608</v>
      </c>
      <c r="G39" s="1114">
        <f>G38/H37</f>
        <v>1.2079233013872129E-5</v>
      </c>
      <c r="N39" s="439" t="s">
        <v>1608</v>
      </c>
      <c r="P39" s="1114">
        <f>P38/Q37</f>
        <v>1.1067636848589725E-5</v>
      </c>
    </row>
    <row r="42" spans="1:21">
      <c r="A42" s="439" t="s">
        <v>1610</v>
      </c>
      <c r="F42" s="602">
        <f>SUMIF(_1022_RateCategory,"KURSE010",_1022_Count)</f>
        <v>5164164</v>
      </c>
      <c r="J42" s="447" t="s">
        <v>1611</v>
      </c>
      <c r="O42" s="602">
        <f>SUMIF(_1022_RateCategory,"KURSE010",_1022_KWH)</f>
        <v>6197389895</v>
      </c>
    </row>
    <row r="43" spans="1:21">
      <c r="A43" s="439" t="s">
        <v>1612</v>
      </c>
      <c r="F43" s="1115">
        <f>G21</f>
        <v>1.6483852888677476E-5</v>
      </c>
      <c r="J43" s="439" t="s">
        <v>1612</v>
      </c>
      <c r="O43" s="1115">
        <f>P21</f>
        <v>1.5885994817458006E-5</v>
      </c>
    </row>
    <row r="44" spans="1:21">
      <c r="B44" s="447" t="s">
        <v>1613</v>
      </c>
      <c r="F44" s="462">
        <f>ROUND(F42*F43,0)</f>
        <v>85</v>
      </c>
      <c r="K44" s="447" t="s">
        <v>1613</v>
      </c>
      <c r="O44" s="462">
        <f>ROUND(O42*O43,0)</f>
        <v>98452</v>
      </c>
    </row>
    <row r="46" spans="1:21">
      <c r="B46" s="439" t="s">
        <v>1614</v>
      </c>
      <c r="F46" s="756">
        <f>F44*10.75</f>
        <v>913.75</v>
      </c>
      <c r="O46" s="756"/>
    </row>
    <row r="47" spans="1:21">
      <c r="J47" s="447" t="s">
        <v>1689</v>
      </c>
      <c r="P47" s="439" t="s">
        <v>1615</v>
      </c>
    </row>
    <row r="48" spans="1:21">
      <c r="A48" s="439" t="s">
        <v>1616</v>
      </c>
      <c r="F48" s="462">
        <f>F42-F44</f>
        <v>5164079</v>
      </c>
      <c r="K48" s="439" t="s">
        <v>1617</v>
      </c>
      <c r="L48" s="439" t="s">
        <v>1618</v>
      </c>
      <c r="M48" s="439" t="s">
        <v>1619</v>
      </c>
      <c r="N48" s="439" t="s">
        <v>59</v>
      </c>
      <c r="P48" s="439" t="s">
        <v>1617</v>
      </c>
      <c r="Q48" s="439" t="s">
        <v>1618</v>
      </c>
      <c r="R48" s="439" t="s">
        <v>1619</v>
      </c>
    </row>
    <row r="49" spans="10:18">
      <c r="J49" s="439" t="s">
        <v>1594</v>
      </c>
      <c r="K49" s="602">
        <v>2943</v>
      </c>
      <c r="L49" s="602">
        <v>607</v>
      </c>
      <c r="M49" s="602">
        <v>426</v>
      </c>
      <c r="N49" s="462">
        <f>SUM(K49:M49)</f>
        <v>3976</v>
      </c>
      <c r="O49" s="462"/>
      <c r="P49" s="1116">
        <f>K49/N49</f>
        <v>0.74019114688128773</v>
      </c>
      <c r="Q49" s="1116">
        <f>L49/N49</f>
        <v>0.15266599597585512</v>
      </c>
      <c r="R49" s="1116">
        <f>M49/N49</f>
        <v>0.10714285714285714</v>
      </c>
    </row>
    <row r="50" spans="10:18">
      <c r="J50" s="439" t="s">
        <v>1595</v>
      </c>
      <c r="K50" s="602">
        <v>2853</v>
      </c>
      <c r="L50" s="602">
        <v>844</v>
      </c>
      <c r="M50" s="602">
        <v>510</v>
      </c>
      <c r="N50" s="462">
        <f t="shared" ref="N50:N60" si="12">SUM(K50:M50)</f>
        <v>4207</v>
      </c>
      <c r="O50" s="462"/>
      <c r="P50" s="1116">
        <f t="shared" ref="P50:P60" si="13">K50/N50</f>
        <v>0.67815545519372478</v>
      </c>
      <c r="Q50" s="1116">
        <f t="shared" ref="Q50:Q60" si="14">L50/N50</f>
        <v>0.20061801758973141</v>
      </c>
      <c r="R50" s="1116">
        <f t="shared" ref="R50:R60" si="15">M50/N50</f>
        <v>0.12122652721654385</v>
      </c>
    </row>
    <row r="51" spans="10:18">
      <c r="J51" s="439" t="s">
        <v>1596</v>
      </c>
      <c r="K51" s="602">
        <v>3180</v>
      </c>
      <c r="L51" s="602">
        <v>1226</v>
      </c>
      <c r="M51" s="602">
        <v>693</v>
      </c>
      <c r="N51" s="462">
        <f t="shared" si="12"/>
        <v>5099</v>
      </c>
      <c r="O51" s="462"/>
      <c r="P51" s="1116">
        <f t="shared" si="13"/>
        <v>0.623651696411061</v>
      </c>
      <c r="Q51" s="1116">
        <f t="shared" si="14"/>
        <v>0.24043930182388704</v>
      </c>
      <c r="R51" s="1116">
        <f t="shared" si="15"/>
        <v>0.13590900176505197</v>
      </c>
    </row>
    <row r="52" spans="10:18">
      <c r="J52" s="439" t="s">
        <v>1597</v>
      </c>
      <c r="K52" s="602">
        <v>4613</v>
      </c>
      <c r="L52" s="602">
        <v>1838</v>
      </c>
      <c r="M52" s="602">
        <v>1090</v>
      </c>
      <c r="N52" s="462">
        <f t="shared" si="12"/>
        <v>7541</v>
      </c>
      <c r="O52" s="462"/>
      <c r="P52" s="1116">
        <f t="shared" si="13"/>
        <v>0.61172258321177564</v>
      </c>
      <c r="Q52" s="1116">
        <f t="shared" si="14"/>
        <v>0.24373425275162444</v>
      </c>
      <c r="R52" s="1116">
        <f t="shared" si="15"/>
        <v>0.14454316403659992</v>
      </c>
    </row>
    <row r="53" spans="10:18">
      <c r="J53" s="439" t="s">
        <v>1598</v>
      </c>
      <c r="K53" s="602">
        <v>5502</v>
      </c>
      <c r="L53" s="602">
        <v>2597</v>
      </c>
      <c r="M53" s="602">
        <v>1488</v>
      </c>
      <c r="N53" s="462">
        <f t="shared" si="12"/>
        <v>9587</v>
      </c>
      <c r="O53" s="462"/>
      <c r="P53" s="1116">
        <f t="shared" si="13"/>
        <v>0.57390215917388132</v>
      </c>
      <c r="Q53" s="1116">
        <f t="shared" si="14"/>
        <v>0.27088766037342232</v>
      </c>
      <c r="R53" s="1116">
        <f t="shared" si="15"/>
        <v>0.15521018045269636</v>
      </c>
    </row>
    <row r="54" spans="10:18">
      <c r="J54" s="439" t="s">
        <v>1599</v>
      </c>
      <c r="K54" s="602">
        <v>4747</v>
      </c>
      <c r="L54" s="602">
        <v>2036</v>
      </c>
      <c r="M54" s="602">
        <v>1396</v>
      </c>
      <c r="N54" s="462">
        <f t="shared" si="12"/>
        <v>8179</v>
      </c>
      <c r="O54" s="462"/>
      <c r="P54" s="1116">
        <f t="shared" si="13"/>
        <v>0.58038880058686881</v>
      </c>
      <c r="Q54" s="1116">
        <f t="shared" si="14"/>
        <v>0.24893018706443332</v>
      </c>
      <c r="R54" s="1116">
        <f t="shared" si="15"/>
        <v>0.1706810123486979</v>
      </c>
    </row>
    <row r="55" spans="10:18">
      <c r="J55" s="439" t="s">
        <v>1600</v>
      </c>
      <c r="K55" s="602">
        <v>5181</v>
      </c>
      <c r="L55" s="602">
        <v>2142</v>
      </c>
      <c r="M55" s="602">
        <v>1288</v>
      </c>
      <c r="N55" s="462">
        <f t="shared" si="12"/>
        <v>8611</v>
      </c>
      <c r="O55" s="462"/>
      <c r="P55" s="1116">
        <f t="shared" si="13"/>
        <v>0.60167227964231795</v>
      </c>
      <c r="Q55" s="1116">
        <f t="shared" si="14"/>
        <v>0.24875159679479736</v>
      </c>
      <c r="R55" s="1116">
        <f t="shared" si="15"/>
        <v>0.14957612356288469</v>
      </c>
    </row>
    <row r="56" spans="10:18">
      <c r="J56" s="439" t="s">
        <v>1601</v>
      </c>
      <c r="K56" s="602">
        <v>3263</v>
      </c>
      <c r="L56" s="602">
        <v>1319</v>
      </c>
      <c r="M56" s="602">
        <v>739</v>
      </c>
      <c r="N56" s="462">
        <f t="shared" si="12"/>
        <v>5321</v>
      </c>
      <c r="O56" s="462"/>
      <c r="P56" s="1116">
        <f t="shared" si="13"/>
        <v>0.61323059575267802</v>
      </c>
      <c r="Q56" s="1116">
        <f t="shared" si="14"/>
        <v>0.24788573576395415</v>
      </c>
      <c r="R56" s="1116">
        <f t="shared" si="15"/>
        <v>0.13888366848336778</v>
      </c>
    </row>
    <row r="57" spans="10:18">
      <c r="J57" s="439" t="s">
        <v>1602</v>
      </c>
      <c r="K57" s="602">
        <v>2666</v>
      </c>
      <c r="L57" s="602">
        <v>814</v>
      </c>
      <c r="M57" s="602">
        <v>473</v>
      </c>
      <c r="N57" s="462">
        <f t="shared" si="12"/>
        <v>3953</v>
      </c>
      <c r="O57" s="462"/>
      <c r="P57" s="1116">
        <f t="shared" si="13"/>
        <v>0.6744244877308373</v>
      </c>
      <c r="Q57" s="1116">
        <f t="shared" si="14"/>
        <v>0.20591955476853022</v>
      </c>
      <c r="R57" s="1116">
        <f t="shared" si="15"/>
        <v>0.11965595750063243</v>
      </c>
    </row>
    <row r="58" spans="10:18">
      <c r="J58" s="439" t="s">
        <v>1603</v>
      </c>
      <c r="K58" s="602">
        <v>3672</v>
      </c>
      <c r="L58" s="602">
        <v>871</v>
      </c>
      <c r="M58" s="602">
        <v>646</v>
      </c>
      <c r="N58" s="462">
        <f t="shared" si="12"/>
        <v>5189</v>
      </c>
      <c r="O58" s="462"/>
      <c r="P58" s="1116">
        <f t="shared" si="13"/>
        <v>0.70765079976874157</v>
      </c>
      <c r="Q58" s="1116">
        <f t="shared" si="14"/>
        <v>0.16785507804972055</v>
      </c>
      <c r="R58" s="1116">
        <f t="shared" si="15"/>
        <v>0.12449412218153787</v>
      </c>
    </row>
    <row r="59" spans="10:18">
      <c r="J59" s="439" t="s">
        <v>1604</v>
      </c>
      <c r="K59" s="602">
        <v>4082</v>
      </c>
      <c r="L59" s="602">
        <v>1223</v>
      </c>
      <c r="M59" s="602">
        <v>872</v>
      </c>
      <c r="N59" s="462">
        <f t="shared" si="12"/>
        <v>6177</v>
      </c>
      <c r="O59" s="462"/>
      <c r="P59" s="1116">
        <f t="shared" si="13"/>
        <v>0.66083859478711349</v>
      </c>
      <c r="Q59" s="1116">
        <f t="shared" si="14"/>
        <v>0.19799255301926502</v>
      </c>
      <c r="R59" s="1116">
        <f t="shared" si="15"/>
        <v>0.14116885219362149</v>
      </c>
    </row>
    <row r="60" spans="10:18">
      <c r="J60" s="439" t="s">
        <v>1605</v>
      </c>
      <c r="K60" s="602">
        <v>4686</v>
      </c>
      <c r="L60" s="602">
        <v>1412</v>
      </c>
      <c r="M60" s="602">
        <v>1143</v>
      </c>
      <c r="N60" s="462">
        <f t="shared" si="12"/>
        <v>7241</v>
      </c>
      <c r="O60" s="462"/>
      <c r="P60" s="1116">
        <f t="shared" si="13"/>
        <v>0.64714818395249274</v>
      </c>
      <c r="Q60" s="1116">
        <f t="shared" si="14"/>
        <v>0.19500069051236016</v>
      </c>
      <c r="R60" s="1116">
        <f t="shared" si="15"/>
        <v>0.15785112553514707</v>
      </c>
    </row>
    <row r="61" spans="10:18">
      <c r="K61" s="462">
        <f t="shared" ref="K61:M61" si="16">SUM(K49:K60)</f>
        <v>47388</v>
      </c>
      <c r="L61" s="462">
        <f t="shared" si="16"/>
        <v>16929</v>
      </c>
      <c r="M61" s="462">
        <f t="shared" si="16"/>
        <v>10764</v>
      </c>
      <c r="N61" s="462">
        <f>SUM(N49:N60)</f>
        <v>75081</v>
      </c>
      <c r="O61" s="462"/>
      <c r="P61" s="1116">
        <f>K61/N61</f>
        <v>0.63115834898309831</v>
      </c>
      <c r="Q61" s="1116">
        <f>L61/N61</f>
        <v>0.22547648539577256</v>
      </c>
      <c r="R61" s="1116">
        <f>M61/N61</f>
        <v>0.14336516562112919</v>
      </c>
    </row>
    <row r="63" spans="10:18">
      <c r="J63" s="447"/>
    </row>
    <row r="64" spans="10:18">
      <c r="L64" s="447" t="s">
        <v>1620</v>
      </c>
      <c r="P64" s="439" t="s">
        <v>1621</v>
      </c>
    </row>
    <row r="65" spans="10:20">
      <c r="K65" s="439" t="s">
        <v>1622</v>
      </c>
      <c r="L65" s="439" t="s">
        <v>1623</v>
      </c>
      <c r="M65" s="439" t="s">
        <v>1624</v>
      </c>
      <c r="N65" s="439" t="s">
        <v>1625</v>
      </c>
      <c r="P65" s="439" t="s">
        <v>1617</v>
      </c>
      <c r="Q65" s="439" t="s">
        <v>1618</v>
      </c>
      <c r="R65" s="439" t="s">
        <v>1619</v>
      </c>
      <c r="S65" s="439" t="s">
        <v>59</v>
      </c>
    </row>
    <row r="66" spans="10:20">
      <c r="J66" s="598">
        <v>42248</v>
      </c>
      <c r="K66" s="602">
        <f>SUMIFS(_1022_KWH,_1022_RateCategory,"KURSE010",_1022_RevenueMonth,"Sep 2015")</f>
        <v>450429077</v>
      </c>
      <c r="L66" s="1115">
        <f>$P$21</f>
        <v>1.5885994817458006E-5</v>
      </c>
      <c r="M66" s="602">
        <f>ROUND(K66*L66,0)</f>
        <v>7156</v>
      </c>
      <c r="N66" s="462">
        <f>K66-M66</f>
        <v>450421921</v>
      </c>
      <c r="P66" s="527">
        <f>ROUND(M66*P49,0)</f>
        <v>5297</v>
      </c>
      <c r="Q66" s="600">
        <f>ROUND(M66*Q49,0)</f>
        <v>1092</v>
      </c>
      <c r="R66" s="600">
        <f>ROUND(M66*R49,0)</f>
        <v>767</v>
      </c>
      <c r="S66" s="527">
        <f>SUM(P66:R66)</f>
        <v>7156</v>
      </c>
      <c r="T66" s="527">
        <f>M66-S66</f>
        <v>0</v>
      </c>
    </row>
    <row r="67" spans="10:20">
      <c r="J67" s="598">
        <v>42278</v>
      </c>
      <c r="K67" s="602">
        <f>SUMIFS(_1022_KWH,_1022_RateCategory,"KURSE010",_1022_RevenueMonth,"Oct 2015")</f>
        <v>372865560</v>
      </c>
      <c r="L67" s="1115">
        <f t="shared" ref="L67:L77" si="17">$P$21</f>
        <v>1.5885994817458006E-5</v>
      </c>
      <c r="M67" s="602">
        <f t="shared" ref="M67:M77" si="18">ROUND(K67*L67,0)</f>
        <v>5923</v>
      </c>
      <c r="N67" s="462">
        <f t="shared" ref="N67:N77" si="19">K67-M67</f>
        <v>372859637</v>
      </c>
      <c r="P67" s="527">
        <f t="shared" ref="P67:P77" si="20">ROUND(M67*P50,0)</f>
        <v>4017</v>
      </c>
      <c r="Q67" s="600">
        <f t="shared" ref="Q67:Q77" si="21">ROUND(M67*Q50,0)</f>
        <v>1188</v>
      </c>
      <c r="R67" s="600">
        <f t="shared" ref="R67:R77" si="22">ROUND(M67*R50,0)</f>
        <v>718</v>
      </c>
      <c r="S67" s="527">
        <f t="shared" ref="S67:S77" si="23">SUM(P67:R67)</f>
        <v>5923</v>
      </c>
      <c r="T67" s="527">
        <f t="shared" ref="T67:T77" si="24">M67-S67</f>
        <v>0</v>
      </c>
    </row>
    <row r="68" spans="10:20">
      <c r="J68" s="598">
        <v>42309</v>
      </c>
      <c r="K68" s="602">
        <f>SUMIFS(_1022_KWH,_1022_RateCategory,"KURSE010",_1022_RevenueMonth,"Nov 2015")</f>
        <v>425767369</v>
      </c>
      <c r="L68" s="1115">
        <f t="shared" si="17"/>
        <v>1.5885994817458006E-5</v>
      </c>
      <c r="M68" s="602">
        <f t="shared" si="18"/>
        <v>6764</v>
      </c>
      <c r="N68" s="462">
        <f t="shared" si="19"/>
        <v>425760605</v>
      </c>
      <c r="P68" s="527">
        <f t="shared" si="20"/>
        <v>4218</v>
      </c>
      <c r="Q68" s="600">
        <f t="shared" si="21"/>
        <v>1626</v>
      </c>
      <c r="R68" s="600">
        <f t="shared" si="22"/>
        <v>919</v>
      </c>
      <c r="S68" s="527">
        <f t="shared" si="23"/>
        <v>6763</v>
      </c>
      <c r="T68" s="527">
        <f t="shared" si="24"/>
        <v>1</v>
      </c>
    </row>
    <row r="69" spans="10:20">
      <c r="J69" s="598">
        <v>42339</v>
      </c>
      <c r="K69" s="602">
        <f>SUMIFS(_1022_KWH,_1022_RateCategory,"KURSE010",_1022_RevenueMonth,"Dec 2015")</f>
        <v>619539657</v>
      </c>
      <c r="L69" s="1115">
        <f t="shared" si="17"/>
        <v>1.5885994817458006E-5</v>
      </c>
      <c r="M69" s="602">
        <f t="shared" si="18"/>
        <v>9842</v>
      </c>
      <c r="N69" s="462">
        <f t="shared" si="19"/>
        <v>619529815</v>
      </c>
      <c r="O69" s="462"/>
      <c r="P69" s="527">
        <f t="shared" si="20"/>
        <v>6021</v>
      </c>
      <c r="Q69" s="600">
        <f t="shared" si="21"/>
        <v>2399</v>
      </c>
      <c r="R69" s="600">
        <f t="shared" si="22"/>
        <v>1423</v>
      </c>
      <c r="S69" s="527">
        <f t="shared" si="23"/>
        <v>9843</v>
      </c>
      <c r="T69" s="527">
        <f t="shared" si="24"/>
        <v>-1</v>
      </c>
    </row>
    <row r="70" spans="10:20">
      <c r="J70" s="598">
        <v>42370</v>
      </c>
      <c r="K70" s="602">
        <f>SUMIFS(_1022_KWH,_1022_RateCategory,"KURSE010",_1022_RevenueMonth,"Jan 2016")</f>
        <v>742959056</v>
      </c>
      <c r="L70" s="1115">
        <f t="shared" si="17"/>
        <v>1.5885994817458006E-5</v>
      </c>
      <c r="M70" s="602">
        <f t="shared" si="18"/>
        <v>11803</v>
      </c>
      <c r="N70" s="462">
        <f t="shared" si="19"/>
        <v>742947253</v>
      </c>
      <c r="P70" s="527">
        <f t="shared" si="20"/>
        <v>6774</v>
      </c>
      <c r="Q70" s="600">
        <f t="shared" si="21"/>
        <v>3197</v>
      </c>
      <c r="R70" s="600">
        <f t="shared" si="22"/>
        <v>1832</v>
      </c>
      <c r="S70" s="527">
        <f t="shared" si="23"/>
        <v>11803</v>
      </c>
      <c r="T70" s="527">
        <f t="shared" si="24"/>
        <v>0</v>
      </c>
    </row>
    <row r="71" spans="10:20">
      <c r="J71" s="598">
        <v>42401</v>
      </c>
      <c r="K71" s="602">
        <f>SUMIFS(_1022_KWH,_1022_RateCategory,"KURSE010",_1022_RevenueMonth,"Feb 2016")</f>
        <v>640535387</v>
      </c>
      <c r="L71" s="1115">
        <f t="shared" si="17"/>
        <v>1.5885994817458006E-5</v>
      </c>
      <c r="M71" s="602">
        <f t="shared" si="18"/>
        <v>10176</v>
      </c>
      <c r="N71" s="462">
        <f t="shared" si="19"/>
        <v>640525211</v>
      </c>
      <c r="P71" s="527">
        <f t="shared" si="20"/>
        <v>5906</v>
      </c>
      <c r="Q71" s="600">
        <f t="shared" si="21"/>
        <v>2533</v>
      </c>
      <c r="R71" s="600">
        <f t="shared" si="22"/>
        <v>1737</v>
      </c>
      <c r="S71" s="527">
        <f t="shared" si="23"/>
        <v>10176</v>
      </c>
      <c r="T71" s="527">
        <f t="shared" si="24"/>
        <v>0</v>
      </c>
    </row>
    <row r="72" spans="10:20">
      <c r="J72" s="598">
        <v>42430</v>
      </c>
      <c r="K72" s="602">
        <f>SUMIFS(_1022_KWH,_1022_RateCategory,"KURSE010",_1022_RevenueMonth,"Mar 2016")</f>
        <v>556774760</v>
      </c>
      <c r="L72" s="1115">
        <f t="shared" si="17"/>
        <v>1.5885994817458006E-5</v>
      </c>
      <c r="M72" s="602">
        <f t="shared" si="18"/>
        <v>8845</v>
      </c>
      <c r="N72" s="462">
        <f t="shared" si="19"/>
        <v>556765915</v>
      </c>
      <c r="P72" s="527">
        <f t="shared" si="20"/>
        <v>5322</v>
      </c>
      <c r="Q72" s="600">
        <f t="shared" si="21"/>
        <v>2200</v>
      </c>
      <c r="R72" s="600">
        <f t="shared" si="22"/>
        <v>1323</v>
      </c>
      <c r="S72" s="527">
        <f t="shared" si="23"/>
        <v>8845</v>
      </c>
      <c r="T72" s="527">
        <f t="shared" si="24"/>
        <v>0</v>
      </c>
    </row>
    <row r="73" spans="10:20">
      <c r="J73" s="598">
        <v>42461</v>
      </c>
      <c r="K73" s="602">
        <f>SUMIFS(_1022_KWH,_1022_RateCategory,"KURSE010",_1022_RevenueMonth,"Apr 2016")</f>
        <v>411408947</v>
      </c>
      <c r="L73" s="1115">
        <f t="shared" si="17"/>
        <v>1.5885994817458006E-5</v>
      </c>
      <c r="M73" s="602">
        <f t="shared" si="18"/>
        <v>6536</v>
      </c>
      <c r="N73" s="462">
        <f t="shared" si="19"/>
        <v>411402411</v>
      </c>
      <c r="P73" s="527">
        <f t="shared" si="20"/>
        <v>4008</v>
      </c>
      <c r="Q73" s="600">
        <f t="shared" si="21"/>
        <v>1620</v>
      </c>
      <c r="R73" s="600">
        <f t="shared" si="22"/>
        <v>908</v>
      </c>
      <c r="S73" s="527">
        <f t="shared" si="23"/>
        <v>6536</v>
      </c>
      <c r="T73" s="527">
        <f t="shared" si="24"/>
        <v>0</v>
      </c>
    </row>
    <row r="74" spans="10:20">
      <c r="J74" s="598">
        <v>42491</v>
      </c>
      <c r="K74" s="602">
        <f>SUMIFS(_1022_KWH,_1022_RateCategory,"KURSE010",_1022_RevenueMonth,"May 2016")</f>
        <v>369792176</v>
      </c>
      <c r="L74" s="1115">
        <f t="shared" si="17"/>
        <v>1.5885994817458006E-5</v>
      </c>
      <c r="M74" s="602">
        <f t="shared" si="18"/>
        <v>5875</v>
      </c>
      <c r="N74" s="462">
        <f t="shared" si="19"/>
        <v>369786301</v>
      </c>
      <c r="P74" s="527">
        <f t="shared" si="20"/>
        <v>3962</v>
      </c>
      <c r="Q74" s="600">
        <f t="shared" si="21"/>
        <v>1210</v>
      </c>
      <c r="R74" s="600">
        <f t="shared" si="22"/>
        <v>703</v>
      </c>
      <c r="S74" s="527">
        <f t="shared" si="23"/>
        <v>5875</v>
      </c>
      <c r="T74" s="527">
        <f t="shared" si="24"/>
        <v>0</v>
      </c>
    </row>
    <row r="75" spans="10:20">
      <c r="J75" s="598">
        <v>42522</v>
      </c>
      <c r="K75" s="602">
        <f>SUMIFS(_1022_KWH,_1022_RateCategory,"KURSE010",_1022_RevenueMonth,"Jun 2016")</f>
        <v>466265095</v>
      </c>
      <c r="L75" s="1115">
        <f t="shared" si="17"/>
        <v>1.5885994817458006E-5</v>
      </c>
      <c r="M75" s="602">
        <f t="shared" si="18"/>
        <v>7407</v>
      </c>
      <c r="N75" s="462">
        <f t="shared" si="19"/>
        <v>466257688</v>
      </c>
      <c r="P75" s="527">
        <f t="shared" si="20"/>
        <v>5242</v>
      </c>
      <c r="Q75" s="600">
        <f t="shared" si="21"/>
        <v>1243</v>
      </c>
      <c r="R75" s="600">
        <f t="shared" si="22"/>
        <v>922</v>
      </c>
      <c r="S75" s="527">
        <f t="shared" si="23"/>
        <v>7407</v>
      </c>
      <c r="T75" s="527">
        <f t="shared" si="24"/>
        <v>0</v>
      </c>
    </row>
    <row r="76" spans="10:20">
      <c r="J76" s="598">
        <v>42186</v>
      </c>
      <c r="K76" s="602">
        <f>SUMIFS(_1022_KWH,_1022_RateCategory,"KURSE010",_1022_RevenueMonth,"Jul 2015")</f>
        <v>564329531</v>
      </c>
      <c r="L76" s="1115">
        <f t="shared" si="17"/>
        <v>1.5885994817458006E-5</v>
      </c>
      <c r="M76" s="602">
        <f t="shared" si="18"/>
        <v>8965</v>
      </c>
      <c r="N76" s="462">
        <f t="shared" si="19"/>
        <v>564320566</v>
      </c>
      <c r="P76" s="527">
        <f t="shared" si="20"/>
        <v>5924</v>
      </c>
      <c r="Q76" s="600">
        <f t="shared" si="21"/>
        <v>1775</v>
      </c>
      <c r="R76" s="600">
        <f t="shared" si="22"/>
        <v>1266</v>
      </c>
      <c r="S76" s="527">
        <f t="shared" si="23"/>
        <v>8965</v>
      </c>
      <c r="T76" s="527">
        <f t="shared" si="24"/>
        <v>0</v>
      </c>
    </row>
    <row r="77" spans="10:20">
      <c r="J77" s="598">
        <v>42217</v>
      </c>
      <c r="K77" s="602">
        <f>SUMIFS(_1022_KWH,_1022_RateCategory,"KURSE010",_1022_RevenueMonth,"Aug 2015")</f>
        <v>576723280</v>
      </c>
      <c r="L77" s="1115">
        <f t="shared" si="17"/>
        <v>1.5885994817458006E-5</v>
      </c>
      <c r="M77" s="602">
        <f t="shared" si="18"/>
        <v>9162</v>
      </c>
      <c r="N77" s="462">
        <f t="shared" si="19"/>
        <v>576714118</v>
      </c>
      <c r="P77" s="527">
        <f t="shared" si="20"/>
        <v>5929</v>
      </c>
      <c r="Q77" s="600">
        <f t="shared" si="21"/>
        <v>1787</v>
      </c>
      <c r="R77" s="600">
        <f t="shared" si="22"/>
        <v>1446</v>
      </c>
      <c r="S77" s="527">
        <f t="shared" si="23"/>
        <v>9162</v>
      </c>
      <c r="T77" s="527">
        <f t="shared" si="24"/>
        <v>0</v>
      </c>
    </row>
    <row r="78" spans="10:20">
      <c r="K78" s="462">
        <f>SUM(K66:K77)</f>
        <v>6197389895</v>
      </c>
      <c r="M78" s="462">
        <f>SUM(M66:M77)</f>
        <v>98454</v>
      </c>
      <c r="N78" s="462">
        <f>K78-M78</f>
        <v>6197291441</v>
      </c>
      <c r="P78" s="527">
        <f>SUM(P66:P77)</f>
        <v>62620</v>
      </c>
      <c r="Q78" s="527">
        <f>SUM(Q66:Q77)</f>
        <v>21870</v>
      </c>
      <c r="R78" s="527">
        <f>SUM(R66:R77)</f>
        <v>13964</v>
      </c>
      <c r="S78" s="527">
        <f>SUM(S66:S77)</f>
        <v>98454</v>
      </c>
    </row>
    <row r="81" spans="1:16">
      <c r="B81" s="447" t="s">
        <v>1695</v>
      </c>
      <c r="F81" s="447" t="s">
        <v>1693</v>
      </c>
      <c r="J81" s="439" t="s">
        <v>1694</v>
      </c>
      <c r="N81" s="447" t="s">
        <v>1696</v>
      </c>
    </row>
    <row r="82" spans="1:16">
      <c r="B82" s="1128" t="s">
        <v>672</v>
      </c>
      <c r="C82" s="1128" t="s">
        <v>1691</v>
      </c>
      <c r="D82" s="1128" t="s">
        <v>1692</v>
      </c>
      <c r="E82" s="1128"/>
      <c r="F82" s="1128" t="s">
        <v>61</v>
      </c>
      <c r="G82" s="1128" t="s">
        <v>60</v>
      </c>
      <c r="H82" s="1128" t="s">
        <v>62</v>
      </c>
      <c r="J82" s="1128" t="s">
        <v>61</v>
      </c>
      <c r="K82" s="1128" t="s">
        <v>60</v>
      </c>
      <c r="L82" s="1128" t="s">
        <v>62</v>
      </c>
      <c r="N82" s="1128" t="s">
        <v>61</v>
      </c>
      <c r="O82" s="1128" t="s">
        <v>60</v>
      </c>
      <c r="P82" s="1128" t="s">
        <v>62</v>
      </c>
    </row>
    <row r="83" spans="1:16">
      <c r="A83" s="598">
        <v>42248</v>
      </c>
      <c r="B83" s="439">
        <v>2.51709621185705E-3</v>
      </c>
      <c r="C83" s="439">
        <v>1.1331166939715901E-2</v>
      </c>
      <c r="D83" s="439">
        <v>3.41748518099197E-2</v>
      </c>
      <c r="F83" s="439">
        <v>188.96505780714099</v>
      </c>
      <c r="G83" s="439">
        <v>850.66061666592998</v>
      </c>
      <c r="H83" s="439">
        <v>2565.5963476451798</v>
      </c>
      <c r="J83" s="601">
        <f>B83*$M66/10</f>
        <v>1.8012340492049048</v>
      </c>
      <c r="K83" s="601">
        <f t="shared" ref="K83:L83" si="25">C83*$M66/10</f>
        <v>8.1085830620606991</v>
      </c>
      <c r="L83" s="601">
        <f t="shared" si="25"/>
        <v>24.455523955178538</v>
      </c>
      <c r="N83" s="487">
        <f>F83*1000-J83</f>
        <v>188963.25657309178</v>
      </c>
      <c r="O83" s="487">
        <f t="shared" ref="O83:O94" si="26">G83*1000-K83</f>
        <v>850652.50808286795</v>
      </c>
      <c r="P83" s="487">
        <f t="shared" ref="P83:P94" si="27">H83*1000-L83</f>
        <v>2565571.8921212247</v>
      </c>
    </row>
    <row r="84" spans="1:16">
      <c r="A84" s="598">
        <v>42278</v>
      </c>
      <c r="B84" s="439">
        <v>1.42220105275779E-2</v>
      </c>
      <c r="C84" s="439">
        <v>1.1424623564345E-2</v>
      </c>
      <c r="D84" s="439">
        <v>3.7483510564547802E-2</v>
      </c>
      <c r="F84" s="439">
        <v>883.839650830457</v>
      </c>
      <c r="G84" s="439">
        <v>709.993519017582</v>
      </c>
      <c r="H84" s="439">
        <v>2329.44651707495</v>
      </c>
      <c r="J84" s="601">
        <f t="shared" ref="J84:L84" si="28">B84*$M67/10</f>
        <v>8.4236968354843889</v>
      </c>
      <c r="K84" s="601">
        <f t="shared" si="28"/>
        <v>6.7668045371615433</v>
      </c>
      <c r="L84" s="601">
        <f t="shared" si="28"/>
        <v>22.201483307381661</v>
      </c>
      <c r="N84" s="487">
        <f t="shared" ref="N84:N94" si="29">F84*1000-J84</f>
        <v>883831.22713362146</v>
      </c>
      <c r="O84" s="487">
        <f t="shared" si="26"/>
        <v>709986.75221304491</v>
      </c>
      <c r="P84" s="487">
        <f t="shared" si="27"/>
        <v>2329424.3155916426</v>
      </c>
    </row>
    <row r="85" spans="1:16">
      <c r="A85" s="598">
        <v>42309</v>
      </c>
      <c r="B85" s="439">
        <v>1.9458096423145201E-2</v>
      </c>
      <c r="C85" s="439">
        <v>1.12957263242332E-2</v>
      </c>
      <c r="D85" s="439">
        <v>3.6275309601438897E-2</v>
      </c>
      <c r="F85" s="439">
        <v>1380.80869826189</v>
      </c>
      <c r="G85" s="439">
        <v>801.58083414235296</v>
      </c>
      <c r="H85" s="439">
        <v>2574.2118828350099</v>
      </c>
      <c r="J85" s="601">
        <f t="shared" ref="J85:L85" si="30">B85*$M68/10</f>
        <v>13.161456420615414</v>
      </c>
      <c r="K85" s="601">
        <f t="shared" si="30"/>
        <v>7.6404292857113365</v>
      </c>
      <c r="L85" s="601">
        <f t="shared" si="30"/>
        <v>24.53661941441327</v>
      </c>
      <c r="N85" s="487">
        <f t="shared" si="29"/>
        <v>1380795.5368054693</v>
      </c>
      <c r="O85" s="487">
        <f t="shared" si="26"/>
        <v>801573.19371306722</v>
      </c>
      <c r="P85" s="487">
        <f t="shared" si="27"/>
        <v>2574187.3462155955</v>
      </c>
    </row>
    <row r="86" spans="1:16">
      <c r="A86" s="598">
        <v>42339</v>
      </c>
      <c r="B86" s="439">
        <v>1.4132139583997901E-2</v>
      </c>
      <c r="C86" s="439">
        <v>9.4728590236044397E-3</v>
      </c>
      <c r="D86" s="439">
        <v>3.0318152855329201E-2</v>
      </c>
      <c r="F86" s="439">
        <v>1459.2607880307601</v>
      </c>
      <c r="G86" s="439">
        <v>978.15137202167</v>
      </c>
      <c r="H86" s="439">
        <v>3130.60109294426</v>
      </c>
      <c r="J86" s="601">
        <f t="shared" ref="J86:L86" si="31">B86*$M69/10</f>
        <v>13.908851778570732</v>
      </c>
      <c r="K86" s="601">
        <f t="shared" si="31"/>
        <v>9.3231878510314896</v>
      </c>
      <c r="L86" s="601">
        <f t="shared" si="31"/>
        <v>29.839126040215</v>
      </c>
      <c r="N86" s="487">
        <f t="shared" si="29"/>
        <v>1459246.8791789815</v>
      </c>
      <c r="O86" s="487">
        <f t="shared" si="26"/>
        <v>978142.04883381899</v>
      </c>
      <c r="P86" s="487">
        <f t="shared" si="27"/>
        <v>3130571.25381822</v>
      </c>
    </row>
    <row r="87" spans="1:16">
      <c r="A87" s="598">
        <v>42370</v>
      </c>
      <c r="B87" s="439">
        <v>1.90011844099639E-2</v>
      </c>
      <c r="C87" s="439">
        <v>4.9626866686950204E-3</v>
      </c>
      <c r="D87" s="439">
        <v>2.7550245345869698E-2</v>
      </c>
      <c r="F87" s="439">
        <v>2352.8783509360301</v>
      </c>
      <c r="G87" s="439">
        <v>614.51948327644004</v>
      </c>
      <c r="H87" s="439">
        <v>3411.49132805012</v>
      </c>
      <c r="J87" s="601">
        <f t="shared" ref="J87:L87" si="32">B87*$M70/10</f>
        <v>22.427097959080392</v>
      </c>
      <c r="K87" s="601">
        <f t="shared" si="32"/>
        <v>5.8574590750607332</v>
      </c>
      <c r="L87" s="601">
        <f t="shared" si="32"/>
        <v>32.51755458173001</v>
      </c>
      <c r="N87" s="487">
        <f t="shared" si="29"/>
        <v>2352855.9238380711</v>
      </c>
      <c r="O87" s="487">
        <f t="shared" si="26"/>
        <v>614513.62581736501</v>
      </c>
      <c r="P87" s="487">
        <f t="shared" si="27"/>
        <v>3411458.8104955386</v>
      </c>
    </row>
    <row r="88" spans="1:16">
      <c r="A88" s="598">
        <v>42401</v>
      </c>
      <c r="B88" s="439">
        <v>2.58035295702101E-2</v>
      </c>
      <c r="C88" s="439">
        <v>5.7568599673309198E-3</v>
      </c>
      <c r="D88" s="439">
        <v>3.2550558987502899E-2</v>
      </c>
      <c r="F88" s="439">
        <v>2754.7070771195599</v>
      </c>
      <c r="G88" s="439">
        <v>614.58502608500498</v>
      </c>
      <c r="H88" s="439">
        <v>3474.9996105413402</v>
      </c>
      <c r="J88" s="601">
        <f t="shared" ref="J88:L88" si="33">B88*$M71/10</f>
        <v>26.2576716906458</v>
      </c>
      <c r="K88" s="601">
        <f t="shared" si="33"/>
        <v>5.858180702755944</v>
      </c>
      <c r="L88" s="601">
        <f t="shared" si="33"/>
        <v>33.123448825682949</v>
      </c>
      <c r="N88" s="487">
        <f t="shared" si="29"/>
        <v>2754680.8194478694</v>
      </c>
      <c r="O88" s="487">
        <f t="shared" si="26"/>
        <v>614579.16790430225</v>
      </c>
      <c r="P88" s="487">
        <f t="shared" si="27"/>
        <v>3474966.4870925141</v>
      </c>
    </row>
    <row r="89" spans="1:16">
      <c r="A89" s="598">
        <v>42430</v>
      </c>
      <c r="B89" s="439">
        <v>1.45980253875093E-2</v>
      </c>
      <c r="C89" s="439">
        <v>7.37298202380596E-3</v>
      </c>
      <c r="D89" s="439">
        <v>3.4577992665740701E-2</v>
      </c>
      <c r="F89" s="439">
        <v>1354.64964081371</v>
      </c>
      <c r="G89" s="439">
        <v>684.18893549950599</v>
      </c>
      <c r="H89" s="439">
        <v>3208.7261188615498</v>
      </c>
      <c r="J89" s="601">
        <f t="shared" ref="J89:L89" si="34">B89*$M72/10</f>
        <v>12.911953455251975</v>
      </c>
      <c r="K89" s="601">
        <f t="shared" si="34"/>
        <v>6.5214026000563718</v>
      </c>
      <c r="L89" s="601">
        <f t="shared" si="34"/>
        <v>30.584234512847651</v>
      </c>
      <c r="N89" s="487">
        <f t="shared" si="29"/>
        <v>1354636.7288602546</v>
      </c>
      <c r="O89" s="487">
        <f t="shared" si="26"/>
        <v>684182.41409690585</v>
      </c>
      <c r="P89" s="487">
        <f t="shared" si="27"/>
        <v>3208695.5346270371</v>
      </c>
    </row>
    <row r="90" spans="1:16">
      <c r="A90" s="598">
        <v>42461</v>
      </c>
      <c r="B90" s="439">
        <v>2.3252598082711101E-2</v>
      </c>
      <c r="C90" s="439">
        <v>7.8642244302057993E-3</v>
      </c>
      <c r="D90" s="439">
        <v>4.5021167859799698E-2</v>
      </c>
      <c r="F90" s="439">
        <v>1594.41652221194</v>
      </c>
      <c r="G90" s="439">
        <v>539.24509086259604</v>
      </c>
      <c r="H90" s="439">
        <v>3087.07412520557</v>
      </c>
      <c r="J90" s="601">
        <f t="shared" ref="J90:L90" si="35">B90*$M73/10</f>
        <v>15.197898106859975</v>
      </c>
      <c r="K90" s="601">
        <f t="shared" si="35"/>
        <v>5.1400570875825107</v>
      </c>
      <c r="L90" s="601">
        <f t="shared" si="35"/>
        <v>29.425835313165084</v>
      </c>
      <c r="N90" s="487">
        <f t="shared" si="29"/>
        <v>1594401.3243138331</v>
      </c>
      <c r="O90" s="487">
        <f t="shared" si="26"/>
        <v>539239.95080550853</v>
      </c>
      <c r="P90" s="487">
        <f t="shared" si="27"/>
        <v>3087044.6993702566</v>
      </c>
    </row>
    <row r="91" spans="1:16">
      <c r="A91" s="598">
        <v>42491</v>
      </c>
      <c r="B91" s="439">
        <v>5.41468622966921E-3</v>
      </c>
      <c r="C91" s="439">
        <v>1.0971993383335399E-2</v>
      </c>
      <c r="D91" s="439">
        <v>4.0693257447169298E-2</v>
      </c>
      <c r="F91" s="439">
        <v>333.72619094548497</v>
      </c>
      <c r="G91" s="439">
        <v>676.24261196078498</v>
      </c>
      <c r="H91" s="439">
        <v>2508.06883889142</v>
      </c>
      <c r="J91" s="601">
        <f t="shared" ref="J91:L91" si="36">B91*$M74/10</f>
        <v>3.1811281599306609</v>
      </c>
      <c r="K91" s="601">
        <f t="shared" si="36"/>
        <v>6.4460461127095474</v>
      </c>
      <c r="L91" s="601">
        <f t="shared" si="36"/>
        <v>23.907288750211961</v>
      </c>
      <c r="N91" s="487">
        <f t="shared" si="29"/>
        <v>333723.00981732504</v>
      </c>
      <c r="O91" s="487">
        <f t="shared" si="26"/>
        <v>676236.16591467231</v>
      </c>
      <c r="P91" s="487">
        <f t="shared" si="27"/>
        <v>2508044.9316026699</v>
      </c>
    </row>
    <row r="92" spans="1:16">
      <c r="A92" s="598">
        <v>42522</v>
      </c>
      <c r="B92" s="439">
        <v>1.23835635197627E-2</v>
      </c>
      <c r="C92" s="439">
        <v>8.6188454796404992E-3</v>
      </c>
      <c r="D92" s="439">
        <v>3.5435077604059499E-2</v>
      </c>
      <c r="F92" s="439">
        <v>962.35614762141302</v>
      </c>
      <c r="G92" s="439">
        <v>669.79096279468899</v>
      </c>
      <c r="H92" s="439">
        <v>2753.7440833801302</v>
      </c>
      <c r="J92" s="601">
        <f t="shared" ref="J92:L92" si="37">B92*$M75/10</f>
        <v>9.1725054990882313</v>
      </c>
      <c r="K92" s="601">
        <f t="shared" si="37"/>
        <v>6.3839788467697174</v>
      </c>
      <c r="L92" s="601">
        <f t="shared" si="37"/>
        <v>26.24676198132687</v>
      </c>
      <c r="N92" s="487">
        <f t="shared" si="29"/>
        <v>962346.9751159139</v>
      </c>
      <c r="O92" s="487">
        <f t="shared" si="26"/>
        <v>669784.57881584228</v>
      </c>
      <c r="P92" s="487">
        <f t="shared" si="27"/>
        <v>2753717.8366181487</v>
      </c>
    </row>
    <row r="93" spans="1:16">
      <c r="A93" s="598">
        <v>42186</v>
      </c>
      <c r="B93" s="439">
        <v>1.1772187970790399E-2</v>
      </c>
      <c r="C93" s="439">
        <v>8.8337010706482505E-3</v>
      </c>
      <c r="D93" s="439">
        <v>2.5741012991380902E-2</v>
      </c>
      <c r="F93" s="439">
        <v>1107.2462604751299</v>
      </c>
      <c r="G93" s="439">
        <v>830.86359994417705</v>
      </c>
      <c r="H93" s="439">
        <v>2421.0996669665601</v>
      </c>
      <c r="J93" s="601">
        <f t="shared" ref="J93:L93" si="38">B93*$M76/10</f>
        <v>10.553766515813594</v>
      </c>
      <c r="K93" s="601">
        <f t="shared" si="38"/>
        <v>7.9194130098361573</v>
      </c>
      <c r="L93" s="601">
        <f t="shared" si="38"/>
        <v>23.076818146772979</v>
      </c>
      <c r="N93" s="487">
        <f t="shared" si="29"/>
        <v>1107235.706708614</v>
      </c>
      <c r="O93" s="487">
        <f t="shared" si="26"/>
        <v>830855.68053116719</v>
      </c>
      <c r="P93" s="487">
        <f t="shared" si="27"/>
        <v>2421076.5901484136</v>
      </c>
    </row>
    <row r="94" spans="1:16">
      <c r="A94" s="598">
        <v>42217</v>
      </c>
      <c r="B94" s="439">
        <v>1.2869453467747099E-2</v>
      </c>
      <c r="C94" s="439">
        <v>1.10445722524933E-2</v>
      </c>
      <c r="D94" s="439">
        <v>2.5412293838646498E-2</v>
      </c>
      <c r="F94" s="439">
        <v>1237.0316069288499</v>
      </c>
      <c r="G94" s="439">
        <v>1061.62122545327</v>
      </c>
      <c r="H94" s="439">
        <v>2442.66866201834</v>
      </c>
      <c r="J94" s="601">
        <f t="shared" ref="J94:L94" si="39">B94*$M77/10</f>
        <v>11.790993267149892</v>
      </c>
      <c r="K94" s="601">
        <f t="shared" si="39"/>
        <v>10.11903709773436</v>
      </c>
      <c r="L94" s="601">
        <f t="shared" si="39"/>
        <v>23.28274361496792</v>
      </c>
      <c r="N94" s="487">
        <f t="shared" si="29"/>
        <v>1237019.8159355826</v>
      </c>
      <c r="O94" s="487">
        <f t="shared" si="26"/>
        <v>1061611.1064161721</v>
      </c>
      <c r="P94" s="487">
        <f t="shared" si="27"/>
        <v>2442645.379274725</v>
      </c>
    </row>
    <row r="96" spans="1:16">
      <c r="F96" s="439">
        <f>SUM(F83:F94)</f>
        <v>15609.885991982363</v>
      </c>
      <c r="G96" s="439">
        <f t="shared" ref="G96:H96" si="40">SUM(G83:G94)</f>
        <v>9031.4432777240036</v>
      </c>
      <c r="H96" s="439">
        <f t="shared" si="40"/>
        <v>33907.728274414432</v>
      </c>
      <c r="J96" s="487">
        <f>SUM(J83:J94)</f>
        <v>148.78825373769598</v>
      </c>
      <c r="K96" s="487">
        <f t="shared" ref="K96:L96" si="41">SUM(K83:K94)</f>
        <v>86.084579268470421</v>
      </c>
      <c r="L96" s="487">
        <f t="shared" si="41"/>
        <v>323.19743844389393</v>
      </c>
      <c r="N96" s="487">
        <f>SUM(N83:N94)</f>
        <v>15609737.203728626</v>
      </c>
      <c r="O96" s="487">
        <f t="shared" ref="O96:P96" si="42">SUM(O83:O94)</f>
        <v>9031357.1931447349</v>
      </c>
      <c r="P96" s="487">
        <f t="shared" si="42"/>
        <v>33907405.076975986</v>
      </c>
    </row>
    <row r="100" spans="2:9">
      <c r="B100" s="439" t="s">
        <v>1698</v>
      </c>
      <c r="G100" s="439" t="s">
        <v>1703</v>
      </c>
      <c r="I100" s="439" t="s">
        <v>1706</v>
      </c>
    </row>
    <row r="101" spans="2:9">
      <c r="C101" s="1128" t="s">
        <v>1699</v>
      </c>
      <c r="D101" s="1128" t="s">
        <v>858</v>
      </c>
      <c r="E101" s="1128" t="s">
        <v>136</v>
      </c>
    </row>
    <row r="102" spans="2:9">
      <c r="B102" s="439" t="s">
        <v>94</v>
      </c>
      <c r="C102" s="462">
        <f>F44</f>
        <v>85</v>
      </c>
      <c r="D102" s="439">
        <v>10.75</v>
      </c>
      <c r="E102" s="601">
        <f>C102*D102</f>
        <v>913.75</v>
      </c>
      <c r="G102" s="601">
        <f>SUMIF(_SBR_RateClass,"RS",_SBR_BSC_Revenue)</f>
        <v>55515683</v>
      </c>
      <c r="I102" s="487">
        <f>G102-E102</f>
        <v>55514769.25</v>
      </c>
    </row>
    <row r="103" spans="2:9">
      <c r="B103" s="439" t="s">
        <v>1700</v>
      </c>
      <c r="C103" s="527">
        <f>$P$78</f>
        <v>62620</v>
      </c>
      <c r="D103" s="439">
        <f>Rates!$G$179</f>
        <v>5.5870000000000003E-2</v>
      </c>
      <c r="E103" s="601">
        <f>ROUND(C103*D103,2)</f>
        <v>3498.58</v>
      </c>
      <c r="G103" s="601">
        <f>SUMIF(_SBR_RateClass,"RS",_SBR_Energy_Revenue)</f>
        <v>479933501</v>
      </c>
      <c r="I103" s="487">
        <f>G103-SUM(E103:E105)</f>
        <v>479926308.22000003</v>
      </c>
    </row>
    <row r="104" spans="2:9">
      <c r="B104" s="439" t="s">
        <v>1701</v>
      </c>
      <c r="C104" s="527">
        <f>$Q$78</f>
        <v>21870</v>
      </c>
      <c r="D104" s="439">
        <f>Rates!$H$179</f>
        <v>7.7630000000000005E-2</v>
      </c>
      <c r="E104" s="601">
        <f t="shared" ref="E104:E105" si="43">ROUND(C104*D104,2)</f>
        <v>1697.77</v>
      </c>
    </row>
    <row r="105" spans="2:9">
      <c r="B105" s="439" t="s">
        <v>1702</v>
      </c>
      <c r="C105" s="527">
        <f>$R$78</f>
        <v>13964</v>
      </c>
      <c r="D105" s="439">
        <f>Rates!$I$179</f>
        <v>0.14297000000000001</v>
      </c>
      <c r="E105" s="601">
        <f t="shared" si="43"/>
        <v>1996.43</v>
      </c>
    </row>
    <row r="107" spans="2:9">
      <c r="B107" s="439" t="s">
        <v>61</v>
      </c>
      <c r="E107" s="487">
        <f>J96</f>
        <v>148.78825373769598</v>
      </c>
      <c r="G107" s="601">
        <f>SUMIF(_SBR_RateClass,"RS",_SBR_FAC)</f>
        <v>15609887</v>
      </c>
      <c r="I107" s="487">
        <f t="shared" ref="I107:I109" si="44">G107-E107</f>
        <v>15609738.211746262</v>
      </c>
    </row>
    <row r="108" spans="2:9">
      <c r="B108" s="439" t="s">
        <v>60</v>
      </c>
      <c r="E108" s="487">
        <f>K96</f>
        <v>86.084579268470421</v>
      </c>
      <c r="G108" s="601">
        <f>SUMIF(_SBR_RateClass,"RS",_SBR_DSM)</f>
        <v>9031444</v>
      </c>
      <c r="I108" s="487">
        <f t="shared" si="44"/>
        <v>9031357.9154207315</v>
      </c>
    </row>
    <row r="109" spans="2:9">
      <c r="B109" s="439" t="s">
        <v>62</v>
      </c>
      <c r="E109" s="487">
        <f>L96</f>
        <v>323.19743844389393</v>
      </c>
      <c r="G109" s="601">
        <f>SUMIF(_SBR_RateClass,"RS",_SBR_ECR)</f>
        <v>33907729</v>
      </c>
      <c r="I109" s="487">
        <f t="shared" si="44"/>
        <v>33907405.802561559</v>
      </c>
    </row>
    <row r="111" spans="2:9">
      <c r="C111" s="439" t="s">
        <v>59</v>
      </c>
      <c r="E111" s="487">
        <f>SUM(E102:E109)</f>
        <v>8664.600271450061</v>
      </c>
      <c r="G111" s="487">
        <f>SUM(G102:G109)</f>
        <v>593998244</v>
      </c>
      <c r="I111" s="487">
        <f>SUM(I102:I109)</f>
        <v>593989579.39972854</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heetViews>
  <sheetFormatPr defaultRowHeight="12"/>
  <cols>
    <col min="1" max="2" width="9.33203125" style="439"/>
    <col min="3" max="3" width="9.6640625" style="439" bestFit="1" customWidth="1"/>
    <col min="4" max="4" width="12.5" style="439" bestFit="1" customWidth="1"/>
    <col min="5" max="16384" width="9.33203125" style="439"/>
  </cols>
  <sheetData>
    <row r="1" spans="1:4">
      <c r="A1" s="439" t="s">
        <v>1639</v>
      </c>
    </row>
    <row r="3" spans="1:4">
      <c r="A3" s="439" t="s">
        <v>1640</v>
      </c>
    </row>
    <row r="4" spans="1:4">
      <c r="B4" s="439" t="s">
        <v>1641</v>
      </c>
      <c r="C4" s="439" t="s">
        <v>858</v>
      </c>
      <c r="D4" s="439" t="s">
        <v>136</v>
      </c>
    </row>
    <row r="5" spans="1:4">
      <c r="A5" s="598">
        <v>42186</v>
      </c>
      <c r="B5" s="439">
        <v>800</v>
      </c>
      <c r="C5" s="601">
        <v>11.99</v>
      </c>
      <c r="D5" s="601">
        <f>B5*C5</f>
        <v>9592</v>
      </c>
    </row>
    <row r="6" spans="1:4">
      <c r="A6" s="598">
        <v>42217</v>
      </c>
      <c r="B6" s="439">
        <v>800</v>
      </c>
      <c r="C6" s="601">
        <v>11.99</v>
      </c>
      <c r="D6" s="601">
        <f t="shared" ref="D6:D16" si="0">B6*C6</f>
        <v>9592</v>
      </c>
    </row>
    <row r="7" spans="1:4">
      <c r="A7" s="598">
        <v>42248</v>
      </c>
      <c r="B7" s="439">
        <v>800</v>
      </c>
      <c r="C7" s="601">
        <v>11.99</v>
      </c>
      <c r="D7" s="601">
        <f t="shared" si="0"/>
        <v>9592</v>
      </c>
    </row>
    <row r="8" spans="1:4">
      <c r="A8" s="598">
        <v>42278</v>
      </c>
      <c r="B8" s="439">
        <v>800</v>
      </c>
      <c r="C8" s="601">
        <v>11.99</v>
      </c>
      <c r="D8" s="601">
        <f t="shared" si="0"/>
        <v>9592</v>
      </c>
    </row>
    <row r="9" spans="1:4">
      <c r="A9" s="598">
        <v>42309</v>
      </c>
      <c r="B9" s="439">
        <v>800</v>
      </c>
      <c r="C9" s="601">
        <v>11.99</v>
      </c>
      <c r="D9" s="601">
        <f t="shared" si="0"/>
        <v>9592</v>
      </c>
    </row>
    <row r="10" spans="1:4">
      <c r="A10" s="598">
        <v>42339</v>
      </c>
      <c r="B10" s="439">
        <v>800</v>
      </c>
      <c r="C10" s="601">
        <v>11.99</v>
      </c>
      <c r="D10" s="601">
        <f t="shared" si="0"/>
        <v>9592</v>
      </c>
    </row>
    <row r="11" spans="1:4">
      <c r="A11" s="598">
        <v>42370</v>
      </c>
      <c r="B11" s="439">
        <v>800</v>
      </c>
      <c r="C11" s="601">
        <v>11.99</v>
      </c>
      <c r="D11" s="601">
        <f t="shared" si="0"/>
        <v>9592</v>
      </c>
    </row>
    <row r="12" spans="1:4">
      <c r="A12" s="598">
        <v>42401</v>
      </c>
      <c r="B12" s="439">
        <v>800</v>
      </c>
      <c r="C12" s="601">
        <v>11.99</v>
      </c>
      <c r="D12" s="601">
        <f t="shared" si="0"/>
        <v>9592</v>
      </c>
    </row>
    <row r="13" spans="1:4">
      <c r="A13" s="598">
        <v>42430</v>
      </c>
      <c r="B13" s="439">
        <v>800</v>
      </c>
      <c r="C13" s="601">
        <v>11.99</v>
      </c>
      <c r="D13" s="601">
        <f t="shared" si="0"/>
        <v>9592</v>
      </c>
    </row>
    <row r="14" spans="1:4">
      <c r="A14" s="598">
        <v>42461</v>
      </c>
      <c r="B14" s="439">
        <v>800</v>
      </c>
      <c r="C14" s="601">
        <v>11.99</v>
      </c>
      <c r="D14" s="601">
        <f t="shared" si="0"/>
        <v>9592</v>
      </c>
    </row>
    <row r="15" spans="1:4">
      <c r="A15" s="598">
        <v>42491</v>
      </c>
      <c r="B15" s="439">
        <v>800</v>
      </c>
      <c r="C15" s="601">
        <v>11.99</v>
      </c>
      <c r="D15" s="601">
        <f t="shared" si="0"/>
        <v>9592</v>
      </c>
    </row>
    <row r="16" spans="1:4">
      <c r="A16" s="598">
        <v>42522</v>
      </c>
      <c r="B16" s="439">
        <v>800</v>
      </c>
      <c r="C16" s="601">
        <v>11.99</v>
      </c>
      <c r="D16" s="601">
        <f t="shared" si="0"/>
        <v>9592</v>
      </c>
    </row>
    <row r="17" spans="1:4">
      <c r="A17" s="598"/>
      <c r="B17" s="439">
        <f>SUM(B5:B16)</f>
        <v>9600</v>
      </c>
      <c r="C17" s="601"/>
      <c r="D17" s="601">
        <f>SUM(D5:D16)</f>
        <v>115104</v>
      </c>
    </row>
    <row r="18" spans="1:4">
      <c r="A18" s="598"/>
    </row>
    <row r="19" spans="1:4">
      <c r="A19" s="598" t="s">
        <v>1642</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selection activeCell="A20" sqref="A20"/>
    </sheetView>
  </sheetViews>
  <sheetFormatPr defaultRowHeight="12"/>
  <cols>
    <col min="1" max="1" width="18.6640625" style="439" customWidth="1"/>
    <col min="2" max="2" width="17" style="439" customWidth="1"/>
    <col min="3" max="4" width="12.5" style="439" bestFit="1" customWidth="1"/>
    <col min="5" max="5" width="15.1640625" style="439" bestFit="1" customWidth="1"/>
    <col min="6" max="6" width="19.6640625" style="439" customWidth="1"/>
    <col min="7" max="8" width="12.5" style="439" bestFit="1" customWidth="1"/>
    <col min="9" max="9" width="9.33203125" style="439"/>
    <col min="10" max="10" width="13.1640625" style="439" customWidth="1"/>
    <col min="11" max="11" width="10.1640625" style="439" bestFit="1" customWidth="1"/>
    <col min="12" max="12" width="11.6640625" style="439" customWidth="1"/>
    <col min="13" max="16" width="9.33203125" style="439"/>
    <col min="17" max="17" width="10.6640625" style="439" bestFit="1" customWidth="1"/>
    <col min="18" max="18" width="12.1640625" style="439" customWidth="1"/>
    <col min="19" max="19" width="9.33203125" style="439"/>
    <col min="20" max="20" width="10.33203125" style="439" customWidth="1"/>
    <col min="21" max="21" width="11.33203125" style="439" customWidth="1"/>
    <col min="22" max="16384" width="9.33203125" style="439"/>
  </cols>
  <sheetData>
    <row r="1" spans="1:21">
      <c r="B1" s="439" t="s">
        <v>1666</v>
      </c>
      <c r="F1" s="447" t="s">
        <v>1667</v>
      </c>
      <c r="J1" s="439" t="s">
        <v>1669</v>
      </c>
      <c r="N1" s="447" t="s">
        <v>1734</v>
      </c>
      <c r="Q1" s="447" t="s">
        <v>1672</v>
      </c>
      <c r="T1" s="447" t="s">
        <v>1673</v>
      </c>
    </row>
    <row r="2" spans="1:21">
      <c r="B2" s="439" t="s">
        <v>73</v>
      </c>
      <c r="F2" s="439" t="s">
        <v>73</v>
      </c>
      <c r="G2" s="447" t="s">
        <v>217</v>
      </c>
      <c r="H2" s="447" t="s">
        <v>168</v>
      </c>
      <c r="J2" s="447" t="s">
        <v>217</v>
      </c>
      <c r="K2" s="447" t="s">
        <v>168</v>
      </c>
      <c r="L2" s="447" t="s">
        <v>73</v>
      </c>
      <c r="N2" s="439" t="s">
        <v>1670</v>
      </c>
      <c r="O2" s="439" t="s">
        <v>1671</v>
      </c>
      <c r="Q2" s="447" t="s">
        <v>217</v>
      </c>
      <c r="R2" s="447" t="s">
        <v>168</v>
      </c>
      <c r="T2" s="447" t="s">
        <v>217</v>
      </c>
      <c r="U2" s="447" t="s">
        <v>168</v>
      </c>
    </row>
    <row r="3" spans="1:21">
      <c r="B3" s="439" t="s">
        <v>1228</v>
      </c>
      <c r="C3" s="439" t="s">
        <v>61</v>
      </c>
      <c r="D3" s="439" t="s">
        <v>62</v>
      </c>
      <c r="E3" s="439" t="s">
        <v>1668</v>
      </c>
      <c r="G3" s="447"/>
      <c r="H3" s="447"/>
      <c r="Q3" s="439" t="s">
        <v>19</v>
      </c>
      <c r="R3" s="439" t="s">
        <v>20</v>
      </c>
      <c r="T3" s="439" t="s">
        <v>19</v>
      </c>
      <c r="U3" s="439" t="s">
        <v>20</v>
      </c>
    </row>
    <row r="4" spans="1:21">
      <c r="A4" s="1129" t="s">
        <v>1654</v>
      </c>
      <c r="B4" s="601">
        <f t="shared" ref="B4:B15" si="0">SUMIFS(_SBR_Revenue_Actual,_SBR_Rate_Category,$B$2,_SBR_Revenue_Month,$A4)</f>
        <v>2204631</v>
      </c>
      <c r="C4" s="601">
        <f t="shared" ref="C4:C15" si="1">SUMIFS(_SBR_FAC,_SBR_Rate_Category,$B$2,_SBR_Revenue_Month,$A4)</f>
        <v>16979</v>
      </c>
      <c r="D4" s="601">
        <f t="shared" ref="D4:D15" si="2">SUMIFS(_SBR_ECR,_SBR_Rate_Category,$B$2,_SBR_Revenue_Month,$A4)</f>
        <v>37127</v>
      </c>
      <c r="E4" s="601">
        <f>B4-C4-D4</f>
        <v>2150525</v>
      </c>
      <c r="F4" s="601">
        <f t="shared" ref="F4:F15" si="3">SUMIFS(_12MonLights_Revenue_Calculated,_12MonLights_RevMonth,A4)</f>
        <v>2139385.8099999991</v>
      </c>
      <c r="G4" s="601">
        <f t="shared" ref="G4:G15" si="4">SUMIFS(_12MonResults_Revenue_Calculated,_12MonResults_RateCategory,$G$2,_12MonResults_RevMonth,$A4)</f>
        <v>555.89</v>
      </c>
      <c r="H4" s="601">
        <f t="shared" ref="H4:H15" si="5">SUMIFS(_12MonResults_Revenue_Calculated,_12MonResults_RateCategory,$H$2,_12MonResults_RevMonth,$A4)</f>
        <v>10544.01</v>
      </c>
      <c r="J4" s="602">
        <f t="shared" ref="J4:J15" si="6">SUMIFS(_12MonResults_KWH_Total,_12MonResults_RateCategory,$J$2,_12MonResults_RevMonth,$A4)</f>
        <v>8713</v>
      </c>
      <c r="K4" s="602">
        <f t="shared" ref="K4:K15" si="7">SUMIFS(_12MonResults_KWH_Total,_12MonResults_RateCategory,$K$2,_12MonResults_RevMonth,$A4)</f>
        <v>101733</v>
      </c>
      <c r="L4" s="602">
        <f t="shared" ref="L4:L15" si="8">SUMIFS(_SBR_KWH,_SBR_Rate_Category,$L$2,_SBR_Revenue_Month,A4)</f>
        <v>8653918</v>
      </c>
      <c r="N4" s="439">
        <f>C4/L4</f>
        <v>1.9620014888054173E-3</v>
      </c>
      <c r="O4" s="439">
        <f>D4/L4</f>
        <v>4.2901954929547518E-3</v>
      </c>
      <c r="Q4" s="601">
        <f>J4*N4</f>
        <v>17.094918971961601</v>
      </c>
      <c r="R4" s="601">
        <f>K4*N4</f>
        <v>199.60029746064151</v>
      </c>
      <c r="T4" s="601">
        <f>J4*O4</f>
        <v>37.380473330114754</v>
      </c>
      <c r="U4" s="601">
        <f>K4*O4</f>
        <v>436.45445808476575</v>
      </c>
    </row>
    <row r="5" spans="1:21">
      <c r="A5" s="1129" t="s">
        <v>1655</v>
      </c>
      <c r="B5" s="601">
        <f t="shared" si="0"/>
        <v>2196113</v>
      </c>
      <c r="C5" s="601">
        <f t="shared" si="1"/>
        <v>19370</v>
      </c>
      <c r="D5" s="601">
        <f t="shared" si="2"/>
        <v>38247</v>
      </c>
      <c r="E5" s="601">
        <f t="shared" ref="E5:E15" si="9">B5-C5-D5</f>
        <v>2138496</v>
      </c>
      <c r="F5" s="601">
        <f t="shared" si="3"/>
        <v>2127181.1200000006</v>
      </c>
      <c r="G5" s="601">
        <f t="shared" si="4"/>
        <v>805.35</v>
      </c>
      <c r="H5" s="601">
        <f t="shared" si="5"/>
        <v>10448.35</v>
      </c>
      <c r="J5" s="602">
        <f t="shared" si="6"/>
        <v>12623</v>
      </c>
      <c r="K5" s="602">
        <f t="shared" si="7"/>
        <v>100534</v>
      </c>
      <c r="L5" s="602">
        <f t="shared" si="8"/>
        <v>9030466</v>
      </c>
      <c r="N5" s="439">
        <f t="shared" ref="N5:N15" si="10">C5/L5</f>
        <v>2.1449612899267878E-3</v>
      </c>
      <c r="O5" s="439">
        <f t="shared" ref="O5:O15" si="11">D5/L5</f>
        <v>4.2353296053603438E-3</v>
      </c>
      <c r="Q5" s="601">
        <f t="shared" ref="Q5:Q15" si="12">J5*N5</f>
        <v>27.075846362745843</v>
      </c>
      <c r="R5" s="601">
        <f t="shared" ref="R5:R15" si="13">K5*N5</f>
        <v>215.6415383214997</v>
      </c>
      <c r="T5" s="601">
        <f t="shared" ref="T5:T15" si="14">J5*O5</f>
        <v>53.46256560846362</v>
      </c>
      <c r="U5" s="601">
        <f t="shared" ref="U5:U15" si="15">K5*O5</f>
        <v>425.79462654529681</v>
      </c>
    </row>
    <row r="6" spans="1:21">
      <c r="A6" s="1129" t="s">
        <v>1656</v>
      </c>
      <c r="B6" s="601">
        <f t="shared" si="0"/>
        <v>2091599</v>
      </c>
      <c r="C6" s="601">
        <f t="shared" si="1"/>
        <v>3654</v>
      </c>
      <c r="D6" s="601">
        <f t="shared" si="2"/>
        <v>49611</v>
      </c>
      <c r="E6" s="601">
        <f t="shared" si="9"/>
        <v>2038334</v>
      </c>
      <c r="F6" s="601">
        <f t="shared" si="3"/>
        <v>2027737.01</v>
      </c>
      <c r="G6" s="601">
        <f t="shared" si="4"/>
        <v>811.6</v>
      </c>
      <c r="H6" s="601">
        <f t="shared" si="5"/>
        <v>9747.57</v>
      </c>
      <c r="J6" s="602">
        <f t="shared" si="6"/>
        <v>12721</v>
      </c>
      <c r="K6" s="602">
        <f t="shared" si="7"/>
        <v>91750</v>
      </c>
      <c r="L6" s="602">
        <f t="shared" si="8"/>
        <v>8710078</v>
      </c>
      <c r="N6" s="439">
        <f t="shared" si="10"/>
        <v>4.1951403879506016E-4</v>
      </c>
      <c r="O6" s="439">
        <f t="shared" si="11"/>
        <v>5.6958158124416338E-3</v>
      </c>
      <c r="Q6" s="601">
        <f t="shared" si="12"/>
        <v>5.3366380875119601</v>
      </c>
      <c r="R6" s="601">
        <f t="shared" si="13"/>
        <v>38.490413059446773</v>
      </c>
      <c r="T6" s="601">
        <f t="shared" si="14"/>
        <v>72.456472950070022</v>
      </c>
      <c r="U6" s="601">
        <f t="shared" si="15"/>
        <v>522.59110079151992</v>
      </c>
    </row>
    <row r="7" spans="1:21">
      <c r="A7" s="1129" t="s">
        <v>1657</v>
      </c>
      <c r="B7" s="601">
        <f t="shared" si="0"/>
        <v>2183179</v>
      </c>
      <c r="C7" s="601">
        <f t="shared" si="1"/>
        <v>24506</v>
      </c>
      <c r="D7" s="601">
        <f t="shared" si="2"/>
        <v>64587</v>
      </c>
      <c r="E7" s="601">
        <f t="shared" si="9"/>
        <v>2094086</v>
      </c>
      <c r="F7" s="601">
        <f t="shared" si="3"/>
        <v>2083186.0300000003</v>
      </c>
      <c r="G7" s="601">
        <f t="shared" si="4"/>
        <v>877.38</v>
      </c>
      <c r="H7" s="601">
        <f t="shared" si="5"/>
        <v>10039.560000000001</v>
      </c>
      <c r="J7" s="602">
        <f t="shared" si="6"/>
        <v>13752</v>
      </c>
      <c r="K7" s="602">
        <f t="shared" si="7"/>
        <v>95410</v>
      </c>
      <c r="L7" s="602">
        <f t="shared" si="8"/>
        <v>10338471</v>
      </c>
      <c r="N7" s="439">
        <f t="shared" si="10"/>
        <v>2.3703698544978264E-3</v>
      </c>
      <c r="O7" s="439">
        <f t="shared" si="11"/>
        <v>6.2472487469375304E-3</v>
      </c>
      <c r="Q7" s="601">
        <f t="shared" si="12"/>
        <v>32.597326239054112</v>
      </c>
      <c r="R7" s="601">
        <f t="shared" si="13"/>
        <v>226.15698781763763</v>
      </c>
      <c r="T7" s="601">
        <f t="shared" si="14"/>
        <v>85.912164767884917</v>
      </c>
      <c r="U7" s="601">
        <f t="shared" si="15"/>
        <v>596.05000294530976</v>
      </c>
    </row>
    <row r="8" spans="1:21">
      <c r="A8" s="1129" t="s">
        <v>1658</v>
      </c>
      <c r="B8" s="601">
        <f t="shared" si="0"/>
        <v>2125938</v>
      </c>
      <c r="C8" s="601">
        <f t="shared" si="1"/>
        <v>34427</v>
      </c>
      <c r="D8" s="601">
        <f t="shared" si="2"/>
        <v>64181</v>
      </c>
      <c r="E8" s="601">
        <f t="shared" si="9"/>
        <v>2027330</v>
      </c>
      <c r="F8" s="601">
        <f t="shared" si="3"/>
        <v>2015824.1099999999</v>
      </c>
      <c r="G8" s="601">
        <f t="shared" si="4"/>
        <v>1025.78</v>
      </c>
      <c r="H8" s="601">
        <f t="shared" si="5"/>
        <v>10478.35</v>
      </c>
      <c r="J8" s="602">
        <f t="shared" si="6"/>
        <v>16078</v>
      </c>
      <c r="K8" s="602">
        <f t="shared" si="7"/>
        <v>100910</v>
      </c>
      <c r="L8" s="602">
        <f t="shared" si="8"/>
        <v>10615610</v>
      </c>
      <c r="N8" s="439">
        <f t="shared" si="10"/>
        <v>3.243054332252221E-3</v>
      </c>
      <c r="O8" s="439">
        <f t="shared" si="11"/>
        <v>6.0459078658692249E-3</v>
      </c>
      <c r="Q8" s="601">
        <f t="shared" si="12"/>
        <v>52.141827553951209</v>
      </c>
      <c r="R8" s="601">
        <f t="shared" si="13"/>
        <v>327.25661266757163</v>
      </c>
      <c r="T8" s="601">
        <f t="shared" si="14"/>
        <v>97.206106667445397</v>
      </c>
      <c r="U8" s="601">
        <f t="shared" si="15"/>
        <v>610.09256274486347</v>
      </c>
    </row>
    <row r="9" spans="1:21">
      <c r="A9" s="1129" t="s">
        <v>1659</v>
      </c>
      <c r="B9" s="601">
        <f t="shared" si="0"/>
        <v>2141806</v>
      </c>
      <c r="C9" s="601">
        <f t="shared" si="1"/>
        <v>28964</v>
      </c>
      <c r="D9" s="601">
        <f t="shared" si="2"/>
        <v>62136</v>
      </c>
      <c r="E9" s="601">
        <f t="shared" si="9"/>
        <v>2050706</v>
      </c>
      <c r="F9" s="601">
        <f t="shared" si="3"/>
        <v>2037588.3299999998</v>
      </c>
      <c r="G9" s="601">
        <f t="shared" si="4"/>
        <v>1288.95</v>
      </c>
      <c r="H9" s="601">
        <f t="shared" si="5"/>
        <v>11865.88</v>
      </c>
      <c r="J9" s="602">
        <f t="shared" si="6"/>
        <v>20203</v>
      </c>
      <c r="K9" s="602">
        <f t="shared" si="7"/>
        <v>118302</v>
      </c>
      <c r="L9" s="602">
        <f t="shared" si="8"/>
        <v>12296879</v>
      </c>
      <c r="N9" s="439">
        <f t="shared" si="10"/>
        <v>2.3553944053609048E-3</v>
      </c>
      <c r="O9" s="439">
        <f t="shared" si="11"/>
        <v>5.0529894617975827E-3</v>
      </c>
      <c r="Q9" s="601">
        <f t="shared" si="12"/>
        <v>47.586033171506358</v>
      </c>
      <c r="R9" s="601">
        <f t="shared" si="13"/>
        <v>278.64786894300573</v>
      </c>
      <c r="T9" s="601">
        <f t="shared" si="14"/>
        <v>102.08554609669656</v>
      </c>
      <c r="U9" s="601">
        <f t="shared" si="15"/>
        <v>597.77875930957759</v>
      </c>
    </row>
    <row r="10" spans="1:21">
      <c r="A10" s="1129" t="s">
        <v>1660</v>
      </c>
      <c r="B10" s="601">
        <f t="shared" si="0"/>
        <v>2233943</v>
      </c>
      <c r="C10" s="601">
        <f t="shared" si="1"/>
        <v>40891</v>
      </c>
      <c r="D10" s="601">
        <f t="shared" si="2"/>
        <v>59289</v>
      </c>
      <c r="E10" s="601">
        <f t="shared" si="9"/>
        <v>2133763</v>
      </c>
      <c r="F10" s="601">
        <f t="shared" si="3"/>
        <v>2120272.5199999996</v>
      </c>
      <c r="G10" s="601">
        <f t="shared" si="4"/>
        <v>1332.21</v>
      </c>
      <c r="H10" s="601">
        <f t="shared" si="5"/>
        <v>12158.2</v>
      </c>
      <c r="J10" s="602">
        <f t="shared" si="6"/>
        <v>20881</v>
      </c>
      <c r="K10" s="602">
        <f t="shared" si="7"/>
        <v>121966</v>
      </c>
      <c r="L10" s="602">
        <f t="shared" si="8"/>
        <v>12912242</v>
      </c>
      <c r="N10" s="439">
        <f t="shared" si="10"/>
        <v>3.1668396549569006E-3</v>
      </c>
      <c r="O10" s="439">
        <f t="shared" si="11"/>
        <v>4.5916890343288179E-3</v>
      </c>
      <c r="Q10" s="601">
        <f t="shared" si="12"/>
        <v>66.126778835155037</v>
      </c>
      <c r="R10" s="601">
        <f t="shared" si="13"/>
        <v>386.24676535647336</v>
      </c>
      <c r="T10" s="601">
        <f t="shared" si="14"/>
        <v>95.879058725820045</v>
      </c>
      <c r="U10" s="601">
        <f t="shared" si="15"/>
        <v>560.02994476094864</v>
      </c>
    </row>
    <row r="11" spans="1:21">
      <c r="A11" s="1129" t="s">
        <v>1661</v>
      </c>
      <c r="B11" s="601">
        <f t="shared" si="0"/>
        <v>2197349</v>
      </c>
      <c r="C11" s="601">
        <f t="shared" si="1"/>
        <v>40098</v>
      </c>
      <c r="D11" s="601">
        <f t="shared" si="2"/>
        <v>50583</v>
      </c>
      <c r="E11" s="601">
        <f t="shared" si="9"/>
        <v>2106668</v>
      </c>
      <c r="F11" s="601">
        <f t="shared" si="3"/>
        <v>2095174.6300000001</v>
      </c>
      <c r="G11" s="601">
        <f t="shared" si="4"/>
        <v>743.65</v>
      </c>
      <c r="H11" s="601">
        <f t="shared" si="5"/>
        <v>10749.76</v>
      </c>
      <c r="J11" s="602">
        <f t="shared" si="6"/>
        <v>11656</v>
      </c>
      <c r="K11" s="602">
        <f t="shared" si="7"/>
        <v>104312</v>
      </c>
      <c r="L11" s="602">
        <f t="shared" si="8"/>
        <v>9323849</v>
      </c>
      <c r="N11" s="439">
        <f t="shared" si="10"/>
        <v>4.3005844474744278E-3</v>
      </c>
      <c r="O11" s="439">
        <f t="shared" si="11"/>
        <v>5.4251200335826977E-3</v>
      </c>
      <c r="Q11" s="601">
        <f t="shared" si="12"/>
        <v>50.12761231976193</v>
      </c>
      <c r="R11" s="601">
        <f t="shared" si="13"/>
        <v>448.60256488495253</v>
      </c>
      <c r="T11" s="601">
        <f t="shared" si="14"/>
        <v>63.235199111439925</v>
      </c>
      <c r="U11" s="601">
        <f t="shared" si="15"/>
        <v>565.90512094307837</v>
      </c>
    </row>
    <row r="12" spans="1:21">
      <c r="A12" s="1129" t="s">
        <v>1662</v>
      </c>
      <c r="B12" s="601">
        <f t="shared" si="0"/>
        <v>2210597</v>
      </c>
      <c r="C12" s="601">
        <f t="shared" si="1"/>
        <v>22089</v>
      </c>
      <c r="D12" s="601">
        <f t="shared" si="2"/>
        <v>52323</v>
      </c>
      <c r="E12" s="601">
        <f t="shared" si="9"/>
        <v>2136185</v>
      </c>
      <c r="F12" s="601">
        <f t="shared" si="3"/>
        <v>2124630.6800000002</v>
      </c>
      <c r="G12" s="601">
        <f t="shared" si="4"/>
        <v>816.38</v>
      </c>
      <c r="H12" s="601">
        <f t="shared" si="5"/>
        <v>10749.52</v>
      </c>
      <c r="J12" s="602">
        <f t="shared" si="6"/>
        <v>12796</v>
      </c>
      <c r="K12" s="602">
        <f t="shared" si="7"/>
        <v>104309</v>
      </c>
      <c r="L12" s="602">
        <f t="shared" si="8"/>
        <v>9079099</v>
      </c>
      <c r="N12" s="439">
        <f t="shared" si="10"/>
        <v>2.4329506705456127E-3</v>
      </c>
      <c r="O12" s="439">
        <f t="shared" si="11"/>
        <v>5.7630167927456236E-3</v>
      </c>
      <c r="Q12" s="601">
        <f t="shared" si="12"/>
        <v>31.132036780301661</v>
      </c>
      <c r="R12" s="601">
        <f t="shared" si="13"/>
        <v>253.77865149394231</v>
      </c>
      <c r="T12" s="601">
        <f t="shared" si="14"/>
        <v>73.743562879972998</v>
      </c>
      <c r="U12" s="601">
        <f t="shared" si="15"/>
        <v>601.13451863450325</v>
      </c>
    </row>
    <row r="13" spans="1:21">
      <c r="A13" s="1129" t="s">
        <v>1663</v>
      </c>
      <c r="B13" s="601">
        <f t="shared" si="0"/>
        <v>2233783</v>
      </c>
      <c r="C13" s="601">
        <f t="shared" si="1"/>
        <v>34795</v>
      </c>
      <c r="D13" s="601">
        <f t="shared" si="2"/>
        <v>67369</v>
      </c>
      <c r="E13" s="601">
        <f t="shared" si="9"/>
        <v>2131619</v>
      </c>
      <c r="F13" s="601">
        <f t="shared" si="3"/>
        <v>2121229.4799999995</v>
      </c>
      <c r="G13" s="601">
        <f t="shared" si="4"/>
        <v>715.26</v>
      </c>
      <c r="H13" s="601">
        <f t="shared" si="5"/>
        <v>9662.76</v>
      </c>
      <c r="J13" s="602">
        <f t="shared" si="6"/>
        <v>11211</v>
      </c>
      <c r="K13" s="602">
        <f t="shared" si="7"/>
        <v>90687</v>
      </c>
      <c r="L13" s="602">
        <f t="shared" si="8"/>
        <v>8978325</v>
      </c>
      <c r="N13" s="439">
        <f t="shared" si="10"/>
        <v>3.8754444732174431E-3</v>
      </c>
      <c r="O13" s="439">
        <f t="shared" si="11"/>
        <v>7.5035154107252746E-3</v>
      </c>
      <c r="Q13" s="601">
        <f t="shared" si="12"/>
        <v>43.447607989240758</v>
      </c>
      <c r="R13" s="601">
        <f t="shared" si="13"/>
        <v>351.45243294267027</v>
      </c>
      <c r="T13" s="601">
        <f t="shared" si="14"/>
        <v>84.12191126964106</v>
      </c>
      <c r="U13" s="601">
        <f t="shared" si="15"/>
        <v>680.47130205244298</v>
      </c>
    </row>
    <row r="14" spans="1:21">
      <c r="A14" s="1129" t="s">
        <v>1664</v>
      </c>
      <c r="B14" s="601">
        <f t="shared" si="0"/>
        <v>2203505</v>
      </c>
      <c r="C14" s="601">
        <f t="shared" si="1"/>
        <v>8675</v>
      </c>
      <c r="D14" s="601">
        <f t="shared" si="2"/>
        <v>65195</v>
      </c>
      <c r="E14" s="601">
        <f t="shared" si="9"/>
        <v>2129635</v>
      </c>
      <c r="F14" s="601">
        <f t="shared" si="3"/>
        <v>2118000.9</v>
      </c>
      <c r="G14" s="601">
        <f t="shared" si="4"/>
        <v>825.06</v>
      </c>
      <c r="H14" s="601">
        <f t="shared" si="5"/>
        <v>10816.7</v>
      </c>
      <c r="J14" s="602">
        <f t="shared" si="6"/>
        <v>12932</v>
      </c>
      <c r="K14" s="602">
        <f t="shared" si="7"/>
        <v>105151</v>
      </c>
      <c r="L14" s="602">
        <f t="shared" si="8"/>
        <v>9612592</v>
      </c>
      <c r="N14" s="439">
        <f t="shared" si="10"/>
        <v>9.024621038737523E-4</v>
      </c>
      <c r="O14" s="439">
        <f t="shared" si="11"/>
        <v>6.7822497823687928E-3</v>
      </c>
      <c r="Q14" s="601">
        <f t="shared" si="12"/>
        <v>11.670639927295365</v>
      </c>
      <c r="R14" s="601">
        <f t="shared" si="13"/>
        <v>94.894792684428921</v>
      </c>
      <c r="T14" s="601">
        <f t="shared" si="14"/>
        <v>87.708054185593227</v>
      </c>
      <c r="U14" s="601">
        <f t="shared" si="15"/>
        <v>713.1603468658609</v>
      </c>
    </row>
    <row r="15" spans="1:21">
      <c r="A15" s="1129" t="s">
        <v>1665</v>
      </c>
      <c r="B15" s="601">
        <f t="shared" si="0"/>
        <v>2216156</v>
      </c>
      <c r="C15" s="601">
        <f t="shared" si="1"/>
        <v>18955</v>
      </c>
      <c r="D15" s="601">
        <f t="shared" si="2"/>
        <v>54240</v>
      </c>
      <c r="E15" s="601">
        <f t="shared" si="9"/>
        <v>2142961</v>
      </c>
      <c r="F15" s="601">
        <f t="shared" si="3"/>
        <v>2131374.7500000005</v>
      </c>
      <c r="G15" s="601">
        <f t="shared" si="4"/>
        <v>699.57</v>
      </c>
      <c r="H15" s="601">
        <f t="shared" si="5"/>
        <v>10908.6</v>
      </c>
      <c r="J15" s="602">
        <f t="shared" si="6"/>
        <v>10965</v>
      </c>
      <c r="K15" s="602">
        <f t="shared" si="7"/>
        <v>106303</v>
      </c>
      <c r="L15" s="602">
        <f t="shared" si="8"/>
        <v>9184135</v>
      </c>
      <c r="N15" s="439">
        <f t="shared" si="10"/>
        <v>2.0638851671932086E-3</v>
      </c>
      <c r="O15" s="439">
        <f t="shared" si="11"/>
        <v>5.9058365322373855E-3</v>
      </c>
      <c r="Q15" s="601">
        <f t="shared" si="12"/>
        <v>22.630500858273532</v>
      </c>
      <c r="R15" s="601">
        <f t="shared" si="13"/>
        <v>219.39718492813967</v>
      </c>
      <c r="T15" s="601">
        <f t="shared" si="14"/>
        <v>64.757497575982939</v>
      </c>
      <c r="U15" s="601">
        <f t="shared" si="15"/>
        <v>627.80814088643081</v>
      </c>
    </row>
    <row r="16" spans="1:21">
      <c r="A16" s="598"/>
    </row>
    <row r="17" spans="1:21">
      <c r="A17" s="598"/>
      <c r="B17" s="487">
        <f>SUM(B4:B15)</f>
        <v>26238599</v>
      </c>
      <c r="C17" s="487">
        <f t="shared" ref="C17:G17" si="16">SUM(C4:C15)</f>
        <v>293403</v>
      </c>
      <c r="D17" s="487">
        <f t="shared" si="16"/>
        <v>664888</v>
      </c>
      <c r="E17" s="487">
        <f t="shared" si="16"/>
        <v>25280308</v>
      </c>
      <c r="F17" s="487">
        <f t="shared" si="16"/>
        <v>25141585.370000001</v>
      </c>
      <c r="G17" s="487">
        <f t="shared" si="16"/>
        <v>10497.079999999998</v>
      </c>
      <c r="H17" s="487">
        <f>SUM(H4:H15)</f>
        <v>128169.26</v>
      </c>
      <c r="Q17" s="487">
        <f t="shared" ref="Q17:U17" si="17">SUM(Q4:Q15)</f>
        <v>406.9677670967593</v>
      </c>
      <c r="R17" s="487">
        <f t="shared" si="17"/>
        <v>3040.1661105604098</v>
      </c>
      <c r="T17" s="487">
        <f t="shared" si="17"/>
        <v>917.94861316912545</v>
      </c>
      <c r="U17" s="487">
        <f t="shared" si="17"/>
        <v>6937.2708845645993</v>
      </c>
    </row>
    <row r="18" spans="1:21">
      <c r="A18" s="598"/>
    </row>
    <row r="19" spans="1:21">
      <c r="A19" s="598"/>
      <c r="B19" s="439" t="s">
        <v>1674</v>
      </c>
    </row>
    <row r="20" spans="1:21">
      <c r="A20" s="598"/>
    </row>
    <row r="21" spans="1:21">
      <c r="A21" s="598"/>
      <c r="B21" s="439" t="s">
        <v>1228</v>
      </c>
      <c r="C21" s="439" t="s">
        <v>451</v>
      </c>
      <c r="D21" s="439" t="s">
        <v>857</v>
      </c>
      <c r="E21" s="439" t="s">
        <v>1668</v>
      </c>
    </row>
    <row r="22" spans="1:21">
      <c r="A22" s="598"/>
    </row>
    <row r="23" spans="1:21">
      <c r="A23" s="598" t="s">
        <v>86</v>
      </c>
      <c r="B23" s="487">
        <f>SUM(C23:E23)</f>
        <v>11821.996380265882</v>
      </c>
      <c r="C23" s="487">
        <f>Q17</f>
        <v>406.9677670967593</v>
      </c>
      <c r="D23" s="487">
        <f>T17</f>
        <v>917.94861316912545</v>
      </c>
      <c r="E23" s="487">
        <f>G17</f>
        <v>10497.079999999998</v>
      </c>
    </row>
    <row r="24" spans="1:21">
      <c r="A24" s="598" t="s">
        <v>84</v>
      </c>
      <c r="B24" s="487">
        <f>SUM(C24:E24)</f>
        <v>138146.69699512501</v>
      </c>
      <c r="C24" s="487">
        <f>R17</f>
        <v>3040.1661105604098</v>
      </c>
      <c r="D24" s="487">
        <f>U17</f>
        <v>6937.2708845645993</v>
      </c>
      <c r="E24" s="487">
        <f>H17</f>
        <v>128169.26</v>
      </c>
    </row>
    <row r="25" spans="1:21">
      <c r="A25" s="598" t="s">
        <v>1425</v>
      </c>
      <c r="B25" s="487">
        <f>SUM(C25:E25)</f>
        <v>26088630.30662461</v>
      </c>
      <c r="C25" s="487">
        <f>C17-Q17-R17</f>
        <v>289955.86612234282</v>
      </c>
      <c r="D25" s="487">
        <f>D17-T17-U17</f>
        <v>657032.78050226625</v>
      </c>
      <c r="E25" s="487">
        <f>E17-G17-H17</f>
        <v>25141641.66</v>
      </c>
    </row>
    <row r="26" spans="1:21">
      <c r="A26" s="598"/>
    </row>
    <row r="27" spans="1:21">
      <c r="A27" s="598" t="s">
        <v>59</v>
      </c>
      <c r="B27" s="487">
        <f>SUM(B23:B25)</f>
        <v>26238599</v>
      </c>
      <c r="C27" s="487">
        <f t="shared" ref="C27:D27" si="18">SUM(C23:C25)</f>
        <v>293403</v>
      </c>
      <c r="D27" s="487">
        <f t="shared" si="18"/>
        <v>664888</v>
      </c>
      <c r="E27" s="487">
        <f>SUM(E23:E25)</f>
        <v>25280308</v>
      </c>
    </row>
    <row r="28" spans="1:21">
      <c r="A28" s="598" t="s">
        <v>68</v>
      </c>
      <c r="B28" s="487">
        <f>B17-B27</f>
        <v>0</v>
      </c>
      <c r="C28" s="487">
        <f t="shared" ref="C28:E28" si="19">C17-C27</f>
        <v>0</v>
      </c>
      <c r="D28" s="487">
        <f t="shared" si="19"/>
        <v>0</v>
      </c>
      <c r="E28" s="487">
        <f t="shared" si="19"/>
        <v>0</v>
      </c>
    </row>
    <row r="29" spans="1:21">
      <c r="A29" s="598"/>
    </row>
    <row r="30" spans="1:21">
      <c r="A30" s="598"/>
    </row>
    <row r="31" spans="1:21">
      <c r="A31" s="598"/>
    </row>
    <row r="32" spans="1:21">
      <c r="A32" s="598"/>
    </row>
    <row r="33" spans="1:1">
      <c r="A33" s="598"/>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workbookViewId="0"/>
  </sheetViews>
  <sheetFormatPr defaultRowHeight="12"/>
  <cols>
    <col min="1" max="1" width="21.83203125" style="439" customWidth="1"/>
    <col min="2" max="2" width="15.83203125" style="439" customWidth="1"/>
    <col min="3" max="3" width="15.5" style="439" customWidth="1"/>
    <col min="4" max="4" width="13.5" style="439" customWidth="1"/>
    <col min="5" max="5" width="16.5" style="439" customWidth="1"/>
    <col min="6" max="6" width="15.5" style="439" customWidth="1"/>
    <col min="7" max="7" width="15.83203125" style="439" bestFit="1" customWidth="1"/>
    <col min="8" max="8" width="9.33203125" style="439"/>
    <col min="9" max="9" width="15.83203125" style="439" bestFit="1" customWidth="1"/>
    <col min="10" max="10" width="14.83203125" style="439" bestFit="1" customWidth="1"/>
    <col min="11" max="11" width="13.33203125" style="439" bestFit="1" customWidth="1"/>
    <col min="12" max="16384" width="9.33203125" style="439"/>
  </cols>
  <sheetData>
    <row r="1" spans="1:11">
      <c r="A1" s="439" t="s">
        <v>1675</v>
      </c>
    </row>
    <row r="2" spans="1:11">
      <c r="B2" s="1127" t="s">
        <v>1681</v>
      </c>
      <c r="C2" s="1127" t="s">
        <v>1682</v>
      </c>
      <c r="D2" s="1127" t="s">
        <v>1683</v>
      </c>
      <c r="E2" s="1127" t="s">
        <v>1684</v>
      </c>
      <c r="F2" s="1127" t="s">
        <v>1685</v>
      </c>
      <c r="G2" s="439" t="s">
        <v>59</v>
      </c>
      <c r="I2" s="1128" t="s">
        <v>642</v>
      </c>
      <c r="J2" s="1128" t="s">
        <v>18</v>
      </c>
      <c r="K2" s="1128" t="s">
        <v>205</v>
      </c>
    </row>
    <row r="3" spans="1:11">
      <c r="A3" s="598">
        <v>41518</v>
      </c>
      <c r="B3" s="601">
        <v>-1032411.37</v>
      </c>
      <c r="C3" s="601">
        <v>-29137.9</v>
      </c>
      <c r="D3" s="601">
        <v>0</v>
      </c>
      <c r="E3" s="601">
        <v>0</v>
      </c>
      <c r="F3" s="601">
        <v>-8800</v>
      </c>
      <c r="G3" s="487">
        <f>SUM(B3:F3)</f>
        <v>-1070349.27</v>
      </c>
      <c r="I3" s="487">
        <f>B3</f>
        <v>-1032411.37</v>
      </c>
      <c r="J3" s="487">
        <f>D3</f>
        <v>0</v>
      </c>
      <c r="K3" s="487">
        <f t="shared" ref="K3:K14" si="0">C3+E3+F3</f>
        <v>-37937.9</v>
      </c>
    </row>
    <row r="4" spans="1:11">
      <c r="A4" s="598">
        <v>41548</v>
      </c>
      <c r="B4" s="601">
        <v>-1011577.25</v>
      </c>
      <c r="C4" s="601">
        <v>-34089.769999999997</v>
      </c>
      <c r="D4" s="601">
        <v>0</v>
      </c>
      <c r="E4" s="601">
        <v>0</v>
      </c>
      <c r="F4" s="601">
        <v>-8800</v>
      </c>
      <c r="G4" s="487">
        <f t="shared" ref="G4:G14" si="1">SUM(B4:F4)</f>
        <v>-1054467.02</v>
      </c>
      <c r="I4" s="487">
        <f t="shared" ref="I4:I14" si="2">B4</f>
        <v>-1011577.25</v>
      </c>
      <c r="J4" s="487">
        <f t="shared" ref="J4:J14" si="3">D4</f>
        <v>0</v>
      </c>
      <c r="K4" s="487">
        <f t="shared" si="0"/>
        <v>-42889.77</v>
      </c>
    </row>
    <row r="5" spans="1:11">
      <c r="A5" s="598">
        <v>41579</v>
      </c>
      <c r="B5" s="601">
        <v>-999131.76</v>
      </c>
      <c r="C5" s="601">
        <v>-31130.44</v>
      </c>
      <c r="D5" s="601">
        <v>0</v>
      </c>
      <c r="E5" s="601">
        <v>0</v>
      </c>
      <c r="F5" s="601">
        <v>-8800</v>
      </c>
      <c r="G5" s="487">
        <f t="shared" si="1"/>
        <v>-1039062.2</v>
      </c>
      <c r="I5" s="487">
        <f t="shared" si="2"/>
        <v>-999131.76</v>
      </c>
      <c r="J5" s="487">
        <f t="shared" si="3"/>
        <v>0</v>
      </c>
      <c r="K5" s="487">
        <f t="shared" si="0"/>
        <v>-39930.44</v>
      </c>
    </row>
    <row r="6" spans="1:11">
      <c r="A6" s="598">
        <v>41609</v>
      </c>
      <c r="B6" s="601">
        <v>-975727.3</v>
      </c>
      <c r="C6" s="601">
        <v>-30727.51</v>
      </c>
      <c r="D6" s="601">
        <v>0</v>
      </c>
      <c r="E6" s="601">
        <v>0</v>
      </c>
      <c r="F6" s="601">
        <v>-8800</v>
      </c>
      <c r="G6" s="487">
        <f t="shared" si="1"/>
        <v>-1015254.81</v>
      </c>
      <c r="I6" s="487">
        <f t="shared" si="2"/>
        <v>-975727.3</v>
      </c>
      <c r="J6" s="487">
        <f t="shared" si="3"/>
        <v>0</v>
      </c>
      <c r="K6" s="487">
        <f t="shared" si="0"/>
        <v>-39527.509999999995</v>
      </c>
    </row>
    <row r="7" spans="1:11">
      <c r="A7" s="598">
        <v>41640</v>
      </c>
      <c r="B7" s="601">
        <v>0</v>
      </c>
      <c r="C7" s="601">
        <v>-62570.15</v>
      </c>
      <c r="D7" s="601">
        <v>0</v>
      </c>
      <c r="E7" s="601">
        <v>0</v>
      </c>
      <c r="F7" s="601">
        <v>-8800</v>
      </c>
      <c r="G7" s="487">
        <f t="shared" si="1"/>
        <v>-71370.149999999994</v>
      </c>
      <c r="I7" s="487">
        <f t="shared" si="2"/>
        <v>0</v>
      </c>
      <c r="J7" s="487">
        <f t="shared" si="3"/>
        <v>0</v>
      </c>
      <c r="K7" s="487">
        <f t="shared" si="0"/>
        <v>-71370.149999999994</v>
      </c>
    </row>
    <row r="8" spans="1:11">
      <c r="A8" s="598">
        <v>41671</v>
      </c>
      <c r="B8" s="601">
        <v>-1958041.19</v>
      </c>
      <c r="C8" s="601">
        <v>0</v>
      </c>
      <c r="D8" s="601">
        <v>0</v>
      </c>
      <c r="E8" s="601">
        <v>-23852.27</v>
      </c>
      <c r="F8" s="601">
        <v>-8800</v>
      </c>
      <c r="G8" s="487">
        <f t="shared" si="1"/>
        <v>-1990693.46</v>
      </c>
      <c r="I8" s="487">
        <f t="shared" si="2"/>
        <v>-1958041.19</v>
      </c>
      <c r="J8" s="487">
        <f t="shared" si="3"/>
        <v>0</v>
      </c>
      <c r="K8" s="487">
        <f t="shared" si="0"/>
        <v>-32652.27</v>
      </c>
    </row>
    <row r="9" spans="1:11">
      <c r="A9" s="598">
        <v>41699</v>
      </c>
      <c r="B9" s="601">
        <v>-986248.39</v>
      </c>
      <c r="C9" s="601">
        <v>-32627.83</v>
      </c>
      <c r="D9" s="601">
        <v>0</v>
      </c>
      <c r="E9" s="601">
        <v>-22530.73</v>
      </c>
      <c r="F9" s="601">
        <v>-8800</v>
      </c>
      <c r="G9" s="487">
        <f t="shared" si="1"/>
        <v>-1050206.95</v>
      </c>
      <c r="I9" s="487">
        <f t="shared" si="2"/>
        <v>-986248.39</v>
      </c>
      <c r="J9" s="487">
        <f t="shared" si="3"/>
        <v>0</v>
      </c>
      <c r="K9" s="487">
        <f t="shared" si="0"/>
        <v>-63958.559999999998</v>
      </c>
    </row>
    <row r="10" spans="1:11">
      <c r="A10" s="598">
        <v>41730</v>
      </c>
      <c r="B10" s="601">
        <v>-939315.26</v>
      </c>
      <c r="C10" s="601">
        <v>-29651.77</v>
      </c>
      <c r="D10" s="601">
        <v>0</v>
      </c>
      <c r="E10" s="601">
        <v>-20814.2</v>
      </c>
      <c r="F10" s="601">
        <v>-8800</v>
      </c>
      <c r="G10" s="487">
        <f t="shared" si="1"/>
        <v>-998581.23</v>
      </c>
      <c r="I10" s="487">
        <f t="shared" si="2"/>
        <v>-939315.26</v>
      </c>
      <c r="J10" s="487">
        <f t="shared" si="3"/>
        <v>0</v>
      </c>
      <c r="K10" s="487">
        <f t="shared" si="0"/>
        <v>-59265.97</v>
      </c>
    </row>
    <row r="11" spans="1:11">
      <c r="A11" s="598">
        <v>41760</v>
      </c>
      <c r="B11" s="601">
        <v>-1007646.75</v>
      </c>
      <c r="C11" s="601">
        <v>-29673.38</v>
      </c>
      <c r="D11" s="601">
        <v>0</v>
      </c>
      <c r="E11" s="601">
        <v>-25585.08</v>
      </c>
      <c r="F11" s="601">
        <v>-8800</v>
      </c>
      <c r="G11" s="487">
        <f t="shared" si="1"/>
        <v>-1071705.21</v>
      </c>
      <c r="I11" s="487">
        <f t="shared" si="2"/>
        <v>-1007646.75</v>
      </c>
      <c r="J11" s="487">
        <f t="shared" si="3"/>
        <v>0</v>
      </c>
      <c r="K11" s="487">
        <f t="shared" si="0"/>
        <v>-64058.460000000006</v>
      </c>
    </row>
    <row r="12" spans="1:11">
      <c r="A12" s="598">
        <v>41791</v>
      </c>
      <c r="B12" s="601">
        <v>-997368.28</v>
      </c>
      <c r="C12" s="601">
        <v>-32950.339999999997</v>
      </c>
      <c r="D12" s="601">
        <v>-27298.85</v>
      </c>
      <c r="E12" s="601">
        <v>-25058.75</v>
      </c>
      <c r="F12" s="601">
        <v>-8800</v>
      </c>
      <c r="G12" s="487">
        <f t="shared" si="1"/>
        <v>-1091476.22</v>
      </c>
      <c r="I12" s="487">
        <f t="shared" si="2"/>
        <v>-997368.28</v>
      </c>
      <c r="J12" s="487">
        <f t="shared" si="3"/>
        <v>-27298.85</v>
      </c>
      <c r="K12" s="487">
        <f t="shared" si="0"/>
        <v>-66809.09</v>
      </c>
    </row>
    <row r="13" spans="1:11">
      <c r="A13" s="598">
        <v>41821</v>
      </c>
      <c r="B13" s="601">
        <v>-977006.02</v>
      </c>
      <c r="C13" s="601">
        <v>-33499.18</v>
      </c>
      <c r="D13" s="601">
        <v>-26359.99</v>
      </c>
      <c r="E13" s="601">
        <v>-28805.3</v>
      </c>
      <c r="F13" s="601">
        <v>-8800</v>
      </c>
      <c r="G13" s="487">
        <f t="shared" si="1"/>
        <v>-1074470.49</v>
      </c>
      <c r="I13" s="487">
        <f t="shared" si="2"/>
        <v>-977006.02</v>
      </c>
      <c r="J13" s="487">
        <f t="shared" si="3"/>
        <v>-26359.99</v>
      </c>
      <c r="K13" s="487">
        <f t="shared" si="0"/>
        <v>-71104.479999999996</v>
      </c>
    </row>
    <row r="14" spans="1:11">
      <c r="A14" s="598">
        <v>41852</v>
      </c>
      <c r="B14" s="601">
        <v>-1013676.34</v>
      </c>
      <c r="C14" s="601">
        <v>0</v>
      </c>
      <c r="D14" s="601">
        <v>-23449.66</v>
      </c>
      <c r="E14" s="601">
        <v>-51492.4</v>
      </c>
      <c r="F14" s="601">
        <v>-8800</v>
      </c>
      <c r="G14" s="487">
        <f t="shared" si="1"/>
        <v>-1097418.3999999999</v>
      </c>
      <c r="I14" s="487">
        <f t="shared" si="2"/>
        <v>-1013676.34</v>
      </c>
      <c r="J14" s="487">
        <f t="shared" si="3"/>
        <v>-23449.66</v>
      </c>
      <c r="K14" s="487">
        <f t="shared" si="0"/>
        <v>-60292.4</v>
      </c>
    </row>
    <row r="16" spans="1:11">
      <c r="B16" s="487">
        <f>SUM(B3:B14)</f>
        <v>-11898149.909999998</v>
      </c>
      <c r="C16" s="487">
        <f t="shared" ref="C16:G16" si="4">SUM(C3:C14)</f>
        <v>-346058.26999999996</v>
      </c>
      <c r="D16" s="487">
        <f t="shared" si="4"/>
        <v>-77108.5</v>
      </c>
      <c r="E16" s="487">
        <f t="shared" si="4"/>
        <v>-198138.72999999998</v>
      </c>
      <c r="F16" s="487">
        <f t="shared" si="4"/>
        <v>-105600</v>
      </c>
      <c r="G16" s="487">
        <f t="shared" si="4"/>
        <v>-12625055.410000002</v>
      </c>
    </row>
    <row r="17" spans="1:11">
      <c r="B17" s="1130">
        <f>B16/$G$16</f>
        <v>0.9424235794304523</v>
      </c>
      <c r="C17" s="1130">
        <f t="shared" ref="C17:F17" si="5">C16/$G$16</f>
        <v>2.7410435737644016E-2</v>
      </c>
      <c r="D17" s="1130">
        <f t="shared" si="5"/>
        <v>6.1075771547841459E-3</v>
      </c>
      <c r="E17" s="1130">
        <f t="shared" si="5"/>
        <v>1.5694087951729628E-2</v>
      </c>
      <c r="F17" s="1130">
        <f t="shared" si="5"/>
        <v>8.3643197253896236E-3</v>
      </c>
    </row>
    <row r="19" spans="1:11">
      <c r="A19" s="439" t="s">
        <v>1676</v>
      </c>
      <c r="B19" s="487">
        <f>B14*12</f>
        <v>-12164116.08</v>
      </c>
      <c r="C19" s="487">
        <f t="shared" ref="C19:F19" si="6">C14*12</f>
        <v>0</v>
      </c>
      <c r="D19" s="487">
        <f t="shared" si="6"/>
        <v>-281395.92</v>
      </c>
      <c r="E19" s="487">
        <f t="shared" si="6"/>
        <v>-617908.80000000005</v>
      </c>
      <c r="F19" s="487">
        <f t="shared" si="6"/>
        <v>-105600</v>
      </c>
      <c r="G19" s="487">
        <f>SUM(B19:F19)</f>
        <v>-13169020.800000001</v>
      </c>
    </row>
    <row r="20" spans="1:11">
      <c r="B20" s="1130">
        <f>B19/$G$19</f>
        <v>0.92369176605750358</v>
      </c>
      <c r="C20" s="1130">
        <f t="shared" ref="C20:F20" si="7">C19/$G$19</f>
        <v>0</v>
      </c>
      <c r="D20" s="1130">
        <f t="shared" si="7"/>
        <v>2.1368021531259176E-2</v>
      </c>
      <c r="E20" s="1130">
        <f t="shared" si="7"/>
        <v>4.6921392970994472E-2</v>
      </c>
      <c r="F20" s="1130">
        <f t="shared" si="7"/>
        <v>8.0188194402426635E-3</v>
      </c>
    </row>
    <row r="21" spans="1:11">
      <c r="A21" s="439" t="s">
        <v>1679</v>
      </c>
      <c r="B21" s="1130">
        <f>B19/($G$19-$F$19)</f>
        <v>0.93115855840761097</v>
      </c>
      <c r="C21" s="1130">
        <f t="shared" ref="C21:E21" si="8">C19/($G$19-$F$19)</f>
        <v>0</v>
      </c>
      <c r="D21" s="1130">
        <f t="shared" si="8"/>
        <v>2.1540752939689423E-2</v>
      </c>
      <c r="E21" s="1130">
        <f t="shared" si="8"/>
        <v>4.7300688652699603E-2</v>
      </c>
    </row>
    <row r="23" spans="1:11">
      <c r="A23" s="439" t="s">
        <v>1677</v>
      </c>
      <c r="B23" s="601">
        <f>ROUND(SUMIF(_12MonResults_RateCategory,"KUCSR760",_12MonResults_Revenue_Total),0)</f>
        <v>-11877948</v>
      </c>
    </row>
    <row r="24" spans="1:11">
      <c r="A24" s="439" t="s">
        <v>1680</v>
      </c>
      <c r="B24" s="487">
        <f>B23-F19</f>
        <v>-11772348</v>
      </c>
    </row>
    <row r="25" spans="1:11">
      <c r="A25" s="439" t="s">
        <v>1678</v>
      </c>
    </row>
    <row r="27" spans="1:11">
      <c r="B27" s="1127" t="s">
        <v>1681</v>
      </c>
      <c r="C27" s="1127" t="s">
        <v>1682</v>
      </c>
      <c r="D27" s="1127" t="s">
        <v>1683</v>
      </c>
      <c r="E27" s="1127" t="s">
        <v>1684</v>
      </c>
      <c r="F27" s="1127" t="s">
        <v>1685</v>
      </c>
      <c r="G27" s="439" t="s">
        <v>59</v>
      </c>
      <c r="I27" s="1128" t="s">
        <v>642</v>
      </c>
      <c r="J27" s="1128" t="s">
        <v>18</v>
      </c>
      <c r="K27" s="1128" t="s">
        <v>205</v>
      </c>
    </row>
    <row r="28" spans="1:11">
      <c r="B28" s="601">
        <f>$B$24*B21</f>
        <v>-10961922.592752723</v>
      </c>
      <c r="C28" s="601">
        <f t="shared" ref="C28:E28" si="9">$B$24*C21</f>
        <v>0</v>
      </c>
      <c r="D28" s="601">
        <f t="shared" si="9"/>
        <v>-253585.23978804689</v>
      </c>
      <c r="E28" s="601">
        <f t="shared" si="9"/>
        <v>-556840.16745923087</v>
      </c>
      <c r="F28" s="601">
        <f>F19</f>
        <v>-105600</v>
      </c>
      <c r="G28" s="487">
        <f>SUM(B28:F28)</f>
        <v>-11877948</v>
      </c>
      <c r="I28" s="487">
        <f>B28</f>
        <v>-10961922.592752723</v>
      </c>
      <c r="J28" s="487">
        <f>D28</f>
        <v>-253585.23978804689</v>
      </c>
      <c r="K28" s="487">
        <f>C28+E28+F28</f>
        <v>-662440.16745923087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pageSetUpPr fitToPage="1"/>
  </sheetPr>
  <dimension ref="A1:AB215"/>
  <sheetViews>
    <sheetView workbookViewId="0"/>
  </sheetViews>
  <sheetFormatPr defaultColWidth="10.6640625" defaultRowHeight="12.75"/>
  <cols>
    <col min="1" max="1" width="52.83203125" style="55" customWidth="1"/>
    <col min="2" max="2" width="10" style="55" customWidth="1"/>
    <col min="3" max="3" width="17.5" style="55" bestFit="1" customWidth="1"/>
    <col min="4" max="4" width="17.33203125" style="55" bestFit="1" customWidth="1"/>
    <col min="5" max="5" width="16" style="55" bestFit="1" customWidth="1"/>
    <col min="6" max="8" width="16.33203125" style="55" bestFit="1" customWidth="1"/>
    <col min="9" max="9" width="17" style="55" customWidth="1"/>
    <col min="10" max="10" width="17.1640625" style="55" bestFit="1" customWidth="1"/>
    <col min="11" max="11" width="19" style="55" bestFit="1" customWidth="1"/>
    <col min="12" max="12" width="16" style="55" bestFit="1" customWidth="1"/>
    <col min="13" max="13" width="18.1640625" style="55" bestFit="1" customWidth="1"/>
    <col min="14" max="14" width="18" style="55" bestFit="1" customWidth="1"/>
    <col min="15" max="15" width="21.6640625" style="55" bestFit="1" customWidth="1"/>
    <col min="16" max="16" width="3.33203125" style="55" customWidth="1"/>
    <col min="17" max="27" width="14.83203125" style="55" customWidth="1"/>
    <col min="28" max="28" width="18.33203125" style="55" customWidth="1"/>
    <col min="29" max="40" width="14.83203125" style="55" customWidth="1"/>
    <col min="41" max="41" width="18.33203125" style="55" customWidth="1"/>
    <col min="42" max="16384" width="10.6640625" style="55"/>
  </cols>
  <sheetData>
    <row r="1" spans="1:18">
      <c r="C1" s="196"/>
      <c r="D1" s="196"/>
      <c r="E1" s="196"/>
      <c r="F1" s="196"/>
      <c r="G1" s="196"/>
      <c r="H1" s="196"/>
      <c r="I1" s="196"/>
      <c r="J1" s="196"/>
      <c r="K1" s="196"/>
      <c r="L1" s="196"/>
      <c r="M1" s="196"/>
      <c r="N1" s="196"/>
      <c r="O1" s="196" t="s">
        <v>656</v>
      </c>
    </row>
    <row r="2" spans="1:18" ht="13.5" thickBot="1">
      <c r="C2" s="197">
        <f>MiscData!$A5</f>
        <v>42400</v>
      </c>
      <c r="D2" s="197">
        <f>MiscData!$A6</f>
        <v>42429</v>
      </c>
      <c r="E2" s="197">
        <f>MiscData!$A7</f>
        <v>42460</v>
      </c>
      <c r="F2" s="197">
        <f>MiscData!$A8</f>
        <v>42490</v>
      </c>
      <c r="G2" s="197">
        <f>MiscData!$A9</f>
        <v>42521</v>
      </c>
      <c r="H2" s="197">
        <f>MiscData!$A10</f>
        <v>42551</v>
      </c>
      <c r="I2" s="197">
        <f>MiscData!$A11</f>
        <v>42216</v>
      </c>
      <c r="J2" s="197">
        <f>MiscData!$A12</f>
        <v>42247</v>
      </c>
      <c r="K2" s="197">
        <f>MiscData!$A13</f>
        <v>42277</v>
      </c>
      <c r="L2" s="197">
        <f>MiscData!$A14</f>
        <v>42308</v>
      </c>
      <c r="M2" s="197">
        <f>MiscData!$A15</f>
        <v>42338</v>
      </c>
      <c r="N2" s="197">
        <f>MiscData!$A16</f>
        <v>42369</v>
      </c>
      <c r="O2" s="198" t="s">
        <v>657</v>
      </c>
    </row>
    <row r="3" spans="1:18">
      <c r="C3" s="238" t="str">
        <f>TEXT(C2,"MMM YYYY")</f>
        <v>Jan 2016</v>
      </c>
      <c r="D3" s="238" t="str">
        <f t="shared" ref="D3:N3" si="0">TEXT(D2,"MMM YYYY")</f>
        <v>Feb 2016</v>
      </c>
      <c r="E3" s="238" t="str">
        <f t="shared" si="0"/>
        <v>Mar 2016</v>
      </c>
      <c r="F3" s="238" t="str">
        <f t="shared" si="0"/>
        <v>Apr 2016</v>
      </c>
      <c r="G3" s="238" t="str">
        <f t="shared" si="0"/>
        <v>May 2016</v>
      </c>
      <c r="H3" s="238" t="str">
        <f t="shared" si="0"/>
        <v>Jun 2016</v>
      </c>
      <c r="I3" s="238" t="str">
        <f t="shared" si="0"/>
        <v>Jul 2015</v>
      </c>
      <c r="J3" s="238" t="str">
        <f t="shared" si="0"/>
        <v>Aug 2015</v>
      </c>
      <c r="K3" s="238" t="str">
        <f t="shared" si="0"/>
        <v>Sep 2015</v>
      </c>
      <c r="L3" s="238" t="str">
        <f t="shared" si="0"/>
        <v>Oct 2015</v>
      </c>
      <c r="M3" s="238" t="str">
        <f t="shared" si="0"/>
        <v>Nov 2015</v>
      </c>
      <c r="N3" s="238" t="str">
        <f t="shared" si="0"/>
        <v>Dec 2015</v>
      </c>
    </row>
    <row r="5" spans="1:18">
      <c r="A5" s="199"/>
      <c r="B5" s="199"/>
      <c r="C5" s="1293" t="s">
        <v>725</v>
      </c>
      <c r="D5" s="1294"/>
      <c r="E5" s="1294"/>
      <c r="F5" s="1294"/>
      <c r="G5" s="1294"/>
      <c r="H5" s="1294"/>
      <c r="I5" s="1294"/>
      <c r="J5" s="1294"/>
      <c r="K5" s="1294"/>
      <c r="L5" s="1294"/>
      <c r="M5" s="1294"/>
      <c r="N5" s="1295"/>
    </row>
    <row r="6" spans="1:18">
      <c r="A6" s="199"/>
      <c r="B6" s="199"/>
      <c r="C6" s="200"/>
      <c r="D6" s="200"/>
      <c r="E6" s="200"/>
      <c r="F6" s="200"/>
      <c r="G6" s="200"/>
      <c r="H6" s="200"/>
      <c r="I6" s="200"/>
      <c r="J6" s="200"/>
      <c r="K6" s="200"/>
      <c r="L6" s="200"/>
      <c r="M6" s="200"/>
      <c r="N6" s="200"/>
      <c r="O6" s="200"/>
    </row>
    <row r="7" spans="1:18">
      <c r="A7" s="201" t="s">
        <v>658</v>
      </c>
      <c r="B7" s="199"/>
      <c r="C7" s="202">
        <f>VLOOKUP(C$2,MiscData!$A$5:$C$16,3,FALSE)</f>
        <v>0</v>
      </c>
      <c r="D7" s="202">
        <f>VLOOKUP(D$2,MiscData!$A$5:$C$16,3,FALSE)</f>
        <v>0</v>
      </c>
      <c r="E7" s="202">
        <f>VLOOKUP(E$2,MiscData!$A$5:$C$16,3,FALSE)</f>
        <v>0</v>
      </c>
      <c r="F7" s="202">
        <f>VLOOKUP(F$2,MiscData!$A$5:$C$16,3,FALSE)</f>
        <v>1.7099999999999999E-3</v>
      </c>
      <c r="G7" s="202">
        <f>VLOOKUP(G$2,MiscData!$A$5:$C$16,3,FALSE)</f>
        <v>2.3700000000000001E-3</v>
      </c>
      <c r="H7" s="202">
        <f>VLOOKUP(H$2,MiscData!$A$5:$C$16,3,FALSE)</f>
        <v>4.4900000000000001E-3</v>
      </c>
      <c r="I7" s="202">
        <f>VLOOKUP(I$2,MiscData!$A$5:$C$16,3,FALSE)</f>
        <v>2.8300000000000001E-3</v>
      </c>
      <c r="J7" s="202">
        <f>VLOOKUP(J$2,MiscData!$A$5:$C$16,3,FALSE)</f>
        <v>-4.0999999999999999E-4</v>
      </c>
      <c r="K7" s="202">
        <f>VLOOKUP(K$2,MiscData!$A$5:$C$16,3,FALSE)</f>
        <v>0</v>
      </c>
      <c r="L7" s="202">
        <f>VLOOKUP(L$2,MiscData!$A$5:$C$16,3,FALSE)</f>
        <v>0</v>
      </c>
      <c r="M7" s="202">
        <f>VLOOKUP(M$2,MiscData!$A$5:$C$16,3,FALSE)</f>
        <v>0</v>
      </c>
      <c r="N7" s="202">
        <f>VLOOKUP(N$2,MiscData!$A$5:$C$16,3,FALSE)</f>
        <v>0</v>
      </c>
      <c r="O7" s="200"/>
    </row>
    <row r="8" spans="1:18">
      <c r="C8" s="203"/>
      <c r="D8" s="203"/>
      <c r="E8" s="203"/>
      <c r="F8" s="203"/>
      <c r="N8" s="203"/>
      <c r="O8" s="200"/>
    </row>
    <row r="9" spans="1:18">
      <c r="A9" s="204" t="s">
        <v>104</v>
      </c>
      <c r="B9" s="204"/>
    </row>
    <row r="10" spans="1:18">
      <c r="A10" s="205" t="s">
        <v>659</v>
      </c>
      <c r="B10" s="194" t="s">
        <v>14</v>
      </c>
      <c r="C10" s="237">
        <f t="shared" ref="C10:N12" si="1">ROUND(SUMIFS(_12MonResults_KWH_Total,_12MonResults_RateClass,$B10,_12MonResults_RevMonth,C$3)*C$7,0)</f>
        <v>0</v>
      </c>
      <c r="D10" s="237">
        <f t="shared" si="1"/>
        <v>0</v>
      </c>
      <c r="E10" s="237">
        <f t="shared" si="1"/>
        <v>0</v>
      </c>
      <c r="F10" s="237">
        <f t="shared" si="1"/>
        <v>703509</v>
      </c>
      <c r="G10" s="237">
        <f t="shared" si="1"/>
        <v>876407</v>
      </c>
      <c r="H10" s="237">
        <f t="shared" si="1"/>
        <v>2093530</v>
      </c>
      <c r="I10" s="237">
        <f t="shared" si="1"/>
        <v>1597053</v>
      </c>
      <c r="J10" s="237">
        <f t="shared" si="1"/>
        <v>-236457</v>
      </c>
      <c r="K10" s="237">
        <f t="shared" si="1"/>
        <v>0</v>
      </c>
      <c r="L10" s="237">
        <f t="shared" si="1"/>
        <v>0</v>
      </c>
      <c r="M10" s="237">
        <f t="shared" si="1"/>
        <v>0</v>
      </c>
      <c r="N10" s="237">
        <f t="shared" si="1"/>
        <v>0</v>
      </c>
      <c r="O10" s="237">
        <f>SUM(C10:N10)</f>
        <v>5034042</v>
      </c>
      <c r="P10" s="206"/>
      <c r="Q10" s="207"/>
      <c r="R10" s="206"/>
    </row>
    <row r="11" spans="1:18">
      <c r="A11" s="239" t="s">
        <v>726</v>
      </c>
      <c r="B11" s="194" t="s">
        <v>16</v>
      </c>
      <c r="C11" s="237">
        <f t="shared" si="1"/>
        <v>0</v>
      </c>
      <c r="D11" s="237">
        <f t="shared" si="1"/>
        <v>0</v>
      </c>
      <c r="E11" s="237">
        <f t="shared" si="1"/>
        <v>0</v>
      </c>
      <c r="F11" s="237">
        <f t="shared" si="1"/>
        <v>0</v>
      </c>
      <c r="G11" s="237">
        <f t="shared" si="1"/>
        <v>0</v>
      </c>
      <c r="H11" s="237">
        <f t="shared" si="1"/>
        <v>0</v>
      </c>
      <c r="I11" s="237">
        <f t="shared" si="1"/>
        <v>0</v>
      </c>
      <c r="J11" s="237">
        <f t="shared" si="1"/>
        <v>0</v>
      </c>
      <c r="K11" s="237">
        <f t="shared" si="1"/>
        <v>0</v>
      </c>
      <c r="L11" s="237">
        <f t="shared" si="1"/>
        <v>0</v>
      </c>
      <c r="M11" s="237">
        <f t="shared" si="1"/>
        <v>0</v>
      </c>
      <c r="N11" s="237">
        <f t="shared" si="1"/>
        <v>0</v>
      </c>
      <c r="O11" s="237">
        <f>SUM(C11:N11)</f>
        <v>0</v>
      </c>
      <c r="P11" s="206"/>
      <c r="Q11" s="207"/>
      <c r="R11" s="206"/>
    </row>
    <row r="12" spans="1:18" ht="15">
      <c r="A12" s="239" t="s">
        <v>727</v>
      </c>
      <c r="B12" s="195" t="s">
        <v>206</v>
      </c>
      <c r="C12" s="240">
        <f t="shared" si="1"/>
        <v>0</v>
      </c>
      <c r="D12" s="240">
        <f t="shared" si="1"/>
        <v>0</v>
      </c>
      <c r="E12" s="240">
        <f t="shared" si="1"/>
        <v>0</v>
      </c>
      <c r="F12" s="240">
        <f t="shared" si="1"/>
        <v>13</v>
      </c>
      <c r="G12" s="240">
        <f t="shared" si="1"/>
        <v>21</v>
      </c>
      <c r="H12" s="240">
        <f t="shared" si="1"/>
        <v>41</v>
      </c>
      <c r="I12" s="240">
        <f t="shared" si="1"/>
        <v>20</v>
      </c>
      <c r="J12" s="240">
        <f t="shared" si="1"/>
        <v>-2</v>
      </c>
      <c r="K12" s="240">
        <f t="shared" si="1"/>
        <v>0</v>
      </c>
      <c r="L12" s="240">
        <f t="shared" si="1"/>
        <v>0</v>
      </c>
      <c r="M12" s="240">
        <f t="shared" si="1"/>
        <v>0</v>
      </c>
      <c r="N12" s="240">
        <f t="shared" si="1"/>
        <v>0</v>
      </c>
      <c r="O12" s="240">
        <f>SUM(C12:N12)</f>
        <v>93</v>
      </c>
      <c r="P12" s="208"/>
      <c r="Q12" s="241"/>
      <c r="R12" s="208"/>
    </row>
    <row r="13" spans="1:18">
      <c r="B13" s="194"/>
      <c r="C13" s="237">
        <f t="shared" ref="C13:O13" si="2">SUM(C10:C12)</f>
        <v>0</v>
      </c>
      <c r="D13" s="237">
        <f>SUM(D10:D12)</f>
        <v>0</v>
      </c>
      <c r="E13" s="237">
        <f t="shared" si="2"/>
        <v>0</v>
      </c>
      <c r="F13" s="237">
        <f t="shared" si="2"/>
        <v>703522</v>
      </c>
      <c r="G13" s="237">
        <f t="shared" si="2"/>
        <v>876428</v>
      </c>
      <c r="H13" s="237">
        <f t="shared" si="2"/>
        <v>2093571</v>
      </c>
      <c r="I13" s="237">
        <f t="shared" si="2"/>
        <v>1597073</v>
      </c>
      <c r="J13" s="237">
        <f t="shared" si="2"/>
        <v>-236459</v>
      </c>
      <c r="K13" s="237">
        <f t="shared" si="2"/>
        <v>0</v>
      </c>
      <c r="L13" s="237">
        <f t="shared" si="2"/>
        <v>0</v>
      </c>
      <c r="M13" s="237">
        <f t="shared" si="2"/>
        <v>0</v>
      </c>
      <c r="N13" s="237">
        <f t="shared" si="2"/>
        <v>0</v>
      </c>
      <c r="O13" s="237">
        <f t="shared" si="2"/>
        <v>5034135</v>
      </c>
      <c r="P13" s="206"/>
      <c r="Q13" s="207"/>
      <c r="R13" s="206"/>
    </row>
    <row r="14" spans="1:18">
      <c r="B14" s="195"/>
      <c r="C14" s="206"/>
      <c r="D14" s="206"/>
      <c r="E14" s="206"/>
      <c r="F14" s="206"/>
      <c r="G14" s="206"/>
      <c r="H14" s="206"/>
      <c r="I14" s="206"/>
      <c r="J14" s="206"/>
      <c r="K14" s="206"/>
      <c r="L14" s="206"/>
      <c r="M14" s="206"/>
      <c r="N14" s="206"/>
      <c r="O14" s="206"/>
      <c r="P14" s="206"/>
      <c r="Q14" s="207"/>
      <c r="R14" s="206"/>
    </row>
    <row r="15" spans="1:18">
      <c r="A15" s="55" t="s">
        <v>108</v>
      </c>
      <c r="B15" s="195"/>
      <c r="C15" s="206"/>
      <c r="D15" s="206"/>
      <c r="E15" s="206"/>
      <c r="F15" s="206"/>
      <c r="G15" s="206"/>
      <c r="H15" s="206"/>
      <c r="I15" s="206"/>
      <c r="J15" s="206"/>
      <c r="K15" s="206"/>
      <c r="L15" s="206"/>
      <c r="M15" s="206"/>
      <c r="N15" s="206"/>
      <c r="O15" s="206"/>
      <c r="P15" s="206"/>
      <c r="Q15" s="207"/>
      <c r="R15" s="206"/>
    </row>
    <row r="16" spans="1:18">
      <c r="A16" s="205" t="s">
        <v>660</v>
      </c>
      <c r="B16" s="195" t="s">
        <v>208</v>
      </c>
      <c r="C16" s="237">
        <f t="shared" ref="C16:N17" si="3">ROUND(SUMIFS(_12MonResults_KWH_Total,_12MonResults_RateClass,$B16,_12MonResults_RevMonth,C$3)*C$7,0)</f>
        <v>0</v>
      </c>
      <c r="D16" s="237">
        <f t="shared" si="3"/>
        <v>0</v>
      </c>
      <c r="E16" s="237">
        <f t="shared" si="3"/>
        <v>0</v>
      </c>
      <c r="F16" s="237">
        <f t="shared" si="3"/>
        <v>92259</v>
      </c>
      <c r="G16" s="237">
        <f t="shared" si="3"/>
        <v>140361</v>
      </c>
      <c r="H16" s="237">
        <f t="shared" si="3"/>
        <v>303273</v>
      </c>
      <c r="I16" s="237">
        <f t="shared" si="3"/>
        <v>201450</v>
      </c>
      <c r="J16" s="237">
        <f t="shared" si="3"/>
        <v>-30278</v>
      </c>
      <c r="K16" s="237">
        <f t="shared" si="3"/>
        <v>0</v>
      </c>
      <c r="L16" s="237">
        <f t="shared" si="3"/>
        <v>0</v>
      </c>
      <c r="M16" s="237">
        <f t="shared" si="3"/>
        <v>0</v>
      </c>
      <c r="N16" s="237">
        <f t="shared" si="3"/>
        <v>0</v>
      </c>
      <c r="O16" s="237">
        <f>SUM(C16:N16)</f>
        <v>707065</v>
      </c>
      <c r="P16" s="206"/>
      <c r="Q16" s="207"/>
      <c r="R16" s="206"/>
    </row>
    <row r="17" spans="1:18" ht="15">
      <c r="A17" s="205" t="s">
        <v>63</v>
      </c>
      <c r="B17" s="195" t="s">
        <v>17</v>
      </c>
      <c r="C17" s="240">
        <f t="shared" si="3"/>
        <v>0</v>
      </c>
      <c r="D17" s="240">
        <f t="shared" si="3"/>
        <v>0</v>
      </c>
      <c r="E17" s="240">
        <f t="shared" si="3"/>
        <v>0</v>
      </c>
      <c r="F17" s="240">
        <f t="shared" si="3"/>
        <v>134326</v>
      </c>
      <c r="G17" s="240">
        <f t="shared" si="3"/>
        <v>204910</v>
      </c>
      <c r="H17" s="240">
        <f t="shared" si="3"/>
        <v>444242</v>
      </c>
      <c r="I17" s="240">
        <f t="shared" si="3"/>
        <v>295451</v>
      </c>
      <c r="J17" s="240">
        <f t="shared" si="3"/>
        <v>-44443</v>
      </c>
      <c r="K17" s="240">
        <f t="shared" si="3"/>
        <v>0</v>
      </c>
      <c r="L17" s="240">
        <f t="shared" si="3"/>
        <v>0</v>
      </c>
      <c r="M17" s="240">
        <f t="shared" si="3"/>
        <v>0</v>
      </c>
      <c r="N17" s="240">
        <f t="shared" si="3"/>
        <v>0</v>
      </c>
      <c r="O17" s="240">
        <f>SUM(C17:N17)</f>
        <v>1034486</v>
      </c>
      <c r="P17" s="208"/>
      <c r="Q17" s="241"/>
      <c r="R17" s="208"/>
    </row>
    <row r="18" spans="1:18">
      <c r="B18" s="194"/>
      <c r="C18" s="237">
        <f>SUM(C16:C17)</f>
        <v>0</v>
      </c>
      <c r="D18" s="237">
        <f>SUM(D16:D17)</f>
        <v>0</v>
      </c>
      <c r="E18" s="237">
        <f t="shared" ref="E18:O18" si="4">SUM(E16:E17)</f>
        <v>0</v>
      </c>
      <c r="F18" s="237">
        <f t="shared" si="4"/>
        <v>226585</v>
      </c>
      <c r="G18" s="237">
        <f t="shared" si="4"/>
        <v>345271</v>
      </c>
      <c r="H18" s="237">
        <f t="shared" si="4"/>
        <v>747515</v>
      </c>
      <c r="I18" s="237">
        <f t="shared" si="4"/>
        <v>496901</v>
      </c>
      <c r="J18" s="237">
        <f t="shared" si="4"/>
        <v>-74721</v>
      </c>
      <c r="K18" s="237">
        <f t="shared" si="4"/>
        <v>0</v>
      </c>
      <c r="L18" s="237">
        <f t="shared" si="4"/>
        <v>0</v>
      </c>
      <c r="M18" s="237">
        <f t="shared" si="4"/>
        <v>0</v>
      </c>
      <c r="N18" s="237">
        <f t="shared" si="4"/>
        <v>0</v>
      </c>
      <c r="O18" s="237">
        <f t="shared" si="4"/>
        <v>1741551</v>
      </c>
      <c r="P18" s="206"/>
      <c r="Q18" s="207"/>
      <c r="R18" s="206"/>
    </row>
    <row r="19" spans="1:18">
      <c r="B19" s="194"/>
      <c r="C19" s="237"/>
      <c r="D19" s="237"/>
      <c r="E19" s="237"/>
      <c r="F19" s="237"/>
      <c r="G19" s="237"/>
      <c r="H19" s="237"/>
      <c r="I19" s="237"/>
      <c r="J19" s="237"/>
      <c r="K19" s="237"/>
      <c r="L19" s="237"/>
      <c r="M19" s="237"/>
      <c r="N19" s="237"/>
      <c r="O19" s="237"/>
      <c r="P19" s="206"/>
      <c r="Q19" s="207"/>
      <c r="R19" s="206"/>
    </row>
    <row r="20" spans="1:18" ht="15">
      <c r="A20" s="55" t="s">
        <v>446</v>
      </c>
      <c r="B20" s="194"/>
      <c r="C20" s="208"/>
      <c r="D20" s="208"/>
      <c r="E20" s="208"/>
      <c r="F20" s="208"/>
      <c r="G20" s="208"/>
      <c r="H20" s="208"/>
      <c r="I20" s="208"/>
      <c r="J20" s="208"/>
      <c r="K20" s="208"/>
      <c r="L20" s="208"/>
      <c r="M20" s="208"/>
      <c r="N20" s="208"/>
      <c r="O20" s="208"/>
      <c r="P20" s="206"/>
      <c r="Q20" s="207"/>
      <c r="R20" s="206"/>
    </row>
    <row r="21" spans="1:18">
      <c r="A21" s="205" t="s">
        <v>203</v>
      </c>
      <c r="B21" s="194" t="s">
        <v>203</v>
      </c>
      <c r="C21" s="237">
        <f t="shared" ref="C21:N23" si="5">ROUND(SUMIFS(_12MonResults_KWH_Total,_12MonResults_RateClass,$B21,_12MonResults_RevMonth,C$3)*C$7,0)</f>
        <v>0</v>
      </c>
      <c r="D21" s="237">
        <f t="shared" si="5"/>
        <v>0</v>
      </c>
      <c r="E21" s="237">
        <f t="shared" si="5"/>
        <v>0</v>
      </c>
      <c r="F21" s="237">
        <f t="shared" si="5"/>
        <v>971</v>
      </c>
      <c r="G21" s="237">
        <f t="shared" si="5"/>
        <v>1525</v>
      </c>
      <c r="H21" s="237">
        <f t="shared" si="5"/>
        <v>2838</v>
      </c>
      <c r="I21" s="237">
        <f t="shared" si="5"/>
        <v>1780</v>
      </c>
      <c r="J21" s="237">
        <f t="shared" si="5"/>
        <v>-258</v>
      </c>
      <c r="K21" s="237">
        <f t="shared" si="5"/>
        <v>0</v>
      </c>
      <c r="L21" s="237">
        <f t="shared" si="5"/>
        <v>0</v>
      </c>
      <c r="M21" s="237">
        <f t="shared" si="5"/>
        <v>0</v>
      </c>
      <c r="N21" s="237">
        <f t="shared" si="5"/>
        <v>0</v>
      </c>
      <c r="O21" s="237">
        <f>SUM(C21:N21)</f>
        <v>6856</v>
      </c>
      <c r="P21" s="206"/>
      <c r="Q21" s="207"/>
      <c r="R21" s="206"/>
    </row>
    <row r="22" spans="1:18">
      <c r="A22" s="205" t="s">
        <v>728</v>
      </c>
      <c r="B22" s="195" t="s">
        <v>212</v>
      </c>
      <c r="C22" s="237">
        <f t="shared" si="5"/>
        <v>0</v>
      </c>
      <c r="D22" s="237">
        <f t="shared" si="5"/>
        <v>0</v>
      </c>
      <c r="E22" s="237">
        <f t="shared" si="5"/>
        <v>0</v>
      </c>
      <c r="F22" s="237">
        <f t="shared" si="5"/>
        <v>18001</v>
      </c>
      <c r="G22" s="237">
        <f t="shared" si="5"/>
        <v>28272</v>
      </c>
      <c r="H22" s="237">
        <f t="shared" si="5"/>
        <v>52598</v>
      </c>
      <c r="I22" s="237">
        <f t="shared" si="5"/>
        <v>32995</v>
      </c>
      <c r="J22" s="237">
        <f t="shared" si="5"/>
        <v>-4784</v>
      </c>
      <c r="K22" s="237">
        <f t="shared" si="5"/>
        <v>0</v>
      </c>
      <c r="L22" s="237">
        <f t="shared" si="5"/>
        <v>0</v>
      </c>
      <c r="M22" s="237">
        <f t="shared" si="5"/>
        <v>0</v>
      </c>
      <c r="N22" s="237">
        <f t="shared" si="5"/>
        <v>0</v>
      </c>
      <c r="O22" s="237">
        <f>SUM(C22:N22)</f>
        <v>127082</v>
      </c>
      <c r="P22" s="206"/>
      <c r="Q22" s="207"/>
      <c r="R22" s="206"/>
    </row>
    <row r="23" spans="1:18" ht="15">
      <c r="A23" s="205" t="s">
        <v>729</v>
      </c>
      <c r="B23" s="195" t="s">
        <v>730</v>
      </c>
      <c r="C23" s="240">
        <f t="shared" si="5"/>
        <v>0</v>
      </c>
      <c r="D23" s="240">
        <f t="shared" si="5"/>
        <v>0</v>
      </c>
      <c r="E23" s="240">
        <f t="shared" si="5"/>
        <v>0</v>
      </c>
      <c r="F23" s="240">
        <f t="shared" si="5"/>
        <v>0</v>
      </c>
      <c r="G23" s="240">
        <f t="shared" si="5"/>
        <v>0</v>
      </c>
      <c r="H23" s="240">
        <f t="shared" si="5"/>
        <v>0</v>
      </c>
      <c r="I23" s="240">
        <f t="shared" si="5"/>
        <v>0</v>
      </c>
      <c r="J23" s="240">
        <f t="shared" si="5"/>
        <v>0</v>
      </c>
      <c r="K23" s="240">
        <f t="shared" si="5"/>
        <v>0</v>
      </c>
      <c r="L23" s="240">
        <f t="shared" si="5"/>
        <v>0</v>
      </c>
      <c r="M23" s="240">
        <f t="shared" si="5"/>
        <v>0</v>
      </c>
      <c r="N23" s="240">
        <f t="shared" si="5"/>
        <v>0</v>
      </c>
      <c r="O23" s="240">
        <f>SUM(C23:N23)</f>
        <v>0</v>
      </c>
      <c r="P23" s="208"/>
      <c r="Q23" s="241"/>
      <c r="R23" s="208"/>
    </row>
    <row r="24" spans="1:18">
      <c r="A24" s="205"/>
      <c r="B24" s="195"/>
      <c r="C24" s="237">
        <f t="shared" ref="C24:O24" si="6">SUM(C21:C23)</f>
        <v>0</v>
      </c>
      <c r="D24" s="237">
        <f>SUM(D21:D23)</f>
        <v>0</v>
      </c>
      <c r="E24" s="237">
        <f t="shared" si="6"/>
        <v>0</v>
      </c>
      <c r="F24" s="237">
        <f t="shared" si="6"/>
        <v>18972</v>
      </c>
      <c r="G24" s="237">
        <f t="shared" si="6"/>
        <v>29797</v>
      </c>
      <c r="H24" s="237">
        <f t="shared" si="6"/>
        <v>55436</v>
      </c>
      <c r="I24" s="237">
        <f t="shared" si="6"/>
        <v>34775</v>
      </c>
      <c r="J24" s="237">
        <f t="shared" si="6"/>
        <v>-5042</v>
      </c>
      <c r="K24" s="237">
        <f t="shared" si="6"/>
        <v>0</v>
      </c>
      <c r="L24" s="237">
        <f t="shared" si="6"/>
        <v>0</v>
      </c>
      <c r="M24" s="237">
        <f t="shared" si="6"/>
        <v>0</v>
      </c>
      <c r="N24" s="237">
        <f t="shared" si="6"/>
        <v>0</v>
      </c>
      <c r="O24" s="237">
        <f t="shared" si="6"/>
        <v>133938</v>
      </c>
      <c r="P24" s="206"/>
      <c r="Q24" s="207"/>
      <c r="R24" s="206"/>
    </row>
    <row r="25" spans="1:18">
      <c r="B25" s="194"/>
      <c r="C25" s="206"/>
      <c r="D25" s="206"/>
      <c r="E25" s="206"/>
      <c r="F25" s="206"/>
      <c r="G25" s="206"/>
      <c r="H25" s="206"/>
      <c r="I25" s="206"/>
      <c r="J25" s="206"/>
      <c r="K25" s="206"/>
      <c r="L25" s="206"/>
      <c r="M25" s="206"/>
      <c r="N25" s="206"/>
      <c r="O25" s="206"/>
      <c r="P25" s="206"/>
      <c r="Q25" s="207"/>
      <c r="R25" s="206"/>
    </row>
    <row r="26" spans="1:18">
      <c r="A26" s="209" t="s">
        <v>110</v>
      </c>
      <c r="B26" s="194"/>
      <c r="C26" s="206"/>
      <c r="D26" s="206"/>
      <c r="E26" s="206"/>
      <c r="F26" s="206"/>
      <c r="G26" s="206"/>
      <c r="H26" s="206"/>
      <c r="I26" s="206"/>
      <c r="J26" s="206"/>
      <c r="K26" s="206"/>
      <c r="L26" s="206"/>
      <c r="M26" s="206"/>
      <c r="N26" s="206"/>
      <c r="O26" s="206"/>
      <c r="P26" s="206"/>
      <c r="Q26" s="207"/>
      <c r="R26" s="206"/>
    </row>
    <row r="27" spans="1:18">
      <c r="A27" s="211" t="s">
        <v>731</v>
      </c>
      <c r="B27" s="194" t="s">
        <v>24</v>
      </c>
      <c r="C27" s="237">
        <f t="shared" ref="C27:N28" si="7">ROUND(SUMIFS(_12MonResults_KWH_Total,_12MonResults_RateClass,$B27,_12MonResults_RevMonth,C$3)*C$7,0)</f>
        <v>0</v>
      </c>
      <c r="D27" s="237">
        <f t="shared" si="7"/>
        <v>0</v>
      </c>
      <c r="E27" s="237">
        <f t="shared" si="7"/>
        <v>0</v>
      </c>
      <c r="F27" s="237">
        <f t="shared" si="7"/>
        <v>254197</v>
      </c>
      <c r="G27" s="237">
        <f t="shared" si="7"/>
        <v>417066</v>
      </c>
      <c r="H27" s="237">
        <f t="shared" si="7"/>
        <v>885788</v>
      </c>
      <c r="I27" s="237">
        <f t="shared" si="7"/>
        <v>593023</v>
      </c>
      <c r="J27" s="237">
        <f t="shared" si="7"/>
        <v>-85860</v>
      </c>
      <c r="K27" s="237">
        <f t="shared" si="7"/>
        <v>0</v>
      </c>
      <c r="L27" s="237">
        <f t="shared" si="7"/>
        <v>0</v>
      </c>
      <c r="M27" s="237">
        <f t="shared" si="7"/>
        <v>0</v>
      </c>
      <c r="N27" s="237">
        <f t="shared" si="7"/>
        <v>0</v>
      </c>
      <c r="O27" s="237">
        <f>SUM(C27:N27)</f>
        <v>2064214</v>
      </c>
      <c r="P27" s="206"/>
      <c r="Q27" s="207"/>
      <c r="R27" s="206"/>
    </row>
    <row r="28" spans="1:18" ht="15">
      <c r="A28" s="211" t="s">
        <v>732</v>
      </c>
      <c r="B28" s="194" t="s">
        <v>25</v>
      </c>
      <c r="C28" s="240">
        <f t="shared" si="7"/>
        <v>0</v>
      </c>
      <c r="D28" s="240">
        <f t="shared" si="7"/>
        <v>0</v>
      </c>
      <c r="E28" s="240">
        <f t="shared" si="7"/>
        <v>0</v>
      </c>
      <c r="F28" s="240">
        <f t="shared" si="7"/>
        <v>29285</v>
      </c>
      <c r="G28" s="240">
        <f t="shared" si="7"/>
        <v>50974</v>
      </c>
      <c r="H28" s="240">
        <f t="shared" si="7"/>
        <v>101565</v>
      </c>
      <c r="I28" s="240">
        <f t="shared" si="7"/>
        <v>64118</v>
      </c>
      <c r="J28" s="240">
        <f t="shared" si="7"/>
        <v>-9318</v>
      </c>
      <c r="K28" s="240">
        <f t="shared" si="7"/>
        <v>0</v>
      </c>
      <c r="L28" s="240">
        <f t="shared" si="7"/>
        <v>0</v>
      </c>
      <c r="M28" s="240">
        <f t="shared" si="7"/>
        <v>0</v>
      </c>
      <c r="N28" s="240">
        <f t="shared" si="7"/>
        <v>0</v>
      </c>
      <c r="O28" s="240">
        <f>SUM(C28:N28)</f>
        <v>236624</v>
      </c>
      <c r="P28" s="208"/>
      <c r="Q28" s="241"/>
      <c r="R28" s="208"/>
    </row>
    <row r="29" spans="1:18">
      <c r="B29" s="212"/>
      <c r="C29" s="237">
        <f>SUM(C27:C28)</f>
        <v>0</v>
      </c>
      <c r="D29" s="237">
        <f>SUM(D27:D28)</f>
        <v>0</v>
      </c>
      <c r="E29" s="237">
        <f t="shared" ref="E29" si="8">SUM(E27:E28)</f>
        <v>0</v>
      </c>
      <c r="F29" s="237">
        <f t="shared" ref="F29" si="9">SUM(F27:F28)</f>
        <v>283482</v>
      </c>
      <c r="G29" s="237">
        <f t="shared" ref="G29" si="10">SUM(G27:G28)</f>
        <v>468040</v>
      </c>
      <c r="H29" s="237">
        <f t="shared" ref="H29" si="11">SUM(H27:H28)</f>
        <v>987353</v>
      </c>
      <c r="I29" s="237">
        <f t="shared" ref="I29" si="12">SUM(I27:I28)</f>
        <v>657141</v>
      </c>
      <c r="J29" s="237">
        <f t="shared" ref="J29" si="13">SUM(J27:J28)</f>
        <v>-95178</v>
      </c>
      <c r="K29" s="237">
        <f t="shared" ref="K29" si="14">SUM(K27:K28)</f>
        <v>0</v>
      </c>
      <c r="L29" s="237">
        <f t="shared" ref="L29" si="15">SUM(L27:L28)</f>
        <v>0</v>
      </c>
      <c r="M29" s="237">
        <f t="shared" ref="M29" si="16">SUM(M27:M28)</f>
        <v>0</v>
      </c>
      <c r="N29" s="237">
        <f t="shared" ref="N29" si="17">SUM(N27:N28)</f>
        <v>0</v>
      </c>
      <c r="O29" s="237">
        <f t="shared" ref="O29" si="18">SUM(O27:O28)</f>
        <v>2300838</v>
      </c>
      <c r="P29" s="206"/>
      <c r="Q29" s="207"/>
      <c r="R29" s="206"/>
    </row>
    <row r="30" spans="1:18">
      <c r="A30" s="204" t="s">
        <v>661</v>
      </c>
      <c r="B30" s="212"/>
      <c r="C30" s="206"/>
      <c r="D30" s="206"/>
      <c r="E30" s="206"/>
      <c r="F30" s="206"/>
      <c r="G30" s="206"/>
      <c r="H30" s="206"/>
      <c r="I30" s="206"/>
      <c r="J30" s="206"/>
      <c r="K30" s="206"/>
      <c r="L30" s="206"/>
      <c r="M30" s="206"/>
      <c r="N30" s="206"/>
      <c r="O30" s="206"/>
      <c r="P30" s="206"/>
      <c r="Q30" s="207"/>
      <c r="R30" s="206"/>
    </row>
    <row r="31" spans="1:18">
      <c r="A31" s="211" t="s">
        <v>662</v>
      </c>
      <c r="B31" s="195" t="s">
        <v>205</v>
      </c>
      <c r="C31" s="237">
        <f t="shared" ref="C31:N32" si="19">ROUND(SUMIFS(_12MonResults_KWH_Total,_12MonResults_RateClass,$B31,_12MonResults_RevMonth,C$3)*C$7,0)</f>
        <v>0</v>
      </c>
      <c r="D31" s="237">
        <f t="shared" si="19"/>
        <v>0</v>
      </c>
      <c r="E31" s="237">
        <f t="shared" si="19"/>
        <v>0</v>
      </c>
      <c r="F31" s="237">
        <f t="shared" si="19"/>
        <v>550419</v>
      </c>
      <c r="G31" s="237">
        <f t="shared" si="19"/>
        <v>901714</v>
      </c>
      <c r="H31" s="237">
        <f t="shared" si="19"/>
        <v>1775084</v>
      </c>
      <c r="I31" s="237">
        <f t="shared" si="19"/>
        <v>1120193</v>
      </c>
      <c r="J31" s="237">
        <f t="shared" si="19"/>
        <v>-162679</v>
      </c>
      <c r="K31" s="237">
        <f t="shared" si="19"/>
        <v>0</v>
      </c>
      <c r="L31" s="237">
        <f t="shared" si="19"/>
        <v>0</v>
      </c>
      <c r="M31" s="237">
        <f t="shared" si="19"/>
        <v>0</v>
      </c>
      <c r="N31" s="237">
        <f t="shared" si="19"/>
        <v>0</v>
      </c>
      <c r="O31" s="237">
        <f>SUM(C31:N31)</f>
        <v>4184731</v>
      </c>
      <c r="P31" s="206"/>
      <c r="Q31" s="207"/>
      <c r="R31" s="206"/>
    </row>
    <row r="32" spans="1:18" ht="15">
      <c r="A32" s="211" t="s">
        <v>663</v>
      </c>
      <c r="B32" s="195" t="s">
        <v>204</v>
      </c>
      <c r="C32" s="240">
        <f t="shared" si="19"/>
        <v>0</v>
      </c>
      <c r="D32" s="240">
        <f t="shared" si="19"/>
        <v>0</v>
      </c>
      <c r="E32" s="240">
        <f t="shared" si="19"/>
        <v>0</v>
      </c>
      <c r="F32" s="240">
        <f t="shared" si="19"/>
        <v>201109</v>
      </c>
      <c r="G32" s="240">
        <f t="shared" si="19"/>
        <v>321724</v>
      </c>
      <c r="H32" s="240">
        <f t="shared" si="19"/>
        <v>673625</v>
      </c>
      <c r="I32" s="240">
        <f t="shared" si="19"/>
        <v>423693</v>
      </c>
      <c r="J32" s="240">
        <f t="shared" si="19"/>
        <v>-62202</v>
      </c>
      <c r="K32" s="240">
        <f t="shared" si="19"/>
        <v>0</v>
      </c>
      <c r="L32" s="240">
        <f t="shared" si="19"/>
        <v>0</v>
      </c>
      <c r="M32" s="240">
        <f t="shared" si="19"/>
        <v>0</v>
      </c>
      <c r="N32" s="240">
        <f t="shared" si="19"/>
        <v>0</v>
      </c>
      <c r="O32" s="240">
        <f>SUM(C32:N32)</f>
        <v>1557949</v>
      </c>
      <c r="P32" s="208"/>
      <c r="Q32" s="241"/>
      <c r="R32" s="208"/>
    </row>
    <row r="33" spans="1:18">
      <c r="B33" s="212"/>
      <c r="C33" s="237">
        <f>SUM(C31:C32)</f>
        <v>0</v>
      </c>
      <c r="D33" s="237">
        <f>SUM(D31:D32)</f>
        <v>0</v>
      </c>
      <c r="E33" s="237">
        <f t="shared" ref="E33" si="20">SUM(E31:E32)</f>
        <v>0</v>
      </c>
      <c r="F33" s="237">
        <f t="shared" ref="F33" si="21">SUM(F31:F32)</f>
        <v>751528</v>
      </c>
      <c r="G33" s="237">
        <f t="shared" ref="G33" si="22">SUM(G31:G32)</f>
        <v>1223438</v>
      </c>
      <c r="H33" s="237">
        <f t="shared" ref="H33" si="23">SUM(H31:H32)</f>
        <v>2448709</v>
      </c>
      <c r="I33" s="237">
        <f t="shared" ref="I33" si="24">SUM(I31:I32)</f>
        <v>1543886</v>
      </c>
      <c r="J33" s="237">
        <f t="shared" ref="J33" si="25">SUM(J31:J32)</f>
        <v>-224881</v>
      </c>
      <c r="K33" s="237">
        <f t="shared" ref="K33" si="26">SUM(K31:K32)</f>
        <v>0</v>
      </c>
      <c r="L33" s="237">
        <f t="shared" ref="L33" si="27">SUM(L31:L32)</f>
        <v>0</v>
      </c>
      <c r="M33" s="237">
        <f t="shared" ref="M33" si="28">SUM(M31:M32)</f>
        <v>0</v>
      </c>
      <c r="N33" s="237">
        <f t="shared" ref="N33" si="29">SUM(N31:N32)</f>
        <v>0</v>
      </c>
      <c r="O33" s="237">
        <f t="shared" ref="O33" si="30">SUM(O31:O32)</f>
        <v>5742680</v>
      </c>
      <c r="P33" s="206"/>
      <c r="Q33" s="207"/>
      <c r="R33" s="206"/>
    </row>
    <row r="34" spans="1:18">
      <c r="A34" s="209"/>
      <c r="B34" s="194"/>
      <c r="C34" s="206"/>
      <c r="D34" s="206"/>
      <c r="E34" s="206"/>
      <c r="F34" s="206"/>
      <c r="G34" s="206"/>
      <c r="H34" s="206"/>
      <c r="I34" s="206"/>
      <c r="J34" s="206"/>
      <c r="K34" s="206"/>
      <c r="L34" s="206"/>
      <c r="M34" s="206"/>
      <c r="N34" s="206"/>
      <c r="O34" s="206"/>
      <c r="P34" s="206"/>
      <c r="Q34" s="207"/>
      <c r="R34" s="206"/>
    </row>
    <row r="35" spans="1:18">
      <c r="B35" s="194"/>
      <c r="C35" s="206"/>
      <c r="D35" s="206"/>
      <c r="E35" s="206"/>
      <c r="F35" s="206"/>
      <c r="G35" s="206"/>
      <c r="H35" s="206"/>
      <c r="I35" s="206"/>
      <c r="J35" s="206"/>
      <c r="K35" s="206"/>
      <c r="L35" s="206"/>
      <c r="M35" s="206"/>
      <c r="N35" s="206"/>
      <c r="O35" s="206"/>
      <c r="P35" s="206"/>
      <c r="Q35" s="207"/>
      <c r="R35" s="206"/>
    </row>
    <row r="36" spans="1:18">
      <c r="A36" s="204" t="s">
        <v>734</v>
      </c>
      <c r="B36" s="194" t="s">
        <v>18</v>
      </c>
      <c r="C36" s="237">
        <f t="shared" ref="C36:N36" si="31">ROUND(SUMIFS(_12MonResults_KWH_Total,_12MonResults_RateClass,$B36,_12MonResults_RevMonth,C$3)*C$7,0)</f>
        <v>0</v>
      </c>
      <c r="D36" s="237">
        <f t="shared" si="31"/>
        <v>0</v>
      </c>
      <c r="E36" s="237">
        <f t="shared" si="31"/>
        <v>0</v>
      </c>
      <c r="F36" s="237">
        <f t="shared" si="31"/>
        <v>214329</v>
      </c>
      <c r="G36" s="237">
        <f t="shared" si="31"/>
        <v>345361</v>
      </c>
      <c r="H36" s="237">
        <f t="shared" si="31"/>
        <v>641875</v>
      </c>
      <c r="I36" s="237">
        <f t="shared" si="31"/>
        <v>351429</v>
      </c>
      <c r="J36" s="237">
        <f t="shared" si="31"/>
        <v>-56720</v>
      </c>
      <c r="K36" s="237">
        <f t="shared" si="31"/>
        <v>0</v>
      </c>
      <c r="L36" s="237">
        <f t="shared" si="31"/>
        <v>0</v>
      </c>
      <c r="M36" s="237">
        <f t="shared" si="31"/>
        <v>0</v>
      </c>
      <c r="N36" s="237">
        <f t="shared" si="31"/>
        <v>0</v>
      </c>
      <c r="O36" s="237">
        <f>SUM(C36:N36)</f>
        <v>1496274</v>
      </c>
      <c r="P36" s="206"/>
      <c r="Q36" s="207"/>
      <c r="R36" s="206"/>
    </row>
    <row r="37" spans="1:18">
      <c r="B37" s="194"/>
      <c r="C37" s="206"/>
      <c r="D37" s="206"/>
      <c r="E37" s="206"/>
      <c r="F37" s="206"/>
      <c r="G37" s="206"/>
      <c r="H37" s="206"/>
      <c r="I37" s="206"/>
      <c r="J37" s="206"/>
      <c r="K37" s="206"/>
      <c r="L37" s="206"/>
      <c r="M37" s="206"/>
      <c r="N37" s="206"/>
      <c r="O37" s="206"/>
      <c r="P37" s="206"/>
      <c r="Q37" s="207"/>
      <c r="R37" s="206"/>
    </row>
    <row r="38" spans="1:18">
      <c r="A38" s="55" t="s">
        <v>733</v>
      </c>
      <c r="B38" s="195" t="s">
        <v>27</v>
      </c>
      <c r="C38" s="237">
        <f t="shared" ref="C38:N38" si="32">ROUND(SUMIFS(_12MonResults_KWH_Total,_12MonResults_RateClass,$B38,_12MonResults_RevMonth,C$3)*C$7,0)</f>
        <v>0</v>
      </c>
      <c r="D38" s="237">
        <f t="shared" si="32"/>
        <v>0</v>
      </c>
      <c r="E38" s="237">
        <f t="shared" si="32"/>
        <v>0</v>
      </c>
      <c r="F38" s="237">
        <f t="shared" si="32"/>
        <v>82025</v>
      </c>
      <c r="G38" s="237">
        <f t="shared" si="32"/>
        <v>114797</v>
      </c>
      <c r="H38" s="237">
        <f t="shared" si="32"/>
        <v>205142</v>
      </c>
      <c r="I38" s="237">
        <f t="shared" si="32"/>
        <v>126075</v>
      </c>
      <c r="J38" s="237">
        <f t="shared" si="32"/>
        <v>-19102</v>
      </c>
      <c r="K38" s="237">
        <f t="shared" si="32"/>
        <v>0</v>
      </c>
      <c r="L38" s="237">
        <f t="shared" si="32"/>
        <v>0</v>
      </c>
      <c r="M38" s="237">
        <f t="shared" si="32"/>
        <v>0</v>
      </c>
      <c r="N38" s="237">
        <f t="shared" si="32"/>
        <v>0</v>
      </c>
      <c r="O38" s="237">
        <f>SUM(C38:N38)</f>
        <v>508937</v>
      </c>
      <c r="P38" s="206"/>
      <c r="Q38" s="207"/>
      <c r="R38" s="206"/>
    </row>
    <row r="39" spans="1:18">
      <c r="B39" s="194"/>
      <c r="C39" s="206"/>
      <c r="D39" s="206"/>
      <c r="E39" s="206"/>
      <c r="F39" s="206"/>
      <c r="G39" s="206"/>
      <c r="H39" s="206"/>
      <c r="I39" s="206"/>
      <c r="J39" s="206"/>
      <c r="K39" s="206"/>
      <c r="L39" s="206"/>
      <c r="M39" s="206"/>
      <c r="N39" s="206"/>
      <c r="O39" s="206"/>
      <c r="P39" s="206"/>
      <c r="Q39" s="207"/>
      <c r="R39" s="206"/>
    </row>
    <row r="40" spans="1:18">
      <c r="A40" s="55" t="s">
        <v>664</v>
      </c>
      <c r="B40" s="194"/>
      <c r="C40" s="206"/>
      <c r="D40" s="206"/>
      <c r="E40" s="206"/>
      <c r="F40" s="206"/>
      <c r="G40" s="206"/>
      <c r="H40" s="206"/>
      <c r="I40" s="206"/>
      <c r="J40" s="206"/>
      <c r="K40" s="206"/>
      <c r="L40" s="206"/>
      <c r="M40" s="206"/>
      <c r="N40" s="206"/>
      <c r="O40" s="206"/>
      <c r="P40" s="206"/>
      <c r="Q40" s="207"/>
      <c r="R40" s="206"/>
    </row>
    <row r="41" spans="1:18">
      <c r="A41" s="210" t="s">
        <v>737</v>
      </c>
      <c r="B41" s="194" t="s">
        <v>19</v>
      </c>
      <c r="C41" s="237">
        <f t="shared" ref="C41:N42" si="33">ROUND(SUMIFS(_12MonResults_KWH_Total,_12MonResults_RateClass,$B41,_12MonResults_RevMonth,C$3)*C$7,0)</f>
        <v>0</v>
      </c>
      <c r="D41" s="237">
        <f t="shared" si="33"/>
        <v>0</v>
      </c>
      <c r="E41" s="237">
        <f t="shared" si="33"/>
        <v>0</v>
      </c>
      <c r="F41" s="237">
        <f t="shared" si="33"/>
        <v>19</v>
      </c>
      <c r="G41" s="237">
        <f t="shared" si="33"/>
        <v>31</v>
      </c>
      <c r="H41" s="237">
        <f t="shared" si="33"/>
        <v>49</v>
      </c>
      <c r="I41" s="237">
        <f t="shared" si="33"/>
        <v>25</v>
      </c>
      <c r="J41" s="237">
        <f t="shared" si="33"/>
        <v>-5</v>
      </c>
      <c r="K41" s="237">
        <f t="shared" si="33"/>
        <v>0</v>
      </c>
      <c r="L41" s="237">
        <f t="shared" si="33"/>
        <v>0</v>
      </c>
      <c r="M41" s="237">
        <f t="shared" si="33"/>
        <v>0</v>
      </c>
      <c r="N41" s="237">
        <f t="shared" si="33"/>
        <v>0</v>
      </c>
      <c r="O41" s="237">
        <f t="shared" ref="O41:O45" si="34">SUM(C41:N41)</f>
        <v>119</v>
      </c>
      <c r="P41" s="206"/>
      <c r="Q41" s="207"/>
      <c r="R41" s="206"/>
    </row>
    <row r="42" spans="1:18">
      <c r="A42" s="211" t="s">
        <v>738</v>
      </c>
      <c r="B42" s="194" t="s">
        <v>20</v>
      </c>
      <c r="C42" s="237">
        <f t="shared" si="33"/>
        <v>0</v>
      </c>
      <c r="D42" s="237">
        <f t="shared" si="33"/>
        <v>0</v>
      </c>
      <c r="E42" s="237">
        <f t="shared" si="33"/>
        <v>0</v>
      </c>
      <c r="F42" s="237">
        <f t="shared" si="33"/>
        <v>155</v>
      </c>
      <c r="G42" s="237">
        <f t="shared" si="33"/>
        <v>249</v>
      </c>
      <c r="H42" s="237">
        <f t="shared" si="33"/>
        <v>477</v>
      </c>
      <c r="I42" s="237">
        <f t="shared" si="33"/>
        <v>288</v>
      </c>
      <c r="J42" s="237">
        <f t="shared" si="33"/>
        <v>-41</v>
      </c>
      <c r="K42" s="237">
        <f t="shared" si="33"/>
        <v>0</v>
      </c>
      <c r="L42" s="237">
        <f t="shared" si="33"/>
        <v>0</v>
      </c>
      <c r="M42" s="237">
        <f t="shared" si="33"/>
        <v>0</v>
      </c>
      <c r="N42" s="237">
        <f t="shared" si="33"/>
        <v>0</v>
      </c>
      <c r="O42" s="237">
        <f t="shared" si="34"/>
        <v>1128</v>
      </c>
      <c r="P42" s="206"/>
      <c r="Q42" s="207"/>
      <c r="R42" s="206"/>
    </row>
    <row r="43" spans="1:18">
      <c r="A43" s="210" t="s">
        <v>1006</v>
      </c>
      <c r="B43" s="212" t="s">
        <v>708</v>
      </c>
      <c r="C43" s="237">
        <f t="shared" ref="C43:N45" si="35">ROUND(SUMIFS(_12MonLights_KWH,_12MonLights_RateClass,$B43,_12MonLights_RevMonth,C$3)*C$7,0)</f>
        <v>0</v>
      </c>
      <c r="D43" s="237">
        <f t="shared" si="35"/>
        <v>0</v>
      </c>
      <c r="E43" s="237">
        <f t="shared" si="35"/>
        <v>0</v>
      </c>
      <c r="F43" s="237">
        <f t="shared" si="35"/>
        <v>0</v>
      </c>
      <c r="G43" s="237">
        <f t="shared" si="35"/>
        <v>0</v>
      </c>
      <c r="H43" s="237">
        <f t="shared" si="35"/>
        <v>0</v>
      </c>
      <c r="I43" s="237">
        <f t="shared" si="35"/>
        <v>0</v>
      </c>
      <c r="J43" s="237">
        <f t="shared" si="35"/>
        <v>0</v>
      </c>
      <c r="K43" s="237">
        <f t="shared" si="35"/>
        <v>0</v>
      </c>
      <c r="L43" s="237">
        <f t="shared" si="35"/>
        <v>0</v>
      </c>
      <c r="M43" s="237">
        <f t="shared" si="35"/>
        <v>0</v>
      </c>
      <c r="N43" s="237">
        <f t="shared" si="35"/>
        <v>0</v>
      </c>
      <c r="O43" s="237">
        <f t="shared" ref="O43" si="36">SUM(C43:N43)</f>
        <v>0</v>
      </c>
      <c r="P43" s="206"/>
      <c r="Q43" s="207"/>
      <c r="R43" s="206"/>
    </row>
    <row r="44" spans="1:18">
      <c r="A44" s="211" t="s">
        <v>735</v>
      </c>
      <c r="B44" s="195" t="s">
        <v>665</v>
      </c>
      <c r="C44" s="237">
        <f t="shared" si="35"/>
        <v>0</v>
      </c>
      <c r="D44" s="237">
        <f t="shared" si="35"/>
        <v>0</v>
      </c>
      <c r="E44" s="237">
        <f t="shared" si="35"/>
        <v>0</v>
      </c>
      <c r="F44" s="237">
        <f t="shared" si="35"/>
        <v>0</v>
      </c>
      <c r="G44" s="237">
        <f t="shared" si="35"/>
        <v>0</v>
      </c>
      <c r="H44" s="237">
        <f t="shared" si="35"/>
        <v>0</v>
      </c>
      <c r="I44" s="237">
        <f t="shared" si="35"/>
        <v>0</v>
      </c>
      <c r="J44" s="237">
        <f t="shared" si="35"/>
        <v>0</v>
      </c>
      <c r="K44" s="237">
        <f t="shared" si="35"/>
        <v>0</v>
      </c>
      <c r="L44" s="237">
        <f t="shared" si="35"/>
        <v>0</v>
      </c>
      <c r="M44" s="237">
        <f t="shared" si="35"/>
        <v>0</v>
      </c>
      <c r="N44" s="237">
        <f t="shared" si="35"/>
        <v>0</v>
      </c>
      <c r="O44" s="237">
        <f t="shared" si="34"/>
        <v>0</v>
      </c>
      <c r="P44" s="206"/>
      <c r="Q44" s="207"/>
      <c r="R44" s="206"/>
    </row>
    <row r="45" spans="1:18" ht="15">
      <c r="A45" s="211" t="s">
        <v>736</v>
      </c>
      <c r="B45" s="194" t="s">
        <v>666</v>
      </c>
      <c r="C45" s="240">
        <f t="shared" si="35"/>
        <v>0</v>
      </c>
      <c r="D45" s="240">
        <f t="shared" si="35"/>
        <v>0</v>
      </c>
      <c r="E45" s="240">
        <f t="shared" si="35"/>
        <v>0</v>
      </c>
      <c r="F45" s="240">
        <f t="shared" si="35"/>
        <v>0</v>
      </c>
      <c r="G45" s="240">
        <f t="shared" si="35"/>
        <v>0</v>
      </c>
      <c r="H45" s="240">
        <f t="shared" si="35"/>
        <v>0</v>
      </c>
      <c r="I45" s="240">
        <f t="shared" si="35"/>
        <v>0</v>
      </c>
      <c r="J45" s="240">
        <f t="shared" si="35"/>
        <v>0</v>
      </c>
      <c r="K45" s="240">
        <f t="shared" si="35"/>
        <v>0</v>
      </c>
      <c r="L45" s="240">
        <f t="shared" si="35"/>
        <v>0</v>
      </c>
      <c r="M45" s="240">
        <f t="shared" si="35"/>
        <v>0</v>
      </c>
      <c r="N45" s="240">
        <f t="shared" si="35"/>
        <v>0</v>
      </c>
      <c r="O45" s="240">
        <f t="shared" si="34"/>
        <v>0</v>
      </c>
      <c r="P45" s="208"/>
      <c r="Q45" s="241"/>
      <c r="R45" s="208"/>
    </row>
    <row r="46" spans="1:18">
      <c r="C46" s="237">
        <f>SUM(C41:C45)</f>
        <v>0</v>
      </c>
      <c r="D46" s="237">
        <f>SUM(D41:D45)</f>
        <v>0</v>
      </c>
      <c r="E46" s="237">
        <f t="shared" ref="E46:O46" si="37">SUM(E41:E45)</f>
        <v>0</v>
      </c>
      <c r="F46" s="237">
        <f t="shared" si="37"/>
        <v>174</v>
      </c>
      <c r="G46" s="237">
        <f t="shared" si="37"/>
        <v>280</v>
      </c>
      <c r="H46" s="237">
        <f t="shared" si="37"/>
        <v>526</v>
      </c>
      <c r="I46" s="237">
        <f t="shared" si="37"/>
        <v>313</v>
      </c>
      <c r="J46" s="237">
        <f t="shared" si="37"/>
        <v>-46</v>
      </c>
      <c r="K46" s="237">
        <f t="shared" si="37"/>
        <v>0</v>
      </c>
      <c r="L46" s="237">
        <f t="shared" si="37"/>
        <v>0</v>
      </c>
      <c r="M46" s="237">
        <f t="shared" si="37"/>
        <v>0</v>
      </c>
      <c r="N46" s="237">
        <f t="shared" si="37"/>
        <v>0</v>
      </c>
      <c r="O46" s="237">
        <f t="shared" si="37"/>
        <v>1247</v>
      </c>
      <c r="P46" s="206"/>
      <c r="Q46" s="207"/>
      <c r="R46" s="206"/>
    </row>
    <row r="47" spans="1:18">
      <c r="C47" s="206"/>
      <c r="D47" s="206"/>
      <c r="E47" s="206"/>
      <c r="F47" s="206"/>
      <c r="G47" s="206"/>
      <c r="H47" s="206"/>
      <c r="I47" s="206"/>
      <c r="J47" s="206"/>
      <c r="K47" s="206"/>
      <c r="L47" s="206"/>
      <c r="M47" s="206"/>
      <c r="N47" s="206"/>
      <c r="O47" s="206"/>
      <c r="P47" s="206"/>
      <c r="Q47" s="206"/>
      <c r="R47" s="206"/>
    </row>
    <row r="48" spans="1:18">
      <c r="A48" s="194" t="s">
        <v>59</v>
      </c>
      <c r="B48" s="194"/>
      <c r="C48" s="242">
        <f>SUM(C13,C18,C24,C29,C33,C36,C38,C46)</f>
        <v>0</v>
      </c>
      <c r="D48" s="242">
        <f>SUM(D13,D18,D24,D29,D33,D36,D38,D46)</f>
        <v>0</v>
      </c>
      <c r="E48" s="242">
        <f t="shared" ref="E48:O48" si="38">SUM(E13,E18,E24,E29,E33,E36,E38,E46)</f>
        <v>0</v>
      </c>
      <c r="F48" s="242">
        <f t="shared" si="38"/>
        <v>2280617</v>
      </c>
      <c r="G48" s="242">
        <f t="shared" si="38"/>
        <v>3403412</v>
      </c>
      <c r="H48" s="242">
        <f t="shared" si="38"/>
        <v>7180127</v>
      </c>
      <c r="I48" s="242">
        <f t="shared" si="38"/>
        <v>4807593</v>
      </c>
      <c r="J48" s="242">
        <f t="shared" si="38"/>
        <v>-712149</v>
      </c>
      <c r="K48" s="242">
        <f t="shared" si="38"/>
        <v>0</v>
      </c>
      <c r="L48" s="242">
        <f t="shared" si="38"/>
        <v>0</v>
      </c>
      <c r="M48" s="242">
        <f t="shared" si="38"/>
        <v>0</v>
      </c>
      <c r="N48" s="242">
        <f t="shared" si="38"/>
        <v>0</v>
      </c>
      <c r="O48" s="242">
        <f t="shared" si="38"/>
        <v>16959600</v>
      </c>
      <c r="P48" s="206"/>
      <c r="Q48" s="213"/>
      <c r="R48" s="206"/>
    </row>
    <row r="49" spans="1:20">
      <c r="C49" s="206"/>
      <c r="D49" s="206"/>
      <c r="E49" s="206"/>
      <c r="F49" s="206"/>
      <c r="G49" s="206"/>
      <c r="H49" s="206"/>
      <c r="I49" s="206"/>
      <c r="J49" s="206"/>
      <c r="K49" s="206"/>
      <c r="L49" s="206"/>
      <c r="M49" s="206"/>
      <c r="N49" s="206"/>
      <c r="O49" s="206"/>
      <c r="P49" s="206"/>
      <c r="Q49" s="206"/>
      <c r="R49" s="206"/>
    </row>
    <row r="50" spans="1:20">
      <c r="A50" s="247" t="s">
        <v>740</v>
      </c>
      <c r="B50" s="62"/>
      <c r="C50" s="243"/>
      <c r="D50" s="243"/>
      <c r="E50" s="243"/>
      <c r="F50" s="243"/>
      <c r="G50" s="243"/>
      <c r="H50" s="243"/>
      <c r="I50" s="243"/>
      <c r="J50" s="243"/>
      <c r="K50" s="243"/>
      <c r="L50" s="243"/>
      <c r="M50" s="243"/>
      <c r="N50" s="243"/>
      <c r="O50" s="244"/>
      <c r="P50" s="244"/>
      <c r="Q50" s="244" t="s">
        <v>739</v>
      </c>
      <c r="R50" s="244"/>
      <c r="S50" s="62"/>
      <c r="T50" s="214"/>
    </row>
    <row r="51" spans="1:20">
      <c r="A51" s="62"/>
      <c r="B51" s="62"/>
      <c r="C51" s="244"/>
      <c r="D51" s="244"/>
      <c r="E51" s="245"/>
      <c r="F51" s="245"/>
      <c r="G51" s="244"/>
      <c r="H51" s="246"/>
      <c r="I51" s="245"/>
      <c r="J51" s="245"/>
      <c r="K51" s="245"/>
      <c r="L51" s="244"/>
      <c r="M51" s="244"/>
      <c r="N51" s="244"/>
      <c r="O51" s="244"/>
      <c r="P51" s="244"/>
      <c r="Q51" s="244"/>
      <c r="R51" s="244"/>
      <c r="S51" s="62"/>
      <c r="T51" s="215"/>
    </row>
    <row r="52" spans="1:20">
      <c r="C52" s="216"/>
      <c r="D52" s="216"/>
      <c r="E52" s="216"/>
      <c r="F52" s="216"/>
      <c r="G52" s="216"/>
      <c r="H52" s="216"/>
      <c r="I52" s="216"/>
      <c r="J52" s="216"/>
      <c r="K52" s="216"/>
      <c r="L52" s="216"/>
      <c r="M52" s="216"/>
      <c r="N52" s="216"/>
      <c r="O52" s="206"/>
      <c r="P52" s="206"/>
      <c r="Q52" s="206"/>
      <c r="R52" s="206"/>
    </row>
    <row r="53" spans="1:20">
      <c r="C53" s="206"/>
      <c r="D53" s="206"/>
      <c r="E53" s="206"/>
      <c r="F53" s="206"/>
      <c r="G53" s="206"/>
      <c r="H53" s="206"/>
      <c r="I53" s="206"/>
      <c r="J53" s="206"/>
      <c r="K53" s="206"/>
      <c r="L53" s="206"/>
      <c r="M53" s="206"/>
      <c r="N53" s="206"/>
      <c r="O53" s="206"/>
      <c r="P53" s="206"/>
      <c r="Q53" s="206"/>
      <c r="R53" s="206"/>
    </row>
    <row r="54" spans="1:20">
      <c r="C54" s="1296" t="s">
        <v>667</v>
      </c>
      <c r="D54" s="1297"/>
      <c r="E54" s="1297"/>
      <c r="F54" s="1297"/>
      <c r="G54" s="1297"/>
      <c r="H54" s="1297"/>
      <c r="I54" s="1297"/>
      <c r="J54" s="1297"/>
      <c r="K54" s="1297"/>
      <c r="L54" s="1297"/>
      <c r="M54" s="1297"/>
      <c r="N54" s="1298"/>
      <c r="O54" s="206"/>
      <c r="P54" s="206"/>
      <c r="Q54" s="206"/>
      <c r="R54" s="206"/>
    </row>
    <row r="55" spans="1:20">
      <c r="C55" s="217"/>
      <c r="D55" s="218"/>
      <c r="E55" s="218"/>
      <c r="F55" s="218"/>
      <c r="G55" s="218"/>
      <c r="H55" s="218"/>
      <c r="I55" s="218"/>
      <c r="J55" s="218"/>
      <c r="K55" s="218"/>
      <c r="L55" s="218"/>
      <c r="M55" s="218"/>
      <c r="N55" s="218"/>
      <c r="O55" s="206"/>
      <c r="P55" s="206"/>
      <c r="Q55" s="206"/>
      <c r="R55" s="206"/>
    </row>
    <row r="56" spans="1:20">
      <c r="A56" s="201" t="s">
        <v>658</v>
      </c>
      <c r="B56" s="199"/>
      <c r="C56" s="202">
        <f>C7</f>
        <v>0</v>
      </c>
      <c r="D56" s="202">
        <f t="shared" ref="D56:N56" si="39">D7</f>
        <v>0</v>
      </c>
      <c r="E56" s="202">
        <f t="shared" si="39"/>
        <v>0</v>
      </c>
      <c r="F56" s="202">
        <f t="shared" si="39"/>
        <v>1.7099999999999999E-3</v>
      </c>
      <c r="G56" s="202">
        <f t="shared" si="39"/>
        <v>2.3700000000000001E-3</v>
      </c>
      <c r="H56" s="202">
        <f t="shared" si="39"/>
        <v>4.4900000000000001E-3</v>
      </c>
      <c r="I56" s="202">
        <f t="shared" si="39"/>
        <v>2.8300000000000001E-3</v>
      </c>
      <c r="J56" s="202">
        <f t="shared" si="39"/>
        <v>-4.0999999999999999E-4</v>
      </c>
      <c r="K56" s="202">
        <f t="shared" si="39"/>
        <v>0</v>
      </c>
      <c r="L56" s="202">
        <f t="shared" si="39"/>
        <v>0</v>
      </c>
      <c r="M56" s="202">
        <f t="shared" si="39"/>
        <v>0</v>
      </c>
      <c r="N56" s="202">
        <f t="shared" si="39"/>
        <v>0</v>
      </c>
      <c r="O56" s="206"/>
      <c r="P56" s="206"/>
      <c r="Q56" s="206"/>
      <c r="R56" s="206"/>
    </row>
    <row r="57" spans="1:20" ht="15">
      <c r="A57" s="201" t="s">
        <v>668</v>
      </c>
      <c r="C57" s="219">
        <f>ROUND(C58-C56,5)</f>
        <v>0</v>
      </c>
      <c r="D57" s="219">
        <f t="shared" ref="D57:N57" si="40">D58-D56</f>
        <v>0</v>
      </c>
      <c r="E57" s="219">
        <f t="shared" si="40"/>
        <v>0</v>
      </c>
      <c r="F57" s="219">
        <f t="shared" si="40"/>
        <v>0</v>
      </c>
      <c r="G57" s="219">
        <f t="shared" si="40"/>
        <v>0</v>
      </c>
      <c r="H57" s="219">
        <f t="shared" si="40"/>
        <v>0</v>
      </c>
      <c r="I57" s="219">
        <f t="shared" si="40"/>
        <v>0</v>
      </c>
      <c r="J57" s="219">
        <f t="shared" si="40"/>
        <v>-6.5052130349130266E-19</v>
      </c>
      <c r="K57" s="219">
        <f t="shared" si="40"/>
        <v>0</v>
      </c>
      <c r="L57" s="219">
        <f t="shared" si="40"/>
        <v>0</v>
      </c>
      <c r="M57" s="219">
        <f t="shared" si="40"/>
        <v>0</v>
      </c>
      <c r="N57" s="219">
        <f t="shared" si="40"/>
        <v>0</v>
      </c>
      <c r="O57" s="206"/>
      <c r="P57" s="206"/>
      <c r="Q57" s="206"/>
      <c r="R57" s="206"/>
    </row>
    <row r="58" spans="1:20">
      <c r="A58" s="201" t="s">
        <v>669</v>
      </c>
      <c r="C58" s="202">
        <f>VLOOKUP(C$2,MiscData!$A$5:$E$16,5,FALSE)</f>
        <v>0</v>
      </c>
      <c r="D58" s="202">
        <f>VLOOKUP(D$2,MiscData!$A$5:$E$16,5,FALSE)</f>
        <v>0</v>
      </c>
      <c r="E58" s="202">
        <f>VLOOKUP(E$2,MiscData!$A$5:$E$16,5,FALSE)</f>
        <v>0</v>
      </c>
      <c r="F58" s="202">
        <f>VLOOKUP(F$2,MiscData!$A$5:$E$16,5,FALSE)</f>
        <v>1.7099999999999997E-3</v>
      </c>
      <c r="G58" s="202">
        <f>VLOOKUP(G$2,MiscData!$A$5:$E$16,5,FALSE)</f>
        <v>2.3699999999999971E-3</v>
      </c>
      <c r="H58" s="202">
        <f>VLOOKUP(H$2,MiscData!$A$5:$E$16,5,FALSE)</f>
        <v>4.4900000000000009E-3</v>
      </c>
      <c r="I58" s="202">
        <f>VLOOKUP(I$2,MiscData!$A$5:$E$16,5,FALSE)</f>
        <v>2.8299999999999992E-3</v>
      </c>
      <c r="J58" s="202">
        <f>VLOOKUP(J$2,MiscData!$A$5:$E$16,5,FALSE)</f>
        <v>-4.1000000000000064E-4</v>
      </c>
      <c r="K58" s="202">
        <f>VLOOKUP(K$2,MiscData!$A$5:$E$16,5,FALSE)</f>
        <v>0</v>
      </c>
      <c r="L58" s="202">
        <f>VLOOKUP(L$2,MiscData!$A$5:$E$16,5,FALSE)</f>
        <v>0</v>
      </c>
      <c r="M58" s="202">
        <f>VLOOKUP(M$2,MiscData!$A$5:$E$16,5,FALSE)</f>
        <v>0</v>
      </c>
      <c r="N58" s="202">
        <f>VLOOKUP(N$2,MiscData!$A$5:$E$16,5,FALSE)</f>
        <v>0</v>
      </c>
      <c r="O58" s="206"/>
      <c r="P58" s="206"/>
      <c r="Q58" s="206"/>
      <c r="R58" s="206"/>
    </row>
    <row r="59" spans="1:20">
      <c r="C59" s="206"/>
      <c r="D59" s="206"/>
      <c r="E59" s="206"/>
      <c r="F59" s="206"/>
      <c r="G59" s="206"/>
      <c r="H59" s="206"/>
      <c r="I59" s="206"/>
      <c r="J59" s="206"/>
      <c r="K59" s="206"/>
      <c r="L59" s="206"/>
      <c r="M59" s="206"/>
      <c r="N59" s="206"/>
      <c r="O59" s="206"/>
      <c r="P59" s="206"/>
      <c r="Q59" s="206"/>
      <c r="R59" s="206"/>
    </row>
    <row r="60" spans="1:20">
      <c r="A60" s="204" t="s">
        <v>104</v>
      </c>
      <c r="B60" s="204"/>
    </row>
    <row r="61" spans="1:20">
      <c r="A61" s="205" t="s">
        <v>659</v>
      </c>
      <c r="B61" s="194" t="s">
        <v>14</v>
      </c>
      <c r="C61" s="237" t="e">
        <f t="shared" ref="C61:N63" si="41">ROUND(SUMIFS(_FACResults_KWH,_FACResults_RateClass,$B61,_FACResults_RevMonth3,C$3)*C$58,0)</f>
        <v>#NAME?</v>
      </c>
      <c r="D61" s="237" t="e">
        <f t="shared" si="41"/>
        <v>#NAME?</v>
      </c>
      <c r="E61" s="237" t="e">
        <f t="shared" si="41"/>
        <v>#NAME?</v>
      </c>
      <c r="F61" s="237" t="e">
        <f t="shared" si="41"/>
        <v>#NAME?</v>
      </c>
      <c r="G61" s="237" t="e">
        <f t="shared" si="41"/>
        <v>#NAME?</v>
      </c>
      <c r="H61" s="237" t="e">
        <f t="shared" si="41"/>
        <v>#NAME?</v>
      </c>
      <c r="I61" s="237" t="e">
        <f t="shared" si="41"/>
        <v>#NAME?</v>
      </c>
      <c r="J61" s="237" t="e">
        <f t="shared" si="41"/>
        <v>#NAME?</v>
      </c>
      <c r="K61" s="237" t="e">
        <f t="shared" si="41"/>
        <v>#NAME?</v>
      </c>
      <c r="L61" s="237" t="e">
        <f t="shared" si="41"/>
        <v>#NAME?</v>
      </c>
      <c r="M61" s="237" t="e">
        <f t="shared" si="41"/>
        <v>#NAME?</v>
      </c>
      <c r="N61" s="237" t="e">
        <f t="shared" si="41"/>
        <v>#NAME?</v>
      </c>
      <c r="O61" s="237" t="e">
        <f>SUM(C61:N61)</f>
        <v>#NAME?</v>
      </c>
      <c r="P61" s="206"/>
      <c r="Q61" s="207"/>
      <c r="R61" s="206"/>
    </row>
    <row r="62" spans="1:20">
      <c r="A62" s="239" t="s">
        <v>726</v>
      </c>
      <c r="B62" s="194" t="s">
        <v>16</v>
      </c>
      <c r="C62" s="237" t="e">
        <f t="shared" si="41"/>
        <v>#NAME?</v>
      </c>
      <c r="D62" s="237" t="e">
        <f t="shared" si="41"/>
        <v>#NAME?</v>
      </c>
      <c r="E62" s="237" t="e">
        <f t="shared" si="41"/>
        <v>#NAME?</v>
      </c>
      <c r="F62" s="237" t="e">
        <f t="shared" si="41"/>
        <v>#NAME?</v>
      </c>
      <c r="G62" s="237" t="e">
        <f t="shared" si="41"/>
        <v>#NAME?</v>
      </c>
      <c r="H62" s="237" t="e">
        <f t="shared" si="41"/>
        <v>#NAME?</v>
      </c>
      <c r="I62" s="237" t="e">
        <f t="shared" si="41"/>
        <v>#NAME?</v>
      </c>
      <c r="J62" s="237" t="e">
        <f t="shared" si="41"/>
        <v>#NAME?</v>
      </c>
      <c r="K62" s="237" t="e">
        <f t="shared" si="41"/>
        <v>#NAME?</v>
      </c>
      <c r="L62" s="237" t="e">
        <f t="shared" si="41"/>
        <v>#NAME?</v>
      </c>
      <c r="M62" s="237" t="e">
        <f t="shared" si="41"/>
        <v>#NAME?</v>
      </c>
      <c r="N62" s="237" t="e">
        <f t="shared" si="41"/>
        <v>#NAME?</v>
      </c>
      <c r="O62" s="237" t="e">
        <f>SUM(C62:N62)</f>
        <v>#NAME?</v>
      </c>
      <c r="P62" s="206"/>
      <c r="Q62" s="207"/>
      <c r="R62" s="206"/>
    </row>
    <row r="63" spans="1:20" ht="15">
      <c r="A63" s="239" t="s">
        <v>727</v>
      </c>
      <c r="B63" s="195" t="s">
        <v>206</v>
      </c>
      <c r="C63" s="240" t="e">
        <f t="shared" si="41"/>
        <v>#NAME?</v>
      </c>
      <c r="D63" s="240" t="e">
        <f t="shared" si="41"/>
        <v>#NAME?</v>
      </c>
      <c r="E63" s="240" t="e">
        <f t="shared" si="41"/>
        <v>#NAME?</v>
      </c>
      <c r="F63" s="240" t="e">
        <f t="shared" si="41"/>
        <v>#NAME?</v>
      </c>
      <c r="G63" s="240" t="e">
        <f t="shared" si="41"/>
        <v>#NAME?</v>
      </c>
      <c r="H63" s="240" t="e">
        <f t="shared" si="41"/>
        <v>#NAME?</v>
      </c>
      <c r="I63" s="240" t="e">
        <f t="shared" si="41"/>
        <v>#NAME?</v>
      </c>
      <c r="J63" s="240" t="e">
        <f t="shared" si="41"/>
        <v>#NAME?</v>
      </c>
      <c r="K63" s="240" t="e">
        <f t="shared" si="41"/>
        <v>#NAME?</v>
      </c>
      <c r="L63" s="240" t="e">
        <f t="shared" si="41"/>
        <v>#NAME?</v>
      </c>
      <c r="M63" s="240" t="e">
        <f t="shared" si="41"/>
        <v>#NAME?</v>
      </c>
      <c r="N63" s="240" t="e">
        <f t="shared" si="41"/>
        <v>#NAME?</v>
      </c>
      <c r="O63" s="240" t="e">
        <f>SUM(C63:N63)</f>
        <v>#NAME?</v>
      </c>
      <c r="P63" s="208"/>
      <c r="Q63" s="241"/>
      <c r="R63" s="208"/>
    </row>
    <row r="64" spans="1:20">
      <c r="B64" s="194"/>
      <c r="C64" s="237" t="e">
        <f t="shared" ref="C64" si="42">SUM(C61:C63)</f>
        <v>#NAME?</v>
      </c>
      <c r="D64" s="237" t="e">
        <f>SUM(D61:D63)</f>
        <v>#NAME?</v>
      </c>
      <c r="E64" s="237" t="e">
        <f t="shared" ref="E64:O64" si="43">SUM(E61:E63)</f>
        <v>#NAME?</v>
      </c>
      <c r="F64" s="237" t="e">
        <f t="shared" si="43"/>
        <v>#NAME?</v>
      </c>
      <c r="G64" s="237" t="e">
        <f t="shared" si="43"/>
        <v>#NAME?</v>
      </c>
      <c r="H64" s="237" t="e">
        <f t="shared" si="43"/>
        <v>#NAME?</v>
      </c>
      <c r="I64" s="237" t="e">
        <f t="shared" si="43"/>
        <v>#NAME?</v>
      </c>
      <c r="J64" s="237" t="e">
        <f t="shared" si="43"/>
        <v>#NAME?</v>
      </c>
      <c r="K64" s="237" t="e">
        <f t="shared" si="43"/>
        <v>#NAME?</v>
      </c>
      <c r="L64" s="237" t="e">
        <f t="shared" si="43"/>
        <v>#NAME?</v>
      </c>
      <c r="M64" s="237" t="e">
        <f t="shared" si="43"/>
        <v>#NAME?</v>
      </c>
      <c r="N64" s="237" t="e">
        <f t="shared" si="43"/>
        <v>#NAME?</v>
      </c>
      <c r="O64" s="237" t="e">
        <f t="shared" si="43"/>
        <v>#NAME?</v>
      </c>
      <c r="P64" s="206"/>
      <c r="Q64" s="207"/>
      <c r="R64" s="206"/>
    </row>
    <row r="65" spans="1:28">
      <c r="B65" s="195"/>
      <c r="C65" s="206"/>
      <c r="D65" s="206"/>
      <c r="E65" s="206"/>
      <c r="F65" s="206"/>
      <c r="G65" s="206"/>
      <c r="H65" s="206"/>
      <c r="I65" s="206"/>
      <c r="J65" s="206"/>
      <c r="K65" s="206"/>
      <c r="L65" s="206"/>
      <c r="M65" s="206"/>
      <c r="N65" s="206"/>
      <c r="O65" s="206"/>
      <c r="P65" s="206"/>
      <c r="Q65" s="207"/>
      <c r="R65" s="206"/>
    </row>
    <row r="66" spans="1:28">
      <c r="A66" s="55" t="s">
        <v>108</v>
      </c>
      <c r="B66" s="195"/>
      <c r="C66" s="206"/>
      <c r="D66" s="206"/>
      <c r="E66" s="206"/>
      <c r="F66" s="206"/>
      <c r="G66" s="206"/>
      <c r="H66" s="206"/>
      <c r="I66" s="206"/>
      <c r="J66" s="206"/>
      <c r="K66" s="206"/>
      <c r="L66" s="206"/>
      <c r="M66" s="206"/>
      <c r="N66" s="206"/>
      <c r="O66" s="206"/>
      <c r="P66" s="206"/>
      <c r="Q66" s="207"/>
      <c r="R66" s="206"/>
    </row>
    <row r="67" spans="1:28">
      <c r="A67" s="205" t="s">
        <v>660</v>
      </c>
      <c r="B67" s="195" t="s">
        <v>208</v>
      </c>
      <c r="C67" s="237" t="e">
        <f t="shared" ref="C67:N68" si="44">ROUND(SUMIFS(_FACResults_KWH,_FACResults_RateClass,$B67,_FACResults_RevMonth3,C$3)*C$58,0)</f>
        <v>#NAME?</v>
      </c>
      <c r="D67" s="237" t="e">
        <f t="shared" si="44"/>
        <v>#NAME?</v>
      </c>
      <c r="E67" s="237" t="e">
        <f t="shared" si="44"/>
        <v>#NAME?</v>
      </c>
      <c r="F67" s="237" t="e">
        <f t="shared" si="44"/>
        <v>#NAME?</v>
      </c>
      <c r="G67" s="237" t="e">
        <f t="shared" si="44"/>
        <v>#NAME?</v>
      </c>
      <c r="H67" s="237" t="e">
        <f t="shared" si="44"/>
        <v>#NAME?</v>
      </c>
      <c r="I67" s="237" t="e">
        <f t="shared" si="44"/>
        <v>#NAME?</v>
      </c>
      <c r="J67" s="237" t="e">
        <f t="shared" si="44"/>
        <v>#NAME?</v>
      </c>
      <c r="K67" s="237" t="e">
        <f t="shared" si="44"/>
        <v>#NAME?</v>
      </c>
      <c r="L67" s="237" t="e">
        <f t="shared" si="44"/>
        <v>#NAME?</v>
      </c>
      <c r="M67" s="237" t="e">
        <f t="shared" si="44"/>
        <v>#NAME?</v>
      </c>
      <c r="N67" s="237" t="e">
        <f t="shared" si="44"/>
        <v>#NAME?</v>
      </c>
      <c r="O67" s="237" t="e">
        <f>SUM(C67:N67)</f>
        <v>#NAME?</v>
      </c>
      <c r="P67" s="206"/>
      <c r="Q67" s="207"/>
      <c r="R67" s="206"/>
    </row>
    <row r="68" spans="1:28" ht="15">
      <c r="A68" s="205" t="s">
        <v>63</v>
      </c>
      <c r="B68" s="195" t="s">
        <v>17</v>
      </c>
      <c r="C68" s="240" t="e">
        <f t="shared" si="44"/>
        <v>#NAME?</v>
      </c>
      <c r="D68" s="240" t="e">
        <f t="shared" si="44"/>
        <v>#NAME?</v>
      </c>
      <c r="E68" s="240" t="e">
        <f t="shared" si="44"/>
        <v>#NAME?</v>
      </c>
      <c r="F68" s="240" t="e">
        <f t="shared" si="44"/>
        <v>#NAME?</v>
      </c>
      <c r="G68" s="240" t="e">
        <f t="shared" si="44"/>
        <v>#NAME?</v>
      </c>
      <c r="H68" s="240" t="e">
        <f t="shared" si="44"/>
        <v>#NAME?</v>
      </c>
      <c r="I68" s="240" t="e">
        <f t="shared" si="44"/>
        <v>#NAME?</v>
      </c>
      <c r="J68" s="240" t="e">
        <f t="shared" si="44"/>
        <v>#NAME?</v>
      </c>
      <c r="K68" s="240" t="e">
        <f t="shared" si="44"/>
        <v>#NAME?</v>
      </c>
      <c r="L68" s="240" t="e">
        <f t="shared" si="44"/>
        <v>#NAME?</v>
      </c>
      <c r="M68" s="240" t="e">
        <f t="shared" si="44"/>
        <v>#NAME?</v>
      </c>
      <c r="N68" s="240" t="e">
        <f t="shared" si="44"/>
        <v>#NAME?</v>
      </c>
      <c r="O68" s="240" t="e">
        <f>SUM(C68:N68)</f>
        <v>#NAME?</v>
      </c>
      <c r="P68" s="208"/>
      <c r="Q68" s="241"/>
      <c r="R68" s="208"/>
    </row>
    <row r="69" spans="1:28">
      <c r="B69" s="194"/>
      <c r="C69" s="237" t="e">
        <f>SUM(C67:C68)</f>
        <v>#NAME?</v>
      </c>
      <c r="D69" s="237" t="e">
        <f>SUM(D67:D68)</f>
        <v>#NAME?</v>
      </c>
      <c r="E69" s="237" t="e">
        <f t="shared" ref="E69" si="45">SUM(E67:E68)</f>
        <v>#NAME?</v>
      </c>
      <c r="F69" s="237" t="e">
        <f t="shared" ref="F69" si="46">SUM(F67:F68)</f>
        <v>#NAME?</v>
      </c>
      <c r="G69" s="237" t="e">
        <f t="shared" ref="G69" si="47">SUM(G67:G68)</f>
        <v>#NAME?</v>
      </c>
      <c r="H69" s="237" t="e">
        <f t="shared" ref="H69" si="48">SUM(H67:H68)</f>
        <v>#NAME?</v>
      </c>
      <c r="I69" s="237" t="e">
        <f t="shared" ref="I69" si="49">SUM(I67:I68)</f>
        <v>#NAME?</v>
      </c>
      <c r="J69" s="237" t="e">
        <f t="shared" ref="J69" si="50">SUM(J67:J68)</f>
        <v>#NAME?</v>
      </c>
      <c r="K69" s="237" t="e">
        <f t="shared" ref="K69" si="51">SUM(K67:K68)</f>
        <v>#NAME?</v>
      </c>
      <c r="L69" s="237" t="e">
        <f t="shared" ref="L69" si="52">SUM(L67:L68)</f>
        <v>#NAME?</v>
      </c>
      <c r="M69" s="237" t="e">
        <f t="shared" ref="M69" si="53">SUM(M67:M68)</f>
        <v>#NAME?</v>
      </c>
      <c r="N69" s="237" t="e">
        <f t="shared" ref="N69" si="54">SUM(N67:N68)</f>
        <v>#NAME?</v>
      </c>
      <c r="O69" s="237" t="e">
        <f t="shared" ref="O69" si="55">SUM(O67:O68)</f>
        <v>#NAME?</v>
      </c>
      <c r="P69" s="206"/>
      <c r="Q69" s="207"/>
      <c r="R69" s="206"/>
    </row>
    <row r="70" spans="1:28">
      <c r="B70" s="194"/>
      <c r="C70" s="237"/>
      <c r="D70" s="237"/>
      <c r="E70" s="237"/>
      <c r="F70" s="237"/>
      <c r="G70" s="237"/>
      <c r="H70" s="237"/>
      <c r="I70" s="237"/>
      <c r="J70" s="237"/>
      <c r="K70" s="237"/>
      <c r="L70" s="237"/>
      <c r="M70" s="237"/>
      <c r="N70" s="237"/>
      <c r="O70" s="237"/>
      <c r="P70" s="206"/>
      <c r="Q70" s="207"/>
      <c r="R70" s="206"/>
    </row>
    <row r="71" spans="1:28" ht="15">
      <c r="A71" s="55" t="s">
        <v>446</v>
      </c>
      <c r="B71" s="194"/>
      <c r="C71" s="208"/>
      <c r="D71" s="208"/>
      <c r="E71" s="208"/>
      <c r="F71" s="208"/>
      <c r="G71" s="208"/>
      <c r="H71" s="208"/>
      <c r="I71" s="208"/>
      <c r="J71" s="208"/>
      <c r="K71" s="208"/>
      <c r="L71" s="208"/>
      <c r="M71" s="208"/>
      <c r="N71" s="208"/>
      <c r="O71" s="208"/>
      <c r="P71" s="206"/>
      <c r="Q71" s="207"/>
      <c r="R71" s="206"/>
    </row>
    <row r="72" spans="1:28">
      <c r="A72" s="205" t="s">
        <v>203</v>
      </c>
      <c r="B72" s="194" t="s">
        <v>203</v>
      </c>
      <c r="C72" s="237" t="e">
        <f t="shared" ref="C72:N74" si="56">ROUND(SUMIFS(_FACResults_KWH,_FACResults_RateClass,$B72,_FACResults_RevMonth3,C$3)*C$58,0)</f>
        <v>#NAME?</v>
      </c>
      <c r="D72" s="237" t="e">
        <f t="shared" si="56"/>
        <v>#NAME?</v>
      </c>
      <c r="E72" s="237" t="e">
        <f t="shared" si="56"/>
        <v>#NAME?</v>
      </c>
      <c r="F72" s="237" t="e">
        <f t="shared" si="56"/>
        <v>#NAME?</v>
      </c>
      <c r="G72" s="237" t="e">
        <f t="shared" si="56"/>
        <v>#NAME?</v>
      </c>
      <c r="H72" s="237" t="e">
        <f t="shared" si="56"/>
        <v>#NAME?</v>
      </c>
      <c r="I72" s="237" t="e">
        <f t="shared" si="56"/>
        <v>#NAME?</v>
      </c>
      <c r="J72" s="237" t="e">
        <f t="shared" si="56"/>
        <v>#NAME?</v>
      </c>
      <c r="K72" s="237" t="e">
        <f t="shared" si="56"/>
        <v>#NAME?</v>
      </c>
      <c r="L72" s="237" t="e">
        <f t="shared" si="56"/>
        <v>#NAME?</v>
      </c>
      <c r="M72" s="237" t="e">
        <f t="shared" si="56"/>
        <v>#NAME?</v>
      </c>
      <c r="N72" s="237" t="e">
        <f t="shared" si="56"/>
        <v>#NAME?</v>
      </c>
      <c r="O72" s="237" t="e">
        <f>SUM(C72:N72)</f>
        <v>#NAME?</v>
      </c>
      <c r="P72" s="206"/>
      <c r="Q72" s="207"/>
      <c r="R72" s="206"/>
    </row>
    <row r="73" spans="1:28">
      <c r="A73" s="205" t="s">
        <v>728</v>
      </c>
      <c r="B73" s="195" t="s">
        <v>212</v>
      </c>
      <c r="C73" s="237" t="e">
        <f t="shared" si="56"/>
        <v>#NAME?</v>
      </c>
      <c r="D73" s="237" t="e">
        <f t="shared" si="56"/>
        <v>#NAME?</v>
      </c>
      <c r="E73" s="237" t="e">
        <f t="shared" si="56"/>
        <v>#NAME?</v>
      </c>
      <c r="F73" s="237" t="e">
        <f t="shared" si="56"/>
        <v>#NAME?</v>
      </c>
      <c r="G73" s="237" t="e">
        <f t="shared" si="56"/>
        <v>#NAME?</v>
      </c>
      <c r="H73" s="237" t="e">
        <f t="shared" si="56"/>
        <v>#NAME?</v>
      </c>
      <c r="I73" s="237" t="e">
        <f t="shared" si="56"/>
        <v>#NAME?</v>
      </c>
      <c r="J73" s="237" t="e">
        <f t="shared" si="56"/>
        <v>#NAME?</v>
      </c>
      <c r="K73" s="237" t="e">
        <f t="shared" si="56"/>
        <v>#NAME?</v>
      </c>
      <c r="L73" s="237" t="e">
        <f t="shared" si="56"/>
        <v>#NAME?</v>
      </c>
      <c r="M73" s="237" t="e">
        <f t="shared" si="56"/>
        <v>#NAME?</v>
      </c>
      <c r="N73" s="237" t="e">
        <f t="shared" si="56"/>
        <v>#NAME?</v>
      </c>
      <c r="O73" s="237" t="e">
        <f>SUM(C73:N73)</f>
        <v>#NAME?</v>
      </c>
      <c r="P73" s="206"/>
      <c r="Q73" s="207"/>
      <c r="R73" s="206"/>
    </row>
    <row r="74" spans="1:28" ht="15">
      <c r="A74" s="205" t="s">
        <v>729</v>
      </c>
      <c r="B74" s="195" t="s">
        <v>730</v>
      </c>
      <c r="C74" s="240" t="e">
        <f t="shared" si="56"/>
        <v>#NAME?</v>
      </c>
      <c r="D74" s="240" t="e">
        <f t="shared" si="56"/>
        <v>#NAME?</v>
      </c>
      <c r="E74" s="240" t="e">
        <f t="shared" si="56"/>
        <v>#NAME?</v>
      </c>
      <c r="F74" s="240" t="e">
        <f t="shared" si="56"/>
        <v>#NAME?</v>
      </c>
      <c r="G74" s="240" t="e">
        <f t="shared" si="56"/>
        <v>#NAME?</v>
      </c>
      <c r="H74" s="240" t="e">
        <f t="shared" si="56"/>
        <v>#NAME?</v>
      </c>
      <c r="I74" s="240" t="e">
        <f t="shared" si="56"/>
        <v>#NAME?</v>
      </c>
      <c r="J74" s="240" t="e">
        <f t="shared" si="56"/>
        <v>#NAME?</v>
      </c>
      <c r="K74" s="240" t="e">
        <f t="shared" si="56"/>
        <v>#NAME?</v>
      </c>
      <c r="L74" s="240" t="e">
        <f t="shared" si="56"/>
        <v>#NAME?</v>
      </c>
      <c r="M74" s="240" t="e">
        <f t="shared" si="56"/>
        <v>#NAME?</v>
      </c>
      <c r="N74" s="240" t="e">
        <f t="shared" si="56"/>
        <v>#NAME?</v>
      </c>
      <c r="O74" s="240" t="e">
        <f>SUM(C74:N74)</f>
        <v>#NAME?</v>
      </c>
      <c r="P74" s="208"/>
      <c r="Q74" s="241"/>
      <c r="R74" s="208"/>
    </row>
    <row r="75" spans="1:28">
      <c r="A75" s="205"/>
      <c r="B75" s="195"/>
      <c r="C75" s="237" t="e">
        <f t="shared" ref="C75" si="57">SUM(C72:C74)</f>
        <v>#NAME?</v>
      </c>
      <c r="D75" s="237" t="e">
        <f>SUM(D72:D74)</f>
        <v>#NAME?</v>
      </c>
      <c r="E75" s="237" t="e">
        <f t="shared" ref="E75:O75" si="58">SUM(E72:E74)</f>
        <v>#NAME?</v>
      </c>
      <c r="F75" s="237" t="e">
        <f t="shared" si="58"/>
        <v>#NAME?</v>
      </c>
      <c r="G75" s="237" t="e">
        <f t="shared" si="58"/>
        <v>#NAME?</v>
      </c>
      <c r="H75" s="237" t="e">
        <f t="shared" si="58"/>
        <v>#NAME?</v>
      </c>
      <c r="I75" s="237" t="e">
        <f t="shared" si="58"/>
        <v>#NAME?</v>
      </c>
      <c r="J75" s="237" t="e">
        <f t="shared" si="58"/>
        <v>#NAME?</v>
      </c>
      <c r="K75" s="237" t="e">
        <f t="shared" si="58"/>
        <v>#NAME?</v>
      </c>
      <c r="L75" s="237" t="e">
        <f t="shared" si="58"/>
        <v>#NAME?</v>
      </c>
      <c r="M75" s="237" t="e">
        <f t="shared" si="58"/>
        <v>#NAME?</v>
      </c>
      <c r="N75" s="237" t="e">
        <f t="shared" si="58"/>
        <v>#NAME?</v>
      </c>
      <c r="O75" s="237" t="e">
        <f t="shared" si="58"/>
        <v>#NAME?</v>
      </c>
      <c r="P75" s="206"/>
      <c r="Q75" s="207"/>
      <c r="R75" s="206"/>
    </row>
    <row r="76" spans="1:28">
      <c r="B76" s="194"/>
      <c r="C76" s="206"/>
      <c r="D76" s="206"/>
      <c r="E76" s="206"/>
      <c r="F76" s="206"/>
      <c r="G76" s="206"/>
      <c r="H76" s="206"/>
      <c r="I76" s="206"/>
      <c r="J76" s="206"/>
      <c r="K76" s="206"/>
      <c r="L76" s="206"/>
      <c r="M76" s="206"/>
      <c r="N76" s="206"/>
      <c r="O76" s="206"/>
      <c r="P76" s="206"/>
      <c r="Q76" s="207"/>
      <c r="R76" s="206"/>
      <c r="AB76" s="220" t="s">
        <v>670</v>
      </c>
    </row>
    <row r="77" spans="1:28">
      <c r="A77" s="209" t="s">
        <v>110</v>
      </c>
      <c r="B77" s="194"/>
      <c r="C77" s="206"/>
      <c r="D77" s="206"/>
      <c r="E77" s="206"/>
      <c r="F77" s="206"/>
      <c r="G77" s="206"/>
      <c r="H77" s="206"/>
      <c r="I77" s="206"/>
      <c r="J77" s="206"/>
      <c r="K77" s="206"/>
      <c r="L77" s="206"/>
      <c r="M77" s="206"/>
      <c r="N77" s="206"/>
      <c r="O77" s="206"/>
      <c r="P77" s="206"/>
      <c r="Q77" s="207"/>
      <c r="R77" s="206"/>
      <c r="AB77" s="220"/>
    </row>
    <row r="78" spans="1:28">
      <c r="A78" s="211" t="s">
        <v>731</v>
      </c>
      <c r="B78" s="194" t="s">
        <v>24</v>
      </c>
      <c r="C78" s="237" t="e">
        <f t="shared" ref="C78:N79" si="59">ROUND(SUMIFS(_FACResults_KWH,_FACResults_RateClass,$B78,_FACResults_RevMonth3,C$3)*C$58,0)</f>
        <v>#NAME?</v>
      </c>
      <c r="D78" s="237" t="e">
        <f t="shared" si="59"/>
        <v>#NAME?</v>
      </c>
      <c r="E78" s="237" t="e">
        <f t="shared" si="59"/>
        <v>#NAME?</v>
      </c>
      <c r="F78" s="237" t="e">
        <f t="shared" si="59"/>
        <v>#NAME?</v>
      </c>
      <c r="G78" s="237" t="e">
        <f t="shared" si="59"/>
        <v>#NAME?</v>
      </c>
      <c r="H78" s="237" t="e">
        <f t="shared" si="59"/>
        <v>#NAME?</v>
      </c>
      <c r="I78" s="237" t="e">
        <f t="shared" si="59"/>
        <v>#NAME?</v>
      </c>
      <c r="J78" s="237" t="e">
        <f t="shared" si="59"/>
        <v>#NAME?</v>
      </c>
      <c r="K78" s="237" t="e">
        <f t="shared" si="59"/>
        <v>#NAME?</v>
      </c>
      <c r="L78" s="237" t="e">
        <f t="shared" si="59"/>
        <v>#NAME?</v>
      </c>
      <c r="M78" s="237" t="e">
        <f t="shared" si="59"/>
        <v>#NAME?</v>
      </c>
      <c r="N78" s="237" t="e">
        <f t="shared" si="59"/>
        <v>#NAME?</v>
      </c>
      <c r="O78" s="237" t="e">
        <f>SUM(C78:N78)</f>
        <v>#NAME?</v>
      </c>
      <c r="P78" s="206"/>
      <c r="Q78" s="207"/>
      <c r="R78" s="206"/>
    </row>
    <row r="79" spans="1:28" ht="15">
      <c r="A79" s="211" t="s">
        <v>732</v>
      </c>
      <c r="B79" s="194" t="s">
        <v>25</v>
      </c>
      <c r="C79" s="240" t="e">
        <f t="shared" si="59"/>
        <v>#NAME?</v>
      </c>
      <c r="D79" s="240" t="e">
        <f t="shared" si="59"/>
        <v>#NAME?</v>
      </c>
      <c r="E79" s="240" t="e">
        <f t="shared" si="59"/>
        <v>#NAME?</v>
      </c>
      <c r="F79" s="240" t="e">
        <f t="shared" si="59"/>
        <v>#NAME?</v>
      </c>
      <c r="G79" s="240" t="e">
        <f t="shared" si="59"/>
        <v>#NAME?</v>
      </c>
      <c r="H79" s="240" t="e">
        <f t="shared" si="59"/>
        <v>#NAME?</v>
      </c>
      <c r="I79" s="240" t="e">
        <f t="shared" si="59"/>
        <v>#NAME?</v>
      </c>
      <c r="J79" s="240" t="e">
        <f t="shared" si="59"/>
        <v>#NAME?</v>
      </c>
      <c r="K79" s="240" t="e">
        <f t="shared" si="59"/>
        <v>#NAME?</v>
      </c>
      <c r="L79" s="240" t="e">
        <f t="shared" si="59"/>
        <v>#NAME?</v>
      </c>
      <c r="M79" s="240" t="e">
        <f t="shared" si="59"/>
        <v>#NAME?</v>
      </c>
      <c r="N79" s="240" t="e">
        <f t="shared" si="59"/>
        <v>#NAME?</v>
      </c>
      <c r="O79" s="240" t="e">
        <f>SUM(C79:N79)</f>
        <v>#NAME?</v>
      </c>
      <c r="P79" s="208"/>
      <c r="Q79" s="241"/>
      <c r="R79" s="208"/>
    </row>
    <row r="80" spans="1:28">
      <c r="B80" s="212"/>
      <c r="C80" s="237" t="e">
        <f>SUM(C78:C79)</f>
        <v>#NAME?</v>
      </c>
      <c r="D80" s="237" t="e">
        <f>SUM(D78:D79)</f>
        <v>#NAME?</v>
      </c>
      <c r="E80" s="237" t="e">
        <f t="shared" ref="E80" si="60">SUM(E78:E79)</f>
        <v>#NAME?</v>
      </c>
      <c r="F80" s="237" t="e">
        <f t="shared" ref="F80" si="61">SUM(F78:F79)</f>
        <v>#NAME?</v>
      </c>
      <c r="G80" s="237" t="e">
        <f t="shared" ref="G80" si="62">SUM(G78:G79)</f>
        <v>#NAME?</v>
      </c>
      <c r="H80" s="237" t="e">
        <f t="shared" ref="H80" si="63">SUM(H78:H79)</f>
        <v>#NAME?</v>
      </c>
      <c r="I80" s="237" t="e">
        <f t="shared" ref="I80" si="64">SUM(I78:I79)</f>
        <v>#NAME?</v>
      </c>
      <c r="J80" s="237" t="e">
        <f t="shared" ref="J80" si="65">SUM(J78:J79)</f>
        <v>#NAME?</v>
      </c>
      <c r="K80" s="237" t="e">
        <f t="shared" ref="K80" si="66">SUM(K78:K79)</f>
        <v>#NAME?</v>
      </c>
      <c r="L80" s="237" t="e">
        <f t="shared" ref="L80" si="67">SUM(L78:L79)</f>
        <v>#NAME?</v>
      </c>
      <c r="M80" s="237" t="e">
        <f t="shared" ref="M80" si="68">SUM(M78:M79)</f>
        <v>#NAME?</v>
      </c>
      <c r="N80" s="237" t="e">
        <f t="shared" ref="N80" si="69">SUM(N78:N79)</f>
        <v>#NAME?</v>
      </c>
      <c r="O80" s="237" t="e">
        <f t="shared" ref="O80" si="70">SUM(O78:O79)</f>
        <v>#NAME?</v>
      </c>
      <c r="P80" s="206"/>
      <c r="Q80" s="207"/>
      <c r="R80" s="206"/>
    </row>
    <row r="81" spans="1:28">
      <c r="A81" s="204" t="s">
        <v>661</v>
      </c>
      <c r="B81" s="212"/>
      <c r="C81" s="206"/>
      <c r="D81" s="206"/>
      <c r="E81" s="206"/>
      <c r="F81" s="206"/>
      <c r="G81" s="206"/>
      <c r="H81" s="206"/>
      <c r="I81" s="206"/>
      <c r="J81" s="206"/>
      <c r="K81" s="206"/>
      <c r="L81" s="206"/>
      <c r="M81" s="206"/>
      <c r="N81" s="206"/>
      <c r="O81" s="206"/>
      <c r="P81" s="206"/>
      <c r="Q81" s="207"/>
      <c r="R81" s="206"/>
    </row>
    <row r="82" spans="1:28">
      <c r="A82" s="211" t="s">
        <v>662</v>
      </c>
      <c r="B82" s="195" t="s">
        <v>205</v>
      </c>
      <c r="C82" s="237" t="e">
        <f t="shared" ref="C82:N83" si="71">ROUND(SUMIFS(_FACResults_KWH,_FACResults_RateClass,$B82,_FACResults_RevMonth3,C$3)*C$58,0)</f>
        <v>#NAME?</v>
      </c>
      <c r="D82" s="237" t="e">
        <f t="shared" si="71"/>
        <v>#NAME?</v>
      </c>
      <c r="E82" s="237" t="e">
        <f t="shared" si="71"/>
        <v>#NAME?</v>
      </c>
      <c r="F82" s="237" t="e">
        <f t="shared" si="71"/>
        <v>#NAME?</v>
      </c>
      <c r="G82" s="237" t="e">
        <f t="shared" si="71"/>
        <v>#NAME?</v>
      </c>
      <c r="H82" s="237" t="e">
        <f t="shared" si="71"/>
        <v>#NAME?</v>
      </c>
      <c r="I82" s="237" t="e">
        <f t="shared" si="71"/>
        <v>#NAME?</v>
      </c>
      <c r="J82" s="237" t="e">
        <f t="shared" si="71"/>
        <v>#NAME?</v>
      </c>
      <c r="K82" s="237" t="e">
        <f t="shared" si="71"/>
        <v>#NAME?</v>
      </c>
      <c r="L82" s="237" t="e">
        <f t="shared" si="71"/>
        <v>#NAME?</v>
      </c>
      <c r="M82" s="237" t="e">
        <f t="shared" si="71"/>
        <v>#NAME?</v>
      </c>
      <c r="N82" s="237" t="e">
        <f t="shared" si="71"/>
        <v>#NAME?</v>
      </c>
      <c r="O82" s="237" t="e">
        <f>SUM(C82:N82)</f>
        <v>#NAME?</v>
      </c>
      <c r="P82" s="206"/>
      <c r="Q82" s="207"/>
      <c r="R82" s="206"/>
    </row>
    <row r="83" spans="1:28" ht="15">
      <c r="A83" s="211" t="s">
        <v>663</v>
      </c>
      <c r="B83" s="195" t="s">
        <v>204</v>
      </c>
      <c r="C83" s="240" t="e">
        <f t="shared" si="71"/>
        <v>#NAME?</v>
      </c>
      <c r="D83" s="240" t="e">
        <f t="shared" si="71"/>
        <v>#NAME?</v>
      </c>
      <c r="E83" s="240" t="e">
        <f t="shared" si="71"/>
        <v>#NAME?</v>
      </c>
      <c r="F83" s="240" t="e">
        <f t="shared" si="71"/>
        <v>#NAME?</v>
      </c>
      <c r="G83" s="240" t="e">
        <f t="shared" si="71"/>
        <v>#NAME?</v>
      </c>
      <c r="H83" s="240" t="e">
        <f t="shared" si="71"/>
        <v>#NAME?</v>
      </c>
      <c r="I83" s="240" t="e">
        <f t="shared" si="71"/>
        <v>#NAME?</v>
      </c>
      <c r="J83" s="240" t="e">
        <f t="shared" si="71"/>
        <v>#NAME?</v>
      </c>
      <c r="K83" s="240" t="e">
        <f t="shared" si="71"/>
        <v>#NAME?</v>
      </c>
      <c r="L83" s="240" t="e">
        <f t="shared" si="71"/>
        <v>#NAME?</v>
      </c>
      <c r="M83" s="240" t="e">
        <f t="shared" si="71"/>
        <v>#NAME?</v>
      </c>
      <c r="N83" s="240" t="e">
        <f t="shared" si="71"/>
        <v>#NAME?</v>
      </c>
      <c r="O83" s="240" t="e">
        <f>SUM(C83:N83)</f>
        <v>#NAME?</v>
      </c>
      <c r="P83" s="208"/>
      <c r="Q83" s="241"/>
      <c r="R83" s="208"/>
    </row>
    <row r="84" spans="1:28">
      <c r="B84" s="212"/>
      <c r="C84" s="237" t="e">
        <f>SUM(C82:C83)</f>
        <v>#NAME?</v>
      </c>
      <c r="D84" s="237" t="e">
        <f>SUM(D82:D83)</f>
        <v>#NAME?</v>
      </c>
      <c r="E84" s="237" t="e">
        <f t="shared" ref="E84" si="72">SUM(E82:E83)</f>
        <v>#NAME?</v>
      </c>
      <c r="F84" s="237" t="e">
        <f t="shared" ref="F84" si="73">SUM(F82:F83)</f>
        <v>#NAME?</v>
      </c>
      <c r="G84" s="237" t="e">
        <f t="shared" ref="G84" si="74">SUM(G82:G83)</f>
        <v>#NAME?</v>
      </c>
      <c r="H84" s="237" t="e">
        <f t="shared" ref="H84" si="75">SUM(H82:H83)</f>
        <v>#NAME?</v>
      </c>
      <c r="I84" s="237" t="e">
        <f t="shared" ref="I84" si="76">SUM(I82:I83)</f>
        <v>#NAME?</v>
      </c>
      <c r="J84" s="237" t="e">
        <f t="shared" ref="J84" si="77">SUM(J82:J83)</f>
        <v>#NAME?</v>
      </c>
      <c r="K84" s="237" t="e">
        <f t="shared" ref="K84" si="78">SUM(K82:K83)</f>
        <v>#NAME?</v>
      </c>
      <c r="L84" s="237" t="e">
        <f t="shared" ref="L84" si="79">SUM(L82:L83)</f>
        <v>#NAME?</v>
      </c>
      <c r="M84" s="237" t="e">
        <f t="shared" ref="M84" si="80">SUM(M82:M83)</f>
        <v>#NAME?</v>
      </c>
      <c r="N84" s="237" t="e">
        <f t="shared" ref="N84" si="81">SUM(N82:N83)</f>
        <v>#NAME?</v>
      </c>
      <c r="O84" s="237" t="e">
        <f t="shared" ref="O84" si="82">SUM(O82:O83)</f>
        <v>#NAME?</v>
      </c>
      <c r="P84" s="206"/>
      <c r="Q84" s="207"/>
      <c r="R84" s="206"/>
    </row>
    <row r="85" spans="1:28">
      <c r="A85" s="209"/>
      <c r="B85" s="194"/>
      <c r="C85" s="206"/>
      <c r="D85" s="206"/>
      <c r="E85" s="206"/>
      <c r="F85" s="206"/>
      <c r="G85" s="206"/>
      <c r="H85" s="206"/>
      <c r="I85" s="206"/>
      <c r="J85" s="206"/>
      <c r="K85" s="206"/>
      <c r="L85" s="206"/>
      <c r="M85" s="206"/>
      <c r="N85" s="206"/>
      <c r="O85" s="206"/>
      <c r="P85" s="206"/>
      <c r="Q85" s="207"/>
      <c r="R85" s="206"/>
    </row>
    <row r="86" spans="1:28">
      <c r="B86" s="194"/>
      <c r="C86" s="206"/>
      <c r="D86" s="206"/>
      <c r="E86" s="206"/>
      <c r="F86" s="206"/>
      <c r="G86" s="206"/>
      <c r="H86" s="206"/>
      <c r="I86" s="206"/>
      <c r="J86" s="206"/>
      <c r="K86" s="206"/>
      <c r="L86" s="206"/>
      <c r="M86" s="206"/>
      <c r="N86" s="206"/>
      <c r="O86" s="206"/>
      <c r="P86" s="206"/>
      <c r="Q86" s="207"/>
      <c r="R86" s="206"/>
    </row>
    <row r="87" spans="1:28">
      <c r="A87" s="204" t="s">
        <v>734</v>
      </c>
      <c r="B87" s="194" t="s">
        <v>18</v>
      </c>
      <c r="C87" s="237" t="e">
        <f t="shared" ref="C87:N87" si="83">ROUND(SUMIFS(_FACResults_KWH,_FACResults_RateClass,$B87,_FACResults_RevMonth3,C$3)*C$58,0)</f>
        <v>#NAME?</v>
      </c>
      <c r="D87" s="237" t="e">
        <f t="shared" si="83"/>
        <v>#NAME?</v>
      </c>
      <c r="E87" s="237" t="e">
        <f t="shared" si="83"/>
        <v>#NAME?</v>
      </c>
      <c r="F87" s="237" t="e">
        <f t="shared" si="83"/>
        <v>#NAME?</v>
      </c>
      <c r="G87" s="237" t="e">
        <f t="shared" si="83"/>
        <v>#NAME?</v>
      </c>
      <c r="H87" s="237" t="e">
        <f t="shared" si="83"/>
        <v>#NAME?</v>
      </c>
      <c r="I87" s="237" t="e">
        <f t="shared" si="83"/>
        <v>#NAME?</v>
      </c>
      <c r="J87" s="237" t="e">
        <f t="shared" si="83"/>
        <v>#NAME?</v>
      </c>
      <c r="K87" s="237" t="e">
        <f t="shared" si="83"/>
        <v>#NAME?</v>
      </c>
      <c r="L87" s="237" t="e">
        <f t="shared" si="83"/>
        <v>#NAME?</v>
      </c>
      <c r="M87" s="237" t="e">
        <f t="shared" si="83"/>
        <v>#NAME?</v>
      </c>
      <c r="N87" s="237" t="e">
        <f t="shared" si="83"/>
        <v>#NAME?</v>
      </c>
      <c r="O87" s="237" t="e">
        <f>SUM(C87:N87)</f>
        <v>#NAME?</v>
      </c>
      <c r="P87" s="206"/>
      <c r="Q87" s="207"/>
      <c r="R87" s="206"/>
    </row>
    <row r="88" spans="1:28">
      <c r="B88" s="194"/>
      <c r="C88" s="206"/>
      <c r="D88" s="206"/>
      <c r="E88" s="206"/>
      <c r="F88" s="206"/>
      <c r="G88" s="206"/>
      <c r="H88" s="206"/>
      <c r="I88" s="206"/>
      <c r="J88" s="206"/>
      <c r="K88" s="206"/>
      <c r="L88" s="206"/>
      <c r="M88" s="206"/>
      <c r="N88" s="206"/>
      <c r="O88" s="206"/>
      <c r="P88" s="206"/>
      <c r="Q88" s="207"/>
      <c r="R88" s="206"/>
    </row>
    <row r="89" spans="1:28">
      <c r="A89" s="55" t="s">
        <v>733</v>
      </c>
      <c r="B89" s="195" t="s">
        <v>27</v>
      </c>
      <c r="C89" s="237" t="e">
        <f t="shared" ref="C89:N89" si="84">ROUND(SUMIFS(_FACResults_KWH,_FACResults_RateClass,$B89,_FACResults_RevMonth3,C$3)*C$58,0)</f>
        <v>#NAME?</v>
      </c>
      <c r="D89" s="237" t="e">
        <f t="shared" si="84"/>
        <v>#NAME?</v>
      </c>
      <c r="E89" s="237" t="e">
        <f t="shared" si="84"/>
        <v>#NAME?</v>
      </c>
      <c r="F89" s="237" t="e">
        <f t="shared" si="84"/>
        <v>#NAME?</v>
      </c>
      <c r="G89" s="237" t="e">
        <f t="shared" si="84"/>
        <v>#NAME?</v>
      </c>
      <c r="H89" s="237" t="e">
        <f t="shared" si="84"/>
        <v>#NAME?</v>
      </c>
      <c r="I89" s="237" t="e">
        <f t="shared" si="84"/>
        <v>#NAME?</v>
      </c>
      <c r="J89" s="237" t="e">
        <f t="shared" si="84"/>
        <v>#NAME?</v>
      </c>
      <c r="K89" s="237" t="e">
        <f t="shared" si="84"/>
        <v>#NAME?</v>
      </c>
      <c r="L89" s="237" t="e">
        <f t="shared" si="84"/>
        <v>#NAME?</v>
      </c>
      <c r="M89" s="237" t="e">
        <f t="shared" si="84"/>
        <v>#NAME?</v>
      </c>
      <c r="N89" s="237" t="e">
        <f t="shared" si="84"/>
        <v>#NAME?</v>
      </c>
      <c r="O89" s="237" t="e">
        <f>SUM(C89:N89)</f>
        <v>#NAME?</v>
      </c>
      <c r="P89" s="206"/>
      <c r="Q89" s="207"/>
      <c r="R89" s="206"/>
    </row>
    <row r="90" spans="1:28">
      <c r="B90" s="194"/>
      <c r="C90" s="206"/>
      <c r="D90" s="206"/>
      <c r="E90" s="206"/>
      <c r="F90" s="206"/>
      <c r="G90" s="206"/>
      <c r="H90" s="206"/>
      <c r="I90" s="206"/>
      <c r="J90" s="206"/>
      <c r="K90" s="206"/>
      <c r="L90" s="206"/>
      <c r="M90" s="206"/>
      <c r="N90" s="206"/>
      <c r="O90" s="206"/>
      <c r="P90" s="206"/>
      <c r="Q90" s="207"/>
      <c r="R90" s="206"/>
    </row>
    <row r="91" spans="1:28">
      <c r="A91" s="55" t="s">
        <v>664</v>
      </c>
      <c r="B91" s="194"/>
      <c r="C91" s="206"/>
      <c r="D91" s="206"/>
      <c r="E91" s="206"/>
      <c r="F91" s="206"/>
      <c r="G91" s="206"/>
      <c r="H91" s="206"/>
      <c r="I91" s="206"/>
      <c r="J91" s="206"/>
      <c r="K91" s="206"/>
      <c r="L91" s="206"/>
      <c r="M91" s="206"/>
      <c r="N91" s="206"/>
      <c r="O91" s="206"/>
      <c r="P91" s="206"/>
      <c r="Q91" s="207"/>
      <c r="R91" s="206"/>
    </row>
    <row r="92" spans="1:28">
      <c r="A92" s="210" t="s">
        <v>737</v>
      </c>
      <c r="B92" s="194" t="s">
        <v>19</v>
      </c>
      <c r="C92" s="237" t="e">
        <f t="shared" ref="C92:N93" si="85">ROUND(SUMIFS(_FACResults_KWH,_FACResults_RateClass,$B92,_FACResults_RevMonth3,C$3)*C$58,0)</f>
        <v>#NAME?</v>
      </c>
      <c r="D92" s="237" t="e">
        <f t="shared" si="85"/>
        <v>#NAME?</v>
      </c>
      <c r="E92" s="237" t="e">
        <f t="shared" si="85"/>
        <v>#NAME?</v>
      </c>
      <c r="F92" s="237" t="e">
        <f t="shared" si="85"/>
        <v>#NAME?</v>
      </c>
      <c r="G92" s="237" t="e">
        <f t="shared" si="85"/>
        <v>#NAME?</v>
      </c>
      <c r="H92" s="237" t="e">
        <f t="shared" si="85"/>
        <v>#NAME?</v>
      </c>
      <c r="I92" s="237" t="e">
        <f t="shared" si="85"/>
        <v>#NAME?</v>
      </c>
      <c r="J92" s="237" t="e">
        <f t="shared" si="85"/>
        <v>#NAME?</v>
      </c>
      <c r="K92" s="237" t="e">
        <f t="shared" si="85"/>
        <v>#NAME?</v>
      </c>
      <c r="L92" s="237" t="e">
        <f t="shared" si="85"/>
        <v>#NAME?</v>
      </c>
      <c r="M92" s="237" t="e">
        <f t="shared" si="85"/>
        <v>#NAME?</v>
      </c>
      <c r="N92" s="237" t="e">
        <f t="shared" si="85"/>
        <v>#NAME?</v>
      </c>
      <c r="O92" s="237" t="e">
        <f t="shared" ref="O92:O95" si="86">SUM(C92:N92)</f>
        <v>#NAME?</v>
      </c>
      <c r="P92" s="206"/>
      <c r="Q92" s="207"/>
      <c r="R92" s="206"/>
    </row>
    <row r="93" spans="1:28">
      <c r="A93" s="211" t="s">
        <v>738</v>
      </c>
      <c r="B93" s="194" t="s">
        <v>20</v>
      </c>
      <c r="C93" s="237" t="e">
        <f t="shared" si="85"/>
        <v>#NAME?</v>
      </c>
      <c r="D93" s="237" t="e">
        <f t="shared" si="85"/>
        <v>#NAME?</v>
      </c>
      <c r="E93" s="237" t="e">
        <f t="shared" si="85"/>
        <v>#NAME?</v>
      </c>
      <c r="F93" s="237" t="e">
        <f t="shared" si="85"/>
        <v>#NAME?</v>
      </c>
      <c r="G93" s="237" t="e">
        <f t="shared" si="85"/>
        <v>#NAME?</v>
      </c>
      <c r="H93" s="237" t="e">
        <f t="shared" si="85"/>
        <v>#NAME?</v>
      </c>
      <c r="I93" s="237" t="e">
        <f t="shared" si="85"/>
        <v>#NAME?</v>
      </c>
      <c r="J93" s="237" t="e">
        <f t="shared" si="85"/>
        <v>#NAME?</v>
      </c>
      <c r="K93" s="237" t="e">
        <f t="shared" si="85"/>
        <v>#NAME?</v>
      </c>
      <c r="L93" s="237" t="e">
        <f t="shared" si="85"/>
        <v>#NAME?</v>
      </c>
      <c r="M93" s="237" t="e">
        <f t="shared" si="85"/>
        <v>#NAME?</v>
      </c>
      <c r="N93" s="237" t="e">
        <f t="shared" si="85"/>
        <v>#NAME?</v>
      </c>
      <c r="O93" s="237" t="e">
        <f t="shared" si="86"/>
        <v>#NAME?</v>
      </c>
      <c r="P93" s="206"/>
      <c r="Q93" s="207"/>
      <c r="R93" s="206"/>
      <c r="AB93" s="221">
        <v>-7350.5279999999912</v>
      </c>
    </row>
    <row r="94" spans="1:28">
      <c r="A94" s="211" t="s">
        <v>1385</v>
      </c>
      <c r="B94" s="195" t="s">
        <v>1139</v>
      </c>
      <c r="C94" s="237" t="e">
        <f>ROUND(SUMIFS(_FACLights_KWH,_FACLights_RateClass,$B94,_FACLights_RevMonth,C$3)*C$58,0)</f>
        <v>#NAME?</v>
      </c>
      <c r="D94" s="237" t="e">
        <f t="shared" ref="C94:N95" si="87">ROUND(SUMIFS(_FACLights_KWH,_FACLights_RateClass,$B94,_FACLights_RevMonth,D$3)*D$58,0)</f>
        <v>#NAME?</v>
      </c>
      <c r="E94" s="237" t="e">
        <f t="shared" si="87"/>
        <v>#NAME?</v>
      </c>
      <c r="F94" s="237" t="e">
        <f>ROUND(SUMIFS(_FACLights_KWH,_FACLights_RateClass,$B94,_FACLights_RevMonth,F$3)*F$58,0)</f>
        <v>#NAME?</v>
      </c>
      <c r="G94" s="237" t="e">
        <f t="shared" si="87"/>
        <v>#NAME?</v>
      </c>
      <c r="H94" s="237" t="e">
        <f t="shared" si="87"/>
        <v>#NAME?</v>
      </c>
      <c r="I94" s="237" t="e">
        <f t="shared" si="87"/>
        <v>#NAME?</v>
      </c>
      <c r="J94" s="237" t="e">
        <f t="shared" si="87"/>
        <v>#NAME?</v>
      </c>
      <c r="K94" s="237" t="e">
        <f t="shared" si="87"/>
        <v>#NAME?</v>
      </c>
      <c r="L94" s="237" t="e">
        <f t="shared" si="87"/>
        <v>#NAME?</v>
      </c>
      <c r="M94" s="237" t="e">
        <f t="shared" si="87"/>
        <v>#NAME?</v>
      </c>
      <c r="N94" s="237" t="e">
        <f t="shared" si="87"/>
        <v>#NAME?</v>
      </c>
      <c r="O94" s="237" t="e">
        <f t="shared" si="86"/>
        <v>#NAME?</v>
      </c>
      <c r="P94" s="206"/>
      <c r="Q94" s="207"/>
      <c r="R94" s="206"/>
    </row>
    <row r="95" spans="1:28" ht="15">
      <c r="A95" s="211" t="s">
        <v>1384</v>
      </c>
      <c r="B95" s="194" t="s">
        <v>1140</v>
      </c>
      <c r="C95" s="240" t="e">
        <f t="shared" si="87"/>
        <v>#NAME?</v>
      </c>
      <c r="D95" s="240" t="e">
        <f t="shared" si="87"/>
        <v>#NAME?</v>
      </c>
      <c r="E95" s="240" t="e">
        <f t="shared" si="87"/>
        <v>#NAME?</v>
      </c>
      <c r="F95" s="240" t="e">
        <f t="shared" si="87"/>
        <v>#NAME?</v>
      </c>
      <c r="G95" s="240" t="e">
        <f t="shared" si="87"/>
        <v>#NAME?</v>
      </c>
      <c r="H95" s="240" t="e">
        <f t="shared" si="87"/>
        <v>#NAME?</v>
      </c>
      <c r="I95" s="240" t="e">
        <f t="shared" si="87"/>
        <v>#NAME?</v>
      </c>
      <c r="J95" s="240" t="e">
        <f t="shared" si="87"/>
        <v>#NAME?</v>
      </c>
      <c r="K95" s="240" t="e">
        <f t="shared" si="87"/>
        <v>#NAME?</v>
      </c>
      <c r="L95" s="240" t="e">
        <f t="shared" si="87"/>
        <v>#NAME?</v>
      </c>
      <c r="M95" s="240" t="e">
        <f t="shared" si="87"/>
        <v>#NAME?</v>
      </c>
      <c r="N95" s="240" t="e">
        <f t="shared" si="87"/>
        <v>#NAME?</v>
      </c>
      <c r="O95" s="240" t="e">
        <f t="shared" si="86"/>
        <v>#NAME?</v>
      </c>
      <c r="P95" s="208"/>
      <c r="Q95" s="241"/>
      <c r="R95" s="208"/>
    </row>
    <row r="96" spans="1:28">
      <c r="C96" s="237" t="e">
        <f t="shared" ref="C96:O96" si="88">SUM(C92:C95)</f>
        <v>#NAME?</v>
      </c>
      <c r="D96" s="237" t="e">
        <f t="shared" si="88"/>
        <v>#NAME?</v>
      </c>
      <c r="E96" s="237" t="e">
        <f t="shared" si="88"/>
        <v>#NAME?</v>
      </c>
      <c r="F96" s="237" t="e">
        <f t="shared" si="88"/>
        <v>#NAME?</v>
      </c>
      <c r="G96" s="237" t="e">
        <f t="shared" si="88"/>
        <v>#NAME?</v>
      </c>
      <c r="H96" s="237" t="e">
        <f t="shared" si="88"/>
        <v>#NAME?</v>
      </c>
      <c r="I96" s="237" t="e">
        <f t="shared" si="88"/>
        <v>#NAME?</v>
      </c>
      <c r="J96" s="237" t="e">
        <f t="shared" si="88"/>
        <v>#NAME?</v>
      </c>
      <c r="K96" s="237" t="e">
        <f t="shared" si="88"/>
        <v>#NAME?</v>
      </c>
      <c r="L96" s="237" t="e">
        <f t="shared" si="88"/>
        <v>#NAME?</v>
      </c>
      <c r="M96" s="237" t="e">
        <f t="shared" si="88"/>
        <v>#NAME?</v>
      </c>
      <c r="N96" s="237" t="e">
        <f t="shared" si="88"/>
        <v>#NAME?</v>
      </c>
      <c r="O96" s="237" t="e">
        <f t="shared" si="88"/>
        <v>#NAME?</v>
      </c>
      <c r="P96" s="206"/>
      <c r="Q96" s="207"/>
      <c r="R96" s="206"/>
    </row>
    <row r="97" spans="1:19">
      <c r="C97" s="206"/>
      <c r="D97" s="206"/>
      <c r="E97" s="206"/>
      <c r="F97" s="206"/>
      <c r="G97" s="206"/>
      <c r="H97" s="206"/>
      <c r="I97" s="206"/>
      <c r="J97" s="206"/>
      <c r="K97" s="206"/>
      <c r="L97" s="206"/>
      <c r="M97" s="206"/>
      <c r="N97" s="206"/>
      <c r="O97" s="206"/>
      <c r="P97" s="206"/>
      <c r="Q97" s="206"/>
      <c r="R97" s="206"/>
    </row>
    <row r="98" spans="1:19">
      <c r="A98" s="194" t="s">
        <v>59</v>
      </c>
      <c r="B98" s="194"/>
      <c r="C98" s="242" t="e">
        <f t="shared" ref="C98:O98" si="89">SUM(C64,C69,C75,C80,C84,C87,C89,C96)</f>
        <v>#NAME?</v>
      </c>
      <c r="D98" s="242" t="e">
        <f t="shared" si="89"/>
        <v>#NAME?</v>
      </c>
      <c r="E98" s="242" t="e">
        <f t="shared" si="89"/>
        <v>#NAME?</v>
      </c>
      <c r="F98" s="242" t="e">
        <f t="shared" si="89"/>
        <v>#NAME?</v>
      </c>
      <c r="G98" s="242" t="e">
        <f t="shared" si="89"/>
        <v>#NAME?</v>
      </c>
      <c r="H98" s="242" t="e">
        <f t="shared" si="89"/>
        <v>#NAME?</v>
      </c>
      <c r="I98" s="242" t="e">
        <f t="shared" si="89"/>
        <v>#NAME?</v>
      </c>
      <c r="J98" s="242" t="e">
        <f t="shared" si="89"/>
        <v>#NAME?</v>
      </c>
      <c r="K98" s="242" t="e">
        <f t="shared" si="89"/>
        <v>#NAME?</v>
      </c>
      <c r="L98" s="242" t="e">
        <f t="shared" si="89"/>
        <v>#NAME?</v>
      </c>
      <c r="M98" s="242" t="e">
        <f t="shared" si="89"/>
        <v>#NAME?</v>
      </c>
      <c r="N98" s="242" t="e">
        <f t="shared" si="89"/>
        <v>#NAME?</v>
      </c>
      <c r="O98" s="242" t="e">
        <f t="shared" si="89"/>
        <v>#NAME?</v>
      </c>
      <c r="P98" s="206"/>
      <c r="Q98" s="213"/>
      <c r="R98" s="206"/>
    </row>
    <row r="99" spans="1:19" ht="15">
      <c r="B99" s="212"/>
      <c r="C99" s="208"/>
      <c r="D99" s="208"/>
      <c r="E99" s="208"/>
      <c r="F99" s="208"/>
      <c r="G99" s="208"/>
      <c r="H99" s="208"/>
      <c r="I99" s="208"/>
      <c r="J99" s="208"/>
      <c r="K99" s="208"/>
      <c r="L99" s="208"/>
      <c r="M99" s="208"/>
      <c r="N99" s="208"/>
      <c r="O99" s="208"/>
      <c r="P99" s="206"/>
      <c r="Q99" s="206"/>
      <c r="R99" s="206"/>
    </row>
    <row r="100" spans="1:19">
      <c r="A100" s="62" t="s">
        <v>740</v>
      </c>
      <c r="B100" s="248"/>
      <c r="C100" s="244" t="e">
        <f t="shared" ref="C100:N100" si="90">SUMIF(_FACResults_RevMonth3,C3,_FACResults_FAC)</f>
        <v>#NAME?</v>
      </c>
      <c r="D100" s="244" t="e">
        <f t="shared" si="90"/>
        <v>#NAME?</v>
      </c>
      <c r="E100" s="244" t="e">
        <f t="shared" si="90"/>
        <v>#NAME?</v>
      </c>
      <c r="F100" s="244" t="e">
        <f t="shared" si="90"/>
        <v>#NAME?</v>
      </c>
      <c r="G100" s="244" t="e">
        <f t="shared" si="90"/>
        <v>#NAME?</v>
      </c>
      <c r="H100" s="244" t="e">
        <f t="shared" si="90"/>
        <v>#NAME?</v>
      </c>
      <c r="I100" s="244" t="e">
        <f t="shared" si="90"/>
        <v>#NAME?</v>
      </c>
      <c r="J100" s="244" t="e">
        <f t="shared" si="90"/>
        <v>#NAME?</v>
      </c>
      <c r="K100" s="244" t="e">
        <f t="shared" si="90"/>
        <v>#NAME?</v>
      </c>
      <c r="L100" s="244" t="e">
        <f t="shared" si="90"/>
        <v>#NAME?</v>
      </c>
      <c r="M100" s="244" t="e">
        <f t="shared" si="90"/>
        <v>#NAME?</v>
      </c>
      <c r="N100" s="244" t="e">
        <f t="shared" si="90"/>
        <v>#NAME?</v>
      </c>
      <c r="O100" s="244"/>
      <c r="P100" s="244"/>
      <c r="Q100" s="244" t="s">
        <v>741</v>
      </c>
      <c r="R100" s="244"/>
      <c r="S100" s="62"/>
    </row>
    <row r="101" spans="1:19">
      <c r="A101" s="249"/>
      <c r="B101" s="249"/>
      <c r="C101" s="250" t="e">
        <f t="shared" ref="C101:N101" si="91">SUMIF(_FACLights_RevMonth,C3,_FACLights_FAC)</f>
        <v>#NAME?</v>
      </c>
      <c r="D101" s="250" t="e">
        <f t="shared" si="91"/>
        <v>#NAME?</v>
      </c>
      <c r="E101" s="250" t="e">
        <f t="shared" si="91"/>
        <v>#NAME?</v>
      </c>
      <c r="F101" s="250" t="e">
        <f t="shared" si="91"/>
        <v>#NAME?</v>
      </c>
      <c r="G101" s="250" t="e">
        <f t="shared" si="91"/>
        <v>#NAME?</v>
      </c>
      <c r="H101" s="250" t="e">
        <f t="shared" si="91"/>
        <v>#NAME?</v>
      </c>
      <c r="I101" s="250" t="e">
        <f t="shared" si="91"/>
        <v>#NAME?</v>
      </c>
      <c r="J101" s="250" t="e">
        <f t="shared" si="91"/>
        <v>#NAME?</v>
      </c>
      <c r="K101" s="250" t="e">
        <f t="shared" si="91"/>
        <v>#NAME?</v>
      </c>
      <c r="L101" s="250" t="e">
        <f t="shared" si="91"/>
        <v>#NAME?</v>
      </c>
      <c r="M101" s="250" t="e">
        <f t="shared" si="91"/>
        <v>#NAME?</v>
      </c>
      <c r="N101" s="250" t="e">
        <f t="shared" si="91"/>
        <v>#NAME?</v>
      </c>
      <c r="O101" s="250"/>
      <c r="P101" s="244"/>
      <c r="Q101" s="245" t="s">
        <v>742</v>
      </c>
      <c r="R101" s="244"/>
      <c r="S101" s="62"/>
    </row>
    <row r="102" spans="1:19">
      <c r="A102" s="249"/>
      <c r="B102" s="249"/>
      <c r="C102" s="250" t="e">
        <f>C100+C101</f>
        <v>#NAME?</v>
      </c>
      <c r="D102" s="250" t="e">
        <f t="shared" ref="D102:N102" si="92">D100+D101</f>
        <v>#NAME?</v>
      </c>
      <c r="E102" s="250" t="e">
        <f t="shared" si="92"/>
        <v>#NAME?</v>
      </c>
      <c r="F102" s="250" t="e">
        <f t="shared" si="92"/>
        <v>#NAME?</v>
      </c>
      <c r="G102" s="250" t="e">
        <f t="shared" si="92"/>
        <v>#NAME?</v>
      </c>
      <c r="H102" s="250" t="e">
        <f t="shared" si="92"/>
        <v>#NAME?</v>
      </c>
      <c r="I102" s="250" t="e">
        <f t="shared" si="92"/>
        <v>#NAME?</v>
      </c>
      <c r="J102" s="250" t="e">
        <f t="shared" si="92"/>
        <v>#NAME?</v>
      </c>
      <c r="K102" s="250" t="e">
        <f t="shared" si="92"/>
        <v>#NAME?</v>
      </c>
      <c r="L102" s="250" t="e">
        <f t="shared" si="92"/>
        <v>#NAME?</v>
      </c>
      <c r="M102" s="250" t="e">
        <f t="shared" si="92"/>
        <v>#NAME?</v>
      </c>
      <c r="N102" s="250" t="e">
        <f t="shared" si="92"/>
        <v>#NAME?</v>
      </c>
      <c r="O102" s="250"/>
      <c r="P102" s="244"/>
      <c r="Q102" s="244"/>
      <c r="R102" s="244"/>
      <c r="S102" s="62"/>
    </row>
    <row r="103" spans="1:19">
      <c r="A103" s="249"/>
      <c r="B103" s="249"/>
      <c r="C103" s="244" t="e">
        <f>C102-C98</f>
        <v>#NAME?</v>
      </c>
      <c r="D103" s="244" t="e">
        <f t="shared" ref="D103:N103" si="93">D102-D98</f>
        <v>#NAME?</v>
      </c>
      <c r="E103" s="244" t="e">
        <f t="shared" si="93"/>
        <v>#NAME?</v>
      </c>
      <c r="F103" s="244" t="e">
        <f t="shared" si="93"/>
        <v>#NAME?</v>
      </c>
      <c r="G103" s="244" t="e">
        <f t="shared" si="93"/>
        <v>#NAME?</v>
      </c>
      <c r="H103" s="244" t="e">
        <f t="shared" si="93"/>
        <v>#NAME?</v>
      </c>
      <c r="I103" s="244" t="e">
        <f t="shared" si="93"/>
        <v>#NAME?</v>
      </c>
      <c r="J103" s="244" t="e">
        <f t="shared" si="93"/>
        <v>#NAME?</v>
      </c>
      <c r="K103" s="244" t="e">
        <f t="shared" si="93"/>
        <v>#NAME?</v>
      </c>
      <c r="L103" s="244" t="e">
        <f t="shared" si="93"/>
        <v>#NAME?</v>
      </c>
      <c r="M103" s="244" t="e">
        <f t="shared" si="93"/>
        <v>#NAME?</v>
      </c>
      <c r="N103" s="244" t="e">
        <f t="shared" si="93"/>
        <v>#NAME?</v>
      </c>
      <c r="O103" s="244"/>
      <c r="P103" s="244"/>
      <c r="Q103" s="244"/>
      <c r="R103" s="244"/>
      <c r="S103" s="62"/>
    </row>
    <row r="104" spans="1:19">
      <c r="A104" s="194"/>
      <c r="B104" s="194"/>
      <c r="C104" s="206"/>
      <c r="D104" s="206"/>
      <c r="E104" s="206"/>
      <c r="F104" s="206"/>
      <c r="G104" s="206"/>
      <c r="H104" s="206"/>
      <c r="I104" s="206"/>
      <c r="J104" s="206"/>
      <c r="K104" s="206"/>
      <c r="L104" s="206"/>
      <c r="M104" s="206"/>
      <c r="N104" s="206"/>
      <c r="O104" s="206"/>
      <c r="P104" s="206"/>
      <c r="Q104" s="206"/>
      <c r="R104" s="206"/>
    </row>
    <row r="105" spans="1:19">
      <c r="C105" s="216"/>
      <c r="D105" s="216"/>
      <c r="E105" s="216"/>
      <c r="F105" s="216"/>
      <c r="G105" s="216"/>
      <c r="H105" s="216"/>
      <c r="I105" s="216"/>
      <c r="J105" s="216"/>
      <c r="K105" s="216"/>
      <c r="L105" s="216"/>
      <c r="M105" s="216"/>
      <c r="N105" s="216"/>
      <c r="O105" s="206"/>
      <c r="P105" s="206"/>
      <c r="Q105" s="206"/>
      <c r="R105" s="206"/>
    </row>
    <row r="106" spans="1:19">
      <c r="C106" s="206"/>
      <c r="D106" s="206"/>
      <c r="E106" s="206"/>
      <c r="F106" s="206"/>
      <c r="G106" s="206"/>
      <c r="H106" s="206"/>
      <c r="I106" s="206"/>
      <c r="J106" s="206"/>
      <c r="K106" s="206"/>
      <c r="L106" s="206"/>
      <c r="M106" s="206"/>
      <c r="N106" s="206"/>
      <c r="O106" s="206"/>
      <c r="P106" s="206"/>
      <c r="Q106" s="206"/>
      <c r="R106" s="206"/>
    </row>
    <row r="107" spans="1:19">
      <c r="C107" s="1296" t="s">
        <v>671</v>
      </c>
      <c r="D107" s="1297"/>
      <c r="E107" s="1297"/>
      <c r="F107" s="1297"/>
      <c r="G107" s="1297"/>
      <c r="H107" s="1297"/>
      <c r="I107" s="1297"/>
      <c r="J107" s="1297"/>
      <c r="K107" s="1297"/>
      <c r="L107" s="1297"/>
      <c r="M107" s="1297"/>
      <c r="N107" s="1298"/>
      <c r="O107" s="206"/>
      <c r="P107" s="206"/>
      <c r="Q107" s="206"/>
      <c r="R107" s="206"/>
    </row>
    <row r="108" spans="1:19">
      <c r="C108" s="206"/>
      <c r="D108" s="206"/>
      <c r="E108" s="206"/>
      <c r="F108" s="206"/>
      <c r="G108" s="206"/>
      <c r="H108" s="206"/>
      <c r="I108" s="206"/>
      <c r="J108" s="206"/>
      <c r="K108" s="206"/>
      <c r="L108" s="206"/>
      <c r="M108" s="206"/>
      <c r="N108" s="206"/>
      <c r="O108" s="206"/>
      <c r="P108" s="206"/>
      <c r="Q108" s="206"/>
      <c r="R108" s="206"/>
    </row>
    <row r="109" spans="1:19">
      <c r="A109" s="204" t="s">
        <v>104</v>
      </c>
      <c r="B109" s="204"/>
    </row>
    <row r="110" spans="1:19">
      <c r="A110" s="205" t="s">
        <v>659</v>
      </c>
      <c r="B110" s="194" t="s">
        <v>14</v>
      </c>
      <c r="C110" s="237" t="e">
        <f t="shared" ref="C110:N110" si="94">C61-C10</f>
        <v>#NAME?</v>
      </c>
      <c r="D110" s="237" t="e">
        <f t="shared" si="94"/>
        <v>#NAME?</v>
      </c>
      <c r="E110" s="237" t="e">
        <f t="shared" si="94"/>
        <v>#NAME?</v>
      </c>
      <c r="F110" s="237" t="e">
        <f t="shared" si="94"/>
        <v>#NAME?</v>
      </c>
      <c r="G110" s="237" t="e">
        <f t="shared" si="94"/>
        <v>#NAME?</v>
      </c>
      <c r="H110" s="237" t="e">
        <f t="shared" si="94"/>
        <v>#NAME?</v>
      </c>
      <c r="I110" s="237" t="e">
        <f t="shared" si="94"/>
        <v>#NAME?</v>
      </c>
      <c r="J110" s="237" t="e">
        <f t="shared" si="94"/>
        <v>#NAME?</v>
      </c>
      <c r="K110" s="237" t="e">
        <f t="shared" si="94"/>
        <v>#NAME?</v>
      </c>
      <c r="L110" s="237" t="e">
        <f t="shared" si="94"/>
        <v>#NAME?</v>
      </c>
      <c r="M110" s="237" t="e">
        <f t="shared" si="94"/>
        <v>#NAME?</v>
      </c>
      <c r="N110" s="237" t="e">
        <f t="shared" si="94"/>
        <v>#NAME?</v>
      </c>
      <c r="O110" s="237" t="e">
        <f>SUM(C110:N110)</f>
        <v>#NAME?</v>
      </c>
      <c r="P110" s="206"/>
      <c r="Q110" s="207"/>
      <c r="R110" s="206"/>
    </row>
    <row r="111" spans="1:19">
      <c r="A111" s="239" t="s">
        <v>726</v>
      </c>
      <c r="B111" s="194" t="s">
        <v>16</v>
      </c>
      <c r="C111" s="237" t="e">
        <f t="shared" ref="C111:N111" si="95">C62-C11</f>
        <v>#NAME?</v>
      </c>
      <c r="D111" s="237" t="e">
        <f t="shared" si="95"/>
        <v>#NAME?</v>
      </c>
      <c r="E111" s="237" t="e">
        <f t="shared" si="95"/>
        <v>#NAME?</v>
      </c>
      <c r="F111" s="237" t="e">
        <f t="shared" si="95"/>
        <v>#NAME?</v>
      </c>
      <c r="G111" s="237" t="e">
        <f t="shared" si="95"/>
        <v>#NAME?</v>
      </c>
      <c r="H111" s="237" t="e">
        <f t="shared" si="95"/>
        <v>#NAME?</v>
      </c>
      <c r="I111" s="237" t="e">
        <f t="shared" si="95"/>
        <v>#NAME?</v>
      </c>
      <c r="J111" s="237" t="e">
        <f t="shared" si="95"/>
        <v>#NAME?</v>
      </c>
      <c r="K111" s="237" t="e">
        <f t="shared" si="95"/>
        <v>#NAME?</v>
      </c>
      <c r="L111" s="237" t="e">
        <f t="shared" si="95"/>
        <v>#NAME?</v>
      </c>
      <c r="M111" s="237" t="e">
        <f t="shared" si="95"/>
        <v>#NAME?</v>
      </c>
      <c r="N111" s="237" t="e">
        <f t="shared" si="95"/>
        <v>#NAME?</v>
      </c>
      <c r="O111" s="237" t="e">
        <f>SUM(C111:N111)</f>
        <v>#NAME?</v>
      </c>
      <c r="P111" s="206"/>
      <c r="Q111" s="207"/>
      <c r="R111" s="206"/>
    </row>
    <row r="112" spans="1:19" ht="15">
      <c r="A112" s="239" t="s">
        <v>727</v>
      </c>
      <c r="B112" s="195" t="s">
        <v>206</v>
      </c>
      <c r="C112" s="240" t="e">
        <f t="shared" ref="C112:N112" si="96">C63-C12</f>
        <v>#NAME?</v>
      </c>
      <c r="D112" s="240" t="e">
        <f t="shared" si="96"/>
        <v>#NAME?</v>
      </c>
      <c r="E112" s="240" t="e">
        <f t="shared" si="96"/>
        <v>#NAME?</v>
      </c>
      <c r="F112" s="240" t="e">
        <f t="shared" si="96"/>
        <v>#NAME?</v>
      </c>
      <c r="G112" s="240" t="e">
        <f t="shared" si="96"/>
        <v>#NAME?</v>
      </c>
      <c r="H112" s="240" t="e">
        <f t="shared" si="96"/>
        <v>#NAME?</v>
      </c>
      <c r="I112" s="240" t="e">
        <f t="shared" si="96"/>
        <v>#NAME?</v>
      </c>
      <c r="J112" s="240" t="e">
        <f t="shared" si="96"/>
        <v>#NAME?</v>
      </c>
      <c r="K112" s="240" t="e">
        <f t="shared" si="96"/>
        <v>#NAME?</v>
      </c>
      <c r="L112" s="240" t="e">
        <f t="shared" si="96"/>
        <v>#NAME?</v>
      </c>
      <c r="M112" s="240" t="e">
        <f t="shared" si="96"/>
        <v>#NAME?</v>
      </c>
      <c r="N112" s="240" t="e">
        <f t="shared" si="96"/>
        <v>#NAME?</v>
      </c>
      <c r="O112" s="240" t="e">
        <f>SUM(C112:N112)</f>
        <v>#NAME?</v>
      </c>
      <c r="P112" s="208"/>
      <c r="Q112" s="241"/>
      <c r="R112" s="208"/>
    </row>
    <row r="113" spans="1:24">
      <c r="B113" s="194"/>
      <c r="C113" s="237" t="e">
        <f t="shared" ref="C113" si="97">SUM(C110:C112)</f>
        <v>#NAME?</v>
      </c>
      <c r="D113" s="237" t="e">
        <f>SUM(D110:D112)</f>
        <v>#NAME?</v>
      </c>
      <c r="E113" s="237" t="e">
        <f t="shared" ref="E113:O113" si="98">SUM(E110:E112)</f>
        <v>#NAME?</v>
      </c>
      <c r="F113" s="237" t="e">
        <f t="shared" si="98"/>
        <v>#NAME?</v>
      </c>
      <c r="G113" s="237" t="e">
        <f t="shared" si="98"/>
        <v>#NAME?</v>
      </c>
      <c r="H113" s="237" t="e">
        <f t="shared" si="98"/>
        <v>#NAME?</v>
      </c>
      <c r="I113" s="237" t="e">
        <f t="shared" si="98"/>
        <v>#NAME?</v>
      </c>
      <c r="J113" s="237" t="e">
        <f t="shared" si="98"/>
        <v>#NAME?</v>
      </c>
      <c r="K113" s="237" t="e">
        <f t="shared" si="98"/>
        <v>#NAME?</v>
      </c>
      <c r="L113" s="237" t="e">
        <f t="shared" si="98"/>
        <v>#NAME?</v>
      </c>
      <c r="M113" s="237" t="e">
        <f t="shared" si="98"/>
        <v>#NAME?</v>
      </c>
      <c r="N113" s="237" t="e">
        <f t="shared" si="98"/>
        <v>#NAME?</v>
      </c>
      <c r="O113" s="237" t="e">
        <f t="shared" si="98"/>
        <v>#NAME?</v>
      </c>
      <c r="P113" s="206"/>
      <c r="Q113" s="207"/>
      <c r="R113" s="206"/>
    </row>
    <row r="114" spans="1:24">
      <c r="B114" s="195"/>
      <c r="C114" s="206"/>
      <c r="D114" s="206"/>
      <c r="E114" s="206"/>
      <c r="F114" s="206"/>
      <c r="G114" s="206"/>
      <c r="H114" s="206"/>
      <c r="I114" s="206"/>
      <c r="J114" s="206"/>
      <c r="K114" s="206"/>
      <c r="L114" s="206"/>
      <c r="M114" s="206"/>
      <c r="N114" s="206"/>
      <c r="O114" s="206"/>
      <c r="P114" s="206"/>
      <c r="Q114" s="207"/>
      <c r="R114" s="206"/>
    </row>
    <row r="115" spans="1:24">
      <c r="A115" s="55" t="s">
        <v>108</v>
      </c>
      <c r="B115" s="195"/>
      <c r="C115" s="206"/>
      <c r="D115" s="206"/>
      <c r="E115" s="206"/>
      <c r="F115" s="206"/>
      <c r="G115" s="206"/>
      <c r="H115" s="206"/>
      <c r="I115" s="206"/>
      <c r="J115" s="206"/>
      <c r="K115" s="206"/>
      <c r="L115" s="206"/>
      <c r="M115" s="206"/>
      <c r="N115" s="206"/>
      <c r="O115" s="206"/>
      <c r="P115" s="206"/>
      <c r="Q115" s="207"/>
      <c r="R115" s="206"/>
    </row>
    <row r="116" spans="1:24">
      <c r="A116" s="205" t="s">
        <v>660</v>
      </c>
      <c r="B116" s="195" t="s">
        <v>208</v>
      </c>
      <c r="C116" s="237" t="e">
        <f t="shared" ref="C116:N116" si="99">C67-C16</f>
        <v>#NAME?</v>
      </c>
      <c r="D116" s="237" t="e">
        <f t="shared" si="99"/>
        <v>#NAME?</v>
      </c>
      <c r="E116" s="237" t="e">
        <f t="shared" si="99"/>
        <v>#NAME?</v>
      </c>
      <c r="F116" s="237" t="e">
        <f t="shared" si="99"/>
        <v>#NAME?</v>
      </c>
      <c r="G116" s="237" t="e">
        <f t="shared" si="99"/>
        <v>#NAME?</v>
      </c>
      <c r="H116" s="237" t="e">
        <f t="shared" si="99"/>
        <v>#NAME?</v>
      </c>
      <c r="I116" s="237" t="e">
        <f t="shared" si="99"/>
        <v>#NAME?</v>
      </c>
      <c r="J116" s="237" t="e">
        <f t="shared" si="99"/>
        <v>#NAME?</v>
      </c>
      <c r="K116" s="237" t="e">
        <f t="shared" si="99"/>
        <v>#NAME?</v>
      </c>
      <c r="L116" s="237" t="e">
        <f t="shared" si="99"/>
        <v>#NAME?</v>
      </c>
      <c r="M116" s="237" t="e">
        <f t="shared" si="99"/>
        <v>#NAME?</v>
      </c>
      <c r="N116" s="237" t="e">
        <f t="shared" si="99"/>
        <v>#NAME?</v>
      </c>
      <c r="O116" s="237" t="e">
        <f>SUM(C116:N116)</f>
        <v>#NAME?</v>
      </c>
      <c r="P116" s="206"/>
      <c r="Q116" s="207"/>
      <c r="R116" s="206"/>
    </row>
    <row r="117" spans="1:24" ht="15">
      <c r="A117" s="205" t="s">
        <v>63</v>
      </c>
      <c r="B117" s="195" t="s">
        <v>17</v>
      </c>
      <c r="C117" s="240" t="e">
        <f t="shared" ref="C117:N117" si="100">C68-C17</f>
        <v>#NAME?</v>
      </c>
      <c r="D117" s="240" t="e">
        <f t="shared" si="100"/>
        <v>#NAME?</v>
      </c>
      <c r="E117" s="240" t="e">
        <f t="shared" si="100"/>
        <v>#NAME?</v>
      </c>
      <c r="F117" s="240" t="e">
        <f t="shared" si="100"/>
        <v>#NAME?</v>
      </c>
      <c r="G117" s="240" t="e">
        <f t="shared" si="100"/>
        <v>#NAME?</v>
      </c>
      <c r="H117" s="240" t="e">
        <f t="shared" si="100"/>
        <v>#NAME?</v>
      </c>
      <c r="I117" s="240" t="e">
        <f t="shared" si="100"/>
        <v>#NAME?</v>
      </c>
      <c r="J117" s="240" t="e">
        <f t="shared" si="100"/>
        <v>#NAME?</v>
      </c>
      <c r="K117" s="240" t="e">
        <f t="shared" si="100"/>
        <v>#NAME?</v>
      </c>
      <c r="L117" s="240" t="e">
        <f t="shared" si="100"/>
        <v>#NAME?</v>
      </c>
      <c r="M117" s="240" t="e">
        <f t="shared" si="100"/>
        <v>#NAME?</v>
      </c>
      <c r="N117" s="240" t="e">
        <f t="shared" si="100"/>
        <v>#NAME?</v>
      </c>
      <c r="O117" s="240" t="e">
        <f>SUM(C117:N117)</f>
        <v>#NAME?</v>
      </c>
      <c r="P117" s="208"/>
      <c r="Q117" s="241"/>
      <c r="R117" s="208"/>
    </row>
    <row r="118" spans="1:24">
      <c r="B118" s="194"/>
      <c r="C118" s="237" t="e">
        <f>SUM(C116:C117)</f>
        <v>#NAME?</v>
      </c>
      <c r="D118" s="237" t="e">
        <f>SUM(D116:D117)</f>
        <v>#NAME?</v>
      </c>
      <c r="E118" s="237" t="e">
        <f t="shared" ref="E118" si="101">SUM(E116:E117)</f>
        <v>#NAME?</v>
      </c>
      <c r="F118" s="237" t="e">
        <f t="shared" ref="F118" si="102">SUM(F116:F117)</f>
        <v>#NAME?</v>
      </c>
      <c r="G118" s="237" t="e">
        <f t="shared" ref="G118" si="103">SUM(G116:G117)</f>
        <v>#NAME?</v>
      </c>
      <c r="H118" s="237" t="e">
        <f t="shared" ref="H118" si="104">SUM(H116:H117)</f>
        <v>#NAME?</v>
      </c>
      <c r="I118" s="237" t="e">
        <f t="shared" ref="I118" si="105">SUM(I116:I117)</f>
        <v>#NAME?</v>
      </c>
      <c r="J118" s="237" t="e">
        <f t="shared" ref="J118" si="106">SUM(J116:J117)</f>
        <v>#NAME?</v>
      </c>
      <c r="K118" s="237" t="e">
        <f t="shared" ref="K118" si="107">SUM(K116:K117)</f>
        <v>#NAME?</v>
      </c>
      <c r="L118" s="237" t="e">
        <f t="shared" ref="L118" si="108">SUM(L116:L117)</f>
        <v>#NAME?</v>
      </c>
      <c r="M118" s="237" t="e">
        <f t="shared" ref="M118" si="109">SUM(M116:M117)</f>
        <v>#NAME?</v>
      </c>
      <c r="N118" s="237" t="e">
        <f t="shared" ref="N118" si="110">SUM(N116:N117)</f>
        <v>#NAME?</v>
      </c>
      <c r="O118" s="237" t="e">
        <f t="shared" ref="O118" si="111">SUM(O116:O117)</f>
        <v>#NAME?</v>
      </c>
      <c r="P118" s="206"/>
      <c r="Q118" s="207"/>
      <c r="R118" s="206"/>
    </row>
    <row r="119" spans="1:24">
      <c r="B119" s="194"/>
      <c r="C119" s="237"/>
      <c r="D119" s="237"/>
      <c r="E119" s="237"/>
      <c r="F119" s="237"/>
      <c r="G119" s="237"/>
      <c r="H119" s="237"/>
      <c r="I119" s="237"/>
      <c r="J119" s="237"/>
      <c r="K119" s="237"/>
      <c r="L119" s="237"/>
      <c r="M119" s="237"/>
      <c r="N119" s="237"/>
      <c r="O119" s="237"/>
      <c r="P119" s="206"/>
      <c r="Q119" s="207"/>
      <c r="R119" s="206"/>
    </row>
    <row r="120" spans="1:24" ht="15">
      <c r="A120" s="55" t="s">
        <v>446</v>
      </c>
      <c r="B120" s="194"/>
      <c r="C120" s="208"/>
      <c r="D120" s="208"/>
      <c r="E120" s="208"/>
      <c r="F120" s="208"/>
      <c r="G120" s="208"/>
      <c r="H120" s="208"/>
      <c r="I120" s="208"/>
      <c r="J120" s="208"/>
      <c r="K120" s="208"/>
      <c r="L120" s="208"/>
      <c r="M120" s="208"/>
      <c r="N120" s="208"/>
      <c r="O120" s="208"/>
      <c r="P120" s="206"/>
      <c r="Q120" s="207"/>
      <c r="R120" s="206"/>
    </row>
    <row r="121" spans="1:24">
      <c r="A121" s="205" t="s">
        <v>203</v>
      </c>
      <c r="B121" s="194" t="s">
        <v>203</v>
      </c>
      <c r="C121" s="237" t="e">
        <f t="shared" ref="C121:N121" si="112">C72-C21</f>
        <v>#NAME?</v>
      </c>
      <c r="D121" s="237" t="e">
        <f t="shared" si="112"/>
        <v>#NAME?</v>
      </c>
      <c r="E121" s="237" t="e">
        <f t="shared" si="112"/>
        <v>#NAME?</v>
      </c>
      <c r="F121" s="237" t="e">
        <f t="shared" si="112"/>
        <v>#NAME?</v>
      </c>
      <c r="G121" s="237" t="e">
        <f t="shared" si="112"/>
        <v>#NAME?</v>
      </c>
      <c r="H121" s="237" t="e">
        <f t="shared" si="112"/>
        <v>#NAME?</v>
      </c>
      <c r="I121" s="237" t="e">
        <f t="shared" si="112"/>
        <v>#NAME?</v>
      </c>
      <c r="J121" s="237" t="e">
        <f t="shared" si="112"/>
        <v>#NAME?</v>
      </c>
      <c r="K121" s="237" t="e">
        <f t="shared" si="112"/>
        <v>#NAME?</v>
      </c>
      <c r="L121" s="237" t="e">
        <f t="shared" si="112"/>
        <v>#NAME?</v>
      </c>
      <c r="M121" s="237" t="e">
        <f t="shared" si="112"/>
        <v>#NAME?</v>
      </c>
      <c r="N121" s="237" t="e">
        <f t="shared" si="112"/>
        <v>#NAME?</v>
      </c>
      <c r="O121" s="237" t="e">
        <f>SUM(C121:N121)</f>
        <v>#NAME?</v>
      </c>
      <c r="P121" s="206"/>
      <c r="Q121" s="207"/>
      <c r="R121" s="206"/>
    </row>
    <row r="122" spans="1:24">
      <c r="A122" s="205" t="s">
        <v>728</v>
      </c>
      <c r="B122" s="195" t="s">
        <v>212</v>
      </c>
      <c r="C122" s="237" t="e">
        <f t="shared" ref="C122:N122" si="113">C73-C22</f>
        <v>#NAME?</v>
      </c>
      <c r="D122" s="237" t="e">
        <f t="shared" si="113"/>
        <v>#NAME?</v>
      </c>
      <c r="E122" s="237" t="e">
        <f t="shared" si="113"/>
        <v>#NAME?</v>
      </c>
      <c r="F122" s="237" t="e">
        <f t="shared" si="113"/>
        <v>#NAME?</v>
      </c>
      <c r="G122" s="237" t="e">
        <f t="shared" si="113"/>
        <v>#NAME?</v>
      </c>
      <c r="H122" s="237" t="e">
        <f t="shared" si="113"/>
        <v>#NAME?</v>
      </c>
      <c r="I122" s="237" t="e">
        <f t="shared" si="113"/>
        <v>#NAME?</v>
      </c>
      <c r="J122" s="237" t="e">
        <f t="shared" si="113"/>
        <v>#NAME?</v>
      </c>
      <c r="K122" s="237" t="e">
        <f t="shared" si="113"/>
        <v>#NAME?</v>
      </c>
      <c r="L122" s="237" t="e">
        <f t="shared" si="113"/>
        <v>#NAME?</v>
      </c>
      <c r="M122" s="237" t="e">
        <f t="shared" si="113"/>
        <v>#NAME?</v>
      </c>
      <c r="N122" s="237" t="e">
        <f t="shared" si="113"/>
        <v>#NAME?</v>
      </c>
      <c r="O122" s="237" t="e">
        <f>SUM(C122:N122)</f>
        <v>#NAME?</v>
      </c>
      <c r="P122" s="206"/>
      <c r="Q122" s="207"/>
      <c r="R122" s="206"/>
    </row>
    <row r="123" spans="1:24" ht="15">
      <c r="A123" s="205" t="s">
        <v>729</v>
      </c>
      <c r="B123" s="195" t="s">
        <v>730</v>
      </c>
      <c r="C123" s="240" t="e">
        <f t="shared" ref="C123:N123" si="114">C74-C23</f>
        <v>#NAME?</v>
      </c>
      <c r="D123" s="240" t="e">
        <f t="shared" si="114"/>
        <v>#NAME?</v>
      </c>
      <c r="E123" s="240" t="e">
        <f t="shared" si="114"/>
        <v>#NAME?</v>
      </c>
      <c r="F123" s="240" t="e">
        <f t="shared" si="114"/>
        <v>#NAME?</v>
      </c>
      <c r="G123" s="240" t="e">
        <f t="shared" si="114"/>
        <v>#NAME?</v>
      </c>
      <c r="H123" s="240" t="e">
        <f t="shared" si="114"/>
        <v>#NAME?</v>
      </c>
      <c r="I123" s="240" t="e">
        <f t="shared" si="114"/>
        <v>#NAME?</v>
      </c>
      <c r="J123" s="240" t="e">
        <f t="shared" si="114"/>
        <v>#NAME?</v>
      </c>
      <c r="K123" s="240" t="e">
        <f t="shared" si="114"/>
        <v>#NAME?</v>
      </c>
      <c r="L123" s="240" t="e">
        <f t="shared" si="114"/>
        <v>#NAME?</v>
      </c>
      <c r="M123" s="240" t="e">
        <f t="shared" si="114"/>
        <v>#NAME?</v>
      </c>
      <c r="N123" s="240" t="e">
        <f t="shared" si="114"/>
        <v>#NAME?</v>
      </c>
      <c r="O123" s="240" t="e">
        <f>SUM(C123:N123)</f>
        <v>#NAME?</v>
      </c>
      <c r="P123" s="208"/>
      <c r="Q123" s="241"/>
      <c r="R123" s="208"/>
    </row>
    <row r="124" spans="1:24">
      <c r="A124" s="205"/>
      <c r="B124" s="195"/>
      <c r="C124" s="237" t="e">
        <f t="shared" ref="C124" si="115">SUM(C121:C123)</f>
        <v>#NAME?</v>
      </c>
      <c r="D124" s="237" t="e">
        <f>SUM(D121:D123)</f>
        <v>#NAME?</v>
      </c>
      <c r="E124" s="237" t="e">
        <f t="shared" ref="E124:O124" si="116">SUM(E121:E123)</f>
        <v>#NAME?</v>
      </c>
      <c r="F124" s="237" t="e">
        <f t="shared" si="116"/>
        <v>#NAME?</v>
      </c>
      <c r="G124" s="237" t="e">
        <f t="shared" si="116"/>
        <v>#NAME?</v>
      </c>
      <c r="H124" s="237" t="e">
        <f t="shared" si="116"/>
        <v>#NAME?</v>
      </c>
      <c r="I124" s="237" t="e">
        <f t="shared" si="116"/>
        <v>#NAME?</v>
      </c>
      <c r="J124" s="237" t="e">
        <f t="shared" si="116"/>
        <v>#NAME?</v>
      </c>
      <c r="K124" s="237" t="e">
        <f t="shared" si="116"/>
        <v>#NAME?</v>
      </c>
      <c r="L124" s="237" t="e">
        <f t="shared" si="116"/>
        <v>#NAME?</v>
      </c>
      <c r="M124" s="237" t="e">
        <f t="shared" si="116"/>
        <v>#NAME?</v>
      </c>
      <c r="N124" s="237" t="e">
        <f t="shared" si="116"/>
        <v>#NAME?</v>
      </c>
      <c r="O124" s="237" t="e">
        <f t="shared" si="116"/>
        <v>#NAME?</v>
      </c>
      <c r="P124" s="206"/>
      <c r="Q124" s="207"/>
      <c r="R124" s="206"/>
    </row>
    <row r="125" spans="1:24">
      <c r="B125" s="194"/>
      <c r="C125" s="206"/>
      <c r="D125" s="206"/>
      <c r="E125" s="206"/>
      <c r="F125" s="206"/>
      <c r="G125" s="206"/>
      <c r="H125" s="206"/>
      <c r="I125" s="206"/>
      <c r="J125" s="206"/>
      <c r="K125" s="206"/>
      <c r="L125" s="206"/>
      <c r="M125" s="206"/>
      <c r="N125" s="206"/>
      <c r="O125" s="206"/>
      <c r="P125" s="206"/>
      <c r="Q125" s="207"/>
      <c r="R125" s="206"/>
    </row>
    <row r="126" spans="1:24">
      <c r="A126" s="209" t="s">
        <v>110</v>
      </c>
      <c r="B126" s="194"/>
      <c r="C126" s="206"/>
      <c r="D126" s="206"/>
      <c r="E126" s="206"/>
      <c r="F126" s="206"/>
      <c r="G126" s="206"/>
      <c r="H126" s="206"/>
      <c r="I126" s="206"/>
      <c r="J126" s="206"/>
      <c r="K126" s="206"/>
      <c r="L126" s="206"/>
      <c r="M126" s="206"/>
      <c r="N126" s="206"/>
      <c r="O126" s="206"/>
      <c r="P126" s="206"/>
      <c r="Q126" s="207"/>
      <c r="R126" s="206"/>
    </row>
    <row r="127" spans="1:24">
      <c r="A127" s="211" t="s">
        <v>731</v>
      </c>
      <c r="B127" s="194" t="s">
        <v>24</v>
      </c>
      <c r="C127" s="237" t="e">
        <f t="shared" ref="C127:N127" si="117">C78-C27</f>
        <v>#NAME?</v>
      </c>
      <c r="D127" s="237" t="e">
        <f t="shared" si="117"/>
        <v>#NAME?</v>
      </c>
      <c r="E127" s="237" t="e">
        <f t="shared" si="117"/>
        <v>#NAME?</v>
      </c>
      <c r="F127" s="237" t="e">
        <f t="shared" si="117"/>
        <v>#NAME?</v>
      </c>
      <c r="G127" s="237" t="e">
        <f t="shared" si="117"/>
        <v>#NAME?</v>
      </c>
      <c r="H127" s="237" t="e">
        <f t="shared" si="117"/>
        <v>#NAME?</v>
      </c>
      <c r="I127" s="237" t="e">
        <f t="shared" si="117"/>
        <v>#NAME?</v>
      </c>
      <c r="J127" s="237" t="e">
        <f t="shared" si="117"/>
        <v>#NAME?</v>
      </c>
      <c r="K127" s="237" t="e">
        <f t="shared" si="117"/>
        <v>#NAME?</v>
      </c>
      <c r="L127" s="237" t="e">
        <f t="shared" si="117"/>
        <v>#NAME?</v>
      </c>
      <c r="M127" s="237" t="e">
        <f t="shared" si="117"/>
        <v>#NAME?</v>
      </c>
      <c r="N127" s="237" t="e">
        <f t="shared" si="117"/>
        <v>#NAME?</v>
      </c>
      <c r="O127" s="237" t="e">
        <f>SUM(C127:N127)</f>
        <v>#NAME?</v>
      </c>
      <c r="P127" s="206"/>
      <c r="Q127" s="207"/>
      <c r="R127" s="206"/>
    </row>
    <row r="128" spans="1:24" ht="15">
      <c r="A128" s="211" t="s">
        <v>732</v>
      </c>
      <c r="B128" s="194" t="s">
        <v>25</v>
      </c>
      <c r="C128" s="240" t="e">
        <f t="shared" ref="C128:N128" si="118">C79-C28</f>
        <v>#NAME?</v>
      </c>
      <c r="D128" s="240" t="e">
        <f t="shared" si="118"/>
        <v>#NAME?</v>
      </c>
      <c r="E128" s="240" t="e">
        <f t="shared" si="118"/>
        <v>#NAME?</v>
      </c>
      <c r="F128" s="240" t="e">
        <f t="shared" si="118"/>
        <v>#NAME?</v>
      </c>
      <c r="G128" s="240" t="e">
        <f t="shared" si="118"/>
        <v>#NAME?</v>
      </c>
      <c r="H128" s="240" t="e">
        <f t="shared" si="118"/>
        <v>#NAME?</v>
      </c>
      <c r="I128" s="240" t="e">
        <f t="shared" si="118"/>
        <v>#NAME?</v>
      </c>
      <c r="J128" s="240" t="e">
        <f t="shared" si="118"/>
        <v>#NAME?</v>
      </c>
      <c r="K128" s="240" t="e">
        <f t="shared" si="118"/>
        <v>#NAME?</v>
      </c>
      <c r="L128" s="240" t="e">
        <f t="shared" si="118"/>
        <v>#NAME?</v>
      </c>
      <c r="M128" s="240" t="e">
        <f t="shared" si="118"/>
        <v>#NAME?</v>
      </c>
      <c r="N128" s="240" t="e">
        <f t="shared" si="118"/>
        <v>#NAME?</v>
      </c>
      <c r="O128" s="240" t="e">
        <f>SUM(C128:N128)</f>
        <v>#NAME?</v>
      </c>
      <c r="P128" s="208"/>
      <c r="Q128" s="241"/>
      <c r="R128" s="208"/>
      <c r="X128" s="221">
        <f>-T50+AB93</f>
        <v>-7350.5279999999912</v>
      </c>
    </row>
    <row r="129" spans="1:24">
      <c r="B129" s="212"/>
      <c r="C129" s="237" t="e">
        <f>SUM(C127:C128)</f>
        <v>#NAME?</v>
      </c>
      <c r="D129" s="237" t="e">
        <f>SUM(D127:D128)</f>
        <v>#NAME?</v>
      </c>
      <c r="E129" s="237" t="e">
        <f t="shared" ref="E129" si="119">SUM(E127:E128)</f>
        <v>#NAME?</v>
      </c>
      <c r="F129" s="237" t="e">
        <f t="shared" ref="F129" si="120">SUM(F127:F128)</f>
        <v>#NAME?</v>
      </c>
      <c r="G129" s="237" t="e">
        <f t="shared" ref="G129" si="121">SUM(G127:G128)</f>
        <v>#NAME?</v>
      </c>
      <c r="H129" s="237" t="e">
        <f t="shared" ref="H129" si="122">SUM(H127:H128)</f>
        <v>#NAME?</v>
      </c>
      <c r="I129" s="237" t="e">
        <f t="shared" ref="I129" si="123">SUM(I127:I128)</f>
        <v>#NAME?</v>
      </c>
      <c r="J129" s="237" t="e">
        <f t="shared" ref="J129" si="124">SUM(J127:J128)</f>
        <v>#NAME?</v>
      </c>
      <c r="K129" s="237" t="e">
        <f t="shared" ref="K129" si="125">SUM(K127:K128)</f>
        <v>#NAME?</v>
      </c>
      <c r="L129" s="237" t="e">
        <f t="shared" ref="L129" si="126">SUM(L127:L128)</f>
        <v>#NAME?</v>
      </c>
      <c r="M129" s="237" t="e">
        <f t="shared" ref="M129" si="127">SUM(M127:M128)</f>
        <v>#NAME?</v>
      </c>
      <c r="N129" s="237" t="e">
        <f t="shared" ref="N129" si="128">SUM(N127:N128)</f>
        <v>#NAME?</v>
      </c>
      <c r="O129" s="237" t="e">
        <f t="shared" ref="O129" si="129">SUM(O127:O128)</f>
        <v>#NAME?</v>
      </c>
      <c r="P129" s="206"/>
      <c r="Q129" s="207"/>
      <c r="R129" s="206"/>
      <c r="X129" s="220" t="s">
        <v>670</v>
      </c>
    </row>
    <row r="130" spans="1:24">
      <c r="A130" s="204" t="s">
        <v>661</v>
      </c>
      <c r="B130" s="212"/>
      <c r="C130" s="206"/>
      <c r="D130" s="206"/>
      <c r="E130" s="206"/>
      <c r="F130" s="206"/>
      <c r="G130" s="206"/>
      <c r="H130" s="206"/>
      <c r="I130" s="206"/>
      <c r="J130" s="206"/>
      <c r="K130" s="206"/>
      <c r="L130" s="206"/>
      <c r="M130" s="206"/>
      <c r="N130" s="206"/>
      <c r="O130" s="206"/>
      <c r="P130" s="206"/>
      <c r="Q130" s="207"/>
      <c r="R130" s="206"/>
    </row>
    <row r="131" spans="1:24">
      <c r="A131" s="211" t="s">
        <v>662</v>
      </c>
      <c r="B131" s="195" t="s">
        <v>205</v>
      </c>
      <c r="C131" s="237" t="e">
        <f t="shared" ref="C131:N131" si="130">C82-C31</f>
        <v>#NAME?</v>
      </c>
      <c r="D131" s="237" t="e">
        <f t="shared" si="130"/>
        <v>#NAME?</v>
      </c>
      <c r="E131" s="237" t="e">
        <f t="shared" si="130"/>
        <v>#NAME?</v>
      </c>
      <c r="F131" s="237" t="e">
        <f t="shared" si="130"/>
        <v>#NAME?</v>
      </c>
      <c r="G131" s="237" t="e">
        <f t="shared" si="130"/>
        <v>#NAME?</v>
      </c>
      <c r="H131" s="237" t="e">
        <f t="shared" si="130"/>
        <v>#NAME?</v>
      </c>
      <c r="I131" s="237" t="e">
        <f t="shared" si="130"/>
        <v>#NAME?</v>
      </c>
      <c r="J131" s="237" t="e">
        <f t="shared" si="130"/>
        <v>#NAME?</v>
      </c>
      <c r="K131" s="237" t="e">
        <f t="shared" si="130"/>
        <v>#NAME?</v>
      </c>
      <c r="L131" s="237" t="e">
        <f t="shared" si="130"/>
        <v>#NAME?</v>
      </c>
      <c r="M131" s="237" t="e">
        <f t="shared" si="130"/>
        <v>#NAME?</v>
      </c>
      <c r="N131" s="237" t="e">
        <f t="shared" si="130"/>
        <v>#NAME?</v>
      </c>
      <c r="O131" s="237" t="e">
        <f>SUM(C131:N131)</f>
        <v>#NAME?</v>
      </c>
      <c r="P131" s="206"/>
      <c r="Q131" s="207"/>
      <c r="R131" s="206"/>
    </row>
    <row r="132" spans="1:24" ht="15">
      <c r="A132" s="211" t="s">
        <v>663</v>
      </c>
      <c r="B132" s="195" t="s">
        <v>204</v>
      </c>
      <c r="C132" s="240" t="e">
        <f t="shared" ref="C132:N132" si="131">C83-C32</f>
        <v>#NAME?</v>
      </c>
      <c r="D132" s="240" t="e">
        <f t="shared" si="131"/>
        <v>#NAME?</v>
      </c>
      <c r="E132" s="240" t="e">
        <f t="shared" si="131"/>
        <v>#NAME?</v>
      </c>
      <c r="F132" s="240" t="e">
        <f t="shared" si="131"/>
        <v>#NAME?</v>
      </c>
      <c r="G132" s="240" t="e">
        <f t="shared" si="131"/>
        <v>#NAME?</v>
      </c>
      <c r="H132" s="240" t="e">
        <f t="shared" si="131"/>
        <v>#NAME?</v>
      </c>
      <c r="I132" s="240" t="e">
        <f t="shared" si="131"/>
        <v>#NAME?</v>
      </c>
      <c r="J132" s="240" t="e">
        <f t="shared" si="131"/>
        <v>#NAME?</v>
      </c>
      <c r="K132" s="240" t="e">
        <f t="shared" si="131"/>
        <v>#NAME?</v>
      </c>
      <c r="L132" s="240" t="e">
        <f t="shared" si="131"/>
        <v>#NAME?</v>
      </c>
      <c r="M132" s="240" t="e">
        <f t="shared" si="131"/>
        <v>#NAME?</v>
      </c>
      <c r="N132" s="240" t="e">
        <f t="shared" si="131"/>
        <v>#NAME?</v>
      </c>
      <c r="O132" s="240" t="e">
        <f>SUM(C132:N132)</f>
        <v>#NAME?</v>
      </c>
      <c r="P132" s="208"/>
      <c r="Q132" s="241"/>
      <c r="R132" s="208"/>
    </row>
    <row r="133" spans="1:24">
      <c r="B133" s="212"/>
      <c r="C133" s="237" t="e">
        <f>SUM(C131:C132)</f>
        <v>#NAME?</v>
      </c>
      <c r="D133" s="237" t="e">
        <f>SUM(D131:D132)</f>
        <v>#NAME?</v>
      </c>
      <c r="E133" s="237" t="e">
        <f t="shared" ref="E133" si="132">SUM(E131:E132)</f>
        <v>#NAME?</v>
      </c>
      <c r="F133" s="237" t="e">
        <f t="shared" ref="F133" si="133">SUM(F131:F132)</f>
        <v>#NAME?</v>
      </c>
      <c r="G133" s="237" t="e">
        <f t="shared" ref="G133" si="134">SUM(G131:G132)</f>
        <v>#NAME?</v>
      </c>
      <c r="H133" s="237" t="e">
        <f t="shared" ref="H133" si="135">SUM(H131:H132)</f>
        <v>#NAME?</v>
      </c>
      <c r="I133" s="237" t="e">
        <f t="shared" ref="I133" si="136">SUM(I131:I132)</f>
        <v>#NAME?</v>
      </c>
      <c r="J133" s="237" t="e">
        <f t="shared" ref="J133" si="137">SUM(J131:J132)</f>
        <v>#NAME?</v>
      </c>
      <c r="K133" s="237" t="e">
        <f t="shared" ref="K133" si="138">SUM(K131:K132)</f>
        <v>#NAME?</v>
      </c>
      <c r="L133" s="237" t="e">
        <f t="shared" ref="L133" si="139">SUM(L131:L132)</f>
        <v>#NAME?</v>
      </c>
      <c r="M133" s="237" t="e">
        <f t="shared" ref="M133" si="140">SUM(M131:M132)</f>
        <v>#NAME?</v>
      </c>
      <c r="N133" s="237" t="e">
        <f t="shared" ref="N133" si="141">SUM(N131:N132)</f>
        <v>#NAME?</v>
      </c>
      <c r="O133" s="237" t="e">
        <f t="shared" ref="O133" si="142">SUM(O131:O132)</f>
        <v>#NAME?</v>
      </c>
      <c r="P133" s="206"/>
      <c r="Q133" s="207"/>
      <c r="R133" s="206"/>
    </row>
    <row r="134" spans="1:24">
      <c r="A134" s="209"/>
      <c r="B134" s="194"/>
      <c r="C134" s="206"/>
      <c r="D134" s="206"/>
      <c r="E134" s="206"/>
      <c r="F134" s="206"/>
      <c r="G134" s="206"/>
      <c r="H134" s="206"/>
      <c r="I134" s="206"/>
      <c r="J134" s="206"/>
      <c r="K134" s="206"/>
      <c r="L134" s="206"/>
      <c r="M134" s="206"/>
      <c r="N134" s="206"/>
      <c r="O134" s="206"/>
      <c r="P134" s="206"/>
      <c r="Q134" s="207"/>
      <c r="R134" s="206"/>
    </row>
    <row r="135" spans="1:24">
      <c r="B135" s="194"/>
      <c r="C135" s="206"/>
      <c r="D135" s="206"/>
      <c r="E135" s="206"/>
      <c r="F135" s="206"/>
      <c r="G135" s="206"/>
      <c r="H135" s="206"/>
      <c r="I135" s="206"/>
      <c r="J135" s="206"/>
      <c r="K135" s="206"/>
      <c r="L135" s="206"/>
      <c r="M135" s="206"/>
      <c r="N135" s="206"/>
      <c r="O135" s="206"/>
      <c r="P135" s="206"/>
      <c r="Q135" s="207"/>
      <c r="R135" s="206"/>
    </row>
    <row r="136" spans="1:24">
      <c r="A136" s="204" t="s">
        <v>734</v>
      </c>
      <c r="B136" s="194" t="s">
        <v>18</v>
      </c>
      <c r="C136" s="237" t="e">
        <f t="shared" ref="C136:N136" si="143">C87-C36</f>
        <v>#NAME?</v>
      </c>
      <c r="D136" s="237" t="e">
        <f t="shared" si="143"/>
        <v>#NAME?</v>
      </c>
      <c r="E136" s="237" t="e">
        <f t="shared" si="143"/>
        <v>#NAME?</v>
      </c>
      <c r="F136" s="237" t="e">
        <f t="shared" si="143"/>
        <v>#NAME?</v>
      </c>
      <c r="G136" s="237" t="e">
        <f t="shared" si="143"/>
        <v>#NAME?</v>
      </c>
      <c r="H136" s="237" t="e">
        <f t="shared" si="143"/>
        <v>#NAME?</v>
      </c>
      <c r="I136" s="237" t="e">
        <f t="shared" si="143"/>
        <v>#NAME?</v>
      </c>
      <c r="J136" s="237" t="e">
        <f t="shared" si="143"/>
        <v>#NAME?</v>
      </c>
      <c r="K136" s="237" t="e">
        <f t="shared" si="143"/>
        <v>#NAME?</v>
      </c>
      <c r="L136" s="237" t="e">
        <f t="shared" si="143"/>
        <v>#NAME?</v>
      </c>
      <c r="M136" s="237" t="e">
        <f t="shared" si="143"/>
        <v>#NAME?</v>
      </c>
      <c r="N136" s="237" t="e">
        <f t="shared" si="143"/>
        <v>#NAME?</v>
      </c>
      <c r="O136" s="237" t="e">
        <f>SUM(C136:N136)</f>
        <v>#NAME?</v>
      </c>
      <c r="P136" s="206"/>
      <c r="Q136" s="207"/>
      <c r="R136" s="206"/>
    </row>
    <row r="137" spans="1:24">
      <c r="B137" s="194"/>
      <c r="C137" s="206"/>
      <c r="D137" s="206"/>
      <c r="E137" s="206"/>
      <c r="F137" s="206"/>
      <c r="G137" s="206"/>
      <c r="H137" s="206"/>
      <c r="I137" s="206"/>
      <c r="J137" s="206"/>
      <c r="K137" s="206"/>
      <c r="L137" s="206"/>
      <c r="M137" s="206"/>
      <c r="N137" s="206"/>
      <c r="O137" s="206"/>
      <c r="P137" s="206"/>
      <c r="Q137" s="207"/>
      <c r="R137" s="206"/>
    </row>
    <row r="138" spans="1:24">
      <c r="A138" s="55" t="s">
        <v>733</v>
      </c>
      <c r="B138" s="195" t="s">
        <v>27</v>
      </c>
      <c r="C138" s="237" t="e">
        <f t="shared" ref="C138:N138" si="144">C89-C38</f>
        <v>#NAME?</v>
      </c>
      <c r="D138" s="237" t="e">
        <f t="shared" si="144"/>
        <v>#NAME?</v>
      </c>
      <c r="E138" s="237" t="e">
        <f t="shared" si="144"/>
        <v>#NAME?</v>
      </c>
      <c r="F138" s="237" t="e">
        <f t="shared" si="144"/>
        <v>#NAME?</v>
      </c>
      <c r="G138" s="237" t="e">
        <f t="shared" si="144"/>
        <v>#NAME?</v>
      </c>
      <c r="H138" s="237" t="e">
        <f t="shared" si="144"/>
        <v>#NAME?</v>
      </c>
      <c r="I138" s="237" t="e">
        <f t="shared" si="144"/>
        <v>#NAME?</v>
      </c>
      <c r="J138" s="237" t="e">
        <f t="shared" si="144"/>
        <v>#NAME?</v>
      </c>
      <c r="K138" s="237" t="e">
        <f t="shared" si="144"/>
        <v>#NAME?</v>
      </c>
      <c r="L138" s="237" t="e">
        <f t="shared" si="144"/>
        <v>#NAME?</v>
      </c>
      <c r="M138" s="237" t="e">
        <f t="shared" si="144"/>
        <v>#NAME?</v>
      </c>
      <c r="N138" s="237" t="e">
        <f t="shared" si="144"/>
        <v>#NAME?</v>
      </c>
      <c r="O138" s="237" t="e">
        <f>SUM(C138:N138)</f>
        <v>#NAME?</v>
      </c>
      <c r="P138" s="206"/>
      <c r="Q138" s="207"/>
      <c r="R138" s="206"/>
    </row>
    <row r="139" spans="1:24">
      <c r="B139" s="194"/>
      <c r="C139" s="206"/>
      <c r="D139" s="206"/>
      <c r="E139" s="206"/>
      <c r="F139" s="206"/>
      <c r="G139" s="206"/>
      <c r="H139" s="206"/>
      <c r="I139" s="206"/>
      <c r="J139" s="206"/>
      <c r="K139" s="206"/>
      <c r="L139" s="206"/>
      <c r="M139" s="206"/>
      <c r="N139" s="206"/>
      <c r="O139" s="206"/>
      <c r="P139" s="206"/>
      <c r="Q139" s="207"/>
      <c r="R139" s="206"/>
    </row>
    <row r="140" spans="1:24">
      <c r="A140" s="55" t="s">
        <v>664</v>
      </c>
      <c r="B140" s="194"/>
      <c r="C140" s="206"/>
      <c r="D140" s="206"/>
      <c r="E140" s="206"/>
      <c r="F140" s="206"/>
      <c r="G140" s="206"/>
      <c r="H140" s="206"/>
      <c r="I140" s="206"/>
      <c r="J140" s="206"/>
      <c r="K140" s="206"/>
      <c r="L140" s="206"/>
      <c r="M140" s="206"/>
      <c r="N140" s="206"/>
      <c r="O140" s="206"/>
      <c r="P140" s="206"/>
      <c r="Q140" s="207"/>
      <c r="R140" s="206"/>
    </row>
    <row r="141" spans="1:24">
      <c r="A141" s="210" t="s">
        <v>737</v>
      </c>
      <c r="B141" s="194" t="s">
        <v>19</v>
      </c>
      <c r="C141" s="237" t="e">
        <f t="shared" ref="C141:N141" si="145">C92-C41</f>
        <v>#NAME?</v>
      </c>
      <c r="D141" s="237" t="e">
        <f t="shared" si="145"/>
        <v>#NAME?</v>
      </c>
      <c r="E141" s="237" t="e">
        <f t="shared" si="145"/>
        <v>#NAME?</v>
      </c>
      <c r="F141" s="237" t="e">
        <f t="shared" si="145"/>
        <v>#NAME?</v>
      </c>
      <c r="G141" s="237" t="e">
        <f t="shared" si="145"/>
        <v>#NAME?</v>
      </c>
      <c r="H141" s="237" t="e">
        <f t="shared" si="145"/>
        <v>#NAME?</v>
      </c>
      <c r="I141" s="237" t="e">
        <f t="shared" si="145"/>
        <v>#NAME?</v>
      </c>
      <c r="J141" s="237" t="e">
        <f t="shared" si="145"/>
        <v>#NAME?</v>
      </c>
      <c r="K141" s="237" t="e">
        <f t="shared" si="145"/>
        <v>#NAME?</v>
      </c>
      <c r="L141" s="237" t="e">
        <f t="shared" si="145"/>
        <v>#NAME?</v>
      </c>
      <c r="M141" s="237" t="e">
        <f t="shared" si="145"/>
        <v>#NAME?</v>
      </c>
      <c r="N141" s="237" t="e">
        <f t="shared" si="145"/>
        <v>#NAME?</v>
      </c>
      <c r="O141" s="237" t="e">
        <f t="shared" ref="O141:O144" si="146">SUM(C141:N141)</f>
        <v>#NAME?</v>
      </c>
      <c r="P141" s="206"/>
      <c r="Q141" s="207"/>
      <c r="R141" s="206"/>
    </row>
    <row r="142" spans="1:24">
      <c r="A142" s="211" t="s">
        <v>738</v>
      </c>
      <c r="B142" s="194" t="s">
        <v>20</v>
      </c>
      <c r="C142" s="237" t="e">
        <f t="shared" ref="C142:N142" si="147">C93-C42</f>
        <v>#NAME?</v>
      </c>
      <c r="D142" s="237" t="e">
        <f t="shared" si="147"/>
        <v>#NAME?</v>
      </c>
      <c r="E142" s="237" t="e">
        <f t="shared" si="147"/>
        <v>#NAME?</v>
      </c>
      <c r="F142" s="237" t="e">
        <f t="shared" si="147"/>
        <v>#NAME?</v>
      </c>
      <c r="G142" s="237" t="e">
        <f t="shared" si="147"/>
        <v>#NAME?</v>
      </c>
      <c r="H142" s="237" t="e">
        <f t="shared" si="147"/>
        <v>#NAME?</v>
      </c>
      <c r="I142" s="237" t="e">
        <f t="shared" si="147"/>
        <v>#NAME?</v>
      </c>
      <c r="J142" s="237" t="e">
        <f t="shared" si="147"/>
        <v>#NAME?</v>
      </c>
      <c r="K142" s="237" t="e">
        <f t="shared" si="147"/>
        <v>#NAME?</v>
      </c>
      <c r="L142" s="237" t="e">
        <f t="shared" si="147"/>
        <v>#NAME?</v>
      </c>
      <c r="M142" s="237" t="e">
        <f t="shared" si="147"/>
        <v>#NAME?</v>
      </c>
      <c r="N142" s="237" t="e">
        <f t="shared" si="147"/>
        <v>#NAME?</v>
      </c>
      <c r="O142" s="237" t="e">
        <f t="shared" si="146"/>
        <v>#NAME?</v>
      </c>
      <c r="P142" s="206"/>
      <c r="Q142" s="207"/>
      <c r="R142" s="206"/>
    </row>
    <row r="143" spans="1:24">
      <c r="A143" s="211" t="s">
        <v>1385</v>
      </c>
      <c r="B143" s="195" t="s">
        <v>665</v>
      </c>
      <c r="C143" s="237" t="e">
        <f t="shared" ref="C143:N143" si="148">C94-C44</f>
        <v>#NAME?</v>
      </c>
      <c r="D143" s="237" t="e">
        <f t="shared" si="148"/>
        <v>#NAME?</v>
      </c>
      <c r="E143" s="237" t="e">
        <f t="shared" si="148"/>
        <v>#NAME?</v>
      </c>
      <c r="F143" s="237" t="e">
        <f t="shared" si="148"/>
        <v>#NAME?</v>
      </c>
      <c r="G143" s="237" t="e">
        <f t="shared" si="148"/>
        <v>#NAME?</v>
      </c>
      <c r="H143" s="237" t="e">
        <f t="shared" si="148"/>
        <v>#NAME?</v>
      </c>
      <c r="I143" s="237" t="e">
        <f t="shared" si="148"/>
        <v>#NAME?</v>
      </c>
      <c r="J143" s="237" t="e">
        <f t="shared" si="148"/>
        <v>#NAME?</v>
      </c>
      <c r="K143" s="237" t="e">
        <f t="shared" si="148"/>
        <v>#NAME?</v>
      </c>
      <c r="L143" s="237" t="e">
        <f t="shared" si="148"/>
        <v>#NAME?</v>
      </c>
      <c r="M143" s="237" t="e">
        <f t="shared" si="148"/>
        <v>#NAME?</v>
      </c>
      <c r="N143" s="237" t="e">
        <f t="shared" si="148"/>
        <v>#NAME?</v>
      </c>
      <c r="O143" s="237" t="e">
        <f t="shared" si="146"/>
        <v>#NAME?</v>
      </c>
      <c r="P143" s="206"/>
      <c r="Q143" s="207"/>
      <c r="R143" s="206"/>
    </row>
    <row r="144" spans="1:24" ht="15">
      <c r="A144" s="211" t="s">
        <v>1384</v>
      </c>
      <c r="B144" s="194" t="s">
        <v>666</v>
      </c>
      <c r="C144" s="240" t="e">
        <f t="shared" ref="C144:N144" si="149">C95-C45</f>
        <v>#NAME?</v>
      </c>
      <c r="D144" s="240" t="e">
        <f t="shared" si="149"/>
        <v>#NAME?</v>
      </c>
      <c r="E144" s="240" t="e">
        <f t="shared" si="149"/>
        <v>#NAME?</v>
      </c>
      <c r="F144" s="240" t="e">
        <f t="shared" si="149"/>
        <v>#NAME?</v>
      </c>
      <c r="G144" s="240" t="e">
        <f t="shared" si="149"/>
        <v>#NAME?</v>
      </c>
      <c r="H144" s="240" t="e">
        <f t="shared" si="149"/>
        <v>#NAME?</v>
      </c>
      <c r="I144" s="240" t="e">
        <f t="shared" si="149"/>
        <v>#NAME?</v>
      </c>
      <c r="J144" s="240" t="e">
        <f t="shared" si="149"/>
        <v>#NAME?</v>
      </c>
      <c r="K144" s="240" t="e">
        <f t="shared" si="149"/>
        <v>#NAME?</v>
      </c>
      <c r="L144" s="240" t="e">
        <f t="shared" si="149"/>
        <v>#NAME?</v>
      </c>
      <c r="M144" s="240" t="e">
        <f t="shared" si="149"/>
        <v>#NAME?</v>
      </c>
      <c r="N144" s="240" t="e">
        <f t="shared" si="149"/>
        <v>#NAME?</v>
      </c>
      <c r="O144" s="240" t="e">
        <f t="shared" si="146"/>
        <v>#NAME?</v>
      </c>
      <c r="P144" s="208"/>
      <c r="Q144" s="241"/>
      <c r="R144" s="208"/>
    </row>
    <row r="145" spans="1:18">
      <c r="C145" s="237" t="e">
        <f t="shared" ref="C145:O145" si="150">SUM(C141:C144)</f>
        <v>#NAME?</v>
      </c>
      <c r="D145" s="237" t="e">
        <f t="shared" si="150"/>
        <v>#NAME?</v>
      </c>
      <c r="E145" s="237" t="e">
        <f t="shared" si="150"/>
        <v>#NAME?</v>
      </c>
      <c r="F145" s="237" t="e">
        <f t="shared" si="150"/>
        <v>#NAME?</v>
      </c>
      <c r="G145" s="237" t="e">
        <f t="shared" si="150"/>
        <v>#NAME?</v>
      </c>
      <c r="H145" s="237" t="e">
        <f t="shared" si="150"/>
        <v>#NAME?</v>
      </c>
      <c r="I145" s="237" t="e">
        <f t="shared" si="150"/>
        <v>#NAME?</v>
      </c>
      <c r="J145" s="237" t="e">
        <f t="shared" si="150"/>
        <v>#NAME?</v>
      </c>
      <c r="K145" s="237" t="e">
        <f t="shared" si="150"/>
        <v>#NAME?</v>
      </c>
      <c r="L145" s="237" t="e">
        <f t="shared" si="150"/>
        <v>#NAME?</v>
      </c>
      <c r="M145" s="237" t="e">
        <f t="shared" si="150"/>
        <v>#NAME?</v>
      </c>
      <c r="N145" s="237" t="e">
        <f t="shared" si="150"/>
        <v>#NAME?</v>
      </c>
      <c r="O145" s="237" t="e">
        <f t="shared" si="150"/>
        <v>#NAME?</v>
      </c>
      <c r="P145" s="206"/>
      <c r="Q145" s="207"/>
      <c r="R145" s="206"/>
    </row>
    <row r="146" spans="1:18">
      <c r="C146" s="206"/>
      <c r="D146" s="206"/>
      <c r="E146" s="206"/>
      <c r="F146" s="206"/>
      <c r="G146" s="206"/>
      <c r="H146" s="206"/>
      <c r="I146" s="206"/>
      <c r="J146" s="206"/>
      <c r="K146" s="206"/>
      <c r="L146" s="206"/>
      <c r="M146" s="206"/>
      <c r="N146" s="206"/>
      <c r="O146" s="206"/>
      <c r="P146" s="206"/>
      <c r="Q146" s="206"/>
      <c r="R146" s="206"/>
    </row>
    <row r="147" spans="1:18">
      <c r="A147" s="194" t="s">
        <v>59</v>
      </c>
      <c r="B147" s="194"/>
      <c r="C147" s="242" t="e">
        <f t="shared" ref="C147:O147" si="151">SUM(C113,C118,C124,C129,C133,C136,C138,C145)</f>
        <v>#NAME?</v>
      </c>
      <c r="D147" s="242" t="e">
        <f t="shared" si="151"/>
        <v>#NAME?</v>
      </c>
      <c r="E147" s="242" t="e">
        <f t="shared" si="151"/>
        <v>#NAME?</v>
      </c>
      <c r="F147" s="242" t="e">
        <f t="shared" si="151"/>
        <v>#NAME?</v>
      </c>
      <c r="G147" s="242" t="e">
        <f t="shared" si="151"/>
        <v>#NAME?</v>
      </c>
      <c r="H147" s="242" t="e">
        <f t="shared" si="151"/>
        <v>#NAME?</v>
      </c>
      <c r="I147" s="242" t="e">
        <f t="shared" si="151"/>
        <v>#NAME?</v>
      </c>
      <c r="J147" s="242" t="e">
        <f t="shared" si="151"/>
        <v>#NAME?</v>
      </c>
      <c r="K147" s="242" t="e">
        <f t="shared" si="151"/>
        <v>#NAME?</v>
      </c>
      <c r="L147" s="242" t="e">
        <f t="shared" si="151"/>
        <v>#NAME?</v>
      </c>
      <c r="M147" s="242" t="e">
        <f t="shared" si="151"/>
        <v>#NAME?</v>
      </c>
      <c r="N147" s="242" t="e">
        <f t="shared" si="151"/>
        <v>#NAME?</v>
      </c>
      <c r="O147" s="242" t="e">
        <f t="shared" si="151"/>
        <v>#NAME?</v>
      </c>
      <c r="P147" s="206"/>
      <c r="Q147" s="213"/>
      <c r="R147" s="206"/>
    </row>
    <row r="148" spans="1:18" ht="15">
      <c r="B148" s="212"/>
      <c r="C148" s="208"/>
      <c r="D148" s="208"/>
      <c r="E148" s="208"/>
      <c r="F148" s="208"/>
      <c r="G148" s="208"/>
      <c r="H148" s="208"/>
      <c r="I148" s="208"/>
      <c r="J148" s="208"/>
      <c r="K148" s="208"/>
      <c r="L148" s="208"/>
      <c r="M148" s="208"/>
      <c r="N148" s="208"/>
      <c r="O148" s="208"/>
      <c r="P148" s="206"/>
      <c r="Q148" s="206"/>
      <c r="R148" s="206"/>
    </row>
    <row r="149" spans="1:18">
      <c r="B149" s="212"/>
      <c r="C149" s="206"/>
      <c r="D149" s="206"/>
      <c r="E149" s="206"/>
      <c r="F149" s="206"/>
      <c r="G149" s="206"/>
      <c r="H149" s="206"/>
      <c r="I149" s="206"/>
      <c r="J149" s="206"/>
      <c r="K149" s="206"/>
      <c r="L149" s="206"/>
      <c r="M149" s="206"/>
      <c r="N149" s="206"/>
      <c r="O149" s="206"/>
      <c r="P149" s="206"/>
      <c r="Q149" s="206"/>
      <c r="R149" s="206"/>
    </row>
    <row r="150" spans="1:18">
      <c r="B150" s="194"/>
      <c r="C150" s="206"/>
      <c r="D150" s="206"/>
      <c r="E150" s="206"/>
      <c r="F150" s="206"/>
      <c r="G150" s="206"/>
      <c r="H150" s="206"/>
      <c r="I150" s="206"/>
      <c r="J150" s="206"/>
      <c r="K150" s="206"/>
      <c r="L150" s="206"/>
      <c r="M150" s="206"/>
      <c r="N150" s="206"/>
      <c r="O150" s="206"/>
      <c r="P150" s="206"/>
      <c r="Q150" s="206"/>
      <c r="R150" s="206"/>
    </row>
    <row r="151" spans="1:18">
      <c r="A151" s="210"/>
      <c r="B151" s="194"/>
      <c r="C151" s="206"/>
      <c r="D151" s="206"/>
      <c r="E151" s="206"/>
      <c r="F151" s="206"/>
      <c r="G151" s="206"/>
      <c r="H151" s="206"/>
      <c r="I151" s="206"/>
      <c r="J151" s="206"/>
      <c r="K151" s="206"/>
      <c r="L151" s="206"/>
      <c r="M151" s="206"/>
      <c r="N151" s="206"/>
      <c r="O151" s="206"/>
      <c r="P151" s="206"/>
      <c r="Q151" s="206"/>
      <c r="R151" s="206"/>
    </row>
    <row r="152" spans="1:18">
      <c r="A152" s="210"/>
      <c r="B152" s="194"/>
      <c r="C152" s="206"/>
      <c r="D152" s="206"/>
      <c r="E152" s="206"/>
      <c r="F152" s="206"/>
      <c r="G152" s="206"/>
      <c r="H152" s="206"/>
      <c r="I152" s="206"/>
      <c r="J152" s="206"/>
      <c r="K152" s="206"/>
      <c r="L152" s="206"/>
      <c r="M152" s="206"/>
      <c r="N152" s="206"/>
      <c r="O152" s="206"/>
      <c r="P152" s="206"/>
      <c r="Q152" s="206"/>
      <c r="R152" s="206"/>
    </row>
    <row r="153" spans="1:18">
      <c r="A153" s="210"/>
      <c r="B153" s="195"/>
      <c r="C153" s="206"/>
      <c r="D153" s="206"/>
      <c r="E153" s="206"/>
      <c r="F153" s="206"/>
      <c r="G153" s="206"/>
      <c r="H153" s="206"/>
      <c r="I153" s="206"/>
      <c r="J153" s="206"/>
      <c r="K153" s="206"/>
      <c r="L153" s="206"/>
      <c r="M153" s="206"/>
      <c r="N153" s="206"/>
      <c r="O153" s="206"/>
      <c r="P153" s="206"/>
      <c r="Q153" s="206"/>
      <c r="R153" s="206"/>
    </row>
    <row r="154" spans="1:18">
      <c r="A154" s="211"/>
      <c r="B154" s="194"/>
      <c r="C154" s="206"/>
      <c r="D154" s="206"/>
      <c r="E154" s="206"/>
      <c r="F154" s="206"/>
      <c r="G154" s="206"/>
      <c r="H154" s="206"/>
      <c r="I154" s="206"/>
      <c r="J154" s="206"/>
      <c r="K154" s="206"/>
      <c r="L154" s="206"/>
      <c r="M154" s="206"/>
      <c r="N154" s="206"/>
      <c r="O154" s="206"/>
      <c r="P154" s="206"/>
      <c r="Q154" s="206"/>
      <c r="R154" s="206"/>
    </row>
    <row r="155" spans="1:18">
      <c r="A155" s="210"/>
      <c r="B155" s="194"/>
      <c r="C155" s="206"/>
      <c r="D155" s="206"/>
      <c r="E155" s="206"/>
      <c r="F155" s="206"/>
      <c r="G155" s="206"/>
      <c r="H155" s="206"/>
      <c r="I155" s="206"/>
      <c r="J155" s="206"/>
      <c r="K155" s="206"/>
      <c r="L155" s="206"/>
      <c r="M155" s="206"/>
      <c r="N155" s="206"/>
      <c r="O155" s="206"/>
      <c r="P155" s="206"/>
      <c r="Q155" s="206"/>
      <c r="R155" s="206"/>
    </row>
    <row r="156" spans="1:18" ht="15">
      <c r="A156" s="211"/>
      <c r="B156" s="194"/>
      <c r="C156" s="208"/>
      <c r="D156" s="208"/>
      <c r="E156" s="208"/>
      <c r="F156" s="208"/>
      <c r="G156" s="208"/>
      <c r="H156" s="208"/>
      <c r="I156" s="208"/>
      <c r="J156" s="208"/>
      <c r="K156" s="208"/>
      <c r="L156" s="208"/>
      <c r="M156" s="208"/>
      <c r="N156" s="208"/>
      <c r="O156" s="208"/>
      <c r="P156" s="206"/>
      <c r="Q156" s="206"/>
      <c r="R156" s="206"/>
    </row>
    <row r="157" spans="1:18">
      <c r="C157" s="206"/>
      <c r="D157" s="206"/>
      <c r="E157" s="206"/>
      <c r="F157" s="206"/>
      <c r="G157" s="206"/>
      <c r="H157" s="206"/>
      <c r="I157" s="206"/>
      <c r="J157" s="206"/>
      <c r="K157" s="206"/>
      <c r="L157" s="206"/>
      <c r="M157" s="206"/>
      <c r="N157" s="206"/>
      <c r="O157" s="206"/>
      <c r="P157" s="206"/>
      <c r="Q157" s="206"/>
      <c r="R157" s="206"/>
    </row>
    <row r="158" spans="1:18">
      <c r="C158" s="206"/>
      <c r="D158" s="206"/>
      <c r="E158" s="206"/>
      <c r="F158" s="206"/>
      <c r="G158" s="206"/>
      <c r="H158" s="206"/>
      <c r="I158" s="206"/>
      <c r="J158" s="206"/>
      <c r="K158" s="206"/>
      <c r="L158" s="206"/>
      <c r="M158" s="206"/>
      <c r="N158" s="206"/>
      <c r="O158" s="206"/>
      <c r="P158" s="206"/>
      <c r="Q158" s="206"/>
      <c r="R158" s="206"/>
    </row>
    <row r="159" spans="1:18">
      <c r="A159" s="194"/>
      <c r="B159" s="195"/>
      <c r="C159" s="206"/>
      <c r="D159" s="206"/>
      <c r="E159" s="206"/>
      <c r="F159" s="206"/>
      <c r="G159" s="206"/>
      <c r="H159" s="206"/>
      <c r="I159" s="206"/>
      <c r="J159" s="206"/>
      <c r="K159" s="206"/>
      <c r="L159" s="206"/>
      <c r="M159" s="206"/>
      <c r="N159" s="206"/>
      <c r="O159" s="206"/>
      <c r="P159" s="206"/>
      <c r="Q159" s="206"/>
      <c r="R159" s="206"/>
    </row>
    <row r="160" spans="1:18">
      <c r="A160" s="194"/>
      <c r="B160" s="194"/>
      <c r="C160" s="206"/>
      <c r="D160" s="206"/>
      <c r="E160" s="206"/>
      <c r="F160" s="206"/>
      <c r="G160" s="206"/>
      <c r="H160" s="206"/>
      <c r="I160" s="206"/>
      <c r="J160" s="206"/>
      <c r="K160" s="206"/>
      <c r="L160" s="206"/>
      <c r="M160" s="206"/>
      <c r="N160" s="206"/>
      <c r="O160" s="206"/>
      <c r="P160" s="206"/>
      <c r="Q160" s="206"/>
      <c r="R160" s="206"/>
    </row>
    <row r="161" spans="1:18">
      <c r="A161" s="194"/>
      <c r="B161" s="194"/>
      <c r="C161" s="206"/>
      <c r="D161" s="206"/>
      <c r="E161" s="206"/>
      <c r="F161" s="206"/>
      <c r="G161" s="206"/>
      <c r="H161" s="206"/>
      <c r="I161" s="206"/>
      <c r="J161" s="206"/>
      <c r="K161" s="206"/>
      <c r="L161" s="206"/>
      <c r="M161" s="206"/>
      <c r="N161" s="206"/>
      <c r="O161" s="206"/>
      <c r="P161" s="206"/>
      <c r="Q161" s="206"/>
      <c r="R161" s="206"/>
    </row>
    <row r="162" spans="1:18">
      <c r="A162" s="194"/>
      <c r="B162" s="194"/>
      <c r="C162" s="206"/>
      <c r="D162" s="206"/>
      <c r="E162" s="206"/>
      <c r="F162" s="206"/>
      <c r="G162" s="206"/>
      <c r="H162" s="206"/>
      <c r="I162" s="206"/>
      <c r="J162" s="206"/>
      <c r="K162" s="206"/>
      <c r="L162" s="206"/>
      <c r="M162" s="206"/>
      <c r="N162" s="206"/>
      <c r="O162" s="206"/>
      <c r="P162" s="206"/>
      <c r="Q162" s="206"/>
      <c r="R162" s="206"/>
    </row>
    <row r="163" spans="1:18">
      <c r="A163" s="194"/>
      <c r="B163" s="194"/>
      <c r="C163" s="213"/>
      <c r="D163" s="213"/>
      <c r="E163" s="213"/>
      <c r="F163" s="213"/>
      <c r="G163" s="213"/>
      <c r="H163" s="213"/>
      <c r="I163" s="213"/>
      <c r="J163" s="213"/>
      <c r="K163" s="213"/>
      <c r="L163" s="213"/>
      <c r="M163" s="213"/>
      <c r="N163" s="213"/>
      <c r="O163" s="213"/>
      <c r="P163" s="206"/>
      <c r="Q163" s="206"/>
      <c r="R163" s="206"/>
    </row>
    <row r="164" spans="1:18">
      <c r="A164" s="194"/>
      <c r="B164" s="194"/>
      <c r="C164" s="206"/>
      <c r="D164" s="206"/>
      <c r="E164" s="206"/>
      <c r="F164" s="206"/>
      <c r="G164" s="206"/>
      <c r="H164" s="206"/>
      <c r="I164" s="206"/>
      <c r="J164" s="206"/>
      <c r="K164" s="206"/>
      <c r="L164" s="206"/>
      <c r="M164" s="206"/>
      <c r="N164" s="206"/>
      <c r="O164" s="206"/>
      <c r="P164" s="206"/>
      <c r="Q164" s="206"/>
      <c r="R164" s="206"/>
    </row>
    <row r="165" spans="1:18">
      <c r="A165" s="194"/>
      <c r="B165" s="194"/>
      <c r="C165" s="206"/>
      <c r="D165" s="206"/>
      <c r="E165" s="206"/>
      <c r="F165" s="206"/>
      <c r="G165" s="206"/>
      <c r="H165" s="206"/>
      <c r="I165" s="206"/>
      <c r="J165" s="206"/>
      <c r="K165" s="206"/>
      <c r="L165" s="206"/>
      <c r="M165" s="206"/>
      <c r="N165" s="206"/>
      <c r="O165" s="206"/>
      <c r="P165" s="206"/>
      <c r="Q165" s="206"/>
      <c r="R165" s="206"/>
    </row>
    <row r="166" spans="1:18">
      <c r="C166" s="213"/>
      <c r="D166" s="213"/>
      <c r="E166" s="213"/>
      <c r="F166" s="213"/>
      <c r="G166" s="213"/>
      <c r="H166" s="213"/>
      <c r="I166" s="213"/>
      <c r="J166" s="213"/>
      <c r="K166" s="213"/>
      <c r="L166" s="213"/>
      <c r="M166" s="213"/>
      <c r="N166" s="213"/>
      <c r="O166" s="213"/>
      <c r="P166" s="206"/>
      <c r="Q166" s="213"/>
      <c r="R166" s="206"/>
    </row>
    <row r="167" spans="1:18">
      <c r="C167" s="206"/>
      <c r="D167" s="206"/>
      <c r="E167" s="206"/>
      <c r="F167" s="206"/>
      <c r="G167" s="206"/>
      <c r="H167" s="206"/>
      <c r="I167" s="206"/>
      <c r="J167" s="206"/>
      <c r="K167" s="206"/>
      <c r="L167" s="206"/>
      <c r="M167" s="206"/>
      <c r="N167" s="206"/>
      <c r="O167" s="206"/>
      <c r="P167" s="206"/>
      <c r="Q167" s="206"/>
      <c r="R167" s="206"/>
    </row>
    <row r="168" spans="1:18">
      <c r="C168" s="206"/>
      <c r="D168" s="206"/>
      <c r="E168" s="206"/>
      <c r="F168" s="206"/>
      <c r="G168" s="206"/>
      <c r="H168" s="206"/>
      <c r="I168" s="206"/>
      <c r="J168" s="206"/>
      <c r="K168" s="206"/>
      <c r="L168" s="206"/>
      <c r="M168" s="206"/>
      <c r="N168" s="206"/>
      <c r="O168" s="206"/>
      <c r="P168" s="206"/>
      <c r="Q168" s="206"/>
      <c r="R168" s="206"/>
    </row>
    <row r="169" spans="1:18">
      <c r="C169" s="206"/>
      <c r="D169" s="206"/>
      <c r="E169" s="206"/>
      <c r="F169" s="206"/>
      <c r="G169" s="206"/>
      <c r="H169" s="206"/>
      <c r="I169" s="206"/>
      <c r="J169" s="206"/>
      <c r="K169" s="206"/>
      <c r="L169" s="206"/>
      <c r="M169" s="206"/>
      <c r="N169" s="206"/>
      <c r="O169" s="206"/>
      <c r="P169" s="206"/>
      <c r="Q169" s="206"/>
      <c r="R169" s="206"/>
    </row>
    <row r="170" spans="1:18">
      <c r="C170" s="206"/>
      <c r="D170" s="206"/>
      <c r="E170" s="206"/>
      <c r="F170" s="206"/>
      <c r="G170" s="206"/>
      <c r="H170" s="206"/>
      <c r="I170" s="206"/>
      <c r="J170" s="206"/>
      <c r="K170" s="206"/>
      <c r="L170" s="206"/>
      <c r="M170" s="206"/>
      <c r="N170" s="206"/>
      <c r="O170" s="206"/>
      <c r="P170" s="206"/>
      <c r="Q170" s="206"/>
      <c r="R170" s="206"/>
    </row>
    <row r="171" spans="1:18">
      <c r="C171" s="206"/>
      <c r="D171" s="206"/>
      <c r="E171" s="206"/>
      <c r="F171" s="206"/>
      <c r="G171" s="206"/>
      <c r="H171" s="206"/>
      <c r="I171" s="206"/>
      <c r="J171" s="206"/>
      <c r="K171" s="206"/>
      <c r="L171" s="206"/>
      <c r="M171" s="206"/>
      <c r="N171" s="206"/>
      <c r="O171" s="206"/>
      <c r="P171" s="206"/>
      <c r="Q171" s="206"/>
      <c r="R171" s="206"/>
    </row>
    <row r="172" spans="1:18">
      <c r="C172" s="206"/>
      <c r="D172" s="206"/>
      <c r="E172" s="206"/>
      <c r="F172" s="206"/>
      <c r="G172" s="206"/>
      <c r="H172" s="206"/>
      <c r="I172" s="206"/>
      <c r="J172" s="206"/>
      <c r="K172" s="206"/>
      <c r="L172" s="206"/>
      <c r="M172" s="206"/>
      <c r="N172" s="206"/>
      <c r="O172" s="206"/>
      <c r="P172" s="206"/>
      <c r="Q172" s="206"/>
      <c r="R172" s="206"/>
    </row>
    <row r="173" spans="1:18">
      <c r="C173" s="206"/>
      <c r="D173" s="206"/>
      <c r="E173" s="206"/>
      <c r="F173" s="206"/>
      <c r="G173" s="206"/>
      <c r="H173" s="206"/>
      <c r="I173" s="206"/>
      <c r="J173" s="206"/>
      <c r="K173" s="206"/>
      <c r="L173" s="206"/>
      <c r="M173" s="206"/>
      <c r="N173" s="206"/>
      <c r="O173" s="206"/>
      <c r="P173" s="206"/>
      <c r="Q173" s="206"/>
      <c r="R173" s="206"/>
    </row>
    <row r="174" spans="1:18">
      <c r="C174" s="206"/>
      <c r="D174" s="206"/>
      <c r="E174" s="206"/>
      <c r="F174" s="206"/>
      <c r="G174" s="206"/>
      <c r="H174" s="206"/>
      <c r="I174" s="206"/>
      <c r="J174" s="206"/>
      <c r="K174" s="206"/>
      <c r="L174" s="206"/>
      <c r="M174" s="206"/>
      <c r="N174" s="206"/>
      <c r="O174" s="206"/>
      <c r="P174" s="206"/>
      <c r="Q174" s="206"/>
      <c r="R174" s="206"/>
    </row>
    <row r="175" spans="1:18">
      <c r="C175" s="206"/>
      <c r="D175" s="206"/>
      <c r="E175" s="206"/>
      <c r="F175" s="206"/>
      <c r="G175" s="206"/>
      <c r="H175" s="206"/>
      <c r="I175" s="206"/>
      <c r="J175" s="206"/>
      <c r="K175" s="206"/>
      <c r="L175" s="206"/>
      <c r="M175" s="206"/>
      <c r="N175" s="206"/>
      <c r="O175" s="206"/>
      <c r="P175" s="206"/>
      <c r="Q175" s="206"/>
      <c r="R175" s="206"/>
    </row>
    <row r="176" spans="1:18">
      <c r="C176" s="206"/>
      <c r="D176" s="206"/>
      <c r="E176" s="206"/>
      <c r="F176" s="206"/>
      <c r="G176" s="206"/>
      <c r="H176" s="206"/>
      <c r="I176" s="206"/>
      <c r="J176" s="206"/>
      <c r="K176" s="206"/>
      <c r="L176" s="206"/>
      <c r="M176" s="206"/>
      <c r="N176" s="206"/>
      <c r="O176" s="206"/>
      <c r="P176" s="206"/>
      <c r="Q176" s="206"/>
      <c r="R176" s="206"/>
    </row>
    <row r="177" spans="3:18">
      <c r="C177" s="206"/>
      <c r="D177" s="206"/>
      <c r="E177" s="206"/>
      <c r="F177" s="206"/>
      <c r="G177" s="206"/>
      <c r="H177" s="206"/>
      <c r="I177" s="206"/>
      <c r="J177" s="206"/>
      <c r="K177" s="206"/>
      <c r="L177" s="206"/>
      <c r="M177" s="206"/>
      <c r="N177" s="206"/>
      <c r="O177" s="206"/>
      <c r="P177" s="206"/>
      <c r="Q177" s="206"/>
      <c r="R177" s="206"/>
    </row>
    <row r="178" spans="3:18">
      <c r="C178" s="206"/>
      <c r="D178" s="206"/>
      <c r="E178" s="206"/>
      <c r="F178" s="206"/>
      <c r="G178" s="206"/>
      <c r="H178" s="206"/>
      <c r="I178" s="206"/>
      <c r="J178" s="206"/>
      <c r="K178" s="206"/>
      <c r="L178" s="206"/>
      <c r="M178" s="206"/>
      <c r="N178" s="206"/>
      <c r="O178" s="206"/>
      <c r="P178" s="206"/>
      <c r="Q178" s="206"/>
      <c r="R178" s="206"/>
    </row>
    <row r="179" spans="3:18">
      <c r="C179" s="206"/>
      <c r="D179" s="206"/>
      <c r="E179" s="206"/>
      <c r="F179" s="206"/>
      <c r="G179" s="206"/>
      <c r="H179" s="206"/>
      <c r="I179" s="206"/>
      <c r="J179" s="206"/>
      <c r="K179" s="206"/>
      <c r="L179" s="206"/>
      <c r="M179" s="206"/>
      <c r="N179" s="206"/>
      <c r="O179" s="206"/>
      <c r="P179" s="206"/>
      <c r="Q179" s="206"/>
      <c r="R179" s="206"/>
    </row>
    <row r="180" spans="3:18">
      <c r="C180" s="206"/>
      <c r="D180" s="206"/>
      <c r="E180" s="206"/>
      <c r="F180" s="206"/>
      <c r="G180" s="206"/>
      <c r="H180" s="206"/>
      <c r="I180" s="206"/>
      <c r="J180" s="206"/>
      <c r="K180" s="206"/>
      <c r="L180" s="206"/>
      <c r="M180" s="206"/>
      <c r="N180" s="206"/>
      <c r="O180" s="206"/>
      <c r="P180" s="206"/>
      <c r="Q180" s="206"/>
      <c r="R180" s="206"/>
    </row>
    <row r="181" spans="3:18">
      <c r="C181" s="206"/>
      <c r="D181" s="206"/>
      <c r="E181" s="206"/>
      <c r="F181" s="206"/>
      <c r="G181" s="206"/>
      <c r="H181" s="206"/>
      <c r="I181" s="206"/>
      <c r="J181" s="206"/>
      <c r="K181" s="206"/>
      <c r="L181" s="206"/>
      <c r="M181" s="206"/>
      <c r="N181" s="206"/>
      <c r="O181" s="206"/>
      <c r="P181" s="206"/>
      <c r="Q181" s="206"/>
      <c r="R181" s="206"/>
    </row>
    <row r="182" spans="3:18">
      <c r="C182" s="206"/>
      <c r="D182" s="206"/>
      <c r="E182" s="206"/>
      <c r="F182" s="206"/>
      <c r="G182" s="206"/>
      <c r="H182" s="206"/>
      <c r="I182" s="206"/>
      <c r="J182" s="206"/>
      <c r="K182" s="206"/>
      <c r="L182" s="206"/>
      <c r="M182" s="206"/>
      <c r="N182" s="206"/>
      <c r="O182" s="206"/>
      <c r="P182" s="206"/>
      <c r="Q182" s="206"/>
      <c r="R182" s="206"/>
    </row>
    <row r="183" spans="3:18">
      <c r="C183" s="206"/>
      <c r="D183" s="206"/>
      <c r="E183" s="206"/>
      <c r="F183" s="206"/>
      <c r="G183" s="206"/>
      <c r="H183" s="206"/>
      <c r="I183" s="206"/>
      <c r="J183" s="206"/>
      <c r="K183" s="206"/>
      <c r="L183" s="206"/>
      <c r="M183" s="206"/>
      <c r="N183" s="206"/>
      <c r="O183" s="206"/>
      <c r="P183" s="206"/>
      <c r="Q183" s="206"/>
      <c r="R183" s="206"/>
    </row>
    <row r="184" spans="3:18">
      <c r="C184" s="206"/>
      <c r="D184" s="206"/>
      <c r="E184" s="206"/>
      <c r="F184" s="206"/>
      <c r="G184" s="206"/>
      <c r="H184" s="206"/>
      <c r="I184" s="206"/>
      <c r="J184" s="206"/>
      <c r="K184" s="206"/>
      <c r="L184" s="206"/>
      <c r="M184" s="206"/>
      <c r="N184" s="206"/>
      <c r="O184" s="206"/>
      <c r="P184" s="206"/>
      <c r="Q184" s="206"/>
      <c r="R184" s="206"/>
    </row>
    <row r="185" spans="3:18">
      <c r="C185" s="206"/>
      <c r="D185" s="206"/>
      <c r="E185" s="206"/>
      <c r="F185" s="206"/>
      <c r="G185" s="206"/>
      <c r="H185" s="206"/>
      <c r="I185" s="206"/>
      <c r="J185" s="206"/>
      <c r="K185" s="206"/>
      <c r="L185" s="206"/>
      <c r="M185" s="206"/>
      <c r="N185" s="206"/>
      <c r="O185" s="206"/>
      <c r="P185" s="206"/>
      <c r="Q185" s="206"/>
      <c r="R185" s="206"/>
    </row>
    <row r="186" spans="3:18">
      <c r="C186" s="206"/>
      <c r="D186" s="206"/>
      <c r="E186" s="206"/>
      <c r="F186" s="206"/>
      <c r="G186" s="206"/>
      <c r="H186" s="206"/>
      <c r="I186" s="206"/>
      <c r="J186" s="206"/>
      <c r="K186" s="206"/>
      <c r="L186" s="206"/>
      <c r="M186" s="206"/>
      <c r="N186" s="206"/>
      <c r="O186" s="206"/>
      <c r="P186" s="206"/>
      <c r="Q186" s="206"/>
      <c r="R186" s="206"/>
    </row>
    <row r="187" spans="3:18">
      <c r="C187" s="206"/>
      <c r="D187" s="206"/>
      <c r="E187" s="206"/>
      <c r="F187" s="206"/>
      <c r="G187" s="206"/>
      <c r="H187" s="206"/>
      <c r="I187" s="206"/>
      <c r="J187" s="206"/>
      <c r="K187" s="206"/>
      <c r="L187" s="206"/>
      <c r="M187" s="206"/>
      <c r="N187" s="206"/>
      <c r="O187" s="206"/>
      <c r="P187" s="206"/>
      <c r="Q187" s="206"/>
      <c r="R187" s="206"/>
    </row>
    <row r="188" spans="3:18">
      <c r="C188" s="206"/>
      <c r="D188" s="206"/>
      <c r="E188" s="206"/>
      <c r="F188" s="206"/>
      <c r="G188" s="206"/>
      <c r="H188" s="206"/>
      <c r="I188" s="206"/>
      <c r="J188" s="206"/>
      <c r="K188" s="206"/>
      <c r="L188" s="206"/>
      <c r="M188" s="206"/>
      <c r="N188" s="206"/>
      <c r="O188" s="206"/>
      <c r="P188" s="206"/>
      <c r="Q188" s="206"/>
      <c r="R188" s="206"/>
    </row>
    <row r="189" spans="3:18">
      <c r="C189" s="206"/>
      <c r="D189" s="206"/>
      <c r="E189" s="206"/>
      <c r="F189" s="206"/>
      <c r="G189" s="206"/>
      <c r="H189" s="206"/>
      <c r="I189" s="206"/>
      <c r="J189" s="206"/>
      <c r="K189" s="206"/>
      <c r="L189" s="206"/>
      <c r="M189" s="206"/>
      <c r="N189" s="206"/>
      <c r="O189" s="206"/>
      <c r="P189" s="206"/>
      <c r="Q189" s="206"/>
      <c r="R189" s="206"/>
    </row>
    <row r="190" spans="3:18">
      <c r="C190" s="206"/>
      <c r="D190" s="206"/>
      <c r="E190" s="206"/>
      <c r="F190" s="206"/>
      <c r="G190" s="206"/>
      <c r="H190" s="206"/>
      <c r="I190" s="206"/>
      <c r="J190" s="206"/>
      <c r="K190" s="206"/>
      <c r="L190" s="206"/>
      <c r="M190" s="206"/>
      <c r="N190" s="206"/>
      <c r="O190" s="206"/>
      <c r="P190" s="206"/>
      <c r="Q190" s="206"/>
      <c r="R190" s="206"/>
    </row>
    <row r="191" spans="3:18">
      <c r="C191" s="206"/>
      <c r="D191" s="206"/>
      <c r="E191" s="206"/>
      <c r="F191" s="206"/>
      <c r="G191" s="206"/>
      <c r="H191" s="206"/>
      <c r="I191" s="206"/>
      <c r="J191" s="206"/>
      <c r="K191" s="206"/>
      <c r="L191" s="206"/>
      <c r="M191" s="206"/>
      <c r="N191" s="206"/>
      <c r="O191" s="206"/>
      <c r="P191" s="206"/>
      <c r="Q191" s="206"/>
      <c r="R191" s="206"/>
    </row>
    <row r="192" spans="3:18">
      <c r="C192" s="206"/>
      <c r="D192" s="206"/>
      <c r="E192" s="206"/>
      <c r="F192" s="206"/>
      <c r="G192" s="206"/>
      <c r="H192" s="206"/>
      <c r="I192" s="206"/>
      <c r="J192" s="206"/>
      <c r="K192" s="206"/>
      <c r="L192" s="206"/>
      <c r="M192" s="206"/>
      <c r="N192" s="206"/>
      <c r="O192" s="206"/>
      <c r="P192" s="206"/>
      <c r="Q192" s="206"/>
      <c r="R192" s="206"/>
    </row>
    <row r="193" spans="3:18">
      <c r="C193" s="206"/>
      <c r="D193" s="206"/>
      <c r="E193" s="206"/>
      <c r="F193" s="206"/>
      <c r="G193" s="206"/>
      <c r="H193" s="206"/>
      <c r="I193" s="206"/>
      <c r="J193" s="206"/>
      <c r="K193" s="206"/>
      <c r="L193" s="206"/>
      <c r="M193" s="206"/>
      <c r="N193" s="206"/>
      <c r="O193" s="206"/>
      <c r="P193" s="206"/>
      <c r="Q193" s="206"/>
      <c r="R193" s="206"/>
    </row>
    <row r="194" spans="3:18">
      <c r="C194" s="206"/>
      <c r="D194" s="206"/>
      <c r="E194" s="206"/>
      <c r="F194" s="206"/>
      <c r="G194" s="206"/>
      <c r="H194" s="206"/>
      <c r="I194" s="206"/>
      <c r="J194" s="206"/>
      <c r="K194" s="206"/>
      <c r="L194" s="206"/>
      <c r="M194" s="206"/>
      <c r="N194" s="206"/>
      <c r="O194" s="206"/>
      <c r="P194" s="206"/>
      <c r="Q194" s="206"/>
      <c r="R194" s="206"/>
    </row>
    <row r="195" spans="3:18">
      <c r="C195" s="206"/>
      <c r="D195" s="206"/>
      <c r="E195" s="206"/>
      <c r="F195" s="206"/>
      <c r="G195" s="206"/>
      <c r="H195" s="206"/>
      <c r="I195" s="206"/>
      <c r="J195" s="206"/>
      <c r="K195" s="206"/>
      <c r="L195" s="206"/>
      <c r="M195" s="206"/>
      <c r="N195" s="206"/>
      <c r="O195" s="206"/>
      <c r="P195" s="206"/>
      <c r="Q195" s="206"/>
      <c r="R195" s="206"/>
    </row>
    <row r="196" spans="3:18">
      <c r="C196" s="206"/>
      <c r="D196" s="206"/>
      <c r="E196" s="206"/>
      <c r="F196" s="206"/>
      <c r="G196" s="206"/>
      <c r="H196" s="206"/>
      <c r="I196" s="206"/>
      <c r="J196" s="206"/>
      <c r="K196" s="206"/>
      <c r="L196" s="206"/>
      <c r="M196" s="206"/>
      <c r="N196" s="206"/>
      <c r="O196" s="206"/>
      <c r="P196" s="206"/>
      <c r="Q196" s="206"/>
      <c r="R196" s="206"/>
    </row>
    <row r="197" spans="3:18">
      <c r="C197" s="206"/>
      <c r="D197" s="206"/>
      <c r="E197" s="206"/>
      <c r="F197" s="206"/>
      <c r="G197" s="206"/>
      <c r="H197" s="206"/>
      <c r="I197" s="206"/>
      <c r="J197" s="206"/>
      <c r="K197" s="206"/>
      <c r="L197" s="206"/>
      <c r="M197" s="206"/>
      <c r="N197" s="206"/>
      <c r="O197" s="206"/>
      <c r="P197" s="206"/>
      <c r="Q197" s="206"/>
      <c r="R197" s="206"/>
    </row>
    <row r="198" spans="3:18">
      <c r="C198" s="206"/>
      <c r="D198" s="206"/>
      <c r="E198" s="206"/>
      <c r="F198" s="206"/>
      <c r="G198" s="206"/>
      <c r="H198" s="206"/>
      <c r="I198" s="206"/>
      <c r="J198" s="206"/>
      <c r="K198" s="206"/>
      <c r="L198" s="206"/>
      <c r="M198" s="206"/>
      <c r="N198" s="206"/>
      <c r="O198" s="206"/>
      <c r="P198" s="206"/>
      <c r="Q198" s="206"/>
      <c r="R198" s="206"/>
    </row>
    <row r="199" spans="3:18">
      <c r="C199" s="206"/>
      <c r="D199" s="206"/>
      <c r="E199" s="206"/>
      <c r="F199" s="206"/>
      <c r="G199" s="206"/>
      <c r="H199" s="206"/>
      <c r="I199" s="206"/>
      <c r="J199" s="206"/>
      <c r="K199" s="206"/>
      <c r="L199" s="206"/>
      <c r="M199" s="206"/>
      <c r="N199" s="206"/>
      <c r="O199" s="206"/>
      <c r="P199" s="206"/>
      <c r="Q199" s="206"/>
      <c r="R199" s="206"/>
    </row>
    <row r="200" spans="3:18">
      <c r="C200" s="206"/>
      <c r="D200" s="206"/>
      <c r="E200" s="206"/>
      <c r="F200" s="206"/>
      <c r="G200" s="206"/>
      <c r="H200" s="206"/>
      <c r="I200" s="206"/>
      <c r="J200" s="206"/>
      <c r="K200" s="206"/>
      <c r="L200" s="206"/>
      <c r="M200" s="206"/>
      <c r="N200" s="206"/>
      <c r="O200" s="206"/>
      <c r="P200" s="206"/>
      <c r="Q200" s="206"/>
      <c r="R200" s="206"/>
    </row>
    <row r="201" spans="3:18">
      <c r="C201" s="206"/>
      <c r="D201" s="206"/>
      <c r="E201" s="206"/>
      <c r="F201" s="206"/>
      <c r="G201" s="206"/>
      <c r="H201" s="206"/>
      <c r="I201" s="206"/>
      <c r="J201" s="206"/>
      <c r="K201" s="206"/>
      <c r="L201" s="206"/>
      <c r="M201" s="206"/>
      <c r="N201" s="206"/>
      <c r="O201" s="206"/>
      <c r="P201" s="206"/>
      <c r="Q201" s="206"/>
      <c r="R201" s="206"/>
    </row>
    <row r="202" spans="3:18">
      <c r="C202" s="206"/>
      <c r="D202" s="206"/>
      <c r="E202" s="206"/>
      <c r="F202" s="206"/>
      <c r="G202" s="206"/>
      <c r="H202" s="206"/>
      <c r="I202" s="206"/>
      <c r="J202" s="206"/>
      <c r="K202" s="206"/>
      <c r="L202" s="206"/>
      <c r="M202" s="206"/>
      <c r="N202" s="206"/>
      <c r="O202" s="206"/>
      <c r="P202" s="206"/>
      <c r="Q202" s="206"/>
      <c r="R202" s="206"/>
    </row>
    <row r="203" spans="3:18">
      <c r="C203" s="206"/>
      <c r="D203" s="206"/>
      <c r="E203" s="206"/>
      <c r="F203" s="206"/>
      <c r="G203" s="206"/>
      <c r="H203" s="206"/>
      <c r="I203" s="206"/>
      <c r="J203" s="206"/>
      <c r="K203" s="206"/>
      <c r="L203" s="206"/>
      <c r="M203" s="206"/>
      <c r="N203" s="206"/>
      <c r="O203" s="206"/>
      <c r="P203" s="206"/>
      <c r="Q203" s="206"/>
      <c r="R203" s="206"/>
    </row>
    <row r="204" spans="3:18">
      <c r="C204" s="206"/>
      <c r="D204" s="206"/>
      <c r="E204" s="206"/>
      <c r="F204" s="206"/>
      <c r="G204" s="206"/>
      <c r="H204" s="206"/>
      <c r="I204" s="206"/>
      <c r="J204" s="206"/>
      <c r="K204" s="206"/>
      <c r="L204" s="206"/>
      <c r="M204" s="206"/>
      <c r="N204" s="206"/>
      <c r="O204" s="206"/>
      <c r="P204" s="206"/>
      <c r="Q204" s="206"/>
      <c r="R204" s="206"/>
    </row>
    <row r="205" spans="3:18">
      <c r="C205" s="206"/>
      <c r="D205" s="206"/>
      <c r="E205" s="206"/>
      <c r="F205" s="206"/>
      <c r="G205" s="206"/>
      <c r="H205" s="206"/>
      <c r="I205" s="206"/>
      <c r="J205" s="206"/>
      <c r="K205" s="206"/>
      <c r="L205" s="206"/>
      <c r="M205" s="206"/>
      <c r="N205" s="206"/>
      <c r="O205" s="206"/>
      <c r="P205" s="206"/>
      <c r="Q205" s="206"/>
      <c r="R205" s="206"/>
    </row>
    <row r="206" spans="3:18">
      <c r="C206" s="206"/>
      <c r="D206" s="206"/>
      <c r="E206" s="206"/>
      <c r="F206" s="206"/>
      <c r="G206" s="206"/>
      <c r="H206" s="206"/>
      <c r="I206" s="206"/>
      <c r="J206" s="206"/>
      <c r="K206" s="206"/>
      <c r="L206" s="206"/>
      <c r="M206" s="206"/>
      <c r="N206" s="206"/>
      <c r="O206" s="206"/>
      <c r="P206" s="206"/>
      <c r="Q206" s="206"/>
      <c r="R206" s="206"/>
    </row>
    <row r="207" spans="3:18">
      <c r="C207" s="206"/>
      <c r="D207" s="206"/>
      <c r="E207" s="206"/>
      <c r="F207" s="206"/>
      <c r="G207" s="206"/>
      <c r="H207" s="206"/>
      <c r="I207" s="206"/>
      <c r="J207" s="206"/>
      <c r="K207" s="206"/>
      <c r="L207" s="206"/>
      <c r="M207" s="206"/>
      <c r="N207" s="206"/>
      <c r="O207" s="206"/>
      <c r="P207" s="206"/>
      <c r="Q207" s="206"/>
      <c r="R207" s="206"/>
    </row>
    <row r="208" spans="3:18">
      <c r="C208" s="206"/>
      <c r="D208" s="206"/>
      <c r="E208" s="206"/>
      <c r="F208" s="206"/>
      <c r="G208" s="206"/>
      <c r="H208" s="206"/>
      <c r="I208" s="206"/>
      <c r="J208" s="206"/>
      <c r="K208" s="206"/>
      <c r="L208" s="206"/>
      <c r="M208" s="206"/>
      <c r="N208" s="206"/>
      <c r="O208" s="206"/>
      <c r="P208" s="206"/>
      <c r="Q208" s="206"/>
      <c r="R208" s="206"/>
    </row>
    <row r="209" spans="3:18">
      <c r="C209" s="206"/>
      <c r="D209" s="206"/>
      <c r="E209" s="206"/>
      <c r="F209" s="206"/>
      <c r="G209" s="206"/>
      <c r="H209" s="206"/>
      <c r="I209" s="206"/>
      <c r="J209" s="206"/>
      <c r="K209" s="206"/>
      <c r="L209" s="206"/>
      <c r="M209" s="206"/>
      <c r="N209" s="206"/>
      <c r="O209" s="206"/>
      <c r="P209" s="206"/>
      <c r="Q209" s="206"/>
      <c r="R209" s="206"/>
    </row>
    <row r="210" spans="3:18">
      <c r="C210" s="206"/>
      <c r="D210" s="206"/>
      <c r="E210" s="206"/>
      <c r="F210" s="206"/>
      <c r="G210" s="206"/>
      <c r="H210" s="206"/>
      <c r="I210" s="206"/>
      <c r="J210" s="206"/>
      <c r="K210" s="206"/>
      <c r="L210" s="206"/>
      <c r="M210" s="206"/>
      <c r="N210" s="206"/>
      <c r="O210" s="206"/>
      <c r="P210" s="206"/>
      <c r="Q210" s="206"/>
      <c r="R210" s="206"/>
    </row>
    <row r="211" spans="3:18">
      <c r="C211" s="206"/>
      <c r="D211" s="206"/>
      <c r="E211" s="206"/>
      <c r="F211" s="206"/>
      <c r="G211" s="206"/>
      <c r="H211" s="206"/>
      <c r="I211" s="206"/>
      <c r="J211" s="206"/>
      <c r="K211" s="206"/>
      <c r="L211" s="206"/>
      <c r="M211" s="206"/>
      <c r="N211" s="206"/>
      <c r="O211" s="206"/>
      <c r="P211" s="206"/>
      <c r="Q211" s="206"/>
      <c r="R211" s="206"/>
    </row>
    <row r="212" spans="3:18">
      <c r="C212" s="206"/>
      <c r="D212" s="206"/>
      <c r="E212" s="206"/>
      <c r="F212" s="206"/>
      <c r="G212" s="206"/>
      <c r="H212" s="206"/>
      <c r="I212" s="206"/>
      <c r="J212" s="206"/>
      <c r="K212" s="206"/>
      <c r="L212" s="206"/>
      <c r="M212" s="206"/>
      <c r="N212" s="206"/>
      <c r="O212" s="206"/>
      <c r="P212" s="206"/>
      <c r="Q212" s="206"/>
      <c r="R212" s="206"/>
    </row>
    <row r="213" spans="3:18">
      <c r="C213" s="206"/>
      <c r="D213" s="206"/>
      <c r="E213" s="206"/>
      <c r="F213" s="206"/>
      <c r="G213" s="206"/>
      <c r="H213" s="206"/>
      <c r="I213" s="206"/>
      <c r="J213" s="206"/>
      <c r="K213" s="206"/>
      <c r="L213" s="206"/>
      <c r="M213" s="206"/>
      <c r="N213" s="206"/>
      <c r="O213" s="206"/>
      <c r="P213" s="206"/>
      <c r="Q213" s="206"/>
      <c r="R213" s="206"/>
    </row>
    <row r="214" spans="3:18">
      <c r="C214" s="206"/>
      <c r="D214" s="206"/>
      <c r="E214" s="206"/>
      <c r="F214" s="206"/>
      <c r="G214" s="206"/>
      <c r="H214" s="206"/>
      <c r="I214" s="206"/>
      <c r="J214" s="206"/>
      <c r="K214" s="206"/>
      <c r="L214" s="206"/>
      <c r="M214" s="206"/>
      <c r="N214" s="206"/>
      <c r="O214" s="206"/>
      <c r="P214" s="206"/>
      <c r="Q214" s="206"/>
      <c r="R214" s="206"/>
    </row>
    <row r="215" spans="3:18">
      <c r="C215" s="206"/>
      <c r="D215" s="206"/>
      <c r="E215" s="206"/>
      <c r="F215" s="206"/>
      <c r="G215" s="206"/>
      <c r="H215" s="206"/>
      <c r="I215" s="206"/>
      <c r="J215" s="206"/>
      <c r="K215" s="206"/>
      <c r="L215" s="206"/>
      <c r="M215" s="206"/>
      <c r="N215" s="206"/>
      <c r="O215" s="206"/>
      <c r="P215" s="206"/>
      <c r="Q215" s="206"/>
      <c r="R215" s="206"/>
    </row>
  </sheetData>
  <mergeCells count="3">
    <mergeCell ref="C5:N5"/>
    <mergeCell ref="C54:N54"/>
    <mergeCell ref="C107:N107"/>
  </mergeCells>
  <printOptions horizontalCentered="1"/>
  <pageMargins left="0.5" right="0.5" top="1.42" bottom="0.75" header="0.9" footer="0.3"/>
  <pageSetup scale="56" fitToHeight="3" orientation="landscape" r:id="rId1"/>
  <headerFooter scaleWithDoc="0" alignWithMargins="0">
    <oddHeader>&amp;C&amp;"Times New Roman,Bold"&amp;10KENTUCKY UTILITIES COMPANY
Adjustment to Reflect FAC Billings for a Full Year of the Roll-in
Twelve Months Ended March 31, 2012</oddHeader>
    <oddFooter>&amp;R&amp;"Times New Roman,Bold"&amp;11Conroy Exhibit P2
Page &amp;P of &amp;N</oddFooter>
  </headerFooter>
  <rowBreaks count="2" manualBreakCount="2">
    <brk id="49" max="14" man="1"/>
    <brk id="104"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A308"/>
  <sheetViews>
    <sheetView workbookViewId="0"/>
  </sheetViews>
  <sheetFormatPr defaultRowHeight="12"/>
  <cols>
    <col min="1" max="1" width="36.83203125" bestFit="1" customWidth="1"/>
    <col min="2" max="2" width="26.33203125" customWidth="1"/>
    <col min="3" max="3" width="22" customWidth="1"/>
    <col min="4" max="4" width="15.1640625" customWidth="1"/>
    <col min="5" max="5" width="14.1640625" customWidth="1"/>
    <col min="6" max="6" width="18.5" bestFit="1" customWidth="1"/>
    <col min="7" max="7" width="12.83203125" customWidth="1"/>
    <col min="8" max="8" width="16.33203125" customWidth="1"/>
    <col min="9" max="9" width="17.5" customWidth="1"/>
    <col min="10" max="10" width="14.33203125" customWidth="1"/>
    <col min="11" max="11" width="17.83203125" bestFit="1" customWidth="1"/>
    <col min="12" max="12" width="15.1640625" bestFit="1" customWidth="1"/>
    <col min="14" max="14" width="13.5" bestFit="1" customWidth="1"/>
    <col min="15" max="15" width="11.5" bestFit="1" customWidth="1"/>
    <col min="16" max="16" width="15.1640625" bestFit="1" customWidth="1"/>
    <col min="17" max="17" width="16.1640625" bestFit="1" customWidth="1"/>
    <col min="18" max="18" width="10.5" bestFit="1" customWidth="1"/>
    <col min="19" max="19" width="11.5" bestFit="1" customWidth="1"/>
    <col min="20" max="20" width="13.5" bestFit="1" customWidth="1"/>
    <col min="21" max="21" width="10.5" bestFit="1" customWidth="1"/>
    <col min="22" max="22" width="15.33203125" customWidth="1"/>
    <col min="23" max="23" width="14.5" customWidth="1"/>
    <col min="24" max="24" width="13.5" bestFit="1" customWidth="1"/>
    <col min="25" max="25" width="14.1640625" customWidth="1"/>
    <col min="26" max="26" width="18" customWidth="1"/>
    <col min="27" max="27" width="16.5" bestFit="1" customWidth="1"/>
  </cols>
  <sheetData>
    <row r="1" spans="1:27">
      <c r="A1" s="35" t="s">
        <v>870</v>
      </c>
      <c r="B1" s="35"/>
      <c r="C1" s="36">
        <v>-1</v>
      </c>
      <c r="D1" s="36">
        <f t="shared" ref="D1:K1" si="0">C1-1</f>
        <v>-2</v>
      </c>
      <c r="E1" s="36">
        <f t="shared" si="0"/>
        <v>-3</v>
      </c>
      <c r="F1" s="36">
        <f t="shared" si="0"/>
        <v>-4</v>
      </c>
      <c r="G1" s="36">
        <f t="shared" si="0"/>
        <v>-5</v>
      </c>
      <c r="H1" s="36">
        <f t="shared" si="0"/>
        <v>-6</v>
      </c>
      <c r="I1" s="36">
        <f t="shared" si="0"/>
        <v>-7</v>
      </c>
      <c r="J1" s="36">
        <f t="shared" si="0"/>
        <v>-8</v>
      </c>
      <c r="K1" s="36">
        <f t="shared" si="0"/>
        <v>-9</v>
      </c>
    </row>
    <row r="2" spans="1:27" ht="60" customHeight="1">
      <c r="A2" s="15" t="s">
        <v>871</v>
      </c>
      <c r="B2" s="49" t="s">
        <v>1388</v>
      </c>
      <c r="C2" s="2" t="str">
        <f>"Average Number of Customers, 13 Months Ended "&amp;TEXT(MiscData!$F$1,"mmmm dd, yyyy")</f>
        <v>Average Number of Customers, 13 Months Ended June 30, 2016</v>
      </c>
      <c r="D2" s="2" t="str">
        <f>"Number of Customers Served at "&amp;TEXT(MiscData!$F$1,"mmmm dd, yyyy")</f>
        <v>Number of Customers Served at June 30, 2016</v>
      </c>
      <c r="E2" s="2" t="s">
        <v>87</v>
      </c>
      <c r="F2" s="34" t="s">
        <v>88</v>
      </c>
      <c r="G2" s="2" t="s">
        <v>89</v>
      </c>
      <c r="H2" s="2" t="s">
        <v>90</v>
      </c>
      <c r="I2" s="78" t="s">
        <v>697</v>
      </c>
      <c r="J2" s="2" t="s">
        <v>91</v>
      </c>
      <c r="K2" s="2" t="s">
        <v>92</v>
      </c>
      <c r="N2" s="78" t="s">
        <v>791</v>
      </c>
      <c r="O2" s="78" t="s">
        <v>792</v>
      </c>
      <c r="P2" s="2" t="s">
        <v>698</v>
      </c>
      <c r="Q2" s="78" t="s">
        <v>699</v>
      </c>
      <c r="R2" s="78" t="s">
        <v>700</v>
      </c>
      <c r="S2" s="78" t="s">
        <v>701</v>
      </c>
      <c r="T2" s="2" t="s">
        <v>702</v>
      </c>
      <c r="V2" s="2" t="s">
        <v>721</v>
      </c>
      <c r="W2" s="78" t="s">
        <v>722</v>
      </c>
      <c r="X2" s="78" t="s">
        <v>793</v>
      </c>
      <c r="Y2" s="78" t="s">
        <v>794</v>
      </c>
      <c r="Z2" s="2" t="s">
        <v>795</v>
      </c>
      <c r="AA2" s="78" t="s">
        <v>796</v>
      </c>
    </row>
    <row r="3" spans="1:27">
      <c r="B3" t="str">
        <f>TEXT(MiscData!$F$1,"mmm yyyy")</f>
        <v>Jun 2016</v>
      </c>
      <c r="C3" s="2"/>
      <c r="D3" s="2"/>
      <c r="E3" s="37" t="str">
        <f>TEXT($D$1*-1,"(0)")&amp;" - "&amp;TEXT($C$1*-1,"(0)")</f>
        <v>(2) - (1)</v>
      </c>
      <c r="G3" s="37" t="str">
        <f>TEXT($F$1*-1,"(0)")&amp;" / "&amp;TEXT($C$1*-1,"(0)")</f>
        <v>(4) / (1)</v>
      </c>
      <c r="H3" s="37" t="str">
        <f>TEXT($E$1*-1,"(0)")&amp;" * "&amp;TEXT($G$1*-1,"(0)")</f>
        <v>(3) * (5)</v>
      </c>
      <c r="J3" s="37" t="str">
        <f>TEXT($I$1*-1,"(0)")&amp;" / "&amp;TEXT($F$1*-1,"(0)")</f>
        <v>(7) / (4)</v>
      </c>
      <c r="K3" s="37" t="str">
        <f>TEXT($H$1*-1,"(0)")&amp;" * "&amp;TEXT($J$1*-1,"(0)")</f>
        <v>(6) * (8)</v>
      </c>
      <c r="T3" s="15"/>
    </row>
    <row r="4" spans="1:27">
      <c r="C4" s="2"/>
      <c r="D4" s="2"/>
      <c r="E4" s="37"/>
      <c r="G4" s="37"/>
      <c r="H4" s="37"/>
      <c r="J4" s="37"/>
      <c r="K4" s="37"/>
    </row>
    <row r="5" spans="1:27">
      <c r="A5" s="20" t="s">
        <v>14</v>
      </c>
      <c r="B5" s="187"/>
      <c r="C5" s="187"/>
      <c r="D5" s="187"/>
      <c r="E5" s="38"/>
      <c r="F5" s="187"/>
      <c r="G5" s="38"/>
      <c r="H5" s="38"/>
      <c r="I5" s="188"/>
      <c r="L5" s="3"/>
      <c r="N5" s="187" t="e">
        <f>ROUND(SUMIF(_ECR_RateClass,'Yr End Cust Adj'!$A5,_ECRResults_Revenue),0)</f>
        <v>#NAME?</v>
      </c>
      <c r="O5" s="187">
        <f>SUMIF(_12MonResults_RateClass,'Yr End Cust Adj'!$A5,_12MonResults_Revenue_FAC)</f>
        <v>15609887</v>
      </c>
      <c r="P5" s="187" t="e">
        <f>-SUMIF(_ECR_RateClass,'Yr End Cust Adj'!$A5,_ECR_BaseRevenue)</f>
        <v>#NAME?</v>
      </c>
      <c r="Q5" s="465" t="e">
        <f>SUMIF(_13Month_RateClass,'Yr End Cust Adj'!$A5,_13thMonth_Revenue_Current)</f>
        <v>#NAME?</v>
      </c>
      <c r="R5" s="465" t="e">
        <f>SUMIF(_13Month_RateClass,'Yr End Cust Adj'!$A5,_13thMonth_FAC_Current)</f>
        <v>#NAME?</v>
      </c>
      <c r="S5" s="465" t="e">
        <f>-SUMIF(_13Month_RateClass,'Yr End Cust Adj'!$A5,_13Month_Base_ECR_Total)</f>
        <v>#NAME?</v>
      </c>
      <c r="T5" s="189" t="e">
        <f>SUM(N5:S5)</f>
        <v>#NAME?</v>
      </c>
      <c r="V5">
        <f>-'Rate Switch'!C108</f>
        <v>-381</v>
      </c>
      <c r="W5">
        <f>'Rate Switch'!$C$33+'Rate Switch'!$C$40</f>
        <v>1217</v>
      </c>
      <c r="X5">
        <f>-'Rate Switch'!$D$108</f>
        <v>-491600</v>
      </c>
      <c r="Y5" s="22">
        <f>'Rate Switch'!$D$33+'Rate Switch'!$D$40</f>
        <v>461265</v>
      </c>
      <c r="Z5" s="9">
        <f>-'Rate Switch'!$O$108</f>
        <v>-40323.089999999997</v>
      </c>
      <c r="AA5" s="9">
        <f>'Rate Switch'!$W$33+'Rate Switch'!$W$40</f>
        <v>47205.320000000007</v>
      </c>
    </row>
    <row r="6" spans="1:27">
      <c r="A6" s="20" t="s">
        <v>16</v>
      </c>
      <c r="B6" s="187"/>
      <c r="C6" s="187"/>
      <c r="D6" s="187"/>
      <c r="E6" s="38"/>
      <c r="F6" s="187"/>
      <c r="G6" s="38"/>
      <c r="H6" s="38"/>
      <c r="I6" s="188"/>
      <c r="N6" s="187" t="e">
        <f>ROUND(SUMIF(_ECR_RateClass,'Yr End Cust Adj'!$A6,_ECRResults_Revenue),0)</f>
        <v>#NAME?</v>
      </c>
      <c r="O6" s="187" t="e">
        <f>SUMIF(_FACResults_RateClass,'Yr End Cust Adj'!$A6,_FACResults_FAC)</f>
        <v>#NAME?</v>
      </c>
      <c r="P6" s="187" t="e">
        <f>-SUMIF(_ECR_RateClass,'Yr End Cust Adj'!$A6,_ECR_BaseRevenue)</f>
        <v>#NAME?</v>
      </c>
      <c r="Q6" s="465" t="e">
        <f>SUMIF(_13Month_RateClass,'Yr End Cust Adj'!$A6,_13thMonth_Revenue_Current)</f>
        <v>#NAME?</v>
      </c>
      <c r="R6" s="465" t="e">
        <f>SUMIF(_13Month_RateClass,'Yr End Cust Adj'!$A6,_13thMonth_FAC_Current)</f>
        <v>#NAME?</v>
      </c>
      <c r="S6" s="465" t="e">
        <f>-SUMIF(_13Month_RateClass,'Yr End Cust Adj'!$A6,_13Month_Base_ECR_Total)</f>
        <v>#NAME?</v>
      </c>
      <c r="T6" s="189" t="e">
        <f>SUM(N6:S6)</f>
        <v>#NAME?</v>
      </c>
      <c r="V6">
        <f>-'Rate Switch'!$C$112</f>
        <v>0</v>
      </c>
      <c r="X6">
        <f>-'Rate Switch'!$D$112</f>
        <v>0</v>
      </c>
      <c r="Y6" s="22"/>
      <c r="Z6" s="9">
        <f>-'Rate Switch'!$O$112</f>
        <v>0</v>
      </c>
      <c r="AA6" s="9"/>
    </row>
    <row r="7" spans="1:27" ht="14.25">
      <c r="B7" s="38"/>
      <c r="C7" s="39"/>
      <c r="D7" s="39"/>
      <c r="E7" s="39"/>
      <c r="F7" s="53"/>
      <c r="G7" s="42"/>
      <c r="H7" s="38"/>
      <c r="I7" s="44"/>
      <c r="N7" s="38"/>
      <c r="T7" s="17"/>
    </row>
    <row r="8" spans="1:27">
      <c r="A8" s="15" t="s">
        <v>1418</v>
      </c>
      <c r="B8" s="780"/>
      <c r="C8" s="187"/>
      <c r="D8" s="38"/>
      <c r="E8" s="38"/>
      <c r="F8" s="781"/>
      <c r="G8" s="42"/>
      <c r="H8" s="38"/>
      <c r="I8" s="43"/>
      <c r="J8" s="46"/>
      <c r="K8" s="45"/>
      <c r="T8" s="17"/>
    </row>
    <row r="9" spans="1:27">
      <c r="F9" s="22"/>
      <c r="T9" s="17"/>
    </row>
    <row r="10" spans="1:27">
      <c r="A10" s="20" t="s">
        <v>206</v>
      </c>
      <c r="B10" s="187"/>
      <c r="C10" s="187"/>
      <c r="D10" s="187"/>
      <c r="E10" s="38"/>
      <c r="F10" s="187"/>
      <c r="G10" s="38"/>
      <c r="H10" s="38"/>
      <c r="I10" s="188"/>
      <c r="N10" s="187" t="e">
        <f>ROUND(SUMIF(_ECR_RateClass,'Yr End Cust Adj'!$A10,_ECRResults_Revenue),0)</f>
        <v>#NAME?</v>
      </c>
      <c r="O10" s="187" t="e">
        <f>SUMIF(_FACResults_RateClass,'Yr End Cust Adj'!$A10,_FACResults_FAC)</f>
        <v>#NAME?</v>
      </c>
      <c r="P10" s="187" t="e">
        <f>-SUMIF(_ECR_RateClass,'Yr End Cust Adj'!$A10,_ECR_BaseRevenue)</f>
        <v>#NAME?</v>
      </c>
      <c r="Q10" s="465" t="e">
        <f>SUMIF(_13Month_RateClass,'Yr End Cust Adj'!$A10,_13thMonth_Revenue_Current)</f>
        <v>#NAME?</v>
      </c>
      <c r="R10" s="465" t="e">
        <f>SUMIF(_13Month_RateClass,'Yr End Cust Adj'!$A10,_13thMonth_FAC_Current)</f>
        <v>#NAME?</v>
      </c>
      <c r="S10" s="465" t="e">
        <f>-SUMIF(_13Month_RateClass,'Yr End Cust Adj'!$A10,_13Month_Base_ECR_Total)</f>
        <v>#NAME?</v>
      </c>
      <c r="T10" s="189" t="e">
        <f>SUM(N10:S10)</f>
        <v>#NAME?</v>
      </c>
      <c r="Y10" s="22"/>
      <c r="Z10" s="9"/>
      <c r="AA10" s="9"/>
    </row>
    <row r="11" spans="1:27">
      <c r="A11" t="s">
        <v>471</v>
      </c>
      <c r="B11" s="38"/>
      <c r="C11" s="38"/>
      <c r="D11" s="38"/>
      <c r="E11" s="38"/>
      <c r="F11" s="22"/>
      <c r="G11" s="42"/>
      <c r="H11" s="38"/>
      <c r="I11" s="43"/>
      <c r="J11" s="46"/>
      <c r="K11" s="45"/>
      <c r="N11" s="38"/>
      <c r="T11" s="17"/>
    </row>
    <row r="12" spans="1:27">
      <c r="C12" s="38"/>
      <c r="D12" s="38"/>
      <c r="E12" s="38"/>
      <c r="F12" s="22"/>
      <c r="G12" s="42"/>
      <c r="H12" s="38"/>
      <c r="I12" s="43"/>
      <c r="J12" s="46"/>
      <c r="K12" s="45"/>
      <c r="T12" s="17"/>
    </row>
    <row r="13" spans="1:27">
      <c r="A13" s="20" t="s">
        <v>208</v>
      </c>
      <c r="B13" s="187"/>
      <c r="C13" s="187"/>
      <c r="D13" s="187"/>
      <c r="E13" s="236"/>
      <c r="F13" s="187"/>
      <c r="G13" s="38"/>
      <c r="H13" s="38"/>
      <c r="I13" s="188"/>
      <c r="N13" s="187" t="e">
        <f>ROUND(SUMIF(_ECR_RateClass,'Yr End Cust Adj'!$A13,_ECRResults_Revenue),0)</f>
        <v>#NAME?</v>
      </c>
      <c r="O13" s="187" t="e">
        <f>SUMIF(_FACResults_RateClass,'Yr End Cust Adj'!$A13,_FACResults_FAC)</f>
        <v>#NAME?</v>
      </c>
      <c r="P13" s="187" t="e">
        <f>-SUMIF(_ECR_RateClass,'Yr End Cust Adj'!$A13,_ECR_BaseRevenue)</f>
        <v>#NAME?</v>
      </c>
      <c r="Q13" s="465" t="e">
        <f>SUMIF(_13Month_RateClass,'Yr End Cust Adj'!$A13,_13thMonth_Revenue_Current)</f>
        <v>#NAME?</v>
      </c>
      <c r="R13" s="465" t="e">
        <f>SUMIF(_13Month_RateClass,'Yr End Cust Adj'!$A13,_13thMonth_FAC_Current)</f>
        <v>#NAME?</v>
      </c>
      <c r="S13" s="465" t="e">
        <f>-SUMIF(_13Month_RateClass,'Yr End Cust Adj'!$A13,_13Month_Base_ECR_Total)</f>
        <v>#NAME?</v>
      </c>
      <c r="T13" s="189" t="e">
        <f>SUM(N13:S13)</f>
        <v>#NAME?</v>
      </c>
      <c r="V13">
        <f>-'Rate Switch'!$C$113</f>
        <v>-15007</v>
      </c>
      <c r="W13">
        <f>'Rate Switch'!$C$15</f>
        <v>2408</v>
      </c>
      <c r="X13">
        <f>-'Rate Switch'!$D$113</f>
        <v>-55669955</v>
      </c>
      <c r="Y13" s="22">
        <f>'Rate Switch'!$D$15</f>
        <v>6761883</v>
      </c>
      <c r="Z13" s="9">
        <f>-'Rate Switch'!$O$113</f>
        <v>-5171609.5600000005</v>
      </c>
      <c r="AA13" s="9">
        <f>'Rate Switch'!$W$15</f>
        <v>638620.55000000005</v>
      </c>
    </row>
    <row r="14" spans="1:27">
      <c r="A14" s="20" t="s">
        <v>17</v>
      </c>
      <c r="B14" s="187"/>
      <c r="C14" s="187"/>
      <c r="D14" s="187"/>
      <c r="E14" s="236"/>
      <c r="F14" s="187"/>
      <c r="G14" s="38"/>
      <c r="H14" s="38"/>
      <c r="I14" s="188"/>
      <c r="N14" s="187" t="e">
        <f>ROUND(SUMIF(_ECR_RateClass,'Yr End Cust Adj'!$A14,_ECRResults_Revenue),0)</f>
        <v>#NAME?</v>
      </c>
      <c r="O14" s="187" t="e">
        <f>SUMIF(_FACResults_RateClass,'Yr End Cust Adj'!$A14,_FACResults_FAC)</f>
        <v>#NAME?</v>
      </c>
      <c r="P14" s="187" t="e">
        <f>-SUMIF(_ECR_RateClass,'Yr End Cust Adj'!$A14,_ECR_BaseRevenue)</f>
        <v>#NAME?</v>
      </c>
      <c r="Q14" s="465" t="e">
        <f>SUMIF(_13Month_RateClass,'Yr End Cust Adj'!$A14,_13thMonth_Revenue_Current)</f>
        <v>#NAME?</v>
      </c>
      <c r="R14" s="465" t="e">
        <f>SUMIF(_13Month_RateClass,'Yr End Cust Adj'!$A14,_13thMonth_FAC_Current)</f>
        <v>#NAME?</v>
      </c>
      <c r="S14" s="465" t="e">
        <f>-SUMIF(_13Month_RateClass,'Yr End Cust Adj'!$A14,_13Month_Base_ECR_Total)</f>
        <v>#NAME?</v>
      </c>
      <c r="T14" s="189" t="e">
        <f>SUM(N14:S14)</f>
        <v>#NAME?</v>
      </c>
      <c r="V14">
        <f>-'Rate Switch'!C115</f>
        <v>-2</v>
      </c>
      <c r="W14">
        <f>'Rate Switch'!$C$25</f>
        <v>15194</v>
      </c>
      <c r="X14">
        <f>-'Rate Switch'!D115</f>
        <v>0</v>
      </c>
      <c r="Y14" s="22">
        <f>'Rate Switch'!$D$25</f>
        <v>67293909</v>
      </c>
      <c r="Z14" s="9">
        <f>-'Rate Switch'!O115</f>
        <v>-40</v>
      </c>
      <c r="AA14" s="9">
        <f>'Rate Switch'!$W$25</f>
        <v>6416803.3700000001</v>
      </c>
    </row>
    <row r="15" spans="1:27">
      <c r="B15" s="38"/>
      <c r="C15" s="38"/>
      <c r="D15" s="38"/>
      <c r="E15" s="38"/>
      <c r="F15" s="22"/>
      <c r="G15" s="38"/>
      <c r="H15" s="38"/>
      <c r="I15" s="43"/>
      <c r="N15" s="38"/>
      <c r="T15" s="17"/>
    </row>
    <row r="16" spans="1:27">
      <c r="A16" s="15" t="s">
        <v>108</v>
      </c>
      <c r="C16" s="38"/>
      <c r="D16" s="38"/>
      <c r="E16" s="38"/>
      <c r="F16" s="22"/>
      <c r="G16" s="42"/>
      <c r="H16" s="38"/>
      <c r="I16" s="43"/>
      <c r="J16" s="46"/>
      <c r="K16" s="45"/>
      <c r="T16" s="17"/>
    </row>
    <row r="17" spans="1:27">
      <c r="C17" s="38"/>
      <c r="D17" s="38"/>
      <c r="E17" s="38"/>
      <c r="F17" s="22"/>
      <c r="G17" s="42"/>
      <c r="H17" s="38"/>
      <c r="I17" s="43"/>
      <c r="J17" s="46"/>
      <c r="K17" s="45"/>
      <c r="T17" s="17"/>
    </row>
    <row r="18" spans="1:27">
      <c r="A18" s="20" t="s">
        <v>203</v>
      </c>
      <c r="B18" s="187"/>
      <c r="C18" s="187"/>
      <c r="D18" s="187"/>
      <c r="E18" s="236"/>
      <c r="F18" s="187"/>
      <c r="G18" s="38"/>
      <c r="H18" s="38"/>
      <c r="I18" s="188"/>
      <c r="N18" s="187" t="e">
        <f>ROUND(SUMIF(_ECR_RateClass,'Yr End Cust Adj'!$A18,_ECRResults_Revenue),0)</f>
        <v>#NAME?</v>
      </c>
      <c r="O18" s="187" t="e">
        <f>SUMIF(_FACResults_RateClass,'Yr End Cust Adj'!$A18,_FACResults_FAC)</f>
        <v>#NAME?</v>
      </c>
      <c r="P18" s="187" t="e">
        <f>-SUMIF(_ECR_RateClass,'Yr End Cust Adj'!$A18,_ECR_BaseRevenue)</f>
        <v>#NAME?</v>
      </c>
      <c r="Q18" s="465" t="e">
        <f>SUMIF(_13Month_RateClass,'Yr End Cust Adj'!$A18,_13thMonth_Revenue_Current)</f>
        <v>#NAME?</v>
      </c>
      <c r="R18" s="465" t="e">
        <f>SUMIF(_13Month_RateClass,'Yr End Cust Adj'!$A18,_13thMonth_FAC_Current)</f>
        <v>#NAME?</v>
      </c>
      <c r="S18" s="465" t="e">
        <f>-SUMIF(_13Month_RateClass,'Yr End Cust Adj'!$A18,_13Month_Base_ECR_Total)</f>
        <v>#NAME?</v>
      </c>
      <c r="T18" s="189" t="e">
        <f t="shared" ref="T18:T19" si="1">SUM(N18:S18)</f>
        <v>#NAME?</v>
      </c>
      <c r="V18">
        <f>-'Rate Switch'!$C$116</f>
        <v>-6</v>
      </c>
      <c r="W18">
        <f>'Rate Switch'!$C$93</f>
        <v>12</v>
      </c>
      <c r="X18">
        <f>-'Rate Switch'!$D$116</f>
        <v>-161960</v>
      </c>
      <c r="Y18" s="22">
        <f>'Rate Switch'!$D$93</f>
        <v>3999</v>
      </c>
      <c r="Z18" s="9">
        <f>-'Rate Switch'!$O$116</f>
        <v>-11805.39</v>
      </c>
      <c r="AA18" s="9">
        <f>'Rate Switch'!$W$93</f>
        <v>523.28000000000009</v>
      </c>
    </row>
    <row r="19" spans="1:27">
      <c r="A19" s="20" t="s">
        <v>212</v>
      </c>
      <c r="B19" s="187"/>
      <c r="C19" s="187"/>
      <c r="D19" s="187"/>
      <c r="E19" s="236"/>
      <c r="F19" s="187"/>
      <c r="G19" s="38"/>
      <c r="H19" s="38"/>
      <c r="I19" s="188"/>
      <c r="N19" s="187" t="e">
        <f>ROUND(SUMIF(_ECR_RateClass,'Yr End Cust Adj'!$A19,_ECRResults_Revenue),0)</f>
        <v>#NAME?</v>
      </c>
      <c r="O19" s="187" t="e">
        <f>SUMIF(_FACResults_RateClass,'Yr End Cust Adj'!$A19,_FACResults_FAC)</f>
        <v>#NAME?</v>
      </c>
      <c r="P19" s="187" t="e">
        <f>-SUMIF(_ECR_RateClass,'Yr End Cust Adj'!$A19,_ECR_BaseRevenue)</f>
        <v>#NAME?</v>
      </c>
      <c r="Q19" s="465" t="e">
        <f>SUMIF(_13Month_RateClass,'Yr End Cust Adj'!$A19,_13thMonth_Revenue_Current)</f>
        <v>#NAME?</v>
      </c>
      <c r="R19" s="465" t="e">
        <f>SUMIF(_13Month_RateClass,'Yr End Cust Adj'!$A19,_13thMonth_FAC_Current)</f>
        <v>#NAME?</v>
      </c>
      <c r="S19" s="465" t="e">
        <f>-SUMIF(_13Month_RateClass,'Yr End Cust Adj'!$A19,_13Month_Base_ECR_Total)</f>
        <v>#NAME?</v>
      </c>
      <c r="T19" s="189" t="e">
        <f t="shared" si="1"/>
        <v>#NAME?</v>
      </c>
      <c r="V19">
        <f>-'Rate Switch'!C117</f>
        <v>-31</v>
      </c>
      <c r="W19">
        <f>'Rate Switch'!$C$96</f>
        <v>2</v>
      </c>
      <c r="X19">
        <f>-'Rate Switch'!D117</f>
        <v>-2694079</v>
      </c>
      <c r="Y19" s="22">
        <f>'Rate Switch'!$D$96</f>
        <v>161200</v>
      </c>
      <c r="Z19" s="9">
        <f>-'Rate Switch'!$O$117</f>
        <v>-191008.5</v>
      </c>
      <c r="AA19" s="9">
        <f>'Rate Switch'!$W$96</f>
        <v>11703.25</v>
      </c>
    </row>
    <row r="20" spans="1:27">
      <c r="B20" s="38"/>
      <c r="C20" s="38"/>
      <c r="D20" s="38"/>
      <c r="E20" s="38"/>
      <c r="F20" s="22"/>
      <c r="G20" s="38"/>
      <c r="H20" s="38"/>
      <c r="I20" s="43"/>
      <c r="N20" s="38"/>
      <c r="T20" s="17"/>
    </row>
    <row r="21" spans="1:27">
      <c r="A21" t="s">
        <v>472</v>
      </c>
      <c r="C21" s="38"/>
      <c r="D21" s="38"/>
      <c r="E21" s="38"/>
      <c r="F21" s="22"/>
      <c r="G21" s="42"/>
      <c r="H21" s="38"/>
      <c r="I21" s="43"/>
      <c r="J21" s="46"/>
      <c r="K21" s="45"/>
      <c r="T21" s="17"/>
    </row>
    <row r="22" spans="1:27">
      <c r="C22" s="38"/>
      <c r="D22" s="38"/>
      <c r="E22" s="38"/>
      <c r="F22" s="22"/>
      <c r="G22" s="42"/>
      <c r="H22" s="38"/>
      <c r="I22" s="43"/>
      <c r="J22" s="46"/>
      <c r="K22" s="45"/>
      <c r="T22" s="17"/>
    </row>
    <row r="23" spans="1:27">
      <c r="A23" t="s">
        <v>79</v>
      </c>
      <c r="C23" s="38"/>
      <c r="D23" s="38"/>
      <c r="E23" s="38"/>
      <c r="F23" s="22"/>
      <c r="G23" s="38"/>
      <c r="H23" s="38"/>
      <c r="I23" s="43"/>
      <c r="T23" s="17"/>
    </row>
    <row r="24" spans="1:27">
      <c r="A24" s="20" t="s">
        <v>25</v>
      </c>
      <c r="B24" s="187"/>
      <c r="C24" s="187"/>
      <c r="D24" s="187"/>
      <c r="E24" s="236"/>
      <c r="F24" s="187"/>
      <c r="G24" s="39"/>
      <c r="H24" s="39"/>
      <c r="I24" s="188"/>
      <c r="J24" s="73"/>
      <c r="K24" s="73"/>
      <c r="N24" s="187" t="e">
        <f>ROUND(SUMIF(_ECR_RateClass,'Yr End Cust Adj'!$A24,_ECRResults_Revenue),0)</f>
        <v>#NAME?</v>
      </c>
      <c r="O24" s="187" t="e">
        <f>SUMIF(_FACResults_RateClass,'Yr End Cust Adj'!$A24,_FACResults_FAC)</f>
        <v>#NAME?</v>
      </c>
      <c r="P24" s="187" t="e">
        <f>-SUMIF(_ECR_RateClass,'Yr End Cust Adj'!$A24,_ECR_BaseRevenue)</f>
        <v>#NAME?</v>
      </c>
      <c r="Q24" s="465" t="e">
        <f>SUMIF(_13Month_RateClass,'Yr End Cust Adj'!$A24,_13thMonth_Revenue_Current)</f>
        <v>#NAME?</v>
      </c>
      <c r="R24" s="465" t="e">
        <f>SUMIF(_13Month_RateClass,'Yr End Cust Adj'!$A24,_13thMonth_FAC_Current)</f>
        <v>#NAME?</v>
      </c>
      <c r="S24" s="465" t="e">
        <f>-SUMIF(_13Month_RateClass,'Yr End Cust Adj'!$A24,_13Month_Base_ECR_Total)</f>
        <v>#NAME?</v>
      </c>
      <c r="T24" s="189" t="e">
        <f>SUM(N24:S24)</f>
        <v>#NAME?</v>
      </c>
      <c r="V24">
        <f>-'Rate Switch'!$C$121</f>
        <v>-28</v>
      </c>
      <c r="W24">
        <f>'Rate Switch'!$C$70</f>
        <v>12</v>
      </c>
      <c r="X24">
        <f>-'Rate Switch'!$D$121</f>
        <v>-2924228</v>
      </c>
      <c r="Y24" s="22">
        <f>'Rate Switch'!$D$70</f>
        <v>621600</v>
      </c>
      <c r="Z24" s="9">
        <f>-'Rate Switch'!$O$121</f>
        <v>-181571.72</v>
      </c>
      <c r="AA24" s="9">
        <f>'Rate Switch'!$W$70</f>
        <v>57419.54</v>
      </c>
    </row>
    <row r="25" spans="1:27">
      <c r="A25" t="s">
        <v>81</v>
      </c>
      <c r="B25" s="38"/>
      <c r="C25" s="38"/>
      <c r="D25" s="38"/>
      <c r="E25" s="38"/>
      <c r="F25" s="22"/>
      <c r="G25" s="42"/>
      <c r="H25" s="38"/>
      <c r="I25" s="43"/>
      <c r="J25" s="46"/>
      <c r="K25" s="45"/>
      <c r="N25" s="38"/>
      <c r="T25" s="17"/>
    </row>
    <row r="26" spans="1:27">
      <c r="A26" s="20" t="s">
        <v>24</v>
      </c>
      <c r="B26" s="187"/>
      <c r="C26" s="187"/>
      <c r="D26" s="187"/>
      <c r="E26" s="236"/>
      <c r="F26" s="187"/>
      <c r="G26" s="42"/>
      <c r="H26" s="42"/>
      <c r="I26" s="188"/>
      <c r="J26" s="74"/>
      <c r="K26" s="74"/>
      <c r="L26" s="74"/>
      <c r="M26" s="74"/>
      <c r="N26" s="187" t="e">
        <f>ROUND(SUMIF(_ECR_RateClass,'Yr End Cust Adj'!$A26,_ECRResults_Revenue),0)</f>
        <v>#NAME?</v>
      </c>
      <c r="O26" s="187" t="e">
        <f>SUMIF(_FACResults_RateClass,'Yr End Cust Adj'!$A26,_FACResults_FAC)</f>
        <v>#NAME?</v>
      </c>
      <c r="P26" s="187" t="e">
        <f>-SUMIF(_ECR_RateClass,'Yr End Cust Adj'!$A26,_ECR_BaseRevenue)</f>
        <v>#NAME?</v>
      </c>
      <c r="Q26" s="465" t="e">
        <f>SUMIF(_13Month_RateClass,'Yr End Cust Adj'!$A26,_13thMonth_Revenue_Current)</f>
        <v>#NAME?</v>
      </c>
      <c r="R26" s="465" t="e">
        <f>SUMIF(_13Month_RateClass,'Yr End Cust Adj'!$A26,_13thMonth_FAC_Current)</f>
        <v>#NAME?</v>
      </c>
      <c r="S26" s="465" t="e">
        <f>-SUMIF(_13Month_RateClass,'Yr End Cust Adj'!$A26,_13Month_Base_ECR_Total)</f>
        <v>#NAME?</v>
      </c>
      <c r="T26" s="189" t="e">
        <f>SUM(N26:S26)</f>
        <v>#NAME?</v>
      </c>
      <c r="V26" s="17">
        <f>-'Rate Switch'!$C$118</f>
        <v>-2697</v>
      </c>
      <c r="W26" s="17">
        <f>'Rate Switch'!$C$62</f>
        <v>1351</v>
      </c>
      <c r="X26" s="17">
        <f>-'Rate Switch'!$D$118</f>
        <v>-143287124</v>
      </c>
      <c r="Y26" s="26">
        <f>'Rate Switch'!$D$62</f>
        <v>42378209</v>
      </c>
      <c r="Z26" s="16">
        <f>-'Rate Switch'!$O$118</f>
        <v>-10405880.710000001</v>
      </c>
      <c r="AA26" s="16">
        <f>'Rate Switch'!$W$62</f>
        <v>3143257.13</v>
      </c>
    </row>
    <row r="27" spans="1:27">
      <c r="A27" t="s">
        <v>80</v>
      </c>
      <c r="B27" s="38"/>
      <c r="C27" s="38"/>
      <c r="D27" s="38"/>
      <c r="E27" s="38"/>
      <c r="F27" s="22"/>
      <c r="G27" s="42"/>
      <c r="H27" s="38"/>
      <c r="I27" s="43"/>
      <c r="J27" s="46"/>
      <c r="K27" s="309"/>
      <c r="N27" s="38"/>
      <c r="T27" s="17"/>
    </row>
    <row r="28" spans="1:27">
      <c r="C28" s="38"/>
      <c r="D28" s="38"/>
      <c r="E28" s="38"/>
      <c r="F28" s="22"/>
      <c r="G28" s="42"/>
      <c r="H28" s="38"/>
      <c r="I28" s="43"/>
      <c r="J28" s="46"/>
      <c r="K28" s="45"/>
      <c r="T28" s="17"/>
    </row>
    <row r="29" spans="1:27">
      <c r="A29" t="s">
        <v>82</v>
      </c>
      <c r="C29" s="38"/>
      <c r="D29" s="38"/>
      <c r="E29" s="38"/>
      <c r="F29" s="22"/>
      <c r="G29" s="38"/>
      <c r="H29" s="38"/>
      <c r="I29" s="43"/>
      <c r="T29" s="17"/>
    </row>
    <row r="30" spans="1:27">
      <c r="A30" s="15" t="s">
        <v>205</v>
      </c>
      <c r="B30" s="761"/>
      <c r="C30" s="761"/>
      <c r="D30" s="761"/>
      <c r="E30" s="236"/>
      <c r="F30" s="187"/>
      <c r="G30" s="39"/>
      <c r="H30" s="39"/>
      <c r="I30" s="188"/>
      <c r="J30" s="73"/>
      <c r="K30" s="73"/>
      <c r="N30" s="187" t="e">
        <f>ROUND(SUMIF(_ECR_RateClass,'Yr End Cust Adj'!$A30,_ECRResults_Revenue),0)</f>
        <v>#NAME?</v>
      </c>
      <c r="O30" s="187" t="e">
        <f>SUMIF(_FACResults_RateClass,'Yr End Cust Adj'!$A30,_FACResults_FAC)</f>
        <v>#NAME?</v>
      </c>
      <c r="P30" s="187" t="e">
        <f>-SUMIF(_ECR_RateClass,'Yr End Cust Adj'!$A30,_ECR_BaseRevenue)</f>
        <v>#NAME?</v>
      </c>
      <c r="Q30" s="465" t="e">
        <f>SUMIF(_13Month_RateClass,'Yr End Cust Adj'!$A30,_13thMonth_Revenue_Current)</f>
        <v>#NAME?</v>
      </c>
      <c r="R30" s="465" t="e">
        <f>SUMIF(_13Month_RateClass,'Yr End Cust Adj'!$A30,_13thMonth_FAC_Current)</f>
        <v>#NAME?</v>
      </c>
      <c r="S30" s="465" t="e">
        <f>-SUMIF(_13Month_RateClass,'Yr End Cust Adj'!$A30,_13Month_Base_ECR_Total)</f>
        <v>#NAME?</v>
      </c>
      <c r="T30" s="189" t="e">
        <f>SUM(N30:S30)</f>
        <v>#NAME?</v>
      </c>
      <c r="V30">
        <v>0</v>
      </c>
      <c r="W30">
        <f>'Rate Switch'!$C$66+'Rate Switch'!$C$82</f>
        <v>139</v>
      </c>
      <c r="X30">
        <v>0</v>
      </c>
      <c r="Y30" s="22">
        <f>'Rate Switch'!$D$66+'Rate Switch'!$D$82</f>
        <v>45348740</v>
      </c>
      <c r="Z30" s="9">
        <v>0</v>
      </c>
      <c r="AA30" s="9">
        <f>'Rate Switch'!$W$66+'Rate Switch'!$W$82</f>
        <v>2596467.0400000005</v>
      </c>
    </row>
    <row r="31" spans="1:27">
      <c r="A31" s="439" t="s">
        <v>81</v>
      </c>
      <c r="B31" s="38"/>
      <c r="C31" s="38"/>
      <c r="D31" s="760"/>
      <c r="E31" s="38"/>
      <c r="F31" s="22"/>
      <c r="G31" s="75"/>
      <c r="H31" s="38"/>
      <c r="I31" s="43"/>
      <c r="J31" s="46"/>
      <c r="K31" s="45"/>
      <c r="N31" s="38"/>
      <c r="T31" s="17"/>
    </row>
    <row r="32" spans="1:27">
      <c r="A32" s="15" t="s">
        <v>204</v>
      </c>
      <c r="B32" s="187"/>
      <c r="C32" s="187"/>
      <c r="D32" s="187"/>
      <c r="E32" s="236"/>
      <c r="F32" s="187"/>
      <c r="G32" s="39"/>
      <c r="H32" s="39"/>
      <c r="I32" s="188"/>
      <c r="J32" s="73"/>
      <c r="K32" s="73"/>
      <c r="N32" s="187" t="e">
        <f>ROUND(SUMIF(_ECR_RateClass,'Yr End Cust Adj'!$A32,_ECRResults_Revenue),0)</f>
        <v>#NAME?</v>
      </c>
      <c r="O32" s="187" t="e">
        <f>SUMIF(_FACResults_RateClass,'Yr End Cust Adj'!$A32,_FACResults_FAC)</f>
        <v>#NAME?</v>
      </c>
      <c r="P32" s="187" t="e">
        <f>-SUMIF(_ECR_RateClass,'Yr End Cust Adj'!$A32,_ECR_BaseRevenue)</f>
        <v>#NAME?</v>
      </c>
      <c r="Q32" s="465" t="e">
        <f>SUMIF(_13Month_RateClass,'Yr End Cust Adj'!$A32,_13thMonth_Revenue_Current)</f>
        <v>#NAME?</v>
      </c>
      <c r="R32" s="465" t="e">
        <f>SUMIF(_13Month_RateClass,'Yr End Cust Adj'!$A32,_13thMonth_FAC_Current)</f>
        <v>#NAME?</v>
      </c>
      <c r="S32" s="465" t="e">
        <f>-SUMIF(_13Month_RateClass,'Yr End Cust Adj'!$A32,_13Month_Base_ECR_Total)</f>
        <v>#NAME?</v>
      </c>
      <c r="T32" s="189" t="e">
        <f>SUM(N32:S32)</f>
        <v>#NAME?</v>
      </c>
      <c r="V32">
        <v>0</v>
      </c>
      <c r="W32">
        <f>'Rate Switch'!$C$91</f>
        <v>805</v>
      </c>
      <c r="X32">
        <v>0</v>
      </c>
      <c r="Y32" s="22">
        <f>'Rate Switch'!$D$91</f>
        <v>142882138</v>
      </c>
      <c r="Z32" s="9">
        <v>0</v>
      </c>
      <c r="AA32" s="9">
        <f>'Rate Switch'!$W$91</f>
        <v>9430064.6399999987</v>
      </c>
    </row>
    <row r="33" spans="1:27">
      <c r="A33" t="s">
        <v>80</v>
      </c>
      <c r="B33" s="38"/>
      <c r="C33" s="38"/>
      <c r="D33" s="38"/>
      <c r="E33" s="38"/>
      <c r="F33" s="22"/>
      <c r="G33" s="75"/>
      <c r="H33" s="38"/>
      <c r="I33" s="43"/>
      <c r="J33" s="46"/>
      <c r="K33" s="45"/>
      <c r="N33" s="38"/>
      <c r="T33" s="17"/>
    </row>
    <row r="34" spans="1:27">
      <c r="C34" s="38"/>
      <c r="D34" s="38"/>
      <c r="E34" s="38"/>
      <c r="F34" s="22"/>
      <c r="G34" s="42"/>
      <c r="H34" s="38"/>
      <c r="I34" s="43"/>
      <c r="J34" s="46"/>
      <c r="K34" s="45"/>
      <c r="T34" s="17"/>
    </row>
    <row r="35" spans="1:27">
      <c r="A35" s="20" t="s">
        <v>18</v>
      </c>
      <c r="B35" s="187"/>
      <c r="C35" s="187"/>
      <c r="D35" s="187"/>
      <c r="E35" s="38"/>
      <c r="F35" s="187"/>
      <c r="G35" s="38"/>
      <c r="H35" s="38"/>
      <c r="I35" s="188"/>
      <c r="N35" s="187" t="e">
        <f>ROUND(SUMIF(_ECR_RateClass,'Yr End Cust Adj'!$A35,_ECRResults_Revenue),0)</f>
        <v>#NAME?</v>
      </c>
      <c r="O35" s="187" t="e">
        <f>SUMIF(_FACResults_RateClass,'Yr End Cust Adj'!$A35,_FACResults_FAC)</f>
        <v>#NAME?</v>
      </c>
      <c r="P35" s="187" t="e">
        <f>-SUMIF(_ECR_RateClass,'Yr End Cust Adj'!$A35,_ECR_BaseRevenue)</f>
        <v>#NAME?</v>
      </c>
      <c r="Q35" s="465" t="e">
        <f>SUMIF(_13Month_RateClass,'Yr End Cust Adj'!$A35,_13thMonth_Revenue_Current)</f>
        <v>#NAME?</v>
      </c>
      <c r="R35" s="465" t="e">
        <f>SUMIF(_13Month_RateClass,'Yr End Cust Adj'!$A35,_13thMonth_FAC_Current)</f>
        <v>#NAME?</v>
      </c>
      <c r="S35" s="465" t="e">
        <f>-SUMIF(_13Month_RateClass,'Yr End Cust Adj'!$A35,_13Month_Base_ECR_Total)</f>
        <v>#NAME?</v>
      </c>
      <c r="T35" s="189" t="e">
        <f>SUM(N35:S35)</f>
        <v>#NAME?</v>
      </c>
      <c r="V35">
        <f>-'Rate Switch'!$C$122</f>
        <v>0</v>
      </c>
      <c r="X35">
        <f>-'Rate Switch'!$D$122</f>
        <v>0</v>
      </c>
      <c r="Y35" s="22"/>
      <c r="Z35" s="9">
        <f>-'Rate Switch'!$O$122</f>
        <v>0</v>
      </c>
      <c r="AA35" s="9"/>
    </row>
    <row r="36" spans="1:27">
      <c r="A36" t="s">
        <v>83</v>
      </c>
      <c r="C36" s="38"/>
      <c r="D36" s="38"/>
      <c r="E36" s="38"/>
      <c r="F36" s="22"/>
      <c r="G36" s="75"/>
      <c r="H36" s="38"/>
      <c r="I36" s="43"/>
      <c r="J36" s="46"/>
      <c r="K36" s="45"/>
      <c r="T36" s="17"/>
    </row>
    <row r="37" spans="1:27">
      <c r="F37" s="22"/>
      <c r="T37" s="17"/>
    </row>
    <row r="38" spans="1:27">
      <c r="A38" s="20" t="s">
        <v>26</v>
      </c>
      <c r="B38" s="187"/>
      <c r="C38" s="187"/>
      <c r="D38" s="187"/>
      <c r="E38" s="42"/>
      <c r="F38" s="187"/>
      <c r="G38" s="42"/>
      <c r="H38" s="42"/>
      <c r="I38" s="188"/>
      <c r="J38" s="74"/>
      <c r="K38" s="74"/>
      <c r="N38" s="187" t="e">
        <f>ROUND(SUMIF(_ECR_RateClass,'Yr End Cust Adj'!$A38,_ECRResults_Revenue),0)</f>
        <v>#NAME?</v>
      </c>
      <c r="O38" s="187" t="e">
        <f>SUMIF(_FACResults_RateClass,'Yr End Cust Adj'!$A38,_FACResults_FAC)</f>
        <v>#NAME?</v>
      </c>
      <c r="P38" s="187" t="e">
        <f>-SUMIF(_ECR_RateClass,'Yr End Cust Adj'!$A38,_ECR_BaseRevenue)</f>
        <v>#NAME?</v>
      </c>
      <c r="Q38" s="465" t="e">
        <f>SUMIF(_13Month_RateClass,'Yr End Cust Adj'!$A38,_13thMonth_Revenue_Current)</f>
        <v>#NAME?</v>
      </c>
      <c r="R38" s="465" t="e">
        <f>SUMIF(_13Month_RateClass,'Yr End Cust Adj'!$A38,_13thMonth_FAC_Current)</f>
        <v>#NAME?</v>
      </c>
      <c r="S38" s="465" t="e">
        <f>-SUMIF(_13Month_RateClass,'Yr End Cust Adj'!$A38,_13Month_Base_ECR_Total)</f>
        <v>#NAME?</v>
      </c>
      <c r="T38" s="189" t="e">
        <f>SUM(N38:S38)</f>
        <v>#NAME?</v>
      </c>
      <c r="V38">
        <v>0</v>
      </c>
      <c r="X38">
        <v>0</v>
      </c>
      <c r="Y38" s="22"/>
      <c r="Z38">
        <v>0</v>
      </c>
      <c r="AA38" s="9"/>
    </row>
    <row r="39" spans="1:27">
      <c r="A39" s="20" t="s">
        <v>27</v>
      </c>
      <c r="B39" s="187"/>
      <c r="C39" s="187"/>
      <c r="D39" s="187"/>
      <c r="E39" s="38"/>
      <c r="F39" s="187"/>
      <c r="G39" s="38"/>
      <c r="H39" s="38"/>
      <c r="I39" s="188"/>
      <c r="N39" s="187" t="e">
        <f>ROUND(SUMIF(_ECR_RateClass,'Yr End Cust Adj'!$A39,_ECRResults_Revenue),0)</f>
        <v>#NAME?</v>
      </c>
      <c r="O39" s="187" t="e">
        <f>SUMIF(_FACResults_RateClass,'Yr End Cust Adj'!$A39,_FACResults_FAC)</f>
        <v>#NAME?</v>
      </c>
      <c r="P39" s="187" t="e">
        <f>-SUMIF(_ECR_RateClass,'Yr End Cust Adj'!$A39,_ECR_BaseRevenue)</f>
        <v>#NAME?</v>
      </c>
      <c r="Q39" s="465" t="e">
        <f>SUMIF(_13Month_RateClass,'Yr End Cust Adj'!$A39,_13thMonth_Revenue_Current)</f>
        <v>#NAME?</v>
      </c>
      <c r="R39" s="465" t="e">
        <f>SUMIF(_13Month_RateClass,'Yr End Cust Adj'!$A39,_13thMonth_FAC_Current)</f>
        <v>#NAME?</v>
      </c>
      <c r="S39" s="465" t="e">
        <f>-SUMIF(_13Month_RateClass,'Yr End Cust Adj'!$A39,_13Month_Base_ECR_Total)</f>
        <v>#NAME?</v>
      </c>
      <c r="T39" s="189" t="e">
        <f>SUM(N39:S39)</f>
        <v>#NAME?</v>
      </c>
      <c r="V39">
        <v>0</v>
      </c>
      <c r="X39">
        <v>0</v>
      </c>
      <c r="Y39" s="22"/>
      <c r="Z39">
        <v>0</v>
      </c>
      <c r="AA39" s="9"/>
    </row>
    <row r="40" spans="1:27">
      <c r="A40" t="s">
        <v>112</v>
      </c>
      <c r="C40" s="38"/>
      <c r="D40" s="38"/>
      <c r="E40" s="38"/>
      <c r="F40" s="22"/>
      <c r="G40" s="42"/>
      <c r="H40" s="38"/>
      <c r="I40" s="43"/>
      <c r="J40" s="46"/>
      <c r="K40" s="45"/>
      <c r="T40" s="17"/>
    </row>
    <row r="41" spans="1:27">
      <c r="F41" s="22"/>
      <c r="T41" s="17"/>
    </row>
    <row r="42" spans="1:27">
      <c r="A42" s="20" t="s">
        <v>19</v>
      </c>
      <c r="B42" s="187"/>
      <c r="C42" s="187"/>
      <c r="D42" s="187"/>
      <c r="E42" s="38"/>
      <c r="F42" s="187"/>
      <c r="G42" s="38"/>
      <c r="H42" s="38"/>
      <c r="I42" s="188"/>
      <c r="N42" s="187" t="e">
        <f>ROUND(SUMIF(_ECR_RateClass,'Yr End Cust Adj'!$A42,_ECRResults_Revenue),0)</f>
        <v>#NAME?</v>
      </c>
      <c r="O42" s="187" t="e">
        <f>SUMIF(_FACResults_RateClass,'Yr End Cust Adj'!$A42,_FACResults_FAC)</f>
        <v>#NAME?</v>
      </c>
      <c r="P42" s="187" t="e">
        <f>-SUMIF(_ECR_RateClass,'Yr End Cust Adj'!$A42,_ECR_BaseRevenue)</f>
        <v>#NAME?</v>
      </c>
      <c r="Q42" s="465" t="e">
        <f>SUMIF(_13Month_RateClass,'Yr End Cust Adj'!$A42,_13thMonth_Revenue_Current)</f>
        <v>#NAME?</v>
      </c>
      <c r="R42" s="465" t="e">
        <f>SUMIF(_13Month_RateClass,'Yr End Cust Adj'!$A42,_13thMonth_FAC_Current)</f>
        <v>#NAME?</v>
      </c>
      <c r="S42" s="465" t="e">
        <f>-SUMIF(_13Month_RateClass,'Yr End Cust Adj'!$A42,_13Month_Base_ECR_Total)</f>
        <v>#NAME?</v>
      </c>
      <c r="T42" s="189" t="e">
        <f>SUM(N42:S42)</f>
        <v>#NAME?</v>
      </c>
      <c r="V42">
        <v>0</v>
      </c>
      <c r="X42">
        <v>0</v>
      </c>
      <c r="Y42" s="22"/>
      <c r="Z42">
        <v>0</v>
      </c>
      <c r="AA42" s="9"/>
    </row>
    <row r="43" spans="1:27">
      <c r="A43" s="15" t="s">
        <v>86</v>
      </c>
      <c r="C43" s="38"/>
      <c r="D43" s="38"/>
      <c r="E43" s="38"/>
      <c r="F43" s="22"/>
      <c r="G43" s="42"/>
      <c r="H43" s="38"/>
      <c r="I43" s="43"/>
      <c r="J43" s="46"/>
      <c r="K43" s="45"/>
      <c r="T43" s="17"/>
    </row>
    <row r="44" spans="1:27">
      <c r="A44" t="s">
        <v>20</v>
      </c>
      <c r="B44" s="187"/>
      <c r="C44" s="187"/>
      <c r="D44" s="187"/>
      <c r="E44" s="38"/>
      <c r="F44" s="187"/>
      <c r="G44" s="38"/>
      <c r="H44" s="38"/>
      <c r="I44" s="188"/>
      <c r="N44" s="187" t="e">
        <f>ROUND(SUMIF(_ECR_RateClass,'Yr End Cust Adj'!$A44,_ECRResults_Revenue),0)</f>
        <v>#NAME?</v>
      </c>
      <c r="O44" s="187" t="e">
        <f>SUMIF(_FACResults_RateClass,'Yr End Cust Adj'!$A44,_FACResults_FAC)</f>
        <v>#NAME?</v>
      </c>
      <c r="P44" s="187" t="e">
        <f>-SUMIF(_ECR_RateClass,'Yr End Cust Adj'!$A44,_ECR_BaseRevenue)</f>
        <v>#NAME?</v>
      </c>
      <c r="Q44" s="465" t="e">
        <f>SUMIF(_13Month_RateClass,'Yr End Cust Adj'!$A44,_13thMonth_Revenue_Current)</f>
        <v>#NAME?</v>
      </c>
      <c r="R44" s="465" t="e">
        <f>SUMIF(_13Month_RateClass,'Yr End Cust Adj'!$A44,_13thMonth_FAC_Current)</f>
        <v>#NAME?</v>
      </c>
      <c r="S44" s="465" t="e">
        <f>-SUMIF(_13Month_RateClass,'Yr End Cust Adj'!$A44,_13Month_Base_ECR_Total)</f>
        <v>#NAME?</v>
      </c>
      <c r="T44" s="189" t="e">
        <f>SUM(N44:S44)</f>
        <v>#NAME?</v>
      </c>
      <c r="V44">
        <v>0</v>
      </c>
      <c r="W44">
        <f>'Rate Switch'!$C$48</f>
        <v>76</v>
      </c>
      <c r="X44">
        <v>0</v>
      </c>
      <c r="Y44" s="22">
        <f>'Rate Switch'!$D$48</f>
        <v>133792</v>
      </c>
      <c r="Z44">
        <v>0</v>
      </c>
      <c r="AA44" s="9">
        <f>'Rate Switch'!$W$48</f>
        <v>10668.95</v>
      </c>
    </row>
    <row r="45" spans="1:27">
      <c r="A45" t="s">
        <v>84</v>
      </c>
      <c r="C45" s="38"/>
      <c r="D45" s="38"/>
      <c r="E45" s="38"/>
      <c r="F45" s="22"/>
      <c r="G45" s="42"/>
      <c r="H45" s="38"/>
      <c r="I45" s="43"/>
      <c r="J45" s="46"/>
      <c r="K45" s="45"/>
      <c r="T45" s="17"/>
    </row>
    <row r="46" spans="1:27">
      <c r="F46" s="22"/>
      <c r="N46" s="38"/>
      <c r="O46" s="38"/>
      <c r="P46" s="38"/>
      <c r="T46" s="17"/>
    </row>
    <row r="47" spans="1:27">
      <c r="C47" s="47"/>
      <c r="D47" s="47"/>
      <c r="E47" s="38"/>
      <c r="F47" s="22"/>
      <c r="G47" s="42"/>
      <c r="H47" s="38"/>
      <c r="I47" s="43"/>
      <c r="J47" s="46"/>
      <c r="K47" s="45"/>
      <c r="T47" s="17"/>
    </row>
    <row r="48" spans="1:27">
      <c r="A48" t="s">
        <v>1139</v>
      </c>
      <c r="B48" s="187"/>
      <c r="C48" s="187"/>
      <c r="D48" s="187"/>
      <c r="E48" s="38"/>
      <c r="F48" s="187"/>
      <c r="G48" s="38"/>
      <c r="H48" s="38"/>
      <c r="I48" s="188"/>
      <c r="J48" s="48"/>
      <c r="N48" s="463" t="e">
        <f>ROUND(SUMIF(_ECRRollinLights_RateClass,'Yr End Cust Adj'!$A48,_ECRRollinLights_BaseRevenue),0)</f>
        <v>#NAME?</v>
      </c>
      <c r="O48" s="463" t="e">
        <f>SUMIF(_FACLights_RateClass,'Yr End Cust Adj'!$A48,_FACLights_FAC)</f>
        <v>#NAME?</v>
      </c>
      <c r="P48" s="463" t="e">
        <f>-SUMIF(_BaseECRLights_RateClass,'Yr End Cust Adj'!$A48,_BaseECRLights_Revenue)</f>
        <v>#NAME?</v>
      </c>
      <c r="Q48" s="464" t="e">
        <f>SUMIF(_13Month_RateClass,'Yr End Cust Adj'!$A48,_13thMonth_Revenue_Current)</f>
        <v>#NAME?</v>
      </c>
      <c r="R48" s="464" t="e">
        <f>SUMIF(_13Month_RateClass,'Yr End Cust Adj'!$A48,_13thMonth_FAC_Current)</f>
        <v>#NAME?</v>
      </c>
      <c r="S48" s="464" t="e">
        <f>-SUMIF(_13Month_RateClass,'Yr End Cust Adj'!$A48,_13Month_Base_ECR_Total)</f>
        <v>#NAME?</v>
      </c>
      <c r="T48" s="189" t="e">
        <f>SUM(N48:S48)</f>
        <v>#NAME?</v>
      </c>
      <c r="Y48" s="22"/>
      <c r="Z48" s="9"/>
      <c r="AA48" s="9"/>
    </row>
    <row r="49" spans="1:27">
      <c r="A49" t="s">
        <v>1140</v>
      </c>
      <c r="B49" s="187"/>
      <c r="C49" s="187"/>
      <c r="D49" s="187"/>
      <c r="E49" s="38"/>
      <c r="F49" s="187"/>
      <c r="G49" s="38"/>
      <c r="H49" s="38"/>
      <c r="I49" s="188"/>
      <c r="J49" s="48"/>
      <c r="N49" s="463" t="e">
        <f>ROUND(SUMIF(_ECRRollinLights_RateClass,'Yr End Cust Adj'!$A49,_ECRRollinLights_BaseRevenue),0)+2</f>
        <v>#NAME?</v>
      </c>
      <c r="O49" s="463" t="e">
        <f>SUMIF(_FACLights_RateClass,'Yr End Cust Adj'!$A49,_FACLights_FAC)</f>
        <v>#NAME?</v>
      </c>
      <c r="P49" s="463" t="e">
        <f>-SUMIF(_BaseECRLights_RateClass,'Yr End Cust Adj'!$A49,_BaseECRLights_Revenue)</f>
        <v>#NAME?</v>
      </c>
      <c r="Q49" s="464" t="e">
        <f>SUMIF(_13Month_RateClass,'Yr End Cust Adj'!$A49,_13thMonth_Revenue_Current)</f>
        <v>#NAME?</v>
      </c>
      <c r="R49" s="464" t="e">
        <f>SUMIF(_13Month_RateClass,'Yr End Cust Adj'!$A49,_13thMonth_FAC_Current)</f>
        <v>#NAME?</v>
      </c>
      <c r="S49" s="464" t="e">
        <f>-SUMIF(_13Month_RateClass,'Yr End Cust Adj'!$A49,_13Month_Base_ECR_Total)</f>
        <v>#NAME?</v>
      </c>
      <c r="T49" s="189" t="e">
        <f>SUM(N49:S49)</f>
        <v>#NAME?</v>
      </c>
      <c r="Y49" s="22"/>
      <c r="Z49" s="9"/>
      <c r="AA49" s="9"/>
    </row>
    <row r="50" spans="1:27" ht="14.25">
      <c r="A50" t="s">
        <v>1004</v>
      </c>
      <c r="C50" s="189"/>
      <c r="D50" s="189"/>
      <c r="E50" s="189"/>
      <c r="F50" s="189"/>
      <c r="G50" s="222"/>
      <c r="H50" s="189"/>
      <c r="I50" s="223"/>
      <c r="J50" s="14"/>
      <c r="K50" s="45"/>
    </row>
    <row r="51" spans="1:27" ht="12.75" thickBot="1">
      <c r="F51" s="22"/>
    </row>
    <row r="52" spans="1:27" ht="12.75" thickBot="1">
      <c r="A52" t="s">
        <v>449</v>
      </c>
      <c r="C52" s="38"/>
      <c r="D52" s="38"/>
      <c r="F52" s="38"/>
      <c r="I52" s="38"/>
      <c r="K52" s="282"/>
      <c r="N52" s="38" t="e">
        <f t="shared" ref="N52:T52" si="2">SUM(N5:N49)</f>
        <v>#NAME?</v>
      </c>
      <c r="O52" s="38" t="e">
        <f t="shared" si="2"/>
        <v>#NAME?</v>
      </c>
      <c r="P52" s="38" t="e">
        <f t="shared" si="2"/>
        <v>#NAME?</v>
      </c>
      <c r="Q52" s="38" t="e">
        <f t="shared" si="2"/>
        <v>#NAME?</v>
      </c>
      <c r="R52" s="38" t="e">
        <f t="shared" si="2"/>
        <v>#NAME?</v>
      </c>
      <c r="S52" s="38" t="e">
        <f t="shared" si="2"/>
        <v>#NAME?</v>
      </c>
      <c r="T52" s="38" t="e">
        <f t="shared" si="2"/>
        <v>#NAME?</v>
      </c>
      <c r="V52" s="38">
        <f t="shared" ref="V52:AA52" si="3">SUM(V5:V48)</f>
        <v>-18152</v>
      </c>
      <c r="W52" s="38">
        <f t="shared" si="3"/>
        <v>21216</v>
      </c>
      <c r="X52" s="38">
        <f t="shared" si="3"/>
        <v>-205228946</v>
      </c>
      <c r="Y52" s="38">
        <f t="shared" si="3"/>
        <v>306046735</v>
      </c>
      <c r="Z52" s="38">
        <f t="shared" si="3"/>
        <v>-16002238.970000001</v>
      </c>
      <c r="AA52" s="38">
        <f t="shared" si="3"/>
        <v>22352733.07</v>
      </c>
    </row>
    <row r="53" spans="1:27">
      <c r="F53" s="22"/>
    </row>
    <row r="54" spans="1:27">
      <c r="F54" s="22"/>
      <c r="Q54" s="14" t="e">
        <f>#REF!</f>
        <v>#REF!</v>
      </c>
    </row>
    <row r="55" spans="1:27">
      <c r="A55" t="s">
        <v>96</v>
      </c>
      <c r="F55" s="22"/>
      <c r="Q55" s="9" t="e">
        <f>#REF!</f>
        <v>#REF!</v>
      </c>
    </row>
    <row r="56" spans="1:27">
      <c r="A56" t="s">
        <v>99</v>
      </c>
      <c r="B56" s="38">
        <f>SUM(B5:B50)</f>
        <v>0</v>
      </c>
      <c r="F56" s="22">
        <f>F52</f>
        <v>0</v>
      </c>
      <c r="I56" s="22">
        <f>I52</f>
        <v>0</v>
      </c>
      <c r="N56" s="38"/>
      <c r="O56" s="38"/>
      <c r="Q56" s="14" t="e">
        <f>Q52-Q54-Q55</f>
        <v>#NAME?</v>
      </c>
    </row>
    <row r="57" spans="1:27">
      <c r="A57" t="s">
        <v>97</v>
      </c>
      <c r="B57" s="38" t="e">
        <f>SUM(#REF!)</f>
        <v>#REF!</v>
      </c>
      <c r="F57" s="22" t="e">
        <f>#REF!</f>
        <v>#REF!</v>
      </c>
      <c r="I57" s="22" t="e">
        <f>#REF!+#REF!-#REF!</f>
        <v>#REF!</v>
      </c>
      <c r="N57" s="38"/>
      <c r="O57" s="38"/>
    </row>
    <row r="58" spans="1:27">
      <c r="A58" t="s">
        <v>98</v>
      </c>
      <c r="B58" s="38">
        <f>SUM('12MonResults'!F473:F473)</f>
        <v>6233401</v>
      </c>
      <c r="F58" s="38">
        <f>'12MonResults'!J473</f>
        <v>18675275442</v>
      </c>
      <c r="I58" s="38" t="e">
        <f>#REF!+#REF!</f>
        <v>#REF!</v>
      </c>
      <c r="N58" s="38"/>
      <c r="O58" s="38"/>
    </row>
    <row r="59" spans="1:27">
      <c r="A59" t="s">
        <v>696</v>
      </c>
      <c r="B59" s="38">
        <f>SUM('12MonLights'!$E$1071:$F$1071)</f>
        <v>2024381</v>
      </c>
      <c r="F59" s="38">
        <f>'12MonLights'!$G$1071</f>
        <v>118735664</v>
      </c>
      <c r="I59" s="38" t="e">
        <f>#REF!+#REF!</f>
        <v>#REF!</v>
      </c>
      <c r="N59" s="38"/>
      <c r="O59" s="38"/>
    </row>
    <row r="60" spans="1:27">
      <c r="A60" t="s">
        <v>703</v>
      </c>
      <c r="B60" s="38"/>
      <c r="F60" s="38"/>
      <c r="I60" s="38" t="e">
        <f>-#REF!</f>
        <v>#REF!</v>
      </c>
      <c r="J60" s="38"/>
      <c r="N60" s="38"/>
      <c r="O60" s="38"/>
    </row>
    <row r="61" spans="1:27">
      <c r="B61" s="38" t="e">
        <f>B57+B58+B59</f>
        <v>#REF!</v>
      </c>
      <c r="F61" s="38" t="e">
        <f>F57+F58+F59</f>
        <v>#REF!</v>
      </c>
      <c r="I61" s="38" t="e">
        <f>I57+I58+I59+I60</f>
        <v>#REF!</v>
      </c>
    </row>
    <row r="62" spans="1:27">
      <c r="B62" s="38" t="e">
        <f>B61-B56</f>
        <v>#REF!</v>
      </c>
      <c r="C62" t="e">
        <f>IF(B61=B56,"OK","ERR")</f>
        <v>#REF!</v>
      </c>
      <c r="F62" s="22"/>
      <c r="G62" t="e">
        <f>IF(F61=F56,"OK","ERR")</f>
        <v>#REF!</v>
      </c>
      <c r="I62" s="38" t="e">
        <f>I61-I56</f>
        <v>#REF!</v>
      </c>
      <c r="J62" t="e">
        <f>IF(I61=I56,"OK","ERR")</f>
        <v>#REF!</v>
      </c>
    </row>
    <row r="63" spans="1:27">
      <c r="A63" s="15"/>
      <c r="B63" s="38"/>
      <c r="I63" s="38">
        <f>Z52+AA52</f>
        <v>6350494.0999999996</v>
      </c>
      <c r="J63" t="s">
        <v>855</v>
      </c>
    </row>
    <row r="64" spans="1:27">
      <c r="A64" s="52" t="s">
        <v>72</v>
      </c>
      <c r="B64" s="38">
        <f>SUMIF(_12MonResults_RateClass,A64,_12MonResults_CustomerCount)</f>
        <v>0</v>
      </c>
      <c r="C64" s="38"/>
      <c r="D64" s="38"/>
      <c r="E64" s="38"/>
      <c r="F64" s="38"/>
      <c r="I64" s="38" t="e">
        <f>I62+I63</f>
        <v>#REF!</v>
      </c>
    </row>
    <row r="65" spans="1:17">
      <c r="B65" s="38" t="s">
        <v>854</v>
      </c>
      <c r="C65" s="38"/>
      <c r="D65" s="38"/>
      <c r="E65" s="38"/>
      <c r="F65" s="38"/>
    </row>
    <row r="66" spans="1:17">
      <c r="A66" t="s">
        <v>920</v>
      </c>
      <c r="B66" s="38"/>
      <c r="C66" s="38"/>
      <c r="D66" s="38"/>
      <c r="E66" s="38"/>
      <c r="F66" s="38"/>
    </row>
    <row r="67" spans="1:17" s="307" customFormat="1">
      <c r="B67" s="308"/>
      <c r="C67" s="308"/>
      <c r="D67" s="308"/>
      <c r="E67" s="308"/>
      <c r="F67" s="308"/>
    </row>
    <row r="68" spans="1:17" s="307" customFormat="1">
      <c r="B68" s="308"/>
      <c r="C68" s="308"/>
      <c r="D68" s="308"/>
      <c r="E68" s="308"/>
      <c r="F68" s="308"/>
    </row>
    <row r="69" spans="1:17" s="307" customFormat="1">
      <c r="B69" s="308"/>
      <c r="C69" s="308"/>
      <c r="D69" s="308"/>
      <c r="E69" s="308"/>
      <c r="F69" s="308"/>
    </row>
    <row r="70" spans="1:17" s="307" customFormat="1">
      <c r="B70" s="308"/>
      <c r="C70" s="308"/>
      <c r="D70" s="308"/>
      <c r="E70" s="308"/>
      <c r="F70" s="308"/>
    </row>
    <row r="71" spans="1:17" s="307" customFormat="1">
      <c r="B71" s="308"/>
      <c r="C71" s="308"/>
      <c r="D71" s="308"/>
      <c r="E71" s="308"/>
      <c r="F71" s="308"/>
    </row>
    <row r="72" spans="1:17">
      <c r="B72" s="38"/>
      <c r="C72" s="38"/>
      <c r="D72" s="38"/>
      <c r="E72" s="38"/>
      <c r="F72" s="38"/>
    </row>
    <row r="73" spans="1:17">
      <c r="A73" s="74"/>
      <c r="B73" s="42"/>
      <c r="C73" s="782">
        <v>-1</v>
      </c>
      <c r="D73" s="782">
        <f t="shared" ref="D73" si="4">C73-1</f>
        <v>-2</v>
      </c>
      <c r="E73" s="782">
        <f t="shared" ref="E73" si="5">D73-1</f>
        <v>-3</v>
      </c>
      <c r="F73" s="782">
        <f t="shared" ref="F73" si="6">E73-1</f>
        <v>-4</v>
      </c>
      <c r="G73" s="782">
        <f t="shared" ref="G73" si="7">F73-1</f>
        <v>-5</v>
      </c>
      <c r="H73" s="782">
        <f t="shared" ref="H73" si="8">G73-1</f>
        <v>-6</v>
      </c>
      <c r="I73" s="782">
        <f t="shared" ref="I73" si="9">H73-1</f>
        <v>-7</v>
      </c>
      <c r="J73" s="782">
        <f t="shared" ref="J73" si="10">I73-1</f>
        <v>-8</v>
      </c>
      <c r="K73" s="782">
        <f t="shared" ref="K73" si="11">J73-1</f>
        <v>-9</v>
      </c>
    </row>
    <row r="74" spans="1:17" ht="48">
      <c r="A74" s="74"/>
      <c r="B74" s="42"/>
      <c r="C74" s="479" t="str">
        <f>"Average Number of Customers, 13 Months Ended "&amp;TEXT(MiscData!$F$1,"mmmm dd, yyyy")</f>
        <v>Average Number of Customers, 13 Months Ended June 30, 2016</v>
      </c>
      <c r="D74" s="479" t="str">
        <f>"Number of Customers Served at "&amp;TEXT(MiscData!$F$1,"mmmm dd, yyyy")</f>
        <v>Number of Customers Served at June 30, 2016</v>
      </c>
      <c r="E74" s="479" t="s">
        <v>87</v>
      </c>
      <c r="F74" s="481" t="s">
        <v>1002</v>
      </c>
      <c r="G74" s="479" t="s">
        <v>89</v>
      </c>
      <c r="H74" s="479" t="s">
        <v>90</v>
      </c>
      <c r="I74" s="481" t="s">
        <v>697</v>
      </c>
      <c r="J74" s="479" t="s">
        <v>91</v>
      </c>
      <c r="K74" s="479" t="s">
        <v>92</v>
      </c>
      <c r="P74" s="439" t="str">
        <f>TEXT(MiscData!$F$1,"mmm yyyy")</f>
        <v>Jun 2016</v>
      </c>
      <c r="Q74" s="439" t="s">
        <v>1420</v>
      </c>
    </row>
    <row r="75" spans="1:17">
      <c r="A75" s="74"/>
      <c r="B75" s="42"/>
      <c r="C75" s="479"/>
      <c r="D75" s="479"/>
      <c r="E75" s="783" t="str">
        <f>TEXT($D$73*-1,"(0)")&amp;" - "&amp;TEXT($C$73*-1,"(0)")</f>
        <v>(2) - (1)</v>
      </c>
      <c r="F75" s="593" t="s">
        <v>1003</v>
      </c>
      <c r="G75" s="783" t="str">
        <f>TEXT($F$73*-1,"(0)")&amp;" / "&amp;TEXT($C$73*-1,"(0)")</f>
        <v>(4) / (1)</v>
      </c>
      <c r="H75" s="783" t="str">
        <f>TEXT($E$73*-1,"(0)")&amp;" * "&amp;TEXT($G$73*-1,"(0)")</f>
        <v>(3) * (5)</v>
      </c>
      <c r="I75" s="593" t="s">
        <v>911</v>
      </c>
      <c r="J75" s="783" t="str">
        <f>TEXT($I$73*-1,"(0)")&amp;" / "&amp;TEXT($F$73*-1,"(0)")</f>
        <v>(7) / (4)</v>
      </c>
      <c r="K75" s="783" t="str">
        <f>TEXT($H$73*-1,"(0)")&amp;" * "&amp;TEXT($J$73*-1,"(0)")</f>
        <v>(6) * (8)</v>
      </c>
      <c r="P75" s="439" t="s">
        <v>14</v>
      </c>
      <c r="Q75" s="761" t="e">
        <f t="shared" ref="Q75:Q93" si="12">SUMIFS(_12MonResults_CustomerCount,_12MonResults_RevMonth,$P$74,_12MonResults_RateClass,$P75)+SUMIFS(_12MonResults_CustomerCount_Adj,_12MonResults_RevMonth,$P$74,_12MonResults_RateClass,$P75)</f>
        <v>#NAME?</v>
      </c>
    </row>
    <row r="76" spans="1:17">
      <c r="A76" s="74"/>
      <c r="B76" s="42"/>
      <c r="C76" s="42"/>
      <c r="D76" s="42"/>
      <c r="E76" s="42"/>
      <c r="F76" s="42"/>
      <c r="G76" s="74"/>
      <c r="H76" s="74"/>
      <c r="I76" s="74"/>
      <c r="J76" s="74"/>
      <c r="K76" s="74"/>
      <c r="P76" s="439" t="s">
        <v>16</v>
      </c>
      <c r="Q76" s="761" t="e">
        <f t="shared" si="12"/>
        <v>#NAME?</v>
      </c>
    </row>
    <row r="77" spans="1:17">
      <c r="A77" s="439" t="str">
        <f>A8</f>
        <v>Residential Service including VFD including rate switching</v>
      </c>
      <c r="B77" s="42"/>
      <c r="C77" s="602" t="e">
        <f>$G$235</f>
        <v>#NAME?</v>
      </c>
      <c r="D77" s="602" t="e">
        <f>Q75+Q76</f>
        <v>#NAME?</v>
      </c>
      <c r="E77" s="602" t="e">
        <f>D77-C77</f>
        <v>#NAME?</v>
      </c>
      <c r="F77" s="602" t="e">
        <f>$K$235</f>
        <v>#NAME?</v>
      </c>
      <c r="G77" s="602" t="e">
        <f>ROUND(F77/C77,0)</f>
        <v>#NAME?</v>
      </c>
      <c r="H77" s="602" t="e">
        <f>ROUND(E77*G77,0)</f>
        <v>#NAME?</v>
      </c>
      <c r="I77" s="756" t="e">
        <f>$K$276</f>
        <v>#NAME?</v>
      </c>
      <c r="J77" s="795" t="e">
        <f>ROUND(I77/F77,5)</f>
        <v>#NAME?</v>
      </c>
      <c r="K77" s="756" t="e">
        <f>ROUND(H77*J77,0)</f>
        <v>#NAME?</v>
      </c>
      <c r="P77" s="439" t="s">
        <v>206</v>
      </c>
      <c r="Q77" s="761" t="e">
        <f t="shared" si="12"/>
        <v>#NAME?</v>
      </c>
    </row>
    <row r="78" spans="1:17">
      <c r="A78" s="439"/>
      <c r="B78" s="42"/>
      <c r="C78" s="22"/>
      <c r="D78" s="22"/>
      <c r="E78" s="22"/>
      <c r="F78" s="22"/>
      <c r="G78" s="22"/>
      <c r="H78" s="22"/>
      <c r="I78" s="43"/>
      <c r="J78" s="264"/>
      <c r="K78" s="43"/>
      <c r="P78" s="447" t="s">
        <v>208</v>
      </c>
      <c r="Q78" s="761" t="e">
        <f t="shared" si="12"/>
        <v>#NAME?</v>
      </c>
    </row>
    <row r="79" spans="1:17" ht="12" customHeight="1">
      <c r="A79" s="439" t="str">
        <f>A11</f>
        <v>Residential Service -- Electric Vehicle Only</v>
      </c>
      <c r="B79" s="42"/>
      <c r="C79" s="602" t="e">
        <f>$G$237</f>
        <v>#NAME?</v>
      </c>
      <c r="D79" s="602" t="e">
        <f>Q77</f>
        <v>#NAME?</v>
      </c>
      <c r="E79" s="602" t="e">
        <f>D79-C79</f>
        <v>#NAME?</v>
      </c>
      <c r="F79" s="602" t="e">
        <f>$K$237</f>
        <v>#NAME?</v>
      </c>
      <c r="G79" s="602" t="e">
        <f>ROUND(F79/C79,0)</f>
        <v>#NAME?</v>
      </c>
      <c r="H79" s="602" t="e">
        <f>ROUND(E79*G79,0)</f>
        <v>#NAME?</v>
      </c>
      <c r="I79" s="756" t="e">
        <f>$K$278</f>
        <v>#NAME?</v>
      </c>
      <c r="J79" s="795" t="e">
        <f>ROUND(I79/F79,5)</f>
        <v>#NAME?</v>
      </c>
      <c r="K79" s="756" t="e">
        <f>ROUND(H79*J79,0)</f>
        <v>#NAME?</v>
      </c>
      <c r="P79" s="439" t="s">
        <v>17</v>
      </c>
      <c r="Q79" s="761" t="e">
        <f t="shared" si="12"/>
        <v>#NAME?</v>
      </c>
    </row>
    <row r="80" spans="1:17" ht="12" customHeight="1">
      <c r="A80" s="439"/>
      <c r="B80" s="42"/>
      <c r="C80" s="22"/>
      <c r="D80" s="22"/>
      <c r="E80" s="22"/>
      <c r="F80" s="22"/>
      <c r="G80" s="22"/>
      <c r="H80" s="22"/>
      <c r="I80" s="43"/>
      <c r="J80" s="264"/>
      <c r="K80" s="43"/>
      <c r="P80" s="439" t="s">
        <v>203</v>
      </c>
      <c r="Q80" s="761" t="e">
        <f t="shared" si="12"/>
        <v>#NAME?</v>
      </c>
    </row>
    <row r="81" spans="1:17" ht="12" customHeight="1">
      <c r="A81" s="439" t="str">
        <f>A16</f>
        <v>General Service</v>
      </c>
      <c r="B81" s="42"/>
      <c r="C81" s="602"/>
      <c r="D81" s="22"/>
      <c r="E81" s="602"/>
      <c r="F81" s="602"/>
      <c r="G81" s="602"/>
      <c r="H81" s="602"/>
      <c r="I81" s="43"/>
      <c r="J81" s="264">
        <f t="shared" ref="J81:K81" si="13">J16</f>
        <v>0</v>
      </c>
      <c r="K81" s="43">
        <f t="shared" si="13"/>
        <v>0</v>
      </c>
      <c r="P81" s="439" t="s">
        <v>212</v>
      </c>
      <c r="Q81" s="761" t="e">
        <f t="shared" si="12"/>
        <v>#NAME?</v>
      </c>
    </row>
    <row r="82" spans="1:17" ht="12" customHeight="1">
      <c r="A82" s="762" t="s">
        <v>1033</v>
      </c>
      <c r="B82" s="42"/>
      <c r="C82" s="602" t="e">
        <f>$G$240</f>
        <v>#NAME?</v>
      </c>
      <c r="D82" s="602" t="e">
        <f>Q78</f>
        <v>#NAME?</v>
      </c>
      <c r="E82" s="602" t="e">
        <f t="shared" ref="E82:E83" si="14">D82-C82</f>
        <v>#NAME?</v>
      </c>
      <c r="F82" s="602" t="e">
        <f>$K$240</f>
        <v>#NAME?</v>
      </c>
      <c r="G82" s="602" t="e">
        <f>ROUND(F82/C82,0)</f>
        <v>#NAME?</v>
      </c>
      <c r="H82" s="602" t="e">
        <f>ROUND(E82*G82,0)</f>
        <v>#NAME?</v>
      </c>
      <c r="I82" s="756" t="e">
        <f>$K$281</f>
        <v>#NAME?</v>
      </c>
      <c r="J82" s="795" t="e">
        <f>ROUND(I82/F82,5)</f>
        <v>#NAME?</v>
      </c>
      <c r="K82" s="756" t="e">
        <f>ROUND(H82*J82,0)</f>
        <v>#NAME?</v>
      </c>
      <c r="P82" s="439"/>
      <c r="Q82" s="761"/>
    </row>
    <row r="83" spans="1:17" ht="12" customHeight="1">
      <c r="A83" s="762" t="s">
        <v>1032</v>
      </c>
      <c r="B83" s="42"/>
      <c r="C83" s="602" t="e">
        <f>$G$241</f>
        <v>#NAME?</v>
      </c>
      <c r="D83" s="602" t="e">
        <f>Q79</f>
        <v>#NAME?</v>
      </c>
      <c r="E83" s="602" t="e">
        <f t="shared" si="14"/>
        <v>#NAME?</v>
      </c>
      <c r="F83" s="602" t="e">
        <f>$K$241</f>
        <v>#NAME?</v>
      </c>
      <c r="G83" s="602" t="e">
        <f>ROUND(F83/C83,0)</f>
        <v>#NAME?</v>
      </c>
      <c r="H83" s="602" t="e">
        <f>ROUND(E83*G83,0)</f>
        <v>#NAME?</v>
      </c>
      <c r="I83" s="756" t="e">
        <f>$K$282</f>
        <v>#NAME?</v>
      </c>
      <c r="J83" s="795" t="e">
        <f>ROUND(I83/F83,5)</f>
        <v>#NAME?</v>
      </c>
      <c r="K83" s="756" t="e">
        <f>ROUND(H83*J83,0)</f>
        <v>#NAME?</v>
      </c>
      <c r="P83" s="439"/>
      <c r="Q83" s="761"/>
    </row>
    <row r="84" spans="1:17" ht="12" customHeight="1">
      <c r="A84" s="439"/>
      <c r="B84" s="42"/>
      <c r="C84" s="22"/>
      <c r="D84" s="22"/>
      <c r="E84" s="22"/>
      <c r="F84" s="22"/>
      <c r="G84" s="22"/>
      <c r="H84" s="22"/>
      <c r="I84" s="43"/>
      <c r="J84" s="264"/>
      <c r="K84" s="43"/>
      <c r="P84" s="439" t="s">
        <v>25</v>
      </c>
      <c r="Q84" s="761" t="e">
        <f t="shared" si="12"/>
        <v>#NAME?</v>
      </c>
    </row>
    <row r="85" spans="1:17" ht="12" customHeight="1">
      <c r="A85" s="447" t="str">
        <f>A21</f>
        <v>Rate AES</v>
      </c>
      <c r="B85" s="42"/>
      <c r="C85" s="602"/>
      <c r="D85" s="288"/>
      <c r="E85" s="602"/>
      <c r="F85" s="602">
        <f>K243</f>
        <v>0</v>
      </c>
      <c r="G85" s="602"/>
      <c r="H85" s="602"/>
      <c r="I85" s="290"/>
      <c r="J85" s="292">
        <f t="shared" ref="J85:K85" si="15">J21</f>
        <v>0</v>
      </c>
      <c r="K85" s="290">
        <f t="shared" si="15"/>
        <v>0</v>
      </c>
      <c r="P85" s="439" t="s">
        <v>24</v>
      </c>
      <c r="Q85" s="761" t="e">
        <f t="shared" si="12"/>
        <v>#NAME?</v>
      </c>
    </row>
    <row r="86" spans="1:17" ht="12" customHeight="1">
      <c r="A86" s="762" t="s">
        <v>1033</v>
      </c>
      <c r="B86" s="42"/>
      <c r="C86" s="602" t="e">
        <f>$G$244</f>
        <v>#NAME?</v>
      </c>
      <c r="D86" s="794" t="e">
        <f>Q80</f>
        <v>#NAME?</v>
      </c>
      <c r="E86" s="602" t="e">
        <f t="shared" ref="E86:E87" si="16">D86-C86</f>
        <v>#NAME?</v>
      </c>
      <c r="F86" s="602" t="e">
        <f>$K$244</f>
        <v>#NAME?</v>
      </c>
      <c r="G86" s="602" t="e">
        <f>ROUND(F86/C86,0)</f>
        <v>#NAME?</v>
      </c>
      <c r="H86" s="602" t="e">
        <f>ROUND(E86*G86,0)</f>
        <v>#NAME?</v>
      </c>
      <c r="I86" s="756" t="e">
        <f>$K$285</f>
        <v>#NAME?</v>
      </c>
      <c r="J86" s="795" t="e">
        <f>ROUND(I86/F86,5)</f>
        <v>#NAME?</v>
      </c>
      <c r="K86" s="756" t="e">
        <f>ROUND(H86*J86,0)</f>
        <v>#NAME?</v>
      </c>
      <c r="P86" s="439"/>
      <c r="Q86" s="761"/>
    </row>
    <row r="87" spans="1:17" ht="12" customHeight="1">
      <c r="A87" s="762" t="s">
        <v>1032</v>
      </c>
      <c r="B87" s="42"/>
      <c r="C87" s="602" t="e">
        <f>$G$245</f>
        <v>#NAME?</v>
      </c>
      <c r="D87" s="794" t="e">
        <f>Q81</f>
        <v>#NAME?</v>
      </c>
      <c r="E87" s="602" t="e">
        <f t="shared" si="16"/>
        <v>#NAME?</v>
      </c>
      <c r="F87" s="602" t="e">
        <f>$K$245</f>
        <v>#NAME?</v>
      </c>
      <c r="G87" s="602" t="e">
        <f>ROUND(F87/C87,0)</f>
        <v>#NAME?</v>
      </c>
      <c r="H87" s="602" t="e">
        <f>ROUND(E87*G87,0)</f>
        <v>#NAME?</v>
      </c>
      <c r="I87" s="756" t="e">
        <f>$K$286</f>
        <v>#NAME?</v>
      </c>
      <c r="J87" s="795" t="e">
        <f>ROUND(I87/F87,5)</f>
        <v>#NAME?</v>
      </c>
      <c r="K87" s="756" t="e">
        <f>ROUND(H87*J87,0)</f>
        <v>#NAME?</v>
      </c>
      <c r="P87" s="439"/>
      <c r="Q87" s="761"/>
    </row>
    <row r="88" spans="1:17" ht="12" customHeight="1">
      <c r="A88" s="439"/>
      <c r="B88" s="42"/>
      <c r="C88" s="22"/>
      <c r="D88" s="22"/>
      <c r="E88" s="22"/>
      <c r="F88" s="22"/>
      <c r="G88" s="22"/>
      <c r="H88" s="22"/>
      <c r="I88" s="43"/>
      <c r="J88" s="264"/>
      <c r="K88" s="43"/>
      <c r="P88" s="439" t="s">
        <v>205</v>
      </c>
      <c r="Q88" s="761" t="e">
        <f t="shared" si="12"/>
        <v>#NAME?</v>
      </c>
    </row>
    <row r="89" spans="1:17" ht="12" customHeight="1">
      <c r="A89" s="439" t="str">
        <f>A23</f>
        <v>Power Service</v>
      </c>
      <c r="B89" s="42"/>
      <c r="C89" s="22"/>
      <c r="D89" s="602"/>
      <c r="E89" s="22"/>
      <c r="F89" s="22"/>
      <c r="G89" s="22"/>
      <c r="H89" s="22"/>
      <c r="I89" s="43"/>
      <c r="J89" s="264"/>
      <c r="K89" s="43"/>
      <c r="P89" s="439" t="s">
        <v>204</v>
      </c>
      <c r="Q89" s="761" t="e">
        <f t="shared" si="12"/>
        <v>#NAME?</v>
      </c>
    </row>
    <row r="90" spans="1:17" ht="12" customHeight="1">
      <c r="A90" s="762" t="str">
        <f>A25</f>
        <v>Primary</v>
      </c>
      <c r="B90" s="42"/>
      <c r="C90" s="602" t="e">
        <f>$G$248</f>
        <v>#NAME?</v>
      </c>
      <c r="D90" s="763" t="e">
        <f>Q84</f>
        <v>#NAME?</v>
      </c>
      <c r="E90" s="602" t="e">
        <f>D90-C90</f>
        <v>#NAME?</v>
      </c>
      <c r="F90" s="602" t="e">
        <f>$K$248</f>
        <v>#NAME?</v>
      </c>
      <c r="G90" s="602" t="e">
        <f>ROUND(F90/C90,0)</f>
        <v>#NAME?</v>
      </c>
      <c r="H90" s="602" t="e">
        <f>ROUND(E90*G90,0)</f>
        <v>#NAME?</v>
      </c>
      <c r="I90" s="756" t="e">
        <f>$K$289</f>
        <v>#NAME?</v>
      </c>
      <c r="J90" s="795" t="e">
        <f>ROUND(I90/F90,5)</f>
        <v>#NAME?</v>
      </c>
      <c r="K90" s="756" t="e">
        <f>ROUND(H90*J90,0)</f>
        <v>#NAME?</v>
      </c>
      <c r="P90" s="439" t="s">
        <v>18</v>
      </c>
      <c r="Q90" s="761" t="e">
        <f t="shared" si="12"/>
        <v>#NAME?</v>
      </c>
    </row>
    <row r="91" spans="1:17" ht="12" customHeight="1">
      <c r="A91" s="762" t="str">
        <f>A27</f>
        <v>Secondary</v>
      </c>
      <c r="B91" s="42"/>
      <c r="C91" s="602" t="e">
        <f>$G$249</f>
        <v>#NAME?</v>
      </c>
      <c r="D91" s="763" t="e">
        <f>Q85</f>
        <v>#NAME?</v>
      </c>
      <c r="E91" s="602" t="e">
        <f>D91-C91</f>
        <v>#NAME?</v>
      </c>
      <c r="F91" s="602" t="e">
        <f>$K$249</f>
        <v>#NAME?</v>
      </c>
      <c r="G91" s="602" t="e">
        <f>ROUND(F91/C91,0)</f>
        <v>#NAME?</v>
      </c>
      <c r="H91" s="602" t="e">
        <f>ROUND(E91*G91,0)</f>
        <v>#NAME?</v>
      </c>
      <c r="I91" s="756" t="e">
        <f>$K$290</f>
        <v>#NAME?</v>
      </c>
      <c r="J91" s="795" t="e">
        <f>ROUND(I91/F91,5)</f>
        <v>#NAME?</v>
      </c>
      <c r="K91" s="756" t="e">
        <f>ROUND(H91*J91,0)</f>
        <v>#NAME?</v>
      </c>
      <c r="P91" s="439" t="s">
        <v>27</v>
      </c>
      <c r="Q91" s="761" t="e">
        <f t="shared" si="12"/>
        <v>#NAME?</v>
      </c>
    </row>
    <row r="92" spans="1:17" ht="12" customHeight="1">
      <c r="A92" s="439"/>
      <c r="B92" s="42"/>
      <c r="C92" s="22"/>
      <c r="D92" s="22"/>
      <c r="E92" s="22"/>
      <c r="F92" s="22"/>
      <c r="G92" s="22"/>
      <c r="H92" s="22"/>
      <c r="I92" s="43"/>
      <c r="J92" s="264"/>
      <c r="K92" s="43"/>
      <c r="P92" s="439" t="s">
        <v>19</v>
      </c>
      <c r="Q92" s="761" t="e">
        <f t="shared" si="12"/>
        <v>#NAME?</v>
      </c>
    </row>
    <row r="93" spans="1:17" ht="12" customHeight="1">
      <c r="A93" s="439" t="str">
        <f>A29</f>
        <v>Industrial Time of Day</v>
      </c>
      <c r="B93" s="42"/>
      <c r="C93" s="22"/>
      <c r="D93" s="22"/>
      <c r="E93" s="22"/>
      <c r="F93" s="22"/>
      <c r="G93" s="22"/>
      <c r="H93" s="22"/>
      <c r="I93" s="43"/>
      <c r="J93" s="264"/>
      <c r="K93" s="43"/>
      <c r="P93" s="439" t="s">
        <v>20</v>
      </c>
      <c r="Q93" s="761" t="e">
        <f t="shared" si="12"/>
        <v>#NAME?</v>
      </c>
    </row>
    <row r="94" spans="1:17" ht="12" customHeight="1">
      <c r="A94" s="762" t="str">
        <f>A31&amp;" (a)"</f>
        <v>Primary (a)</v>
      </c>
      <c r="B94" s="439"/>
      <c r="C94" s="602"/>
      <c r="D94" s="763" t="e">
        <f>Q88</f>
        <v>#NAME?</v>
      </c>
      <c r="E94" s="763"/>
      <c r="F94" s="602" t="e">
        <f>$K$252</f>
        <v>#NAME?</v>
      </c>
      <c r="G94" s="763"/>
      <c r="H94" s="763"/>
      <c r="I94" s="756" t="e">
        <f>$K$293</f>
        <v>#NAME?</v>
      </c>
      <c r="J94" s="795"/>
      <c r="K94" s="756">
        <f>ROUND(H94*J94,0)</f>
        <v>0</v>
      </c>
      <c r="P94" s="439" t="s">
        <v>1139</v>
      </c>
      <c r="Q94" s="761">
        <f>SUMIFS(_12MonLights_Count,_12MonLights_RevMonth,$P$74,_12MonLights_RateClass,'Yr End Cust Adj'!$P94)+SUMIFS(_12MonLights_Count_Adj,_12MonLights_RevMonth,$P$74,_12MonLights_RateClass,'Yr End Cust Adj'!$P94)</f>
        <v>144553</v>
      </c>
    </row>
    <row r="95" spans="1:17">
      <c r="A95" s="762" t="str">
        <f>A33&amp;" (b)"</f>
        <v>Secondary (b)</v>
      </c>
      <c r="B95" s="42"/>
      <c r="C95" s="602"/>
      <c r="D95" s="763" t="e">
        <f>Q89</f>
        <v>#NAME?</v>
      </c>
      <c r="E95" s="289"/>
      <c r="F95" s="602" t="e">
        <f>$K$253</f>
        <v>#NAME?</v>
      </c>
      <c r="G95" s="289"/>
      <c r="H95" s="289"/>
      <c r="I95" s="756" t="e">
        <f>$K$294</f>
        <v>#NAME?</v>
      </c>
      <c r="J95" s="795"/>
      <c r="K95" s="756">
        <f>ROUND(H95*J95,0)</f>
        <v>0</v>
      </c>
      <c r="P95" s="439" t="s">
        <v>1140</v>
      </c>
      <c r="Q95" s="761">
        <f>SUMIFS(_12MonLights_Count,_12MonLights_RevMonth,$P$74,_12MonLights_RateClass,'Yr End Cust Adj'!$P95)+SUMIFS(_12MonLights_Count_Adj,_12MonLights_RevMonth,$P$74,_12MonLights_RateClass,'Yr End Cust Adj'!$P95)</f>
        <v>27183</v>
      </c>
    </row>
    <row r="96" spans="1:17">
      <c r="A96" s="439"/>
      <c r="B96" s="74"/>
      <c r="C96" s="22"/>
      <c r="D96" s="602"/>
      <c r="E96" s="22"/>
      <c r="F96" s="22"/>
      <c r="G96" s="22"/>
      <c r="H96" s="22"/>
      <c r="I96" s="43"/>
      <c r="J96" s="264"/>
      <c r="K96" s="43"/>
    </row>
    <row r="97" spans="1:11">
      <c r="A97" s="439" t="str">
        <f>A36&amp;" (c)"</f>
        <v>Retail Transmisison Service (c)</v>
      </c>
      <c r="B97" s="74"/>
      <c r="C97" s="22"/>
      <c r="D97" s="602" t="e">
        <f>Q90</f>
        <v>#NAME?</v>
      </c>
      <c r="E97" s="22"/>
      <c r="F97" s="602" t="e">
        <f>$K$255</f>
        <v>#NAME?</v>
      </c>
      <c r="G97" s="289"/>
      <c r="H97" s="22"/>
      <c r="I97" s="756" t="e">
        <f>$K$296</f>
        <v>#NAME?</v>
      </c>
      <c r="J97" s="795"/>
      <c r="K97" s="756">
        <f>ROUND(H97*J97,0)</f>
        <v>0</v>
      </c>
    </row>
    <row r="98" spans="1:11">
      <c r="A98" s="439"/>
      <c r="B98" s="74"/>
      <c r="C98" s="22"/>
      <c r="D98" s="602"/>
      <c r="E98" s="22"/>
      <c r="F98" s="22"/>
      <c r="G98" s="22"/>
      <c r="H98" s="22"/>
      <c r="I98" s="43"/>
      <c r="J98" s="264"/>
      <c r="K98" s="43"/>
    </row>
    <row r="99" spans="1:11">
      <c r="A99" s="439" t="str">
        <f>A40</f>
        <v>Fluctuating Load Service</v>
      </c>
      <c r="B99" s="74"/>
      <c r="C99" s="602" t="e">
        <f>$G$257</f>
        <v>#NAME?</v>
      </c>
      <c r="D99" s="602" t="e">
        <f>Q91</f>
        <v>#NAME?</v>
      </c>
      <c r="E99" s="602" t="e">
        <f>D99-C99</f>
        <v>#NAME?</v>
      </c>
      <c r="F99" s="602" t="e">
        <f>$K$257</f>
        <v>#NAME?</v>
      </c>
      <c r="G99" s="602" t="e">
        <f>ROUND(F99/C99,0)</f>
        <v>#NAME?</v>
      </c>
      <c r="H99" s="602" t="e">
        <f>ROUND(E99*G99,0)</f>
        <v>#NAME?</v>
      </c>
      <c r="I99" s="756" t="e">
        <f>$K$298</f>
        <v>#NAME?</v>
      </c>
      <c r="J99" s="795" t="e">
        <f>ROUND(I99/F99,5)</f>
        <v>#NAME?</v>
      </c>
      <c r="K99" s="756" t="e">
        <f>ROUND(H99*J99,0)</f>
        <v>#NAME?</v>
      </c>
    </row>
    <row r="100" spans="1:11">
      <c r="A100" s="439"/>
      <c r="B100" s="74"/>
      <c r="C100" s="22"/>
      <c r="D100" s="602"/>
      <c r="E100" s="22"/>
      <c r="F100" s="22"/>
      <c r="G100" s="22"/>
      <c r="H100" s="22"/>
      <c r="I100" s="43"/>
      <c r="J100" s="264"/>
      <c r="K100" s="43"/>
    </row>
    <row r="101" spans="1:11">
      <c r="A101" s="439" t="str">
        <f>A43</f>
        <v>Lighting Energy</v>
      </c>
      <c r="B101" s="74"/>
      <c r="C101" s="602" t="e">
        <f>$G$259</f>
        <v>#NAME?</v>
      </c>
      <c r="D101" s="602" t="e">
        <f>Q92</f>
        <v>#NAME?</v>
      </c>
      <c r="E101" s="602" t="e">
        <f>D101-C101</f>
        <v>#NAME?</v>
      </c>
      <c r="F101" s="602" t="e">
        <f>$K$259</f>
        <v>#NAME?</v>
      </c>
      <c r="G101" s="602" t="e">
        <f>ROUND(F101/C101,0)</f>
        <v>#NAME?</v>
      </c>
      <c r="H101" s="602" t="e">
        <f>ROUND(E101*G101,0)</f>
        <v>#NAME?</v>
      </c>
      <c r="I101" s="756" t="e">
        <f>$K$300</f>
        <v>#NAME?</v>
      </c>
      <c r="J101" s="795" t="e">
        <f>ROUND(I101/F101,5)</f>
        <v>#NAME?</v>
      </c>
      <c r="K101" s="756" t="e">
        <f>ROUND(H101*J101,0)</f>
        <v>#NAME?</v>
      </c>
    </row>
    <row r="102" spans="1:11">
      <c r="A102" s="439"/>
      <c r="B102" s="74"/>
      <c r="C102" s="22"/>
      <c r="D102" s="602"/>
      <c r="E102" s="22"/>
      <c r="F102" s="22"/>
      <c r="G102" s="22"/>
      <c r="H102" s="22"/>
      <c r="I102" s="43"/>
      <c r="J102" s="264"/>
      <c r="K102" s="43"/>
    </row>
    <row r="103" spans="1:11">
      <c r="A103" s="439" t="str">
        <f>A45</f>
        <v>Traffic Energy</v>
      </c>
      <c r="B103" s="74"/>
      <c r="C103" s="602" t="e">
        <f>$G$261</f>
        <v>#NAME?</v>
      </c>
      <c r="D103" s="602" t="e">
        <f>Q93</f>
        <v>#NAME?</v>
      </c>
      <c r="E103" s="602" t="e">
        <f>D103-C103</f>
        <v>#NAME?</v>
      </c>
      <c r="F103" s="602" t="e">
        <f>$K$261</f>
        <v>#NAME?</v>
      </c>
      <c r="G103" s="602" t="e">
        <f>ROUND(F103/C103,0)</f>
        <v>#NAME?</v>
      </c>
      <c r="H103" s="602" t="e">
        <f>ROUND(E103*G103,0)</f>
        <v>#NAME?</v>
      </c>
      <c r="I103" s="756" t="e">
        <f>$K$302</f>
        <v>#NAME?</v>
      </c>
      <c r="J103" s="795" t="e">
        <f>ROUND(I103/F103,5)</f>
        <v>#NAME?</v>
      </c>
      <c r="K103" s="756" t="e">
        <f>ROUND(H103*J103,0)</f>
        <v>#NAME?</v>
      </c>
    </row>
    <row r="104" spans="1:11">
      <c r="A104" s="439"/>
      <c r="B104" s="74"/>
      <c r="D104" s="291"/>
      <c r="E104" s="291"/>
      <c r="F104" s="22"/>
      <c r="G104" s="22"/>
      <c r="H104" s="22"/>
      <c r="I104" s="43"/>
      <c r="J104" s="43"/>
      <c r="K104" s="43"/>
    </row>
    <row r="105" spans="1:11" ht="14.25">
      <c r="A105" s="439" t="s">
        <v>1425</v>
      </c>
      <c r="B105" s="74"/>
      <c r="C105" s="790" t="s">
        <v>868</v>
      </c>
      <c r="D105" s="791"/>
      <c r="E105" s="54"/>
      <c r="F105" s="54"/>
      <c r="G105" s="54"/>
      <c r="H105" s="54"/>
      <c r="I105" s="44"/>
      <c r="J105" s="266"/>
      <c r="K105" s="44"/>
    </row>
    <row r="106" spans="1:11">
      <c r="A106" s="762" t="s">
        <v>85</v>
      </c>
      <c r="B106" s="74"/>
      <c r="C106" s="602" t="e">
        <f>ROUND(SUM(Q255:T255)/13,0)</f>
        <v>#NAME?</v>
      </c>
      <c r="D106" s="602">
        <f>Q94</f>
        <v>144553</v>
      </c>
      <c r="E106" s="602" t="e">
        <f t="shared" ref="E106:E107" si="17">D106-C106</f>
        <v>#NAME?</v>
      </c>
      <c r="F106" s="602" t="e">
        <f>$K$264</f>
        <v>#NAME?</v>
      </c>
      <c r="G106" s="222"/>
      <c r="H106" s="235"/>
      <c r="I106" s="756" t="e">
        <f>$K$305</f>
        <v>#NAME?</v>
      </c>
      <c r="J106" s="266"/>
      <c r="K106" s="265"/>
    </row>
    <row r="107" spans="1:11" ht="14.25">
      <c r="A107" s="762" t="s">
        <v>1426</v>
      </c>
      <c r="B107" s="74"/>
      <c r="C107" s="603" t="e">
        <f>ROUND(SUM(Q256:T256)/13,0)</f>
        <v>#NAME?</v>
      </c>
      <c r="D107" s="603">
        <f>Q95</f>
        <v>27183</v>
      </c>
      <c r="E107" s="602" t="e">
        <f t="shared" si="17"/>
        <v>#NAME?</v>
      </c>
      <c r="F107" s="603" t="e">
        <f>$K$265</f>
        <v>#NAME?</v>
      </c>
      <c r="G107" s="222"/>
      <c r="H107" s="54"/>
      <c r="I107" s="787" t="e">
        <f>$K$306</f>
        <v>#NAME?</v>
      </c>
      <c r="J107" s="266"/>
      <c r="K107" s="265"/>
    </row>
    <row r="108" spans="1:11">
      <c r="A108" s="762"/>
      <c r="B108" s="74"/>
      <c r="C108" s="602" t="e">
        <f>SUM(C106:C107)</f>
        <v>#NAME?</v>
      </c>
      <c r="D108" s="602">
        <f>SUM(D106:D107)</f>
        <v>171736</v>
      </c>
      <c r="E108" s="602" t="e">
        <f>D108-C108</f>
        <v>#NAME?</v>
      </c>
      <c r="F108" s="602" t="e">
        <f>SUM(F106:F107)</f>
        <v>#NAME?</v>
      </c>
      <c r="G108" s="602" t="e">
        <f>ROUND(F108/C108,0)</f>
        <v>#NAME?</v>
      </c>
      <c r="H108" s="602" t="e">
        <f>ROUND(E108*G108,0)</f>
        <v>#NAME?</v>
      </c>
      <c r="I108" s="756" t="e">
        <f>SUM(I106:I107)</f>
        <v>#NAME?</v>
      </c>
      <c r="J108" s="601" t="e">
        <f>ROUND(I108/C108,5)</f>
        <v>#NAME?</v>
      </c>
      <c r="K108" s="756" t="e">
        <f>ROUND(E108*J108,0)</f>
        <v>#NAME?</v>
      </c>
    </row>
    <row r="109" spans="1:11">
      <c r="A109" s="439"/>
      <c r="B109" s="74"/>
      <c r="C109" s="22"/>
      <c r="D109" s="22"/>
      <c r="E109" s="22"/>
      <c r="F109" s="22"/>
      <c r="G109" s="22"/>
      <c r="H109" s="22"/>
      <c r="I109" s="43"/>
      <c r="J109" s="43"/>
      <c r="K109" s="43"/>
    </row>
    <row r="110" spans="1:11">
      <c r="A110" s="684" t="str">
        <f>A52</f>
        <v>Totals</v>
      </c>
      <c r="B110" s="74"/>
      <c r="C110" s="602" t="e">
        <f>SUM(C77:C103,C108)</f>
        <v>#NAME?</v>
      </c>
      <c r="D110" s="602" t="e">
        <f>SUM(D77:D103,D108)</f>
        <v>#NAME?</v>
      </c>
      <c r="E110" s="22"/>
      <c r="F110" s="602" t="e">
        <f>SUM(F77:F103,F108)</f>
        <v>#NAME?</v>
      </c>
      <c r="G110" s="22"/>
      <c r="H110" s="22"/>
      <c r="I110" s="756" t="e">
        <f>SUM(I77:I103,I108)</f>
        <v>#NAME?</v>
      </c>
      <c r="J110" s="22"/>
      <c r="K110" s="756" t="e">
        <f>SUM(K77:K103,K108)</f>
        <v>#NAME?</v>
      </c>
    </row>
    <row r="111" spans="1:11">
      <c r="A111" s="74"/>
      <c r="B111" s="74"/>
      <c r="C111" s="74"/>
      <c r="D111" s="74"/>
      <c r="E111" s="74"/>
      <c r="F111" s="74"/>
      <c r="G111" s="74"/>
      <c r="H111" s="74"/>
      <c r="I111" s="74"/>
      <c r="J111" s="74"/>
      <c r="K111" s="74"/>
    </row>
    <row r="112" spans="1:11">
      <c r="A112" s="786" t="s">
        <v>919</v>
      </c>
      <c r="B112" s="299"/>
      <c r="C112" s="792" t="e">
        <f>C130</f>
        <v>#REF!</v>
      </c>
      <c r="D112" s="786" t="s">
        <v>867</v>
      </c>
      <c r="E112" s="300"/>
      <c r="F112" s="26"/>
      <c r="G112" s="300"/>
      <c r="H112" s="300"/>
      <c r="I112" s="300"/>
      <c r="J112" s="300"/>
      <c r="K112" s="784" t="e">
        <f>K110*C112</f>
        <v>#NAME?</v>
      </c>
    </row>
    <row r="113" spans="1:11">
      <c r="A113" s="299"/>
      <c r="B113" s="299"/>
      <c r="C113" s="299"/>
      <c r="D113" s="299"/>
      <c r="E113" s="300"/>
      <c r="F113" s="26"/>
      <c r="G113" s="300"/>
      <c r="H113" s="300"/>
      <c r="I113" s="300"/>
      <c r="J113" s="300"/>
      <c r="K113" s="299"/>
    </row>
    <row r="114" spans="1:11" ht="12.75" thickBot="1">
      <c r="A114" s="74"/>
      <c r="B114" s="299"/>
      <c r="C114" s="299"/>
      <c r="D114" s="74"/>
      <c r="E114" s="74"/>
      <c r="F114" s="74"/>
      <c r="G114" s="793" t="s">
        <v>1021</v>
      </c>
      <c r="H114" s="300"/>
      <c r="I114" s="435"/>
      <c r="J114" s="300"/>
      <c r="K114" s="785" t="e">
        <f>+K110-K112</f>
        <v>#NAME?</v>
      </c>
    </row>
    <row r="115" spans="1:11" ht="12.75" thickTop="1">
      <c r="A115" s="298" t="s">
        <v>908</v>
      </c>
      <c r="B115" s="74"/>
      <c r="C115" s="74"/>
      <c r="D115" s="74"/>
      <c r="E115" s="74"/>
      <c r="F115" s="74"/>
      <c r="G115" s="74"/>
      <c r="H115" s="74"/>
      <c r="I115" s="74"/>
      <c r="J115" s="74"/>
      <c r="K115" s="74"/>
    </row>
    <row r="116" spans="1:11">
      <c r="A116" s="298" t="s">
        <v>909</v>
      </c>
      <c r="B116" s="74"/>
      <c r="C116" s="74"/>
      <c r="D116" s="74"/>
      <c r="E116" s="74"/>
      <c r="F116" s="74"/>
      <c r="G116" s="74"/>
      <c r="H116" s="74"/>
      <c r="I116" s="74"/>
      <c r="J116" s="74"/>
      <c r="K116" s="74"/>
    </row>
    <row r="117" spans="1:11">
      <c r="A117" s="298" t="s">
        <v>910</v>
      </c>
      <c r="B117" s="74"/>
      <c r="C117" s="74"/>
      <c r="D117" s="74"/>
      <c r="E117" s="74"/>
      <c r="F117" s="74"/>
      <c r="G117" s="74"/>
      <c r="H117" s="74"/>
      <c r="I117" s="74"/>
      <c r="J117" s="74"/>
      <c r="K117" s="74"/>
    </row>
    <row r="118" spans="1:11">
      <c r="A118" s="74"/>
      <c r="B118" s="74"/>
      <c r="C118" s="74"/>
      <c r="D118" s="74"/>
      <c r="E118" s="74"/>
      <c r="F118" s="74"/>
      <c r="G118" s="74"/>
      <c r="H118" s="74"/>
      <c r="I118" s="74"/>
      <c r="J118" s="74"/>
      <c r="K118" s="74"/>
    </row>
    <row r="119" spans="1:11">
      <c r="A119" s="74"/>
      <c r="B119" s="74"/>
      <c r="C119" s="74"/>
      <c r="D119" s="74"/>
      <c r="E119" s="74"/>
      <c r="F119" s="74"/>
      <c r="G119" s="74"/>
      <c r="H119" s="74"/>
      <c r="I119" s="74"/>
      <c r="J119" s="74"/>
      <c r="K119" s="74"/>
    </row>
    <row r="120" spans="1:11">
      <c r="A120" s="439" t="s">
        <v>859</v>
      </c>
      <c r="B120" s="439"/>
      <c r="C120" s="74"/>
      <c r="D120" s="74"/>
      <c r="E120" s="74"/>
      <c r="F120" s="74"/>
      <c r="G120" s="74"/>
      <c r="H120" s="74"/>
      <c r="I120" s="74"/>
      <c r="J120" s="74"/>
      <c r="K120" s="74"/>
    </row>
    <row r="121" spans="1:11">
      <c r="A121" s="439"/>
      <c r="B121" s="439"/>
      <c r="C121" s="74"/>
      <c r="D121" s="74"/>
      <c r="E121" s="74"/>
      <c r="F121" s="74"/>
      <c r="G121" s="74"/>
      <c r="H121" s="74"/>
      <c r="I121" s="74"/>
      <c r="J121" s="74"/>
      <c r="K121" s="74"/>
    </row>
    <row r="122" spans="1:11">
      <c r="A122" s="439" t="s">
        <v>860</v>
      </c>
      <c r="B122" s="439"/>
      <c r="C122" s="756">
        <v>926012530</v>
      </c>
      <c r="D122" s="74" t="s">
        <v>1433</v>
      </c>
      <c r="E122" s="74"/>
      <c r="F122" s="74"/>
      <c r="G122" s="74"/>
      <c r="H122" s="74"/>
      <c r="I122" s="74"/>
      <c r="J122" s="74"/>
      <c r="K122" s="74"/>
    </row>
    <row r="123" spans="1:11">
      <c r="A123" s="762" t="s">
        <v>861</v>
      </c>
      <c r="B123" s="439"/>
      <c r="C123" s="756">
        <f>143387269-C124</f>
        <v>114153986</v>
      </c>
      <c r="D123" s="298" t="s">
        <v>1437</v>
      </c>
      <c r="E123" s="74"/>
      <c r="F123" s="74"/>
      <c r="G123" s="74"/>
      <c r="H123" s="74"/>
      <c r="I123" s="74"/>
      <c r="J123" s="74"/>
      <c r="K123" s="74"/>
    </row>
    <row r="124" spans="1:11">
      <c r="A124" s="762" t="s">
        <v>862</v>
      </c>
      <c r="B124" s="439"/>
      <c r="C124" s="756">
        <v>29233283</v>
      </c>
      <c r="D124" s="298" t="s">
        <v>1436</v>
      </c>
      <c r="E124" s="74"/>
      <c r="F124" s="74"/>
      <c r="G124" s="74"/>
      <c r="H124" s="74"/>
      <c r="I124" s="74"/>
      <c r="J124" s="74"/>
      <c r="K124" s="74"/>
    </row>
    <row r="125" spans="1:11" ht="14.25">
      <c r="A125" s="762" t="s">
        <v>863</v>
      </c>
      <c r="B125" s="439"/>
      <c r="C125" s="787">
        <v>1235740</v>
      </c>
      <c r="D125" s="74" t="s">
        <v>1434</v>
      </c>
      <c r="E125" s="74"/>
      <c r="F125" s="74"/>
      <c r="G125" s="74"/>
      <c r="H125" s="74"/>
      <c r="I125" s="74"/>
      <c r="J125" s="74"/>
      <c r="K125" s="74"/>
    </row>
    <row r="126" spans="1:11">
      <c r="A126" s="788" t="s">
        <v>864</v>
      </c>
      <c r="B126" s="439"/>
      <c r="C126" s="756">
        <f>C122-SUM(C123:C125)</f>
        <v>781389521</v>
      </c>
      <c r="D126" s="74"/>
      <c r="E126" s="74"/>
      <c r="F126" s="74"/>
      <c r="G126" s="74"/>
      <c r="H126" s="74"/>
      <c r="I126" s="74"/>
      <c r="J126" s="74"/>
      <c r="K126" s="74"/>
    </row>
    <row r="127" spans="1:11">
      <c r="A127" s="439"/>
      <c r="B127" s="439"/>
      <c r="C127" s="43"/>
      <c r="D127" s="74"/>
      <c r="E127" s="74"/>
      <c r="F127" s="74"/>
      <c r="G127" s="74"/>
      <c r="H127" s="74"/>
      <c r="I127" s="74"/>
      <c r="J127" s="74"/>
      <c r="K127" s="74"/>
    </row>
    <row r="128" spans="1:11">
      <c r="A128" s="439" t="s">
        <v>865</v>
      </c>
      <c r="B128" s="439"/>
      <c r="C128" s="756" t="e">
        <f>'Sch M-2.2-pg 1'!#REF!</f>
        <v>#REF!</v>
      </c>
      <c r="D128" s="74"/>
      <c r="E128" s="74"/>
      <c r="F128" s="74"/>
      <c r="G128" s="74"/>
      <c r="H128" s="74"/>
      <c r="I128" s="74"/>
      <c r="J128" s="74"/>
      <c r="K128" s="74"/>
    </row>
    <row r="129" spans="1:11">
      <c r="A129" s="439"/>
      <c r="B129" s="439"/>
      <c r="C129" s="74"/>
      <c r="D129" s="74"/>
      <c r="E129" s="74"/>
      <c r="F129" s="74"/>
      <c r="G129" s="74"/>
      <c r="H129" s="74"/>
      <c r="I129" s="74"/>
      <c r="J129" s="74"/>
      <c r="K129" s="74"/>
    </row>
    <row r="130" spans="1:11">
      <c r="A130" s="764" t="s">
        <v>866</v>
      </c>
      <c r="B130" s="439"/>
      <c r="C130" s="439" t="e">
        <f>C126/C128</f>
        <v>#REF!</v>
      </c>
      <c r="D130" s="74"/>
      <c r="E130" s="74"/>
      <c r="F130" s="74"/>
      <c r="G130" s="74"/>
      <c r="H130" s="74"/>
      <c r="I130" s="74"/>
      <c r="J130" s="74"/>
      <c r="K130" s="74"/>
    </row>
    <row r="131" spans="1:11">
      <c r="A131" s="74"/>
      <c r="B131" s="74"/>
      <c r="C131" s="74"/>
      <c r="D131" s="74"/>
      <c r="E131" s="74"/>
      <c r="F131" s="74"/>
      <c r="G131" s="74"/>
      <c r="H131" s="74"/>
      <c r="I131" s="74"/>
      <c r="J131" s="74"/>
      <c r="K131" s="74"/>
    </row>
    <row r="132" spans="1:11">
      <c r="A132" s="74"/>
      <c r="B132" s="74"/>
      <c r="C132" s="74"/>
      <c r="D132" s="74"/>
      <c r="E132" s="74"/>
      <c r="F132" s="74"/>
      <c r="G132" s="74"/>
      <c r="H132" s="74"/>
      <c r="I132" s="74"/>
      <c r="J132" s="74"/>
      <c r="K132" s="74"/>
    </row>
    <row r="133" spans="1:11">
      <c r="A133" s="298" t="s">
        <v>894</v>
      </c>
      <c r="B133" s="74"/>
      <c r="C133" s="74"/>
      <c r="D133" s="74"/>
      <c r="E133" s="74"/>
      <c r="F133" s="74"/>
      <c r="G133" s="74"/>
      <c r="H133" s="74"/>
      <c r="I133" s="74"/>
      <c r="J133" s="74"/>
      <c r="K133" s="74"/>
    </row>
    <row r="134" spans="1:11">
      <c r="A134" s="74"/>
      <c r="B134" s="74"/>
      <c r="C134" s="301">
        <v>-1</v>
      </c>
      <c r="D134" s="301">
        <f>C134-1</f>
        <v>-2</v>
      </c>
      <c r="E134" s="301">
        <f t="shared" ref="E134:H134" si="18">D134-1</f>
        <v>-3</v>
      </c>
      <c r="F134" s="301">
        <f t="shared" si="18"/>
        <v>-4</v>
      </c>
      <c r="G134" s="301">
        <f t="shared" si="18"/>
        <v>-5</v>
      </c>
      <c r="H134" s="301">
        <f t="shared" si="18"/>
        <v>-6</v>
      </c>
      <c r="I134" s="301"/>
      <c r="J134" s="301">
        <f>H134-1</f>
        <v>-7</v>
      </c>
      <c r="K134" s="301">
        <f t="shared" ref="K134" si="19">J134-1</f>
        <v>-8</v>
      </c>
    </row>
    <row r="135" spans="1:11" ht="36">
      <c r="A135" s="74"/>
      <c r="B135" s="74"/>
      <c r="C135" s="74"/>
      <c r="D135" s="302" t="s">
        <v>874</v>
      </c>
      <c r="E135" s="302"/>
      <c r="F135" s="302"/>
      <c r="G135" s="302"/>
      <c r="H135" s="302"/>
      <c r="I135" s="74"/>
      <c r="J135" s="297" t="s">
        <v>896</v>
      </c>
      <c r="K135" s="296" t="s">
        <v>92</v>
      </c>
    </row>
    <row r="136" spans="1:11" ht="24">
      <c r="A136" s="74"/>
      <c r="B136" s="74"/>
      <c r="C136" s="74"/>
      <c r="D136" s="296" t="s">
        <v>803</v>
      </c>
      <c r="E136" s="296" t="s">
        <v>875</v>
      </c>
      <c r="F136" s="296" t="s">
        <v>876</v>
      </c>
      <c r="G136" s="296" t="s">
        <v>877</v>
      </c>
      <c r="H136" s="296" t="s">
        <v>878</v>
      </c>
      <c r="I136" s="74"/>
      <c r="J136" s="74"/>
      <c r="K136" s="74"/>
    </row>
    <row r="137" spans="1:11">
      <c r="A137" s="439" t="s">
        <v>872</v>
      </c>
      <c r="B137" s="439" t="s">
        <v>1401</v>
      </c>
      <c r="C137" s="439" t="s">
        <v>873</v>
      </c>
      <c r="D137" s="755">
        <v>9</v>
      </c>
      <c r="E137" s="755">
        <v>1672800</v>
      </c>
      <c r="F137" s="755">
        <v>11836.7</v>
      </c>
      <c r="G137" s="755">
        <v>11836.7</v>
      </c>
      <c r="H137" s="755">
        <v>11554.6</v>
      </c>
      <c r="I137" s="439"/>
      <c r="J137" s="756">
        <v>161241.07</v>
      </c>
      <c r="K137" s="756">
        <f>-J137</f>
        <v>-161241.07</v>
      </c>
    </row>
    <row r="138" spans="1:11">
      <c r="A138" s="439" t="s">
        <v>879</v>
      </c>
      <c r="B138" s="439" t="s">
        <v>1402</v>
      </c>
      <c r="C138" s="439" t="s">
        <v>873</v>
      </c>
      <c r="D138" s="755">
        <v>2</v>
      </c>
      <c r="E138" s="755">
        <v>91800</v>
      </c>
      <c r="F138" s="755">
        <v>1389.1</v>
      </c>
      <c r="G138" s="755">
        <v>1389.1</v>
      </c>
      <c r="H138" s="755">
        <v>1347.2</v>
      </c>
      <c r="I138" s="439"/>
      <c r="J138" s="756">
        <v>17293.439999999999</v>
      </c>
      <c r="K138" s="756">
        <f>-J138</f>
        <v>-17293.439999999999</v>
      </c>
    </row>
    <row r="139" spans="1:11">
      <c r="A139" s="439" t="s">
        <v>882</v>
      </c>
      <c r="B139" s="439" t="s">
        <v>1403</v>
      </c>
      <c r="C139" s="439" t="s">
        <v>873</v>
      </c>
      <c r="D139" s="755">
        <v>5</v>
      </c>
      <c r="E139" s="755">
        <v>820800</v>
      </c>
      <c r="F139" s="755">
        <v>4067.2</v>
      </c>
      <c r="G139" s="755">
        <v>4067.2</v>
      </c>
      <c r="H139" s="755">
        <v>4063.9999999999995</v>
      </c>
      <c r="I139" s="439"/>
      <c r="J139" s="756">
        <v>88605.18</v>
      </c>
      <c r="K139" s="756">
        <f t="shared" ref="K139:K142" si="20">-J139</f>
        <v>-88605.18</v>
      </c>
    </row>
    <row r="140" spans="1:11">
      <c r="A140" s="439" t="s">
        <v>883</v>
      </c>
      <c r="B140" s="439" t="s">
        <v>1404</v>
      </c>
      <c r="C140" s="439" t="s">
        <v>873</v>
      </c>
      <c r="D140" s="755">
        <v>7</v>
      </c>
      <c r="E140" s="755">
        <v>2114400</v>
      </c>
      <c r="F140" s="755">
        <v>5047.1000000000004</v>
      </c>
      <c r="G140" s="755">
        <v>4968.7000000000007</v>
      </c>
      <c r="H140" s="755">
        <v>4914.4000000000005</v>
      </c>
      <c r="I140" s="439"/>
      <c r="J140" s="756">
        <v>119024.75</v>
      </c>
      <c r="K140" s="756">
        <f t="shared" si="20"/>
        <v>-119024.75</v>
      </c>
    </row>
    <row r="141" spans="1:11">
      <c r="A141" s="439" t="s">
        <v>884</v>
      </c>
      <c r="B141" s="439" t="s">
        <v>1405</v>
      </c>
      <c r="C141" s="439" t="s">
        <v>873</v>
      </c>
      <c r="D141" s="755">
        <v>7</v>
      </c>
      <c r="E141" s="755">
        <v>4447200</v>
      </c>
      <c r="F141" s="755">
        <v>5047.1000000000004</v>
      </c>
      <c r="G141" s="755">
        <v>4968.7000000000007</v>
      </c>
      <c r="H141" s="755">
        <v>4914.4000000000005</v>
      </c>
      <c r="I141" s="439"/>
      <c r="J141" s="756">
        <v>237124.92</v>
      </c>
      <c r="K141" s="756">
        <f t="shared" si="20"/>
        <v>-237124.92</v>
      </c>
    </row>
    <row r="142" spans="1:11">
      <c r="A142" s="439" t="s">
        <v>885</v>
      </c>
      <c r="B142" s="439" t="s">
        <v>1406</v>
      </c>
      <c r="C142" s="439" t="s">
        <v>873</v>
      </c>
      <c r="D142" s="755">
        <v>11</v>
      </c>
      <c r="E142" s="755">
        <v>2344800</v>
      </c>
      <c r="F142" s="755">
        <v>7659.2999999999993</v>
      </c>
      <c r="G142" s="755">
        <v>7634.2</v>
      </c>
      <c r="H142" s="755">
        <v>7482.9000000000005</v>
      </c>
      <c r="I142" s="439"/>
      <c r="J142" s="756">
        <v>152487.76999999999</v>
      </c>
      <c r="K142" s="756">
        <f t="shared" si="20"/>
        <v>-152487.76999999999</v>
      </c>
    </row>
    <row r="143" spans="1:11">
      <c r="A143" s="74"/>
      <c r="B143" s="74"/>
      <c r="C143" s="74"/>
      <c r="D143" s="263"/>
      <c r="E143" s="263"/>
      <c r="F143" s="263"/>
      <c r="G143" s="263"/>
      <c r="H143" s="263"/>
      <c r="I143" s="74"/>
      <c r="J143" s="43"/>
      <c r="K143" s="43"/>
    </row>
    <row r="144" spans="1:11">
      <c r="A144" s="447" t="s">
        <v>886</v>
      </c>
      <c r="B144" s="439" t="s">
        <v>1407</v>
      </c>
      <c r="C144" s="435" t="s">
        <v>1408</v>
      </c>
      <c r="D144" s="755">
        <v>6</v>
      </c>
      <c r="E144" s="755">
        <v>3708000</v>
      </c>
      <c r="F144" s="755">
        <v>8452.6999999999989</v>
      </c>
      <c r="G144" s="755">
        <v>7827.8</v>
      </c>
      <c r="H144" s="755">
        <v>7768.2</v>
      </c>
      <c r="I144" s="439"/>
      <c r="J144" s="756">
        <v>217780.83</v>
      </c>
      <c r="K144" s="756"/>
    </row>
    <row r="145" spans="1:11">
      <c r="A145" s="439"/>
      <c r="B145" s="439"/>
      <c r="C145" s="488" t="s">
        <v>881</v>
      </c>
      <c r="D145" s="755">
        <v>12</v>
      </c>
      <c r="E145" s="755">
        <v>7416000</v>
      </c>
      <c r="F145" s="755">
        <v>16905.400000000001</v>
      </c>
      <c r="G145" s="755">
        <v>15655.6</v>
      </c>
      <c r="H145" s="755">
        <v>15536.4</v>
      </c>
      <c r="I145" s="439"/>
      <c r="J145" s="756">
        <v>435561.66</v>
      </c>
      <c r="K145" s="756">
        <f>J145-J144</f>
        <v>217780.83</v>
      </c>
    </row>
    <row r="146" spans="1:11">
      <c r="A146" s="74"/>
      <c r="B146" s="74"/>
      <c r="C146" s="758" t="s">
        <v>1390</v>
      </c>
      <c r="D146" s="263"/>
      <c r="E146" s="263"/>
      <c r="F146" s="263"/>
      <c r="G146" s="263"/>
      <c r="H146" s="263"/>
      <c r="I146" s="74"/>
      <c r="J146" s="43"/>
      <c r="K146" s="43"/>
    </row>
    <row r="147" spans="1:11">
      <c r="A147" s="447" t="s">
        <v>887</v>
      </c>
      <c r="B147" s="439" t="s">
        <v>1409</v>
      </c>
      <c r="C147" s="435" t="s">
        <v>1410</v>
      </c>
      <c r="D147" s="755">
        <v>3</v>
      </c>
      <c r="E147" s="755">
        <v>494400</v>
      </c>
      <c r="F147" s="755">
        <v>4302</v>
      </c>
      <c r="G147" s="755">
        <v>4302</v>
      </c>
      <c r="H147" s="755">
        <v>4302</v>
      </c>
      <c r="I147" s="439"/>
      <c r="J147" s="756">
        <v>58703.15</v>
      </c>
      <c r="K147" s="756"/>
    </row>
    <row r="148" spans="1:11">
      <c r="A148" s="439"/>
      <c r="B148" s="439"/>
      <c r="C148" s="488" t="s">
        <v>881</v>
      </c>
      <c r="D148" s="755">
        <v>12</v>
      </c>
      <c r="E148" s="755">
        <v>1977600</v>
      </c>
      <c r="F148" s="755">
        <v>17208</v>
      </c>
      <c r="G148" s="755">
        <v>17208</v>
      </c>
      <c r="H148" s="755">
        <v>17208</v>
      </c>
      <c r="I148" s="439"/>
      <c r="J148" s="756">
        <v>234812.59</v>
      </c>
      <c r="K148" s="756">
        <f>J148-J147</f>
        <v>176109.44</v>
      </c>
    </row>
    <row r="149" spans="1:11">
      <c r="A149" s="74"/>
      <c r="B149" s="74"/>
      <c r="C149" s="758" t="s">
        <v>1390</v>
      </c>
      <c r="D149" s="263"/>
      <c r="E149" s="263"/>
      <c r="F149" s="263"/>
      <c r="G149" s="263"/>
      <c r="H149" s="263"/>
      <c r="I149" s="74"/>
      <c r="J149" s="43"/>
      <c r="K149" s="43"/>
    </row>
    <row r="150" spans="1:11">
      <c r="A150" s="447" t="s">
        <v>888</v>
      </c>
      <c r="B150" s="439" t="s">
        <v>1411</v>
      </c>
      <c r="C150" s="435" t="s">
        <v>1412</v>
      </c>
      <c r="D150" s="755">
        <v>1.4</v>
      </c>
      <c r="E150" s="755">
        <v>301200</v>
      </c>
      <c r="F150" s="755">
        <v>1544.2</v>
      </c>
      <c r="G150" s="755">
        <v>1506.3</v>
      </c>
      <c r="H150" s="755">
        <v>1297.5999999999999</v>
      </c>
      <c r="I150" s="439"/>
      <c r="J150" s="756">
        <v>21969.279999999999</v>
      </c>
      <c r="K150" s="756"/>
    </row>
    <row r="151" spans="1:11">
      <c r="A151" s="439"/>
      <c r="B151" s="439"/>
      <c r="C151" s="488" t="s">
        <v>881</v>
      </c>
      <c r="D151" s="755">
        <v>12</v>
      </c>
      <c r="E151" s="755">
        <v>2581700</v>
      </c>
      <c r="F151" s="755">
        <v>13236</v>
      </c>
      <c r="G151" s="755">
        <v>12911.1</v>
      </c>
      <c r="H151" s="755">
        <v>11122.3</v>
      </c>
      <c r="I151" s="439"/>
      <c r="J151" s="756">
        <v>188308.15</v>
      </c>
      <c r="K151" s="756">
        <f>J151-J150</f>
        <v>166338.87</v>
      </c>
    </row>
    <row r="152" spans="1:11">
      <c r="A152" s="74"/>
      <c r="B152" s="74"/>
      <c r="C152" s="758" t="s">
        <v>1390</v>
      </c>
      <c r="D152" s="263"/>
      <c r="E152" s="263"/>
      <c r="F152" s="263"/>
      <c r="G152" s="263"/>
      <c r="H152" s="263"/>
      <c r="I152" s="74"/>
      <c r="J152" s="43"/>
      <c r="K152" s="43"/>
    </row>
    <row r="153" spans="1:11">
      <c r="A153" s="447" t="s">
        <v>889</v>
      </c>
      <c r="B153" s="439" t="s">
        <v>1413</v>
      </c>
      <c r="C153" s="435" t="s">
        <v>1412</v>
      </c>
      <c r="D153" s="755">
        <v>1.2</v>
      </c>
      <c r="E153" s="755">
        <v>348000</v>
      </c>
      <c r="F153" s="755">
        <v>3898.3</v>
      </c>
      <c r="G153" s="755">
        <v>3898.3</v>
      </c>
      <c r="H153" s="755">
        <v>3851.5</v>
      </c>
      <c r="I153" s="439"/>
      <c r="J153" s="756">
        <v>41353.129999999997</v>
      </c>
      <c r="K153" s="756"/>
    </row>
    <row r="154" spans="1:11">
      <c r="A154" s="439"/>
      <c r="B154" s="439"/>
      <c r="C154" s="488" t="s">
        <v>881</v>
      </c>
      <c r="D154" s="755">
        <v>12</v>
      </c>
      <c r="E154" s="755">
        <v>3480000</v>
      </c>
      <c r="F154" s="755">
        <v>38983</v>
      </c>
      <c r="G154" s="755">
        <v>38983</v>
      </c>
      <c r="H154" s="755">
        <v>38515</v>
      </c>
      <c r="I154" s="439"/>
      <c r="J154" s="756">
        <v>413531.3</v>
      </c>
      <c r="K154" s="756">
        <f>J154-J153</f>
        <v>372178.17</v>
      </c>
    </row>
    <row r="155" spans="1:11">
      <c r="A155" s="74"/>
      <c r="B155" s="74"/>
      <c r="C155" s="758" t="s">
        <v>1390</v>
      </c>
      <c r="D155" s="263"/>
      <c r="E155" s="263"/>
      <c r="F155" s="263"/>
      <c r="G155" s="263"/>
      <c r="H155" s="263"/>
      <c r="I155" s="74"/>
      <c r="J155" s="43"/>
      <c r="K155" s="43"/>
    </row>
    <row r="156" spans="1:11">
      <c r="A156" s="300"/>
      <c r="B156" s="300"/>
      <c r="C156" s="300"/>
      <c r="D156" s="757"/>
      <c r="E156" s="757"/>
      <c r="F156" s="757"/>
      <c r="G156" s="757"/>
      <c r="H156" s="757"/>
      <c r="I156" s="300"/>
      <c r="J156" s="280"/>
      <c r="K156" s="280"/>
    </row>
    <row r="157" spans="1:11">
      <c r="A157" s="439" t="s">
        <v>912</v>
      </c>
      <c r="B157" s="439"/>
      <c r="C157" s="602">
        <f>COUNTIF(C137:C143, "Left the System")</f>
        <v>6</v>
      </c>
      <c r="D157" s="439"/>
      <c r="E157" s="602">
        <f>SUMIF(C137:C143,"Left the System",E137:E143)</f>
        <v>11491800</v>
      </c>
      <c r="F157" s="755"/>
      <c r="G157" s="755"/>
      <c r="H157" s="755"/>
      <c r="I157" s="439"/>
      <c r="J157" s="756"/>
      <c r="K157" s="756"/>
    </row>
    <row r="158" spans="1:11" ht="14.25">
      <c r="A158" s="447" t="s">
        <v>1389</v>
      </c>
      <c r="B158" s="439"/>
      <c r="C158" s="603">
        <f>COUNTIF($C$144:$C$156,"New")</f>
        <v>4</v>
      </c>
      <c r="D158" s="755"/>
      <c r="E158" s="603">
        <f>SUMIF($D$144:$D$156,"12",$E$144:$E$156)-SUMIF($D$144:$D$156,"&lt;&gt;12",$E$144:$E$156)</f>
        <v>10603700</v>
      </c>
      <c r="F158" s="755"/>
      <c r="G158" s="755"/>
      <c r="H158" s="755"/>
      <c r="I158" s="439"/>
      <c r="J158" s="756"/>
      <c r="K158" s="756"/>
    </row>
    <row r="159" spans="1:11">
      <c r="A159" s="447" t="s">
        <v>1038</v>
      </c>
      <c r="B159" s="439"/>
      <c r="C159" s="602">
        <f>C158-C157</f>
        <v>-2</v>
      </c>
      <c r="D159" s="755"/>
      <c r="E159" s="602">
        <f>E158-E157</f>
        <v>-888100</v>
      </c>
      <c r="F159" s="439" t="s">
        <v>915</v>
      </c>
      <c r="G159" s="755"/>
      <c r="H159" s="755"/>
      <c r="I159" s="439"/>
      <c r="J159" s="756"/>
      <c r="K159" s="759">
        <f>SUM(K137:K156)</f>
        <v>156630.17999999993</v>
      </c>
    </row>
    <row r="160" spans="1:11">
      <c r="A160" s="74"/>
      <c r="B160" s="74"/>
      <c r="C160" s="74"/>
      <c r="D160" s="74"/>
      <c r="E160" s="74"/>
      <c r="F160" s="74"/>
      <c r="G160" s="74"/>
      <c r="H160" s="74"/>
      <c r="I160" s="74"/>
      <c r="J160" s="74"/>
      <c r="K160" s="74"/>
    </row>
    <row r="161" spans="1:11">
      <c r="A161" s="74" t="s">
        <v>869</v>
      </c>
      <c r="B161" s="74"/>
      <c r="C161" s="74"/>
      <c r="D161" s="74"/>
      <c r="E161" s="74"/>
      <c r="F161" s="74"/>
      <c r="G161" s="74"/>
      <c r="H161" s="74"/>
      <c r="I161" s="74"/>
      <c r="J161" s="74"/>
      <c r="K161" s="74"/>
    </row>
    <row r="162" spans="1:11">
      <c r="A162" s="74"/>
      <c r="B162" s="74"/>
      <c r="C162" s="301">
        <v>-1</v>
      </c>
      <c r="D162" s="301">
        <f>C162-1</f>
        <v>-2</v>
      </c>
      <c r="E162" s="301">
        <f t="shared" ref="E162:H162" si="21">D162-1</f>
        <v>-3</v>
      </c>
      <c r="F162" s="301">
        <f t="shared" si="21"/>
        <v>-4</v>
      </c>
      <c r="G162" s="301">
        <f t="shared" si="21"/>
        <v>-5</v>
      </c>
      <c r="H162" s="301">
        <f t="shared" si="21"/>
        <v>-6</v>
      </c>
      <c r="I162" s="301"/>
      <c r="J162" s="301">
        <f>H162-1</f>
        <v>-7</v>
      </c>
      <c r="K162" s="301">
        <f t="shared" ref="K162" si="22">J162-1</f>
        <v>-8</v>
      </c>
    </row>
    <row r="163" spans="1:11" ht="36">
      <c r="A163" s="74"/>
      <c r="B163" s="74"/>
      <c r="C163" s="74"/>
      <c r="D163" s="302" t="s">
        <v>874</v>
      </c>
      <c r="E163" s="302"/>
      <c r="F163" s="302"/>
      <c r="G163" s="302"/>
      <c r="H163" s="302"/>
      <c r="I163" s="74"/>
      <c r="J163" s="297" t="s">
        <v>896</v>
      </c>
      <c r="K163" s="296" t="s">
        <v>92</v>
      </c>
    </row>
    <row r="164" spans="1:11" ht="24">
      <c r="A164" s="74"/>
      <c r="B164" s="74"/>
      <c r="C164" s="74"/>
      <c r="D164" s="296" t="s">
        <v>803</v>
      </c>
      <c r="E164" s="296" t="s">
        <v>875</v>
      </c>
      <c r="F164" s="296" t="s">
        <v>876</v>
      </c>
      <c r="G164" s="296" t="s">
        <v>877</v>
      </c>
      <c r="H164" s="296" t="s">
        <v>878</v>
      </c>
      <c r="I164" s="74"/>
      <c r="J164" s="74"/>
      <c r="K164" s="74"/>
    </row>
    <row r="165" spans="1:11">
      <c r="A165" s="74" t="s">
        <v>872</v>
      </c>
      <c r="B165" s="74"/>
      <c r="C165" s="74" t="s">
        <v>873</v>
      </c>
      <c r="D165" s="263">
        <v>1</v>
      </c>
      <c r="E165" s="263">
        <v>120300</v>
      </c>
      <c r="F165" s="263">
        <v>900</v>
      </c>
      <c r="G165" s="263">
        <v>629.9</v>
      </c>
      <c r="H165" s="263">
        <v>624</v>
      </c>
      <c r="I165" s="74"/>
      <c r="J165" s="43">
        <v>10506.91</v>
      </c>
      <c r="K165" s="43">
        <v>-10506.91</v>
      </c>
    </row>
    <row r="166" spans="1:11">
      <c r="A166" s="74"/>
      <c r="B166" s="74"/>
      <c r="C166" s="74"/>
      <c r="D166" s="263"/>
      <c r="E166" s="263"/>
      <c r="F166" s="263"/>
      <c r="G166" s="263"/>
      <c r="H166" s="263"/>
      <c r="I166" s="74"/>
      <c r="J166" s="43"/>
      <c r="K166" s="43"/>
    </row>
    <row r="167" spans="1:11">
      <c r="A167" s="74" t="s">
        <v>879</v>
      </c>
      <c r="B167" s="74"/>
      <c r="C167" s="74" t="s">
        <v>880</v>
      </c>
      <c r="D167" s="263">
        <v>10</v>
      </c>
      <c r="E167" s="263">
        <v>837900</v>
      </c>
      <c r="F167" s="263">
        <v>5534</v>
      </c>
      <c r="G167" s="263">
        <v>2035</v>
      </c>
      <c r="H167" s="263">
        <v>1936.3000000000002</v>
      </c>
      <c r="I167" s="74"/>
      <c r="J167" s="43">
        <v>64617.55</v>
      </c>
      <c r="K167" s="43"/>
    </row>
    <row r="168" spans="1:11">
      <c r="A168" s="74"/>
      <c r="B168" s="74"/>
      <c r="C168" s="303" t="s">
        <v>881</v>
      </c>
      <c r="D168" s="263">
        <v>12</v>
      </c>
      <c r="E168" s="263">
        <v>1005480</v>
      </c>
      <c r="F168" s="263">
        <v>6640.8</v>
      </c>
      <c r="G168" s="263">
        <v>2442</v>
      </c>
      <c r="H168" s="263">
        <v>2323.6</v>
      </c>
      <c r="I168" s="74"/>
      <c r="J168" s="43">
        <v>73040.309600000008</v>
      </c>
      <c r="K168" s="43">
        <v>8422.7596000000049</v>
      </c>
    </row>
    <row r="169" spans="1:11">
      <c r="A169" s="74"/>
      <c r="B169" s="74"/>
      <c r="C169" s="74"/>
      <c r="D169" s="263"/>
      <c r="E169" s="263"/>
      <c r="F169" s="263"/>
      <c r="G169" s="263"/>
      <c r="H169" s="263"/>
      <c r="I169" s="74"/>
      <c r="J169" s="43"/>
      <c r="K169" s="43"/>
    </row>
    <row r="170" spans="1:11">
      <c r="A170" s="74" t="s">
        <v>882</v>
      </c>
      <c r="B170" s="74"/>
      <c r="C170" s="74" t="s">
        <v>880</v>
      </c>
      <c r="D170" s="263">
        <v>10</v>
      </c>
      <c r="E170" s="263">
        <v>1084500</v>
      </c>
      <c r="F170" s="263">
        <v>7968.35</v>
      </c>
      <c r="G170" s="263">
        <v>2611.6999999999998</v>
      </c>
      <c r="H170" s="263">
        <v>2534.6</v>
      </c>
      <c r="I170" s="74"/>
      <c r="J170" s="43">
        <v>85948.22</v>
      </c>
      <c r="K170" s="43"/>
    </row>
    <row r="171" spans="1:11">
      <c r="A171" s="74"/>
      <c r="B171" s="74"/>
      <c r="C171" s="303" t="s">
        <v>881</v>
      </c>
      <c r="D171" s="263">
        <v>12</v>
      </c>
      <c r="E171" s="263">
        <v>1301400</v>
      </c>
      <c r="F171" s="263">
        <v>9562</v>
      </c>
      <c r="G171" s="263">
        <v>3134</v>
      </c>
      <c r="H171" s="263">
        <v>3041.5</v>
      </c>
      <c r="I171" s="74"/>
      <c r="J171" s="43">
        <v>96846.463000000003</v>
      </c>
      <c r="K171" s="43">
        <v>10898.243000000002</v>
      </c>
    </row>
    <row r="172" spans="1:11">
      <c r="A172" s="74"/>
      <c r="B172" s="74"/>
      <c r="C172" s="74"/>
      <c r="D172" s="263"/>
      <c r="E172" s="263"/>
      <c r="F172" s="263"/>
      <c r="G172" s="263"/>
      <c r="H172" s="263"/>
      <c r="I172" s="74"/>
      <c r="J172" s="43"/>
      <c r="K172" s="43"/>
    </row>
    <row r="173" spans="1:11">
      <c r="A173" s="298" t="s">
        <v>883</v>
      </c>
      <c r="B173" s="74"/>
      <c r="C173" s="74" t="s">
        <v>880</v>
      </c>
      <c r="D173" s="263">
        <v>10</v>
      </c>
      <c r="E173" s="263">
        <v>687600</v>
      </c>
      <c r="F173" s="263">
        <v>1558.1</v>
      </c>
      <c r="G173" s="263">
        <v>1558.1</v>
      </c>
      <c r="H173" s="263">
        <v>1558.1</v>
      </c>
      <c r="I173" s="74"/>
      <c r="J173" s="43">
        <v>53516.05</v>
      </c>
      <c r="K173" s="43"/>
    </row>
    <row r="174" spans="1:11">
      <c r="A174" s="298"/>
      <c r="B174" s="74"/>
      <c r="C174" s="303" t="s">
        <v>881</v>
      </c>
      <c r="D174" s="263">
        <v>12</v>
      </c>
      <c r="E174" s="263">
        <v>825120</v>
      </c>
      <c r="F174" s="263">
        <v>1869.7</v>
      </c>
      <c r="G174" s="263">
        <v>1869.7</v>
      </c>
      <c r="H174" s="263">
        <v>1869.7</v>
      </c>
      <c r="I174" s="74"/>
      <c r="J174" s="43">
        <v>48979.815399999999</v>
      </c>
      <c r="K174" s="43">
        <v>-4536.2346000000034</v>
      </c>
    </row>
    <row r="175" spans="1:11">
      <c r="A175" s="298"/>
      <c r="B175" s="74"/>
      <c r="C175" s="74"/>
      <c r="D175" s="263"/>
      <c r="E175" s="263"/>
      <c r="F175" s="263"/>
      <c r="G175" s="263"/>
      <c r="H175" s="263"/>
      <c r="I175" s="74"/>
      <c r="J175" s="43"/>
      <c r="K175" s="43"/>
    </row>
    <row r="176" spans="1:11">
      <c r="A176" s="298" t="s">
        <v>884</v>
      </c>
      <c r="B176" s="74"/>
      <c r="C176" s="74" t="s">
        <v>880</v>
      </c>
      <c r="D176" s="263">
        <v>10</v>
      </c>
      <c r="E176" s="263">
        <v>401120</v>
      </c>
      <c r="F176" s="263">
        <v>3112.5</v>
      </c>
      <c r="G176" s="263">
        <v>977.09999999999991</v>
      </c>
      <c r="H176" s="263">
        <v>936.19999999999993</v>
      </c>
      <c r="I176" s="74"/>
      <c r="J176" s="43">
        <v>33702.980000000003</v>
      </c>
      <c r="K176" s="43"/>
    </row>
    <row r="177" spans="1:11">
      <c r="A177" s="298"/>
      <c r="B177" s="74"/>
      <c r="C177" s="303" t="s">
        <v>881</v>
      </c>
      <c r="D177" s="263">
        <v>12</v>
      </c>
      <c r="E177" s="263">
        <v>481344</v>
      </c>
      <c r="F177" s="263">
        <v>3735</v>
      </c>
      <c r="G177" s="263">
        <v>1172.5</v>
      </c>
      <c r="H177" s="263">
        <v>1123.4000000000001</v>
      </c>
      <c r="I177" s="74"/>
      <c r="J177" s="43">
        <v>37963.886680000003</v>
      </c>
      <c r="K177" s="43">
        <v>4260.9066800000001</v>
      </c>
    </row>
    <row r="178" spans="1:11">
      <c r="A178" s="298"/>
      <c r="B178" s="74"/>
      <c r="C178" s="74"/>
      <c r="D178" s="263"/>
      <c r="E178" s="263"/>
      <c r="F178" s="263"/>
      <c r="G178" s="263"/>
      <c r="H178" s="263"/>
      <c r="I178" s="74"/>
      <c r="J178" s="43"/>
      <c r="K178" s="43"/>
    </row>
    <row r="179" spans="1:11">
      <c r="A179" s="298" t="s">
        <v>885</v>
      </c>
      <c r="B179" s="74"/>
      <c r="C179" s="298" t="s">
        <v>890</v>
      </c>
      <c r="D179" s="263">
        <v>9</v>
      </c>
      <c r="E179" s="263">
        <v>1184000</v>
      </c>
      <c r="F179" s="263">
        <v>7647.4</v>
      </c>
      <c r="G179" s="263">
        <v>3526.2999999999997</v>
      </c>
      <c r="H179" s="263">
        <v>3521.0999999999995</v>
      </c>
      <c r="I179" s="74"/>
      <c r="J179" s="43">
        <v>94763.249999999985</v>
      </c>
      <c r="K179" s="43"/>
    </row>
    <row r="180" spans="1:11">
      <c r="A180" s="298"/>
      <c r="B180" s="74"/>
      <c r="C180" s="303" t="s">
        <v>881</v>
      </c>
      <c r="D180" s="263">
        <v>12</v>
      </c>
      <c r="E180" s="263">
        <v>1578667</v>
      </c>
      <c r="F180" s="263">
        <v>10196.5</v>
      </c>
      <c r="G180" s="263">
        <v>4701.7</v>
      </c>
      <c r="H180" s="263">
        <v>4694.8</v>
      </c>
      <c r="I180" s="74"/>
      <c r="J180" s="43">
        <v>118787.87974</v>
      </c>
      <c r="K180" s="43">
        <v>24024.629740000019</v>
      </c>
    </row>
    <row r="181" spans="1:11" ht="12" customHeight="1">
      <c r="A181" s="298"/>
      <c r="B181" s="74"/>
      <c r="C181" s="74"/>
      <c r="D181" s="263"/>
      <c r="E181" s="263"/>
      <c r="F181" s="263"/>
      <c r="G181" s="263"/>
      <c r="H181" s="263"/>
      <c r="I181" s="74"/>
      <c r="J181" s="43"/>
      <c r="K181" s="43"/>
    </row>
    <row r="182" spans="1:11" ht="12" customHeight="1">
      <c r="A182" s="298" t="s">
        <v>886</v>
      </c>
      <c r="B182" s="74"/>
      <c r="C182" s="74" t="s">
        <v>880</v>
      </c>
      <c r="D182" s="263">
        <v>10</v>
      </c>
      <c r="E182" s="263">
        <v>588720</v>
      </c>
      <c r="F182" s="263">
        <v>2175.8000000000002</v>
      </c>
      <c r="G182" s="263">
        <v>1345.8</v>
      </c>
      <c r="H182" s="263">
        <v>1324.1999999999998</v>
      </c>
      <c r="I182" s="74"/>
      <c r="J182" s="43">
        <v>39463.549999999996</v>
      </c>
      <c r="K182" s="43"/>
    </row>
    <row r="183" spans="1:11" ht="12" customHeight="1">
      <c r="A183" s="298"/>
      <c r="B183" s="74"/>
      <c r="C183" s="303" t="s">
        <v>881</v>
      </c>
      <c r="D183" s="263">
        <v>12</v>
      </c>
      <c r="E183" s="263">
        <v>706464</v>
      </c>
      <c r="F183" s="263">
        <v>2611</v>
      </c>
      <c r="G183" s="263">
        <v>1615</v>
      </c>
      <c r="H183" s="263">
        <v>1589</v>
      </c>
      <c r="I183" s="74"/>
      <c r="J183" s="43">
        <v>45350.872080000001</v>
      </c>
      <c r="K183" s="43">
        <v>5887.3220800000054</v>
      </c>
    </row>
    <row r="184" spans="1:11" ht="12" customHeight="1">
      <c r="A184" s="298"/>
      <c r="B184" s="74"/>
      <c r="C184" s="74"/>
      <c r="D184" s="263"/>
      <c r="E184" s="263"/>
      <c r="F184" s="263"/>
      <c r="G184" s="263"/>
      <c r="H184" s="263"/>
      <c r="I184" s="74"/>
      <c r="J184" s="43"/>
      <c r="K184" s="43"/>
    </row>
    <row r="185" spans="1:11">
      <c r="A185" s="298" t="s">
        <v>887</v>
      </c>
      <c r="B185" s="74"/>
      <c r="C185" s="74" t="s">
        <v>880</v>
      </c>
      <c r="D185" s="263">
        <v>10</v>
      </c>
      <c r="E185" s="263">
        <v>3853600</v>
      </c>
      <c r="F185" s="263">
        <v>7872.0499999999984</v>
      </c>
      <c r="G185" s="263">
        <v>7539.2000000000007</v>
      </c>
      <c r="H185" s="263">
        <v>7316.6</v>
      </c>
      <c r="I185" s="74"/>
      <c r="J185" s="43">
        <v>217477.90999999997</v>
      </c>
      <c r="K185" s="43"/>
    </row>
    <row r="186" spans="1:11">
      <c r="A186" s="298"/>
      <c r="B186" s="74"/>
      <c r="C186" s="303" t="s">
        <v>881</v>
      </c>
      <c r="D186" s="263">
        <v>12</v>
      </c>
      <c r="E186" s="263">
        <v>4624320</v>
      </c>
      <c r="F186" s="263">
        <v>9446.5</v>
      </c>
      <c r="G186" s="263">
        <v>9047</v>
      </c>
      <c r="H186" s="263">
        <v>8779.9</v>
      </c>
      <c r="I186" s="74"/>
      <c r="J186" s="43">
        <v>250218.39640000003</v>
      </c>
      <c r="K186" s="43">
        <v>32740.486400000053</v>
      </c>
    </row>
    <row r="187" spans="1:11">
      <c r="A187" s="298"/>
      <c r="B187" s="74"/>
      <c r="C187" s="74"/>
      <c r="D187" s="263"/>
      <c r="E187" s="263"/>
      <c r="F187" s="263"/>
      <c r="G187" s="263"/>
      <c r="H187" s="263"/>
      <c r="I187" s="74"/>
      <c r="J187" s="43"/>
      <c r="K187" s="43"/>
    </row>
    <row r="188" spans="1:11">
      <c r="A188" s="298" t="s">
        <v>888</v>
      </c>
      <c r="B188" s="74"/>
      <c r="C188" s="298" t="s">
        <v>893</v>
      </c>
      <c r="D188" s="263">
        <v>5</v>
      </c>
      <c r="E188" s="263">
        <v>154000</v>
      </c>
      <c r="F188" s="263">
        <v>1950.8999999999999</v>
      </c>
      <c r="G188" s="263">
        <v>1646.6000000000001</v>
      </c>
      <c r="H188" s="263">
        <v>1542.1</v>
      </c>
      <c r="I188" s="74"/>
      <c r="J188" s="43">
        <v>23967.22</v>
      </c>
      <c r="K188" s="43"/>
    </row>
    <row r="189" spans="1:11">
      <c r="A189" s="298"/>
      <c r="B189" s="74"/>
      <c r="C189" s="303" t="s">
        <v>881</v>
      </c>
      <c r="D189" s="263">
        <v>12</v>
      </c>
      <c r="E189" s="263">
        <v>369600</v>
      </c>
      <c r="F189" s="263">
        <v>4682.2</v>
      </c>
      <c r="G189" s="263">
        <v>3951.8</v>
      </c>
      <c r="H189" s="263">
        <v>3701</v>
      </c>
      <c r="I189" s="74"/>
      <c r="J189" s="43">
        <v>53697.786</v>
      </c>
      <c r="K189" s="43">
        <v>29730.565999999999</v>
      </c>
    </row>
    <row r="190" spans="1:11">
      <c r="A190" s="298"/>
      <c r="B190" s="74"/>
      <c r="C190" s="74"/>
      <c r="D190" s="263"/>
      <c r="E190" s="263"/>
      <c r="F190" s="263"/>
      <c r="G190" s="263"/>
      <c r="H190" s="263"/>
      <c r="I190" s="74"/>
      <c r="J190" s="43"/>
      <c r="K190" s="43"/>
    </row>
    <row r="191" spans="1:11">
      <c r="A191" s="298" t="s">
        <v>889</v>
      </c>
      <c r="B191" s="74"/>
      <c r="C191" s="298" t="s">
        <v>893</v>
      </c>
      <c r="D191" s="263">
        <v>5</v>
      </c>
      <c r="E191" s="263">
        <v>111600</v>
      </c>
      <c r="F191" s="263">
        <v>1234.4000000000001</v>
      </c>
      <c r="G191" s="263">
        <v>469.4</v>
      </c>
      <c r="H191" s="263">
        <v>431.29999999999995</v>
      </c>
      <c r="I191" s="74"/>
      <c r="J191" s="43">
        <v>12177.09</v>
      </c>
      <c r="K191" s="43"/>
    </row>
    <row r="192" spans="1:11">
      <c r="A192" s="298"/>
      <c r="B192" s="74"/>
      <c r="C192" s="303" t="s">
        <v>881</v>
      </c>
      <c r="D192" s="263">
        <v>12</v>
      </c>
      <c r="E192" s="263">
        <v>267840</v>
      </c>
      <c r="F192" s="263">
        <v>2962.6</v>
      </c>
      <c r="G192" s="263">
        <v>1126.5999999999999</v>
      </c>
      <c r="H192" s="263">
        <v>1035.0999999999999</v>
      </c>
      <c r="I192" s="74"/>
      <c r="J192" s="43">
        <v>27633.431799999998</v>
      </c>
      <c r="K192" s="43">
        <v>15456.341799999998</v>
      </c>
    </row>
    <row r="193" spans="1:11">
      <c r="A193" s="298"/>
      <c r="B193" s="74"/>
      <c r="C193" s="303"/>
      <c r="D193" s="263"/>
      <c r="E193" s="263"/>
      <c r="F193" s="263"/>
      <c r="G193" s="263"/>
      <c r="H193" s="263"/>
      <c r="I193" s="74"/>
      <c r="J193" s="43"/>
      <c r="K193" s="43"/>
    </row>
    <row r="194" spans="1:11">
      <c r="A194" s="74" t="s">
        <v>912</v>
      </c>
      <c r="B194" s="74"/>
      <c r="C194" s="22">
        <v>-1</v>
      </c>
      <c r="D194" s="263"/>
      <c r="E194" s="263"/>
      <c r="F194" s="263"/>
      <c r="G194" s="263"/>
      <c r="H194" s="263"/>
      <c r="I194" s="74"/>
      <c r="J194" s="43"/>
      <c r="K194" s="43"/>
    </row>
    <row r="195" spans="1:11" ht="14.25">
      <c r="A195" s="74" t="s">
        <v>913</v>
      </c>
      <c r="B195" s="74"/>
      <c r="C195" s="54">
        <v>9</v>
      </c>
      <c r="D195" s="74"/>
      <c r="E195" s="74"/>
      <c r="F195" s="74"/>
      <c r="G195" s="74"/>
      <c r="H195" s="74"/>
      <c r="I195" s="74"/>
      <c r="J195" s="74"/>
      <c r="K195" s="74"/>
    </row>
    <row r="196" spans="1:11">
      <c r="A196" s="15" t="s">
        <v>1039</v>
      </c>
      <c r="B196" s="74"/>
      <c r="C196" s="22">
        <f>SUM(C194:C195)</f>
        <v>8</v>
      </c>
      <c r="D196" s="74"/>
      <c r="E196" s="74"/>
      <c r="F196" s="304" t="s">
        <v>914</v>
      </c>
      <c r="G196" s="74"/>
      <c r="H196" s="74"/>
      <c r="I196" s="74"/>
      <c r="J196" s="74"/>
      <c r="K196" s="305">
        <f>SUM(K165:K192)</f>
        <v>116378.11070000008</v>
      </c>
    </row>
    <row r="197" spans="1:11">
      <c r="A197" s="74"/>
      <c r="B197" s="74"/>
      <c r="C197" s="74"/>
      <c r="D197" s="74"/>
      <c r="E197" s="74"/>
      <c r="F197" s="74"/>
      <c r="G197" s="74"/>
      <c r="H197" s="74"/>
      <c r="I197" s="74"/>
      <c r="J197" s="74"/>
      <c r="K197" s="74"/>
    </row>
    <row r="198" spans="1:11">
      <c r="A198" s="298" t="s">
        <v>895</v>
      </c>
      <c r="B198" s="74"/>
      <c r="C198" s="74"/>
      <c r="D198" s="74"/>
      <c r="E198" s="74"/>
      <c r="F198" s="74"/>
      <c r="G198" s="74"/>
      <c r="H198" s="74"/>
      <c r="I198" s="74"/>
      <c r="J198" s="74"/>
      <c r="K198" s="74"/>
    </row>
    <row r="199" spans="1:11">
      <c r="A199" s="74"/>
      <c r="B199" s="74"/>
      <c r="C199" s="301">
        <v>-1</v>
      </c>
      <c r="D199" s="301">
        <f>C199-1</f>
        <v>-2</v>
      </c>
      <c r="E199" s="301">
        <f t="shared" ref="E199:H199" si="23">D199-1</f>
        <v>-3</v>
      </c>
      <c r="F199" s="301">
        <f t="shared" si="23"/>
        <v>-4</v>
      </c>
      <c r="G199" s="301">
        <f t="shared" si="23"/>
        <v>-5</v>
      </c>
      <c r="H199" s="301">
        <f t="shared" si="23"/>
        <v>-6</v>
      </c>
      <c r="I199" s="301"/>
      <c r="J199" s="301">
        <f>H199-1</f>
        <v>-7</v>
      </c>
      <c r="K199" s="301">
        <f t="shared" ref="K199" si="24">J199-1</f>
        <v>-8</v>
      </c>
    </row>
    <row r="200" spans="1:11" ht="36">
      <c r="A200" s="74"/>
      <c r="B200" s="74"/>
      <c r="C200" s="74"/>
      <c r="D200" s="302" t="s">
        <v>874</v>
      </c>
      <c r="E200" s="302"/>
      <c r="F200" s="302"/>
      <c r="G200" s="302"/>
      <c r="H200" s="302"/>
      <c r="I200" s="74"/>
      <c r="J200" s="297" t="s">
        <v>896</v>
      </c>
      <c r="K200" s="296" t="s">
        <v>92</v>
      </c>
    </row>
    <row r="201" spans="1:11" ht="24">
      <c r="A201" s="74"/>
      <c r="B201" s="74"/>
      <c r="C201" s="74"/>
      <c r="D201" s="296" t="s">
        <v>803</v>
      </c>
      <c r="E201" s="296" t="s">
        <v>875</v>
      </c>
      <c r="F201" s="296" t="s">
        <v>876</v>
      </c>
      <c r="G201" s="296" t="s">
        <v>877</v>
      </c>
      <c r="H201" s="296" t="s">
        <v>878</v>
      </c>
      <c r="I201" s="74"/>
      <c r="J201" s="74"/>
      <c r="K201" s="74"/>
    </row>
    <row r="202" spans="1:11">
      <c r="A202" s="74" t="s">
        <v>872</v>
      </c>
      <c r="B202" s="74"/>
      <c r="C202" s="74" t="s">
        <v>873</v>
      </c>
      <c r="D202" s="263">
        <v>5</v>
      </c>
      <c r="E202" s="263">
        <v>4638000</v>
      </c>
      <c r="F202" s="263">
        <v>20075.8</v>
      </c>
      <c r="G202" s="263">
        <v>19414.3</v>
      </c>
      <c r="H202" s="263">
        <v>18861.399999999998</v>
      </c>
      <c r="I202" s="74"/>
      <c r="J202" s="43">
        <v>289328</v>
      </c>
      <c r="K202" s="43">
        <f>-J202</f>
        <v>-289328</v>
      </c>
    </row>
    <row r="203" spans="1:11">
      <c r="A203" s="74" t="s">
        <v>879</v>
      </c>
      <c r="B203" s="74"/>
      <c r="C203" s="74" t="s">
        <v>873</v>
      </c>
      <c r="D203" s="263">
        <v>8</v>
      </c>
      <c r="E203" s="263">
        <v>90000</v>
      </c>
      <c r="F203" s="263">
        <v>2636.7999999999997</v>
      </c>
      <c r="G203" s="263">
        <v>1757.6000000000001</v>
      </c>
      <c r="H203" s="263">
        <v>1757.6000000000001</v>
      </c>
      <c r="I203" s="74"/>
      <c r="J203" s="43">
        <v>19578</v>
      </c>
      <c r="K203" s="43">
        <f>-J203</f>
        <v>-19578</v>
      </c>
    </row>
    <row r="204" spans="1:11">
      <c r="A204" s="74" t="s">
        <v>882</v>
      </c>
      <c r="B204" s="74"/>
      <c r="C204" s="74" t="s">
        <v>873</v>
      </c>
      <c r="D204" s="263">
        <v>8</v>
      </c>
      <c r="E204" s="263">
        <v>6000</v>
      </c>
      <c r="F204" s="263">
        <v>2625</v>
      </c>
      <c r="G204" s="263">
        <v>103.6</v>
      </c>
      <c r="H204" s="263">
        <v>103.6</v>
      </c>
      <c r="I204" s="74"/>
      <c r="J204" s="43">
        <v>6541</v>
      </c>
      <c r="K204" s="43">
        <f t="shared" ref="K204:K205" si="25">-J204</f>
        <v>-6541</v>
      </c>
    </row>
    <row r="205" spans="1:11">
      <c r="A205" s="298" t="s">
        <v>883</v>
      </c>
      <c r="B205" s="74"/>
      <c r="C205" s="74" t="s">
        <v>873</v>
      </c>
      <c r="D205" s="263">
        <v>2</v>
      </c>
      <c r="E205" s="263">
        <v>18000</v>
      </c>
      <c r="F205" s="263">
        <v>500</v>
      </c>
      <c r="G205" s="263">
        <v>136.6</v>
      </c>
      <c r="H205" s="263">
        <v>123</v>
      </c>
      <c r="I205" s="74"/>
      <c r="J205" s="43">
        <v>2506</v>
      </c>
      <c r="K205" s="43">
        <f t="shared" si="25"/>
        <v>-2506</v>
      </c>
    </row>
    <row r="206" spans="1:11">
      <c r="A206" s="74"/>
      <c r="B206" s="74"/>
      <c r="C206" s="303"/>
      <c r="D206" s="263"/>
      <c r="E206" s="263"/>
      <c r="F206" s="263"/>
      <c r="G206" s="263"/>
      <c r="H206" s="263"/>
      <c r="I206" s="74"/>
      <c r="J206" s="43"/>
      <c r="K206" s="43"/>
    </row>
    <row r="207" spans="1:11">
      <c r="A207" s="74"/>
      <c r="B207" s="74"/>
      <c r="C207" s="74"/>
      <c r="D207" s="263"/>
      <c r="E207" s="263"/>
      <c r="F207" s="263"/>
      <c r="G207" s="263"/>
      <c r="H207" s="263"/>
      <c r="I207" s="74"/>
      <c r="J207" s="43"/>
      <c r="K207" s="43"/>
    </row>
    <row r="208" spans="1:11">
      <c r="A208" s="298" t="s">
        <v>884</v>
      </c>
      <c r="B208" s="74"/>
      <c r="C208" s="298" t="s">
        <v>891</v>
      </c>
      <c r="D208" s="263">
        <v>11</v>
      </c>
      <c r="E208" s="263">
        <v>180000</v>
      </c>
      <c r="F208" s="263">
        <v>2750</v>
      </c>
      <c r="G208" s="263">
        <v>485.20000000000005</v>
      </c>
      <c r="H208" s="263">
        <v>479.80000000000007</v>
      </c>
      <c r="I208" s="74"/>
      <c r="J208" s="43">
        <v>16614</v>
      </c>
      <c r="K208" s="43"/>
    </row>
    <row r="209" spans="1:11">
      <c r="A209" s="74"/>
      <c r="B209" s="74"/>
      <c r="C209" s="303" t="s">
        <v>881</v>
      </c>
      <c r="D209" s="263">
        <v>12</v>
      </c>
      <c r="E209" s="263">
        <v>196363.63636363635</v>
      </c>
      <c r="F209" s="263">
        <v>3000</v>
      </c>
      <c r="G209" s="263">
        <v>529.30909090909097</v>
      </c>
      <c r="H209" s="263">
        <v>523.41818181818189</v>
      </c>
      <c r="I209" s="74"/>
      <c r="J209" s="43">
        <v>18324</v>
      </c>
      <c r="K209" s="43">
        <f>J209-J208</f>
        <v>1710</v>
      </c>
    </row>
    <row r="210" spans="1:11">
      <c r="A210" s="74"/>
      <c r="B210" s="74"/>
      <c r="C210" s="74"/>
      <c r="D210" s="263"/>
      <c r="E210" s="263"/>
      <c r="F210" s="263"/>
      <c r="G210" s="263"/>
      <c r="H210" s="263"/>
      <c r="I210" s="74"/>
      <c r="J210" s="43"/>
      <c r="K210" s="43"/>
    </row>
    <row r="211" spans="1:11">
      <c r="A211" s="298" t="s">
        <v>885</v>
      </c>
      <c r="B211" s="74"/>
      <c r="C211" s="298" t="s">
        <v>897</v>
      </c>
      <c r="D211" s="263">
        <v>8</v>
      </c>
      <c r="E211" s="263">
        <v>6600000</v>
      </c>
      <c r="F211" s="263">
        <v>28350.100000000002</v>
      </c>
      <c r="G211" s="263">
        <v>27145.8</v>
      </c>
      <c r="H211" s="263">
        <v>26662.899999999998</v>
      </c>
      <c r="I211" s="74"/>
      <c r="J211" s="43">
        <v>409977</v>
      </c>
      <c r="K211" s="43"/>
    </row>
    <row r="212" spans="1:11">
      <c r="A212" s="74"/>
      <c r="B212" s="74"/>
      <c r="C212" s="303" t="s">
        <v>881</v>
      </c>
      <c r="D212" s="263">
        <v>12</v>
      </c>
      <c r="E212" s="263">
        <v>9900000</v>
      </c>
      <c r="F212" s="263">
        <v>42525.15</v>
      </c>
      <c r="G212" s="263">
        <v>40718.699999999997</v>
      </c>
      <c r="H212" s="263">
        <v>39994.35</v>
      </c>
      <c r="I212" s="74"/>
      <c r="J212" s="43">
        <v>615365</v>
      </c>
      <c r="K212" s="43">
        <f>J212-J211</f>
        <v>205388</v>
      </c>
    </row>
    <row r="213" spans="1:11">
      <c r="A213" s="74"/>
      <c r="B213" s="74"/>
      <c r="C213" s="74"/>
      <c r="D213" s="263"/>
      <c r="E213" s="263"/>
      <c r="F213" s="263"/>
      <c r="G213" s="263"/>
      <c r="H213" s="263"/>
      <c r="I213" s="74"/>
      <c r="J213" s="43"/>
      <c r="K213" s="43"/>
    </row>
    <row r="214" spans="1:11">
      <c r="A214" s="298" t="s">
        <v>886</v>
      </c>
      <c r="B214" s="74"/>
      <c r="C214" s="298" t="s">
        <v>892</v>
      </c>
      <c r="D214" s="263">
        <v>7</v>
      </c>
      <c r="E214" s="263">
        <v>198000</v>
      </c>
      <c r="F214" s="263">
        <v>6300</v>
      </c>
      <c r="G214" s="263">
        <v>1637.3</v>
      </c>
      <c r="H214" s="263">
        <v>1549.3999999999999</v>
      </c>
      <c r="I214" s="74"/>
      <c r="J214" s="43">
        <v>24415</v>
      </c>
      <c r="K214" s="43"/>
    </row>
    <row r="215" spans="1:11">
      <c r="A215" s="74"/>
      <c r="B215" s="74"/>
      <c r="C215" s="303" t="s">
        <v>881</v>
      </c>
      <c r="D215" s="263">
        <v>12</v>
      </c>
      <c r="E215" s="263">
        <v>339428.57142857142</v>
      </c>
      <c r="F215" s="263">
        <v>10800</v>
      </c>
      <c r="G215" s="263">
        <v>2806.8</v>
      </c>
      <c r="H215" s="263">
        <v>2656.1142857142854</v>
      </c>
      <c r="I215" s="74"/>
      <c r="J215" s="43">
        <v>42626</v>
      </c>
      <c r="K215" s="43">
        <f>J215-J214</f>
        <v>18211</v>
      </c>
    </row>
    <row r="216" spans="1:11">
      <c r="A216" s="74"/>
      <c r="B216" s="74"/>
      <c r="C216" s="74"/>
      <c r="D216" s="263"/>
      <c r="E216" s="263"/>
      <c r="F216" s="263"/>
      <c r="G216" s="263"/>
      <c r="H216" s="263"/>
      <c r="I216" s="74"/>
      <c r="J216" s="43"/>
      <c r="K216" s="43"/>
    </row>
    <row r="217" spans="1:11">
      <c r="A217" s="298" t="s">
        <v>887</v>
      </c>
      <c r="B217" s="74"/>
      <c r="C217" s="298" t="s">
        <v>897</v>
      </c>
      <c r="D217" s="263">
        <v>8</v>
      </c>
      <c r="E217" s="263">
        <v>6582000</v>
      </c>
      <c r="F217" s="263">
        <v>32400</v>
      </c>
      <c r="G217" s="263">
        <v>21934.1</v>
      </c>
      <c r="H217" s="263">
        <v>21320.800000000003</v>
      </c>
      <c r="I217" s="74"/>
      <c r="J217" s="43">
        <v>382357</v>
      </c>
      <c r="K217" s="43"/>
    </row>
    <row r="218" spans="1:11">
      <c r="A218" s="74"/>
      <c r="B218" s="74"/>
      <c r="C218" s="303" t="s">
        <v>881</v>
      </c>
      <c r="D218" s="263">
        <v>12</v>
      </c>
      <c r="E218" s="263">
        <v>9873000</v>
      </c>
      <c r="F218" s="263">
        <v>48600</v>
      </c>
      <c r="G218" s="263">
        <v>32901.149999999994</v>
      </c>
      <c r="H218" s="263">
        <v>31981.200000000004</v>
      </c>
      <c r="I218" s="74"/>
      <c r="J218" s="43">
        <v>573260</v>
      </c>
      <c r="K218" s="43">
        <f>J218-J217</f>
        <v>190903</v>
      </c>
    </row>
    <row r="219" spans="1:11">
      <c r="A219" s="298"/>
      <c r="B219" s="74"/>
      <c r="C219" s="74"/>
      <c r="D219" s="263"/>
      <c r="E219" s="263"/>
      <c r="F219" s="263"/>
      <c r="G219" s="263"/>
      <c r="H219" s="263"/>
      <c r="I219" s="74"/>
      <c r="J219" s="43"/>
      <c r="K219" s="43"/>
    </row>
    <row r="220" spans="1:11">
      <c r="A220" s="298" t="s">
        <v>888</v>
      </c>
      <c r="B220" s="74"/>
      <c r="C220" s="298" t="s">
        <v>892</v>
      </c>
      <c r="D220" s="263">
        <v>6</v>
      </c>
      <c r="E220" s="263">
        <v>912000</v>
      </c>
      <c r="F220" s="263">
        <v>5982</v>
      </c>
      <c r="G220" s="263">
        <v>5351.4000000000005</v>
      </c>
      <c r="H220" s="263">
        <v>5319.1</v>
      </c>
      <c r="I220" s="74"/>
      <c r="J220" s="43">
        <v>71992</v>
      </c>
      <c r="K220" s="43"/>
    </row>
    <row r="221" spans="1:11">
      <c r="A221" s="74"/>
      <c r="B221" s="74"/>
      <c r="C221" s="303" t="s">
        <v>881</v>
      </c>
      <c r="D221" s="263">
        <v>12</v>
      </c>
      <c r="E221" s="263">
        <v>1824000</v>
      </c>
      <c r="F221" s="263">
        <v>11964</v>
      </c>
      <c r="G221" s="263">
        <v>10702.800000000001</v>
      </c>
      <c r="H221" s="263">
        <v>10638.2</v>
      </c>
      <c r="I221" s="74"/>
      <c r="J221" s="43">
        <v>140716</v>
      </c>
      <c r="K221" s="43">
        <f>J221-J220</f>
        <v>68724</v>
      </c>
    </row>
    <row r="222" spans="1:11">
      <c r="A222" s="74"/>
      <c r="B222" s="74"/>
      <c r="C222" s="74"/>
      <c r="D222" s="263"/>
      <c r="E222" s="263"/>
      <c r="F222" s="263"/>
      <c r="G222" s="263"/>
      <c r="H222" s="263"/>
      <c r="I222" s="74"/>
      <c r="J222" s="43"/>
      <c r="K222" s="43"/>
    </row>
    <row r="223" spans="1:11">
      <c r="A223" s="74" t="s">
        <v>912</v>
      </c>
      <c r="B223" s="74"/>
      <c r="C223" s="22">
        <v>-4</v>
      </c>
      <c r="D223" s="263"/>
      <c r="E223" s="263"/>
      <c r="F223" s="263"/>
      <c r="G223" s="263"/>
      <c r="H223" s="263"/>
      <c r="I223" s="74"/>
      <c r="J223" s="43"/>
      <c r="K223" s="43"/>
    </row>
    <row r="224" spans="1:11" ht="14.25">
      <c r="A224" s="74" t="s">
        <v>913</v>
      </c>
      <c r="B224" s="74"/>
      <c r="C224" s="54">
        <v>5</v>
      </c>
      <c r="D224" s="263"/>
      <c r="E224" s="263"/>
      <c r="F224" s="263"/>
      <c r="G224" s="263"/>
      <c r="H224" s="263"/>
      <c r="I224" s="74"/>
      <c r="J224" s="43"/>
      <c r="K224" s="43"/>
    </row>
    <row r="225" spans="1:25">
      <c r="A225" s="15" t="s">
        <v>1040</v>
      </c>
      <c r="B225" s="74"/>
      <c r="C225" s="22">
        <f>SUM(C223:C224)</f>
        <v>1</v>
      </c>
      <c r="D225" s="74"/>
      <c r="E225" s="74" t="s">
        <v>916</v>
      </c>
      <c r="F225" s="74"/>
      <c r="G225" s="74"/>
      <c r="H225" s="74"/>
      <c r="I225" s="74"/>
      <c r="J225" s="74"/>
      <c r="K225" s="305">
        <f>SUM(K202:K222)</f>
        <v>166983</v>
      </c>
    </row>
    <row r="226" spans="1:25">
      <c r="A226" s="74"/>
      <c r="B226" s="74"/>
      <c r="C226" s="74"/>
      <c r="D226" s="74"/>
      <c r="E226" s="74"/>
      <c r="F226" s="74"/>
      <c r="G226" s="74"/>
      <c r="H226" s="74"/>
      <c r="I226" s="74"/>
      <c r="J226" s="74"/>
      <c r="K226" s="74"/>
    </row>
    <row r="227" spans="1:25">
      <c r="A227" s="74"/>
      <c r="B227" s="74"/>
      <c r="C227" s="74"/>
      <c r="D227" s="74"/>
      <c r="E227" s="74"/>
      <c r="F227" s="74"/>
      <c r="G227" s="74"/>
      <c r="H227" s="74"/>
      <c r="I227" s="74"/>
      <c r="J227" s="74"/>
      <c r="K227" s="74"/>
    </row>
    <row r="228" spans="1:25">
      <c r="A228" s="74"/>
      <c r="B228" s="74"/>
      <c r="C228" s="74"/>
      <c r="D228" s="74"/>
      <c r="E228" s="74"/>
      <c r="F228" s="74"/>
      <c r="G228" s="74"/>
      <c r="H228" s="74"/>
      <c r="I228" s="74"/>
      <c r="J228" s="74"/>
      <c r="K228" s="74"/>
    </row>
    <row r="229" spans="1:25">
      <c r="A229" s="74"/>
      <c r="B229" s="74"/>
      <c r="C229" s="74"/>
      <c r="D229" s="74"/>
      <c r="E229" s="74"/>
      <c r="F229" s="74"/>
      <c r="G229" s="74"/>
      <c r="H229" s="74"/>
      <c r="I229" s="74"/>
      <c r="J229" s="74"/>
      <c r="K229" s="74"/>
    </row>
    <row r="230" spans="1:25">
      <c r="A230" s="439" t="s">
        <v>898</v>
      </c>
      <c r="B230" s="439"/>
      <c r="C230" s="439"/>
      <c r="D230" s="439"/>
      <c r="E230" s="439"/>
      <c r="F230" s="439"/>
      <c r="G230" s="439"/>
      <c r="H230" s="439"/>
      <c r="I230" s="439"/>
      <c r="J230" s="439"/>
      <c r="K230" s="439"/>
    </row>
    <row r="231" spans="1:25">
      <c r="A231" s="439" t="s">
        <v>1417</v>
      </c>
      <c r="B231" s="439"/>
      <c r="C231" s="439"/>
      <c r="D231" s="439"/>
      <c r="E231" s="439"/>
      <c r="F231" s="439"/>
      <c r="G231" s="439"/>
      <c r="H231" s="439"/>
      <c r="I231" s="439"/>
      <c r="J231" s="439"/>
      <c r="K231" s="439"/>
    </row>
    <row r="232" spans="1:25">
      <c r="A232" s="439"/>
      <c r="B232" s="439"/>
      <c r="C232" s="789">
        <v>-1</v>
      </c>
      <c r="D232" s="789">
        <f>C232-1</f>
        <v>-2</v>
      </c>
      <c r="E232" s="789">
        <f t="shared" ref="E232:H232" si="26">D232-1</f>
        <v>-3</v>
      </c>
      <c r="F232" s="789">
        <f t="shared" si="26"/>
        <v>-4</v>
      </c>
      <c r="G232" s="789">
        <f t="shared" si="26"/>
        <v>-5</v>
      </c>
      <c r="H232" s="789">
        <f t="shared" si="26"/>
        <v>-6</v>
      </c>
      <c r="I232" s="789"/>
      <c r="J232" s="789">
        <f>H232-1</f>
        <v>-7</v>
      </c>
      <c r="K232" s="789">
        <f t="shared" ref="K232" si="27">J232-1</f>
        <v>-8</v>
      </c>
    </row>
    <row r="233" spans="1:25" ht="84">
      <c r="A233" s="439"/>
      <c r="B233" s="439"/>
      <c r="C233" s="481" t="s">
        <v>1414</v>
      </c>
      <c r="D233" s="481" t="s">
        <v>1415</v>
      </c>
      <c r="E233" s="481" t="s">
        <v>1416</v>
      </c>
      <c r="F233" s="479" t="s">
        <v>899</v>
      </c>
      <c r="G233" s="479" t="s">
        <v>1419</v>
      </c>
      <c r="H233" s="481" t="s">
        <v>917</v>
      </c>
      <c r="I233" s="481" t="s">
        <v>900</v>
      </c>
      <c r="J233" s="481" t="s">
        <v>901</v>
      </c>
      <c r="K233" s="481" t="s">
        <v>918</v>
      </c>
    </row>
    <row r="234" spans="1:25">
      <c r="A234" s="74"/>
      <c r="B234" s="74"/>
      <c r="C234" s="74"/>
      <c r="D234" s="74"/>
      <c r="E234" s="74"/>
      <c r="F234" s="74"/>
      <c r="G234" s="74"/>
      <c r="H234" s="74"/>
      <c r="I234" s="74"/>
      <c r="J234" s="74"/>
      <c r="K234" s="74"/>
      <c r="Q234" s="439" t="s">
        <v>1421</v>
      </c>
      <c r="R234" s="439" t="s">
        <v>1422</v>
      </c>
      <c r="S234" s="439" t="s">
        <v>1423</v>
      </c>
      <c r="T234" s="439" t="s">
        <v>1422</v>
      </c>
      <c r="U234" s="439"/>
      <c r="V234" s="447" t="s">
        <v>1427</v>
      </c>
      <c r="W234" s="439" t="s">
        <v>1422</v>
      </c>
      <c r="X234" s="447" t="s">
        <v>1428</v>
      </c>
      <c r="Y234" s="439" t="s">
        <v>1422</v>
      </c>
    </row>
    <row r="235" spans="1:25">
      <c r="A235" s="439" t="str">
        <f>A77</f>
        <v>Residential Service including VFD including rate switching</v>
      </c>
      <c r="B235" s="42"/>
      <c r="C235" s="528" t="e">
        <f>SUM(Q235:T236)</f>
        <v>#NAME?</v>
      </c>
      <c r="D235" s="602">
        <v>1287</v>
      </c>
      <c r="E235" s="602">
        <v>-363</v>
      </c>
      <c r="F235" s="602" t="e">
        <f>C235+D235+E235</f>
        <v>#NAME?</v>
      </c>
      <c r="G235" s="602" t="e">
        <f>ROUND(F235/13,0)</f>
        <v>#NAME?</v>
      </c>
      <c r="H235" s="528" t="e">
        <f>SUM(V235:Y236)</f>
        <v>#NAME?</v>
      </c>
      <c r="I235" s="602">
        <v>623217</v>
      </c>
      <c r="J235" s="602">
        <v>-464042</v>
      </c>
      <c r="K235" s="602" t="e">
        <f>SUM(H235:J235)</f>
        <v>#NAME?</v>
      </c>
      <c r="P235" s="439" t="s">
        <v>14</v>
      </c>
      <c r="Q235" s="761">
        <f t="shared" ref="Q235:Q254" si="28">SUMIFS(_12MonResults_CustomerCount,_12MonResults_RateClass,$P235)</f>
        <v>5164164</v>
      </c>
      <c r="R235" s="689" t="e">
        <f t="shared" ref="R235:R254" si="29">+SUMIFS(_12MonResults_CustomerCount_Adj,_12MonResults_RateClass,$P235)</f>
        <v>#NAME?</v>
      </c>
      <c r="S235" s="689" t="e">
        <f t="shared" ref="S235:S256" si="30">+SUMIFS(_13Month_Count,_13Month_RateClass,$P235)</f>
        <v>#NAME?</v>
      </c>
      <c r="T235" s="689" t="e">
        <f t="shared" ref="T235:T256" si="31">+SUMIFS(_13Month_Count_Adj,_13Month_RateClass,$P235)</f>
        <v>#NAME?</v>
      </c>
      <c r="V235" s="761">
        <f t="shared" ref="V235:V254" si="32">SUMIFS(_12MonResults_KWH_Total,_12MonResults_RateClass,$P235)</f>
        <v>6197389895</v>
      </c>
      <c r="W235" s="689" t="e">
        <f t="shared" ref="W235:W254" si="33">+SUMIFS(_12MonResults_KWH_OutOfPeriod,_12MonResults_RateClass,$P235)</f>
        <v>#NAME?</v>
      </c>
      <c r="X235" s="689" t="e">
        <f t="shared" ref="X235:X256" si="34">+SUMIFS(_13Month_Energy,_13Month_RateClass,$P235)</f>
        <v>#NAME?</v>
      </c>
      <c r="Y235" s="689" t="e">
        <f t="shared" ref="Y235:Y256" si="35">+SUMIFS(_13Month_Count_Adj,_13Month_RateClass,$P235)</f>
        <v>#NAME?</v>
      </c>
    </row>
    <row r="236" spans="1:25">
      <c r="A236" s="74"/>
      <c r="B236" s="74"/>
      <c r="C236" s="602"/>
      <c r="D236" s="602"/>
      <c r="E236" s="602"/>
      <c r="F236" s="602"/>
      <c r="G236" s="439"/>
      <c r="H236" s="602"/>
      <c r="I236" s="22"/>
      <c r="J236" s="22"/>
      <c r="K236" s="22"/>
      <c r="P236" s="439" t="s">
        <v>16</v>
      </c>
      <c r="Q236" s="761">
        <f t="shared" si="28"/>
        <v>0</v>
      </c>
      <c r="R236" s="689" t="e">
        <f t="shared" si="29"/>
        <v>#NAME?</v>
      </c>
      <c r="S236" s="689" t="e">
        <f t="shared" si="30"/>
        <v>#NAME?</v>
      </c>
      <c r="T236" s="689" t="e">
        <f t="shared" si="31"/>
        <v>#NAME?</v>
      </c>
      <c r="V236" s="761">
        <f t="shared" si="32"/>
        <v>0</v>
      </c>
      <c r="W236" s="689" t="e">
        <f t="shared" si="33"/>
        <v>#NAME?</v>
      </c>
      <c r="X236" s="689" t="e">
        <f t="shared" si="34"/>
        <v>#NAME?</v>
      </c>
      <c r="Y236" s="689" t="e">
        <f t="shared" si="35"/>
        <v>#NAME?</v>
      </c>
    </row>
    <row r="237" spans="1:25">
      <c r="A237" s="439" t="str">
        <f>A79</f>
        <v>Residential Service -- Electric Vehicle Only</v>
      </c>
      <c r="B237" s="222"/>
      <c r="C237" s="528" t="e">
        <f>SUM(Q237:T237)</f>
        <v>#NAME?</v>
      </c>
      <c r="D237" s="602"/>
      <c r="E237" s="602"/>
      <c r="F237" s="602" t="e">
        <f>C237+D237+E237</f>
        <v>#NAME?</v>
      </c>
      <c r="G237" s="602" t="e">
        <f>ROUND(F237/13,0)</f>
        <v>#NAME?</v>
      </c>
      <c r="H237" s="528" t="e">
        <f>SUM(V237:Y237)</f>
        <v>#NAME?</v>
      </c>
      <c r="I237" s="22"/>
      <c r="J237" s="22"/>
      <c r="K237" s="602" t="e">
        <f>SUM(H237:J237)</f>
        <v>#NAME?</v>
      </c>
      <c r="P237" s="439" t="s">
        <v>206</v>
      </c>
      <c r="Q237" s="761">
        <f t="shared" si="28"/>
        <v>85</v>
      </c>
      <c r="R237" s="689" t="e">
        <f t="shared" si="29"/>
        <v>#NAME?</v>
      </c>
      <c r="S237" s="689" t="e">
        <f t="shared" si="30"/>
        <v>#NAME?</v>
      </c>
      <c r="T237" s="689" t="e">
        <f t="shared" si="31"/>
        <v>#NAME?</v>
      </c>
      <c r="V237" s="761">
        <f t="shared" si="32"/>
        <v>98454</v>
      </c>
      <c r="W237" s="689" t="e">
        <f t="shared" si="33"/>
        <v>#NAME?</v>
      </c>
      <c r="X237" s="689" t="e">
        <f t="shared" si="34"/>
        <v>#NAME?</v>
      </c>
      <c r="Y237" s="689" t="e">
        <f t="shared" si="35"/>
        <v>#NAME?</v>
      </c>
    </row>
    <row r="238" spans="1:25">
      <c r="A238" s="439"/>
      <c r="B238" s="74"/>
      <c r="C238" s="602"/>
      <c r="D238" s="602"/>
      <c r="E238" s="602"/>
      <c r="F238" s="602"/>
      <c r="G238" s="439"/>
      <c r="H238" s="602"/>
      <c r="I238" s="22"/>
      <c r="J238" s="22"/>
      <c r="K238" s="22"/>
      <c r="P238" s="447" t="s">
        <v>208</v>
      </c>
      <c r="Q238" s="761">
        <f t="shared" si="28"/>
        <v>762399</v>
      </c>
      <c r="R238" s="689" t="e">
        <f t="shared" si="29"/>
        <v>#NAME?</v>
      </c>
      <c r="S238" s="689" t="e">
        <f t="shared" si="30"/>
        <v>#NAME?</v>
      </c>
      <c r="T238" s="689" t="e">
        <f t="shared" si="31"/>
        <v>#NAME?</v>
      </c>
      <c r="V238" s="761">
        <f t="shared" si="32"/>
        <v>773603156</v>
      </c>
      <c r="W238" s="689" t="e">
        <f t="shared" si="33"/>
        <v>#NAME?</v>
      </c>
      <c r="X238" s="689" t="e">
        <f t="shared" si="34"/>
        <v>#NAME?</v>
      </c>
      <c r="Y238" s="689" t="e">
        <f t="shared" si="35"/>
        <v>#NAME?</v>
      </c>
    </row>
    <row r="239" spans="1:25">
      <c r="A239" s="439" t="str">
        <f>A81</f>
        <v>General Service</v>
      </c>
      <c r="B239" s="42"/>
      <c r="C239" s="528"/>
      <c r="D239" s="602"/>
      <c r="E239" s="602"/>
      <c r="F239" s="602"/>
      <c r="G239" s="602"/>
      <c r="H239" s="528"/>
      <c r="I239" s="22"/>
      <c r="J239" s="22"/>
      <c r="K239" s="602">
        <f>SUM(H239:J239)</f>
        <v>0</v>
      </c>
      <c r="P239" s="439" t="s">
        <v>17</v>
      </c>
      <c r="Q239" s="761">
        <f t="shared" si="28"/>
        <v>222861</v>
      </c>
      <c r="R239" s="689" t="e">
        <f t="shared" si="29"/>
        <v>#NAME?</v>
      </c>
      <c r="S239" s="689" t="e">
        <f t="shared" si="30"/>
        <v>#NAME?</v>
      </c>
      <c r="T239" s="689" t="e">
        <f t="shared" si="31"/>
        <v>#NAME?</v>
      </c>
      <c r="V239" s="761">
        <f t="shared" si="32"/>
        <v>1131893696</v>
      </c>
      <c r="W239" s="689" t="e">
        <f t="shared" si="33"/>
        <v>#NAME?</v>
      </c>
      <c r="X239" s="689" t="e">
        <f t="shared" si="34"/>
        <v>#NAME?</v>
      </c>
      <c r="Y239" s="689" t="e">
        <f t="shared" si="35"/>
        <v>#NAME?</v>
      </c>
    </row>
    <row r="240" spans="1:25">
      <c r="A240" s="762" t="s">
        <v>1033</v>
      </c>
      <c r="B240" s="42"/>
      <c r="C240" s="528" t="e">
        <f>SUM(Q238:T238)</f>
        <v>#NAME?</v>
      </c>
      <c r="D240" s="602"/>
      <c r="E240" s="602"/>
      <c r="F240" s="602" t="e">
        <f>C240+D240+E240</f>
        <v>#NAME?</v>
      </c>
      <c r="G240" s="602" t="e">
        <f>ROUND(F240/13,0)</f>
        <v>#NAME?</v>
      </c>
      <c r="H240" s="528" t="e">
        <f>SUM(V238:Y238)</f>
        <v>#NAME?</v>
      </c>
      <c r="I240" s="22"/>
      <c r="J240" s="22"/>
      <c r="K240" s="602" t="e">
        <f>SUM(H240:J240)</f>
        <v>#NAME?</v>
      </c>
      <c r="P240" s="439"/>
      <c r="Q240" s="761"/>
      <c r="R240" s="689"/>
      <c r="S240" s="689"/>
      <c r="T240" s="689"/>
      <c r="V240" s="761"/>
      <c r="W240" s="689"/>
      <c r="X240" s="689"/>
      <c r="Y240" s="689"/>
    </row>
    <row r="241" spans="1:25">
      <c r="A241" s="762" t="s">
        <v>1032</v>
      </c>
      <c r="B241" s="42"/>
      <c r="C241" s="528" t="e">
        <f>SUM(Q239:T239)</f>
        <v>#NAME?</v>
      </c>
      <c r="D241" s="602"/>
      <c r="E241" s="602"/>
      <c r="F241" s="602" t="e">
        <f>C241+D241+E241</f>
        <v>#NAME?</v>
      </c>
      <c r="G241" s="602" t="e">
        <f>ROUND(F241/13,0)</f>
        <v>#NAME?</v>
      </c>
      <c r="H241" s="528" t="e">
        <f>SUM(V239:Y239)</f>
        <v>#NAME?</v>
      </c>
      <c r="I241" s="22"/>
      <c r="J241" s="22"/>
      <c r="K241" s="602" t="e">
        <f>SUM(H241:J241)</f>
        <v>#NAME?</v>
      </c>
      <c r="P241" s="439"/>
      <c r="Q241" s="761"/>
      <c r="R241" s="689"/>
      <c r="S241" s="689"/>
      <c r="T241" s="689"/>
      <c r="V241" s="761"/>
      <c r="W241" s="689"/>
      <c r="X241" s="689"/>
      <c r="Y241" s="689"/>
    </row>
    <row r="242" spans="1:25">
      <c r="A242" s="439"/>
      <c r="B242" s="74"/>
      <c r="C242" s="602"/>
      <c r="D242" s="602"/>
      <c r="E242" s="602"/>
      <c r="F242" s="602"/>
      <c r="G242" s="439"/>
      <c r="H242" s="602"/>
      <c r="I242" s="22"/>
      <c r="J242" s="22"/>
      <c r="K242" s="22"/>
      <c r="P242" s="439" t="s">
        <v>203</v>
      </c>
      <c r="Q242" s="761">
        <f t="shared" si="28"/>
        <v>4491</v>
      </c>
      <c r="R242" s="689" t="e">
        <f t="shared" si="29"/>
        <v>#NAME?</v>
      </c>
      <c r="S242" s="689" t="e">
        <f t="shared" si="30"/>
        <v>#NAME?</v>
      </c>
      <c r="T242" s="689" t="e">
        <f t="shared" si="31"/>
        <v>#NAME?</v>
      </c>
      <c r="V242" s="761">
        <f t="shared" si="32"/>
        <v>7766692</v>
      </c>
      <c r="W242" s="689" t="e">
        <f t="shared" si="33"/>
        <v>#NAME?</v>
      </c>
      <c r="X242" s="689" t="e">
        <f t="shared" si="34"/>
        <v>#NAME?</v>
      </c>
      <c r="Y242" s="689" t="e">
        <f t="shared" si="35"/>
        <v>#NAME?</v>
      </c>
    </row>
    <row r="243" spans="1:25">
      <c r="A243" s="439" t="str">
        <f>A85</f>
        <v>Rate AES</v>
      </c>
      <c r="B243" s="42"/>
      <c r="C243" s="528"/>
      <c r="D243" s="602"/>
      <c r="E243" s="602"/>
      <c r="F243" s="602"/>
      <c r="G243" s="602"/>
      <c r="H243" s="528"/>
      <c r="I243" s="22"/>
      <c r="J243" s="22"/>
      <c r="K243" s="602">
        <f>SUM(H243:J243)</f>
        <v>0</v>
      </c>
      <c r="P243" s="439" t="s">
        <v>212</v>
      </c>
      <c r="Q243" s="761">
        <f t="shared" si="28"/>
        <v>3120</v>
      </c>
      <c r="R243" s="689" t="e">
        <f t="shared" si="29"/>
        <v>#NAME?</v>
      </c>
      <c r="S243" s="689" t="e">
        <f t="shared" si="30"/>
        <v>#NAME?</v>
      </c>
      <c r="T243" s="689" t="e">
        <f t="shared" si="31"/>
        <v>#NAME?</v>
      </c>
      <c r="V243" s="761">
        <f t="shared" si="32"/>
        <v>143951864</v>
      </c>
      <c r="W243" s="689" t="e">
        <f t="shared" si="33"/>
        <v>#NAME?</v>
      </c>
      <c r="X243" s="689" t="e">
        <f t="shared" si="34"/>
        <v>#NAME?</v>
      </c>
      <c r="Y243" s="689" t="e">
        <f t="shared" si="35"/>
        <v>#NAME?</v>
      </c>
    </row>
    <row r="244" spans="1:25">
      <c r="A244" s="762" t="s">
        <v>1033</v>
      </c>
      <c r="B244" s="42"/>
      <c r="C244" s="528" t="e">
        <f>SUM(Q242:T242)</f>
        <v>#NAME?</v>
      </c>
      <c r="D244" s="602"/>
      <c r="E244" s="602"/>
      <c r="F244" s="602" t="e">
        <f>C244+D244+E244</f>
        <v>#NAME?</v>
      </c>
      <c r="G244" s="602" t="e">
        <f>ROUND(F244/13,0)</f>
        <v>#NAME?</v>
      </c>
      <c r="H244" s="528" t="e">
        <f>SUM(V242:Y242)</f>
        <v>#NAME?</v>
      </c>
      <c r="I244" s="22"/>
      <c r="J244" s="22"/>
      <c r="K244" s="602" t="e">
        <f>SUM(H244:J244)</f>
        <v>#NAME?</v>
      </c>
      <c r="P244" s="439"/>
      <c r="Q244" s="761"/>
      <c r="R244" s="689"/>
      <c r="S244" s="689"/>
      <c r="T244" s="689"/>
      <c r="V244" s="761"/>
      <c r="W244" s="689"/>
      <c r="X244" s="689"/>
      <c r="Y244" s="689"/>
    </row>
    <row r="245" spans="1:25">
      <c r="A245" s="762" t="s">
        <v>1032</v>
      </c>
      <c r="B245" s="42"/>
      <c r="C245" s="528" t="e">
        <f>SUM(Q243:T243)</f>
        <v>#NAME?</v>
      </c>
      <c r="D245" s="602"/>
      <c r="E245" s="602"/>
      <c r="F245" s="602" t="e">
        <f>C245+D245+E245</f>
        <v>#NAME?</v>
      </c>
      <c r="G245" s="602" t="e">
        <f>ROUND(F245/13,0)</f>
        <v>#NAME?</v>
      </c>
      <c r="H245" s="528" t="e">
        <f>SUM(V243:Y243)</f>
        <v>#NAME?</v>
      </c>
      <c r="I245" s="22"/>
      <c r="J245" s="22"/>
      <c r="K245" s="602" t="e">
        <f>SUM(H245:J245)</f>
        <v>#NAME?</v>
      </c>
      <c r="P245" s="439"/>
      <c r="Q245" s="761"/>
      <c r="R245" s="689"/>
      <c r="S245" s="689"/>
      <c r="T245" s="689"/>
      <c r="V245" s="761"/>
      <c r="W245" s="689"/>
      <c r="X245" s="689"/>
      <c r="Y245" s="689"/>
    </row>
    <row r="246" spans="1:25">
      <c r="A246" s="439"/>
      <c r="B246" s="74"/>
      <c r="C246" s="528"/>
      <c r="D246" s="602"/>
      <c r="E246" s="602"/>
      <c r="F246" s="602"/>
      <c r="G246" s="439"/>
      <c r="H246" s="602"/>
      <c r="I246" s="22"/>
      <c r="J246" s="22"/>
      <c r="K246" s="22"/>
      <c r="P246" s="439" t="s">
        <v>25</v>
      </c>
      <c r="Q246" s="761">
        <f t="shared" si="28"/>
        <v>2370</v>
      </c>
      <c r="R246" s="689" t="e">
        <f t="shared" si="29"/>
        <v>#NAME?</v>
      </c>
      <c r="S246" s="689" t="e">
        <f t="shared" si="30"/>
        <v>#NAME?</v>
      </c>
      <c r="T246" s="689" t="e">
        <f t="shared" si="31"/>
        <v>#NAME?</v>
      </c>
      <c r="V246" s="761">
        <f t="shared" si="32"/>
        <v>237951668</v>
      </c>
      <c r="W246" s="689" t="e">
        <f t="shared" si="33"/>
        <v>#NAME?</v>
      </c>
      <c r="X246" s="689" t="e">
        <f t="shared" si="34"/>
        <v>#NAME?</v>
      </c>
      <c r="Y246" s="689" t="e">
        <f t="shared" si="35"/>
        <v>#NAME?</v>
      </c>
    </row>
    <row r="247" spans="1:25">
      <c r="A247" s="439" t="str">
        <f>A89</f>
        <v>Power Service</v>
      </c>
      <c r="B247" s="74"/>
      <c r="C247" s="528"/>
      <c r="D247" s="602"/>
      <c r="E247" s="602"/>
      <c r="F247" s="602"/>
      <c r="G247" s="439"/>
      <c r="H247" s="602"/>
      <c r="I247" s="22"/>
      <c r="J247" s="22"/>
      <c r="K247" s="22"/>
      <c r="P247" s="439" t="s">
        <v>24</v>
      </c>
      <c r="Q247" s="761">
        <f t="shared" si="28"/>
        <v>55875</v>
      </c>
      <c r="R247" s="689" t="e">
        <f t="shared" si="29"/>
        <v>#NAME?</v>
      </c>
      <c r="S247" s="689" t="e">
        <f t="shared" si="30"/>
        <v>#NAME?</v>
      </c>
      <c r="T247" s="689" t="e">
        <f t="shared" si="31"/>
        <v>#NAME?</v>
      </c>
      <c r="V247" s="761">
        <f t="shared" si="32"/>
        <v>2109401951</v>
      </c>
      <c r="W247" s="689" t="e">
        <f t="shared" si="33"/>
        <v>#NAME?</v>
      </c>
      <c r="X247" s="689" t="e">
        <f t="shared" si="34"/>
        <v>#NAME?</v>
      </c>
      <c r="Y247" s="689" t="e">
        <f t="shared" si="35"/>
        <v>#NAME?</v>
      </c>
    </row>
    <row r="248" spans="1:25">
      <c r="A248" s="439" t="str">
        <f>A90</f>
        <v>Primary</v>
      </c>
      <c r="B248" s="42"/>
      <c r="C248" s="528" t="e">
        <f>SUM(Q246:T246)</f>
        <v>#NAME?</v>
      </c>
      <c r="D248" s="602"/>
      <c r="E248" s="602"/>
      <c r="F248" s="602" t="e">
        <f>C248+D248+E248</f>
        <v>#NAME?</v>
      </c>
      <c r="G248" s="602" t="e">
        <f>ROUND(F248/13,0)</f>
        <v>#NAME?</v>
      </c>
      <c r="H248" s="528" t="e">
        <f>SUM(V246:Y246)</f>
        <v>#NAME?</v>
      </c>
      <c r="I248" s="22"/>
      <c r="J248" s="22"/>
      <c r="K248" s="602" t="e">
        <f>SUM(H248:J248)</f>
        <v>#NAME?</v>
      </c>
      <c r="P248" s="439" t="s">
        <v>205</v>
      </c>
      <c r="Q248" s="761">
        <f t="shared" si="28"/>
        <v>3054</v>
      </c>
      <c r="R248" s="689" t="e">
        <f t="shared" si="29"/>
        <v>#NAME?</v>
      </c>
      <c r="S248" s="689" t="e">
        <f t="shared" si="30"/>
        <v>#NAME?</v>
      </c>
      <c r="T248" s="689" t="e">
        <f t="shared" si="31"/>
        <v>#NAME?</v>
      </c>
      <c r="V248" s="761">
        <f t="shared" si="32"/>
        <v>4296353118</v>
      </c>
      <c r="W248" s="689" t="e">
        <f t="shared" si="33"/>
        <v>#NAME?</v>
      </c>
      <c r="X248" s="689" t="e">
        <f t="shared" si="34"/>
        <v>#NAME?</v>
      </c>
      <c r="Y248" s="689" t="e">
        <f t="shared" si="35"/>
        <v>#NAME?</v>
      </c>
    </row>
    <row r="249" spans="1:25">
      <c r="A249" s="439" t="str">
        <f>A91</f>
        <v>Secondary</v>
      </c>
      <c r="B249" s="42"/>
      <c r="C249" s="528" t="e">
        <f>SUM(Q247:T247)</f>
        <v>#NAME?</v>
      </c>
      <c r="D249" s="602"/>
      <c r="E249" s="602"/>
      <c r="F249" s="602" t="e">
        <f>C249+D249+E249</f>
        <v>#NAME?</v>
      </c>
      <c r="G249" s="602" t="e">
        <f>ROUND(F249/13,0)</f>
        <v>#NAME?</v>
      </c>
      <c r="H249" s="528" t="e">
        <f>SUM(V247:Y247)</f>
        <v>#NAME?</v>
      </c>
      <c r="I249" s="22"/>
      <c r="J249" s="22"/>
      <c r="K249" s="602" t="e">
        <f>SUM(H249:J249)</f>
        <v>#NAME?</v>
      </c>
      <c r="P249" s="439" t="s">
        <v>204</v>
      </c>
      <c r="Q249" s="761">
        <f t="shared" si="28"/>
        <v>5598</v>
      </c>
      <c r="R249" s="689" t="e">
        <f t="shared" si="29"/>
        <v>#NAME?</v>
      </c>
      <c r="S249" s="689" t="e">
        <f t="shared" si="30"/>
        <v>#NAME?</v>
      </c>
      <c r="T249" s="689" t="e">
        <f t="shared" si="31"/>
        <v>#NAME?</v>
      </c>
      <c r="V249" s="761">
        <f t="shared" si="32"/>
        <v>1609032248</v>
      </c>
      <c r="W249" s="689" t="e">
        <f t="shared" si="33"/>
        <v>#NAME?</v>
      </c>
      <c r="X249" s="689" t="e">
        <f t="shared" si="34"/>
        <v>#NAME?</v>
      </c>
      <c r="Y249" s="689" t="e">
        <f t="shared" si="35"/>
        <v>#NAME?</v>
      </c>
    </row>
    <row r="250" spans="1:25">
      <c r="A250" s="439"/>
      <c r="B250" s="74"/>
      <c r="C250" s="528"/>
      <c r="D250" s="602"/>
      <c r="E250" s="602"/>
      <c r="F250" s="602"/>
      <c r="G250" s="439"/>
      <c r="H250" s="602"/>
      <c r="I250" s="22"/>
      <c r="J250" s="22"/>
      <c r="K250" s="22"/>
      <c r="P250" s="439" t="s">
        <v>18</v>
      </c>
      <c r="Q250" s="761">
        <f t="shared" si="28"/>
        <v>384</v>
      </c>
      <c r="R250" s="689" t="e">
        <f t="shared" si="29"/>
        <v>#NAME?</v>
      </c>
      <c r="S250" s="689" t="e">
        <f t="shared" si="30"/>
        <v>#NAME?</v>
      </c>
      <c r="T250" s="689" t="e">
        <f t="shared" si="31"/>
        <v>#NAME?</v>
      </c>
      <c r="V250" s="761">
        <f t="shared" si="32"/>
        <v>1605630259</v>
      </c>
      <c r="W250" s="689" t="e">
        <f t="shared" si="33"/>
        <v>#NAME?</v>
      </c>
      <c r="X250" s="689" t="e">
        <f t="shared" si="34"/>
        <v>#NAME?</v>
      </c>
      <c r="Y250" s="689" t="e">
        <f t="shared" si="35"/>
        <v>#NAME?</v>
      </c>
    </row>
    <row r="251" spans="1:25">
      <c r="A251" s="439" t="s">
        <v>1424</v>
      </c>
      <c r="B251" s="42"/>
      <c r="C251" s="528"/>
      <c r="D251" s="602"/>
      <c r="E251" s="602"/>
      <c r="F251" s="602"/>
      <c r="G251" s="439"/>
      <c r="H251" s="602"/>
      <c r="I251" s="22"/>
      <c r="J251" s="22"/>
      <c r="K251" s="22"/>
      <c r="P251" s="439" t="s">
        <v>27</v>
      </c>
      <c r="Q251" s="761">
        <f t="shared" si="28"/>
        <v>12</v>
      </c>
      <c r="R251" s="689" t="e">
        <f t="shared" si="29"/>
        <v>#NAME?</v>
      </c>
      <c r="S251" s="689" t="e">
        <f t="shared" si="30"/>
        <v>#NAME?</v>
      </c>
      <c r="T251" s="689" t="e">
        <f t="shared" si="31"/>
        <v>#NAME?</v>
      </c>
      <c r="V251" s="761">
        <f t="shared" si="32"/>
        <v>560796543</v>
      </c>
      <c r="W251" s="689" t="e">
        <f t="shared" si="33"/>
        <v>#NAME?</v>
      </c>
      <c r="X251" s="689" t="e">
        <f t="shared" si="34"/>
        <v>#NAME?</v>
      </c>
      <c r="Y251" s="689" t="e">
        <f t="shared" si="35"/>
        <v>#NAME?</v>
      </c>
    </row>
    <row r="252" spans="1:25">
      <c r="A252" s="439" t="str">
        <f>A94</f>
        <v>Primary (a)</v>
      </c>
      <c r="B252" s="42"/>
      <c r="C252" s="528" t="e">
        <f>SUM(Q248:T248)</f>
        <v>#NAME?</v>
      </c>
      <c r="D252" s="602"/>
      <c r="E252" s="602"/>
      <c r="F252" s="602" t="e">
        <f>C252+D252+E252</f>
        <v>#NAME?</v>
      </c>
      <c r="G252" s="602" t="e">
        <f>ROUND(F252/13,0)</f>
        <v>#NAME?</v>
      </c>
      <c r="H252" s="528" t="e">
        <f>SUM(V248:Y248)</f>
        <v>#NAME?</v>
      </c>
      <c r="I252" s="22"/>
      <c r="J252" s="22"/>
      <c r="K252" s="602" t="e">
        <f>SUM(H252:J252)</f>
        <v>#NAME?</v>
      </c>
      <c r="P252" s="439" t="s">
        <v>72</v>
      </c>
      <c r="Q252" s="761">
        <f t="shared" si="28"/>
        <v>0</v>
      </c>
      <c r="R252" s="689" t="e">
        <f t="shared" si="29"/>
        <v>#NAME?</v>
      </c>
      <c r="S252" s="689" t="e">
        <f t="shared" si="30"/>
        <v>#NAME?</v>
      </c>
      <c r="T252" s="689" t="e">
        <f t="shared" si="31"/>
        <v>#NAME?</v>
      </c>
      <c r="V252" s="761">
        <f t="shared" si="32"/>
        <v>0</v>
      </c>
      <c r="W252" s="689" t="e">
        <f t="shared" si="33"/>
        <v>#NAME?</v>
      </c>
      <c r="X252" s="689" t="e">
        <f t="shared" si="34"/>
        <v>#NAME?</v>
      </c>
      <c r="Y252" s="689" t="e">
        <f t="shared" si="35"/>
        <v>#NAME?</v>
      </c>
    </row>
    <row r="253" spans="1:25">
      <c r="A253" s="439" t="str">
        <f>A95</f>
        <v>Secondary (b)</v>
      </c>
      <c r="B253" s="42"/>
      <c r="C253" s="528" t="e">
        <f>SUM(Q249:T249)</f>
        <v>#NAME?</v>
      </c>
      <c r="D253" s="602"/>
      <c r="E253" s="602"/>
      <c r="F253" s="602" t="e">
        <f>C253+D253+E253</f>
        <v>#NAME?</v>
      </c>
      <c r="G253" s="602" t="e">
        <f>ROUND(F253/13,0)</f>
        <v>#NAME?</v>
      </c>
      <c r="H253" s="528" t="e">
        <f>SUM(V249:Y249)</f>
        <v>#NAME?</v>
      </c>
      <c r="I253" s="22"/>
      <c r="J253" s="22"/>
      <c r="K253" s="602" t="e">
        <f>SUM(H253:J253)</f>
        <v>#NAME?</v>
      </c>
      <c r="P253" s="439" t="s">
        <v>19</v>
      </c>
      <c r="Q253" s="761">
        <f t="shared" si="28"/>
        <v>24</v>
      </c>
      <c r="R253" s="689" t="e">
        <f t="shared" si="29"/>
        <v>#NAME?</v>
      </c>
      <c r="S253" s="689" t="e">
        <f t="shared" si="30"/>
        <v>#NAME?</v>
      </c>
      <c r="T253" s="689" t="e">
        <f t="shared" si="31"/>
        <v>#NAME?</v>
      </c>
      <c r="V253" s="761">
        <f t="shared" si="32"/>
        <v>164531</v>
      </c>
      <c r="W253" s="689" t="e">
        <f t="shared" si="33"/>
        <v>#NAME?</v>
      </c>
      <c r="X253" s="689" t="e">
        <f t="shared" si="34"/>
        <v>#NAME?</v>
      </c>
      <c r="Y253" s="689" t="e">
        <f t="shared" si="35"/>
        <v>#NAME?</v>
      </c>
    </row>
    <row r="254" spans="1:25">
      <c r="A254" s="439"/>
      <c r="B254" s="74"/>
      <c r="C254" s="528"/>
      <c r="D254" s="602"/>
      <c r="E254" s="602"/>
      <c r="F254" s="602"/>
      <c r="G254" s="439"/>
      <c r="H254" s="602"/>
      <c r="I254" s="22"/>
      <c r="J254" s="22"/>
      <c r="K254" s="22"/>
      <c r="P254" s="439" t="s">
        <v>20</v>
      </c>
      <c r="Q254" s="761">
        <f t="shared" si="28"/>
        <v>8964</v>
      </c>
      <c r="R254" s="689" t="e">
        <f t="shared" si="29"/>
        <v>#NAME?</v>
      </c>
      <c r="S254" s="689" t="e">
        <f t="shared" si="30"/>
        <v>#NAME?</v>
      </c>
      <c r="T254" s="689" t="e">
        <f t="shared" si="31"/>
        <v>#NAME?</v>
      </c>
      <c r="V254" s="761">
        <f t="shared" si="32"/>
        <v>1241367</v>
      </c>
      <c r="W254" s="689" t="e">
        <f t="shared" si="33"/>
        <v>#NAME?</v>
      </c>
      <c r="X254" s="689" t="e">
        <f t="shared" si="34"/>
        <v>#NAME?</v>
      </c>
      <c r="Y254" s="689" t="e">
        <f t="shared" si="35"/>
        <v>#NAME?</v>
      </c>
    </row>
    <row r="255" spans="1:25">
      <c r="A255" s="439" t="str">
        <f>A97</f>
        <v>Retail Transmisison Service (c)</v>
      </c>
      <c r="B255" s="42"/>
      <c r="C255" s="528" t="e">
        <f>SUM(Q250:T250)</f>
        <v>#NAME?</v>
      </c>
      <c r="D255" s="602"/>
      <c r="E255" s="602"/>
      <c r="F255" s="602" t="e">
        <f>C255+D255+E255</f>
        <v>#NAME?</v>
      </c>
      <c r="G255" s="602" t="e">
        <f>ROUND(F255/13,0)</f>
        <v>#NAME?</v>
      </c>
      <c r="H255" s="528" t="e">
        <f>SUM(V250:Y250)</f>
        <v>#NAME?</v>
      </c>
      <c r="I255" s="22"/>
      <c r="J255" s="22"/>
      <c r="K255" s="602" t="e">
        <f>SUM(H255:J255)</f>
        <v>#NAME?</v>
      </c>
      <c r="P255" s="439" t="s">
        <v>1139</v>
      </c>
      <c r="Q255" s="761">
        <f>SUMIFS(_12MonLights_Count,_12MonLights_RateClass,$P255)</f>
        <v>1703604</v>
      </c>
      <c r="R255" s="761">
        <f>SUMIFS(_12MonLights_Count_Adj,_12MonLights_RateClass,$P255)</f>
        <v>0</v>
      </c>
      <c r="S255" s="689" t="e">
        <f t="shared" si="30"/>
        <v>#NAME?</v>
      </c>
      <c r="T255" s="689" t="e">
        <f t="shared" si="31"/>
        <v>#NAME?</v>
      </c>
      <c r="V255" s="761">
        <f>SUMIFS(_12MonLights_KWH,_12MonLights_RateClass,$P255)</f>
        <v>0</v>
      </c>
      <c r="W255" s="761">
        <f>SUMIFS(_12MonLights_KWH_OutOfPeriod,_12MonLights_RateClass,$P255)</f>
        <v>24216</v>
      </c>
      <c r="X255" s="689" t="e">
        <f t="shared" si="34"/>
        <v>#NAME?</v>
      </c>
      <c r="Y255" s="689" t="e">
        <f t="shared" si="35"/>
        <v>#NAME?</v>
      </c>
    </row>
    <row r="256" spans="1:25">
      <c r="A256" s="439"/>
      <c r="B256" s="74"/>
      <c r="C256" s="528"/>
      <c r="D256" s="602"/>
      <c r="E256" s="602"/>
      <c r="F256" s="602"/>
      <c r="G256" s="439"/>
      <c r="H256" s="602"/>
      <c r="I256" s="22"/>
      <c r="J256" s="22"/>
      <c r="K256" s="22"/>
      <c r="P256" s="439" t="s">
        <v>1140</v>
      </c>
      <c r="Q256" s="761">
        <f>SUMIFS(_12MonLights_Count,_12MonLights_RateClass,$P256)</f>
        <v>320777</v>
      </c>
      <c r="R256" s="761">
        <f>SUMIFS(_12MonLights_Count_Adj,_12MonLights_RateClass,$P256)</f>
        <v>0</v>
      </c>
      <c r="S256" s="689" t="e">
        <f t="shared" si="30"/>
        <v>#NAME?</v>
      </c>
      <c r="T256" s="689" t="e">
        <f t="shared" si="31"/>
        <v>#NAME?</v>
      </c>
      <c r="V256" s="761">
        <f>SUMIFS(_12MonLights_KWH,_12MonLights_RateClass,$P256)</f>
        <v>0</v>
      </c>
      <c r="W256" s="761">
        <f>SUMIFS(_12MonLights_KWH_OutOfPeriod,_12MonLights_RateClass,$P256)</f>
        <v>3244</v>
      </c>
      <c r="X256" s="689" t="e">
        <f t="shared" si="34"/>
        <v>#NAME?</v>
      </c>
      <c r="Y256" s="689" t="e">
        <f t="shared" si="35"/>
        <v>#NAME?</v>
      </c>
    </row>
    <row r="257" spans="1:26">
      <c r="A257" s="439" t="str">
        <f>A99</f>
        <v>Fluctuating Load Service</v>
      </c>
      <c r="B257" s="42"/>
      <c r="C257" s="528" t="e">
        <f>SUM(Q251:T251)</f>
        <v>#NAME?</v>
      </c>
      <c r="D257" s="602"/>
      <c r="E257" s="602"/>
      <c r="F257" s="602" t="e">
        <f>C257+D257+E257</f>
        <v>#NAME?</v>
      </c>
      <c r="G257" s="602" t="e">
        <f>ROUND(F257/13,0)</f>
        <v>#NAME?</v>
      </c>
      <c r="H257" s="528" t="e">
        <f>SUM(V251:Y251)</f>
        <v>#NAME?</v>
      </c>
      <c r="I257" s="22"/>
      <c r="J257" s="22"/>
      <c r="K257" s="602" t="e">
        <f>SUM(H257:J257)</f>
        <v>#NAME?</v>
      </c>
    </row>
    <row r="258" spans="1:26">
      <c r="A258" s="439"/>
      <c r="B258" s="74"/>
      <c r="C258" s="528"/>
      <c r="D258" s="602"/>
      <c r="E258" s="602"/>
      <c r="F258" s="602"/>
      <c r="G258" s="439"/>
      <c r="H258" s="602"/>
      <c r="I258" s="22"/>
      <c r="J258" s="22"/>
      <c r="K258" s="22"/>
      <c r="P258" s="439" t="s">
        <v>1429</v>
      </c>
      <c r="Q258" s="760">
        <f>SUM(Q235:Q254)</f>
        <v>6233401</v>
      </c>
      <c r="R258" s="760" t="e">
        <f>SUM(R235:R254)</f>
        <v>#NAME?</v>
      </c>
      <c r="S258" s="760" t="e">
        <f>SUM(S235:S254)</f>
        <v>#NAME?</v>
      </c>
      <c r="T258" s="760" t="e">
        <f>SUM(T235:T254)</f>
        <v>#NAME?</v>
      </c>
      <c r="V258" s="760">
        <f>SUM(V235:V254)</f>
        <v>18675275442</v>
      </c>
      <c r="W258" s="760" t="e">
        <f>SUM(W235:W254)</f>
        <v>#NAME?</v>
      </c>
      <c r="X258" s="760" t="e">
        <f>SUM(X235:X254)</f>
        <v>#NAME?</v>
      </c>
      <c r="Y258" s="760"/>
      <c r="Z258" s="760" t="e">
        <f>SUM(V258:X258)</f>
        <v>#NAME?</v>
      </c>
    </row>
    <row r="259" spans="1:26">
      <c r="A259" s="439" t="str">
        <f>A101</f>
        <v>Lighting Energy</v>
      </c>
      <c r="B259" s="42"/>
      <c r="C259" s="528" t="e">
        <f>SUM(Q253:T253)</f>
        <v>#NAME?</v>
      </c>
      <c r="D259" s="602"/>
      <c r="E259" s="602"/>
      <c r="F259" s="602" t="e">
        <f>C259+D259+E259</f>
        <v>#NAME?</v>
      </c>
      <c r="G259" s="602" t="e">
        <f>ROUND(F259/13,0)</f>
        <v>#NAME?</v>
      </c>
      <c r="H259" s="528" t="e">
        <f>SUM(V253:Y253)</f>
        <v>#NAME?</v>
      </c>
      <c r="I259" s="22"/>
      <c r="J259" s="22"/>
      <c r="K259" s="602" t="e">
        <f>SUM(H259:J259)</f>
        <v>#NAME?</v>
      </c>
      <c r="P259" s="439" t="s">
        <v>1430</v>
      </c>
      <c r="Q259" s="602">
        <f>'12MonResults'!F473</f>
        <v>6233401</v>
      </c>
      <c r="R259" s="602" t="e">
        <f>'12MonResults'!#REF!</f>
        <v>#REF!</v>
      </c>
      <c r="S259" s="760" t="e">
        <f>SUM(#REF!:#REF!)</f>
        <v>#REF!</v>
      </c>
      <c r="T259" s="760" t="e">
        <f>SUM(#REF!:#REF!)</f>
        <v>#REF!</v>
      </c>
      <c r="V259" s="602">
        <f>'12MonResults'!J473</f>
        <v>18675275442</v>
      </c>
      <c r="W259" s="602" t="e">
        <f>'12MonResults'!#REF!</f>
        <v>#REF!</v>
      </c>
      <c r="X259" s="760" t="e">
        <f>SUM(#REF!)</f>
        <v>#REF!</v>
      </c>
      <c r="Y259" s="760"/>
    </row>
    <row r="260" spans="1:26">
      <c r="A260" s="439"/>
      <c r="B260" s="74"/>
      <c r="C260" s="528"/>
      <c r="D260" s="602"/>
      <c r="E260" s="602"/>
      <c r="F260" s="602"/>
      <c r="G260" s="439"/>
      <c r="H260" s="602"/>
      <c r="I260" s="22"/>
      <c r="J260" s="22"/>
      <c r="K260" s="22"/>
      <c r="Q260" s="439"/>
      <c r="R260" s="439"/>
      <c r="S260" s="439"/>
      <c r="T260" s="439"/>
      <c r="V260" s="439"/>
      <c r="W260" s="439"/>
      <c r="X260" s="439"/>
      <c r="Y260" s="439"/>
    </row>
    <row r="261" spans="1:26">
      <c r="A261" s="439" t="str">
        <f>A103</f>
        <v>Traffic Energy</v>
      </c>
      <c r="B261" s="42"/>
      <c r="C261" s="528" t="e">
        <f>SUM(Q254:T254)</f>
        <v>#NAME?</v>
      </c>
      <c r="D261" s="602"/>
      <c r="E261" s="602"/>
      <c r="F261" s="602" t="e">
        <f>C261+D261+E261</f>
        <v>#NAME?</v>
      </c>
      <c r="G261" s="602" t="e">
        <f>ROUND(F261/13,0)</f>
        <v>#NAME?</v>
      </c>
      <c r="H261" s="528" t="e">
        <f>SUM(V254:Y254)</f>
        <v>#NAME?</v>
      </c>
      <c r="I261" s="22"/>
      <c r="J261" s="22"/>
      <c r="K261" s="602" t="e">
        <f>SUM(H261:J261)</f>
        <v>#NAME?</v>
      </c>
      <c r="P261" s="439" t="s">
        <v>1431</v>
      </c>
      <c r="Q261" s="760">
        <f>SUM(Q255:Q256)</f>
        <v>2024381</v>
      </c>
      <c r="R261" s="760">
        <f>SUM(R255:R256)</f>
        <v>0</v>
      </c>
      <c r="S261" s="760" t="e">
        <f>SUM(S255:S256)</f>
        <v>#NAME?</v>
      </c>
      <c r="T261" s="760" t="e">
        <f>SUM(T255:T256)</f>
        <v>#NAME?</v>
      </c>
      <c r="V261" s="760">
        <f>SUM(V255:V256)</f>
        <v>0</v>
      </c>
      <c r="W261" s="760">
        <f>SUM(W255:W256)</f>
        <v>27460</v>
      </c>
      <c r="X261" s="760" t="e">
        <f>SUM(X255:X256)</f>
        <v>#NAME?</v>
      </c>
      <c r="Y261" s="760"/>
      <c r="Z261" s="760" t="e">
        <f>SUM(V261:X261)</f>
        <v>#NAME?</v>
      </c>
    </row>
    <row r="262" spans="1:26">
      <c r="A262" s="439"/>
      <c r="B262" s="74"/>
      <c r="C262" s="439"/>
      <c r="D262" s="439"/>
      <c r="E262" s="439"/>
      <c r="F262" s="439"/>
      <c r="G262" s="439"/>
      <c r="H262" s="439"/>
      <c r="I262" s="74"/>
      <c r="J262" s="74"/>
      <c r="K262" s="74"/>
      <c r="P262" s="439" t="s">
        <v>1432</v>
      </c>
      <c r="Q262" s="602">
        <f>'12MonLights'!E1071</f>
        <v>2024381</v>
      </c>
      <c r="R262" s="602">
        <f>'12MonLights'!F1071</f>
        <v>0</v>
      </c>
      <c r="S262" s="602" t="e">
        <f>SUM(#REF!)</f>
        <v>#REF!</v>
      </c>
      <c r="T262" s="602" t="e">
        <f>SUM(#REF!)</f>
        <v>#REF!</v>
      </c>
      <c r="V262" s="602">
        <f>'12MonLights'!G1071</f>
        <v>118735664</v>
      </c>
      <c r="W262" s="602">
        <f>'12MonLights'!H1071</f>
        <v>27460</v>
      </c>
      <c r="X262" s="602" t="e">
        <f>SUM(#REF!)</f>
        <v>#REF!</v>
      </c>
      <c r="Y262" s="602"/>
    </row>
    <row r="263" spans="1:26">
      <c r="A263" s="439" t="s">
        <v>1446</v>
      </c>
      <c r="B263" s="74"/>
      <c r="C263" s="602"/>
      <c r="D263" s="602"/>
      <c r="E263" s="602"/>
      <c r="F263" s="602"/>
      <c r="G263" s="602"/>
      <c r="H263" s="528"/>
      <c r="I263" s="22"/>
      <c r="J263" s="22"/>
      <c r="K263" s="602"/>
      <c r="Z263" s="760" t="e">
        <f>Z258+Z261</f>
        <v>#NAME?</v>
      </c>
    </row>
    <row r="264" spans="1:26">
      <c r="A264" s="762" t="s">
        <v>85</v>
      </c>
      <c r="B264" s="74"/>
      <c r="C264" s="602" t="e">
        <f>SUM(Q255:T255)</f>
        <v>#NAME?</v>
      </c>
      <c r="D264" s="602"/>
      <c r="E264" s="602"/>
      <c r="F264" s="602" t="e">
        <f>C264+D264+E264</f>
        <v>#NAME?</v>
      </c>
      <c r="G264" s="602" t="e">
        <f>ROUND(F264/13,0)</f>
        <v>#NAME?</v>
      </c>
      <c r="H264" s="528" t="e">
        <f>SUM(V255:Y255)</f>
        <v>#NAME?</v>
      </c>
      <c r="I264" s="22"/>
      <c r="J264" s="22"/>
      <c r="K264" s="602" t="e">
        <f>SUM(H264:J264)</f>
        <v>#NAME?</v>
      </c>
    </row>
    <row r="265" spans="1:26">
      <c r="A265" s="762" t="s">
        <v>1426</v>
      </c>
      <c r="B265" s="74"/>
      <c r="C265" s="602" t="e">
        <f>SUM(Q256:T256)</f>
        <v>#NAME?</v>
      </c>
      <c r="D265" s="602"/>
      <c r="E265" s="602"/>
      <c r="F265" s="602" t="e">
        <f>C265+D265+E265</f>
        <v>#NAME?</v>
      </c>
      <c r="G265" s="602" t="e">
        <f>ROUND(F265/13,0)</f>
        <v>#NAME?</v>
      </c>
      <c r="H265" s="528" t="e">
        <f>SUM(V256:Y256)</f>
        <v>#NAME?</v>
      </c>
      <c r="I265" s="22"/>
      <c r="J265" s="22"/>
      <c r="K265" s="602" t="e">
        <f>SUM(H265:J265)</f>
        <v>#NAME?</v>
      </c>
    </row>
    <row r="266" spans="1:26">
      <c r="A266" s="439"/>
      <c r="B266" s="74"/>
      <c r="C266" s="439"/>
      <c r="D266" s="439"/>
      <c r="E266" s="439"/>
      <c r="F266" s="439"/>
      <c r="G266" s="439"/>
      <c r="H266" s="439"/>
      <c r="I266" s="74"/>
      <c r="J266" s="74"/>
      <c r="K266" s="74"/>
    </row>
    <row r="267" spans="1:26">
      <c r="A267" s="764" t="str">
        <f>A110</f>
        <v>Totals</v>
      </c>
      <c r="B267" s="74"/>
      <c r="C267" s="602" t="e">
        <f>SUM(C235:C265)</f>
        <v>#NAME?</v>
      </c>
      <c r="D267" s="602">
        <f>SUM(D235:D265)</f>
        <v>1287</v>
      </c>
      <c r="E267" s="602">
        <f>SUM(E235:E265)</f>
        <v>-363</v>
      </c>
      <c r="F267" s="602" t="e">
        <f>SUM(F235:F265)</f>
        <v>#NAME?</v>
      </c>
      <c r="G267" s="439"/>
      <c r="H267" s="602" t="e">
        <f>SUM(H235:H265)</f>
        <v>#NAME?</v>
      </c>
      <c r="I267" s="602">
        <f>SUM(I235:I265)</f>
        <v>623217</v>
      </c>
      <c r="J267" s="602">
        <f>SUM(J235:J265)</f>
        <v>-464042</v>
      </c>
      <c r="K267" s="602" t="e">
        <f>SUM(K235:K265)</f>
        <v>#NAME?</v>
      </c>
    </row>
    <row r="268" spans="1:26">
      <c r="A268" s="439"/>
      <c r="B268" s="74"/>
      <c r="C268" s="74"/>
      <c r="D268" s="74"/>
      <c r="E268" s="74"/>
      <c r="F268" s="74"/>
      <c r="G268" s="74"/>
      <c r="H268" s="74"/>
      <c r="I268" s="74"/>
      <c r="J268" s="74"/>
      <c r="K268" s="74"/>
    </row>
    <row r="269" spans="1:26">
      <c r="A269" s="439"/>
      <c r="B269" s="74"/>
      <c r="C269" s="74"/>
      <c r="D269" s="74"/>
      <c r="E269" s="74"/>
      <c r="F269" s="74"/>
      <c r="G269" s="74"/>
      <c r="H269" s="74"/>
      <c r="I269" s="74"/>
      <c r="J269" s="74"/>
      <c r="K269" s="74"/>
    </row>
    <row r="270" spans="1:26">
      <c r="A270" s="439"/>
      <c r="B270" s="74"/>
      <c r="C270" s="74"/>
      <c r="D270" s="74"/>
      <c r="E270" s="74"/>
      <c r="F270" s="74"/>
      <c r="G270" s="74"/>
      <c r="H270" s="74"/>
      <c r="I270" s="74"/>
      <c r="J270" s="74"/>
      <c r="K270" s="74"/>
    </row>
    <row r="271" spans="1:26">
      <c r="A271" s="447" t="s">
        <v>902</v>
      </c>
      <c r="B271" s="74"/>
      <c r="C271" s="74"/>
      <c r="D271" s="74"/>
      <c r="E271" s="74"/>
      <c r="F271" s="74"/>
      <c r="G271" s="74"/>
      <c r="H271" s="74"/>
      <c r="I271" s="74"/>
      <c r="J271" s="74"/>
      <c r="K271" s="74"/>
    </row>
    <row r="272" spans="1:26">
      <c r="A272" s="74"/>
      <c r="B272" s="74"/>
      <c r="C272" s="74"/>
      <c r="D272" s="74"/>
      <c r="E272" s="74"/>
      <c r="F272" s="74"/>
      <c r="G272" s="74"/>
      <c r="H272" s="74"/>
      <c r="I272" s="74"/>
      <c r="J272" s="74"/>
      <c r="K272" s="74"/>
    </row>
    <row r="273" spans="1:22">
      <c r="A273" s="74"/>
      <c r="B273" s="74"/>
      <c r="C273" s="789">
        <v>-1</v>
      </c>
      <c r="D273" s="789">
        <f>C273-1</f>
        <v>-2</v>
      </c>
      <c r="E273" s="789">
        <f t="shared" ref="E273:K273" si="36">D273-1</f>
        <v>-3</v>
      </c>
      <c r="F273" s="789">
        <f t="shared" si="36"/>
        <v>-4</v>
      </c>
      <c r="G273" s="789">
        <f t="shared" si="36"/>
        <v>-5</v>
      </c>
      <c r="H273" s="789">
        <f t="shared" si="36"/>
        <v>-6</v>
      </c>
      <c r="I273" s="789">
        <f t="shared" si="36"/>
        <v>-7</v>
      </c>
      <c r="J273" s="789">
        <f t="shared" si="36"/>
        <v>-8</v>
      </c>
      <c r="K273" s="789">
        <f t="shared" si="36"/>
        <v>-9</v>
      </c>
    </row>
    <row r="274" spans="1:22" ht="132">
      <c r="A274" s="74"/>
      <c r="B274" s="74"/>
      <c r="C274" s="479" t="s">
        <v>903</v>
      </c>
      <c r="D274" s="479" t="s">
        <v>904</v>
      </c>
      <c r="E274" s="481" t="s">
        <v>1445</v>
      </c>
      <c r="F274" s="481" t="s">
        <v>1440</v>
      </c>
      <c r="G274" s="481" t="s">
        <v>1441</v>
      </c>
      <c r="H274" s="481" t="s">
        <v>1442</v>
      </c>
      <c r="I274" s="481" t="s">
        <v>1443</v>
      </c>
      <c r="J274" s="481" t="s">
        <v>1444</v>
      </c>
      <c r="K274" s="481" t="s">
        <v>905</v>
      </c>
    </row>
    <row r="275" spans="1:22">
      <c r="A275" s="74"/>
      <c r="B275" s="74"/>
      <c r="C275" s="74"/>
      <c r="D275" s="74"/>
      <c r="E275" s="74"/>
      <c r="F275" s="74"/>
      <c r="G275" s="74"/>
      <c r="H275" s="74"/>
      <c r="I275" s="74"/>
      <c r="J275" s="74"/>
      <c r="K275" s="74"/>
      <c r="Q275" s="447" t="s">
        <v>1435</v>
      </c>
      <c r="R275" s="439" t="s">
        <v>61</v>
      </c>
      <c r="S275" s="439" t="s">
        <v>705</v>
      </c>
      <c r="T275" s="439" t="s">
        <v>853</v>
      </c>
      <c r="U275" s="447" t="s">
        <v>1438</v>
      </c>
      <c r="V275" s="447" t="s">
        <v>1439</v>
      </c>
    </row>
    <row r="276" spans="1:22">
      <c r="A276" s="439" t="str">
        <f>$A$8</f>
        <v>Residential Service including VFD including rate switching</v>
      </c>
      <c r="B276" s="42"/>
      <c r="C276" s="756">
        <f>SUM(Q276:Q277)</f>
        <v>535440636.48000002</v>
      </c>
      <c r="D276" s="756">
        <f t="shared" ref="D276:G276" si="37">SUM(R276:R277)</f>
        <v>15609887</v>
      </c>
      <c r="E276" s="756" t="e">
        <f>SUM(S276:S277)*-1</f>
        <v>#NAME?</v>
      </c>
      <c r="F276" s="756" t="e">
        <f t="shared" si="37"/>
        <v>#NAME?</v>
      </c>
      <c r="G276" s="756" t="e">
        <f t="shared" si="37"/>
        <v>#NAME?</v>
      </c>
      <c r="H276" s="756" t="e">
        <f>SUM(V276:V277)*-1</f>
        <v>#NAME?</v>
      </c>
      <c r="I276" s="43">
        <f>SUM(AA5:AA6)</f>
        <v>47205.320000000007</v>
      </c>
      <c r="J276" s="43">
        <f>(SUM(Z5:Z6))</f>
        <v>-40323.089999999997</v>
      </c>
      <c r="K276" s="43" t="e">
        <f>SUM(C276:J276)</f>
        <v>#NAME?</v>
      </c>
      <c r="P276" s="439" t="s">
        <v>14</v>
      </c>
      <c r="Q276" s="761">
        <f>SUMIFS(_12MonResults_Revenue_Calculated,_12MonResults_RateClass,$P276)</f>
        <v>535440636.48000002</v>
      </c>
      <c r="R276" s="689">
        <f>+SUMIFS(_12MonResults_Revenue_FAC,_12MonResults_RateClass,$P276)</f>
        <v>15609887</v>
      </c>
      <c r="S276" s="689" t="e">
        <f>+SUMIFS(_BaseECR_Base_ECR_Revenue,_BaseECR_Base_ECR_RateClass,$P276)</f>
        <v>#NAME?</v>
      </c>
      <c r="T276" s="761" t="e">
        <f>SUMIFS(_13Month_Revenue_Actual,_13Month_RateClass,$P276)</f>
        <v>#NAME?</v>
      </c>
      <c r="U276" s="761" t="e">
        <f>SUMIFS(_13Month_FAC,_13Month_RateClass,$P276)</f>
        <v>#NAME?</v>
      </c>
      <c r="V276" s="761" t="e">
        <f>SUMIFS(_13Month_Base_ECR_Total,_13Month_RateClass,$P276)</f>
        <v>#NAME?</v>
      </c>
    </row>
    <row r="277" spans="1:22">
      <c r="A277" s="439"/>
      <c r="B277" s="74"/>
      <c r="C277" s="43"/>
      <c r="D277" s="43"/>
      <c r="E277" s="43"/>
      <c r="F277" s="43"/>
      <c r="G277" s="43"/>
      <c r="H277" s="43"/>
      <c r="I277" s="43"/>
      <c r="J277" s="43"/>
      <c r="K277" s="43"/>
      <c r="P277" s="439" t="s">
        <v>16</v>
      </c>
      <c r="Q277" s="761">
        <f>SUMIFS(_12MonResults_Revenue_Calculated,_12MonResults_RateClass,$P277)</f>
        <v>0</v>
      </c>
      <c r="R277" s="689">
        <f>+SUMIFS(_12MonResults_Revenue_FAC,_12MonResults_RateClass,$P277)</f>
        <v>0</v>
      </c>
      <c r="S277" s="689" t="e">
        <f>+SUMIFS(_BaseECR_Base_ECR_Revenue,_BaseECR_Base_ECR_RateClass,$P277)</f>
        <v>#NAME?</v>
      </c>
      <c r="T277" s="761" t="e">
        <f>SUMIFS(_13Month_Revenue_Actual,_13Month_RateClass,$P277)</f>
        <v>#NAME?</v>
      </c>
      <c r="U277" s="761" t="e">
        <f>SUMIFS(_13Month_FAC,_13Month_RateClass,$P277)</f>
        <v>#NAME?</v>
      </c>
      <c r="V277" s="761" t="e">
        <f>SUMIFS(_13Month_Base_ECR_Total,_13Month_RateClass,$P277)</f>
        <v>#NAME?</v>
      </c>
    </row>
    <row r="278" spans="1:22">
      <c r="A278" s="439" t="str">
        <f>$A$11</f>
        <v>Residential Service -- Electric Vehicle Only</v>
      </c>
      <c r="B278" s="222"/>
      <c r="C278" s="756">
        <f>SUM(Q278:Q278)</f>
        <v>8106.5299999999988</v>
      </c>
      <c r="D278" s="756">
        <f t="shared" ref="D278:G278" si="38">SUM(R278:R278)</f>
        <v>0</v>
      </c>
      <c r="E278" s="756" t="e">
        <f>SUM(S278:S278)*-1</f>
        <v>#NAME?</v>
      </c>
      <c r="F278" s="756" t="e">
        <f t="shared" si="38"/>
        <v>#NAME?</v>
      </c>
      <c r="G278" s="756" t="e">
        <f t="shared" si="38"/>
        <v>#NAME?</v>
      </c>
      <c r="H278" s="756" t="e">
        <f>SUM(V278:V278)*-1</f>
        <v>#NAME?</v>
      </c>
      <c r="I278" s="43">
        <f>AA10</f>
        <v>0</v>
      </c>
      <c r="J278" s="43">
        <f>(Z10)</f>
        <v>0</v>
      </c>
      <c r="K278" s="43" t="e">
        <f>SUM(C278:J278)</f>
        <v>#NAME?</v>
      </c>
      <c r="P278" s="439" t="s">
        <v>206</v>
      </c>
      <c r="Q278" s="761">
        <f>SUMIFS(_12MonResults_Revenue_Calculated,_12MonResults_RateClass,$P278)</f>
        <v>8106.5299999999988</v>
      </c>
      <c r="R278" s="689">
        <f>+SUMIFS(_12MonResults_Revenue_FAC,_12MonResults_RateClass,$P278)</f>
        <v>0</v>
      </c>
      <c r="S278" s="689" t="e">
        <f>+SUMIFS(_BaseECR_Base_ECR_Revenue,_BaseECR_Base_ECR_RateClass,$P278)</f>
        <v>#NAME?</v>
      </c>
      <c r="T278" s="761" t="e">
        <f>SUMIFS(_13Month_Revenue_Actual,_13Month_RateClass,$P278)</f>
        <v>#NAME?</v>
      </c>
      <c r="U278" s="761" t="e">
        <f>SUMIFS(_13Month_FAC,_13Month_RateClass,$P278)</f>
        <v>#NAME?</v>
      </c>
      <c r="V278" s="761" t="e">
        <f>SUMIFS(_13Month_Base_ECR_Total,_13Month_RateClass,$P278)</f>
        <v>#NAME?</v>
      </c>
    </row>
    <row r="279" spans="1:22">
      <c r="A279" s="439"/>
      <c r="B279" s="74"/>
      <c r="C279" s="43"/>
      <c r="D279" s="43"/>
      <c r="E279" s="43"/>
      <c r="F279" s="43"/>
      <c r="G279" s="43"/>
      <c r="H279" s="43"/>
      <c r="I279" s="43"/>
      <c r="J279" s="43"/>
      <c r="K279" s="43"/>
      <c r="P279" s="447" t="s">
        <v>208</v>
      </c>
      <c r="Q279" s="761">
        <f>SUMIFS(_12MonResults_Revenue_Calculated,_12MonResults_RateClass,$P279)</f>
        <v>86612871.140000001</v>
      </c>
      <c r="R279" s="689">
        <f>+SUMIFS(_12MonResults_Revenue_FAC,_12MonResults_RateClass,$P279)</f>
        <v>1886555</v>
      </c>
      <c r="S279" s="689" t="e">
        <f>+SUMIFS(_BaseECR_Base_ECR_Revenue,_BaseECR_Base_ECR_RateClass,$P279)</f>
        <v>#NAME?</v>
      </c>
      <c r="T279" s="761" t="e">
        <f>SUMIFS(_13Month_Revenue_Actual,_13Month_RateClass,$P279)</f>
        <v>#NAME?</v>
      </c>
      <c r="U279" s="761" t="e">
        <f>SUMIFS(_13Month_FAC,_13Month_RateClass,$P279)</f>
        <v>#NAME?</v>
      </c>
      <c r="V279" s="761" t="e">
        <f>SUMIFS(_13Month_Base_ECR_Total,_13Month_RateClass,$P279)</f>
        <v>#NAME?</v>
      </c>
    </row>
    <row r="280" spans="1:22">
      <c r="A280" s="439" t="str">
        <f>$A$16</f>
        <v>General Service</v>
      </c>
      <c r="B280" s="42"/>
      <c r="C280" s="756"/>
      <c r="D280" s="43"/>
      <c r="E280" s="43"/>
      <c r="F280" s="43"/>
      <c r="G280" s="43"/>
      <c r="H280" s="43"/>
      <c r="I280" s="43"/>
      <c r="J280" s="43"/>
      <c r="K280" s="43"/>
      <c r="P280" s="439" t="s">
        <v>17</v>
      </c>
      <c r="Q280" s="761">
        <f>SUMIFS(_12MonResults_Revenue_Calculated,_12MonResults_RateClass,$P280)</f>
        <v>112217328.44999999</v>
      </c>
      <c r="R280" s="689">
        <f>+SUMIFS(_12MonResults_Revenue_FAC,_12MonResults_RateClass,$P280)</f>
        <v>2760369</v>
      </c>
      <c r="S280" s="689" t="e">
        <f>+SUMIFS(_BaseECR_Base_ECR_Revenue,_BaseECR_Base_ECR_RateClass,$P280)</f>
        <v>#NAME?</v>
      </c>
      <c r="T280" s="761" t="e">
        <f>SUMIFS(_13Month_Revenue_Actual,_13Month_RateClass,$P280)</f>
        <v>#NAME?</v>
      </c>
      <c r="U280" s="761" t="e">
        <f>SUMIFS(_13Month_FAC,_13Month_RateClass,$P280)</f>
        <v>#NAME?</v>
      </c>
      <c r="V280" s="761" t="e">
        <f>SUMIFS(_13Month_Base_ECR_Total,_13Month_RateClass,$P280)</f>
        <v>#NAME?</v>
      </c>
    </row>
    <row r="281" spans="1:22">
      <c r="A281" s="762" t="s">
        <v>1033</v>
      </c>
      <c r="B281" s="42"/>
      <c r="C281" s="756">
        <f>Q279</f>
        <v>86612871.140000001</v>
      </c>
      <c r="D281" s="756">
        <f t="shared" ref="D281:D282" si="39">R279</f>
        <v>1886555</v>
      </c>
      <c r="E281" s="756" t="e">
        <f>S279*-1</f>
        <v>#NAME?</v>
      </c>
      <c r="F281" s="756" t="e">
        <f t="shared" ref="F281:G281" si="40">T279</f>
        <v>#NAME?</v>
      </c>
      <c r="G281" s="756" t="e">
        <f t="shared" si="40"/>
        <v>#NAME?</v>
      </c>
      <c r="H281" s="756" t="e">
        <f t="shared" ref="H281:H282" si="41">V279*-1</f>
        <v>#NAME?</v>
      </c>
      <c r="I281" s="43"/>
      <c r="J281" s="43"/>
      <c r="K281" s="43" t="e">
        <f t="shared" ref="K281:K282" si="42">SUM(C281:J281)</f>
        <v>#NAME?</v>
      </c>
      <c r="P281" s="439"/>
      <c r="Q281" s="761"/>
      <c r="R281" s="689"/>
      <c r="S281" s="689"/>
      <c r="T281" s="761"/>
      <c r="U281" s="761"/>
      <c r="V281" s="761"/>
    </row>
    <row r="282" spans="1:22">
      <c r="A282" s="762" t="s">
        <v>1032</v>
      </c>
      <c r="B282" s="42"/>
      <c r="C282" s="756">
        <f t="shared" ref="C282" si="43">Q280</f>
        <v>112217328.44999999</v>
      </c>
      <c r="D282" s="756">
        <f t="shared" si="39"/>
        <v>2760369</v>
      </c>
      <c r="E282" s="756" t="e">
        <f t="shared" ref="E282" si="44">S280*-1</f>
        <v>#NAME?</v>
      </c>
      <c r="F282" s="756" t="e">
        <f t="shared" ref="F282:G282" si="45">T280</f>
        <v>#NAME?</v>
      </c>
      <c r="G282" s="756" t="e">
        <f t="shared" si="45"/>
        <v>#NAME?</v>
      </c>
      <c r="H282" s="756" t="e">
        <f t="shared" si="41"/>
        <v>#NAME?</v>
      </c>
      <c r="I282" s="43"/>
      <c r="J282" s="43"/>
      <c r="K282" s="43" t="e">
        <f t="shared" si="42"/>
        <v>#NAME?</v>
      </c>
      <c r="P282" s="439"/>
      <c r="Q282" s="761"/>
      <c r="R282" s="689"/>
      <c r="S282" s="689"/>
      <c r="T282" s="761"/>
      <c r="U282" s="761"/>
      <c r="V282" s="761"/>
    </row>
    <row r="283" spans="1:22">
      <c r="A283" s="439"/>
      <c r="B283" s="74"/>
      <c r="C283" s="43"/>
      <c r="D283" s="43"/>
      <c r="E283" s="43"/>
      <c r="F283" s="43"/>
      <c r="G283" s="43"/>
      <c r="H283" s="43"/>
      <c r="I283" s="43"/>
      <c r="J283" s="43"/>
      <c r="K283" s="43"/>
      <c r="P283" s="439" t="s">
        <v>203</v>
      </c>
      <c r="Q283" s="761">
        <f>SUMIFS(_12MonResults_Revenue_Calculated,_12MonResults_RateClass,$P283)</f>
        <v>667661.91</v>
      </c>
      <c r="R283" s="689">
        <f>+SUMIFS(_12MonResults_Revenue_FAC,_12MonResults_RateClass,$P283)</f>
        <v>19319</v>
      </c>
      <c r="S283" s="689" t="e">
        <f>+SUMIFS(_BaseECR_Base_ECR_Revenue,_BaseECR_Base_ECR_RateClass,$P283)</f>
        <v>#NAME?</v>
      </c>
      <c r="T283" s="761" t="e">
        <f>SUMIFS(_13Month_Revenue_Actual,_13Month_RateClass,$P283)</f>
        <v>#NAME?</v>
      </c>
      <c r="U283" s="761" t="e">
        <f>SUMIFS(_13Month_FAC,_13Month_RateClass,$P283)</f>
        <v>#NAME?</v>
      </c>
      <c r="V283" s="761" t="e">
        <f>SUMIFS(_13Month_Base_ECR_Total,_13Month_RateClass,$P283)</f>
        <v>#NAME?</v>
      </c>
    </row>
    <row r="284" spans="1:22">
      <c r="A284" s="439" t="str">
        <f>$A$21</f>
        <v>Rate AES</v>
      </c>
      <c r="B284" s="42"/>
      <c r="C284" s="43"/>
      <c r="D284" s="43"/>
      <c r="E284" s="43"/>
      <c r="F284" s="43"/>
      <c r="G284" s="43"/>
      <c r="H284" s="43"/>
      <c r="I284" s="43">
        <f>SUM(AA18:AA19)</f>
        <v>12226.53</v>
      </c>
      <c r="J284" s="43">
        <f>(SUM(Z18:Z19))</f>
        <v>-202813.89</v>
      </c>
      <c r="K284" s="43"/>
      <c r="P284" s="439" t="s">
        <v>212</v>
      </c>
      <c r="Q284" s="761">
        <f>SUMIFS(_12MonResults_Revenue_Calculated,_12MonResults_RateClass,$P284)</f>
        <v>10819218.690000001</v>
      </c>
      <c r="R284" s="689">
        <f>+SUMIFS(_12MonResults_Revenue_FAC,_12MonResults_RateClass,$P284)</f>
        <v>358103</v>
      </c>
      <c r="S284" s="689" t="e">
        <f>+SUMIFS(_BaseECR_Base_ECR_Revenue,_BaseECR_Base_ECR_RateClass,$P284)</f>
        <v>#NAME?</v>
      </c>
      <c r="T284" s="761" t="e">
        <f>SUMIFS(_13Month_Revenue_Actual,_13Month_RateClass,$P284)</f>
        <v>#NAME?</v>
      </c>
      <c r="U284" s="761" t="e">
        <f>SUMIFS(_13Month_FAC,_13Month_RateClass,$P284)</f>
        <v>#NAME?</v>
      </c>
      <c r="V284" s="761" t="e">
        <f>SUMIFS(_13Month_Base_ECR_Total,_13Month_RateClass,$P284)</f>
        <v>#NAME?</v>
      </c>
    </row>
    <row r="285" spans="1:22">
      <c r="A285" s="762" t="s">
        <v>1033</v>
      </c>
      <c r="B285" s="42"/>
      <c r="C285" s="756">
        <f>Q283</f>
        <v>667661.91</v>
      </c>
      <c r="D285" s="756">
        <f>R283</f>
        <v>19319</v>
      </c>
      <c r="E285" s="756" t="e">
        <f>S283*-1</f>
        <v>#NAME?</v>
      </c>
      <c r="F285" s="756" t="e">
        <f>T283</f>
        <v>#NAME?</v>
      </c>
      <c r="G285" s="756" t="e">
        <f>U283</f>
        <v>#NAME?</v>
      </c>
      <c r="H285" s="756" t="e">
        <f>V283*-1</f>
        <v>#NAME?</v>
      </c>
      <c r="I285" s="43"/>
      <c r="J285" s="43"/>
      <c r="K285" s="43" t="e">
        <f t="shared" ref="K285:K286" si="46">SUM(C285:J285)</f>
        <v>#NAME?</v>
      </c>
      <c r="P285" s="439"/>
      <c r="Q285" s="761"/>
      <c r="R285" s="689"/>
      <c r="S285" s="689"/>
      <c r="T285" s="761"/>
      <c r="U285" s="761"/>
      <c r="V285" s="761"/>
    </row>
    <row r="286" spans="1:22">
      <c r="A286" s="762" t="s">
        <v>1032</v>
      </c>
      <c r="B286" s="42"/>
      <c r="C286" s="756">
        <f>Q284</f>
        <v>10819218.690000001</v>
      </c>
      <c r="D286" s="756">
        <f>R284</f>
        <v>358103</v>
      </c>
      <c r="E286" s="756" t="e">
        <f>S284*-1</f>
        <v>#NAME?</v>
      </c>
      <c r="F286" s="756" t="e">
        <f>T284</f>
        <v>#NAME?</v>
      </c>
      <c r="G286" s="756" t="e">
        <f>U284</f>
        <v>#NAME?</v>
      </c>
      <c r="H286" s="756" t="e">
        <f>V284*-1</f>
        <v>#NAME?</v>
      </c>
      <c r="I286" s="43"/>
      <c r="J286" s="43"/>
      <c r="K286" s="43" t="e">
        <f t="shared" si="46"/>
        <v>#NAME?</v>
      </c>
      <c r="P286" s="439"/>
      <c r="Q286" s="761"/>
      <c r="R286" s="689"/>
      <c r="S286" s="689"/>
      <c r="T286" s="761"/>
      <c r="U286" s="761"/>
      <c r="V286" s="761"/>
    </row>
    <row r="287" spans="1:22">
      <c r="A287" s="439"/>
      <c r="B287" s="74"/>
      <c r="C287" s="43"/>
      <c r="D287" s="43"/>
      <c r="E287" s="43"/>
      <c r="F287" s="43"/>
      <c r="G287" s="43"/>
      <c r="H287" s="43"/>
      <c r="I287" s="43"/>
      <c r="J287" s="43"/>
      <c r="K287" s="43"/>
      <c r="P287" s="439" t="s">
        <v>25</v>
      </c>
      <c r="Q287" s="761">
        <f t="shared" ref="Q287:Q295" si="47">SUMIFS(_12MonResults_Revenue_Calculated,_12MonResults_RateClass,$P287)</f>
        <v>18503482.630000003</v>
      </c>
      <c r="R287" s="689">
        <f t="shared" ref="R287:R295" si="48">+SUMIFS(_12MonResults_Revenue_FAC,_12MonResults_RateClass,$P287)</f>
        <v>569148</v>
      </c>
      <c r="S287" s="689" t="e">
        <f t="shared" ref="S287:S295" si="49">+SUMIFS(_BaseECR_Base_ECR_Revenue,_BaseECR_Base_ECR_RateClass,$P287)</f>
        <v>#NAME?</v>
      </c>
      <c r="T287" s="761" t="e">
        <f t="shared" ref="T287:T297" si="50">SUMIFS(_13Month_Revenue_Actual,_13Month_RateClass,$P287)</f>
        <v>#NAME?</v>
      </c>
      <c r="U287" s="761" t="e">
        <f t="shared" ref="U287:U297" si="51">SUMIFS(_13Month_FAC,_13Month_RateClass,$P287)</f>
        <v>#NAME?</v>
      </c>
      <c r="V287" s="761" t="e">
        <f t="shared" ref="V287:V297" si="52">SUMIFS(_13Month_Base_ECR_Total,_13Month_RateClass,$P287)</f>
        <v>#NAME?</v>
      </c>
    </row>
    <row r="288" spans="1:22">
      <c r="A288" s="439" t="str">
        <f>$A$23</f>
        <v>Power Service</v>
      </c>
      <c r="B288" s="74"/>
      <c r="C288" s="43"/>
      <c r="D288" s="43"/>
      <c r="E288" s="43"/>
      <c r="F288" s="43"/>
      <c r="G288" s="43"/>
      <c r="H288" s="43"/>
      <c r="I288" s="43"/>
      <c r="J288" s="43"/>
      <c r="K288" s="43"/>
      <c r="P288" s="439" t="s">
        <v>24</v>
      </c>
      <c r="Q288" s="761">
        <f t="shared" si="47"/>
        <v>179055572.34</v>
      </c>
      <c r="R288" s="689">
        <f t="shared" si="48"/>
        <v>5007479</v>
      </c>
      <c r="S288" s="689" t="e">
        <f t="shared" si="49"/>
        <v>#NAME?</v>
      </c>
      <c r="T288" s="761" t="e">
        <f t="shared" si="50"/>
        <v>#NAME?</v>
      </c>
      <c r="U288" s="761" t="e">
        <f t="shared" si="51"/>
        <v>#NAME?</v>
      </c>
      <c r="V288" s="761" t="e">
        <f t="shared" si="52"/>
        <v>#NAME?</v>
      </c>
    </row>
    <row r="289" spans="1:22">
      <c r="A289" s="439" t="str">
        <f>$A$25</f>
        <v>Primary</v>
      </c>
      <c r="B289" s="42"/>
      <c r="C289" s="756">
        <f>Q287</f>
        <v>18503482.630000003</v>
      </c>
      <c r="D289" s="756">
        <f>R287</f>
        <v>569148</v>
      </c>
      <c r="E289" s="756" t="e">
        <f>S287*-1</f>
        <v>#NAME?</v>
      </c>
      <c r="F289" s="756" t="e">
        <f>T287</f>
        <v>#NAME?</v>
      </c>
      <c r="G289" s="756" t="e">
        <f>U287</f>
        <v>#NAME?</v>
      </c>
      <c r="H289" s="756" t="e">
        <f>V287*-1</f>
        <v>#NAME?</v>
      </c>
      <c r="I289" s="43">
        <f>AA24</f>
        <v>57419.54</v>
      </c>
      <c r="J289" s="43">
        <f>Z24</f>
        <v>-181571.72</v>
      </c>
      <c r="K289" s="43" t="e">
        <f>SUM(C289:J289)</f>
        <v>#NAME?</v>
      </c>
      <c r="P289" s="439" t="s">
        <v>205</v>
      </c>
      <c r="Q289" s="761">
        <f t="shared" si="47"/>
        <v>243112442.44</v>
      </c>
      <c r="R289" s="689">
        <f t="shared" si="48"/>
        <v>10326000</v>
      </c>
      <c r="S289" s="689" t="e">
        <f t="shared" si="49"/>
        <v>#NAME?</v>
      </c>
      <c r="T289" s="761" t="e">
        <f t="shared" si="50"/>
        <v>#NAME?</v>
      </c>
      <c r="U289" s="761" t="e">
        <f t="shared" si="51"/>
        <v>#NAME?</v>
      </c>
      <c r="V289" s="761" t="e">
        <f t="shared" si="52"/>
        <v>#NAME?</v>
      </c>
    </row>
    <row r="290" spans="1:22">
      <c r="A290" s="439" t="str">
        <f>$A$27</f>
        <v>Secondary</v>
      </c>
      <c r="B290" s="42"/>
      <c r="C290" s="756">
        <f>Q288</f>
        <v>179055572.34</v>
      </c>
      <c r="D290" s="756">
        <f>R288</f>
        <v>5007479</v>
      </c>
      <c r="E290" s="756" t="e">
        <f>S288*-1</f>
        <v>#NAME?</v>
      </c>
      <c r="F290" s="756" t="e">
        <f>T288</f>
        <v>#NAME?</v>
      </c>
      <c r="G290" s="756" t="e">
        <f>U288</f>
        <v>#NAME?</v>
      </c>
      <c r="H290" s="756" t="e">
        <f>V288*-1</f>
        <v>#NAME?</v>
      </c>
      <c r="I290" s="43">
        <f>SUM(AA26:AA26)</f>
        <v>3143257.13</v>
      </c>
      <c r="J290" s="43">
        <f>(SUM(Z26:Z26))</f>
        <v>-10405880.710000001</v>
      </c>
      <c r="K290" s="43" t="e">
        <f t="shared" ref="K290" si="53">SUM(C290:J290)</f>
        <v>#NAME?</v>
      </c>
      <c r="P290" s="439" t="s">
        <v>204</v>
      </c>
      <c r="Q290" s="761">
        <f t="shared" si="47"/>
        <v>103239997.44</v>
      </c>
      <c r="R290" s="689">
        <f t="shared" si="48"/>
        <v>3843371</v>
      </c>
      <c r="S290" s="689" t="e">
        <f t="shared" si="49"/>
        <v>#NAME?</v>
      </c>
      <c r="T290" s="761" t="e">
        <f t="shared" si="50"/>
        <v>#NAME?</v>
      </c>
      <c r="U290" s="761" t="e">
        <f t="shared" si="51"/>
        <v>#NAME?</v>
      </c>
      <c r="V290" s="761" t="e">
        <f t="shared" si="52"/>
        <v>#NAME?</v>
      </c>
    </row>
    <row r="291" spans="1:22">
      <c r="A291" s="439"/>
      <c r="B291" s="74"/>
      <c r="C291" s="43"/>
      <c r="D291" s="43"/>
      <c r="E291" s="43"/>
      <c r="F291" s="43"/>
      <c r="G291" s="43"/>
      <c r="H291" s="43"/>
      <c r="I291" s="43"/>
      <c r="J291" s="43"/>
      <c r="K291" s="43"/>
      <c r="P291" s="439" t="s">
        <v>18</v>
      </c>
      <c r="Q291" s="761">
        <f t="shared" si="47"/>
        <v>87203056.090000004</v>
      </c>
      <c r="R291" s="689">
        <f t="shared" si="48"/>
        <v>3910238</v>
      </c>
      <c r="S291" s="689" t="e">
        <f t="shared" si="49"/>
        <v>#NAME?</v>
      </c>
      <c r="T291" s="761" t="e">
        <f t="shared" si="50"/>
        <v>#NAME?</v>
      </c>
      <c r="U291" s="761" t="e">
        <f t="shared" si="51"/>
        <v>#NAME?</v>
      </c>
      <c r="V291" s="761" t="e">
        <f t="shared" si="52"/>
        <v>#NAME?</v>
      </c>
    </row>
    <row r="292" spans="1:22">
      <c r="A292" s="439" t="str">
        <f>$A$29</f>
        <v>Industrial Time of Day</v>
      </c>
      <c r="B292" s="42"/>
      <c r="C292" s="43"/>
      <c r="D292" s="43"/>
      <c r="E292" s="43"/>
      <c r="F292" s="43"/>
      <c r="G292" s="43"/>
      <c r="H292" s="43"/>
      <c r="I292" s="43"/>
      <c r="J292" s="43"/>
      <c r="K292" s="43"/>
      <c r="P292" s="439" t="s">
        <v>27</v>
      </c>
      <c r="Q292" s="761">
        <f t="shared" si="47"/>
        <v>26938988.949999999</v>
      </c>
      <c r="R292" s="689">
        <f t="shared" si="48"/>
        <v>1368520</v>
      </c>
      <c r="S292" s="689" t="e">
        <f t="shared" si="49"/>
        <v>#NAME?</v>
      </c>
      <c r="T292" s="761" t="e">
        <f t="shared" si="50"/>
        <v>#NAME?</v>
      </c>
      <c r="U292" s="761" t="e">
        <f t="shared" si="51"/>
        <v>#NAME?</v>
      </c>
      <c r="V292" s="761" t="e">
        <f t="shared" si="52"/>
        <v>#NAME?</v>
      </c>
    </row>
    <row r="293" spans="1:22">
      <c r="A293" s="439" t="str">
        <f>$A$31</f>
        <v>Primary</v>
      </c>
      <c r="B293" s="42"/>
      <c r="C293" s="756">
        <f>Q289</f>
        <v>243112442.44</v>
      </c>
      <c r="D293" s="756">
        <f>R289</f>
        <v>10326000</v>
      </c>
      <c r="E293" s="756" t="e">
        <f>S289*-1</f>
        <v>#NAME?</v>
      </c>
      <c r="F293" s="756" t="e">
        <f>T289</f>
        <v>#NAME?</v>
      </c>
      <c r="G293" s="756" t="e">
        <f>U289</f>
        <v>#NAME?</v>
      </c>
      <c r="H293" s="756" t="e">
        <f>V289*-1</f>
        <v>#NAME?</v>
      </c>
      <c r="I293" s="43">
        <f>AA30</f>
        <v>2596467.0400000005</v>
      </c>
      <c r="J293" s="43">
        <f>(Z30)</f>
        <v>0</v>
      </c>
      <c r="K293" s="43" t="e">
        <f t="shared" ref="K293:K294" si="54">SUM(C293:J293)</f>
        <v>#NAME?</v>
      </c>
      <c r="P293" s="439" t="s">
        <v>72</v>
      </c>
      <c r="Q293" s="761">
        <f t="shared" si="47"/>
        <v>0</v>
      </c>
      <c r="R293" s="689">
        <f t="shared" si="48"/>
        <v>0</v>
      </c>
      <c r="S293" s="689" t="e">
        <f t="shared" si="49"/>
        <v>#NAME?</v>
      </c>
      <c r="T293" s="761" t="e">
        <f t="shared" si="50"/>
        <v>#NAME?</v>
      </c>
      <c r="U293" s="761" t="e">
        <f t="shared" si="51"/>
        <v>#NAME?</v>
      </c>
      <c r="V293" s="761" t="e">
        <f t="shared" si="52"/>
        <v>#NAME?</v>
      </c>
    </row>
    <row r="294" spans="1:22">
      <c r="A294" s="439" t="str">
        <f>$A$33</f>
        <v>Secondary</v>
      </c>
      <c r="B294" s="42"/>
      <c r="C294" s="756">
        <f>Q290</f>
        <v>103239997.44</v>
      </c>
      <c r="D294" s="756">
        <f>R290</f>
        <v>3843371</v>
      </c>
      <c r="E294" s="756" t="e">
        <f>S290*-1</f>
        <v>#NAME?</v>
      </c>
      <c r="F294" s="756" t="e">
        <f>T290</f>
        <v>#NAME?</v>
      </c>
      <c r="G294" s="756" t="e">
        <f>U290</f>
        <v>#NAME?</v>
      </c>
      <c r="H294" s="756" t="e">
        <f>V290*-1</f>
        <v>#NAME?</v>
      </c>
      <c r="I294" s="43">
        <f>AA32</f>
        <v>9430064.6399999987</v>
      </c>
      <c r="J294" s="43">
        <f>(Z32)</f>
        <v>0</v>
      </c>
      <c r="K294" s="43" t="e">
        <f t="shared" si="54"/>
        <v>#NAME?</v>
      </c>
      <c r="P294" s="439" t="s">
        <v>19</v>
      </c>
      <c r="Q294" s="761">
        <f t="shared" si="47"/>
        <v>10497.080000000002</v>
      </c>
      <c r="R294" s="689">
        <f t="shared" si="48"/>
        <v>0</v>
      </c>
      <c r="S294" s="689" t="e">
        <f t="shared" si="49"/>
        <v>#NAME?</v>
      </c>
      <c r="T294" s="761" t="e">
        <f t="shared" si="50"/>
        <v>#NAME?</v>
      </c>
      <c r="U294" s="761" t="e">
        <f t="shared" si="51"/>
        <v>#NAME?</v>
      </c>
      <c r="V294" s="761" t="e">
        <f t="shared" si="52"/>
        <v>#NAME?</v>
      </c>
    </row>
    <row r="295" spans="1:22">
      <c r="A295" s="439"/>
      <c r="B295" s="74"/>
      <c r="C295" s="43"/>
      <c r="D295" s="43"/>
      <c r="E295" s="43"/>
      <c r="F295" s="43"/>
      <c r="G295" s="43"/>
      <c r="H295" s="43"/>
      <c r="I295" s="43"/>
      <c r="J295" s="43"/>
      <c r="K295" s="43"/>
      <c r="P295" s="439" t="s">
        <v>20</v>
      </c>
      <c r="Q295" s="761">
        <f t="shared" si="47"/>
        <v>128169.26000000001</v>
      </c>
      <c r="R295" s="689">
        <f t="shared" si="48"/>
        <v>0</v>
      </c>
      <c r="S295" s="689" t="e">
        <f t="shared" si="49"/>
        <v>#NAME?</v>
      </c>
      <c r="T295" s="761" t="e">
        <f t="shared" si="50"/>
        <v>#NAME?</v>
      </c>
      <c r="U295" s="761" t="e">
        <f t="shared" si="51"/>
        <v>#NAME?</v>
      </c>
      <c r="V295" s="761" t="e">
        <f t="shared" si="52"/>
        <v>#NAME?</v>
      </c>
    </row>
    <row r="296" spans="1:22">
      <c r="A296" s="439" t="str">
        <f>$A$36</f>
        <v>Retail Transmisison Service</v>
      </c>
      <c r="B296" s="42"/>
      <c r="C296" s="756">
        <f>Q291</f>
        <v>87203056.090000004</v>
      </c>
      <c r="D296" s="756">
        <f>R291</f>
        <v>3910238</v>
      </c>
      <c r="E296" s="756" t="e">
        <f>S291*-1</f>
        <v>#NAME?</v>
      </c>
      <c r="F296" s="756" t="e">
        <f>T291</f>
        <v>#NAME?</v>
      </c>
      <c r="G296" s="756" t="e">
        <f>U291</f>
        <v>#NAME?</v>
      </c>
      <c r="H296" s="756" t="e">
        <f>V291*-1</f>
        <v>#NAME?</v>
      </c>
      <c r="I296" s="43">
        <f>AA35</f>
        <v>0</v>
      </c>
      <c r="J296" s="43">
        <f>(Z35)</f>
        <v>0</v>
      </c>
      <c r="K296" s="43" t="e">
        <f>SUM(C296:J296)</f>
        <v>#NAME?</v>
      </c>
      <c r="P296" s="439" t="s">
        <v>1139</v>
      </c>
      <c r="Q296" s="761">
        <f>SUMIFS(_12MonLights_Revenue_Calculated,_12MonLights_RateClass,$P296)</f>
        <v>21481073.61999999</v>
      </c>
      <c r="R296" s="761">
        <f>SUMIFS(_12MonLights_Revenue_FAC,_12MonLights_RateClass,$P296)</f>
        <v>0</v>
      </c>
      <c r="S296" s="689" t="e">
        <f>SUMIFS(_BaseECRLights_Revenue,_BaseECRLights_RateClass,$P296)</f>
        <v>#NAME?</v>
      </c>
      <c r="T296" s="761" t="e">
        <f t="shared" si="50"/>
        <v>#NAME?</v>
      </c>
      <c r="U296" s="761" t="e">
        <f t="shared" si="51"/>
        <v>#NAME?</v>
      </c>
      <c r="V296" s="761" t="e">
        <f t="shared" si="52"/>
        <v>#NAME?</v>
      </c>
    </row>
    <row r="297" spans="1:22">
      <c r="A297" s="439"/>
      <c r="B297" s="74"/>
      <c r="C297" s="43"/>
      <c r="D297" s="43"/>
      <c r="E297" s="43"/>
      <c r="F297" s="43"/>
      <c r="G297" s="43"/>
      <c r="H297" s="43"/>
      <c r="I297" s="43"/>
      <c r="J297" s="43"/>
      <c r="K297" s="43"/>
      <c r="P297" s="439" t="s">
        <v>1140</v>
      </c>
      <c r="Q297" s="761">
        <f>SUMIFS(_12MonLights_Revenue_Calculated,_12MonLights_RateClass,$P297)</f>
        <v>3660511.7499999995</v>
      </c>
      <c r="R297" s="761">
        <f>SUMIFS(_12MonLights_Revenue_FAC,_12MonLights_RateClass,$P297)</f>
        <v>0</v>
      </c>
      <c r="S297" s="689" t="e">
        <f>SUMIFS(_BaseECRLights_Revenue,_BaseECRLights_RateClass,$P297)</f>
        <v>#NAME?</v>
      </c>
      <c r="T297" s="761" t="e">
        <f t="shared" si="50"/>
        <v>#NAME?</v>
      </c>
      <c r="U297" s="761" t="e">
        <f t="shared" si="51"/>
        <v>#NAME?</v>
      </c>
      <c r="V297" s="761" t="e">
        <f t="shared" si="52"/>
        <v>#NAME?</v>
      </c>
    </row>
    <row r="298" spans="1:22">
      <c r="A298" s="439" t="str">
        <f>$A$40</f>
        <v>Fluctuating Load Service</v>
      </c>
      <c r="B298" s="42"/>
      <c r="C298" s="756">
        <f>Q292</f>
        <v>26938988.949999999</v>
      </c>
      <c r="D298" s="756">
        <f>R292</f>
        <v>1368520</v>
      </c>
      <c r="E298" s="756" t="e">
        <f>S292*-1</f>
        <v>#NAME?</v>
      </c>
      <c r="F298" s="756" t="e">
        <f>T292</f>
        <v>#NAME?</v>
      </c>
      <c r="G298" s="756" t="e">
        <f>U292</f>
        <v>#NAME?</v>
      </c>
      <c r="H298" s="756" t="e">
        <f>V292*-1</f>
        <v>#NAME?</v>
      </c>
      <c r="I298" s="43">
        <f>AA39</f>
        <v>0</v>
      </c>
      <c r="J298" s="43">
        <f>(Z39)</f>
        <v>0</v>
      </c>
      <c r="K298" s="43" t="e">
        <f>SUM(C298:J298)</f>
        <v>#NAME?</v>
      </c>
    </row>
    <row r="299" spans="1:22">
      <c r="A299" s="439"/>
      <c r="B299" s="74"/>
      <c r="C299" s="43"/>
      <c r="D299" s="43"/>
      <c r="E299" s="43"/>
      <c r="F299" s="43"/>
      <c r="G299" s="43"/>
      <c r="H299" s="43"/>
      <c r="I299" s="43"/>
      <c r="J299" s="43"/>
      <c r="K299" s="43"/>
      <c r="P299" s="439" t="s">
        <v>1429</v>
      </c>
      <c r="Q299" s="760">
        <f t="shared" ref="Q299:V299" si="55">SUM(Q276:Q295)</f>
        <v>1403958029.4299998</v>
      </c>
      <c r="R299" s="760">
        <f t="shared" si="55"/>
        <v>45658989</v>
      </c>
      <c r="S299" s="760" t="e">
        <f t="shared" si="55"/>
        <v>#NAME?</v>
      </c>
      <c r="T299" s="760" t="e">
        <f t="shared" si="55"/>
        <v>#NAME?</v>
      </c>
      <c r="U299" s="760" t="e">
        <f t="shared" si="55"/>
        <v>#NAME?</v>
      </c>
      <c r="V299" s="760" t="e">
        <f t="shared" si="55"/>
        <v>#NAME?</v>
      </c>
    </row>
    <row r="300" spans="1:22">
      <c r="A300" s="439" t="str">
        <f>$A$43</f>
        <v>Lighting Energy</v>
      </c>
      <c r="B300" s="42"/>
      <c r="C300" s="756">
        <f>Q294</f>
        <v>10497.080000000002</v>
      </c>
      <c r="D300" s="756">
        <f>R294</f>
        <v>0</v>
      </c>
      <c r="E300" s="756" t="e">
        <f>S294*-1</f>
        <v>#NAME?</v>
      </c>
      <c r="F300" s="756" t="e">
        <f>T294</f>
        <v>#NAME?</v>
      </c>
      <c r="G300" s="756" t="e">
        <f>U294</f>
        <v>#NAME?</v>
      </c>
      <c r="H300" s="756" t="e">
        <f>V294*-1</f>
        <v>#NAME?</v>
      </c>
      <c r="I300" s="43">
        <f>AA42</f>
        <v>0</v>
      </c>
      <c r="J300" s="43">
        <f>(Z42)</f>
        <v>0</v>
      </c>
      <c r="K300" s="43" t="e">
        <f>SUM(C300:J300)</f>
        <v>#NAME?</v>
      </c>
      <c r="P300" s="439" t="s">
        <v>1430</v>
      </c>
      <c r="Q300" s="602">
        <f>'12MonResults'!AE473</f>
        <v>1403958029.4300003</v>
      </c>
      <c r="R300" s="602">
        <f>'12MonResults'!AH473</f>
        <v>45658989</v>
      </c>
      <c r="S300" s="760" t="e">
        <f>#REF!</f>
        <v>#REF!</v>
      </c>
      <c r="T300" s="760" t="e">
        <f>#REF!</f>
        <v>#REF!</v>
      </c>
      <c r="U300" s="760" t="e">
        <f>#REF!</f>
        <v>#REF!</v>
      </c>
      <c r="V300" s="760" t="e">
        <f>#REF!</f>
        <v>#REF!</v>
      </c>
    </row>
    <row r="301" spans="1:22">
      <c r="A301" s="439"/>
      <c r="B301" s="74"/>
      <c r="C301" s="43"/>
      <c r="D301" s="43"/>
      <c r="E301" s="43"/>
      <c r="F301" s="43"/>
      <c r="G301" s="43"/>
      <c r="H301" s="43"/>
      <c r="I301" s="43"/>
      <c r="J301" s="43"/>
      <c r="K301" s="43"/>
      <c r="Q301" s="439"/>
      <c r="R301" s="439"/>
      <c r="S301" s="439"/>
      <c r="T301" s="439"/>
      <c r="U301" s="439"/>
      <c r="V301" s="439"/>
    </row>
    <row r="302" spans="1:22">
      <c r="A302" s="439" t="str">
        <f>$A$45</f>
        <v>Traffic Energy</v>
      </c>
      <c r="B302" s="42"/>
      <c r="C302" s="756">
        <f>Q295</f>
        <v>128169.26000000001</v>
      </c>
      <c r="D302" s="756">
        <f>R295</f>
        <v>0</v>
      </c>
      <c r="E302" s="756" t="e">
        <f>S295*-1</f>
        <v>#NAME?</v>
      </c>
      <c r="F302" s="756" t="e">
        <f>T295</f>
        <v>#NAME?</v>
      </c>
      <c r="G302" s="756" t="e">
        <f>U295</f>
        <v>#NAME?</v>
      </c>
      <c r="H302" s="756" t="e">
        <f>V295*-1</f>
        <v>#NAME?</v>
      </c>
      <c r="I302" s="43">
        <f>AA44</f>
        <v>10668.95</v>
      </c>
      <c r="J302" s="43">
        <f>(Z44)</f>
        <v>0</v>
      </c>
      <c r="K302" s="43" t="e">
        <f>SUM(C302:J302)</f>
        <v>#NAME?</v>
      </c>
      <c r="P302" s="439" t="s">
        <v>1431</v>
      </c>
      <c r="Q302" s="760">
        <f t="shared" ref="Q302:V302" si="56">SUM(Q296:Q297)</f>
        <v>25141585.36999999</v>
      </c>
      <c r="R302" s="760">
        <f t="shared" si="56"/>
        <v>0</v>
      </c>
      <c r="S302" s="760" t="e">
        <f t="shared" si="56"/>
        <v>#NAME?</v>
      </c>
      <c r="T302" s="760" t="e">
        <f t="shared" si="56"/>
        <v>#NAME?</v>
      </c>
      <c r="U302" s="760" t="e">
        <f t="shared" si="56"/>
        <v>#NAME?</v>
      </c>
      <c r="V302" s="760" t="e">
        <f t="shared" si="56"/>
        <v>#NAME?</v>
      </c>
    </row>
    <row r="303" spans="1:22">
      <c r="A303" s="439"/>
      <c r="B303" s="74"/>
      <c r="C303" s="43"/>
      <c r="D303" s="43"/>
      <c r="E303" s="43"/>
      <c r="F303" s="43"/>
      <c r="G303" s="43"/>
      <c r="H303" s="43"/>
      <c r="I303" s="43"/>
      <c r="J303" s="43"/>
      <c r="K303" s="43"/>
      <c r="P303" s="439" t="s">
        <v>1432</v>
      </c>
      <c r="Q303" s="602">
        <f>'12MonLights'!N1071</f>
        <v>25141585.369999975</v>
      </c>
      <c r="R303" s="602">
        <f>'12MonLights'!Q1071</f>
        <v>293403</v>
      </c>
      <c r="S303" s="602" t="e">
        <f>#REF!</f>
        <v>#REF!</v>
      </c>
      <c r="T303" s="602" t="e">
        <f>#REF!</f>
        <v>#REF!</v>
      </c>
      <c r="U303" s="602" t="e">
        <f>#REF!</f>
        <v>#REF!</v>
      </c>
      <c r="V303" s="602" t="e">
        <f>#REF!</f>
        <v>#REF!</v>
      </c>
    </row>
    <row r="304" spans="1:22">
      <c r="A304" s="439" t="s">
        <v>1446</v>
      </c>
      <c r="B304" s="74"/>
      <c r="C304" s="43"/>
      <c r="D304" s="43"/>
      <c r="E304" s="43"/>
      <c r="F304" s="43"/>
      <c r="G304" s="43"/>
      <c r="H304" s="43"/>
      <c r="I304" s="43"/>
      <c r="J304" s="43"/>
      <c r="K304" s="43"/>
    </row>
    <row r="305" spans="1:22">
      <c r="A305" s="762" t="s">
        <v>85</v>
      </c>
      <c r="B305" s="74"/>
      <c r="C305" s="756">
        <f>Q296</f>
        <v>21481073.61999999</v>
      </c>
      <c r="D305" s="756">
        <f>R296</f>
        <v>0</v>
      </c>
      <c r="E305" s="756" t="e">
        <f>S296*-1</f>
        <v>#NAME?</v>
      </c>
      <c r="F305" s="756" t="e">
        <f>T296</f>
        <v>#NAME?</v>
      </c>
      <c r="G305" s="756" t="e">
        <f>U296</f>
        <v>#NAME?</v>
      </c>
      <c r="H305" s="756" t="e">
        <f>V296*-1</f>
        <v>#NAME?</v>
      </c>
      <c r="I305" s="43"/>
      <c r="J305" s="43"/>
      <c r="K305" s="43" t="e">
        <f>SUM(C305:J305)</f>
        <v>#NAME?</v>
      </c>
      <c r="Q305" s="760">
        <f>Q299+Q302</f>
        <v>1429099614.7999997</v>
      </c>
      <c r="R305" s="760">
        <f t="shared" ref="R305:V305" si="57">R299+R302</f>
        <v>45658989</v>
      </c>
      <c r="S305" s="760" t="e">
        <f t="shared" si="57"/>
        <v>#NAME?</v>
      </c>
      <c r="T305" s="760" t="e">
        <f t="shared" si="57"/>
        <v>#NAME?</v>
      </c>
      <c r="U305" s="760" t="e">
        <f t="shared" si="57"/>
        <v>#NAME?</v>
      </c>
      <c r="V305" s="760" t="e">
        <f t="shared" si="57"/>
        <v>#NAME?</v>
      </c>
    </row>
    <row r="306" spans="1:22">
      <c r="A306" s="762" t="s">
        <v>1426</v>
      </c>
      <c r="B306" s="74"/>
      <c r="C306" s="756">
        <f>Q297</f>
        <v>3660511.7499999995</v>
      </c>
      <c r="D306" s="756">
        <f>R297</f>
        <v>0</v>
      </c>
      <c r="E306" s="756" t="e">
        <f>S297*-1</f>
        <v>#NAME?</v>
      </c>
      <c r="F306" s="756" t="e">
        <f>T297</f>
        <v>#NAME?</v>
      </c>
      <c r="G306" s="756" t="e">
        <f>U297</f>
        <v>#NAME?</v>
      </c>
      <c r="H306" s="756" t="e">
        <f>V297*-1</f>
        <v>#NAME?</v>
      </c>
      <c r="I306" s="43"/>
      <c r="J306" s="43"/>
      <c r="K306" s="43" t="e">
        <f>SUM(C306:J306)</f>
        <v>#NAME?</v>
      </c>
      <c r="T306" s="760" t="e">
        <f>-T293</f>
        <v>#NAME?</v>
      </c>
    </row>
    <row r="307" spans="1:22">
      <c r="A307" s="439"/>
      <c r="B307" s="74"/>
      <c r="C307" s="43"/>
      <c r="D307" s="43"/>
      <c r="E307" s="43"/>
      <c r="F307" s="43"/>
      <c r="G307" s="43"/>
      <c r="H307" s="43"/>
      <c r="I307" s="43"/>
      <c r="J307" s="43"/>
      <c r="K307" s="43"/>
      <c r="T307" s="760" t="e">
        <f>T305+T306</f>
        <v>#NAME?</v>
      </c>
    </row>
    <row r="308" spans="1:22">
      <c r="A308" s="764" t="str">
        <f>A52</f>
        <v>Totals</v>
      </c>
      <c r="B308" s="74"/>
      <c r="C308" s="756">
        <f t="shared" ref="C308:D308" si="58">SUM(C276:C306)</f>
        <v>1429099614.7999997</v>
      </c>
      <c r="D308" s="756">
        <f t="shared" si="58"/>
        <v>45658989</v>
      </c>
      <c r="E308" s="756" t="e">
        <f>SUM(E276:E306)</f>
        <v>#NAME?</v>
      </c>
      <c r="F308" s="756" t="e">
        <f t="shared" ref="F308:K308" si="59">SUM(F276:F306)</f>
        <v>#NAME?</v>
      </c>
      <c r="G308" s="756" t="e">
        <f t="shared" si="59"/>
        <v>#NAME?</v>
      </c>
      <c r="H308" s="756" t="e">
        <f>SUM(H276:H306)</f>
        <v>#NAME?</v>
      </c>
      <c r="I308" s="756">
        <f t="shared" si="59"/>
        <v>15297309.149999999</v>
      </c>
      <c r="J308" s="756">
        <f t="shared" si="59"/>
        <v>-10830589.41</v>
      </c>
      <c r="K308" s="756" t="e">
        <f t="shared" si="59"/>
        <v>#NAME?</v>
      </c>
    </row>
  </sheetData>
  <pageMargins left="0.7" right="0.7" top="1.25" bottom="0.75" header="0.75" footer="0.3"/>
  <pageSetup scale="70" fitToHeight="6" orientation="landscape" r:id="rId1"/>
  <headerFooter>
    <oddHeader>&amp;C&amp;"Times New Roman,Bold"&amp;12Kentucky Utilities Company
Adjustment to Reflect Year End Number of Customers
Twelve Months Ended March 31, 2012</oddHeader>
    <oddFooter>&amp;R&amp;12Conroy Exhibit P5
Page &amp;P of &amp;N</oddFooter>
  </headerFooter>
  <rowBreaks count="6" manualBreakCount="6">
    <brk id="118" max="10" man="1"/>
    <brk id="131" max="10" man="1"/>
    <brk id="159" max="10" man="1"/>
    <brk id="196" max="10" man="1"/>
    <brk id="228" max="10" man="1"/>
    <brk id="269"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3:AF235"/>
  <sheetViews>
    <sheetView workbookViewId="0"/>
  </sheetViews>
  <sheetFormatPr defaultRowHeight="12"/>
  <cols>
    <col min="1" max="1" width="20.33203125" style="225" customWidth="1"/>
    <col min="2" max="2" width="15.83203125" style="225" customWidth="1"/>
    <col min="3" max="3" width="12.1640625" style="225" customWidth="1"/>
    <col min="4" max="4" width="14.6640625" style="225" bestFit="1" customWidth="1"/>
    <col min="5" max="6" width="13" style="225" bestFit="1" customWidth="1"/>
    <col min="7" max="7" width="14.6640625" style="225" bestFit="1" customWidth="1"/>
    <col min="8" max="8" width="2.33203125" style="225" customWidth="1"/>
    <col min="9" max="9" width="16.6640625" style="225" bestFit="1" customWidth="1"/>
    <col min="10" max="10" width="16.83203125" style="225" bestFit="1" customWidth="1"/>
    <col min="11" max="11" width="15.83203125" style="225" bestFit="1" customWidth="1"/>
    <col min="12" max="12" width="15.5" style="225" customWidth="1"/>
    <col min="13" max="13" width="16.83203125" style="225" bestFit="1" customWidth="1"/>
    <col min="14" max="14" width="15.5" style="225" customWidth="1"/>
    <col min="15" max="15" width="17" style="225" bestFit="1" customWidth="1"/>
    <col min="16" max="16" width="3" style="225" customWidth="1"/>
    <col min="17" max="17" width="16.6640625" style="225" bestFit="1" customWidth="1"/>
    <col min="18" max="18" width="15.83203125" style="225" bestFit="1" customWidth="1"/>
    <col min="19" max="20" width="15.33203125" style="225" customWidth="1"/>
    <col min="21" max="21" width="16.5" style="225" bestFit="1" customWidth="1"/>
    <col min="22" max="22" width="15.33203125" style="225" customWidth="1"/>
    <col min="23" max="23" width="17" style="225" bestFit="1" customWidth="1"/>
    <col min="24" max="24" width="9.33203125" style="225"/>
    <col min="25" max="25" width="14.33203125" style="225" customWidth="1"/>
    <col min="26" max="26" width="13.6640625" style="225" customWidth="1"/>
    <col min="27" max="27" width="3.5" style="225" customWidth="1"/>
    <col min="28" max="28" width="15.6640625" style="225" customWidth="1"/>
    <col min="29" max="29" width="15.83203125" style="225" customWidth="1"/>
    <col min="30" max="16384" width="9.33203125" style="225"/>
  </cols>
  <sheetData>
    <row r="3" spans="1:32">
      <c r="A3" s="225" t="s">
        <v>907</v>
      </c>
    </row>
    <row r="4" spans="1:32" ht="30" customHeight="1">
      <c r="D4" s="1299" t="s">
        <v>798</v>
      </c>
      <c r="E4" s="1300"/>
      <c r="F4" s="1300"/>
      <c r="G4" s="1300"/>
      <c r="I4" s="276" t="s">
        <v>799</v>
      </c>
      <c r="J4" s="277"/>
      <c r="K4" s="277"/>
      <c r="L4" s="277"/>
      <c r="M4" s="277"/>
      <c r="N4" s="277"/>
      <c r="O4" s="277"/>
      <c r="Q4" s="276" t="s">
        <v>800</v>
      </c>
      <c r="R4" s="277"/>
      <c r="S4" s="277"/>
      <c r="T4" s="277"/>
      <c r="U4" s="277"/>
      <c r="V4" s="277"/>
      <c r="W4" s="277"/>
      <c r="Y4" s="1301"/>
      <c r="Z4" s="1301"/>
      <c r="AB4" s="1302"/>
      <c r="AC4" s="1301"/>
    </row>
    <row r="5" spans="1:32" ht="60">
      <c r="A5" s="254" t="s">
        <v>801</v>
      </c>
      <c r="B5" s="254" t="s">
        <v>802</v>
      </c>
      <c r="C5" s="286" t="s">
        <v>928</v>
      </c>
      <c r="D5" s="286" t="s">
        <v>932</v>
      </c>
      <c r="E5" s="286" t="s">
        <v>929</v>
      </c>
      <c r="F5" s="286" t="s">
        <v>930</v>
      </c>
      <c r="G5" s="286" t="s">
        <v>931</v>
      </c>
      <c r="I5" s="255" t="s">
        <v>804</v>
      </c>
      <c r="J5" s="254" t="s">
        <v>805</v>
      </c>
      <c r="K5" s="254" t="s">
        <v>806</v>
      </c>
      <c r="L5" s="255" t="s">
        <v>811</v>
      </c>
      <c r="M5" s="255" t="s">
        <v>812</v>
      </c>
      <c r="N5" s="254" t="s">
        <v>655</v>
      </c>
      <c r="O5" s="255" t="s">
        <v>813</v>
      </c>
      <c r="Q5" s="255" t="s">
        <v>804</v>
      </c>
      <c r="R5" s="254" t="s">
        <v>805</v>
      </c>
      <c r="S5" s="254" t="s">
        <v>806</v>
      </c>
      <c r="T5" s="254" t="s">
        <v>811</v>
      </c>
      <c r="U5" s="255" t="s">
        <v>812</v>
      </c>
      <c r="V5" s="254" t="s">
        <v>655</v>
      </c>
      <c r="W5" s="255" t="s">
        <v>813</v>
      </c>
      <c r="Y5" s="254"/>
      <c r="Z5" s="254"/>
      <c r="AB5" s="254"/>
      <c r="AC5" s="254"/>
    </row>
    <row r="6" spans="1:32" s="439" customFormat="1">
      <c r="A6" s="457" t="s">
        <v>161</v>
      </c>
      <c r="B6" s="435" t="s">
        <v>25</v>
      </c>
      <c r="C6" s="602">
        <v>7</v>
      </c>
      <c r="D6" s="602">
        <v>4560</v>
      </c>
      <c r="E6" s="602">
        <v>25</v>
      </c>
      <c r="F6" s="602">
        <v>150</v>
      </c>
      <c r="G6" s="602">
        <v>0</v>
      </c>
      <c r="I6" s="487">
        <v>1190</v>
      </c>
      <c r="J6" s="487">
        <v>162.43</v>
      </c>
      <c r="K6" s="601">
        <v>399.98</v>
      </c>
      <c r="L6" s="487"/>
      <c r="M6" s="487"/>
      <c r="N6" s="487">
        <v>-2.42</v>
      </c>
      <c r="O6" s="487">
        <f>SUM(I6:N6)</f>
        <v>1749.99</v>
      </c>
      <c r="Q6" s="487">
        <v>140</v>
      </c>
      <c r="R6" s="487">
        <v>399.18</v>
      </c>
      <c r="S6" s="601">
        <v>0</v>
      </c>
      <c r="T6" s="487"/>
      <c r="U6" s="487"/>
      <c r="V6" s="487">
        <v>-2.42</v>
      </c>
      <c r="W6" s="487">
        <f>SUM(Q6:V6)</f>
        <v>536.7600000000001</v>
      </c>
      <c r="Y6" s="601">
        <f>W6-O6</f>
        <v>-1213.23</v>
      </c>
      <c r="Z6" s="487"/>
      <c r="AA6" s="487"/>
      <c r="AB6" s="601"/>
      <c r="AC6" s="487"/>
      <c r="AF6" s="487"/>
    </row>
    <row r="7" spans="1:32" s="439" customFormat="1">
      <c r="A7" s="435" t="s">
        <v>757</v>
      </c>
      <c r="B7" s="435" t="s">
        <v>24</v>
      </c>
      <c r="C7" s="602">
        <v>589</v>
      </c>
      <c r="D7" s="602">
        <v>3110340</v>
      </c>
      <c r="E7" s="602">
        <v>11079</v>
      </c>
      <c r="F7" s="602">
        <v>16522</v>
      </c>
      <c r="G7" s="602">
        <v>0</v>
      </c>
      <c r="I7" s="487">
        <v>53010</v>
      </c>
      <c r="J7" s="487">
        <v>110852.54</v>
      </c>
      <c r="K7" s="601">
        <v>133617.16</v>
      </c>
      <c r="L7" s="487"/>
      <c r="M7" s="487"/>
      <c r="N7" s="487">
        <v>-490.54</v>
      </c>
      <c r="O7" s="487">
        <f t="shared" ref="O7" si="0">SUM(I7:N7)</f>
        <v>296989.15999999997</v>
      </c>
      <c r="Q7" s="487">
        <v>11780</v>
      </c>
      <c r="R7" s="487">
        <v>272279.17</v>
      </c>
      <c r="S7" s="601">
        <v>0</v>
      </c>
      <c r="T7" s="487"/>
      <c r="U7" s="487"/>
      <c r="V7" s="487">
        <v>-490.54</v>
      </c>
      <c r="W7" s="487">
        <f t="shared" ref="W7" si="1">SUM(Q7:V7)</f>
        <v>283568.63</v>
      </c>
      <c r="Y7" s="601">
        <f t="shared" ref="Y7" si="2">W7-O7</f>
        <v>-13420.52999999997</v>
      </c>
      <c r="Z7" s="487"/>
      <c r="AA7" s="487"/>
      <c r="AB7" s="601"/>
      <c r="AC7" s="487"/>
      <c r="AF7" s="487"/>
    </row>
    <row r="8" spans="1:32" s="439" customFormat="1">
      <c r="A8" s="435"/>
      <c r="B8" s="443" t="s">
        <v>17</v>
      </c>
      <c r="C8" s="602">
        <v>1602</v>
      </c>
      <c r="D8" s="602">
        <v>3410440</v>
      </c>
      <c r="E8" s="602">
        <v>0</v>
      </c>
      <c r="F8" s="602">
        <v>0</v>
      </c>
      <c r="G8" s="602">
        <v>0</v>
      </c>
      <c r="I8" s="487">
        <v>56070</v>
      </c>
      <c r="J8" s="487">
        <v>298549.93</v>
      </c>
      <c r="K8" s="601">
        <v>0</v>
      </c>
      <c r="L8" s="487"/>
      <c r="M8" s="487"/>
      <c r="N8" s="487">
        <v>-768.48</v>
      </c>
      <c r="O8" s="487">
        <f>SUM(I8:N8)</f>
        <v>353851.45</v>
      </c>
      <c r="Q8" s="487">
        <v>32040</v>
      </c>
      <c r="R8" s="487">
        <v>298549.93</v>
      </c>
      <c r="S8" s="601">
        <v>0</v>
      </c>
      <c r="T8" s="487"/>
      <c r="U8" s="487"/>
      <c r="V8" s="487">
        <v>-768.48</v>
      </c>
      <c r="W8" s="487">
        <f>SUM(Q8:V8)</f>
        <v>329821.45</v>
      </c>
      <c r="Y8" s="601">
        <f>W8-O8</f>
        <v>-24030</v>
      </c>
      <c r="Z8" s="487"/>
      <c r="AA8" s="487"/>
      <c r="AB8" s="601"/>
      <c r="AC8" s="487"/>
      <c r="AF8" s="487"/>
    </row>
    <row r="9" spans="1:32" s="439" customFormat="1">
      <c r="A9" s="435"/>
      <c r="B9" s="442" t="s">
        <v>203</v>
      </c>
      <c r="C9" s="602">
        <v>4</v>
      </c>
      <c r="D9" s="602">
        <v>760</v>
      </c>
      <c r="E9" s="602">
        <v>0</v>
      </c>
      <c r="F9" s="602">
        <v>0</v>
      </c>
      <c r="G9" s="602">
        <v>0</v>
      </c>
      <c r="I9" s="487">
        <v>80</v>
      </c>
      <c r="J9" s="487">
        <v>54.15</v>
      </c>
      <c r="K9" s="601">
        <v>0</v>
      </c>
      <c r="L9" s="487"/>
      <c r="M9" s="487"/>
      <c r="N9" s="487">
        <v>-2.0099999999999998</v>
      </c>
      <c r="O9" s="487">
        <f t="shared" ref="O9:O14" si="3">SUM(I9:N9)</f>
        <v>132.14000000000001</v>
      </c>
      <c r="Q9" s="487">
        <v>80</v>
      </c>
      <c r="R9" s="487">
        <v>66.53</v>
      </c>
      <c r="S9" s="601">
        <v>0</v>
      </c>
      <c r="T9" s="487"/>
      <c r="U9" s="487"/>
      <c r="V9" s="487">
        <v>-2.0099999999999998</v>
      </c>
      <c r="W9" s="487">
        <f t="shared" ref="W9:W14" si="4">SUM(Q9:V9)</f>
        <v>144.52000000000001</v>
      </c>
      <c r="Y9" s="601">
        <f t="shared" ref="Y9:Y14" si="5">W9-O9</f>
        <v>12.379999999999995</v>
      </c>
      <c r="Z9" s="487"/>
      <c r="AA9" s="487"/>
      <c r="AB9" s="601"/>
      <c r="AC9" s="487"/>
      <c r="AF9" s="487"/>
    </row>
    <row r="10" spans="1:32" s="439" customFormat="1">
      <c r="A10" s="442"/>
      <c r="B10" s="443" t="s">
        <v>209</v>
      </c>
      <c r="C10" s="602">
        <v>2</v>
      </c>
      <c r="D10" s="602">
        <v>0</v>
      </c>
      <c r="E10" s="602">
        <v>0</v>
      </c>
      <c r="F10" s="602">
        <v>0</v>
      </c>
      <c r="G10" s="602">
        <v>0</v>
      </c>
      <c r="I10" s="487">
        <v>40</v>
      </c>
      <c r="J10" s="487">
        <v>0</v>
      </c>
      <c r="K10" s="601">
        <v>0</v>
      </c>
      <c r="L10" s="487"/>
      <c r="M10" s="487"/>
      <c r="N10" s="487">
        <v>0</v>
      </c>
      <c r="O10" s="487">
        <f>SUM(I10:N10)</f>
        <v>40</v>
      </c>
      <c r="Q10" s="487">
        <v>40</v>
      </c>
      <c r="R10" s="487">
        <v>0</v>
      </c>
      <c r="S10" s="601">
        <v>0</v>
      </c>
      <c r="T10" s="487"/>
      <c r="U10" s="487"/>
      <c r="V10" s="487">
        <v>0</v>
      </c>
      <c r="W10" s="487">
        <f>SUM(Q10:V10)</f>
        <v>40</v>
      </c>
      <c r="Y10" s="601">
        <f>W10-O10</f>
        <v>0</v>
      </c>
      <c r="Z10" s="487"/>
      <c r="AA10" s="487"/>
      <c r="AB10" s="601"/>
      <c r="AC10" s="487"/>
      <c r="AF10" s="487"/>
    </row>
    <row r="11" spans="1:32" s="439" customFormat="1">
      <c r="A11" s="435"/>
      <c r="B11" s="443" t="s">
        <v>14</v>
      </c>
      <c r="C11" s="602">
        <f>SUM(C12:C14)</f>
        <v>204</v>
      </c>
      <c r="D11" s="602">
        <f t="shared" ref="D11:G11" si="6">SUM(D12:D14)</f>
        <v>235783</v>
      </c>
      <c r="E11" s="602">
        <f t="shared" si="6"/>
        <v>0</v>
      </c>
      <c r="F11" s="602">
        <f t="shared" si="6"/>
        <v>0</v>
      </c>
      <c r="G11" s="602">
        <f t="shared" si="6"/>
        <v>0</v>
      </c>
      <c r="I11" s="487">
        <f t="shared" ref="I11:K11" si="7">SUM(I12:I14)</f>
        <v>2193</v>
      </c>
      <c r="J11" s="487">
        <f t="shared" si="7"/>
        <v>17516.3</v>
      </c>
      <c r="K11" s="601">
        <f t="shared" si="7"/>
        <v>0</v>
      </c>
      <c r="L11" s="487"/>
      <c r="M11" s="487"/>
      <c r="N11" s="487">
        <f t="shared" ref="N11:O11" si="8">SUM(N12:N14)</f>
        <v>-211.26999999999998</v>
      </c>
      <c r="O11" s="487">
        <f t="shared" si="8"/>
        <v>19498.03</v>
      </c>
      <c r="Q11" s="487">
        <f t="shared" ref="Q11" si="9">SUM(Q12:Q14)</f>
        <v>4080</v>
      </c>
      <c r="R11" s="487">
        <f t="shared" ref="R11" si="10">SUM(R12:R14)</f>
        <v>20640.46</v>
      </c>
      <c r="S11" s="601">
        <f t="shared" ref="S11" si="11">SUM(S12:S14)</f>
        <v>0</v>
      </c>
      <c r="T11" s="487"/>
      <c r="U11" s="487"/>
      <c r="V11" s="487">
        <f t="shared" ref="V11" si="12">SUM(V12:V14)</f>
        <v>-211.26999999999998</v>
      </c>
      <c r="W11" s="487">
        <f t="shared" ref="W11" si="13">SUM(W12:W14)</f>
        <v>24509.190000000002</v>
      </c>
      <c r="Y11" s="601">
        <f t="shared" si="5"/>
        <v>5011.1600000000035</v>
      </c>
      <c r="Z11" s="487"/>
      <c r="AA11" s="487"/>
      <c r="AB11" s="601"/>
      <c r="AC11" s="487"/>
      <c r="AF11" s="487"/>
    </row>
    <row r="12" spans="1:32" s="439" customFormat="1">
      <c r="A12" s="435"/>
      <c r="B12" s="796" t="s">
        <v>1447</v>
      </c>
      <c r="C12" s="602">
        <v>156</v>
      </c>
      <c r="D12" s="602">
        <v>186317</v>
      </c>
      <c r="E12" s="602"/>
      <c r="F12" s="602"/>
      <c r="G12" s="602"/>
      <c r="I12" s="487">
        <v>1677</v>
      </c>
      <c r="J12" s="487">
        <v>13841.48</v>
      </c>
      <c r="K12" s="601">
        <v>0</v>
      </c>
      <c r="L12" s="487"/>
      <c r="M12" s="487"/>
      <c r="N12" s="487">
        <v>-198.48</v>
      </c>
      <c r="O12" s="487">
        <f t="shared" si="3"/>
        <v>15320</v>
      </c>
      <c r="Q12" s="487">
        <v>3120</v>
      </c>
      <c r="R12" s="487">
        <v>16310.2</v>
      </c>
      <c r="S12" s="601"/>
      <c r="T12" s="487"/>
      <c r="U12" s="487"/>
      <c r="V12" s="487">
        <v>-198.48</v>
      </c>
      <c r="W12" s="487">
        <f t="shared" si="4"/>
        <v>19231.72</v>
      </c>
      <c r="Y12" s="601">
        <f t="shared" si="5"/>
        <v>3911.7200000000012</v>
      </c>
      <c r="Z12" s="487"/>
      <c r="AA12" s="487"/>
      <c r="AB12" s="601"/>
      <c r="AC12" s="487"/>
      <c r="AF12" s="487"/>
    </row>
    <row r="13" spans="1:32" s="439" customFormat="1">
      <c r="A13" s="435"/>
      <c r="B13" s="796" t="s">
        <v>1448</v>
      </c>
      <c r="C13" s="602">
        <v>48</v>
      </c>
      <c r="D13" s="602">
        <v>49466</v>
      </c>
      <c r="E13" s="602"/>
      <c r="F13" s="602"/>
      <c r="G13" s="602"/>
      <c r="I13" s="487">
        <v>516</v>
      </c>
      <c r="J13" s="487">
        <v>3674.82</v>
      </c>
      <c r="K13" s="601">
        <v>0</v>
      </c>
      <c r="L13" s="487"/>
      <c r="M13" s="487"/>
      <c r="N13" s="487">
        <v>-12.79</v>
      </c>
      <c r="O13" s="487">
        <f t="shared" ref="O13" si="14">SUM(I13:N13)</f>
        <v>4178.03</v>
      </c>
      <c r="Q13" s="487">
        <v>960</v>
      </c>
      <c r="R13" s="487">
        <v>4330.26</v>
      </c>
      <c r="S13" s="601"/>
      <c r="T13" s="487"/>
      <c r="U13" s="487"/>
      <c r="V13" s="487">
        <v>-12.79</v>
      </c>
      <c r="W13" s="487">
        <f t="shared" ref="W13" si="15">SUM(Q13:V13)</f>
        <v>5277.47</v>
      </c>
      <c r="Y13" s="601">
        <f t="shared" si="5"/>
        <v>1099.4400000000005</v>
      </c>
      <c r="Z13" s="487"/>
      <c r="AA13" s="487"/>
      <c r="AB13" s="601"/>
      <c r="AC13" s="487"/>
      <c r="AF13" s="487"/>
    </row>
    <row r="14" spans="1:32" s="439" customFormat="1">
      <c r="A14" s="435"/>
      <c r="B14" s="796" t="s">
        <v>1450</v>
      </c>
      <c r="C14" s="602">
        <v>0</v>
      </c>
      <c r="D14" s="602">
        <v>0</v>
      </c>
      <c r="E14" s="602"/>
      <c r="F14" s="602"/>
      <c r="G14" s="602"/>
      <c r="I14" s="487">
        <v>0</v>
      </c>
      <c r="J14" s="487">
        <v>0</v>
      </c>
      <c r="K14" s="601"/>
      <c r="L14" s="487"/>
      <c r="M14" s="487"/>
      <c r="N14" s="487">
        <v>0</v>
      </c>
      <c r="O14" s="487">
        <f t="shared" si="3"/>
        <v>0</v>
      </c>
      <c r="Q14" s="487">
        <v>0</v>
      </c>
      <c r="R14" s="487">
        <v>0</v>
      </c>
      <c r="S14" s="601"/>
      <c r="T14" s="487"/>
      <c r="U14" s="487"/>
      <c r="V14" s="487">
        <v>0</v>
      </c>
      <c r="W14" s="487">
        <f t="shared" si="4"/>
        <v>0</v>
      </c>
      <c r="Y14" s="601">
        <f t="shared" si="5"/>
        <v>0</v>
      </c>
      <c r="Z14" s="487"/>
      <c r="AA14" s="487"/>
      <c r="AB14" s="601"/>
      <c r="AC14" s="487"/>
      <c r="AF14" s="487"/>
    </row>
    <row r="15" spans="1:32" s="439" customFormat="1">
      <c r="A15" s="435"/>
      <c r="B15" s="528"/>
      <c r="C15" s="602">
        <f>SUM(C6:C11)</f>
        <v>2408</v>
      </c>
      <c r="D15" s="602">
        <f t="shared" ref="D15:G15" si="16">SUM(D6:D11)</f>
        <v>6761883</v>
      </c>
      <c r="E15" s="602">
        <f t="shared" si="16"/>
        <v>11104</v>
      </c>
      <c r="F15" s="602">
        <f t="shared" si="16"/>
        <v>16672</v>
      </c>
      <c r="G15" s="602">
        <f t="shared" si="16"/>
        <v>0</v>
      </c>
      <c r="I15" s="601">
        <f>SUM(I6:I11)</f>
        <v>112583</v>
      </c>
      <c r="J15" s="601">
        <f>SUM(J6:J11)</f>
        <v>427135.35</v>
      </c>
      <c r="K15" s="601">
        <f>SUM(K6:K13)</f>
        <v>134017.14000000001</v>
      </c>
      <c r="L15" s="487"/>
      <c r="M15" s="487"/>
      <c r="N15" s="601">
        <f>SUM(N6:N11)</f>
        <v>-1474.72</v>
      </c>
      <c r="O15" s="601">
        <f>SUM(O6:O11)</f>
        <v>672260.77</v>
      </c>
      <c r="Q15" s="601">
        <f>SUM(Q6:Q11)</f>
        <v>48160</v>
      </c>
      <c r="R15" s="601">
        <f>SUM(R6:R11)</f>
        <v>591935.27</v>
      </c>
      <c r="S15" s="601">
        <f>SUM(S6:S11)</f>
        <v>0</v>
      </c>
      <c r="T15" s="487"/>
      <c r="U15" s="601"/>
      <c r="V15" s="601">
        <f>SUM(V6:V11)</f>
        <v>-1474.72</v>
      </c>
      <c r="W15" s="601">
        <f>SUM(W6:W11)</f>
        <v>638620.55000000005</v>
      </c>
      <c r="Y15" s="601">
        <f>SUM(Y6:Y11)</f>
        <v>-33640.219999999965</v>
      </c>
      <c r="Z15" s="487"/>
      <c r="AA15" s="487"/>
      <c r="AB15" s="487"/>
      <c r="AF15" s="487"/>
    </row>
    <row r="16" spans="1:32">
      <c r="A16" s="294"/>
      <c r="B16" s="294"/>
      <c r="C16" s="260"/>
      <c r="D16" s="260"/>
      <c r="E16" s="260"/>
      <c r="F16" s="260"/>
      <c r="G16" s="260"/>
      <c r="I16" s="256"/>
      <c r="J16" s="256"/>
      <c r="K16" s="256"/>
      <c r="L16" s="256"/>
      <c r="M16" s="256"/>
      <c r="N16" s="256"/>
      <c r="O16" s="256"/>
      <c r="Q16" s="256"/>
      <c r="R16" s="256"/>
      <c r="S16" s="256"/>
      <c r="T16" s="256"/>
      <c r="U16" s="256"/>
      <c r="V16" s="256"/>
      <c r="W16" s="256"/>
      <c r="AF16" s="256"/>
    </row>
    <row r="17" spans="1:32">
      <c r="A17" s="819" t="s">
        <v>163</v>
      </c>
      <c r="B17" s="435" t="s">
        <v>24</v>
      </c>
      <c r="C17" s="462">
        <v>1437</v>
      </c>
      <c r="D17" s="602">
        <v>13976184</v>
      </c>
      <c r="E17" s="602">
        <v>30622</v>
      </c>
      <c r="F17" s="602">
        <v>42064</v>
      </c>
      <c r="G17" s="602">
        <v>0</v>
      </c>
      <c r="H17" s="439"/>
      <c r="I17" s="487">
        <v>129330</v>
      </c>
      <c r="J17" s="487">
        <v>498111.19</v>
      </c>
      <c r="K17" s="601">
        <v>567889.67000000004</v>
      </c>
      <c r="L17" s="487"/>
      <c r="M17" s="487"/>
      <c r="N17" s="487">
        <v>-3765</v>
      </c>
      <c r="O17" s="487">
        <f t="shared" ref="O17:O24" si="17">SUM(I17:N17)</f>
        <v>1191565.8599999999</v>
      </c>
      <c r="Q17" s="487">
        <v>50295</v>
      </c>
      <c r="R17" s="487">
        <v>1223475.06</v>
      </c>
      <c r="S17" s="601">
        <v>0</v>
      </c>
      <c r="T17" s="487"/>
      <c r="U17" s="487"/>
      <c r="V17" s="487">
        <v>-3765</v>
      </c>
      <c r="W17" s="487">
        <f t="shared" ref="W17:W24" si="18">SUM(Q17:V17)</f>
        <v>1270005.06</v>
      </c>
      <c r="Y17" s="601">
        <f t="shared" ref="Y17:Y24" si="19">W17-O17</f>
        <v>78439.200000000186</v>
      </c>
      <c r="Z17" s="256"/>
      <c r="AA17" s="256"/>
      <c r="AB17" s="257"/>
      <c r="AC17" s="256"/>
      <c r="AF17" s="256"/>
    </row>
    <row r="18" spans="1:32" s="439" customFormat="1">
      <c r="A18" s="435" t="s">
        <v>17</v>
      </c>
      <c r="B18" s="435" t="s">
        <v>24</v>
      </c>
      <c r="C18" s="462">
        <v>14</v>
      </c>
      <c r="D18" s="602">
        <v>444220</v>
      </c>
      <c r="E18" s="602">
        <v>1003</v>
      </c>
      <c r="F18" s="602">
        <v>833</v>
      </c>
      <c r="G18" s="602">
        <v>0</v>
      </c>
      <c r="I18" s="487">
        <v>1260</v>
      </c>
      <c r="J18" s="487">
        <v>15832.01</v>
      </c>
      <c r="K18" s="601">
        <v>13088.55</v>
      </c>
      <c r="L18" s="487"/>
      <c r="M18" s="487"/>
      <c r="N18" s="487">
        <v>-56.09</v>
      </c>
      <c r="O18" s="487">
        <f>SUM(I18:N18)</f>
        <v>30124.47</v>
      </c>
      <c r="Q18" s="487">
        <v>490</v>
      </c>
      <c r="R18" s="487">
        <v>38887.03</v>
      </c>
      <c r="S18" s="601">
        <v>0</v>
      </c>
      <c r="T18" s="487"/>
      <c r="U18" s="487"/>
      <c r="V18" s="487">
        <v>-56.09</v>
      </c>
      <c r="W18" s="487">
        <f>SUM(Q18:V18)</f>
        <v>39320.94</v>
      </c>
      <c r="Y18" s="601">
        <f>W18-O18</f>
        <v>9196.4700000000012</v>
      </c>
      <c r="Z18" s="487"/>
      <c r="AA18" s="487"/>
      <c r="AB18" s="601"/>
      <c r="AC18" s="487"/>
      <c r="AF18" s="487"/>
    </row>
    <row r="19" spans="1:32" s="439" customFormat="1">
      <c r="A19" s="443"/>
      <c r="B19" s="435" t="s">
        <v>757</v>
      </c>
      <c r="C19" s="462">
        <v>13718</v>
      </c>
      <c r="D19" s="602">
        <v>52856337</v>
      </c>
      <c r="E19" s="602">
        <v>0</v>
      </c>
      <c r="F19" s="602">
        <v>0</v>
      </c>
      <c r="G19" s="602">
        <v>0</v>
      </c>
      <c r="I19" s="487">
        <v>274360</v>
      </c>
      <c r="J19" s="487">
        <v>4627043.67</v>
      </c>
      <c r="K19" s="601">
        <v>0</v>
      </c>
      <c r="L19" s="487"/>
      <c r="M19" s="487"/>
      <c r="N19" s="487">
        <v>-2067.59</v>
      </c>
      <c r="O19" s="487">
        <f t="shared" ref="O19" si="20">SUM(I19:N19)</f>
        <v>4899336.08</v>
      </c>
      <c r="Q19" s="487">
        <v>480130</v>
      </c>
      <c r="R19" s="487">
        <v>4627043.67</v>
      </c>
      <c r="S19" s="601">
        <v>0</v>
      </c>
      <c r="T19" s="487"/>
      <c r="U19" s="487"/>
      <c r="V19" s="487">
        <v>-2067.59</v>
      </c>
      <c r="W19" s="487">
        <f t="shared" ref="W19" si="21">SUM(Q19:V19)</f>
        <v>5105106.08</v>
      </c>
      <c r="Y19" s="601">
        <f t="shared" ref="Y19" si="22">W19-O19</f>
        <v>205770</v>
      </c>
      <c r="Z19" s="487"/>
      <c r="AA19" s="487"/>
      <c r="AB19" s="601"/>
      <c r="AC19" s="487"/>
      <c r="AF19" s="487"/>
    </row>
    <row r="20" spans="1:32" s="439" customFormat="1">
      <c r="A20" s="435"/>
      <c r="B20" s="435" t="s">
        <v>203</v>
      </c>
      <c r="C20" s="462">
        <v>0</v>
      </c>
      <c r="D20" s="602">
        <v>0</v>
      </c>
      <c r="E20" s="602">
        <v>0</v>
      </c>
      <c r="F20" s="602">
        <v>0</v>
      </c>
      <c r="G20" s="602">
        <v>0</v>
      </c>
      <c r="I20" s="487">
        <v>0</v>
      </c>
      <c r="J20" s="487">
        <v>0</v>
      </c>
      <c r="K20" s="601">
        <v>0</v>
      </c>
      <c r="L20" s="487"/>
      <c r="M20" s="487"/>
      <c r="N20" s="487">
        <v>0</v>
      </c>
      <c r="O20" s="487">
        <f t="shared" si="17"/>
        <v>0</v>
      </c>
      <c r="Q20" s="487">
        <v>0</v>
      </c>
      <c r="R20" s="487">
        <v>0</v>
      </c>
      <c r="S20" s="601">
        <v>0</v>
      </c>
      <c r="T20" s="487"/>
      <c r="U20" s="487"/>
      <c r="V20" s="487">
        <v>0</v>
      </c>
      <c r="W20" s="487">
        <f t="shared" si="18"/>
        <v>0</v>
      </c>
      <c r="Y20" s="601">
        <f t="shared" si="19"/>
        <v>0</v>
      </c>
      <c r="Z20" s="487"/>
      <c r="AA20" s="487"/>
      <c r="AB20" s="601"/>
      <c r="AC20" s="487"/>
      <c r="AF20" s="487"/>
    </row>
    <row r="21" spans="1:32" s="439" customFormat="1">
      <c r="A21" s="435"/>
      <c r="B21" s="443" t="s">
        <v>14</v>
      </c>
      <c r="C21" s="602">
        <f>SUM(C22:C24)</f>
        <v>25</v>
      </c>
      <c r="D21" s="602">
        <f t="shared" ref="D21" si="23">SUM(D22:D24)</f>
        <v>17168</v>
      </c>
      <c r="E21" s="602">
        <f t="shared" ref="E21" si="24">SUM(E22:E24)</f>
        <v>0</v>
      </c>
      <c r="F21" s="602">
        <f t="shared" ref="F21" si="25">SUM(F22:F24)</f>
        <v>0</v>
      </c>
      <c r="G21" s="602">
        <f t="shared" ref="G21" si="26">SUM(G22:G24)</f>
        <v>0</v>
      </c>
      <c r="I21" s="487">
        <f t="shared" ref="I21" si="27">SUM(I22:I24)</f>
        <v>268.75</v>
      </c>
      <c r="J21" s="487">
        <f t="shared" ref="J21" si="28">SUM(J22:J24)</f>
        <v>1275.4000000000001</v>
      </c>
      <c r="K21" s="601">
        <f t="shared" ref="K21" si="29">SUM(K22:K24)</f>
        <v>0</v>
      </c>
      <c r="L21" s="487"/>
      <c r="M21" s="487"/>
      <c r="N21" s="487">
        <f t="shared" ref="N21" si="30">SUM(N22:N24)</f>
        <v>-6.6</v>
      </c>
      <c r="O21" s="487">
        <f t="shared" ref="O21" si="31">SUM(O22:O24)</f>
        <v>1537.55</v>
      </c>
      <c r="Q21" s="487">
        <f t="shared" ref="Q21" si="32">SUM(Q22:Q24)</f>
        <v>875</v>
      </c>
      <c r="R21" s="487">
        <f t="shared" ref="R21" si="33">SUM(R22:R24)</f>
        <v>1502.8899999999999</v>
      </c>
      <c r="S21" s="601">
        <f t="shared" ref="S21" si="34">SUM(S22:S24)</f>
        <v>0</v>
      </c>
      <c r="T21" s="487"/>
      <c r="U21" s="487"/>
      <c r="V21" s="487">
        <f t="shared" ref="V21" si="35">SUM(V22:V24)</f>
        <v>-6.6</v>
      </c>
      <c r="W21" s="487">
        <f t="shared" ref="W21" si="36">SUM(W22:W24)</f>
        <v>2371.29</v>
      </c>
      <c r="Y21" s="601">
        <f t="shared" si="19"/>
        <v>833.74</v>
      </c>
      <c r="Z21" s="487"/>
      <c r="AA21" s="487"/>
      <c r="AB21" s="601"/>
      <c r="AC21" s="487"/>
      <c r="AF21" s="487"/>
    </row>
    <row r="22" spans="1:32" s="439" customFormat="1">
      <c r="A22" s="443"/>
      <c r="B22" s="796" t="s">
        <v>1447</v>
      </c>
      <c r="C22" s="462">
        <v>18</v>
      </c>
      <c r="D22" s="602">
        <v>12921</v>
      </c>
      <c r="E22" s="602">
        <v>0</v>
      </c>
      <c r="F22" s="602">
        <v>0</v>
      </c>
      <c r="G22" s="602">
        <v>0</v>
      </c>
      <c r="I22" s="487">
        <v>193.5</v>
      </c>
      <c r="J22" s="487">
        <v>959.9</v>
      </c>
      <c r="K22" s="601">
        <v>0</v>
      </c>
      <c r="L22" s="487"/>
      <c r="M22" s="487"/>
      <c r="N22" s="487">
        <v>-5.14</v>
      </c>
      <c r="O22" s="487">
        <f t="shared" ref="O22" si="37">SUM(I22:N22)</f>
        <v>1148.26</v>
      </c>
      <c r="Q22" s="487">
        <v>630</v>
      </c>
      <c r="R22" s="487">
        <v>1131.1099999999999</v>
      </c>
      <c r="S22" s="601">
        <v>0</v>
      </c>
      <c r="T22" s="487"/>
      <c r="U22" s="487"/>
      <c r="V22" s="487">
        <v>-5.14</v>
      </c>
      <c r="W22" s="487">
        <f t="shared" ref="W22" si="38">SUM(Q22:V22)</f>
        <v>1755.9699999999998</v>
      </c>
      <c r="Y22" s="601">
        <f t="shared" ref="Y22" si="39">W22-O22</f>
        <v>607.70999999999981</v>
      </c>
      <c r="Z22" s="487"/>
      <c r="AA22" s="487"/>
      <c r="AB22" s="601"/>
      <c r="AC22" s="487"/>
      <c r="AF22" s="487"/>
    </row>
    <row r="23" spans="1:32" s="439" customFormat="1">
      <c r="A23" s="443"/>
      <c r="B23" s="796" t="s">
        <v>1448</v>
      </c>
      <c r="C23" s="462">
        <v>4</v>
      </c>
      <c r="D23" s="602">
        <v>4120</v>
      </c>
      <c r="E23" s="602">
        <v>0</v>
      </c>
      <c r="F23" s="602">
        <v>0</v>
      </c>
      <c r="G23" s="602">
        <v>0</v>
      </c>
      <c r="I23" s="487">
        <v>43</v>
      </c>
      <c r="J23" s="487">
        <v>306.07</v>
      </c>
      <c r="K23" s="601">
        <v>0</v>
      </c>
      <c r="L23" s="487"/>
      <c r="M23" s="487"/>
      <c r="N23" s="487">
        <v>-1.74</v>
      </c>
      <c r="O23" s="487">
        <f t="shared" si="17"/>
        <v>347.33</v>
      </c>
      <c r="Q23" s="487">
        <v>140</v>
      </c>
      <c r="R23" s="487">
        <v>360.66</v>
      </c>
      <c r="S23" s="601">
        <v>0</v>
      </c>
      <c r="T23" s="487"/>
      <c r="U23" s="487"/>
      <c r="V23" s="487">
        <v>-1.74</v>
      </c>
      <c r="W23" s="487">
        <f t="shared" si="18"/>
        <v>498.92</v>
      </c>
      <c r="Y23" s="601">
        <f t="shared" si="19"/>
        <v>151.59000000000003</v>
      </c>
      <c r="Z23" s="487"/>
      <c r="AA23" s="487"/>
      <c r="AB23" s="601"/>
      <c r="AC23" s="487"/>
      <c r="AF23" s="487"/>
    </row>
    <row r="24" spans="1:32" s="439" customFormat="1">
      <c r="A24" s="435"/>
      <c r="B24" s="796" t="s">
        <v>1450</v>
      </c>
      <c r="C24" s="602">
        <v>3</v>
      </c>
      <c r="D24" s="602">
        <v>127</v>
      </c>
      <c r="E24" s="602"/>
      <c r="F24" s="602"/>
      <c r="G24" s="602"/>
      <c r="I24" s="487">
        <v>32.25</v>
      </c>
      <c r="J24" s="487">
        <v>9.43</v>
      </c>
      <c r="K24" s="601">
        <v>0</v>
      </c>
      <c r="L24" s="487"/>
      <c r="M24" s="487"/>
      <c r="N24" s="487">
        <v>0.28000000000000003</v>
      </c>
      <c r="O24" s="487">
        <f t="shared" si="17"/>
        <v>41.96</v>
      </c>
      <c r="Q24" s="487">
        <v>105</v>
      </c>
      <c r="R24" s="487">
        <v>11.12</v>
      </c>
      <c r="S24" s="601"/>
      <c r="T24" s="487"/>
      <c r="U24" s="487"/>
      <c r="V24" s="487">
        <v>0.28000000000000003</v>
      </c>
      <c r="W24" s="487">
        <f t="shared" si="18"/>
        <v>116.4</v>
      </c>
      <c r="Y24" s="601">
        <f t="shared" si="19"/>
        <v>74.44</v>
      </c>
      <c r="Z24" s="487"/>
      <c r="AA24" s="487"/>
      <c r="AB24" s="601"/>
      <c r="AC24" s="487"/>
      <c r="AF24" s="487"/>
    </row>
    <row r="25" spans="1:32" s="439" customFormat="1">
      <c r="A25" s="435"/>
      <c r="B25" s="528"/>
      <c r="C25" s="602">
        <f>SUM(C17:C21)</f>
        <v>15194</v>
      </c>
      <c r="D25" s="602">
        <f t="shared" ref="D25:F25" si="40">SUM(D17:D21)</f>
        <v>67293909</v>
      </c>
      <c r="E25" s="602">
        <f t="shared" si="40"/>
        <v>31625</v>
      </c>
      <c r="F25" s="602">
        <f t="shared" si="40"/>
        <v>42897</v>
      </c>
      <c r="G25" s="602">
        <f>SUM(G17:G24)</f>
        <v>0</v>
      </c>
      <c r="I25" s="601">
        <f>SUM(I17:I21)</f>
        <v>405218.75</v>
      </c>
      <c r="J25" s="601">
        <f>SUM(J17:J21)</f>
        <v>5142262.2700000005</v>
      </c>
      <c r="K25" s="601">
        <f>SUM(K17:K21)</f>
        <v>580978.22000000009</v>
      </c>
      <c r="L25" s="487"/>
      <c r="M25" s="487"/>
      <c r="N25" s="601">
        <f>SUM(N17:N21)</f>
        <v>-5895.2800000000007</v>
      </c>
      <c r="O25" s="601">
        <f>SUM(O17:O21)</f>
        <v>6122563.96</v>
      </c>
      <c r="Q25" s="601">
        <f>SUM(Q17:Q21)</f>
        <v>531790</v>
      </c>
      <c r="R25" s="601">
        <f>SUM(R17:R21)</f>
        <v>5890908.6499999994</v>
      </c>
      <c r="S25" s="601">
        <f>SUM(S17:S21)</f>
        <v>0</v>
      </c>
      <c r="T25" s="487"/>
      <c r="U25" s="601"/>
      <c r="V25" s="601">
        <f>SUM(V17:V21)</f>
        <v>-5895.2800000000007</v>
      </c>
      <c r="W25" s="601">
        <f>SUM(W17:W21)</f>
        <v>6416803.3700000001</v>
      </c>
      <c r="Y25" s="601">
        <f>SUM(Y17:Y21)</f>
        <v>294239.41000000015</v>
      </c>
      <c r="Z25" s="487"/>
      <c r="AA25" s="487"/>
      <c r="AB25" s="487"/>
      <c r="AF25" s="487"/>
    </row>
    <row r="26" spans="1:32">
      <c r="A26" s="258"/>
      <c r="B26" s="258"/>
      <c r="C26" s="260"/>
      <c r="D26" s="224"/>
      <c r="E26" s="224"/>
      <c r="F26" s="224"/>
      <c r="G26" s="224"/>
      <c r="I26" s="256"/>
      <c r="J26" s="256"/>
      <c r="K26" s="257"/>
      <c r="L26" s="257"/>
      <c r="M26" s="256"/>
      <c r="N26" s="257"/>
      <c r="O26" s="256"/>
      <c r="Q26" s="256"/>
      <c r="R26" s="256"/>
      <c r="S26" s="257"/>
      <c r="T26" s="257"/>
      <c r="U26" s="256"/>
      <c r="V26" s="257"/>
      <c r="W26" s="256"/>
      <c r="AF26" s="256"/>
    </row>
    <row r="27" spans="1:32" s="439" customFormat="1">
      <c r="A27" s="457" t="s">
        <v>174</v>
      </c>
      <c r="B27" s="799" t="s">
        <v>757</v>
      </c>
      <c r="C27" s="462">
        <v>1102</v>
      </c>
      <c r="D27" s="602">
        <v>283705</v>
      </c>
      <c r="E27" s="602">
        <v>0</v>
      </c>
      <c r="F27" s="602">
        <v>0</v>
      </c>
      <c r="G27" s="602">
        <v>0</v>
      </c>
      <c r="I27" s="487">
        <v>22040</v>
      </c>
      <c r="J27" s="487">
        <v>24835.58</v>
      </c>
      <c r="K27" s="601">
        <v>0</v>
      </c>
      <c r="L27" s="487"/>
      <c r="M27" s="487"/>
      <c r="N27" s="487">
        <v>-98.09</v>
      </c>
      <c r="O27" s="487">
        <f>SUM(I27:N27)</f>
        <v>46777.490000000005</v>
      </c>
      <c r="Q27" s="487">
        <v>11846.5</v>
      </c>
      <c r="R27" s="487">
        <v>21076.33</v>
      </c>
      <c r="S27" s="601">
        <v>0</v>
      </c>
      <c r="T27" s="487"/>
      <c r="U27" s="487"/>
      <c r="V27" s="487">
        <v>-98.09</v>
      </c>
      <c r="W27" s="487">
        <f>SUM(Q27:V27)</f>
        <v>32824.740000000005</v>
      </c>
      <c r="Y27" s="601">
        <f>W27-O27</f>
        <v>-13952.75</v>
      </c>
      <c r="Z27" s="487"/>
      <c r="AA27" s="487"/>
      <c r="AB27" s="601"/>
      <c r="AC27" s="487"/>
      <c r="AF27" s="487"/>
    </row>
    <row r="28" spans="1:32" s="439" customFormat="1">
      <c r="A28" s="443" t="s">
        <v>14</v>
      </c>
      <c r="B28" s="435" t="s">
        <v>17</v>
      </c>
      <c r="C28" s="462">
        <v>11</v>
      </c>
      <c r="D28" s="602">
        <v>25757</v>
      </c>
      <c r="E28" s="602">
        <v>0</v>
      </c>
      <c r="F28" s="602">
        <v>0</v>
      </c>
      <c r="G28" s="602">
        <v>0</v>
      </c>
      <c r="I28" s="487">
        <v>385</v>
      </c>
      <c r="J28" s="487">
        <v>2254.77</v>
      </c>
      <c r="K28" s="601">
        <v>0</v>
      </c>
      <c r="L28" s="487"/>
      <c r="M28" s="487"/>
      <c r="N28" s="487">
        <v>-19.690000000000001</v>
      </c>
      <c r="O28" s="487">
        <f t="shared" ref="O28" si="41">SUM(I28:N28)</f>
        <v>2620.08</v>
      </c>
      <c r="Q28" s="487">
        <v>118.25</v>
      </c>
      <c r="R28" s="487">
        <v>1913.49</v>
      </c>
      <c r="S28" s="601">
        <v>0</v>
      </c>
      <c r="T28" s="487"/>
      <c r="U28" s="487"/>
      <c r="V28" s="487">
        <v>-19.690000000000001</v>
      </c>
      <c r="W28" s="487">
        <f t="shared" ref="W28:W32" si="42">SUM(Q28:V28)</f>
        <v>2012.05</v>
      </c>
      <c r="Y28" s="601">
        <f t="shared" ref="Y28:Y32" si="43">W28-O28</f>
        <v>-608.03</v>
      </c>
      <c r="Z28" s="487"/>
      <c r="AA28" s="487"/>
      <c r="AB28" s="601"/>
      <c r="AC28" s="487"/>
      <c r="AF28" s="487"/>
    </row>
    <row r="29" spans="1:32" s="439" customFormat="1">
      <c r="A29" s="435"/>
      <c r="B29" s="443" t="s">
        <v>14</v>
      </c>
      <c r="C29" s="602">
        <f>SUM(C30:C32)</f>
        <v>46</v>
      </c>
      <c r="D29" s="602">
        <f t="shared" ref="D29" si="44">SUM(D30:D32)</f>
        <v>71756</v>
      </c>
      <c r="E29" s="602">
        <f t="shared" ref="E29" si="45">SUM(E30:E32)</f>
        <v>0</v>
      </c>
      <c r="F29" s="602">
        <f t="shared" ref="F29" si="46">SUM(F30:F32)</f>
        <v>0</v>
      </c>
      <c r="G29" s="602">
        <f t="shared" ref="G29" si="47">SUM(G30:G32)</f>
        <v>0</v>
      </c>
      <c r="I29" s="487">
        <f t="shared" ref="I29" si="48">SUM(I30:I32)</f>
        <v>494.5</v>
      </c>
      <c r="J29" s="487">
        <f t="shared" ref="J29" si="49">SUM(J30:J32)</f>
        <v>5330.75</v>
      </c>
      <c r="K29" s="601">
        <f t="shared" ref="K29" si="50">SUM(K30:K32)</f>
        <v>0</v>
      </c>
      <c r="L29" s="487"/>
      <c r="M29" s="487"/>
      <c r="N29" s="487">
        <f t="shared" ref="N29" si="51">SUM(N30:N32)</f>
        <v>5.3599999999999968</v>
      </c>
      <c r="O29" s="487">
        <f t="shared" ref="O29" si="52">SUM(O30:O32)</f>
        <v>5830.6100000000006</v>
      </c>
      <c r="Q29" s="487">
        <f t="shared" ref="Q29" si="53">SUM(Q30:Q32)</f>
        <v>494.5</v>
      </c>
      <c r="R29" s="487">
        <f t="shared" ref="R29" si="54">SUM(R30:R32)</f>
        <v>5330.75</v>
      </c>
      <c r="S29" s="601">
        <f t="shared" ref="S29" si="55">SUM(S30:S32)</f>
        <v>0</v>
      </c>
      <c r="T29" s="487"/>
      <c r="U29" s="487"/>
      <c r="V29" s="487">
        <f t="shared" ref="V29" si="56">SUM(V30:V32)</f>
        <v>5.3599999999999968</v>
      </c>
      <c r="W29" s="487">
        <f t="shared" ref="W29" si="57">SUM(W30:W32)</f>
        <v>5830.6100000000006</v>
      </c>
      <c r="Y29" s="601">
        <f t="shared" ref="Y29:Y31" si="58">W29-O29</f>
        <v>0</v>
      </c>
      <c r="Z29" s="487"/>
      <c r="AA29" s="487"/>
      <c r="AB29" s="601"/>
      <c r="AC29" s="487"/>
      <c r="AF29" s="487"/>
    </row>
    <row r="30" spans="1:32" s="439" customFormat="1">
      <c r="A30" s="443"/>
      <c r="B30" s="800" t="s">
        <v>1447</v>
      </c>
      <c r="C30" s="462">
        <v>17</v>
      </c>
      <c r="D30" s="602">
        <v>21566</v>
      </c>
      <c r="E30" s="602">
        <v>0</v>
      </c>
      <c r="F30" s="602">
        <v>0</v>
      </c>
      <c r="G30" s="602">
        <v>0</v>
      </c>
      <c r="I30" s="487">
        <v>182.75</v>
      </c>
      <c r="J30" s="487">
        <v>1602.14</v>
      </c>
      <c r="K30" s="601">
        <v>0</v>
      </c>
      <c r="L30" s="487"/>
      <c r="M30" s="487"/>
      <c r="N30" s="487">
        <v>22.58</v>
      </c>
      <c r="O30" s="487">
        <f t="shared" ref="O30:O32" si="59">SUM(I30:N30)</f>
        <v>1807.47</v>
      </c>
      <c r="Q30" s="487">
        <v>182.75</v>
      </c>
      <c r="R30" s="487">
        <v>1602.14</v>
      </c>
      <c r="S30" s="601">
        <v>0</v>
      </c>
      <c r="T30" s="487"/>
      <c r="U30" s="487"/>
      <c r="V30" s="487">
        <v>22.58</v>
      </c>
      <c r="W30" s="487">
        <f t="shared" ref="W30:W31" si="60">SUM(Q30:V30)</f>
        <v>1807.47</v>
      </c>
      <c r="Y30" s="601">
        <f t="shared" si="58"/>
        <v>0</v>
      </c>
      <c r="Z30" s="487"/>
      <c r="AA30" s="487"/>
      <c r="AB30" s="601"/>
      <c r="AC30" s="487"/>
      <c r="AF30" s="487"/>
    </row>
    <row r="31" spans="1:32" s="439" customFormat="1">
      <c r="A31" s="443"/>
      <c r="B31" s="800" t="s">
        <v>1448</v>
      </c>
      <c r="C31" s="462">
        <v>7</v>
      </c>
      <c r="D31" s="602">
        <v>12422</v>
      </c>
      <c r="E31" s="602">
        <v>0</v>
      </c>
      <c r="F31" s="602">
        <v>0</v>
      </c>
      <c r="G31" s="602">
        <v>0</v>
      </c>
      <c r="I31" s="487">
        <v>75.25</v>
      </c>
      <c r="J31" s="487">
        <v>922.83</v>
      </c>
      <c r="K31" s="601">
        <v>0</v>
      </c>
      <c r="L31" s="487"/>
      <c r="M31" s="487"/>
      <c r="N31" s="487">
        <v>-18.760000000000002</v>
      </c>
      <c r="O31" s="487">
        <f t="shared" si="59"/>
        <v>979.32</v>
      </c>
      <c r="Q31" s="487">
        <v>75.25</v>
      </c>
      <c r="R31" s="487">
        <v>922.83</v>
      </c>
      <c r="S31" s="601">
        <v>0</v>
      </c>
      <c r="T31" s="487"/>
      <c r="U31" s="487"/>
      <c r="V31" s="487">
        <v>-18.760000000000002</v>
      </c>
      <c r="W31" s="487">
        <f t="shared" si="60"/>
        <v>979.32</v>
      </c>
      <c r="Y31" s="601">
        <f t="shared" si="58"/>
        <v>0</v>
      </c>
      <c r="Z31" s="487"/>
      <c r="AA31" s="487"/>
      <c r="AB31" s="601"/>
      <c r="AC31" s="487"/>
      <c r="AF31" s="487"/>
    </row>
    <row r="32" spans="1:32" s="439" customFormat="1">
      <c r="A32" s="443"/>
      <c r="B32" s="800" t="s">
        <v>1450</v>
      </c>
      <c r="C32" s="462">
        <v>22</v>
      </c>
      <c r="D32" s="602">
        <v>37768</v>
      </c>
      <c r="E32" s="602">
        <v>0</v>
      </c>
      <c r="F32" s="602">
        <v>0</v>
      </c>
      <c r="G32" s="602">
        <v>0</v>
      </c>
      <c r="I32" s="487">
        <v>236.5</v>
      </c>
      <c r="J32" s="487">
        <v>2805.78</v>
      </c>
      <c r="K32" s="601">
        <v>0</v>
      </c>
      <c r="L32" s="487"/>
      <c r="M32" s="487"/>
      <c r="N32" s="487">
        <v>1.54</v>
      </c>
      <c r="O32" s="487">
        <f t="shared" si="59"/>
        <v>3043.82</v>
      </c>
      <c r="Q32" s="487">
        <v>236.5</v>
      </c>
      <c r="R32" s="487">
        <v>2805.78</v>
      </c>
      <c r="S32" s="601">
        <v>0</v>
      </c>
      <c r="T32" s="487"/>
      <c r="U32" s="487"/>
      <c r="V32" s="487">
        <v>1.54</v>
      </c>
      <c r="W32" s="487">
        <f t="shared" si="42"/>
        <v>3043.82</v>
      </c>
      <c r="Y32" s="601">
        <f t="shared" si="43"/>
        <v>0</v>
      </c>
      <c r="Z32" s="487"/>
      <c r="AA32" s="487"/>
      <c r="AB32" s="601"/>
      <c r="AC32" s="487"/>
      <c r="AF32" s="487"/>
    </row>
    <row r="33" spans="1:32">
      <c r="A33" s="258"/>
      <c r="B33" s="293"/>
      <c r="C33" s="602">
        <f t="shared" ref="C33:G33" si="61">SUM(C27:C29)</f>
        <v>1159</v>
      </c>
      <c r="D33" s="602">
        <f t="shared" si="61"/>
        <v>381218</v>
      </c>
      <c r="E33" s="602">
        <f t="shared" si="61"/>
        <v>0</v>
      </c>
      <c r="F33" s="602">
        <f t="shared" si="61"/>
        <v>0</v>
      </c>
      <c r="G33" s="602">
        <f t="shared" si="61"/>
        <v>0</v>
      </c>
      <c r="I33" s="601">
        <f>SUM(I27:I29)</f>
        <v>22919.5</v>
      </c>
      <c r="J33" s="601">
        <f>SUM(J27:J29)</f>
        <v>32421.100000000002</v>
      </c>
      <c r="K33" s="601">
        <f>SUM(K27:K29)</f>
        <v>0</v>
      </c>
      <c r="L33" s="256"/>
      <c r="M33" s="257"/>
      <c r="N33" s="601">
        <f>SUM(N27:N29)</f>
        <v>-112.42</v>
      </c>
      <c r="O33" s="601">
        <f>SUM(O27:O29)</f>
        <v>55228.180000000008</v>
      </c>
      <c r="Q33" s="601">
        <f>SUM(Q27:Q29)</f>
        <v>12459.25</v>
      </c>
      <c r="R33" s="601">
        <f>SUM(R27:R29)</f>
        <v>28320.570000000003</v>
      </c>
      <c r="S33" s="601">
        <f>SUM(S27:S29)</f>
        <v>0</v>
      </c>
      <c r="T33" s="256"/>
      <c r="U33" s="257"/>
      <c r="V33" s="601">
        <f>SUM(V27:V29)</f>
        <v>-112.42</v>
      </c>
      <c r="W33" s="601">
        <f>SUM(W27:W29)</f>
        <v>40667.400000000009</v>
      </c>
      <c r="Y33" s="601">
        <f>SUM(Y27:Y29)</f>
        <v>-14560.78</v>
      </c>
      <c r="AF33" s="256"/>
    </row>
    <row r="34" spans="1:32">
      <c r="A34" s="258"/>
      <c r="B34" s="258"/>
      <c r="C34" s="260"/>
      <c r="D34" s="224"/>
      <c r="E34" s="224"/>
      <c r="F34" s="224"/>
      <c r="G34" s="224"/>
      <c r="O34" s="256"/>
      <c r="U34" s="256"/>
      <c r="W34" s="256"/>
      <c r="AF34" s="256"/>
    </row>
    <row r="35" spans="1:32" s="439" customFormat="1">
      <c r="A35" s="457" t="s">
        <v>175</v>
      </c>
      <c r="B35" s="799" t="s">
        <v>757</v>
      </c>
      <c r="C35" s="462">
        <v>28</v>
      </c>
      <c r="D35" s="602">
        <v>46946</v>
      </c>
      <c r="E35" s="602">
        <v>0</v>
      </c>
      <c r="F35" s="602">
        <v>0</v>
      </c>
      <c r="G35" s="602">
        <v>0</v>
      </c>
      <c r="I35" s="487">
        <v>560</v>
      </c>
      <c r="J35" s="487">
        <v>4109.66</v>
      </c>
      <c r="K35" s="601">
        <v>0</v>
      </c>
      <c r="L35" s="487"/>
      <c r="M35" s="487"/>
      <c r="N35" s="487">
        <v>-38.65</v>
      </c>
      <c r="O35" s="487">
        <f t="shared" ref="O35:O39" si="62">SUM(I35:N35)</f>
        <v>4631.01</v>
      </c>
      <c r="Q35" s="487">
        <v>301</v>
      </c>
      <c r="R35" s="487">
        <v>3487.62</v>
      </c>
      <c r="S35" s="601">
        <v>0</v>
      </c>
      <c r="T35" s="487"/>
      <c r="U35" s="487"/>
      <c r="V35" s="487">
        <v>-38.65</v>
      </c>
      <c r="W35" s="487">
        <f t="shared" ref="W35:W39" si="63">SUM(Q35:V35)</f>
        <v>3749.97</v>
      </c>
      <c r="Y35" s="601">
        <f t="shared" ref="Y35:Y39" si="64">W35-O35</f>
        <v>-881.04000000000042</v>
      </c>
      <c r="Z35" s="487"/>
      <c r="AA35" s="487"/>
      <c r="AB35" s="601"/>
      <c r="AC35" s="487"/>
      <c r="AF35" s="487"/>
    </row>
    <row r="36" spans="1:32" s="439" customFormat="1">
      <c r="A36" s="443" t="s">
        <v>14</v>
      </c>
      <c r="B36" s="443" t="s">
        <v>14</v>
      </c>
      <c r="C36" s="602">
        <f>SUM(C37:C39)</f>
        <v>30</v>
      </c>
      <c r="D36" s="602">
        <f t="shared" ref="D36" si="65">SUM(D37:D39)</f>
        <v>33101</v>
      </c>
      <c r="E36" s="602">
        <f t="shared" ref="E36" si="66">SUM(E37:E39)</f>
        <v>0</v>
      </c>
      <c r="F36" s="602">
        <f t="shared" ref="F36" si="67">SUM(F37:F39)</f>
        <v>0</v>
      </c>
      <c r="G36" s="602">
        <f t="shared" ref="G36" si="68">SUM(G37:G39)</f>
        <v>0</v>
      </c>
      <c r="I36" s="487">
        <f t="shared" ref="I36" si="69">SUM(I37:I39)</f>
        <v>322.5</v>
      </c>
      <c r="J36" s="487">
        <f t="shared" ref="J36" si="70">SUM(J37:J39)</f>
        <v>2459.08</v>
      </c>
      <c r="K36" s="601">
        <f t="shared" ref="K36" si="71">SUM(K37:K39)</f>
        <v>0</v>
      </c>
      <c r="L36" s="487"/>
      <c r="M36" s="487"/>
      <c r="N36" s="487">
        <f t="shared" ref="N36" si="72">SUM(N37:N39)</f>
        <v>6.370000000000001</v>
      </c>
      <c r="O36" s="487">
        <f t="shared" ref="O36" si="73">SUM(O37:O39)</f>
        <v>2787.95</v>
      </c>
      <c r="Q36" s="487">
        <f t="shared" ref="Q36" si="74">SUM(Q37:Q39)</f>
        <v>322.5</v>
      </c>
      <c r="R36" s="487">
        <f t="shared" ref="R36" si="75">SUM(R37:R39)</f>
        <v>2459.08</v>
      </c>
      <c r="S36" s="601">
        <f t="shared" ref="S36" si="76">SUM(S37:S39)</f>
        <v>0</v>
      </c>
      <c r="T36" s="487"/>
      <c r="U36" s="487"/>
      <c r="V36" s="487">
        <f t="shared" ref="V36" si="77">SUM(V37:V39)</f>
        <v>6.370000000000001</v>
      </c>
      <c r="W36" s="487">
        <f t="shared" ref="W36" si="78">SUM(W37:W39)</f>
        <v>2787.95</v>
      </c>
      <c r="Y36" s="601">
        <f t="shared" si="64"/>
        <v>0</v>
      </c>
      <c r="Z36" s="487"/>
      <c r="AA36" s="487"/>
      <c r="AB36" s="601"/>
      <c r="AC36" s="487"/>
      <c r="AF36" s="487"/>
    </row>
    <row r="37" spans="1:32" s="439" customFormat="1">
      <c r="A37" s="443"/>
      <c r="B37" s="800" t="s">
        <v>1447</v>
      </c>
      <c r="C37" s="462">
        <v>0</v>
      </c>
      <c r="D37" s="602">
        <v>0</v>
      </c>
      <c r="E37" s="602">
        <v>0</v>
      </c>
      <c r="F37" s="602">
        <v>0</v>
      </c>
      <c r="G37" s="602">
        <v>0</v>
      </c>
      <c r="I37" s="487">
        <v>0</v>
      </c>
      <c r="J37" s="487">
        <v>0</v>
      </c>
      <c r="K37" s="601">
        <v>0</v>
      </c>
      <c r="L37" s="487"/>
      <c r="M37" s="487"/>
      <c r="N37" s="487">
        <v>0</v>
      </c>
      <c r="O37" s="487">
        <f t="shared" si="62"/>
        <v>0</v>
      </c>
      <c r="Q37" s="487">
        <v>0</v>
      </c>
      <c r="R37" s="487">
        <v>0</v>
      </c>
      <c r="S37" s="601">
        <v>0</v>
      </c>
      <c r="T37" s="487"/>
      <c r="U37" s="487"/>
      <c r="V37" s="487">
        <v>0</v>
      </c>
      <c r="W37" s="487">
        <f t="shared" si="63"/>
        <v>0</v>
      </c>
      <c r="Y37" s="601">
        <f t="shared" si="64"/>
        <v>0</v>
      </c>
      <c r="Z37" s="487"/>
      <c r="AA37" s="487"/>
      <c r="AB37" s="601"/>
      <c r="AC37" s="487"/>
      <c r="AF37" s="487"/>
    </row>
    <row r="38" spans="1:32" s="439" customFormat="1">
      <c r="A38" s="443"/>
      <c r="B38" s="800" t="s">
        <v>1448</v>
      </c>
      <c r="C38" s="462">
        <v>12</v>
      </c>
      <c r="D38" s="602">
        <v>18224</v>
      </c>
      <c r="E38" s="602">
        <v>0</v>
      </c>
      <c r="F38" s="602">
        <v>0</v>
      </c>
      <c r="G38" s="602">
        <v>0</v>
      </c>
      <c r="I38" s="487">
        <v>129</v>
      </c>
      <c r="J38" s="487">
        <v>1353.86</v>
      </c>
      <c r="K38" s="601">
        <v>0</v>
      </c>
      <c r="L38" s="487"/>
      <c r="M38" s="487"/>
      <c r="N38" s="487">
        <v>-2.94</v>
      </c>
      <c r="O38" s="487">
        <f t="shared" si="62"/>
        <v>1479.9199999999998</v>
      </c>
      <c r="Q38" s="487">
        <v>129</v>
      </c>
      <c r="R38" s="487">
        <v>1353.86</v>
      </c>
      <c r="S38" s="601">
        <v>0</v>
      </c>
      <c r="T38" s="487"/>
      <c r="U38" s="487"/>
      <c r="V38" s="487">
        <v>-2.94</v>
      </c>
      <c r="W38" s="487">
        <f t="shared" si="63"/>
        <v>1479.9199999999998</v>
      </c>
      <c r="Y38" s="601">
        <f t="shared" si="64"/>
        <v>0</v>
      </c>
      <c r="Z38" s="487"/>
      <c r="AA38" s="487"/>
      <c r="AB38" s="601"/>
      <c r="AC38" s="487"/>
      <c r="AF38" s="487"/>
    </row>
    <row r="39" spans="1:32" s="439" customFormat="1">
      <c r="A39" s="443"/>
      <c r="B39" s="800" t="s">
        <v>1450</v>
      </c>
      <c r="C39" s="462">
        <v>18</v>
      </c>
      <c r="D39" s="602">
        <v>14877</v>
      </c>
      <c r="E39" s="602">
        <v>0</v>
      </c>
      <c r="F39" s="602">
        <v>0</v>
      </c>
      <c r="G39" s="602">
        <v>0</v>
      </c>
      <c r="I39" s="487">
        <v>193.5</v>
      </c>
      <c r="J39" s="487">
        <v>1105.22</v>
      </c>
      <c r="K39" s="601">
        <v>0</v>
      </c>
      <c r="L39" s="487"/>
      <c r="M39" s="487"/>
      <c r="N39" s="487">
        <v>9.31</v>
      </c>
      <c r="O39" s="487">
        <f t="shared" si="62"/>
        <v>1308.03</v>
      </c>
      <c r="Q39" s="487">
        <v>193.5</v>
      </c>
      <c r="R39" s="487">
        <v>1105.22</v>
      </c>
      <c r="S39" s="601">
        <v>0</v>
      </c>
      <c r="T39" s="487"/>
      <c r="U39" s="487"/>
      <c r="V39" s="487">
        <v>9.31</v>
      </c>
      <c r="W39" s="487">
        <f t="shared" si="63"/>
        <v>1308.03</v>
      </c>
      <c r="Y39" s="601">
        <f t="shared" si="64"/>
        <v>0</v>
      </c>
      <c r="Z39" s="487"/>
      <c r="AA39" s="487"/>
      <c r="AB39" s="601"/>
      <c r="AC39" s="487"/>
      <c r="AF39" s="487"/>
    </row>
    <row r="40" spans="1:32">
      <c r="A40" s="258"/>
      <c r="B40" s="293"/>
      <c r="C40" s="224">
        <f t="shared" ref="C40:G40" si="79">SUM(C35:C36)</f>
        <v>58</v>
      </c>
      <c r="D40" s="224">
        <f t="shared" si="79"/>
        <v>80047</v>
      </c>
      <c r="E40" s="224">
        <f t="shared" si="79"/>
        <v>0</v>
      </c>
      <c r="F40" s="224">
        <f t="shared" si="79"/>
        <v>0</v>
      </c>
      <c r="G40" s="224">
        <f t="shared" si="79"/>
        <v>0</v>
      </c>
      <c r="I40" s="601">
        <f>SUM(I35:I36)</f>
        <v>882.5</v>
      </c>
      <c r="J40" s="601">
        <f>SUM(J35:J36)</f>
        <v>6568.74</v>
      </c>
      <c r="K40" s="601">
        <f>SUM(K35:K36)</f>
        <v>0</v>
      </c>
      <c r="L40" s="256"/>
      <c r="M40" s="257"/>
      <c r="N40" s="601">
        <f>SUM(N35:N36)</f>
        <v>-32.28</v>
      </c>
      <c r="O40" s="601">
        <f>SUM(O35:O36)</f>
        <v>7418.96</v>
      </c>
      <c r="Q40" s="601">
        <f>SUM(Q35:Q36)</f>
        <v>623.5</v>
      </c>
      <c r="R40" s="601">
        <f>SUM(R35:R36)</f>
        <v>5946.7</v>
      </c>
      <c r="S40" s="601">
        <f>SUM(S35:S36)</f>
        <v>0</v>
      </c>
      <c r="T40" s="256"/>
      <c r="U40" s="257"/>
      <c r="V40" s="601">
        <f>SUM(V35:V36)</f>
        <v>-32.28</v>
      </c>
      <c r="W40" s="601">
        <f>SUM(W35:W36)</f>
        <v>6537.92</v>
      </c>
      <c r="Y40" s="601">
        <f>SUM(Y35:Y36)</f>
        <v>-881.04000000000042</v>
      </c>
      <c r="AF40" s="256"/>
    </row>
    <row r="41" spans="1:32">
      <c r="A41" s="258"/>
      <c r="B41" s="258"/>
      <c r="C41" s="260"/>
      <c r="D41" s="224"/>
      <c r="E41" s="224"/>
      <c r="F41" s="224"/>
      <c r="G41" s="224"/>
      <c r="O41" s="256"/>
      <c r="U41" s="256"/>
      <c r="W41" s="256"/>
      <c r="AF41" s="256"/>
    </row>
    <row r="42" spans="1:32" s="439" customFormat="1">
      <c r="A42" s="818" t="s">
        <v>176</v>
      </c>
      <c r="B42" s="799" t="s">
        <v>17</v>
      </c>
      <c r="C42" s="462">
        <v>1</v>
      </c>
      <c r="D42" s="602">
        <v>0</v>
      </c>
      <c r="E42" s="602">
        <v>0</v>
      </c>
      <c r="F42" s="602">
        <v>0</v>
      </c>
      <c r="G42" s="602">
        <v>0</v>
      </c>
      <c r="I42" s="487">
        <v>35</v>
      </c>
      <c r="J42" s="487">
        <v>0</v>
      </c>
      <c r="K42" s="601">
        <v>0</v>
      </c>
      <c r="L42" s="487"/>
      <c r="M42" s="487"/>
      <c r="N42" s="487">
        <v>0</v>
      </c>
      <c r="O42" s="487">
        <f>SUM(I42:N42)</f>
        <v>35</v>
      </c>
      <c r="Q42" s="487">
        <v>10.75</v>
      </c>
      <c r="R42" s="487">
        <v>0</v>
      </c>
      <c r="S42" s="601">
        <v>0</v>
      </c>
      <c r="T42" s="487"/>
      <c r="U42" s="487"/>
      <c r="V42" s="487">
        <v>0</v>
      </c>
      <c r="W42" s="487">
        <f>SUM(Q42:V42)</f>
        <v>10.75</v>
      </c>
      <c r="Y42" s="601">
        <f t="shared" ref="Y42" si="80">W42-O42</f>
        <v>-24.25</v>
      </c>
      <c r="Z42" s="487"/>
      <c r="AA42" s="487"/>
      <c r="AB42" s="601"/>
      <c r="AC42" s="487"/>
      <c r="AF42" s="487"/>
    </row>
    <row r="43" spans="1:32" s="439" customFormat="1">
      <c r="A43" s="435" t="s">
        <v>1451</v>
      </c>
      <c r="B43" s="435"/>
      <c r="C43" s="462"/>
      <c r="D43" s="462"/>
      <c r="E43" s="462"/>
      <c r="F43" s="462"/>
      <c r="G43" s="462"/>
      <c r="AF43" s="487"/>
    </row>
    <row r="44" spans="1:32">
      <c r="C44" s="260"/>
      <c r="D44" s="260"/>
      <c r="E44" s="260"/>
      <c r="F44" s="260"/>
      <c r="G44" s="260"/>
      <c r="AF44" s="256"/>
    </row>
    <row r="45" spans="1:32" s="439" customFormat="1">
      <c r="A45" s="457" t="s">
        <v>177</v>
      </c>
      <c r="B45" s="798" t="s">
        <v>757</v>
      </c>
      <c r="C45" s="462">
        <v>11</v>
      </c>
      <c r="D45" s="602">
        <v>55718</v>
      </c>
      <c r="E45" s="602">
        <v>0</v>
      </c>
      <c r="F45" s="602">
        <v>0</v>
      </c>
      <c r="G45" s="602">
        <v>0</v>
      </c>
      <c r="I45" s="487">
        <v>220</v>
      </c>
      <c r="J45" s="487">
        <v>4877.55</v>
      </c>
      <c r="K45" s="601">
        <v>0</v>
      </c>
      <c r="L45" s="487"/>
      <c r="M45" s="487"/>
      <c r="N45" s="487">
        <v>-79.709999999999994</v>
      </c>
      <c r="O45" s="487">
        <f>SUM(I45:N45)</f>
        <v>5017.84</v>
      </c>
      <c r="Q45" s="487">
        <v>118.25</v>
      </c>
      <c r="R45" s="487">
        <v>4139.29</v>
      </c>
      <c r="S45" s="601">
        <v>0</v>
      </c>
      <c r="T45" s="487"/>
      <c r="U45" s="487"/>
      <c r="V45" s="487">
        <v>-79.709999999999994</v>
      </c>
      <c r="W45" s="487">
        <f>SUM(Q45:V45)</f>
        <v>4177.83</v>
      </c>
      <c r="Y45" s="601">
        <f t="shared" ref="Y45" si="81">W45-O45</f>
        <v>-840.01000000000022</v>
      </c>
      <c r="Z45" s="487"/>
      <c r="AA45" s="487"/>
      <c r="AB45" s="601"/>
      <c r="AC45" s="487"/>
      <c r="AF45" s="487"/>
    </row>
    <row r="46" spans="1:32" s="439" customFormat="1">
      <c r="A46" s="435" t="s">
        <v>831</v>
      </c>
      <c r="B46" s="435"/>
      <c r="C46" s="462"/>
      <c r="D46" s="462"/>
      <c r="E46" s="462"/>
      <c r="F46" s="462"/>
      <c r="G46" s="462"/>
      <c r="AF46" s="487"/>
    </row>
    <row r="47" spans="1:32">
      <c r="C47" s="260"/>
      <c r="D47" s="260"/>
      <c r="E47" s="260"/>
      <c r="F47" s="260"/>
      <c r="G47" s="260"/>
      <c r="AF47" s="256"/>
    </row>
    <row r="48" spans="1:32" s="439" customFormat="1">
      <c r="A48" s="442" t="s">
        <v>178</v>
      </c>
      <c r="B48" s="443" t="s">
        <v>14</v>
      </c>
      <c r="C48" s="602">
        <f>C49+C50</f>
        <v>76</v>
      </c>
      <c r="D48" s="602">
        <f t="shared" ref="D48" si="82">D49+D50</f>
        <v>133792</v>
      </c>
      <c r="E48" s="602">
        <f t="shared" ref="E48" si="83">E49+E50</f>
        <v>0</v>
      </c>
      <c r="F48" s="602">
        <f t="shared" ref="F48" si="84">F49+F50</f>
        <v>0</v>
      </c>
      <c r="G48" s="602">
        <f t="shared" ref="G48" si="85">G49+G50</f>
        <v>0</v>
      </c>
      <c r="I48" s="487">
        <f t="shared" ref="I48" si="86">I49+I50</f>
        <v>817</v>
      </c>
      <c r="J48" s="487">
        <f t="shared" ref="J48" si="87">J49+J50</f>
        <v>9939.41</v>
      </c>
      <c r="K48" s="601">
        <f t="shared" ref="K48" si="88">K49+K50</f>
        <v>0</v>
      </c>
      <c r="L48" s="487"/>
      <c r="M48" s="487"/>
      <c r="N48" s="487">
        <f t="shared" ref="N48" si="89">N49+N50</f>
        <v>-87.460000000000008</v>
      </c>
      <c r="O48" s="487">
        <f t="shared" ref="O48" si="90">SUM(I48:N48)</f>
        <v>10668.95</v>
      </c>
      <c r="Q48" s="487">
        <f t="shared" ref="Q48" si="91">Q49+Q50</f>
        <v>817</v>
      </c>
      <c r="R48" s="487">
        <f t="shared" ref="R48" si="92">R49+R50</f>
        <v>9939.41</v>
      </c>
      <c r="S48" s="601">
        <f t="shared" ref="S48" si="93">S49+S50</f>
        <v>0</v>
      </c>
      <c r="T48" s="487">
        <f t="shared" ref="T48" si="94">T49+T50</f>
        <v>0</v>
      </c>
      <c r="U48" s="487">
        <f t="shared" ref="U48" si="95">U49+U50</f>
        <v>0</v>
      </c>
      <c r="V48" s="487">
        <f t="shared" ref="V48" si="96">V49+V50</f>
        <v>-87.460000000000008</v>
      </c>
      <c r="W48" s="487">
        <f t="shared" ref="W48" si="97">SUM(Q48:V48)</f>
        <v>10668.95</v>
      </c>
      <c r="Y48" s="601">
        <f t="shared" ref="Y48" si="98">W48-O48</f>
        <v>0</v>
      </c>
      <c r="Z48" s="487"/>
      <c r="AA48" s="487"/>
      <c r="AB48" s="601"/>
      <c r="AC48" s="487"/>
      <c r="AF48" s="487"/>
    </row>
    <row r="49" spans="1:32" s="439" customFormat="1">
      <c r="A49" s="435" t="s">
        <v>15</v>
      </c>
      <c r="B49" s="800" t="s">
        <v>1447</v>
      </c>
      <c r="C49" s="462">
        <v>48</v>
      </c>
      <c r="D49" s="602">
        <v>66990</v>
      </c>
      <c r="E49" s="602">
        <v>0</v>
      </c>
      <c r="F49" s="602">
        <v>0</v>
      </c>
      <c r="G49" s="602">
        <v>0</v>
      </c>
      <c r="I49" s="487">
        <v>516</v>
      </c>
      <c r="J49" s="487">
        <v>4976.6899999999996</v>
      </c>
      <c r="K49" s="601">
        <v>0</v>
      </c>
      <c r="L49" s="487"/>
      <c r="M49" s="487"/>
      <c r="N49" s="487">
        <v>-50.51</v>
      </c>
      <c r="O49" s="487">
        <f>SUM(I49:N49)</f>
        <v>5442.1799999999994</v>
      </c>
      <c r="Q49" s="487">
        <v>516</v>
      </c>
      <c r="R49" s="487">
        <v>4976.6899999999996</v>
      </c>
      <c r="S49" s="601">
        <v>0</v>
      </c>
      <c r="T49" s="487"/>
      <c r="U49" s="487"/>
      <c r="V49" s="487">
        <v>-50.51</v>
      </c>
      <c r="W49" s="487">
        <f>SUM(Q49:V49)</f>
        <v>5442.1799999999994</v>
      </c>
      <c r="Y49" s="601"/>
      <c r="Z49" s="487"/>
      <c r="AA49" s="487"/>
      <c r="AB49" s="601"/>
      <c r="AC49" s="487"/>
      <c r="AF49" s="487"/>
    </row>
    <row r="50" spans="1:32" s="439" customFormat="1">
      <c r="A50" s="442"/>
      <c r="B50" s="800" t="s">
        <v>1448</v>
      </c>
      <c r="C50" s="462">
        <v>28</v>
      </c>
      <c r="D50" s="602">
        <v>66802</v>
      </c>
      <c r="E50" s="602">
        <v>0</v>
      </c>
      <c r="F50" s="602">
        <v>0</v>
      </c>
      <c r="G50" s="602">
        <v>0</v>
      </c>
      <c r="I50" s="487">
        <v>301</v>
      </c>
      <c r="J50" s="487">
        <v>4962.72</v>
      </c>
      <c r="K50" s="601">
        <v>0</v>
      </c>
      <c r="L50" s="487"/>
      <c r="M50" s="487"/>
      <c r="N50" s="487">
        <v>-36.950000000000003</v>
      </c>
      <c r="O50" s="487">
        <f>SUM(I50:N50)</f>
        <v>5226.7700000000004</v>
      </c>
      <c r="Q50" s="487">
        <v>301</v>
      </c>
      <c r="R50" s="487">
        <v>4962.72</v>
      </c>
      <c r="S50" s="601">
        <v>0</v>
      </c>
      <c r="T50" s="487"/>
      <c r="U50" s="487"/>
      <c r="V50" s="487">
        <v>-36.950000000000003</v>
      </c>
      <c r="W50" s="487">
        <f>SUM(Q50:V50)</f>
        <v>5226.7700000000004</v>
      </c>
      <c r="Y50" s="601"/>
      <c r="Z50" s="487"/>
      <c r="AA50" s="487"/>
      <c r="AB50" s="601"/>
      <c r="AC50" s="487"/>
      <c r="AF50" s="487"/>
    </row>
    <row r="51" spans="1:32" s="439" customFormat="1">
      <c r="A51" s="442"/>
      <c r="B51" s="800"/>
      <c r="C51" s="462"/>
      <c r="D51" s="602"/>
      <c r="E51" s="602"/>
      <c r="F51" s="602"/>
      <c r="G51" s="602"/>
      <c r="I51" s="487"/>
      <c r="J51" s="487"/>
      <c r="K51" s="601"/>
      <c r="L51" s="487"/>
      <c r="M51" s="487"/>
      <c r="N51" s="487"/>
      <c r="O51" s="487"/>
      <c r="Q51" s="487"/>
      <c r="R51" s="487"/>
      <c r="S51" s="601"/>
      <c r="T51" s="487"/>
      <c r="U51" s="487"/>
      <c r="V51" s="487"/>
      <c r="W51" s="487"/>
      <c r="Y51" s="601"/>
      <c r="Z51" s="487"/>
      <c r="AA51" s="487"/>
      <c r="AB51" s="601"/>
      <c r="AC51" s="487"/>
      <c r="AF51" s="487"/>
    </row>
    <row r="52" spans="1:32" s="439" customFormat="1">
      <c r="A52" s="442" t="s">
        <v>153</v>
      </c>
      <c r="B52" s="435" t="s">
        <v>205</v>
      </c>
      <c r="C52" s="462">
        <v>4</v>
      </c>
      <c r="D52" s="602">
        <v>33600</v>
      </c>
      <c r="E52" s="602">
        <v>87</v>
      </c>
      <c r="F52" s="602">
        <v>91</v>
      </c>
      <c r="G52" s="602">
        <v>1071</v>
      </c>
      <c r="I52" s="487">
        <v>1200</v>
      </c>
      <c r="J52" s="487">
        <v>1265.04</v>
      </c>
      <c r="K52" s="487">
        <v>623.16</v>
      </c>
      <c r="L52" s="487"/>
      <c r="M52" s="487"/>
      <c r="N52" s="487">
        <v>18.14</v>
      </c>
      <c r="O52" s="487">
        <f t="shared" ref="O52:O55" si="99">SUM(I52:N52)</f>
        <v>3106.3399999999997</v>
      </c>
      <c r="Q52" s="487">
        <v>680</v>
      </c>
      <c r="R52" s="487">
        <v>1196.83</v>
      </c>
      <c r="S52" s="487">
        <v>1120.27</v>
      </c>
      <c r="T52" s="487"/>
      <c r="U52" s="487"/>
      <c r="V52" s="487">
        <v>18.14</v>
      </c>
      <c r="W52" s="487">
        <f t="shared" ref="W52:W55" si="100">SUM(Q52:V52)</f>
        <v>3015.24</v>
      </c>
      <c r="Y52" s="601">
        <f t="shared" ref="Y52:Y55" si="101">W52-O52</f>
        <v>-91.099999999999909</v>
      </c>
      <c r="Z52" s="487"/>
      <c r="AA52" s="487"/>
      <c r="AB52" s="601"/>
      <c r="AC52" s="487"/>
      <c r="AF52" s="487"/>
    </row>
    <row r="53" spans="1:32" s="439" customFormat="1">
      <c r="A53" s="435" t="s">
        <v>25</v>
      </c>
      <c r="B53" s="799" t="s">
        <v>757</v>
      </c>
      <c r="C53" s="462">
        <v>4</v>
      </c>
      <c r="D53" s="602">
        <v>4620</v>
      </c>
      <c r="E53" s="602">
        <v>0</v>
      </c>
      <c r="F53" s="602">
        <v>0</v>
      </c>
      <c r="G53" s="602">
        <v>0</v>
      </c>
      <c r="I53" s="487">
        <v>80</v>
      </c>
      <c r="J53" s="487">
        <v>404.43</v>
      </c>
      <c r="K53" s="487">
        <v>0</v>
      </c>
      <c r="L53" s="487"/>
      <c r="M53" s="487"/>
      <c r="N53" s="487">
        <v>3.77</v>
      </c>
      <c r="O53" s="487">
        <f t="shared" si="99"/>
        <v>488.2</v>
      </c>
      <c r="Q53" s="487">
        <v>680</v>
      </c>
      <c r="R53" s="487">
        <v>164.56</v>
      </c>
      <c r="S53" s="487">
        <v>1065</v>
      </c>
      <c r="T53" s="487"/>
      <c r="U53" s="487"/>
      <c r="V53" s="487">
        <v>3.77</v>
      </c>
      <c r="W53" s="487">
        <f t="shared" si="100"/>
        <v>1913.33</v>
      </c>
      <c r="Y53" s="601">
        <f t="shared" si="101"/>
        <v>1425.1299999999999</v>
      </c>
      <c r="Z53" s="487"/>
      <c r="AA53" s="487"/>
      <c r="AB53" s="601"/>
      <c r="AC53" s="487"/>
      <c r="AF53" s="487"/>
    </row>
    <row r="54" spans="1:32" s="439" customFormat="1">
      <c r="A54" s="435"/>
      <c r="B54" s="442" t="s">
        <v>212</v>
      </c>
      <c r="C54" s="462">
        <v>0</v>
      </c>
      <c r="D54" s="602">
        <v>0</v>
      </c>
      <c r="E54" s="602">
        <v>0</v>
      </c>
      <c r="F54" s="602">
        <v>0</v>
      </c>
      <c r="G54" s="602">
        <v>0</v>
      </c>
      <c r="I54" s="487">
        <v>0</v>
      </c>
      <c r="J54" s="487">
        <v>0</v>
      </c>
      <c r="K54" s="487">
        <v>0</v>
      </c>
      <c r="L54" s="487"/>
      <c r="M54" s="487"/>
      <c r="N54" s="487">
        <v>0</v>
      </c>
      <c r="O54" s="487">
        <f t="shared" si="99"/>
        <v>0</v>
      </c>
      <c r="Q54" s="487">
        <v>0</v>
      </c>
      <c r="R54" s="487">
        <v>0</v>
      </c>
      <c r="S54" s="487">
        <v>0</v>
      </c>
      <c r="T54" s="487"/>
      <c r="U54" s="487"/>
      <c r="V54" s="487">
        <v>0</v>
      </c>
      <c r="W54" s="487">
        <f t="shared" si="100"/>
        <v>0</v>
      </c>
      <c r="Y54" s="601">
        <f t="shared" si="101"/>
        <v>0</v>
      </c>
      <c r="Z54" s="487"/>
      <c r="AA54" s="487"/>
      <c r="AB54" s="601"/>
      <c r="AC54" s="487"/>
      <c r="AF54" s="487"/>
    </row>
    <row r="55" spans="1:32" s="439" customFormat="1">
      <c r="A55" s="435"/>
      <c r="B55" s="435" t="s">
        <v>25</v>
      </c>
      <c r="C55" s="462">
        <v>0</v>
      </c>
      <c r="D55" s="602">
        <v>0</v>
      </c>
      <c r="E55" s="602">
        <v>0</v>
      </c>
      <c r="F55" s="602">
        <v>0</v>
      </c>
      <c r="G55" s="602">
        <v>0</v>
      </c>
      <c r="I55" s="487">
        <v>0</v>
      </c>
      <c r="J55" s="487">
        <v>0</v>
      </c>
      <c r="K55" s="487">
        <v>0</v>
      </c>
      <c r="L55" s="487"/>
      <c r="M55" s="487"/>
      <c r="N55" s="487">
        <v>0</v>
      </c>
      <c r="O55" s="487">
        <f t="shared" si="99"/>
        <v>0</v>
      </c>
      <c r="Q55" s="487">
        <v>0</v>
      </c>
      <c r="R55" s="487">
        <v>0</v>
      </c>
      <c r="S55" s="487">
        <v>0</v>
      </c>
      <c r="T55" s="487"/>
      <c r="U55" s="487"/>
      <c r="V55" s="487">
        <v>0</v>
      </c>
      <c r="W55" s="487">
        <f t="shared" si="100"/>
        <v>0</v>
      </c>
      <c r="Y55" s="601">
        <f t="shared" si="101"/>
        <v>0</v>
      </c>
      <c r="Z55" s="487"/>
      <c r="AA55" s="487"/>
      <c r="AB55" s="601"/>
      <c r="AC55" s="487"/>
      <c r="AF55" s="487"/>
    </row>
    <row r="56" spans="1:32">
      <c r="A56" s="258"/>
      <c r="B56" s="293"/>
      <c r="C56" s="224">
        <f>SUM(C52:C55)</f>
        <v>8</v>
      </c>
      <c r="D56" s="224">
        <f>SUM(D52:D55)</f>
        <v>38220</v>
      </c>
      <c r="E56" s="224">
        <f t="shared" ref="E56:G56" si="102">SUM(E52:E55)</f>
        <v>87</v>
      </c>
      <c r="F56" s="224">
        <f t="shared" si="102"/>
        <v>91</v>
      </c>
      <c r="G56" s="224">
        <f t="shared" si="102"/>
        <v>1071</v>
      </c>
      <c r="I56" s="601">
        <f>SUM(I52:I55)</f>
        <v>1280</v>
      </c>
      <c r="J56" s="601">
        <f>SUM(J52:J55)</f>
        <v>1669.47</v>
      </c>
      <c r="K56" s="601">
        <f>SUM(K52:K55)</f>
        <v>623.16</v>
      </c>
      <c r="L56" s="256"/>
      <c r="M56" s="256"/>
      <c r="N56" s="601">
        <f>SUM(N52:N55)</f>
        <v>21.91</v>
      </c>
      <c r="O56" s="601">
        <f>SUM(O52:O55)</f>
        <v>3594.5399999999995</v>
      </c>
      <c r="Q56" s="601">
        <f>SUM(Q52:Q55)</f>
        <v>1360</v>
      </c>
      <c r="R56" s="601">
        <f>SUM(R52:R55)</f>
        <v>1361.3899999999999</v>
      </c>
      <c r="S56" s="601">
        <f>SUM(S52:S55)</f>
        <v>2185.27</v>
      </c>
      <c r="T56" s="256"/>
      <c r="U56" s="257"/>
      <c r="V56" s="601">
        <f>SUM(V52:V55)</f>
        <v>21.91</v>
      </c>
      <c r="W56" s="601">
        <f>SUM(W52:W55)</f>
        <v>4928.57</v>
      </c>
      <c r="AF56" s="256"/>
    </row>
    <row r="57" spans="1:32">
      <c r="A57" s="258"/>
      <c r="B57" s="258"/>
      <c r="C57" s="260"/>
      <c r="D57" s="224"/>
      <c r="E57" s="224"/>
      <c r="F57" s="224"/>
      <c r="G57" s="224"/>
      <c r="AF57" s="256"/>
    </row>
    <row r="58" spans="1:32" s="439" customFormat="1">
      <c r="A58" s="435" t="s">
        <v>154</v>
      </c>
      <c r="B58" s="435" t="s">
        <v>17</v>
      </c>
      <c r="C58" s="462">
        <v>1185</v>
      </c>
      <c r="D58" s="602">
        <v>38695430</v>
      </c>
      <c r="E58" s="602">
        <v>0</v>
      </c>
      <c r="F58" s="602">
        <v>0</v>
      </c>
      <c r="G58" s="602">
        <v>0</v>
      </c>
      <c r="I58" s="487">
        <v>41475</v>
      </c>
      <c r="J58" s="487">
        <v>3387397.97</v>
      </c>
      <c r="K58" s="487">
        <v>0</v>
      </c>
      <c r="L58" s="487"/>
      <c r="M58" s="487"/>
      <c r="N58" s="487">
        <v>-5820.41</v>
      </c>
      <c r="O58" s="487">
        <f t="shared" ref="O58:O61" si="103">SUM(I58:N58)</f>
        <v>3423052.56</v>
      </c>
      <c r="Q58" s="487">
        <v>106650</v>
      </c>
      <c r="R58" s="487">
        <v>1379105.14</v>
      </c>
      <c r="S58" s="487">
        <v>1320626.79</v>
      </c>
      <c r="T58" s="487"/>
      <c r="U58" s="487"/>
      <c r="V58" s="487">
        <v>-5820.41</v>
      </c>
      <c r="W58" s="487">
        <f t="shared" ref="W58:W61" si="104">SUM(Q58:V58)</f>
        <v>2800561.5199999996</v>
      </c>
      <c r="Y58" s="601">
        <f t="shared" ref="Y58:Y62" si="105">W58-O58</f>
        <v>-622491.0400000005</v>
      </c>
      <c r="Z58" s="487"/>
      <c r="AA58" s="487"/>
      <c r="AB58" s="601"/>
      <c r="AC58" s="487"/>
      <c r="AF58" s="487"/>
    </row>
    <row r="59" spans="1:32" s="439" customFormat="1">
      <c r="A59" s="435" t="s">
        <v>24</v>
      </c>
      <c r="B59" s="799" t="s">
        <v>757</v>
      </c>
      <c r="C59" s="462">
        <v>136</v>
      </c>
      <c r="D59" s="602">
        <v>1931829</v>
      </c>
      <c r="E59" s="602">
        <v>0</v>
      </c>
      <c r="F59" s="602">
        <v>0</v>
      </c>
      <c r="G59" s="602">
        <v>0</v>
      </c>
      <c r="I59" s="487">
        <v>2720</v>
      </c>
      <c r="J59" s="487">
        <v>169112.31</v>
      </c>
      <c r="K59" s="487">
        <v>0</v>
      </c>
      <c r="L59" s="487"/>
      <c r="M59" s="487"/>
      <c r="N59" s="487">
        <v>-367.85</v>
      </c>
      <c r="O59" s="487">
        <f t="shared" si="103"/>
        <v>171464.46</v>
      </c>
      <c r="Q59" s="487">
        <v>12240</v>
      </c>
      <c r="R59" s="487">
        <v>68850.38</v>
      </c>
      <c r="S59" s="487">
        <v>137742.63</v>
      </c>
      <c r="T59" s="487"/>
      <c r="U59" s="487"/>
      <c r="V59" s="487">
        <v>-367.85</v>
      </c>
      <c r="W59" s="487">
        <f t="shared" si="104"/>
        <v>218465.16</v>
      </c>
      <c r="Y59" s="601">
        <f t="shared" si="105"/>
        <v>47000.700000000012</v>
      </c>
      <c r="Z59" s="487"/>
      <c r="AA59" s="487"/>
      <c r="AB59" s="601"/>
      <c r="AC59" s="487"/>
      <c r="AF59" s="487"/>
    </row>
    <row r="60" spans="1:32" s="439" customFormat="1">
      <c r="A60" s="435">
        <v>562</v>
      </c>
      <c r="B60" s="442" t="s">
        <v>24</v>
      </c>
      <c r="C60" s="462">
        <v>15</v>
      </c>
      <c r="D60" s="602">
        <v>101030</v>
      </c>
      <c r="E60" s="602">
        <v>202</v>
      </c>
      <c r="F60" s="602">
        <v>123</v>
      </c>
      <c r="G60" s="602">
        <v>0</v>
      </c>
      <c r="I60" s="487">
        <v>1350</v>
      </c>
      <c r="J60" s="487">
        <v>3600.72</v>
      </c>
      <c r="K60" s="487">
        <v>4355.08</v>
      </c>
      <c r="L60" s="487"/>
      <c r="M60" s="487"/>
      <c r="N60" s="487">
        <v>-24.32</v>
      </c>
      <c r="O60" s="487">
        <f t="shared" si="103"/>
        <v>9281.48</v>
      </c>
      <c r="Q60" s="487">
        <v>1350</v>
      </c>
      <c r="R60" s="487">
        <v>3600.72</v>
      </c>
      <c r="S60" s="487">
        <v>4355.08</v>
      </c>
      <c r="T60" s="487"/>
      <c r="U60" s="487"/>
      <c r="V60" s="487">
        <v>-24.32</v>
      </c>
      <c r="W60" s="487">
        <f t="shared" si="104"/>
        <v>9281.48</v>
      </c>
      <c r="Y60" s="601">
        <f t="shared" si="105"/>
        <v>0</v>
      </c>
      <c r="Z60" s="487"/>
      <c r="AA60" s="487"/>
      <c r="AB60" s="601"/>
      <c r="AC60" s="487"/>
      <c r="AF60" s="487"/>
    </row>
    <row r="61" spans="1:32" s="439" customFormat="1">
      <c r="A61" s="435"/>
      <c r="B61" s="435" t="s">
        <v>204</v>
      </c>
      <c r="C61" s="462">
        <v>15</v>
      </c>
      <c r="D61" s="602">
        <v>1649920</v>
      </c>
      <c r="E61" s="602">
        <v>4203</v>
      </c>
      <c r="F61" s="602">
        <v>4223</v>
      </c>
      <c r="G61" s="602">
        <v>4930</v>
      </c>
      <c r="I61" s="487">
        <v>3000</v>
      </c>
      <c r="J61" s="487">
        <v>62251.48</v>
      </c>
      <c r="K61" s="487">
        <v>41542.6</v>
      </c>
      <c r="L61" s="487"/>
      <c r="M61" s="487"/>
      <c r="N61" s="487">
        <v>-27.31</v>
      </c>
      <c r="O61" s="487">
        <f t="shared" si="103"/>
        <v>106766.77</v>
      </c>
      <c r="Q61" s="487">
        <v>1350</v>
      </c>
      <c r="R61" s="487">
        <v>58803.15</v>
      </c>
      <c r="S61" s="487">
        <v>54823.13</v>
      </c>
      <c r="T61" s="487"/>
      <c r="U61" s="487"/>
      <c r="V61" s="487">
        <v>-27.31</v>
      </c>
      <c r="W61" s="487">
        <f t="shared" si="104"/>
        <v>114948.97</v>
      </c>
      <c r="Y61" s="601">
        <f t="shared" si="105"/>
        <v>8182.1999999999971</v>
      </c>
      <c r="Z61" s="487"/>
      <c r="AA61" s="487"/>
      <c r="AB61" s="601"/>
      <c r="AC61" s="487"/>
      <c r="AF61" s="487"/>
    </row>
    <row r="62" spans="1:32">
      <c r="A62" s="258"/>
      <c r="B62" s="293"/>
      <c r="C62" s="224">
        <f>SUM(C58:C61)</f>
        <v>1351</v>
      </c>
      <c r="D62" s="224">
        <f>SUM(D58:D61)</f>
        <v>42378209</v>
      </c>
      <c r="E62" s="224">
        <f>SUM(E58:E61)</f>
        <v>4405</v>
      </c>
      <c r="F62" s="224">
        <f>SUM(F58:F61)</f>
        <v>4346</v>
      </c>
      <c r="G62" s="224">
        <f>SUM(G58:G61)</f>
        <v>4930</v>
      </c>
      <c r="I62" s="601">
        <f>SUM(I58:I61)</f>
        <v>48545</v>
      </c>
      <c r="J62" s="601">
        <f>SUM(J58:J61)</f>
        <v>3622362.4800000004</v>
      </c>
      <c r="K62" s="601">
        <f>SUM(K58:K61)</f>
        <v>45897.68</v>
      </c>
      <c r="L62" s="256"/>
      <c r="M62" s="256"/>
      <c r="N62" s="601">
        <f>SUM(N58:N61)</f>
        <v>-6239.89</v>
      </c>
      <c r="O62" s="601">
        <f>SUM(O58:O61)</f>
        <v>3710565.27</v>
      </c>
      <c r="Q62" s="601">
        <f>SUM(Q58:Q61)</f>
        <v>121590</v>
      </c>
      <c r="R62" s="601">
        <f>SUM(R58:R61)</f>
        <v>1510359.39</v>
      </c>
      <c r="S62" s="601">
        <f>SUM(S58:S61)</f>
        <v>1517547.63</v>
      </c>
      <c r="T62" s="256"/>
      <c r="U62" s="257"/>
      <c r="V62" s="601">
        <f>SUM(V58:V61)</f>
        <v>-6239.89</v>
      </c>
      <c r="W62" s="601">
        <f>SUM(W58:W61)</f>
        <v>3143257.13</v>
      </c>
      <c r="Y62" s="601">
        <f t="shared" si="105"/>
        <v>-567308.14000000013</v>
      </c>
      <c r="AF62" s="256"/>
    </row>
    <row r="63" spans="1:32">
      <c r="A63" s="258"/>
      <c r="B63" s="258"/>
      <c r="C63" s="260"/>
      <c r="D63" s="224"/>
      <c r="E63" s="224"/>
      <c r="F63" s="224"/>
      <c r="G63" s="224"/>
      <c r="AF63" s="256"/>
    </row>
    <row r="64" spans="1:32">
      <c r="A64" s="258" t="s">
        <v>155</v>
      </c>
      <c r="B64" s="258" t="s">
        <v>25</v>
      </c>
      <c r="C64" s="462">
        <v>0</v>
      </c>
      <c r="D64" s="602">
        <v>0</v>
      </c>
      <c r="E64" s="602">
        <v>0</v>
      </c>
      <c r="F64" s="602">
        <v>0</v>
      </c>
      <c r="G64" s="602">
        <v>0</v>
      </c>
      <c r="H64" s="439"/>
      <c r="I64" s="487">
        <v>0</v>
      </c>
      <c r="J64" s="487">
        <v>0</v>
      </c>
      <c r="K64" s="487">
        <v>0</v>
      </c>
      <c r="L64" s="487"/>
      <c r="M64" s="487"/>
      <c r="N64" s="487">
        <v>0</v>
      </c>
      <c r="O64" s="487">
        <f t="shared" ref="O64:O65" si="106">SUM(I64:N64)</f>
        <v>0</v>
      </c>
      <c r="P64" s="439"/>
      <c r="Q64" s="487">
        <v>0</v>
      </c>
      <c r="R64" s="487">
        <v>0</v>
      </c>
      <c r="S64" s="487">
        <v>0</v>
      </c>
      <c r="T64" s="487"/>
      <c r="U64" s="487"/>
      <c r="V64" s="487">
        <v>0</v>
      </c>
      <c r="W64" s="487">
        <f t="shared" ref="W64:W65" si="107">SUM(Q64:V64)</f>
        <v>0</v>
      </c>
      <c r="Y64" s="601">
        <f t="shared" ref="Y64:Y65" si="108">W64-O64</f>
        <v>0</v>
      </c>
      <c r="Z64" s="262"/>
      <c r="AA64" s="256"/>
      <c r="AB64" s="257"/>
      <c r="AC64" s="262"/>
      <c r="AF64" s="256"/>
    </row>
    <row r="65" spans="1:32">
      <c r="A65" s="258" t="s">
        <v>205</v>
      </c>
      <c r="B65" s="295" t="s">
        <v>18</v>
      </c>
      <c r="C65" s="462">
        <v>0</v>
      </c>
      <c r="D65" s="602">
        <v>0</v>
      </c>
      <c r="E65" s="602">
        <v>0</v>
      </c>
      <c r="F65" s="602">
        <v>0</v>
      </c>
      <c r="G65" s="602">
        <v>0</v>
      </c>
      <c r="H65" s="439"/>
      <c r="I65" s="487">
        <v>0</v>
      </c>
      <c r="J65" s="487">
        <v>0</v>
      </c>
      <c r="K65" s="487">
        <v>0</v>
      </c>
      <c r="L65" s="487"/>
      <c r="M65" s="487"/>
      <c r="N65" s="487">
        <v>0</v>
      </c>
      <c r="O65" s="487">
        <f t="shared" si="106"/>
        <v>0</v>
      </c>
      <c r="P65" s="439"/>
      <c r="Q65" s="487">
        <v>0</v>
      </c>
      <c r="R65" s="487">
        <v>0</v>
      </c>
      <c r="S65" s="487">
        <v>0</v>
      </c>
      <c r="T65" s="487"/>
      <c r="U65" s="487"/>
      <c r="V65" s="487">
        <v>0</v>
      </c>
      <c r="W65" s="487">
        <f t="shared" si="107"/>
        <v>0</v>
      </c>
      <c r="Y65" s="601">
        <f t="shared" si="108"/>
        <v>0</v>
      </c>
      <c r="Z65" s="256"/>
      <c r="AA65" s="256"/>
      <c r="AB65" s="257"/>
      <c r="AC65" s="256"/>
      <c r="AF65" s="256"/>
    </row>
    <row r="66" spans="1:32">
      <c r="A66" s="258"/>
      <c r="B66" s="293"/>
      <c r="C66" s="224">
        <f>SUM(C64:C65)</f>
        <v>0</v>
      </c>
      <c r="D66" s="224">
        <f>SUM(D64:D65)</f>
        <v>0</v>
      </c>
      <c r="E66" s="224">
        <f t="shared" ref="E66:G66" si="109">SUM(E64:E65)</f>
        <v>0</v>
      </c>
      <c r="F66" s="224">
        <f t="shared" si="109"/>
        <v>0</v>
      </c>
      <c r="G66" s="224">
        <f t="shared" si="109"/>
        <v>0</v>
      </c>
      <c r="I66" s="256"/>
      <c r="J66" s="256"/>
      <c r="K66" s="257"/>
      <c r="L66" s="256"/>
      <c r="M66" s="256"/>
      <c r="N66" s="256"/>
      <c r="O66" s="257">
        <f>SUM(O64:O65)</f>
        <v>0</v>
      </c>
      <c r="Q66" s="256"/>
      <c r="R66" s="256"/>
      <c r="S66" s="257"/>
      <c r="T66" s="256"/>
      <c r="U66" s="257"/>
      <c r="V66" s="256"/>
      <c r="W66" s="257">
        <f>SUM(W64:W65)</f>
        <v>0</v>
      </c>
      <c r="AF66" s="256"/>
    </row>
    <row r="67" spans="1:32">
      <c r="A67" s="258"/>
      <c r="B67" s="258"/>
      <c r="C67" s="260"/>
      <c r="D67" s="224"/>
      <c r="E67" s="224"/>
      <c r="F67" s="224"/>
      <c r="G67" s="224"/>
      <c r="AF67" s="256"/>
    </row>
    <row r="68" spans="1:32" s="439" customFormat="1">
      <c r="A68" s="435" t="s">
        <v>156</v>
      </c>
      <c r="B68" s="435" t="s">
        <v>205</v>
      </c>
      <c r="C68" s="462">
        <v>12</v>
      </c>
      <c r="D68" s="602">
        <v>621600</v>
      </c>
      <c r="E68" s="602">
        <v>2397</v>
      </c>
      <c r="F68" s="602">
        <v>2488</v>
      </c>
      <c r="G68" s="602">
        <v>3941</v>
      </c>
      <c r="I68" s="487">
        <v>3600</v>
      </c>
      <c r="J68" s="487">
        <v>23403.24</v>
      </c>
      <c r="K68" s="487">
        <v>19453.95</v>
      </c>
      <c r="L68" s="487"/>
      <c r="M68" s="487"/>
      <c r="N68" s="487">
        <v>84.65</v>
      </c>
      <c r="O68" s="487">
        <f t="shared" ref="O68:O69" si="110">SUM(I68:N68)</f>
        <v>46541.840000000004</v>
      </c>
      <c r="Q68" s="487">
        <v>2040</v>
      </c>
      <c r="R68" s="487">
        <v>22141.39</v>
      </c>
      <c r="S68" s="487">
        <v>33153.5</v>
      </c>
      <c r="T68" s="487"/>
      <c r="U68" s="487"/>
      <c r="V68" s="487">
        <v>84.65</v>
      </c>
      <c r="W68" s="487">
        <f t="shared" ref="W68:W69" si="111">SUM(Q68:V68)</f>
        <v>57419.54</v>
      </c>
      <c r="Y68" s="601">
        <f t="shared" ref="Y68:Y69" si="112">W68-O68</f>
        <v>10877.699999999997</v>
      </c>
      <c r="Z68" s="487"/>
      <c r="AA68" s="487"/>
      <c r="AB68" s="601"/>
      <c r="AC68" s="487"/>
      <c r="AF68" s="487"/>
    </row>
    <row r="69" spans="1:32" s="439" customFormat="1">
      <c r="A69" s="435" t="s">
        <v>25</v>
      </c>
      <c r="B69" s="435" t="s">
        <v>17</v>
      </c>
      <c r="C69" s="462">
        <v>0</v>
      </c>
      <c r="D69" s="602">
        <v>0</v>
      </c>
      <c r="E69" s="602">
        <v>0</v>
      </c>
      <c r="F69" s="602">
        <v>0</v>
      </c>
      <c r="G69" s="602">
        <v>0</v>
      </c>
      <c r="I69" s="487">
        <v>0</v>
      </c>
      <c r="J69" s="487">
        <v>0</v>
      </c>
      <c r="K69" s="487">
        <v>0</v>
      </c>
      <c r="L69" s="487"/>
      <c r="M69" s="487"/>
      <c r="N69" s="487">
        <v>0</v>
      </c>
      <c r="O69" s="487">
        <f t="shared" si="110"/>
        <v>0</v>
      </c>
      <c r="Q69" s="487">
        <v>0</v>
      </c>
      <c r="R69" s="487">
        <v>0</v>
      </c>
      <c r="S69" s="487">
        <v>0</v>
      </c>
      <c r="T69" s="487"/>
      <c r="U69" s="487"/>
      <c r="V69" s="487">
        <v>0</v>
      </c>
      <c r="W69" s="487">
        <f t="shared" si="111"/>
        <v>0</v>
      </c>
      <c r="Y69" s="601">
        <f t="shared" si="112"/>
        <v>0</v>
      </c>
      <c r="Z69" s="487"/>
      <c r="AA69" s="487"/>
      <c r="AB69" s="601"/>
      <c r="AC69" s="487"/>
      <c r="AF69" s="487"/>
    </row>
    <row r="70" spans="1:32">
      <c r="A70" s="258"/>
      <c r="B70" s="293"/>
      <c r="C70" s="224">
        <f>SUM(C68:C69)</f>
        <v>12</v>
      </c>
      <c r="D70" s="224">
        <f>SUM(D68:D69)</f>
        <v>621600</v>
      </c>
      <c r="E70" s="224">
        <f t="shared" ref="E70:G70" si="113">SUM(E68:E69)</f>
        <v>2397</v>
      </c>
      <c r="F70" s="224">
        <f t="shared" si="113"/>
        <v>2488</v>
      </c>
      <c r="G70" s="224">
        <f t="shared" si="113"/>
        <v>3941</v>
      </c>
      <c r="I70" s="601">
        <f>SUM(I68:I69)</f>
        <v>3600</v>
      </c>
      <c r="J70" s="601">
        <f>SUM(J68:J69)</f>
        <v>23403.24</v>
      </c>
      <c r="K70" s="601">
        <f>SUM(K68:K69)</f>
        <v>19453.95</v>
      </c>
      <c r="L70" s="256"/>
      <c r="M70" s="256"/>
      <c r="N70" s="601">
        <f>SUM(N68:N69)</f>
        <v>84.65</v>
      </c>
      <c r="O70" s="601">
        <f>SUM(O68:O69)</f>
        <v>46541.840000000004</v>
      </c>
      <c r="Q70" s="601">
        <f>SUM(Q68:Q69)</f>
        <v>2040</v>
      </c>
      <c r="R70" s="601">
        <f>SUM(R68:R69)</f>
        <v>22141.39</v>
      </c>
      <c r="S70" s="601">
        <f>SUM(S68:S69)</f>
        <v>33153.5</v>
      </c>
      <c r="T70" s="256"/>
      <c r="U70" s="257"/>
      <c r="V70" s="601">
        <f>SUM(V68:V69)</f>
        <v>84.65</v>
      </c>
      <c r="W70" s="601">
        <f>SUM(W68:W69)</f>
        <v>57419.54</v>
      </c>
      <c r="Y70" s="601">
        <f>SUM(Y68:Y69)</f>
        <v>10877.699999999997</v>
      </c>
      <c r="AF70" s="256"/>
    </row>
    <row r="71" spans="1:32">
      <c r="A71" s="258"/>
      <c r="B71" s="258"/>
      <c r="C71" s="260"/>
      <c r="D71" s="224"/>
      <c r="E71" s="224"/>
      <c r="F71" s="224"/>
      <c r="G71" s="224"/>
      <c r="AF71" s="256"/>
    </row>
    <row r="72" spans="1:32" s="439" customFormat="1">
      <c r="A72" s="442" t="s">
        <v>157</v>
      </c>
      <c r="B72" s="435" t="s">
        <v>17</v>
      </c>
      <c r="C72" s="462">
        <v>29</v>
      </c>
      <c r="D72" s="602">
        <v>689340</v>
      </c>
      <c r="E72" s="602">
        <v>0</v>
      </c>
      <c r="F72" s="602">
        <v>0</v>
      </c>
      <c r="G72" s="602">
        <v>0</v>
      </c>
      <c r="I72" s="487">
        <v>1015</v>
      </c>
      <c r="J72" s="487">
        <v>60344.82</v>
      </c>
      <c r="K72" s="487">
        <v>0</v>
      </c>
      <c r="L72" s="487"/>
      <c r="M72" s="487"/>
      <c r="N72" s="487">
        <v>-189.48</v>
      </c>
      <c r="O72" s="487">
        <f t="shared" ref="O72:O75" si="114">SUM(I72:N72)</f>
        <v>61170.34</v>
      </c>
      <c r="Q72" s="487">
        <v>2610</v>
      </c>
      <c r="R72" s="487">
        <v>24568.07</v>
      </c>
      <c r="S72" s="487">
        <v>31039.01</v>
      </c>
      <c r="T72" s="487"/>
      <c r="U72" s="487"/>
      <c r="V72" s="487">
        <v>-189.48</v>
      </c>
      <c r="W72" s="487">
        <f t="shared" ref="W72:W75" si="115">SUM(Q72:V72)</f>
        <v>58027.6</v>
      </c>
      <c r="Y72" s="601">
        <f t="shared" ref="Y72:Y75" si="116">W72-O72</f>
        <v>-3142.739999999998</v>
      </c>
      <c r="Z72" s="487"/>
      <c r="AA72" s="487"/>
      <c r="AB72" s="601"/>
      <c r="AC72" s="487"/>
      <c r="AF72" s="487"/>
    </row>
    <row r="73" spans="1:32" s="439" customFormat="1">
      <c r="A73" s="435" t="s">
        <v>24</v>
      </c>
      <c r="B73" s="799" t="s">
        <v>757</v>
      </c>
      <c r="C73" s="462">
        <v>2</v>
      </c>
      <c r="D73" s="602">
        <v>201600</v>
      </c>
      <c r="E73" s="602">
        <v>0</v>
      </c>
      <c r="F73" s="602">
        <v>0</v>
      </c>
      <c r="G73" s="602">
        <v>0</v>
      </c>
      <c r="I73" s="487">
        <v>40</v>
      </c>
      <c r="J73" s="487">
        <v>17648.060000000001</v>
      </c>
      <c r="K73" s="487">
        <v>0</v>
      </c>
      <c r="L73" s="487"/>
      <c r="M73" s="487"/>
      <c r="N73" s="487">
        <v>193.39</v>
      </c>
      <c r="O73" s="487">
        <f t="shared" si="114"/>
        <v>17881.45</v>
      </c>
      <c r="Q73" s="487">
        <v>180</v>
      </c>
      <c r="R73" s="487">
        <v>7185.02</v>
      </c>
      <c r="S73" s="487">
        <v>10761.7</v>
      </c>
      <c r="T73" s="487"/>
      <c r="U73" s="487"/>
      <c r="V73" s="487">
        <v>193.39</v>
      </c>
      <c r="W73" s="487">
        <f t="shared" si="115"/>
        <v>18320.11</v>
      </c>
      <c r="Y73" s="601">
        <f t="shared" si="116"/>
        <v>438.65999999999985</v>
      </c>
      <c r="Z73" s="487"/>
      <c r="AA73" s="487"/>
      <c r="AB73" s="601"/>
      <c r="AC73" s="487"/>
      <c r="AF73" s="487"/>
    </row>
    <row r="74" spans="1:32" s="439" customFormat="1">
      <c r="A74" s="435">
        <v>562</v>
      </c>
      <c r="B74" s="442" t="s">
        <v>24</v>
      </c>
      <c r="C74" s="462">
        <v>2</v>
      </c>
      <c r="D74" s="602">
        <v>134200</v>
      </c>
      <c r="E74" s="602">
        <v>468</v>
      </c>
      <c r="F74" s="602">
        <v>0</v>
      </c>
      <c r="G74" s="602">
        <v>0</v>
      </c>
      <c r="I74" s="487">
        <v>180</v>
      </c>
      <c r="J74" s="487">
        <v>4782.8900000000003</v>
      </c>
      <c r="K74" s="487">
        <v>6659.23</v>
      </c>
      <c r="L74" s="487"/>
      <c r="M74" s="487"/>
      <c r="N74" s="487">
        <v>210.83</v>
      </c>
      <c r="O74" s="487">
        <f t="shared" ref="O74" si="117">SUM(I74:N74)</f>
        <v>11832.949999999999</v>
      </c>
      <c r="Q74" s="487">
        <v>180</v>
      </c>
      <c r="R74" s="487">
        <v>4782.8900000000003</v>
      </c>
      <c r="S74" s="487">
        <v>6659.23</v>
      </c>
      <c r="T74" s="487"/>
      <c r="U74" s="487"/>
      <c r="V74" s="487">
        <v>210.83</v>
      </c>
      <c r="W74" s="487">
        <f t="shared" ref="W74" si="118">SUM(Q74:V74)</f>
        <v>11832.949999999999</v>
      </c>
      <c r="Y74" s="601">
        <f t="shared" ref="Y74" si="119">W74-O74</f>
        <v>0</v>
      </c>
      <c r="Z74" s="487"/>
      <c r="AA74" s="487"/>
      <c r="AB74" s="601"/>
      <c r="AC74" s="487"/>
      <c r="AF74" s="487"/>
    </row>
    <row r="75" spans="1:32" s="439" customFormat="1">
      <c r="A75" s="435"/>
      <c r="B75" s="435" t="s">
        <v>204</v>
      </c>
      <c r="C75" s="462">
        <v>13</v>
      </c>
      <c r="D75" s="602">
        <v>1274308</v>
      </c>
      <c r="E75" s="602">
        <v>3758</v>
      </c>
      <c r="F75" s="602">
        <v>3775</v>
      </c>
      <c r="G75" s="602">
        <v>5811</v>
      </c>
      <c r="I75" s="487">
        <v>2600</v>
      </c>
      <c r="J75" s="487">
        <v>48079.65</v>
      </c>
      <c r="K75" s="487">
        <v>20729.05</v>
      </c>
      <c r="L75" s="487"/>
      <c r="M75" s="487"/>
      <c r="N75" s="487">
        <v>3396.25</v>
      </c>
      <c r="O75" s="487">
        <f t="shared" si="114"/>
        <v>74804.95</v>
      </c>
      <c r="Q75" s="487">
        <v>1170</v>
      </c>
      <c r="R75" s="487">
        <v>45416.33</v>
      </c>
      <c r="S75" s="487">
        <v>28899.68</v>
      </c>
      <c r="T75" s="487"/>
      <c r="U75" s="487"/>
      <c r="V75" s="487">
        <v>3396.25</v>
      </c>
      <c r="W75" s="487">
        <f t="shared" si="115"/>
        <v>78882.260000000009</v>
      </c>
      <c r="Y75" s="601">
        <f t="shared" si="116"/>
        <v>4077.3100000000122</v>
      </c>
      <c r="Z75" s="487"/>
      <c r="AA75" s="487"/>
      <c r="AB75" s="601"/>
      <c r="AC75" s="487"/>
      <c r="AF75" s="487"/>
    </row>
    <row r="76" spans="1:32">
      <c r="A76" s="258"/>
      <c r="B76" s="293"/>
      <c r="C76" s="224">
        <f>SUM(C72:C75)</f>
        <v>46</v>
      </c>
      <c r="D76" s="224">
        <f>SUM(D72:D75)</f>
        <v>2299448</v>
      </c>
      <c r="E76" s="224">
        <f>SUM(E72:E75)</f>
        <v>4226</v>
      </c>
      <c r="F76" s="224">
        <f>SUM(F72:F75)</f>
        <v>3775</v>
      </c>
      <c r="G76" s="224">
        <f>SUM(G72:G75)</f>
        <v>5811</v>
      </c>
      <c r="I76" s="601">
        <f>SUM(I72:I75)</f>
        <v>3835</v>
      </c>
      <c r="J76" s="601">
        <f>SUM(J72:J75)</f>
        <v>130855.42000000001</v>
      </c>
      <c r="K76" s="601">
        <f>SUM(K72:K75)</f>
        <v>27388.28</v>
      </c>
      <c r="L76" s="256"/>
      <c r="M76" s="256"/>
      <c r="N76" s="601">
        <f>SUM(N72:N75)</f>
        <v>3610.99</v>
      </c>
      <c r="O76" s="601">
        <f>SUM(O72:O75)</f>
        <v>165689.69</v>
      </c>
      <c r="Q76" s="601">
        <f>SUM(Q72:Q75)</f>
        <v>4140</v>
      </c>
      <c r="R76" s="601">
        <f>SUM(R72:R75)</f>
        <v>81952.31</v>
      </c>
      <c r="S76" s="601">
        <f>SUM(S72:S75)</f>
        <v>77359.62</v>
      </c>
      <c r="T76" s="256"/>
      <c r="U76" s="257"/>
      <c r="V76" s="601">
        <f>SUM(V72:V75)</f>
        <v>3610.99</v>
      </c>
      <c r="W76" s="601">
        <f>SUM(W72:W75)</f>
        <v>167062.91999999998</v>
      </c>
      <c r="Y76" s="601">
        <f>SUM(Y72:Y75)</f>
        <v>1373.2300000000141</v>
      </c>
      <c r="AF76" s="256"/>
    </row>
    <row r="77" spans="1:32">
      <c r="A77" s="258"/>
      <c r="B77" s="258"/>
      <c r="C77" s="260"/>
      <c r="D77" s="224"/>
      <c r="E77" s="224"/>
      <c r="F77" s="224"/>
      <c r="G77" s="224"/>
      <c r="AF77" s="256"/>
    </row>
    <row r="78" spans="1:32">
      <c r="A78" s="435" t="s">
        <v>158</v>
      </c>
      <c r="B78" s="435" t="s">
        <v>25</v>
      </c>
      <c r="C78" s="462">
        <v>9</v>
      </c>
      <c r="D78" s="602">
        <v>2071920</v>
      </c>
      <c r="E78" s="602">
        <v>5109</v>
      </c>
      <c r="F78" s="602">
        <v>2144</v>
      </c>
      <c r="G78" s="602">
        <v>0</v>
      </c>
      <c r="H78" s="439"/>
      <c r="I78" s="487">
        <v>1530</v>
      </c>
      <c r="J78" s="487">
        <v>73801.789999999994</v>
      </c>
      <c r="K78" s="487">
        <v>98492.04</v>
      </c>
      <c r="L78" s="487"/>
      <c r="M78" s="487"/>
      <c r="N78" s="487">
        <v>-107.24</v>
      </c>
      <c r="O78" s="487">
        <f t="shared" ref="O78:O80" si="120">SUM(I78:N78)</f>
        <v>173716.59</v>
      </c>
      <c r="Q78" s="487">
        <v>2700</v>
      </c>
      <c r="R78" s="487">
        <v>78007.789999999994</v>
      </c>
      <c r="S78" s="487">
        <v>57662.15</v>
      </c>
      <c r="T78" s="487"/>
      <c r="U78" s="487"/>
      <c r="V78" s="487">
        <v>-107.24</v>
      </c>
      <c r="W78" s="487">
        <f t="shared" ref="W78:W80" si="121">SUM(Q78:V78)</f>
        <v>138262.70000000001</v>
      </c>
      <c r="Y78" s="601">
        <f t="shared" ref="Y78:Y81" si="122">W78-O78</f>
        <v>-35453.889999999985</v>
      </c>
      <c r="Z78" s="262"/>
      <c r="AA78" s="256"/>
      <c r="AB78" s="257"/>
      <c r="AC78" s="262"/>
      <c r="AF78" s="256"/>
    </row>
    <row r="79" spans="1:32" s="439" customFormat="1">
      <c r="A79" s="435" t="s">
        <v>205</v>
      </c>
      <c r="B79" s="798" t="s">
        <v>757</v>
      </c>
      <c r="C79" s="462">
        <v>0</v>
      </c>
      <c r="D79" s="602">
        <v>0</v>
      </c>
      <c r="E79" s="602">
        <v>0</v>
      </c>
      <c r="F79" s="602">
        <v>0</v>
      </c>
      <c r="G79" s="602">
        <v>0</v>
      </c>
      <c r="I79" s="487">
        <v>0</v>
      </c>
      <c r="J79" s="487">
        <v>0</v>
      </c>
      <c r="K79" s="487">
        <v>0</v>
      </c>
      <c r="L79" s="487"/>
      <c r="M79" s="487"/>
      <c r="N79" s="487">
        <v>0</v>
      </c>
      <c r="O79" s="487">
        <f t="shared" si="120"/>
        <v>0</v>
      </c>
      <c r="Q79" s="487">
        <v>0</v>
      </c>
      <c r="R79" s="487">
        <v>0</v>
      </c>
      <c r="S79" s="487">
        <v>0</v>
      </c>
      <c r="T79" s="487"/>
      <c r="U79" s="487"/>
      <c r="V79" s="487">
        <v>0</v>
      </c>
      <c r="W79" s="487">
        <f t="shared" si="121"/>
        <v>0</v>
      </c>
      <c r="Y79" s="601">
        <f t="shared" si="122"/>
        <v>0</v>
      </c>
      <c r="Z79" s="797"/>
      <c r="AA79" s="487"/>
      <c r="AB79" s="601"/>
      <c r="AC79" s="797"/>
      <c r="AF79" s="487"/>
    </row>
    <row r="80" spans="1:32" s="439" customFormat="1">
      <c r="A80" s="435"/>
      <c r="B80" s="798" t="s">
        <v>17</v>
      </c>
      <c r="C80" s="462">
        <v>0</v>
      </c>
      <c r="D80" s="602">
        <v>0</v>
      </c>
      <c r="E80" s="602">
        <v>0</v>
      </c>
      <c r="F80" s="602">
        <v>0</v>
      </c>
      <c r="G80" s="602">
        <v>0</v>
      </c>
      <c r="I80" s="487">
        <v>0</v>
      </c>
      <c r="J80" s="487">
        <v>0</v>
      </c>
      <c r="K80" s="487">
        <v>0</v>
      </c>
      <c r="L80" s="487"/>
      <c r="M80" s="487"/>
      <c r="N80" s="487">
        <v>0</v>
      </c>
      <c r="O80" s="487">
        <f t="shared" si="120"/>
        <v>0</v>
      </c>
      <c r="Q80" s="487">
        <v>0</v>
      </c>
      <c r="R80" s="487">
        <v>0</v>
      </c>
      <c r="S80" s="487">
        <v>0</v>
      </c>
      <c r="T80" s="487"/>
      <c r="U80" s="487"/>
      <c r="V80" s="487">
        <v>0</v>
      </c>
      <c r="W80" s="487">
        <f t="shared" si="121"/>
        <v>0</v>
      </c>
      <c r="Y80" s="601">
        <f t="shared" si="122"/>
        <v>0</v>
      </c>
      <c r="Z80" s="797"/>
      <c r="AA80" s="487"/>
      <c r="AB80" s="601"/>
      <c r="AC80" s="797"/>
      <c r="AF80" s="487"/>
    </row>
    <row r="81" spans="1:32" s="439" customFormat="1">
      <c r="A81" s="435" t="s">
        <v>1449</v>
      </c>
      <c r="B81" s="798" t="s">
        <v>25</v>
      </c>
      <c r="C81" s="462">
        <v>130</v>
      </c>
      <c r="D81" s="602">
        <v>43276820</v>
      </c>
      <c r="E81" s="602">
        <v>52585</v>
      </c>
      <c r="F81" s="602">
        <v>53992</v>
      </c>
      <c r="G81" s="602">
        <v>0</v>
      </c>
      <c r="I81" s="487">
        <v>22100</v>
      </c>
      <c r="J81" s="487">
        <v>1541520.32</v>
      </c>
      <c r="K81" s="487">
        <v>1328167.78</v>
      </c>
      <c r="L81" s="487"/>
      <c r="M81" s="487"/>
      <c r="N81" s="487">
        <v>-15499.8</v>
      </c>
      <c r="O81" s="487">
        <f>SUM(I81:N81)</f>
        <v>2876288.3000000003</v>
      </c>
      <c r="Q81" s="487">
        <v>39000</v>
      </c>
      <c r="R81" s="487">
        <v>1629372.28</v>
      </c>
      <c r="S81" s="487">
        <v>805331.86</v>
      </c>
      <c r="T81" s="487"/>
      <c r="U81" s="487"/>
      <c r="V81" s="487">
        <v>-15499.8</v>
      </c>
      <c r="W81" s="487">
        <f>SUM(Q81:V81)</f>
        <v>2458204.3400000003</v>
      </c>
      <c r="Y81" s="601">
        <f t="shared" si="122"/>
        <v>-418083.95999999996</v>
      </c>
      <c r="Z81" s="797"/>
      <c r="AA81" s="487"/>
      <c r="AB81" s="601"/>
      <c r="AC81" s="797"/>
      <c r="AF81" s="487"/>
    </row>
    <row r="82" spans="1:32">
      <c r="A82" s="258"/>
      <c r="B82" s="293"/>
      <c r="C82" s="224">
        <f>SUM(C78:C81)</f>
        <v>139</v>
      </c>
      <c r="D82" s="224">
        <f>SUM(D78:D81)</f>
        <v>45348740</v>
      </c>
      <c r="E82" s="224">
        <f>SUM(E78:E81)</f>
        <v>57694</v>
      </c>
      <c r="F82" s="224">
        <f>SUM(F78:F81)</f>
        <v>56136</v>
      </c>
      <c r="G82" s="224">
        <f>SUM(G78:G81)</f>
        <v>0</v>
      </c>
      <c r="I82" s="601">
        <f>SUM(I78:I81)</f>
        <v>23630</v>
      </c>
      <c r="J82" s="601">
        <f>SUM(J78:J81)</f>
        <v>1615322.11</v>
      </c>
      <c r="K82" s="601">
        <f>SUM(K78:K81)</f>
        <v>1426659.82</v>
      </c>
      <c r="L82" s="256"/>
      <c r="M82" s="256"/>
      <c r="N82" s="601">
        <f>SUM(N78:N81)</f>
        <v>-15607.039999999999</v>
      </c>
      <c r="O82" s="601">
        <f>SUM(O78:O81)</f>
        <v>3050004.89</v>
      </c>
      <c r="Q82" s="601">
        <f>SUM(Q78:Q81)</f>
        <v>41700</v>
      </c>
      <c r="R82" s="601">
        <f>SUM(R78:R81)</f>
        <v>1707380.07</v>
      </c>
      <c r="S82" s="601">
        <f>SUM(S78:S81)</f>
        <v>862994.01</v>
      </c>
      <c r="T82" s="256"/>
      <c r="U82" s="257"/>
      <c r="V82" s="601">
        <f>SUM(V78:V81)</f>
        <v>-15607.039999999999</v>
      </c>
      <c r="W82" s="601">
        <f>SUM(W78:W81)</f>
        <v>2596467.0400000005</v>
      </c>
      <c r="Y82" s="601">
        <f>SUM(Y78:Y81)</f>
        <v>-453537.85</v>
      </c>
      <c r="AF82" s="256"/>
    </row>
    <row r="83" spans="1:32">
      <c r="A83" s="258"/>
      <c r="B83" s="258"/>
      <c r="C83" s="260"/>
      <c r="D83" s="224"/>
      <c r="E83" s="224"/>
      <c r="F83" s="224"/>
      <c r="G83" s="224"/>
      <c r="AF83" s="256"/>
    </row>
    <row r="84" spans="1:32" s="439" customFormat="1">
      <c r="A84" s="435" t="s">
        <v>159</v>
      </c>
      <c r="B84" s="435" t="s">
        <v>25</v>
      </c>
      <c r="C84" s="462">
        <v>0</v>
      </c>
      <c r="D84" s="602">
        <v>0</v>
      </c>
      <c r="E84" s="602">
        <v>0</v>
      </c>
      <c r="F84" s="602">
        <v>0</v>
      </c>
      <c r="G84" s="602">
        <v>0</v>
      </c>
      <c r="I84" s="487">
        <v>0</v>
      </c>
      <c r="J84" s="487">
        <v>0</v>
      </c>
      <c r="K84" s="487">
        <v>0</v>
      </c>
      <c r="L84" s="487"/>
      <c r="M84" s="487"/>
      <c r="N84" s="487">
        <v>0</v>
      </c>
      <c r="O84" s="487">
        <f t="shared" ref="O84:O89" si="123">SUM(I84:N84)</f>
        <v>0</v>
      </c>
      <c r="Q84" s="487">
        <v>0</v>
      </c>
      <c r="R84" s="487">
        <v>0</v>
      </c>
      <c r="S84" s="487">
        <v>0</v>
      </c>
      <c r="T84" s="487"/>
      <c r="U84" s="487"/>
      <c r="V84" s="487">
        <v>0</v>
      </c>
      <c r="W84" s="487">
        <f t="shared" ref="W84:W89" si="124">SUM(Q84:V84)</f>
        <v>0</v>
      </c>
      <c r="Y84" s="601">
        <f t="shared" ref="Y84:Y89" si="125">W84-O84</f>
        <v>0</v>
      </c>
      <c r="Z84" s="797"/>
      <c r="AA84" s="487"/>
      <c r="AB84" s="601"/>
      <c r="AC84" s="797"/>
      <c r="AF84" s="487"/>
    </row>
    <row r="85" spans="1:32" s="439" customFormat="1">
      <c r="A85" s="435" t="s">
        <v>204</v>
      </c>
      <c r="B85" s="798" t="s">
        <v>757</v>
      </c>
      <c r="C85" s="462">
        <v>6</v>
      </c>
      <c r="D85" s="602">
        <v>289200</v>
      </c>
      <c r="E85" s="602">
        <v>0</v>
      </c>
      <c r="F85" s="602">
        <v>0</v>
      </c>
      <c r="G85" s="602">
        <v>0</v>
      </c>
      <c r="I85" s="487">
        <v>120</v>
      </c>
      <c r="J85" s="487">
        <v>25316.560000000001</v>
      </c>
      <c r="K85" s="487">
        <v>0</v>
      </c>
      <c r="L85" s="487"/>
      <c r="M85" s="487"/>
      <c r="N85" s="487">
        <v>576.47</v>
      </c>
      <c r="O85" s="487">
        <f t="shared" si="123"/>
        <v>26013.030000000002</v>
      </c>
      <c r="Q85" s="487">
        <v>1200</v>
      </c>
      <c r="R85" s="487">
        <v>10911.52</v>
      </c>
      <c r="S85" s="487">
        <v>14948.84</v>
      </c>
      <c r="T85" s="487"/>
      <c r="U85" s="487"/>
      <c r="V85" s="487">
        <v>576.47</v>
      </c>
      <c r="W85" s="487">
        <f t="shared" si="124"/>
        <v>27636.83</v>
      </c>
      <c r="Y85" s="601">
        <f t="shared" si="125"/>
        <v>1623.7999999999993</v>
      </c>
      <c r="Z85" s="797"/>
      <c r="AA85" s="487"/>
      <c r="AB85" s="601"/>
      <c r="AC85" s="797"/>
      <c r="AF85" s="487"/>
    </row>
    <row r="86" spans="1:32" s="439" customFormat="1">
      <c r="A86" s="435"/>
      <c r="B86" s="798" t="s">
        <v>17</v>
      </c>
      <c r="C86" s="462">
        <v>140</v>
      </c>
      <c r="D86" s="602">
        <v>14381708</v>
      </c>
      <c r="E86" s="602">
        <v>0</v>
      </c>
      <c r="F86" s="602">
        <v>0</v>
      </c>
      <c r="G86" s="602">
        <v>0</v>
      </c>
      <c r="I86" s="487">
        <v>4900</v>
      </c>
      <c r="J86" s="487">
        <v>1258974.69</v>
      </c>
      <c r="K86" s="487">
        <v>0</v>
      </c>
      <c r="L86" s="487"/>
      <c r="M86" s="487"/>
      <c r="N86" s="487">
        <v>-4834.72</v>
      </c>
      <c r="O86" s="487">
        <f t="shared" si="123"/>
        <v>1259039.97</v>
      </c>
      <c r="Q86" s="487">
        <v>28000</v>
      </c>
      <c r="R86" s="487">
        <v>542621.84</v>
      </c>
      <c r="S86" s="487">
        <v>438472</v>
      </c>
      <c r="T86" s="487"/>
      <c r="U86" s="487"/>
      <c r="V86" s="487">
        <v>-4834.72</v>
      </c>
      <c r="W86" s="487">
        <f t="shared" si="124"/>
        <v>1004259.12</v>
      </c>
      <c r="Y86" s="601">
        <f t="shared" si="125"/>
        <v>-254780.84999999998</v>
      </c>
      <c r="Z86" s="797"/>
      <c r="AA86" s="487"/>
      <c r="AB86" s="601"/>
      <c r="AC86" s="797"/>
      <c r="AF86" s="487"/>
    </row>
    <row r="87" spans="1:32">
      <c r="A87" s="435">
        <v>562</v>
      </c>
      <c r="B87" s="798" t="s">
        <v>24</v>
      </c>
      <c r="C87" s="462">
        <v>240</v>
      </c>
      <c r="D87" s="602">
        <v>28157814</v>
      </c>
      <c r="E87" s="602">
        <v>33360</v>
      </c>
      <c r="F87" s="602">
        <v>50312</v>
      </c>
      <c r="G87" s="602">
        <v>0</v>
      </c>
      <c r="H87" s="439"/>
      <c r="I87" s="487">
        <v>21600</v>
      </c>
      <c r="J87" s="487">
        <v>1003544.5</v>
      </c>
      <c r="K87" s="487">
        <v>1068710.96</v>
      </c>
      <c r="L87" s="487"/>
      <c r="M87" s="487"/>
      <c r="N87" s="487">
        <v>-11437.02</v>
      </c>
      <c r="O87" s="487">
        <f t="shared" si="123"/>
        <v>2082418.44</v>
      </c>
      <c r="Q87" s="487">
        <v>48000</v>
      </c>
      <c r="R87" s="487">
        <v>1062394.31</v>
      </c>
      <c r="S87" s="487">
        <v>835684.47</v>
      </c>
      <c r="T87" s="487"/>
      <c r="U87" s="487"/>
      <c r="V87" s="487">
        <v>-11437.02</v>
      </c>
      <c r="W87" s="487">
        <f t="shared" si="124"/>
        <v>1934641.76</v>
      </c>
      <c r="Y87" s="601">
        <f t="shared" si="125"/>
        <v>-147776.67999999993</v>
      </c>
      <c r="Z87" s="262"/>
      <c r="AA87" s="256"/>
      <c r="AB87" s="257"/>
      <c r="AC87" s="262"/>
      <c r="AF87" s="256"/>
    </row>
    <row r="88" spans="1:32">
      <c r="A88" s="435">
        <v>568</v>
      </c>
      <c r="B88" s="798" t="s">
        <v>24</v>
      </c>
      <c r="C88" s="462">
        <v>400</v>
      </c>
      <c r="D88" s="602">
        <v>97363336</v>
      </c>
      <c r="E88" s="602">
        <v>117744</v>
      </c>
      <c r="F88" s="602">
        <v>138287</v>
      </c>
      <c r="G88" s="602">
        <v>0</v>
      </c>
      <c r="H88" s="439"/>
      <c r="I88" s="487">
        <v>36000</v>
      </c>
      <c r="J88" s="487">
        <v>3470029.27</v>
      </c>
      <c r="K88" s="487">
        <v>3297061.6</v>
      </c>
      <c r="L88" s="487"/>
      <c r="M88" s="487"/>
      <c r="N88" s="487">
        <v>-19422.52</v>
      </c>
      <c r="O88" s="487">
        <f t="shared" si="123"/>
        <v>6783668.3500000006</v>
      </c>
      <c r="Q88" s="487">
        <v>80000</v>
      </c>
      <c r="R88" s="487">
        <v>3673518.69</v>
      </c>
      <c r="S88" s="487">
        <v>2553467.12</v>
      </c>
      <c r="T88" s="487"/>
      <c r="U88" s="487"/>
      <c r="V88" s="487">
        <v>-19422.52</v>
      </c>
      <c r="W88" s="487">
        <f t="shared" si="124"/>
        <v>6287563.290000001</v>
      </c>
      <c r="Y88" s="601">
        <f t="shared" si="125"/>
        <v>-496105.05999999959</v>
      </c>
      <c r="Z88" s="262"/>
      <c r="AA88" s="256"/>
      <c r="AB88" s="257"/>
      <c r="AC88" s="262"/>
      <c r="AF88" s="256"/>
    </row>
    <row r="89" spans="1:32">
      <c r="A89" s="435">
        <v>224</v>
      </c>
      <c r="B89" s="798" t="s">
        <v>212</v>
      </c>
      <c r="C89" s="462">
        <v>9</v>
      </c>
      <c r="D89" s="602">
        <v>1038080</v>
      </c>
      <c r="E89" s="602">
        <v>0</v>
      </c>
      <c r="F89" s="602">
        <v>0</v>
      </c>
      <c r="G89" s="602">
        <v>0</v>
      </c>
      <c r="H89" s="439"/>
      <c r="I89" s="487">
        <v>315</v>
      </c>
      <c r="J89" s="487">
        <v>73963.199999999997</v>
      </c>
      <c r="K89" s="487">
        <v>0</v>
      </c>
      <c r="L89" s="487"/>
      <c r="M89" s="487"/>
      <c r="N89" s="487">
        <v>-1110.2</v>
      </c>
      <c r="O89" s="487">
        <f t="shared" si="123"/>
        <v>73168</v>
      </c>
      <c r="Q89" s="487">
        <v>1800</v>
      </c>
      <c r="R89" s="487">
        <v>39166.76</v>
      </c>
      <c r="S89" s="487">
        <v>30738.47</v>
      </c>
      <c r="T89" s="487"/>
      <c r="U89" s="487"/>
      <c r="V89" s="487">
        <v>-1110.2</v>
      </c>
      <c r="W89" s="487">
        <f t="shared" si="124"/>
        <v>70595.030000000013</v>
      </c>
      <c r="Y89" s="601">
        <f t="shared" si="125"/>
        <v>-2572.9699999999866</v>
      </c>
      <c r="Z89" s="262"/>
      <c r="AA89" s="256"/>
      <c r="AB89" s="257"/>
      <c r="AC89" s="262"/>
      <c r="AF89" s="256"/>
    </row>
    <row r="90" spans="1:32">
      <c r="A90" s="435">
        <v>227</v>
      </c>
      <c r="B90" s="798" t="s">
        <v>212</v>
      </c>
      <c r="C90" s="462">
        <v>10</v>
      </c>
      <c r="D90" s="602">
        <v>1652000</v>
      </c>
      <c r="E90" s="602">
        <v>0</v>
      </c>
      <c r="F90" s="602">
        <v>0</v>
      </c>
      <c r="G90" s="602">
        <v>0</v>
      </c>
      <c r="H90" s="439"/>
      <c r="I90" s="487">
        <v>350</v>
      </c>
      <c r="J90" s="487">
        <v>117705</v>
      </c>
      <c r="K90" s="487">
        <v>0</v>
      </c>
      <c r="L90" s="487"/>
      <c r="M90" s="487"/>
      <c r="N90" s="487">
        <v>-917.78</v>
      </c>
      <c r="O90" s="487">
        <f t="shared" ref="O90" si="126">SUM(I90:N90)</f>
        <v>117137.22</v>
      </c>
      <c r="Q90" s="487">
        <v>2000</v>
      </c>
      <c r="R90" s="487">
        <v>62329.96</v>
      </c>
      <c r="S90" s="487">
        <v>41956.43</v>
      </c>
      <c r="T90" s="487"/>
      <c r="U90" s="487"/>
      <c r="V90" s="487">
        <v>-917.78</v>
      </c>
      <c r="W90" s="487">
        <f t="shared" ref="W90" si="127">SUM(Q90:V90)</f>
        <v>105368.61</v>
      </c>
      <c r="Y90" s="601">
        <f t="shared" ref="Y90" si="128">W90-O90</f>
        <v>-11768.61</v>
      </c>
      <c r="Z90" s="262"/>
      <c r="AA90" s="256"/>
      <c r="AB90" s="257"/>
      <c r="AC90" s="262"/>
      <c r="AF90" s="256"/>
    </row>
    <row r="91" spans="1:32">
      <c r="A91" s="258"/>
      <c r="B91" s="293"/>
      <c r="C91" s="602">
        <f>SUM(C84:C90)</f>
        <v>805</v>
      </c>
      <c r="D91" s="602">
        <f t="shared" ref="D91:G91" si="129">SUM(D84:D90)</f>
        <v>142882138</v>
      </c>
      <c r="E91" s="602">
        <f t="shared" si="129"/>
        <v>151104</v>
      </c>
      <c r="F91" s="602">
        <f t="shared" si="129"/>
        <v>188599</v>
      </c>
      <c r="G91" s="602">
        <f t="shared" si="129"/>
        <v>0</v>
      </c>
      <c r="I91" s="601">
        <f>SUM(I84:I90)</f>
        <v>63285</v>
      </c>
      <c r="J91" s="601">
        <f>SUM(J84:J90)</f>
        <v>5949533.2199999997</v>
      </c>
      <c r="K91" s="601">
        <f>SUM(K84:K90)</f>
        <v>4365772.5600000005</v>
      </c>
      <c r="L91" s="256"/>
      <c r="M91" s="256"/>
      <c r="N91" s="601">
        <f>SUM(N84:N90)</f>
        <v>-37145.769999999997</v>
      </c>
      <c r="O91" s="601">
        <f>SUM(O84:O90)</f>
        <v>10341445.010000002</v>
      </c>
      <c r="Q91" s="601">
        <f>SUM(Q84:Q90)</f>
        <v>161000</v>
      </c>
      <c r="R91" s="601">
        <f>SUM(R84:R90)</f>
        <v>5390943.0799999991</v>
      </c>
      <c r="S91" s="601">
        <f>SUM(S84:S90)</f>
        <v>3915267.3300000005</v>
      </c>
      <c r="T91" s="256"/>
      <c r="U91" s="257"/>
      <c r="V91" s="601">
        <f>SUM(V84:V90)</f>
        <v>-37145.769999999997</v>
      </c>
      <c r="W91" s="601">
        <f>SUM(W84:W90)</f>
        <v>9430064.6399999987</v>
      </c>
      <c r="Y91" s="601">
        <f>SUM(Y84:Y90)</f>
        <v>-911380.36999999953</v>
      </c>
      <c r="AF91" s="256"/>
    </row>
    <row r="92" spans="1:32">
      <c r="A92" s="258"/>
      <c r="B92" s="258"/>
      <c r="C92" s="260"/>
      <c r="D92" s="224"/>
      <c r="E92" s="224"/>
      <c r="F92" s="224"/>
      <c r="G92" s="224"/>
      <c r="AF92" s="256"/>
    </row>
    <row r="93" spans="1:32" s="439" customFormat="1">
      <c r="A93" s="457" t="s">
        <v>164</v>
      </c>
      <c r="B93" s="798" t="s">
        <v>212</v>
      </c>
      <c r="C93" s="462">
        <v>12</v>
      </c>
      <c r="D93" s="602">
        <v>3999</v>
      </c>
      <c r="E93" s="602">
        <v>0</v>
      </c>
      <c r="F93" s="602">
        <v>0</v>
      </c>
      <c r="G93" s="602">
        <v>0</v>
      </c>
      <c r="I93" s="487">
        <v>420</v>
      </c>
      <c r="J93" s="487">
        <v>284.93</v>
      </c>
      <c r="K93" s="601">
        <v>0</v>
      </c>
      <c r="L93" s="487"/>
      <c r="M93" s="487"/>
      <c r="N93" s="487">
        <v>-1.65</v>
      </c>
      <c r="O93" s="487">
        <f>SUM(I93:N93)</f>
        <v>703.28000000000009</v>
      </c>
      <c r="Q93" s="487">
        <v>240</v>
      </c>
      <c r="R93" s="487">
        <v>284.93</v>
      </c>
      <c r="S93" s="601">
        <v>0</v>
      </c>
      <c r="T93" s="487"/>
      <c r="U93" s="487"/>
      <c r="V93" s="487">
        <v>-1.65</v>
      </c>
      <c r="W93" s="487">
        <f>SUM(Q93:V93)</f>
        <v>523.28000000000009</v>
      </c>
      <c r="Y93" s="601">
        <f t="shared" ref="Y93" si="130">W93-O93</f>
        <v>-180</v>
      </c>
      <c r="Z93" s="487"/>
      <c r="AA93" s="487"/>
      <c r="AB93" s="601"/>
      <c r="AC93" s="487"/>
      <c r="AF93" s="487"/>
    </row>
    <row r="94" spans="1:32">
      <c r="A94" s="258" t="s">
        <v>203</v>
      </c>
      <c r="B94" s="258"/>
      <c r="C94" s="260"/>
      <c r="D94" s="224"/>
      <c r="E94" s="224"/>
      <c r="F94" s="224"/>
      <c r="G94" s="224"/>
      <c r="AF94" s="256"/>
    </row>
    <row r="95" spans="1:32">
      <c r="A95" s="258"/>
      <c r="B95" s="258"/>
      <c r="C95" s="260"/>
      <c r="D95" s="224"/>
      <c r="E95" s="224"/>
      <c r="F95" s="224"/>
      <c r="G95" s="224"/>
      <c r="AF95" s="256"/>
    </row>
    <row r="96" spans="1:32" s="439" customFormat="1">
      <c r="A96" s="818" t="s">
        <v>166</v>
      </c>
      <c r="B96" s="798" t="s">
        <v>203</v>
      </c>
      <c r="C96" s="462">
        <v>2</v>
      </c>
      <c r="D96" s="602">
        <v>161200</v>
      </c>
      <c r="E96" s="602">
        <v>0</v>
      </c>
      <c r="F96" s="602">
        <v>0</v>
      </c>
      <c r="G96" s="602">
        <v>0</v>
      </c>
      <c r="I96" s="487">
        <v>40</v>
      </c>
      <c r="J96" s="487">
        <v>11485.5</v>
      </c>
      <c r="K96" s="487">
        <v>0</v>
      </c>
      <c r="L96" s="487"/>
      <c r="M96" s="487"/>
      <c r="N96" s="487">
        <v>147.75</v>
      </c>
      <c r="O96" s="487">
        <f>SUM(I96:N96)</f>
        <v>11673.25</v>
      </c>
      <c r="Q96" s="487">
        <v>70</v>
      </c>
      <c r="R96" s="487">
        <v>11485.5</v>
      </c>
      <c r="S96" s="601">
        <v>0</v>
      </c>
      <c r="T96" s="487"/>
      <c r="U96" s="487"/>
      <c r="V96" s="487">
        <v>147.75</v>
      </c>
      <c r="W96" s="487">
        <f>SUM(Q96:V96)</f>
        <v>11703.25</v>
      </c>
      <c r="Y96" s="601">
        <f t="shared" ref="Y96" si="131">W96-O96</f>
        <v>30</v>
      </c>
      <c r="Z96" s="487"/>
      <c r="AA96" s="487"/>
      <c r="AB96" s="601"/>
      <c r="AC96" s="487"/>
      <c r="AF96" s="487"/>
    </row>
    <row r="97" spans="1:32">
      <c r="A97" s="258" t="s">
        <v>212</v>
      </c>
      <c r="B97" s="258"/>
      <c r="C97" s="260"/>
      <c r="D97" s="224"/>
      <c r="E97" s="224"/>
      <c r="F97" s="224"/>
      <c r="G97" s="224"/>
      <c r="AF97" s="256"/>
    </row>
    <row r="98" spans="1:32">
      <c r="A98" s="258"/>
      <c r="B98" s="258"/>
      <c r="C98" s="260"/>
      <c r="D98" s="224"/>
      <c r="E98" s="224"/>
      <c r="F98" s="224"/>
      <c r="G98" s="224"/>
      <c r="AF98" s="256"/>
    </row>
    <row r="99" spans="1:32" s="439" customFormat="1">
      <c r="A99" s="435"/>
      <c r="B99" s="435"/>
      <c r="C99" s="462"/>
      <c r="D99" s="462"/>
      <c r="E99" s="462"/>
      <c r="F99" s="462"/>
      <c r="G99" s="462"/>
      <c r="AF99" s="487"/>
    </row>
    <row r="100" spans="1:32">
      <c r="C100" s="260"/>
      <c r="D100" s="260"/>
      <c r="E100" s="260"/>
      <c r="F100" s="260"/>
      <c r="G100" s="260"/>
      <c r="AF100" s="256"/>
    </row>
    <row r="101" spans="1:32">
      <c r="A101" s="259" t="s">
        <v>449</v>
      </c>
      <c r="C101" s="260">
        <f>SUM(C15,C25,C33,C40,C42,C56,C62,C66,C70,C76,C82,C91,C93,C96,C45,C48)</f>
        <v>21282</v>
      </c>
      <c r="D101" s="260">
        <f>SUM(D15,D25,D33,D40,D42,D56,D62,D66,D70,D76,D82,D91,D93,D96,D45,D48)</f>
        <v>308440121</v>
      </c>
      <c r="E101" s="260">
        <f>SUM(E15,E25,E33,E40,E42,E56,E62,E66,E70,E76,E82,E91,E93,E96,E45,E48)</f>
        <v>262642</v>
      </c>
      <c r="F101" s="260">
        <f>SUM(F15,F25,F33,F40,F42,F56,F62,F66,F70,F76,F82,F91,F93,F96,F45,F48)</f>
        <v>315004</v>
      </c>
      <c r="G101" s="260">
        <f>SUM(G15,G25,G33,G40,G42,G56,G62,G66,G70,G76,G82,G91,G93,G96,G45,G48)</f>
        <v>15753</v>
      </c>
      <c r="I101" s="601">
        <f>SUM(I15,I25,I33,I40,I42,I56,I62,I66,I70,I76,I82,I91,I93,I96,I45,I48)</f>
        <v>687310.75</v>
      </c>
      <c r="J101" s="601">
        <f>SUM(J15,J25,J33,J40,J42,J56,J62,J66,J70,J76,J82,J91,J93,J96,J45,J48)</f>
        <v>16978120.789999999</v>
      </c>
      <c r="K101" s="601">
        <f>SUM(K15,K25,K33,K40,K42,K56,K62,K66,K70,K76,K82,K91,K93,K96,K45,K48)</f>
        <v>6600790.8100000005</v>
      </c>
      <c r="L101" s="257"/>
      <c r="M101" s="257"/>
      <c r="N101" s="601">
        <f>SUM(N15,N25,N33,N40,N42,N56,N62,N66,N70,N76,N82,N91,N93,N96,N45,N48)</f>
        <v>-62810.92</v>
      </c>
      <c r="O101" s="601">
        <f>SUM(O15,O25,O33,O40,O42,O56,O62,O66,O70,O76,O82,O91,O93,O96,O45,O48)</f>
        <v>24203411.43</v>
      </c>
      <c r="P101" s="439"/>
      <c r="Q101" s="601">
        <f>SUM(Q15,Q25,Q33,Q40,Q42,Q56,Q62,Q66,Q70,Q76,Q82,Q91,Q93,Q96,Q45,Q48)</f>
        <v>926118.75</v>
      </c>
      <c r="R101" s="601">
        <f>SUM(R15,R25,R33,R40,R42,R56,R62,R66,R70,R76,R82,R91,R93,R96,R45,R48)</f>
        <v>15257097.949999996</v>
      </c>
      <c r="S101" s="601">
        <f>SUM(S15,S25,S33,S40,S42,S56,S62,S66,S70,S76,S82,S91,S93,S96,S45,S48)</f>
        <v>6408507.3600000013</v>
      </c>
      <c r="T101" s="601"/>
      <c r="U101" s="601"/>
      <c r="V101" s="601">
        <f>SUM(V15,V25,V33,V40,V42,V56,V62,V66,V70,V76,V82,V91,V93,V96,V45,V48)</f>
        <v>-62810.92</v>
      </c>
      <c r="W101" s="601">
        <f>SUM(W15,W25,W33,W40,W42,W56,W62,W66,W70,W76,W82,W91,W93,W96,W45,W48)</f>
        <v>22528913.139999997</v>
      </c>
      <c r="Y101" s="257"/>
      <c r="Z101" s="257"/>
      <c r="AA101" s="256"/>
      <c r="AB101" s="257"/>
      <c r="AC101" s="257"/>
      <c r="AF101" s="256"/>
    </row>
    <row r="102" spans="1:32">
      <c r="N102" s="439"/>
      <c r="O102" s="439"/>
      <c r="P102" s="439"/>
      <c r="Q102" s="439"/>
      <c r="R102" s="439"/>
      <c r="S102" s="439"/>
      <c r="T102" s="439"/>
      <c r="U102" s="439"/>
      <c r="V102" s="439"/>
      <c r="W102" s="439"/>
      <c r="Y102" s="256"/>
      <c r="AF102" s="256"/>
    </row>
    <row r="103" spans="1:32">
      <c r="N103" s="439"/>
      <c r="O103" s="439"/>
      <c r="P103" s="439"/>
      <c r="Q103" s="491">
        <f>Q101-I101</f>
        <v>238808</v>
      </c>
      <c r="R103" s="491">
        <f>R101-J101</f>
        <v>-1721022.8400000036</v>
      </c>
      <c r="S103" s="491">
        <f>S101-K101</f>
        <v>-192283.44999999925</v>
      </c>
      <c r="T103" s="487"/>
      <c r="U103" s="487"/>
      <c r="V103" s="491">
        <f>V101-N101</f>
        <v>0</v>
      </c>
      <c r="W103" s="491">
        <f>W101-O101</f>
        <v>-1674498.2900000028</v>
      </c>
      <c r="AF103" s="256"/>
    </row>
    <row r="108" spans="1:32" s="439" customFormat="1">
      <c r="B108" s="439" t="s">
        <v>14</v>
      </c>
      <c r="C108" s="439">
        <f t="shared" ref="C108:G122" si="132">SUMIF($B$6:$B$101,$B108,C$6:C$101)</f>
        <v>381</v>
      </c>
      <c r="D108" s="439">
        <f t="shared" si="132"/>
        <v>491600</v>
      </c>
      <c r="E108" s="439">
        <f t="shared" si="132"/>
        <v>0</v>
      </c>
      <c r="F108" s="439">
        <f t="shared" si="132"/>
        <v>0</v>
      </c>
      <c r="G108" s="439">
        <f t="shared" si="132"/>
        <v>0</v>
      </c>
      <c r="I108" s="601">
        <f t="shared" ref="I108:O109" si="133">SUMIF($B$6:$B$101,$B108,I$6:I$101)</f>
        <v>4095.75</v>
      </c>
      <c r="J108" s="601">
        <f t="shared" si="133"/>
        <v>36520.94</v>
      </c>
      <c r="K108" s="601">
        <f t="shared" si="133"/>
        <v>0</v>
      </c>
      <c r="L108" s="601">
        <f t="shared" si="133"/>
        <v>0</v>
      </c>
      <c r="M108" s="601">
        <f t="shared" si="133"/>
        <v>0</v>
      </c>
      <c r="N108" s="601">
        <f t="shared" si="133"/>
        <v>-293.60000000000002</v>
      </c>
      <c r="O108" s="601">
        <f t="shared" si="133"/>
        <v>40323.089999999997</v>
      </c>
      <c r="Q108" s="802"/>
      <c r="U108" s="601">
        <f t="shared" ref="U108:U122" si="134">SUMIF($B$6:$B$101,$B108,U$6:U$101)</f>
        <v>0</v>
      </c>
      <c r="W108" s="601">
        <f t="shared" ref="W108:W122" si="135">SUMIF($B$6:$B$101,$B108,W$6:W$101)</f>
        <v>46167.990000000005</v>
      </c>
    </row>
    <row r="109" spans="1:32" s="439" customFormat="1">
      <c r="B109" s="801" t="s">
        <v>1447</v>
      </c>
      <c r="C109" s="439">
        <f t="shared" si="132"/>
        <v>239</v>
      </c>
      <c r="D109" s="439">
        <f t="shared" si="132"/>
        <v>287794</v>
      </c>
      <c r="E109" s="439">
        <f t="shared" si="132"/>
        <v>0</v>
      </c>
      <c r="F109" s="439">
        <f t="shared" si="132"/>
        <v>0</v>
      </c>
      <c r="G109" s="439">
        <f t="shared" si="132"/>
        <v>0</v>
      </c>
      <c r="I109" s="601">
        <f t="shared" si="133"/>
        <v>2569.25</v>
      </c>
      <c r="J109" s="601">
        <f t="shared" si="133"/>
        <v>21380.21</v>
      </c>
      <c r="K109" s="601">
        <f t="shared" si="133"/>
        <v>0</v>
      </c>
      <c r="L109" s="601">
        <f t="shared" si="133"/>
        <v>0</v>
      </c>
      <c r="M109" s="601">
        <f t="shared" si="133"/>
        <v>0</v>
      </c>
      <c r="N109" s="601">
        <f t="shared" si="133"/>
        <v>-231.54999999999995</v>
      </c>
      <c r="O109" s="601">
        <f t="shared" si="133"/>
        <v>23717.91</v>
      </c>
      <c r="Q109" s="802"/>
      <c r="U109" s="601">
        <f t="shared" si="134"/>
        <v>0</v>
      </c>
      <c r="W109" s="601">
        <f t="shared" si="135"/>
        <v>28237.340000000004</v>
      </c>
    </row>
    <row r="110" spans="1:32" s="439" customFormat="1">
      <c r="B110" s="801" t="s">
        <v>1448</v>
      </c>
      <c r="C110" s="602">
        <f t="shared" si="132"/>
        <v>99</v>
      </c>
      <c r="D110" s="602">
        <f t="shared" si="132"/>
        <v>151034</v>
      </c>
      <c r="E110" s="602">
        <f t="shared" si="132"/>
        <v>0</v>
      </c>
      <c r="F110" s="602">
        <f t="shared" si="132"/>
        <v>0</v>
      </c>
      <c r="G110" s="602">
        <f t="shared" si="132"/>
        <v>0</v>
      </c>
      <c r="I110" s="601">
        <f t="shared" ref="I110:K122" si="136">SUMIF($B$6:$B$101,$B110,I$6:I$101)</f>
        <v>1064.25</v>
      </c>
      <c r="J110" s="601">
        <f t="shared" si="136"/>
        <v>11220.3</v>
      </c>
      <c r="K110" s="601">
        <f t="shared" si="136"/>
        <v>0</v>
      </c>
      <c r="L110" s="601"/>
      <c r="M110" s="601"/>
      <c r="N110" s="601">
        <f t="shared" ref="N110:O122" si="137">SUMIF($B$6:$B$101,$B110,N$6:N$101)</f>
        <v>-73.180000000000007</v>
      </c>
      <c r="O110" s="601">
        <f t="shared" si="137"/>
        <v>12211.369999999999</v>
      </c>
      <c r="Q110" s="802"/>
      <c r="U110" s="601">
        <f t="shared" si="134"/>
        <v>0</v>
      </c>
      <c r="W110" s="601">
        <f t="shared" si="135"/>
        <v>13462.4</v>
      </c>
    </row>
    <row r="111" spans="1:32" s="439" customFormat="1">
      <c r="B111" s="801" t="s">
        <v>1450</v>
      </c>
      <c r="C111" s="602">
        <f t="shared" si="132"/>
        <v>43</v>
      </c>
      <c r="D111" s="602">
        <f t="shared" si="132"/>
        <v>52772</v>
      </c>
      <c r="E111" s="602">
        <f t="shared" si="132"/>
        <v>0</v>
      </c>
      <c r="F111" s="602">
        <f t="shared" si="132"/>
        <v>0</v>
      </c>
      <c r="G111" s="602">
        <f t="shared" si="132"/>
        <v>0</v>
      </c>
      <c r="I111" s="601">
        <f t="shared" si="136"/>
        <v>462.25</v>
      </c>
      <c r="J111" s="601">
        <f t="shared" si="136"/>
        <v>3920.4300000000003</v>
      </c>
      <c r="K111" s="601">
        <f t="shared" si="136"/>
        <v>0</v>
      </c>
      <c r="L111" s="601"/>
      <c r="M111" s="601"/>
      <c r="N111" s="601">
        <f t="shared" si="137"/>
        <v>11.13</v>
      </c>
      <c r="O111" s="601">
        <f t="shared" si="137"/>
        <v>4393.8100000000004</v>
      </c>
      <c r="Q111" s="802"/>
      <c r="U111" s="601">
        <f t="shared" si="134"/>
        <v>0</v>
      </c>
      <c r="W111" s="601">
        <f t="shared" si="135"/>
        <v>4468.25</v>
      </c>
    </row>
    <row r="112" spans="1:32" s="439" customFormat="1">
      <c r="B112" s="439" t="s">
        <v>16</v>
      </c>
      <c r="C112" s="439">
        <f t="shared" si="132"/>
        <v>0</v>
      </c>
      <c r="D112" s="439">
        <f t="shared" si="132"/>
        <v>0</v>
      </c>
      <c r="E112" s="439">
        <f t="shared" si="132"/>
        <v>0</v>
      </c>
      <c r="F112" s="439">
        <f t="shared" si="132"/>
        <v>0</v>
      </c>
      <c r="G112" s="439">
        <f t="shared" si="132"/>
        <v>0</v>
      </c>
      <c r="I112" s="601">
        <f t="shared" si="136"/>
        <v>0</v>
      </c>
      <c r="J112" s="601">
        <f t="shared" si="136"/>
        <v>0</v>
      </c>
      <c r="K112" s="601">
        <f t="shared" si="136"/>
        <v>0</v>
      </c>
      <c r="L112" s="601">
        <f t="shared" ref="L112:M118" si="138">SUMIF($B$6:$B$101,$B112,L$6:L$101)</f>
        <v>0</v>
      </c>
      <c r="M112" s="601">
        <f t="shared" si="138"/>
        <v>0</v>
      </c>
      <c r="N112" s="601">
        <f t="shared" si="137"/>
        <v>0</v>
      </c>
      <c r="O112" s="601">
        <f t="shared" si="137"/>
        <v>0</v>
      </c>
      <c r="Q112" s="802"/>
      <c r="U112" s="601">
        <f t="shared" si="134"/>
        <v>0</v>
      </c>
      <c r="W112" s="601">
        <f t="shared" si="135"/>
        <v>0</v>
      </c>
    </row>
    <row r="113" spans="1:23" s="439" customFormat="1">
      <c r="B113" s="447" t="s">
        <v>757</v>
      </c>
      <c r="C113" s="602">
        <f t="shared" si="132"/>
        <v>15007</v>
      </c>
      <c r="D113" s="602">
        <f t="shared" si="132"/>
        <v>55669955</v>
      </c>
      <c r="E113" s="602">
        <f t="shared" si="132"/>
        <v>0</v>
      </c>
      <c r="F113" s="602">
        <f t="shared" si="132"/>
        <v>0</v>
      </c>
      <c r="G113" s="602">
        <f t="shared" si="132"/>
        <v>0</v>
      </c>
      <c r="I113" s="601">
        <f t="shared" si="136"/>
        <v>300140</v>
      </c>
      <c r="J113" s="601">
        <f t="shared" si="136"/>
        <v>4873347.8199999984</v>
      </c>
      <c r="K113" s="601">
        <f t="shared" si="136"/>
        <v>0</v>
      </c>
      <c r="L113" s="601">
        <f t="shared" si="138"/>
        <v>0</v>
      </c>
      <c r="M113" s="601">
        <f t="shared" si="138"/>
        <v>0</v>
      </c>
      <c r="N113" s="601">
        <f t="shared" si="137"/>
        <v>-1878.2600000000004</v>
      </c>
      <c r="O113" s="601">
        <f t="shared" si="137"/>
        <v>5171609.5600000005</v>
      </c>
      <c r="U113" s="601">
        <f t="shared" si="134"/>
        <v>0</v>
      </c>
      <c r="W113" s="601">
        <f t="shared" si="135"/>
        <v>5412194.0500000007</v>
      </c>
    </row>
    <row r="114" spans="1:23" s="439" customFormat="1">
      <c r="B114" s="439" t="s">
        <v>17</v>
      </c>
      <c r="C114" s="439">
        <f t="shared" si="132"/>
        <v>2968</v>
      </c>
      <c r="D114" s="602">
        <f t="shared" si="132"/>
        <v>57202675</v>
      </c>
      <c r="E114" s="755">
        <f t="shared" si="132"/>
        <v>0</v>
      </c>
      <c r="F114" s="755">
        <f t="shared" si="132"/>
        <v>0</v>
      </c>
      <c r="G114" s="755">
        <f t="shared" si="132"/>
        <v>0</v>
      </c>
      <c r="I114" s="601">
        <f t="shared" si="136"/>
        <v>103880</v>
      </c>
      <c r="J114" s="601">
        <f t="shared" si="136"/>
        <v>5007522.18</v>
      </c>
      <c r="K114" s="601">
        <f t="shared" si="136"/>
        <v>0</v>
      </c>
      <c r="L114" s="601">
        <f t="shared" si="138"/>
        <v>0</v>
      </c>
      <c r="M114" s="601">
        <f t="shared" si="138"/>
        <v>0</v>
      </c>
      <c r="N114" s="601">
        <f t="shared" si="137"/>
        <v>-11632.779999999999</v>
      </c>
      <c r="O114" s="601">
        <f t="shared" si="137"/>
        <v>5099769.3999999994</v>
      </c>
      <c r="U114" s="601">
        <f t="shared" si="134"/>
        <v>0</v>
      </c>
      <c r="W114" s="601">
        <f t="shared" si="135"/>
        <v>4194692.4899999993</v>
      </c>
    </row>
    <row r="115" spans="1:23" s="439" customFormat="1">
      <c r="B115" s="447" t="s">
        <v>209</v>
      </c>
      <c r="C115" s="439">
        <f t="shared" si="132"/>
        <v>2</v>
      </c>
      <c r="D115" s="602">
        <f t="shared" si="132"/>
        <v>0</v>
      </c>
      <c r="E115" s="755">
        <f t="shared" si="132"/>
        <v>0</v>
      </c>
      <c r="F115" s="755">
        <f t="shared" si="132"/>
        <v>0</v>
      </c>
      <c r="G115" s="755">
        <f t="shared" si="132"/>
        <v>0</v>
      </c>
      <c r="I115" s="601">
        <f t="shared" si="136"/>
        <v>40</v>
      </c>
      <c r="J115" s="601">
        <f t="shared" si="136"/>
        <v>0</v>
      </c>
      <c r="K115" s="601">
        <f t="shared" si="136"/>
        <v>0</v>
      </c>
      <c r="L115" s="601">
        <f t="shared" si="138"/>
        <v>0</v>
      </c>
      <c r="M115" s="601">
        <f t="shared" si="138"/>
        <v>0</v>
      </c>
      <c r="N115" s="601">
        <f t="shared" si="137"/>
        <v>0</v>
      </c>
      <c r="O115" s="601">
        <f t="shared" si="137"/>
        <v>40</v>
      </c>
      <c r="U115" s="601">
        <f t="shared" si="134"/>
        <v>0</v>
      </c>
      <c r="W115" s="601">
        <f t="shared" si="135"/>
        <v>40</v>
      </c>
    </row>
    <row r="116" spans="1:23" s="439" customFormat="1">
      <c r="B116" s="439" t="s">
        <v>203</v>
      </c>
      <c r="C116" s="602">
        <f t="shared" si="132"/>
        <v>6</v>
      </c>
      <c r="D116" s="602">
        <f t="shared" si="132"/>
        <v>161960</v>
      </c>
      <c r="E116" s="602">
        <f t="shared" si="132"/>
        <v>0</v>
      </c>
      <c r="F116" s="602">
        <f t="shared" si="132"/>
        <v>0</v>
      </c>
      <c r="G116" s="602">
        <f t="shared" si="132"/>
        <v>0</v>
      </c>
      <c r="I116" s="601">
        <f t="shared" si="136"/>
        <v>120</v>
      </c>
      <c r="J116" s="601">
        <f t="shared" si="136"/>
        <v>11539.65</v>
      </c>
      <c r="K116" s="601">
        <f t="shared" si="136"/>
        <v>0</v>
      </c>
      <c r="L116" s="601">
        <f t="shared" si="138"/>
        <v>0</v>
      </c>
      <c r="M116" s="601">
        <f t="shared" si="138"/>
        <v>0</v>
      </c>
      <c r="N116" s="601">
        <f t="shared" si="137"/>
        <v>145.74</v>
      </c>
      <c r="O116" s="601">
        <f t="shared" si="137"/>
        <v>11805.39</v>
      </c>
      <c r="U116" s="601">
        <f t="shared" si="134"/>
        <v>0</v>
      </c>
      <c r="W116" s="601">
        <f t="shared" si="135"/>
        <v>11847.77</v>
      </c>
    </row>
    <row r="117" spans="1:23" s="439" customFormat="1">
      <c r="B117" s="439" t="s">
        <v>212</v>
      </c>
      <c r="C117" s="602">
        <f t="shared" si="132"/>
        <v>31</v>
      </c>
      <c r="D117" s="602">
        <f t="shared" si="132"/>
        <v>2694079</v>
      </c>
      <c r="E117" s="602">
        <f t="shared" si="132"/>
        <v>0</v>
      </c>
      <c r="F117" s="602">
        <f t="shared" si="132"/>
        <v>0</v>
      </c>
      <c r="G117" s="602">
        <f t="shared" si="132"/>
        <v>0</v>
      </c>
      <c r="I117" s="601">
        <f t="shared" si="136"/>
        <v>1085</v>
      </c>
      <c r="J117" s="601">
        <f t="shared" si="136"/>
        <v>191953.13</v>
      </c>
      <c r="K117" s="601">
        <f t="shared" si="136"/>
        <v>0</v>
      </c>
      <c r="L117" s="601">
        <f t="shared" si="138"/>
        <v>0</v>
      </c>
      <c r="M117" s="601">
        <f t="shared" si="138"/>
        <v>0</v>
      </c>
      <c r="N117" s="601">
        <f t="shared" si="137"/>
        <v>-2029.63</v>
      </c>
      <c r="O117" s="601">
        <f t="shared" si="137"/>
        <v>191008.5</v>
      </c>
      <c r="U117" s="601">
        <f t="shared" si="134"/>
        <v>0</v>
      </c>
      <c r="W117" s="601">
        <f t="shared" si="135"/>
        <v>176486.92</v>
      </c>
    </row>
    <row r="118" spans="1:23" s="439" customFormat="1">
      <c r="B118" s="439" t="s">
        <v>24</v>
      </c>
      <c r="C118" s="602">
        <f t="shared" si="132"/>
        <v>2697</v>
      </c>
      <c r="D118" s="602">
        <f t="shared" si="132"/>
        <v>143287124</v>
      </c>
      <c r="E118" s="602">
        <f t="shared" si="132"/>
        <v>194478</v>
      </c>
      <c r="F118" s="602">
        <f t="shared" si="132"/>
        <v>248141</v>
      </c>
      <c r="G118" s="602">
        <f t="shared" si="132"/>
        <v>0</v>
      </c>
      <c r="I118" s="601">
        <f t="shared" si="136"/>
        <v>242730</v>
      </c>
      <c r="J118" s="601">
        <f t="shared" si="136"/>
        <v>5106753.12</v>
      </c>
      <c r="K118" s="601">
        <f t="shared" si="136"/>
        <v>5091382.25</v>
      </c>
      <c r="L118" s="601">
        <f t="shared" si="138"/>
        <v>0</v>
      </c>
      <c r="M118" s="601">
        <f t="shared" si="138"/>
        <v>0</v>
      </c>
      <c r="N118" s="601">
        <f t="shared" si="137"/>
        <v>-34984.660000000003</v>
      </c>
      <c r="O118" s="601">
        <f t="shared" si="137"/>
        <v>10405880.710000001</v>
      </c>
      <c r="U118" s="601">
        <f t="shared" si="134"/>
        <v>0</v>
      </c>
      <c r="W118" s="601">
        <f t="shared" si="135"/>
        <v>9836214.1100000013</v>
      </c>
    </row>
    <row r="119" spans="1:23" s="439" customFormat="1">
      <c r="B119" s="439" t="s">
        <v>25</v>
      </c>
      <c r="C119" s="439">
        <f t="shared" si="132"/>
        <v>146</v>
      </c>
      <c r="D119" s="602">
        <f t="shared" si="132"/>
        <v>45353300</v>
      </c>
      <c r="E119" s="602">
        <f t="shared" si="132"/>
        <v>57719</v>
      </c>
      <c r="F119" s="439">
        <f t="shared" si="132"/>
        <v>56286</v>
      </c>
      <c r="G119" s="439">
        <f t="shared" si="132"/>
        <v>0</v>
      </c>
      <c r="I119" s="601">
        <f t="shared" si="136"/>
        <v>24820</v>
      </c>
      <c r="J119" s="601">
        <f t="shared" si="136"/>
        <v>1615484.54</v>
      </c>
      <c r="K119" s="601">
        <f t="shared" si="136"/>
        <v>1427059.8</v>
      </c>
      <c r="L119" s="601"/>
      <c r="M119" s="601"/>
      <c r="N119" s="601">
        <f t="shared" si="137"/>
        <v>-15609.46</v>
      </c>
      <c r="O119" s="601">
        <f t="shared" si="137"/>
        <v>3051754.8800000004</v>
      </c>
      <c r="U119" s="601">
        <f t="shared" si="134"/>
        <v>0</v>
      </c>
      <c r="W119" s="601">
        <f t="shared" si="135"/>
        <v>2597003.8000000003</v>
      </c>
    </row>
    <row r="120" spans="1:23" s="439" customFormat="1">
      <c r="B120" s="447" t="s">
        <v>205</v>
      </c>
      <c r="C120" s="439">
        <f t="shared" si="132"/>
        <v>16</v>
      </c>
      <c r="D120" s="602">
        <f t="shared" si="132"/>
        <v>655200</v>
      </c>
      <c r="E120" s="602">
        <f t="shared" si="132"/>
        <v>2484</v>
      </c>
      <c r="F120" s="439">
        <f t="shared" si="132"/>
        <v>2579</v>
      </c>
      <c r="G120" s="439">
        <f t="shared" si="132"/>
        <v>5012</v>
      </c>
      <c r="I120" s="601">
        <f t="shared" si="136"/>
        <v>4800</v>
      </c>
      <c r="J120" s="601">
        <f t="shared" si="136"/>
        <v>24668.280000000002</v>
      </c>
      <c r="K120" s="601">
        <f t="shared" si="136"/>
        <v>20077.11</v>
      </c>
      <c r="L120" s="601"/>
      <c r="M120" s="601"/>
      <c r="N120" s="601">
        <f t="shared" si="137"/>
        <v>102.79</v>
      </c>
      <c r="O120" s="601">
        <f t="shared" si="137"/>
        <v>49648.18</v>
      </c>
      <c r="U120" s="601">
        <f t="shared" si="134"/>
        <v>0</v>
      </c>
      <c r="W120" s="601">
        <f t="shared" si="135"/>
        <v>60434.78</v>
      </c>
    </row>
    <row r="121" spans="1:23" s="439" customFormat="1">
      <c r="B121" s="439" t="s">
        <v>204</v>
      </c>
      <c r="C121" s="439">
        <f t="shared" si="132"/>
        <v>28</v>
      </c>
      <c r="D121" s="602">
        <f t="shared" si="132"/>
        <v>2924228</v>
      </c>
      <c r="E121" s="602">
        <f t="shared" si="132"/>
        <v>7961</v>
      </c>
      <c r="F121" s="439">
        <f t="shared" si="132"/>
        <v>7998</v>
      </c>
      <c r="G121" s="439">
        <f t="shared" si="132"/>
        <v>10741</v>
      </c>
      <c r="I121" s="601">
        <f t="shared" si="136"/>
        <v>5600</v>
      </c>
      <c r="J121" s="601">
        <f t="shared" si="136"/>
        <v>110331.13</v>
      </c>
      <c r="K121" s="601">
        <f t="shared" si="136"/>
        <v>62271.649999999994</v>
      </c>
      <c r="L121" s="601"/>
      <c r="M121" s="601"/>
      <c r="N121" s="601">
        <f t="shared" si="137"/>
        <v>3368.94</v>
      </c>
      <c r="O121" s="601">
        <f t="shared" si="137"/>
        <v>181571.72</v>
      </c>
      <c r="U121" s="601">
        <f t="shared" si="134"/>
        <v>0</v>
      </c>
      <c r="W121" s="601">
        <f t="shared" si="135"/>
        <v>193831.23</v>
      </c>
    </row>
    <row r="122" spans="1:23" s="439" customFormat="1">
      <c r="B122" s="439" t="s">
        <v>18</v>
      </c>
      <c r="C122" s="439">
        <f t="shared" si="132"/>
        <v>0</v>
      </c>
      <c r="D122" s="439">
        <f t="shared" si="132"/>
        <v>0</v>
      </c>
      <c r="E122" s="439">
        <f t="shared" si="132"/>
        <v>0</v>
      </c>
      <c r="F122" s="439">
        <f t="shared" si="132"/>
        <v>0</v>
      </c>
      <c r="G122" s="439">
        <f t="shared" si="132"/>
        <v>0</v>
      </c>
      <c r="I122" s="601">
        <f t="shared" si="136"/>
        <v>0</v>
      </c>
      <c r="J122" s="601">
        <f t="shared" si="136"/>
        <v>0</v>
      </c>
      <c r="K122" s="601">
        <f t="shared" si="136"/>
        <v>0</v>
      </c>
      <c r="L122" s="601">
        <f>SUMIF($B$6:$B$101,$B122,L$6:L$101)</f>
        <v>0</v>
      </c>
      <c r="M122" s="601">
        <f>SUMIF($B$6:$B$101,$B122,M$6:M$101)</f>
        <v>0</v>
      </c>
      <c r="N122" s="601">
        <f t="shared" si="137"/>
        <v>0</v>
      </c>
      <c r="O122" s="601">
        <f t="shared" si="137"/>
        <v>0</v>
      </c>
      <c r="U122" s="601">
        <f t="shared" si="134"/>
        <v>0</v>
      </c>
      <c r="W122" s="601">
        <f t="shared" si="135"/>
        <v>0</v>
      </c>
    </row>
    <row r="123" spans="1:23" s="439" customFormat="1"/>
    <row r="124" spans="1:23" s="439" customFormat="1">
      <c r="C124" s="439">
        <f>SUM(C109:C122)</f>
        <v>21282</v>
      </c>
      <c r="D124" s="439">
        <f>SUM(D109:D122)</f>
        <v>308440121</v>
      </c>
      <c r="E124" s="439">
        <f>SUM(E109:E122)</f>
        <v>262642</v>
      </c>
      <c r="F124" s="439">
        <f>SUM(F109:F122)</f>
        <v>315004</v>
      </c>
      <c r="G124" s="439">
        <f>SUM(G109:G122)</f>
        <v>15753</v>
      </c>
      <c r="I124" s="487">
        <f t="shared" ref="I124:O124" si="139">SUM(I109:I122)</f>
        <v>687310.75</v>
      </c>
      <c r="J124" s="487">
        <f t="shared" si="139"/>
        <v>16978120.789999999</v>
      </c>
      <c r="K124" s="487">
        <f t="shared" si="139"/>
        <v>6600790.8100000005</v>
      </c>
      <c r="L124" s="487">
        <f t="shared" si="139"/>
        <v>0</v>
      </c>
      <c r="M124" s="487">
        <f t="shared" si="139"/>
        <v>0</v>
      </c>
      <c r="N124" s="487">
        <f t="shared" si="139"/>
        <v>-62810.92</v>
      </c>
      <c r="O124" s="487">
        <f t="shared" si="139"/>
        <v>24203411.43</v>
      </c>
      <c r="U124" s="487">
        <f t="shared" ref="U124" si="140">SUM(U108:U122)</f>
        <v>0</v>
      </c>
      <c r="W124" s="487">
        <f>SUM(W109:W122)</f>
        <v>22528913.140000004</v>
      </c>
    </row>
    <row r="125" spans="1:23" s="439" customFormat="1"/>
    <row r="126" spans="1:23" s="439" customFormat="1">
      <c r="C126" s="462">
        <f>C124-C101</f>
        <v>0</v>
      </c>
      <c r="D126" s="462">
        <f>D124-D101</f>
        <v>0</v>
      </c>
      <c r="E126" s="462">
        <f t="shared" ref="E126:G126" si="141">E124-E101</f>
        <v>0</v>
      </c>
      <c r="F126" s="462">
        <f t="shared" si="141"/>
        <v>0</v>
      </c>
      <c r="G126" s="462">
        <f t="shared" si="141"/>
        <v>0</v>
      </c>
      <c r="I126" s="462">
        <f t="shared" ref="I126:K126" si="142">I124-I101</f>
        <v>0</v>
      </c>
      <c r="J126" s="462">
        <f t="shared" si="142"/>
        <v>0</v>
      </c>
      <c r="K126" s="462">
        <f t="shared" si="142"/>
        <v>0</v>
      </c>
      <c r="L126" s="462"/>
      <c r="M126" s="462"/>
      <c r="N126" s="462">
        <f t="shared" ref="N126" si="143">N124-N101</f>
        <v>0</v>
      </c>
      <c r="O126" s="601">
        <f>O124-O101</f>
        <v>0</v>
      </c>
      <c r="U126" s="462">
        <f t="shared" ref="U126:W126" si="144">U124-U101</f>
        <v>0</v>
      </c>
      <c r="W126" s="462">
        <f t="shared" si="144"/>
        <v>0</v>
      </c>
    </row>
    <row r="127" spans="1:23">
      <c r="A127" s="225" t="s">
        <v>920</v>
      </c>
    </row>
    <row r="128" spans="1:23" s="306" customFormat="1" ht="12.75" customHeight="1"/>
    <row r="129" spans="1:19" s="306" customFormat="1"/>
    <row r="130" spans="1:19" s="306" customFormat="1"/>
    <row r="131" spans="1:19" s="306" customFormat="1"/>
    <row r="133" spans="1:19">
      <c r="A133" s="259" t="s">
        <v>942</v>
      </c>
    </row>
    <row r="135" spans="1:19" ht="12.75" thickBot="1"/>
    <row r="136" spans="1:19">
      <c r="C136" s="315"/>
      <c r="D136" s="1303" t="s">
        <v>921</v>
      </c>
      <c r="E136" s="1304"/>
      <c r="F136" s="1304"/>
      <c r="G136" s="1305"/>
      <c r="I136" s="331" t="s">
        <v>800</v>
      </c>
      <c r="J136" s="332"/>
      <c r="K136" s="332"/>
      <c r="L136" s="332"/>
      <c r="M136" s="332"/>
      <c r="N136" s="332"/>
      <c r="O136" s="333"/>
    </row>
    <row r="137" spans="1:19" ht="60">
      <c r="A137" s="287" t="s">
        <v>801</v>
      </c>
      <c r="B137" s="287" t="s">
        <v>802</v>
      </c>
      <c r="C137" s="316" t="s">
        <v>928</v>
      </c>
      <c r="D137" s="317" t="s">
        <v>932</v>
      </c>
      <c r="E137" s="317" t="s">
        <v>929</v>
      </c>
      <c r="F137" s="317" t="s">
        <v>930</v>
      </c>
      <c r="G137" s="318" t="s">
        <v>931</v>
      </c>
      <c r="I137" s="316" t="s">
        <v>804</v>
      </c>
      <c r="J137" s="334" t="s">
        <v>805</v>
      </c>
      <c r="K137" s="334" t="s">
        <v>806</v>
      </c>
      <c r="L137" s="334" t="s">
        <v>811</v>
      </c>
      <c r="M137" s="317" t="s">
        <v>812</v>
      </c>
      <c r="N137" s="334" t="s">
        <v>655</v>
      </c>
      <c r="O137" s="318" t="s">
        <v>813</v>
      </c>
      <c r="Q137" s="439" t="s">
        <v>1005</v>
      </c>
      <c r="R137" s="439" t="s">
        <v>875</v>
      </c>
    </row>
    <row r="138" spans="1:19">
      <c r="C138" s="319"/>
      <c r="D138" s="320"/>
      <c r="E138" s="320"/>
      <c r="F138" s="320"/>
      <c r="G138" s="321"/>
      <c r="I138" s="319"/>
      <c r="J138" s="320"/>
      <c r="K138" s="320"/>
      <c r="L138" s="320"/>
      <c r="M138" s="320"/>
      <c r="N138" s="320"/>
      <c r="O138" s="321"/>
      <c r="Q138" s="439" t="s">
        <v>14</v>
      </c>
      <c r="R138" s="439"/>
    </row>
    <row r="139" spans="1:19">
      <c r="A139" s="439" t="s">
        <v>756</v>
      </c>
      <c r="B139" s="439" t="s">
        <v>208</v>
      </c>
      <c r="C139" s="803">
        <f>C27+C35</f>
        <v>1130</v>
      </c>
      <c r="D139" s="804">
        <f>D27+D35</f>
        <v>330651</v>
      </c>
      <c r="E139" s="804">
        <f t="shared" ref="E139:G139" si="145">E27+E35</f>
        <v>0</v>
      </c>
      <c r="F139" s="804">
        <f t="shared" si="145"/>
        <v>0</v>
      </c>
      <c r="G139" s="805">
        <f t="shared" si="145"/>
        <v>0</v>
      </c>
      <c r="I139" s="806">
        <f>Q27+Q35</f>
        <v>12147.5</v>
      </c>
      <c r="J139" s="807">
        <f>R27+R35</f>
        <v>24563.95</v>
      </c>
      <c r="K139" s="807">
        <f>S27+S35</f>
        <v>0</v>
      </c>
      <c r="L139" s="336">
        <f>T32+T35</f>
        <v>0</v>
      </c>
      <c r="M139" s="336">
        <f>U32+U35</f>
        <v>0</v>
      </c>
      <c r="N139" s="807">
        <f>V27+V35</f>
        <v>-136.74</v>
      </c>
      <c r="O139" s="808">
        <f>SUM(I139:N139)</f>
        <v>36574.71</v>
      </c>
      <c r="Q139" s="487">
        <f>O141</f>
        <v>38597.51</v>
      </c>
      <c r="R139" s="602">
        <f>D141</f>
        <v>356408</v>
      </c>
      <c r="S139" s="256"/>
    </row>
    <row r="140" spans="1:19" ht="14.25">
      <c r="A140" s="439"/>
      <c r="B140" s="439" t="s">
        <v>922</v>
      </c>
      <c r="C140" s="809">
        <f>C28+C42</f>
        <v>12</v>
      </c>
      <c r="D140" s="810">
        <f t="shared" ref="D140:G140" si="146">D28+D42</f>
        <v>25757</v>
      </c>
      <c r="E140" s="810">
        <f t="shared" si="146"/>
        <v>0</v>
      </c>
      <c r="F140" s="810">
        <f t="shared" si="146"/>
        <v>0</v>
      </c>
      <c r="G140" s="811">
        <f t="shared" si="146"/>
        <v>0</v>
      </c>
      <c r="H140" s="439"/>
      <c r="I140" s="812">
        <f>Q28+Q42</f>
        <v>129</v>
      </c>
      <c r="J140" s="813">
        <f t="shared" ref="J140:N140" si="147">R28+R42</f>
        <v>1913.49</v>
      </c>
      <c r="K140" s="813">
        <f t="shared" si="147"/>
        <v>0</v>
      </c>
      <c r="L140" s="813">
        <f t="shared" si="147"/>
        <v>0</v>
      </c>
      <c r="M140" s="813">
        <f t="shared" si="147"/>
        <v>0</v>
      </c>
      <c r="N140" s="813">
        <f t="shared" si="147"/>
        <v>-19.690000000000001</v>
      </c>
      <c r="O140" s="814">
        <f>SUM(I140:N140)</f>
        <v>2022.8</v>
      </c>
      <c r="Q140" s="816">
        <f>-O189</f>
        <v>-19845.36</v>
      </c>
      <c r="R140" s="603">
        <f>-D189</f>
        <v>-239903</v>
      </c>
      <c r="S140" s="256"/>
    </row>
    <row r="141" spans="1:19">
      <c r="A141" s="439"/>
      <c r="B141" s="439"/>
      <c r="C141" s="803">
        <f>SUM(C139:C140)</f>
        <v>1142</v>
      </c>
      <c r="D141" s="804">
        <f>SUM(D139:D140)</f>
        <v>356408</v>
      </c>
      <c r="E141" s="804">
        <f>SUM(E139:E140)</f>
        <v>0</v>
      </c>
      <c r="F141" s="804">
        <f>SUM(F139:F140)</f>
        <v>0</v>
      </c>
      <c r="G141" s="805">
        <f>SUM(G139:G140)</f>
        <v>0</v>
      </c>
      <c r="H141" s="439"/>
      <c r="I141" s="815">
        <f t="shared" ref="I141:O141" si="148">SUM(I139:I140)</f>
        <v>12276.5</v>
      </c>
      <c r="J141" s="807">
        <f t="shared" si="148"/>
        <v>26477.440000000002</v>
      </c>
      <c r="K141" s="807">
        <f t="shared" si="148"/>
        <v>0</v>
      </c>
      <c r="L141" s="807">
        <f t="shared" si="148"/>
        <v>0</v>
      </c>
      <c r="M141" s="807">
        <f t="shared" si="148"/>
        <v>0</v>
      </c>
      <c r="N141" s="807">
        <f t="shared" si="148"/>
        <v>-156.43</v>
      </c>
      <c r="O141" s="808">
        <f t="shared" si="148"/>
        <v>38597.51</v>
      </c>
      <c r="Q141" s="487">
        <f>SUM(Q139:Q140)</f>
        <v>18752.150000000001</v>
      </c>
      <c r="R141" s="602">
        <f>SUM(R139:R140)</f>
        <v>116505</v>
      </c>
      <c r="S141" s="256"/>
    </row>
    <row r="142" spans="1:19">
      <c r="A142" s="439"/>
      <c r="B142" s="439"/>
      <c r="C142" s="803"/>
      <c r="D142" s="804"/>
      <c r="E142" s="804"/>
      <c r="F142" s="804"/>
      <c r="G142" s="805"/>
      <c r="H142" s="439"/>
      <c r="I142" s="815"/>
      <c r="J142" s="807"/>
      <c r="K142" s="807"/>
      <c r="L142" s="807"/>
      <c r="M142" s="807"/>
      <c r="N142" s="807"/>
      <c r="O142" s="808"/>
      <c r="Q142" s="487"/>
      <c r="R142" s="602"/>
      <c r="S142" s="256"/>
    </row>
    <row r="143" spans="1:19">
      <c r="A143" s="447" t="s">
        <v>1452</v>
      </c>
      <c r="B143" s="439" t="s">
        <v>208</v>
      </c>
      <c r="C143" s="803">
        <f>C45</f>
        <v>11</v>
      </c>
      <c r="D143" s="804">
        <f>D45</f>
        <v>55718</v>
      </c>
      <c r="E143" s="804">
        <f>E45</f>
        <v>0</v>
      </c>
      <c r="F143" s="804">
        <f>F45</f>
        <v>0</v>
      </c>
      <c r="G143" s="805">
        <f>G45</f>
        <v>0</v>
      </c>
      <c r="I143" s="806">
        <f>Q45</f>
        <v>118.25</v>
      </c>
      <c r="J143" s="807">
        <f>R45</f>
        <v>4139.29</v>
      </c>
      <c r="K143" s="807">
        <f>S45</f>
        <v>0</v>
      </c>
      <c r="L143" s="336">
        <f>T36+T39</f>
        <v>0</v>
      </c>
      <c r="M143" s="336">
        <f>U36+U39</f>
        <v>0</v>
      </c>
      <c r="N143" s="807">
        <f>V45</f>
        <v>-79.709999999999994</v>
      </c>
      <c r="O143" s="808">
        <f>SUM(I143:N143)</f>
        <v>4177.83</v>
      </c>
      <c r="Q143" s="487"/>
      <c r="R143" s="602"/>
      <c r="S143" s="256"/>
    </row>
    <row r="144" spans="1:19">
      <c r="C144" s="319"/>
      <c r="D144" s="320"/>
      <c r="E144" s="320"/>
      <c r="F144" s="320"/>
      <c r="G144" s="321"/>
      <c r="I144" s="319"/>
      <c r="J144" s="320"/>
      <c r="K144" s="320"/>
      <c r="L144" s="320"/>
      <c r="M144" s="320"/>
      <c r="N144" s="320"/>
      <c r="O144" s="321"/>
      <c r="R144" s="257"/>
    </row>
    <row r="145" spans="1:18" s="439" customFormat="1">
      <c r="A145" s="439" t="s">
        <v>923</v>
      </c>
      <c r="B145" s="439" t="s">
        <v>14</v>
      </c>
      <c r="C145" s="803">
        <f>C11</f>
        <v>204</v>
      </c>
      <c r="D145" s="804">
        <f>D11</f>
        <v>235783</v>
      </c>
      <c r="E145" s="804">
        <f>E11</f>
        <v>0</v>
      </c>
      <c r="F145" s="804">
        <f>F11</f>
        <v>0</v>
      </c>
      <c r="G145" s="805">
        <f>G11</f>
        <v>0</v>
      </c>
      <c r="I145" s="806">
        <f t="shared" ref="I145:N145" si="149">Q11</f>
        <v>4080</v>
      </c>
      <c r="J145" s="807">
        <f t="shared" si="149"/>
        <v>20640.46</v>
      </c>
      <c r="K145" s="807">
        <f t="shared" si="149"/>
        <v>0</v>
      </c>
      <c r="L145" s="807">
        <f t="shared" si="149"/>
        <v>0</v>
      </c>
      <c r="M145" s="807">
        <f t="shared" si="149"/>
        <v>0</v>
      </c>
      <c r="N145" s="807">
        <f t="shared" si="149"/>
        <v>-211.26999999999998</v>
      </c>
      <c r="O145" s="808">
        <f t="shared" ref="O145:O150" si="150">SUM(I145:N145)</f>
        <v>24509.19</v>
      </c>
      <c r="R145" s="601"/>
    </row>
    <row r="146" spans="1:18" s="439" customFormat="1">
      <c r="B146" s="439" t="s">
        <v>922</v>
      </c>
      <c r="C146" s="803">
        <f>C8</f>
        <v>1602</v>
      </c>
      <c r="D146" s="804">
        <f>D8</f>
        <v>3410440</v>
      </c>
      <c r="E146" s="804">
        <f>E8</f>
        <v>0</v>
      </c>
      <c r="F146" s="804">
        <f>F8</f>
        <v>0</v>
      </c>
      <c r="G146" s="805">
        <f>G8</f>
        <v>0</v>
      </c>
      <c r="I146" s="806">
        <f t="shared" ref="I146:N146" si="151">Q8</f>
        <v>32040</v>
      </c>
      <c r="J146" s="807">
        <f t="shared" si="151"/>
        <v>298549.93</v>
      </c>
      <c r="K146" s="807">
        <f t="shared" si="151"/>
        <v>0</v>
      </c>
      <c r="L146" s="807">
        <f t="shared" si="151"/>
        <v>0</v>
      </c>
      <c r="M146" s="807">
        <f t="shared" si="151"/>
        <v>0</v>
      </c>
      <c r="N146" s="807">
        <f t="shared" si="151"/>
        <v>-768.48</v>
      </c>
      <c r="O146" s="808">
        <f t="shared" si="150"/>
        <v>329821.45</v>
      </c>
      <c r="R146" s="601"/>
    </row>
    <row r="147" spans="1:18" s="439" customFormat="1">
      <c r="B147" s="447" t="s">
        <v>1453</v>
      </c>
      <c r="C147" s="803">
        <f>C10</f>
        <v>2</v>
      </c>
      <c r="D147" s="804">
        <f>D10</f>
        <v>0</v>
      </c>
      <c r="E147" s="804">
        <f>E10</f>
        <v>0</v>
      </c>
      <c r="F147" s="804">
        <f>F10</f>
        <v>0</v>
      </c>
      <c r="G147" s="805">
        <f>G10</f>
        <v>0</v>
      </c>
      <c r="I147" s="806">
        <f t="shared" ref="I147:N147" si="152">Q10</f>
        <v>40</v>
      </c>
      <c r="J147" s="807">
        <f t="shared" si="152"/>
        <v>0</v>
      </c>
      <c r="K147" s="807">
        <f t="shared" si="152"/>
        <v>0</v>
      </c>
      <c r="L147" s="807">
        <f t="shared" si="152"/>
        <v>0</v>
      </c>
      <c r="M147" s="807">
        <f t="shared" si="152"/>
        <v>0</v>
      </c>
      <c r="N147" s="807">
        <f t="shared" si="152"/>
        <v>0</v>
      </c>
      <c r="O147" s="808">
        <f t="shared" si="150"/>
        <v>40</v>
      </c>
      <c r="R147" s="601"/>
    </row>
    <row r="148" spans="1:18" s="439" customFormat="1">
      <c r="B148" s="439" t="s">
        <v>203</v>
      </c>
      <c r="C148" s="803">
        <f>C9</f>
        <v>4</v>
      </c>
      <c r="D148" s="804">
        <f>D9</f>
        <v>760</v>
      </c>
      <c r="E148" s="804">
        <f>E9</f>
        <v>0</v>
      </c>
      <c r="F148" s="804">
        <f>F9</f>
        <v>0</v>
      </c>
      <c r="G148" s="805">
        <f>G9</f>
        <v>0</v>
      </c>
      <c r="I148" s="806">
        <f t="shared" ref="I148:N148" si="153">Q9</f>
        <v>80</v>
      </c>
      <c r="J148" s="807">
        <f t="shared" si="153"/>
        <v>66.53</v>
      </c>
      <c r="K148" s="807">
        <f t="shared" si="153"/>
        <v>0</v>
      </c>
      <c r="L148" s="807">
        <f t="shared" si="153"/>
        <v>0</v>
      </c>
      <c r="M148" s="807">
        <f t="shared" si="153"/>
        <v>0</v>
      </c>
      <c r="N148" s="807">
        <f t="shared" si="153"/>
        <v>-2.0099999999999998</v>
      </c>
      <c r="O148" s="808">
        <f t="shared" si="150"/>
        <v>144.52000000000001</v>
      </c>
      <c r="Q148" s="487"/>
      <c r="R148" s="601"/>
    </row>
    <row r="149" spans="1:18" s="439" customFormat="1">
      <c r="B149" s="439" t="s">
        <v>924</v>
      </c>
      <c r="C149" s="803">
        <f>C7</f>
        <v>589</v>
      </c>
      <c r="D149" s="804">
        <f t="shared" ref="D149:G149" si="154">D7</f>
        <v>3110340</v>
      </c>
      <c r="E149" s="804">
        <f t="shared" si="154"/>
        <v>11079</v>
      </c>
      <c r="F149" s="804">
        <f t="shared" si="154"/>
        <v>16522</v>
      </c>
      <c r="G149" s="805">
        <f t="shared" si="154"/>
        <v>0</v>
      </c>
      <c r="I149" s="806">
        <f>Q7</f>
        <v>11780</v>
      </c>
      <c r="J149" s="807">
        <f t="shared" ref="J149:N149" si="155">R7</f>
        <v>272279.17</v>
      </c>
      <c r="K149" s="807">
        <f t="shared" si="155"/>
        <v>0</v>
      </c>
      <c r="L149" s="807">
        <f t="shared" si="155"/>
        <v>0</v>
      </c>
      <c r="M149" s="807">
        <f t="shared" si="155"/>
        <v>0</v>
      </c>
      <c r="N149" s="807">
        <f t="shared" si="155"/>
        <v>-490.54</v>
      </c>
      <c r="O149" s="808">
        <f t="shared" si="150"/>
        <v>283568.63</v>
      </c>
      <c r="Q149" s="487"/>
      <c r="R149" s="601"/>
    </row>
    <row r="150" spans="1:18" s="439" customFormat="1" ht="14.25">
      <c r="B150" s="439" t="s">
        <v>926</v>
      </c>
      <c r="C150" s="809">
        <f>C6</f>
        <v>7</v>
      </c>
      <c r="D150" s="810">
        <f>D6</f>
        <v>4560</v>
      </c>
      <c r="E150" s="810">
        <f>E6</f>
        <v>25</v>
      </c>
      <c r="F150" s="810">
        <f>F6</f>
        <v>150</v>
      </c>
      <c r="G150" s="811">
        <f>G6</f>
        <v>0</v>
      </c>
      <c r="I150" s="812">
        <f t="shared" ref="I150:N150" si="156">Q6</f>
        <v>140</v>
      </c>
      <c r="J150" s="813">
        <f t="shared" si="156"/>
        <v>399.18</v>
      </c>
      <c r="K150" s="813">
        <f t="shared" si="156"/>
        <v>0</v>
      </c>
      <c r="L150" s="813">
        <f t="shared" si="156"/>
        <v>0</v>
      </c>
      <c r="M150" s="813">
        <f t="shared" si="156"/>
        <v>0</v>
      </c>
      <c r="N150" s="813">
        <f t="shared" si="156"/>
        <v>-2.42</v>
      </c>
      <c r="O150" s="814">
        <f t="shared" si="150"/>
        <v>536.7600000000001</v>
      </c>
      <c r="Q150" s="816"/>
      <c r="R150" s="601"/>
    </row>
    <row r="151" spans="1:18" s="439" customFormat="1">
      <c r="C151" s="803">
        <f>SUM(C145:C150)</f>
        <v>2408</v>
      </c>
      <c r="D151" s="804">
        <f>SUM(D145:D150)</f>
        <v>6761883</v>
      </c>
      <c r="E151" s="804">
        <f>SUM(E145:E150)</f>
        <v>11104</v>
      </c>
      <c r="F151" s="804">
        <f>SUM(F145:F150)</f>
        <v>16672</v>
      </c>
      <c r="G151" s="805">
        <f>SUM(G145:G150)</f>
        <v>0</v>
      </c>
      <c r="I151" s="815">
        <f t="shared" ref="I151:O151" si="157">SUM(I145:I150)</f>
        <v>48160</v>
      </c>
      <c r="J151" s="807">
        <f t="shared" si="157"/>
        <v>591935.27000000014</v>
      </c>
      <c r="K151" s="807">
        <f t="shared" si="157"/>
        <v>0</v>
      </c>
      <c r="L151" s="807">
        <f t="shared" si="157"/>
        <v>0</v>
      </c>
      <c r="M151" s="807">
        <f t="shared" si="157"/>
        <v>0</v>
      </c>
      <c r="N151" s="807">
        <f t="shared" si="157"/>
        <v>-1474.72</v>
      </c>
      <c r="O151" s="808">
        <f t="shared" si="157"/>
        <v>638620.55000000005</v>
      </c>
      <c r="Q151" s="487"/>
      <c r="R151" s="601"/>
    </row>
    <row r="152" spans="1:18" s="439" customFormat="1">
      <c r="C152" s="817"/>
      <c r="D152" s="511"/>
      <c r="E152" s="511"/>
      <c r="F152" s="511"/>
      <c r="G152" s="514"/>
      <c r="I152" s="817"/>
      <c r="J152" s="511"/>
      <c r="K152" s="511"/>
      <c r="L152" s="511"/>
      <c r="M152" s="511"/>
      <c r="N152" s="511"/>
      <c r="O152" s="514"/>
      <c r="R152" s="601"/>
    </row>
    <row r="153" spans="1:18" s="439" customFormat="1">
      <c r="A153" s="439" t="s">
        <v>925</v>
      </c>
      <c r="B153" s="439" t="s">
        <v>14</v>
      </c>
      <c r="C153" s="803">
        <f>C21</f>
        <v>25</v>
      </c>
      <c r="D153" s="804">
        <f>D21</f>
        <v>17168</v>
      </c>
      <c r="E153" s="804">
        <f>E21</f>
        <v>0</v>
      </c>
      <c r="F153" s="804">
        <f>F21</f>
        <v>0</v>
      </c>
      <c r="G153" s="805">
        <f>G21</f>
        <v>0</v>
      </c>
      <c r="I153" s="806">
        <f>Q21</f>
        <v>875</v>
      </c>
      <c r="J153" s="807">
        <f>R21</f>
        <v>1502.8899999999999</v>
      </c>
      <c r="K153" s="807">
        <f>S21</f>
        <v>0</v>
      </c>
      <c r="L153" s="807">
        <f>T21</f>
        <v>0</v>
      </c>
      <c r="M153" s="807">
        <f>U23</f>
        <v>0</v>
      </c>
      <c r="N153" s="807">
        <f>V21</f>
        <v>-6.6</v>
      </c>
      <c r="O153" s="808">
        <f>SUM(I153:N153)</f>
        <v>2371.29</v>
      </c>
      <c r="Q153" s="439" t="s">
        <v>208</v>
      </c>
      <c r="R153" s="601"/>
    </row>
    <row r="154" spans="1:18" s="439" customFormat="1">
      <c r="B154" s="439" t="s">
        <v>208</v>
      </c>
      <c r="C154" s="803">
        <f>C19</f>
        <v>13718</v>
      </c>
      <c r="D154" s="804">
        <f>D19</f>
        <v>52856337</v>
      </c>
      <c r="E154" s="804">
        <f>E19</f>
        <v>0</v>
      </c>
      <c r="F154" s="804">
        <f>F19</f>
        <v>0</v>
      </c>
      <c r="G154" s="805">
        <f>G19</f>
        <v>0</v>
      </c>
      <c r="I154" s="806">
        <f>Q19</f>
        <v>480130</v>
      </c>
      <c r="J154" s="807">
        <f>R19</f>
        <v>4627043.67</v>
      </c>
      <c r="K154" s="807">
        <f>S19</f>
        <v>0</v>
      </c>
      <c r="L154" s="807">
        <f>T20</f>
        <v>0</v>
      </c>
      <c r="M154" s="807">
        <f>U20</f>
        <v>0</v>
      </c>
      <c r="N154" s="807">
        <f>V19</f>
        <v>-2067.59</v>
      </c>
      <c r="O154" s="808">
        <f>SUM(I154:N154)</f>
        <v>5105106.08</v>
      </c>
      <c r="Q154" s="487">
        <f>O151+O156</f>
        <v>7055423.9199999999</v>
      </c>
      <c r="R154" s="602">
        <f>D151+D156</f>
        <v>74055792</v>
      </c>
    </row>
    <row r="155" spans="1:18" s="439" customFormat="1" ht="14.25">
      <c r="B155" s="439" t="s">
        <v>924</v>
      </c>
      <c r="C155" s="809">
        <f>C17+C18</f>
        <v>1451</v>
      </c>
      <c r="D155" s="810">
        <f t="shared" ref="D155:G155" si="158">D17+D18</f>
        <v>14420404</v>
      </c>
      <c r="E155" s="810">
        <f t="shared" si="158"/>
        <v>31625</v>
      </c>
      <c r="F155" s="810">
        <f t="shared" si="158"/>
        <v>42897</v>
      </c>
      <c r="G155" s="811">
        <f t="shared" si="158"/>
        <v>0</v>
      </c>
      <c r="I155" s="812">
        <f>Q17+Q18</f>
        <v>50785</v>
      </c>
      <c r="J155" s="813">
        <f t="shared" ref="J155:K155" si="159">R17+R18</f>
        <v>1262362.0900000001</v>
      </c>
      <c r="K155" s="813">
        <f t="shared" si="159"/>
        <v>0</v>
      </c>
      <c r="L155" s="813">
        <f>T18</f>
        <v>0</v>
      </c>
      <c r="M155" s="813">
        <f>U18</f>
        <v>0</v>
      </c>
      <c r="N155" s="813">
        <f>V17+V18</f>
        <v>-3821.09</v>
      </c>
      <c r="O155" s="814">
        <f>SUM(I155:N155)</f>
        <v>1309326</v>
      </c>
      <c r="Q155" s="816">
        <f>-O201-O209</f>
        <v>-5255088.6099999994</v>
      </c>
      <c r="R155" s="602">
        <f>-D201-D209</f>
        <v>-58956869</v>
      </c>
    </row>
    <row r="156" spans="1:18" s="439" customFormat="1">
      <c r="C156" s="823">
        <f>SUM(C153:C155)</f>
        <v>15194</v>
      </c>
      <c r="D156" s="804">
        <f>SUM(D153:D155)</f>
        <v>67293909</v>
      </c>
      <c r="E156" s="804">
        <f>SUM(E153:E155)</f>
        <v>31625</v>
      </c>
      <c r="F156" s="804">
        <f>SUM(F153:F155)</f>
        <v>42897</v>
      </c>
      <c r="G156" s="805">
        <f>SUM(G153:G155)</f>
        <v>0</v>
      </c>
      <c r="I156" s="815">
        <f t="shared" ref="I156:O156" si="160">SUM(I153:I155)</f>
        <v>531790</v>
      </c>
      <c r="J156" s="807">
        <f t="shared" si="160"/>
        <v>5890908.6499999994</v>
      </c>
      <c r="K156" s="807">
        <f t="shared" si="160"/>
        <v>0</v>
      </c>
      <c r="L156" s="807">
        <f t="shared" si="160"/>
        <v>0</v>
      </c>
      <c r="M156" s="807">
        <f t="shared" si="160"/>
        <v>0</v>
      </c>
      <c r="N156" s="807">
        <f t="shared" si="160"/>
        <v>-5895.2800000000007</v>
      </c>
      <c r="O156" s="808">
        <f t="shared" si="160"/>
        <v>6416803.3700000001</v>
      </c>
      <c r="Q156" s="487">
        <f>Q154+Q155</f>
        <v>1800335.3100000005</v>
      </c>
      <c r="R156" s="602">
        <f>R154+R155</f>
        <v>15098923</v>
      </c>
    </row>
    <row r="157" spans="1:18" s="439" customFormat="1">
      <c r="C157" s="817"/>
      <c r="D157" s="511"/>
      <c r="E157" s="511"/>
      <c r="F157" s="511"/>
      <c r="G157" s="514"/>
      <c r="I157" s="817"/>
      <c r="J157" s="511"/>
      <c r="K157" s="511"/>
      <c r="L157" s="511"/>
      <c r="M157" s="511"/>
      <c r="N157" s="511"/>
      <c r="O157" s="514"/>
      <c r="Q157" s="439" t="s">
        <v>203</v>
      </c>
      <c r="R157" s="602" t="s">
        <v>203</v>
      </c>
    </row>
    <row r="158" spans="1:18" s="439" customFormat="1">
      <c r="A158" s="439" t="s">
        <v>472</v>
      </c>
      <c r="B158" s="439" t="s">
        <v>906</v>
      </c>
      <c r="C158" s="823">
        <f>C93</f>
        <v>12</v>
      </c>
      <c r="D158" s="804">
        <f>D93</f>
        <v>3999</v>
      </c>
      <c r="E158" s="804">
        <f>E93</f>
        <v>0</v>
      </c>
      <c r="F158" s="804">
        <f>F93</f>
        <v>0</v>
      </c>
      <c r="G158" s="805">
        <f>G93</f>
        <v>0</v>
      </c>
      <c r="I158" s="815">
        <f t="shared" ref="I158:N158" si="161">Q93</f>
        <v>240</v>
      </c>
      <c r="J158" s="807">
        <f t="shared" si="161"/>
        <v>284.93</v>
      </c>
      <c r="K158" s="807">
        <f t="shared" si="161"/>
        <v>0</v>
      </c>
      <c r="L158" s="807">
        <f t="shared" si="161"/>
        <v>0</v>
      </c>
      <c r="M158" s="807">
        <f t="shared" si="161"/>
        <v>0</v>
      </c>
      <c r="N158" s="807">
        <f t="shared" si="161"/>
        <v>-1.65</v>
      </c>
      <c r="O158" s="808">
        <f>SUM(I158:N158)</f>
        <v>523.28000000000009</v>
      </c>
      <c r="Q158" s="487">
        <f>O158+O160</f>
        <v>12226.53</v>
      </c>
      <c r="R158" s="602">
        <f>D158+D160</f>
        <v>165199</v>
      </c>
    </row>
    <row r="159" spans="1:18" s="439" customFormat="1" ht="14.25">
      <c r="C159" s="817"/>
      <c r="D159" s="511"/>
      <c r="E159" s="511"/>
      <c r="F159" s="511"/>
      <c r="G159" s="514"/>
      <c r="I159" s="817"/>
      <c r="J159" s="511"/>
      <c r="K159" s="511"/>
      <c r="L159" s="511"/>
      <c r="M159" s="511"/>
      <c r="N159" s="511"/>
      <c r="O159" s="514"/>
      <c r="Q159" s="816">
        <f>-O213-O215</f>
        <v>-9413.619999999999</v>
      </c>
      <c r="R159" s="602">
        <f>-D213-D215</f>
        <v>-101790</v>
      </c>
    </row>
    <row r="160" spans="1:18" s="439" customFormat="1">
      <c r="A160" s="439" t="s">
        <v>927</v>
      </c>
      <c r="B160" s="439" t="s">
        <v>203</v>
      </c>
      <c r="C160" s="823">
        <f>C96</f>
        <v>2</v>
      </c>
      <c r="D160" s="804">
        <f>D96</f>
        <v>161200</v>
      </c>
      <c r="E160" s="804">
        <f>E96</f>
        <v>0</v>
      </c>
      <c r="F160" s="804">
        <f>F96</f>
        <v>0</v>
      </c>
      <c r="G160" s="805">
        <f>G96</f>
        <v>0</v>
      </c>
      <c r="I160" s="815">
        <f t="shared" ref="I160:N160" si="162">Q96</f>
        <v>70</v>
      </c>
      <c r="J160" s="807">
        <f t="shared" si="162"/>
        <v>11485.5</v>
      </c>
      <c r="K160" s="807">
        <f t="shared" si="162"/>
        <v>0</v>
      </c>
      <c r="L160" s="807">
        <f t="shared" si="162"/>
        <v>0</v>
      </c>
      <c r="M160" s="807">
        <f t="shared" si="162"/>
        <v>0</v>
      </c>
      <c r="N160" s="807">
        <f t="shared" si="162"/>
        <v>147.75</v>
      </c>
      <c r="O160" s="808">
        <f>SUM(I160:N160)</f>
        <v>11703.25</v>
      </c>
      <c r="Q160" s="487">
        <f>Q158+Q159</f>
        <v>2812.9100000000017</v>
      </c>
      <c r="R160" s="602">
        <f>R158+R159</f>
        <v>63409</v>
      </c>
    </row>
    <row r="161" spans="1:18" s="439" customFormat="1">
      <c r="C161" s="817"/>
      <c r="D161" s="511"/>
      <c r="E161" s="511"/>
      <c r="F161" s="511"/>
      <c r="G161" s="514"/>
      <c r="I161" s="817"/>
      <c r="J161" s="511"/>
      <c r="K161" s="511"/>
      <c r="L161" s="511"/>
      <c r="M161" s="511"/>
      <c r="N161" s="511"/>
      <c r="O161" s="514"/>
      <c r="R161" s="602"/>
    </row>
    <row r="162" spans="1:18" s="439" customFormat="1">
      <c r="A162" s="439" t="s">
        <v>924</v>
      </c>
      <c r="B162" s="447" t="s">
        <v>208</v>
      </c>
      <c r="C162" s="803">
        <f>C59+C73</f>
        <v>138</v>
      </c>
      <c r="D162" s="804">
        <f>D59+D73</f>
        <v>2133429</v>
      </c>
      <c r="E162" s="804">
        <f>E59+E73</f>
        <v>0</v>
      </c>
      <c r="F162" s="804">
        <f>F59+F73</f>
        <v>0</v>
      </c>
      <c r="G162" s="805">
        <f>G59+G73</f>
        <v>0</v>
      </c>
      <c r="I162" s="806">
        <f>Q59+Q73</f>
        <v>12420</v>
      </c>
      <c r="J162" s="807">
        <f>R59+R73</f>
        <v>76035.400000000009</v>
      </c>
      <c r="K162" s="807">
        <f>S59+S73</f>
        <v>148504.33000000002</v>
      </c>
      <c r="L162" s="807">
        <f>T59</f>
        <v>0</v>
      </c>
      <c r="M162" s="807">
        <f>U59</f>
        <v>0</v>
      </c>
      <c r="N162" s="807">
        <f>V59+V73</f>
        <v>-174.46000000000004</v>
      </c>
      <c r="O162" s="808">
        <f>SUM(I162:N162)</f>
        <v>236785.27000000005</v>
      </c>
      <c r="Q162" s="447" t="s">
        <v>24</v>
      </c>
      <c r="R162" s="602" t="s">
        <v>24</v>
      </c>
    </row>
    <row r="163" spans="1:18" s="439" customFormat="1">
      <c r="B163" s="447" t="s">
        <v>820</v>
      </c>
      <c r="C163" s="803">
        <f>C58+C72</f>
        <v>1214</v>
      </c>
      <c r="D163" s="804">
        <f>D58+D72</f>
        <v>39384770</v>
      </c>
      <c r="E163" s="804">
        <f>E58+E72</f>
        <v>0</v>
      </c>
      <c r="F163" s="804">
        <f>F58+F72</f>
        <v>0</v>
      </c>
      <c r="G163" s="805">
        <f>G58+G72</f>
        <v>0</v>
      </c>
      <c r="I163" s="806">
        <f>Q58+Q72</f>
        <v>109260</v>
      </c>
      <c r="J163" s="807">
        <f>R58+R72</f>
        <v>1403673.21</v>
      </c>
      <c r="K163" s="807">
        <f>S58+S72</f>
        <v>1351665.8</v>
      </c>
      <c r="L163" s="807">
        <f>T58</f>
        <v>0</v>
      </c>
      <c r="M163" s="807">
        <f>U58</f>
        <v>0</v>
      </c>
      <c r="N163" s="807">
        <f>V58+V72</f>
        <v>-6009.8899999999994</v>
      </c>
      <c r="O163" s="808">
        <f>SUM(I163:N163)</f>
        <v>2858589.1199999996</v>
      </c>
      <c r="Q163" s="487">
        <f>O165</f>
        <v>3289205.6199999996</v>
      </c>
      <c r="R163" s="602">
        <f>D165</f>
        <v>44442427</v>
      </c>
    </row>
    <row r="164" spans="1:18" s="439" customFormat="1" ht="14.25">
      <c r="B164" s="447" t="s">
        <v>934</v>
      </c>
      <c r="C164" s="809">
        <f>C61+C75</f>
        <v>28</v>
      </c>
      <c r="D164" s="810">
        <f t="shared" ref="D164:G164" si="163">D61+D75</f>
        <v>2924228</v>
      </c>
      <c r="E164" s="810">
        <f t="shared" si="163"/>
        <v>7961</v>
      </c>
      <c r="F164" s="810">
        <f t="shared" si="163"/>
        <v>7998</v>
      </c>
      <c r="G164" s="811">
        <f t="shared" si="163"/>
        <v>10741</v>
      </c>
      <c r="I164" s="812">
        <f>Q61+Q75</f>
        <v>2520</v>
      </c>
      <c r="J164" s="813">
        <f t="shared" ref="J164:N164" si="164">R61+R75</f>
        <v>104219.48000000001</v>
      </c>
      <c r="K164" s="813">
        <f t="shared" si="164"/>
        <v>83722.81</v>
      </c>
      <c r="L164" s="813">
        <f t="shared" si="164"/>
        <v>0</v>
      </c>
      <c r="M164" s="813">
        <f t="shared" si="164"/>
        <v>0</v>
      </c>
      <c r="N164" s="813">
        <f t="shared" si="164"/>
        <v>3368.94</v>
      </c>
      <c r="O164" s="814">
        <f>SUM(I164:N164)</f>
        <v>193831.23</v>
      </c>
      <c r="Q164" s="816">
        <f>-O223</f>
        <v>-6210237.6799999997</v>
      </c>
      <c r="R164" s="602">
        <f>-D223</f>
        <v>-86198178</v>
      </c>
    </row>
    <row r="165" spans="1:18" s="439" customFormat="1">
      <c r="C165" s="823">
        <f>SUM(C162:C164)</f>
        <v>1380</v>
      </c>
      <c r="D165" s="804">
        <f>SUM(D162:D164)</f>
        <v>44442427</v>
      </c>
      <c r="E165" s="804">
        <f>SUM(E162:E164)</f>
        <v>7961</v>
      </c>
      <c r="F165" s="804">
        <f>SUM(F162:F164)</f>
        <v>7998</v>
      </c>
      <c r="G165" s="805">
        <f>SUM(G162:G164)</f>
        <v>10741</v>
      </c>
      <c r="I165" s="815">
        <f t="shared" ref="I165:O165" si="165">SUM(I162:I164)</f>
        <v>124200</v>
      </c>
      <c r="J165" s="807">
        <f t="shared" si="165"/>
        <v>1583928.0899999999</v>
      </c>
      <c r="K165" s="807">
        <f t="shared" si="165"/>
        <v>1583892.9400000002</v>
      </c>
      <c r="L165" s="807">
        <f t="shared" si="165"/>
        <v>0</v>
      </c>
      <c r="M165" s="807">
        <f t="shared" si="165"/>
        <v>0</v>
      </c>
      <c r="N165" s="807">
        <f t="shared" si="165"/>
        <v>-2815.4099999999994</v>
      </c>
      <c r="O165" s="808">
        <f t="shared" si="165"/>
        <v>3289205.6199999996</v>
      </c>
      <c r="Q165" s="487">
        <f>Q163+Q164</f>
        <v>-2921032.06</v>
      </c>
      <c r="R165" s="602">
        <f>R163+R164</f>
        <v>-41755751</v>
      </c>
    </row>
    <row r="166" spans="1:18" s="439" customFormat="1">
      <c r="C166" s="817"/>
      <c r="D166" s="511"/>
      <c r="E166" s="511"/>
      <c r="F166" s="511"/>
      <c r="G166" s="514"/>
      <c r="I166" s="817"/>
      <c r="J166" s="511"/>
      <c r="K166" s="511"/>
      <c r="L166" s="511"/>
      <c r="M166" s="511"/>
      <c r="N166" s="511"/>
      <c r="O166" s="514"/>
      <c r="Q166" s="439" t="s">
        <v>25</v>
      </c>
      <c r="R166" s="602" t="s">
        <v>25</v>
      </c>
    </row>
    <row r="167" spans="1:18" s="439" customFormat="1">
      <c r="A167" s="439" t="s">
        <v>926</v>
      </c>
      <c r="B167" s="447" t="s">
        <v>208</v>
      </c>
      <c r="C167" s="803">
        <f>C53</f>
        <v>4</v>
      </c>
      <c r="D167" s="804">
        <f t="shared" ref="D167:G167" si="166">D53</f>
        <v>4620</v>
      </c>
      <c r="E167" s="804">
        <f t="shared" si="166"/>
        <v>0</v>
      </c>
      <c r="F167" s="804">
        <f t="shared" si="166"/>
        <v>0</v>
      </c>
      <c r="G167" s="805">
        <f t="shared" si="166"/>
        <v>0</v>
      </c>
      <c r="I167" s="806">
        <f>Q53</f>
        <v>680</v>
      </c>
      <c r="J167" s="807">
        <f t="shared" ref="J167:N167" si="167">R53</f>
        <v>164.56</v>
      </c>
      <c r="K167" s="807">
        <f t="shared" si="167"/>
        <v>1065</v>
      </c>
      <c r="L167" s="807">
        <f t="shared" si="167"/>
        <v>0</v>
      </c>
      <c r="M167" s="807">
        <f t="shared" si="167"/>
        <v>0</v>
      </c>
      <c r="N167" s="807">
        <f t="shared" si="167"/>
        <v>3.77</v>
      </c>
      <c r="O167" s="808">
        <f>SUM(I167:N167)</f>
        <v>1913.33</v>
      </c>
      <c r="Q167" s="487">
        <f>O169</f>
        <v>62348.11</v>
      </c>
      <c r="R167" s="602">
        <f>D169</f>
        <v>659820</v>
      </c>
    </row>
    <row r="168" spans="1:18" s="439" customFormat="1" ht="14.25">
      <c r="B168" s="820" t="s">
        <v>933</v>
      </c>
      <c r="C168" s="809">
        <f>C52+C68</f>
        <v>16</v>
      </c>
      <c r="D168" s="810">
        <f t="shared" ref="D168:G168" si="168">D52+D68</f>
        <v>655200</v>
      </c>
      <c r="E168" s="810">
        <f t="shared" si="168"/>
        <v>2484</v>
      </c>
      <c r="F168" s="810">
        <f t="shared" si="168"/>
        <v>2579</v>
      </c>
      <c r="G168" s="811">
        <f t="shared" si="168"/>
        <v>5012</v>
      </c>
      <c r="I168" s="812">
        <f>Q52+Q68</f>
        <v>2720</v>
      </c>
      <c r="J168" s="813">
        <f t="shared" ref="J168:N168" si="169">R52+R68</f>
        <v>23338.22</v>
      </c>
      <c r="K168" s="813">
        <f t="shared" si="169"/>
        <v>34273.769999999997</v>
      </c>
      <c r="L168" s="813">
        <f t="shared" si="169"/>
        <v>0</v>
      </c>
      <c r="M168" s="813">
        <f t="shared" si="169"/>
        <v>0</v>
      </c>
      <c r="N168" s="813">
        <f t="shared" si="169"/>
        <v>102.79</v>
      </c>
      <c r="O168" s="814">
        <f>SUM(I168:N168)</f>
        <v>60434.78</v>
      </c>
      <c r="Q168" s="821">
        <f>-O229</f>
        <v>-310607.82999999996</v>
      </c>
      <c r="R168" s="602">
        <f>-D229</f>
        <v>-4166060</v>
      </c>
    </row>
    <row r="169" spans="1:18" s="439" customFormat="1">
      <c r="C169" s="823">
        <f>SUM(C167:C168)</f>
        <v>20</v>
      </c>
      <c r="D169" s="804">
        <f t="shared" ref="D169:I169" si="170">SUM(D167:D168)</f>
        <v>659820</v>
      </c>
      <c r="E169" s="804">
        <f t="shared" si="170"/>
        <v>2484</v>
      </c>
      <c r="F169" s="804">
        <f t="shared" si="170"/>
        <v>2579</v>
      </c>
      <c r="G169" s="805">
        <f t="shared" si="170"/>
        <v>5012</v>
      </c>
      <c r="I169" s="815">
        <f t="shared" si="170"/>
        <v>3400</v>
      </c>
      <c r="J169" s="807">
        <f t="shared" ref="J169" si="171">SUM(J167:J168)</f>
        <v>23502.780000000002</v>
      </c>
      <c r="K169" s="807">
        <f t="shared" ref="K169" si="172">SUM(K167:K168)</f>
        <v>35338.769999999997</v>
      </c>
      <c r="L169" s="807">
        <f t="shared" ref="L169" si="173">SUM(L167:L168)</f>
        <v>0</v>
      </c>
      <c r="M169" s="807">
        <f t="shared" ref="M169" si="174">SUM(M167:M168)</f>
        <v>0</v>
      </c>
      <c r="N169" s="807">
        <f t="shared" ref="N169" si="175">SUM(N167:N168)</f>
        <v>106.56</v>
      </c>
      <c r="O169" s="808">
        <f t="shared" ref="O169" si="176">SUM(O167:O168)</f>
        <v>62348.11</v>
      </c>
      <c r="Q169" s="487">
        <f>Q167+Q168</f>
        <v>-248259.71999999997</v>
      </c>
      <c r="R169" s="602">
        <f>R167+R168</f>
        <v>-3506240</v>
      </c>
    </row>
    <row r="170" spans="1:18" s="439" customFormat="1">
      <c r="C170" s="817"/>
      <c r="D170" s="511"/>
      <c r="E170" s="511"/>
      <c r="F170" s="511"/>
      <c r="G170" s="514"/>
      <c r="I170" s="817"/>
      <c r="J170" s="511"/>
      <c r="K170" s="511"/>
      <c r="L170" s="511"/>
      <c r="M170" s="511"/>
      <c r="N170" s="511"/>
      <c r="O170" s="514"/>
      <c r="R170" s="602"/>
    </row>
    <row r="171" spans="1:18" s="439" customFormat="1">
      <c r="A171" s="447" t="s">
        <v>934</v>
      </c>
      <c r="B171" s="447" t="s">
        <v>208</v>
      </c>
      <c r="C171" s="803">
        <f t="shared" ref="C171:G172" si="177">C85</f>
        <v>6</v>
      </c>
      <c r="D171" s="804">
        <f t="shared" si="177"/>
        <v>289200</v>
      </c>
      <c r="E171" s="804">
        <f t="shared" si="177"/>
        <v>0</v>
      </c>
      <c r="F171" s="804">
        <f t="shared" si="177"/>
        <v>0</v>
      </c>
      <c r="G171" s="805">
        <f t="shared" si="177"/>
        <v>0</v>
      </c>
      <c r="I171" s="806">
        <f t="shared" ref="I171:N172" si="178">Q85</f>
        <v>1200</v>
      </c>
      <c r="J171" s="807">
        <f t="shared" si="178"/>
        <v>10911.52</v>
      </c>
      <c r="K171" s="807">
        <f t="shared" si="178"/>
        <v>14948.84</v>
      </c>
      <c r="L171" s="807">
        <f t="shared" si="178"/>
        <v>0</v>
      </c>
      <c r="M171" s="807">
        <f t="shared" si="178"/>
        <v>0</v>
      </c>
      <c r="N171" s="807">
        <f t="shared" si="178"/>
        <v>576.47</v>
      </c>
      <c r="O171" s="808">
        <f>SUM(I171:N171)</f>
        <v>27636.83</v>
      </c>
      <c r="R171" s="602"/>
    </row>
    <row r="172" spans="1:18" s="439" customFormat="1">
      <c r="B172" s="447" t="s">
        <v>820</v>
      </c>
      <c r="C172" s="803">
        <f t="shared" si="177"/>
        <v>140</v>
      </c>
      <c r="D172" s="804">
        <f t="shared" si="177"/>
        <v>14381708</v>
      </c>
      <c r="E172" s="804">
        <f t="shared" si="177"/>
        <v>0</v>
      </c>
      <c r="F172" s="804">
        <f t="shared" si="177"/>
        <v>0</v>
      </c>
      <c r="G172" s="805">
        <f t="shared" si="177"/>
        <v>0</v>
      </c>
      <c r="I172" s="806">
        <f t="shared" si="178"/>
        <v>28000</v>
      </c>
      <c r="J172" s="807">
        <f t="shared" si="178"/>
        <v>542621.84</v>
      </c>
      <c r="K172" s="807">
        <f t="shared" si="178"/>
        <v>438472</v>
      </c>
      <c r="L172" s="807">
        <f t="shared" si="178"/>
        <v>0</v>
      </c>
      <c r="M172" s="807">
        <f t="shared" si="178"/>
        <v>0</v>
      </c>
      <c r="N172" s="807">
        <f t="shared" si="178"/>
        <v>-4834.72</v>
      </c>
      <c r="O172" s="808">
        <f t="shared" ref="O172:O174" si="179">SUM(I172:N172)</f>
        <v>1004259.12</v>
      </c>
      <c r="Q172" s="439" t="s">
        <v>204</v>
      </c>
      <c r="R172" s="602" t="s">
        <v>204</v>
      </c>
    </row>
    <row r="173" spans="1:18" s="439" customFormat="1">
      <c r="B173" s="447" t="s">
        <v>906</v>
      </c>
      <c r="C173" s="803">
        <f>C89+C90</f>
        <v>19</v>
      </c>
      <c r="D173" s="804">
        <f t="shared" ref="D173:G173" si="180">D89+D90</f>
        <v>2690080</v>
      </c>
      <c r="E173" s="804">
        <f t="shared" si="180"/>
        <v>0</v>
      </c>
      <c r="F173" s="804">
        <f t="shared" si="180"/>
        <v>0</v>
      </c>
      <c r="G173" s="805">
        <f t="shared" si="180"/>
        <v>0</v>
      </c>
      <c r="I173" s="806">
        <f>Q89+Q90</f>
        <v>3800</v>
      </c>
      <c r="J173" s="807">
        <f t="shared" ref="J173:N173" si="181">R89+R90</f>
        <v>101496.72</v>
      </c>
      <c r="K173" s="807">
        <f t="shared" si="181"/>
        <v>72694.899999999994</v>
      </c>
      <c r="L173" s="807">
        <f t="shared" si="181"/>
        <v>0</v>
      </c>
      <c r="M173" s="807">
        <f t="shared" si="181"/>
        <v>0</v>
      </c>
      <c r="N173" s="807">
        <f t="shared" si="181"/>
        <v>-2027.98</v>
      </c>
      <c r="O173" s="808">
        <f t="shared" ref="O173" si="182">SUM(I173:N173)</f>
        <v>175963.63999999998</v>
      </c>
      <c r="Q173" s="487">
        <f>O175</f>
        <v>9430064.6400000006</v>
      </c>
      <c r="R173" s="602">
        <f>D175</f>
        <v>142882138</v>
      </c>
    </row>
    <row r="174" spans="1:18" s="439" customFormat="1" ht="14.25">
      <c r="B174" s="439" t="s">
        <v>924</v>
      </c>
      <c r="C174" s="809">
        <f>C87+C88</f>
        <v>640</v>
      </c>
      <c r="D174" s="810">
        <f>D87+D88</f>
        <v>125521150</v>
      </c>
      <c r="E174" s="810">
        <f>E87+E88</f>
        <v>151104</v>
      </c>
      <c r="F174" s="810">
        <f>F87+F88</f>
        <v>188599</v>
      </c>
      <c r="G174" s="811">
        <f>G87+G88</f>
        <v>0</v>
      </c>
      <c r="I174" s="812">
        <f>Q87+Q88</f>
        <v>128000</v>
      </c>
      <c r="J174" s="813">
        <f>R87+R88</f>
        <v>4735913</v>
      </c>
      <c r="K174" s="813">
        <f>S87+S88</f>
        <v>3389151.59</v>
      </c>
      <c r="L174" s="813">
        <f>T87</f>
        <v>0</v>
      </c>
      <c r="M174" s="813">
        <f>U87</f>
        <v>0</v>
      </c>
      <c r="N174" s="813">
        <f>V87+V88</f>
        <v>-30859.54</v>
      </c>
      <c r="O174" s="814">
        <f t="shared" si="179"/>
        <v>8222205.0499999998</v>
      </c>
    </row>
    <row r="175" spans="1:18" s="439" customFormat="1">
      <c r="C175" s="823">
        <f>SUM(C171:C174)</f>
        <v>805</v>
      </c>
      <c r="D175" s="804">
        <f>SUM(D171:D174)</f>
        <v>142882138</v>
      </c>
      <c r="E175" s="804">
        <f>SUM(E171:E174)</f>
        <v>151104</v>
      </c>
      <c r="F175" s="804">
        <f>SUM(F171:F174)</f>
        <v>188599</v>
      </c>
      <c r="G175" s="805">
        <f>SUM(G171:G174)</f>
        <v>0</v>
      </c>
      <c r="I175" s="815">
        <f t="shared" ref="I175:O175" si="183">SUM(I171:I174)</f>
        <v>161000</v>
      </c>
      <c r="J175" s="807">
        <f t="shared" si="183"/>
        <v>5390943.0800000001</v>
      </c>
      <c r="K175" s="807">
        <f t="shared" si="183"/>
        <v>3915267.33</v>
      </c>
      <c r="L175" s="807">
        <f t="shared" si="183"/>
        <v>0</v>
      </c>
      <c r="M175" s="807">
        <f t="shared" si="183"/>
        <v>0</v>
      </c>
      <c r="N175" s="807">
        <f t="shared" si="183"/>
        <v>-37145.770000000004</v>
      </c>
      <c r="O175" s="808">
        <f t="shared" si="183"/>
        <v>9430064.6400000006</v>
      </c>
      <c r="Q175" s="487">
        <f>Q173+Q174</f>
        <v>9430064.6400000006</v>
      </c>
      <c r="R175" s="602">
        <f>R173+R174</f>
        <v>142882138</v>
      </c>
    </row>
    <row r="176" spans="1:18" s="439" customFormat="1">
      <c r="C176" s="817"/>
      <c r="D176" s="511"/>
      <c r="E176" s="511"/>
      <c r="F176" s="511"/>
      <c r="G176" s="514"/>
      <c r="I176" s="822"/>
      <c r="J176" s="511"/>
      <c r="K176" s="511"/>
      <c r="L176" s="511"/>
      <c r="M176" s="511"/>
      <c r="N176" s="511"/>
      <c r="O176" s="514"/>
      <c r="R176" s="602"/>
    </row>
    <row r="177" spans="1:18" s="439" customFormat="1">
      <c r="A177" s="447" t="s">
        <v>933</v>
      </c>
      <c r="B177" s="439" t="s">
        <v>926</v>
      </c>
      <c r="C177" s="803">
        <f>C78</f>
        <v>9</v>
      </c>
      <c r="D177" s="804">
        <f t="shared" ref="D177:G177" si="184">D78</f>
        <v>2071920</v>
      </c>
      <c r="E177" s="804">
        <f t="shared" si="184"/>
        <v>5109</v>
      </c>
      <c r="F177" s="804">
        <f t="shared" si="184"/>
        <v>2144</v>
      </c>
      <c r="G177" s="805">
        <f t="shared" si="184"/>
        <v>0</v>
      </c>
      <c r="I177" s="806">
        <f>Q78</f>
        <v>2700</v>
      </c>
      <c r="J177" s="807">
        <f t="shared" ref="J177:N177" si="185">R78</f>
        <v>78007.789999999994</v>
      </c>
      <c r="K177" s="807">
        <f t="shared" si="185"/>
        <v>57662.15</v>
      </c>
      <c r="L177" s="807">
        <f t="shared" si="185"/>
        <v>0</v>
      </c>
      <c r="M177" s="807">
        <f t="shared" si="185"/>
        <v>0</v>
      </c>
      <c r="N177" s="807">
        <f t="shared" si="185"/>
        <v>-107.24</v>
      </c>
      <c r="O177" s="808">
        <f>SUM(I177:N177)</f>
        <v>138262.70000000001</v>
      </c>
      <c r="R177" s="602"/>
    </row>
    <row r="178" spans="1:18" s="439" customFormat="1" ht="14.25">
      <c r="B178" s="439" t="s">
        <v>924</v>
      </c>
      <c r="C178" s="809">
        <f>C81</f>
        <v>130</v>
      </c>
      <c r="D178" s="810">
        <f>D81</f>
        <v>43276820</v>
      </c>
      <c r="E178" s="810">
        <f>E81</f>
        <v>52585</v>
      </c>
      <c r="F178" s="810">
        <f>F81</f>
        <v>53992</v>
      </c>
      <c r="G178" s="811">
        <f>G81</f>
        <v>0</v>
      </c>
      <c r="I178" s="812">
        <f t="shared" ref="I178:O178" si="186">Q81</f>
        <v>39000</v>
      </c>
      <c r="J178" s="813">
        <f t="shared" si="186"/>
        <v>1629372.28</v>
      </c>
      <c r="K178" s="813">
        <f t="shared" si="186"/>
        <v>805331.86</v>
      </c>
      <c r="L178" s="813">
        <f t="shared" si="186"/>
        <v>0</v>
      </c>
      <c r="M178" s="813">
        <f t="shared" si="186"/>
        <v>0</v>
      </c>
      <c r="N178" s="813">
        <f t="shared" si="186"/>
        <v>-15499.8</v>
      </c>
      <c r="O178" s="814">
        <f t="shared" si="186"/>
        <v>2458204.3400000003</v>
      </c>
      <c r="Q178" s="447" t="s">
        <v>205</v>
      </c>
      <c r="R178" s="602" t="s">
        <v>205</v>
      </c>
    </row>
    <row r="179" spans="1:18" s="439" customFormat="1">
      <c r="C179" s="823">
        <f>SUM(C177:C178)</f>
        <v>139</v>
      </c>
      <c r="D179" s="804">
        <f>SUM(D177:D178)</f>
        <v>45348740</v>
      </c>
      <c r="E179" s="804">
        <f>SUM(E177:E178)</f>
        <v>57694</v>
      </c>
      <c r="F179" s="804">
        <f>SUM(F177:F178)</f>
        <v>56136</v>
      </c>
      <c r="G179" s="805">
        <f>SUM(G177:G178)</f>
        <v>0</v>
      </c>
      <c r="I179" s="815">
        <f t="shared" ref="I179:O179" si="187">SUM(I177:I178)</f>
        <v>41700</v>
      </c>
      <c r="J179" s="807">
        <f t="shared" si="187"/>
        <v>1707380.07</v>
      </c>
      <c r="K179" s="807">
        <f t="shared" si="187"/>
        <v>862994.01</v>
      </c>
      <c r="L179" s="807">
        <f t="shared" si="187"/>
        <v>0</v>
      </c>
      <c r="M179" s="807">
        <f t="shared" si="187"/>
        <v>0</v>
      </c>
      <c r="N179" s="807">
        <f t="shared" si="187"/>
        <v>-15607.039999999999</v>
      </c>
      <c r="O179" s="808">
        <f t="shared" si="187"/>
        <v>2596467.0400000005</v>
      </c>
      <c r="Q179" s="487">
        <f>O179</f>
        <v>2596467.0400000005</v>
      </c>
      <c r="R179" s="602">
        <f>D179</f>
        <v>45348740</v>
      </c>
    </row>
    <row r="180" spans="1:18" s="439" customFormat="1">
      <c r="C180" s="817"/>
      <c r="D180" s="511"/>
      <c r="E180" s="511"/>
      <c r="F180" s="511"/>
      <c r="G180" s="514"/>
      <c r="I180" s="817"/>
      <c r="J180" s="511"/>
      <c r="K180" s="511"/>
      <c r="L180" s="511"/>
      <c r="M180" s="511"/>
      <c r="N180" s="511"/>
      <c r="O180" s="514"/>
      <c r="R180" s="602"/>
    </row>
    <row r="181" spans="1:18" s="439" customFormat="1" ht="15" thickBot="1">
      <c r="A181" s="447" t="s">
        <v>940</v>
      </c>
      <c r="C181" s="824">
        <f>SUM(C141,C143,C151,C156,C158,C160,C165,C169,C175,C179)</f>
        <v>21113</v>
      </c>
      <c r="D181" s="825">
        <f t="shared" ref="D181:O181" si="188">SUM(D141,D143,D151,D156,D158,D160,D165,D169,D175,D179)</f>
        <v>307966242</v>
      </c>
      <c r="E181" s="825">
        <f t="shared" si="188"/>
        <v>261972</v>
      </c>
      <c r="F181" s="825">
        <f t="shared" si="188"/>
        <v>314881</v>
      </c>
      <c r="G181" s="826">
        <f t="shared" si="188"/>
        <v>15753</v>
      </c>
      <c r="I181" s="827">
        <f t="shared" si="188"/>
        <v>922954.75</v>
      </c>
      <c r="J181" s="828">
        <f t="shared" si="188"/>
        <v>15230985.1</v>
      </c>
      <c r="K181" s="828">
        <f t="shared" si="188"/>
        <v>6397493.0499999998</v>
      </c>
      <c r="L181" s="828">
        <f t="shared" si="188"/>
        <v>0</v>
      </c>
      <c r="M181" s="828">
        <f t="shared" si="188"/>
        <v>0</v>
      </c>
      <c r="N181" s="828">
        <f t="shared" si="188"/>
        <v>-62921.700000000004</v>
      </c>
      <c r="O181" s="829">
        <f t="shared" si="188"/>
        <v>22488511.199999999</v>
      </c>
      <c r="Q181" s="487"/>
      <c r="R181" s="602"/>
    </row>
    <row r="182" spans="1:18">
      <c r="Q182" s="256">
        <f>Q181+Q179+Q175+Q169+Q165+Q160+Q156+Q141</f>
        <v>10679140.270000001</v>
      </c>
      <c r="R182" s="224" t="e">
        <f>R181+#REF!+R179+R175+R169+R165+R160+R156+R141</f>
        <v>#REF!</v>
      </c>
    </row>
    <row r="183" spans="1:18" ht="12.75" thickBot="1"/>
    <row r="184" spans="1:18">
      <c r="C184" s="315"/>
      <c r="D184" s="1303" t="s">
        <v>921</v>
      </c>
      <c r="E184" s="1304"/>
      <c r="F184" s="1304"/>
      <c r="G184" s="1305"/>
      <c r="I184" s="341" t="s">
        <v>937</v>
      </c>
      <c r="J184" s="332"/>
      <c r="K184" s="332"/>
      <c r="L184" s="332"/>
      <c r="M184" s="332"/>
      <c r="N184" s="332"/>
      <c r="O184" s="333"/>
    </row>
    <row r="185" spans="1:18" ht="60">
      <c r="A185" s="286" t="s">
        <v>935</v>
      </c>
      <c r="B185" s="286" t="s">
        <v>936</v>
      </c>
      <c r="C185" s="316" t="s">
        <v>928</v>
      </c>
      <c r="D185" s="317" t="s">
        <v>932</v>
      </c>
      <c r="E185" s="317" t="s">
        <v>929</v>
      </c>
      <c r="F185" s="317" t="s">
        <v>930</v>
      </c>
      <c r="G185" s="318" t="s">
        <v>931</v>
      </c>
      <c r="I185" s="316" t="s">
        <v>804</v>
      </c>
      <c r="J185" s="334" t="s">
        <v>805</v>
      </c>
      <c r="K185" s="334" t="s">
        <v>806</v>
      </c>
      <c r="L185" s="334" t="s">
        <v>811</v>
      </c>
      <c r="M185" s="317" t="s">
        <v>812</v>
      </c>
      <c r="N185" s="334" t="s">
        <v>655</v>
      </c>
      <c r="O185" s="318" t="s">
        <v>813</v>
      </c>
    </row>
    <row r="186" spans="1:18">
      <c r="C186" s="319"/>
      <c r="D186" s="320"/>
      <c r="E186" s="320"/>
      <c r="F186" s="320"/>
      <c r="G186" s="321"/>
      <c r="I186" s="319"/>
      <c r="J186" s="320"/>
      <c r="K186" s="320"/>
      <c r="L186" s="320"/>
      <c r="M186" s="320"/>
      <c r="N186" s="320"/>
      <c r="O186" s="321"/>
    </row>
    <row r="187" spans="1:18">
      <c r="A187" s="225" t="s">
        <v>756</v>
      </c>
      <c r="B187" s="225" t="s">
        <v>208</v>
      </c>
      <c r="C187" s="322">
        <f>C11</f>
        <v>204</v>
      </c>
      <c r="D187" s="323">
        <f>D11</f>
        <v>235783</v>
      </c>
      <c r="E187" s="323">
        <f>E11</f>
        <v>0</v>
      </c>
      <c r="F187" s="323">
        <f>F11</f>
        <v>0</v>
      </c>
      <c r="G187" s="324">
        <f>G11</f>
        <v>0</v>
      </c>
      <c r="I187" s="335">
        <f t="shared" ref="I187:O187" si="189">I11</f>
        <v>2193</v>
      </c>
      <c r="J187" s="336">
        <f t="shared" si="189"/>
        <v>17516.3</v>
      </c>
      <c r="K187" s="336">
        <f t="shared" si="189"/>
        <v>0</v>
      </c>
      <c r="L187" s="336">
        <f t="shared" si="189"/>
        <v>0</v>
      </c>
      <c r="M187" s="336">
        <f t="shared" si="189"/>
        <v>0</v>
      </c>
      <c r="N187" s="336">
        <f t="shared" si="189"/>
        <v>-211.26999999999998</v>
      </c>
      <c r="O187" s="337">
        <f t="shared" si="189"/>
        <v>19498.03</v>
      </c>
    </row>
    <row r="188" spans="1:18" ht="14.25">
      <c r="B188" s="225" t="s">
        <v>922</v>
      </c>
      <c r="C188" s="325">
        <f>C23</f>
        <v>4</v>
      </c>
      <c r="D188" s="326">
        <f>D23</f>
        <v>4120</v>
      </c>
      <c r="E188" s="326">
        <f>E23</f>
        <v>0</v>
      </c>
      <c r="F188" s="326">
        <f>F23</f>
        <v>0</v>
      </c>
      <c r="G188" s="327">
        <f>G23</f>
        <v>0</v>
      </c>
      <c r="I188" s="338">
        <f t="shared" ref="I188:O188" si="190">I23</f>
        <v>43</v>
      </c>
      <c r="J188" s="339">
        <f t="shared" si="190"/>
        <v>306.07</v>
      </c>
      <c r="K188" s="339">
        <f t="shared" si="190"/>
        <v>0</v>
      </c>
      <c r="L188" s="339">
        <f t="shared" si="190"/>
        <v>0</v>
      </c>
      <c r="M188" s="339">
        <f t="shared" si="190"/>
        <v>0</v>
      </c>
      <c r="N188" s="339">
        <f t="shared" si="190"/>
        <v>-1.74</v>
      </c>
      <c r="O188" s="340">
        <f t="shared" si="190"/>
        <v>347.33</v>
      </c>
    </row>
    <row r="189" spans="1:18">
      <c r="C189" s="322">
        <f>SUM(C187:C188)</f>
        <v>208</v>
      </c>
      <c r="D189" s="323">
        <f>SUM(D187:D188)</f>
        <v>239903</v>
      </c>
      <c r="E189" s="323">
        <f>SUM(E187:E188)</f>
        <v>0</v>
      </c>
      <c r="F189" s="323">
        <f>SUM(F187:F188)</f>
        <v>0</v>
      </c>
      <c r="G189" s="324">
        <f>SUM(G187:G188)</f>
        <v>0</v>
      </c>
      <c r="I189" s="335">
        <f>SUM(I187:I188)</f>
        <v>2236</v>
      </c>
      <c r="J189" s="336">
        <f t="shared" ref="J189:L189" si="191">SUM(J187:J188)</f>
        <v>17822.37</v>
      </c>
      <c r="K189" s="336">
        <f t="shared" si="191"/>
        <v>0</v>
      </c>
      <c r="L189" s="336">
        <f t="shared" si="191"/>
        <v>0</v>
      </c>
      <c r="M189" s="336">
        <f>SUM(M187:M188)</f>
        <v>0</v>
      </c>
      <c r="N189" s="336">
        <f>SUM(N187:N188)</f>
        <v>-213.01</v>
      </c>
      <c r="O189" s="337">
        <f>SUM(O187:O188)</f>
        <v>19845.36</v>
      </c>
    </row>
    <row r="190" spans="1:18">
      <c r="C190" s="319"/>
      <c r="D190" s="320"/>
      <c r="E190" s="320"/>
      <c r="F190" s="320"/>
      <c r="G190" s="321"/>
      <c r="I190" s="335"/>
      <c r="J190" s="336"/>
      <c r="K190" s="336"/>
      <c r="L190" s="336"/>
      <c r="M190" s="336"/>
      <c r="N190" s="336"/>
      <c r="O190" s="337"/>
    </row>
    <row r="191" spans="1:18">
      <c r="A191" s="225" t="s">
        <v>938</v>
      </c>
      <c r="B191" s="225" t="s">
        <v>14</v>
      </c>
      <c r="C191" s="322" t="e">
        <f>#REF!</f>
        <v>#REF!</v>
      </c>
      <c r="D191" s="323" t="e">
        <f>#REF!</f>
        <v>#REF!</v>
      </c>
      <c r="E191" s="323" t="e">
        <f>#REF!</f>
        <v>#REF!</v>
      </c>
      <c r="F191" s="323" t="e">
        <f>#REF!</f>
        <v>#REF!</v>
      </c>
      <c r="G191" s="324" t="e">
        <f>#REF!</f>
        <v>#REF!</v>
      </c>
      <c r="I191" s="335" t="e">
        <f>#REF!</f>
        <v>#REF!</v>
      </c>
      <c r="J191" s="336" t="e">
        <f>#REF!</f>
        <v>#REF!</v>
      </c>
      <c r="K191" s="336" t="e">
        <f>#REF!</f>
        <v>#REF!</v>
      </c>
      <c r="L191" s="336" t="e">
        <f>#REF!</f>
        <v>#REF!</v>
      </c>
      <c r="M191" s="336" t="e">
        <f>#REF!</f>
        <v>#REF!</v>
      </c>
      <c r="N191" s="336" t="e">
        <f>#REF!</f>
        <v>#REF!</v>
      </c>
      <c r="O191" s="337" t="e">
        <f>#REF!</f>
        <v>#REF!</v>
      </c>
    </row>
    <row r="192" spans="1:18" ht="14.25">
      <c r="B192" s="225" t="s">
        <v>208</v>
      </c>
      <c r="C192" s="325">
        <f>C10</f>
        <v>2</v>
      </c>
      <c r="D192" s="326">
        <f>D10</f>
        <v>0</v>
      </c>
      <c r="E192" s="326">
        <f>E10</f>
        <v>0</v>
      </c>
      <c r="F192" s="326">
        <f>F10</f>
        <v>0</v>
      </c>
      <c r="G192" s="327">
        <f>G10</f>
        <v>0</v>
      </c>
      <c r="I192" s="338">
        <f t="shared" ref="I192:O192" si="192">I10</f>
        <v>40</v>
      </c>
      <c r="J192" s="339">
        <f t="shared" si="192"/>
        <v>0</v>
      </c>
      <c r="K192" s="339">
        <f t="shared" si="192"/>
        <v>0</v>
      </c>
      <c r="L192" s="339">
        <f t="shared" si="192"/>
        <v>0</v>
      </c>
      <c r="M192" s="339">
        <f t="shared" si="192"/>
        <v>0</v>
      </c>
      <c r="N192" s="339">
        <f t="shared" si="192"/>
        <v>0</v>
      </c>
      <c r="O192" s="340">
        <f t="shared" si="192"/>
        <v>40</v>
      </c>
    </row>
    <row r="193" spans="1:15">
      <c r="C193" s="322" t="e">
        <f>SUM(C191:C192)</f>
        <v>#REF!</v>
      </c>
      <c r="D193" s="323" t="e">
        <f>SUM(D191:D192)</f>
        <v>#REF!</v>
      </c>
      <c r="E193" s="323" t="e">
        <f>SUM(E191:E192)</f>
        <v>#REF!</v>
      </c>
      <c r="F193" s="323" t="e">
        <f>SUM(F191:F192)</f>
        <v>#REF!</v>
      </c>
      <c r="G193" s="324" t="e">
        <f>SUM(G191:G192)</f>
        <v>#REF!</v>
      </c>
      <c r="I193" s="335" t="e">
        <f>SUM(I191:I192)</f>
        <v>#REF!</v>
      </c>
      <c r="J193" s="336" t="e">
        <f t="shared" ref="J193:L193" si="193">SUM(J191:J192)</f>
        <v>#REF!</v>
      </c>
      <c r="K193" s="336" t="e">
        <f t="shared" si="193"/>
        <v>#REF!</v>
      </c>
      <c r="L193" s="336" t="e">
        <f t="shared" si="193"/>
        <v>#REF!</v>
      </c>
      <c r="M193" s="336" t="e">
        <f>SUM(M191:M192)</f>
        <v>#REF!</v>
      </c>
      <c r="N193" s="336" t="e">
        <f>SUM(N191:N192)</f>
        <v>#REF!</v>
      </c>
      <c r="O193" s="337" t="e">
        <f>SUM(O191:O192)</f>
        <v>#REF!</v>
      </c>
    </row>
    <row r="194" spans="1:15">
      <c r="C194" s="319"/>
      <c r="D194" s="320"/>
      <c r="E194" s="320"/>
      <c r="F194" s="320"/>
      <c r="G194" s="321"/>
      <c r="I194" s="335"/>
      <c r="J194" s="336"/>
      <c r="K194" s="336"/>
      <c r="L194" s="336"/>
      <c r="M194" s="336"/>
      <c r="N194" s="336"/>
      <c r="O194" s="337"/>
    </row>
    <row r="195" spans="1:15">
      <c r="A195" s="225" t="s">
        <v>923</v>
      </c>
      <c r="B195" s="225" t="s">
        <v>14</v>
      </c>
      <c r="C195" s="322">
        <f>C32+C35</f>
        <v>50</v>
      </c>
      <c r="D195" s="323">
        <f>D32+D35</f>
        <v>84714</v>
      </c>
      <c r="E195" s="323">
        <f>E32+E35</f>
        <v>0</v>
      </c>
      <c r="F195" s="323">
        <f>F32+F35</f>
        <v>0</v>
      </c>
      <c r="G195" s="324">
        <f>G32+G35</f>
        <v>0</v>
      </c>
      <c r="I195" s="335">
        <f t="shared" ref="I195:O195" si="194">I32+I35</f>
        <v>796.5</v>
      </c>
      <c r="J195" s="336">
        <f t="shared" si="194"/>
        <v>6915.4400000000005</v>
      </c>
      <c r="K195" s="336">
        <f t="shared" si="194"/>
        <v>0</v>
      </c>
      <c r="L195" s="336">
        <f t="shared" si="194"/>
        <v>0</v>
      </c>
      <c r="M195" s="336">
        <f t="shared" si="194"/>
        <v>0</v>
      </c>
      <c r="N195" s="336">
        <f t="shared" si="194"/>
        <v>-37.11</v>
      </c>
      <c r="O195" s="337">
        <f t="shared" si="194"/>
        <v>7674.83</v>
      </c>
    </row>
    <row r="196" spans="1:15">
      <c r="B196" s="225" t="s">
        <v>203</v>
      </c>
      <c r="C196" s="322">
        <f>C93</f>
        <v>12</v>
      </c>
      <c r="D196" s="323">
        <f>D93</f>
        <v>3999</v>
      </c>
      <c r="E196" s="323">
        <f>E93</f>
        <v>0</v>
      </c>
      <c r="F196" s="323">
        <f>F93</f>
        <v>0</v>
      </c>
      <c r="G196" s="324">
        <f>G93</f>
        <v>0</v>
      </c>
      <c r="I196" s="335">
        <f t="shared" ref="I196:O196" si="195">I93</f>
        <v>420</v>
      </c>
      <c r="J196" s="336">
        <f t="shared" si="195"/>
        <v>284.93</v>
      </c>
      <c r="K196" s="336">
        <f t="shared" si="195"/>
        <v>0</v>
      </c>
      <c r="L196" s="336">
        <f t="shared" si="195"/>
        <v>0</v>
      </c>
      <c r="M196" s="336">
        <f t="shared" si="195"/>
        <v>0</v>
      </c>
      <c r="N196" s="336">
        <f t="shared" si="195"/>
        <v>-1.65</v>
      </c>
      <c r="O196" s="337">
        <f t="shared" si="195"/>
        <v>703.28000000000009</v>
      </c>
    </row>
    <row r="197" spans="1:15">
      <c r="B197" s="225" t="s">
        <v>924</v>
      </c>
      <c r="C197" s="322">
        <f>C59</f>
        <v>136</v>
      </c>
      <c r="D197" s="323">
        <f>D59</f>
        <v>1931829</v>
      </c>
      <c r="E197" s="323">
        <f>E59</f>
        <v>0</v>
      </c>
      <c r="F197" s="323">
        <f>F59</f>
        <v>0</v>
      </c>
      <c r="G197" s="324">
        <f>G59</f>
        <v>0</v>
      </c>
      <c r="I197" s="335">
        <f t="shared" ref="I197:O197" si="196">I59</f>
        <v>2720</v>
      </c>
      <c r="J197" s="336">
        <f t="shared" si="196"/>
        <v>169112.31</v>
      </c>
      <c r="K197" s="336">
        <f t="shared" si="196"/>
        <v>0</v>
      </c>
      <c r="L197" s="336">
        <f t="shared" si="196"/>
        <v>0</v>
      </c>
      <c r="M197" s="336">
        <f t="shared" si="196"/>
        <v>0</v>
      </c>
      <c r="N197" s="336">
        <f t="shared" si="196"/>
        <v>-367.85</v>
      </c>
      <c r="O197" s="337">
        <f t="shared" si="196"/>
        <v>171464.46</v>
      </c>
    </row>
    <row r="198" spans="1:15">
      <c r="B198" s="225" t="s">
        <v>934</v>
      </c>
      <c r="C198" s="322">
        <f>C85</f>
        <v>6</v>
      </c>
      <c r="D198" s="323">
        <f>D85</f>
        <v>289200</v>
      </c>
      <c r="E198" s="323">
        <f>E85</f>
        <v>0</v>
      </c>
      <c r="F198" s="323">
        <f>F85</f>
        <v>0</v>
      </c>
      <c r="G198" s="324">
        <f>G85</f>
        <v>0</v>
      </c>
      <c r="I198" s="335">
        <f t="shared" ref="I198:O198" si="197">I85</f>
        <v>120</v>
      </c>
      <c r="J198" s="336">
        <f t="shared" si="197"/>
        <v>25316.560000000001</v>
      </c>
      <c r="K198" s="336">
        <f t="shared" si="197"/>
        <v>0</v>
      </c>
      <c r="L198" s="336">
        <f t="shared" si="197"/>
        <v>0</v>
      </c>
      <c r="M198" s="336">
        <f t="shared" si="197"/>
        <v>0</v>
      </c>
      <c r="N198" s="336">
        <f t="shared" si="197"/>
        <v>576.47</v>
      </c>
      <c r="O198" s="337">
        <f t="shared" si="197"/>
        <v>26013.030000000002</v>
      </c>
    </row>
    <row r="199" spans="1:15">
      <c r="B199" s="225" t="s">
        <v>933</v>
      </c>
      <c r="C199" s="322">
        <f>C79</f>
        <v>0</v>
      </c>
      <c r="D199" s="323">
        <f>D79</f>
        <v>0</v>
      </c>
      <c r="E199" s="323">
        <f>E79</f>
        <v>0</v>
      </c>
      <c r="F199" s="323">
        <f>F79</f>
        <v>0</v>
      </c>
      <c r="G199" s="324">
        <f>G79</f>
        <v>0</v>
      </c>
      <c r="I199" s="335">
        <f t="shared" ref="I199:O199" si="198">I79</f>
        <v>0</v>
      </c>
      <c r="J199" s="336">
        <f t="shared" si="198"/>
        <v>0</v>
      </c>
      <c r="K199" s="336">
        <f t="shared" si="198"/>
        <v>0</v>
      </c>
      <c r="L199" s="336">
        <f t="shared" si="198"/>
        <v>0</v>
      </c>
      <c r="M199" s="336">
        <f t="shared" si="198"/>
        <v>0</v>
      </c>
      <c r="N199" s="336">
        <f t="shared" si="198"/>
        <v>0</v>
      </c>
      <c r="O199" s="337">
        <f t="shared" si="198"/>
        <v>0</v>
      </c>
    </row>
    <row r="200" spans="1:15" ht="14.25">
      <c r="B200" s="225" t="s">
        <v>20</v>
      </c>
      <c r="C200" s="325">
        <f>C48</f>
        <v>76</v>
      </c>
      <c r="D200" s="326">
        <f>D48</f>
        <v>133792</v>
      </c>
      <c r="E200" s="326">
        <f>E48</f>
        <v>0</v>
      </c>
      <c r="F200" s="326">
        <f>F48</f>
        <v>0</v>
      </c>
      <c r="G200" s="327">
        <f>G48</f>
        <v>0</v>
      </c>
      <c r="I200" s="338">
        <f t="shared" ref="I200:O200" si="199">I48</f>
        <v>817</v>
      </c>
      <c r="J200" s="339">
        <f t="shared" si="199"/>
        <v>9939.41</v>
      </c>
      <c r="K200" s="339">
        <f t="shared" si="199"/>
        <v>0</v>
      </c>
      <c r="L200" s="339">
        <f t="shared" si="199"/>
        <v>0</v>
      </c>
      <c r="M200" s="339">
        <f t="shared" si="199"/>
        <v>0</v>
      </c>
      <c r="N200" s="339">
        <f t="shared" si="199"/>
        <v>-87.460000000000008</v>
      </c>
      <c r="O200" s="340">
        <f t="shared" si="199"/>
        <v>10668.95</v>
      </c>
    </row>
    <row r="201" spans="1:15">
      <c r="C201" s="322">
        <f>SUM(C195:C200)</f>
        <v>280</v>
      </c>
      <c r="D201" s="323">
        <f>SUM(D195:D200)</f>
        <v>2443534</v>
      </c>
      <c r="E201" s="323">
        <f>SUM(E195:E200)</f>
        <v>0</v>
      </c>
      <c r="F201" s="323">
        <f>SUM(F195:F200)</f>
        <v>0</v>
      </c>
      <c r="G201" s="324">
        <f>SUM(G195:G200)</f>
        <v>0</v>
      </c>
      <c r="I201" s="335">
        <f>SUM(I195:I200)</f>
        <v>4873.5</v>
      </c>
      <c r="J201" s="336">
        <f t="shared" ref="J201:L201" si="200">SUM(J195:J200)</f>
        <v>211568.65</v>
      </c>
      <c r="K201" s="336">
        <f t="shared" si="200"/>
        <v>0</v>
      </c>
      <c r="L201" s="336">
        <f t="shared" si="200"/>
        <v>0</v>
      </c>
      <c r="M201" s="336">
        <f>SUM(M195:M200)</f>
        <v>0</v>
      </c>
      <c r="N201" s="336">
        <f>SUM(N195:N200)</f>
        <v>82.4</v>
      </c>
      <c r="O201" s="337">
        <f>SUM(O195:O200)</f>
        <v>216524.55000000002</v>
      </c>
    </row>
    <row r="202" spans="1:15">
      <c r="C202" s="319"/>
      <c r="D202" s="320"/>
      <c r="E202" s="320"/>
      <c r="F202" s="320"/>
      <c r="G202" s="321"/>
      <c r="I202" s="335"/>
      <c r="J202" s="336"/>
      <c r="K202" s="336"/>
      <c r="L202" s="336"/>
      <c r="M202" s="336"/>
      <c r="N202" s="336"/>
      <c r="O202" s="337"/>
    </row>
    <row r="203" spans="1:15">
      <c r="A203" s="225" t="s">
        <v>925</v>
      </c>
      <c r="B203" s="225" t="s">
        <v>14</v>
      </c>
      <c r="C203" s="322">
        <f>C28</f>
        <v>11</v>
      </c>
      <c r="D203" s="323">
        <f>D28</f>
        <v>25757</v>
      </c>
      <c r="E203" s="323">
        <f>E28</f>
        <v>0</v>
      </c>
      <c r="F203" s="323">
        <f>F28</f>
        <v>0</v>
      </c>
      <c r="G203" s="324">
        <f>G28</f>
        <v>0</v>
      </c>
      <c r="I203" s="335">
        <f t="shared" ref="I203:O203" si="201">I28</f>
        <v>385</v>
      </c>
      <c r="J203" s="336">
        <f t="shared" si="201"/>
        <v>2254.77</v>
      </c>
      <c r="K203" s="336">
        <f t="shared" si="201"/>
        <v>0</v>
      </c>
      <c r="L203" s="336">
        <f t="shared" si="201"/>
        <v>0</v>
      </c>
      <c r="M203" s="336">
        <f t="shared" si="201"/>
        <v>0</v>
      </c>
      <c r="N203" s="336">
        <f t="shared" si="201"/>
        <v>-19.690000000000001</v>
      </c>
      <c r="O203" s="337">
        <f t="shared" si="201"/>
        <v>2620.08</v>
      </c>
    </row>
    <row r="204" spans="1:15">
      <c r="B204" s="225" t="s">
        <v>208</v>
      </c>
      <c r="C204" s="322">
        <f>C8</f>
        <v>1602</v>
      </c>
      <c r="D204" s="323">
        <f>D8</f>
        <v>3410440</v>
      </c>
      <c r="E204" s="323">
        <f>E8</f>
        <v>0</v>
      </c>
      <c r="F204" s="323">
        <f>F8</f>
        <v>0</v>
      </c>
      <c r="G204" s="324">
        <f>G8</f>
        <v>0</v>
      </c>
      <c r="I204" s="335">
        <f t="shared" ref="I204:O204" si="202">I8</f>
        <v>56070</v>
      </c>
      <c r="J204" s="336">
        <f t="shared" si="202"/>
        <v>298549.93</v>
      </c>
      <c r="K204" s="336">
        <f t="shared" si="202"/>
        <v>0</v>
      </c>
      <c r="L204" s="336">
        <f t="shared" si="202"/>
        <v>0</v>
      </c>
      <c r="M204" s="336">
        <f t="shared" si="202"/>
        <v>0</v>
      </c>
      <c r="N204" s="336">
        <f t="shared" si="202"/>
        <v>-768.48</v>
      </c>
      <c r="O204" s="337">
        <f t="shared" si="202"/>
        <v>353851.45</v>
      </c>
    </row>
    <row r="205" spans="1:15">
      <c r="B205" s="225" t="s">
        <v>924</v>
      </c>
      <c r="C205" s="322">
        <f>C58</f>
        <v>1185</v>
      </c>
      <c r="D205" s="323">
        <f>D58</f>
        <v>38695430</v>
      </c>
      <c r="E205" s="323">
        <f>E58</f>
        <v>0</v>
      </c>
      <c r="F205" s="323">
        <f>F58</f>
        <v>0</v>
      </c>
      <c r="G205" s="324">
        <f>G58</f>
        <v>0</v>
      </c>
      <c r="I205" s="335">
        <f t="shared" ref="I205:O205" si="203">I58</f>
        <v>41475</v>
      </c>
      <c r="J205" s="336">
        <f t="shared" si="203"/>
        <v>3387397.97</v>
      </c>
      <c r="K205" s="336">
        <f t="shared" si="203"/>
        <v>0</v>
      </c>
      <c r="L205" s="336">
        <f t="shared" si="203"/>
        <v>0</v>
      </c>
      <c r="M205" s="336">
        <f t="shared" si="203"/>
        <v>0</v>
      </c>
      <c r="N205" s="336">
        <f t="shared" si="203"/>
        <v>-5820.41</v>
      </c>
      <c r="O205" s="337">
        <f t="shared" si="203"/>
        <v>3423052.56</v>
      </c>
    </row>
    <row r="206" spans="1:15">
      <c r="B206" s="225" t="s">
        <v>926</v>
      </c>
      <c r="C206" s="322">
        <f>C69</f>
        <v>0</v>
      </c>
      <c r="D206" s="323">
        <f>D69</f>
        <v>0</v>
      </c>
      <c r="E206" s="323">
        <f>E69</f>
        <v>0</v>
      </c>
      <c r="F206" s="323">
        <f>F69</f>
        <v>0</v>
      </c>
      <c r="G206" s="324">
        <f>G69</f>
        <v>0</v>
      </c>
      <c r="I206" s="335">
        <f t="shared" ref="I206:O206" si="204">I69</f>
        <v>0</v>
      </c>
      <c r="J206" s="336">
        <f t="shared" si="204"/>
        <v>0</v>
      </c>
      <c r="K206" s="336">
        <f t="shared" si="204"/>
        <v>0</v>
      </c>
      <c r="L206" s="336">
        <f t="shared" si="204"/>
        <v>0</v>
      </c>
      <c r="M206" s="336">
        <f t="shared" si="204"/>
        <v>0</v>
      </c>
      <c r="N206" s="336">
        <f t="shared" si="204"/>
        <v>0</v>
      </c>
      <c r="O206" s="337">
        <f t="shared" si="204"/>
        <v>0</v>
      </c>
    </row>
    <row r="207" spans="1:15">
      <c r="B207" s="225" t="s">
        <v>934</v>
      </c>
      <c r="C207" s="322">
        <f>C86</f>
        <v>140</v>
      </c>
      <c r="D207" s="323">
        <f>D86</f>
        <v>14381708</v>
      </c>
      <c r="E207" s="323">
        <f>E86</f>
        <v>0</v>
      </c>
      <c r="F207" s="323">
        <f>F86</f>
        <v>0</v>
      </c>
      <c r="G207" s="324">
        <f>G86</f>
        <v>0</v>
      </c>
      <c r="I207" s="335">
        <f t="shared" ref="I207:O207" si="205">I86</f>
        <v>4900</v>
      </c>
      <c r="J207" s="336">
        <f t="shared" si="205"/>
        <v>1258974.69</v>
      </c>
      <c r="K207" s="336">
        <f t="shared" si="205"/>
        <v>0</v>
      </c>
      <c r="L207" s="336">
        <f t="shared" si="205"/>
        <v>0</v>
      </c>
      <c r="M207" s="336">
        <f t="shared" si="205"/>
        <v>0</v>
      </c>
      <c r="N207" s="336">
        <f t="shared" si="205"/>
        <v>-4834.72</v>
      </c>
      <c r="O207" s="337">
        <f t="shared" si="205"/>
        <v>1259039.97</v>
      </c>
    </row>
    <row r="208" spans="1:15" ht="14.25">
      <c r="B208" s="225" t="s">
        <v>933</v>
      </c>
      <c r="C208" s="325">
        <f>C80</f>
        <v>0</v>
      </c>
      <c r="D208" s="326">
        <f>D80</f>
        <v>0</v>
      </c>
      <c r="E208" s="326">
        <f>E80</f>
        <v>0</v>
      </c>
      <c r="F208" s="326">
        <f>F80</f>
        <v>0</v>
      </c>
      <c r="G208" s="327">
        <f>G80</f>
        <v>0</v>
      </c>
      <c r="I208" s="338">
        <f t="shared" ref="I208:O208" si="206">I80</f>
        <v>0</v>
      </c>
      <c r="J208" s="339">
        <f t="shared" si="206"/>
        <v>0</v>
      </c>
      <c r="K208" s="339">
        <f t="shared" si="206"/>
        <v>0</v>
      </c>
      <c r="L208" s="339">
        <f t="shared" si="206"/>
        <v>0</v>
      </c>
      <c r="M208" s="339">
        <f t="shared" si="206"/>
        <v>0</v>
      </c>
      <c r="N208" s="339">
        <f t="shared" si="206"/>
        <v>0</v>
      </c>
      <c r="O208" s="340">
        <f t="shared" si="206"/>
        <v>0</v>
      </c>
    </row>
    <row r="209" spans="1:15">
      <c r="C209" s="322">
        <f>SUM(C203:C208)</f>
        <v>2938</v>
      </c>
      <c r="D209" s="323">
        <f>SUM(D203:D208)</f>
        <v>56513335</v>
      </c>
      <c r="E209" s="323">
        <f>SUM(E203:E208)</f>
        <v>0</v>
      </c>
      <c r="F209" s="323">
        <f>SUM(F203:F208)</f>
        <v>0</v>
      </c>
      <c r="G209" s="324">
        <f>SUM(G203:G208)</f>
        <v>0</v>
      </c>
      <c r="I209" s="335">
        <f>SUM(I203:I208)</f>
        <v>102830</v>
      </c>
      <c r="J209" s="336">
        <f t="shared" ref="J209:L209" si="207">SUM(J203:J208)</f>
        <v>4947177.3600000003</v>
      </c>
      <c r="K209" s="336">
        <f t="shared" si="207"/>
        <v>0</v>
      </c>
      <c r="L209" s="336">
        <f t="shared" si="207"/>
        <v>0</v>
      </c>
      <c r="M209" s="336">
        <f>SUM(M203:M208)</f>
        <v>0</v>
      </c>
      <c r="N209" s="336">
        <f>SUM(N203:N208)</f>
        <v>-11443.3</v>
      </c>
      <c r="O209" s="337">
        <f>SUM(O203:O208)</f>
        <v>5038564.0599999996</v>
      </c>
    </row>
    <row r="210" spans="1:15">
      <c r="C210" s="319"/>
      <c r="D210" s="320"/>
      <c r="E210" s="320"/>
      <c r="F210" s="320"/>
      <c r="G210" s="321"/>
      <c r="I210" s="335"/>
      <c r="J210" s="336"/>
      <c r="K210" s="336"/>
      <c r="L210" s="336"/>
      <c r="M210" s="336"/>
      <c r="N210" s="336"/>
      <c r="O210" s="337"/>
    </row>
    <row r="211" spans="1:15">
      <c r="A211" s="225" t="s">
        <v>472</v>
      </c>
      <c r="B211" s="225" t="s">
        <v>208</v>
      </c>
      <c r="C211" s="322">
        <f>C9</f>
        <v>4</v>
      </c>
      <c r="D211" s="323">
        <f>D9</f>
        <v>760</v>
      </c>
      <c r="E211" s="323">
        <f>E9</f>
        <v>0</v>
      </c>
      <c r="F211" s="323">
        <f>F9</f>
        <v>0</v>
      </c>
      <c r="G211" s="324">
        <f>G9</f>
        <v>0</v>
      </c>
      <c r="I211" s="335">
        <f t="shared" ref="I211:O211" si="208">I9</f>
        <v>80</v>
      </c>
      <c r="J211" s="336">
        <f t="shared" si="208"/>
        <v>54.15</v>
      </c>
      <c r="K211" s="336">
        <f t="shared" si="208"/>
        <v>0</v>
      </c>
      <c r="L211" s="336">
        <f t="shared" si="208"/>
        <v>0</v>
      </c>
      <c r="M211" s="336">
        <f t="shared" si="208"/>
        <v>0</v>
      </c>
      <c r="N211" s="336">
        <f t="shared" si="208"/>
        <v>-2.0099999999999998</v>
      </c>
      <c r="O211" s="337">
        <f t="shared" si="208"/>
        <v>132.14000000000001</v>
      </c>
    </row>
    <row r="212" spans="1:15" ht="14.25">
      <c r="B212" s="225" t="s">
        <v>820</v>
      </c>
      <c r="C212" s="325">
        <f>C20</f>
        <v>0</v>
      </c>
      <c r="D212" s="326">
        <f>D20</f>
        <v>0</v>
      </c>
      <c r="E212" s="326">
        <f>E20</f>
        <v>0</v>
      </c>
      <c r="F212" s="326">
        <f>F20</f>
        <v>0</v>
      </c>
      <c r="G212" s="327">
        <f>G20</f>
        <v>0</v>
      </c>
      <c r="I212" s="338">
        <f t="shared" ref="I212:O212" si="209">I20</f>
        <v>0</v>
      </c>
      <c r="J212" s="339">
        <f t="shared" si="209"/>
        <v>0</v>
      </c>
      <c r="K212" s="339">
        <f t="shared" si="209"/>
        <v>0</v>
      </c>
      <c r="L212" s="339">
        <f t="shared" si="209"/>
        <v>0</v>
      </c>
      <c r="M212" s="339">
        <f t="shared" si="209"/>
        <v>0</v>
      </c>
      <c r="N212" s="339">
        <f t="shared" si="209"/>
        <v>0</v>
      </c>
      <c r="O212" s="340">
        <f t="shared" si="209"/>
        <v>0</v>
      </c>
    </row>
    <row r="213" spans="1:15">
      <c r="C213" s="322">
        <f>SUM(C211:C212)</f>
        <v>4</v>
      </c>
      <c r="D213" s="323">
        <f>SUM(D211:D212)</f>
        <v>760</v>
      </c>
      <c r="E213" s="323">
        <f>SUM(E211:E212)</f>
        <v>0</v>
      </c>
      <c r="F213" s="323">
        <f>SUM(F211:F212)</f>
        <v>0</v>
      </c>
      <c r="G213" s="324">
        <f>SUM(G211:G212)</f>
        <v>0</v>
      </c>
      <c r="I213" s="335">
        <f>SUM(I211:I212)</f>
        <v>80</v>
      </c>
      <c r="J213" s="336">
        <f t="shared" ref="J213:L213" si="210">SUM(J211:J212)</f>
        <v>54.15</v>
      </c>
      <c r="K213" s="336">
        <f t="shared" si="210"/>
        <v>0</v>
      </c>
      <c r="L213" s="336">
        <f t="shared" si="210"/>
        <v>0</v>
      </c>
      <c r="M213" s="336">
        <f>SUM(M211:M212)</f>
        <v>0</v>
      </c>
      <c r="N213" s="336">
        <f>SUM(N211:N212)</f>
        <v>-2.0099999999999998</v>
      </c>
      <c r="O213" s="337">
        <f>SUM(O211:O212)</f>
        <v>132.14000000000001</v>
      </c>
    </row>
    <row r="214" spans="1:15">
      <c r="C214" s="319"/>
      <c r="D214" s="320"/>
      <c r="E214" s="320"/>
      <c r="F214" s="320"/>
      <c r="G214" s="321"/>
      <c r="I214" s="335"/>
      <c r="J214" s="336"/>
      <c r="K214" s="336"/>
      <c r="L214" s="336"/>
      <c r="M214" s="336"/>
      <c r="N214" s="336"/>
      <c r="O214" s="337"/>
    </row>
    <row r="215" spans="1:15">
      <c r="A215" s="225" t="s">
        <v>927</v>
      </c>
      <c r="B215" s="259" t="s">
        <v>924</v>
      </c>
      <c r="C215" s="322">
        <f>C60</f>
        <v>15</v>
      </c>
      <c r="D215" s="323">
        <f>D60</f>
        <v>101030</v>
      </c>
      <c r="E215" s="323">
        <f>E60</f>
        <v>202</v>
      </c>
      <c r="F215" s="323">
        <f>F60</f>
        <v>123</v>
      </c>
      <c r="G215" s="324">
        <f>G60</f>
        <v>0</v>
      </c>
      <c r="I215" s="335">
        <f t="shared" ref="I215:O215" si="211">I60</f>
        <v>1350</v>
      </c>
      <c r="J215" s="336">
        <f t="shared" si="211"/>
        <v>3600.72</v>
      </c>
      <c r="K215" s="336">
        <f t="shared" si="211"/>
        <v>4355.08</v>
      </c>
      <c r="L215" s="336">
        <f t="shared" si="211"/>
        <v>0</v>
      </c>
      <c r="M215" s="336">
        <f t="shared" si="211"/>
        <v>0</v>
      </c>
      <c r="N215" s="336">
        <f t="shared" si="211"/>
        <v>-24.32</v>
      </c>
      <c r="O215" s="337">
        <f t="shared" si="211"/>
        <v>9281.48</v>
      </c>
    </row>
    <row r="216" spans="1:15">
      <c r="C216" s="319"/>
      <c r="D216" s="320"/>
      <c r="E216" s="320"/>
      <c r="F216" s="320"/>
      <c r="G216" s="321"/>
      <c r="I216" s="335"/>
      <c r="J216" s="336"/>
      <c r="K216" s="336"/>
      <c r="L216" s="336"/>
      <c r="M216" s="336"/>
      <c r="N216" s="336"/>
      <c r="O216" s="337"/>
    </row>
    <row r="217" spans="1:15">
      <c r="A217" s="225" t="s">
        <v>924</v>
      </c>
      <c r="B217" s="261" t="s">
        <v>208</v>
      </c>
      <c r="C217" s="322">
        <f>C6</f>
        <v>7</v>
      </c>
      <c r="D217" s="323">
        <f>D6</f>
        <v>4560</v>
      </c>
      <c r="E217" s="323">
        <f>E6</f>
        <v>25</v>
      </c>
      <c r="F217" s="323">
        <f>F6</f>
        <v>150</v>
      </c>
      <c r="G217" s="324">
        <f>G6</f>
        <v>0</v>
      </c>
      <c r="I217" s="335">
        <f t="shared" ref="I217:O217" si="212">I6</f>
        <v>1190</v>
      </c>
      <c r="J217" s="336">
        <f t="shared" si="212"/>
        <v>162.43</v>
      </c>
      <c r="K217" s="336">
        <f t="shared" si="212"/>
        <v>399.98</v>
      </c>
      <c r="L217" s="336">
        <f t="shared" si="212"/>
        <v>0</v>
      </c>
      <c r="M217" s="336">
        <f t="shared" si="212"/>
        <v>0</v>
      </c>
      <c r="N217" s="336">
        <f t="shared" si="212"/>
        <v>-2.42</v>
      </c>
      <c r="O217" s="337">
        <f t="shared" si="212"/>
        <v>1749.99</v>
      </c>
    </row>
    <row r="218" spans="1:15">
      <c r="B218" s="261" t="s">
        <v>820</v>
      </c>
      <c r="C218" s="322">
        <f>C17</f>
        <v>1437</v>
      </c>
      <c r="D218" s="323">
        <f>D17</f>
        <v>13976184</v>
      </c>
      <c r="E218" s="323">
        <f>E17</f>
        <v>30622</v>
      </c>
      <c r="F218" s="323">
        <f>F17</f>
        <v>42064</v>
      </c>
      <c r="G218" s="324">
        <f>G17</f>
        <v>0</v>
      </c>
      <c r="I218" s="335">
        <f t="shared" ref="I218:O218" si="213">I17</f>
        <v>129330</v>
      </c>
      <c r="J218" s="336">
        <f t="shared" si="213"/>
        <v>498111.19</v>
      </c>
      <c r="K218" s="336">
        <f t="shared" si="213"/>
        <v>567889.67000000004</v>
      </c>
      <c r="L218" s="336">
        <f t="shared" si="213"/>
        <v>0</v>
      </c>
      <c r="M218" s="336">
        <f t="shared" si="213"/>
        <v>0</v>
      </c>
      <c r="N218" s="336">
        <f t="shared" si="213"/>
        <v>-3765</v>
      </c>
      <c r="O218" s="337">
        <f t="shared" si="213"/>
        <v>1191565.8599999999</v>
      </c>
    </row>
    <row r="219" spans="1:15">
      <c r="B219" s="225" t="s">
        <v>906</v>
      </c>
      <c r="C219" s="322">
        <f>C96</f>
        <v>2</v>
      </c>
      <c r="D219" s="323">
        <f>D96</f>
        <v>161200</v>
      </c>
      <c r="E219" s="323">
        <f>E96</f>
        <v>0</v>
      </c>
      <c r="F219" s="323">
        <f>F96</f>
        <v>0</v>
      </c>
      <c r="G219" s="324">
        <f>G96</f>
        <v>0</v>
      </c>
      <c r="I219" s="335">
        <f t="shared" ref="I219:O219" si="214">I96</f>
        <v>40</v>
      </c>
      <c r="J219" s="336">
        <f t="shared" si="214"/>
        <v>11485.5</v>
      </c>
      <c r="K219" s="336">
        <f t="shared" si="214"/>
        <v>0</v>
      </c>
      <c r="L219" s="336">
        <f t="shared" si="214"/>
        <v>0</v>
      </c>
      <c r="M219" s="336">
        <f t="shared" si="214"/>
        <v>0</v>
      </c>
      <c r="N219" s="336">
        <f t="shared" si="214"/>
        <v>147.75</v>
      </c>
      <c r="O219" s="337">
        <f t="shared" si="214"/>
        <v>11673.25</v>
      </c>
    </row>
    <row r="220" spans="1:15">
      <c r="B220" s="261" t="s">
        <v>926</v>
      </c>
      <c r="C220" s="322">
        <f>C68</f>
        <v>12</v>
      </c>
      <c r="D220" s="323">
        <f>D68</f>
        <v>621600</v>
      </c>
      <c r="E220" s="323">
        <f>E68</f>
        <v>2397</v>
      </c>
      <c r="F220" s="323">
        <f>F68</f>
        <v>2488</v>
      </c>
      <c r="G220" s="324">
        <f>G68</f>
        <v>3941</v>
      </c>
      <c r="I220" s="335">
        <f t="shared" ref="I220:O220" si="215">I68</f>
        <v>3600</v>
      </c>
      <c r="J220" s="336">
        <f t="shared" si="215"/>
        <v>23403.24</v>
      </c>
      <c r="K220" s="336">
        <f t="shared" si="215"/>
        <v>19453.95</v>
      </c>
      <c r="L220" s="336">
        <f t="shared" si="215"/>
        <v>0</v>
      </c>
      <c r="M220" s="336">
        <f t="shared" si="215"/>
        <v>0</v>
      </c>
      <c r="N220" s="336">
        <f t="shared" si="215"/>
        <v>84.65</v>
      </c>
      <c r="O220" s="337">
        <f t="shared" si="215"/>
        <v>46541.840000000004</v>
      </c>
    </row>
    <row r="221" spans="1:15">
      <c r="B221" s="225" t="s">
        <v>934</v>
      </c>
      <c r="C221" s="322">
        <f>C87</f>
        <v>240</v>
      </c>
      <c r="D221" s="323">
        <f>D87</f>
        <v>28157814</v>
      </c>
      <c r="E221" s="323">
        <f>E87</f>
        <v>33360</v>
      </c>
      <c r="F221" s="323">
        <f>F87</f>
        <v>50312</v>
      </c>
      <c r="G221" s="324">
        <f>G87</f>
        <v>0</v>
      </c>
      <c r="I221" s="335">
        <f t="shared" ref="I221:O221" si="216">I87</f>
        <v>21600</v>
      </c>
      <c r="J221" s="336">
        <f t="shared" si="216"/>
        <v>1003544.5</v>
      </c>
      <c r="K221" s="336">
        <f t="shared" si="216"/>
        <v>1068710.96</v>
      </c>
      <c r="L221" s="336">
        <f t="shared" si="216"/>
        <v>0</v>
      </c>
      <c r="M221" s="336">
        <f t="shared" si="216"/>
        <v>0</v>
      </c>
      <c r="N221" s="336">
        <f t="shared" si="216"/>
        <v>-11437.02</v>
      </c>
      <c r="O221" s="337">
        <f t="shared" si="216"/>
        <v>2082418.44</v>
      </c>
    </row>
    <row r="222" spans="1:15" ht="14.25">
      <c r="B222" s="225" t="s">
        <v>933</v>
      </c>
      <c r="C222" s="325">
        <f>C81</f>
        <v>130</v>
      </c>
      <c r="D222" s="326">
        <f>D81</f>
        <v>43276820</v>
      </c>
      <c r="E222" s="326">
        <f>E81</f>
        <v>52585</v>
      </c>
      <c r="F222" s="326">
        <f>F81</f>
        <v>53992</v>
      </c>
      <c r="G222" s="327">
        <f>G81</f>
        <v>0</v>
      </c>
      <c r="I222" s="338">
        <f t="shared" ref="I222:O222" si="217">I81</f>
        <v>22100</v>
      </c>
      <c r="J222" s="339">
        <f t="shared" si="217"/>
        <v>1541520.32</v>
      </c>
      <c r="K222" s="339">
        <f t="shared" si="217"/>
        <v>1328167.78</v>
      </c>
      <c r="L222" s="339">
        <f t="shared" si="217"/>
        <v>0</v>
      </c>
      <c r="M222" s="339">
        <f t="shared" si="217"/>
        <v>0</v>
      </c>
      <c r="N222" s="339">
        <f t="shared" si="217"/>
        <v>-15499.8</v>
      </c>
      <c r="O222" s="340">
        <f t="shared" si="217"/>
        <v>2876288.3000000003</v>
      </c>
    </row>
    <row r="223" spans="1:15">
      <c r="C223" s="322">
        <f>SUM(C217:C222)</f>
        <v>1828</v>
      </c>
      <c r="D223" s="323">
        <f>SUM(D217:D222)</f>
        <v>86198178</v>
      </c>
      <c r="E223" s="323">
        <f>SUM(E217:E222)</f>
        <v>118989</v>
      </c>
      <c r="F223" s="323">
        <f>SUM(F217:F222)</f>
        <v>149006</v>
      </c>
      <c r="G223" s="324">
        <f>SUM(G217:G222)</f>
        <v>3941</v>
      </c>
      <c r="I223" s="335">
        <f>SUM(I217:I222)</f>
        <v>177860</v>
      </c>
      <c r="J223" s="336">
        <f t="shared" ref="J223:L223" si="218">SUM(J217:J222)</f>
        <v>3078227.1799999997</v>
      </c>
      <c r="K223" s="336">
        <f t="shared" si="218"/>
        <v>2984622.34</v>
      </c>
      <c r="L223" s="336">
        <f t="shared" si="218"/>
        <v>0</v>
      </c>
      <c r="M223" s="336">
        <f>SUM(M217:M222)</f>
        <v>0</v>
      </c>
      <c r="N223" s="336">
        <f>SUM(N217:N222)</f>
        <v>-30471.84</v>
      </c>
      <c r="O223" s="337">
        <f>SUM(O217:O222)</f>
        <v>6210237.6799999997</v>
      </c>
    </row>
    <row r="224" spans="1:15">
      <c r="C224" s="322"/>
      <c r="D224" s="323"/>
      <c r="E224" s="323"/>
      <c r="F224" s="323"/>
      <c r="G224" s="324"/>
      <c r="I224" s="335"/>
      <c r="J224" s="336"/>
      <c r="K224" s="336"/>
      <c r="L224" s="336"/>
      <c r="M224" s="336"/>
      <c r="N224" s="336"/>
      <c r="O224" s="337"/>
    </row>
    <row r="225" spans="1:15">
      <c r="A225" s="225" t="s">
        <v>926</v>
      </c>
      <c r="B225" s="261" t="s">
        <v>820</v>
      </c>
      <c r="C225" s="322">
        <f>C18</f>
        <v>14</v>
      </c>
      <c r="D225" s="323">
        <f>D18</f>
        <v>444220</v>
      </c>
      <c r="E225" s="323">
        <f>E18</f>
        <v>1003</v>
      </c>
      <c r="F225" s="323">
        <f>F18</f>
        <v>833</v>
      </c>
      <c r="G225" s="324">
        <f>G18</f>
        <v>0</v>
      </c>
      <c r="I225" s="335">
        <f t="shared" ref="I225:O225" si="219">I18</f>
        <v>1260</v>
      </c>
      <c r="J225" s="336">
        <f t="shared" si="219"/>
        <v>15832.01</v>
      </c>
      <c r="K225" s="336">
        <f t="shared" si="219"/>
        <v>13088.55</v>
      </c>
      <c r="L225" s="336">
        <f t="shared" si="219"/>
        <v>0</v>
      </c>
      <c r="M225" s="336">
        <f t="shared" si="219"/>
        <v>0</v>
      </c>
      <c r="N225" s="336">
        <f t="shared" si="219"/>
        <v>-56.09</v>
      </c>
      <c r="O225" s="337">
        <f t="shared" si="219"/>
        <v>30124.47</v>
      </c>
    </row>
    <row r="226" spans="1:15">
      <c r="B226" s="225" t="s">
        <v>924</v>
      </c>
      <c r="C226" s="322">
        <f>C61</f>
        <v>15</v>
      </c>
      <c r="D226" s="323">
        <f>D61</f>
        <v>1649920</v>
      </c>
      <c r="E226" s="323">
        <f>E61</f>
        <v>4203</v>
      </c>
      <c r="F226" s="323">
        <f>F61</f>
        <v>4223</v>
      </c>
      <c r="G226" s="324">
        <f>G61</f>
        <v>4930</v>
      </c>
      <c r="I226" s="335">
        <f t="shared" ref="I226:O226" si="220">I61</f>
        <v>3000</v>
      </c>
      <c r="J226" s="336">
        <f t="shared" si="220"/>
        <v>62251.48</v>
      </c>
      <c r="K226" s="336">
        <f t="shared" si="220"/>
        <v>41542.6</v>
      </c>
      <c r="L226" s="336">
        <f t="shared" si="220"/>
        <v>0</v>
      </c>
      <c r="M226" s="336">
        <f t="shared" si="220"/>
        <v>0</v>
      </c>
      <c r="N226" s="336">
        <f t="shared" si="220"/>
        <v>-27.31</v>
      </c>
      <c r="O226" s="337">
        <f t="shared" si="220"/>
        <v>106766.77</v>
      </c>
    </row>
    <row r="227" spans="1:15">
      <c r="B227" s="225" t="s">
        <v>934</v>
      </c>
      <c r="C227" s="322">
        <f>C84</f>
        <v>0</v>
      </c>
      <c r="D227" s="323">
        <f>D84</f>
        <v>0</v>
      </c>
      <c r="E227" s="323">
        <f>E84</f>
        <v>0</v>
      </c>
      <c r="F227" s="323">
        <f>F84</f>
        <v>0</v>
      </c>
      <c r="G227" s="324">
        <f>G84</f>
        <v>0</v>
      </c>
      <c r="I227" s="335">
        <f t="shared" ref="I227:O227" si="221">I84</f>
        <v>0</v>
      </c>
      <c r="J227" s="336">
        <f t="shared" si="221"/>
        <v>0</v>
      </c>
      <c r="K227" s="336">
        <f t="shared" si="221"/>
        <v>0</v>
      </c>
      <c r="L227" s="336">
        <f t="shared" si="221"/>
        <v>0</v>
      </c>
      <c r="M227" s="336">
        <f t="shared" si="221"/>
        <v>0</v>
      </c>
      <c r="N227" s="336">
        <f t="shared" si="221"/>
        <v>0</v>
      </c>
      <c r="O227" s="337">
        <f t="shared" si="221"/>
        <v>0</v>
      </c>
    </row>
    <row r="228" spans="1:15" ht="14.25">
      <c r="B228" s="225" t="s">
        <v>933</v>
      </c>
      <c r="C228" s="325">
        <f>C64+C78</f>
        <v>9</v>
      </c>
      <c r="D228" s="326">
        <f>D64+D78</f>
        <v>2071920</v>
      </c>
      <c r="E228" s="326">
        <f>E64+E78</f>
        <v>5109</v>
      </c>
      <c r="F228" s="326">
        <f>F64+F78</f>
        <v>2144</v>
      </c>
      <c r="G228" s="327">
        <f>G64+G78</f>
        <v>0</v>
      </c>
      <c r="I228" s="338">
        <f t="shared" ref="I228:O228" si="222">I64+I78</f>
        <v>1530</v>
      </c>
      <c r="J228" s="339">
        <f t="shared" si="222"/>
        <v>73801.789999999994</v>
      </c>
      <c r="K228" s="339">
        <f t="shared" si="222"/>
        <v>98492.04</v>
      </c>
      <c r="L228" s="339">
        <f t="shared" si="222"/>
        <v>0</v>
      </c>
      <c r="M228" s="339">
        <f t="shared" si="222"/>
        <v>0</v>
      </c>
      <c r="N228" s="339">
        <f t="shared" si="222"/>
        <v>-107.24</v>
      </c>
      <c r="O228" s="340">
        <f t="shared" si="222"/>
        <v>173716.59</v>
      </c>
    </row>
    <row r="229" spans="1:15">
      <c r="A229" s="259"/>
      <c r="B229" s="259"/>
      <c r="C229" s="322">
        <f>SUM(C225:C228)</f>
        <v>38</v>
      </c>
      <c r="D229" s="323">
        <f>SUM(D225:D228)</f>
        <v>4166060</v>
      </c>
      <c r="E229" s="323">
        <f>SUM(E225:E228)</f>
        <v>10315</v>
      </c>
      <c r="F229" s="323">
        <f>SUM(F225:F228)</f>
        <v>7200</v>
      </c>
      <c r="G229" s="324">
        <f>SUM(G225:G228)</f>
        <v>4930</v>
      </c>
      <c r="I229" s="335">
        <f>SUM(I225:I228)</f>
        <v>5790</v>
      </c>
      <c r="J229" s="336">
        <f t="shared" ref="J229:L229" si="223">SUM(J225:J228)</f>
        <v>151885.28</v>
      </c>
      <c r="K229" s="336">
        <f t="shared" si="223"/>
        <v>153123.19</v>
      </c>
      <c r="L229" s="336">
        <f t="shared" si="223"/>
        <v>0</v>
      </c>
      <c r="M229" s="336">
        <f>SUM(M225:M228)</f>
        <v>0</v>
      </c>
      <c r="N229" s="336">
        <f>SUM(N225:N228)</f>
        <v>-190.64</v>
      </c>
      <c r="O229" s="337">
        <f>SUM(O225:O228)</f>
        <v>310607.82999999996</v>
      </c>
    </row>
    <row r="230" spans="1:15">
      <c r="B230" s="259"/>
      <c r="C230" s="322"/>
      <c r="D230" s="323"/>
      <c r="E230" s="323"/>
      <c r="F230" s="323"/>
      <c r="G230" s="324"/>
      <c r="I230" s="335"/>
      <c r="J230" s="336"/>
      <c r="K230" s="336"/>
      <c r="L230" s="336"/>
      <c r="M230" s="336"/>
      <c r="N230" s="336"/>
      <c r="O230" s="337"/>
    </row>
    <row r="231" spans="1:15">
      <c r="A231" s="225" t="s">
        <v>18</v>
      </c>
      <c r="B231" s="225" t="s">
        <v>933</v>
      </c>
      <c r="C231" s="322">
        <f>C65</f>
        <v>0</v>
      </c>
      <c r="D231" s="323">
        <f>D65</f>
        <v>0</v>
      </c>
      <c r="E231" s="323">
        <f>E65</f>
        <v>0</v>
      </c>
      <c r="F231" s="323">
        <f>F65</f>
        <v>0</v>
      </c>
      <c r="G231" s="324">
        <f>G65</f>
        <v>0</v>
      </c>
      <c r="I231" s="335">
        <f t="shared" ref="I231:O231" si="224">I65</f>
        <v>0</v>
      </c>
      <c r="J231" s="336">
        <f t="shared" si="224"/>
        <v>0</v>
      </c>
      <c r="K231" s="336">
        <f t="shared" si="224"/>
        <v>0</v>
      </c>
      <c r="L231" s="336">
        <f t="shared" si="224"/>
        <v>0</v>
      </c>
      <c r="M231" s="336">
        <f t="shared" si="224"/>
        <v>0</v>
      </c>
      <c r="N231" s="336">
        <f t="shared" si="224"/>
        <v>0</v>
      </c>
      <c r="O231" s="337">
        <f t="shared" si="224"/>
        <v>0</v>
      </c>
    </row>
    <row r="232" spans="1:15">
      <c r="C232" s="319"/>
      <c r="D232" s="320"/>
      <c r="E232" s="320"/>
      <c r="F232" s="320"/>
      <c r="G232" s="321"/>
      <c r="I232" s="335"/>
      <c r="J232" s="336"/>
      <c r="K232" s="336"/>
      <c r="L232" s="336"/>
      <c r="M232" s="336"/>
      <c r="N232" s="336"/>
      <c r="O232" s="337"/>
    </row>
    <row r="233" spans="1:15" ht="15" thickBot="1">
      <c r="A233" s="259" t="s">
        <v>939</v>
      </c>
      <c r="C233" s="328" t="e">
        <f>SUM(C189,C193,C201,C209,C213,C215,C223,C229,C231)</f>
        <v>#REF!</v>
      </c>
      <c r="D233" s="329" t="e">
        <f>SUM(D189,D193,D201,D209,D213,D215,D223,D229,D231)</f>
        <v>#REF!</v>
      </c>
      <c r="E233" s="329" t="e">
        <f>SUM(E189,E193,E201,E209,E213,E215,E223,E229,E231)</f>
        <v>#REF!</v>
      </c>
      <c r="F233" s="329" t="e">
        <f>SUM(F189,F193,F201,F209,F213,F215,F223,F229,F231)</f>
        <v>#REF!</v>
      </c>
      <c r="G233" s="330" t="e">
        <f>SUM(G189,G193,G201,G209,G213,G215,G223,G229,G231)</f>
        <v>#REF!</v>
      </c>
      <c r="I233" s="342" t="e">
        <f>SUM(I189,I193,I201,I209,I213,I215,I223,I229,I231)</f>
        <v>#REF!</v>
      </c>
      <c r="J233" s="343" t="e">
        <f t="shared" ref="J233:L233" si="225">SUM(J189,J193,J201,J209,J213,J215,J223,J229,J231)</f>
        <v>#REF!</v>
      </c>
      <c r="K233" s="343" t="e">
        <f t="shared" si="225"/>
        <v>#REF!</v>
      </c>
      <c r="L233" s="343" t="e">
        <f t="shared" si="225"/>
        <v>#REF!</v>
      </c>
      <c r="M233" s="343" t="e">
        <f>SUM(M189,M193,M201,M209,M213,M215,M223,M229,M231)</f>
        <v>#REF!</v>
      </c>
      <c r="N233" s="343" t="e">
        <f>SUM(N189,N193,N201,N209,N213,N215,N223,N229,N231)</f>
        <v>#REF!</v>
      </c>
      <c r="O233" s="344" t="e">
        <f>SUM(O189,O193,O201,O209,O213,O215,O223,O229,O231)</f>
        <v>#REF!</v>
      </c>
    </row>
    <row r="234" spans="1:15" ht="12.75" thickBot="1"/>
    <row r="235" spans="1:15" ht="12.75" thickBot="1">
      <c r="A235" s="225" t="s">
        <v>941</v>
      </c>
      <c r="C235" s="260"/>
      <c r="D235" s="260"/>
      <c r="E235" s="260"/>
      <c r="F235" s="260"/>
      <c r="G235" s="260"/>
      <c r="I235" s="345" t="e">
        <f>I181-I233</f>
        <v>#REF!</v>
      </c>
      <c r="J235" s="346" t="e">
        <f t="shared" ref="J235:O235" si="226">J181-J233</f>
        <v>#REF!</v>
      </c>
      <c r="K235" s="346" t="e">
        <f t="shared" si="226"/>
        <v>#REF!</v>
      </c>
      <c r="L235" s="346" t="e">
        <f t="shared" si="226"/>
        <v>#REF!</v>
      </c>
      <c r="M235" s="346" t="e">
        <f t="shared" si="226"/>
        <v>#REF!</v>
      </c>
      <c r="N235" s="346" t="e">
        <f t="shared" si="226"/>
        <v>#REF!</v>
      </c>
      <c r="O235" s="347" t="e">
        <f t="shared" si="226"/>
        <v>#REF!</v>
      </c>
    </row>
  </sheetData>
  <autoFilter ref="B5:B124"/>
  <mergeCells count="5">
    <mergeCell ref="D4:G4"/>
    <mergeCell ref="Y4:Z4"/>
    <mergeCell ref="AB4:AC4"/>
    <mergeCell ref="D136:G136"/>
    <mergeCell ref="D184:G184"/>
  </mergeCells>
  <pageMargins left="0.7" right="0.7" top="1.25" bottom="0.75" header="0.75" footer="0.3"/>
  <pageSetup scale="63" fitToHeight="2" orientation="landscape" r:id="rId1"/>
  <headerFooter>
    <oddHeader>&amp;C&amp;"Times New Roman,Bold"&amp;14Kentucky Utilities Company&amp;"Times New Roman,Regular"&amp;12
Adjustment to Reflect Rate Switching During the Twelve Months Ended March 31, 2012</oddHeader>
    <oddFooter>&amp;R&amp;12Conroy Exhibit P6
Page &amp;P of &amp;N</oddFooter>
  </headerFooter>
  <rowBreaks count="1" manualBreakCount="1">
    <brk id="183"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sheetPr>
  <dimension ref="A1:BI97"/>
  <sheetViews>
    <sheetView zoomScaleNormal="100" workbookViewId="0">
      <pane xSplit="2" ySplit="11" topLeftCell="T12" activePane="bottomRight" state="frozen"/>
      <selection pane="topRight" activeCell="C1" sqref="C1"/>
      <selection pane="bottomLeft" activeCell="A12" sqref="A12"/>
      <selection pane="bottomRight" activeCell="W41" sqref="W41"/>
    </sheetView>
  </sheetViews>
  <sheetFormatPr defaultRowHeight="12.75"/>
  <cols>
    <col min="1" max="1" width="40" style="870" customWidth="1"/>
    <col min="2" max="2" width="14.83203125" style="870" customWidth="1"/>
    <col min="3" max="3" width="20.83203125" style="870" customWidth="1"/>
    <col min="4" max="4" width="19.6640625" style="870" bestFit="1" customWidth="1"/>
    <col min="5" max="5" width="15.5" style="870" bestFit="1" customWidth="1"/>
    <col min="6" max="6" width="17.83203125" style="870" bestFit="1" customWidth="1"/>
    <col min="7" max="7" width="17.33203125" style="870" customWidth="1"/>
    <col min="8" max="12" width="17.83203125" style="870" bestFit="1" customWidth="1"/>
    <col min="13" max="13" width="20.33203125" style="870" customWidth="1"/>
    <col min="14" max="14" width="20.1640625" style="870" customWidth="1"/>
    <col min="15" max="15" width="14.33203125" style="870" customWidth="1"/>
    <col min="16" max="18" width="22.1640625" style="870" customWidth="1"/>
    <col min="19" max="19" width="20.6640625" style="870" customWidth="1"/>
    <col min="20" max="21" width="19.83203125" style="870" customWidth="1"/>
    <col min="22" max="22" width="2.6640625" style="870" customWidth="1"/>
    <col min="23" max="23" width="16" style="870" customWidth="1"/>
    <col min="24" max="24" width="13.83203125" style="870" customWidth="1"/>
    <col min="25" max="26" width="15.83203125" style="870" bestFit="1" customWidth="1"/>
    <col min="27" max="27" width="16.5" style="870" customWidth="1"/>
    <col min="28" max="28" width="18.5" style="870" customWidth="1"/>
    <col min="29" max="29" width="17.83203125" style="870" customWidth="1"/>
    <col min="30" max="30" width="22.1640625" style="870" customWidth="1"/>
    <col min="31" max="31" width="18.5" style="870" customWidth="1"/>
    <col min="32" max="32" width="15.6640625" style="870" customWidth="1"/>
    <col min="33" max="33" width="16.5" style="870" bestFit="1" customWidth="1"/>
    <col min="34" max="34" width="12.5" style="870" bestFit="1" customWidth="1"/>
    <col min="35" max="35" width="15" style="870" bestFit="1" customWidth="1"/>
    <col min="36" max="36" width="20.5" style="870" bestFit="1" customWidth="1"/>
    <col min="37" max="37" width="16.5" style="870" bestFit="1" customWidth="1"/>
    <col min="38" max="38" width="20" style="870" customWidth="1"/>
    <col min="39" max="39" width="13.33203125" style="870" customWidth="1"/>
    <col min="40" max="40" width="12.83203125" style="870" customWidth="1"/>
    <col min="41" max="41" width="12.6640625" style="870" customWidth="1"/>
    <col min="42" max="42" width="11.6640625" style="870" bestFit="1" customWidth="1"/>
    <col min="43" max="43" width="13" style="870" customWidth="1"/>
    <col min="44" max="44" width="14" style="870" bestFit="1" customWidth="1"/>
    <col min="45" max="45" width="12" style="870" customWidth="1"/>
    <col min="46" max="46" width="14.33203125" style="870" customWidth="1"/>
    <col min="47" max="47" width="27" style="870" customWidth="1"/>
    <col min="48" max="49" width="13.6640625" style="870" bestFit="1" customWidth="1"/>
    <col min="50" max="50" width="12.5" style="870" customWidth="1"/>
    <col min="51" max="51" width="13.6640625" style="870" bestFit="1" customWidth="1"/>
    <col min="52" max="52" width="15.83203125" style="870" customWidth="1"/>
    <col min="53" max="53" width="13.33203125" style="870" customWidth="1"/>
    <col min="54" max="54" width="12.5" style="870" customWidth="1"/>
    <col min="55" max="56" width="13.6640625" style="870" bestFit="1" customWidth="1"/>
    <col min="57" max="16384" width="9.33203125" style="870"/>
  </cols>
  <sheetData>
    <row r="1" spans="1:61" ht="15.75">
      <c r="A1" s="1147" t="s">
        <v>1462</v>
      </c>
      <c r="B1" s="1147"/>
      <c r="M1" s="1148" t="s">
        <v>1489</v>
      </c>
      <c r="P1" s="1147"/>
      <c r="X1" s="1148" t="s">
        <v>1489</v>
      </c>
      <c r="Y1" s="1148"/>
      <c r="Z1" s="1190"/>
      <c r="AA1" s="1190"/>
      <c r="AB1" s="1211"/>
      <c r="AC1" s="1211"/>
      <c r="AD1" s="1211"/>
      <c r="AE1" s="1211"/>
      <c r="AF1" s="1211"/>
      <c r="AG1" s="1211"/>
      <c r="AH1" s="1211"/>
      <c r="AI1" s="267"/>
      <c r="AJ1" s="267"/>
      <c r="AK1" s="267"/>
      <c r="AL1" s="267"/>
      <c r="AM1" s="267"/>
      <c r="AN1" s="267"/>
      <c r="AO1" s="267"/>
      <c r="AP1" s="267"/>
      <c r="AQ1" s="1211"/>
      <c r="AR1" s="1211"/>
      <c r="AS1" s="1211"/>
      <c r="AT1" s="1211"/>
      <c r="AU1" s="1211"/>
      <c r="AV1" s="1211"/>
      <c r="AW1" s="1211"/>
      <c r="AX1" s="1211"/>
      <c r="AY1" s="1211"/>
      <c r="AZ1" s="1211"/>
      <c r="BA1" s="1211"/>
      <c r="BB1" s="1211"/>
    </row>
    <row r="2" spans="1:61" ht="15.75" customHeight="1">
      <c r="A2" s="1149" t="s">
        <v>1465</v>
      </c>
      <c r="B2" s="1149"/>
      <c r="M2" s="1148" t="s">
        <v>1783</v>
      </c>
      <c r="P2" s="1149"/>
      <c r="Q2" s="927"/>
      <c r="R2" s="927"/>
      <c r="X2" s="1148" t="s">
        <v>1784</v>
      </c>
      <c r="Y2" s="1148"/>
      <c r="Z2" s="1190"/>
      <c r="AA2" s="1190"/>
      <c r="AB2" s="1211"/>
      <c r="AC2" s="1211"/>
      <c r="AD2" s="1211"/>
      <c r="AE2" s="1211"/>
      <c r="AF2" s="1211"/>
      <c r="AG2" s="1211"/>
      <c r="AH2" s="1211"/>
      <c r="AI2" s="267"/>
      <c r="AJ2" s="267"/>
      <c r="AK2" s="267"/>
      <c r="AL2" s="267"/>
      <c r="AM2" s="267"/>
      <c r="AN2" s="267"/>
      <c r="AO2" s="267"/>
      <c r="AP2" s="267"/>
      <c r="AQ2" s="1211"/>
      <c r="AR2" s="1211"/>
      <c r="AS2" s="1211"/>
      <c r="AT2" s="1211"/>
      <c r="AU2" s="1211"/>
      <c r="AV2" s="1211"/>
      <c r="AW2" s="1211"/>
      <c r="AX2" s="1211"/>
      <c r="AY2" s="1211"/>
      <c r="AZ2" s="1211"/>
      <c r="BA2" s="1211"/>
      <c r="BB2" s="1211"/>
    </row>
    <row r="3" spans="1:61" ht="16.5" thickBot="1">
      <c r="A3" s="1149" t="s">
        <v>1461</v>
      </c>
      <c r="B3" s="1149"/>
      <c r="M3" s="1148" t="s">
        <v>1751</v>
      </c>
      <c r="P3" s="1149"/>
      <c r="X3" s="1148" t="s">
        <v>1751</v>
      </c>
      <c r="Y3" s="1150"/>
      <c r="Z3" s="1190"/>
      <c r="AA3" s="1190"/>
      <c r="AB3" s="1212" t="s">
        <v>1795</v>
      </c>
      <c r="AC3" s="1211"/>
      <c r="AD3" s="1211"/>
      <c r="AE3" s="1211"/>
      <c r="AF3" s="1211"/>
      <c r="AG3" s="1211"/>
      <c r="AH3" s="1211"/>
      <c r="AI3" s="267"/>
      <c r="AJ3" s="267"/>
      <c r="AK3" s="267"/>
      <c r="AL3" s="267"/>
      <c r="AM3" s="267"/>
      <c r="AN3" s="267"/>
      <c r="AO3" s="267"/>
      <c r="AP3" s="267"/>
      <c r="AQ3" s="1211"/>
      <c r="AR3" s="1211"/>
      <c r="AS3" s="1211"/>
      <c r="AT3" s="1211"/>
      <c r="AU3" s="1211"/>
      <c r="AV3" s="1211"/>
      <c r="AW3" s="1211"/>
      <c r="AX3" s="1211"/>
      <c r="AY3" s="1211"/>
      <c r="AZ3" s="1211"/>
      <c r="BA3" s="1211"/>
      <c r="BB3" s="1211"/>
    </row>
    <row r="4" spans="1:61" ht="15.75">
      <c r="A4" s="921"/>
      <c r="B4" s="921"/>
      <c r="P4" s="921"/>
      <c r="Z4" s="1190"/>
      <c r="AA4" s="1190"/>
      <c r="AB4" s="1213"/>
      <c r="AC4" s="1214"/>
      <c r="AD4" s="1214"/>
      <c r="AE4" s="1214"/>
      <c r="AF4" s="1214"/>
      <c r="AG4" s="1214"/>
      <c r="AH4" s="1214"/>
      <c r="AI4" s="1214"/>
      <c r="AJ4" s="1214"/>
      <c r="AK4" s="1214"/>
      <c r="AL4" s="1214"/>
      <c r="AM4" s="1214"/>
      <c r="AN4" s="1214"/>
      <c r="AO4" s="1214"/>
      <c r="AP4" s="1215"/>
      <c r="AQ4" s="251"/>
      <c r="AR4" s="251" t="s">
        <v>1796</v>
      </c>
      <c r="AS4" s="251"/>
      <c r="AT4" s="251"/>
      <c r="AU4" s="251"/>
      <c r="AV4" s="251"/>
      <c r="AW4" s="251"/>
      <c r="AX4" s="251"/>
      <c r="AY4" s="251"/>
      <c r="AZ4" s="251"/>
      <c r="BA4" s="251"/>
      <c r="BB4" s="1211"/>
    </row>
    <row r="5" spans="1:61">
      <c r="AA5" s="1190"/>
      <c r="AB5" s="1216"/>
      <c r="AC5" s="1217"/>
      <c r="AD5" s="1217"/>
      <c r="AE5" s="1217"/>
      <c r="AF5" s="1217"/>
      <c r="AG5" s="1217"/>
      <c r="AH5" s="1217"/>
      <c r="AI5" s="1217"/>
      <c r="AJ5" s="1217"/>
      <c r="AK5" s="1217"/>
      <c r="AL5" s="1217"/>
      <c r="AM5" s="1217"/>
      <c r="AN5" s="1217" t="s">
        <v>1862</v>
      </c>
      <c r="AO5" s="1217"/>
      <c r="AP5" s="1218"/>
      <c r="AQ5" s="251"/>
      <c r="AR5" s="251"/>
      <c r="AS5" s="1268" t="s">
        <v>1799</v>
      </c>
      <c r="AT5" s="1219"/>
      <c r="AU5" s="1268" t="s">
        <v>1865</v>
      </c>
      <c r="AV5" s="251"/>
      <c r="AW5" s="251"/>
      <c r="AX5" s="251"/>
      <c r="AY5" s="251"/>
      <c r="AZ5" s="251"/>
      <c r="BA5" s="251"/>
      <c r="BB5" s="251"/>
      <c r="BC5" s="850"/>
      <c r="BD5" s="850"/>
      <c r="BE5" s="850"/>
      <c r="BF5" s="850"/>
      <c r="BG5" s="850"/>
      <c r="BH5" s="850"/>
      <c r="BI5" s="850"/>
    </row>
    <row r="6" spans="1:61">
      <c r="A6" s="929"/>
      <c r="B6" s="929"/>
      <c r="C6" s="1145"/>
      <c r="D6" s="1145"/>
      <c r="E6" s="1145"/>
      <c r="F6" s="1145"/>
      <c r="G6" s="1145"/>
      <c r="H6" s="1145" t="s">
        <v>743</v>
      </c>
      <c r="I6" s="1145" t="s">
        <v>743</v>
      </c>
      <c r="J6" s="1145" t="s">
        <v>743</v>
      </c>
      <c r="K6" s="1145" t="s">
        <v>743</v>
      </c>
      <c r="L6" s="1145" t="s">
        <v>743</v>
      </c>
      <c r="M6" s="1145"/>
      <c r="N6" s="1145"/>
      <c r="O6" s="1145"/>
      <c r="P6" s="1145"/>
      <c r="Q6" s="1145"/>
      <c r="R6" s="1145"/>
      <c r="S6" s="1145"/>
      <c r="T6" s="1145"/>
      <c r="U6" s="1145"/>
      <c r="V6" s="930"/>
      <c r="W6" s="1145"/>
      <c r="X6" s="1146"/>
      <c r="Y6" s="850"/>
      <c r="Z6" s="930"/>
      <c r="AA6" s="1190"/>
      <c r="AB6" s="1220"/>
      <c r="AC6" s="1219" t="s">
        <v>136</v>
      </c>
      <c r="AD6" s="1219" t="s">
        <v>1797</v>
      </c>
      <c r="AE6" s="1221" t="s">
        <v>1797</v>
      </c>
      <c r="AF6" s="1219"/>
      <c r="AG6" s="1219"/>
      <c r="AH6" s="1219"/>
      <c r="AI6" s="1219"/>
      <c r="AJ6" s="1219"/>
      <c r="AK6" s="1219" t="s">
        <v>1798</v>
      </c>
      <c r="AL6" s="1219" t="s">
        <v>1799</v>
      </c>
      <c r="AM6" s="870" t="s">
        <v>1799</v>
      </c>
      <c r="AN6" s="1219" t="s">
        <v>1799</v>
      </c>
      <c r="AO6" s="1219" t="s">
        <v>1798</v>
      </c>
      <c r="AP6" s="1222" t="s">
        <v>1799</v>
      </c>
      <c r="AQ6" s="252"/>
      <c r="AR6" s="252"/>
      <c r="AS6" s="1269" t="s">
        <v>1856</v>
      </c>
      <c r="AT6" s="1269" t="s">
        <v>1798</v>
      </c>
      <c r="AU6" s="252" t="s">
        <v>1800</v>
      </c>
      <c r="AV6" s="252"/>
      <c r="AW6" s="252"/>
      <c r="AX6" s="252"/>
      <c r="AY6" s="252"/>
      <c r="AZ6" s="252"/>
      <c r="BA6" s="252"/>
      <c r="BB6" s="251"/>
      <c r="BC6" s="850"/>
      <c r="BD6" s="850"/>
      <c r="BE6" s="850"/>
      <c r="BF6" s="850"/>
      <c r="BG6" s="850"/>
      <c r="BH6" s="850"/>
      <c r="BI6" s="850"/>
    </row>
    <row r="7" spans="1:61">
      <c r="C7" s="871"/>
      <c r="D7" s="871" t="s">
        <v>743</v>
      </c>
      <c r="E7" s="871"/>
      <c r="F7" s="871"/>
      <c r="G7" s="871" t="s">
        <v>836</v>
      </c>
      <c r="H7" s="871" t="s">
        <v>744</v>
      </c>
      <c r="I7" s="871" t="s">
        <v>744</v>
      </c>
      <c r="J7" s="871" t="s">
        <v>744</v>
      </c>
      <c r="K7" s="871" t="s">
        <v>744</v>
      </c>
      <c r="L7" s="867" t="s">
        <v>1643</v>
      </c>
      <c r="M7" s="871"/>
      <c r="N7" s="871"/>
      <c r="O7" s="871"/>
      <c r="P7" s="871"/>
      <c r="Q7" s="871"/>
      <c r="R7" s="871"/>
      <c r="S7" s="871"/>
      <c r="T7" s="871"/>
      <c r="U7" s="871"/>
      <c r="V7" s="930"/>
      <c r="W7" s="871"/>
      <c r="X7" s="850"/>
      <c r="Y7" s="850"/>
      <c r="Z7" s="930"/>
      <c r="AA7" s="1190"/>
      <c r="AB7" s="1220"/>
      <c r="AC7" s="1223" t="s">
        <v>1801</v>
      </c>
      <c r="AD7" s="1219" t="s">
        <v>1802</v>
      </c>
      <c r="AE7" s="1219" t="s">
        <v>1803</v>
      </c>
      <c r="AF7" s="1219"/>
      <c r="AG7" s="1219" t="s">
        <v>751</v>
      </c>
      <c r="AH7" s="1219"/>
      <c r="AI7" s="1219"/>
      <c r="AJ7" s="1219"/>
      <c r="AK7" s="1224" t="s">
        <v>1860</v>
      </c>
      <c r="AL7" s="1224" t="s">
        <v>1857</v>
      </c>
      <c r="AM7" s="1224" t="s">
        <v>1858</v>
      </c>
      <c r="AN7" s="1224" t="s">
        <v>1861</v>
      </c>
      <c r="AO7" s="1219">
        <v>921</v>
      </c>
      <c r="AP7" s="1224" t="s">
        <v>1863</v>
      </c>
      <c r="AQ7" s="252"/>
      <c r="AR7" s="252"/>
      <c r="AS7" s="252"/>
      <c r="AT7" s="252" t="s">
        <v>1855</v>
      </c>
      <c r="AU7" s="252" t="s">
        <v>1804</v>
      </c>
      <c r="AV7" s="252"/>
      <c r="AW7" s="252"/>
      <c r="AX7" s="252"/>
      <c r="AY7" s="252"/>
      <c r="AZ7" s="252"/>
      <c r="BA7" s="252"/>
      <c r="BB7" s="252"/>
      <c r="BC7" s="850"/>
      <c r="BD7" s="850"/>
      <c r="BE7" s="850"/>
      <c r="BF7" s="850"/>
      <c r="BG7" s="850"/>
      <c r="BH7" s="850"/>
      <c r="BI7" s="850"/>
    </row>
    <row r="8" spans="1:61" s="930" customFormat="1">
      <c r="C8" s="871" t="s">
        <v>745</v>
      </c>
      <c r="D8" s="871" t="s">
        <v>746</v>
      </c>
      <c r="E8" s="871" t="s">
        <v>743</v>
      </c>
      <c r="F8" s="871" t="s">
        <v>743</v>
      </c>
      <c r="G8" s="871" t="s">
        <v>837</v>
      </c>
      <c r="H8" s="871" t="s">
        <v>816</v>
      </c>
      <c r="I8" s="871" t="s">
        <v>1631</v>
      </c>
      <c r="J8" s="867" t="s">
        <v>1649</v>
      </c>
      <c r="K8" s="867" t="s">
        <v>1634</v>
      </c>
      <c r="L8" s="867" t="s">
        <v>1644</v>
      </c>
      <c r="M8" s="871" t="s">
        <v>749</v>
      </c>
      <c r="N8" s="871"/>
      <c r="O8" s="871"/>
      <c r="P8" s="871" t="s">
        <v>749</v>
      </c>
      <c r="Q8" s="871" t="s">
        <v>1704</v>
      </c>
      <c r="R8" s="871"/>
      <c r="S8" s="871"/>
      <c r="T8" s="871"/>
      <c r="U8" s="871" t="s">
        <v>841</v>
      </c>
      <c r="W8" s="871"/>
      <c r="X8" s="871"/>
      <c r="Y8" s="871"/>
      <c r="Z8" s="930" t="s">
        <v>1805</v>
      </c>
      <c r="AA8" s="1190"/>
      <c r="AB8" s="1220"/>
      <c r="AC8" s="1219" t="s">
        <v>1806</v>
      </c>
      <c r="AD8" s="1219" t="s">
        <v>1807</v>
      </c>
      <c r="AE8" s="1219" t="s">
        <v>1808</v>
      </c>
      <c r="AF8" s="1219" t="s">
        <v>751</v>
      </c>
      <c r="AG8" s="1219" t="s">
        <v>752</v>
      </c>
      <c r="AH8" s="1219"/>
      <c r="AI8" s="1219"/>
      <c r="AJ8" s="1219"/>
      <c r="AK8" s="1219"/>
      <c r="AL8" s="1219"/>
      <c r="AN8" s="1219"/>
      <c r="AO8" s="1219"/>
      <c r="AP8" s="1222"/>
      <c r="AQ8" s="252"/>
      <c r="AR8" s="252"/>
      <c r="AS8" s="252"/>
      <c r="AT8" s="252"/>
      <c r="AU8" s="252" t="s">
        <v>1809</v>
      </c>
      <c r="AV8" s="252"/>
      <c r="AW8" s="252"/>
      <c r="AX8" s="252"/>
      <c r="AY8" s="252"/>
      <c r="AZ8" s="252"/>
      <c r="BA8" s="252"/>
      <c r="BB8" s="252"/>
      <c r="BC8" s="871"/>
      <c r="BD8" s="871"/>
      <c r="BE8" s="871"/>
      <c r="BF8" s="871"/>
      <c r="BG8" s="871"/>
      <c r="BH8" s="871"/>
      <c r="BI8" s="871"/>
    </row>
    <row r="9" spans="1:61" s="930" customFormat="1" ht="13.5" thickBot="1">
      <c r="C9" s="871" t="s">
        <v>747</v>
      </c>
      <c r="D9" s="871" t="s">
        <v>789</v>
      </c>
      <c r="E9" s="871" t="s">
        <v>746</v>
      </c>
      <c r="F9" s="871" t="s">
        <v>746</v>
      </c>
      <c r="G9" s="871" t="s">
        <v>818</v>
      </c>
      <c r="H9" s="871" t="s">
        <v>748</v>
      </c>
      <c r="I9" s="871" t="s">
        <v>1632</v>
      </c>
      <c r="J9" s="871" t="s">
        <v>745</v>
      </c>
      <c r="K9" s="871" t="s">
        <v>1635</v>
      </c>
      <c r="L9" s="871" t="s">
        <v>1645</v>
      </c>
      <c r="M9" s="867" t="s">
        <v>839</v>
      </c>
      <c r="N9" s="871" t="s">
        <v>846</v>
      </c>
      <c r="O9" s="871" t="s">
        <v>68</v>
      </c>
      <c r="P9" s="867" t="s">
        <v>839</v>
      </c>
      <c r="Q9" s="871" t="s">
        <v>789</v>
      </c>
      <c r="R9" s="871" t="s">
        <v>1704</v>
      </c>
      <c r="S9" s="871" t="s">
        <v>1704</v>
      </c>
      <c r="T9" s="871" t="s">
        <v>838</v>
      </c>
      <c r="U9" s="871" t="s">
        <v>842</v>
      </c>
      <c r="W9" s="871"/>
      <c r="X9" s="871"/>
      <c r="Y9" s="871"/>
      <c r="Z9" s="930" t="s">
        <v>1810</v>
      </c>
      <c r="AA9" s="1190"/>
      <c r="AB9" s="1220"/>
      <c r="AC9" s="1219" t="s">
        <v>1811</v>
      </c>
      <c r="AD9" s="1219" t="s">
        <v>136</v>
      </c>
      <c r="AE9" s="1219" t="s">
        <v>1812</v>
      </c>
      <c r="AF9" s="1219" t="s">
        <v>754</v>
      </c>
      <c r="AG9" s="1219" t="s">
        <v>754</v>
      </c>
      <c r="AH9" s="1219" t="s">
        <v>72</v>
      </c>
      <c r="AI9" s="1219"/>
      <c r="AJ9" s="1219"/>
      <c r="AK9" s="1219" t="s">
        <v>136</v>
      </c>
      <c r="AL9" s="1219" t="s">
        <v>1813</v>
      </c>
      <c r="AM9" s="930" t="s">
        <v>1649</v>
      </c>
      <c r="AN9" s="1219"/>
      <c r="AO9" s="1219" t="s">
        <v>754</v>
      </c>
      <c r="AP9" s="1222"/>
      <c r="AQ9" s="252"/>
      <c r="AR9" s="1225" t="s">
        <v>1814</v>
      </c>
      <c r="AS9" s="1225"/>
      <c r="AT9" s="1226">
        <v>0</v>
      </c>
      <c r="AU9" s="1225" t="s">
        <v>1815</v>
      </c>
      <c r="AV9" s="1227"/>
      <c r="AW9" s="1225"/>
      <c r="AX9" s="1225"/>
      <c r="AY9" s="1227" t="s">
        <v>1816</v>
      </c>
      <c r="BA9" s="252"/>
      <c r="BB9" s="252"/>
      <c r="BC9" s="871"/>
      <c r="BD9" s="871"/>
      <c r="BE9" s="871"/>
      <c r="BF9" s="871"/>
      <c r="BG9" s="871"/>
      <c r="BH9" s="871"/>
      <c r="BI9" s="871"/>
    </row>
    <row r="10" spans="1:61" s="930" customFormat="1" ht="16.5" thickBot="1">
      <c r="C10" s="867" t="s">
        <v>835</v>
      </c>
      <c r="D10" s="871" t="s">
        <v>790</v>
      </c>
      <c r="E10" s="871" t="s">
        <v>113</v>
      </c>
      <c r="F10" s="871" t="s">
        <v>62</v>
      </c>
      <c r="G10" s="871"/>
      <c r="H10" s="871" t="s">
        <v>62</v>
      </c>
      <c r="I10" s="871" t="s">
        <v>1633</v>
      </c>
      <c r="J10" s="871" t="s">
        <v>1650</v>
      </c>
      <c r="K10" s="871" t="s">
        <v>1636</v>
      </c>
      <c r="L10" s="871" t="s">
        <v>1646</v>
      </c>
      <c r="M10" s="871" t="s">
        <v>840</v>
      </c>
      <c r="N10" s="871" t="s">
        <v>847</v>
      </c>
      <c r="O10" s="871" t="s">
        <v>850</v>
      </c>
      <c r="P10" s="871" t="s">
        <v>840</v>
      </c>
      <c r="Q10" s="871" t="s">
        <v>790</v>
      </c>
      <c r="R10" s="871" t="s">
        <v>113</v>
      </c>
      <c r="S10" s="871" t="s">
        <v>62</v>
      </c>
      <c r="T10" s="871" t="s">
        <v>817</v>
      </c>
      <c r="U10" s="871" t="s">
        <v>843</v>
      </c>
      <c r="W10" s="871"/>
      <c r="X10" s="871" t="s">
        <v>752</v>
      </c>
      <c r="Y10" s="871" t="s">
        <v>1738</v>
      </c>
      <c r="Z10" s="930" t="s">
        <v>1817</v>
      </c>
      <c r="AA10" s="1190"/>
      <c r="AB10" s="1228"/>
      <c r="AC10" s="1229">
        <v>7.9591908109663934E-2</v>
      </c>
      <c r="AD10" s="1230"/>
      <c r="AE10" s="1230"/>
      <c r="AF10" s="1230"/>
      <c r="AG10" s="1230"/>
      <c r="AH10" s="1230"/>
      <c r="AI10" s="1231" t="s">
        <v>1818</v>
      </c>
      <c r="AJ10" s="1231"/>
      <c r="AK10" s="1219" t="s">
        <v>1819</v>
      </c>
      <c r="AL10" s="1232" t="s">
        <v>1820</v>
      </c>
      <c r="AM10" s="930" t="s">
        <v>72</v>
      </c>
      <c r="AN10" s="1232" t="s">
        <v>1821</v>
      </c>
      <c r="AO10" s="1231" t="s">
        <v>1822</v>
      </c>
      <c r="AP10" s="1233" t="s">
        <v>1823</v>
      </c>
      <c r="AQ10" s="1211"/>
      <c r="AR10" s="1234"/>
      <c r="AS10" s="1235" t="s">
        <v>1824</v>
      </c>
      <c r="AT10" s="1235" t="s">
        <v>1813</v>
      </c>
      <c r="AU10" s="1225" t="s">
        <v>1825</v>
      </c>
      <c r="AV10" s="1225" t="s">
        <v>1826</v>
      </c>
      <c r="AW10" s="1235"/>
      <c r="AX10" s="1235"/>
      <c r="AY10" s="1225" t="s">
        <v>1825</v>
      </c>
      <c r="BA10" s="1211"/>
      <c r="BB10" s="252"/>
      <c r="BC10" s="858"/>
      <c r="BD10" s="850"/>
      <c r="BE10" s="871"/>
      <c r="BF10" s="871"/>
      <c r="BG10" s="871"/>
      <c r="BH10" s="871"/>
      <c r="BI10" s="871"/>
    </row>
    <row r="11" spans="1:61" s="930" customFormat="1" ht="15.75">
      <c r="C11" s="873"/>
      <c r="D11" s="873" t="s">
        <v>753</v>
      </c>
      <c r="E11" s="873"/>
      <c r="F11" s="873" t="s">
        <v>753</v>
      </c>
      <c r="G11" s="873"/>
      <c r="H11" s="873" t="s">
        <v>817</v>
      </c>
      <c r="I11" s="873" t="s">
        <v>817</v>
      </c>
      <c r="J11" s="873" t="s">
        <v>1651</v>
      </c>
      <c r="K11" s="873" t="s">
        <v>1637</v>
      </c>
      <c r="L11" s="873" t="s">
        <v>1647</v>
      </c>
      <c r="M11" s="873" t="s">
        <v>599</v>
      </c>
      <c r="N11" s="878" t="s">
        <v>848</v>
      </c>
      <c r="O11" s="873" t="s">
        <v>851</v>
      </c>
      <c r="P11" s="873" t="s">
        <v>599</v>
      </c>
      <c r="Q11" s="873" t="s">
        <v>753</v>
      </c>
      <c r="R11" s="873"/>
      <c r="S11" s="873" t="s">
        <v>753</v>
      </c>
      <c r="T11" s="873"/>
      <c r="U11" s="873" t="s">
        <v>844</v>
      </c>
      <c r="W11" s="873" t="s">
        <v>754</v>
      </c>
      <c r="X11" s="873" t="s">
        <v>754</v>
      </c>
      <c r="Y11" s="873" t="s">
        <v>754</v>
      </c>
      <c r="Z11" s="1190"/>
      <c r="AA11" s="1190"/>
      <c r="AB11" s="1228"/>
      <c r="AC11" s="1230"/>
      <c r="AD11" s="1230"/>
      <c r="AE11" s="1230"/>
      <c r="AF11" s="1230"/>
      <c r="AG11" s="1230"/>
      <c r="AH11" s="1230"/>
      <c r="AI11" s="1236" t="s">
        <v>1827</v>
      </c>
      <c r="AJ11" s="1231"/>
      <c r="AK11" s="1219" t="s">
        <v>1806</v>
      </c>
      <c r="AL11" s="1232" t="s">
        <v>1828</v>
      </c>
      <c r="AM11" s="1232" t="s">
        <v>1828</v>
      </c>
      <c r="AN11" s="1232" t="s">
        <v>1829</v>
      </c>
      <c r="AO11" s="1231" t="s">
        <v>1830</v>
      </c>
      <c r="AP11" s="1233" t="s">
        <v>1829</v>
      </c>
      <c r="AQ11" s="1211"/>
      <c r="AR11" s="1237" t="s">
        <v>1818</v>
      </c>
      <c r="AS11" s="1235" t="s">
        <v>1831</v>
      </c>
      <c r="AT11" s="1235" t="s">
        <v>1824</v>
      </c>
      <c r="AU11" s="1225"/>
      <c r="AV11" s="1225" t="s">
        <v>1829</v>
      </c>
      <c r="AW11" s="1235"/>
      <c r="AX11" s="1235"/>
      <c r="AY11" s="1225" t="s">
        <v>1832</v>
      </c>
      <c r="AZ11" s="1190"/>
      <c r="BA11" s="1211"/>
      <c r="BB11" s="1211"/>
      <c r="BC11" s="858"/>
      <c r="BD11" s="850"/>
      <c r="BE11" s="871"/>
      <c r="BF11" s="871"/>
      <c r="BG11" s="871"/>
      <c r="BH11" s="871"/>
      <c r="BI11" s="871"/>
    </row>
    <row r="12" spans="1:61" ht="15.75">
      <c r="A12" s="930"/>
      <c r="B12" s="930"/>
      <c r="N12" s="870" t="s">
        <v>849</v>
      </c>
      <c r="O12" s="870" t="s">
        <v>849</v>
      </c>
      <c r="Z12" s="1190">
        <f>Y12-W12</f>
        <v>0</v>
      </c>
      <c r="AA12" s="1190"/>
      <c r="AB12" s="1228"/>
      <c r="AC12" s="1230"/>
      <c r="AD12" s="1230"/>
      <c r="AE12" s="1230"/>
      <c r="AF12" s="1230"/>
      <c r="AG12" s="1230"/>
      <c r="AH12" s="1241"/>
      <c r="AI12" s="1231"/>
      <c r="AJ12" s="1231"/>
      <c r="AK12" s="1219" t="s">
        <v>754</v>
      </c>
      <c r="AL12" s="1232" t="s">
        <v>1833</v>
      </c>
      <c r="AM12" s="1232" t="s">
        <v>1833</v>
      </c>
      <c r="AN12" s="1242">
        <v>6.9370541886081008E-2</v>
      </c>
      <c r="AO12" s="1232">
        <f>SUM(AO13:AO25)</f>
        <v>127636127.99999967</v>
      </c>
      <c r="AP12" s="1242">
        <v>7.1795835003740413E-2</v>
      </c>
      <c r="AQ12" s="1211"/>
      <c r="AR12" s="1234"/>
      <c r="AS12" s="1235" t="s">
        <v>1834</v>
      </c>
      <c r="AT12" s="1235">
        <f>SUM(AT13:AT25)</f>
        <v>0</v>
      </c>
      <c r="AU12" s="1235">
        <f>SUM(AU13:AU25)</f>
        <v>127636127.99999967</v>
      </c>
      <c r="AV12" s="1235">
        <f>SUM(AV13:AV25)</f>
        <v>-3.5420281637925655E-3</v>
      </c>
      <c r="AW12" s="1235"/>
      <c r="AX12" s="1235"/>
      <c r="AY12" s="1235">
        <f>SUM(AY13:AY25)</f>
        <v>127876131.50429586</v>
      </c>
      <c r="AZ12" s="1190">
        <f>AU12-AY12</f>
        <v>-240003.50429618359</v>
      </c>
      <c r="BA12" s="267"/>
      <c r="BB12" s="1211"/>
      <c r="BC12" s="850"/>
      <c r="BD12" s="850"/>
      <c r="BE12" s="850"/>
      <c r="BF12" s="850"/>
      <c r="BG12" s="850"/>
      <c r="BH12" s="850"/>
      <c r="BI12" s="850"/>
    </row>
    <row r="13" spans="1:61" ht="15.75">
      <c r="A13" s="870" t="s">
        <v>755</v>
      </c>
      <c r="C13" s="922">
        <f>LEV!$I$111</f>
        <v>593989579.39972854</v>
      </c>
      <c r="D13" s="922">
        <f>LEV!$I$107</f>
        <v>15609738.211746262</v>
      </c>
      <c r="E13" s="922">
        <f>LEV!$I$108</f>
        <v>9031357.9154207315</v>
      </c>
      <c r="F13" s="922">
        <f>LEV!$I$109</f>
        <v>33907405.802561559</v>
      </c>
      <c r="G13" s="922">
        <f>C13-SUM(D13:F13)</f>
        <v>535441077.46999997</v>
      </c>
      <c r="H13" s="922">
        <f>'ECR in Base Rates'!F5*-1</f>
        <v>-19521778</v>
      </c>
      <c r="I13" s="922">
        <v>0</v>
      </c>
      <c r="J13" s="922">
        <v>0</v>
      </c>
      <c r="K13" s="922">
        <v>0</v>
      </c>
      <c r="L13" s="922">
        <v>0</v>
      </c>
      <c r="M13" s="922">
        <f>SUM(G13:L13)</f>
        <v>515919299.46999997</v>
      </c>
      <c r="N13" s="768">
        <f>'Settlement Exhibit 1 pgs 2-14'!G22</f>
        <v>515919299</v>
      </c>
      <c r="O13" s="768">
        <f>N13-M13</f>
        <v>-0.46999996900558472</v>
      </c>
      <c r="P13" s="768">
        <f>M13</f>
        <v>515919299.46999997</v>
      </c>
      <c r="Q13" s="768">
        <f t="shared" ref="Q13:S14" si="0">D13</f>
        <v>15609738.211746262</v>
      </c>
      <c r="R13" s="768">
        <f t="shared" si="0"/>
        <v>9031357.9154207315</v>
      </c>
      <c r="S13" s="768">
        <f t="shared" si="0"/>
        <v>33907405.802561559</v>
      </c>
      <c r="T13" s="768">
        <f>H13*-1</f>
        <v>19521778</v>
      </c>
      <c r="U13" s="768">
        <f>SUM(P13:T13)</f>
        <v>593989579.39972854</v>
      </c>
      <c r="V13" s="768"/>
      <c r="W13" s="768">
        <f>'Settlement Exhibit 1 pgs 2-14'!J31</f>
        <v>47348098</v>
      </c>
      <c r="X13" s="1152">
        <f>W13/U13</f>
        <v>7.9712001089057558E-2</v>
      </c>
      <c r="Y13" s="898">
        <f>U13*$Y$62</f>
        <v>47645814.111598052</v>
      </c>
      <c r="Z13" s="1190">
        <f t="shared" ref="Z13:Z45" si="1">Y13-W13</f>
        <v>297716.11159805208</v>
      </c>
      <c r="AA13" s="1190"/>
      <c r="AB13" s="1238">
        <f>U13*(1+$AC$10)</f>
        <v>641266343.42140961</v>
      </c>
      <c r="AC13" s="1239">
        <f>AB13-U13</f>
        <v>47276764.02168107</v>
      </c>
      <c r="AD13" s="1240">
        <f>AL13</f>
        <v>0</v>
      </c>
      <c r="AE13" s="1240">
        <f>AM13</f>
        <v>0</v>
      </c>
      <c r="AF13" s="1239">
        <f>AC13+AD13+AE13</f>
        <v>47276764.02168107</v>
      </c>
      <c r="AG13" s="1241">
        <f>AF13/U13</f>
        <v>7.959190810966385E-2</v>
      </c>
      <c r="AH13" s="1239"/>
      <c r="AI13" s="1231" t="s">
        <v>1835</v>
      </c>
      <c r="AJ13" s="1231" t="s">
        <v>14</v>
      </c>
      <c r="AK13" s="1243">
        <f>AC13</f>
        <v>47276764.02168107</v>
      </c>
      <c r="AL13" s="1243"/>
      <c r="AM13" s="1244"/>
      <c r="AN13" s="1242">
        <v>4.6475275816235909E-2</v>
      </c>
      <c r="AO13" s="1232">
        <f>AF13</f>
        <v>47276764.02168107</v>
      </c>
      <c r="AP13" s="1242">
        <v>4.8369827128548155E-2</v>
      </c>
      <c r="AQ13" s="1211"/>
      <c r="AR13" s="1234" t="s">
        <v>1835</v>
      </c>
      <c r="AS13" s="1235">
        <v>48498664.22449515</v>
      </c>
      <c r="AT13" s="1245">
        <f>AS13*$AT$9</f>
        <v>0</v>
      </c>
      <c r="AU13" s="1235">
        <f>AO13+AT13</f>
        <v>47276764.02168107</v>
      </c>
      <c r="AV13" s="1235">
        <f>AS13</f>
        <v>48498664.22449515</v>
      </c>
      <c r="AW13" s="1235"/>
      <c r="AX13" s="1235"/>
      <c r="AY13" s="1235">
        <f>W13</f>
        <v>47348098</v>
      </c>
      <c r="AZ13" s="1190">
        <f t="shared" ref="AZ13:AZ25" si="2">AU13-AY13</f>
        <v>-71333.978318929672</v>
      </c>
      <c r="BA13" s="267"/>
      <c r="BB13" s="1211"/>
      <c r="BC13" s="850"/>
      <c r="BD13" s="850"/>
      <c r="BE13" s="850"/>
      <c r="BF13" s="850"/>
      <c r="BG13" s="850"/>
      <c r="BH13" s="850"/>
      <c r="BI13" s="850"/>
    </row>
    <row r="14" spans="1:61" ht="15.75">
      <c r="A14" s="870" t="s">
        <v>1697</v>
      </c>
      <c r="C14" s="922">
        <f>LEV!$E$111</f>
        <v>8664.600271450061</v>
      </c>
      <c r="D14" s="922">
        <f>LEV!$E$107</f>
        <v>148.78825373769598</v>
      </c>
      <c r="E14" s="922">
        <f>LEV!$E$108</f>
        <v>86.084579268470421</v>
      </c>
      <c r="F14" s="922">
        <f>LEV!$E$109</f>
        <v>323.19743844389393</v>
      </c>
      <c r="G14" s="922">
        <f>C14-SUM(D14:F14)</f>
        <v>8106.5300000000007</v>
      </c>
      <c r="H14" s="922">
        <f>'ECR in Base Rates'!F6*-1</f>
        <v>-310</v>
      </c>
      <c r="I14" s="922">
        <v>0</v>
      </c>
      <c r="J14" s="922">
        <v>0</v>
      </c>
      <c r="K14" s="922">
        <v>0</v>
      </c>
      <c r="L14" s="922">
        <v>0</v>
      </c>
      <c r="M14" s="922">
        <f>SUM(G14:L14)</f>
        <v>7796.5300000000007</v>
      </c>
      <c r="N14" s="768">
        <f>'Settlement Exhibit 1 pgs 2-14'!G57</f>
        <v>7797</v>
      </c>
      <c r="O14" s="768">
        <f>N14-M14</f>
        <v>0.46999999999934516</v>
      </c>
      <c r="P14" s="768">
        <f>M14</f>
        <v>7796.5300000000007</v>
      </c>
      <c r="Q14" s="768">
        <f t="shared" si="0"/>
        <v>148.78825373769598</v>
      </c>
      <c r="R14" s="768">
        <f t="shared" si="0"/>
        <v>86.084579268470421</v>
      </c>
      <c r="S14" s="768">
        <f t="shared" si="0"/>
        <v>323.19743844389393</v>
      </c>
      <c r="T14" s="768">
        <f>H14*-1</f>
        <v>310</v>
      </c>
      <c r="U14" s="768">
        <f>SUM(P14:T14)</f>
        <v>8664.600271450061</v>
      </c>
      <c r="V14" s="768"/>
      <c r="W14" s="768">
        <f>'Settlement Exhibit 1 pgs 2-14'!J66</f>
        <v>1160</v>
      </c>
      <c r="X14" s="1152">
        <f>W14/U14</f>
        <v>0.13387807442453067</v>
      </c>
      <c r="Y14" s="898">
        <f>U14*$Y$62</f>
        <v>695.01544842252895</v>
      </c>
      <c r="Z14" s="1190">
        <f t="shared" si="1"/>
        <v>-464.98455157747105</v>
      </c>
      <c r="AA14" s="1190"/>
      <c r="AB14" s="1238">
        <f>U14*(1+$AC$10)</f>
        <v>9354.2323400622827</v>
      </c>
      <c r="AC14" s="1239">
        <f>AB14-U14</f>
        <v>689.6320686122217</v>
      </c>
      <c r="AD14" s="1239"/>
      <c r="AE14" s="1239"/>
      <c r="AF14" s="1239">
        <f>AC14+AD14+AE14</f>
        <v>689.6320686122217</v>
      </c>
      <c r="AG14" s="1241">
        <f>AF14/U14</f>
        <v>7.959190810966385E-2</v>
      </c>
      <c r="AH14" s="1239"/>
      <c r="AI14" s="1231" t="s">
        <v>1835</v>
      </c>
      <c r="AJ14" s="1231" t="s">
        <v>1836</v>
      </c>
      <c r="AK14" s="1243">
        <f>AC14</f>
        <v>689.6320686122217</v>
      </c>
      <c r="AL14" s="1243"/>
      <c r="AM14" s="1244"/>
      <c r="AN14" s="1242">
        <v>0</v>
      </c>
      <c r="AO14" s="1232">
        <f>AF14+AF15</f>
        <v>689.6320686122217</v>
      </c>
      <c r="AP14" s="1242">
        <v>0</v>
      </c>
      <c r="AQ14" s="1211"/>
      <c r="AR14" s="1234" t="s">
        <v>1836</v>
      </c>
      <c r="AS14" s="1235">
        <v>0</v>
      </c>
      <c r="AT14" s="1245">
        <f t="shared" ref="AT14:AT25" si="3">AS14*$AT$9</f>
        <v>0</v>
      </c>
      <c r="AU14" s="1235">
        <f t="shared" ref="AU14:AU25" si="4">AO14+AT14</f>
        <v>689.6320686122217</v>
      </c>
      <c r="AV14" s="1235">
        <f>AS14</f>
        <v>0</v>
      </c>
      <c r="AW14" s="1235"/>
      <c r="AX14" s="1235"/>
      <c r="AY14" s="1235">
        <f>W14</f>
        <v>1160</v>
      </c>
      <c r="AZ14" s="1190">
        <f t="shared" si="2"/>
        <v>-470.3679313877783</v>
      </c>
      <c r="BA14" s="267"/>
      <c r="BB14" s="1211"/>
      <c r="BC14" s="850"/>
      <c r="BD14" s="850"/>
      <c r="BE14" s="850"/>
      <c r="BF14" s="850"/>
      <c r="BG14" s="850"/>
      <c r="BH14" s="850"/>
      <c r="BI14" s="850"/>
    </row>
    <row r="15" spans="1:61" ht="15.75">
      <c r="A15" s="870" t="s">
        <v>1705</v>
      </c>
      <c r="C15" s="922">
        <v>0</v>
      </c>
      <c r="D15" s="922">
        <v>0</v>
      </c>
      <c r="E15" s="922">
        <v>0</v>
      </c>
      <c r="F15" s="922">
        <v>0</v>
      </c>
      <c r="G15" s="922">
        <v>0</v>
      </c>
      <c r="H15" s="922">
        <v>0</v>
      </c>
      <c r="I15" s="922">
        <v>0</v>
      </c>
      <c r="J15" s="922">
        <v>0</v>
      </c>
      <c r="K15" s="922">
        <v>0</v>
      </c>
      <c r="L15" s="922">
        <v>0</v>
      </c>
      <c r="M15" s="922">
        <v>0</v>
      </c>
      <c r="N15" s="768"/>
      <c r="O15" s="768"/>
      <c r="P15" s="768">
        <v>0</v>
      </c>
      <c r="Q15" s="768">
        <v>0</v>
      </c>
      <c r="R15" s="768">
        <v>0</v>
      </c>
      <c r="S15" s="768">
        <v>0</v>
      </c>
      <c r="T15" s="768">
        <f>H15*-1</f>
        <v>0</v>
      </c>
      <c r="U15" s="768">
        <v>0</v>
      </c>
      <c r="V15" s="768"/>
      <c r="W15" s="768"/>
      <c r="X15" s="1152"/>
      <c r="Z15" s="1190">
        <f t="shared" si="1"/>
        <v>0</v>
      </c>
      <c r="AA15" s="1190"/>
      <c r="AB15" s="1246"/>
      <c r="AC15" s="1239"/>
      <c r="AD15" s="1239"/>
      <c r="AE15" s="1239"/>
      <c r="AF15" s="1239"/>
      <c r="AG15" s="1239"/>
      <c r="AH15" s="1239"/>
      <c r="AI15" s="1231" t="s">
        <v>108</v>
      </c>
      <c r="AJ15" s="1231" t="s">
        <v>923</v>
      </c>
      <c r="AK15" s="1243">
        <f>AC20</f>
        <v>17261242.128199369</v>
      </c>
      <c r="AL15" s="1243"/>
      <c r="AM15" s="1244"/>
      <c r="AN15" s="1242">
        <v>0.11858785525733695</v>
      </c>
      <c r="AO15" s="1232">
        <f>AF20</f>
        <v>17261242.128199369</v>
      </c>
      <c r="AP15" s="1242">
        <v>0.12143707355448796</v>
      </c>
      <c r="AQ15" s="1211"/>
      <c r="AR15" s="1234" t="s">
        <v>108</v>
      </c>
      <c r="AS15" s="1235">
        <v>-29264768.920884762</v>
      </c>
      <c r="AT15" s="1245">
        <f t="shared" si="3"/>
        <v>0</v>
      </c>
      <c r="AU15" s="1235">
        <f t="shared" si="4"/>
        <v>17261242.128199369</v>
      </c>
      <c r="AV15" s="1235">
        <f t="shared" ref="AV15:AV25" si="5">AS15</f>
        <v>-29264768.920884762</v>
      </c>
      <c r="AW15" s="1235"/>
      <c r="AX15" s="1235"/>
      <c r="AY15" s="1235">
        <f>W20</f>
        <v>17292976</v>
      </c>
      <c r="AZ15" s="1190">
        <f t="shared" si="2"/>
        <v>-31733.871800631285</v>
      </c>
      <c r="BA15" s="267"/>
      <c r="BB15" s="1211"/>
      <c r="BC15" s="850"/>
      <c r="BD15" s="850"/>
      <c r="BE15" s="850"/>
      <c r="BF15" s="850"/>
      <c r="BG15" s="850"/>
      <c r="BH15" s="850"/>
      <c r="BI15" s="850"/>
    </row>
    <row r="16" spans="1:61" ht="15.75">
      <c r="Z16" s="1190">
        <f t="shared" si="1"/>
        <v>0</v>
      </c>
      <c r="AA16" s="1190"/>
      <c r="AB16" s="1246"/>
      <c r="AC16" s="1239"/>
      <c r="AD16" s="1239"/>
      <c r="AE16" s="1239"/>
      <c r="AF16" s="1239"/>
      <c r="AG16" s="1239"/>
      <c r="AH16" s="1239"/>
      <c r="AI16" s="1231" t="s">
        <v>446</v>
      </c>
      <c r="AJ16" s="1231" t="s">
        <v>203</v>
      </c>
      <c r="AK16" s="1243">
        <f>AC25</f>
        <v>1029624.5621033199</v>
      </c>
      <c r="AL16" s="1243"/>
      <c r="AM16" s="1244"/>
      <c r="AN16" s="1242">
        <v>6.8821434671267626E-2</v>
      </c>
      <c r="AO16" s="1232">
        <f>AF25</f>
        <v>1029624.5621033199</v>
      </c>
      <c r="AP16" s="1242">
        <v>7.1405771054810135E-2</v>
      </c>
      <c r="AQ16" s="1211"/>
      <c r="AR16" s="1234" t="s">
        <v>203</v>
      </c>
      <c r="AS16" s="1235">
        <v>57924.337565865331</v>
      </c>
      <c r="AT16" s="1245">
        <f t="shared" si="3"/>
        <v>0</v>
      </c>
      <c r="AU16" s="1235">
        <f t="shared" si="4"/>
        <v>1029624.5621033199</v>
      </c>
      <c r="AV16" s="1235">
        <f t="shared" si="5"/>
        <v>57924.337565865331</v>
      </c>
      <c r="AW16" s="1235"/>
      <c r="AX16" s="1235"/>
      <c r="AY16" s="1235">
        <f>W25</f>
        <v>1030294</v>
      </c>
      <c r="AZ16" s="1190">
        <f t="shared" si="2"/>
        <v>-669.43789668008685</v>
      </c>
      <c r="BA16" s="267"/>
      <c r="BB16" s="1211"/>
      <c r="BC16" s="850"/>
      <c r="BD16" s="850"/>
      <c r="BE16" s="850"/>
      <c r="BF16" s="850"/>
      <c r="BG16" s="850"/>
      <c r="BH16" s="850"/>
      <c r="BI16" s="850"/>
    </row>
    <row r="17" spans="1:61" ht="15.75">
      <c r="C17" s="922"/>
      <c r="D17" s="922"/>
      <c r="E17" s="922"/>
      <c r="F17" s="922"/>
      <c r="G17" s="922"/>
      <c r="H17" s="922"/>
      <c r="I17" s="922"/>
      <c r="J17" s="922"/>
      <c r="K17" s="922"/>
      <c r="L17" s="922"/>
      <c r="M17" s="922"/>
      <c r="N17" s="768"/>
      <c r="O17" s="768"/>
      <c r="P17" s="768">
        <f>M17</f>
        <v>0</v>
      </c>
      <c r="Q17" s="768"/>
      <c r="R17" s="768"/>
      <c r="S17" s="768"/>
      <c r="T17" s="768"/>
      <c r="U17" s="768"/>
      <c r="V17" s="768"/>
      <c r="W17" s="768"/>
      <c r="X17" s="1152"/>
      <c r="Z17" s="1190">
        <f t="shared" si="1"/>
        <v>0</v>
      </c>
      <c r="AA17" s="1190"/>
      <c r="AB17" s="1246"/>
      <c r="AC17" s="1239"/>
      <c r="AD17" s="1239"/>
      <c r="AE17" s="1239"/>
      <c r="AF17" s="1239"/>
      <c r="AG17" s="1239"/>
      <c r="AH17" s="1239"/>
      <c r="AI17" s="1231" t="s">
        <v>1837</v>
      </c>
      <c r="AJ17" s="1231" t="s">
        <v>81</v>
      </c>
      <c r="AK17" s="1243">
        <f>AC28</f>
        <v>1653478.9113478884</v>
      </c>
      <c r="AL17" s="1243"/>
      <c r="AM17" s="1244"/>
      <c r="AN17" s="1242">
        <v>0.1164373925744106</v>
      </c>
      <c r="AO17" s="1232">
        <f>AF28</f>
        <v>1653478.9113478884</v>
      </c>
      <c r="AP17" s="1242">
        <v>0.15035809305766998</v>
      </c>
      <c r="AQ17" s="1211"/>
      <c r="AR17" s="1234" t="s">
        <v>1838</v>
      </c>
      <c r="AS17" s="1235">
        <v>-34202191.900172234</v>
      </c>
      <c r="AT17" s="1245">
        <f t="shared" si="3"/>
        <v>0</v>
      </c>
      <c r="AU17" s="1235">
        <f t="shared" si="4"/>
        <v>1653478.9113478884</v>
      </c>
      <c r="AV17" s="1235">
        <f t="shared" si="5"/>
        <v>-34202191.900172234</v>
      </c>
      <c r="AW17" s="1235"/>
      <c r="AX17" s="1235"/>
      <c r="AY17" s="1235">
        <f>W28</f>
        <v>1657629</v>
      </c>
      <c r="AZ17" s="1190">
        <f t="shared" si="2"/>
        <v>-4150.0886521115899</v>
      </c>
      <c r="BA17" s="267"/>
      <c r="BB17" s="1211"/>
      <c r="BC17" s="850"/>
      <c r="BD17" s="850"/>
      <c r="BE17" s="850"/>
      <c r="BF17" s="850"/>
      <c r="BG17" s="850"/>
      <c r="BH17" s="850"/>
      <c r="BI17" s="850"/>
    </row>
    <row r="18" spans="1:61" ht="15.75">
      <c r="A18" s="932" t="s">
        <v>1491</v>
      </c>
      <c r="B18" s="932" t="s">
        <v>208</v>
      </c>
      <c r="C18" s="922">
        <f>ROUND(SUMIF(_12MonResults_Rate,$B18,_12MonResults_Revenue_Total),0)</f>
        <v>93938742</v>
      </c>
      <c r="D18" s="922">
        <f>ROUND(SUMIF(_12MonResults_Rate,$B18,_12MonResults_Revenue_FAC),0)</f>
        <v>1886555</v>
      </c>
      <c r="E18" s="922">
        <f>ROUND(SUMIF(_12MonResults_Rate,$B18,_12MonResults_Revenue_DSM),0)</f>
        <v>1156669</v>
      </c>
      <c r="F18" s="922">
        <f>ROUND(SUMIF(_12MonResults_Rate,$B18,_12MonResults_Revenue_ECR),0)</f>
        <v>4282655</v>
      </c>
      <c r="G18" s="922">
        <f>C18-SUM(D18:F18)</f>
        <v>86612863</v>
      </c>
      <c r="H18" s="922">
        <f>'ECR in Base Rates'!F11*-1</f>
        <v>-3643671</v>
      </c>
      <c r="I18" s="922">
        <v>0</v>
      </c>
      <c r="J18" s="922">
        <v>0</v>
      </c>
      <c r="K18" s="922">
        <v>0</v>
      </c>
      <c r="L18" s="922">
        <v>0</v>
      </c>
      <c r="M18" s="922">
        <f t="shared" ref="M18:M19" si="6">SUM(G18:L18)</f>
        <v>82969192</v>
      </c>
      <c r="O18" s="768"/>
      <c r="P18" s="768">
        <f>M18</f>
        <v>82969192</v>
      </c>
      <c r="Q18" s="768">
        <f t="shared" ref="Q18:S19" si="7">D18</f>
        <v>1886555</v>
      </c>
      <c r="R18" s="768">
        <f t="shared" si="7"/>
        <v>1156669</v>
      </c>
      <c r="S18" s="768">
        <f t="shared" si="7"/>
        <v>4282655</v>
      </c>
      <c r="T18" s="768">
        <f>H18*-1</f>
        <v>3643671</v>
      </c>
      <c r="U18" s="768">
        <f t="shared" ref="U18:U19" si="8">SUM(P18:T18)</f>
        <v>93938742</v>
      </c>
      <c r="W18" s="768"/>
      <c r="X18" s="1152"/>
      <c r="Y18" s="1153"/>
      <c r="Z18" s="1190">
        <f t="shared" si="1"/>
        <v>0</v>
      </c>
      <c r="AA18" s="1190"/>
      <c r="AB18" s="1246"/>
      <c r="AC18" s="1239"/>
      <c r="AD18" s="1239"/>
      <c r="AE18" s="1239"/>
      <c r="AF18" s="1239"/>
      <c r="AG18" s="1239"/>
      <c r="AH18" s="1239"/>
      <c r="AI18" s="1231" t="s">
        <v>1837</v>
      </c>
      <c r="AJ18" s="1231" t="s">
        <v>80</v>
      </c>
      <c r="AK18" s="1243">
        <f>AC27</f>
        <v>15839724.759559572</v>
      </c>
      <c r="AL18" s="1243"/>
      <c r="AM18" s="1244"/>
      <c r="AN18" s="1242">
        <v>0.36126516852538548</v>
      </c>
      <c r="AO18" s="1232">
        <f>AF27</f>
        <v>15839724.759559572</v>
      </c>
      <c r="AP18" s="1242">
        <v>0.11461449333927086</v>
      </c>
      <c r="AQ18" s="1211"/>
      <c r="AR18" s="1247" t="s">
        <v>1839</v>
      </c>
      <c r="AS18" s="1235">
        <v>-2277110.678160273</v>
      </c>
      <c r="AT18" s="1245">
        <f t="shared" si="3"/>
        <v>0</v>
      </c>
      <c r="AU18" s="1235">
        <f t="shared" si="4"/>
        <v>15839724.759559572</v>
      </c>
      <c r="AV18" s="1235">
        <f t="shared" si="5"/>
        <v>-2277110.678160273</v>
      </c>
      <c r="AW18" s="1235"/>
      <c r="AX18" s="1235"/>
      <c r="AY18" s="1235">
        <f>W27</f>
        <v>15866702</v>
      </c>
      <c r="AZ18" s="1190">
        <f t="shared" si="2"/>
        <v>-26977.240440428257</v>
      </c>
      <c r="BA18" s="267"/>
      <c r="BB18" s="1211"/>
      <c r="BC18" s="850"/>
      <c r="BD18" s="850"/>
      <c r="BE18" s="850"/>
      <c r="BF18" s="850"/>
      <c r="BG18" s="850"/>
      <c r="BH18" s="850"/>
      <c r="BI18" s="850"/>
    </row>
    <row r="19" spans="1:61" ht="17.25">
      <c r="A19" s="932" t="s">
        <v>1628</v>
      </c>
      <c r="B19" s="932" t="s">
        <v>17</v>
      </c>
      <c r="C19" s="1171">
        <f>ROUND(SUMIF(_12MonResults_Rate,$B19,_12MonResults_Revenue_Total),0)</f>
        <v>122933080</v>
      </c>
      <c r="D19" s="923">
        <f>ROUND(SUMIF(_12MonResults_Rate,$B19,_12MonResults_Revenue_FAC),0)</f>
        <v>2760369</v>
      </c>
      <c r="E19" s="923">
        <f>ROUND(SUMIF(_12MonResults_Rate,$B19,_12MonResults_Revenue_DSM),0)</f>
        <v>1691860</v>
      </c>
      <c r="F19" s="923">
        <f>ROUND(SUMIF(_12MonResults_Rate,$B19,_12MonResults_Revenue_ECR),0)</f>
        <v>6263515</v>
      </c>
      <c r="G19" s="923">
        <f>C19-SUM(D19:F19)</f>
        <v>112217336</v>
      </c>
      <c r="H19" s="923">
        <f>'ECR in Base Rates'!F12*-1</f>
        <v>-5331219</v>
      </c>
      <c r="I19" s="923">
        <v>0</v>
      </c>
      <c r="J19" s="923">
        <v>0</v>
      </c>
      <c r="K19" s="923">
        <v>0</v>
      </c>
      <c r="L19" s="923">
        <v>0</v>
      </c>
      <c r="M19" s="923">
        <f t="shared" si="6"/>
        <v>106886117</v>
      </c>
      <c r="N19" s="1155"/>
      <c r="O19" s="1155"/>
      <c r="P19" s="1155">
        <f>M19</f>
        <v>106886117</v>
      </c>
      <c r="Q19" s="1155">
        <f t="shared" si="7"/>
        <v>2760369</v>
      </c>
      <c r="R19" s="1155">
        <f t="shared" si="7"/>
        <v>1691860</v>
      </c>
      <c r="S19" s="1155">
        <f t="shared" si="7"/>
        <v>6263515</v>
      </c>
      <c r="T19" s="1155">
        <f>H19*-1</f>
        <v>5331219</v>
      </c>
      <c r="U19" s="1155">
        <f t="shared" si="8"/>
        <v>122933080</v>
      </c>
      <c r="V19" s="1124"/>
      <c r="W19" s="1155"/>
      <c r="X19" s="1156"/>
      <c r="Y19" s="1153"/>
      <c r="Z19" s="1190">
        <f t="shared" si="1"/>
        <v>0</v>
      </c>
      <c r="AA19" s="1190"/>
      <c r="AB19" s="1246"/>
      <c r="AC19" s="1239"/>
      <c r="AD19" s="1239"/>
      <c r="AE19" s="1239"/>
      <c r="AF19" s="1239"/>
      <c r="AG19" s="1239"/>
      <c r="AH19" s="1241"/>
      <c r="AI19" s="1231" t="s">
        <v>1840</v>
      </c>
      <c r="AJ19" s="1231" t="s">
        <v>81</v>
      </c>
      <c r="AK19" s="1243">
        <f>AC33</f>
        <v>22618110.874890924</v>
      </c>
      <c r="AL19" s="1243"/>
      <c r="AM19" s="1244"/>
      <c r="AN19" s="1242">
        <v>0.12517357452034908</v>
      </c>
      <c r="AO19" s="1232">
        <f>AF33</f>
        <v>22618110.874890924</v>
      </c>
      <c r="AP19" s="1242">
        <v>8.6886802695487264E-2</v>
      </c>
      <c r="AQ19" s="1211"/>
      <c r="AR19" s="1249" t="s">
        <v>1841</v>
      </c>
      <c r="AS19" s="1235">
        <v>-2994764.4950917582</v>
      </c>
      <c r="AT19" s="1245">
        <f t="shared" si="3"/>
        <v>0</v>
      </c>
      <c r="AU19" s="1235">
        <f t="shared" si="4"/>
        <v>22618110.874890924</v>
      </c>
      <c r="AV19" s="1235">
        <f t="shared" si="5"/>
        <v>-2994764.4950917582</v>
      </c>
      <c r="AW19" s="1235"/>
      <c r="AX19" s="1235"/>
      <c r="AY19" s="1235">
        <f>W33</f>
        <v>22686892.561087012</v>
      </c>
      <c r="AZ19" s="1190">
        <f t="shared" si="2"/>
        <v>-68781.686196088791</v>
      </c>
      <c r="BA19" s="267"/>
      <c r="BB19" s="1211"/>
      <c r="BC19" s="850"/>
      <c r="BD19" s="850"/>
      <c r="BE19" s="850"/>
      <c r="BF19" s="850"/>
      <c r="BG19" s="850"/>
      <c r="BH19" s="850"/>
      <c r="BI19" s="850"/>
    </row>
    <row r="20" spans="1:61" ht="15.75">
      <c r="A20" s="870" t="s">
        <v>758</v>
      </c>
      <c r="C20" s="922">
        <f t="shared" ref="C20:M20" si="9">SUM(C18:C19)</f>
        <v>216871822</v>
      </c>
      <c r="D20" s="922">
        <f t="shared" si="9"/>
        <v>4646924</v>
      </c>
      <c r="E20" s="922">
        <f t="shared" si="9"/>
        <v>2848529</v>
      </c>
      <c r="F20" s="922">
        <f t="shared" si="9"/>
        <v>10546170</v>
      </c>
      <c r="G20" s="922">
        <f t="shared" si="9"/>
        <v>198830199</v>
      </c>
      <c r="H20" s="922">
        <f t="shared" si="9"/>
        <v>-8974890</v>
      </c>
      <c r="I20" s="922">
        <f t="shared" ref="I20:L20" si="10">SUM(I18:I19)</f>
        <v>0</v>
      </c>
      <c r="J20" s="922">
        <f t="shared" ref="J20:K20" si="11">SUM(J18:J19)</f>
        <v>0</v>
      </c>
      <c r="K20" s="922">
        <f t="shared" si="11"/>
        <v>0</v>
      </c>
      <c r="L20" s="922">
        <f t="shared" si="10"/>
        <v>0</v>
      </c>
      <c r="M20" s="922">
        <f t="shared" si="9"/>
        <v>189855309</v>
      </c>
      <c r="N20" s="768">
        <f>'Settlement Exhibit 1 pgs 2-14'!$G$124</f>
        <v>189855309</v>
      </c>
      <c r="O20" s="768">
        <f>N20-M20</f>
        <v>0</v>
      </c>
      <c r="P20" s="768">
        <f t="shared" ref="P20:S20" si="12">SUM(P18:P19)</f>
        <v>189855309</v>
      </c>
      <c r="Q20" s="768">
        <f t="shared" si="12"/>
        <v>4646924</v>
      </c>
      <c r="R20" s="768">
        <f t="shared" si="12"/>
        <v>2848529</v>
      </c>
      <c r="S20" s="768">
        <f t="shared" si="12"/>
        <v>10546170</v>
      </c>
      <c r="T20" s="768">
        <f t="shared" ref="T20:U20" si="13">SUM(T18:T19)</f>
        <v>8974890</v>
      </c>
      <c r="U20" s="768">
        <f t="shared" si="13"/>
        <v>216871822</v>
      </c>
      <c r="W20" s="870">
        <f>'Settlement Exhibit 1 pgs 2-14'!$J$133</f>
        <v>17292976</v>
      </c>
      <c r="X20" s="1152">
        <f>W20/U20</f>
        <v>7.9738233582046444E-2</v>
      </c>
      <c r="Y20" s="898">
        <f>U20*$Y$62</f>
        <v>17395986.184636261</v>
      </c>
      <c r="Z20" s="1190"/>
      <c r="AA20" s="1190"/>
      <c r="AB20" s="1238">
        <f>U20*(1+$AC$10)</f>
        <v>234133064.12819937</v>
      </c>
      <c r="AC20" s="1239">
        <f>AB20-U20</f>
        <v>17261242.128199369</v>
      </c>
      <c r="AD20" s="1240">
        <f>AL15</f>
        <v>0</v>
      </c>
      <c r="AE20" s="1240">
        <f>AM15</f>
        <v>0</v>
      </c>
      <c r="AF20" s="1239">
        <f>AC20+AD20+AE20</f>
        <v>17261242.128199369</v>
      </c>
      <c r="AG20" s="1241">
        <f>AF20/U20</f>
        <v>7.9591908109663823E-2</v>
      </c>
      <c r="AH20" s="1241"/>
      <c r="AI20" s="1231" t="s">
        <v>1840</v>
      </c>
      <c r="AJ20" s="1231" t="s">
        <v>80</v>
      </c>
      <c r="AK20" s="1243">
        <f>AC31</f>
        <v>9440177.979875192</v>
      </c>
      <c r="AL20" s="1248"/>
      <c r="AM20" s="1244"/>
      <c r="AN20" s="1242">
        <v>4.4965494945557329E-2</v>
      </c>
      <c r="AO20" s="1232">
        <f>AF31</f>
        <v>9440177.979875192</v>
      </c>
      <c r="AP20" s="1242">
        <v>6.4024691808963613E-2</v>
      </c>
      <c r="AQ20" s="1211"/>
      <c r="AR20" s="1234" t="s">
        <v>1842</v>
      </c>
      <c r="AS20" s="1235">
        <v>10731578.730789518</v>
      </c>
      <c r="AT20" s="1245">
        <f t="shared" si="3"/>
        <v>0</v>
      </c>
      <c r="AU20" s="1235">
        <f t="shared" si="4"/>
        <v>9440177.979875192</v>
      </c>
      <c r="AV20" s="1235">
        <f t="shared" si="5"/>
        <v>10731578.730789518</v>
      </c>
      <c r="AW20" s="1235"/>
      <c r="AX20" s="1235"/>
      <c r="AY20" s="1235">
        <f>W31</f>
        <v>9454593</v>
      </c>
      <c r="AZ20" s="1190">
        <f t="shared" si="2"/>
        <v>-14415.020124807954</v>
      </c>
      <c r="BA20" s="267"/>
      <c r="BB20" s="1211"/>
      <c r="BC20" s="850"/>
      <c r="BD20" s="850"/>
      <c r="BE20" s="850"/>
      <c r="BF20" s="850"/>
      <c r="BG20" s="850"/>
      <c r="BH20" s="850"/>
      <c r="BI20" s="850"/>
    </row>
    <row r="21" spans="1:61" ht="15.75">
      <c r="X21" s="1152"/>
      <c r="Z21" s="1190"/>
      <c r="AA21" s="1190"/>
      <c r="AB21" s="1246"/>
      <c r="AC21" s="1239"/>
      <c r="AD21" s="1239"/>
      <c r="AE21" s="1239"/>
      <c r="AF21" s="1239"/>
      <c r="AG21" s="1241"/>
      <c r="AH21" s="1239"/>
      <c r="AI21" s="1231" t="s">
        <v>1843</v>
      </c>
      <c r="AJ21" s="1231" t="s">
        <v>1844</v>
      </c>
      <c r="AK21" s="1243">
        <f>AC35</f>
        <v>7944988.9084347486</v>
      </c>
      <c r="AL21" s="1243"/>
      <c r="AM21" s="1244"/>
      <c r="AN21" s="1242">
        <v>6.2253396023793747E-2</v>
      </c>
      <c r="AO21" s="1232">
        <f>AF35</f>
        <v>7944988.9084347486</v>
      </c>
      <c r="AP21" s="1242">
        <v>6.5230741866080688E-2</v>
      </c>
      <c r="AQ21" s="1211"/>
      <c r="AR21" s="1234" t="s">
        <v>1843</v>
      </c>
      <c r="AS21" s="1235">
        <v>3499940.9062714088</v>
      </c>
      <c r="AT21" s="1245">
        <f t="shared" si="3"/>
        <v>0</v>
      </c>
      <c r="AU21" s="1235">
        <f t="shared" si="4"/>
        <v>7944988.9084347486</v>
      </c>
      <c r="AV21" s="1235">
        <f t="shared" si="5"/>
        <v>3499940.9062714088</v>
      </c>
      <c r="AW21" s="1235"/>
      <c r="AX21" s="1235"/>
      <c r="AY21" s="1235">
        <f>W35</f>
        <v>7960164.9432088435</v>
      </c>
      <c r="AZ21" s="1190">
        <f t="shared" si="2"/>
        <v>-15176.03477409482</v>
      </c>
      <c r="BA21" s="267"/>
      <c r="BB21" s="1211"/>
      <c r="BC21" s="850"/>
      <c r="BD21" s="850"/>
      <c r="BE21" s="850"/>
      <c r="BF21" s="850"/>
      <c r="BG21" s="850"/>
      <c r="BH21" s="850"/>
      <c r="BI21" s="850"/>
    </row>
    <row r="22" spans="1:61" ht="15.75">
      <c r="Z22" s="1190">
        <f t="shared" si="1"/>
        <v>0</v>
      </c>
      <c r="AA22" s="1190"/>
      <c r="AB22" s="1246"/>
      <c r="AC22" s="1239"/>
      <c r="AD22" s="1239"/>
      <c r="AE22" s="1239"/>
      <c r="AF22" s="1239"/>
      <c r="AG22" s="1239"/>
      <c r="AH22" s="1241"/>
      <c r="AI22" s="1231" t="s">
        <v>642</v>
      </c>
      <c r="AJ22" s="1231" t="s">
        <v>1844</v>
      </c>
      <c r="AK22" s="1243">
        <f>AC37</f>
        <v>2504463.8928459212</v>
      </c>
      <c r="AL22" s="1243"/>
      <c r="AM22" s="1244"/>
      <c r="AN22" s="1242">
        <v>4.3175065398269111E-2</v>
      </c>
      <c r="AO22" s="1232">
        <f>AF37</f>
        <v>2504463.8928459212</v>
      </c>
      <c r="AP22" s="1242">
        <v>4.6139912962084688E-2</v>
      </c>
      <c r="AQ22" s="1211"/>
      <c r="AR22" s="1234" t="s">
        <v>642</v>
      </c>
      <c r="AS22" s="1235">
        <v>2948667.7987946789</v>
      </c>
      <c r="AT22" s="1245">
        <f t="shared" si="3"/>
        <v>0</v>
      </c>
      <c r="AU22" s="1235">
        <f t="shared" si="4"/>
        <v>2504463.8928459212</v>
      </c>
      <c r="AV22" s="1235">
        <f t="shared" si="5"/>
        <v>2948667.7987946789</v>
      </c>
      <c r="AW22" s="1235"/>
      <c r="AX22" s="1235"/>
      <c r="AY22" s="1235">
        <f>W37</f>
        <v>2504624</v>
      </c>
      <c r="AZ22" s="1190">
        <f t="shared" si="2"/>
        <v>-160.1071540787816</v>
      </c>
      <c r="BA22" s="267"/>
      <c r="BB22" s="1211"/>
      <c r="BC22" s="850"/>
      <c r="BD22" s="850"/>
      <c r="BE22" s="850"/>
      <c r="BF22" s="850"/>
      <c r="BG22" s="850"/>
      <c r="BH22" s="850"/>
      <c r="BI22" s="850"/>
    </row>
    <row r="23" spans="1:61" ht="15.75">
      <c r="A23" s="1117" t="s">
        <v>1629</v>
      </c>
      <c r="B23" s="925" t="s">
        <v>203</v>
      </c>
      <c r="C23" s="922">
        <f>ROUND(SUMIF(_12MonResults_Rate,$B23,_12MonResults_Revenue_Total),0)</f>
        <v>741859</v>
      </c>
      <c r="D23" s="922">
        <f>ROUND(SUMIF(_12MonResults_Rate,$B23,_12MonResults_Revenue_FAC),0)</f>
        <v>19319</v>
      </c>
      <c r="E23" s="922">
        <f>ROUND(SUMIF(_12MonResults_Rate,$B23,_12MonResults_Revenue_DSM),0)</f>
        <v>11544</v>
      </c>
      <c r="F23" s="922">
        <f>ROUND(SUMIF(_12MonResults_Rate,$B23,_12MonResults_Revenue_ECR),0)</f>
        <v>43334</v>
      </c>
      <c r="G23" s="922">
        <f>C23-SUM(D23:F23)</f>
        <v>667662</v>
      </c>
      <c r="H23" s="922">
        <f>'ECR in Base Rates'!$F$16*-1</f>
        <v>-24465</v>
      </c>
      <c r="I23" s="922">
        <v>0</v>
      </c>
      <c r="J23" s="922">
        <v>0</v>
      </c>
      <c r="K23" s="922">
        <v>0</v>
      </c>
      <c r="L23" s="922">
        <v>0</v>
      </c>
      <c r="M23" s="922">
        <f t="shared" ref="M23:M24" si="14">SUM(G23:L23)</f>
        <v>643197</v>
      </c>
      <c r="P23" s="768">
        <f>M23</f>
        <v>643197</v>
      </c>
      <c r="Q23" s="768">
        <f t="shared" ref="Q23:S24" si="15">D23</f>
        <v>19319</v>
      </c>
      <c r="R23" s="768">
        <f t="shared" si="15"/>
        <v>11544</v>
      </c>
      <c r="S23" s="768">
        <f t="shared" si="15"/>
        <v>43334</v>
      </c>
      <c r="T23" s="768">
        <f>H23*-1</f>
        <v>24465</v>
      </c>
      <c r="U23" s="768">
        <f>SUM(P23:T23)</f>
        <v>741859</v>
      </c>
      <c r="V23" s="768"/>
      <c r="W23" s="768"/>
      <c r="X23" s="1152"/>
      <c r="Y23" s="1153"/>
      <c r="Z23" s="1190">
        <f t="shared" si="1"/>
        <v>0</v>
      </c>
      <c r="AA23" s="1190"/>
      <c r="AB23" s="1238"/>
      <c r="AC23" s="1239"/>
      <c r="AD23" s="1240"/>
      <c r="AE23" s="1240"/>
      <c r="AF23" s="1239"/>
      <c r="AG23" s="1241"/>
      <c r="AH23" s="1241"/>
      <c r="AI23" s="1231" t="s">
        <v>1845</v>
      </c>
      <c r="AJ23" s="1231" t="s">
        <v>1846</v>
      </c>
      <c r="AK23" s="1243">
        <f>AC45</f>
        <v>2053508.3986504152</v>
      </c>
      <c r="AL23" s="1248"/>
      <c r="AM23" s="1244"/>
      <c r="AN23" s="1242">
        <v>4.0624797829573039E-2</v>
      </c>
      <c r="AO23" s="1232">
        <f>AF45</f>
        <v>2053508.3986504152</v>
      </c>
      <c r="AP23" s="1242">
        <v>4.0929309134636611E-2</v>
      </c>
      <c r="AQ23" s="1211"/>
      <c r="AR23" s="1234" t="s">
        <v>1847</v>
      </c>
      <c r="AS23" s="1235">
        <v>3039386.6127079991</v>
      </c>
      <c r="AT23" s="1245">
        <f t="shared" si="3"/>
        <v>0</v>
      </c>
      <c r="AU23" s="1235">
        <f t="shared" si="4"/>
        <v>2053508.3986504152</v>
      </c>
      <c r="AV23" s="1235">
        <f t="shared" si="5"/>
        <v>3039386.6127079991</v>
      </c>
      <c r="AW23" s="1235"/>
      <c r="AX23" s="1235"/>
      <c r="AY23" s="1235">
        <f>W43</f>
        <v>2360</v>
      </c>
      <c r="AZ23" s="1190">
        <f t="shared" si="2"/>
        <v>2051148.3986504152</v>
      </c>
      <c r="BA23" s="267"/>
      <c r="BB23" s="1211"/>
      <c r="BC23" s="850"/>
      <c r="BD23" s="850"/>
      <c r="BE23" s="850"/>
      <c r="BF23" s="850"/>
      <c r="BG23" s="850"/>
      <c r="BH23" s="850"/>
      <c r="BI23" s="850"/>
    </row>
    <row r="24" spans="1:61" ht="18">
      <c r="A24" s="932" t="s">
        <v>1630</v>
      </c>
      <c r="B24" s="925" t="s">
        <v>212</v>
      </c>
      <c r="C24" s="1171">
        <f>ROUND(SUMIF(_12MonResults_Rate,$B24,_12MonResults_Revenue_Total),0)</f>
        <v>12194438</v>
      </c>
      <c r="D24" s="923">
        <f>ROUND(SUMIF(_12MonResults_Rate,$B24,_12MonResults_Revenue_FAC),0)</f>
        <v>358103</v>
      </c>
      <c r="E24" s="923">
        <f>ROUND(SUMIF(_12MonResults_Rate,$B24,_12MonResults_Revenue_DSM),0)-1</f>
        <v>213929</v>
      </c>
      <c r="F24" s="923">
        <f>ROUND(SUMIF(_12MonResults_Rate,$B24,_12MonResults_Revenue_ECR),0)</f>
        <v>803187</v>
      </c>
      <c r="G24" s="923">
        <f>C24-SUM(D24:F24)</f>
        <v>10819219</v>
      </c>
      <c r="H24" s="923">
        <f>'ECR in Base Rates'!$F$17*-1</f>
        <v>-453448</v>
      </c>
      <c r="I24" s="923">
        <v>0</v>
      </c>
      <c r="J24" s="923">
        <v>0</v>
      </c>
      <c r="K24" s="923">
        <v>0</v>
      </c>
      <c r="L24" s="923">
        <v>0</v>
      </c>
      <c r="M24" s="923">
        <f t="shared" si="14"/>
        <v>10365771</v>
      </c>
      <c r="N24" s="768"/>
      <c r="O24" s="768"/>
      <c r="P24" s="1155">
        <f>M24</f>
        <v>10365771</v>
      </c>
      <c r="Q24" s="1155">
        <f t="shared" si="15"/>
        <v>358103</v>
      </c>
      <c r="R24" s="1155">
        <f t="shared" si="15"/>
        <v>213929</v>
      </c>
      <c r="S24" s="1155">
        <f t="shared" si="15"/>
        <v>803187</v>
      </c>
      <c r="T24" s="1155">
        <f>H24*-1</f>
        <v>453448</v>
      </c>
      <c r="U24" s="1155">
        <f>SUM(P24:T24)</f>
        <v>12194438</v>
      </c>
      <c r="V24" s="768"/>
      <c r="W24" s="1155"/>
      <c r="X24" s="1152"/>
      <c r="Y24" s="1153"/>
      <c r="Z24" s="1190">
        <f t="shared" si="1"/>
        <v>0</v>
      </c>
      <c r="AA24" s="1190"/>
      <c r="AB24" s="1238"/>
      <c r="AC24" s="1239"/>
      <c r="AD24" s="1240"/>
      <c r="AE24" s="1240"/>
      <c r="AF24" s="1239"/>
      <c r="AG24" s="1250"/>
      <c r="AH24" s="1241"/>
      <c r="AI24" s="1231" t="s">
        <v>1845</v>
      </c>
      <c r="AJ24" s="1231" t="s">
        <v>1848</v>
      </c>
      <c r="AK24" s="1243">
        <f>AC43</f>
        <v>2358.5470130136709</v>
      </c>
      <c r="AL24" s="1243"/>
      <c r="AM24" s="1244"/>
      <c r="AN24" s="1242">
        <v>0.35163433429856272</v>
      </c>
      <c r="AO24" s="1232">
        <f>AF43</f>
        <v>2358.5470130136709</v>
      </c>
      <c r="AP24" s="1242">
        <v>0.35591720443340313</v>
      </c>
      <c r="AQ24" s="1251"/>
      <c r="AR24" s="1234" t="s">
        <v>1849</v>
      </c>
      <c r="AS24" s="1235">
        <v>-17118.036923514766</v>
      </c>
      <c r="AT24" s="1245">
        <f t="shared" si="3"/>
        <v>0</v>
      </c>
      <c r="AU24" s="1235">
        <f t="shared" si="4"/>
        <v>2358.5470130136709</v>
      </c>
      <c r="AV24" s="1235">
        <f t="shared" si="5"/>
        <v>-17118.036923514766</v>
      </c>
      <c r="AW24" s="1235"/>
      <c r="AX24" s="1235"/>
      <c r="AY24" s="1235">
        <f>W44</f>
        <v>11018</v>
      </c>
      <c r="AZ24" s="1190">
        <f t="shared" si="2"/>
        <v>-8659.4529869863291</v>
      </c>
      <c r="BA24" s="267"/>
      <c r="BB24" s="1251"/>
      <c r="BC24" s="850"/>
      <c r="BD24" s="850"/>
      <c r="BE24" s="850"/>
      <c r="BF24" s="850"/>
      <c r="BG24" s="850"/>
      <c r="BH24" s="850"/>
      <c r="BI24" s="850"/>
    </row>
    <row r="25" spans="1:61" ht="15.75">
      <c r="A25" s="870" t="s">
        <v>759</v>
      </c>
      <c r="B25" s="932"/>
      <c r="C25" s="922">
        <f t="shared" ref="C25:M25" si="16">SUM(C23:C24)</f>
        <v>12936297</v>
      </c>
      <c r="D25" s="922">
        <f t="shared" si="16"/>
        <v>377422</v>
      </c>
      <c r="E25" s="922">
        <f t="shared" si="16"/>
        <v>225473</v>
      </c>
      <c r="F25" s="922">
        <f t="shared" si="16"/>
        <v>846521</v>
      </c>
      <c r="G25" s="922">
        <f t="shared" si="16"/>
        <v>11486881</v>
      </c>
      <c r="H25" s="922">
        <f t="shared" si="16"/>
        <v>-477913</v>
      </c>
      <c r="I25" s="922">
        <f t="shared" ref="I25:L25" si="17">SUM(I23:I24)</f>
        <v>0</v>
      </c>
      <c r="J25" s="922">
        <f t="shared" ref="J25:K25" si="18">SUM(J23:J24)</f>
        <v>0</v>
      </c>
      <c r="K25" s="922">
        <f t="shared" si="18"/>
        <v>0</v>
      </c>
      <c r="L25" s="922">
        <f t="shared" si="17"/>
        <v>0</v>
      </c>
      <c r="M25" s="922">
        <f t="shared" si="16"/>
        <v>11008968</v>
      </c>
      <c r="N25" s="768">
        <f>'Settlement Exhibit 1 pgs 2-14'!$G$160</f>
        <v>11008968</v>
      </c>
      <c r="O25" s="768">
        <f>N25-M25</f>
        <v>0</v>
      </c>
      <c r="P25" s="768">
        <f t="shared" ref="P25:U25" si="19">SUM(P23:P24)</f>
        <v>11008968</v>
      </c>
      <c r="Q25" s="768">
        <f t="shared" si="19"/>
        <v>377422</v>
      </c>
      <c r="R25" s="768">
        <f t="shared" si="19"/>
        <v>225473</v>
      </c>
      <c r="S25" s="768">
        <f t="shared" si="19"/>
        <v>846521</v>
      </c>
      <c r="T25" s="768">
        <f t="shared" si="19"/>
        <v>477913</v>
      </c>
      <c r="U25" s="768">
        <f t="shared" si="19"/>
        <v>12936297</v>
      </c>
      <c r="W25" s="870">
        <f>'Settlement Exhibit 1 pgs 2-14'!$J$169</f>
        <v>1030294</v>
      </c>
      <c r="X25" s="1152">
        <f>W25/U25</f>
        <v>7.9643656913566535E-2</v>
      </c>
      <c r="Y25" s="898">
        <f>U25*$Y$62</f>
        <v>1037661.9784766299</v>
      </c>
      <c r="Z25" s="1190">
        <f t="shared" si="1"/>
        <v>7367.9784766299417</v>
      </c>
      <c r="AA25" s="1190"/>
      <c r="AB25" s="1238">
        <f>U25*(1+$AC$10)</f>
        <v>13965921.56210332</v>
      </c>
      <c r="AC25" s="1239">
        <f>AB25-U25</f>
        <v>1029624.5621033199</v>
      </c>
      <c r="AD25" s="1240">
        <f>AL20</f>
        <v>0</v>
      </c>
      <c r="AE25" s="1240">
        <f>AM20</f>
        <v>0</v>
      </c>
      <c r="AF25" s="1239">
        <f>AC25+AD25+AE25</f>
        <v>1029624.5621033199</v>
      </c>
      <c r="AG25" s="1241">
        <f>AF25/U25</f>
        <v>7.9591908109663836E-2</v>
      </c>
      <c r="AH25" s="1239"/>
      <c r="AI25" s="1231" t="s">
        <v>1850</v>
      </c>
      <c r="AJ25" s="1231" t="s">
        <v>1851</v>
      </c>
      <c r="AK25" s="1243">
        <f>AC44</f>
        <v>10995.383329625736</v>
      </c>
      <c r="AL25" s="1243"/>
      <c r="AM25" s="1244"/>
      <c r="AN25" s="1242">
        <v>0.1237985520914734</v>
      </c>
      <c r="AO25" s="1232">
        <f>AF44</f>
        <v>10995.383329625736</v>
      </c>
      <c r="AP25" s="1242">
        <v>0.12477664307487318</v>
      </c>
      <c r="AQ25" s="1251"/>
      <c r="AR25" s="1234" t="s">
        <v>1852</v>
      </c>
      <c r="AS25" s="1235">
        <v>-20208.58293410734</v>
      </c>
      <c r="AT25" s="1245">
        <f t="shared" si="3"/>
        <v>0</v>
      </c>
      <c r="AU25" s="1235">
        <f t="shared" si="4"/>
        <v>10995.383329625736</v>
      </c>
      <c r="AV25" s="1235">
        <f t="shared" si="5"/>
        <v>-20208.58293410734</v>
      </c>
      <c r="AW25" s="1235"/>
      <c r="AX25" s="1235"/>
      <c r="AY25" s="1235">
        <f>W45</f>
        <v>2059620</v>
      </c>
      <c r="AZ25" s="1190">
        <f t="shared" si="2"/>
        <v>-2048624.6166703743</v>
      </c>
      <c r="BA25" s="1251"/>
      <c r="BB25" s="1230"/>
      <c r="BC25" s="850"/>
      <c r="BD25" s="850"/>
      <c r="BE25" s="850"/>
      <c r="BF25" s="850"/>
      <c r="BG25" s="850"/>
      <c r="BH25" s="850"/>
      <c r="BI25" s="850"/>
    </row>
    <row r="26" spans="1:61" ht="15.75">
      <c r="Z26" s="1190">
        <f t="shared" si="1"/>
        <v>0</v>
      </c>
      <c r="AA26" s="1190"/>
      <c r="AB26" s="1246"/>
      <c r="AC26" s="1239"/>
      <c r="AD26" s="1239"/>
      <c r="AE26" s="1239"/>
      <c r="AF26" s="1239"/>
      <c r="AG26" s="1239"/>
      <c r="AH26" s="1241"/>
      <c r="AI26" s="1252"/>
      <c r="AJ26" s="1252"/>
      <c r="AK26" s="1252"/>
      <c r="AL26" s="1252"/>
      <c r="AM26" s="1252"/>
      <c r="AN26" s="1252"/>
      <c r="AO26" s="1252"/>
      <c r="AP26" s="1252"/>
      <c r="AQ26" s="1251"/>
      <c r="AR26" s="1251"/>
      <c r="AS26" s="1251"/>
      <c r="AT26" s="1251"/>
      <c r="AU26" s="1251"/>
      <c r="AV26" s="1251"/>
      <c r="AW26" s="1251"/>
      <c r="AX26" s="1251"/>
      <c r="AY26" s="1251"/>
      <c r="AZ26" s="1251"/>
      <c r="BA26" s="1230"/>
      <c r="BB26" s="1230"/>
      <c r="BC26" s="850"/>
      <c r="BD26" s="850"/>
      <c r="BE26" s="850"/>
      <c r="BF26" s="850"/>
      <c r="BG26" s="850"/>
      <c r="BH26" s="850"/>
      <c r="BI26" s="850"/>
    </row>
    <row r="27" spans="1:61" ht="15.75">
      <c r="A27" s="932" t="s">
        <v>760</v>
      </c>
      <c r="B27" s="926" t="s">
        <v>24</v>
      </c>
      <c r="C27" s="922">
        <f>ROUND(SUMIF(_12MonResults_Rate,$B27,_12MonResults_Revenue_Total),0)</f>
        <v>199007725</v>
      </c>
      <c r="D27" s="922">
        <f>ROUND(SUMIF(_12MonResults_Rate,$B27,_12MonResults_Revenue_FAC),0)</f>
        <v>5007479</v>
      </c>
      <c r="E27" s="922">
        <f>ROUND(SUMIF(_12MonResults_Rate,$B27,_12MonResults_Revenue_DSM),0)</f>
        <v>3217407</v>
      </c>
      <c r="F27" s="922">
        <f>ROUND(SUMIF(_12MonResults_Rate,$B27,_12MonResults_Revenue_ECR),0)</f>
        <v>11727246</v>
      </c>
      <c r="G27" s="922">
        <f>C27-SUM(D27:F27)</f>
        <v>179055593</v>
      </c>
      <c r="H27" s="922">
        <f>'ECR in Base Rates'!$F$24*-1</f>
        <v>-7535493</v>
      </c>
      <c r="I27" s="922">
        <f>'Settlement Exhibit 1 pgs 2-14'!$G$197</f>
        <v>4023</v>
      </c>
      <c r="J27" s="922">
        <v>0</v>
      </c>
      <c r="K27" s="922">
        <v>0</v>
      </c>
      <c r="L27" s="922">
        <v>0</v>
      </c>
      <c r="M27" s="922">
        <f t="shared" ref="M27:M28" si="20">SUM(G27:L27)</f>
        <v>171524123</v>
      </c>
      <c r="N27" s="768">
        <f>'Settlement Exhibit 1 pgs 2-14'!$G$199</f>
        <v>171524123</v>
      </c>
      <c r="O27" s="768">
        <f t="shared" ref="O27:O28" si="21">N27-M27</f>
        <v>0</v>
      </c>
      <c r="P27" s="768">
        <f>M27</f>
        <v>171524123</v>
      </c>
      <c r="Q27" s="768">
        <f t="shared" ref="Q27:S28" si="22">D27</f>
        <v>5007479</v>
      </c>
      <c r="R27" s="768">
        <f t="shared" si="22"/>
        <v>3217407</v>
      </c>
      <c r="S27" s="768">
        <f t="shared" si="22"/>
        <v>11727246</v>
      </c>
      <c r="T27" s="768">
        <f>H27*-1</f>
        <v>7535493</v>
      </c>
      <c r="U27" s="768">
        <f>SUM(P27:T27)</f>
        <v>199011748</v>
      </c>
      <c r="W27" s="768">
        <f>'Settlement Exhibit 1 pgs 2-14'!$J$208</f>
        <v>15866702</v>
      </c>
      <c r="X27" s="1152">
        <f>W27/U27</f>
        <v>7.9727464129404055E-2</v>
      </c>
      <c r="Y27" s="898">
        <f>U27*$Y$62</f>
        <v>15963372.220796455</v>
      </c>
      <c r="Z27" s="1190">
        <f t="shared" si="1"/>
        <v>96670.220796454698</v>
      </c>
      <c r="AA27" s="1190"/>
      <c r="AB27" s="1238">
        <f>U27*(1+$AC$10)</f>
        <v>214851472.75955957</v>
      </c>
      <c r="AC27" s="1239">
        <f>AB27-U27</f>
        <v>15839724.759559572</v>
      </c>
      <c r="AD27" s="1240">
        <f>AL22</f>
        <v>0</v>
      </c>
      <c r="AE27" s="1240">
        <f>AM22</f>
        <v>0</v>
      </c>
      <c r="AF27" s="1239">
        <f>AC27+AD27+AE27</f>
        <v>15839724.759559572</v>
      </c>
      <c r="AG27" s="1241">
        <f t="shared" ref="AG27:AG28" si="23">AF27/U27</f>
        <v>7.9591908109663823E-2</v>
      </c>
      <c r="AH27" s="1241"/>
      <c r="AI27" s="1252"/>
      <c r="AJ27" s="1252"/>
      <c r="AK27" s="1252">
        <f>SUM(AK13:AK25)</f>
        <v>127636127.99999967</v>
      </c>
      <c r="AL27" s="1252">
        <f>SUM(AL13:AL25)</f>
        <v>0</v>
      </c>
      <c r="AM27" s="1252">
        <f>SUM(AM13:AM25)</f>
        <v>0</v>
      </c>
      <c r="AN27" s="1252"/>
      <c r="AO27" s="1252">
        <f>SUM(AO13:AO25)</f>
        <v>127636127.99999967</v>
      </c>
      <c r="AP27" s="1252"/>
      <c r="AQ27" s="1211"/>
      <c r="AR27" s="1251"/>
      <c r="AS27" s="1251"/>
      <c r="AT27" s="1230"/>
      <c r="AU27" s="1230"/>
      <c r="AV27" s="1230"/>
      <c r="AW27" s="1230"/>
      <c r="AX27" s="1230"/>
      <c r="AY27" s="1230"/>
      <c r="AZ27" s="1230"/>
      <c r="BA27" s="1230"/>
      <c r="BB27" s="1211"/>
      <c r="BC27" s="850"/>
      <c r="BD27" s="850"/>
      <c r="BE27" s="850"/>
      <c r="BF27" s="850"/>
      <c r="BG27" s="850"/>
      <c r="BH27" s="850"/>
      <c r="BI27" s="850"/>
    </row>
    <row r="28" spans="1:61" ht="17.25">
      <c r="A28" s="932" t="s">
        <v>732</v>
      </c>
      <c r="B28" s="926" t="s">
        <v>25</v>
      </c>
      <c r="C28" s="1171">
        <f>ROUND(SUMIF(_12MonResults_Rate,$B28,_12MonResults_Revenue_Total),0)</f>
        <v>20764710</v>
      </c>
      <c r="D28" s="923">
        <f>ROUND(SUMIF(_12MonResults_Rate,$B28,_12MonResults_Revenue_FAC),0)</f>
        <v>569148</v>
      </c>
      <c r="E28" s="923">
        <f>ROUND(SUMIF(_12MonResults_Rate,$B28,_12MonResults_Revenue_DSM),0)</f>
        <v>362854</v>
      </c>
      <c r="F28" s="923">
        <f>ROUND(SUMIF(_12MonResults_Rate,$B28,_12MonResults_Revenue_ECR),0)</f>
        <v>1329230</v>
      </c>
      <c r="G28" s="923">
        <f>C28-SUM(D28:F28)</f>
        <v>18503478</v>
      </c>
      <c r="H28" s="923">
        <f>'ECR in Base Rates'!$F$29*-1</f>
        <v>-737267</v>
      </c>
      <c r="I28" s="923">
        <f>'Settlement Exhibit 1 pgs 2-14'!$G$236</f>
        <v>9750</v>
      </c>
      <c r="J28" s="923">
        <v>0</v>
      </c>
      <c r="K28" s="923">
        <v>0</v>
      </c>
      <c r="L28" s="923">
        <v>0</v>
      </c>
      <c r="M28" s="923">
        <f t="shared" si="20"/>
        <v>17775961</v>
      </c>
      <c r="N28" s="1155">
        <f>'Settlement Exhibit 1 pgs 2-14'!$G$238</f>
        <v>17775961</v>
      </c>
      <c r="O28" s="1155">
        <f t="shared" si="21"/>
        <v>0</v>
      </c>
      <c r="P28" s="1155">
        <f>M28</f>
        <v>17775961</v>
      </c>
      <c r="Q28" s="1155">
        <f t="shared" si="22"/>
        <v>569148</v>
      </c>
      <c r="R28" s="1155">
        <f t="shared" si="22"/>
        <v>362854</v>
      </c>
      <c r="S28" s="1155">
        <f t="shared" si="22"/>
        <v>1329230</v>
      </c>
      <c r="T28" s="1155">
        <f>H28*-1</f>
        <v>737267</v>
      </c>
      <c r="U28" s="1155">
        <f>SUM(P28:T28)</f>
        <v>20774460</v>
      </c>
      <c r="V28" s="1124"/>
      <c r="W28" s="1155">
        <f>'Settlement Exhibit 1 pgs 2-14'!$J$247</f>
        <v>1657629</v>
      </c>
      <c r="X28" s="1156">
        <f>W28/U28</f>
        <v>7.9791676895572733E-2</v>
      </c>
      <c r="Y28" s="898">
        <f>U28*$Y$62</f>
        <v>1666386.2359826472</v>
      </c>
      <c r="Z28" s="1190">
        <f t="shared" si="1"/>
        <v>8757.2359826471657</v>
      </c>
      <c r="AA28" s="1190"/>
      <c r="AB28" s="1238">
        <f>U28*(1+$AC$10)</f>
        <v>22427938.911347888</v>
      </c>
      <c r="AC28" s="1239">
        <f>AB28-U28</f>
        <v>1653478.9113478884</v>
      </c>
      <c r="AD28" s="1240">
        <f>AL23</f>
        <v>0</v>
      </c>
      <c r="AE28" s="1240">
        <f>AM23</f>
        <v>0</v>
      </c>
      <c r="AF28" s="1239">
        <f>AC28+AD28+AE28</f>
        <v>1653478.9113478884</v>
      </c>
      <c r="AG28" s="1241">
        <f t="shared" si="23"/>
        <v>7.9591908109663906E-2</v>
      </c>
      <c r="AH28" s="1241"/>
      <c r="AI28" s="1252"/>
      <c r="AJ28" s="1252"/>
      <c r="AK28" s="1252"/>
      <c r="AL28" s="1252"/>
      <c r="AM28" s="1252"/>
      <c r="AN28" s="1252"/>
      <c r="AO28" s="1252"/>
      <c r="AP28" s="1252"/>
      <c r="AQ28" s="1211"/>
      <c r="AR28" s="1251"/>
      <c r="AS28" s="1251"/>
      <c r="AT28" s="1230"/>
      <c r="AU28" s="1230"/>
      <c r="AV28" s="1230"/>
      <c r="AW28" s="1230"/>
      <c r="AX28" s="1230"/>
      <c r="AY28" s="1230"/>
      <c r="AZ28" s="1230"/>
      <c r="BA28" s="1211"/>
      <c r="BB28" s="1211"/>
      <c r="BC28" s="850"/>
      <c r="BD28" s="850"/>
      <c r="BE28" s="850"/>
      <c r="BF28" s="850"/>
      <c r="BG28" s="850"/>
      <c r="BH28" s="850"/>
      <c r="BI28" s="850"/>
    </row>
    <row r="29" spans="1:61" ht="15.75">
      <c r="A29" s="928" t="s">
        <v>110</v>
      </c>
      <c r="C29" s="922">
        <f t="shared" ref="C29:N29" si="24">SUM(C27:C28)</f>
        <v>219772435</v>
      </c>
      <c r="D29" s="922">
        <f t="shared" si="24"/>
        <v>5576627</v>
      </c>
      <c r="E29" s="922">
        <f t="shared" si="24"/>
        <v>3580261</v>
      </c>
      <c r="F29" s="922">
        <f t="shared" si="24"/>
        <v>13056476</v>
      </c>
      <c r="G29" s="922">
        <f t="shared" si="24"/>
        <v>197559071</v>
      </c>
      <c r="H29" s="922">
        <f t="shared" si="24"/>
        <v>-8272760</v>
      </c>
      <c r="I29" s="922">
        <f t="shared" ref="I29:L29" si="25">SUM(I27:I28)</f>
        <v>13773</v>
      </c>
      <c r="J29" s="922">
        <f t="shared" ref="J29:K29" si="26">SUM(J27:J28)</f>
        <v>0</v>
      </c>
      <c r="K29" s="922">
        <f t="shared" si="26"/>
        <v>0</v>
      </c>
      <c r="L29" s="922">
        <f t="shared" si="25"/>
        <v>0</v>
      </c>
      <c r="M29" s="922">
        <f t="shared" si="24"/>
        <v>189300084</v>
      </c>
      <c r="N29" s="768">
        <f t="shared" si="24"/>
        <v>189300084</v>
      </c>
      <c r="O29" s="768">
        <f>N29-M29</f>
        <v>0</v>
      </c>
      <c r="P29" s="768">
        <f t="shared" ref="P29:W29" si="27">SUM(P27:P28)</f>
        <v>189300084</v>
      </c>
      <c r="Q29" s="768">
        <f t="shared" si="27"/>
        <v>5576627</v>
      </c>
      <c r="R29" s="768">
        <f t="shared" si="27"/>
        <v>3580261</v>
      </c>
      <c r="S29" s="768">
        <f t="shared" si="27"/>
        <v>13056476</v>
      </c>
      <c r="T29" s="768">
        <f t="shared" si="27"/>
        <v>8272760</v>
      </c>
      <c r="U29" s="768">
        <f t="shared" si="27"/>
        <v>219786208</v>
      </c>
      <c r="W29" s="870">
        <f t="shared" si="27"/>
        <v>17524331</v>
      </c>
      <c r="X29" s="1152">
        <f>W29/U29</f>
        <v>7.9733533598250167E-2</v>
      </c>
      <c r="Y29" s="870">
        <f>Y27+Y28</f>
        <v>17629758.4567791</v>
      </c>
      <c r="Z29" s="1190">
        <f t="shared" si="1"/>
        <v>105427.4567791</v>
      </c>
      <c r="AA29" s="1190"/>
      <c r="AB29" s="1238"/>
      <c r="AC29" s="1239"/>
      <c r="AD29" s="1239"/>
      <c r="AE29" s="1239"/>
      <c r="AF29" s="1239"/>
      <c r="AG29" s="1241"/>
      <c r="AH29" s="1241"/>
      <c r="AI29" s="1231"/>
      <c r="AJ29" s="1231"/>
      <c r="AK29" s="1231"/>
      <c r="AL29" s="1231"/>
      <c r="AM29" s="1231"/>
      <c r="AN29" s="1231"/>
      <c r="AO29" s="1232"/>
      <c r="AP29" s="1253"/>
      <c r="AQ29" s="1251"/>
      <c r="AR29" s="1211"/>
      <c r="AS29" s="1211"/>
      <c r="AT29" s="1211"/>
      <c r="AU29" s="1211"/>
      <c r="AV29" s="1211"/>
      <c r="AW29" s="1211"/>
      <c r="AX29" s="1211"/>
      <c r="AY29" s="1211"/>
      <c r="AZ29" s="1211"/>
      <c r="BA29" s="1211"/>
      <c r="BB29" s="1251"/>
      <c r="BC29" s="850"/>
      <c r="BD29" s="850"/>
      <c r="BE29" s="850"/>
      <c r="BF29" s="850"/>
      <c r="BG29" s="850"/>
      <c r="BH29" s="850"/>
      <c r="BI29" s="850"/>
    </row>
    <row r="30" spans="1:61" ht="15.75">
      <c r="A30" s="921"/>
      <c r="B30" s="921"/>
      <c r="Z30" s="1190">
        <f t="shared" si="1"/>
        <v>0</v>
      </c>
      <c r="AA30" s="1190"/>
      <c r="AB30" s="1238"/>
      <c r="AC30" s="1239"/>
      <c r="AD30" s="1239"/>
      <c r="AE30" s="1239"/>
      <c r="AF30" s="1239"/>
      <c r="AG30" s="1241"/>
      <c r="AH30" s="1241"/>
      <c r="AI30" s="1231"/>
      <c r="AJ30" s="1231"/>
      <c r="AK30" s="1231"/>
      <c r="AL30" s="1231"/>
      <c r="AM30" s="1231"/>
      <c r="AN30" s="1231"/>
      <c r="AO30" s="1232"/>
      <c r="AP30" s="1253"/>
      <c r="AQ30" s="1251"/>
      <c r="AR30" s="1211"/>
      <c r="AS30" s="1211"/>
      <c r="AT30" s="1211"/>
      <c r="AU30" s="1211"/>
      <c r="AV30" s="1211"/>
      <c r="AW30" s="1211"/>
      <c r="AX30" s="1211"/>
      <c r="AY30" s="1211"/>
      <c r="AZ30" s="1211"/>
      <c r="BA30" s="1211"/>
      <c r="BB30" s="1230"/>
      <c r="BC30" s="850"/>
      <c r="BD30" s="850"/>
      <c r="BE30" s="850"/>
      <c r="BF30" s="850"/>
      <c r="BG30" s="850"/>
      <c r="BH30" s="850"/>
      <c r="BI30" s="850"/>
    </row>
    <row r="31" spans="1:61" ht="15.75">
      <c r="A31" s="870" t="s">
        <v>761</v>
      </c>
      <c r="B31" s="1172" t="s">
        <v>204</v>
      </c>
      <c r="C31" s="922">
        <f>ROUND(SUMIF(_12MonResults_Rate,$B31,_12MonResults_Revenue_Total),0)</f>
        <v>118512051</v>
      </c>
      <c r="D31" s="922">
        <f>ROUND(SUMIF(_12MonResults_Rate,$B31,_12MonResults_Revenue_FAC),0)</f>
        <v>3843371</v>
      </c>
      <c r="E31" s="922">
        <f>ROUND(SUMIF(_12MonResults_Rate,$B31,_12MonResults_Revenue_DSM),0)</f>
        <v>2449836</v>
      </c>
      <c r="F31" s="922">
        <f>ROUND(SUMIF(_12MonResults_Rate,$B31,_12MonResults_Revenue_ECR),0)</f>
        <v>8978850</v>
      </c>
      <c r="G31" s="922">
        <f>C31-SUM(D31:F31)</f>
        <v>103239994</v>
      </c>
      <c r="H31" s="922">
        <f>'ECR in Base Rates'!$F$37*-1</f>
        <v>-3695025</v>
      </c>
      <c r="I31" s="922">
        <f>'Settlement Exhibit 1 pgs 2-14'!$G$276</f>
        <v>95207</v>
      </c>
      <c r="J31" s="922">
        <v>0</v>
      </c>
      <c r="K31" s="922">
        <v>0</v>
      </c>
      <c r="L31" s="922">
        <v>0</v>
      </c>
      <c r="M31" s="922">
        <f>SUM(G31:L31)</f>
        <v>99640176</v>
      </c>
      <c r="N31" s="768">
        <f>'Settlement Exhibit 1 pgs 2-14'!$G$278</f>
        <v>99640176</v>
      </c>
      <c r="O31" s="768">
        <f t="shared" ref="O31" si="28">N31-M31</f>
        <v>0</v>
      </c>
      <c r="P31" s="768">
        <f>M31</f>
        <v>99640176</v>
      </c>
      <c r="Q31" s="768">
        <f>D31</f>
        <v>3843371</v>
      </c>
      <c r="R31" s="768">
        <f>E31</f>
        <v>2449836</v>
      </c>
      <c r="S31" s="768">
        <f>F31</f>
        <v>8978850</v>
      </c>
      <c r="T31" s="768">
        <f>H31*-1</f>
        <v>3695025</v>
      </c>
      <c r="U31" s="768">
        <f>SUM(P31:T31)</f>
        <v>118607258</v>
      </c>
      <c r="W31" s="870">
        <f>'Settlement Exhibit 1 pgs 2-14'!$J$287</f>
        <v>9454593</v>
      </c>
      <c r="X31" s="1152">
        <f>W31/U31</f>
        <v>7.9713443843377613E-2</v>
      </c>
      <c r="Y31" s="898">
        <f>U31*$Y$62</f>
        <v>9513869.5407169536</v>
      </c>
      <c r="Z31" s="1190">
        <f t="shared" si="1"/>
        <v>59276.540716953576</v>
      </c>
      <c r="AA31" s="1190"/>
      <c r="AB31" s="1238">
        <f>U31*(1+$AC$10)</f>
        <v>128047435.97987519</v>
      </c>
      <c r="AC31" s="1239">
        <f>AB31-U31</f>
        <v>9440177.979875192</v>
      </c>
      <c r="AD31" s="1240">
        <f>AL18</f>
        <v>0</v>
      </c>
      <c r="AE31" s="1240">
        <f>AM18</f>
        <v>0</v>
      </c>
      <c r="AF31" s="1239">
        <f>AC31+AD31+AE31</f>
        <v>9440177.979875192</v>
      </c>
      <c r="AG31" s="1241">
        <f>AF31/U31</f>
        <v>7.959190810966385E-2</v>
      </c>
      <c r="AH31" s="1241"/>
      <c r="AI31" s="1231"/>
      <c r="AJ31" s="1231"/>
      <c r="AK31" s="1231"/>
      <c r="AL31" s="1231"/>
      <c r="AM31" s="1231"/>
      <c r="AN31" s="1231"/>
      <c r="AO31" s="1232"/>
      <c r="AP31" s="1253"/>
      <c r="AQ31" s="1251"/>
      <c r="AR31" s="1211"/>
      <c r="AS31" s="1211"/>
      <c r="AT31" s="1211"/>
      <c r="AU31" s="1211"/>
      <c r="AV31" s="1211"/>
      <c r="AW31" s="1211"/>
      <c r="AX31" s="1211"/>
      <c r="AY31" s="1211"/>
      <c r="AZ31" s="1211"/>
      <c r="BA31" s="1211"/>
      <c r="BB31" s="1230"/>
      <c r="BC31" s="850"/>
      <c r="BD31" s="850"/>
      <c r="BE31" s="850"/>
      <c r="BF31" s="850"/>
      <c r="BG31" s="850"/>
      <c r="BH31" s="850"/>
      <c r="BI31" s="850"/>
    </row>
    <row r="32" spans="1:61" ht="15.75">
      <c r="Z32" s="1190">
        <f t="shared" si="1"/>
        <v>0</v>
      </c>
      <c r="AA32" s="1190"/>
      <c r="AB32" s="1246"/>
      <c r="AC32" s="1239"/>
      <c r="AD32" s="1240"/>
      <c r="AE32" s="1240"/>
      <c r="AF32" s="1239"/>
      <c r="AG32" s="1241"/>
      <c r="AH32" s="1239"/>
      <c r="AI32" s="1231"/>
      <c r="AJ32" s="1231"/>
      <c r="AK32" s="1231"/>
      <c r="AL32" s="1231"/>
      <c r="AM32" s="1231"/>
      <c r="AN32" s="1231"/>
      <c r="AO32" s="1231"/>
      <c r="AP32" s="1253"/>
      <c r="AQ32" s="1211"/>
      <c r="AR32" s="1211"/>
      <c r="AS32" s="1211"/>
      <c r="AT32" s="1211"/>
      <c r="AU32" s="1211"/>
      <c r="AV32" s="1211"/>
      <c r="AW32" s="1211"/>
      <c r="AX32" s="1211"/>
      <c r="AY32" s="1211"/>
      <c r="AZ32" s="1211"/>
      <c r="BA32" s="1211"/>
      <c r="BB32" s="1211"/>
      <c r="BC32" s="850"/>
      <c r="BD32" s="850"/>
      <c r="BE32" s="850"/>
      <c r="BF32" s="850"/>
      <c r="BG32" s="850"/>
      <c r="BH32" s="850"/>
      <c r="BI32" s="850"/>
    </row>
    <row r="33" spans="1:61" ht="15.75">
      <c r="A33" s="928" t="s">
        <v>1037</v>
      </c>
      <c r="B33" s="1172" t="s">
        <v>205</v>
      </c>
      <c r="C33" s="922">
        <f>ROUND(SUMIF(_12MonResults_Rate,$B33,_12MonResults_Revenue_Total),0)</f>
        <v>284023877</v>
      </c>
      <c r="D33" s="922">
        <f>ROUND(SUMIF(_12MonResults_Rate,$B33,_12MonResults_Revenue_FAC),0)</f>
        <v>10326000</v>
      </c>
      <c r="E33" s="922">
        <f>ROUND(SUMIF(_12MonResults_Rate,$B33,_12MonResults_Revenue_DSM),0)</f>
        <v>6538484</v>
      </c>
      <c r="F33" s="922">
        <f>ROUND(SUMIF(_12MonResults_Rate,$B33,_12MonResults_Revenue_ECR),0)</f>
        <v>24046945</v>
      </c>
      <c r="G33" s="922">
        <f>C33-SUM(D33:F33)</f>
        <v>243112448</v>
      </c>
      <c r="H33" s="922">
        <f>'ECR in Base Rates'!$F$42*-1</f>
        <v>-7249146</v>
      </c>
      <c r="I33" s="922">
        <f>'Settlement Exhibit 1 pgs 2-14'!G315</f>
        <v>178082</v>
      </c>
      <c r="J33" s="922">
        <f>'Settlement Exhibit 1 pgs 2-14'!$G$316</f>
        <v>-141053</v>
      </c>
      <c r="K33" s="922">
        <v>0</v>
      </c>
      <c r="L33" s="922">
        <f>'Settlement Exhibit 1 pgs 2-14'!$G$317</f>
        <v>115104</v>
      </c>
      <c r="M33" s="922">
        <f t="shared" ref="M33" si="29">SUM(G33:L33)</f>
        <v>236015435</v>
      </c>
      <c r="N33" s="768">
        <f>'Settlement Exhibit 1 pgs 2-14'!$G$319</f>
        <v>236015435</v>
      </c>
      <c r="O33" s="768">
        <f t="shared" ref="O33" si="30">N33-M33</f>
        <v>0</v>
      </c>
      <c r="P33" s="768">
        <f>M33</f>
        <v>236015435</v>
      </c>
      <c r="Q33" s="768">
        <f>D33</f>
        <v>10326000</v>
      </c>
      <c r="R33" s="768">
        <f>E33</f>
        <v>6538484</v>
      </c>
      <c r="S33" s="768">
        <f>F33</f>
        <v>24046945</v>
      </c>
      <c r="T33" s="768">
        <f>H33*-1</f>
        <v>7249146</v>
      </c>
      <c r="U33" s="768">
        <f>SUM(P33:T33)</f>
        <v>284176010</v>
      </c>
      <c r="W33" s="768">
        <f>'Settlement Exhibit 1 pgs 2-14'!$J$328</f>
        <v>22686892.561087012</v>
      </c>
      <c r="X33" s="1152">
        <f>W33/U33</f>
        <v>7.9833947141023667E-2</v>
      </c>
      <c r="Y33" s="898">
        <f>U33*$Y$62</f>
        <v>22794671.517838109</v>
      </c>
      <c r="Z33" s="1190">
        <f t="shared" si="1"/>
        <v>107778.95675109699</v>
      </c>
      <c r="AA33" s="1272">
        <f>AC33/U33</f>
        <v>7.9591908109663878E-2</v>
      </c>
      <c r="AB33" s="1238">
        <f>U33*(1+$AC$10)</f>
        <v>306794120.87489092</v>
      </c>
      <c r="AC33" s="1239">
        <f>AB33-U33</f>
        <v>22618110.874890924</v>
      </c>
      <c r="AD33" s="1240">
        <f>AL19</f>
        <v>0</v>
      </c>
      <c r="AE33" s="1240">
        <f>AM19</f>
        <v>0</v>
      </c>
      <c r="AF33" s="1239">
        <f>AC33+AD33+AE33</f>
        <v>22618110.874890924</v>
      </c>
      <c r="AG33" s="1241">
        <f>AF33/U33</f>
        <v>7.9591908109663878E-2</v>
      </c>
      <c r="AH33" s="1254">
        <f>AF36</f>
        <v>0</v>
      </c>
      <c r="AI33" s="1231"/>
      <c r="AJ33" s="1231"/>
      <c r="AK33" s="1231"/>
      <c r="AL33" s="1231"/>
      <c r="AM33" s="1231"/>
      <c r="AN33" s="1231"/>
      <c r="AO33" s="1231"/>
      <c r="AP33" s="1253"/>
      <c r="AQ33" s="1211"/>
      <c r="AR33" s="1211"/>
      <c r="AS33" s="1211"/>
      <c r="AT33" s="1211"/>
      <c r="AU33" s="1211"/>
      <c r="AV33" s="1211"/>
      <c r="AW33" s="1211"/>
      <c r="AX33" s="1211"/>
      <c r="AY33" s="1211"/>
      <c r="AZ33" s="1211"/>
      <c r="BA33" s="1211"/>
      <c r="BB33" s="1211"/>
      <c r="BC33" s="850"/>
      <c r="BD33" s="850"/>
      <c r="BE33" s="850"/>
      <c r="BF33" s="850"/>
      <c r="BG33" s="850"/>
      <c r="BH33" s="850"/>
      <c r="BI33" s="850"/>
    </row>
    <row r="34" spans="1:61" ht="15.75">
      <c r="Z34" s="1190">
        <f t="shared" si="1"/>
        <v>0</v>
      </c>
      <c r="AA34" s="1190"/>
      <c r="AB34" s="1246"/>
      <c r="AC34" s="1239"/>
      <c r="AD34" s="1240"/>
      <c r="AE34" s="1240"/>
      <c r="AF34" s="1239"/>
      <c r="AG34" s="1241"/>
      <c r="AH34" s="1239"/>
      <c r="AI34" s="1231"/>
      <c r="AJ34" s="1231"/>
      <c r="AK34" s="1231"/>
      <c r="AL34" s="1231"/>
      <c r="AM34" s="1231"/>
      <c r="AN34" s="1231"/>
      <c r="AO34" s="1231"/>
      <c r="AP34" s="1253"/>
      <c r="AQ34" s="1211"/>
      <c r="AR34" s="1211"/>
      <c r="AS34" s="1211"/>
      <c r="AT34" s="1211"/>
      <c r="AU34" s="1211"/>
      <c r="AV34" s="1211"/>
      <c r="AW34" s="1211"/>
      <c r="AX34" s="1211"/>
      <c r="AY34" s="1211"/>
      <c r="AZ34" s="1211"/>
      <c r="BA34" s="358"/>
      <c r="BB34" s="1211"/>
      <c r="BC34" s="850"/>
      <c r="BD34" s="850"/>
      <c r="BE34" s="850"/>
      <c r="BF34" s="850"/>
      <c r="BG34" s="850"/>
      <c r="BH34" s="850"/>
      <c r="BI34" s="850"/>
    </row>
    <row r="35" spans="1:61" ht="15.75">
      <c r="A35" s="870" t="s">
        <v>762</v>
      </c>
      <c r="B35" s="926" t="s">
        <v>18</v>
      </c>
      <c r="C35" s="922">
        <f>ROUND(SUMIF(_12MonResults_Rate,$B35,_12MonResults_Revenue_Total),0)</f>
        <v>100143376</v>
      </c>
      <c r="D35" s="922">
        <f>ROUND(SUMIF(_12MonResults_Rate,$B35,_12MonResults_Revenue_FAC),0)</f>
        <v>3910238</v>
      </c>
      <c r="E35" s="922">
        <f>ROUND(SUMIF(_12MonResults_Rate,$B35,_12MonResults_Revenue_DSM),0)</f>
        <v>0</v>
      </c>
      <c r="F35" s="922">
        <f>ROUND(SUMIF(_12MonResults_Rate,$B35,_12MonResults_Revenue_ECR),0)</f>
        <v>9030076</v>
      </c>
      <c r="G35" s="922">
        <f>C35-SUM(D35:F35)</f>
        <v>87203062</v>
      </c>
      <c r="H35" s="922">
        <f>'ECR in Base Rates'!$F$50*-1</f>
        <v>-2540749</v>
      </c>
      <c r="I35" s="922">
        <v>0</v>
      </c>
      <c r="J35" s="922">
        <f>'Settlement Exhibit 1 pgs 2-14'!$G$356</f>
        <v>-321810</v>
      </c>
      <c r="K35" s="922">
        <v>0</v>
      </c>
      <c r="L35" s="922">
        <v>0</v>
      </c>
      <c r="M35" s="922">
        <f t="shared" ref="M35" si="31">SUM(G35:L35)</f>
        <v>84340503</v>
      </c>
      <c r="N35" s="768">
        <f>'Settlement Exhibit 1 pgs 2-14'!$G$358</f>
        <v>84340503</v>
      </c>
      <c r="O35" s="768">
        <f t="shared" ref="O35" si="32">N35-M35</f>
        <v>0</v>
      </c>
      <c r="P35" s="768">
        <f>M35</f>
        <v>84340503</v>
      </c>
      <c r="Q35" s="768">
        <f>D35</f>
        <v>3910238</v>
      </c>
      <c r="R35" s="768">
        <f>E35</f>
        <v>0</v>
      </c>
      <c r="S35" s="768">
        <f>F35</f>
        <v>9030076</v>
      </c>
      <c r="T35" s="768">
        <f>H35*-1</f>
        <v>2540749</v>
      </c>
      <c r="U35" s="768">
        <f>SUM(P35:T35)</f>
        <v>99821566</v>
      </c>
      <c r="W35" s="768">
        <f>'Settlement Exhibit 1 pgs 2-14'!$J$367</f>
        <v>7960164.9432088435</v>
      </c>
      <c r="X35" s="1152">
        <f>W35/U35</f>
        <v>7.9743939733512528E-2</v>
      </c>
      <c r="Y35" s="898">
        <f>U35*$Y$62</f>
        <v>8007008.7808122756</v>
      </c>
      <c r="Z35" s="1190">
        <f t="shared" si="1"/>
        <v>46843.837603432126</v>
      </c>
      <c r="AA35" s="1190"/>
      <c r="AB35" s="1238">
        <f>U35*(1+$AC$10)</f>
        <v>107766554.90843475</v>
      </c>
      <c r="AC35" s="1239">
        <f>AB35-U35</f>
        <v>7944988.9084347486</v>
      </c>
      <c r="AD35" s="1240">
        <f>AL21</f>
        <v>0</v>
      </c>
      <c r="AE35" s="1240">
        <f>AM21</f>
        <v>0</v>
      </c>
      <c r="AF35" s="1239">
        <f>AC35+AD35+AE35</f>
        <v>7944988.9084347486</v>
      </c>
      <c r="AG35" s="1241">
        <f>AF35/U35</f>
        <v>7.9591908109663878E-2</v>
      </c>
      <c r="AH35" s="1255"/>
      <c r="AI35" s="1231"/>
      <c r="AJ35" s="1231"/>
      <c r="AK35" s="1231"/>
      <c r="AL35" s="1231"/>
      <c r="AM35" s="1231"/>
      <c r="AN35" s="1231"/>
      <c r="AO35" s="1231"/>
      <c r="AP35" s="1253"/>
      <c r="AQ35" s="1211"/>
      <c r="AR35" s="358"/>
      <c r="AS35" s="358"/>
      <c r="AT35" s="358"/>
      <c r="AU35" s="358"/>
      <c r="AV35" s="358"/>
      <c r="AW35" s="358"/>
      <c r="AX35" s="358"/>
      <c r="AY35" s="358"/>
      <c r="AZ35" s="358"/>
      <c r="BA35" s="358"/>
      <c r="BB35" s="1211"/>
      <c r="BC35" s="850"/>
      <c r="BD35" s="850"/>
      <c r="BE35" s="850"/>
      <c r="BF35" s="850"/>
      <c r="BG35" s="850"/>
      <c r="BH35" s="850"/>
      <c r="BI35" s="850"/>
    </row>
    <row r="36" spans="1:61" ht="15.75">
      <c r="Z36" s="1190">
        <f t="shared" si="1"/>
        <v>0</v>
      </c>
      <c r="AA36" s="1190"/>
      <c r="AB36" s="1246"/>
      <c r="AC36" s="1240"/>
      <c r="AD36" s="1239"/>
      <c r="AE36" s="1239"/>
      <c r="AF36" s="1239"/>
      <c r="AG36" s="1241"/>
      <c r="AH36" s="1241"/>
      <c r="AI36" s="1231"/>
      <c r="AJ36" s="1231"/>
      <c r="AK36" s="1231"/>
      <c r="AL36" s="1231"/>
      <c r="AM36" s="1231"/>
      <c r="AN36" s="1231"/>
      <c r="AO36" s="1231"/>
      <c r="AP36" s="1253"/>
      <c r="AQ36" s="1211"/>
      <c r="AR36" s="358"/>
      <c r="AS36" s="358"/>
      <c r="AT36" s="358"/>
      <c r="AU36" s="358"/>
      <c r="AV36" s="358"/>
      <c r="AW36" s="358"/>
      <c r="AX36" s="358"/>
      <c r="AY36" s="358"/>
      <c r="AZ36" s="358"/>
      <c r="BA36" s="358"/>
      <c r="BB36" s="1211"/>
      <c r="BC36" s="1157"/>
      <c r="BD36" s="1157"/>
      <c r="BE36" s="850"/>
      <c r="BF36" s="850"/>
      <c r="BG36" s="850"/>
      <c r="BH36" s="850"/>
      <c r="BI36" s="850"/>
    </row>
    <row r="37" spans="1:61" ht="15.75">
      <c r="A37" s="921" t="s">
        <v>763</v>
      </c>
      <c r="B37" s="1172" t="s">
        <v>642</v>
      </c>
      <c r="C37" s="922">
        <f>ROUND(SUMIF(_12MonResults_Rate,$B37,_12MonResults_Revenue_Total),0)</f>
        <v>31466313</v>
      </c>
      <c r="D37" s="922">
        <f>ROUND(SUMIF(_12MonResults_Rate,$B37,_12MonResults_Revenue_FAC),0)</f>
        <v>1368520</v>
      </c>
      <c r="E37" s="922">
        <f>ROUND(SUMIF(_12MonResults_Rate,$B37,_12MonResults_Revenue_DSM),0)</f>
        <v>0</v>
      </c>
      <c r="F37" s="922">
        <f>ROUND(SUMIF(_12MonResults_Rate,$B37,_12MonResults_Revenue_ECR),0)</f>
        <v>3158826</v>
      </c>
      <c r="G37" s="922">
        <f>C37-SUM(D37:F37)</f>
        <v>26938967</v>
      </c>
      <c r="H37" s="922">
        <f>'ECR in Base Rates'!$F$58*-1</f>
        <v>-622650</v>
      </c>
      <c r="I37" s="922">
        <v>0</v>
      </c>
      <c r="J37" s="922">
        <v>0</v>
      </c>
      <c r="K37" s="922">
        <v>0</v>
      </c>
      <c r="L37" s="922">
        <v>0</v>
      </c>
      <c r="M37" s="922">
        <f t="shared" ref="M37" si="33">SUM(G37:L37)</f>
        <v>26316317</v>
      </c>
      <c r="N37" s="768">
        <f>'Settlement Exhibit 1 pgs 2-14'!$G$402</f>
        <v>26316317</v>
      </c>
      <c r="O37" s="768">
        <f t="shared" ref="O37" si="34">N37-M37</f>
        <v>0</v>
      </c>
      <c r="P37" s="768">
        <f>M37</f>
        <v>26316317</v>
      </c>
      <c r="Q37" s="768">
        <f>D37</f>
        <v>1368520</v>
      </c>
      <c r="R37" s="768">
        <f>E37</f>
        <v>0</v>
      </c>
      <c r="S37" s="768">
        <f>F37</f>
        <v>3158826</v>
      </c>
      <c r="T37" s="768">
        <f>H37*-1</f>
        <v>622650</v>
      </c>
      <c r="U37" s="768">
        <f>SUM(P37:T37)</f>
        <v>31466313</v>
      </c>
      <c r="W37" s="768">
        <f>'Settlement Exhibit 1 pgs 2-14'!$J$411</f>
        <v>2504624</v>
      </c>
      <c r="X37" s="1152">
        <f>W37/U37</f>
        <v>7.9596996317935306E-2</v>
      </c>
      <c r="Y37" s="898">
        <f>U37*$Y$62</f>
        <v>2524014.1443061256</v>
      </c>
      <c r="Z37" s="1190">
        <f t="shared" si="1"/>
        <v>19390.144306125585</v>
      </c>
      <c r="AA37" s="1190"/>
      <c r="AB37" s="1238">
        <f>U37*(1+$AC$10)</f>
        <v>33970776.892845921</v>
      </c>
      <c r="AC37" s="1239">
        <f>AB37-U37</f>
        <v>2504463.8928459212</v>
      </c>
      <c r="AD37" s="1240">
        <f>AL22</f>
        <v>0</v>
      </c>
      <c r="AE37" s="1240">
        <f>AM22</f>
        <v>0</v>
      </c>
      <c r="AF37" s="1239">
        <f>AC37+AD37+AE37</f>
        <v>2504463.8928459212</v>
      </c>
      <c r="AG37" s="1241">
        <f>AF37/U37</f>
        <v>7.959190810966385E-2</v>
      </c>
      <c r="AH37" s="1239"/>
      <c r="AI37" s="1231"/>
      <c r="AJ37" s="1231"/>
      <c r="AK37" s="1231"/>
      <c r="AL37" s="1231"/>
      <c r="AM37" s="1231"/>
      <c r="AN37" s="1231"/>
      <c r="AO37" s="1231"/>
      <c r="AP37" s="1253"/>
      <c r="AQ37" s="1211"/>
      <c r="AR37" s="358"/>
      <c r="AS37" s="358"/>
      <c r="AT37" s="358"/>
      <c r="AU37" s="358"/>
      <c r="AV37" s="358"/>
      <c r="AW37" s="358"/>
      <c r="AX37" s="358"/>
      <c r="AY37" s="358"/>
      <c r="AZ37" s="358"/>
      <c r="BA37" s="358"/>
      <c r="BB37" s="1211"/>
      <c r="BC37" s="1157"/>
      <c r="BD37" s="1157"/>
      <c r="BE37" s="850"/>
      <c r="BF37" s="850"/>
      <c r="BG37" s="850"/>
      <c r="BH37" s="850"/>
      <c r="BI37" s="850"/>
    </row>
    <row r="38" spans="1:61" ht="15.75">
      <c r="Z38" s="1190">
        <f t="shared" si="1"/>
        <v>0</v>
      </c>
      <c r="AA38" s="1190"/>
      <c r="AB38" s="1246"/>
      <c r="AC38" s="1239"/>
      <c r="AD38" s="1240"/>
      <c r="AE38" s="1240"/>
      <c r="AF38" s="1239"/>
      <c r="AG38" s="1241"/>
      <c r="AH38" s="1239"/>
      <c r="AI38" s="1231"/>
      <c r="AJ38" s="1231"/>
      <c r="AK38" s="1231"/>
      <c r="AL38" s="1231"/>
      <c r="AM38" s="1231"/>
      <c r="AN38" s="1231"/>
      <c r="AO38" s="1231"/>
      <c r="AP38" s="1253"/>
      <c r="AQ38" s="358"/>
      <c r="AR38" s="358"/>
      <c r="AS38" s="358"/>
      <c r="AT38" s="358"/>
      <c r="AU38" s="358"/>
      <c r="AV38" s="358"/>
      <c r="AW38" s="358"/>
      <c r="AX38" s="358"/>
      <c r="AY38" s="358"/>
      <c r="AZ38" s="358"/>
      <c r="BA38" s="1211"/>
      <c r="BB38" s="358"/>
      <c r="BC38" s="1157"/>
      <c r="BD38" s="1157"/>
      <c r="BE38" s="850"/>
      <c r="BF38" s="850"/>
      <c r="BG38" s="850"/>
      <c r="BH38" s="850"/>
      <c r="BI38" s="850"/>
    </row>
    <row r="39" spans="1:61" s="934" customFormat="1" ht="15.75">
      <c r="A39" s="933" t="s">
        <v>1688</v>
      </c>
      <c r="B39" s="1170"/>
      <c r="C39" s="922">
        <f>ROUND(CSR!$I$28,0)</f>
        <v>-10961923</v>
      </c>
      <c r="D39" s="922">
        <v>0</v>
      </c>
      <c r="E39" s="922">
        <v>0</v>
      </c>
      <c r="F39" s="922">
        <v>0</v>
      </c>
      <c r="G39" s="922">
        <f>C39-SUM(D39:F39)</f>
        <v>-10961923</v>
      </c>
      <c r="H39" s="922">
        <v>0</v>
      </c>
      <c r="I39" s="922">
        <v>0</v>
      </c>
      <c r="J39" s="922">
        <v>0</v>
      </c>
      <c r="K39" s="922">
        <v>0</v>
      </c>
      <c r="L39" s="922">
        <v>0</v>
      </c>
      <c r="M39" s="922">
        <f t="shared" ref="M39" si="35">SUM(G39:L39)</f>
        <v>-10961923</v>
      </c>
      <c r="N39" s="934">
        <v>0</v>
      </c>
      <c r="O39" s="934">
        <v>0</v>
      </c>
      <c r="P39" s="768">
        <f>M39</f>
        <v>-10961923</v>
      </c>
      <c r="Q39" s="768">
        <f t="shared" ref="Q39:S41" si="36">D39</f>
        <v>0</v>
      </c>
      <c r="R39" s="768">
        <f t="shared" si="36"/>
        <v>0</v>
      </c>
      <c r="S39" s="768">
        <f t="shared" si="36"/>
        <v>0</v>
      </c>
      <c r="T39" s="922">
        <v>0</v>
      </c>
      <c r="U39" s="768">
        <f>SUM(P39:T39)</f>
        <v>-10961923</v>
      </c>
      <c r="V39" s="934">
        <f>O39+P39</f>
        <v>-10961923</v>
      </c>
      <c r="W39" s="1271">
        <v>-2094077</v>
      </c>
      <c r="Y39" s="870"/>
      <c r="Z39" s="1190">
        <f t="shared" si="1"/>
        <v>2094077</v>
      </c>
      <c r="AA39" s="1190"/>
      <c r="AB39" s="1246"/>
      <c r="AC39" s="1239"/>
      <c r="AD39" s="1240"/>
      <c r="AE39" s="1240">
        <f>W39</f>
        <v>-2094077</v>
      </c>
      <c r="AF39" s="1239">
        <f t="shared" ref="AF39:AF41" si="37">AC39+AD39+AE39</f>
        <v>-2094077</v>
      </c>
      <c r="AG39" s="1241"/>
      <c r="AH39" s="1239"/>
      <c r="AI39" s="1231"/>
      <c r="AJ39" s="1231"/>
      <c r="AK39" s="1231"/>
      <c r="AL39" s="1231"/>
      <c r="AM39" s="1231"/>
      <c r="AN39" s="1231"/>
      <c r="AO39" s="1231"/>
      <c r="AP39" s="1253"/>
      <c r="AQ39" s="358"/>
      <c r="AR39" s="1211"/>
      <c r="AS39" s="1211"/>
      <c r="AT39" s="1211"/>
      <c r="AU39" s="1211"/>
      <c r="AV39" s="1211"/>
      <c r="AW39" s="1211"/>
      <c r="AX39" s="1211"/>
      <c r="AY39" s="1211"/>
      <c r="AZ39" s="1211"/>
      <c r="BA39" s="1211"/>
      <c r="BB39" s="358"/>
      <c r="BC39" s="1157"/>
      <c r="BD39" s="1157"/>
      <c r="BE39" s="1157"/>
      <c r="BF39" s="1157"/>
      <c r="BG39" s="1157"/>
      <c r="BH39" s="1157"/>
      <c r="BI39" s="1157"/>
    </row>
    <row r="40" spans="1:61" s="934" customFormat="1" ht="15.75">
      <c r="A40" s="933" t="s">
        <v>1686</v>
      </c>
      <c r="B40" s="1170"/>
      <c r="C40" s="922">
        <f>ROUND(CSR!$J$28,0)</f>
        <v>-253585</v>
      </c>
      <c r="D40" s="922">
        <v>0</v>
      </c>
      <c r="E40" s="922">
        <v>0</v>
      </c>
      <c r="F40" s="922">
        <v>0</v>
      </c>
      <c r="G40" s="922">
        <f>C40-SUM(D40:F40)</f>
        <v>-253585</v>
      </c>
      <c r="H40" s="922">
        <v>0</v>
      </c>
      <c r="I40" s="922">
        <v>0</v>
      </c>
      <c r="J40" s="922">
        <v>0</v>
      </c>
      <c r="K40" s="922">
        <v>0</v>
      </c>
      <c r="L40" s="922">
        <v>0</v>
      </c>
      <c r="M40" s="870">
        <f>SUM(G40:L40)</f>
        <v>-253585</v>
      </c>
      <c r="N40" s="934">
        <v>0</v>
      </c>
      <c r="O40" s="934">
        <v>0</v>
      </c>
      <c r="P40" s="768">
        <f>M40</f>
        <v>-253585</v>
      </c>
      <c r="Q40" s="768">
        <f t="shared" si="36"/>
        <v>0</v>
      </c>
      <c r="R40" s="768">
        <f t="shared" si="36"/>
        <v>0</v>
      </c>
      <c r="S40" s="768">
        <f t="shared" si="36"/>
        <v>0</v>
      </c>
      <c r="T40" s="922">
        <v>0</v>
      </c>
      <c r="U40" s="768">
        <f>SUM(P40:T40)</f>
        <v>-253585</v>
      </c>
      <c r="V40" s="934">
        <f>O40+P40</f>
        <v>-253585</v>
      </c>
      <c r="W40" s="1271">
        <v>-122735</v>
      </c>
      <c r="Y40" s="870"/>
      <c r="Z40" s="1190">
        <f t="shared" si="1"/>
        <v>122735</v>
      </c>
      <c r="AA40" s="1190"/>
      <c r="AB40" s="1246"/>
      <c r="AC40" s="1239"/>
      <c r="AD40" s="1239"/>
      <c r="AE40" s="1240">
        <f t="shared" ref="AE40:AE41" si="38">W40</f>
        <v>-122735</v>
      </c>
      <c r="AF40" s="1239">
        <f t="shared" si="37"/>
        <v>-122735</v>
      </c>
      <c r="AG40" s="1239"/>
      <c r="AH40" s="1241"/>
      <c r="AI40" s="1231"/>
      <c r="AJ40" s="1231"/>
      <c r="AK40" s="1231"/>
      <c r="AL40" s="1231"/>
      <c r="AM40" s="1231"/>
      <c r="AN40" s="1231"/>
      <c r="AO40" s="1231"/>
      <c r="AP40" s="1253"/>
      <c r="AQ40" s="358"/>
      <c r="AR40" s="1211"/>
      <c r="AS40" s="1211"/>
      <c r="AT40" s="1211"/>
      <c r="AU40" s="1211"/>
      <c r="AV40" s="1211"/>
      <c r="AW40" s="1211"/>
      <c r="AX40" s="1211"/>
      <c r="AY40" s="1211"/>
      <c r="AZ40" s="1211"/>
      <c r="BA40" s="1211"/>
      <c r="BB40" s="358"/>
      <c r="BC40" s="1157"/>
      <c r="BD40" s="1157"/>
      <c r="BE40" s="1157"/>
      <c r="BF40" s="1157"/>
      <c r="BG40" s="1157"/>
      <c r="BH40" s="1157"/>
      <c r="BI40" s="1157"/>
    </row>
    <row r="41" spans="1:61" s="934" customFormat="1" ht="15.75">
      <c r="A41" s="933" t="s">
        <v>1687</v>
      </c>
      <c r="B41" s="933"/>
      <c r="C41" s="922">
        <f>ROUND(CSR!$K$28,0)</f>
        <v>-662440</v>
      </c>
      <c r="D41" s="922">
        <v>0</v>
      </c>
      <c r="E41" s="922">
        <v>0</v>
      </c>
      <c r="F41" s="922">
        <v>0</v>
      </c>
      <c r="G41" s="922">
        <f>C41-SUM(D41:F41)</f>
        <v>-662440</v>
      </c>
      <c r="H41" s="922">
        <v>0</v>
      </c>
      <c r="I41" s="922">
        <v>0</v>
      </c>
      <c r="J41" s="922">
        <v>0</v>
      </c>
      <c r="K41" s="922">
        <v>0</v>
      </c>
      <c r="L41" s="922">
        <v>0</v>
      </c>
      <c r="M41" s="870">
        <f>SUM(G41:L41)</f>
        <v>-662440</v>
      </c>
      <c r="N41" s="934">
        <v>0</v>
      </c>
      <c r="O41" s="934">
        <v>0</v>
      </c>
      <c r="P41" s="768">
        <f>M41</f>
        <v>-662440</v>
      </c>
      <c r="Q41" s="768">
        <f t="shared" si="36"/>
        <v>0</v>
      </c>
      <c r="R41" s="768">
        <f t="shared" si="36"/>
        <v>0</v>
      </c>
      <c r="S41" s="768">
        <f t="shared" si="36"/>
        <v>0</v>
      </c>
      <c r="T41" s="922">
        <v>0</v>
      </c>
      <c r="U41" s="768">
        <f>SUM(P41:T41)</f>
        <v>-662440</v>
      </c>
      <c r="V41" s="934">
        <f>O41+P41</f>
        <v>-662440</v>
      </c>
      <c r="W41" s="1271">
        <v>-301016</v>
      </c>
      <c r="Y41" s="870"/>
      <c r="Z41" s="1190">
        <f t="shared" si="1"/>
        <v>301016</v>
      </c>
      <c r="AA41" s="1190"/>
      <c r="AB41" s="1246"/>
      <c r="AC41" s="1239"/>
      <c r="AD41" s="1240"/>
      <c r="AE41" s="1240">
        <f t="shared" si="38"/>
        <v>-301016</v>
      </c>
      <c r="AF41" s="1239">
        <f t="shared" si="37"/>
        <v>-301016</v>
      </c>
      <c r="AG41" s="1241"/>
      <c r="AH41" s="1241"/>
      <c r="AI41" s="1231"/>
      <c r="AJ41" s="1231"/>
      <c r="AK41" s="1231"/>
      <c r="AL41" s="1231"/>
      <c r="AM41" s="1231"/>
      <c r="AN41" s="1231"/>
      <c r="AO41" s="1231"/>
      <c r="AP41" s="1253"/>
      <c r="AQ41" s="358"/>
      <c r="AR41" s="1211"/>
      <c r="AS41" s="1211"/>
      <c r="AT41" s="1211"/>
      <c r="AU41" s="1211"/>
      <c r="AV41" s="1211"/>
      <c r="AW41" s="1211"/>
      <c r="AX41" s="1211"/>
      <c r="AY41" s="1211"/>
      <c r="AZ41" s="1211"/>
      <c r="BA41" s="1211"/>
      <c r="BB41" s="358"/>
    </row>
    <row r="42" spans="1:61" s="934" customFormat="1" ht="15.75">
      <c r="A42" s="935"/>
      <c r="B42" s="935"/>
      <c r="Z42" s="1190">
        <f t="shared" si="1"/>
        <v>0</v>
      </c>
      <c r="AA42" s="1190"/>
      <c r="AB42" s="1246"/>
      <c r="AC42" s="1239"/>
      <c r="AD42" s="1240"/>
      <c r="AE42" s="1240"/>
      <c r="AF42" s="1239"/>
      <c r="AG42" s="1241"/>
      <c r="AH42" s="1241"/>
      <c r="AI42" s="1231"/>
      <c r="AJ42" s="1231"/>
      <c r="AK42" s="1231"/>
      <c r="AL42" s="1231"/>
      <c r="AM42" s="1231"/>
      <c r="AN42" s="1231"/>
      <c r="AO42" s="1231"/>
      <c r="AP42" s="1253"/>
      <c r="AQ42" s="1211"/>
      <c r="AR42" s="1211"/>
      <c r="AS42" s="1211"/>
      <c r="AT42" s="1211"/>
      <c r="AU42" s="1211"/>
      <c r="AV42" s="1211"/>
      <c r="AW42" s="1211"/>
      <c r="AX42" s="1211"/>
      <c r="AY42" s="1211"/>
      <c r="AZ42" s="1211"/>
      <c r="BA42" s="1211"/>
      <c r="BB42" s="1211"/>
    </row>
    <row r="43" spans="1:61" ht="15.75">
      <c r="A43" s="928" t="s">
        <v>1708</v>
      </c>
      <c r="B43" s="926" t="s">
        <v>19</v>
      </c>
      <c r="C43" s="922">
        <f>ROUND(Lighting!B23,0)</f>
        <v>11822</v>
      </c>
      <c r="D43" s="922">
        <f>ROUND(Lighting!C23,0)</f>
        <v>407</v>
      </c>
      <c r="E43" s="922">
        <v>0</v>
      </c>
      <c r="F43" s="922">
        <f>ROUND(Lighting!D23,0)</f>
        <v>918</v>
      </c>
      <c r="G43" s="922">
        <f>C43-SUM(D43:F43)</f>
        <v>10497</v>
      </c>
      <c r="H43" s="922">
        <v>0</v>
      </c>
      <c r="I43" s="922">
        <v>0</v>
      </c>
      <c r="J43" s="922">
        <v>0</v>
      </c>
      <c r="K43" s="922">
        <f>'Settlement Exhibit 1 pgs 2-14'!$G$433</f>
        <v>17811</v>
      </c>
      <c r="L43" s="922">
        <v>0</v>
      </c>
      <c r="M43" s="922">
        <f>SUM(G43:L43)</f>
        <v>28308</v>
      </c>
      <c r="N43" s="922">
        <f>'Settlement Exhibit 1 pgs 2-14'!$G$435</f>
        <v>28308</v>
      </c>
      <c r="O43" s="922">
        <f>M43-N43</f>
        <v>0</v>
      </c>
      <c r="P43" s="922">
        <f>M43</f>
        <v>28308</v>
      </c>
      <c r="Q43" s="768">
        <f t="shared" ref="Q43:S45" si="39">D43</f>
        <v>407</v>
      </c>
      <c r="R43" s="768">
        <f t="shared" si="39"/>
        <v>0</v>
      </c>
      <c r="S43" s="768">
        <f t="shared" si="39"/>
        <v>918</v>
      </c>
      <c r="T43" s="922">
        <v>0</v>
      </c>
      <c r="U43" s="768">
        <f>SUM(P43:T43)</f>
        <v>29633</v>
      </c>
      <c r="W43" s="922">
        <f>'Settlement Exhibit 1 pgs 2-14'!$J$444</f>
        <v>2360</v>
      </c>
      <c r="X43" s="1152">
        <f>W43/U43</f>
        <v>7.964094084297911E-2</v>
      </c>
      <c r="Y43" s="898">
        <f>U43*$Y$62</f>
        <v>2376.9582136370227</v>
      </c>
      <c r="Z43" s="1190">
        <f t="shared" si="1"/>
        <v>16.958213637022709</v>
      </c>
      <c r="AA43" s="1190"/>
      <c r="AB43" s="1238">
        <f>U43*(1+$AC$10)</f>
        <v>31991.547013013671</v>
      </c>
      <c r="AC43" s="1239">
        <f>AB43-U43</f>
        <v>2358.5470130136709</v>
      </c>
      <c r="AD43" s="1240">
        <f>AL24</f>
        <v>0</v>
      </c>
      <c r="AE43" s="1240">
        <f>AM24</f>
        <v>0</v>
      </c>
      <c r="AF43" s="1239">
        <f>AC43+AD43+AE43</f>
        <v>2358.5470130136709</v>
      </c>
      <c r="AG43" s="1241">
        <f t="shared" ref="AG43:AG47" si="40">AF43/U43</f>
        <v>7.959190810966392E-2</v>
      </c>
      <c r="AH43" s="1256"/>
      <c r="AI43" s="1257"/>
      <c r="AJ43" s="1257"/>
      <c r="AK43" s="1231"/>
      <c r="AL43" s="1257"/>
      <c r="AM43" s="1257"/>
      <c r="AN43" s="1257"/>
      <c r="AO43" s="1257"/>
      <c r="AP43" s="1258"/>
      <c r="AQ43" s="1211"/>
      <c r="AR43" s="1211"/>
      <c r="AS43" s="1211"/>
      <c r="AT43" s="1211"/>
      <c r="AU43" s="1211"/>
      <c r="AV43" s="1211"/>
      <c r="AW43" s="1211"/>
      <c r="AX43" s="1211"/>
      <c r="AY43" s="1211"/>
      <c r="AZ43" s="1211"/>
      <c r="BA43" s="1211"/>
      <c r="BB43" s="1211"/>
    </row>
    <row r="44" spans="1:61" ht="15.75">
      <c r="A44" s="928" t="s">
        <v>1709</v>
      </c>
      <c r="B44" s="926" t="s">
        <v>20</v>
      </c>
      <c r="C44" s="922">
        <f>ROUND(Lighting!B24,0)</f>
        <v>138147</v>
      </c>
      <c r="D44" s="922">
        <f>ROUND(Lighting!C24,0)</f>
        <v>3040</v>
      </c>
      <c r="E44" s="922">
        <v>0</v>
      </c>
      <c r="F44" s="922">
        <f>ROUND(Lighting!D24,0)+1</f>
        <v>6938</v>
      </c>
      <c r="G44" s="922">
        <f>C44-SUM(D44:F44)</f>
        <v>128169</v>
      </c>
      <c r="H44" s="922">
        <v>0</v>
      </c>
      <c r="I44" s="922">
        <v>0</v>
      </c>
      <c r="J44" s="922">
        <v>0</v>
      </c>
      <c r="K44" s="922">
        <v>0</v>
      </c>
      <c r="L44" s="922">
        <v>0</v>
      </c>
      <c r="M44" s="922">
        <f>SUM(G44:L44)</f>
        <v>128169</v>
      </c>
      <c r="N44" s="922">
        <f>'Settlement Exhibit 1 pgs 2-14'!$G$468</f>
        <v>128169</v>
      </c>
      <c r="O44" s="922">
        <f>M44-N44</f>
        <v>0</v>
      </c>
      <c r="P44" s="922">
        <f>M44</f>
        <v>128169</v>
      </c>
      <c r="Q44" s="768">
        <f t="shared" si="39"/>
        <v>3040</v>
      </c>
      <c r="R44" s="768">
        <f t="shared" si="39"/>
        <v>0</v>
      </c>
      <c r="S44" s="768">
        <f t="shared" si="39"/>
        <v>6938</v>
      </c>
      <c r="T44" s="922">
        <v>0</v>
      </c>
      <c r="U44" s="768">
        <f>SUM(P44:T44)</f>
        <v>138147</v>
      </c>
      <c r="W44" s="922">
        <f>'Settlement Exhibit 1 pgs 2-14'!$J$477</f>
        <v>11018</v>
      </c>
      <c r="X44" s="1152">
        <f>W44/U44</f>
        <v>7.9755622633861031E-2</v>
      </c>
      <c r="Y44" s="898">
        <f>U44*$Y$62</f>
        <v>11081.215075736975</v>
      </c>
      <c r="Z44" s="1190">
        <f t="shared" si="1"/>
        <v>63.215075736974541</v>
      </c>
      <c r="AA44" s="1190"/>
      <c r="AB44" s="1238">
        <f>U44*(1+$AC$10)</f>
        <v>149142.38332962574</v>
      </c>
      <c r="AC44" s="1239">
        <f>AB44-U44</f>
        <v>10995.383329625736</v>
      </c>
      <c r="AD44" s="1240">
        <f>AL25</f>
        <v>0</v>
      </c>
      <c r="AE44" s="1240">
        <f>AM25</f>
        <v>0</v>
      </c>
      <c r="AF44" s="1239">
        <f>AC44+AD44+AE44</f>
        <v>10995.383329625736</v>
      </c>
      <c r="AG44" s="1241">
        <f t="shared" si="40"/>
        <v>7.9591908109663878E-2</v>
      </c>
      <c r="AH44" s="1256"/>
      <c r="AI44" s="1257"/>
      <c r="AJ44" s="1257"/>
      <c r="AK44" s="1257"/>
      <c r="AL44" s="1257"/>
      <c r="AM44" s="1257"/>
      <c r="AN44" s="1257"/>
      <c r="AO44" s="1257"/>
      <c r="AP44" s="1258"/>
      <c r="AQ44" s="1211"/>
      <c r="AR44" s="1211"/>
      <c r="AS44" s="1211"/>
      <c r="AT44" s="1211"/>
      <c r="AU44" s="1211"/>
      <c r="AV44" s="1211"/>
      <c r="AW44" s="1211"/>
      <c r="AX44" s="1211"/>
      <c r="AY44" s="1211"/>
      <c r="AZ44" s="1211"/>
      <c r="BA44" s="1211"/>
      <c r="BB44" s="1211"/>
    </row>
    <row r="45" spans="1:61" ht="15.75">
      <c r="A45" s="928" t="s">
        <v>1710</v>
      </c>
      <c r="B45" s="925" t="s">
        <v>73</v>
      </c>
      <c r="C45" s="922">
        <f>ROUND(Lighting!B25,0)</f>
        <v>26088630</v>
      </c>
      <c r="D45" s="922">
        <f>ROUND(Lighting!C25,0)</f>
        <v>289956</v>
      </c>
      <c r="E45" s="924">
        <v>0</v>
      </c>
      <c r="F45" s="922">
        <f>ROUND(Lighting!D25,0)-1</f>
        <v>657032</v>
      </c>
      <c r="G45" s="922">
        <f>C45-SUM(D45:F45)</f>
        <v>25141642</v>
      </c>
      <c r="H45" s="922">
        <v>0</v>
      </c>
      <c r="I45" s="922">
        <v>0</v>
      </c>
      <c r="J45" s="922">
        <v>0</v>
      </c>
      <c r="K45" s="922">
        <f>'Settlement Exhibit 1 pgs 15-20'!$H$195</f>
        <v>-288163</v>
      </c>
      <c r="L45" s="922">
        <v>0</v>
      </c>
      <c r="M45" s="922">
        <f>SUM(G45:L45)</f>
        <v>24853479</v>
      </c>
      <c r="N45" s="922">
        <f>'Settlement Exhibit 1 pgs 15-20'!$H$197</f>
        <v>24853479</v>
      </c>
      <c r="O45" s="922">
        <f>M45-N45</f>
        <v>0</v>
      </c>
      <c r="P45" s="922">
        <f>M45</f>
        <v>24853479</v>
      </c>
      <c r="Q45" s="768">
        <f t="shared" si="39"/>
        <v>289956</v>
      </c>
      <c r="R45" s="768">
        <f t="shared" si="39"/>
        <v>0</v>
      </c>
      <c r="S45" s="768">
        <f t="shared" si="39"/>
        <v>657032</v>
      </c>
      <c r="T45" s="922">
        <v>0</v>
      </c>
      <c r="U45" s="768">
        <f>SUM(P45:T45)</f>
        <v>25800467</v>
      </c>
      <c r="W45" s="922">
        <f>'Settlement Exhibit 1 pgs 15-20'!J205</f>
        <v>2059620</v>
      </c>
      <c r="X45" s="1152">
        <f>W45/U45</f>
        <v>7.9828787595201275E-2</v>
      </c>
      <c r="Y45" s="898">
        <f>U45*$Y$62</f>
        <v>2069538.4183619935</v>
      </c>
      <c r="Z45" s="1190">
        <f t="shared" si="1"/>
        <v>9918.4183619935066</v>
      </c>
      <c r="AA45" s="1190"/>
      <c r="AB45" s="1238">
        <f>U45*(1+$AC$10)</f>
        <v>27853975.398650415</v>
      </c>
      <c r="AC45" s="1239">
        <f>AB45-U45</f>
        <v>2053508.3986504152</v>
      </c>
      <c r="AD45" s="1240">
        <f>AL23</f>
        <v>0</v>
      </c>
      <c r="AE45" s="1240">
        <f>AM23</f>
        <v>0</v>
      </c>
      <c r="AF45" s="1239">
        <f>AC45+AD45+AE45</f>
        <v>2053508.3986504152</v>
      </c>
      <c r="AG45" s="1241">
        <f t="shared" si="40"/>
        <v>7.9591908109663878E-2</v>
      </c>
      <c r="AH45" s="1256"/>
      <c r="AI45" s="1257"/>
      <c r="AJ45" s="1257"/>
      <c r="AK45" s="1257"/>
      <c r="AL45" s="1257"/>
      <c r="AM45" s="1257"/>
      <c r="AN45" s="1257"/>
      <c r="AO45" s="1257"/>
      <c r="AP45" s="1258"/>
      <c r="AQ45" s="1211"/>
      <c r="AR45" s="1211"/>
      <c r="AS45" s="1211"/>
      <c r="AT45" s="1211"/>
      <c r="AU45" s="1211"/>
      <c r="AV45" s="1211"/>
      <c r="AW45" s="1211"/>
      <c r="AX45" s="1211"/>
      <c r="AY45" s="1211"/>
      <c r="AZ45" s="1211"/>
      <c r="BA45" s="1211"/>
      <c r="BB45" s="1211"/>
    </row>
    <row r="46" spans="1:61" ht="15.75">
      <c r="Z46" s="1190"/>
      <c r="AA46" s="1190"/>
      <c r="AB46" s="851"/>
      <c r="AI46" s="1257"/>
      <c r="AJ46" s="1257"/>
      <c r="AK46" s="1257"/>
      <c r="AL46" s="1257"/>
      <c r="AM46" s="1257"/>
      <c r="AN46" s="1257"/>
      <c r="AO46" s="1257"/>
      <c r="AP46" s="1258"/>
      <c r="AQ46" s="1211"/>
      <c r="AR46" s="1211"/>
      <c r="AS46" s="1211"/>
      <c r="AT46" s="1211"/>
      <c r="AU46" s="1211"/>
      <c r="AV46" s="1211"/>
      <c r="AW46" s="1211"/>
      <c r="AX46" s="1211"/>
      <c r="AY46" s="1211"/>
      <c r="AZ46" s="1211"/>
      <c r="BA46" s="1211"/>
      <c r="BB46" s="1211"/>
    </row>
    <row r="47" spans="1:61" ht="17.25">
      <c r="A47" s="927" t="s">
        <v>764</v>
      </c>
      <c r="B47" s="927"/>
      <c r="C47" s="1158">
        <f t="shared" ref="C47:M47" si="41">SUM(C13:C15,C20,C25,C29,C31,C33,C35,C37,C39:C41,C43:C45)</f>
        <v>1592085066</v>
      </c>
      <c r="D47" s="1158">
        <f t="shared" si="41"/>
        <v>45952392</v>
      </c>
      <c r="E47" s="1158">
        <f t="shared" si="41"/>
        <v>24674027</v>
      </c>
      <c r="F47" s="1158">
        <f t="shared" si="41"/>
        <v>104236481</v>
      </c>
      <c r="G47" s="1158">
        <f t="shared" si="41"/>
        <v>1417222166</v>
      </c>
      <c r="H47" s="1158">
        <f t="shared" si="41"/>
        <v>-51355221</v>
      </c>
      <c r="I47" s="1158">
        <f t="shared" si="41"/>
        <v>287062</v>
      </c>
      <c r="J47" s="1158">
        <f t="shared" si="41"/>
        <v>-462863</v>
      </c>
      <c r="K47" s="1158">
        <f t="shared" si="41"/>
        <v>-270352</v>
      </c>
      <c r="L47" s="1158">
        <f t="shared" si="41"/>
        <v>115104</v>
      </c>
      <c r="M47" s="1158">
        <f t="shared" si="41"/>
        <v>1365535896</v>
      </c>
      <c r="N47" s="1158">
        <f>SUM(N13:N15,N20,N25,N29,N31,N33,N35,N37,N39:N41,N43:N45)</f>
        <v>1377413844</v>
      </c>
      <c r="O47" s="1158">
        <f>SUM(O13:O15,O20,O25,O29,O31,O33,O35,O37,O39:O41,O43:O45)</f>
        <v>3.0993760447017848E-8</v>
      </c>
      <c r="P47" s="1158">
        <f t="shared" ref="P47:U47" si="42">SUM(P13:P15,P20,P25,P29,P31,P33,P35,P37,P39:P41,P43:P45)</f>
        <v>1365535896</v>
      </c>
      <c r="Q47" s="1158">
        <f t="shared" si="42"/>
        <v>45952392</v>
      </c>
      <c r="R47" s="1158">
        <f t="shared" si="42"/>
        <v>24674027</v>
      </c>
      <c r="S47" s="1158">
        <f t="shared" si="42"/>
        <v>104236481</v>
      </c>
      <c r="T47" s="1158">
        <f t="shared" si="42"/>
        <v>51355221</v>
      </c>
      <c r="U47" s="1158">
        <f t="shared" si="42"/>
        <v>1591754017</v>
      </c>
      <c r="V47" s="1158"/>
      <c r="W47" s="1158">
        <f>SUM(W13:W15,W20,W25,W29,W31,W33,W35,W37,W39:W41,W43:W45)</f>
        <v>125358303.50429586</v>
      </c>
      <c r="X47" s="1159">
        <f>W47/U47</f>
        <v>7.8754821514796819E-2</v>
      </c>
      <c r="Y47" s="1154"/>
      <c r="Z47" s="1190"/>
      <c r="AA47" s="1190"/>
      <c r="AB47" s="1259">
        <f>SUM(AB13:AB45)</f>
        <v>1731268092.9999995</v>
      </c>
      <c r="AC47" s="1256">
        <f>SUM(AC13:AC45)</f>
        <v>127636127.99999967</v>
      </c>
      <c r="AD47" s="1256">
        <f>SUM(AD13:AD45)</f>
        <v>0</v>
      </c>
      <c r="AE47" s="1256">
        <f>SUM(AE13:AE45)</f>
        <v>-2517828</v>
      </c>
      <c r="AF47" s="1256">
        <f>SUM(AF13:AF45)</f>
        <v>125118299.99999967</v>
      </c>
      <c r="AG47" s="1241">
        <f t="shared" si="40"/>
        <v>7.8604042247565231E-2</v>
      </c>
      <c r="AH47" s="1256"/>
      <c r="AI47" s="1260"/>
      <c r="AJ47" s="1260"/>
      <c r="AK47" s="1260"/>
      <c r="AL47" s="1257"/>
      <c r="AM47" s="1257"/>
      <c r="AN47" s="1257"/>
      <c r="AO47" s="1257"/>
      <c r="AP47" s="1258"/>
      <c r="AQ47" s="1211"/>
      <c r="AR47" s="1211"/>
      <c r="AS47" s="1211"/>
      <c r="AT47" s="1211"/>
      <c r="AU47" s="1211"/>
      <c r="AV47" s="1211"/>
      <c r="AW47" s="1211"/>
      <c r="AX47" s="1211"/>
      <c r="AY47" s="1211"/>
      <c r="AZ47" s="1211"/>
      <c r="BA47" s="1211"/>
      <c r="BB47" s="1211"/>
    </row>
    <row r="48" spans="1:61" ht="15.75">
      <c r="D48" s="1153"/>
      <c r="Z48" s="1190"/>
      <c r="AA48" s="1190"/>
      <c r="AB48" s="1238"/>
      <c r="AC48" s="1239"/>
      <c r="AD48" s="1239"/>
      <c r="AE48" s="1239"/>
      <c r="AF48" s="1239"/>
      <c r="AG48" s="1241"/>
      <c r="AH48" s="1241"/>
      <c r="AI48" s="1231"/>
      <c r="AJ48" s="1231"/>
      <c r="AK48" s="1231"/>
      <c r="AL48" s="1231"/>
      <c r="AM48" s="1231"/>
      <c r="AN48" s="1231"/>
      <c r="AO48" s="1231"/>
      <c r="AP48" s="1253"/>
      <c r="AQ48" s="1211"/>
      <c r="AR48" s="1211"/>
      <c r="AS48" s="1211"/>
      <c r="AT48" s="1211"/>
      <c r="AU48" s="1211"/>
      <c r="AV48" s="1211"/>
      <c r="AW48" s="1211"/>
      <c r="AX48" s="1211"/>
      <c r="AY48" s="1211"/>
      <c r="AZ48" s="1211"/>
      <c r="BA48" s="1190"/>
      <c r="BB48" s="1211"/>
    </row>
    <row r="49" spans="1:54" ht="15.75">
      <c r="A49" s="870" t="s">
        <v>1653</v>
      </c>
      <c r="C49" s="778">
        <f>'Sch M-2.1'!$C25</f>
        <v>3786198</v>
      </c>
      <c r="G49" s="922">
        <f t="shared" ref="G49:G52" si="43">C49-SUM(D49:F49)</f>
        <v>3786198</v>
      </c>
      <c r="M49" s="870">
        <f t="shared" ref="M49:M52" si="44">SUM(G49:L49)</f>
        <v>3786198</v>
      </c>
      <c r="P49" s="870">
        <f>M49</f>
        <v>3786198</v>
      </c>
      <c r="U49" s="768">
        <f t="shared" ref="U49" si="45">SUM(P49:T49)</f>
        <v>3786198</v>
      </c>
      <c r="X49" s="1152">
        <f t="shared" ref="X49:X52" si="46">W49/U49</f>
        <v>0</v>
      </c>
      <c r="Y49" s="1152"/>
      <c r="Z49" s="1190"/>
      <c r="AA49" s="1190"/>
      <c r="AB49" s="1238">
        <f>U49+W49</f>
        <v>3786198</v>
      </c>
      <c r="AC49" s="1239"/>
      <c r="AD49" s="1239">
        <v>0</v>
      </c>
      <c r="AE49" s="1239"/>
      <c r="AF49" s="1239">
        <f t="shared" ref="AF49:AF52" si="47">AC49+AD49+AE49</f>
        <v>0</v>
      </c>
      <c r="AG49" s="1241">
        <f>AF49/U49</f>
        <v>0</v>
      </c>
      <c r="AH49" s="1239"/>
      <c r="AI49" s="1231"/>
      <c r="AJ49" s="1231"/>
      <c r="AK49" s="1231"/>
      <c r="AL49" s="1231"/>
      <c r="AM49" s="1231"/>
      <c r="AN49" s="1231"/>
      <c r="AO49" s="1231"/>
      <c r="AP49" s="1253"/>
      <c r="AQ49" s="1211"/>
      <c r="AR49" s="1190"/>
      <c r="AS49" s="1190"/>
      <c r="AT49" s="1190"/>
      <c r="AU49" s="1190"/>
      <c r="AV49" s="1190"/>
      <c r="AW49" s="1190"/>
      <c r="AX49" s="1190"/>
      <c r="AY49" s="1190"/>
      <c r="AZ49" s="1190"/>
      <c r="BA49" s="1190"/>
      <c r="BB49" s="1211"/>
    </row>
    <row r="50" spans="1:54" ht="15.75">
      <c r="A50" s="870" t="s">
        <v>1743</v>
      </c>
      <c r="C50" s="778">
        <f>'Sch M-2.1'!$C26</f>
        <v>2082947</v>
      </c>
      <c r="G50" s="922">
        <f t="shared" si="43"/>
        <v>2082947</v>
      </c>
      <c r="M50" s="870">
        <f t="shared" si="44"/>
        <v>2082947</v>
      </c>
      <c r="P50" s="870">
        <f>M50</f>
        <v>2082947</v>
      </c>
      <c r="U50" s="768">
        <f t="shared" ref="U50:U52" si="48">SUM(P50:T50)</f>
        <v>2082947</v>
      </c>
      <c r="X50" s="1152">
        <f t="shared" si="46"/>
        <v>0</v>
      </c>
      <c r="Y50" s="1152"/>
      <c r="Z50" s="1190">
        <f t="shared" ref="Z50" si="49">Y50-W50</f>
        <v>0</v>
      </c>
      <c r="AA50" s="1190"/>
      <c r="AB50" s="1238">
        <f t="shared" ref="AB50:AB52" si="50">U50+W50</f>
        <v>2082947</v>
      </c>
      <c r="AC50" s="1239"/>
      <c r="AD50" s="1239">
        <v>0</v>
      </c>
      <c r="AE50" s="1239"/>
      <c r="AF50" s="1239">
        <f t="shared" si="47"/>
        <v>0</v>
      </c>
      <c r="AG50" s="1241">
        <f>AF50/U50</f>
        <v>0</v>
      </c>
      <c r="AH50" s="1241"/>
      <c r="AI50" s="1231"/>
      <c r="AJ50" s="1231"/>
      <c r="AK50" s="1231"/>
      <c r="AL50" s="1231"/>
      <c r="AM50" s="1231"/>
      <c r="AN50" s="1231"/>
      <c r="AO50" s="1231"/>
      <c r="AP50" s="1253"/>
      <c r="AQ50" s="1211"/>
      <c r="AR50" s="1190"/>
      <c r="AS50" s="1190"/>
      <c r="AT50" s="1190"/>
      <c r="AU50" s="1190"/>
      <c r="AV50" s="1190"/>
      <c r="AW50" s="1190"/>
      <c r="AX50" s="1190"/>
      <c r="AY50" s="1190"/>
      <c r="AZ50" s="1190"/>
      <c r="BA50" s="1190"/>
      <c r="BB50" s="1211"/>
    </row>
    <row r="51" spans="1:54" ht="15.75">
      <c r="A51" s="870" t="s">
        <v>1744</v>
      </c>
      <c r="C51" s="778">
        <f>'Sch M-2.1'!$C27</f>
        <v>3491578</v>
      </c>
      <c r="G51" s="922">
        <f t="shared" si="43"/>
        <v>3491578</v>
      </c>
      <c r="M51" s="870">
        <f t="shared" si="44"/>
        <v>3491578</v>
      </c>
      <c r="P51" s="870">
        <f>M51</f>
        <v>3491578</v>
      </c>
      <c r="U51" s="768">
        <f t="shared" si="48"/>
        <v>3491578</v>
      </c>
      <c r="W51" s="1270">
        <v>-363843</v>
      </c>
      <c r="X51" s="1152">
        <f t="shared" si="46"/>
        <v>-0.10420589200642232</v>
      </c>
      <c r="Y51" s="1152"/>
      <c r="Z51" s="1190"/>
      <c r="AA51" s="1190"/>
      <c r="AB51" s="1238">
        <f t="shared" si="50"/>
        <v>3127735</v>
      </c>
      <c r="AC51" s="1239"/>
      <c r="AD51" s="1239">
        <f>W51</f>
        <v>-363843</v>
      </c>
      <c r="AE51" s="1239"/>
      <c r="AF51" s="1239">
        <f t="shared" si="47"/>
        <v>-363843</v>
      </c>
      <c r="AG51" s="1241">
        <f>AF51/U51</f>
        <v>-0.10420589200642232</v>
      </c>
      <c r="AH51" s="1241"/>
      <c r="AI51" s="1231"/>
      <c r="AJ51" s="1231"/>
      <c r="AK51" s="1231"/>
      <c r="AL51" s="1231"/>
      <c r="AM51" s="1231"/>
      <c r="AN51" s="1231"/>
      <c r="AO51" s="1231"/>
      <c r="AP51" s="1253"/>
      <c r="AQ51" s="1211"/>
      <c r="AR51" s="1190"/>
      <c r="AS51" s="1190"/>
      <c r="AT51" s="1190"/>
      <c r="AU51" s="1190"/>
      <c r="AV51" s="1190"/>
      <c r="AW51" s="1190"/>
      <c r="AX51" s="1190"/>
      <c r="AY51" s="1190"/>
      <c r="AZ51" s="1190"/>
      <c r="BA51" s="1190"/>
      <c r="BB51" s="1211"/>
    </row>
    <row r="52" spans="1:54" ht="15">
      <c r="A52" s="870" t="s">
        <v>1745</v>
      </c>
      <c r="C52" s="778">
        <f>'Sch M-2.1'!$C28</f>
        <v>16194505</v>
      </c>
      <c r="G52" s="922">
        <f t="shared" si="43"/>
        <v>16194505</v>
      </c>
      <c r="M52" s="870">
        <f t="shared" si="44"/>
        <v>16194505</v>
      </c>
      <c r="P52" s="870">
        <f>M52</f>
        <v>16194505</v>
      </c>
      <c r="U52" s="768">
        <f t="shared" si="48"/>
        <v>16194505</v>
      </c>
      <c r="W52" s="1126"/>
      <c r="X52" s="1152">
        <f t="shared" si="46"/>
        <v>0</v>
      </c>
      <c r="Y52" s="1152"/>
      <c r="Z52" s="1190"/>
      <c r="AA52" s="1190"/>
      <c r="AB52" s="1238">
        <f t="shared" si="50"/>
        <v>16194505</v>
      </c>
      <c r="AC52" s="1239"/>
      <c r="AD52" s="1239">
        <v>0</v>
      </c>
      <c r="AE52" s="1239"/>
      <c r="AF52" s="1239">
        <f t="shared" si="47"/>
        <v>0</v>
      </c>
      <c r="AG52" s="1241">
        <f>AF52/U52</f>
        <v>0</v>
      </c>
      <c r="AH52" s="1241"/>
      <c r="AI52" s="1190"/>
      <c r="AJ52" s="1190"/>
      <c r="AK52" s="1190"/>
      <c r="AL52" s="1190"/>
      <c r="AM52" s="1190"/>
      <c r="AN52" s="1190"/>
      <c r="AO52" s="1190"/>
      <c r="AP52" s="1190"/>
      <c r="AQ52" s="1190"/>
      <c r="AR52" s="1190"/>
      <c r="AS52" s="1190"/>
      <c r="AT52" s="1190"/>
      <c r="AU52" s="1190"/>
      <c r="AV52" s="1190"/>
      <c r="AW52" s="1190"/>
      <c r="AX52" s="1190"/>
      <c r="AY52" s="1190"/>
      <c r="AZ52" s="1190"/>
      <c r="BA52" s="1190"/>
      <c r="BB52" s="1190"/>
    </row>
    <row r="53" spans="1:54" ht="15">
      <c r="O53" s="1152"/>
      <c r="Z53" s="1190">
        <f>Y59-W53</f>
        <v>0</v>
      </c>
      <c r="AA53" s="1190"/>
      <c r="AB53" s="1238"/>
      <c r="AC53" s="1239"/>
      <c r="AD53" s="1239"/>
      <c r="AE53" s="1239"/>
      <c r="AF53" s="1239"/>
      <c r="AG53" s="1241"/>
      <c r="AH53" s="1263">
        <f>SUM(AH10:AH52)</f>
        <v>0</v>
      </c>
      <c r="AI53" s="1190"/>
      <c r="AJ53" s="1190"/>
      <c r="AK53" s="1190"/>
      <c r="AL53" s="1190"/>
      <c r="AM53" s="1190"/>
      <c r="AN53" s="1190"/>
      <c r="AO53" s="1190"/>
      <c r="AP53" s="1190"/>
      <c r="AQ53" s="1190"/>
      <c r="AR53" s="1190"/>
      <c r="AS53" s="1190"/>
      <c r="AT53" s="1190"/>
      <c r="AU53" s="1190"/>
      <c r="AV53" s="1190"/>
      <c r="AW53" s="1190"/>
      <c r="AX53" s="1190"/>
      <c r="AY53" s="1190"/>
      <c r="AZ53" s="1190"/>
      <c r="BA53" s="1190"/>
      <c r="BB53" s="1190"/>
    </row>
    <row r="54" spans="1:54" ht="15">
      <c r="A54" s="927" t="s">
        <v>765</v>
      </c>
      <c r="B54" s="927"/>
      <c r="C54" s="1158">
        <f t="shared" ref="C54:M54" si="51">SUM(C47:C53)</f>
        <v>1617640294</v>
      </c>
      <c r="D54" s="1158">
        <f t="shared" si="51"/>
        <v>45952392</v>
      </c>
      <c r="E54" s="1158">
        <f t="shared" si="51"/>
        <v>24674027</v>
      </c>
      <c r="F54" s="1158">
        <f t="shared" si="51"/>
        <v>104236481</v>
      </c>
      <c r="G54" s="1158">
        <f t="shared" si="51"/>
        <v>1442777394</v>
      </c>
      <c r="H54" s="1158">
        <f t="shared" si="51"/>
        <v>-51355221</v>
      </c>
      <c r="I54" s="1158">
        <f t="shared" si="51"/>
        <v>287062</v>
      </c>
      <c r="J54" s="1158">
        <f t="shared" si="51"/>
        <v>-462863</v>
      </c>
      <c r="K54" s="1158">
        <f t="shared" si="51"/>
        <v>-270352</v>
      </c>
      <c r="L54" s="1158">
        <f t="shared" si="51"/>
        <v>115104</v>
      </c>
      <c r="M54" s="1158">
        <f t="shared" si="51"/>
        <v>1391091124</v>
      </c>
      <c r="P54" s="1158">
        <f>SUM(P47:P53)</f>
        <v>1391091124</v>
      </c>
      <c r="Q54" s="1158"/>
      <c r="R54" s="1158"/>
      <c r="S54" s="1158"/>
      <c r="T54" s="1158"/>
      <c r="U54" s="1158">
        <f>SUM(U47:U53)</f>
        <v>1617309245</v>
      </c>
      <c r="V54" s="1158"/>
      <c r="W54" s="1158">
        <f>SUM(W47:W53)</f>
        <v>124994460.50429586</v>
      </c>
      <c r="X54" s="1159">
        <f>W54/U54</f>
        <v>7.728544240424215E-2</v>
      </c>
      <c r="Y54" s="1154"/>
      <c r="Z54" s="1190"/>
      <c r="AA54" s="1190"/>
      <c r="AB54" s="1261">
        <f>SUM(AB47:AB52)</f>
        <v>1756459477.9999995</v>
      </c>
      <c r="AC54" s="1262">
        <f>SUM(AC47:AC52)</f>
        <v>127636127.99999967</v>
      </c>
      <c r="AD54" s="1262">
        <f>SUM(AD47:AD52)</f>
        <v>-363843</v>
      </c>
      <c r="AE54" s="1262">
        <f>SUM(AE47:AE52)</f>
        <v>-2517828</v>
      </c>
      <c r="AF54" s="1262">
        <f>SUM(AF47:AF52)</f>
        <v>124754456.99999967</v>
      </c>
      <c r="AG54" s="1241">
        <f>AF54/U54</f>
        <v>7.7137045611830199E-2</v>
      </c>
      <c r="AH54" s="1190"/>
      <c r="AI54" s="1190"/>
      <c r="AJ54" s="1190"/>
      <c r="AK54" s="1190"/>
      <c r="AL54" s="1190"/>
      <c r="AM54" s="1190"/>
      <c r="AN54" s="1190"/>
      <c r="AO54" s="1190"/>
      <c r="AP54" s="1190"/>
      <c r="AQ54" s="1190"/>
      <c r="AR54" s="1190"/>
      <c r="AS54" s="1190"/>
      <c r="AT54" s="1190"/>
      <c r="AU54" s="1190"/>
      <c r="AV54" s="1190"/>
      <c r="AW54" s="1190"/>
      <c r="AX54" s="1190"/>
      <c r="AY54" s="1190"/>
      <c r="AZ54" s="1190"/>
      <c r="BA54" s="1190"/>
      <c r="BB54" s="1190"/>
    </row>
    <row r="55" spans="1:54" ht="15.75">
      <c r="Z55" s="1190"/>
      <c r="AA55" s="1190"/>
      <c r="AB55" s="1190"/>
      <c r="AC55" s="1190"/>
      <c r="AD55" s="1190"/>
      <c r="AE55" s="1190"/>
      <c r="AF55" s="1190"/>
      <c r="AG55" s="1190"/>
      <c r="AH55" s="1230"/>
      <c r="AI55" s="1190"/>
      <c r="AJ55" s="1190"/>
      <c r="AK55" s="1190"/>
      <c r="AL55" s="1190"/>
      <c r="AM55" s="1190"/>
      <c r="AN55" s="1190"/>
      <c r="AO55" s="1190"/>
      <c r="AP55" s="1190"/>
      <c r="AQ55" s="1190"/>
      <c r="AR55" s="1190"/>
      <c r="AS55" s="1190"/>
      <c r="AT55" s="1190"/>
      <c r="AU55" s="1190"/>
      <c r="AV55" s="1190"/>
      <c r="AW55" s="1190"/>
      <c r="AX55" s="1190"/>
      <c r="AY55" s="1190"/>
      <c r="AZ55" s="1190"/>
      <c r="BA55" s="1190"/>
      <c r="BB55" s="1190"/>
    </row>
    <row r="56" spans="1:54" ht="15.75">
      <c r="P56" s="1160"/>
      <c r="Q56" s="1160"/>
      <c r="R56" s="1160"/>
      <c r="S56" s="1160"/>
      <c r="T56" s="1160"/>
      <c r="U56" s="1160"/>
      <c r="V56" s="1160"/>
      <c r="W56" s="1190">
        <v>30286058.016352255</v>
      </c>
      <c r="X56" s="1266" t="e">
        <f>W56/(U46-U36)</f>
        <v>#DIV/0!</v>
      </c>
      <c r="Y56" s="1190"/>
      <c r="Z56" s="1190"/>
      <c r="AA56" s="1190"/>
      <c r="AB56" s="1228"/>
      <c r="AC56" s="1230"/>
      <c r="AD56" s="1230"/>
      <c r="AE56" s="1230"/>
      <c r="AF56" s="1230"/>
      <c r="AG56" s="1230"/>
      <c r="AH56" s="1190"/>
      <c r="AI56" s="1190"/>
      <c r="AJ56" s="1190"/>
      <c r="AK56" s="1190"/>
      <c r="AL56" s="1190"/>
      <c r="AM56" s="1190"/>
      <c r="AN56" s="1190"/>
      <c r="AO56" s="1190"/>
      <c r="AP56" s="1190"/>
      <c r="AQ56" s="1190"/>
      <c r="AR56" s="1190"/>
      <c r="AS56" s="1190"/>
      <c r="AT56" s="1190"/>
      <c r="AU56" s="1190"/>
      <c r="AV56" s="1190"/>
      <c r="AW56" s="1190"/>
      <c r="AX56" s="1190"/>
      <c r="AY56" s="1190"/>
      <c r="AZ56" s="1190"/>
      <c r="BA56" s="1190"/>
      <c r="BB56" s="1190"/>
    </row>
    <row r="57" spans="1:54">
      <c r="G57" s="1160"/>
      <c r="P57" s="1160"/>
      <c r="Q57" s="1160"/>
      <c r="R57" s="1160"/>
      <c r="W57" s="1190"/>
      <c r="X57" s="1190"/>
      <c r="Y57" s="1190"/>
      <c r="Z57" s="1190"/>
      <c r="AA57" s="1190"/>
      <c r="AB57" s="1190"/>
      <c r="AC57" s="1190"/>
      <c r="AD57" s="1190"/>
      <c r="AE57" s="1190"/>
      <c r="AF57" s="1190"/>
      <c r="AG57" s="1190"/>
      <c r="AH57" s="1190"/>
      <c r="AI57" s="1190"/>
      <c r="AJ57" s="1190"/>
      <c r="AK57" s="1190"/>
      <c r="AL57" s="1190"/>
      <c r="AM57" s="1190"/>
      <c r="AN57" s="1190"/>
      <c r="AO57" s="1190"/>
      <c r="AP57" s="1190"/>
      <c r="AQ57" s="1190"/>
      <c r="AR57" s="1190"/>
      <c r="AS57" s="1190"/>
      <c r="AT57" s="1190"/>
      <c r="AU57" s="1190"/>
      <c r="AV57" s="1190"/>
      <c r="AW57" s="1190"/>
      <c r="AX57" s="1190"/>
      <c r="AY57" s="1190"/>
      <c r="AZ57" s="1190"/>
      <c r="BA57" s="1190"/>
      <c r="BB57" s="1190"/>
    </row>
    <row r="58" spans="1:54">
      <c r="W58" s="1190">
        <f>W54-Y60</f>
        <v>-2887210.4957041442</v>
      </c>
      <c r="X58" s="1190" t="str">
        <f>IF(W58&lt;0,"Under","Over")</f>
        <v>Under</v>
      </c>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row>
    <row r="59" spans="1:54" ht="13.5" thickBot="1">
      <c r="W59" s="1190"/>
      <c r="X59" s="1190"/>
      <c r="Y59" s="1190"/>
      <c r="Z59" s="1190"/>
      <c r="AA59" s="1190"/>
      <c r="AB59" s="1190"/>
      <c r="AC59" s="1190"/>
      <c r="AD59" s="1190"/>
      <c r="AE59" s="1190"/>
      <c r="AF59" s="1190"/>
      <c r="AG59" s="1190"/>
      <c r="AH59" s="1190"/>
      <c r="AI59" s="1190"/>
      <c r="AJ59" s="1190"/>
      <c r="AK59" s="1190"/>
      <c r="AL59" s="1190"/>
      <c r="AM59" s="1190"/>
      <c r="AN59" s="1190"/>
      <c r="AO59" s="1190"/>
      <c r="AP59" s="1190"/>
      <c r="AQ59" s="1190"/>
      <c r="AR59" s="1190"/>
      <c r="AS59" s="1190"/>
      <c r="AT59" s="1190"/>
      <c r="AU59" s="1190"/>
      <c r="AV59" s="1190"/>
      <c r="AW59" s="1190"/>
      <c r="AX59" s="1190"/>
      <c r="AY59" s="1190"/>
      <c r="AZ59" s="1190"/>
      <c r="BA59" s="1190"/>
      <c r="BB59" s="1190"/>
    </row>
    <row r="60" spans="1:54" ht="13.5" thickBot="1">
      <c r="W60" s="1190">
        <f t="shared" ref="W60" si="52">W54-W59</f>
        <v>124994460.50429586</v>
      </c>
      <c r="X60" s="1190"/>
      <c r="Y60" s="1264">
        <f>AC63</f>
        <v>127881671</v>
      </c>
      <c r="Z60" s="1190"/>
      <c r="AA60" s="1190"/>
      <c r="AB60" s="1265" t="s">
        <v>1859</v>
      </c>
      <c r="AC60" s="1264">
        <v>125000000</v>
      </c>
      <c r="AD60" s="1190"/>
      <c r="AE60" s="1190"/>
      <c r="AF60" s="1190"/>
      <c r="AG60" s="1190"/>
      <c r="AH60" s="1190"/>
      <c r="AI60" s="1190"/>
      <c r="AJ60" s="1190"/>
      <c r="AK60" s="1190"/>
      <c r="AL60" s="1190"/>
      <c r="AM60" s="1190"/>
      <c r="AN60" s="1190"/>
      <c r="AO60" s="1190"/>
      <c r="AP60" s="1190"/>
      <c r="AQ60" s="1190"/>
      <c r="AR60" s="1190"/>
      <c r="AS60" s="1190"/>
      <c r="AT60" s="1190"/>
      <c r="AU60" s="1190"/>
      <c r="AV60" s="1190"/>
      <c r="AW60" s="1190"/>
      <c r="AX60" s="1190"/>
      <c r="AY60" s="1190"/>
      <c r="AZ60" s="1190"/>
      <c r="BA60" s="1190"/>
      <c r="BB60" s="1190"/>
    </row>
    <row r="61" spans="1:54">
      <c r="W61" s="1190"/>
      <c r="X61" s="1190"/>
      <c r="Y61" s="1190"/>
      <c r="Z61" s="1190"/>
      <c r="AA61" s="1190"/>
      <c r="AB61" s="1265" t="s">
        <v>1853</v>
      </c>
      <c r="AC61" s="1190">
        <f>W51*-1</f>
        <v>363843</v>
      </c>
      <c r="AD61" s="1190"/>
      <c r="AE61" s="1190"/>
      <c r="AF61" s="1190"/>
      <c r="AG61" s="1190"/>
      <c r="AH61" s="1190"/>
      <c r="AI61" s="1190"/>
      <c r="AJ61" s="1190"/>
      <c r="AK61" s="1190"/>
      <c r="AL61" s="1190"/>
      <c r="AM61" s="1190"/>
      <c r="AN61" s="1190"/>
      <c r="AO61" s="1190"/>
      <c r="AP61" s="1190"/>
      <c r="AQ61" s="1190"/>
      <c r="AR61" s="1190"/>
      <c r="AS61" s="1190"/>
      <c r="AT61" s="1190"/>
      <c r="AU61" s="1190"/>
      <c r="AV61" s="1190"/>
      <c r="AW61" s="1190"/>
      <c r="AX61" s="1190"/>
      <c r="AY61" s="1190"/>
      <c r="AZ61" s="1190"/>
      <c r="BA61" s="1190"/>
      <c r="BB61" s="1190"/>
    </row>
    <row r="62" spans="1:54">
      <c r="W62" s="1190">
        <f>W13+W14</f>
        <v>47349258</v>
      </c>
      <c r="X62" s="1190"/>
      <c r="Y62" s="1267">
        <f>Y60/(U47-W39-W40-W41)</f>
        <v>8.0213215456991283E-2</v>
      </c>
      <c r="Z62" s="1190"/>
      <c r="AA62" s="1190"/>
      <c r="AB62" s="1265" t="s">
        <v>1864</v>
      </c>
      <c r="AC62" s="1190">
        <f>SUM(W39:W41)*-1</f>
        <v>2517828</v>
      </c>
      <c r="AD62" s="1190"/>
      <c r="AE62" s="1190"/>
      <c r="AF62" s="1190"/>
      <c r="AG62" s="1190"/>
      <c r="AH62" s="1190"/>
      <c r="AI62" s="1190"/>
      <c r="AJ62" s="1190"/>
      <c r="AK62" s="1190"/>
      <c r="AL62" s="1190"/>
      <c r="AM62" s="1190"/>
      <c r="AN62" s="1190"/>
      <c r="AO62" s="1190"/>
      <c r="AP62" s="1190"/>
      <c r="AQ62" s="1190"/>
      <c r="AR62" s="1190"/>
      <c r="AS62" s="1190"/>
      <c r="AT62" s="1190"/>
      <c r="AU62" s="1190"/>
      <c r="AV62" s="1190"/>
      <c r="AW62" s="1190"/>
      <c r="AX62" s="1190"/>
      <c r="AY62" s="1190"/>
      <c r="AZ62" s="1190"/>
      <c r="BA62" s="1190"/>
      <c r="BB62" s="1190"/>
    </row>
    <row r="63" spans="1:54">
      <c r="A63" s="936"/>
      <c r="B63" s="936"/>
      <c r="Z63" s="1190"/>
      <c r="AA63" s="1190"/>
      <c r="AB63" s="1265" t="s">
        <v>1854</v>
      </c>
      <c r="AC63" s="1190">
        <f>AC60+AC61+AC62</f>
        <v>127881671</v>
      </c>
      <c r="AD63" s="1190"/>
      <c r="AE63" s="1190"/>
      <c r="AF63" s="1190"/>
      <c r="AG63" s="1190"/>
      <c r="AH63" s="1190"/>
      <c r="AI63" s="1190"/>
      <c r="AJ63" s="1190"/>
      <c r="AK63" s="1190"/>
      <c r="AL63" s="1190"/>
      <c r="AM63" s="1190"/>
      <c r="AN63" s="1190"/>
      <c r="AO63" s="1190"/>
      <c r="AP63" s="1190"/>
      <c r="AQ63" s="1190"/>
      <c r="AR63" s="1190"/>
      <c r="AS63" s="1190"/>
      <c r="AT63" s="1190"/>
      <c r="AU63" s="1190"/>
      <c r="AV63" s="1190"/>
      <c r="AW63" s="1190"/>
      <c r="AX63" s="1190"/>
      <c r="AY63" s="1190"/>
      <c r="AZ63" s="1190"/>
      <c r="BA63" s="1190"/>
      <c r="BB63" s="1190"/>
    </row>
    <row r="64" spans="1:54">
      <c r="Z64" s="1190"/>
      <c r="AA64" s="1190"/>
      <c r="AB64" s="1190"/>
      <c r="AC64" s="1190"/>
      <c r="AD64" s="1190"/>
      <c r="AE64" s="1190"/>
      <c r="AF64" s="1190"/>
      <c r="AG64" s="1190"/>
      <c r="AH64" s="1190"/>
      <c r="AI64" s="1190"/>
      <c r="AJ64" s="1190"/>
      <c r="AK64" s="1190"/>
      <c r="AL64" s="1190"/>
      <c r="AM64" s="1190"/>
      <c r="AN64" s="1190"/>
      <c r="AO64" s="1190"/>
      <c r="AP64" s="1190"/>
      <c r="AQ64" s="1190"/>
      <c r="AR64" s="1190"/>
      <c r="AS64" s="1190"/>
      <c r="AT64" s="1190"/>
      <c r="AU64" s="1190"/>
      <c r="AV64" s="1190"/>
      <c r="AW64" s="1190"/>
      <c r="AX64" s="1190"/>
      <c r="AY64" s="1190"/>
      <c r="AZ64" s="1190"/>
      <c r="BA64" s="1190"/>
      <c r="BB64" s="1190"/>
    </row>
    <row r="65" spans="1:54">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row>
    <row r="66" spans="1:54">
      <c r="C66" s="930"/>
      <c r="D66" s="930"/>
      <c r="E66" s="930"/>
      <c r="F66" s="93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row>
    <row r="67" spans="1:54">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row>
    <row r="68" spans="1:54">
      <c r="A68" s="928"/>
      <c r="B68" s="928"/>
      <c r="Z68" s="1190"/>
      <c r="AA68" s="1190"/>
      <c r="AB68" s="1190"/>
      <c r="AC68" s="1190"/>
      <c r="AD68" s="1190"/>
      <c r="AE68" s="1190"/>
      <c r="AF68" s="1190"/>
      <c r="AG68" s="1190"/>
      <c r="AH68" s="1190"/>
      <c r="AI68" s="1190"/>
      <c r="AJ68" s="1190"/>
      <c r="AK68" s="1190"/>
      <c r="AL68" s="1190"/>
      <c r="AM68" s="1190"/>
      <c r="AN68" s="1190"/>
      <c r="AO68" s="1190"/>
      <c r="AP68" s="1190"/>
      <c r="AQ68" s="1190"/>
      <c r="AR68" s="1190"/>
      <c r="AS68" s="1190"/>
      <c r="AT68" s="1190"/>
      <c r="AU68" s="1190"/>
      <c r="AV68" s="1190"/>
      <c r="AW68" s="1190"/>
      <c r="AX68" s="1190"/>
      <c r="AY68" s="1190"/>
      <c r="AZ68" s="1190"/>
      <c r="BA68" s="1190"/>
      <c r="BB68" s="1190"/>
    </row>
    <row r="69" spans="1:54">
      <c r="Z69" s="1190"/>
      <c r="AA69" s="1190"/>
      <c r="AB69" s="1190"/>
      <c r="AC69" s="1190"/>
      <c r="AD69" s="1190"/>
      <c r="AE69" s="1190"/>
      <c r="AF69" s="1190"/>
      <c r="AG69" s="1190"/>
      <c r="AH69" s="1190"/>
      <c r="AI69" s="1190"/>
      <c r="AJ69" s="1190"/>
      <c r="AK69" s="1190"/>
      <c r="AL69" s="1190"/>
      <c r="AM69" s="1190"/>
      <c r="AN69" s="1190"/>
      <c r="AO69" s="1190"/>
      <c r="AP69" s="1190"/>
      <c r="AQ69" s="1190"/>
      <c r="AR69" s="1190"/>
      <c r="AS69" s="1190"/>
      <c r="AT69" s="1190"/>
      <c r="AU69" s="1190"/>
      <c r="AV69" s="1190"/>
      <c r="AW69" s="1190"/>
      <c r="AX69" s="1190"/>
      <c r="AY69" s="1190"/>
      <c r="AZ69" s="1190"/>
      <c r="BA69" s="1190"/>
      <c r="BB69" s="1190"/>
    </row>
    <row r="70" spans="1:54">
      <c r="Z70" s="1190"/>
      <c r="AA70" s="1190"/>
      <c r="AB70" s="1190"/>
      <c r="AC70" s="1190"/>
      <c r="AD70" s="1190"/>
      <c r="AE70" s="1190"/>
      <c r="AF70" s="1190"/>
      <c r="AG70" s="1190"/>
      <c r="AH70" s="1190"/>
      <c r="AI70" s="1190"/>
      <c r="AJ70" s="1190"/>
      <c r="AK70" s="1190"/>
      <c r="AL70" s="1190"/>
      <c r="AM70" s="1190"/>
      <c r="AN70" s="1190"/>
      <c r="AO70" s="1190"/>
      <c r="AP70" s="1190"/>
      <c r="AQ70" s="1190"/>
      <c r="AR70" s="1190"/>
      <c r="AS70" s="1190"/>
      <c r="AT70" s="1190"/>
      <c r="AU70" s="1190"/>
      <c r="AV70" s="1190"/>
      <c r="AW70" s="1190"/>
      <c r="AX70" s="1190"/>
      <c r="AY70" s="1190"/>
      <c r="AZ70" s="1190"/>
      <c r="BA70" s="1190"/>
      <c r="BB70" s="1190"/>
    </row>
    <row r="71" spans="1:54">
      <c r="Z71" s="1190"/>
      <c r="AA71" s="1190"/>
      <c r="AB71" s="1190"/>
      <c r="AC71" s="1190"/>
      <c r="AD71" s="1190"/>
      <c r="AE71" s="1190"/>
      <c r="AF71" s="1190"/>
      <c r="AG71" s="1190"/>
      <c r="AH71" s="1190"/>
      <c r="AI71" s="1190"/>
      <c r="AJ71" s="1190"/>
      <c r="AK71" s="1190"/>
      <c r="AL71" s="1190"/>
      <c r="AM71" s="1190"/>
      <c r="AN71" s="1190"/>
      <c r="AO71" s="1190"/>
      <c r="AP71" s="1190"/>
      <c r="AQ71" s="1190"/>
      <c r="AR71" s="1190"/>
      <c r="AS71" s="1190"/>
      <c r="AT71" s="1190"/>
      <c r="AU71" s="1190"/>
      <c r="AV71" s="1190"/>
      <c r="AW71" s="1190"/>
      <c r="AX71" s="1190"/>
      <c r="AY71" s="1190"/>
      <c r="AZ71" s="1190"/>
      <c r="BA71" s="1190"/>
      <c r="BB71" s="1190"/>
    </row>
    <row r="72" spans="1:54">
      <c r="Z72" s="1190"/>
      <c r="AA72" s="1190"/>
      <c r="AB72" s="1190"/>
      <c r="AC72" s="1190"/>
      <c r="AD72" s="1190"/>
      <c r="AE72" s="1190"/>
      <c r="AF72" s="1190"/>
      <c r="AG72" s="1190"/>
      <c r="AH72" s="1190"/>
      <c r="AI72" s="1190"/>
      <c r="AJ72" s="1190"/>
      <c r="AK72" s="1190"/>
      <c r="AL72" s="1190"/>
      <c r="AM72" s="1190"/>
      <c r="AN72" s="1190"/>
      <c r="AO72" s="1190"/>
      <c r="AP72" s="1190"/>
      <c r="AQ72" s="1190"/>
      <c r="AR72" s="1190"/>
      <c r="AS72" s="1190"/>
      <c r="AT72" s="1190"/>
      <c r="AU72" s="1190"/>
      <c r="AV72" s="1190"/>
      <c r="AW72" s="1190"/>
      <c r="AX72" s="1190"/>
      <c r="AY72" s="1190"/>
      <c r="AZ72" s="1190"/>
      <c r="BA72" s="1190"/>
      <c r="BB72" s="1190"/>
    </row>
    <row r="73" spans="1:54">
      <c r="Z73" s="1190"/>
      <c r="AA73" s="1190"/>
      <c r="AB73" s="1190"/>
      <c r="AC73" s="1190"/>
      <c r="AD73" s="1190"/>
      <c r="AE73" s="1190"/>
      <c r="AF73" s="1190"/>
      <c r="AG73" s="1190"/>
      <c r="AH73" s="1190"/>
      <c r="AI73" s="1190"/>
      <c r="AJ73" s="1190"/>
      <c r="AK73" s="1190"/>
      <c r="AL73" s="1190"/>
      <c r="AM73" s="1190"/>
      <c r="AN73" s="1190"/>
      <c r="AO73" s="1190"/>
      <c r="AP73" s="1190"/>
      <c r="AQ73" s="1190"/>
      <c r="AR73" s="1190"/>
      <c r="AS73" s="1190"/>
      <c r="AT73" s="1190"/>
      <c r="AU73" s="1190"/>
      <c r="AV73" s="1190"/>
      <c r="AW73" s="1190"/>
      <c r="AX73" s="1190"/>
      <c r="AY73" s="1190"/>
      <c r="AZ73" s="1190"/>
      <c r="BA73" s="1190"/>
      <c r="BB73" s="1190"/>
    </row>
    <row r="74" spans="1:54">
      <c r="Z74" s="1190"/>
      <c r="AA74" s="1190"/>
      <c r="AB74" s="1190"/>
      <c r="AC74" s="1190"/>
      <c r="AD74" s="1190"/>
      <c r="AE74" s="1190"/>
      <c r="AF74" s="1190"/>
      <c r="AG74" s="1190"/>
      <c r="AH74" s="1190"/>
      <c r="AI74" s="1190"/>
      <c r="AJ74" s="1190"/>
      <c r="AK74" s="1190"/>
      <c r="AL74" s="1190"/>
      <c r="AM74" s="1190"/>
      <c r="AN74" s="1190"/>
      <c r="AO74" s="1190"/>
      <c r="AP74" s="1190"/>
      <c r="AQ74" s="1190"/>
      <c r="AR74" s="1190"/>
      <c r="AS74" s="1190"/>
      <c r="AT74" s="1190"/>
      <c r="AU74" s="1190"/>
      <c r="AV74" s="1190"/>
      <c r="AW74" s="1190"/>
      <c r="AX74" s="1190"/>
      <c r="AY74" s="1190"/>
      <c r="AZ74" s="1190"/>
      <c r="BA74" s="1190"/>
      <c r="BB74" s="1190"/>
    </row>
    <row r="75" spans="1:54">
      <c r="Z75" s="1190"/>
      <c r="AA75" s="1190"/>
      <c r="AB75" s="1190"/>
      <c r="AC75" s="1190"/>
      <c r="AD75" s="1190"/>
      <c r="AE75" s="1190"/>
      <c r="AF75" s="1190"/>
      <c r="AG75" s="1190"/>
      <c r="AH75" s="1190"/>
      <c r="AI75" s="1190"/>
      <c r="AJ75" s="1190"/>
      <c r="AK75" s="1190"/>
      <c r="AL75" s="1190"/>
      <c r="AM75" s="1190"/>
      <c r="AN75" s="1190"/>
      <c r="AO75" s="1190"/>
      <c r="AP75" s="1190"/>
      <c r="AQ75" s="1190"/>
      <c r="AR75" s="1190"/>
      <c r="AS75" s="1190"/>
      <c r="AT75" s="1190"/>
      <c r="AU75" s="1190"/>
      <c r="AV75" s="1190"/>
      <c r="AW75" s="1190"/>
      <c r="AX75" s="1190"/>
      <c r="AY75" s="1190"/>
      <c r="AZ75" s="1190"/>
      <c r="BA75" s="1190"/>
      <c r="BB75" s="1190"/>
    </row>
    <row r="76" spans="1:54">
      <c r="Z76" s="1190"/>
      <c r="AA76" s="1190"/>
      <c r="AB76" s="1190"/>
      <c r="AC76" s="1190"/>
      <c r="AD76" s="1190"/>
      <c r="AE76" s="1190"/>
      <c r="AF76" s="1190"/>
      <c r="AG76" s="1190"/>
      <c r="AH76" s="1190"/>
      <c r="AI76" s="1190"/>
      <c r="AJ76" s="1190"/>
      <c r="AK76" s="1190"/>
      <c r="AL76" s="1190"/>
      <c r="AM76" s="1190"/>
      <c r="AN76" s="1190"/>
      <c r="AO76" s="1190"/>
      <c r="AP76" s="1190"/>
      <c r="AQ76" s="1190"/>
      <c r="AR76" s="1190"/>
      <c r="AS76" s="1190"/>
      <c r="AT76" s="1190"/>
      <c r="AU76" s="1190"/>
      <c r="AV76" s="1190"/>
      <c r="AW76" s="1190"/>
      <c r="AX76" s="1190"/>
      <c r="AY76" s="1190"/>
      <c r="AZ76" s="1190"/>
      <c r="BA76" s="1190"/>
      <c r="BB76" s="1190"/>
    </row>
    <row r="77" spans="1:54">
      <c r="Z77" s="1190"/>
      <c r="AA77" s="1190"/>
      <c r="AB77" s="1190"/>
      <c r="AC77" s="1190"/>
      <c r="AD77" s="1190"/>
      <c r="AE77" s="1190"/>
      <c r="AF77" s="1190"/>
      <c r="AG77" s="1190"/>
      <c r="AH77" s="1190"/>
      <c r="AI77" s="1190"/>
      <c r="AJ77" s="1190"/>
      <c r="AK77" s="1190"/>
      <c r="AL77" s="1190"/>
      <c r="AM77" s="1190"/>
      <c r="AN77" s="1190"/>
      <c r="AO77" s="1190"/>
      <c r="AP77" s="1190"/>
      <c r="AQ77" s="1190"/>
      <c r="AR77" s="1190"/>
      <c r="AS77" s="1190"/>
      <c r="AT77" s="1190"/>
      <c r="AU77" s="1190"/>
      <c r="AV77" s="1190"/>
      <c r="AW77" s="1190"/>
      <c r="AX77" s="1190"/>
      <c r="AY77" s="1190"/>
      <c r="AZ77" s="1190"/>
      <c r="BA77" s="1190"/>
      <c r="BB77" s="1190"/>
    </row>
    <row r="78" spans="1:54">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row>
    <row r="79" spans="1:54">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row>
    <row r="80" spans="1:54">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row>
    <row r="81" spans="26:54">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row>
    <row r="82" spans="26:54">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row>
    <row r="83" spans="26:54">
      <c r="Z83" s="1190"/>
      <c r="AA83" s="1190"/>
      <c r="AB83" s="1190"/>
      <c r="AC83" s="1190"/>
      <c r="AD83" s="1190"/>
      <c r="AE83" s="1190"/>
      <c r="AF83" s="1190"/>
      <c r="AG83" s="1190"/>
      <c r="AH83" s="1190"/>
      <c r="AI83" s="1190"/>
      <c r="AJ83" s="1190"/>
      <c r="AK83" s="1190"/>
      <c r="AL83" s="1190"/>
      <c r="AM83" s="1190"/>
      <c r="AN83" s="1190"/>
      <c r="AO83" s="1190"/>
      <c r="AP83" s="1190"/>
      <c r="AQ83" s="1190"/>
      <c r="AR83" s="1190"/>
      <c r="AS83" s="1190"/>
      <c r="AT83" s="1190"/>
      <c r="AU83" s="1190"/>
      <c r="AV83" s="1190"/>
      <c r="AW83" s="1190"/>
      <c r="AX83" s="1190"/>
      <c r="AY83" s="1190"/>
      <c r="AZ83" s="1190"/>
      <c r="BA83" s="1190"/>
      <c r="BB83" s="1190"/>
    </row>
    <row r="84" spans="26:54">
      <c r="Z84" s="1190"/>
      <c r="AA84" s="1190"/>
      <c r="AB84" s="1190"/>
      <c r="AC84" s="1190"/>
      <c r="AD84" s="1190"/>
      <c r="AE84" s="1190"/>
      <c r="AF84" s="1190"/>
      <c r="AG84" s="1190"/>
      <c r="AH84" s="1190"/>
      <c r="AI84" s="1190"/>
      <c r="AJ84" s="1190"/>
      <c r="AK84" s="1190"/>
      <c r="AL84" s="1190"/>
      <c r="AM84" s="1190"/>
      <c r="AN84" s="1190"/>
      <c r="AO84" s="1190"/>
      <c r="AP84" s="1190"/>
      <c r="AQ84" s="1190"/>
      <c r="AR84" s="1190"/>
      <c r="AS84" s="1190"/>
      <c r="AT84" s="1190"/>
      <c r="AU84" s="1190"/>
      <c r="AV84" s="1190"/>
      <c r="AW84" s="1190"/>
      <c r="AX84" s="1190"/>
      <c r="AY84" s="1190"/>
      <c r="AZ84" s="1190"/>
      <c r="BA84" s="1190"/>
      <c r="BB84" s="1190"/>
    </row>
    <row r="85" spans="26:54">
      <c r="Z85" s="1190"/>
      <c r="AA85" s="1190"/>
      <c r="AB85" s="1190"/>
      <c r="AC85" s="1190"/>
      <c r="AD85" s="1190"/>
      <c r="AE85" s="1190"/>
      <c r="AF85" s="1190"/>
      <c r="AG85" s="1190"/>
      <c r="AH85" s="1190"/>
      <c r="AI85" s="1190"/>
      <c r="AJ85" s="1190"/>
      <c r="AK85" s="1190"/>
      <c r="AL85" s="1190"/>
      <c r="AM85" s="1190"/>
      <c r="AN85" s="1190"/>
      <c r="AO85" s="1190"/>
      <c r="AP85" s="1190"/>
      <c r="AQ85" s="1190"/>
      <c r="AR85" s="1190"/>
      <c r="AS85" s="1190"/>
      <c r="AT85" s="1190"/>
      <c r="AU85" s="1190"/>
      <c r="AV85" s="1190"/>
      <c r="AW85" s="1190"/>
      <c r="AX85" s="1190"/>
      <c r="AY85" s="1190"/>
      <c r="AZ85" s="1190"/>
      <c r="BA85" s="1190"/>
      <c r="BB85" s="1190"/>
    </row>
    <row r="86" spans="26:54">
      <c r="Z86" s="1190"/>
      <c r="AA86" s="1190"/>
      <c r="AB86" s="1190"/>
      <c r="AC86" s="1190"/>
      <c r="AD86" s="1190"/>
      <c r="AE86" s="1190"/>
      <c r="AF86" s="1190"/>
      <c r="AG86" s="1190"/>
      <c r="AH86" s="1190"/>
      <c r="AI86" s="1190"/>
      <c r="AJ86" s="1190"/>
      <c r="AK86" s="1190"/>
      <c r="AL86" s="1190"/>
      <c r="AM86" s="1190"/>
      <c r="AN86" s="1190"/>
      <c r="AO86" s="1190"/>
      <c r="AP86" s="1190"/>
      <c r="AQ86" s="1190"/>
      <c r="AR86" s="1190"/>
      <c r="AS86" s="1190"/>
      <c r="AT86" s="1190"/>
      <c r="AU86" s="1190"/>
      <c r="AV86" s="1190"/>
      <c r="AW86" s="1190"/>
      <c r="AX86" s="1190"/>
      <c r="AY86" s="1190"/>
      <c r="AZ86" s="1190"/>
      <c r="BA86" s="1190"/>
      <c r="BB86" s="1190"/>
    </row>
    <row r="87" spans="26:54">
      <c r="Z87" s="1190"/>
      <c r="AA87" s="1190"/>
      <c r="AB87" s="1190"/>
      <c r="AC87" s="1190"/>
      <c r="AD87" s="1190"/>
      <c r="AE87" s="1190"/>
      <c r="AF87" s="1190"/>
      <c r="AG87" s="1190"/>
      <c r="AH87" s="1190"/>
      <c r="AI87" s="1190"/>
      <c r="AJ87" s="1190"/>
      <c r="AK87" s="1190"/>
      <c r="AL87" s="1190"/>
      <c r="AM87" s="1190"/>
      <c r="AN87" s="1190"/>
      <c r="AO87" s="1190"/>
      <c r="AP87" s="1190"/>
      <c r="AQ87" s="1190"/>
      <c r="AR87" s="1190"/>
      <c r="AS87" s="1190"/>
      <c r="AT87" s="1190"/>
      <c r="AU87" s="1190"/>
      <c r="AV87" s="1190"/>
      <c r="AW87" s="1190"/>
      <c r="AX87" s="1190"/>
      <c r="AY87" s="1190"/>
      <c r="AZ87" s="1190"/>
      <c r="BA87" s="1190"/>
      <c r="BB87" s="1190"/>
    </row>
    <row r="88" spans="26:54">
      <c r="Z88" s="1190"/>
      <c r="AA88" s="1190"/>
      <c r="AB88" s="1190"/>
      <c r="AC88" s="1190"/>
      <c r="AD88" s="1190"/>
      <c r="AE88" s="1190"/>
      <c r="AF88" s="1190"/>
      <c r="AG88" s="1190"/>
      <c r="AH88" s="1190"/>
      <c r="AI88" s="1190"/>
      <c r="AJ88" s="1190"/>
      <c r="AK88" s="1190"/>
      <c r="AL88" s="1190"/>
      <c r="AM88" s="1190"/>
      <c r="AN88" s="1190"/>
      <c r="AO88" s="1190"/>
      <c r="AP88" s="1190"/>
      <c r="AQ88" s="1190"/>
      <c r="AR88" s="1190"/>
      <c r="AS88" s="1190"/>
      <c r="AT88" s="1190"/>
      <c r="AU88" s="1190"/>
      <c r="AV88" s="1190"/>
      <c r="AW88" s="1190"/>
      <c r="AX88" s="1190"/>
      <c r="AY88" s="1190"/>
      <c r="AZ88" s="1190"/>
      <c r="BA88" s="1190"/>
      <c r="BB88" s="1190"/>
    </row>
    <row r="89" spans="26:54">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row>
    <row r="90" spans="26:54">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row>
    <row r="91" spans="26:54">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row>
    <row r="92" spans="26:54">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row>
    <row r="93" spans="26:54">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row>
    <row r="94" spans="26:54">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row>
    <row r="95" spans="26:54">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row>
    <row r="96" spans="26:54">
      <c r="AB96" s="1190"/>
      <c r="AC96" s="1190"/>
      <c r="AD96" s="1190"/>
      <c r="AE96" s="1190"/>
      <c r="AF96" s="1190"/>
      <c r="AG96" s="1190"/>
    </row>
    <row r="97" spans="28:29">
      <c r="AB97" s="1190"/>
      <c r="AC97" s="1190"/>
    </row>
  </sheetData>
  <printOptions horizontalCentered="1"/>
  <pageMargins left="0.49" right="0.22" top="1.26" bottom="0.75" header="0.55000000000000004" footer="0.3"/>
  <pageSetup scale="60" fitToWidth="2" orientation="landscape" r:id="rId1"/>
  <headerFooter scaleWithDoc="0">
    <oddHeader>&amp;C&amp;"-,Bold"Kentucky Utilities Company&amp;10
&amp;8Case No. 2014-00371
Summary of Proposed Increase
Forecast Period Sales for the Twelve Months Ended June 30, 2016</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95"/>
  <sheetViews>
    <sheetView tabSelected="1" zoomScaleNormal="100" zoomScaleSheetLayoutView="90" workbookViewId="0">
      <pane xSplit="2" ySplit="11" topLeftCell="C12" activePane="bottomRight" state="frozen"/>
      <selection pane="topRight" activeCell="C1" sqref="C1"/>
      <selection pane="bottomLeft" activeCell="A12" sqref="A12"/>
      <selection pane="bottomRight" activeCell="A5" sqref="A5"/>
    </sheetView>
  </sheetViews>
  <sheetFormatPr defaultRowHeight="12.75"/>
  <cols>
    <col min="1" max="1" width="40" style="870" customWidth="1"/>
    <col min="2" max="2" width="14.83203125" style="1277" customWidth="1"/>
    <col min="3" max="3" width="19.83203125" style="870" customWidth="1"/>
    <col min="4" max="4" width="2.6640625" style="870" customWidth="1"/>
    <col min="5" max="5" width="16" style="870" customWidth="1"/>
    <col min="6" max="6" width="13.83203125" style="870" customWidth="1"/>
    <col min="7" max="7" width="16.5" style="870" customWidth="1"/>
    <col min="8" max="16384" width="9.33203125" style="870"/>
  </cols>
  <sheetData>
    <row r="1" spans="1:7">
      <c r="A1" s="1147" t="s">
        <v>1462</v>
      </c>
      <c r="B1" s="1274"/>
      <c r="F1" s="1148" t="s">
        <v>1489</v>
      </c>
      <c r="G1" s="1190"/>
    </row>
    <row r="2" spans="1:7" ht="15.75" customHeight="1">
      <c r="A2" s="1149" t="s">
        <v>1465</v>
      </c>
      <c r="B2" s="1275"/>
      <c r="F2" s="1148" t="s">
        <v>1868</v>
      </c>
      <c r="G2" s="1190"/>
    </row>
    <row r="3" spans="1:7">
      <c r="A3" s="1149" t="s">
        <v>1461</v>
      </c>
      <c r="B3" s="1275"/>
      <c r="F3" s="1148"/>
      <c r="G3" s="1190"/>
    </row>
    <row r="4" spans="1:7">
      <c r="A4" s="921"/>
      <c r="B4" s="1276"/>
      <c r="G4" s="1190"/>
    </row>
    <row r="5" spans="1:7">
      <c r="G5" s="1190"/>
    </row>
    <row r="6" spans="1:7">
      <c r="A6" s="929"/>
      <c r="B6" s="1278"/>
      <c r="C6" s="1145"/>
      <c r="D6" s="930"/>
      <c r="E6" s="1145"/>
      <c r="F6" s="1146"/>
      <c r="G6" s="1190"/>
    </row>
    <row r="7" spans="1:7">
      <c r="C7" s="871"/>
      <c r="D7" s="930"/>
      <c r="E7" s="871"/>
      <c r="F7" s="850"/>
      <c r="G7" s="1190"/>
    </row>
    <row r="8" spans="1:7" s="930" customFormat="1">
      <c r="B8" s="1279"/>
      <c r="C8" s="871" t="s">
        <v>841</v>
      </c>
      <c r="E8" s="871"/>
      <c r="F8" s="871"/>
      <c r="G8" s="1190"/>
    </row>
    <row r="9" spans="1:7" s="930" customFormat="1">
      <c r="B9" s="1279"/>
      <c r="C9" s="871" t="s">
        <v>842</v>
      </c>
      <c r="E9" s="871"/>
      <c r="F9" s="871"/>
      <c r="G9" s="1190"/>
    </row>
    <row r="10" spans="1:7" s="930" customFormat="1">
      <c r="B10" s="1279"/>
      <c r="C10" s="871" t="s">
        <v>843</v>
      </c>
      <c r="E10" s="871"/>
      <c r="F10" s="871" t="s">
        <v>752</v>
      </c>
      <c r="G10" s="1190"/>
    </row>
    <row r="11" spans="1:7" s="930" customFormat="1">
      <c r="B11" s="1279"/>
      <c r="C11" s="873" t="s">
        <v>844</v>
      </c>
      <c r="E11" s="873" t="s">
        <v>754</v>
      </c>
      <c r="F11" s="873" t="s">
        <v>754</v>
      </c>
      <c r="G11" s="1190"/>
    </row>
    <row r="12" spans="1:7">
      <c r="A12" s="930"/>
      <c r="B12" s="1279"/>
      <c r="G12" s="1190"/>
    </row>
    <row r="13" spans="1:7">
      <c r="A13" s="870" t="s">
        <v>755</v>
      </c>
      <c r="C13" s="768">
        <f>'Sch M-2.3 pg 1-2'!U13</f>
        <v>593989579.39972854</v>
      </c>
      <c r="D13" s="768"/>
      <c r="E13" s="768">
        <f>'Sch M-2.3 pg 1-2'!W13</f>
        <v>47348098</v>
      </c>
      <c r="F13" s="1152">
        <f>E13/C13</f>
        <v>7.9712001089057558E-2</v>
      </c>
      <c r="G13" s="1190"/>
    </row>
    <row r="14" spans="1:7">
      <c r="A14" s="870" t="s">
        <v>1697</v>
      </c>
      <c r="C14" s="768">
        <f>'Sch M-2.3 pg 1-2'!U14</f>
        <v>8664.600271450061</v>
      </c>
      <c r="D14" s="768"/>
      <c r="E14" s="768">
        <f>'Sch M-2.3 pg 1-2'!W14</f>
        <v>1160</v>
      </c>
      <c r="F14" s="1152">
        <f>E14/C14</f>
        <v>0.13387807442453067</v>
      </c>
      <c r="G14" s="1190"/>
    </row>
    <row r="15" spans="1:7">
      <c r="A15" s="870" t="s">
        <v>1705</v>
      </c>
      <c r="C15" s="768">
        <f>'Sch M-2.3 pg 1-2'!U15</f>
        <v>0</v>
      </c>
      <c r="D15" s="768"/>
      <c r="E15" s="768"/>
      <c r="F15" s="1152"/>
      <c r="G15" s="1190"/>
    </row>
    <row r="16" spans="1:7">
      <c r="G16" s="1190"/>
    </row>
    <row r="17" spans="1:7" hidden="1">
      <c r="C17" s="768"/>
      <c r="D17" s="768"/>
      <c r="E17" s="768"/>
      <c r="F17" s="1152"/>
      <c r="G17" s="1190"/>
    </row>
    <row r="18" spans="1:7" hidden="1">
      <c r="A18" s="932" t="s">
        <v>1491</v>
      </c>
      <c r="B18" s="1280" t="s">
        <v>208</v>
      </c>
      <c r="C18" s="768">
        <f>'Sch M-2.3 pg 1-2'!U18</f>
        <v>93938742</v>
      </c>
      <c r="E18" s="768"/>
      <c r="F18" s="1152"/>
      <c r="G18" s="1190"/>
    </row>
    <row r="19" spans="1:7" ht="15" hidden="1">
      <c r="A19" s="932" t="s">
        <v>1628</v>
      </c>
      <c r="B19" s="1280" t="s">
        <v>17</v>
      </c>
      <c r="C19" s="1155">
        <f>'Sch M-2.3 pg 1-2'!U19</f>
        <v>122933080</v>
      </c>
      <c r="D19" s="1124"/>
      <c r="E19" s="1155"/>
      <c r="F19" s="1156"/>
      <c r="G19" s="1190"/>
    </row>
    <row r="20" spans="1:7">
      <c r="A20" s="870" t="s">
        <v>758</v>
      </c>
      <c r="C20" s="768">
        <f>'Sch M-2.3 pg 1-2'!U20</f>
        <v>216871822</v>
      </c>
      <c r="E20" s="870">
        <f>'Sch M-2.3 pg 1-2'!W20</f>
        <v>17292976</v>
      </c>
      <c r="F20" s="1152">
        <f>E20/C20</f>
        <v>7.9738233582046444E-2</v>
      </c>
      <c r="G20" s="1190"/>
    </row>
    <row r="21" spans="1:7">
      <c r="F21" s="1152"/>
      <c r="G21" s="1190"/>
    </row>
    <row r="22" spans="1:7" hidden="1">
      <c r="G22" s="1190"/>
    </row>
    <row r="23" spans="1:7" hidden="1">
      <c r="A23" s="1117" t="s">
        <v>1629</v>
      </c>
      <c r="B23" s="1281" t="s">
        <v>203</v>
      </c>
      <c r="C23" s="768">
        <f>'Sch M-2.3 pg 1-2'!U23</f>
        <v>741859</v>
      </c>
      <c r="D23" s="768"/>
      <c r="E23" s="768"/>
      <c r="F23" s="1152"/>
      <c r="G23" s="1190"/>
    </row>
    <row r="24" spans="1:7" ht="15" hidden="1">
      <c r="A24" s="932" t="s">
        <v>1630</v>
      </c>
      <c r="B24" s="1281" t="s">
        <v>212</v>
      </c>
      <c r="C24" s="1155">
        <f>'Sch M-2.3 pg 1-2'!U24</f>
        <v>12194438</v>
      </c>
      <c r="D24" s="768"/>
      <c r="E24" s="1155"/>
      <c r="F24" s="1152"/>
      <c r="G24" s="1190"/>
    </row>
    <row r="25" spans="1:7">
      <c r="A25" s="870" t="s">
        <v>759</v>
      </c>
      <c r="B25" s="1280"/>
      <c r="C25" s="768">
        <f>'Sch M-2.3 pg 1-2'!U25</f>
        <v>12936297</v>
      </c>
      <c r="E25" s="870">
        <f>'Sch M-2.3 pg 1-2'!W25</f>
        <v>1030294</v>
      </c>
      <c r="F25" s="1152">
        <f>E25/C25</f>
        <v>7.9643656913566535E-2</v>
      </c>
      <c r="G25" s="1190"/>
    </row>
    <row r="26" spans="1:7">
      <c r="G26" s="1190"/>
    </row>
    <row r="27" spans="1:7">
      <c r="A27" s="932" t="s">
        <v>760</v>
      </c>
      <c r="B27" s="1282" t="s">
        <v>24</v>
      </c>
      <c r="C27" s="768">
        <f>'Sch M-2.3 pg 1-2'!U27</f>
        <v>199011748</v>
      </c>
      <c r="E27" s="768">
        <f>'Sch M-2.3 pg 1-2'!W27</f>
        <v>15866702</v>
      </c>
      <c r="F27" s="1152">
        <f>E27/C27</f>
        <v>7.9727464129404055E-2</v>
      </c>
      <c r="G27" s="1190"/>
    </row>
    <row r="28" spans="1:7" ht="15">
      <c r="A28" s="932" t="s">
        <v>732</v>
      </c>
      <c r="B28" s="1282" t="s">
        <v>25</v>
      </c>
      <c r="C28" s="1155">
        <f>'Sch M-2.3 pg 1-2'!U28</f>
        <v>20774460</v>
      </c>
      <c r="D28" s="1124"/>
      <c r="E28" s="1155">
        <f>'Sch M-2.3 pg 1-2'!W28</f>
        <v>1657629</v>
      </c>
      <c r="F28" s="1156">
        <f>E28/C28</f>
        <v>7.9791676895572733E-2</v>
      </c>
      <c r="G28" s="1190"/>
    </row>
    <row r="29" spans="1:7">
      <c r="A29" s="928" t="s">
        <v>110</v>
      </c>
      <c r="C29" s="768">
        <f>'Sch M-2.3 pg 1-2'!U29</f>
        <v>219786208</v>
      </c>
      <c r="E29" s="870">
        <f>'Sch M-2.3 pg 1-2'!W29</f>
        <v>17524331</v>
      </c>
      <c r="F29" s="1152">
        <f>E29/C29</f>
        <v>7.9733533598250167E-2</v>
      </c>
      <c r="G29" s="1190"/>
    </row>
    <row r="30" spans="1:7">
      <c r="A30" s="921"/>
      <c r="B30" s="1276"/>
      <c r="G30" s="1190"/>
    </row>
    <row r="31" spans="1:7">
      <c r="A31" s="870" t="s">
        <v>761</v>
      </c>
      <c r="B31" s="1283" t="s">
        <v>204</v>
      </c>
      <c r="C31" s="768">
        <f>'Sch M-2.3 pg 1-2'!U31</f>
        <v>118607258</v>
      </c>
      <c r="E31" s="870">
        <f>'Sch M-2.3 pg 1-2'!W31</f>
        <v>9454593</v>
      </c>
      <c r="F31" s="1152">
        <f>E31/C31</f>
        <v>7.9713443843377613E-2</v>
      </c>
      <c r="G31" s="1190"/>
    </row>
    <row r="32" spans="1:7">
      <c r="G32" s="1190"/>
    </row>
    <row r="33" spans="1:7">
      <c r="A33" s="928" t="s">
        <v>1037</v>
      </c>
      <c r="B33" s="1283" t="s">
        <v>205</v>
      </c>
      <c r="C33" s="768">
        <f>'Sch M-2.3 pg 1-2'!U33</f>
        <v>284176010</v>
      </c>
      <c r="E33" s="768">
        <f>'Sch M-2.3 pg 1-2'!W33</f>
        <v>22686892.561087012</v>
      </c>
      <c r="F33" s="1152">
        <f>E33/C33</f>
        <v>7.9833947141023667E-2</v>
      </c>
      <c r="G33" s="1190"/>
    </row>
    <row r="34" spans="1:7">
      <c r="G34" s="1190"/>
    </row>
    <row r="35" spans="1:7">
      <c r="A35" s="870" t="s">
        <v>762</v>
      </c>
      <c r="B35" s="1282" t="s">
        <v>18</v>
      </c>
      <c r="C35" s="768">
        <f>'Sch M-2.3 pg 1-2'!U35</f>
        <v>99821566</v>
      </c>
      <c r="E35" s="768">
        <f>'Sch M-2.3 pg 1-2'!W35</f>
        <v>7960164.9432088435</v>
      </c>
      <c r="F35" s="1152">
        <f>E35/C35</f>
        <v>7.9743939733512528E-2</v>
      </c>
      <c r="G35" s="1190"/>
    </row>
    <row r="36" spans="1:7">
      <c r="G36" s="1190"/>
    </row>
    <row r="37" spans="1:7">
      <c r="A37" s="921" t="s">
        <v>763</v>
      </c>
      <c r="B37" s="1283" t="s">
        <v>642</v>
      </c>
      <c r="C37" s="768">
        <f>'Sch M-2.3 pg 1-2'!U37</f>
        <v>31466313</v>
      </c>
      <c r="E37" s="768">
        <f>'Sch M-2.3 pg 1-2'!W37</f>
        <v>2504624</v>
      </c>
      <c r="F37" s="1152">
        <f>E37/C37</f>
        <v>7.9596996317935306E-2</v>
      </c>
      <c r="G37" s="1190"/>
    </row>
    <row r="38" spans="1:7">
      <c r="G38" s="1190"/>
    </row>
    <row r="39" spans="1:7" s="934" customFormat="1">
      <c r="A39" s="933" t="s">
        <v>1869</v>
      </c>
      <c r="B39" s="1284"/>
      <c r="C39" s="768">
        <f>'Sch M-2.3 pg 1-2'!U39</f>
        <v>-10961923</v>
      </c>
      <c r="E39" s="768">
        <f>'Sch M-2.3 pg 1-2'!W39</f>
        <v>-2094077</v>
      </c>
      <c r="G39" s="1190"/>
    </row>
    <row r="40" spans="1:7" s="934" customFormat="1">
      <c r="A40" s="933" t="s">
        <v>1870</v>
      </c>
      <c r="B40" s="1284"/>
      <c r="C40" s="768">
        <f>'Sch M-2.3 pg 1-2'!U40</f>
        <v>-253585</v>
      </c>
      <c r="E40" s="768">
        <f>'Sch M-2.3 pg 1-2'!W40</f>
        <v>-122735</v>
      </c>
      <c r="G40" s="1190"/>
    </row>
    <row r="41" spans="1:7" s="934" customFormat="1">
      <c r="A41" s="933" t="s">
        <v>1871</v>
      </c>
      <c r="B41" s="1285"/>
      <c r="C41" s="768">
        <f>'Sch M-2.3 pg 1-2'!U41</f>
        <v>-662440</v>
      </c>
      <c r="E41" s="768">
        <f>'Sch M-2.3 pg 1-2'!W41</f>
        <v>-301016</v>
      </c>
      <c r="G41" s="1190"/>
    </row>
    <row r="42" spans="1:7" s="934" customFormat="1">
      <c r="A42" s="935"/>
      <c r="B42" s="1286"/>
      <c r="G42" s="1190"/>
    </row>
    <row r="43" spans="1:7">
      <c r="A43" s="928" t="s">
        <v>1708</v>
      </c>
      <c r="B43" s="1282" t="s">
        <v>19</v>
      </c>
      <c r="C43" s="768">
        <f>'Sch M-2.3 pg 1-2'!U43</f>
        <v>29633</v>
      </c>
      <c r="E43" s="922">
        <f>'Sch M-2.3 pg 1-2'!W43</f>
        <v>2360</v>
      </c>
      <c r="F43" s="1152">
        <f>E43/C43</f>
        <v>7.964094084297911E-2</v>
      </c>
      <c r="G43" s="1190"/>
    </row>
    <row r="44" spans="1:7">
      <c r="A44" s="928" t="s">
        <v>1709</v>
      </c>
      <c r="B44" s="1282" t="s">
        <v>20</v>
      </c>
      <c r="C44" s="768">
        <f>'Sch M-2.3 pg 1-2'!U44</f>
        <v>138147</v>
      </c>
      <c r="E44" s="922">
        <f>'Sch M-2.3 pg 1-2'!W44</f>
        <v>11018</v>
      </c>
      <c r="F44" s="1152">
        <f>E44/C44</f>
        <v>7.9755622633861031E-2</v>
      </c>
      <c r="G44" s="1190"/>
    </row>
    <row r="45" spans="1:7">
      <c r="A45" s="928" t="s">
        <v>1710</v>
      </c>
      <c r="B45" s="1281" t="s">
        <v>73</v>
      </c>
      <c r="C45" s="768">
        <f>'Sch M-2.3 pg 1-2'!U45</f>
        <v>25800467</v>
      </c>
      <c r="E45" s="922">
        <f>'Sch M-2.3 pg 1-2'!W45</f>
        <v>2059620</v>
      </c>
      <c r="F45" s="1152">
        <f>E45/C45</f>
        <v>7.9828787595201275E-2</v>
      </c>
      <c r="G45" s="1190"/>
    </row>
    <row r="46" spans="1:7">
      <c r="G46" s="1190"/>
    </row>
    <row r="47" spans="1:7">
      <c r="A47" s="927" t="s">
        <v>764</v>
      </c>
      <c r="B47" s="1287"/>
      <c r="C47" s="1158">
        <f>'Sch M-2.3 pg 1-2'!U47</f>
        <v>1591754017</v>
      </c>
      <c r="D47" s="1158"/>
      <c r="E47" s="1158">
        <f>'Sch M-2.3 pg 1-2'!W47</f>
        <v>125358303.50429586</v>
      </c>
      <c r="F47" s="1159">
        <f>E47/C47</f>
        <v>7.8754821514796819E-2</v>
      </c>
      <c r="G47" s="1190"/>
    </row>
    <row r="48" spans="1:7">
      <c r="G48" s="1190"/>
    </row>
    <row r="49" spans="1:7">
      <c r="A49" s="870" t="s">
        <v>1653</v>
      </c>
      <c r="C49" s="768">
        <f>'Sch M-2.3 pg 1-2'!U49</f>
        <v>3786198</v>
      </c>
      <c r="F49" s="1152"/>
      <c r="G49" s="1190"/>
    </row>
    <row r="50" spans="1:7">
      <c r="A50" s="870" t="s">
        <v>1743</v>
      </c>
      <c r="C50" s="768">
        <f>'Sch M-2.3 pg 1-2'!U50</f>
        <v>2082947</v>
      </c>
      <c r="F50" s="1152"/>
      <c r="G50" s="1190"/>
    </row>
    <row r="51" spans="1:7">
      <c r="A51" s="870" t="s">
        <v>1744</v>
      </c>
      <c r="C51" s="768">
        <f>'Sch M-2.3 pg 1-2'!U51</f>
        <v>3491578</v>
      </c>
      <c r="E51" s="1126">
        <f>'Sch M-2.3 pg 1-2'!W51</f>
        <v>-363843</v>
      </c>
      <c r="F51" s="1291" t="s">
        <v>1867</v>
      </c>
      <c r="G51" s="1190"/>
    </row>
    <row r="52" spans="1:7">
      <c r="A52" s="870" t="s">
        <v>1745</v>
      </c>
      <c r="C52" s="768">
        <f>'Sch M-2.3 pg 1-2'!U52</f>
        <v>16194505</v>
      </c>
      <c r="E52" s="1126"/>
      <c r="F52" s="1152"/>
      <c r="G52" s="1190"/>
    </row>
    <row r="53" spans="1:7">
      <c r="G53" s="1190"/>
    </row>
    <row r="54" spans="1:7">
      <c r="A54" s="927" t="s">
        <v>765</v>
      </c>
      <c r="B54" s="1287"/>
      <c r="C54" s="1158">
        <f>'Sch M-2.3 pg 1-2'!U54</f>
        <v>1617309245</v>
      </c>
      <c r="D54" s="1158"/>
      <c r="E54" s="1158">
        <f>'Sch M-2.3 pg 1-2'!W54</f>
        <v>124994460.50429586</v>
      </c>
      <c r="F54" s="1159">
        <f>E54/C54</f>
        <v>7.728544240424215E-2</v>
      </c>
      <c r="G54" s="1190"/>
    </row>
    <row r="55" spans="1:7">
      <c r="G55" s="1190"/>
    </row>
    <row r="56" spans="1:7">
      <c r="C56" s="1160"/>
      <c r="D56" s="1160"/>
      <c r="E56" s="1290" t="s">
        <v>1866</v>
      </c>
      <c r="F56" s="1266"/>
      <c r="G56" s="1190"/>
    </row>
    <row r="57" spans="1:7">
      <c r="E57" s="1190"/>
      <c r="F57" s="1190"/>
      <c r="G57" s="1190"/>
    </row>
    <row r="58" spans="1:7">
      <c r="E58" s="1190"/>
      <c r="F58" s="1190"/>
      <c r="G58" s="1190"/>
    </row>
    <row r="59" spans="1:7">
      <c r="E59" s="1190"/>
      <c r="F59" s="1190"/>
      <c r="G59" s="1190"/>
    </row>
    <row r="60" spans="1:7">
      <c r="E60" s="1190"/>
      <c r="F60" s="1190"/>
      <c r="G60" s="1190"/>
    </row>
    <row r="61" spans="1:7">
      <c r="E61" s="1190"/>
      <c r="F61" s="1190"/>
      <c r="G61" s="1190"/>
    </row>
    <row r="62" spans="1:7">
      <c r="E62" s="1190"/>
      <c r="F62" s="1190"/>
      <c r="G62" s="1190"/>
    </row>
    <row r="63" spans="1:7">
      <c r="A63" s="936"/>
      <c r="B63" s="1288"/>
      <c r="G63" s="1190"/>
    </row>
    <row r="64" spans="1:7">
      <c r="G64" s="1190"/>
    </row>
    <row r="65" spans="1:7">
      <c r="G65" s="1190"/>
    </row>
    <row r="66" spans="1:7">
      <c r="G66" s="1190"/>
    </row>
    <row r="67" spans="1:7">
      <c r="G67" s="1190"/>
    </row>
    <row r="68" spans="1:7">
      <c r="A68" s="928"/>
      <c r="B68" s="1289"/>
      <c r="G68" s="1190"/>
    </row>
    <row r="69" spans="1:7">
      <c r="G69" s="1190"/>
    </row>
    <row r="70" spans="1:7">
      <c r="G70" s="1190"/>
    </row>
    <row r="71" spans="1:7">
      <c r="G71" s="1190"/>
    </row>
    <row r="72" spans="1:7">
      <c r="G72" s="1190"/>
    </row>
    <row r="73" spans="1:7">
      <c r="G73" s="1190"/>
    </row>
    <row r="74" spans="1:7">
      <c r="G74" s="1190"/>
    </row>
    <row r="75" spans="1:7">
      <c r="G75" s="1190"/>
    </row>
    <row r="76" spans="1:7">
      <c r="G76" s="1190"/>
    </row>
    <row r="77" spans="1:7">
      <c r="G77" s="1190"/>
    </row>
    <row r="78" spans="1:7">
      <c r="G78" s="1190"/>
    </row>
    <row r="79" spans="1:7">
      <c r="G79" s="1190"/>
    </row>
    <row r="80" spans="1:7">
      <c r="G80" s="1190"/>
    </row>
    <row r="81" spans="7:7">
      <c r="G81" s="1190"/>
    </row>
    <row r="82" spans="7:7">
      <c r="G82" s="1190"/>
    </row>
    <row r="83" spans="7:7">
      <c r="G83" s="1190"/>
    </row>
    <row r="84" spans="7:7">
      <c r="G84" s="1190"/>
    </row>
    <row r="85" spans="7:7">
      <c r="G85" s="1190"/>
    </row>
    <row r="86" spans="7:7">
      <c r="G86" s="1190"/>
    </row>
    <row r="87" spans="7:7">
      <c r="G87" s="1190"/>
    </row>
    <row r="88" spans="7:7">
      <c r="G88" s="1190"/>
    </row>
    <row r="89" spans="7:7">
      <c r="G89" s="1190"/>
    </row>
    <row r="90" spans="7:7">
      <c r="G90" s="1190"/>
    </row>
    <row r="91" spans="7:7">
      <c r="G91" s="1190"/>
    </row>
    <row r="92" spans="7:7">
      <c r="G92" s="1190"/>
    </row>
    <row r="93" spans="7:7">
      <c r="G93" s="1190"/>
    </row>
    <row r="94" spans="7:7">
      <c r="G94" s="1190"/>
    </row>
    <row r="95" spans="7:7">
      <c r="G95" s="1190"/>
    </row>
  </sheetData>
  <printOptions horizontalCentered="1"/>
  <pageMargins left="0.49" right="0.22" top="1.26" bottom="0.75" header="0.55000000000000004" footer="0.3"/>
  <pageSetup fitToWidth="2" orientation="portrait" r:id="rId1"/>
  <headerFooter scaleWithDoc="0">
    <oddHeader>&amp;C&amp;"-,Bold"Kentucky Utilities Company&amp;10
&amp;8Case No. 2014-00371
Summary of Proposed Increase
Forecast Period Sales for the Twelve Months Ended June 30, 2016&amp;R&amp;"Times New Roman,Bold"&amp;12Settlement Exhibit 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A1:Q481"/>
  <sheetViews>
    <sheetView zoomScale="80" zoomScaleNormal="80" zoomScaleSheetLayoutView="80" workbookViewId="0">
      <selection activeCell="K33" sqref="K33"/>
    </sheetView>
  </sheetViews>
  <sheetFormatPr defaultRowHeight="12.75"/>
  <cols>
    <col min="1" max="1" width="9.33203125" style="765"/>
    <col min="2" max="2" width="67" style="850" customWidth="1"/>
    <col min="3" max="3" width="18" style="850" customWidth="1"/>
    <col min="4" max="4" width="16.83203125" style="850" customWidth="1"/>
    <col min="5" max="5" width="20.5" style="850" bestFit="1" customWidth="1"/>
    <col min="6" max="6" width="17.33203125" style="850" customWidth="1"/>
    <col min="7" max="7" width="22.33203125" style="850" bestFit="1" customWidth="1"/>
    <col min="8" max="8" width="4.33203125" style="850" customWidth="1"/>
    <col min="9" max="9" width="13.5" style="850" bestFit="1" customWidth="1"/>
    <col min="10" max="10" width="22.6640625" style="850" bestFit="1" customWidth="1"/>
    <col min="11" max="11" width="18.33203125" style="850" bestFit="1" customWidth="1"/>
    <col min="12" max="12" width="24" style="850" customWidth="1"/>
    <col min="13" max="13" width="22.5" style="850" bestFit="1" customWidth="1"/>
    <col min="14" max="14" width="15.5" style="850" bestFit="1" customWidth="1"/>
    <col min="15" max="15" width="9.33203125" style="850"/>
    <col min="16" max="16" width="21.33203125" style="850" customWidth="1"/>
    <col min="17" max="16384" width="9.33203125" style="850"/>
  </cols>
  <sheetData>
    <row r="1" spans="1:16">
      <c r="A1" s="970" t="s">
        <v>1462</v>
      </c>
      <c r="J1" s="944" t="s">
        <v>1489</v>
      </c>
    </row>
    <row r="2" spans="1:16">
      <c r="A2" s="943" t="s">
        <v>1465</v>
      </c>
      <c r="J2" s="944" t="str">
        <f>"Page "&amp;O2&amp;" of "&amp;P2</f>
        <v>Page 2 of 20</v>
      </c>
      <c r="O2" s="850">
        <v>2</v>
      </c>
      <c r="P2" s="850">
        <f>'Settlement Exhibit 1 pgs 15-20'!$P$165</f>
        <v>20</v>
      </c>
    </row>
    <row r="3" spans="1:16">
      <c r="A3" s="943" t="s">
        <v>1461</v>
      </c>
      <c r="J3" s="944"/>
    </row>
    <row r="4" spans="1:16">
      <c r="A4" s="945"/>
    </row>
    <row r="5" spans="1:16">
      <c r="A5" s="949"/>
      <c r="B5" s="950"/>
      <c r="C5" s="950"/>
      <c r="D5" s="950"/>
      <c r="E5" s="951"/>
      <c r="F5" s="951"/>
      <c r="G5" s="951" t="s">
        <v>766</v>
      </c>
      <c r="H5" s="952"/>
      <c r="I5" s="951"/>
      <c r="J5" s="951" t="s">
        <v>766</v>
      </c>
    </row>
    <row r="6" spans="1:16">
      <c r="A6" s="946"/>
      <c r="C6" s="871"/>
      <c r="D6" s="871"/>
      <c r="E6" s="871" t="s">
        <v>59</v>
      </c>
      <c r="F6" s="871" t="s">
        <v>767</v>
      </c>
      <c r="G6" s="871" t="s">
        <v>768</v>
      </c>
      <c r="H6" s="872"/>
      <c r="I6" s="871" t="s">
        <v>769</v>
      </c>
      <c r="J6" s="871" t="s">
        <v>768</v>
      </c>
    </row>
    <row r="7" spans="1:16">
      <c r="A7" s="942"/>
      <c r="B7" s="876"/>
      <c r="C7" s="873" t="s">
        <v>770</v>
      </c>
      <c r="D7" s="873"/>
      <c r="E7" s="873" t="s">
        <v>875</v>
      </c>
      <c r="F7" s="874" t="s">
        <v>118</v>
      </c>
      <c r="G7" s="873" t="s">
        <v>771</v>
      </c>
      <c r="H7" s="875"/>
      <c r="I7" s="873" t="s">
        <v>118</v>
      </c>
      <c r="J7" s="873" t="s">
        <v>772</v>
      </c>
    </row>
    <row r="8" spans="1:16">
      <c r="A8" s="946"/>
    </row>
    <row r="9" spans="1:16">
      <c r="A9" s="779" t="s">
        <v>845</v>
      </c>
    </row>
    <row r="10" spans="1:16">
      <c r="A10" s="850"/>
      <c r="B10" s="852" t="s">
        <v>1010</v>
      </c>
      <c r="C10" s="769">
        <f>SUMIF(_12MonResults_Rate,MiscData!$U$4,_12MonResults_CustomerCount)</f>
        <v>5164164</v>
      </c>
      <c r="D10" s="765"/>
      <c r="E10" s="765"/>
      <c r="F10" s="766">
        <f>SUMIF(_Rates_Tariff_Category,MiscData!$T$4&amp;MiscData!$W$37,_Rates_BasicServiceCharge)</f>
        <v>10.75</v>
      </c>
      <c r="G10" s="854">
        <f>ROUND(F10*C10,0)</f>
        <v>55514763</v>
      </c>
      <c r="I10" s="853">
        <v>10.75</v>
      </c>
      <c r="J10" s="854">
        <f>ROUND(I10*C10,0)</f>
        <v>55514763</v>
      </c>
    </row>
    <row r="11" spans="1:16">
      <c r="A11" s="850"/>
      <c r="B11" s="855" t="s">
        <v>773</v>
      </c>
      <c r="C11" s="765"/>
      <c r="D11" s="765"/>
      <c r="E11" s="769">
        <f>SUMIF(_12MonResults_Rate,MiscData!$U$4,_12MonResults_KWH_Total)</f>
        <v>6197389895</v>
      </c>
      <c r="F11" s="772">
        <f>SUMIF(_Rates_Tariff_Category,MiscData!$T$4&amp;MiscData!$W$37,_Rates_Energy)</f>
        <v>7.7439999999999995E-2</v>
      </c>
      <c r="G11" s="854">
        <f>ROUND(F11*E11,0)</f>
        <v>479925873</v>
      </c>
      <c r="I11" s="856">
        <v>8.5080000000000003E-2</v>
      </c>
      <c r="J11" s="854">
        <f>ROUND(I11*E11,0)</f>
        <v>527273932</v>
      </c>
      <c r="K11" s="919"/>
    </row>
    <row r="12" spans="1:16">
      <c r="A12" s="850"/>
      <c r="B12" s="855"/>
      <c r="F12" s="856"/>
      <c r="G12" s="767"/>
      <c r="I12" s="856"/>
      <c r="J12" s="767"/>
    </row>
    <row r="13" spans="1:16">
      <c r="A13" s="850"/>
      <c r="B13" s="855"/>
      <c r="F13" s="856"/>
      <c r="G13" s="767"/>
      <c r="I13" s="856"/>
      <c r="J13" s="767"/>
    </row>
    <row r="14" spans="1:16" ht="15">
      <c r="A14" s="850"/>
      <c r="B14" s="855"/>
      <c r="G14" s="857"/>
      <c r="J14" s="857"/>
    </row>
    <row r="15" spans="1:16">
      <c r="A15" s="850"/>
      <c r="B15" s="855"/>
      <c r="F15" s="772"/>
      <c r="G15" s="854"/>
      <c r="I15" s="859"/>
      <c r="J15" s="854"/>
      <c r="L15" s="953"/>
    </row>
    <row r="16" spans="1:16">
      <c r="A16" s="889"/>
      <c r="E16" s="860" t="s">
        <v>774</v>
      </c>
      <c r="G16" s="861">
        <f>SUM(G10:G14)</f>
        <v>535440636</v>
      </c>
      <c r="J16" s="861">
        <f>SUM(J10:J14)</f>
        <v>582788695</v>
      </c>
      <c r="L16" s="919"/>
    </row>
    <row r="17" spans="1:11">
      <c r="A17" s="889"/>
      <c r="E17" s="855" t="s">
        <v>775</v>
      </c>
      <c r="G17" s="862">
        <f>'12MonResults'!$AG$487</f>
        <v>0.99999917639863922</v>
      </c>
      <c r="J17" s="862">
        <f>G17</f>
        <v>0.99999917639863922</v>
      </c>
    </row>
    <row r="18" spans="1:11">
      <c r="A18" s="889"/>
      <c r="E18" s="860" t="s">
        <v>776</v>
      </c>
      <c r="G18" s="861">
        <f>+ROUND(G16/G17,0)</f>
        <v>535441077</v>
      </c>
      <c r="J18" s="861">
        <f>+ROUND(J16/J17,0)</f>
        <v>582789175</v>
      </c>
      <c r="K18" s="919"/>
    </row>
    <row r="19" spans="1:11">
      <c r="A19" s="889"/>
      <c r="E19" s="860"/>
      <c r="G19" s="854"/>
    </row>
    <row r="20" spans="1:11">
      <c r="A20" s="939"/>
      <c r="B20" s="850" t="s">
        <v>826</v>
      </c>
      <c r="G20" s="863">
        <f>'ECR in Base Rates'!$F$5*-1</f>
        <v>-19521778</v>
      </c>
      <c r="J20" s="850">
        <f>G20</f>
        <v>-19521778</v>
      </c>
    </row>
    <row r="21" spans="1:11">
      <c r="A21" s="939"/>
      <c r="B21" s="864"/>
      <c r="G21" s="863"/>
    </row>
    <row r="22" spans="1:11" ht="15">
      <c r="B22" s="865" t="s">
        <v>812</v>
      </c>
      <c r="G22" s="866">
        <f>SUM(G18:G20)</f>
        <v>515919299</v>
      </c>
      <c r="J22" s="866">
        <f>SUM(J20:J20)+J18</f>
        <v>563267397</v>
      </c>
    </row>
    <row r="23" spans="1:11">
      <c r="B23" s="864"/>
      <c r="G23" s="854"/>
      <c r="J23" s="854"/>
    </row>
    <row r="24" spans="1:11">
      <c r="B24" s="858" t="s">
        <v>814</v>
      </c>
      <c r="G24" s="854">
        <f>G20*-1</f>
        <v>19521778</v>
      </c>
      <c r="J24" s="854">
        <f>G24</f>
        <v>19521778</v>
      </c>
    </row>
    <row r="25" spans="1:11">
      <c r="B25" s="858" t="s">
        <v>1711</v>
      </c>
      <c r="G25" s="854">
        <f>'Sch M-2.3 pg 1-2'!$D$13</f>
        <v>15609738.211746262</v>
      </c>
      <c r="J25" s="854">
        <f t="shared" ref="J25:J27" si="0">G25</f>
        <v>15609738.211746262</v>
      </c>
    </row>
    <row r="26" spans="1:11">
      <c r="B26" s="858" t="s">
        <v>1712</v>
      </c>
      <c r="G26" s="854">
        <f>'Sch M-2.3 pg 1-2'!$E$13</f>
        <v>9031357.9154207315</v>
      </c>
      <c r="J26" s="854">
        <f t="shared" si="0"/>
        <v>9031357.9154207315</v>
      </c>
    </row>
    <row r="27" spans="1:11">
      <c r="B27" s="858" t="s">
        <v>1713</v>
      </c>
      <c r="G27" s="854">
        <f>'Sch M-2.3 pg 1-2'!$F$13</f>
        <v>33907405.802561559</v>
      </c>
      <c r="J27" s="854">
        <f t="shared" si="0"/>
        <v>33907405.802561559</v>
      </c>
    </row>
    <row r="28" spans="1:11">
      <c r="B28" s="858"/>
      <c r="G28" s="854"/>
      <c r="J28" s="854"/>
    </row>
    <row r="29" spans="1:11" ht="15">
      <c r="B29" s="865" t="s">
        <v>815</v>
      </c>
      <c r="G29" s="866">
        <f>SUM(G22:G27)</f>
        <v>593989578.92972851</v>
      </c>
      <c r="J29" s="866">
        <f>SUM(J22:J27)</f>
        <v>641337676.92972851</v>
      </c>
    </row>
    <row r="30" spans="1:11" ht="15">
      <c r="B30" s="867"/>
      <c r="G30" s="868"/>
      <c r="J30" s="868"/>
    </row>
    <row r="31" spans="1:11">
      <c r="A31" s="940"/>
      <c r="B31" s="869" t="s">
        <v>777</v>
      </c>
      <c r="J31" s="887">
        <f>J29-G29</f>
        <v>47348098</v>
      </c>
      <c r="K31" s="1292">
        <v>47367713.807216652</v>
      </c>
    </row>
    <row r="32" spans="1:11">
      <c r="C32" s="858" t="s">
        <v>778</v>
      </c>
      <c r="D32" s="858"/>
      <c r="J32" s="919">
        <f>J31/G29</f>
        <v>7.9712001152130452E-2</v>
      </c>
      <c r="K32" s="1292">
        <f>J31-K31</f>
        <v>-19615.807216651738</v>
      </c>
    </row>
    <row r="33" spans="1:16">
      <c r="A33" s="769"/>
      <c r="B33" s="769"/>
      <c r="C33" s="769"/>
      <c r="D33" s="769"/>
      <c r="E33" s="769"/>
      <c r="F33" s="769"/>
      <c r="G33" s="769"/>
      <c r="H33" s="769"/>
      <c r="I33" s="769"/>
      <c r="J33" s="769"/>
    </row>
    <row r="34" spans="1:16">
      <c r="A34" s="769"/>
      <c r="B34" s="769"/>
      <c r="C34" s="769"/>
      <c r="D34" s="769"/>
      <c r="E34" s="769"/>
      <c r="F34" s="769"/>
      <c r="G34" s="769"/>
      <c r="H34" s="769"/>
      <c r="I34" s="769"/>
      <c r="J34" s="769"/>
    </row>
    <row r="35" spans="1:16">
      <c r="A35" s="970" t="s">
        <v>1462</v>
      </c>
      <c r="J35" s="944" t="s">
        <v>1489</v>
      </c>
    </row>
    <row r="36" spans="1:16">
      <c r="A36" s="943" t="s">
        <v>1465</v>
      </c>
      <c r="J36" s="944" t="str">
        <f>"Page "&amp;O36&amp;" of "&amp;P36</f>
        <v>Page 3 of 20</v>
      </c>
      <c r="O36" s="850">
        <f>O2+1</f>
        <v>3</v>
      </c>
      <c r="P36" s="850">
        <f>'Settlement Exhibit 1 pgs 15-20'!$P$165</f>
        <v>20</v>
      </c>
    </row>
    <row r="37" spans="1:16">
      <c r="A37" s="943" t="s">
        <v>1461</v>
      </c>
      <c r="J37" s="944"/>
    </row>
    <row r="38" spans="1:16">
      <c r="A38" s="945"/>
    </row>
    <row r="39" spans="1:16">
      <c r="A39" s="949"/>
      <c r="B39" s="950"/>
      <c r="C39" s="950"/>
      <c r="D39" s="950"/>
      <c r="E39" s="951"/>
      <c r="F39" s="951"/>
      <c r="G39" s="951" t="s">
        <v>766</v>
      </c>
      <c r="H39" s="952"/>
      <c r="I39" s="951"/>
      <c r="J39" s="951" t="s">
        <v>766</v>
      </c>
    </row>
    <row r="40" spans="1:16">
      <c r="A40" s="946"/>
      <c r="C40" s="871"/>
      <c r="D40" s="871"/>
      <c r="E40" s="871" t="s">
        <v>59</v>
      </c>
      <c r="F40" s="871" t="s">
        <v>767</v>
      </c>
      <c r="G40" s="871" t="s">
        <v>768</v>
      </c>
      <c r="H40" s="872"/>
      <c r="I40" s="871" t="s">
        <v>769</v>
      </c>
      <c r="J40" s="871" t="s">
        <v>768</v>
      </c>
    </row>
    <row r="41" spans="1:16">
      <c r="A41" s="942"/>
      <c r="B41" s="876"/>
      <c r="C41" s="873" t="s">
        <v>770</v>
      </c>
      <c r="D41" s="873"/>
      <c r="E41" s="873" t="s">
        <v>875</v>
      </c>
      <c r="F41" s="874" t="s">
        <v>118</v>
      </c>
      <c r="G41" s="873" t="s">
        <v>771</v>
      </c>
      <c r="H41" s="875"/>
      <c r="I41" s="873" t="s">
        <v>118</v>
      </c>
      <c r="J41" s="873" t="s">
        <v>772</v>
      </c>
    </row>
    <row r="42" spans="1:16">
      <c r="A42" s="946"/>
    </row>
    <row r="43" spans="1:16">
      <c r="A43" s="779" t="s">
        <v>1765</v>
      </c>
    </row>
    <row r="44" spans="1:16">
      <c r="A44" s="850"/>
      <c r="B44" s="852" t="s">
        <v>1010</v>
      </c>
      <c r="C44" s="769">
        <f>SUMIF(_12MonResults_Rate,MiscData!$U$5,_12MonResults_CustomerCount)</f>
        <v>85</v>
      </c>
      <c r="D44" s="765"/>
      <c r="E44" s="765"/>
      <c r="F44" s="766">
        <f>SUMIF(_Rates_Tariff_Category,MiscData!$T$4&amp;MiscData!$W$40,_Rates_BasicServiceCharge)</f>
        <v>10.75</v>
      </c>
      <c r="G44" s="854">
        <f>ROUND(F44*C44,0)</f>
        <v>914</v>
      </c>
      <c r="I44" s="853">
        <v>10.75</v>
      </c>
      <c r="J44" s="854">
        <f>ROUND(I44*C44,0)</f>
        <v>914</v>
      </c>
    </row>
    <row r="45" spans="1:16">
      <c r="A45" s="850"/>
      <c r="B45" s="852" t="s">
        <v>1495</v>
      </c>
      <c r="C45" s="765"/>
      <c r="D45" s="765"/>
      <c r="E45" s="769">
        <f>SUMIF(_12MonResults_Rate,MiscData!$U$5,_12MonResults_KWH_P1)</f>
        <v>62620</v>
      </c>
      <c r="F45" s="772">
        <f>SUMIF(_Rates_Tariff_Category,MiscData!$T$4&amp;MiscData!$W$40,_Rates_Energy)</f>
        <v>5.5870000000000003E-2</v>
      </c>
      <c r="G45" s="854">
        <f>ROUND(F45*E45,0)</f>
        <v>3499</v>
      </c>
      <c r="I45" s="856">
        <v>5.3780000000000001E-2</v>
      </c>
      <c r="J45" s="854">
        <f>ROUND(I45*(E45+E46),0)</f>
        <v>4544</v>
      </c>
      <c r="L45" s="953"/>
    </row>
    <row r="46" spans="1:16">
      <c r="A46" s="850"/>
      <c r="B46" s="852" t="s">
        <v>1707</v>
      </c>
      <c r="C46" s="765"/>
      <c r="D46" s="765"/>
      <c r="E46" s="769">
        <f>SUMIF(_12MonResults_Rate,MiscData!$U$5,_12MonResults_KWH_P2)</f>
        <v>21870</v>
      </c>
      <c r="F46" s="772">
        <f>SUMIF(_Rates_Tariff_Category,MiscData!$T$4&amp;MiscData!$W$40,_Rates_Energy_P2)</f>
        <v>7.7630000000000005E-2</v>
      </c>
      <c r="G46" s="854">
        <f>ROUND(F46*E46,0)</f>
        <v>1698</v>
      </c>
      <c r="I46" s="856"/>
      <c r="J46" s="854">
        <f t="shared" ref="J46" si="1">ROUND(I46*E46,0)</f>
        <v>0</v>
      </c>
      <c r="L46" s="953"/>
    </row>
    <row r="47" spans="1:16">
      <c r="A47" s="850"/>
      <c r="B47" s="852" t="s">
        <v>1731</v>
      </c>
      <c r="C47" s="765"/>
      <c r="D47" s="765"/>
      <c r="E47" s="769">
        <f>SUMIF(_12MonResults_Rate,MiscData!$U$5,_12MonResults_KWH_P3)</f>
        <v>13964</v>
      </c>
      <c r="F47" s="772">
        <f>SUMIF(_Rates_Tariff_Category,MiscData!$T$4&amp;MiscData!$W$40,_Rates_Energy_P3)</f>
        <v>0.14297000000000001</v>
      </c>
      <c r="G47" s="854">
        <f t="shared" ref="G47" si="2">ROUND(F47*E47,0)</f>
        <v>1996</v>
      </c>
      <c r="I47" s="856">
        <v>0.27284386666666671</v>
      </c>
      <c r="J47" s="854">
        <f t="shared" ref="J47" si="3">ROUND(I47*E47,0)</f>
        <v>3810</v>
      </c>
      <c r="L47" s="953"/>
    </row>
    <row r="48" spans="1:16">
      <c r="A48" s="850"/>
      <c r="B48" s="855"/>
      <c r="F48" s="856"/>
      <c r="G48" s="767"/>
      <c r="I48" s="856"/>
      <c r="J48" s="767"/>
      <c r="L48" s="953"/>
    </row>
    <row r="49" spans="1:12">
      <c r="A49" s="850"/>
      <c r="B49" s="855"/>
      <c r="F49" s="856"/>
      <c r="G49" s="767"/>
      <c r="I49" s="856"/>
      <c r="J49" s="767"/>
      <c r="L49" s="953"/>
    </row>
    <row r="50" spans="1:12">
      <c r="A50" s="850"/>
      <c r="B50" s="855"/>
      <c r="F50" s="772"/>
      <c r="G50" s="854"/>
      <c r="I50" s="859"/>
      <c r="J50" s="854"/>
      <c r="L50" s="953"/>
    </row>
    <row r="51" spans="1:12">
      <c r="A51" s="889"/>
      <c r="E51" s="860" t="s">
        <v>774</v>
      </c>
      <c r="G51" s="861">
        <f>SUM(G44:G47)</f>
        <v>8107</v>
      </c>
      <c r="J51" s="861">
        <f>SUM(J44:J47)</f>
        <v>9268</v>
      </c>
      <c r="L51" s="919"/>
    </row>
    <row r="52" spans="1:12">
      <c r="A52" s="889"/>
      <c r="E52" s="855" t="s">
        <v>775</v>
      </c>
      <c r="G52" s="862">
        <f>'12MonResults'!$AG$488</f>
        <v>1.0000579779511085</v>
      </c>
      <c r="J52" s="862">
        <f>G52</f>
        <v>1.0000579779511085</v>
      </c>
    </row>
    <row r="53" spans="1:12">
      <c r="A53" s="889"/>
      <c r="E53" s="860" t="s">
        <v>776</v>
      </c>
      <c r="G53" s="861">
        <f>+ROUND(G51/G52,0)</f>
        <v>8107</v>
      </c>
      <c r="J53" s="861">
        <f>+ROUND(J51/J52,0)</f>
        <v>9267</v>
      </c>
      <c r="K53" s="919"/>
    </row>
    <row r="54" spans="1:12">
      <c r="A54" s="889"/>
      <c r="E54" s="860"/>
      <c r="G54" s="854"/>
    </row>
    <row r="55" spans="1:12">
      <c r="A55" s="939"/>
      <c r="B55" s="850" t="s">
        <v>826</v>
      </c>
      <c r="G55" s="863">
        <f>'ECR in Base Rates'!$F$6*-1</f>
        <v>-310</v>
      </c>
      <c r="J55" s="850">
        <f>G55</f>
        <v>-310</v>
      </c>
    </row>
    <row r="56" spans="1:12">
      <c r="A56" s="939"/>
      <c r="B56" s="864"/>
      <c r="G56" s="863"/>
    </row>
    <row r="57" spans="1:12" ht="15">
      <c r="B57" s="865" t="s">
        <v>812</v>
      </c>
      <c r="G57" s="866">
        <f>SUM(G53:G55)</f>
        <v>7797</v>
      </c>
      <c r="J57" s="866">
        <f>SUM(J55:J55)+J53</f>
        <v>8957</v>
      </c>
    </row>
    <row r="58" spans="1:12">
      <c r="B58" s="864"/>
      <c r="G58" s="854"/>
      <c r="J58" s="854"/>
    </row>
    <row r="59" spans="1:12">
      <c r="B59" s="858" t="s">
        <v>814</v>
      </c>
      <c r="G59" s="854">
        <f>G55*-1</f>
        <v>310</v>
      </c>
      <c r="J59" s="854">
        <f>G59</f>
        <v>310</v>
      </c>
    </row>
    <row r="60" spans="1:12">
      <c r="B60" s="858" t="s">
        <v>1711</v>
      </c>
      <c r="G60" s="854">
        <f>'Sch M-2.3 pg 1-2'!$D$14</f>
        <v>148.78825373769598</v>
      </c>
      <c r="J60" s="854">
        <f t="shared" ref="J60:J62" si="4">G60</f>
        <v>148.78825373769598</v>
      </c>
    </row>
    <row r="61" spans="1:12">
      <c r="B61" s="858" t="s">
        <v>1712</v>
      </c>
      <c r="G61" s="854">
        <f>'Sch M-2.3 pg 1-2'!$E$14</f>
        <v>86.084579268470421</v>
      </c>
      <c r="J61" s="854">
        <f t="shared" si="4"/>
        <v>86.084579268470421</v>
      </c>
    </row>
    <row r="62" spans="1:12">
      <c r="B62" s="858" t="s">
        <v>1713</v>
      </c>
      <c r="G62" s="854">
        <f>'Sch M-2.3 pg 1-2'!$F$14</f>
        <v>323.19743844389393</v>
      </c>
      <c r="J62" s="854">
        <f t="shared" si="4"/>
        <v>323.19743844389393</v>
      </c>
    </row>
    <row r="63" spans="1:12">
      <c r="B63" s="858"/>
      <c r="G63" s="854"/>
      <c r="J63" s="854"/>
    </row>
    <row r="64" spans="1:12" ht="15">
      <c r="B64" s="865" t="s">
        <v>815</v>
      </c>
      <c r="G64" s="866">
        <f>SUM(G57:G62)</f>
        <v>8665.0702714500603</v>
      </c>
      <c r="J64" s="866">
        <f>SUM(J57:J62)</f>
        <v>9825.0702714500603</v>
      </c>
    </row>
    <row r="65" spans="1:16" ht="15">
      <c r="B65" s="867"/>
      <c r="G65" s="868"/>
      <c r="J65" s="868"/>
    </row>
    <row r="66" spans="1:16">
      <c r="A66" s="940"/>
      <c r="B66" s="869" t="s">
        <v>777</v>
      </c>
      <c r="J66" s="887">
        <f>J64-G64</f>
        <v>1160</v>
      </c>
      <c r="K66" s="1292">
        <v>690.95876450684705</v>
      </c>
    </row>
    <row r="67" spans="1:16">
      <c r="C67" s="858" t="s">
        <v>778</v>
      </c>
      <c r="D67" s="858"/>
      <c r="J67" s="919">
        <f>J66/G64</f>
        <v>0.13387081277597987</v>
      </c>
      <c r="K67" s="1292">
        <f>J66-K66</f>
        <v>469.04123549315295</v>
      </c>
    </row>
    <row r="68" spans="1:16">
      <c r="A68" s="769"/>
      <c r="B68" s="769"/>
      <c r="C68" s="769"/>
      <c r="D68" s="769"/>
      <c r="E68" s="769"/>
      <c r="F68" s="769"/>
      <c r="G68" s="769"/>
      <c r="H68" s="769"/>
      <c r="I68" s="769"/>
      <c r="J68" s="769"/>
    </row>
    <row r="69" spans="1:16">
      <c r="A69" s="769"/>
      <c r="B69" s="769"/>
      <c r="C69" s="769"/>
      <c r="D69" s="769"/>
      <c r="E69" s="769"/>
      <c r="F69" s="769"/>
      <c r="G69" s="769"/>
      <c r="H69" s="769"/>
      <c r="I69" s="769"/>
      <c r="J69" s="769"/>
    </row>
    <row r="70" spans="1:16">
      <c r="A70" s="970" t="s">
        <v>1462</v>
      </c>
      <c r="J70" s="944" t="s">
        <v>1489</v>
      </c>
    </row>
    <row r="71" spans="1:16">
      <c r="A71" s="943" t="s">
        <v>1465</v>
      </c>
      <c r="J71" s="944" t="str">
        <f>"Page "&amp;O71&amp;" of "&amp;P71</f>
        <v>Page 4 of 20</v>
      </c>
      <c r="O71" s="850">
        <f>O36+1</f>
        <v>4</v>
      </c>
      <c r="P71" s="850">
        <f>'Settlement Exhibit 1 pgs 15-20'!$P$165</f>
        <v>20</v>
      </c>
    </row>
    <row r="72" spans="1:16">
      <c r="A72" s="943" t="s">
        <v>1461</v>
      </c>
      <c r="J72" s="944"/>
    </row>
    <row r="73" spans="1:16">
      <c r="A73" s="945"/>
    </row>
    <row r="74" spans="1:16">
      <c r="A74" s="949"/>
      <c r="B74" s="950"/>
      <c r="C74" s="950"/>
      <c r="D74" s="950"/>
      <c r="E74" s="951"/>
      <c r="F74" s="951"/>
      <c r="G74" s="951" t="s">
        <v>766</v>
      </c>
      <c r="H74" s="952"/>
      <c r="I74" s="951"/>
      <c r="J74" s="951" t="s">
        <v>766</v>
      </c>
    </row>
    <row r="75" spans="1:16">
      <c r="A75" s="946"/>
      <c r="C75" s="871"/>
      <c r="D75" s="871" t="s">
        <v>1494</v>
      </c>
      <c r="E75" s="871" t="s">
        <v>59</v>
      </c>
      <c r="F75" s="871" t="s">
        <v>767</v>
      </c>
      <c r="G75" s="871" t="s">
        <v>768</v>
      </c>
      <c r="H75" s="872"/>
      <c r="I75" s="871" t="s">
        <v>769</v>
      </c>
      <c r="J75" s="871" t="s">
        <v>768</v>
      </c>
    </row>
    <row r="76" spans="1:16">
      <c r="A76" s="942"/>
      <c r="B76" s="876"/>
      <c r="C76" s="873" t="s">
        <v>770</v>
      </c>
      <c r="D76" s="873" t="s">
        <v>1479</v>
      </c>
      <c r="E76" s="873" t="s">
        <v>875</v>
      </c>
      <c r="F76" s="874" t="s">
        <v>118</v>
      </c>
      <c r="G76" s="873" t="s">
        <v>771</v>
      </c>
      <c r="H76" s="875"/>
      <c r="I76" s="873" t="s">
        <v>118</v>
      </c>
      <c r="J76" s="873" t="s">
        <v>772</v>
      </c>
    </row>
    <row r="77" spans="1:16">
      <c r="A77" s="946"/>
    </row>
    <row r="78" spans="1:16">
      <c r="A78" s="779" t="s">
        <v>1766</v>
      </c>
    </row>
    <row r="79" spans="1:16">
      <c r="A79" s="850"/>
      <c r="B79" s="852" t="s">
        <v>1010</v>
      </c>
      <c r="C79" s="850">
        <v>0</v>
      </c>
      <c r="F79" s="853">
        <v>0</v>
      </c>
      <c r="G79" s="854">
        <f>ROUND(F79*C79,0)</f>
        <v>0</v>
      </c>
      <c r="I79" s="853">
        <v>10.75</v>
      </c>
      <c r="J79" s="854">
        <f>ROUND(I79*C79,0)</f>
        <v>0</v>
      </c>
    </row>
    <row r="80" spans="1:16">
      <c r="A80" s="850"/>
      <c r="B80" s="852" t="s">
        <v>807</v>
      </c>
      <c r="E80" s="850">
        <v>0</v>
      </c>
      <c r="F80" s="772">
        <v>0</v>
      </c>
      <c r="G80" s="854">
        <f>ROUND(F80*E80,0)</f>
        <v>0</v>
      </c>
      <c r="I80" s="856">
        <v>4.0079999999999998E-2</v>
      </c>
      <c r="J80" s="854">
        <f t="shared" ref="J80" si="5">ROUND(I80*E80,0)</f>
        <v>0</v>
      </c>
      <c r="L80" s="953"/>
      <c r="P80" s="953"/>
    </row>
    <row r="81" spans="1:16">
      <c r="A81" s="850"/>
      <c r="B81" s="855" t="s">
        <v>1493</v>
      </c>
      <c r="D81" s="850">
        <v>0</v>
      </c>
      <c r="F81" s="766">
        <v>0</v>
      </c>
      <c r="G81" s="854">
        <f>ROUND(F81*D81,0)</f>
        <v>0</v>
      </c>
      <c r="I81" s="1207">
        <v>3.7</v>
      </c>
      <c r="J81" s="854">
        <f>ROUND(I81*D81,0)</f>
        <v>0</v>
      </c>
      <c r="L81" s="953"/>
      <c r="P81" s="908"/>
    </row>
    <row r="82" spans="1:16">
      <c r="A82" s="850"/>
      <c r="B82" s="852" t="s">
        <v>1730</v>
      </c>
      <c r="D82" s="850">
        <v>0</v>
      </c>
      <c r="F82" s="772">
        <v>0</v>
      </c>
      <c r="G82" s="854">
        <f t="shared" ref="G82" si="6">ROUND(F82*D82,0)</f>
        <v>0</v>
      </c>
      <c r="I82" s="1207">
        <v>13.05</v>
      </c>
      <c r="J82" s="854">
        <f t="shared" ref="J82" si="7">ROUND(I82*D82,0)</f>
        <v>0</v>
      </c>
      <c r="P82" s="908"/>
    </row>
    <row r="83" spans="1:16">
      <c r="A83" s="850"/>
      <c r="B83" s="855"/>
      <c r="F83" s="772"/>
      <c r="G83" s="854"/>
      <c r="I83" s="859"/>
      <c r="J83" s="854"/>
      <c r="L83" s="953"/>
    </row>
    <row r="84" spans="1:16">
      <c r="A84" s="889"/>
      <c r="E84" s="860" t="s">
        <v>774</v>
      </c>
      <c r="G84" s="861">
        <f>SUM(G79:G82)</f>
        <v>0</v>
      </c>
      <c r="J84" s="861">
        <f>SUM(J79:J82)</f>
        <v>0</v>
      </c>
      <c r="L84" s="919"/>
    </row>
    <row r="85" spans="1:16">
      <c r="A85" s="889"/>
      <c r="E85" s="855" t="s">
        <v>775</v>
      </c>
      <c r="G85" s="862">
        <v>1</v>
      </c>
      <c r="J85" s="862">
        <f>G85</f>
        <v>1</v>
      </c>
    </row>
    <row r="86" spans="1:16">
      <c r="A86" s="889"/>
      <c r="E86" s="860" t="s">
        <v>776</v>
      </c>
      <c r="G86" s="861">
        <f>+ROUND(G84/G85,0)</f>
        <v>0</v>
      </c>
      <c r="J86" s="861">
        <f>+ROUND(J84/J85,0)</f>
        <v>0</v>
      </c>
      <c r="K86" s="919"/>
    </row>
    <row r="87" spans="1:16">
      <c r="A87" s="889"/>
      <c r="E87" s="860"/>
      <c r="G87" s="854"/>
    </row>
    <row r="88" spans="1:16">
      <c r="A88" s="939"/>
      <c r="B88" s="850" t="s">
        <v>826</v>
      </c>
      <c r="G88" s="863">
        <v>0</v>
      </c>
      <c r="J88" s="850">
        <f>G88</f>
        <v>0</v>
      </c>
    </row>
    <row r="89" spans="1:16">
      <c r="A89" s="939"/>
      <c r="B89" s="864"/>
      <c r="G89" s="863"/>
    </row>
    <row r="90" spans="1:16" ht="15">
      <c r="B90" s="865" t="s">
        <v>812</v>
      </c>
      <c r="G90" s="866">
        <f>SUM(G86:G88)</f>
        <v>0</v>
      </c>
      <c r="J90" s="866">
        <f>SUM(J88:J88)+J86</f>
        <v>0</v>
      </c>
    </row>
    <row r="91" spans="1:16">
      <c r="B91" s="864"/>
      <c r="G91" s="854"/>
      <c r="J91" s="854"/>
    </row>
    <row r="92" spans="1:16">
      <c r="B92" s="858" t="s">
        <v>814</v>
      </c>
      <c r="G92" s="854">
        <f>G88*-1</f>
        <v>0</v>
      </c>
      <c r="J92" s="854">
        <f>G92</f>
        <v>0</v>
      </c>
    </row>
    <row r="93" spans="1:16">
      <c r="B93" s="858" t="s">
        <v>1711</v>
      </c>
      <c r="G93" s="854">
        <v>0</v>
      </c>
      <c r="J93" s="854">
        <v>0</v>
      </c>
    </row>
    <row r="94" spans="1:16">
      <c r="B94" s="858" t="s">
        <v>1712</v>
      </c>
      <c r="G94" s="854">
        <v>0</v>
      </c>
      <c r="J94" s="854">
        <v>0</v>
      </c>
    </row>
    <row r="95" spans="1:16">
      <c r="B95" s="858" t="s">
        <v>1713</v>
      </c>
      <c r="G95" s="854">
        <v>0</v>
      </c>
      <c r="J95" s="854">
        <v>0</v>
      </c>
    </row>
    <row r="96" spans="1:16">
      <c r="B96" s="858"/>
      <c r="G96" s="854"/>
      <c r="J96" s="854"/>
    </row>
    <row r="97" spans="1:16" ht="15">
      <c r="B97" s="865" t="s">
        <v>815</v>
      </c>
      <c r="G97" s="866">
        <f>SUM(G90:G95)</f>
        <v>0</v>
      </c>
      <c r="J97" s="866">
        <f>SUM(J90:J95)</f>
        <v>0</v>
      </c>
    </row>
    <row r="98" spans="1:16" ht="15">
      <c r="B98" s="867"/>
      <c r="G98" s="868"/>
      <c r="J98" s="868"/>
    </row>
    <row r="99" spans="1:16">
      <c r="A99" s="940"/>
      <c r="B99" s="869" t="s">
        <v>777</v>
      </c>
      <c r="J99" s="887">
        <f>J97-G97</f>
        <v>0</v>
      </c>
    </row>
    <row r="100" spans="1:16">
      <c r="C100" s="858" t="s">
        <v>778</v>
      </c>
      <c r="D100" s="858"/>
      <c r="J100" s="919"/>
    </row>
    <row r="101" spans="1:16">
      <c r="A101" s="769"/>
      <c r="B101" s="769"/>
      <c r="C101" s="769"/>
      <c r="D101" s="769"/>
      <c r="E101" s="769"/>
      <c r="F101" s="769"/>
      <c r="G101" s="769"/>
      <c r="H101" s="769"/>
      <c r="I101" s="769"/>
      <c r="J101" s="769"/>
    </row>
    <row r="102" spans="1:16">
      <c r="A102" s="769"/>
      <c r="B102" s="769"/>
      <c r="C102" s="769"/>
      <c r="D102" s="769"/>
      <c r="E102" s="769"/>
      <c r="F102" s="769"/>
      <c r="G102" s="769"/>
      <c r="H102" s="769"/>
      <c r="I102" s="769"/>
      <c r="J102" s="769"/>
    </row>
    <row r="103" spans="1:16">
      <c r="A103" s="970" t="s">
        <v>1462</v>
      </c>
      <c r="J103" s="944" t="s">
        <v>1489</v>
      </c>
    </row>
    <row r="104" spans="1:16">
      <c r="A104" s="943" t="s">
        <v>1465</v>
      </c>
      <c r="J104" s="944" t="str">
        <f>"Page "&amp;O104&amp;" of "&amp;P104</f>
        <v>Page 5 of 20</v>
      </c>
      <c r="O104" s="850">
        <f>O71+1</f>
        <v>5</v>
      </c>
      <c r="P104" s="850">
        <f>'Settlement Exhibit 1 pgs 15-20'!$P$165</f>
        <v>20</v>
      </c>
    </row>
    <row r="105" spans="1:16">
      <c r="A105" s="943" t="s">
        <v>1461</v>
      </c>
      <c r="J105" s="944"/>
    </row>
    <row r="106" spans="1:16">
      <c r="A106" s="945"/>
    </row>
    <row r="107" spans="1:16">
      <c r="A107" s="949"/>
      <c r="B107" s="950"/>
      <c r="C107" s="950"/>
      <c r="D107" s="950"/>
      <c r="E107" s="951"/>
      <c r="F107" s="951"/>
      <c r="G107" s="951" t="s">
        <v>766</v>
      </c>
      <c r="H107" s="952"/>
      <c r="I107" s="951"/>
      <c r="J107" s="951" t="s">
        <v>766</v>
      </c>
    </row>
    <row r="108" spans="1:16">
      <c r="A108" s="946"/>
      <c r="C108" s="871"/>
      <c r="D108" s="871"/>
      <c r="E108" s="871" t="s">
        <v>59</v>
      </c>
      <c r="F108" s="871" t="s">
        <v>767</v>
      </c>
      <c r="G108" s="871" t="s">
        <v>768</v>
      </c>
      <c r="H108" s="872"/>
      <c r="I108" s="871" t="s">
        <v>769</v>
      </c>
      <c r="J108" s="871" t="s">
        <v>768</v>
      </c>
    </row>
    <row r="109" spans="1:16" ht="15" customHeight="1">
      <c r="A109" s="942"/>
      <c r="B109" s="876"/>
      <c r="C109" s="873" t="s">
        <v>770</v>
      </c>
      <c r="D109" s="873"/>
      <c r="E109" s="873" t="s">
        <v>875</v>
      </c>
      <c r="F109" s="874" t="s">
        <v>118</v>
      </c>
      <c r="G109" s="873" t="s">
        <v>771</v>
      </c>
      <c r="H109" s="875"/>
      <c r="I109" s="873" t="s">
        <v>118</v>
      </c>
      <c r="J109" s="873" t="s">
        <v>772</v>
      </c>
    </row>
    <row r="111" spans="1:16">
      <c r="A111" s="779" t="s">
        <v>1741</v>
      </c>
    </row>
    <row r="112" spans="1:16">
      <c r="A112" s="889"/>
      <c r="B112" s="852" t="s">
        <v>1739</v>
      </c>
      <c r="C112" s="769">
        <f>SUMIF(_12MonResults_Rate,MiscData!$U$6,_12MonResults_CustomerCount)</f>
        <v>762399</v>
      </c>
      <c r="D112" s="765"/>
      <c r="E112" s="765"/>
      <c r="F112" s="766">
        <f>SUMIF(_Rates_Tariff_Category,MiscData!$T$4&amp;MiscData!$W$13,_Rates_BasicServiceCharge)</f>
        <v>20</v>
      </c>
      <c r="G112" s="854">
        <f>ROUND(C112*F112,0)</f>
        <v>15247980</v>
      </c>
      <c r="I112" s="853">
        <v>25</v>
      </c>
      <c r="J112" s="854">
        <f>ROUND(I112*C112,0)</f>
        <v>19059975</v>
      </c>
      <c r="N112" s="902"/>
    </row>
    <row r="113" spans="1:14">
      <c r="A113" s="889"/>
      <c r="B113" s="852" t="s">
        <v>1740</v>
      </c>
      <c r="C113" s="769">
        <f>SUMIF(_12MonResults_Rate,MiscData!$U$7,_12MonResults_CustomerCount)</f>
        <v>222861</v>
      </c>
      <c r="D113" s="765"/>
      <c r="E113" s="765"/>
      <c r="F113" s="766">
        <f>SUMIF(_Rates_Tariff_Category,MiscData!$T$4&amp;MiscData!$W$15,_Rates_BasicServiceCharge)</f>
        <v>35</v>
      </c>
      <c r="G113" s="854">
        <f>ROUND(C113*F113,0)</f>
        <v>7800135</v>
      </c>
      <c r="I113" s="853">
        <v>40</v>
      </c>
      <c r="J113" s="854">
        <f>ROUND(I113*C113,0)</f>
        <v>8914440</v>
      </c>
      <c r="N113" s="902"/>
    </row>
    <row r="114" spans="1:14">
      <c r="A114" s="889"/>
      <c r="B114" s="852" t="s">
        <v>1477</v>
      </c>
      <c r="E114" s="769">
        <f>SUMIF(_12MonResults_Rate,MiscData!$U$6,_12MonResults_KWH_Total)</f>
        <v>773603156</v>
      </c>
      <c r="F114" s="772">
        <f>SUMIF(_Rates_Tariff_Category,MiscData!$T$4&amp;MiscData!$W$13,_Rates_Energy)</f>
        <v>9.2249999999999999E-2</v>
      </c>
      <c r="G114" s="767">
        <f>ROUND(F114*E114,0)</f>
        <v>71364891</v>
      </c>
      <c r="I114" s="856">
        <v>9.8739999999999994E-2</v>
      </c>
      <c r="J114" s="767">
        <f>ROUND(I114*E114,0)</f>
        <v>76385576</v>
      </c>
      <c r="N114" s="902"/>
    </row>
    <row r="115" spans="1:14">
      <c r="A115" s="889"/>
      <c r="B115" s="852" t="s">
        <v>1478</v>
      </c>
      <c r="E115" s="769">
        <f>SUMIF(_12MonResults_Rate,MiscData!$U$7,_12MonResults_KWH_Total)</f>
        <v>1131893696</v>
      </c>
      <c r="F115" s="772">
        <f>SUMIF(_Rates_Tariff_Category,MiscData!$T$4&amp;MiscData!$W$15,_Rates_Energy)</f>
        <v>9.2249999999999999E-2</v>
      </c>
      <c r="G115" s="767">
        <f>ROUND(F115*E115,0)</f>
        <v>104417193</v>
      </c>
      <c r="I115" s="856">
        <f>I114</f>
        <v>9.8739999999999994E-2</v>
      </c>
      <c r="J115" s="767">
        <f>ROUND(I115*E115,0)</f>
        <v>111763184</v>
      </c>
      <c r="N115" s="902"/>
    </row>
    <row r="116" spans="1:14">
      <c r="A116" s="889"/>
      <c r="B116" s="855"/>
      <c r="F116" s="856"/>
      <c r="G116" s="767"/>
      <c r="I116" s="856"/>
      <c r="J116" s="767"/>
      <c r="N116" s="902"/>
    </row>
    <row r="117" spans="1:14">
      <c r="A117" s="889"/>
      <c r="B117" s="855"/>
      <c r="G117" s="877"/>
      <c r="J117" s="877"/>
    </row>
    <row r="118" spans="1:14">
      <c r="A118" s="889"/>
      <c r="E118" s="860" t="s">
        <v>774</v>
      </c>
      <c r="G118" s="861">
        <f>SUM(G112:G117)</f>
        <v>198830199</v>
      </c>
      <c r="J118" s="861">
        <f>SUM(J112:J117)</f>
        <v>216123175</v>
      </c>
    </row>
    <row r="119" spans="1:14">
      <c r="A119" s="889"/>
      <c r="E119" s="855" t="s">
        <v>775</v>
      </c>
      <c r="G119" s="862">
        <f>'12MonResults'!$AG$491</f>
        <v>1</v>
      </c>
      <c r="J119" s="862">
        <f>G119</f>
        <v>1</v>
      </c>
    </row>
    <row r="120" spans="1:14">
      <c r="A120" s="889"/>
      <c r="E120" s="860" t="s">
        <v>776</v>
      </c>
      <c r="G120" s="861">
        <f>+ROUND(G118/G119,0)</f>
        <v>198830199</v>
      </c>
      <c r="J120" s="861">
        <f>+ROUND(J118/J119,0)</f>
        <v>216123175</v>
      </c>
    </row>
    <row r="121" spans="1:14">
      <c r="A121" s="889"/>
      <c r="E121" s="860"/>
      <c r="G121" s="854"/>
    </row>
    <row r="122" spans="1:14">
      <c r="A122" s="939"/>
      <c r="B122" s="850" t="s">
        <v>826</v>
      </c>
      <c r="G122" s="854">
        <f>'ECR in Base Rates'!$F$13*-1</f>
        <v>-8974890</v>
      </c>
      <c r="J122" s="854">
        <f>G122</f>
        <v>-8974890</v>
      </c>
    </row>
    <row r="123" spans="1:14">
      <c r="A123" s="939"/>
      <c r="B123" s="864"/>
      <c r="G123" s="854"/>
      <c r="J123" s="854"/>
    </row>
    <row r="124" spans="1:14" ht="15">
      <c r="A124" s="889"/>
      <c r="B124" s="865" t="s">
        <v>812</v>
      </c>
      <c r="G124" s="866">
        <f>SUM(G120:G122)</f>
        <v>189855309</v>
      </c>
      <c r="J124" s="866">
        <f>SUM(J122:J122)+J120</f>
        <v>207148285</v>
      </c>
    </row>
    <row r="125" spans="1:14">
      <c r="B125" s="864"/>
    </row>
    <row r="126" spans="1:14">
      <c r="B126" s="858" t="s">
        <v>814</v>
      </c>
      <c r="G126" s="854">
        <f>G122*-1</f>
        <v>8974890</v>
      </c>
      <c r="J126" s="767">
        <f>G126</f>
        <v>8974890</v>
      </c>
    </row>
    <row r="127" spans="1:14">
      <c r="B127" s="858" t="s">
        <v>1711</v>
      </c>
      <c r="G127" s="854">
        <f>'Sch M-2.3 pg 1-2'!$D$20</f>
        <v>4646924</v>
      </c>
      <c r="J127" s="767">
        <f t="shared" ref="J127:J129" si="8">G127</f>
        <v>4646924</v>
      </c>
    </row>
    <row r="128" spans="1:14">
      <c r="B128" s="858" t="s">
        <v>1712</v>
      </c>
      <c r="G128" s="854">
        <f>'Sch M-2.3 pg 1-2'!$E$20</f>
        <v>2848529</v>
      </c>
      <c r="J128" s="767">
        <f t="shared" si="8"/>
        <v>2848529</v>
      </c>
    </row>
    <row r="129" spans="1:16">
      <c r="B129" s="858" t="s">
        <v>1713</v>
      </c>
      <c r="G129" s="854">
        <f>'Sch M-2.3 pg 1-2'!$F$20</f>
        <v>10546170</v>
      </c>
      <c r="J129" s="767">
        <f t="shared" si="8"/>
        <v>10546170</v>
      </c>
    </row>
    <row r="130" spans="1:16">
      <c r="A130" s="940"/>
      <c r="B130" s="858"/>
      <c r="C130" s="858"/>
      <c r="D130" s="858"/>
      <c r="K130" s="1292">
        <v>7491147.3210736867</v>
      </c>
    </row>
    <row r="131" spans="1:16" ht="15">
      <c r="A131" s="769"/>
      <c r="B131" s="865" t="s">
        <v>815</v>
      </c>
      <c r="C131" s="769"/>
      <c r="D131" s="769"/>
      <c r="E131" s="769"/>
      <c r="F131" s="769"/>
      <c r="G131" s="866">
        <f>SUM(G124:G129)</f>
        <v>216871822</v>
      </c>
      <c r="H131" s="769"/>
      <c r="I131" s="769"/>
      <c r="J131" s="866">
        <f>SUM(J124:J129)</f>
        <v>234164798</v>
      </c>
      <c r="K131" s="1292">
        <v>9803301.5272158664</v>
      </c>
    </row>
    <row r="132" spans="1:16" ht="15">
      <c r="A132" s="769"/>
      <c r="B132" s="865"/>
      <c r="C132" s="769"/>
      <c r="D132" s="769"/>
      <c r="E132" s="769"/>
      <c r="F132" s="769"/>
      <c r="G132" s="866"/>
      <c r="H132" s="769"/>
      <c r="I132" s="769"/>
      <c r="J132" s="866"/>
    </row>
    <row r="133" spans="1:16">
      <c r="A133" s="940"/>
      <c r="B133" s="869" t="s">
        <v>777</v>
      </c>
      <c r="C133" s="858"/>
      <c r="D133" s="858"/>
      <c r="J133" s="887">
        <f>J131-G131</f>
        <v>17292976</v>
      </c>
      <c r="K133" s="850">
        <f>K130+K131</f>
        <v>17294448.848289553</v>
      </c>
    </row>
    <row r="134" spans="1:16">
      <c r="A134" s="940"/>
      <c r="B134" s="869"/>
      <c r="C134" s="858"/>
      <c r="D134" s="858"/>
      <c r="J134" s="919">
        <f>J133/G131</f>
        <v>7.9738233582046444E-2</v>
      </c>
      <c r="K134" s="850">
        <f>J133-K133</f>
        <v>-1472.848289553076</v>
      </c>
    </row>
    <row r="135" spans="1:16">
      <c r="B135" s="858"/>
    </row>
    <row r="136" spans="1:16">
      <c r="B136" s="858"/>
    </row>
    <row r="137" spans="1:16">
      <c r="A137" s="970" t="s">
        <v>1462</v>
      </c>
      <c r="J137" s="944" t="s">
        <v>1489</v>
      </c>
    </row>
    <row r="138" spans="1:16">
      <c r="A138" s="943" t="s">
        <v>1465</v>
      </c>
      <c r="J138" s="944" t="str">
        <f>"Page "&amp;O138&amp;" of "&amp;P138</f>
        <v>Page 6 of 20</v>
      </c>
      <c r="O138" s="850">
        <f>O104+1</f>
        <v>6</v>
      </c>
      <c r="P138" s="850">
        <f>'Settlement Exhibit 1 pgs 15-20'!$P$165</f>
        <v>20</v>
      </c>
    </row>
    <row r="139" spans="1:16">
      <c r="A139" s="943" t="s">
        <v>1461</v>
      </c>
      <c r="J139" s="944"/>
    </row>
    <row r="140" spans="1:16">
      <c r="A140" s="945"/>
    </row>
    <row r="141" spans="1:16">
      <c r="A141" s="949"/>
      <c r="B141" s="950"/>
      <c r="C141" s="950"/>
      <c r="D141" s="950"/>
      <c r="E141" s="951"/>
      <c r="F141" s="951"/>
      <c r="G141" s="951" t="s">
        <v>766</v>
      </c>
      <c r="H141" s="952"/>
      <c r="I141" s="951"/>
      <c r="J141" s="951" t="s">
        <v>766</v>
      </c>
    </row>
    <row r="142" spans="1:16">
      <c r="A142" s="946"/>
      <c r="C142" s="871"/>
      <c r="D142" s="871"/>
      <c r="E142" s="871" t="s">
        <v>59</v>
      </c>
      <c r="F142" s="871" t="s">
        <v>767</v>
      </c>
      <c r="G142" s="871" t="s">
        <v>768</v>
      </c>
      <c r="H142" s="872"/>
      <c r="I142" s="871" t="s">
        <v>769</v>
      </c>
      <c r="J142" s="871" t="s">
        <v>768</v>
      </c>
    </row>
    <row r="143" spans="1:16">
      <c r="A143" s="942"/>
      <c r="B143" s="876"/>
      <c r="C143" s="873" t="s">
        <v>770</v>
      </c>
      <c r="D143" s="873"/>
      <c r="E143" s="873" t="s">
        <v>875</v>
      </c>
      <c r="F143" s="874" t="s">
        <v>118</v>
      </c>
      <c r="G143" s="873" t="s">
        <v>771</v>
      </c>
      <c r="H143" s="875"/>
      <c r="I143" s="873" t="s">
        <v>118</v>
      </c>
      <c r="J143" s="873" t="s">
        <v>772</v>
      </c>
    </row>
    <row r="144" spans="1:16" ht="15" customHeight="1">
      <c r="B144" s="858"/>
    </row>
    <row r="146" spans="1:14">
      <c r="A146" s="779" t="s">
        <v>1742</v>
      </c>
    </row>
    <row r="147" spans="1:14">
      <c r="A147" s="940"/>
      <c r="B147" s="852" t="s">
        <v>1739</v>
      </c>
      <c r="C147" s="769">
        <f>SUMIF(_12MonResults_Rate,MiscData!$U$8,_12MonResults_CustomerCount)</f>
        <v>4491</v>
      </c>
      <c r="D147" s="765"/>
      <c r="E147" s="765"/>
      <c r="F147" s="766">
        <f>SUMIF(_Rates_Tariff_Category,MiscData!$T$4&amp;MiscData!$W$16,_Rates_BasicServiceCharge)</f>
        <v>20</v>
      </c>
      <c r="G147" s="767">
        <f>ROUND(C147*F147,0)</f>
        <v>89820</v>
      </c>
      <c r="I147" s="853">
        <f>I112</f>
        <v>25</v>
      </c>
      <c r="J147" s="767">
        <f>I147*C147</f>
        <v>112275</v>
      </c>
      <c r="N147" s="902"/>
    </row>
    <row r="148" spans="1:14">
      <c r="A148" s="940"/>
      <c r="B148" s="852" t="s">
        <v>1740</v>
      </c>
      <c r="C148" s="769">
        <f>SUMIF(_12MonResults_Rate,MiscData!$U$9,_12MonResults_CustomerCount)</f>
        <v>3120</v>
      </c>
      <c r="D148" s="765"/>
      <c r="E148" s="765"/>
      <c r="F148" s="766">
        <f>SUMIF(_Rates_Tariff_Category,MiscData!$T$4&amp;MiscData!$W$19,_Rates_BasicServiceCharge)</f>
        <v>35</v>
      </c>
      <c r="G148" s="767">
        <f>ROUND(C148*F148,0)</f>
        <v>109200</v>
      </c>
      <c r="I148" s="853">
        <f>I113</f>
        <v>40</v>
      </c>
      <c r="J148" s="767">
        <f>I148*C148</f>
        <v>124800</v>
      </c>
      <c r="N148" s="902"/>
    </row>
    <row r="149" spans="1:14">
      <c r="A149" s="940"/>
      <c r="B149" s="852" t="s">
        <v>1477</v>
      </c>
      <c r="E149" s="769">
        <f>SUMIF(_12MonResults_Rate,MiscData!$U$8,_12MonResults_KWH_Total)</f>
        <v>7766692</v>
      </c>
      <c r="F149" s="772">
        <f>SUMIF(_Rates_Tariff_Category,MiscData!$T$4&amp;MiscData!$W$16,_Rates_Energy)</f>
        <v>7.4399999999999994E-2</v>
      </c>
      <c r="G149" s="767">
        <f>ROUND(F149*E149,0)</f>
        <v>577842</v>
      </c>
      <c r="I149" s="856">
        <v>8.0939999999999998E-2</v>
      </c>
      <c r="J149" s="767">
        <f>ROUND(I149*E149,0)</f>
        <v>628636</v>
      </c>
      <c r="N149" s="902"/>
    </row>
    <row r="150" spans="1:14">
      <c r="A150" s="940"/>
      <c r="B150" s="852" t="s">
        <v>1478</v>
      </c>
      <c r="E150" s="769">
        <f>SUMIF(_12MonResults_Rate,MiscData!$U$9,_12MonResults_KWH_Total)</f>
        <v>143951864</v>
      </c>
      <c r="F150" s="772">
        <f>SUMIF(_Rates_Tariff_Category,MiscData!$T$4&amp;MiscData!$W$16,_Rates_Energy)</f>
        <v>7.4399999999999994E-2</v>
      </c>
      <c r="G150" s="767">
        <f>ROUND(F150*E150,0)</f>
        <v>10710019</v>
      </c>
      <c r="I150" s="856">
        <f>I149</f>
        <v>8.0939999999999998E-2</v>
      </c>
      <c r="J150" s="767">
        <f>ROUND(I150*E150,0)</f>
        <v>11651464</v>
      </c>
      <c r="N150" s="902"/>
    </row>
    <row r="151" spans="1:14">
      <c r="A151" s="889"/>
      <c r="B151" s="855"/>
      <c r="F151" s="856"/>
      <c r="G151" s="767"/>
      <c r="I151" s="856"/>
      <c r="J151" s="767"/>
      <c r="N151" s="902"/>
    </row>
    <row r="152" spans="1:14">
      <c r="A152" s="889"/>
      <c r="B152" s="855"/>
      <c r="F152" s="856"/>
      <c r="G152" s="767"/>
      <c r="I152" s="856"/>
      <c r="J152" s="767"/>
      <c r="N152" s="902"/>
    </row>
    <row r="153" spans="1:14">
      <c r="A153" s="940"/>
      <c r="B153" s="855"/>
      <c r="G153" s="877"/>
      <c r="J153" s="877"/>
    </row>
    <row r="154" spans="1:14">
      <c r="A154" s="940"/>
      <c r="E154" s="860" t="s">
        <v>774</v>
      </c>
      <c r="G154" s="861">
        <f>SUM(G147:G153)</f>
        <v>11486881</v>
      </c>
      <c r="J154" s="861">
        <f>SUM(J147:J153)</f>
        <v>12517175</v>
      </c>
    </row>
    <row r="155" spans="1:14">
      <c r="A155" s="940"/>
      <c r="E155" s="855" t="s">
        <v>775</v>
      </c>
      <c r="G155" s="862">
        <f>'12MonResults'!$AG$494</f>
        <v>1</v>
      </c>
      <c r="J155" s="862">
        <f>G155</f>
        <v>1</v>
      </c>
    </row>
    <row r="156" spans="1:14">
      <c r="A156" s="940"/>
      <c r="E156" s="860" t="s">
        <v>776</v>
      </c>
      <c r="G156" s="861">
        <f>+ROUND(G154/G155,0)</f>
        <v>11486881</v>
      </c>
      <c r="J156" s="861">
        <f>+ROUND(J154/J155,0)</f>
        <v>12517175</v>
      </c>
    </row>
    <row r="157" spans="1:14">
      <c r="A157" s="940"/>
      <c r="E157" s="860"/>
      <c r="G157" s="854"/>
    </row>
    <row r="158" spans="1:14">
      <c r="A158" s="939"/>
      <c r="B158" s="850" t="s">
        <v>826</v>
      </c>
      <c r="G158" s="863">
        <f>'Sch M-2.3 pg 1-2'!$H$25</f>
        <v>-477913</v>
      </c>
      <c r="J158" s="850">
        <f>G158</f>
        <v>-477913</v>
      </c>
    </row>
    <row r="159" spans="1:14">
      <c r="A159" s="939"/>
      <c r="B159" s="864"/>
      <c r="G159" s="863"/>
    </row>
    <row r="160" spans="1:14" ht="15">
      <c r="A160" s="889"/>
      <c r="B160" s="865" t="s">
        <v>812</v>
      </c>
      <c r="G160" s="866">
        <f>SUM(G156:G158)</f>
        <v>11008968</v>
      </c>
      <c r="J160" s="866">
        <f>SUM(J158:J158)+J156</f>
        <v>12039262</v>
      </c>
    </row>
    <row r="161" spans="1:16">
      <c r="B161" s="864"/>
    </row>
    <row r="162" spans="1:16">
      <c r="B162" s="858" t="s">
        <v>814</v>
      </c>
      <c r="G162" s="854">
        <f>G158*-1</f>
        <v>477913</v>
      </c>
      <c r="J162" s="767">
        <f>G162</f>
        <v>477913</v>
      </c>
    </row>
    <row r="163" spans="1:16">
      <c r="B163" s="858" t="s">
        <v>1711</v>
      </c>
      <c r="G163" s="854">
        <f>'Sch M-2.3 pg 1-2'!$D$25</f>
        <v>377422</v>
      </c>
      <c r="J163" s="767">
        <f t="shared" ref="J163:J165" si="9">G163</f>
        <v>377422</v>
      </c>
    </row>
    <row r="164" spans="1:16">
      <c r="B164" s="858" t="s">
        <v>1712</v>
      </c>
      <c r="G164" s="854">
        <f>'Sch M-2.3 pg 1-2'!$E$25</f>
        <v>225473</v>
      </c>
      <c r="J164" s="767">
        <f t="shared" si="9"/>
        <v>225473</v>
      </c>
    </row>
    <row r="165" spans="1:16">
      <c r="B165" s="858" t="s">
        <v>1713</v>
      </c>
      <c r="G165" s="854">
        <f>'Sch M-2.3 pg 1-2'!$F$25</f>
        <v>846521</v>
      </c>
      <c r="J165" s="767">
        <f t="shared" si="9"/>
        <v>846521</v>
      </c>
    </row>
    <row r="166" spans="1:16">
      <c r="A166" s="940"/>
      <c r="B166" s="858"/>
      <c r="C166" s="858"/>
      <c r="D166" s="858"/>
      <c r="K166" s="1292">
        <v>59159.564436836976</v>
      </c>
    </row>
    <row r="167" spans="1:16" ht="15">
      <c r="A167" s="769"/>
      <c r="B167" s="865" t="s">
        <v>815</v>
      </c>
      <c r="C167" s="769"/>
      <c r="D167" s="769"/>
      <c r="E167" s="769"/>
      <c r="F167" s="769"/>
      <c r="G167" s="866">
        <f>SUM(G160:G165)</f>
        <v>12936297</v>
      </c>
      <c r="H167" s="769"/>
      <c r="I167" s="769"/>
      <c r="J167" s="866">
        <f>SUM(J160:J165)</f>
        <v>13966591</v>
      </c>
      <c r="K167" s="1292">
        <v>972445.7621084511</v>
      </c>
    </row>
    <row r="168" spans="1:16" ht="15">
      <c r="A168" s="769"/>
      <c r="B168" s="865"/>
      <c r="C168" s="769"/>
      <c r="D168" s="769"/>
      <c r="E168" s="769"/>
      <c r="F168" s="769"/>
      <c r="G168" s="866"/>
      <c r="H168" s="769"/>
      <c r="I168" s="769"/>
      <c r="J168" s="866"/>
    </row>
    <row r="169" spans="1:16">
      <c r="A169" s="940"/>
      <c r="B169" s="869" t="s">
        <v>777</v>
      </c>
      <c r="C169" s="858"/>
      <c r="D169" s="858"/>
      <c r="J169" s="887">
        <f>J167-G167</f>
        <v>1030294</v>
      </c>
      <c r="K169" s="850">
        <f>K166+K167</f>
        <v>1031605.3265452881</v>
      </c>
    </row>
    <row r="170" spans="1:16">
      <c r="A170" s="940"/>
      <c r="J170" s="919">
        <f>J169/G167</f>
        <v>7.9643656913566535E-2</v>
      </c>
      <c r="K170" s="850">
        <f>J169-K169</f>
        <v>-1311.3265452880878</v>
      </c>
    </row>
    <row r="171" spans="1:16">
      <c r="A171" s="940"/>
      <c r="J171" s="919"/>
    </row>
    <row r="172" spans="1:16">
      <c r="B172" s="858"/>
    </row>
    <row r="173" spans="1:16">
      <c r="A173" s="970" t="s">
        <v>1462</v>
      </c>
      <c r="J173" s="944" t="s">
        <v>1489</v>
      </c>
    </row>
    <row r="174" spans="1:16">
      <c r="A174" s="943" t="s">
        <v>1465</v>
      </c>
      <c r="J174" s="944" t="str">
        <f>"Page "&amp;O174&amp;" of "&amp;P174</f>
        <v>Page 7 of 20</v>
      </c>
      <c r="O174" s="850">
        <f>O138+1</f>
        <v>7</v>
      </c>
      <c r="P174" s="850">
        <f>'Settlement Exhibit 1 pgs 15-20'!$P$165</f>
        <v>20</v>
      </c>
    </row>
    <row r="175" spans="1:16">
      <c r="A175" s="943" t="s">
        <v>1461</v>
      </c>
      <c r="J175" s="944"/>
    </row>
    <row r="176" spans="1:16">
      <c r="A176" s="945"/>
    </row>
    <row r="177" spans="1:16">
      <c r="A177" s="949"/>
      <c r="B177" s="950"/>
      <c r="C177" s="950"/>
      <c r="D177" s="950"/>
      <c r="E177" s="951"/>
      <c r="F177" s="951"/>
      <c r="G177" s="951" t="s">
        <v>766</v>
      </c>
      <c r="H177" s="952"/>
      <c r="I177" s="951"/>
      <c r="J177" s="951" t="s">
        <v>766</v>
      </c>
    </row>
    <row r="178" spans="1:16">
      <c r="A178" s="946"/>
      <c r="C178" s="871" t="s">
        <v>750</v>
      </c>
      <c r="D178" s="867" t="s">
        <v>1546</v>
      </c>
      <c r="E178" s="871" t="s">
        <v>59</v>
      </c>
      <c r="F178" s="871" t="s">
        <v>767</v>
      </c>
      <c r="G178" s="871" t="s">
        <v>768</v>
      </c>
      <c r="H178" s="872"/>
      <c r="I178" s="871" t="s">
        <v>769</v>
      </c>
      <c r="J178" s="871" t="s">
        <v>768</v>
      </c>
    </row>
    <row r="179" spans="1:16">
      <c r="A179" s="942"/>
      <c r="B179" s="876"/>
      <c r="C179" s="873" t="s">
        <v>1547</v>
      </c>
      <c r="D179" s="873" t="s">
        <v>1497</v>
      </c>
      <c r="E179" s="873" t="s">
        <v>875</v>
      </c>
      <c r="F179" s="874" t="s">
        <v>118</v>
      </c>
      <c r="G179" s="873" t="s">
        <v>771</v>
      </c>
      <c r="H179" s="875"/>
      <c r="I179" s="873" t="s">
        <v>118</v>
      </c>
      <c r="J179" s="873" t="s">
        <v>772</v>
      </c>
    </row>
    <row r="180" spans="1:16">
      <c r="A180" s="940"/>
      <c r="J180" s="919"/>
    </row>
    <row r="181" spans="1:16">
      <c r="A181" s="779" t="s">
        <v>822</v>
      </c>
    </row>
    <row r="182" spans="1:16">
      <c r="B182" s="852" t="s">
        <v>1010</v>
      </c>
      <c r="C182" s="769">
        <f>SUMIF(_12MonResults_Rate,MiscData!$U$11,_12MonResults_CustomerCount)</f>
        <v>55875</v>
      </c>
      <c r="D182" s="765"/>
      <c r="E182" s="765"/>
      <c r="F182" s="766">
        <f>SUMIF(_Rates_Tariff_Category,MiscData!$T$4&amp;MiscData!$W$6,_Rates_BasicServiceCharge)</f>
        <v>90</v>
      </c>
      <c r="G182" s="767">
        <f>ROUND(F182*C182,0)</f>
        <v>5028750</v>
      </c>
      <c r="I182" s="853">
        <v>90</v>
      </c>
      <c r="J182" s="767">
        <f>I182*C182</f>
        <v>5028750</v>
      </c>
    </row>
    <row r="183" spans="1:16">
      <c r="B183" s="855" t="s">
        <v>773</v>
      </c>
      <c r="E183" s="769">
        <f>SUMIF(_12MonResults_Rate,MiscData!$U$11,_12MonResults_KWH_Total)</f>
        <v>2109401951</v>
      </c>
      <c r="F183" s="772">
        <f>SUMIF(_Rates_Tariff_Category,MiscData!$T$4&amp;MiscData!$W$6,_Rates_Energy)</f>
        <v>3.5640000000000005E-2</v>
      </c>
      <c r="G183" s="767">
        <f>ROUND(F183*E183,0)</f>
        <v>75179086</v>
      </c>
      <c r="I183" s="856">
        <v>3.5720000000000002E-2</v>
      </c>
      <c r="J183" s="767">
        <f>I183*E183</f>
        <v>75347837.689720005</v>
      </c>
      <c r="K183" s="919"/>
      <c r="L183" s="919"/>
    </row>
    <row r="184" spans="1:16">
      <c r="B184" s="855" t="s">
        <v>779</v>
      </c>
      <c r="D184" s="769">
        <f>'Power Factor'!$J$10</f>
        <v>3181501.3200592869</v>
      </c>
      <c r="E184" s="771"/>
      <c r="F184" s="766">
        <f>SUMIF(_Rates_Tariff_Category,MiscData!$T$4&amp;MiscData!$W$6,_Rates_Demand_Peak)</f>
        <v>15.3</v>
      </c>
      <c r="G184" s="767">
        <f>ROUND((C184+D184)*F184,0)</f>
        <v>48676970</v>
      </c>
      <c r="I184" s="766">
        <v>17.55</v>
      </c>
      <c r="J184" s="767">
        <f>ROUND(I184*+D184,0)</f>
        <v>55835348</v>
      </c>
      <c r="K184" s="919"/>
      <c r="L184" s="919"/>
      <c r="M184" s="954"/>
      <c r="P184" s="955"/>
    </row>
    <row r="185" spans="1:16">
      <c r="B185" s="855" t="s">
        <v>780</v>
      </c>
      <c r="D185" s="769">
        <f>'Power Factor'!$J$9</f>
        <v>3732201.7799631949</v>
      </c>
      <c r="E185" s="771"/>
      <c r="F185" s="766">
        <f>SUMIF(_Rates_Tariff_Category,MiscData!$T$4&amp;MiscData!$W$6,_Rates_Demand_Intermediate)</f>
        <v>13.2</v>
      </c>
      <c r="G185" s="767">
        <f>ROUND((C185+D185)*F185,0)</f>
        <v>49265063</v>
      </c>
      <c r="I185" s="766">
        <v>15.450000000000001</v>
      </c>
      <c r="J185" s="767">
        <f>ROUND(I185*+D185,0)</f>
        <v>57662518</v>
      </c>
      <c r="K185" s="919"/>
      <c r="P185" s="956"/>
    </row>
    <row r="186" spans="1:16">
      <c r="B186" s="855"/>
      <c r="D186" s="771"/>
      <c r="E186" s="771"/>
      <c r="F186" s="770"/>
      <c r="G186" s="767"/>
      <c r="I186" s="856"/>
      <c r="J186" s="767"/>
      <c r="K186" s="902"/>
      <c r="M186" s="908"/>
      <c r="N186" s="957"/>
      <c r="O186" s="957"/>
      <c r="P186" s="956"/>
    </row>
    <row r="187" spans="1:16">
      <c r="B187" s="855" t="s">
        <v>1714</v>
      </c>
      <c r="D187" s="771">
        <f>'Power Factor'!K10</f>
        <v>31478.679940713104</v>
      </c>
      <c r="E187" s="771"/>
      <c r="F187" s="766">
        <f>F184</f>
        <v>15.3</v>
      </c>
      <c r="G187" s="767">
        <f>ROUND((C187+D187)*F187,0)</f>
        <v>481624</v>
      </c>
      <c r="I187" s="766">
        <f>I184</f>
        <v>17.55</v>
      </c>
      <c r="J187" s="767">
        <f>ROUND(I187*+D187,0)</f>
        <v>552451</v>
      </c>
      <c r="K187" s="902"/>
      <c r="M187" s="908"/>
      <c r="N187" s="957"/>
      <c r="P187" s="956"/>
    </row>
    <row r="188" spans="1:16">
      <c r="B188" s="852" t="s">
        <v>1715</v>
      </c>
      <c r="D188" s="769">
        <f>'Power Factor'!K9</f>
        <v>32127.220036805142</v>
      </c>
      <c r="E188" s="771"/>
      <c r="F188" s="766">
        <f>F185</f>
        <v>13.2</v>
      </c>
      <c r="G188" s="767">
        <f>ROUND((C188+D188)*F188,0)</f>
        <v>424079</v>
      </c>
      <c r="I188" s="766">
        <f>I185</f>
        <v>15.450000000000001</v>
      </c>
      <c r="J188" s="767">
        <f>ROUND(I188*+D188,0)</f>
        <v>496366</v>
      </c>
      <c r="K188" s="902"/>
      <c r="M188" s="908"/>
      <c r="N188" s="957"/>
      <c r="P188" s="956"/>
    </row>
    <row r="189" spans="1:16">
      <c r="B189" s="855"/>
      <c r="F189" s="856"/>
      <c r="G189" s="767"/>
      <c r="I189" s="856"/>
      <c r="J189" s="767"/>
      <c r="K189" s="902"/>
      <c r="N189" s="957"/>
      <c r="P189" s="956"/>
    </row>
    <row r="190" spans="1:16">
      <c r="B190" s="855"/>
      <c r="F190" s="856"/>
      <c r="G190" s="767"/>
      <c r="I190" s="856"/>
      <c r="J190" s="767"/>
      <c r="K190" s="902"/>
      <c r="N190" s="957"/>
      <c r="P190" s="956"/>
    </row>
    <row r="191" spans="1:16" ht="15">
      <c r="B191" s="855"/>
      <c r="G191" s="773"/>
      <c r="J191" s="773"/>
      <c r="K191" s="902"/>
      <c r="P191" s="956"/>
    </row>
    <row r="192" spans="1:16">
      <c r="E192" s="860" t="s">
        <v>774</v>
      </c>
      <c r="G192" s="879">
        <f>SUM(G182:G191)</f>
        <v>179055572</v>
      </c>
      <c r="J192" s="879">
        <f>SUM(J182:J191)</f>
        <v>194923270.68972</v>
      </c>
    </row>
    <row r="193" spans="1:16">
      <c r="E193" s="855" t="s">
        <v>775</v>
      </c>
      <c r="G193" s="880">
        <f>'12MonResults'!$AG$495</f>
        <v>0.99999988271798912</v>
      </c>
      <c r="J193" s="880">
        <f>G193</f>
        <v>0.99999988271798912</v>
      </c>
    </row>
    <row r="194" spans="1:16">
      <c r="E194" s="860" t="s">
        <v>776</v>
      </c>
      <c r="G194" s="879">
        <f>+ROUND(G192/G193,0)</f>
        <v>179055593</v>
      </c>
      <c r="J194" s="879">
        <f>+ROUND(J192/J193,0)</f>
        <v>194923294</v>
      </c>
    </row>
    <row r="195" spans="1:16">
      <c r="E195" s="860"/>
      <c r="G195" s="767"/>
      <c r="J195" s="767"/>
    </row>
    <row r="196" spans="1:16">
      <c r="A196" s="939"/>
      <c r="B196" s="850" t="s">
        <v>826</v>
      </c>
      <c r="G196" s="863">
        <f>'ECR in Base Rates'!$F$24*-1</f>
        <v>-7535493</v>
      </c>
      <c r="J196" s="767">
        <f>G196</f>
        <v>-7535493</v>
      </c>
    </row>
    <row r="197" spans="1:16">
      <c r="B197" s="858" t="s">
        <v>1007</v>
      </c>
      <c r="D197" s="850">
        <v>2700</v>
      </c>
      <c r="F197" s="766">
        <v>1.49</v>
      </c>
      <c r="G197" s="767">
        <f>ROUND(D197*F197,0)</f>
        <v>4023</v>
      </c>
      <c r="I197" s="766">
        <v>1.1200000000000001</v>
      </c>
      <c r="J197" s="767">
        <f>I197*D197</f>
        <v>3024.0000000000005</v>
      </c>
      <c r="K197" s="902"/>
      <c r="M197" s="908"/>
      <c r="N197" s="957"/>
      <c r="O197" s="957"/>
      <c r="P197" s="956"/>
    </row>
    <row r="198" spans="1:16">
      <c r="B198" s="855"/>
      <c r="G198" s="767"/>
      <c r="J198" s="767"/>
    </row>
    <row r="199" spans="1:16" ht="15">
      <c r="B199" s="865" t="s">
        <v>812</v>
      </c>
      <c r="G199" s="776">
        <f>SUM(G194:G198)</f>
        <v>171524123</v>
      </c>
      <c r="J199" s="776">
        <f>SUM(J194:J198)</f>
        <v>187390825</v>
      </c>
    </row>
    <row r="200" spans="1:16">
      <c r="B200" s="855"/>
      <c r="G200" s="767"/>
      <c r="J200" s="767"/>
    </row>
    <row r="201" spans="1:16">
      <c r="B201" s="858" t="s">
        <v>814</v>
      </c>
      <c r="G201" s="854">
        <f>G196*-1</f>
        <v>7535493</v>
      </c>
      <c r="J201" s="767">
        <f>G201</f>
        <v>7535493</v>
      </c>
    </row>
    <row r="202" spans="1:16">
      <c r="B202" s="858" t="s">
        <v>1711</v>
      </c>
      <c r="G202" s="854">
        <f>'Sch M-2.3 pg 1-2'!$D$27</f>
        <v>5007479</v>
      </c>
      <c r="J202" s="767">
        <f t="shared" ref="J202:J204" si="10">G202</f>
        <v>5007479</v>
      </c>
    </row>
    <row r="203" spans="1:16">
      <c r="B203" s="858" t="s">
        <v>1712</v>
      </c>
      <c r="G203" s="854">
        <f>'Sch M-2.3 pg 1-2'!$E$27</f>
        <v>3217407</v>
      </c>
      <c r="J203" s="767">
        <f t="shared" si="10"/>
        <v>3217407</v>
      </c>
    </row>
    <row r="204" spans="1:16">
      <c r="B204" s="858" t="s">
        <v>1713</v>
      </c>
      <c r="G204" s="854">
        <f>'Sch M-2.3 pg 1-2'!$F$27</f>
        <v>11727246</v>
      </c>
      <c r="J204" s="767">
        <f t="shared" si="10"/>
        <v>11727246</v>
      </c>
    </row>
    <row r="205" spans="1:16">
      <c r="A205" s="940"/>
      <c r="B205" s="858"/>
      <c r="C205" s="858"/>
      <c r="D205" s="858"/>
    </row>
    <row r="206" spans="1:16" ht="15">
      <c r="A206" s="769"/>
      <c r="B206" s="865" t="s">
        <v>815</v>
      </c>
      <c r="C206" s="769"/>
      <c r="D206" s="769"/>
      <c r="E206" s="769"/>
      <c r="F206" s="769"/>
      <c r="G206" s="866">
        <f>SUM(G199:G204)</f>
        <v>199011748</v>
      </c>
      <c r="H206" s="769"/>
      <c r="I206" s="769"/>
      <c r="J206" s="866">
        <f>SUM(J199:J204)</f>
        <v>214878450</v>
      </c>
    </row>
    <row r="207" spans="1:16">
      <c r="B207" s="867"/>
      <c r="G207" s="854"/>
      <c r="J207" s="854"/>
    </row>
    <row r="208" spans="1:16">
      <c r="B208" s="869" t="s">
        <v>777</v>
      </c>
      <c r="J208" s="887">
        <f>J206-G206</f>
        <v>15866702</v>
      </c>
      <c r="K208" s="1292">
        <v>15870196.802213848</v>
      </c>
    </row>
    <row r="209" spans="1:16">
      <c r="C209" s="858" t="s">
        <v>778</v>
      </c>
      <c r="D209" s="858"/>
      <c r="J209" s="919">
        <f>J208/G206</f>
        <v>7.9727464129404055E-2</v>
      </c>
      <c r="K209" s="850">
        <f>J208-K208</f>
        <v>-3494.8022138476372</v>
      </c>
    </row>
    <row r="210" spans="1:16">
      <c r="A210" s="769"/>
      <c r="B210" s="769"/>
      <c r="C210" s="769"/>
      <c r="D210" s="769"/>
      <c r="E210" s="769"/>
      <c r="F210" s="769"/>
      <c r="G210" s="769"/>
      <c r="H210" s="769"/>
      <c r="I210" s="769"/>
      <c r="J210" s="769"/>
    </row>
    <row r="211" spans="1:16">
      <c r="B211" s="858"/>
    </row>
    <row r="212" spans="1:16">
      <c r="A212" s="970" t="s">
        <v>1462</v>
      </c>
      <c r="J212" s="944" t="s">
        <v>1489</v>
      </c>
    </row>
    <row r="213" spans="1:16">
      <c r="A213" s="943" t="s">
        <v>1465</v>
      </c>
      <c r="J213" s="944" t="str">
        <f>"Page "&amp;O213&amp;" of "&amp;P213</f>
        <v>Page 8 of 20</v>
      </c>
      <c r="O213" s="850">
        <f>O174+1</f>
        <v>8</v>
      </c>
      <c r="P213" s="850">
        <f>'Settlement Exhibit 1 pgs 15-20'!$P$165</f>
        <v>20</v>
      </c>
    </row>
    <row r="214" spans="1:16">
      <c r="A214" s="943" t="s">
        <v>1461</v>
      </c>
      <c r="J214" s="944"/>
    </row>
    <row r="215" spans="1:16">
      <c r="A215" s="945"/>
    </row>
    <row r="216" spans="1:16">
      <c r="A216" s="949"/>
      <c r="B216" s="950"/>
      <c r="C216" s="950"/>
      <c r="D216" s="950"/>
      <c r="E216" s="951"/>
      <c r="F216" s="951"/>
      <c r="G216" s="951" t="s">
        <v>766</v>
      </c>
      <c r="H216" s="952"/>
      <c r="I216" s="951"/>
      <c r="J216" s="951" t="s">
        <v>766</v>
      </c>
    </row>
    <row r="217" spans="1:16">
      <c r="A217" s="946"/>
      <c r="C217" s="871" t="s">
        <v>750</v>
      </c>
      <c r="D217" s="867" t="s">
        <v>1546</v>
      </c>
      <c r="E217" s="871" t="s">
        <v>59</v>
      </c>
      <c r="F217" s="871" t="s">
        <v>767</v>
      </c>
      <c r="G217" s="871" t="s">
        <v>768</v>
      </c>
      <c r="H217" s="872"/>
      <c r="I217" s="871" t="s">
        <v>769</v>
      </c>
      <c r="J217" s="871" t="s">
        <v>768</v>
      </c>
    </row>
    <row r="218" spans="1:16">
      <c r="A218" s="942"/>
      <c r="B218" s="876"/>
      <c r="C218" s="873" t="s">
        <v>1547</v>
      </c>
      <c r="D218" s="873" t="s">
        <v>1497</v>
      </c>
      <c r="E218" s="873" t="s">
        <v>875</v>
      </c>
      <c r="F218" s="874" t="s">
        <v>118</v>
      </c>
      <c r="G218" s="873" t="s">
        <v>771</v>
      </c>
      <c r="H218" s="875"/>
      <c r="I218" s="873" t="s">
        <v>118</v>
      </c>
      <c r="J218" s="873" t="s">
        <v>772</v>
      </c>
    </row>
    <row r="219" spans="1:16">
      <c r="A219" s="769"/>
      <c r="B219" s="769"/>
      <c r="C219" s="769"/>
      <c r="D219" s="769"/>
      <c r="E219" s="769"/>
      <c r="F219" s="769"/>
      <c r="G219" s="769"/>
      <c r="H219" s="769"/>
      <c r="I219" s="769"/>
      <c r="J219" s="769"/>
    </row>
    <row r="220" spans="1:16">
      <c r="A220" s="779" t="s">
        <v>797</v>
      </c>
    </row>
    <row r="221" spans="1:16">
      <c r="B221" s="852" t="s">
        <v>1010</v>
      </c>
      <c r="C221" s="769">
        <f>SUMIF(_12MonResults_Rate,MiscData!$U$10,_12MonResults_CustomerCount)</f>
        <v>2370</v>
      </c>
      <c r="D221" s="765"/>
      <c r="E221" s="765"/>
      <c r="F221" s="766">
        <f>SUMIF(_Rates_Tariff_Category,MiscData!$T$4&amp;MiscData!$W$5,_Rates_BasicServiceCharge)</f>
        <v>170</v>
      </c>
      <c r="G221" s="767">
        <f>ROUND(F221*C221,0)</f>
        <v>402900</v>
      </c>
      <c r="I221" s="853">
        <v>200</v>
      </c>
      <c r="J221" s="767">
        <f>ROUND(I221*C221,0)</f>
        <v>474000</v>
      </c>
    </row>
    <row r="222" spans="1:16">
      <c r="B222" s="855" t="s">
        <v>773</v>
      </c>
      <c r="E222" s="769">
        <f>SUMIF(_12MonResults_Rate,MiscData!$U$10,_12MonResults_KWH_Total)</f>
        <v>237951668</v>
      </c>
      <c r="F222" s="772">
        <f>SUMIF(_Rates_Tariff_Category,MiscData!$T$4&amp;MiscData!$W$5,_Rates_Energy)</f>
        <v>3.5619999999999999E-2</v>
      </c>
      <c r="G222" s="767">
        <f>ROUND(F222*E222,0)</f>
        <v>8475838</v>
      </c>
      <c r="I222" s="856">
        <v>3.4459999999999998E-2</v>
      </c>
      <c r="J222" s="767">
        <f>ROUND(I222*E222,0)</f>
        <v>8199814</v>
      </c>
      <c r="K222" s="919"/>
      <c r="L222" s="919"/>
    </row>
    <row r="223" spans="1:16">
      <c r="B223" s="855" t="s">
        <v>779</v>
      </c>
      <c r="D223" s="769">
        <f>'Power Factor'!$J$27</f>
        <v>294504.80656083889</v>
      </c>
      <c r="E223" s="771"/>
      <c r="F223" s="766">
        <f>SUMIF(_Rates_Tariff_Category,MiscData!$T$4&amp;MiscData!$W$5,_Rates_Demand_Peak)</f>
        <v>15.28</v>
      </c>
      <c r="G223" s="767">
        <f>ROUND(D223*F223,0)+1</f>
        <v>4500034</v>
      </c>
      <c r="I223" s="766">
        <v>18.010000000000002</v>
      </c>
      <c r="J223" s="767">
        <f>ROUND(I223*D223,0)</f>
        <v>5304032</v>
      </c>
      <c r="K223" s="919"/>
      <c r="L223" s="919"/>
      <c r="M223" s="954"/>
      <c r="P223" s="955"/>
    </row>
    <row r="224" spans="1:16">
      <c r="B224" s="855" t="s">
        <v>780</v>
      </c>
      <c r="D224" s="769">
        <f>'Power Factor'!$J$26</f>
        <v>379236.0743034464</v>
      </c>
      <c r="E224" s="771"/>
      <c r="F224" s="766">
        <f>SUMIF(_Rates_Tariff_Category,MiscData!$T$4&amp;MiscData!$W$5,_Rates_Demand_Intermediate)</f>
        <v>13.18</v>
      </c>
      <c r="G224" s="767">
        <f>ROUND(D224*F224,0)+1</f>
        <v>4998332</v>
      </c>
      <c r="I224" s="766">
        <v>15.910000000000002</v>
      </c>
      <c r="J224" s="767">
        <f>ROUND(I224*D224,0)</f>
        <v>6033646</v>
      </c>
      <c r="K224" s="919"/>
      <c r="P224" s="956"/>
    </row>
    <row r="225" spans="1:16">
      <c r="B225" s="855"/>
      <c r="D225" s="771"/>
      <c r="E225" s="771"/>
      <c r="F225" s="770"/>
      <c r="G225" s="767"/>
      <c r="I225" s="856"/>
      <c r="J225" s="767"/>
      <c r="K225" s="902"/>
      <c r="M225" s="908"/>
      <c r="N225" s="957"/>
      <c r="O225" s="957"/>
      <c r="P225" s="956"/>
    </row>
    <row r="226" spans="1:16">
      <c r="B226" s="855" t="s">
        <v>1714</v>
      </c>
      <c r="D226" s="771">
        <f>'Power Factor'!$K$27</f>
        <v>4240.1934391611139</v>
      </c>
      <c r="E226" s="771"/>
      <c r="F226" s="766">
        <f>SUMIF(_Rates_Tariff_Category,MiscData!$T$4&amp;MiscData!$W$5,_Rates_Demand_Peak)</f>
        <v>15.28</v>
      </c>
      <c r="G226" s="767">
        <f t="shared" ref="G226:G227" si="11">ROUND(D226*F226,0)</f>
        <v>64790</v>
      </c>
      <c r="I226" s="766">
        <f>I223</f>
        <v>18.010000000000002</v>
      </c>
      <c r="J226" s="767">
        <f>ROUND(I226*D226,0)</f>
        <v>76366</v>
      </c>
      <c r="K226" s="902"/>
      <c r="M226" s="908"/>
      <c r="N226" s="957"/>
      <c r="P226" s="956"/>
    </row>
    <row r="227" spans="1:16">
      <c r="B227" s="852" t="s">
        <v>1715</v>
      </c>
      <c r="D227" s="771">
        <f>'Power Factor'!$K$26</f>
        <v>4672.9256965536042</v>
      </c>
      <c r="E227" s="771"/>
      <c r="F227" s="766">
        <f>SUMIF(_Rates_Tariff_Category,MiscData!$T$4&amp;MiscData!$W$5,_Rates_Demand_Intermediate)</f>
        <v>13.18</v>
      </c>
      <c r="G227" s="767">
        <f t="shared" si="11"/>
        <v>61589</v>
      </c>
      <c r="I227" s="766">
        <f>I224</f>
        <v>15.910000000000002</v>
      </c>
      <c r="J227" s="767">
        <f>ROUND(I227*D227,0)</f>
        <v>74346</v>
      </c>
      <c r="K227" s="902"/>
      <c r="M227" s="908"/>
      <c r="N227" s="957"/>
      <c r="P227" s="956"/>
    </row>
    <row r="228" spans="1:16">
      <c r="B228" s="855"/>
      <c r="F228" s="856"/>
      <c r="G228" s="767"/>
      <c r="I228" s="856"/>
      <c r="J228" s="767"/>
      <c r="K228" s="902"/>
      <c r="M228" s="908"/>
      <c r="N228" s="957"/>
      <c r="P228" s="956"/>
    </row>
    <row r="229" spans="1:16">
      <c r="B229" s="855"/>
      <c r="F229" s="856"/>
      <c r="G229" s="767"/>
      <c r="I229" s="856"/>
      <c r="J229" s="767"/>
      <c r="K229" s="902"/>
      <c r="M229" s="908"/>
      <c r="N229" s="957"/>
      <c r="P229" s="956"/>
    </row>
    <row r="230" spans="1:16" ht="15">
      <c r="B230" s="855"/>
      <c r="G230" s="773"/>
      <c r="J230" s="773"/>
      <c r="K230" s="902"/>
      <c r="M230" s="908"/>
      <c r="P230" s="956"/>
    </row>
    <row r="231" spans="1:16">
      <c r="E231" s="860" t="s">
        <v>774</v>
      </c>
      <c r="G231" s="879">
        <f>SUM(G221:G230)</f>
        <v>18503483</v>
      </c>
      <c r="J231" s="879">
        <f>SUM(J221:J230)</f>
        <v>20162204</v>
      </c>
    </row>
    <row r="232" spans="1:16">
      <c r="E232" s="855" t="s">
        <v>775</v>
      </c>
      <c r="G232" s="880">
        <f>'12MonResults'!$AG$496</f>
        <v>1.000000270219469</v>
      </c>
      <c r="J232" s="881">
        <f>G232</f>
        <v>1.000000270219469</v>
      </c>
    </row>
    <row r="233" spans="1:16">
      <c r="E233" s="860" t="s">
        <v>776</v>
      </c>
      <c r="G233" s="879">
        <f>+ROUND(G231/G232,0)</f>
        <v>18503478</v>
      </c>
      <c r="J233" s="879">
        <f>+ROUND(J231/J232,0)</f>
        <v>20162199</v>
      </c>
    </row>
    <row r="234" spans="1:16">
      <c r="E234" s="860"/>
      <c r="G234" s="767"/>
      <c r="J234" s="767"/>
    </row>
    <row r="235" spans="1:16">
      <c r="A235" s="939"/>
      <c r="B235" s="850" t="s">
        <v>826</v>
      </c>
      <c r="G235" s="767">
        <f>-'ECR in Base Rates'!$F$29</f>
        <v>-737267</v>
      </c>
      <c r="J235" s="767">
        <f>G235</f>
        <v>-737267</v>
      </c>
    </row>
    <row r="236" spans="1:16">
      <c r="B236" s="858" t="s">
        <v>653</v>
      </c>
      <c r="D236" s="850">
        <v>7800</v>
      </c>
      <c r="F236" s="766">
        <v>1.25</v>
      </c>
      <c r="G236" s="767">
        <f>ROUND(D236*F236,0)</f>
        <v>9750</v>
      </c>
      <c r="I236" s="766">
        <v>1.1100000000000001</v>
      </c>
      <c r="J236" s="767">
        <f>ROUND(I236*D236,0)</f>
        <v>8658</v>
      </c>
      <c r="K236" s="902"/>
      <c r="M236" s="908"/>
      <c r="N236" s="957"/>
      <c r="O236" s="957"/>
      <c r="P236" s="956"/>
    </row>
    <row r="237" spans="1:16">
      <c r="A237" s="939"/>
      <c r="B237" s="864"/>
      <c r="G237" s="863"/>
      <c r="J237" s="767"/>
    </row>
    <row r="238" spans="1:16" ht="15">
      <c r="A238" s="939"/>
      <c r="B238" s="865" t="s">
        <v>812</v>
      </c>
      <c r="G238" s="776">
        <f>SUM(G233:G237)</f>
        <v>17775961</v>
      </c>
      <c r="J238" s="776">
        <f>SUM(J233:J237)</f>
        <v>19433590</v>
      </c>
    </row>
    <row r="239" spans="1:16">
      <c r="B239" s="855"/>
      <c r="G239" s="767"/>
      <c r="J239" s="767"/>
    </row>
    <row r="240" spans="1:16">
      <c r="B240" s="858" t="s">
        <v>814</v>
      </c>
      <c r="G240" s="767">
        <f>'ECR in Base Rates'!$F$29</f>
        <v>737267</v>
      </c>
      <c r="J240" s="767">
        <f>G240</f>
        <v>737267</v>
      </c>
    </row>
    <row r="241" spans="1:16">
      <c r="B241" s="858" t="s">
        <v>1711</v>
      </c>
      <c r="G241" s="854">
        <f>'Sch M-2.3 pg 1-2'!$D$28</f>
        <v>569148</v>
      </c>
      <c r="J241" s="767">
        <f t="shared" ref="J241:J243" si="12">G241</f>
        <v>569148</v>
      </c>
    </row>
    <row r="242" spans="1:16">
      <c r="B242" s="858" t="s">
        <v>1712</v>
      </c>
      <c r="G242" s="854">
        <f>'Sch M-2.3 pg 1-2'!$E$28</f>
        <v>362854</v>
      </c>
      <c r="J242" s="767">
        <f t="shared" si="12"/>
        <v>362854</v>
      </c>
    </row>
    <row r="243" spans="1:16">
      <c r="B243" s="858" t="s">
        <v>1713</v>
      </c>
      <c r="G243" s="854">
        <f>'Sch M-2.3 pg 1-2'!$F$28</f>
        <v>1329230</v>
      </c>
      <c r="J243" s="767">
        <f t="shared" si="12"/>
        <v>1329230</v>
      </c>
    </row>
    <row r="244" spans="1:16">
      <c r="A244" s="940"/>
      <c r="B244" s="858"/>
      <c r="C244" s="858"/>
      <c r="D244" s="858"/>
    </row>
    <row r="245" spans="1:16" ht="15">
      <c r="A245" s="769"/>
      <c r="B245" s="865" t="s">
        <v>815</v>
      </c>
      <c r="C245" s="769"/>
      <c r="D245" s="769"/>
      <c r="E245" s="769"/>
      <c r="F245" s="769"/>
      <c r="G245" s="866">
        <f>SUM(G238:G243)</f>
        <v>20774460</v>
      </c>
      <c r="H245" s="769"/>
      <c r="I245" s="769"/>
      <c r="J245" s="866">
        <f>SUM(J238:J243)</f>
        <v>22432089</v>
      </c>
    </row>
    <row r="246" spans="1:16">
      <c r="B246" s="867"/>
      <c r="G246" s="854"/>
      <c r="J246" s="854"/>
    </row>
    <row r="247" spans="1:16">
      <c r="B247" s="869" t="s">
        <v>777</v>
      </c>
      <c r="J247" s="887">
        <f>J245-G245</f>
        <v>1657629</v>
      </c>
      <c r="K247" s="1292">
        <v>1656659.8302514255</v>
      </c>
    </row>
    <row r="248" spans="1:16">
      <c r="C248" s="858" t="s">
        <v>778</v>
      </c>
      <c r="D248" s="858"/>
      <c r="J248" s="919">
        <f>J247/G245</f>
        <v>7.9791676895572733E-2</v>
      </c>
      <c r="K248" s="850">
        <f>J247-K247</f>
        <v>969.16974857449532</v>
      </c>
    </row>
    <row r="249" spans="1:16">
      <c r="A249" s="769"/>
      <c r="B249" s="769"/>
      <c r="C249" s="769"/>
      <c r="D249" s="769"/>
      <c r="E249" s="769"/>
      <c r="F249" s="769"/>
      <c r="G249" s="769"/>
      <c r="H249" s="769"/>
      <c r="I249" s="769"/>
      <c r="J249" s="769"/>
    </row>
    <row r="250" spans="1:16">
      <c r="B250" s="858"/>
    </row>
    <row r="251" spans="1:16">
      <c r="A251" s="970" t="s">
        <v>1462</v>
      </c>
      <c r="J251" s="944" t="s">
        <v>1489</v>
      </c>
    </row>
    <row r="252" spans="1:16">
      <c r="A252" s="943" t="s">
        <v>1465</v>
      </c>
      <c r="J252" s="944" t="str">
        <f>"Page "&amp;O252&amp;" of "&amp;P252</f>
        <v>Page 9 of 20</v>
      </c>
      <c r="O252" s="850">
        <f>O213+1</f>
        <v>9</v>
      </c>
      <c r="P252" s="850">
        <f>'Settlement Exhibit 1 pgs 15-20'!$P$165</f>
        <v>20</v>
      </c>
    </row>
    <row r="253" spans="1:16">
      <c r="A253" s="943" t="s">
        <v>1461</v>
      </c>
      <c r="J253" s="944"/>
    </row>
    <row r="254" spans="1:16">
      <c r="A254" s="945"/>
    </row>
    <row r="255" spans="1:16">
      <c r="A255" s="949"/>
      <c r="B255" s="950"/>
      <c r="C255" s="950"/>
      <c r="D255" s="950"/>
      <c r="E255" s="951"/>
      <c r="F255" s="951"/>
      <c r="G255" s="951" t="s">
        <v>766</v>
      </c>
      <c r="H255" s="952"/>
      <c r="I255" s="951"/>
      <c r="J255" s="951" t="s">
        <v>766</v>
      </c>
    </row>
    <row r="256" spans="1:16">
      <c r="A256" s="946"/>
      <c r="C256" s="871" t="s">
        <v>750</v>
      </c>
      <c r="D256" s="867" t="s">
        <v>1546</v>
      </c>
      <c r="E256" s="871" t="s">
        <v>59</v>
      </c>
      <c r="F256" s="871" t="s">
        <v>767</v>
      </c>
      <c r="G256" s="871" t="s">
        <v>768</v>
      </c>
      <c r="H256" s="872"/>
      <c r="I256" s="871" t="s">
        <v>769</v>
      </c>
      <c r="J256" s="871" t="s">
        <v>768</v>
      </c>
    </row>
    <row r="257" spans="1:17">
      <c r="A257" s="942"/>
      <c r="B257" s="876"/>
      <c r="C257" s="873" t="s">
        <v>1547</v>
      </c>
      <c r="D257" s="873" t="s">
        <v>1497</v>
      </c>
      <c r="E257" s="873" t="s">
        <v>875</v>
      </c>
      <c r="F257" s="874" t="s">
        <v>118</v>
      </c>
      <c r="G257" s="873" t="s">
        <v>771</v>
      </c>
      <c r="H257" s="875"/>
      <c r="I257" s="873" t="s">
        <v>118</v>
      </c>
      <c r="J257" s="873" t="s">
        <v>772</v>
      </c>
    </row>
    <row r="258" spans="1:17">
      <c r="A258" s="769"/>
      <c r="B258" s="769"/>
      <c r="C258" s="769"/>
      <c r="D258" s="769"/>
      <c r="E258" s="769"/>
      <c r="F258" s="769"/>
      <c r="G258" s="769"/>
      <c r="H258" s="769"/>
      <c r="I258" s="769"/>
      <c r="J258" s="769"/>
    </row>
    <row r="259" spans="1:17">
      <c r="A259" s="779" t="s">
        <v>823</v>
      </c>
    </row>
    <row r="260" spans="1:17">
      <c r="A260" s="889"/>
      <c r="B260" s="852" t="s">
        <v>1010</v>
      </c>
      <c r="C260" s="769">
        <f>SUMIF(_12MonResults_Rate,MiscData!$U$12,_12MonResults_CustomerCount)</f>
        <v>5598</v>
      </c>
      <c r="D260" s="765"/>
      <c r="E260" s="765"/>
      <c r="F260" s="766">
        <f>SUMIF(_Rates_Tariff_Category,MiscData!$T$4&amp;MiscData!$W$11,_Rates_BasicServiceCharge)</f>
        <v>200</v>
      </c>
      <c r="G260" s="854">
        <f>ROUND(F260*C260,0)</f>
        <v>1119600</v>
      </c>
      <c r="I260" s="853">
        <v>200</v>
      </c>
      <c r="J260" s="854">
        <f>ROUND(I260*C260,0)</f>
        <v>1119600</v>
      </c>
    </row>
    <row r="261" spans="1:17">
      <c r="A261" s="889"/>
      <c r="B261" s="855" t="s">
        <v>773</v>
      </c>
      <c r="E261" s="769">
        <f>SUMIF(_12MonResults_Rate,MiscData!$U$12,_12MonResults_KWH_Total)</f>
        <v>1609032248</v>
      </c>
      <c r="F261" s="772">
        <f>SUMIF(_Rates_Tariff_Category,MiscData!$T$4&amp;MiscData!$W$11,_Rates_Energy)</f>
        <v>3.773E-2</v>
      </c>
      <c r="G261" s="863">
        <f>ROUND(E261*F261,0)-1</f>
        <v>60708786</v>
      </c>
      <c r="I261" s="856">
        <v>3.5270000000000003E-2</v>
      </c>
      <c r="J261" s="863">
        <f>ROUND(I261*E261,0)</f>
        <v>56750567</v>
      </c>
      <c r="K261" s="919"/>
      <c r="L261" s="919"/>
      <c r="Q261" s="958"/>
    </row>
    <row r="262" spans="1:17">
      <c r="B262" s="855" t="s">
        <v>781</v>
      </c>
      <c r="C262" s="882"/>
      <c r="D262" s="769">
        <f>'Power Factor'!$J$42</f>
        <v>3854007.5760003235</v>
      </c>
      <c r="E262" s="765"/>
      <c r="F262" s="766">
        <f>SUMIF(_Rates_Tariff_Category,MiscData!$T$4&amp;MiscData!$W$11,_Rates_Demand_Base)</f>
        <v>3.62</v>
      </c>
      <c r="G262" s="854">
        <f t="shared" ref="G262:G263" si="13">ROUND(F262*D262,0)</f>
        <v>13951507</v>
      </c>
      <c r="I262" s="853">
        <v>4.82</v>
      </c>
      <c r="J262" s="863">
        <f>ROUND(D262*I262,0)</f>
        <v>18576317</v>
      </c>
      <c r="K262" s="919"/>
      <c r="L262" s="919"/>
      <c r="M262" s="954"/>
      <c r="Q262" s="957"/>
    </row>
    <row r="263" spans="1:17">
      <c r="B263" s="855" t="s">
        <v>782</v>
      </c>
      <c r="C263" s="882"/>
      <c r="D263" s="769">
        <f>'Power Factor'!$J$43</f>
        <v>3523161.5291345217</v>
      </c>
      <c r="E263" s="765"/>
      <c r="F263" s="766">
        <f>SUMIF(_Rates_Tariff_Category,MiscData!$T$4&amp;MiscData!$W$11,_Rates_Demand_Intermediate)</f>
        <v>2.95</v>
      </c>
      <c r="G263" s="854">
        <f t="shared" si="13"/>
        <v>10393327</v>
      </c>
      <c r="I263" s="853">
        <v>4.1500000000000004</v>
      </c>
      <c r="J263" s="863">
        <f t="shared" ref="J263:J264" si="14">ROUND(D263*I263,0)</f>
        <v>14621120</v>
      </c>
      <c r="K263" s="919"/>
      <c r="Q263" s="957"/>
    </row>
    <row r="264" spans="1:17">
      <c r="B264" s="855" t="s">
        <v>783</v>
      </c>
      <c r="C264" s="882"/>
      <c r="D264" s="769">
        <f>'Power Factor'!$J$44</f>
        <v>3446741.7370019536</v>
      </c>
      <c r="E264" s="765"/>
      <c r="F264" s="766">
        <f>SUMIF(_Rates_Tariff_Category,MiscData!$T$4&amp;MiscData!$W$11,_Rates_Demand_Peak)</f>
        <v>4.55</v>
      </c>
      <c r="G264" s="854">
        <f>ROUND(F264*D264,0)</f>
        <v>15682675</v>
      </c>
      <c r="I264" s="853">
        <v>5.75</v>
      </c>
      <c r="J264" s="863">
        <f t="shared" si="14"/>
        <v>19818765</v>
      </c>
      <c r="K264" s="919"/>
      <c r="M264" s="908"/>
      <c r="N264" s="957"/>
      <c r="Q264" s="957"/>
    </row>
    <row r="265" spans="1:17">
      <c r="B265" s="855"/>
      <c r="D265" s="771"/>
      <c r="E265" s="771"/>
      <c r="F265" s="770"/>
      <c r="G265" s="767"/>
      <c r="I265" s="856"/>
      <c r="J265" s="767"/>
      <c r="M265" s="908"/>
      <c r="N265" s="957"/>
    </row>
    <row r="266" spans="1:17">
      <c r="B266" s="855" t="s">
        <v>1716</v>
      </c>
      <c r="C266" s="882"/>
      <c r="D266" s="769">
        <f>'Power Factor'!$K$42</f>
        <v>112991.42399967648</v>
      </c>
      <c r="E266" s="771"/>
      <c r="F266" s="766">
        <f>F262</f>
        <v>3.62</v>
      </c>
      <c r="G266" s="854">
        <f t="shared" ref="G266:G268" si="15">ROUND(F266*D266,0)</f>
        <v>409029</v>
      </c>
      <c r="I266" s="853">
        <f>I262</f>
        <v>4.82</v>
      </c>
      <c r="J266" s="863">
        <f t="shared" ref="J266:J268" si="16">ROUND(D266*I266,0)</f>
        <v>544619</v>
      </c>
      <c r="K266" s="902"/>
      <c r="M266" s="908"/>
      <c r="N266" s="957"/>
    </row>
    <row r="267" spans="1:17">
      <c r="A267" s="889"/>
      <c r="B267" s="855" t="s">
        <v>1717</v>
      </c>
      <c r="D267" s="769">
        <f>'Power Factor'!$K$43</f>
        <v>130357.47086547827</v>
      </c>
      <c r="E267" s="771"/>
      <c r="F267" s="766">
        <f>F263</f>
        <v>2.95</v>
      </c>
      <c r="G267" s="854">
        <f t="shared" si="15"/>
        <v>384555</v>
      </c>
      <c r="I267" s="853">
        <f t="shared" ref="I267:I268" si="17">I263</f>
        <v>4.1500000000000004</v>
      </c>
      <c r="J267" s="863">
        <f t="shared" si="16"/>
        <v>540984</v>
      </c>
      <c r="M267" s="908"/>
    </row>
    <row r="268" spans="1:17">
      <c r="A268" s="889"/>
      <c r="B268" s="855" t="s">
        <v>1718</v>
      </c>
      <c r="D268" s="769">
        <f>'Power Factor'!$K$44</f>
        <v>129784.26299804635</v>
      </c>
      <c r="E268" s="771"/>
      <c r="F268" s="766">
        <f>F264</f>
        <v>4.55</v>
      </c>
      <c r="G268" s="854">
        <f t="shared" si="15"/>
        <v>590518</v>
      </c>
      <c r="I268" s="853">
        <f t="shared" si="17"/>
        <v>5.75</v>
      </c>
      <c r="J268" s="863">
        <f t="shared" si="16"/>
        <v>746260</v>
      </c>
    </row>
    <row r="269" spans="1:17">
      <c r="A269" s="889"/>
      <c r="B269" s="855"/>
      <c r="F269" s="856"/>
      <c r="G269" s="767"/>
      <c r="I269" s="856"/>
      <c r="J269" s="767"/>
    </row>
    <row r="270" spans="1:17" ht="15">
      <c r="B270" s="852"/>
      <c r="C270" s="882"/>
      <c r="D270" s="882"/>
      <c r="F270" s="853"/>
      <c r="G270" s="857"/>
      <c r="I270" s="853"/>
      <c r="J270" s="883"/>
      <c r="K270" s="902"/>
      <c r="L270" s="959"/>
    </row>
    <row r="271" spans="1:17">
      <c r="A271" s="889"/>
      <c r="E271" s="860" t="s">
        <v>774</v>
      </c>
      <c r="G271" s="861">
        <f>SUM(G260:G270)</f>
        <v>103239997</v>
      </c>
      <c r="J271" s="861">
        <f>SUM(J260:J270)</f>
        <v>112718232</v>
      </c>
    </row>
    <row r="272" spans="1:17">
      <c r="A272" s="889"/>
      <c r="E272" s="855" t="s">
        <v>775</v>
      </c>
      <c r="G272" s="862">
        <f>'12MonResults'!$AG$497</f>
        <v>1.000000029058506</v>
      </c>
      <c r="J272" s="862">
        <f>G272</f>
        <v>1.000000029058506</v>
      </c>
    </row>
    <row r="273" spans="1:14">
      <c r="A273" s="889"/>
      <c r="E273" s="860" t="s">
        <v>776</v>
      </c>
      <c r="G273" s="861">
        <f>+ROUND(G271/G272,0)</f>
        <v>103239994</v>
      </c>
      <c r="J273" s="861">
        <f>+ROUND(J271/J272,0)</f>
        <v>112718229</v>
      </c>
    </row>
    <row r="274" spans="1:14">
      <c r="A274" s="889"/>
      <c r="E274" s="860"/>
      <c r="G274" s="854"/>
    </row>
    <row r="275" spans="1:14">
      <c r="A275" s="939"/>
      <c r="B275" s="850" t="s">
        <v>826</v>
      </c>
      <c r="G275" s="863">
        <f>'ECR in Base Rates'!$F$37*-1</f>
        <v>-3695025</v>
      </c>
      <c r="J275" s="850">
        <f>G275</f>
        <v>-3695025</v>
      </c>
    </row>
    <row r="276" spans="1:14">
      <c r="B276" s="864" t="s">
        <v>1549</v>
      </c>
      <c r="D276" s="882">
        <v>63897.599999999999</v>
      </c>
      <c r="F276" s="853">
        <v>1.49</v>
      </c>
      <c r="G276" s="854">
        <f>ROUND(F276*D276,0)</f>
        <v>95207</v>
      </c>
      <c r="I276" s="853">
        <v>1.1200000000000001</v>
      </c>
      <c r="J276" s="863">
        <f>ROUND(D276*I276,0)</f>
        <v>71565</v>
      </c>
      <c r="K276" s="902"/>
      <c r="M276" s="957"/>
      <c r="N276" s="957"/>
    </row>
    <row r="277" spans="1:14" ht="15">
      <c r="A277" s="939"/>
      <c r="B277" s="864"/>
      <c r="G277" s="883"/>
      <c r="J277" s="947"/>
    </row>
    <row r="278" spans="1:14" ht="15">
      <c r="B278" s="865" t="s">
        <v>812</v>
      </c>
      <c r="G278" s="866">
        <f>SUM(G273:G276)</f>
        <v>99640176</v>
      </c>
      <c r="J278" s="866">
        <f>SUM(J275:J275)+J273+J276</f>
        <v>109094769</v>
      </c>
    </row>
    <row r="279" spans="1:14">
      <c r="A279" s="889"/>
      <c r="B279" s="855"/>
    </row>
    <row r="280" spans="1:14">
      <c r="A280" s="889"/>
      <c r="B280" s="858" t="s">
        <v>814</v>
      </c>
      <c r="G280" s="767">
        <f>'ECR in Base Rates'!$F$37</f>
        <v>3695025</v>
      </c>
      <c r="J280" s="767">
        <f>G280</f>
        <v>3695025</v>
      </c>
    </row>
    <row r="281" spans="1:14">
      <c r="A281" s="889"/>
      <c r="B281" s="858" t="s">
        <v>1711</v>
      </c>
      <c r="G281" s="854">
        <f>'Sch M-2.3 pg 1-2'!$D$31</f>
        <v>3843371</v>
      </c>
      <c r="J281" s="767">
        <f t="shared" ref="J281:J283" si="18">G281</f>
        <v>3843371</v>
      </c>
    </row>
    <row r="282" spans="1:14">
      <c r="A282" s="889"/>
      <c r="B282" s="858" t="s">
        <v>1712</v>
      </c>
      <c r="G282" s="854">
        <f>'Sch M-2.3 pg 1-2'!$E$31</f>
        <v>2449836</v>
      </c>
      <c r="J282" s="767">
        <f t="shared" si="18"/>
        <v>2449836</v>
      </c>
    </row>
    <row r="283" spans="1:14">
      <c r="A283" s="889"/>
      <c r="B283" s="858" t="s">
        <v>1713</v>
      </c>
      <c r="G283" s="854">
        <f>'Sch M-2.3 pg 1-2'!$F$31</f>
        <v>8978850</v>
      </c>
      <c r="J283" s="767">
        <f t="shared" si="18"/>
        <v>8978850</v>
      </c>
    </row>
    <row r="284" spans="1:14">
      <c r="A284" s="889"/>
      <c r="B284" s="858"/>
      <c r="C284" s="858"/>
      <c r="D284" s="858"/>
    </row>
    <row r="285" spans="1:14" ht="15">
      <c r="A285" s="889"/>
      <c r="B285" s="865" t="s">
        <v>815</v>
      </c>
      <c r="C285" s="769"/>
      <c r="D285" s="769"/>
      <c r="E285" s="769"/>
      <c r="F285" s="769"/>
      <c r="G285" s="866">
        <f>SUM(G278:G283)</f>
        <v>118607258</v>
      </c>
      <c r="H285" s="769"/>
      <c r="I285" s="769"/>
      <c r="J285" s="866">
        <f>SUM(J278:J283)</f>
        <v>128061851</v>
      </c>
    </row>
    <row r="286" spans="1:14">
      <c r="A286" s="889"/>
      <c r="B286" s="871"/>
    </row>
    <row r="287" spans="1:14">
      <c r="A287" s="889"/>
      <c r="B287" s="869" t="s">
        <v>777</v>
      </c>
      <c r="J287" s="887">
        <f>J285-G285</f>
        <v>9454593</v>
      </c>
      <c r="K287" s="1292">
        <v>9458338.7440572251</v>
      </c>
    </row>
    <row r="288" spans="1:14">
      <c r="A288" s="889"/>
      <c r="C288" s="858" t="s">
        <v>778</v>
      </c>
      <c r="D288" s="858"/>
      <c r="J288" s="919">
        <f>J287/G285</f>
        <v>7.9713443843377613E-2</v>
      </c>
      <c r="K288" s="850">
        <f>J287-K287</f>
        <v>-3745.7440572250634</v>
      </c>
    </row>
    <row r="289" spans="1:17">
      <c r="A289" s="769"/>
      <c r="B289" s="769"/>
      <c r="C289" s="769"/>
      <c r="D289" s="769"/>
      <c r="E289" s="769"/>
      <c r="F289" s="769"/>
      <c r="G289" s="769"/>
      <c r="H289" s="769"/>
      <c r="I289" s="769"/>
      <c r="J289" s="769"/>
    </row>
    <row r="290" spans="1:17">
      <c r="B290" s="858"/>
    </row>
    <row r="291" spans="1:17">
      <c r="A291" s="970" t="s">
        <v>1462</v>
      </c>
      <c r="J291" s="944" t="s">
        <v>1489</v>
      </c>
    </row>
    <row r="292" spans="1:17">
      <c r="A292" s="943" t="s">
        <v>1465</v>
      </c>
      <c r="J292" s="944" t="str">
        <f>"Page "&amp;O292&amp;" of "&amp;P292</f>
        <v>Page 10 of 20</v>
      </c>
      <c r="O292" s="850">
        <f>O252+1</f>
        <v>10</v>
      </c>
      <c r="P292" s="850">
        <f>'Settlement Exhibit 1 pgs 15-20'!$P$165</f>
        <v>20</v>
      </c>
    </row>
    <row r="293" spans="1:17">
      <c r="A293" s="943" t="s">
        <v>1461</v>
      </c>
      <c r="J293" s="944"/>
    </row>
    <row r="294" spans="1:17">
      <c r="A294" s="945"/>
    </row>
    <row r="295" spans="1:17">
      <c r="A295" s="949"/>
      <c r="B295" s="950"/>
      <c r="C295" s="950"/>
      <c r="D295" s="950"/>
      <c r="E295" s="951"/>
      <c r="F295" s="951"/>
      <c r="G295" s="951" t="s">
        <v>766</v>
      </c>
      <c r="H295" s="952"/>
      <c r="I295" s="951"/>
      <c r="J295" s="951" t="s">
        <v>766</v>
      </c>
    </row>
    <row r="296" spans="1:17">
      <c r="A296" s="946"/>
      <c r="C296" s="871" t="s">
        <v>750</v>
      </c>
      <c r="D296" s="867" t="s">
        <v>1546</v>
      </c>
      <c r="E296" s="871" t="s">
        <v>59</v>
      </c>
      <c r="F296" s="871" t="s">
        <v>767</v>
      </c>
      <c r="G296" s="871" t="s">
        <v>768</v>
      </c>
      <c r="H296" s="872"/>
      <c r="I296" s="871" t="s">
        <v>769</v>
      </c>
      <c r="J296" s="871" t="s">
        <v>768</v>
      </c>
    </row>
    <row r="297" spans="1:17">
      <c r="A297" s="942"/>
      <c r="B297" s="876"/>
      <c r="C297" s="873" t="s">
        <v>1547</v>
      </c>
      <c r="D297" s="878" t="s">
        <v>1498</v>
      </c>
      <c r="E297" s="873" t="s">
        <v>875</v>
      </c>
      <c r="F297" s="874" t="s">
        <v>118</v>
      </c>
      <c r="G297" s="873" t="s">
        <v>771</v>
      </c>
      <c r="H297" s="875"/>
      <c r="I297" s="873" t="s">
        <v>118</v>
      </c>
      <c r="J297" s="873" t="s">
        <v>772</v>
      </c>
    </row>
    <row r="298" spans="1:17">
      <c r="A298" s="769"/>
      <c r="B298" s="769"/>
      <c r="C298" s="769"/>
      <c r="D298" s="769"/>
      <c r="E298" s="769"/>
      <c r="F298" s="769"/>
      <c r="G298" s="769"/>
      <c r="H298" s="769"/>
      <c r="I298" s="769"/>
      <c r="J298" s="769"/>
    </row>
    <row r="299" spans="1:17">
      <c r="A299" s="779" t="s">
        <v>1036</v>
      </c>
    </row>
    <row r="300" spans="1:17">
      <c r="A300" s="889"/>
      <c r="B300" s="852" t="s">
        <v>1010</v>
      </c>
      <c r="C300" s="769">
        <f>SUMIF(_12MonResults_Rate,MiscData!$U$13,_12MonResults_CustomerCount)</f>
        <v>3054</v>
      </c>
      <c r="D300" s="765"/>
      <c r="E300" s="765"/>
      <c r="F300" s="766">
        <f>SUMIF(_Rates_Tariff_Category,MiscData!$T$4&amp;MiscData!$W$7,_Rates_BasicServiceCharge)</f>
        <v>300</v>
      </c>
      <c r="G300" s="854">
        <f>ROUND(F300*C300,0)</f>
        <v>916200</v>
      </c>
      <c r="I300" s="853">
        <v>300</v>
      </c>
      <c r="J300" s="854">
        <f>ROUND(I300*C300,0)</f>
        <v>916200</v>
      </c>
    </row>
    <row r="301" spans="1:17">
      <c r="A301" s="889"/>
      <c r="B301" s="855" t="s">
        <v>773</v>
      </c>
      <c r="E301" s="769">
        <f>SUMIF(_12MonResults_Rate,MiscData!$U$13,_12MonResults_KWH_Total)</f>
        <v>4296353118</v>
      </c>
      <c r="F301" s="772">
        <f>SUMIF(_Rates_Tariff_Category,MiscData!$T$4&amp;MiscData!$W$7,_Rates_Energy)</f>
        <v>3.7650000000000003E-2</v>
      </c>
      <c r="G301" s="767">
        <f>ROUND(E301*F301,0)-1</f>
        <v>161757694</v>
      </c>
      <c r="I301" s="856">
        <v>3.4320000000000003E-2</v>
      </c>
      <c r="J301" s="767">
        <f>I301*E301</f>
        <v>147450839.00976002</v>
      </c>
      <c r="K301" s="919"/>
      <c r="L301" s="919"/>
      <c r="M301" s="954"/>
      <c r="Q301" s="958"/>
    </row>
    <row r="302" spans="1:17">
      <c r="B302" s="855" t="s">
        <v>781</v>
      </c>
      <c r="C302" s="885"/>
      <c r="D302" s="769">
        <f>SUMIF(_12MonResults_Rate,MiscData!$U$13,_12MonResults_Demand_Measured_kW_B)</f>
        <v>9617736</v>
      </c>
      <c r="E302" s="765"/>
      <c r="F302" s="766">
        <f>SUMIF(_Rates_Tariff_Category,MiscData!$T$4&amp;MiscData!$W$7,_Rates_Demand_Base)</f>
        <v>1.71</v>
      </c>
      <c r="G302" s="767">
        <f>ROUND(F302*(C302+D302),0)</f>
        <v>16446329</v>
      </c>
      <c r="I302" s="853">
        <v>3.04</v>
      </c>
      <c r="J302" s="767">
        <f>ROUND((C302+D302)*I302,0)</f>
        <v>29237917</v>
      </c>
      <c r="K302" s="919"/>
      <c r="L302" s="919"/>
      <c r="M302" s="908"/>
      <c r="Q302" s="957"/>
    </row>
    <row r="303" spans="1:17">
      <c r="B303" s="855" t="s">
        <v>782</v>
      </c>
      <c r="C303" s="885"/>
      <c r="D303" s="769">
        <f>SUMIF(_12MonResults_Rate,MiscData!$U$13,_12MonResults_Demand_Measured_kW_I)</f>
        <v>9207139</v>
      </c>
      <c r="E303" s="765"/>
      <c r="F303" s="766">
        <f>SUMIF(_Rates_Tariff_Category,MiscData!$T$4&amp;MiscData!$W$7,_Rates_Demand_Intermediate)</f>
        <v>2.76</v>
      </c>
      <c r="G303" s="767">
        <f>ROUND(F303*(C303+D303),0)</f>
        <v>25411704</v>
      </c>
      <c r="I303" s="853">
        <v>4.09</v>
      </c>
      <c r="J303" s="767">
        <f>ROUND((C303+D303)*I303,0)</f>
        <v>37657199</v>
      </c>
      <c r="K303" s="919"/>
      <c r="M303" s="908"/>
      <c r="N303" s="957"/>
      <c r="Q303" s="957"/>
    </row>
    <row r="304" spans="1:17">
      <c r="B304" s="855" t="s">
        <v>783</v>
      </c>
      <c r="C304" s="885"/>
      <c r="D304" s="769">
        <f>SUMIF(_12MonResults_Rate,MiscData!$U$13,_12MonResults_Demand_Measured_kW_P)</f>
        <v>9056459</v>
      </c>
      <c r="E304" s="765"/>
      <c r="F304" s="766">
        <f>SUMIF(_Rates_Tariff_Category,MiscData!$T$4&amp;MiscData!$W$7,_Rates_Demand_Peak)</f>
        <v>4.26</v>
      </c>
      <c r="G304" s="767">
        <f>ROUND(F304*(C304+D304),0)</f>
        <v>38580515</v>
      </c>
      <c r="I304" s="853">
        <v>5.59</v>
      </c>
      <c r="J304" s="767">
        <f>ROUND((C304+D304)*I304,0)</f>
        <v>50625606</v>
      </c>
      <c r="K304" s="919"/>
      <c r="M304" s="908"/>
      <c r="N304" s="957"/>
      <c r="Q304" s="957"/>
    </row>
    <row r="305" spans="1:17">
      <c r="B305" s="855"/>
      <c r="F305" s="856"/>
      <c r="G305" s="767"/>
      <c r="I305" s="856"/>
      <c r="J305" s="767"/>
      <c r="M305" s="957"/>
      <c r="N305" s="957"/>
    </row>
    <row r="306" spans="1:17">
      <c r="A306" s="889"/>
      <c r="B306" s="855"/>
      <c r="F306" s="856"/>
      <c r="G306" s="767"/>
      <c r="I306" s="856"/>
      <c r="J306" s="767"/>
    </row>
    <row r="307" spans="1:17">
      <c r="A307" s="889"/>
      <c r="B307" s="855"/>
      <c r="F307" s="856"/>
      <c r="G307" s="767"/>
      <c r="I307" s="856"/>
      <c r="J307" s="767"/>
    </row>
    <row r="308" spans="1:17">
      <c r="A308" s="889"/>
      <c r="B308" s="855"/>
      <c r="F308" s="856"/>
      <c r="G308" s="767"/>
      <c r="I308" s="856"/>
      <c r="J308" s="767"/>
    </row>
    <row r="309" spans="1:17" ht="15">
      <c r="B309" s="852"/>
      <c r="C309" s="885"/>
      <c r="D309" s="885"/>
      <c r="F309" s="853"/>
      <c r="G309" s="773"/>
      <c r="I309" s="853"/>
      <c r="J309" s="773"/>
      <c r="K309" s="902"/>
    </row>
    <row r="310" spans="1:17">
      <c r="A310" s="889"/>
      <c r="E310" s="860" t="s">
        <v>774</v>
      </c>
      <c r="G310" s="861">
        <f>SUM(G300:G309)</f>
        <v>243112442</v>
      </c>
      <c r="J310" s="861">
        <f>SUM(J300:J309)</f>
        <v>265887761.00976002</v>
      </c>
      <c r="K310" s="902"/>
    </row>
    <row r="311" spans="1:17">
      <c r="A311" s="889"/>
      <c r="E311" s="855" t="s">
        <v>775</v>
      </c>
      <c r="G311" s="862">
        <f>'12MonResults'!$AG$498</f>
        <v>0.99999997532006257</v>
      </c>
      <c r="J311" s="862">
        <f>G311</f>
        <v>0.99999997532006257</v>
      </c>
    </row>
    <row r="312" spans="1:17">
      <c r="A312" s="889"/>
      <c r="E312" s="860" t="s">
        <v>776</v>
      </c>
      <c r="G312" s="861">
        <f>+ROUND(G310/G311,0)</f>
        <v>243112448</v>
      </c>
      <c r="J312" s="861">
        <f>+ROUND(J310/J311,0)</f>
        <v>265887768</v>
      </c>
    </row>
    <row r="313" spans="1:17">
      <c r="A313" s="889"/>
      <c r="E313" s="860"/>
      <c r="G313" s="854"/>
      <c r="J313" s="854"/>
    </row>
    <row r="314" spans="1:17">
      <c r="A314" s="939"/>
      <c r="B314" s="850" t="s">
        <v>826</v>
      </c>
      <c r="G314" s="767">
        <f>-'ECR in Base Rates'!$F$42</f>
        <v>-7249146</v>
      </c>
      <c r="J314" s="767">
        <f>G314</f>
        <v>-7249146</v>
      </c>
    </row>
    <row r="315" spans="1:17">
      <c r="B315" s="864" t="s">
        <v>1548</v>
      </c>
      <c r="D315" s="885">
        <v>142465.29999999999</v>
      </c>
      <c r="F315" s="853">
        <v>1.25</v>
      </c>
      <c r="G315" s="767">
        <f>ROUND(F315*D315,0)</f>
        <v>178082</v>
      </c>
      <c r="I315" s="853">
        <v>1.1100000000000001</v>
      </c>
      <c r="J315" s="767">
        <f>ROUND(D315*I315,0)</f>
        <v>158136</v>
      </c>
      <c r="K315" s="902"/>
      <c r="Q315" s="957"/>
    </row>
    <row r="316" spans="1:17">
      <c r="B316" s="864" t="s">
        <v>1652</v>
      </c>
      <c r="D316" s="885"/>
      <c r="F316" s="853"/>
      <c r="G316" s="767">
        <v>-141053</v>
      </c>
      <c r="I316" s="853"/>
      <c r="J316" s="854">
        <f>G316*(SUM(J302:J304)/SUM(G302:G304))</f>
        <v>-206078.43891296996</v>
      </c>
      <c r="K316" s="902"/>
      <c r="Q316" s="957"/>
    </row>
    <row r="317" spans="1:17">
      <c r="B317" s="864" t="s">
        <v>1638</v>
      </c>
      <c r="D317" s="885">
        <f>'Standby Rate'!B17</f>
        <v>9600</v>
      </c>
      <c r="F317" s="853">
        <f>'Standby Rate'!$C$5</f>
        <v>11.99</v>
      </c>
      <c r="G317" s="767">
        <f>ROUND(F317*D317,0)</f>
        <v>115104</v>
      </c>
      <c r="I317" s="853">
        <v>11.63</v>
      </c>
      <c r="J317" s="767">
        <f>ROUND(D317*I317,0)</f>
        <v>111648</v>
      </c>
      <c r="K317" s="902"/>
      <c r="Q317" s="957"/>
    </row>
    <row r="318" spans="1:17">
      <c r="A318" s="939"/>
      <c r="B318" s="864"/>
      <c r="G318" s="767"/>
      <c r="J318" s="767"/>
    </row>
    <row r="319" spans="1:17" ht="15">
      <c r="B319" s="865" t="s">
        <v>812</v>
      </c>
      <c r="G319" s="866">
        <f>SUM(G312:G317)</f>
        <v>236015435</v>
      </c>
      <c r="J319" s="866">
        <f>SUM(J312:J317)</f>
        <v>258702327.56108704</v>
      </c>
    </row>
    <row r="320" spans="1:17">
      <c r="A320" s="889"/>
      <c r="B320" s="855"/>
      <c r="L320" s="959"/>
    </row>
    <row r="321" spans="1:16">
      <c r="A321" s="889"/>
      <c r="B321" s="858" t="s">
        <v>814</v>
      </c>
      <c r="G321" s="767">
        <f>'ECR in Base Rates'!$F$42</f>
        <v>7249146</v>
      </c>
      <c r="J321" s="767">
        <f>G321</f>
        <v>7249146</v>
      </c>
    </row>
    <row r="322" spans="1:16">
      <c r="A322" s="889"/>
      <c r="B322" s="858" t="s">
        <v>1711</v>
      </c>
      <c r="G322" s="854">
        <f>'Sch M-2.3 pg 1-2'!$D$33</f>
        <v>10326000</v>
      </c>
      <c r="J322" s="767">
        <f t="shared" ref="J322:J324" si="19">G322</f>
        <v>10326000</v>
      </c>
    </row>
    <row r="323" spans="1:16">
      <c r="A323" s="889"/>
      <c r="B323" s="858" t="s">
        <v>1712</v>
      </c>
      <c r="G323" s="854">
        <f>'Sch M-2.3 pg 1-2'!$E$33</f>
        <v>6538484</v>
      </c>
      <c r="J323" s="767">
        <f t="shared" si="19"/>
        <v>6538484</v>
      </c>
    </row>
    <row r="324" spans="1:16">
      <c r="A324" s="889"/>
      <c r="B324" s="858" t="s">
        <v>1713</v>
      </c>
      <c r="G324" s="854">
        <f>'Sch M-2.3 pg 1-2'!$F$33</f>
        <v>24046945</v>
      </c>
      <c r="J324" s="767">
        <f t="shared" si="19"/>
        <v>24046945</v>
      </c>
    </row>
    <row r="325" spans="1:16">
      <c r="A325" s="889"/>
      <c r="B325" s="855"/>
    </row>
    <row r="326" spans="1:16" ht="15">
      <c r="A326" s="889"/>
      <c r="B326" s="884" t="s">
        <v>824</v>
      </c>
      <c r="G326" s="866">
        <f>SUM(G319:G324)</f>
        <v>284176010</v>
      </c>
      <c r="J326" s="866">
        <f>SUM(J319:J324)</f>
        <v>306862902.56108701</v>
      </c>
    </row>
    <row r="327" spans="1:16">
      <c r="A327" s="889"/>
      <c r="B327" s="871"/>
    </row>
    <row r="328" spans="1:16">
      <c r="A328" s="889"/>
      <c r="B328" s="869" t="s">
        <v>777</v>
      </c>
      <c r="J328" s="887">
        <f>J326-G326</f>
        <v>22686892.561087012</v>
      </c>
      <c r="K328" s="1292">
        <v>22661622.997090053</v>
      </c>
    </row>
    <row r="329" spans="1:16">
      <c r="A329" s="889"/>
      <c r="C329" s="858" t="s">
        <v>778</v>
      </c>
      <c r="D329" s="858"/>
      <c r="J329" s="919">
        <f>J328/G326</f>
        <v>7.9833947141023667E-2</v>
      </c>
      <c r="K329" s="850">
        <f>J328-K328</f>
        <v>25269.563996959478</v>
      </c>
    </row>
    <row r="330" spans="1:16">
      <c r="A330" s="769"/>
      <c r="B330" s="769"/>
      <c r="C330" s="769"/>
      <c r="D330" s="769"/>
      <c r="E330" s="769"/>
      <c r="F330" s="769"/>
      <c r="G330" s="769"/>
      <c r="H330" s="769"/>
      <c r="I330" s="769"/>
      <c r="J330" s="769"/>
    </row>
    <row r="331" spans="1:16">
      <c r="B331" s="858"/>
    </row>
    <row r="332" spans="1:16">
      <c r="A332" s="970" t="s">
        <v>1462</v>
      </c>
      <c r="J332" s="944" t="s">
        <v>1489</v>
      </c>
    </row>
    <row r="333" spans="1:16">
      <c r="A333" s="943" t="s">
        <v>1465</v>
      </c>
      <c r="J333" s="944" t="str">
        <f>"Page "&amp;O333&amp;" of "&amp;P333</f>
        <v>Page 11 of 20</v>
      </c>
      <c r="O333" s="850">
        <f>O292+1</f>
        <v>11</v>
      </c>
      <c r="P333" s="850">
        <f>'Settlement Exhibit 1 pgs 15-20'!$P$165</f>
        <v>20</v>
      </c>
    </row>
    <row r="334" spans="1:16">
      <c r="A334" s="943" t="s">
        <v>1461</v>
      </c>
      <c r="J334" s="944"/>
    </row>
    <row r="335" spans="1:16">
      <c r="A335" s="945"/>
    </row>
    <row r="336" spans="1:16">
      <c r="A336" s="949"/>
      <c r="B336" s="950"/>
      <c r="C336" s="950"/>
      <c r="D336" s="950"/>
      <c r="E336" s="951"/>
      <c r="F336" s="951"/>
      <c r="G336" s="951" t="s">
        <v>766</v>
      </c>
      <c r="H336" s="952"/>
      <c r="I336" s="951"/>
      <c r="J336" s="951" t="s">
        <v>766</v>
      </c>
    </row>
    <row r="337" spans="1:17">
      <c r="A337" s="946"/>
      <c r="C337" s="871" t="s">
        <v>750</v>
      </c>
      <c r="D337" s="867" t="s">
        <v>1546</v>
      </c>
      <c r="E337" s="871" t="s">
        <v>59</v>
      </c>
      <c r="F337" s="871" t="s">
        <v>767</v>
      </c>
      <c r="G337" s="871" t="s">
        <v>768</v>
      </c>
      <c r="H337" s="872"/>
      <c r="I337" s="871" t="s">
        <v>769</v>
      </c>
      <c r="J337" s="871" t="s">
        <v>768</v>
      </c>
    </row>
    <row r="338" spans="1:17">
      <c r="A338" s="942"/>
      <c r="B338" s="876"/>
      <c r="C338" s="873" t="s">
        <v>1547</v>
      </c>
      <c r="D338" s="878" t="s">
        <v>1498</v>
      </c>
      <c r="E338" s="873" t="s">
        <v>875</v>
      </c>
      <c r="F338" s="874" t="s">
        <v>118</v>
      </c>
      <c r="G338" s="873" t="s">
        <v>771</v>
      </c>
      <c r="H338" s="875"/>
      <c r="I338" s="873" t="s">
        <v>118</v>
      </c>
      <c r="J338" s="873" t="s">
        <v>772</v>
      </c>
    </row>
    <row r="339" spans="1:17">
      <c r="A339" s="769"/>
      <c r="B339" s="769"/>
      <c r="C339" s="769"/>
      <c r="D339" s="769"/>
      <c r="E339" s="769"/>
      <c r="F339" s="769"/>
      <c r="G339" s="769"/>
      <c r="H339" s="769"/>
      <c r="I339" s="769"/>
      <c r="J339" s="769"/>
    </row>
    <row r="340" spans="1:17">
      <c r="A340" s="779" t="s">
        <v>825</v>
      </c>
    </row>
    <row r="341" spans="1:17">
      <c r="A341" s="889"/>
      <c r="B341" s="852" t="s">
        <v>1010</v>
      </c>
      <c r="C341" s="769">
        <f>SUMIF(_12MonResults_Rate,MiscData!$U$14,_12MonResults_CustomerCount)</f>
        <v>384</v>
      </c>
      <c r="D341" s="765"/>
      <c r="E341" s="765"/>
      <c r="F341" s="766">
        <f>SUMIF(_Rates_Tariff_Category,MiscData!$T$4&amp;MiscData!$W$4,_Rates_BasicServiceCharge)</f>
        <v>750</v>
      </c>
      <c r="G341" s="854">
        <f>ROUND(F341*C341,0)</f>
        <v>288000</v>
      </c>
      <c r="I341" s="853">
        <v>1000</v>
      </c>
      <c r="J341" s="854">
        <f>ROUND(I341*C341,0)</f>
        <v>384000</v>
      </c>
    </row>
    <row r="342" spans="1:17">
      <c r="A342" s="889"/>
      <c r="B342" s="855" t="s">
        <v>773</v>
      </c>
      <c r="E342" s="769">
        <f>SUMIF(_12MonResults_Rate,MiscData!$U$14,_12MonResults_KWH_Total)</f>
        <v>1605630259</v>
      </c>
      <c r="F342" s="772">
        <f>SUMIF(_Rates_Tariff_Category,MiscData!$T$4&amp;MiscData!$W$4,_Rates_Energy)</f>
        <v>3.6339999999999997E-2</v>
      </c>
      <c r="G342" s="854">
        <f>ROUND(E342*F342,0)-1</f>
        <v>58348603</v>
      </c>
      <c r="I342" s="856">
        <v>3.3570000000000003E-2</v>
      </c>
      <c r="J342" s="854">
        <f>ROUND(I342*E342,0)</f>
        <v>53901008</v>
      </c>
      <c r="K342" s="919"/>
      <c r="L342" s="919"/>
      <c r="M342" s="954"/>
      <c r="Q342" s="958"/>
    </row>
    <row r="343" spans="1:17">
      <c r="B343" s="855" t="s">
        <v>781</v>
      </c>
      <c r="C343" s="886"/>
      <c r="D343" s="769">
        <f>SUMIF(_12MonResults_Rate,MiscData!$U$14,_12MonResults_Demand_Measured_kW_B)</f>
        <v>3651687</v>
      </c>
      <c r="E343" s="765"/>
      <c r="F343" s="766">
        <f>SUMIF(_Rates_Tariff_Category,MiscData!$T$4&amp;MiscData!$W$4,_Rates_Demand_Base)</f>
        <v>1.34</v>
      </c>
      <c r="G343" s="854">
        <f>ROUND(F343*(C343+D343),0)</f>
        <v>4893261</v>
      </c>
      <c r="I343" s="853">
        <v>2.84</v>
      </c>
      <c r="J343" s="854">
        <f>ROUND((C343+D343)*I343,0)</f>
        <v>10370791</v>
      </c>
      <c r="K343" s="919"/>
      <c r="L343" s="919"/>
      <c r="M343" s="908"/>
      <c r="Q343" s="957"/>
    </row>
    <row r="344" spans="1:17">
      <c r="B344" s="855" t="s">
        <v>782</v>
      </c>
      <c r="C344" s="886"/>
      <c r="D344" s="769">
        <f>SUMIF(_12MonResults_Rate,MiscData!$U$14,_12MonResults_Demand_Measured_kW_I)</f>
        <v>3507121</v>
      </c>
      <c r="E344" s="765"/>
      <c r="F344" s="766">
        <f>SUMIF(_Rates_Tariff_Category,MiscData!$T$4&amp;MiscData!$W$4,_Rates_Demand_Intermediate)</f>
        <v>2.87</v>
      </c>
      <c r="G344" s="854">
        <f t="shared" ref="G344:G345" si="20">ROUND(F344*(C344+D344),0)</f>
        <v>10065437</v>
      </c>
      <c r="I344" s="853">
        <v>4.37</v>
      </c>
      <c r="J344" s="854">
        <f t="shared" ref="J344:J345" si="21">ROUND((C344+D344)*I344,0)</f>
        <v>15326119</v>
      </c>
      <c r="K344" s="919"/>
      <c r="M344" s="908"/>
      <c r="N344" s="957"/>
      <c r="Q344" s="957"/>
    </row>
    <row r="345" spans="1:17">
      <c r="B345" s="855" t="s">
        <v>783</v>
      </c>
      <c r="C345" s="886"/>
      <c r="D345" s="769">
        <f>SUMIF(_12MonResults_Rate,MiscData!$U$14,_12MonResults_Demand_Measured_kW_P)</f>
        <v>3427646</v>
      </c>
      <c r="E345" s="765"/>
      <c r="F345" s="766">
        <f>SUMIF(_Rates_Tariff_Category,MiscData!$T$4&amp;MiscData!$W$4,_Rates_Demand_Peak)</f>
        <v>3.97</v>
      </c>
      <c r="G345" s="854">
        <f t="shared" si="20"/>
        <v>13607755</v>
      </c>
      <c r="I345" s="853">
        <v>4.47</v>
      </c>
      <c r="J345" s="854">
        <f t="shared" si="21"/>
        <v>15321578</v>
      </c>
      <c r="K345" s="919"/>
      <c r="M345" s="908"/>
      <c r="N345" s="957"/>
      <c r="Q345" s="957"/>
    </row>
    <row r="346" spans="1:17">
      <c r="B346" s="855"/>
      <c r="F346" s="856"/>
      <c r="G346" s="767"/>
      <c r="I346" s="856"/>
      <c r="J346" s="767"/>
      <c r="M346" s="957"/>
      <c r="N346" s="957"/>
    </row>
    <row r="347" spans="1:17">
      <c r="A347" s="889"/>
      <c r="B347" s="855"/>
      <c r="F347" s="856"/>
      <c r="G347" s="767"/>
      <c r="I347" s="856"/>
      <c r="J347" s="767"/>
      <c r="K347" s="902"/>
      <c r="N347" s="961"/>
      <c r="Q347" s="957"/>
    </row>
    <row r="348" spans="1:17">
      <c r="A348" s="889"/>
      <c r="B348" s="855"/>
      <c r="F348" s="856"/>
      <c r="G348" s="767"/>
      <c r="I348" s="856"/>
      <c r="J348" s="767"/>
    </row>
    <row r="349" spans="1:17">
      <c r="A349" s="889"/>
      <c r="B349" s="855"/>
      <c r="F349" s="856"/>
      <c r="G349" s="767"/>
      <c r="I349" s="856"/>
      <c r="J349" s="767"/>
    </row>
    <row r="350" spans="1:17" ht="15">
      <c r="B350" s="852"/>
      <c r="C350" s="886"/>
      <c r="D350" s="886"/>
      <c r="F350" s="853"/>
      <c r="G350" s="857"/>
      <c r="I350" s="853"/>
      <c r="J350" s="857"/>
      <c r="K350" s="902"/>
    </row>
    <row r="351" spans="1:17">
      <c r="A351" s="889"/>
      <c r="E351" s="860" t="s">
        <v>774</v>
      </c>
      <c r="G351" s="861">
        <f>SUM(G341:G350)</f>
        <v>87203056</v>
      </c>
      <c r="J351" s="861">
        <f>SUM(J341:J350)</f>
        <v>95303496</v>
      </c>
    </row>
    <row r="352" spans="1:17">
      <c r="A352" s="889"/>
      <c r="E352" s="855" t="s">
        <v>775</v>
      </c>
      <c r="G352" s="862">
        <f>'12MonResults'!$AG$499</f>
        <v>0.99999993119507657</v>
      </c>
      <c r="J352" s="862">
        <f>G352</f>
        <v>0.99999993119507657</v>
      </c>
    </row>
    <row r="353" spans="1:11">
      <c r="A353" s="889"/>
      <c r="E353" s="860" t="s">
        <v>776</v>
      </c>
      <c r="G353" s="861">
        <f>+ROUND(G351/G352,0)</f>
        <v>87203062</v>
      </c>
      <c r="J353" s="861">
        <f>+ROUND(J351/J352,0)</f>
        <v>95303503</v>
      </c>
    </row>
    <row r="354" spans="1:11">
      <c r="A354" s="889"/>
      <c r="E354" s="860"/>
      <c r="G354" s="854"/>
    </row>
    <row r="355" spans="1:11">
      <c r="A355" s="939"/>
      <c r="B355" s="850" t="s">
        <v>826</v>
      </c>
      <c r="G355" s="854">
        <f>'ECR in Base Rates'!$F$50*-1</f>
        <v>-2540749</v>
      </c>
      <c r="J355" s="854">
        <f>G355</f>
        <v>-2540749</v>
      </c>
    </row>
    <row r="356" spans="1:11">
      <c r="A356" s="939"/>
      <c r="B356" s="864" t="s">
        <v>1652</v>
      </c>
      <c r="G356" s="854">
        <v>-321810</v>
      </c>
      <c r="J356" s="854">
        <f>G356*(SUM(J343:J345)/SUM(G343:G345))</f>
        <v>-462086.05679115985</v>
      </c>
    </row>
    <row r="357" spans="1:11" ht="15">
      <c r="A357" s="939"/>
      <c r="B357" s="864"/>
      <c r="G357" s="857"/>
      <c r="J357" s="857"/>
    </row>
    <row r="358" spans="1:11" ht="15">
      <c r="A358" s="889"/>
      <c r="B358" s="865" t="s">
        <v>812</v>
      </c>
      <c r="G358" s="866">
        <f>SUM(G353:G356)</f>
        <v>84340503</v>
      </c>
      <c r="J358" s="866">
        <f>SUM(J353:J356)</f>
        <v>92300667.943208843</v>
      </c>
    </row>
    <row r="359" spans="1:11">
      <c r="A359" s="889"/>
    </row>
    <row r="360" spans="1:11">
      <c r="A360" s="889"/>
      <c r="B360" s="850" t="s">
        <v>814</v>
      </c>
      <c r="G360" s="767">
        <f>'ECR in Base Rates'!$F$50</f>
        <v>2540749</v>
      </c>
      <c r="J360" s="767">
        <f>G360</f>
        <v>2540749</v>
      </c>
    </row>
    <row r="361" spans="1:11">
      <c r="A361" s="889"/>
      <c r="B361" s="858" t="s">
        <v>1711</v>
      </c>
      <c r="G361" s="854">
        <f>'Sch M-2.3 pg 1-2'!$D$35</f>
        <v>3910238</v>
      </c>
      <c r="J361" s="767">
        <f t="shared" ref="J361:J363" si="22">G361</f>
        <v>3910238</v>
      </c>
    </row>
    <row r="362" spans="1:11">
      <c r="A362" s="889"/>
      <c r="B362" s="858" t="s">
        <v>1712</v>
      </c>
      <c r="G362" s="854">
        <f>'Sch M-2.3 pg 1-2'!$E$35</f>
        <v>0</v>
      </c>
      <c r="J362" s="767">
        <f t="shared" si="22"/>
        <v>0</v>
      </c>
    </row>
    <row r="363" spans="1:11">
      <c r="A363" s="889"/>
      <c r="B363" s="858" t="s">
        <v>1713</v>
      </c>
      <c r="G363" s="854">
        <f>'Sch M-2.3 pg 1-2'!$F$35</f>
        <v>9030076</v>
      </c>
      <c r="J363" s="767">
        <f t="shared" si="22"/>
        <v>9030076</v>
      </c>
    </row>
    <row r="364" spans="1:11">
      <c r="A364" s="889"/>
    </row>
    <row r="365" spans="1:11" ht="15">
      <c r="B365" s="884" t="s">
        <v>824</v>
      </c>
      <c r="G365" s="866">
        <f>SUM(G358:G363)</f>
        <v>99821566</v>
      </c>
      <c r="J365" s="866">
        <f>SUM(J358:J363)</f>
        <v>107781730.94320884</v>
      </c>
    </row>
    <row r="366" spans="1:11">
      <c r="A366" s="889"/>
      <c r="B366" s="871"/>
    </row>
    <row r="367" spans="1:11">
      <c r="A367" s="889"/>
      <c r="B367" s="869" t="s">
        <v>777</v>
      </c>
      <c r="J367" s="887">
        <f>J365-G365</f>
        <v>7960164.9432088435</v>
      </c>
      <c r="K367" s="1292">
        <v>7960273.267511718</v>
      </c>
    </row>
    <row r="368" spans="1:11">
      <c r="A368" s="889"/>
      <c r="B368" s="869"/>
      <c r="C368" s="858" t="s">
        <v>778</v>
      </c>
      <c r="D368" s="858"/>
      <c r="J368" s="919">
        <f>J367/G365</f>
        <v>7.9743939733512528E-2</v>
      </c>
      <c r="K368" s="850">
        <f>J367-K367</f>
        <v>-108.32430287450552</v>
      </c>
    </row>
    <row r="369" spans="1:16">
      <c r="A369" s="889"/>
      <c r="B369" s="889"/>
      <c r="C369" s="889"/>
      <c r="D369" s="889"/>
      <c r="E369" s="889"/>
      <c r="F369" s="889"/>
      <c r="G369" s="889"/>
      <c r="H369" s="889"/>
      <c r="I369" s="889"/>
      <c r="J369" s="889"/>
    </row>
    <row r="370" spans="1:16">
      <c r="B370" s="858"/>
    </row>
    <row r="371" spans="1:16">
      <c r="A371" s="970" t="s">
        <v>1462</v>
      </c>
      <c r="J371" s="944" t="s">
        <v>1489</v>
      </c>
    </row>
    <row r="372" spans="1:16">
      <c r="A372" s="943" t="s">
        <v>1465</v>
      </c>
      <c r="J372" s="944" t="str">
        <f>"Page "&amp;O372&amp;" of "&amp;P372</f>
        <v>Page 12 of 20</v>
      </c>
      <c r="O372" s="850">
        <f>O333+1</f>
        <v>12</v>
      </c>
      <c r="P372" s="850">
        <f>'Settlement Exhibit 1 pgs 15-20'!$P$165</f>
        <v>20</v>
      </c>
    </row>
    <row r="373" spans="1:16">
      <c r="A373" s="943" t="s">
        <v>1461</v>
      </c>
      <c r="J373" s="944"/>
    </row>
    <row r="374" spans="1:16">
      <c r="A374" s="945"/>
    </row>
    <row r="375" spans="1:16">
      <c r="A375" s="949"/>
      <c r="B375" s="950"/>
      <c r="C375" s="950"/>
      <c r="D375" s="950"/>
      <c r="E375" s="951"/>
      <c r="F375" s="951"/>
      <c r="G375" s="951" t="s">
        <v>766</v>
      </c>
      <c r="H375" s="952"/>
      <c r="I375" s="951"/>
      <c r="J375" s="951" t="s">
        <v>766</v>
      </c>
    </row>
    <row r="376" spans="1:16">
      <c r="A376" s="946"/>
      <c r="C376" s="871" t="s">
        <v>750</v>
      </c>
      <c r="D376" s="867" t="s">
        <v>1546</v>
      </c>
      <c r="E376" s="871" t="s">
        <v>59</v>
      </c>
      <c r="F376" s="871" t="s">
        <v>767</v>
      </c>
      <c r="G376" s="871" t="s">
        <v>768</v>
      </c>
      <c r="H376" s="872"/>
      <c r="I376" s="871" t="s">
        <v>769</v>
      </c>
      <c r="J376" s="871" t="s">
        <v>768</v>
      </c>
    </row>
    <row r="377" spans="1:16">
      <c r="A377" s="942"/>
      <c r="B377" s="876"/>
      <c r="C377" s="873" t="s">
        <v>1547</v>
      </c>
      <c r="D377" s="878" t="s">
        <v>1498</v>
      </c>
      <c r="E377" s="873" t="s">
        <v>875</v>
      </c>
      <c r="F377" s="874" t="s">
        <v>118</v>
      </c>
      <c r="G377" s="873" t="s">
        <v>771</v>
      </c>
      <c r="H377" s="875"/>
      <c r="I377" s="873" t="s">
        <v>118</v>
      </c>
      <c r="J377" s="873" t="s">
        <v>772</v>
      </c>
    </row>
    <row r="378" spans="1:16">
      <c r="A378" s="889"/>
      <c r="B378" s="889"/>
      <c r="C378" s="889"/>
      <c r="D378" s="889"/>
      <c r="E378" s="889"/>
      <c r="F378" s="889"/>
      <c r="G378" s="889"/>
      <c r="H378" s="889"/>
      <c r="I378" s="889"/>
      <c r="J378" s="889"/>
    </row>
    <row r="379" spans="1:16">
      <c r="A379" s="940" t="s">
        <v>784</v>
      </c>
    </row>
    <row r="380" spans="1:16">
      <c r="A380" s="940"/>
      <c r="B380" s="887" t="s">
        <v>1014</v>
      </c>
    </row>
    <row r="381" spans="1:16">
      <c r="A381" s="889"/>
      <c r="B381" s="852" t="s">
        <v>1010</v>
      </c>
      <c r="C381" s="850">
        <v>0</v>
      </c>
      <c r="F381" s="766">
        <v>750</v>
      </c>
      <c r="G381" s="854">
        <f>ROUND(F381*C381,0)</f>
        <v>0</v>
      </c>
      <c r="I381" s="853">
        <v>1000</v>
      </c>
      <c r="J381" s="854">
        <f>ROUND(I381*C381,0)</f>
        <v>0</v>
      </c>
    </row>
    <row r="382" spans="1:16">
      <c r="A382" s="889"/>
      <c r="B382" s="855" t="s">
        <v>773</v>
      </c>
      <c r="E382" s="850">
        <v>0</v>
      </c>
      <c r="F382" s="772">
        <v>3.6429999999999997E-2</v>
      </c>
      <c r="G382" s="854">
        <f>E382*F382</f>
        <v>0</v>
      </c>
      <c r="I382" s="856">
        <v>3.6429999999999997E-2</v>
      </c>
      <c r="J382" s="766">
        <f>ROUND(I382*E382,0)</f>
        <v>0</v>
      </c>
      <c r="K382" s="856"/>
      <c r="L382" s="902"/>
    </row>
    <row r="383" spans="1:16">
      <c r="B383" s="855" t="s">
        <v>785</v>
      </c>
      <c r="D383" s="850">
        <v>0</v>
      </c>
      <c r="F383" s="766">
        <v>1.8</v>
      </c>
      <c r="G383" s="854">
        <f t="shared" ref="G383:G385" si="23">ROUND(F383*D383,0)</f>
        <v>0</v>
      </c>
      <c r="I383" s="853">
        <f>I389+0.75</f>
        <v>2.02</v>
      </c>
      <c r="J383" s="854">
        <f t="shared" ref="J383:J385" si="24">ROUND(I383*D383,0)</f>
        <v>0</v>
      </c>
    </row>
    <row r="384" spans="1:16">
      <c r="B384" s="855" t="s">
        <v>786</v>
      </c>
      <c r="D384" s="850">
        <v>0</v>
      </c>
      <c r="F384" s="766">
        <v>1.52</v>
      </c>
      <c r="G384" s="854">
        <f t="shared" si="23"/>
        <v>0</v>
      </c>
      <c r="I384" s="853">
        <f>I390</f>
        <v>1.97</v>
      </c>
      <c r="J384" s="854">
        <f t="shared" si="24"/>
        <v>0</v>
      </c>
    </row>
    <row r="385" spans="1:14">
      <c r="B385" s="855" t="s">
        <v>787</v>
      </c>
      <c r="D385" s="850">
        <v>0</v>
      </c>
      <c r="F385" s="766">
        <v>2.41</v>
      </c>
      <c r="G385" s="854">
        <f t="shared" si="23"/>
        <v>0</v>
      </c>
      <c r="I385" s="853">
        <f>I391</f>
        <v>2.8600000000000003</v>
      </c>
      <c r="J385" s="854">
        <f t="shared" si="24"/>
        <v>0</v>
      </c>
      <c r="K385" s="902"/>
      <c r="L385" s="902"/>
    </row>
    <row r="386" spans="1:14">
      <c r="A386" s="850"/>
      <c r="B386" s="887" t="s">
        <v>1034</v>
      </c>
      <c r="G386" s="854"/>
      <c r="L386" s="957"/>
    </row>
    <row r="387" spans="1:14">
      <c r="A387" s="889"/>
      <c r="B387" s="852" t="s">
        <v>1010</v>
      </c>
      <c r="C387" s="769">
        <f>SUMIF(_12MonResults_Rate,MiscData!$U$15,_12MonResults_CustomerCount)</f>
        <v>12</v>
      </c>
      <c r="D387" s="765"/>
      <c r="E387" s="765"/>
      <c r="F387" s="766">
        <f>SUMIF(_Rates_Tariff_Category,MiscData!$T$4&amp;MiscData!$W$36,_Rates_BasicServiceCharge)</f>
        <v>750</v>
      </c>
      <c r="G387" s="854">
        <f>ROUND(F387*C387,0)</f>
        <v>9000</v>
      </c>
      <c r="I387" s="853">
        <v>1000</v>
      </c>
      <c r="J387" s="854">
        <f>ROUND(I387*C387,0)</f>
        <v>12000</v>
      </c>
      <c r="N387" s="954"/>
    </row>
    <row r="388" spans="1:14">
      <c r="A388" s="889"/>
      <c r="B388" s="855" t="s">
        <v>773</v>
      </c>
      <c r="E388" s="769">
        <f>SUMIF(_12MonResults_Rate,MiscData!$U$15,_12MonResults_KWH_Total)</f>
        <v>560796543</v>
      </c>
      <c r="F388" s="772">
        <f>SUMIF(_Rates_Tariff_Category,MiscData!$T$4&amp;MiscData!$W$36,_Rates_Energy)</f>
        <v>3.261E-2</v>
      </c>
      <c r="G388" s="854">
        <f>ROUND(E388*F388,0)</f>
        <v>18287575</v>
      </c>
      <c r="I388" s="856">
        <v>3.3439999999999998E-2</v>
      </c>
      <c r="J388" s="863">
        <f>ROUND(I388*E388,0)</f>
        <v>18753036</v>
      </c>
      <c r="K388" s="902"/>
      <c r="L388" s="902"/>
    </row>
    <row r="389" spans="1:14">
      <c r="B389" s="855" t="s">
        <v>785</v>
      </c>
      <c r="D389" s="769">
        <f>SUMIF(_12MonResults_Rate,MiscData!$U$15,_12MonResults_Demand_Measured_kW_B)</f>
        <v>2221896</v>
      </c>
      <c r="E389" s="765"/>
      <c r="F389" s="766">
        <f>SUMIF(_Rates_Tariff_Category,MiscData!$T$4&amp;MiscData!$W$36,_Rates_Demand_Base)</f>
        <v>1.05</v>
      </c>
      <c r="G389" s="854">
        <f>ROUND(F389*D389,0)</f>
        <v>2332991</v>
      </c>
      <c r="I389" s="853">
        <v>1.27</v>
      </c>
      <c r="J389" s="854">
        <f>ROUND(I389*D389,0)</f>
        <v>2821808</v>
      </c>
      <c r="N389" s="957"/>
    </row>
    <row r="390" spans="1:14">
      <c r="B390" s="855" t="s">
        <v>786</v>
      </c>
      <c r="D390" s="769">
        <f>SUMIF(_12MonResults_Rate,MiscData!$U$15,_12MonResults_Demand_Measured_kW_I)</f>
        <v>2221896</v>
      </c>
      <c r="E390" s="765"/>
      <c r="F390" s="766">
        <f>SUMIF(_Rates_Tariff_Category,MiscData!$T$4&amp;MiscData!$W$36,_Rates_Demand_Intermediate)</f>
        <v>1.52</v>
      </c>
      <c r="G390" s="854">
        <f t="shared" ref="G390:G391" si="25">ROUND(F390*D390,0)</f>
        <v>3377282</v>
      </c>
      <c r="I390" s="853">
        <v>1.97</v>
      </c>
      <c r="J390" s="854">
        <f t="shared" ref="J390:J391" si="26">ROUND(I390*D390,0)</f>
        <v>4377135</v>
      </c>
      <c r="N390" s="960"/>
    </row>
    <row r="391" spans="1:14">
      <c r="B391" s="855" t="s">
        <v>787</v>
      </c>
      <c r="D391" s="769">
        <f>SUMIF(_12MonResults_Rate,MiscData!$U$15,_12MonResults_Demand_Measured_kW_P)</f>
        <v>1216656</v>
      </c>
      <c r="E391" s="765"/>
      <c r="F391" s="766">
        <f>SUMIF(_Rates_Tariff_Category,MiscData!$T$4&amp;MiscData!$W$36,_Rates_Demand_Peak)</f>
        <v>2.41</v>
      </c>
      <c r="G391" s="854">
        <f t="shared" si="25"/>
        <v>2932141</v>
      </c>
      <c r="I391" s="853">
        <v>2.8600000000000003</v>
      </c>
      <c r="J391" s="854">
        <f t="shared" si="26"/>
        <v>3479636</v>
      </c>
      <c r="K391" s="902"/>
      <c r="L391" s="902"/>
      <c r="M391" s="960"/>
      <c r="N391" s="957"/>
    </row>
    <row r="392" spans="1:14">
      <c r="A392" s="889"/>
      <c r="B392" s="855"/>
      <c r="F392" s="856"/>
      <c r="G392" s="767"/>
      <c r="I392" s="856"/>
      <c r="J392" s="767"/>
    </row>
    <row r="393" spans="1:14">
      <c r="A393" s="889"/>
      <c r="B393" s="855"/>
      <c r="F393" s="856"/>
      <c r="G393" s="767"/>
      <c r="I393" s="856"/>
      <c r="J393" s="767"/>
    </row>
    <row r="394" spans="1:14">
      <c r="A394" s="889"/>
      <c r="B394" s="855"/>
      <c r="F394" s="856"/>
      <c r="G394" s="767"/>
      <c r="I394" s="856"/>
      <c r="J394" s="767"/>
    </row>
    <row r="395" spans="1:14" ht="15">
      <c r="A395" s="889"/>
      <c r="B395" s="852"/>
      <c r="F395" s="853"/>
      <c r="G395" s="857"/>
      <c r="I395" s="853"/>
      <c r="J395" s="857"/>
    </row>
    <row r="396" spans="1:14">
      <c r="A396" s="889"/>
      <c r="E396" s="860" t="s">
        <v>774</v>
      </c>
      <c r="G396" s="861">
        <f>SUM(G387:G395)</f>
        <v>26938989</v>
      </c>
      <c r="J396" s="861">
        <f>SUM(J387:J395)</f>
        <v>29443615</v>
      </c>
    </row>
    <row r="397" spans="1:14">
      <c r="A397" s="889"/>
      <c r="E397" s="855" t="s">
        <v>775</v>
      </c>
      <c r="G397" s="862">
        <f>'12MonResults'!$AG$500</f>
        <v>1.0000008166608616</v>
      </c>
      <c r="J397" s="862">
        <f>G397</f>
        <v>1.0000008166608616</v>
      </c>
    </row>
    <row r="398" spans="1:14">
      <c r="A398" s="889"/>
      <c r="E398" s="860" t="s">
        <v>776</v>
      </c>
      <c r="G398" s="861">
        <f>+ROUND(G396/G397,0)</f>
        <v>26938967</v>
      </c>
      <c r="J398" s="861">
        <f>+ROUND(J396/J397,0)</f>
        <v>29443591</v>
      </c>
    </row>
    <row r="399" spans="1:14">
      <c r="A399" s="889"/>
      <c r="E399" s="860"/>
      <c r="G399" s="854"/>
    </row>
    <row r="400" spans="1:14">
      <c r="A400" s="939"/>
      <c r="B400" s="850" t="s">
        <v>826</v>
      </c>
      <c r="G400" s="854">
        <f>'ECR in Base Rates'!$F$58*-1</f>
        <v>-622650</v>
      </c>
      <c r="J400" s="854">
        <f>G400</f>
        <v>-622650</v>
      </c>
    </row>
    <row r="401" spans="1:16" ht="15">
      <c r="A401" s="939"/>
      <c r="B401" s="864"/>
      <c r="G401" s="857"/>
      <c r="J401" s="857"/>
    </row>
    <row r="402" spans="1:16" ht="15">
      <c r="B402" s="865" t="s">
        <v>812</v>
      </c>
      <c r="G402" s="888">
        <f>SUM(G398:G400)</f>
        <v>26316317</v>
      </c>
      <c r="J402" s="888">
        <f>SUM(J398:J400)</f>
        <v>28820941</v>
      </c>
    </row>
    <row r="403" spans="1:16">
      <c r="B403" s="858"/>
      <c r="G403" s="854"/>
      <c r="J403" s="854"/>
    </row>
    <row r="404" spans="1:16">
      <c r="B404" s="850" t="s">
        <v>814</v>
      </c>
      <c r="G404" s="767">
        <f>'ECR in Base Rates'!$F$58</f>
        <v>622650</v>
      </c>
      <c r="J404" s="767">
        <f>G404</f>
        <v>622650</v>
      </c>
    </row>
    <row r="405" spans="1:16">
      <c r="B405" s="858" t="s">
        <v>1711</v>
      </c>
      <c r="G405" s="854">
        <f>'Sch M-2.3 pg 1-2'!$D$37</f>
        <v>1368520</v>
      </c>
      <c r="J405" s="767">
        <f t="shared" ref="J405:J407" si="27">G405</f>
        <v>1368520</v>
      </c>
    </row>
    <row r="406" spans="1:16">
      <c r="B406" s="858" t="s">
        <v>1712</v>
      </c>
      <c r="G406" s="854">
        <f>'Sch M-2.3 pg 1-2'!$E$37</f>
        <v>0</v>
      </c>
      <c r="J406" s="767">
        <f t="shared" si="27"/>
        <v>0</v>
      </c>
    </row>
    <row r="407" spans="1:16">
      <c r="B407" s="858" t="s">
        <v>1713</v>
      </c>
      <c r="G407" s="854">
        <f>'Sch M-2.3 pg 1-2'!$F$37</f>
        <v>3158826</v>
      </c>
      <c r="J407" s="767">
        <f t="shared" si="27"/>
        <v>3158826</v>
      </c>
    </row>
    <row r="408" spans="1:16">
      <c r="A408" s="889"/>
    </row>
    <row r="409" spans="1:16" ht="15">
      <c r="A409" s="889"/>
      <c r="B409" s="884" t="s">
        <v>824</v>
      </c>
      <c r="G409" s="866">
        <f>SUM(G402:G407)</f>
        <v>31466313</v>
      </c>
      <c r="J409" s="866">
        <f>SUM(J402:J407)</f>
        <v>33970937</v>
      </c>
    </row>
    <row r="410" spans="1:16" ht="15">
      <c r="A410" s="889"/>
      <c r="B410" s="871"/>
      <c r="G410" s="868"/>
      <c r="J410" s="868"/>
    </row>
    <row r="411" spans="1:16" ht="15">
      <c r="A411" s="889"/>
      <c r="B411" s="869" t="s">
        <v>777</v>
      </c>
      <c r="G411" s="868"/>
      <c r="J411" s="861">
        <f>J409-G409</f>
        <v>2504624</v>
      </c>
      <c r="K411" s="1292">
        <v>2509281.9141011718</v>
      </c>
    </row>
    <row r="412" spans="1:16">
      <c r="A412" s="889"/>
      <c r="B412" s="869"/>
      <c r="C412" s="858" t="s">
        <v>778</v>
      </c>
      <c r="D412" s="858"/>
      <c r="J412" s="919">
        <f>J411/G409</f>
        <v>7.9596996317935306E-2</v>
      </c>
      <c r="K412" s="850">
        <f>J411-K411</f>
        <v>-4657.9141011717729</v>
      </c>
    </row>
    <row r="413" spans="1:16">
      <c r="A413" s="889"/>
      <c r="B413" s="889"/>
      <c r="C413" s="889"/>
      <c r="D413" s="889"/>
      <c r="E413" s="889"/>
      <c r="F413" s="889"/>
      <c r="G413" s="889"/>
      <c r="H413" s="889"/>
      <c r="I413" s="889"/>
      <c r="J413" s="889"/>
    </row>
    <row r="414" spans="1:16">
      <c r="B414" s="858"/>
    </row>
    <row r="415" spans="1:16">
      <c r="A415" s="970" t="s">
        <v>1462</v>
      </c>
      <c r="J415" s="944" t="s">
        <v>1489</v>
      </c>
    </row>
    <row r="416" spans="1:16">
      <c r="A416" s="943" t="s">
        <v>1465</v>
      </c>
      <c r="J416" s="944" t="str">
        <f>"Page "&amp;O416&amp;" of "&amp;P416</f>
        <v>Page 13 of 20</v>
      </c>
      <c r="O416" s="850">
        <f>O372+1</f>
        <v>13</v>
      </c>
      <c r="P416" s="850">
        <f>'Settlement Exhibit 1 pgs 15-20'!$P$165</f>
        <v>20</v>
      </c>
    </row>
    <row r="417" spans="1:12">
      <c r="A417" s="943" t="s">
        <v>1461</v>
      </c>
      <c r="J417" s="944"/>
    </row>
    <row r="418" spans="1:12">
      <c r="A418" s="945"/>
    </row>
    <row r="419" spans="1:12">
      <c r="A419" s="949"/>
      <c r="B419" s="950"/>
      <c r="C419" s="950"/>
      <c r="D419" s="950"/>
      <c r="E419" s="951"/>
      <c r="F419" s="951"/>
      <c r="G419" s="951" t="s">
        <v>766</v>
      </c>
      <c r="H419" s="952"/>
      <c r="I419" s="951"/>
      <c r="J419" s="951" t="s">
        <v>766</v>
      </c>
    </row>
    <row r="420" spans="1:12">
      <c r="A420" s="946"/>
      <c r="C420" s="871" t="s">
        <v>1496</v>
      </c>
      <c r="D420" s="871"/>
      <c r="E420" s="871" t="s">
        <v>59</v>
      </c>
      <c r="F420" s="871" t="s">
        <v>767</v>
      </c>
      <c r="G420" s="871" t="s">
        <v>768</v>
      </c>
      <c r="H420" s="872"/>
      <c r="I420" s="871" t="s">
        <v>769</v>
      </c>
      <c r="J420" s="871" t="s">
        <v>768</v>
      </c>
    </row>
    <row r="421" spans="1:12">
      <c r="A421" s="942"/>
      <c r="B421" s="876"/>
      <c r="C421" s="878"/>
      <c r="D421" s="878"/>
      <c r="E421" s="873" t="s">
        <v>875</v>
      </c>
      <c r="F421" s="874" t="s">
        <v>118</v>
      </c>
      <c r="G421" s="873" t="s">
        <v>771</v>
      </c>
      <c r="H421" s="875"/>
      <c r="I421" s="873" t="s">
        <v>118</v>
      </c>
      <c r="J421" s="873" t="s">
        <v>772</v>
      </c>
    </row>
    <row r="422" spans="1:12">
      <c r="A422" s="948"/>
    </row>
    <row r="423" spans="1:12">
      <c r="A423" s="779" t="s">
        <v>827</v>
      </c>
    </row>
    <row r="424" spans="1:12">
      <c r="A424" s="850"/>
      <c r="B424" s="852" t="s">
        <v>1010</v>
      </c>
      <c r="C424" s="769">
        <f>SUMIF(_12MonResults_Rate,MiscData!$U$16,_12MonResults_CustomerCount)</f>
        <v>24</v>
      </c>
      <c r="D424" s="765"/>
      <c r="E424" s="765"/>
      <c r="F424" s="766">
        <f>SUMIF(_Rates_Tariff_Category,MiscData!$T$4&amp;MiscData!$W$23,_Rates_BasicServiceCharge)</f>
        <v>0</v>
      </c>
      <c r="G424" s="854">
        <f>F424*C424</f>
        <v>0</v>
      </c>
      <c r="I424" s="853">
        <v>0</v>
      </c>
      <c r="J424" s="854">
        <f>I424*C424</f>
        <v>0</v>
      </c>
      <c r="K424" s="902"/>
      <c r="L424" s="902"/>
    </row>
    <row r="425" spans="1:12">
      <c r="A425" s="850"/>
      <c r="B425" s="855" t="s">
        <v>773</v>
      </c>
      <c r="E425" s="769">
        <f>SUMIF(_12MonResults_Rate,MiscData!$U$16,_12MonResults_KWH_Total)</f>
        <v>164531</v>
      </c>
      <c r="F425" s="772">
        <f>SUMIF(_Rates_Tariff_Category,MiscData!$T$4&amp;MiscData!$W$23,_Rates_Energy)</f>
        <v>6.3799999999999996E-2</v>
      </c>
      <c r="G425" s="767">
        <f>F425*E425</f>
        <v>10497.077799999999</v>
      </c>
      <c r="I425" s="856">
        <v>6.9120000000000001E-2</v>
      </c>
      <c r="J425" s="767">
        <f>I425*E425</f>
        <v>11372.38272</v>
      </c>
      <c r="L425" s="902"/>
    </row>
    <row r="426" spans="1:12">
      <c r="A426" s="850"/>
      <c r="B426" s="855"/>
      <c r="F426" s="856"/>
      <c r="G426" s="767"/>
      <c r="I426" s="856"/>
      <c r="J426" s="767"/>
      <c r="L426" s="902"/>
    </row>
    <row r="427" spans="1:12">
      <c r="A427" s="850"/>
      <c r="B427" s="855"/>
      <c r="F427" s="856"/>
      <c r="G427" s="767"/>
      <c r="I427" s="856"/>
      <c r="J427" s="767"/>
      <c r="L427" s="902"/>
    </row>
    <row r="428" spans="1:12">
      <c r="A428" s="889"/>
      <c r="B428" s="855"/>
      <c r="E428" s="860" t="s">
        <v>774</v>
      </c>
      <c r="G428" s="861">
        <f>SUM(G424:G426)</f>
        <v>10497.077799999999</v>
      </c>
      <c r="J428" s="861">
        <f>SUM(J424:J426)</f>
        <v>11372.38272</v>
      </c>
    </row>
    <row r="429" spans="1:12">
      <c r="A429" s="889"/>
      <c r="E429" s="855" t="s">
        <v>775</v>
      </c>
      <c r="G429" s="862">
        <f>'12MonResults'!$AG$501</f>
        <v>1</v>
      </c>
      <c r="J429" s="862">
        <f>G429</f>
        <v>1</v>
      </c>
    </row>
    <row r="430" spans="1:12">
      <c r="A430" s="889"/>
      <c r="E430" s="860" t="s">
        <v>776</v>
      </c>
      <c r="G430" s="861">
        <f>+ROUND(G428/G429,0)</f>
        <v>10497</v>
      </c>
      <c r="J430" s="861">
        <f>+ROUND(J428/J429,0)</f>
        <v>11372</v>
      </c>
    </row>
    <row r="431" spans="1:12">
      <c r="A431" s="889"/>
      <c r="E431" s="860"/>
      <c r="G431" s="854"/>
    </row>
    <row r="432" spans="1:12" ht="15" customHeight="1">
      <c r="A432" s="939"/>
      <c r="B432" s="850" t="s">
        <v>826</v>
      </c>
      <c r="G432" s="767">
        <v>0</v>
      </c>
      <c r="J432" s="767">
        <f>G432</f>
        <v>0</v>
      </c>
    </row>
    <row r="433" spans="1:11" ht="15" customHeight="1">
      <c r="B433" s="864" t="s">
        <v>1792</v>
      </c>
      <c r="C433" s="850">
        <v>12</v>
      </c>
      <c r="E433" s="850">
        <v>279168</v>
      </c>
      <c r="G433" s="767">
        <v>17811</v>
      </c>
      <c r="J433" s="767">
        <f>ROUND(E433*$I$425,0)</f>
        <v>19296</v>
      </c>
    </row>
    <row r="434" spans="1:11">
      <c r="B434" s="1208" t="s">
        <v>1793</v>
      </c>
    </row>
    <row r="435" spans="1:11" ht="15">
      <c r="B435" s="865" t="s">
        <v>812</v>
      </c>
      <c r="G435" s="866">
        <f>SUM(G430:G433)</f>
        <v>28308</v>
      </c>
      <c r="J435" s="866">
        <f>SUM(J430:J433)</f>
        <v>30668</v>
      </c>
    </row>
    <row r="436" spans="1:11">
      <c r="B436" s="855"/>
    </row>
    <row r="437" spans="1:11">
      <c r="B437" s="850" t="s">
        <v>814</v>
      </c>
      <c r="G437" s="767">
        <v>0</v>
      </c>
      <c r="J437" s="767">
        <f>G437</f>
        <v>0</v>
      </c>
    </row>
    <row r="438" spans="1:11">
      <c r="B438" s="858" t="s">
        <v>1711</v>
      </c>
      <c r="G438" s="854">
        <f>'Sch M-2.3 pg 1-2'!$D$43</f>
        <v>407</v>
      </c>
      <c r="J438" s="767">
        <f t="shared" ref="J438:J440" si="28">G438</f>
        <v>407</v>
      </c>
    </row>
    <row r="439" spans="1:11">
      <c r="B439" s="858" t="s">
        <v>1712</v>
      </c>
      <c r="G439" s="854">
        <f>'Sch M-2.3 pg 1-2'!$E$43</f>
        <v>0</v>
      </c>
      <c r="J439" s="767">
        <f t="shared" si="28"/>
        <v>0</v>
      </c>
    </row>
    <row r="440" spans="1:11">
      <c r="B440" s="858" t="s">
        <v>1713</v>
      </c>
      <c r="G440" s="854">
        <f>'Sch M-2.3 pg 1-2'!$F$43</f>
        <v>918</v>
      </c>
      <c r="J440" s="767">
        <f t="shared" si="28"/>
        <v>918</v>
      </c>
    </row>
    <row r="441" spans="1:11">
      <c r="A441" s="889"/>
      <c r="K441" s="855"/>
    </row>
    <row r="442" spans="1:11" ht="15">
      <c r="A442" s="889"/>
      <c r="B442" s="884" t="s">
        <v>824</v>
      </c>
      <c r="G442" s="866">
        <f>SUM(G435:G440)</f>
        <v>29633</v>
      </c>
      <c r="J442" s="866">
        <f>SUM(J435:J440)</f>
        <v>31993</v>
      </c>
    </row>
    <row r="443" spans="1:11" ht="15">
      <c r="A443" s="889"/>
      <c r="B443" s="871"/>
      <c r="G443" s="868"/>
      <c r="J443" s="868"/>
    </row>
    <row r="444" spans="1:11">
      <c r="A444" s="940"/>
      <c r="B444" s="869" t="s">
        <v>777</v>
      </c>
      <c r="J444" s="887">
        <f>J442-G442</f>
        <v>2360</v>
      </c>
      <c r="K444" s="1292">
        <v>2363.084323243083</v>
      </c>
    </row>
    <row r="445" spans="1:11">
      <c r="C445" s="858" t="s">
        <v>778</v>
      </c>
      <c r="D445" s="858"/>
      <c r="J445" s="919">
        <f>J444/G442</f>
        <v>7.964094084297911E-2</v>
      </c>
      <c r="K445" s="850">
        <f>J444-K444</f>
        <v>-3.084323243082963</v>
      </c>
    </row>
    <row r="446" spans="1:11">
      <c r="A446" s="889"/>
      <c r="B446" s="889"/>
      <c r="C446" s="889"/>
      <c r="D446" s="889"/>
      <c r="E446" s="889"/>
      <c r="F446" s="889"/>
      <c r="G446" s="889"/>
      <c r="H446" s="889"/>
      <c r="I446" s="889"/>
      <c r="J446" s="889"/>
      <c r="K446" s="954"/>
    </row>
    <row r="447" spans="1:11">
      <c r="A447" s="941"/>
    </row>
    <row r="448" spans="1:11">
      <c r="A448" s="970" t="s">
        <v>1462</v>
      </c>
      <c r="J448" s="944" t="s">
        <v>1489</v>
      </c>
    </row>
    <row r="449" spans="1:16">
      <c r="A449" s="943" t="s">
        <v>1465</v>
      </c>
      <c r="J449" s="944" t="str">
        <f>"Page "&amp;O449&amp;" of "&amp;P449</f>
        <v>Page 14 of 20</v>
      </c>
      <c r="O449" s="850">
        <f>O416+1</f>
        <v>14</v>
      </c>
      <c r="P449" s="850">
        <f>'Settlement Exhibit 1 pgs 15-20'!$P$165</f>
        <v>20</v>
      </c>
    </row>
    <row r="450" spans="1:16">
      <c r="A450" s="943" t="s">
        <v>1461</v>
      </c>
      <c r="J450" s="944"/>
    </row>
    <row r="451" spans="1:16">
      <c r="A451" s="945"/>
    </row>
    <row r="452" spans="1:16">
      <c r="A452" s="949"/>
      <c r="B452" s="950"/>
      <c r="C452" s="950"/>
      <c r="D452" s="950"/>
      <c r="E452" s="951"/>
      <c r="F452" s="951"/>
      <c r="G452" s="951" t="s">
        <v>766</v>
      </c>
      <c r="H452" s="952"/>
      <c r="I452" s="951"/>
      <c r="J452" s="951" t="s">
        <v>766</v>
      </c>
    </row>
    <row r="453" spans="1:16">
      <c r="A453" s="946"/>
      <c r="C453" s="871" t="s">
        <v>1496</v>
      </c>
      <c r="D453" s="871"/>
      <c r="E453" s="871" t="s">
        <v>59</v>
      </c>
      <c r="F453" s="871" t="s">
        <v>767</v>
      </c>
      <c r="G453" s="871" t="s">
        <v>768</v>
      </c>
      <c r="H453" s="872"/>
      <c r="I453" s="871" t="s">
        <v>769</v>
      </c>
      <c r="J453" s="871" t="s">
        <v>768</v>
      </c>
    </row>
    <row r="454" spans="1:16">
      <c r="A454" s="942"/>
      <c r="B454" s="876"/>
      <c r="C454" s="878"/>
      <c r="D454" s="878"/>
      <c r="E454" s="873" t="s">
        <v>875</v>
      </c>
      <c r="F454" s="874" t="s">
        <v>118</v>
      </c>
      <c r="G454" s="873" t="s">
        <v>771</v>
      </c>
      <c r="H454" s="875"/>
      <c r="I454" s="873" t="s">
        <v>118</v>
      </c>
      <c r="J454" s="873" t="s">
        <v>772</v>
      </c>
    </row>
    <row r="455" spans="1:16">
      <c r="A455" s="948"/>
    </row>
    <row r="456" spans="1:16">
      <c r="A456" s="892" t="s">
        <v>788</v>
      </c>
    </row>
    <row r="457" spans="1:16">
      <c r="A457" s="850"/>
      <c r="B457" s="852" t="s">
        <v>1010</v>
      </c>
      <c r="C457" s="769">
        <f>SUMIF(_12MonResults_Rate,MiscData!$U$17,_12MonResults_CustomerCount)</f>
        <v>8964</v>
      </c>
      <c r="D457" s="765"/>
      <c r="E457" s="765"/>
      <c r="F457" s="766">
        <f>SUMIF(_Rates_Tariff_Category,MiscData!$T$4&amp;MiscData!$W$25,_Rates_BasicServiceCharge)</f>
        <v>3.25</v>
      </c>
      <c r="G457" s="854">
        <f>ROUND(F457*C457,0)</f>
        <v>29133</v>
      </c>
      <c r="I457" s="853">
        <v>4</v>
      </c>
      <c r="J457" s="854">
        <f>ROUND(I457*C457,0)</f>
        <v>35856</v>
      </c>
      <c r="K457" s="902"/>
      <c r="L457" s="902"/>
    </row>
    <row r="458" spans="1:16">
      <c r="A458" s="850"/>
      <c r="B458" s="855" t="s">
        <v>773</v>
      </c>
      <c r="E458" s="769">
        <f>SUMIF(_12MonResults_Rate,MiscData!$U$17,_12MonResults_KWH_Total)</f>
        <v>1241367</v>
      </c>
      <c r="F458" s="772">
        <f>SUMIF(_Rates_Tariff_Category,MiscData!$T$4&amp;MiscData!$W$25,_Rates_Energy)</f>
        <v>7.9780000000000004E-2</v>
      </c>
      <c r="G458" s="767">
        <f>ROUND(F458*E458,0)</f>
        <v>99036</v>
      </c>
      <c r="I458" s="856">
        <v>8.3239999999999995E-2</v>
      </c>
      <c r="J458" s="767">
        <f>ROUND(I458*E458,0)</f>
        <v>103331</v>
      </c>
      <c r="L458" s="902"/>
    </row>
    <row r="459" spans="1:16">
      <c r="A459" s="850"/>
      <c r="B459" s="852"/>
      <c r="G459" s="767"/>
      <c r="J459" s="767"/>
    </row>
    <row r="460" spans="1:16">
      <c r="A460" s="850"/>
      <c r="B460" s="855"/>
      <c r="G460" s="767"/>
      <c r="J460" s="767"/>
    </row>
    <row r="461" spans="1:16" ht="15">
      <c r="A461" s="850"/>
      <c r="B461" s="855"/>
      <c r="G461" s="773"/>
      <c r="J461" s="773"/>
    </row>
    <row r="462" spans="1:16">
      <c r="A462" s="889"/>
      <c r="B462" s="855"/>
      <c r="E462" s="860" t="s">
        <v>774</v>
      </c>
      <c r="G462" s="861">
        <f>SUM(G457:G461)</f>
        <v>128169</v>
      </c>
      <c r="J462" s="861">
        <f>SUM(J457:J461)</f>
        <v>139187</v>
      </c>
    </row>
    <row r="463" spans="1:16" ht="15">
      <c r="A463" s="889"/>
      <c r="E463" s="855" t="s">
        <v>775</v>
      </c>
      <c r="G463" s="890">
        <f>'12MonResults'!$AG$502</f>
        <v>1</v>
      </c>
      <c r="J463" s="890">
        <f>G463</f>
        <v>1</v>
      </c>
    </row>
    <row r="464" spans="1:16">
      <c r="A464" s="889"/>
      <c r="E464" s="860" t="s">
        <v>776</v>
      </c>
      <c r="G464" s="861">
        <f>+ROUND(G462/G463,0)</f>
        <v>128169</v>
      </c>
      <c r="J464" s="861">
        <f>+ROUND(J462/J463,0)</f>
        <v>139187</v>
      </c>
    </row>
    <row r="465" spans="1:11">
      <c r="A465" s="889"/>
      <c r="E465" s="860"/>
      <c r="G465" s="854"/>
    </row>
    <row r="466" spans="1:11">
      <c r="A466" s="939"/>
      <c r="B466" s="850" t="s">
        <v>826</v>
      </c>
      <c r="G466" s="767">
        <v>0</v>
      </c>
      <c r="J466" s="767">
        <f>G466</f>
        <v>0</v>
      </c>
    </row>
    <row r="467" spans="1:11" ht="15">
      <c r="A467" s="939"/>
      <c r="B467" s="864"/>
      <c r="G467" s="773"/>
      <c r="J467" s="773"/>
    </row>
    <row r="468" spans="1:11" ht="15">
      <c r="B468" s="865" t="s">
        <v>812</v>
      </c>
      <c r="G468" s="866">
        <f>SUM(G464:G466)</f>
        <v>128169</v>
      </c>
      <c r="J468" s="866">
        <f>SUM(J466:J466)+J464</f>
        <v>139187</v>
      </c>
    </row>
    <row r="469" spans="1:11">
      <c r="B469" s="855"/>
    </row>
    <row r="470" spans="1:11">
      <c r="B470" s="850" t="s">
        <v>814</v>
      </c>
      <c r="G470" s="767">
        <v>0</v>
      </c>
      <c r="J470" s="767">
        <f>G470</f>
        <v>0</v>
      </c>
    </row>
    <row r="471" spans="1:11">
      <c r="B471" s="858" t="s">
        <v>1711</v>
      </c>
      <c r="G471" s="854">
        <f>'Sch M-2.3 pg 1-2'!$D$44</f>
        <v>3040</v>
      </c>
      <c r="J471" s="767">
        <f t="shared" ref="J471:J473" si="29">G471</f>
        <v>3040</v>
      </c>
    </row>
    <row r="472" spans="1:11">
      <c r="B472" s="858" t="s">
        <v>1712</v>
      </c>
      <c r="G472" s="854">
        <f>'Sch M-2.3 pg 1-2'!$E$43</f>
        <v>0</v>
      </c>
      <c r="J472" s="767">
        <f t="shared" si="29"/>
        <v>0</v>
      </c>
    </row>
    <row r="473" spans="1:11">
      <c r="B473" s="858" t="s">
        <v>1713</v>
      </c>
      <c r="G473" s="854">
        <f>'Sch M-2.3 pg 1-2'!$F$44</f>
        <v>6938</v>
      </c>
      <c r="J473" s="767">
        <f t="shared" si="29"/>
        <v>6938</v>
      </c>
    </row>
    <row r="474" spans="1:11">
      <c r="A474" s="889"/>
      <c r="K474" s="855"/>
    </row>
    <row r="475" spans="1:11" ht="15">
      <c r="A475" s="889"/>
      <c r="B475" s="884" t="s">
        <v>824</v>
      </c>
      <c r="G475" s="866">
        <f>SUM(G468:G473)</f>
        <v>138147</v>
      </c>
      <c r="J475" s="866">
        <f>SUM(J468:J473)</f>
        <v>149165</v>
      </c>
    </row>
    <row r="476" spans="1:11" ht="15">
      <c r="A476" s="889"/>
      <c r="B476" s="871"/>
      <c r="G476" s="868"/>
      <c r="J476" s="868"/>
    </row>
    <row r="477" spans="1:11">
      <c r="A477" s="940"/>
      <c r="B477" s="869" t="s">
        <v>777</v>
      </c>
      <c r="J477" s="887">
        <f>J475-G475</f>
        <v>11018</v>
      </c>
      <c r="K477" s="1292">
        <v>11016.535956638281</v>
      </c>
    </row>
    <row r="478" spans="1:11">
      <c r="C478" s="858" t="s">
        <v>778</v>
      </c>
      <c r="D478" s="858"/>
      <c r="J478" s="919">
        <f>J477/G475</f>
        <v>7.9755622633861031E-2</v>
      </c>
      <c r="K478" s="850">
        <f>J477-K477</f>
        <v>1.4640433617187227</v>
      </c>
    </row>
    <row r="479" spans="1:11">
      <c r="A479" s="889"/>
      <c r="B479" s="889"/>
      <c r="C479" s="889"/>
      <c r="D479" s="889"/>
      <c r="E479" s="889"/>
      <c r="F479" s="889"/>
      <c r="G479" s="889"/>
      <c r="H479" s="889"/>
      <c r="I479" s="889"/>
      <c r="J479" s="889"/>
    </row>
    <row r="480" spans="1:11">
      <c r="A480" s="941"/>
    </row>
    <row r="481" spans="1:1">
      <c r="A481" s="941"/>
    </row>
  </sheetData>
  <printOptions horizontalCentered="1"/>
  <pageMargins left="0.7" right="0.7" top="1.61" bottom="0.5" header="0.75" footer="0.3"/>
  <pageSetup scale="69" fitToHeight="10" orientation="landscape" r:id="rId1"/>
  <headerFooter scaleWithDoc="0">
    <oddHeader>&amp;C&amp;"-,Bold"&amp;10KENTUCKY UTILITIES COMPANY
Case No. 2014-00371
Calculations of Proposed Rate Increase
Forecast Period Sales for the 12 Months Ended June 30, 2016&amp;R&amp;"Times New Roman,Bold"&amp;14Settlement Exhibit 1</oddHeader>
  </headerFooter>
  <rowBreaks count="12" manualBreakCount="12">
    <brk id="33" max="9" man="1"/>
    <brk id="68" max="9" man="1"/>
    <brk id="101" max="9" man="1"/>
    <brk id="135" max="9" man="1"/>
    <brk id="171" max="9" man="1"/>
    <brk id="210" max="9" man="1"/>
    <brk id="249" max="9" man="1"/>
    <brk id="289" max="9" man="1"/>
    <brk id="330" max="9" man="1"/>
    <brk id="369" max="9" man="1"/>
    <brk id="413" max="9" man="1"/>
    <brk id="446"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121</vt:i4>
      </vt:variant>
    </vt:vector>
  </HeadingPairs>
  <TitlesOfParts>
    <vt:vector size="156" baseType="lpstr">
      <vt:lpstr>Schedules==&gt;</vt:lpstr>
      <vt:lpstr>Sch M-2.1</vt:lpstr>
      <vt:lpstr>Sch M-2.2-pg 1</vt:lpstr>
      <vt:lpstr>Conroy Exhibit P2</vt:lpstr>
      <vt:lpstr>Yr End Cust Adj</vt:lpstr>
      <vt:lpstr>Rate Switch</vt:lpstr>
      <vt:lpstr>Sch M-2.3 pg 1-2</vt:lpstr>
      <vt:lpstr>Settlement Exhibit 1 pg 1</vt:lpstr>
      <vt:lpstr>Settlement Exhibit 1 pgs 2-14</vt:lpstr>
      <vt:lpstr>Settlement Exhibit 1 pgs 15-20</vt:lpstr>
      <vt:lpstr>Analyses ==&gt;</vt:lpstr>
      <vt:lpstr>Rate Summary</vt:lpstr>
      <vt:lpstr>ECR Roll In==&gt;</vt:lpstr>
      <vt:lpstr>Summary</vt:lpstr>
      <vt:lpstr>Group1</vt:lpstr>
      <vt:lpstr>Group2</vt:lpstr>
      <vt:lpstr>ECR Rollin</vt:lpstr>
      <vt:lpstr>StLtTYRevenueNetOfBaseECR</vt:lpstr>
      <vt:lpstr>Data==&gt;</vt:lpstr>
      <vt:lpstr>12MonResults</vt:lpstr>
      <vt:lpstr>12MonLights</vt:lpstr>
      <vt:lpstr>Sources ==&gt;</vt:lpstr>
      <vt:lpstr>Rates</vt:lpstr>
      <vt:lpstr>Rates-Lights</vt:lpstr>
      <vt:lpstr>1022</vt:lpstr>
      <vt:lpstr>1055</vt:lpstr>
      <vt:lpstr>SBR</vt:lpstr>
      <vt:lpstr>GranVille</vt:lpstr>
      <vt:lpstr>MiscData</vt:lpstr>
      <vt:lpstr>ECR in Base Rates</vt:lpstr>
      <vt:lpstr>Power Factor</vt:lpstr>
      <vt:lpstr>LEV</vt:lpstr>
      <vt:lpstr>Standby Rate</vt:lpstr>
      <vt:lpstr>Lighting</vt:lpstr>
      <vt:lpstr>CSR</vt:lpstr>
      <vt:lpstr>_1022_Count</vt:lpstr>
      <vt:lpstr>_1022_Demand_Base</vt:lpstr>
      <vt:lpstr>_1022_Demand_Intermediate</vt:lpstr>
      <vt:lpstr>_1022_Demand_Peak</vt:lpstr>
      <vt:lpstr>_1022_KWH</vt:lpstr>
      <vt:lpstr>_1022_KWH_P1</vt:lpstr>
      <vt:lpstr>_1022_KWH_P2</vt:lpstr>
      <vt:lpstr>_1022_KWH_P3</vt:lpstr>
      <vt:lpstr>_1022_Measured_KVA_Base</vt:lpstr>
      <vt:lpstr>_1022_Measured_KVA_Inter</vt:lpstr>
      <vt:lpstr>_1022_Measured_KVA_Peak</vt:lpstr>
      <vt:lpstr>_1022_Measured_KW</vt:lpstr>
      <vt:lpstr>_1022_PF_Qty</vt:lpstr>
      <vt:lpstr>_1022_Power_Factor_Revenue</vt:lpstr>
      <vt:lpstr>_1022_RateCategory</vt:lpstr>
      <vt:lpstr>_1022_RevenueMonth</vt:lpstr>
      <vt:lpstr>_1055_Light_Count</vt:lpstr>
      <vt:lpstr>_1055_RateCategory</vt:lpstr>
      <vt:lpstr>_1055_RevMonth</vt:lpstr>
      <vt:lpstr>_12MonLights_Base_Fuel_Revenue</vt:lpstr>
      <vt:lpstr>_12MonLights_Count</vt:lpstr>
      <vt:lpstr>_12MonLights_Count_Adj</vt:lpstr>
      <vt:lpstr>_12MonLights_ECR</vt:lpstr>
      <vt:lpstr>_12MonLights_FAC</vt:lpstr>
      <vt:lpstr>_12MonLights_KWH</vt:lpstr>
      <vt:lpstr>_12MonLights_KWH_OutOfPeriod</vt:lpstr>
      <vt:lpstr>_12MonLights_Non_Fuel_Revenue</vt:lpstr>
      <vt:lpstr>_12MonLights_RateCategory</vt:lpstr>
      <vt:lpstr>_12MonLights_RateClass</vt:lpstr>
      <vt:lpstr>_12MonLights_Revenue</vt:lpstr>
      <vt:lpstr>_12MonLights_Revenue_Actual</vt:lpstr>
      <vt:lpstr>_12MonLights_Revenue_Adj</vt:lpstr>
      <vt:lpstr>_12MonLights_Revenue_BaseECR</vt:lpstr>
      <vt:lpstr>_12MonLights_Revenue_BaseFuel</vt:lpstr>
      <vt:lpstr>_12MonLights_Revenue_Calculated</vt:lpstr>
      <vt:lpstr>_12MonLights_Revenue_FAC</vt:lpstr>
      <vt:lpstr>_12MonLights_Revenue_OutOfPeriod</vt:lpstr>
      <vt:lpstr>_12MonLights_RevMonth</vt:lpstr>
      <vt:lpstr>_12MonLights_TariffRateCategory</vt:lpstr>
      <vt:lpstr>_12MonLights_TotalRevenue</vt:lpstr>
      <vt:lpstr>_12MonResults_CustomerCount</vt:lpstr>
      <vt:lpstr>_12MonResults_Demand_Billed_kW_B</vt:lpstr>
      <vt:lpstr>_12MonResults_Demand_Billed_kW_I</vt:lpstr>
      <vt:lpstr>_12MonResults_Demand_Billed_KW_P</vt:lpstr>
      <vt:lpstr>_12MonResults_Demand_Measured_kW_B</vt:lpstr>
      <vt:lpstr>_12MonResults_Demand_Measured_kW_I</vt:lpstr>
      <vt:lpstr>_12MonResults_Demand_Measured_kW_P</vt:lpstr>
      <vt:lpstr>_12MonResults_KWH_P1</vt:lpstr>
      <vt:lpstr>_12MonResults_KWH_P2</vt:lpstr>
      <vt:lpstr>_12MonResults_KWH_P3</vt:lpstr>
      <vt:lpstr>_12MonResults_KWH_Total</vt:lpstr>
      <vt:lpstr>_12MonResults_Rate</vt:lpstr>
      <vt:lpstr>_12MonResults_RateCategory</vt:lpstr>
      <vt:lpstr>_12MonResults_RateClass</vt:lpstr>
      <vt:lpstr>_12MonResults_Revenue_Actual</vt:lpstr>
      <vt:lpstr>_12MonResults_Revenue_BaseFuel</vt:lpstr>
      <vt:lpstr>_12MonResults_Revenue_Calc_BSC</vt:lpstr>
      <vt:lpstr>_12MonResults_Revenue_Calc_Energy</vt:lpstr>
      <vt:lpstr>_12MonResults_Revenue_Calculated</vt:lpstr>
      <vt:lpstr>_12MonResults_Revenue_CSR</vt:lpstr>
      <vt:lpstr>_12MonResults_Revenue_Demand</vt:lpstr>
      <vt:lpstr>_12MonResults_Revenue_Demand_B</vt:lpstr>
      <vt:lpstr>_12MonResults_Revenue_Demand_I</vt:lpstr>
      <vt:lpstr>_12MonResults_Revenue_Demand_P</vt:lpstr>
      <vt:lpstr>_12MonResults_Revenue_DSM</vt:lpstr>
      <vt:lpstr>_12MonResults_Revenue_ECR</vt:lpstr>
      <vt:lpstr>_12MonResults_Revenue_FAC</vt:lpstr>
      <vt:lpstr>_12MonResults_Revenue_MSR</vt:lpstr>
      <vt:lpstr>_12MonResults_Revenue_Total</vt:lpstr>
      <vt:lpstr>_12MonResults_RevMonth</vt:lpstr>
      <vt:lpstr>_12MonResults_TariffRateClass</vt:lpstr>
      <vt:lpstr>_12MonResults_TarrifRateCategory</vt:lpstr>
      <vt:lpstr>_Lights_Rates</vt:lpstr>
      <vt:lpstr>_Lights_Tariff_Category</vt:lpstr>
      <vt:lpstr>_Rates_Balance_Energy</vt:lpstr>
      <vt:lpstr>_Rates_BasicServiceCharge</vt:lpstr>
      <vt:lpstr>_Rates_Demand_Base</vt:lpstr>
      <vt:lpstr>_Rates_Demand_Intermediate</vt:lpstr>
      <vt:lpstr>_Rates_Demand_Peak</vt:lpstr>
      <vt:lpstr>_Rates_ECR_Demand</vt:lpstr>
      <vt:lpstr>_Rates_ECR_Energy</vt:lpstr>
      <vt:lpstr>_Rates_Energy</vt:lpstr>
      <vt:lpstr>_Rates_Energy_P2</vt:lpstr>
      <vt:lpstr>_Rates_Energy_P3</vt:lpstr>
      <vt:lpstr>_Rates_FAC_Energy</vt:lpstr>
      <vt:lpstr>_Rates_Lights_BaseFAC</vt:lpstr>
      <vt:lpstr>_Rates_Lights_ECR</vt:lpstr>
      <vt:lpstr>_Rates_Rate</vt:lpstr>
      <vt:lpstr>_Rates_Tariff_Category</vt:lpstr>
      <vt:lpstr>_SBR_BSC_Revenue</vt:lpstr>
      <vt:lpstr>_SBR_CSR</vt:lpstr>
      <vt:lpstr>_SBR_Demand_Revenue</vt:lpstr>
      <vt:lpstr>_SBR_DSM</vt:lpstr>
      <vt:lpstr>_SBR_ECR</vt:lpstr>
      <vt:lpstr>_SBR_Energy_Revenue</vt:lpstr>
      <vt:lpstr>_SBR_FAC</vt:lpstr>
      <vt:lpstr>_SBR_KWH</vt:lpstr>
      <vt:lpstr>_SBR_MSR</vt:lpstr>
      <vt:lpstr>_SBR_Rate_Category</vt:lpstr>
      <vt:lpstr>_SBR_RateClass</vt:lpstr>
      <vt:lpstr>_SBR_Revenue_Actual</vt:lpstr>
      <vt:lpstr>_SBR_Revenue_Month</vt:lpstr>
      <vt:lpstr>'Conroy Exhibit P2'!Print_Area</vt:lpstr>
      <vt:lpstr>Group1!Print_Area</vt:lpstr>
      <vt:lpstr>Group2!Print_Area</vt:lpstr>
      <vt:lpstr>'Power Factor'!Print_Area</vt:lpstr>
      <vt:lpstr>'Rate Switch'!Print_Area</vt:lpstr>
      <vt:lpstr>'Sch M-2.1'!Print_Area</vt:lpstr>
      <vt:lpstr>'Sch M-2.2-pg 1'!Print_Area</vt:lpstr>
      <vt:lpstr>'Sch M-2.3 pg 1-2'!Print_Area</vt:lpstr>
      <vt:lpstr>'Settlement Exhibit 1 pg 1'!Print_Area</vt:lpstr>
      <vt:lpstr>'Settlement Exhibit 1 pgs 15-20'!Print_Area</vt:lpstr>
      <vt:lpstr>'Settlement Exhibit 1 pgs 2-14'!Print_Area</vt:lpstr>
      <vt:lpstr>Summary!Print_Area</vt:lpstr>
      <vt:lpstr>'Yr End Cust Adj'!Print_Area</vt:lpstr>
      <vt:lpstr>'Conroy Exhibit P2'!Print_Titles</vt:lpstr>
      <vt:lpstr>Group1!Print_Titles</vt:lpstr>
      <vt:lpstr>Group2!Print_Titles</vt:lpstr>
      <vt:lpstr>'Sch M-2.2-pg 1'!Print_Titles</vt:lpstr>
      <vt:lpstr>'Sch M-2.3 pg 1-2'!Print_Titles</vt:lpstr>
      <vt:lpstr>'Settlement Exhibit 1 pg 1'!Print_Titles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2015-04-22T16:33:54Z</dcterms:created>
  <dcterms:modified xsi:type="dcterms:W3CDTF">2015-04-22T16:34:27Z</dcterms:modified>
</cp:coreProperties>
</file>